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Irish-TIMES-model\"/>
    </mc:Choice>
  </mc:AlternateContent>
  <xr:revisionPtr revIDLastSave="0" documentId="13_ncr:1_{987BA0E1-5D10-4FBD-B179-BF84A8B1D1E7}" xr6:coauthVersionLast="45" xr6:coauthVersionMax="45" xr10:uidLastSave="{00000000-0000-0000-0000-000000000000}"/>
  <bookViews>
    <workbookView xWindow="-120" yWindow="-120" windowWidth="29040" windowHeight="15840" firstSheet="5" activeTab="12" xr2:uid="{84D66906-B6AF-48E0-AD65-C043B6C4385C}"/>
    <workbookView xWindow="-120" yWindow="-16320" windowWidth="29040" windowHeight="15840" firstSheet="1" activeTab="5" xr2:uid="{1F6FF8E0-D37A-4567-9881-31CE108C64F7}"/>
  </bookViews>
  <sheets>
    <sheet name="Cover" sheetId="34" r:id="rId1"/>
    <sheet name="Intro" sheetId="35" r:id="rId2"/>
    <sheet name="RES" sheetId="36" r:id="rId3"/>
    <sheet name="SETUP" sheetId="43" r:id="rId4"/>
    <sheet name="EnergyBalance" sheetId="24" r:id="rId5"/>
    <sheet name="RSD_Balance" sheetId="22" r:id="rId6"/>
    <sheet name="RSD_Commodities" sheetId="9" r:id="rId7"/>
    <sheet name="RSD_EmiCoeffs" sheetId="3" r:id="rId8"/>
    <sheet name="RSD_FuelTechs" sheetId="6" r:id="rId9"/>
    <sheet name="DwellingStocks" sheetId="27" r:id="rId10"/>
    <sheet name="SHWLP-Apt" sheetId="28" r:id="rId11"/>
    <sheet name="SHWLP-Att" sheetId="29" r:id="rId12"/>
    <sheet name="SHWLP-Det" sheetId="44" r:id="rId13"/>
    <sheet name="RH-Adj" sheetId="33" r:id="rId14"/>
    <sheet name="ROth" sheetId="18" r:id="rId15"/>
    <sheet name="ApartmentEnergyData" sheetId="37" r:id="rId16"/>
    <sheet name="AttachedEnergyData" sheetId="40" r:id="rId17"/>
    <sheet name="DettachedEnergyData" sheetId="41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ll_TP" localSheetId="1">#REF!,#REF!,#REF!</definedName>
    <definedName name="All_TP">#REF!,#REF!,#REF!</definedName>
    <definedName name="All_US" localSheetId="1">#REF!,#REF!,#REF!</definedName>
    <definedName name="All_US">#REF!,#REF!,#REF!</definedName>
    <definedName name="Annual_Fuel_Consumption">#REF!</definedName>
    <definedName name="Beta">#REF!</definedName>
    <definedName name="body1ea" localSheetId="1">#REF!</definedName>
    <definedName name="body1ea">#REF!</definedName>
    <definedName name="body1eb" localSheetId="1">#REF!</definedName>
    <definedName name="body1eb">#REF!</definedName>
    <definedName name="body1fa" localSheetId="1">#REF!</definedName>
    <definedName name="body1fa">#REF!</definedName>
    <definedName name="body1fb" localSheetId="1">#REF!</definedName>
    <definedName name="body1fb">#REF!</definedName>
    <definedName name="body1ga" localSheetId="1">#REF!</definedName>
    <definedName name="body1ga">#REF!</definedName>
    <definedName name="body1gb" localSheetId="1">#REF!</definedName>
    <definedName name="body1gb">#REF!</definedName>
    <definedName name="body2ea" localSheetId="1">#REF!</definedName>
    <definedName name="body2ea">#REF!</definedName>
    <definedName name="body2eb" localSheetId="1">#REF!</definedName>
    <definedName name="body2eb">#REF!</definedName>
    <definedName name="body2f" localSheetId="1">#REF!</definedName>
    <definedName name="body2f">#REF!</definedName>
    <definedName name="body2fa" localSheetId="1">#REF!</definedName>
    <definedName name="body2fa">#REF!</definedName>
    <definedName name="body2fb" localSheetId="1">#REF!</definedName>
    <definedName name="body2fb">#REF!</definedName>
    <definedName name="body2ga" localSheetId="1">#REF!</definedName>
    <definedName name="body2ga">#REF!</definedName>
    <definedName name="body2gb" localSheetId="1">#REF!</definedName>
    <definedName name="body2gb">#REF!</definedName>
    <definedName name="body3ea" localSheetId="1">#REF!</definedName>
    <definedName name="body3ea">#REF!</definedName>
    <definedName name="body3eb" localSheetId="1">#REF!</definedName>
    <definedName name="body3eb">#REF!</definedName>
    <definedName name="body3fa" localSheetId="1">#REF!</definedName>
    <definedName name="body3fa">#REF!</definedName>
    <definedName name="body3fb" localSheetId="1">#REF!</definedName>
    <definedName name="body3fb">#REF!</definedName>
    <definedName name="body3ga" localSheetId="1">#REF!</definedName>
    <definedName name="body3ga">#REF!</definedName>
    <definedName name="body3gb" localSheetId="1">#REF!</definedName>
    <definedName name="body3gb">#REF!</definedName>
    <definedName name="body4ea" localSheetId="1">#REF!</definedName>
    <definedName name="body4ea">#REF!</definedName>
    <definedName name="body4eb" localSheetId="1">#REF!</definedName>
    <definedName name="body4eb">#REF!</definedName>
    <definedName name="body4f" localSheetId="1">#REF!</definedName>
    <definedName name="body4f">#REF!</definedName>
    <definedName name="body4fa" localSheetId="1">#REF!</definedName>
    <definedName name="body4fa">#REF!</definedName>
    <definedName name="body4fb" localSheetId="1">#REF!</definedName>
    <definedName name="body4fb">#REF!</definedName>
    <definedName name="body4ga" localSheetId="1">#REF!</definedName>
    <definedName name="body4ga">#REF!</definedName>
    <definedName name="body4gb" localSheetId="1">#REF!</definedName>
    <definedName name="body4gb">#REF!</definedName>
    <definedName name="Cadmium_Content_ppm_wt">#REF!</definedName>
    <definedName name="ChosenYear">[1]Cover!$G$117</definedName>
    <definedName name="Chromium_Content_ppm_wt">#REF!</definedName>
    <definedName name="Copper_Content_ppm_wt">#REF!</definedName>
    <definedName name="countrye" localSheetId="1">#REF!</definedName>
    <definedName name="countrye">#REF!</definedName>
    <definedName name="countryf" localSheetId="1">#REF!</definedName>
    <definedName name="countryf">#REF!</definedName>
    <definedName name="countryg" localSheetId="1">#REF!</definedName>
    <definedName name="countryg">#REF!</definedName>
    <definedName name="CRF_CountryName">[2]Sheet1!$C$4</definedName>
    <definedName name="data_range">'[3]CSO data'!#REF!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nergyService">[4]Tertiary!#REF!</definedName>
    <definedName name="Eng">[1]Cover!$G$111</definedName>
    <definedName name="Etiket">#REF!</definedName>
    <definedName name="Evap_Control_perc">#REF!</definedName>
    <definedName name="Evap_H_Share_perc">#REF!</definedName>
    <definedName name="Evap_R_Share_perc">#REF!</definedName>
    <definedName name="Evap_U_Share_perc">#REF!</definedName>
    <definedName name="FID_1">[5]AGR_Fuels!$A$2</definedName>
    <definedName name="Fuel_Injection_perc">#REF!</definedName>
    <definedName name="Fuel_Specifications">#REF!</definedName>
    <definedName name="H_C_Ratio">#REF!</definedName>
    <definedName name="H_Share_perc">#REF!</definedName>
    <definedName name="H_Speed_km_per_h">#REF!</definedName>
    <definedName name="Improved_Fuel_Specs">#REF!</definedName>
    <definedName name="Last">[6]SETUP!$N$2</definedName>
    <definedName name="Lead_Content_g_per_l">#REF!</definedName>
    <definedName name="Max_Temperature_oC">#REF!</definedName>
    <definedName name="Mean_Fleet_Mileage_km">#REF!</definedName>
    <definedName name="Mileage_km">#REF!</definedName>
    <definedName name="Mileage_km_per_year">#REF!</definedName>
    <definedName name="Min_Temperature_oC">#REF!</definedName>
    <definedName name="Nikel_Content_ppm_wt">#REF!</definedName>
    <definedName name="O_C_Ratio">#REF!</definedName>
    <definedName name="Population">#REF!</definedName>
    <definedName name="_xlnm.Print_Area" localSheetId="4">EnergyBalance!$A$1:$AM$72</definedName>
    <definedName name="_xlnm.Print_Titles" localSheetId="4">EnergyBalance!$A:$B,EnergyBalance!$1:$1</definedName>
    <definedName name="qr_Profili_insmart_T20_quartieri">#REF!</definedName>
    <definedName name="R_Share_perc">#REF!</definedName>
    <definedName name="R_Speed_km_per_h">#REF!</definedName>
    <definedName name="RetBE" localSheetId="1">[7]Macro1!#REF!</definedName>
    <definedName name="RetBE">[7]Macro1!#REF!</definedName>
    <definedName name="RVP_and_beta">#REF!</definedName>
    <definedName name="RVP_kPa">[8]RVP_kPa!$A$1:$B$13</definedName>
    <definedName name="Selenium_Content_ppm_wt">#REF!</definedName>
    <definedName name="Start">[6]SETUP!$F$2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emperatures">#REF!</definedName>
    <definedName name="tiket">#REF!</definedName>
    <definedName name="TP.Electricity_and_RES" localSheetId="1">#REF!</definedName>
    <definedName name="TP.Electricity_and_RES">#REF!</definedName>
    <definedName name="TP.Petroleum" localSheetId="1">#REF!</definedName>
    <definedName name="TP.Petroleum">#REF!</definedName>
    <definedName name="TP.Solids_and_Gases" localSheetId="1">#REF!</definedName>
    <definedName name="TP.Solids_and_Gases">#REF!</definedName>
    <definedName name="U_Share_perc">#REF!</definedName>
    <definedName name="U_Speed_km_per_h">#REF!</definedName>
    <definedName name="US.Electricity_and_RES" localSheetId="1">#REF!</definedName>
    <definedName name="US.Electricity_and_RES">#REF!</definedName>
    <definedName name="US.Petroleum" localSheetId="1">#REF!</definedName>
    <definedName name="US.Petroleum">#REF!</definedName>
    <definedName name="US.Solids_and_Gases" localSheetId="1">#REF!</definedName>
    <definedName name="US.Solids_and_Gases">#REF!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yeare" localSheetId="1">#REF!</definedName>
    <definedName name="yeare">#REF!</definedName>
    <definedName name="yearf" localSheetId="1">#REF!</definedName>
    <definedName name="yearf">#REF!</definedName>
    <definedName name="yearg" localSheetId="1">#REF!</definedName>
    <definedName name="yearg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116" i="22" l="1"/>
  <c r="K116" i="22"/>
  <c r="E116" i="22"/>
  <c r="B116" i="22"/>
  <c r="H116" i="22"/>
  <c r="X115" i="22"/>
  <c r="X91" i="22"/>
  <c r="X92" i="22"/>
  <c r="X93" i="22"/>
  <c r="X94" i="22"/>
  <c r="X95" i="22"/>
  <c r="X96" i="22"/>
  <c r="X97" i="22"/>
  <c r="X98" i="22"/>
  <c r="X99" i="22"/>
  <c r="X100" i="22"/>
  <c r="X101" i="22"/>
  <c r="X102" i="22"/>
  <c r="X103" i="22"/>
  <c r="X104" i="22"/>
  <c r="X105" i="22"/>
  <c r="X106" i="22"/>
  <c r="X107" i="22"/>
  <c r="X108" i="22"/>
  <c r="X109" i="22"/>
  <c r="X110" i="22"/>
  <c r="X111" i="22"/>
  <c r="X112" i="22"/>
  <c r="X90" i="22"/>
  <c r="U111" i="22"/>
  <c r="T111" i="22"/>
  <c r="V111" i="22"/>
  <c r="S111" i="22"/>
  <c r="R111" i="22"/>
  <c r="R113" i="22" l="1"/>
  <c r="T113" i="22"/>
  <c r="S113" i="22"/>
  <c r="E115" i="22"/>
  <c r="U113" i="22"/>
  <c r="V113" i="22"/>
  <c r="W113" i="22"/>
  <c r="Q95" i="22"/>
  <c r="Q113" i="22" s="1"/>
  <c r="Q101" i="22"/>
  <c r="Q111" i="22"/>
  <c r="Q115" i="22" l="1"/>
  <c r="Y112" i="22" l="1"/>
  <c r="Y111" i="22"/>
  <c r="Y109" i="22"/>
  <c r="Y108" i="22"/>
  <c r="Y107" i="22"/>
  <c r="Y106" i="22"/>
  <c r="Y105" i="22"/>
  <c r="Y104" i="22"/>
  <c r="Y103" i="22"/>
  <c r="Y102" i="22"/>
  <c r="Y101" i="22"/>
  <c r="Y100" i="22"/>
  <c r="Y99" i="22"/>
  <c r="Y98" i="22"/>
  <c r="Y97" i="22"/>
  <c r="Y96" i="22"/>
  <c r="Y95" i="22"/>
  <c r="Y94" i="22"/>
  <c r="Y93" i="22"/>
  <c r="Y92" i="22"/>
  <c r="Y91" i="22"/>
  <c r="Y90" i="22"/>
  <c r="Y113" i="22" s="1"/>
  <c r="Y304" i="44"/>
  <c r="Z304" i="44"/>
  <c r="Y305" i="44"/>
  <c r="Z305" i="44"/>
  <c r="Y306" i="44"/>
  <c r="Z306" i="44"/>
  <c r="Y307" i="44"/>
  <c r="Z307" i="44"/>
  <c r="Y308" i="44"/>
  <c r="Z308" i="44"/>
  <c r="Y309" i="44"/>
  <c r="Z309" i="44"/>
  <c r="Y310" i="44"/>
  <c r="Z310" i="44"/>
  <c r="Z303" i="44"/>
  <c r="Z302" i="44"/>
  <c r="Y303" i="44"/>
  <c r="Y302" i="44"/>
  <c r="Y291" i="29"/>
  <c r="Z291" i="29"/>
  <c r="Y292" i="29"/>
  <c r="Z292" i="29"/>
  <c r="Y293" i="29"/>
  <c r="Z293" i="29"/>
  <c r="Y294" i="29"/>
  <c r="Z294" i="29"/>
  <c r="Y295" i="29"/>
  <c r="Z295" i="29"/>
  <c r="Y296" i="29"/>
  <c r="Z296" i="29"/>
  <c r="Y297" i="29"/>
  <c r="Z297" i="29"/>
  <c r="Z290" i="29"/>
  <c r="Z289" i="29"/>
  <c r="Y290" i="29"/>
  <c r="Y289" i="29"/>
  <c r="Y233" i="28"/>
  <c r="Z233" i="28"/>
  <c r="Y234" i="28"/>
  <c r="Z234" i="28"/>
  <c r="Y235" i="28"/>
  <c r="Z235" i="28"/>
  <c r="Y236" i="28"/>
  <c r="Z236" i="28"/>
  <c r="Y237" i="28"/>
  <c r="Z237" i="28"/>
  <c r="Y238" i="28"/>
  <c r="Z238" i="28"/>
  <c r="Y239" i="28"/>
  <c r="Z239" i="28"/>
  <c r="Z232" i="28"/>
  <c r="Z231" i="28"/>
  <c r="Y231" i="28"/>
  <c r="Y232" i="28"/>
  <c r="U231" i="28"/>
  <c r="R231" i="28"/>
  <c r="E113" i="22"/>
  <c r="F113" i="22"/>
  <c r="G113" i="22"/>
  <c r="B2" i="44"/>
  <c r="B2" i="29"/>
  <c r="B2" i="28"/>
  <c r="Y26" i="28" s="1"/>
  <c r="Z27" i="28"/>
  <c r="Y27" i="28"/>
  <c r="Z26" i="28"/>
  <c r="Z25" i="28"/>
  <c r="Y25" i="28"/>
  <c r="Z24" i="28"/>
  <c r="Y24" i="28"/>
  <c r="Z23" i="28"/>
  <c r="Y23" i="28"/>
  <c r="Y103" i="28"/>
  <c r="Z103" i="28"/>
  <c r="Y104" i="28"/>
  <c r="Z104" i="28"/>
  <c r="Y105" i="28"/>
  <c r="Z105" i="28"/>
  <c r="Z102" i="28"/>
  <c r="Y102" i="28"/>
  <c r="Z101" i="28"/>
  <c r="Y101" i="28"/>
  <c r="Z100" i="28"/>
  <c r="Y100" i="28"/>
  <c r="Z99" i="28"/>
  <c r="Y99" i="28"/>
  <c r="Z98" i="28"/>
  <c r="Y98" i="28"/>
  <c r="Z97" i="28"/>
  <c r="Y97" i="28"/>
  <c r="Z96" i="28"/>
  <c r="Y96" i="28"/>
  <c r="Z95" i="28"/>
  <c r="Y95" i="28"/>
  <c r="Z94" i="28"/>
  <c r="Y94" i="28"/>
  <c r="Z93" i="28"/>
  <c r="Y93" i="28"/>
  <c r="Z92" i="28"/>
  <c r="Y92" i="28"/>
  <c r="Y90" i="28"/>
  <c r="Z90" i="28"/>
  <c r="Z89" i="28"/>
  <c r="Y89" i="28"/>
  <c r="Z88" i="28"/>
  <c r="Y88" i="28"/>
  <c r="Z87" i="28"/>
  <c r="Y87" i="28"/>
  <c r="Z86" i="28"/>
  <c r="Y86" i="28"/>
  <c r="Z85" i="28"/>
  <c r="Y85" i="28"/>
  <c r="Z84" i="28"/>
  <c r="Y84" i="28"/>
  <c r="Z83" i="28"/>
  <c r="Y83" i="28"/>
  <c r="Z82" i="28"/>
  <c r="Y82" i="28"/>
  <c r="Z81" i="28"/>
  <c r="Y81" i="28"/>
  <c r="Z80" i="28"/>
  <c r="Y80" i="28"/>
  <c r="Y75" i="28"/>
  <c r="Z75" i="28"/>
  <c r="Y76" i="28"/>
  <c r="Z76" i="28"/>
  <c r="Y77" i="28"/>
  <c r="Z77" i="28"/>
  <c r="Y78" i="28"/>
  <c r="Z78" i="28"/>
  <c r="Z74" i="28"/>
  <c r="Y74" i="28"/>
  <c r="Z73" i="28"/>
  <c r="Y73" i="28"/>
  <c r="Z72" i="28"/>
  <c r="Y72" i="28"/>
  <c r="Z71" i="28"/>
  <c r="Y71" i="28"/>
  <c r="Z70" i="28"/>
  <c r="Y70" i="28"/>
  <c r="Z69" i="28"/>
  <c r="Y69" i="28"/>
  <c r="Z68" i="28"/>
  <c r="Y68" i="28"/>
  <c r="Z67" i="28"/>
  <c r="Y67" i="28"/>
  <c r="Z66" i="28"/>
  <c r="Y66" i="28"/>
  <c r="Y60" i="28"/>
  <c r="Z60" i="28"/>
  <c r="Y61" i="28"/>
  <c r="Z61" i="28"/>
  <c r="Y62" i="28"/>
  <c r="Z62" i="28"/>
  <c r="Y63" i="28"/>
  <c r="Z63" i="28"/>
  <c r="Y64" i="28"/>
  <c r="Z64" i="28"/>
  <c r="Z59" i="28"/>
  <c r="Y59" i="28"/>
  <c r="Z58" i="28"/>
  <c r="Y58" i="28"/>
  <c r="Z57" i="28"/>
  <c r="Y57" i="28"/>
  <c r="Z56" i="28"/>
  <c r="Y56" i="28"/>
  <c r="Z55" i="28"/>
  <c r="Y55" i="28"/>
  <c r="Z54" i="28"/>
  <c r="Y54" i="28"/>
  <c r="Z53" i="28"/>
  <c r="Y53" i="28"/>
  <c r="Z52" i="28"/>
  <c r="Y52" i="28"/>
  <c r="Y45" i="28"/>
  <c r="Z45" i="28"/>
  <c r="Y46" i="28"/>
  <c r="Z46" i="28"/>
  <c r="Y47" i="28"/>
  <c r="Z47" i="28"/>
  <c r="Y48" i="28"/>
  <c r="Z48" i="28"/>
  <c r="Y49" i="28"/>
  <c r="Z49" i="28"/>
  <c r="Y50" i="28"/>
  <c r="Z50" i="28"/>
  <c r="Z44" i="28"/>
  <c r="Y44" i="28"/>
  <c r="Z43" i="28"/>
  <c r="Y43" i="28"/>
  <c r="Z42" i="28"/>
  <c r="Y42" i="28"/>
  <c r="Z41" i="28"/>
  <c r="Y41" i="28"/>
  <c r="Z40" i="28"/>
  <c r="Y40" i="28"/>
  <c r="Z21" i="28"/>
  <c r="Y21" i="28"/>
  <c r="Z20" i="28"/>
  <c r="Y20" i="28"/>
  <c r="Z19" i="28"/>
  <c r="Y19" i="28"/>
  <c r="Z18" i="28"/>
  <c r="Y18" i="28"/>
  <c r="Z17" i="28"/>
  <c r="Y17" i="28"/>
  <c r="Z16" i="28"/>
  <c r="Y16" i="28"/>
  <c r="Y8" i="28"/>
  <c r="Z8" i="28"/>
  <c r="Y9" i="28"/>
  <c r="Z9" i="28"/>
  <c r="Y10" i="28"/>
  <c r="Z10" i="28"/>
  <c r="Y11" i="28"/>
  <c r="Z11" i="28"/>
  <c r="Y12" i="28"/>
  <c r="Z12" i="28"/>
  <c r="Y13" i="28"/>
  <c r="Z13" i="28"/>
  <c r="Y14" i="28"/>
  <c r="Z14" i="28"/>
  <c r="Z7" i="28"/>
  <c r="Y7" i="28"/>
  <c r="AM56" i="24"/>
  <c r="C30" i="24"/>
  <c r="E130" i="28"/>
  <c r="Q306" i="44"/>
  <c r="Q307" i="44"/>
  <c r="Q308" i="44"/>
  <c r="Q309" i="44"/>
  <c r="Q310" i="44"/>
  <c r="Q305" i="44"/>
  <c r="Q303" i="44"/>
  <c r="Q304" i="44"/>
  <c r="Q302" i="44"/>
  <c r="N303" i="44"/>
  <c r="O303" i="44"/>
  <c r="N304" i="44"/>
  <c r="O304" i="44"/>
  <c r="N305" i="44"/>
  <c r="O305" i="44"/>
  <c r="N306" i="44"/>
  <c r="O306" i="44"/>
  <c r="N307" i="44"/>
  <c r="O307" i="44"/>
  <c r="N308" i="44"/>
  <c r="O308" i="44"/>
  <c r="N309" i="44"/>
  <c r="O309" i="44"/>
  <c r="N310" i="44"/>
  <c r="O310" i="44"/>
  <c r="O302" i="44"/>
  <c r="N302" i="44"/>
  <c r="R288" i="44"/>
  <c r="Q290" i="44"/>
  <c r="Q291" i="44"/>
  <c r="Q292" i="44"/>
  <c r="Q293" i="44"/>
  <c r="Q294" i="44"/>
  <c r="Q295" i="44"/>
  <c r="Q296" i="44"/>
  <c r="Q289" i="44"/>
  <c r="Q288" i="44"/>
  <c r="N289" i="44"/>
  <c r="O289" i="44"/>
  <c r="N290" i="44"/>
  <c r="O290" i="44"/>
  <c r="N291" i="44"/>
  <c r="O291" i="44"/>
  <c r="N292" i="44"/>
  <c r="O292" i="44"/>
  <c r="N293" i="44"/>
  <c r="O293" i="44"/>
  <c r="N294" i="44"/>
  <c r="O294" i="44"/>
  <c r="N295" i="44"/>
  <c r="O295" i="44"/>
  <c r="N296" i="44"/>
  <c r="O296" i="44"/>
  <c r="O288" i="44"/>
  <c r="N288" i="44"/>
  <c r="C289" i="44"/>
  <c r="C297" i="44" s="1"/>
  <c r="Q281" i="44"/>
  <c r="Q280" i="44"/>
  <c r="Q279" i="44"/>
  <c r="Q278" i="44"/>
  <c r="Q277" i="44"/>
  <c r="Q276" i="44"/>
  <c r="Q275" i="44"/>
  <c r="Q274" i="44"/>
  <c r="N274" i="44"/>
  <c r="Q273" i="44"/>
  <c r="Q272" i="44"/>
  <c r="Q271" i="44"/>
  <c r="Q270" i="44"/>
  <c r="Q269" i="44"/>
  <c r="Q268" i="44"/>
  <c r="Q267" i="44"/>
  <c r="Q266" i="44"/>
  <c r="Q265" i="44"/>
  <c r="Q268" i="29"/>
  <c r="Q267" i="29"/>
  <c r="Q266" i="29"/>
  <c r="Q265" i="29"/>
  <c r="Q264" i="29"/>
  <c r="Q263" i="29"/>
  <c r="Q262" i="29"/>
  <c r="Q261" i="29"/>
  <c r="N261" i="29"/>
  <c r="Q260" i="29"/>
  <c r="Q259" i="29"/>
  <c r="Q258" i="29"/>
  <c r="Q257" i="29"/>
  <c r="Q256" i="29"/>
  <c r="Q255" i="29"/>
  <c r="Q254" i="29"/>
  <c r="O274" i="44"/>
  <c r="O261" i="29"/>
  <c r="F266" i="44"/>
  <c r="C265" i="44"/>
  <c r="J265" i="44" s="1"/>
  <c r="D265" i="44"/>
  <c r="E265" i="44"/>
  <c r="F265" i="44"/>
  <c r="G265" i="44"/>
  <c r="H265" i="44"/>
  <c r="C266" i="44"/>
  <c r="D266" i="44"/>
  <c r="E266" i="44"/>
  <c r="G266" i="44"/>
  <c r="H266" i="44"/>
  <c r="O255" i="44"/>
  <c r="O244" i="29"/>
  <c r="Q263" i="44"/>
  <c r="Q262" i="44"/>
  <c r="Q261" i="44"/>
  <c r="Q260" i="44"/>
  <c r="Q259" i="44"/>
  <c r="Q258" i="44"/>
  <c r="Q257" i="44"/>
  <c r="Q256" i="44"/>
  <c r="Q255" i="44"/>
  <c r="N255" i="44"/>
  <c r="Q254" i="44"/>
  <c r="Q253" i="44"/>
  <c r="Q252" i="44"/>
  <c r="Q251" i="44"/>
  <c r="Q250" i="44"/>
  <c r="Q249" i="44"/>
  <c r="Q248" i="44"/>
  <c r="Q252" i="29"/>
  <c r="Q251" i="29"/>
  <c r="Q250" i="29"/>
  <c r="Q249" i="29"/>
  <c r="Q248" i="29"/>
  <c r="Q247" i="29"/>
  <c r="Q246" i="29"/>
  <c r="Q245" i="29"/>
  <c r="Q244" i="29"/>
  <c r="N244" i="29"/>
  <c r="Q243" i="29"/>
  <c r="Q242" i="29"/>
  <c r="Q241" i="29"/>
  <c r="Q240" i="29"/>
  <c r="Q239" i="29"/>
  <c r="Q238" i="29"/>
  <c r="Q237" i="29"/>
  <c r="Q236" i="29"/>
  <c r="AB247" i="44"/>
  <c r="Q216" i="44"/>
  <c r="Q217" i="44"/>
  <c r="Q218" i="44"/>
  <c r="Q219" i="44"/>
  <c r="Q220" i="44"/>
  <c r="Q221" i="44"/>
  <c r="Q222" i="44"/>
  <c r="Q223" i="44"/>
  <c r="Q224" i="44"/>
  <c r="Q225" i="44"/>
  <c r="Q226" i="44"/>
  <c r="Q227" i="44"/>
  <c r="Q228" i="44"/>
  <c r="Q229" i="44"/>
  <c r="Q215" i="44"/>
  <c r="Q214" i="44"/>
  <c r="N221" i="44"/>
  <c r="N209" i="29"/>
  <c r="Q246" i="44"/>
  <c r="Q245" i="44"/>
  <c r="Q244" i="44"/>
  <c r="Q243" i="44"/>
  <c r="Q242" i="44"/>
  <c r="Q241" i="44"/>
  <c r="Q240" i="44"/>
  <c r="Q239" i="44"/>
  <c r="Q238" i="44"/>
  <c r="N238" i="44"/>
  <c r="Q237" i="44"/>
  <c r="Q236" i="44"/>
  <c r="Q235" i="44"/>
  <c r="Q234" i="44"/>
  <c r="Q233" i="44"/>
  <c r="Q232" i="44"/>
  <c r="Q231" i="44"/>
  <c r="Q234" i="29"/>
  <c r="Q233" i="29"/>
  <c r="Q232" i="29"/>
  <c r="Q231" i="29"/>
  <c r="Q230" i="29"/>
  <c r="Q229" i="29"/>
  <c r="Q228" i="29"/>
  <c r="Q227" i="29"/>
  <c r="Q226" i="29"/>
  <c r="N226" i="29"/>
  <c r="Q225" i="29"/>
  <c r="Q224" i="29"/>
  <c r="Q223" i="29"/>
  <c r="Q222" i="29"/>
  <c r="Q221" i="29"/>
  <c r="Q220" i="29"/>
  <c r="Q219" i="29"/>
  <c r="O238" i="44"/>
  <c r="O226" i="29"/>
  <c r="O223" i="44"/>
  <c r="O221" i="44"/>
  <c r="O216" i="29"/>
  <c r="O215" i="29"/>
  <c r="O211" i="29"/>
  <c r="O209" i="29"/>
  <c r="O204" i="44"/>
  <c r="O192" i="29"/>
  <c r="Q212" i="44"/>
  <c r="Q211" i="44"/>
  <c r="Q210" i="44"/>
  <c r="Q209" i="44"/>
  <c r="Q208" i="44"/>
  <c r="Q207" i="44"/>
  <c r="Q206" i="44"/>
  <c r="Q205" i="44"/>
  <c r="Q204" i="44"/>
  <c r="N204" i="44"/>
  <c r="Q203" i="44"/>
  <c r="Q202" i="44"/>
  <c r="Q201" i="44"/>
  <c r="Q200" i="44"/>
  <c r="Q199" i="44"/>
  <c r="Q198" i="44"/>
  <c r="Q197" i="44"/>
  <c r="Q200" i="29"/>
  <c r="Q199" i="29"/>
  <c r="Q198" i="29"/>
  <c r="Q197" i="29"/>
  <c r="Q196" i="29"/>
  <c r="Q195" i="29"/>
  <c r="Q194" i="29"/>
  <c r="Q193" i="29"/>
  <c r="Q192" i="29"/>
  <c r="N192" i="29"/>
  <c r="Q191" i="29"/>
  <c r="Q190" i="29"/>
  <c r="Q189" i="29"/>
  <c r="Q188" i="29"/>
  <c r="Q187" i="29"/>
  <c r="Q186" i="29"/>
  <c r="Q185" i="29"/>
  <c r="Q184" i="29"/>
  <c r="Q196" i="44"/>
  <c r="E186" i="44"/>
  <c r="E202" i="44"/>
  <c r="C186" i="44"/>
  <c r="D186" i="44"/>
  <c r="F186" i="44"/>
  <c r="G186" i="44"/>
  <c r="H186" i="44"/>
  <c r="O188" i="44"/>
  <c r="O176" i="29"/>
  <c r="Q194" i="44"/>
  <c r="Q193" i="44"/>
  <c r="Q192" i="44"/>
  <c r="Q191" i="44"/>
  <c r="Q190" i="44"/>
  <c r="Q189" i="44"/>
  <c r="Q188" i="44"/>
  <c r="N188" i="44"/>
  <c r="Q187" i="44"/>
  <c r="Q186" i="44"/>
  <c r="Q185" i="44"/>
  <c r="Q184" i="44"/>
  <c r="Q183" i="44"/>
  <c r="Q182" i="44"/>
  <c r="Q181" i="44"/>
  <c r="Q182" i="29"/>
  <c r="Q181" i="29"/>
  <c r="Q180" i="29"/>
  <c r="Q179" i="29"/>
  <c r="Q178" i="29"/>
  <c r="Q177" i="29"/>
  <c r="Q176" i="29"/>
  <c r="N176" i="29"/>
  <c r="Q175" i="29"/>
  <c r="Q174" i="29"/>
  <c r="Q173" i="29"/>
  <c r="Q172" i="29"/>
  <c r="Q171" i="29"/>
  <c r="Q170" i="29"/>
  <c r="Q169" i="29"/>
  <c r="Q168" i="29"/>
  <c r="H174" i="44"/>
  <c r="G174" i="44"/>
  <c r="F174" i="44"/>
  <c r="E174" i="44"/>
  <c r="D174" i="44"/>
  <c r="C174" i="44"/>
  <c r="J174" i="44" s="1"/>
  <c r="C173" i="44"/>
  <c r="D173" i="44"/>
  <c r="E173" i="44"/>
  <c r="F173" i="44"/>
  <c r="G173" i="44"/>
  <c r="H173" i="44"/>
  <c r="C175" i="44"/>
  <c r="D175" i="44"/>
  <c r="E175" i="44"/>
  <c r="F175" i="44"/>
  <c r="G175" i="44"/>
  <c r="H175" i="44"/>
  <c r="C176" i="44"/>
  <c r="D176" i="44"/>
  <c r="E176" i="44"/>
  <c r="F176" i="44"/>
  <c r="G176" i="44"/>
  <c r="H176" i="44"/>
  <c r="C177" i="44"/>
  <c r="D177" i="44"/>
  <c r="E177" i="44"/>
  <c r="F177" i="44"/>
  <c r="G177" i="44"/>
  <c r="H177" i="44"/>
  <c r="C178" i="44"/>
  <c r="D178" i="44"/>
  <c r="E178" i="44"/>
  <c r="F178" i="44"/>
  <c r="G178" i="44"/>
  <c r="H178" i="44"/>
  <c r="C179" i="44"/>
  <c r="D179" i="44"/>
  <c r="E179" i="44"/>
  <c r="F179" i="44"/>
  <c r="G179" i="44"/>
  <c r="H179" i="44"/>
  <c r="Q178" i="44"/>
  <c r="Q179" i="44"/>
  <c r="Q177" i="44"/>
  <c r="Q176" i="44"/>
  <c r="N176" i="44"/>
  <c r="AC176" i="44" s="1"/>
  <c r="Q175" i="44"/>
  <c r="Q174" i="44"/>
  <c r="Q173" i="44"/>
  <c r="Q172" i="44"/>
  <c r="Q171" i="44"/>
  <c r="Q170" i="44"/>
  <c r="Q169" i="44"/>
  <c r="Q166" i="29"/>
  <c r="Q165" i="29"/>
  <c r="Q164" i="29"/>
  <c r="Q163" i="29"/>
  <c r="N163" i="29"/>
  <c r="Q162" i="29"/>
  <c r="Q161" i="29"/>
  <c r="Q160" i="29"/>
  <c r="Q159" i="29"/>
  <c r="Q158" i="29"/>
  <c r="Q157" i="29"/>
  <c r="Q156" i="29"/>
  <c r="O176" i="44"/>
  <c r="AD176" i="44" s="1"/>
  <c r="O163" i="29"/>
  <c r="Q158" i="44"/>
  <c r="Q159" i="44"/>
  <c r="Q160" i="44"/>
  <c r="Q161" i="44"/>
  <c r="Q162" i="44"/>
  <c r="Q163" i="44"/>
  <c r="Q164" i="44"/>
  <c r="Q165" i="44"/>
  <c r="Q166" i="44"/>
  <c r="Q167" i="44"/>
  <c r="Q157" i="44"/>
  <c r="Q156" i="44"/>
  <c r="O163" i="44"/>
  <c r="AD163" i="44" s="1"/>
  <c r="O152" i="29"/>
  <c r="O151" i="29"/>
  <c r="N163" i="44"/>
  <c r="AC163" i="44" s="1"/>
  <c r="Q154" i="44"/>
  <c r="Q153" i="44"/>
  <c r="Q152" i="44"/>
  <c r="N152" i="44"/>
  <c r="AC152" i="44" s="1"/>
  <c r="Q151" i="44"/>
  <c r="Q150" i="44"/>
  <c r="Q149" i="44"/>
  <c r="Q148" i="44"/>
  <c r="Q147" i="44"/>
  <c r="Q146" i="44"/>
  <c r="Q145" i="44"/>
  <c r="C158" i="44"/>
  <c r="D158" i="44"/>
  <c r="E158" i="44"/>
  <c r="F158" i="44"/>
  <c r="G158" i="44"/>
  <c r="H158" i="44"/>
  <c r="C159" i="44"/>
  <c r="D159" i="44"/>
  <c r="E159" i="44"/>
  <c r="F159" i="44"/>
  <c r="G159" i="44"/>
  <c r="H159" i="44"/>
  <c r="C160" i="44"/>
  <c r="D160" i="44"/>
  <c r="E160" i="44"/>
  <c r="F160" i="44"/>
  <c r="G160" i="44"/>
  <c r="H160" i="44"/>
  <c r="C165" i="44"/>
  <c r="D165" i="44"/>
  <c r="E165" i="44"/>
  <c r="F165" i="44"/>
  <c r="G165" i="44"/>
  <c r="H165" i="44"/>
  <c r="C167" i="44"/>
  <c r="D167" i="44"/>
  <c r="E167" i="44"/>
  <c r="F167" i="44"/>
  <c r="G167" i="44"/>
  <c r="H167" i="44"/>
  <c r="C162" i="44"/>
  <c r="D162" i="44"/>
  <c r="E162" i="44"/>
  <c r="F162" i="44"/>
  <c r="G162" i="44"/>
  <c r="H162" i="44"/>
  <c r="O152" i="44"/>
  <c r="AD152" i="44" s="1"/>
  <c r="H149" i="44"/>
  <c r="G149" i="44"/>
  <c r="F149" i="44"/>
  <c r="E149" i="44"/>
  <c r="D149" i="44"/>
  <c r="C149" i="44"/>
  <c r="H152" i="44"/>
  <c r="G152" i="44"/>
  <c r="F152" i="44"/>
  <c r="E152" i="44"/>
  <c r="D152" i="44"/>
  <c r="C152" i="44"/>
  <c r="E163" i="44"/>
  <c r="C154" i="44"/>
  <c r="D154" i="44"/>
  <c r="E154" i="44"/>
  <c r="F154" i="44"/>
  <c r="G154" i="44"/>
  <c r="H154" i="44"/>
  <c r="C153" i="44"/>
  <c r="D153" i="44"/>
  <c r="E153" i="44"/>
  <c r="F153" i="44"/>
  <c r="G153" i="44"/>
  <c r="H153" i="44"/>
  <c r="Q133" i="44"/>
  <c r="Q134" i="44"/>
  <c r="Q135" i="44"/>
  <c r="Q136" i="44"/>
  <c r="Q138" i="44"/>
  <c r="Q137" i="44"/>
  <c r="Q132" i="44"/>
  <c r="Q131" i="44"/>
  <c r="Q130" i="44"/>
  <c r="N130" i="44"/>
  <c r="AC130" i="44" s="1"/>
  <c r="Q129" i="44"/>
  <c r="Q128" i="44"/>
  <c r="Q127" i="44"/>
  <c r="Q126" i="44"/>
  <c r="Q125" i="44"/>
  <c r="Q124" i="44"/>
  <c r="Q123" i="44"/>
  <c r="Q130" i="29"/>
  <c r="Q129" i="29"/>
  <c r="Q128" i="29"/>
  <c r="Q127" i="29"/>
  <c r="Q126" i="29"/>
  <c r="Q125" i="29"/>
  <c r="Q124" i="29"/>
  <c r="Q123" i="29"/>
  <c r="N123" i="29"/>
  <c r="Q122" i="29"/>
  <c r="Q121" i="29"/>
  <c r="Q120" i="29"/>
  <c r="Q119" i="29"/>
  <c r="Q118" i="29"/>
  <c r="Q117" i="29"/>
  <c r="Q116" i="29"/>
  <c r="O130" i="44"/>
  <c r="AD130" i="44" s="1"/>
  <c r="O123" i="29"/>
  <c r="J135" i="44"/>
  <c r="K135" i="44"/>
  <c r="J137" i="44"/>
  <c r="K137" i="44"/>
  <c r="C135" i="44"/>
  <c r="D135" i="44"/>
  <c r="E135" i="44"/>
  <c r="F135" i="44"/>
  <c r="G135" i="44"/>
  <c r="H135" i="44"/>
  <c r="I135" i="44"/>
  <c r="U135" i="44" s="1"/>
  <c r="O114" i="44"/>
  <c r="O107" i="29"/>
  <c r="Q121" i="44"/>
  <c r="Q120" i="44"/>
  <c r="Q119" i="44"/>
  <c r="Q118" i="44"/>
  <c r="Q117" i="44"/>
  <c r="Q116" i="44"/>
  <c r="Q115" i="44"/>
  <c r="Q114" i="44"/>
  <c r="N114" i="44"/>
  <c r="Q113" i="44"/>
  <c r="Q112" i="44"/>
  <c r="Q111" i="44"/>
  <c r="Q110" i="44"/>
  <c r="Q109" i="44"/>
  <c r="Q108" i="44"/>
  <c r="Q107" i="44"/>
  <c r="Q114" i="29"/>
  <c r="Q113" i="29"/>
  <c r="Q112" i="29"/>
  <c r="Q111" i="29"/>
  <c r="Q110" i="29"/>
  <c r="Q109" i="29"/>
  <c r="Q108" i="29"/>
  <c r="Q107" i="29"/>
  <c r="N107" i="29"/>
  <c r="Q106" i="29"/>
  <c r="Q105" i="29"/>
  <c r="Q104" i="29"/>
  <c r="Q103" i="29"/>
  <c r="Q102" i="29"/>
  <c r="Q101" i="29"/>
  <c r="Q100" i="29"/>
  <c r="Q99" i="29"/>
  <c r="Q105" i="44"/>
  <c r="Q104" i="44"/>
  <c r="Q103" i="44"/>
  <c r="Q102" i="44"/>
  <c r="Q101" i="44"/>
  <c r="Q100" i="44"/>
  <c r="Q99" i="44"/>
  <c r="Q98" i="44"/>
  <c r="N98" i="44"/>
  <c r="AC98" i="44" s="1"/>
  <c r="Q97" i="44"/>
  <c r="Q96" i="44"/>
  <c r="Q95" i="44"/>
  <c r="Q94" i="44"/>
  <c r="Q93" i="44"/>
  <c r="Q92" i="44"/>
  <c r="Q91" i="44"/>
  <c r="Q97" i="29"/>
  <c r="Q96" i="29"/>
  <c r="Q95" i="29"/>
  <c r="Q94" i="29"/>
  <c r="Q93" i="29"/>
  <c r="Q92" i="29"/>
  <c r="Q91" i="29"/>
  <c r="Q90" i="29"/>
  <c r="Q89" i="29"/>
  <c r="N89" i="29"/>
  <c r="Q88" i="29"/>
  <c r="Q87" i="29"/>
  <c r="Q86" i="29"/>
  <c r="Q85" i="29"/>
  <c r="Q84" i="29"/>
  <c r="Q83" i="29"/>
  <c r="Q82" i="29"/>
  <c r="O98" i="44"/>
  <c r="AD98" i="44" s="1"/>
  <c r="O89" i="29"/>
  <c r="O88" i="44"/>
  <c r="O87" i="44"/>
  <c r="O86" i="44"/>
  <c r="O85" i="44"/>
  <c r="O84" i="44"/>
  <c r="O81" i="44"/>
  <c r="O79" i="29"/>
  <c r="O78" i="29"/>
  <c r="O77" i="29"/>
  <c r="O76" i="29"/>
  <c r="O75" i="29"/>
  <c r="O72" i="29"/>
  <c r="Q89" i="44"/>
  <c r="Q88" i="44"/>
  <c r="Q87" i="44"/>
  <c r="Q86" i="44"/>
  <c r="Q85" i="44"/>
  <c r="Q84" i="44"/>
  <c r="Q83" i="44"/>
  <c r="Q82" i="44"/>
  <c r="Q81" i="44"/>
  <c r="N81" i="44"/>
  <c r="Q80" i="44"/>
  <c r="Q79" i="44"/>
  <c r="Q78" i="44"/>
  <c r="Q77" i="44"/>
  <c r="Q76" i="44"/>
  <c r="Q75" i="44"/>
  <c r="Q74" i="44"/>
  <c r="Q80" i="29"/>
  <c r="Q79" i="29"/>
  <c r="Q78" i="29"/>
  <c r="Q77" i="29"/>
  <c r="Q76" i="29"/>
  <c r="Q75" i="29"/>
  <c r="Q74" i="29"/>
  <c r="Q73" i="29"/>
  <c r="Q72" i="29"/>
  <c r="N72" i="29"/>
  <c r="Q71" i="29"/>
  <c r="Q70" i="29"/>
  <c r="Q69" i="29"/>
  <c r="Q68" i="29"/>
  <c r="Q67" i="29"/>
  <c r="Q66" i="29"/>
  <c r="Q65" i="29"/>
  <c r="Q72" i="44"/>
  <c r="O64" i="44"/>
  <c r="O56" i="29"/>
  <c r="N64" i="44"/>
  <c r="N56" i="29"/>
  <c r="C72" i="44"/>
  <c r="D72" i="44"/>
  <c r="E72" i="44"/>
  <c r="F72" i="44"/>
  <c r="G72" i="44"/>
  <c r="H72" i="44"/>
  <c r="I72" i="44"/>
  <c r="U72" i="44" s="1"/>
  <c r="Q45" i="44"/>
  <c r="Q46" i="44"/>
  <c r="Q47" i="44"/>
  <c r="Q48" i="44"/>
  <c r="Q49" i="44"/>
  <c r="Q50" i="44"/>
  <c r="Q51" i="44"/>
  <c r="Q52" i="44"/>
  <c r="Q53" i="44"/>
  <c r="Q54" i="44"/>
  <c r="Q55" i="44"/>
  <c r="Q44" i="44"/>
  <c r="Q43" i="44"/>
  <c r="O50" i="44"/>
  <c r="O43" i="29"/>
  <c r="N50" i="44"/>
  <c r="N43" i="29"/>
  <c r="N38" i="44"/>
  <c r="C55" i="44"/>
  <c r="D55" i="44"/>
  <c r="E55" i="44"/>
  <c r="F55" i="44"/>
  <c r="G55" i="44"/>
  <c r="H55" i="44"/>
  <c r="I55" i="44"/>
  <c r="U55" i="44" s="1"/>
  <c r="Z29" i="28" l="1"/>
  <c r="Y29" i="28"/>
  <c r="Z28" i="28"/>
  <c r="Y28" i="28"/>
  <c r="K265" i="44"/>
  <c r="U265" i="44"/>
  <c r="K266" i="44"/>
  <c r="J266" i="44"/>
  <c r="K174" i="44"/>
  <c r="J179" i="44"/>
  <c r="J177" i="44"/>
  <c r="J173" i="44"/>
  <c r="K179" i="44"/>
  <c r="K175" i="44"/>
  <c r="J178" i="44"/>
  <c r="J175" i="44"/>
  <c r="K176" i="44"/>
  <c r="J176" i="44"/>
  <c r="K177" i="44"/>
  <c r="K178" i="44"/>
  <c r="K173" i="44"/>
  <c r="J165" i="44"/>
  <c r="J154" i="44"/>
  <c r="K162" i="44"/>
  <c r="J162" i="44"/>
  <c r="K165" i="44"/>
  <c r="K167" i="44"/>
  <c r="J167" i="44"/>
  <c r="J149" i="44"/>
  <c r="K154" i="44"/>
  <c r="K149" i="44"/>
  <c r="K153" i="44"/>
  <c r="J153" i="44"/>
  <c r="J152" i="44"/>
  <c r="K152" i="44"/>
  <c r="Q32" i="44"/>
  <c r="Q33" i="44"/>
  <c r="Q34" i="44"/>
  <c r="Q35" i="44"/>
  <c r="Q36" i="44"/>
  <c r="Q37" i="44"/>
  <c r="Q38" i="44"/>
  <c r="Q39" i="44"/>
  <c r="Q40" i="44"/>
  <c r="Q41" i="44"/>
  <c r="Q31" i="44"/>
  <c r="O38" i="44"/>
  <c r="AD38" i="44" s="1"/>
  <c r="AC38" i="44"/>
  <c r="J39" i="44"/>
  <c r="K39" i="44"/>
  <c r="J41" i="44"/>
  <c r="K41" i="44"/>
  <c r="C40" i="44"/>
  <c r="D40" i="44"/>
  <c r="E40" i="44"/>
  <c r="F40" i="44"/>
  <c r="G40" i="44"/>
  <c r="H40" i="44"/>
  <c r="I40" i="44"/>
  <c r="U40" i="44" s="1"/>
  <c r="Q20" i="44"/>
  <c r="Q21" i="44"/>
  <c r="Q22" i="44"/>
  <c r="Q23" i="44"/>
  <c r="Q24" i="44"/>
  <c r="Q25" i="44"/>
  <c r="Q26" i="44"/>
  <c r="Q27" i="44"/>
  <c r="Q28" i="44"/>
  <c r="Q29" i="44"/>
  <c r="Q19" i="44"/>
  <c r="Q18" i="44"/>
  <c r="O25" i="44"/>
  <c r="AD25" i="44" s="1"/>
  <c r="N25" i="44"/>
  <c r="AC25" i="44" s="1"/>
  <c r="J11" i="44"/>
  <c r="J25" i="44"/>
  <c r="K25" i="44"/>
  <c r="J26" i="44"/>
  <c r="K26" i="44"/>
  <c r="J28" i="44"/>
  <c r="K28" i="44"/>
  <c r="C28" i="44"/>
  <c r="D28" i="44"/>
  <c r="E28" i="44"/>
  <c r="F28" i="44"/>
  <c r="G28" i="44"/>
  <c r="H28" i="44"/>
  <c r="I28" i="44"/>
  <c r="U28" i="44" s="1"/>
  <c r="C26" i="44"/>
  <c r="D26" i="44"/>
  <c r="E26" i="44"/>
  <c r="F26" i="44"/>
  <c r="G26" i="44"/>
  <c r="H26" i="44"/>
  <c r="I26" i="44"/>
  <c r="U26" i="44" s="1"/>
  <c r="C24" i="44"/>
  <c r="D24" i="44"/>
  <c r="E24" i="44"/>
  <c r="F24" i="44"/>
  <c r="G24" i="44"/>
  <c r="H24" i="44"/>
  <c r="I24" i="44"/>
  <c r="U24" i="44" s="1"/>
  <c r="Q9" i="44"/>
  <c r="Q10" i="44"/>
  <c r="Q11" i="44"/>
  <c r="Q12" i="44"/>
  <c r="Q13" i="44"/>
  <c r="Q14" i="44"/>
  <c r="Q15" i="44"/>
  <c r="Q16" i="44"/>
  <c r="Q8" i="44"/>
  <c r="Q7" i="44"/>
  <c r="O13" i="44"/>
  <c r="AD13" i="44" s="1"/>
  <c r="N13" i="44"/>
  <c r="AC13" i="44" s="1"/>
  <c r="C14" i="44"/>
  <c r="D14" i="44"/>
  <c r="E14" i="44"/>
  <c r="F14" i="44"/>
  <c r="G14" i="44"/>
  <c r="H14" i="44"/>
  <c r="I14" i="44"/>
  <c r="U14" i="44" s="1"/>
  <c r="C15" i="44"/>
  <c r="D15" i="44"/>
  <c r="E15" i="44"/>
  <c r="F15" i="44"/>
  <c r="G15" i="44"/>
  <c r="H15" i="44"/>
  <c r="I15" i="44"/>
  <c r="U15" i="44" s="1"/>
  <c r="C16" i="44"/>
  <c r="D16" i="44"/>
  <c r="E16" i="44"/>
  <c r="F16" i="44"/>
  <c r="G16" i="44"/>
  <c r="H16" i="44"/>
  <c r="I16" i="44"/>
  <c r="U16" i="44" s="1"/>
  <c r="C12" i="44"/>
  <c r="D12" i="44"/>
  <c r="E12" i="44"/>
  <c r="F12" i="44"/>
  <c r="G12" i="44"/>
  <c r="H12" i="44"/>
  <c r="I12" i="44"/>
  <c r="U12" i="44" s="1"/>
  <c r="G310" i="44"/>
  <c r="F310" i="44"/>
  <c r="E310" i="44"/>
  <c r="D310" i="44"/>
  <c r="C310" i="44"/>
  <c r="B310" i="44"/>
  <c r="G309" i="44"/>
  <c r="F309" i="44"/>
  <c r="E309" i="44"/>
  <c r="D309" i="44"/>
  <c r="C309" i="44"/>
  <c r="B309" i="44"/>
  <c r="G308" i="44"/>
  <c r="F308" i="44"/>
  <c r="E308" i="44"/>
  <c r="D308" i="44"/>
  <c r="C308" i="44"/>
  <c r="B308" i="44"/>
  <c r="G307" i="44"/>
  <c r="F307" i="44"/>
  <c r="E307" i="44"/>
  <c r="D307" i="44"/>
  <c r="C307" i="44"/>
  <c r="B307" i="44"/>
  <c r="G306" i="44"/>
  <c r="F306" i="44"/>
  <c r="E306" i="44"/>
  <c r="D306" i="44"/>
  <c r="C306" i="44"/>
  <c r="B306" i="44"/>
  <c r="G305" i="44"/>
  <c r="F305" i="44"/>
  <c r="E305" i="44"/>
  <c r="D305" i="44"/>
  <c r="C305" i="44"/>
  <c r="B305" i="44"/>
  <c r="G304" i="44"/>
  <c r="F304" i="44"/>
  <c r="E304" i="44"/>
  <c r="D304" i="44"/>
  <c r="C304" i="44"/>
  <c r="B304" i="44"/>
  <c r="G303" i="44"/>
  <c r="F303" i="44"/>
  <c r="E303" i="44"/>
  <c r="D303" i="44"/>
  <c r="C303" i="44"/>
  <c r="B303" i="44"/>
  <c r="G302" i="44"/>
  <c r="F302" i="44"/>
  <c r="E302" i="44"/>
  <c r="D302" i="44"/>
  <c r="C302" i="44"/>
  <c r="B302" i="44"/>
  <c r="G296" i="44"/>
  <c r="F296" i="44"/>
  <c r="E296" i="44"/>
  <c r="D296" i="44"/>
  <c r="C296" i="44"/>
  <c r="B296" i="44"/>
  <c r="G295" i="44"/>
  <c r="F295" i="44"/>
  <c r="E295" i="44"/>
  <c r="D295" i="44"/>
  <c r="C295" i="44"/>
  <c r="B295" i="44"/>
  <c r="G294" i="44"/>
  <c r="F294" i="44"/>
  <c r="E294" i="44"/>
  <c r="D294" i="44"/>
  <c r="C294" i="44"/>
  <c r="B294" i="44"/>
  <c r="G293" i="44"/>
  <c r="F293" i="44"/>
  <c r="E293" i="44"/>
  <c r="D293" i="44"/>
  <c r="C293" i="44"/>
  <c r="B293" i="44"/>
  <c r="G292" i="44"/>
  <c r="F292" i="44"/>
  <c r="E292" i="44"/>
  <c r="D292" i="44"/>
  <c r="C292" i="44"/>
  <c r="B292" i="44"/>
  <c r="G291" i="44"/>
  <c r="F291" i="44"/>
  <c r="E291" i="44"/>
  <c r="D291" i="44"/>
  <c r="C291" i="44"/>
  <c r="B291" i="44"/>
  <c r="G290" i="44"/>
  <c r="F290" i="44"/>
  <c r="E290" i="44"/>
  <c r="D290" i="44"/>
  <c r="C290" i="44"/>
  <c r="B290" i="44"/>
  <c r="G289" i="44"/>
  <c r="F289" i="44"/>
  <c r="E289" i="44"/>
  <c r="D289" i="44"/>
  <c r="B289" i="44"/>
  <c r="G288" i="44"/>
  <c r="F288" i="44"/>
  <c r="E288" i="44"/>
  <c r="D288" i="44"/>
  <c r="C288" i="44"/>
  <c r="B288" i="44"/>
  <c r="H281" i="44"/>
  <c r="G281" i="44"/>
  <c r="R281" i="44" s="1"/>
  <c r="F281" i="44"/>
  <c r="E281" i="44"/>
  <c r="D281" i="44"/>
  <c r="C281" i="44"/>
  <c r="H280" i="44"/>
  <c r="G280" i="44"/>
  <c r="F280" i="44"/>
  <c r="E280" i="44"/>
  <c r="D280" i="44"/>
  <c r="C280" i="44"/>
  <c r="H279" i="44"/>
  <c r="G279" i="44"/>
  <c r="R279" i="44" s="1"/>
  <c r="F279" i="44"/>
  <c r="E279" i="44"/>
  <c r="D279" i="44"/>
  <c r="C279" i="44"/>
  <c r="H278" i="44"/>
  <c r="G278" i="44"/>
  <c r="R278" i="44" s="1"/>
  <c r="F278" i="44"/>
  <c r="E278" i="44"/>
  <c r="D278" i="44"/>
  <c r="C278" i="44"/>
  <c r="H277" i="44"/>
  <c r="G277" i="44"/>
  <c r="R277" i="44" s="1"/>
  <c r="F277" i="44"/>
  <c r="E277" i="44"/>
  <c r="D277" i="44"/>
  <c r="C277" i="44"/>
  <c r="H276" i="44"/>
  <c r="G276" i="44"/>
  <c r="R276" i="44" s="1"/>
  <c r="F276" i="44"/>
  <c r="E276" i="44"/>
  <c r="D276" i="44"/>
  <c r="C276" i="44"/>
  <c r="H275" i="44"/>
  <c r="G275" i="44"/>
  <c r="R275" i="44" s="1"/>
  <c r="F275" i="44"/>
  <c r="E275" i="44"/>
  <c r="D275" i="44"/>
  <c r="C275" i="44"/>
  <c r="H274" i="44"/>
  <c r="G274" i="44"/>
  <c r="R274" i="44" s="1"/>
  <c r="F274" i="44"/>
  <c r="E274" i="44"/>
  <c r="D274" i="44"/>
  <c r="C274" i="44"/>
  <c r="H273" i="44"/>
  <c r="G273" i="44"/>
  <c r="R273" i="44" s="1"/>
  <c r="F273" i="44"/>
  <c r="E273" i="44"/>
  <c r="D273" i="44"/>
  <c r="C273" i="44"/>
  <c r="H272" i="44"/>
  <c r="G272" i="44"/>
  <c r="R272" i="44" s="1"/>
  <c r="F272" i="44"/>
  <c r="E272" i="44"/>
  <c r="D272" i="44"/>
  <c r="C272" i="44"/>
  <c r="H271" i="44"/>
  <c r="G271" i="44"/>
  <c r="R271" i="44" s="1"/>
  <c r="F271" i="44"/>
  <c r="E271" i="44"/>
  <c r="D271" i="44"/>
  <c r="C271" i="44"/>
  <c r="H270" i="44"/>
  <c r="G270" i="44"/>
  <c r="R270" i="44" s="1"/>
  <c r="F270" i="44"/>
  <c r="E270" i="44"/>
  <c r="D270" i="44"/>
  <c r="C270" i="44"/>
  <c r="H269" i="44"/>
  <c r="G269" i="44"/>
  <c r="R269" i="44" s="1"/>
  <c r="F269" i="44"/>
  <c r="E269" i="44"/>
  <c r="D269" i="44"/>
  <c r="C269" i="44"/>
  <c r="H268" i="44"/>
  <c r="G268" i="44"/>
  <c r="R268" i="44" s="1"/>
  <c r="F268" i="44"/>
  <c r="E268" i="44"/>
  <c r="D268" i="44"/>
  <c r="C268" i="44"/>
  <c r="H267" i="44"/>
  <c r="G267" i="44"/>
  <c r="R266" i="44" s="1"/>
  <c r="S266" i="44" s="1"/>
  <c r="F267" i="44"/>
  <c r="E267" i="44"/>
  <c r="D267" i="44"/>
  <c r="C267" i="44"/>
  <c r="H263" i="44"/>
  <c r="G263" i="44"/>
  <c r="F263" i="44"/>
  <c r="E263" i="44"/>
  <c r="D263" i="44"/>
  <c r="C263" i="44"/>
  <c r="H262" i="44"/>
  <c r="G262" i="44"/>
  <c r="F262" i="44"/>
  <c r="E262" i="44"/>
  <c r="D262" i="44"/>
  <c r="C262" i="44"/>
  <c r="H261" i="44"/>
  <c r="G261" i="44"/>
  <c r="F261" i="44"/>
  <c r="E261" i="44"/>
  <c r="D261" i="44"/>
  <c r="C261" i="44"/>
  <c r="H260" i="44"/>
  <c r="G260" i="44"/>
  <c r="F260" i="44"/>
  <c r="E260" i="44"/>
  <c r="D260" i="44"/>
  <c r="C260" i="44"/>
  <c r="H259" i="44"/>
  <c r="G259" i="44"/>
  <c r="F259" i="44"/>
  <c r="E259" i="44"/>
  <c r="D259" i="44"/>
  <c r="C259" i="44"/>
  <c r="H258" i="44"/>
  <c r="G258" i="44"/>
  <c r="F258" i="44"/>
  <c r="E258" i="44"/>
  <c r="D258" i="44"/>
  <c r="C258" i="44"/>
  <c r="H257" i="44"/>
  <c r="G257" i="44"/>
  <c r="F257" i="44"/>
  <c r="E257" i="44"/>
  <c r="D257" i="44"/>
  <c r="C257" i="44"/>
  <c r="H256" i="44"/>
  <c r="G256" i="44"/>
  <c r="F256" i="44"/>
  <c r="E256" i="44"/>
  <c r="D256" i="44"/>
  <c r="C256" i="44"/>
  <c r="H255" i="44"/>
  <c r="G255" i="44"/>
  <c r="F255" i="44"/>
  <c r="E255" i="44"/>
  <c r="D255" i="44"/>
  <c r="C255" i="44"/>
  <c r="H254" i="44"/>
  <c r="G254" i="44"/>
  <c r="F254" i="44"/>
  <c r="E254" i="44"/>
  <c r="D254" i="44"/>
  <c r="C254" i="44"/>
  <c r="H253" i="44"/>
  <c r="G253" i="44"/>
  <c r="F253" i="44"/>
  <c r="E253" i="44"/>
  <c r="D253" i="44"/>
  <c r="C253" i="44"/>
  <c r="H252" i="44"/>
  <c r="G252" i="44"/>
  <c r="F252" i="44"/>
  <c r="E252" i="44"/>
  <c r="D252" i="44"/>
  <c r="C252" i="44"/>
  <c r="H251" i="44"/>
  <c r="G251" i="44"/>
  <c r="F251" i="44"/>
  <c r="E251" i="44"/>
  <c r="D251" i="44"/>
  <c r="C251" i="44"/>
  <c r="H250" i="44"/>
  <c r="G250" i="44"/>
  <c r="F250" i="44"/>
  <c r="E250" i="44"/>
  <c r="D250" i="44"/>
  <c r="C250" i="44"/>
  <c r="H249" i="44"/>
  <c r="G249" i="44"/>
  <c r="F249" i="44"/>
  <c r="E249" i="44"/>
  <c r="D249" i="44"/>
  <c r="C249" i="44"/>
  <c r="H248" i="44"/>
  <c r="G248" i="44"/>
  <c r="F248" i="44"/>
  <c r="E248" i="44"/>
  <c r="D248" i="44"/>
  <c r="C248" i="44"/>
  <c r="H246" i="44"/>
  <c r="G246" i="44"/>
  <c r="F246" i="44"/>
  <c r="E246" i="44"/>
  <c r="D246" i="44"/>
  <c r="C246" i="44"/>
  <c r="H245" i="44"/>
  <c r="G245" i="44"/>
  <c r="F245" i="44"/>
  <c r="E245" i="44"/>
  <c r="D245" i="44"/>
  <c r="C245" i="44"/>
  <c r="H244" i="44"/>
  <c r="G244" i="44"/>
  <c r="F244" i="44"/>
  <c r="E244" i="44"/>
  <c r="D244" i="44"/>
  <c r="C244" i="44"/>
  <c r="H243" i="44"/>
  <c r="G243" i="44"/>
  <c r="F243" i="44"/>
  <c r="E243" i="44"/>
  <c r="D243" i="44"/>
  <c r="C243" i="44"/>
  <c r="H242" i="44"/>
  <c r="G242" i="44"/>
  <c r="F242" i="44"/>
  <c r="E242" i="44"/>
  <c r="D242" i="44"/>
  <c r="C242" i="44"/>
  <c r="H241" i="44"/>
  <c r="G241" i="44"/>
  <c r="F241" i="44"/>
  <c r="E241" i="44"/>
  <c r="D241" i="44"/>
  <c r="C241" i="44"/>
  <c r="H240" i="44"/>
  <c r="G240" i="44"/>
  <c r="F240" i="44"/>
  <c r="E240" i="44"/>
  <c r="D240" i="44"/>
  <c r="C240" i="44"/>
  <c r="H239" i="44"/>
  <c r="G239" i="44"/>
  <c r="F239" i="44"/>
  <c r="E239" i="44"/>
  <c r="D239" i="44"/>
  <c r="C239" i="44"/>
  <c r="H238" i="44"/>
  <c r="G238" i="44"/>
  <c r="F238" i="44"/>
  <c r="E238" i="44"/>
  <c r="D238" i="44"/>
  <c r="C238" i="44"/>
  <c r="H237" i="44"/>
  <c r="G237" i="44"/>
  <c r="F237" i="44"/>
  <c r="E237" i="44"/>
  <c r="D237" i="44"/>
  <c r="C237" i="44"/>
  <c r="H236" i="44"/>
  <c r="G236" i="44"/>
  <c r="F236" i="44"/>
  <c r="E236" i="44"/>
  <c r="D236" i="44"/>
  <c r="C236" i="44"/>
  <c r="H235" i="44"/>
  <c r="G235" i="44"/>
  <c r="F235" i="44"/>
  <c r="E235" i="44"/>
  <c r="D235" i="44"/>
  <c r="C235" i="44"/>
  <c r="H234" i="44"/>
  <c r="G234" i="44"/>
  <c r="F234" i="44"/>
  <c r="E234" i="44"/>
  <c r="D234" i="44"/>
  <c r="C234" i="44"/>
  <c r="H233" i="44"/>
  <c r="G233" i="44"/>
  <c r="F233" i="44"/>
  <c r="E233" i="44"/>
  <c r="D233" i="44"/>
  <c r="C233" i="44"/>
  <c r="H232" i="44"/>
  <c r="G232" i="44"/>
  <c r="F232" i="44"/>
  <c r="E232" i="44"/>
  <c r="D232" i="44"/>
  <c r="C232" i="44"/>
  <c r="H231" i="44"/>
  <c r="G231" i="44"/>
  <c r="F231" i="44"/>
  <c r="E231" i="44"/>
  <c r="D231" i="44"/>
  <c r="C231" i="44"/>
  <c r="H229" i="44"/>
  <c r="G229" i="44"/>
  <c r="F229" i="44"/>
  <c r="E229" i="44"/>
  <c r="D229" i="44"/>
  <c r="C229" i="44"/>
  <c r="H228" i="44"/>
  <c r="G228" i="44"/>
  <c r="F228" i="44"/>
  <c r="E228" i="44"/>
  <c r="D228" i="44"/>
  <c r="C228" i="44"/>
  <c r="H227" i="44"/>
  <c r="G227" i="44"/>
  <c r="F227" i="44"/>
  <c r="E227" i="44"/>
  <c r="D227" i="44"/>
  <c r="C227" i="44"/>
  <c r="H226" i="44"/>
  <c r="G226" i="44"/>
  <c r="F226" i="44"/>
  <c r="E226" i="44"/>
  <c r="D226" i="44"/>
  <c r="C226" i="44"/>
  <c r="H225" i="44"/>
  <c r="G225" i="44"/>
  <c r="F225" i="44"/>
  <c r="E225" i="44"/>
  <c r="D225" i="44"/>
  <c r="C225" i="44"/>
  <c r="H224" i="44"/>
  <c r="G224" i="44"/>
  <c r="F224" i="44"/>
  <c r="E224" i="44"/>
  <c r="D224" i="44"/>
  <c r="C224" i="44"/>
  <c r="H223" i="44"/>
  <c r="G223" i="44"/>
  <c r="F223" i="44"/>
  <c r="E223" i="44"/>
  <c r="D223" i="44"/>
  <c r="C223" i="44"/>
  <c r="H222" i="44"/>
  <c r="G222" i="44"/>
  <c r="F222" i="44"/>
  <c r="E222" i="44"/>
  <c r="D222" i="44"/>
  <c r="C222" i="44"/>
  <c r="H221" i="44"/>
  <c r="G221" i="44"/>
  <c r="F221" i="44"/>
  <c r="E221" i="44"/>
  <c r="D221" i="44"/>
  <c r="C221" i="44"/>
  <c r="H220" i="44"/>
  <c r="G220" i="44"/>
  <c r="F220" i="44"/>
  <c r="E220" i="44"/>
  <c r="D220" i="44"/>
  <c r="C220" i="44"/>
  <c r="H219" i="44"/>
  <c r="G219" i="44"/>
  <c r="F219" i="44"/>
  <c r="E219" i="44"/>
  <c r="D219" i="44"/>
  <c r="C219" i="44"/>
  <c r="H218" i="44"/>
  <c r="G218" i="44"/>
  <c r="F218" i="44"/>
  <c r="E218" i="44"/>
  <c r="D218" i="44"/>
  <c r="C218" i="44"/>
  <c r="H217" i="44"/>
  <c r="G217" i="44"/>
  <c r="F217" i="44"/>
  <c r="E217" i="44"/>
  <c r="D217" i="44"/>
  <c r="C217" i="44"/>
  <c r="H216" i="44"/>
  <c r="G216" i="44"/>
  <c r="F216" i="44"/>
  <c r="E216" i="44"/>
  <c r="D216" i="44"/>
  <c r="C216" i="44"/>
  <c r="H215" i="44"/>
  <c r="G215" i="44"/>
  <c r="F215" i="44"/>
  <c r="E215" i="44"/>
  <c r="D215" i="44"/>
  <c r="C215" i="44"/>
  <c r="H214" i="44"/>
  <c r="G214" i="44"/>
  <c r="F214" i="44"/>
  <c r="E214" i="44"/>
  <c r="D214" i="44"/>
  <c r="C214" i="44"/>
  <c r="H212" i="44"/>
  <c r="G212" i="44"/>
  <c r="F212" i="44"/>
  <c r="E212" i="44"/>
  <c r="D212" i="44"/>
  <c r="C212" i="44"/>
  <c r="H211" i="44"/>
  <c r="G211" i="44"/>
  <c r="F211" i="44"/>
  <c r="E211" i="44"/>
  <c r="D211" i="44"/>
  <c r="C211" i="44"/>
  <c r="H210" i="44"/>
  <c r="G210" i="44"/>
  <c r="F210" i="44"/>
  <c r="E210" i="44"/>
  <c r="D210" i="44"/>
  <c r="C210" i="44"/>
  <c r="H209" i="44"/>
  <c r="G209" i="44"/>
  <c r="F209" i="44"/>
  <c r="E209" i="44"/>
  <c r="D209" i="44"/>
  <c r="C209" i="44"/>
  <c r="H208" i="44"/>
  <c r="G208" i="44"/>
  <c r="F208" i="44"/>
  <c r="E208" i="44"/>
  <c r="D208" i="44"/>
  <c r="C208" i="44"/>
  <c r="H207" i="44"/>
  <c r="G207" i="44"/>
  <c r="F207" i="44"/>
  <c r="E207" i="44"/>
  <c r="D207" i="44"/>
  <c r="C207" i="44"/>
  <c r="H206" i="44"/>
  <c r="G206" i="44"/>
  <c r="F206" i="44"/>
  <c r="E206" i="44"/>
  <c r="D206" i="44"/>
  <c r="C206" i="44"/>
  <c r="H205" i="44"/>
  <c r="G205" i="44"/>
  <c r="F205" i="44"/>
  <c r="E205" i="44"/>
  <c r="D205" i="44"/>
  <c r="C205" i="44"/>
  <c r="H204" i="44"/>
  <c r="G204" i="44"/>
  <c r="F204" i="44"/>
  <c r="E204" i="44"/>
  <c r="D204" i="44"/>
  <c r="C204" i="44"/>
  <c r="H203" i="44"/>
  <c r="G203" i="44"/>
  <c r="F203" i="44"/>
  <c r="E203" i="44"/>
  <c r="D203" i="44"/>
  <c r="C203" i="44"/>
  <c r="H202" i="44"/>
  <c r="G202" i="44"/>
  <c r="F202" i="44"/>
  <c r="D202" i="44"/>
  <c r="C202" i="44"/>
  <c r="J202" i="44" s="1"/>
  <c r="H201" i="44"/>
  <c r="G201" i="44"/>
  <c r="F201" i="44"/>
  <c r="E201" i="44"/>
  <c r="D201" i="44"/>
  <c r="C201" i="44"/>
  <c r="H200" i="44"/>
  <c r="G200" i="44"/>
  <c r="F200" i="44"/>
  <c r="E200" i="44"/>
  <c r="D200" i="44"/>
  <c r="C200" i="44"/>
  <c r="H199" i="44"/>
  <c r="G199" i="44"/>
  <c r="F199" i="44"/>
  <c r="E199" i="44"/>
  <c r="D199" i="44"/>
  <c r="C199" i="44"/>
  <c r="H198" i="44"/>
  <c r="G198" i="44"/>
  <c r="F198" i="44"/>
  <c r="E198" i="44"/>
  <c r="D198" i="44"/>
  <c r="C198" i="44"/>
  <c r="H197" i="44"/>
  <c r="G197" i="44"/>
  <c r="F197" i="44"/>
  <c r="E197" i="44"/>
  <c r="D197" i="44"/>
  <c r="C197" i="44"/>
  <c r="H196" i="44"/>
  <c r="G196" i="44"/>
  <c r="F196" i="44"/>
  <c r="E196" i="44"/>
  <c r="D196" i="44"/>
  <c r="C196" i="44"/>
  <c r="H194" i="44"/>
  <c r="G194" i="44"/>
  <c r="F194" i="44"/>
  <c r="E194" i="44"/>
  <c r="D194" i="44"/>
  <c r="C194" i="44"/>
  <c r="H193" i="44"/>
  <c r="G193" i="44"/>
  <c r="F193" i="44"/>
  <c r="E193" i="44"/>
  <c r="D193" i="44"/>
  <c r="C193" i="44"/>
  <c r="H192" i="44"/>
  <c r="G192" i="44"/>
  <c r="F192" i="44"/>
  <c r="E192" i="44"/>
  <c r="D192" i="44"/>
  <c r="C192" i="44"/>
  <c r="H191" i="44"/>
  <c r="G191" i="44"/>
  <c r="F191" i="44"/>
  <c r="E191" i="44"/>
  <c r="D191" i="44"/>
  <c r="C191" i="44"/>
  <c r="H190" i="44"/>
  <c r="G190" i="44"/>
  <c r="F190" i="44"/>
  <c r="E190" i="44"/>
  <c r="D190" i="44"/>
  <c r="C190" i="44"/>
  <c r="H189" i="44"/>
  <c r="G189" i="44"/>
  <c r="F189" i="44"/>
  <c r="E189" i="44"/>
  <c r="D189" i="44"/>
  <c r="C189" i="44"/>
  <c r="H188" i="44"/>
  <c r="G188" i="44"/>
  <c r="F188" i="44"/>
  <c r="E188" i="44"/>
  <c r="D188" i="44"/>
  <c r="C188" i="44"/>
  <c r="H187" i="44"/>
  <c r="G187" i="44"/>
  <c r="F187" i="44"/>
  <c r="E187" i="44"/>
  <c r="D187" i="44"/>
  <c r="C187" i="44"/>
  <c r="H185" i="44"/>
  <c r="G185" i="44"/>
  <c r="F185" i="44"/>
  <c r="E185" i="44"/>
  <c r="D185" i="44"/>
  <c r="C185" i="44"/>
  <c r="H184" i="44"/>
  <c r="G184" i="44"/>
  <c r="F184" i="44"/>
  <c r="E184" i="44"/>
  <c r="D184" i="44"/>
  <c r="C184" i="44"/>
  <c r="H183" i="44"/>
  <c r="G183" i="44"/>
  <c r="F183" i="44"/>
  <c r="E183" i="44"/>
  <c r="D183" i="44"/>
  <c r="C183" i="44"/>
  <c r="H182" i="44"/>
  <c r="G182" i="44"/>
  <c r="F182" i="44"/>
  <c r="E182" i="44"/>
  <c r="D182" i="44"/>
  <c r="C182" i="44"/>
  <c r="H181" i="44"/>
  <c r="G181" i="44"/>
  <c r="F181" i="44"/>
  <c r="E181" i="44"/>
  <c r="D181" i="44"/>
  <c r="C181" i="44"/>
  <c r="H172" i="44"/>
  <c r="G172" i="44"/>
  <c r="F172" i="44"/>
  <c r="E172" i="44"/>
  <c r="D172" i="44"/>
  <c r="C172" i="44"/>
  <c r="H171" i="44"/>
  <c r="G171" i="44"/>
  <c r="F171" i="44"/>
  <c r="E171" i="44"/>
  <c r="D171" i="44"/>
  <c r="C171" i="44"/>
  <c r="H170" i="44"/>
  <c r="G170" i="44"/>
  <c r="F170" i="44"/>
  <c r="E170" i="44"/>
  <c r="D170" i="44"/>
  <c r="C170" i="44"/>
  <c r="H169" i="44"/>
  <c r="G169" i="44"/>
  <c r="F169" i="44"/>
  <c r="E169" i="44"/>
  <c r="D169" i="44"/>
  <c r="C169" i="44"/>
  <c r="H166" i="44"/>
  <c r="G166" i="44"/>
  <c r="F166" i="44"/>
  <c r="E166" i="44"/>
  <c r="D166" i="44"/>
  <c r="C166" i="44"/>
  <c r="H164" i="44"/>
  <c r="G164" i="44"/>
  <c r="F164" i="44"/>
  <c r="E164" i="44"/>
  <c r="D164" i="44"/>
  <c r="C164" i="44"/>
  <c r="H163" i="44"/>
  <c r="G163" i="44"/>
  <c r="F163" i="44"/>
  <c r="D163" i="44"/>
  <c r="C163" i="44"/>
  <c r="H161" i="44"/>
  <c r="G161" i="44"/>
  <c r="F161" i="44"/>
  <c r="E161" i="44"/>
  <c r="D161" i="44"/>
  <c r="C161" i="44"/>
  <c r="H157" i="44"/>
  <c r="G157" i="44"/>
  <c r="F157" i="44"/>
  <c r="E157" i="44"/>
  <c r="D157" i="44"/>
  <c r="C157" i="44"/>
  <c r="H156" i="44"/>
  <c r="G156" i="44"/>
  <c r="F156" i="44"/>
  <c r="E156" i="44"/>
  <c r="D156" i="44"/>
  <c r="C156" i="44"/>
  <c r="H151" i="44"/>
  <c r="G151" i="44"/>
  <c r="F151" i="44"/>
  <c r="E151" i="44"/>
  <c r="D151" i="44"/>
  <c r="C151" i="44"/>
  <c r="H150" i="44"/>
  <c r="G150" i="44"/>
  <c r="F150" i="44"/>
  <c r="E150" i="44"/>
  <c r="D150" i="44"/>
  <c r="C150" i="44"/>
  <c r="H148" i="44"/>
  <c r="G148" i="44"/>
  <c r="F148" i="44"/>
  <c r="E148" i="44"/>
  <c r="D148" i="44"/>
  <c r="C148" i="44"/>
  <c r="H147" i="44"/>
  <c r="G147" i="44"/>
  <c r="F147" i="44"/>
  <c r="E147" i="44"/>
  <c r="D147" i="44"/>
  <c r="C147" i="44"/>
  <c r="H146" i="44"/>
  <c r="G146" i="44"/>
  <c r="F146" i="44"/>
  <c r="E146" i="44"/>
  <c r="D146" i="44"/>
  <c r="C146" i="44"/>
  <c r="H145" i="44"/>
  <c r="G145" i="44"/>
  <c r="F145" i="44"/>
  <c r="E145" i="44"/>
  <c r="D145" i="44"/>
  <c r="C145" i="44"/>
  <c r="I138" i="44"/>
  <c r="H138" i="44"/>
  <c r="G138" i="44"/>
  <c r="F138" i="44"/>
  <c r="E138" i="44"/>
  <c r="D138" i="44"/>
  <c r="C138" i="44"/>
  <c r="I137" i="44"/>
  <c r="H137" i="44"/>
  <c r="G137" i="44"/>
  <c r="F137" i="44"/>
  <c r="E137" i="44"/>
  <c r="D137" i="44"/>
  <c r="C137" i="44"/>
  <c r="I136" i="44"/>
  <c r="H136" i="44"/>
  <c r="G136" i="44"/>
  <c r="F136" i="44"/>
  <c r="E136" i="44"/>
  <c r="D136" i="44"/>
  <c r="C136" i="44"/>
  <c r="I134" i="44"/>
  <c r="H134" i="44"/>
  <c r="G134" i="44"/>
  <c r="F134" i="44"/>
  <c r="E134" i="44"/>
  <c r="D134" i="44"/>
  <c r="C134" i="44"/>
  <c r="I133" i="44"/>
  <c r="H133" i="44"/>
  <c r="G133" i="44"/>
  <c r="F133" i="44"/>
  <c r="E133" i="44"/>
  <c r="D133" i="44"/>
  <c r="C133" i="44"/>
  <c r="I132" i="44"/>
  <c r="H132" i="44"/>
  <c r="G132" i="44"/>
  <c r="F132" i="44"/>
  <c r="E132" i="44"/>
  <c r="D132" i="44"/>
  <c r="C132" i="44"/>
  <c r="I131" i="44"/>
  <c r="H131" i="44"/>
  <c r="G131" i="44"/>
  <c r="F131" i="44"/>
  <c r="E131" i="44"/>
  <c r="D131" i="44"/>
  <c r="C131" i="44"/>
  <c r="I130" i="44"/>
  <c r="H130" i="44"/>
  <c r="G130" i="44"/>
  <c r="F130" i="44"/>
  <c r="E130" i="44"/>
  <c r="D130" i="44"/>
  <c r="C130" i="44"/>
  <c r="I129" i="44"/>
  <c r="H129" i="44"/>
  <c r="G129" i="44"/>
  <c r="F129" i="44"/>
  <c r="E129" i="44"/>
  <c r="D129" i="44"/>
  <c r="C129" i="44"/>
  <c r="I128" i="44"/>
  <c r="H128" i="44"/>
  <c r="G128" i="44"/>
  <c r="F128" i="44"/>
  <c r="E128" i="44"/>
  <c r="D128" i="44"/>
  <c r="C128" i="44"/>
  <c r="I127" i="44"/>
  <c r="H127" i="44"/>
  <c r="G127" i="44"/>
  <c r="F127" i="44"/>
  <c r="E127" i="44"/>
  <c r="D127" i="44"/>
  <c r="C127" i="44"/>
  <c r="I126" i="44"/>
  <c r="H126" i="44"/>
  <c r="G126" i="44"/>
  <c r="F126" i="44"/>
  <c r="E126" i="44"/>
  <c r="D126" i="44"/>
  <c r="C126" i="44"/>
  <c r="I125" i="44"/>
  <c r="H125" i="44"/>
  <c r="G125" i="44"/>
  <c r="F125" i="44"/>
  <c r="E125" i="44"/>
  <c r="D125" i="44"/>
  <c r="C125" i="44"/>
  <c r="I124" i="44"/>
  <c r="H124" i="44"/>
  <c r="G124" i="44"/>
  <c r="F124" i="44"/>
  <c r="E124" i="44"/>
  <c r="D124" i="44"/>
  <c r="C124" i="44"/>
  <c r="I123" i="44"/>
  <c r="H123" i="44"/>
  <c r="G123" i="44"/>
  <c r="F123" i="44"/>
  <c r="E123" i="44"/>
  <c r="D123" i="44"/>
  <c r="C123" i="44"/>
  <c r="K121" i="44"/>
  <c r="J121" i="44"/>
  <c r="I121" i="44"/>
  <c r="H121" i="44"/>
  <c r="G121" i="44"/>
  <c r="F121" i="44"/>
  <c r="E121" i="44"/>
  <c r="D121" i="44"/>
  <c r="C121" i="44"/>
  <c r="I120" i="44"/>
  <c r="H120" i="44"/>
  <c r="G120" i="44"/>
  <c r="F120" i="44"/>
  <c r="E120" i="44"/>
  <c r="D120" i="44"/>
  <c r="C120" i="44"/>
  <c r="K119" i="44"/>
  <c r="J119" i="44"/>
  <c r="I119" i="44"/>
  <c r="H119" i="44"/>
  <c r="G119" i="44"/>
  <c r="F119" i="44"/>
  <c r="E119" i="44"/>
  <c r="D119" i="44"/>
  <c r="C119" i="44"/>
  <c r="I118" i="44"/>
  <c r="H118" i="44"/>
  <c r="G118" i="44"/>
  <c r="F118" i="44"/>
  <c r="E118" i="44"/>
  <c r="D118" i="44"/>
  <c r="C118" i="44"/>
  <c r="I117" i="44"/>
  <c r="H117" i="44"/>
  <c r="G117" i="44"/>
  <c r="F117" i="44"/>
  <c r="E117" i="44"/>
  <c r="D117" i="44"/>
  <c r="C117" i="44"/>
  <c r="I116" i="44"/>
  <c r="H116" i="44"/>
  <c r="G116" i="44"/>
  <c r="F116" i="44"/>
  <c r="E116" i="44"/>
  <c r="D116" i="44"/>
  <c r="C116" i="44"/>
  <c r="I115" i="44"/>
  <c r="H115" i="44"/>
  <c r="G115" i="44"/>
  <c r="F115" i="44"/>
  <c r="E115" i="44"/>
  <c r="D115" i="44"/>
  <c r="C115" i="44"/>
  <c r="I114" i="44"/>
  <c r="H114" i="44"/>
  <c r="G114" i="44"/>
  <c r="F114" i="44"/>
  <c r="E114" i="44"/>
  <c r="D114" i="44"/>
  <c r="C114" i="44"/>
  <c r="I113" i="44"/>
  <c r="H113" i="44"/>
  <c r="G113" i="44"/>
  <c r="F113" i="44"/>
  <c r="E113" i="44"/>
  <c r="D113" i="44"/>
  <c r="C113" i="44"/>
  <c r="K112" i="44"/>
  <c r="J112" i="44"/>
  <c r="I112" i="44"/>
  <c r="H112" i="44"/>
  <c r="G112" i="44"/>
  <c r="F112" i="44"/>
  <c r="E112" i="44"/>
  <c r="D112" i="44"/>
  <c r="C112" i="44"/>
  <c r="I111" i="44"/>
  <c r="H111" i="44"/>
  <c r="G111" i="44"/>
  <c r="F111" i="44"/>
  <c r="E111" i="44"/>
  <c r="D111" i="44"/>
  <c r="C111" i="44"/>
  <c r="I110" i="44"/>
  <c r="H110" i="44"/>
  <c r="G110" i="44"/>
  <c r="F110" i="44"/>
  <c r="E110" i="44"/>
  <c r="D110" i="44"/>
  <c r="C110" i="44"/>
  <c r="I109" i="44"/>
  <c r="H109" i="44"/>
  <c r="G109" i="44"/>
  <c r="F109" i="44"/>
  <c r="E109" i="44"/>
  <c r="D109" i="44"/>
  <c r="C109" i="44"/>
  <c r="I108" i="44"/>
  <c r="H108" i="44"/>
  <c r="G108" i="44"/>
  <c r="F108" i="44"/>
  <c r="E108" i="44"/>
  <c r="D108" i="44"/>
  <c r="C108" i="44"/>
  <c r="I107" i="44"/>
  <c r="H107" i="44"/>
  <c r="G107" i="44"/>
  <c r="F107" i="44"/>
  <c r="E107" i="44"/>
  <c r="D107" i="44"/>
  <c r="C107" i="44"/>
  <c r="I105" i="44"/>
  <c r="H105" i="44"/>
  <c r="G105" i="44"/>
  <c r="F105" i="44"/>
  <c r="E105" i="44"/>
  <c r="D105" i="44"/>
  <c r="C105" i="44"/>
  <c r="I104" i="44"/>
  <c r="H104" i="44"/>
  <c r="G104" i="44"/>
  <c r="F104" i="44"/>
  <c r="E104" i="44"/>
  <c r="D104" i="44"/>
  <c r="C104" i="44"/>
  <c r="K103" i="44"/>
  <c r="J103" i="44"/>
  <c r="I103" i="44"/>
  <c r="H103" i="44"/>
  <c r="G103" i="44"/>
  <c r="F103" i="44"/>
  <c r="E103" i="44"/>
  <c r="D103" i="44"/>
  <c r="C103" i="44"/>
  <c r="I102" i="44"/>
  <c r="H102" i="44"/>
  <c r="G102" i="44"/>
  <c r="F102" i="44"/>
  <c r="E102" i="44"/>
  <c r="D102" i="44"/>
  <c r="C102" i="44"/>
  <c r="I101" i="44"/>
  <c r="H101" i="44"/>
  <c r="G101" i="44"/>
  <c r="F101" i="44"/>
  <c r="E101" i="44"/>
  <c r="D101" i="44"/>
  <c r="C101" i="44"/>
  <c r="I100" i="44"/>
  <c r="H100" i="44"/>
  <c r="G100" i="44"/>
  <c r="F100" i="44"/>
  <c r="E100" i="44"/>
  <c r="D100" i="44"/>
  <c r="C100" i="44"/>
  <c r="I99" i="44"/>
  <c r="H99" i="44"/>
  <c r="G99" i="44"/>
  <c r="F99" i="44"/>
  <c r="E99" i="44"/>
  <c r="D99" i="44"/>
  <c r="C99" i="44"/>
  <c r="I98" i="44"/>
  <c r="H98" i="44"/>
  <c r="G98" i="44"/>
  <c r="F98" i="44"/>
  <c r="E98" i="44"/>
  <c r="D98" i="44"/>
  <c r="C98" i="44"/>
  <c r="I97" i="44"/>
  <c r="H97" i="44"/>
  <c r="G97" i="44"/>
  <c r="F97" i="44"/>
  <c r="E97" i="44"/>
  <c r="D97" i="44"/>
  <c r="C97" i="44"/>
  <c r="I96" i="44"/>
  <c r="H96" i="44"/>
  <c r="G96" i="44"/>
  <c r="F96" i="44"/>
  <c r="E96" i="44"/>
  <c r="D96" i="44"/>
  <c r="C96" i="44"/>
  <c r="I95" i="44"/>
  <c r="H95" i="44"/>
  <c r="G95" i="44"/>
  <c r="F95" i="44"/>
  <c r="E95" i="44"/>
  <c r="D95" i="44"/>
  <c r="C95" i="44"/>
  <c r="I94" i="44"/>
  <c r="H94" i="44"/>
  <c r="G94" i="44"/>
  <c r="F94" i="44"/>
  <c r="E94" i="44"/>
  <c r="D94" i="44"/>
  <c r="C94" i="44"/>
  <c r="I93" i="44"/>
  <c r="H93" i="44"/>
  <c r="G93" i="44"/>
  <c r="F93" i="44"/>
  <c r="E93" i="44"/>
  <c r="D93" i="44"/>
  <c r="C93" i="44"/>
  <c r="I92" i="44"/>
  <c r="H92" i="44"/>
  <c r="G92" i="44"/>
  <c r="F92" i="44"/>
  <c r="E92" i="44"/>
  <c r="D92" i="44"/>
  <c r="C92" i="44"/>
  <c r="I91" i="44"/>
  <c r="H91" i="44"/>
  <c r="G91" i="44"/>
  <c r="F91" i="44"/>
  <c r="E91" i="44"/>
  <c r="D91" i="44"/>
  <c r="C91" i="44"/>
  <c r="I89" i="44"/>
  <c r="H89" i="44"/>
  <c r="G89" i="44"/>
  <c r="F89" i="44"/>
  <c r="E89" i="44"/>
  <c r="D89" i="44"/>
  <c r="C89" i="44"/>
  <c r="I88" i="44"/>
  <c r="H88" i="44"/>
  <c r="G88" i="44"/>
  <c r="F88" i="44"/>
  <c r="E88" i="44"/>
  <c r="D88" i="44"/>
  <c r="C88" i="44"/>
  <c r="I87" i="44"/>
  <c r="H87" i="44"/>
  <c r="G87" i="44"/>
  <c r="F87" i="44"/>
  <c r="E87" i="44"/>
  <c r="D87" i="44"/>
  <c r="C87" i="44"/>
  <c r="I86" i="44"/>
  <c r="H86" i="44"/>
  <c r="G86" i="44"/>
  <c r="F86" i="44"/>
  <c r="E86" i="44"/>
  <c r="D86" i="44"/>
  <c r="C86" i="44"/>
  <c r="I85" i="44"/>
  <c r="H85" i="44"/>
  <c r="G85" i="44"/>
  <c r="F85" i="44"/>
  <c r="E85" i="44"/>
  <c r="D85" i="44"/>
  <c r="C85" i="44"/>
  <c r="K84" i="44"/>
  <c r="J84" i="44"/>
  <c r="I84" i="44"/>
  <c r="H84" i="44"/>
  <c r="G84" i="44"/>
  <c r="F84" i="44"/>
  <c r="E84" i="44"/>
  <c r="D84" i="44"/>
  <c r="C84" i="44"/>
  <c r="I83" i="44"/>
  <c r="H83" i="44"/>
  <c r="G83" i="44"/>
  <c r="F83" i="44"/>
  <c r="E83" i="44"/>
  <c r="D83" i="44"/>
  <c r="C83" i="44"/>
  <c r="I82" i="44"/>
  <c r="H82" i="44"/>
  <c r="G82" i="44"/>
  <c r="F82" i="44"/>
  <c r="E82" i="44"/>
  <c r="D82" i="44"/>
  <c r="C82" i="44"/>
  <c r="I81" i="44"/>
  <c r="H81" i="44"/>
  <c r="G81" i="44"/>
  <c r="F81" i="44"/>
  <c r="E81" i="44"/>
  <c r="D81" i="44"/>
  <c r="C81" i="44"/>
  <c r="I80" i="44"/>
  <c r="H80" i="44"/>
  <c r="G80" i="44"/>
  <c r="F80" i="44"/>
  <c r="E80" i="44"/>
  <c r="D80" i="44"/>
  <c r="C80" i="44"/>
  <c r="I79" i="44"/>
  <c r="H79" i="44"/>
  <c r="G79" i="44"/>
  <c r="F79" i="44"/>
  <c r="E79" i="44"/>
  <c r="D79" i="44"/>
  <c r="C79" i="44"/>
  <c r="I78" i="44"/>
  <c r="H78" i="44"/>
  <c r="G78" i="44"/>
  <c r="F78" i="44"/>
  <c r="E78" i="44"/>
  <c r="D78" i="44"/>
  <c r="C78" i="44"/>
  <c r="I77" i="44"/>
  <c r="H77" i="44"/>
  <c r="G77" i="44"/>
  <c r="F77" i="44"/>
  <c r="E77" i="44"/>
  <c r="D77" i="44"/>
  <c r="C77" i="44"/>
  <c r="I76" i="44"/>
  <c r="H76" i="44"/>
  <c r="G76" i="44"/>
  <c r="F76" i="44"/>
  <c r="E76" i="44"/>
  <c r="D76" i="44"/>
  <c r="C76" i="44"/>
  <c r="I75" i="44"/>
  <c r="H75" i="44"/>
  <c r="G75" i="44"/>
  <c r="F75" i="44"/>
  <c r="E75" i="44"/>
  <c r="D75" i="44"/>
  <c r="C75" i="44"/>
  <c r="I74" i="44"/>
  <c r="H74" i="44"/>
  <c r="G74" i="44"/>
  <c r="F74" i="44"/>
  <c r="E74" i="44"/>
  <c r="D74" i="44"/>
  <c r="C74" i="44"/>
  <c r="I71" i="44"/>
  <c r="H71" i="44"/>
  <c r="G71" i="44"/>
  <c r="F71" i="44"/>
  <c r="E71" i="44"/>
  <c r="D71" i="44"/>
  <c r="C71" i="44"/>
  <c r="K70" i="44"/>
  <c r="J70" i="44"/>
  <c r="I70" i="44"/>
  <c r="H70" i="44"/>
  <c r="G70" i="44"/>
  <c r="F70" i="44"/>
  <c r="E70" i="44"/>
  <c r="D70" i="44"/>
  <c r="C70" i="44"/>
  <c r="I69" i="44"/>
  <c r="H69" i="44"/>
  <c r="G69" i="44"/>
  <c r="F69" i="44"/>
  <c r="E69" i="44"/>
  <c r="D69" i="44"/>
  <c r="C69" i="44"/>
  <c r="K68" i="44"/>
  <c r="J68" i="44"/>
  <c r="I68" i="44"/>
  <c r="H68" i="44"/>
  <c r="G68" i="44"/>
  <c r="F68" i="44"/>
  <c r="E68" i="44"/>
  <c r="D68" i="44"/>
  <c r="C68" i="44"/>
  <c r="K67" i="44"/>
  <c r="J67" i="44"/>
  <c r="I67" i="44"/>
  <c r="H67" i="44"/>
  <c r="G67" i="44"/>
  <c r="F67" i="44"/>
  <c r="E67" i="44"/>
  <c r="D67" i="44"/>
  <c r="C67" i="44"/>
  <c r="I66" i="44"/>
  <c r="H66" i="44"/>
  <c r="G66" i="44"/>
  <c r="F66" i="44"/>
  <c r="E66" i="44"/>
  <c r="D66" i="44"/>
  <c r="C66" i="44"/>
  <c r="I65" i="44"/>
  <c r="H65" i="44"/>
  <c r="G65" i="44"/>
  <c r="F65" i="44"/>
  <c r="E65" i="44"/>
  <c r="D65" i="44"/>
  <c r="C65" i="44"/>
  <c r="I64" i="44"/>
  <c r="H64" i="44"/>
  <c r="G64" i="44"/>
  <c r="F64" i="44"/>
  <c r="E64" i="44"/>
  <c r="D64" i="44"/>
  <c r="C64" i="44"/>
  <c r="I63" i="44"/>
  <c r="H63" i="44"/>
  <c r="G63" i="44"/>
  <c r="F63" i="44"/>
  <c r="E63" i="44"/>
  <c r="D63" i="44"/>
  <c r="C63" i="44"/>
  <c r="I62" i="44"/>
  <c r="H62" i="44"/>
  <c r="G62" i="44"/>
  <c r="F62" i="44"/>
  <c r="E62" i="44"/>
  <c r="D62" i="44"/>
  <c r="C62" i="44"/>
  <c r="I61" i="44"/>
  <c r="H61" i="44"/>
  <c r="G61" i="44"/>
  <c r="F61" i="44"/>
  <c r="E61" i="44"/>
  <c r="D61" i="44"/>
  <c r="C61" i="44"/>
  <c r="I60" i="44"/>
  <c r="H60" i="44"/>
  <c r="G60" i="44"/>
  <c r="F60" i="44"/>
  <c r="E60" i="44"/>
  <c r="D60" i="44"/>
  <c r="C60" i="44"/>
  <c r="I59" i="44"/>
  <c r="H59" i="44"/>
  <c r="G59" i="44"/>
  <c r="F59" i="44"/>
  <c r="E59" i="44"/>
  <c r="D59" i="44"/>
  <c r="C59" i="44"/>
  <c r="I58" i="44"/>
  <c r="H58" i="44"/>
  <c r="G58" i="44"/>
  <c r="F58" i="44"/>
  <c r="E58" i="44"/>
  <c r="D58" i="44"/>
  <c r="C58" i="44"/>
  <c r="I57" i="44"/>
  <c r="H57" i="44"/>
  <c r="G57" i="44"/>
  <c r="F57" i="44"/>
  <c r="E57" i="44"/>
  <c r="D57" i="44"/>
  <c r="C57" i="44"/>
  <c r="I54" i="44"/>
  <c r="H54" i="44"/>
  <c r="G54" i="44"/>
  <c r="F54" i="44"/>
  <c r="E54" i="44"/>
  <c r="D54" i="44"/>
  <c r="C54" i="44"/>
  <c r="I53" i="44"/>
  <c r="H53" i="44"/>
  <c r="G53" i="44"/>
  <c r="F53" i="44"/>
  <c r="E53" i="44"/>
  <c r="D53" i="44"/>
  <c r="C53" i="44"/>
  <c r="I52" i="44"/>
  <c r="H52" i="44"/>
  <c r="G52" i="44"/>
  <c r="F52" i="44"/>
  <c r="E52" i="44"/>
  <c r="D52" i="44"/>
  <c r="C52" i="44"/>
  <c r="K51" i="44"/>
  <c r="J51" i="44"/>
  <c r="I51" i="44"/>
  <c r="H51" i="44"/>
  <c r="G51" i="44"/>
  <c r="F51" i="44"/>
  <c r="E51" i="44"/>
  <c r="D51" i="44"/>
  <c r="C51" i="44"/>
  <c r="I50" i="44"/>
  <c r="H50" i="44"/>
  <c r="G50" i="44"/>
  <c r="F50" i="44"/>
  <c r="E50" i="44"/>
  <c r="D50" i="44"/>
  <c r="C50" i="44"/>
  <c r="I49" i="44"/>
  <c r="H49" i="44"/>
  <c r="G49" i="44"/>
  <c r="F49" i="44"/>
  <c r="E49" i="44"/>
  <c r="D49" i="44"/>
  <c r="C49" i="44"/>
  <c r="I48" i="44"/>
  <c r="H48" i="44"/>
  <c r="G48" i="44"/>
  <c r="F48" i="44"/>
  <c r="E48" i="44"/>
  <c r="D48" i="44"/>
  <c r="C48" i="44"/>
  <c r="I47" i="44"/>
  <c r="H47" i="44"/>
  <c r="G47" i="44"/>
  <c r="F47" i="44"/>
  <c r="E47" i="44"/>
  <c r="D47" i="44"/>
  <c r="C47" i="44"/>
  <c r="I46" i="44"/>
  <c r="H46" i="44"/>
  <c r="G46" i="44"/>
  <c r="F46" i="44"/>
  <c r="E46" i="44"/>
  <c r="D46" i="44"/>
  <c r="C46" i="44"/>
  <c r="I45" i="44"/>
  <c r="H45" i="44"/>
  <c r="G45" i="44"/>
  <c r="F45" i="44"/>
  <c r="E45" i="44"/>
  <c r="D45" i="44"/>
  <c r="C45" i="44"/>
  <c r="I44" i="44"/>
  <c r="H44" i="44"/>
  <c r="G44" i="44"/>
  <c r="F44" i="44"/>
  <c r="E44" i="44"/>
  <c r="D44" i="44"/>
  <c r="C44" i="44"/>
  <c r="I43" i="44"/>
  <c r="H43" i="44"/>
  <c r="G43" i="44"/>
  <c r="F43" i="44"/>
  <c r="E43" i="44"/>
  <c r="D43" i="44"/>
  <c r="C43" i="44"/>
  <c r="I41" i="44"/>
  <c r="U41" i="44" s="1"/>
  <c r="H41" i="44"/>
  <c r="G41" i="44"/>
  <c r="F41" i="44"/>
  <c r="E41" i="44"/>
  <c r="D41" i="44"/>
  <c r="C41" i="44"/>
  <c r="I39" i="44"/>
  <c r="U39" i="44" s="1"/>
  <c r="H39" i="44"/>
  <c r="G39" i="44"/>
  <c r="F39" i="44"/>
  <c r="E39" i="44"/>
  <c r="D39" i="44"/>
  <c r="C39" i="44"/>
  <c r="I38" i="44"/>
  <c r="U38" i="44" s="1"/>
  <c r="H38" i="44"/>
  <c r="G38" i="44"/>
  <c r="F38" i="44"/>
  <c r="E38" i="44"/>
  <c r="D38" i="44"/>
  <c r="C38" i="44"/>
  <c r="I37" i="44"/>
  <c r="U37" i="44" s="1"/>
  <c r="H37" i="44"/>
  <c r="G37" i="44"/>
  <c r="F37" i="44"/>
  <c r="E37" i="44"/>
  <c r="D37" i="44"/>
  <c r="C37" i="44"/>
  <c r="I36" i="44"/>
  <c r="U36" i="44" s="1"/>
  <c r="H36" i="44"/>
  <c r="G36" i="44"/>
  <c r="F36" i="44"/>
  <c r="E36" i="44"/>
  <c r="D36" i="44"/>
  <c r="C36" i="44"/>
  <c r="I35" i="44"/>
  <c r="U35" i="44" s="1"/>
  <c r="H35" i="44"/>
  <c r="G35" i="44"/>
  <c r="F35" i="44"/>
  <c r="E35" i="44"/>
  <c r="D35" i="44"/>
  <c r="C35" i="44"/>
  <c r="I34" i="44"/>
  <c r="U34" i="44" s="1"/>
  <c r="H34" i="44"/>
  <c r="G34" i="44"/>
  <c r="F34" i="44"/>
  <c r="E34" i="44"/>
  <c r="D34" i="44"/>
  <c r="C34" i="44"/>
  <c r="I33" i="44"/>
  <c r="U33" i="44" s="1"/>
  <c r="H33" i="44"/>
  <c r="G33" i="44"/>
  <c r="F33" i="44"/>
  <c r="E33" i="44"/>
  <c r="D33" i="44"/>
  <c r="C33" i="44"/>
  <c r="I32" i="44"/>
  <c r="H32" i="44"/>
  <c r="G32" i="44"/>
  <c r="F32" i="44"/>
  <c r="E32" i="44"/>
  <c r="D32" i="44"/>
  <c r="C32" i="44"/>
  <c r="I31" i="44"/>
  <c r="H31" i="44"/>
  <c r="G31" i="44"/>
  <c r="F31" i="44"/>
  <c r="E31" i="44"/>
  <c r="D31" i="44"/>
  <c r="C31" i="44"/>
  <c r="I29" i="44"/>
  <c r="U29" i="44" s="1"/>
  <c r="H29" i="44"/>
  <c r="G29" i="44"/>
  <c r="F29" i="44"/>
  <c r="E29" i="44"/>
  <c r="D29" i="44"/>
  <c r="C29" i="44"/>
  <c r="I27" i="44"/>
  <c r="U27" i="44" s="1"/>
  <c r="H27" i="44"/>
  <c r="G27" i="44"/>
  <c r="F27" i="44"/>
  <c r="E27" i="44"/>
  <c r="D27" i="44"/>
  <c r="C27" i="44"/>
  <c r="I25" i="44"/>
  <c r="H25" i="44"/>
  <c r="G25" i="44"/>
  <c r="F25" i="44"/>
  <c r="E25" i="44"/>
  <c r="D25" i="44"/>
  <c r="C25" i="44"/>
  <c r="I23" i="44"/>
  <c r="U23" i="44" s="1"/>
  <c r="H23" i="44"/>
  <c r="G23" i="44"/>
  <c r="F23" i="44"/>
  <c r="E23" i="44"/>
  <c r="D23" i="44"/>
  <c r="C23" i="44"/>
  <c r="I22" i="44"/>
  <c r="H22" i="44"/>
  <c r="G22" i="44"/>
  <c r="F22" i="44"/>
  <c r="E22" i="44"/>
  <c r="D22" i="44"/>
  <c r="C22" i="44"/>
  <c r="I21" i="44"/>
  <c r="H21" i="44"/>
  <c r="G21" i="44"/>
  <c r="F21" i="44"/>
  <c r="E21" i="44"/>
  <c r="D21" i="44"/>
  <c r="C21" i="44"/>
  <c r="I20" i="44"/>
  <c r="H20" i="44"/>
  <c r="G20" i="44"/>
  <c r="F20" i="44"/>
  <c r="E20" i="44"/>
  <c r="D20" i="44"/>
  <c r="C20" i="44"/>
  <c r="I19" i="44"/>
  <c r="H19" i="44"/>
  <c r="G19" i="44"/>
  <c r="F19" i="44"/>
  <c r="E19" i="44"/>
  <c r="D19" i="44"/>
  <c r="C19" i="44"/>
  <c r="I18" i="44"/>
  <c r="H18" i="44"/>
  <c r="G18" i="44"/>
  <c r="F18" i="44"/>
  <c r="E18" i="44"/>
  <c r="D18" i="44"/>
  <c r="C18" i="44"/>
  <c r="I13" i="44"/>
  <c r="U13" i="44" s="1"/>
  <c r="H13" i="44"/>
  <c r="G13" i="44"/>
  <c r="F13" i="44"/>
  <c r="E13" i="44"/>
  <c r="D13" i="44"/>
  <c r="C13" i="44"/>
  <c r="K11" i="44"/>
  <c r="I11" i="44"/>
  <c r="U11" i="44" s="1"/>
  <c r="H11" i="44"/>
  <c r="G11" i="44"/>
  <c r="F11" i="44"/>
  <c r="E11" i="44"/>
  <c r="D11" i="44"/>
  <c r="C11" i="44"/>
  <c r="I10" i="44"/>
  <c r="H10" i="44"/>
  <c r="G10" i="44"/>
  <c r="F10" i="44"/>
  <c r="E10" i="44"/>
  <c r="D10" i="44"/>
  <c r="C10" i="44"/>
  <c r="I9" i="44"/>
  <c r="H9" i="44"/>
  <c r="G9" i="44"/>
  <c r="F9" i="44"/>
  <c r="E9" i="44"/>
  <c r="D9" i="44"/>
  <c r="C9" i="44"/>
  <c r="I8" i="44"/>
  <c r="H8" i="44"/>
  <c r="G8" i="44"/>
  <c r="F8" i="44"/>
  <c r="E8" i="44"/>
  <c r="D8" i="44"/>
  <c r="C8" i="44"/>
  <c r="I7" i="44"/>
  <c r="H7" i="44"/>
  <c r="G7" i="44"/>
  <c r="F7" i="44"/>
  <c r="E7" i="44"/>
  <c r="D7" i="44"/>
  <c r="C7" i="44"/>
  <c r="R265" i="44" l="1"/>
  <c r="S265" i="44" s="1"/>
  <c r="Z265" i="44" s="1"/>
  <c r="R280" i="44"/>
  <c r="R267" i="44"/>
  <c r="R264" i="44" s="1"/>
  <c r="Z266" i="44"/>
  <c r="U266" i="44"/>
  <c r="Y266" i="44"/>
  <c r="U179" i="44"/>
  <c r="R214" i="44"/>
  <c r="U153" i="44"/>
  <c r="R196" i="44"/>
  <c r="R169" i="44"/>
  <c r="J150" i="44"/>
  <c r="U152" i="44"/>
  <c r="R179" i="44"/>
  <c r="S179" i="44" s="1"/>
  <c r="R166" i="44"/>
  <c r="S166" i="44" s="1"/>
  <c r="U149" i="44"/>
  <c r="R165" i="44"/>
  <c r="S165" i="44" s="1"/>
  <c r="U154" i="44"/>
  <c r="R161" i="44"/>
  <c r="S161" i="44" s="1"/>
  <c r="U167" i="44"/>
  <c r="R158" i="44"/>
  <c r="S158" i="44" s="1"/>
  <c r="R157" i="44"/>
  <c r="S157" i="44" s="1"/>
  <c r="U165" i="44"/>
  <c r="R167" i="44"/>
  <c r="S167" i="44" s="1"/>
  <c r="R164" i="44"/>
  <c r="S164" i="44" s="1"/>
  <c r="R156" i="44"/>
  <c r="R162" i="44"/>
  <c r="S162" i="44" s="1"/>
  <c r="R163" i="44"/>
  <c r="S163" i="44" s="1"/>
  <c r="R160" i="44"/>
  <c r="S160" i="44" s="1"/>
  <c r="U162" i="44"/>
  <c r="R159" i="44"/>
  <c r="S159" i="44" s="1"/>
  <c r="J166" i="44"/>
  <c r="K166" i="44"/>
  <c r="K151" i="44"/>
  <c r="R152" i="44"/>
  <c r="S152" i="44" s="1"/>
  <c r="R148" i="44"/>
  <c r="S148" i="44" s="1"/>
  <c r="J151" i="44"/>
  <c r="R145" i="44"/>
  <c r="R150" i="44"/>
  <c r="S150" i="44" s="1"/>
  <c r="R153" i="44"/>
  <c r="S153" i="44" s="1"/>
  <c r="R149" i="44"/>
  <c r="S149" i="44" s="1"/>
  <c r="R154" i="44"/>
  <c r="S154" i="44" s="1"/>
  <c r="R147" i="44"/>
  <c r="S147" i="44" s="1"/>
  <c r="K150" i="44"/>
  <c r="R146" i="44"/>
  <c r="S146" i="44" s="1"/>
  <c r="R151" i="44"/>
  <c r="S151" i="44" s="1"/>
  <c r="R135" i="44"/>
  <c r="S135" i="44" s="1"/>
  <c r="R107" i="44"/>
  <c r="R91" i="44"/>
  <c r="R74" i="44"/>
  <c r="R64" i="44"/>
  <c r="S64" i="44" s="1"/>
  <c r="R35" i="44"/>
  <c r="S35" i="44" s="1"/>
  <c r="R45" i="44"/>
  <c r="S45" i="44" s="1"/>
  <c r="R57" i="44"/>
  <c r="R72" i="44"/>
  <c r="S72" i="44" s="1"/>
  <c r="R65" i="44"/>
  <c r="S65" i="44" s="1"/>
  <c r="R69" i="44"/>
  <c r="S69" i="44" s="1"/>
  <c r="R71" i="44"/>
  <c r="S71" i="44" s="1"/>
  <c r="R63" i="44"/>
  <c r="S63" i="44" s="1"/>
  <c r="R62" i="44"/>
  <c r="S62" i="44" s="1"/>
  <c r="R61" i="44"/>
  <c r="S61" i="44" s="1"/>
  <c r="R60" i="44"/>
  <c r="S60" i="44" s="1"/>
  <c r="R59" i="44"/>
  <c r="S59" i="44" s="1"/>
  <c r="R67" i="44"/>
  <c r="S67" i="44" s="1"/>
  <c r="R58" i="44"/>
  <c r="S58" i="44" s="1"/>
  <c r="R66" i="44"/>
  <c r="S66" i="44" s="1"/>
  <c r="R68" i="44"/>
  <c r="S68" i="44" s="1"/>
  <c r="R70" i="44"/>
  <c r="S70" i="44" s="1"/>
  <c r="R33" i="44"/>
  <c r="S33" i="44" s="1"/>
  <c r="R43" i="44"/>
  <c r="R51" i="44"/>
  <c r="S51" i="44" s="1"/>
  <c r="R53" i="44"/>
  <c r="S53" i="44" s="1"/>
  <c r="R40" i="44"/>
  <c r="S40" i="44" s="1"/>
  <c r="R52" i="44"/>
  <c r="S52" i="44" s="1"/>
  <c r="R39" i="44"/>
  <c r="S39" i="44" s="1"/>
  <c r="R49" i="44"/>
  <c r="S49" i="44" s="1"/>
  <c r="R41" i="44"/>
  <c r="S41" i="44" s="1"/>
  <c r="R50" i="44"/>
  <c r="S50" i="44" s="1"/>
  <c r="R38" i="44"/>
  <c r="S38" i="44" s="1"/>
  <c r="R48" i="44"/>
  <c r="S48" i="44" s="1"/>
  <c r="R37" i="44"/>
  <c r="S37" i="44" s="1"/>
  <c r="R47" i="44"/>
  <c r="S47" i="44" s="1"/>
  <c r="R36" i="44"/>
  <c r="S36" i="44" s="1"/>
  <c r="R46" i="44"/>
  <c r="S46" i="44" s="1"/>
  <c r="R34" i="44"/>
  <c r="S34" i="44" s="1"/>
  <c r="R44" i="44"/>
  <c r="S44" i="44" s="1"/>
  <c r="R54" i="44"/>
  <c r="S54" i="44" s="1"/>
  <c r="R55" i="44"/>
  <c r="S55" i="44" s="1"/>
  <c r="R31" i="44"/>
  <c r="R18" i="44"/>
  <c r="R29" i="44"/>
  <c r="S29" i="44" s="1"/>
  <c r="R28" i="44"/>
  <c r="S28" i="44" s="1"/>
  <c r="R27" i="44"/>
  <c r="S27" i="44" s="1"/>
  <c r="R26" i="44"/>
  <c r="S26" i="44" s="1"/>
  <c r="R24" i="44"/>
  <c r="S24" i="44" s="1"/>
  <c r="R9" i="44"/>
  <c r="S9" i="44" s="1"/>
  <c r="R7" i="44"/>
  <c r="R13" i="44"/>
  <c r="S13" i="44" s="1"/>
  <c r="R14" i="44"/>
  <c r="S14" i="44" s="1"/>
  <c r="R11" i="44"/>
  <c r="S11" i="44" s="1"/>
  <c r="R10" i="44"/>
  <c r="S10" i="44" s="1"/>
  <c r="R15" i="44"/>
  <c r="S15" i="44" s="1"/>
  <c r="R16" i="44"/>
  <c r="S16" i="44" s="1"/>
  <c r="R8" i="44"/>
  <c r="R12" i="44"/>
  <c r="S12" i="44" s="1"/>
  <c r="AD310" i="44"/>
  <c r="AC310" i="44"/>
  <c r="R310" i="44"/>
  <c r="S310" i="44" s="1"/>
  <c r="U310" i="44"/>
  <c r="U309" i="44"/>
  <c r="AD309" i="44"/>
  <c r="AC309" i="44"/>
  <c r="R309" i="44"/>
  <c r="S309" i="44" s="1"/>
  <c r="AD308" i="44"/>
  <c r="AC308" i="44"/>
  <c r="R308" i="44"/>
  <c r="S308" i="44" s="1"/>
  <c r="U308" i="44"/>
  <c r="AD307" i="44"/>
  <c r="AC307" i="44"/>
  <c r="R307" i="44"/>
  <c r="S307" i="44" s="1"/>
  <c r="U307" i="44"/>
  <c r="AD306" i="44"/>
  <c r="AC306" i="44"/>
  <c r="R306" i="44"/>
  <c r="S306" i="44" s="1"/>
  <c r="U306" i="44"/>
  <c r="U305" i="44"/>
  <c r="AD305" i="44"/>
  <c r="AC305" i="44"/>
  <c r="R305" i="44"/>
  <c r="S305" i="44" s="1"/>
  <c r="AD304" i="44"/>
  <c r="AC304" i="44"/>
  <c r="R304" i="44"/>
  <c r="S304" i="44" s="1"/>
  <c r="U304" i="44"/>
  <c r="R303" i="44"/>
  <c r="S303" i="44" s="1"/>
  <c r="AD303" i="44"/>
  <c r="AC303" i="44"/>
  <c r="U303" i="44"/>
  <c r="AD302" i="44"/>
  <c r="AC302" i="44"/>
  <c r="R302" i="44"/>
  <c r="S302" i="44" s="1"/>
  <c r="U302" i="44"/>
  <c r="U296" i="44"/>
  <c r="AD296" i="44"/>
  <c r="AC296" i="44"/>
  <c r="R296" i="44"/>
  <c r="S296" i="44" s="1"/>
  <c r="AD295" i="44"/>
  <c r="AC295" i="44"/>
  <c r="U295" i="44"/>
  <c r="AD294" i="44"/>
  <c r="AC294" i="44"/>
  <c r="U294" i="44"/>
  <c r="AD293" i="44"/>
  <c r="AC293" i="44"/>
  <c r="R293" i="44"/>
  <c r="S293" i="44" s="1"/>
  <c r="U293" i="44"/>
  <c r="AD292" i="44"/>
  <c r="AC292" i="44"/>
  <c r="R292" i="44"/>
  <c r="S292" i="44" s="1"/>
  <c r="U292" i="44"/>
  <c r="AD291" i="44"/>
  <c r="AC291" i="44"/>
  <c r="R291" i="44"/>
  <c r="S291" i="44" s="1"/>
  <c r="U290" i="44"/>
  <c r="AD290" i="44"/>
  <c r="AC290" i="44"/>
  <c r="AD289" i="44"/>
  <c r="AC289" i="44"/>
  <c r="R289" i="44"/>
  <c r="S289" i="44" s="1"/>
  <c r="U289" i="44"/>
  <c r="U288" i="44"/>
  <c r="AD288" i="44"/>
  <c r="AC288" i="44"/>
  <c r="R295" i="44"/>
  <c r="S295" i="44" s="1"/>
  <c r="S281" i="44"/>
  <c r="K281" i="44"/>
  <c r="J281" i="44"/>
  <c r="S280" i="44"/>
  <c r="K280" i="44"/>
  <c r="J280" i="44"/>
  <c r="J279" i="44"/>
  <c r="S279" i="44"/>
  <c r="K279" i="44"/>
  <c r="S278" i="44"/>
  <c r="K278" i="44"/>
  <c r="J278" i="44"/>
  <c r="S277" i="44"/>
  <c r="K277" i="44"/>
  <c r="J277" i="44"/>
  <c r="J276" i="44"/>
  <c r="S276" i="44"/>
  <c r="K276" i="44"/>
  <c r="S275" i="44"/>
  <c r="J275" i="44"/>
  <c r="K275" i="44"/>
  <c r="AD274" i="44"/>
  <c r="AC274" i="44"/>
  <c r="S274" i="44"/>
  <c r="K274" i="44"/>
  <c r="J274" i="44"/>
  <c r="K273" i="44"/>
  <c r="S273" i="44"/>
  <c r="J273" i="44"/>
  <c r="S272" i="44"/>
  <c r="J272" i="44"/>
  <c r="K272" i="44"/>
  <c r="S271" i="44"/>
  <c r="K271" i="44"/>
  <c r="J271" i="44"/>
  <c r="K270" i="44"/>
  <c r="S270" i="44"/>
  <c r="J270" i="44"/>
  <c r="S269" i="44"/>
  <c r="K269" i="44"/>
  <c r="J269" i="44"/>
  <c r="J268" i="44"/>
  <c r="S268" i="44"/>
  <c r="K268" i="44"/>
  <c r="K267" i="44"/>
  <c r="J267" i="44"/>
  <c r="AB264" i="44"/>
  <c r="N264" i="44" s="1"/>
  <c r="K263" i="44"/>
  <c r="J263" i="44"/>
  <c r="J262" i="44"/>
  <c r="K262" i="44"/>
  <c r="K261" i="44"/>
  <c r="J261" i="44"/>
  <c r="K260" i="44"/>
  <c r="J260" i="44"/>
  <c r="K259" i="44"/>
  <c r="J259" i="44"/>
  <c r="J258" i="44"/>
  <c r="K258" i="44"/>
  <c r="K257" i="44"/>
  <c r="J257" i="44"/>
  <c r="K256" i="44"/>
  <c r="J256" i="44"/>
  <c r="AD255" i="44"/>
  <c r="AC255" i="44"/>
  <c r="K255" i="44"/>
  <c r="J255" i="44"/>
  <c r="J254" i="44"/>
  <c r="K254" i="44"/>
  <c r="K253" i="44"/>
  <c r="J253" i="44"/>
  <c r="K252" i="44"/>
  <c r="J252" i="44"/>
  <c r="J251" i="44"/>
  <c r="K251" i="44"/>
  <c r="R250" i="44"/>
  <c r="S250" i="44" s="1"/>
  <c r="K250" i="44"/>
  <c r="J250" i="44"/>
  <c r="R249" i="44"/>
  <c r="S249" i="44" s="1"/>
  <c r="K249" i="44"/>
  <c r="J249" i="44"/>
  <c r="R248" i="44"/>
  <c r="K248" i="44"/>
  <c r="J248" i="44"/>
  <c r="N247" i="44"/>
  <c r="K246" i="44"/>
  <c r="J246" i="44"/>
  <c r="K245" i="44"/>
  <c r="J245" i="44"/>
  <c r="J244" i="44"/>
  <c r="K244" i="44"/>
  <c r="R243" i="44"/>
  <c r="S243" i="44" s="1"/>
  <c r="K243" i="44"/>
  <c r="J243" i="44"/>
  <c r="K242" i="44"/>
  <c r="J242" i="44"/>
  <c r="K241" i="44"/>
  <c r="J241" i="44"/>
  <c r="J240" i="44"/>
  <c r="K240" i="44"/>
  <c r="R239" i="44"/>
  <c r="S239" i="44" s="1"/>
  <c r="K239" i="44"/>
  <c r="J239" i="44"/>
  <c r="AD238" i="44"/>
  <c r="AC238" i="44"/>
  <c r="K238" i="44"/>
  <c r="R238" i="44"/>
  <c r="S238" i="44" s="1"/>
  <c r="J238" i="44"/>
  <c r="K237" i="44"/>
  <c r="J237" i="44"/>
  <c r="R236" i="44"/>
  <c r="S236" i="44" s="1"/>
  <c r="K236" i="44"/>
  <c r="J236" i="44"/>
  <c r="K235" i="44"/>
  <c r="R235" i="44"/>
  <c r="S235" i="44" s="1"/>
  <c r="J235" i="44"/>
  <c r="K234" i="44"/>
  <c r="J234" i="44"/>
  <c r="J233" i="44"/>
  <c r="K233" i="44"/>
  <c r="R232" i="44"/>
  <c r="S232" i="44" s="1"/>
  <c r="K232" i="44"/>
  <c r="J232" i="44"/>
  <c r="K231" i="44"/>
  <c r="J231" i="44"/>
  <c r="AB230" i="44"/>
  <c r="N230" i="44" s="1"/>
  <c r="K229" i="44"/>
  <c r="J229" i="44"/>
  <c r="R228" i="44"/>
  <c r="S228" i="44" s="1"/>
  <c r="K228" i="44"/>
  <c r="J228" i="44"/>
  <c r="K227" i="44"/>
  <c r="J227" i="44"/>
  <c r="K226" i="44"/>
  <c r="J226" i="44"/>
  <c r="K225" i="44"/>
  <c r="J225" i="44"/>
  <c r="K224" i="44"/>
  <c r="R224" i="44"/>
  <c r="S224" i="44" s="1"/>
  <c r="J224" i="44"/>
  <c r="AD223" i="44"/>
  <c r="K223" i="44"/>
  <c r="R223" i="44"/>
  <c r="S223" i="44" s="1"/>
  <c r="J223" i="44"/>
  <c r="R222" i="44"/>
  <c r="S222" i="44" s="1"/>
  <c r="K222" i="44"/>
  <c r="J222" i="44"/>
  <c r="AD221" i="44"/>
  <c r="AC221" i="44"/>
  <c r="R221" i="44"/>
  <c r="S221" i="44" s="1"/>
  <c r="K221" i="44"/>
  <c r="J221" i="44"/>
  <c r="J220" i="44"/>
  <c r="R220" i="44"/>
  <c r="S220" i="44" s="1"/>
  <c r="K220" i="44"/>
  <c r="R219" i="44"/>
  <c r="S219" i="44" s="1"/>
  <c r="K219" i="44"/>
  <c r="J219" i="44"/>
  <c r="R218" i="44"/>
  <c r="S218" i="44" s="1"/>
  <c r="K218" i="44"/>
  <c r="J218" i="44"/>
  <c r="J217" i="44"/>
  <c r="R217" i="44"/>
  <c r="S217" i="44" s="1"/>
  <c r="K217" i="44"/>
  <c r="J216" i="44"/>
  <c r="R216" i="44"/>
  <c r="S216" i="44" s="1"/>
  <c r="K216" i="44"/>
  <c r="J215" i="44"/>
  <c r="R215" i="44"/>
  <c r="S215" i="44" s="1"/>
  <c r="K215" i="44"/>
  <c r="K214" i="44"/>
  <c r="J214" i="44"/>
  <c r="AB213" i="44"/>
  <c r="N213" i="44" s="1"/>
  <c r="K212" i="44"/>
  <c r="R212" i="44"/>
  <c r="S212" i="44" s="1"/>
  <c r="J212" i="44"/>
  <c r="R211" i="44"/>
  <c r="S211" i="44" s="1"/>
  <c r="K211" i="44"/>
  <c r="J211" i="44"/>
  <c r="R210" i="44"/>
  <c r="S210" i="44" s="1"/>
  <c r="K210" i="44"/>
  <c r="J210" i="44"/>
  <c r="J209" i="44"/>
  <c r="R209" i="44"/>
  <c r="S209" i="44" s="1"/>
  <c r="K209" i="44"/>
  <c r="J208" i="44"/>
  <c r="R208" i="44"/>
  <c r="S208" i="44" s="1"/>
  <c r="K208" i="44"/>
  <c r="J207" i="44"/>
  <c r="R207" i="44"/>
  <c r="S207" i="44" s="1"/>
  <c r="K207" i="44"/>
  <c r="K206" i="44"/>
  <c r="R206" i="44"/>
  <c r="S206" i="44" s="1"/>
  <c r="J206" i="44"/>
  <c r="K205" i="44"/>
  <c r="R205" i="44"/>
  <c r="S205" i="44" s="1"/>
  <c r="J205" i="44"/>
  <c r="AD204" i="44"/>
  <c r="AC204" i="44"/>
  <c r="K204" i="44"/>
  <c r="R204" i="44"/>
  <c r="S204" i="44" s="1"/>
  <c r="J204" i="44"/>
  <c r="R203" i="44"/>
  <c r="S203" i="44" s="1"/>
  <c r="K203" i="44"/>
  <c r="J203" i="44"/>
  <c r="K202" i="44"/>
  <c r="R202" i="44"/>
  <c r="S202" i="44" s="1"/>
  <c r="K201" i="44"/>
  <c r="R201" i="44"/>
  <c r="S201" i="44" s="1"/>
  <c r="R200" i="44"/>
  <c r="S200" i="44" s="1"/>
  <c r="K200" i="44"/>
  <c r="J200" i="44"/>
  <c r="R199" i="44"/>
  <c r="S199" i="44" s="1"/>
  <c r="K199" i="44"/>
  <c r="J199" i="44"/>
  <c r="J198" i="44"/>
  <c r="R198" i="44"/>
  <c r="S198" i="44" s="1"/>
  <c r="J197" i="44"/>
  <c r="R197" i="44"/>
  <c r="S197" i="44" s="1"/>
  <c r="K197" i="44"/>
  <c r="J196" i="44"/>
  <c r="K196" i="44"/>
  <c r="AB195" i="44"/>
  <c r="N195" i="44" s="1"/>
  <c r="K194" i="44"/>
  <c r="J194" i="44"/>
  <c r="K193" i="44"/>
  <c r="J193" i="44"/>
  <c r="K192" i="44"/>
  <c r="J192" i="44"/>
  <c r="K191" i="44"/>
  <c r="J191" i="44"/>
  <c r="J190" i="44"/>
  <c r="J189" i="44"/>
  <c r="K189" i="44"/>
  <c r="AD188" i="44"/>
  <c r="AC188" i="44"/>
  <c r="J188" i="44"/>
  <c r="R188" i="44"/>
  <c r="S188" i="44" s="1"/>
  <c r="K188" i="44"/>
  <c r="K187" i="44"/>
  <c r="J187" i="44"/>
  <c r="J186" i="44"/>
  <c r="K186" i="44"/>
  <c r="K185" i="44"/>
  <c r="J185" i="44"/>
  <c r="R186" i="44"/>
  <c r="S186" i="44" s="1"/>
  <c r="K184" i="44"/>
  <c r="R187" i="44"/>
  <c r="S187" i="44" s="1"/>
  <c r="J184" i="44"/>
  <c r="K183" i="44"/>
  <c r="J183" i="44"/>
  <c r="K182" i="44"/>
  <c r="R182" i="44"/>
  <c r="S182" i="44" s="1"/>
  <c r="R181" i="44"/>
  <c r="K181" i="44"/>
  <c r="J181" i="44"/>
  <c r="AB180" i="44"/>
  <c r="N180" i="44" s="1"/>
  <c r="R177" i="44"/>
  <c r="S177" i="44" s="1"/>
  <c r="R175" i="44"/>
  <c r="S175" i="44" s="1"/>
  <c r="R174" i="44"/>
  <c r="S174" i="44" s="1"/>
  <c r="K172" i="44"/>
  <c r="R172" i="44"/>
  <c r="S172" i="44" s="1"/>
  <c r="J172" i="44"/>
  <c r="K171" i="44"/>
  <c r="R171" i="44"/>
  <c r="S171" i="44" s="1"/>
  <c r="J171" i="44"/>
  <c r="R170" i="44"/>
  <c r="S170" i="44" s="1"/>
  <c r="K170" i="44"/>
  <c r="J170" i="44"/>
  <c r="R173" i="44"/>
  <c r="S173" i="44" s="1"/>
  <c r="K169" i="44"/>
  <c r="J169" i="44"/>
  <c r="AB168" i="44"/>
  <c r="N168" i="44" s="1"/>
  <c r="J164" i="44"/>
  <c r="K164" i="44"/>
  <c r="K163" i="44"/>
  <c r="J163" i="44"/>
  <c r="J161" i="44"/>
  <c r="K161" i="44"/>
  <c r="K160" i="44"/>
  <c r="J160" i="44"/>
  <c r="K159" i="44"/>
  <c r="J159" i="44"/>
  <c r="K158" i="44"/>
  <c r="J158" i="44"/>
  <c r="K157" i="44"/>
  <c r="J157" i="44"/>
  <c r="K156" i="44"/>
  <c r="J156" i="44"/>
  <c r="AB155" i="44"/>
  <c r="N155" i="44" s="1"/>
  <c r="K148" i="44"/>
  <c r="J148" i="44"/>
  <c r="J147" i="44"/>
  <c r="K147" i="44"/>
  <c r="K146" i="44"/>
  <c r="J146" i="44"/>
  <c r="J145" i="44"/>
  <c r="K145" i="44"/>
  <c r="AB144" i="44"/>
  <c r="N144" i="44" s="1"/>
  <c r="U138" i="44"/>
  <c r="U137" i="44"/>
  <c r="U136" i="44"/>
  <c r="U134" i="44"/>
  <c r="U133" i="44"/>
  <c r="U132" i="44"/>
  <c r="U131" i="44"/>
  <c r="U130" i="44"/>
  <c r="U129" i="44"/>
  <c r="U128" i="44"/>
  <c r="U127" i="44"/>
  <c r="U126" i="44"/>
  <c r="U125" i="44"/>
  <c r="R125" i="44"/>
  <c r="S125" i="44" s="1"/>
  <c r="U124" i="44"/>
  <c r="U123" i="44"/>
  <c r="AB122" i="44"/>
  <c r="N122" i="44" s="1"/>
  <c r="U121" i="44"/>
  <c r="U120" i="44"/>
  <c r="U119" i="44"/>
  <c r="U118" i="44"/>
  <c r="U117" i="44"/>
  <c r="U116" i="44"/>
  <c r="U115" i="44"/>
  <c r="U114" i="44"/>
  <c r="AD114" i="44"/>
  <c r="AC114" i="44"/>
  <c r="U113" i="44"/>
  <c r="U112" i="44"/>
  <c r="R112" i="44"/>
  <c r="S112" i="44" s="1"/>
  <c r="U111" i="44"/>
  <c r="U110" i="44"/>
  <c r="U109" i="44"/>
  <c r="U108" i="44"/>
  <c r="U107" i="44"/>
  <c r="AB106" i="44"/>
  <c r="N106" i="44" s="1"/>
  <c r="U105" i="44"/>
  <c r="U104" i="44"/>
  <c r="R104" i="44"/>
  <c r="S104" i="44" s="1"/>
  <c r="U103" i="44"/>
  <c r="R103" i="44"/>
  <c r="S103" i="44" s="1"/>
  <c r="U102" i="44"/>
  <c r="U101" i="44"/>
  <c r="U100" i="44"/>
  <c r="U99" i="44"/>
  <c r="R99" i="44"/>
  <c r="S99" i="44" s="1"/>
  <c r="U98" i="44"/>
  <c r="U97" i="44"/>
  <c r="R97" i="44"/>
  <c r="S97" i="44" s="1"/>
  <c r="U96" i="44"/>
  <c r="U95" i="44"/>
  <c r="R95" i="44"/>
  <c r="S95" i="44" s="1"/>
  <c r="U94" i="44"/>
  <c r="U93" i="44"/>
  <c r="R93" i="44"/>
  <c r="S93" i="44" s="1"/>
  <c r="U92" i="44"/>
  <c r="U91" i="44"/>
  <c r="AB90" i="44"/>
  <c r="N90" i="44" s="1"/>
  <c r="U89" i="44"/>
  <c r="R89" i="44"/>
  <c r="S89" i="44" s="1"/>
  <c r="U88" i="44"/>
  <c r="AD88" i="44"/>
  <c r="U87" i="44"/>
  <c r="AD87" i="44"/>
  <c r="R87" i="44"/>
  <c r="S87" i="44" s="1"/>
  <c r="U86" i="44"/>
  <c r="AD86" i="44"/>
  <c r="U85" i="44"/>
  <c r="AD85" i="44"/>
  <c r="R85" i="44"/>
  <c r="S85" i="44" s="1"/>
  <c r="U84" i="44"/>
  <c r="AD84" i="44"/>
  <c r="U83" i="44"/>
  <c r="R83" i="44"/>
  <c r="S83" i="44" s="1"/>
  <c r="U82" i="44"/>
  <c r="U81" i="44"/>
  <c r="AD81" i="44"/>
  <c r="AC81" i="44"/>
  <c r="R81" i="44"/>
  <c r="S81" i="44" s="1"/>
  <c r="U80" i="44"/>
  <c r="U79" i="44"/>
  <c r="R79" i="44"/>
  <c r="S79" i="44" s="1"/>
  <c r="U78" i="44"/>
  <c r="U77" i="44"/>
  <c r="R77" i="44"/>
  <c r="S77" i="44" s="1"/>
  <c r="U76" i="44"/>
  <c r="R76" i="44"/>
  <c r="S76" i="44" s="1"/>
  <c r="U75" i="44"/>
  <c r="R75" i="44"/>
  <c r="S75" i="44" s="1"/>
  <c r="U74" i="44"/>
  <c r="R88" i="44"/>
  <c r="S88" i="44" s="1"/>
  <c r="AB73" i="44"/>
  <c r="N73" i="44" s="1"/>
  <c r="U71" i="44"/>
  <c r="Q71" i="44"/>
  <c r="Q70" i="44"/>
  <c r="U70" i="44"/>
  <c r="U69" i="44"/>
  <c r="Q69" i="44"/>
  <c r="Q68" i="44"/>
  <c r="U68" i="44"/>
  <c r="U67" i="44"/>
  <c r="Q67" i="44"/>
  <c r="Q66" i="44"/>
  <c r="U66" i="44"/>
  <c r="U65" i="44"/>
  <c r="Q65" i="44"/>
  <c r="Q64" i="44"/>
  <c r="AD64" i="44"/>
  <c r="AC64" i="44"/>
  <c r="U64" i="44"/>
  <c r="U63" i="44"/>
  <c r="Q63" i="44"/>
  <c r="Q62" i="44"/>
  <c r="U62" i="44"/>
  <c r="U61" i="44"/>
  <c r="Q61" i="44"/>
  <c r="Q60" i="44"/>
  <c r="U60" i="44"/>
  <c r="U59" i="44"/>
  <c r="Q59" i="44"/>
  <c r="Q58" i="44"/>
  <c r="U58" i="44"/>
  <c r="U57" i="44"/>
  <c r="Q57" i="44"/>
  <c r="AB56" i="44"/>
  <c r="N56" i="44" s="1"/>
  <c r="U54" i="44"/>
  <c r="U53" i="44"/>
  <c r="U52" i="44"/>
  <c r="U51" i="44"/>
  <c r="AD50" i="44"/>
  <c r="AC50" i="44"/>
  <c r="U50" i="44"/>
  <c r="U49" i="44"/>
  <c r="U48" i="44"/>
  <c r="U47" i="44"/>
  <c r="U46" i="44"/>
  <c r="U45" i="44"/>
  <c r="U44" i="44"/>
  <c r="U43" i="44"/>
  <c r="AB42" i="44"/>
  <c r="N42" i="44" s="1"/>
  <c r="U32" i="44"/>
  <c r="U31" i="44"/>
  <c r="R32" i="44"/>
  <c r="S32" i="44" s="1"/>
  <c r="AB30" i="44"/>
  <c r="N30" i="44" s="1"/>
  <c r="U25" i="44"/>
  <c r="R25" i="44"/>
  <c r="S25" i="44" s="1"/>
  <c r="R23" i="44"/>
  <c r="S23" i="44" s="1"/>
  <c r="U22" i="44"/>
  <c r="R22" i="44"/>
  <c r="S22" i="44" s="1"/>
  <c r="U21" i="44"/>
  <c r="R21" i="44"/>
  <c r="S21" i="44" s="1"/>
  <c r="U20" i="44"/>
  <c r="R20" i="44"/>
  <c r="S20" i="44" s="1"/>
  <c r="U19" i="44"/>
  <c r="R19" i="44"/>
  <c r="S19" i="44" s="1"/>
  <c r="U18" i="44"/>
  <c r="AB17" i="44"/>
  <c r="N17" i="44" s="1"/>
  <c r="U10" i="44"/>
  <c r="U9" i="44"/>
  <c r="U8" i="44"/>
  <c r="U7" i="44"/>
  <c r="AB6" i="44"/>
  <c r="N6" i="44" s="1"/>
  <c r="Q232" i="28"/>
  <c r="Q233" i="28"/>
  <c r="Q234" i="28"/>
  <c r="Q235" i="28"/>
  <c r="Q236" i="28"/>
  <c r="Q237" i="28"/>
  <c r="Q238" i="28"/>
  <c r="Q239" i="28"/>
  <c r="Q231" i="28"/>
  <c r="O232" i="28"/>
  <c r="O233" i="28"/>
  <c r="O234" i="28"/>
  <c r="O235" i="28"/>
  <c r="O236" i="28"/>
  <c r="O237" i="28"/>
  <c r="O238" i="28"/>
  <c r="O239" i="28"/>
  <c r="O231" i="28"/>
  <c r="N232" i="28"/>
  <c r="N233" i="28"/>
  <c r="N234" i="28"/>
  <c r="N235" i="28"/>
  <c r="N236" i="28"/>
  <c r="N237" i="28"/>
  <c r="N238" i="28"/>
  <c r="N239" i="28"/>
  <c r="N231" i="28"/>
  <c r="S275" i="29"/>
  <c r="R275" i="29"/>
  <c r="Q276" i="29"/>
  <c r="Q277" i="29"/>
  <c r="Q278" i="29"/>
  <c r="Q279" i="29"/>
  <c r="Q280" i="29"/>
  <c r="Q281" i="29"/>
  <c r="Q282" i="29"/>
  <c r="Q283" i="29"/>
  <c r="Q275" i="29"/>
  <c r="O276" i="29"/>
  <c r="O277" i="29"/>
  <c r="O278" i="29"/>
  <c r="O279" i="29"/>
  <c r="O280" i="29"/>
  <c r="O281" i="29"/>
  <c r="O282" i="29"/>
  <c r="O283" i="29"/>
  <c r="O275" i="29"/>
  <c r="N276" i="29"/>
  <c r="N277" i="29"/>
  <c r="N278" i="29"/>
  <c r="N279" i="29"/>
  <c r="N280" i="29"/>
  <c r="N281" i="29"/>
  <c r="N282" i="29"/>
  <c r="N283" i="29"/>
  <c r="N275" i="29"/>
  <c r="G297" i="29"/>
  <c r="F297" i="29"/>
  <c r="E297" i="29"/>
  <c r="D297" i="29"/>
  <c r="C297" i="29"/>
  <c r="B297" i="29"/>
  <c r="G296" i="29"/>
  <c r="F296" i="29"/>
  <c r="E296" i="29"/>
  <c r="D296" i="29"/>
  <c r="C296" i="29"/>
  <c r="B296" i="29"/>
  <c r="G295" i="29"/>
  <c r="F295" i="29"/>
  <c r="E295" i="29"/>
  <c r="D295" i="29"/>
  <c r="C295" i="29"/>
  <c r="B295" i="29"/>
  <c r="G294" i="29"/>
  <c r="F294" i="29"/>
  <c r="E294" i="29"/>
  <c r="D294" i="29"/>
  <c r="C294" i="29"/>
  <c r="B294" i="29"/>
  <c r="G293" i="29"/>
  <c r="F293" i="29"/>
  <c r="E293" i="29"/>
  <c r="D293" i="29"/>
  <c r="C293" i="29"/>
  <c r="B293" i="29"/>
  <c r="G292" i="29"/>
  <c r="F292" i="29"/>
  <c r="E292" i="29"/>
  <c r="D292" i="29"/>
  <c r="C292" i="29"/>
  <c r="B292" i="29"/>
  <c r="G291" i="29"/>
  <c r="F291" i="29"/>
  <c r="E291" i="29"/>
  <c r="D291" i="29"/>
  <c r="C291" i="29"/>
  <c r="B291" i="29"/>
  <c r="G290" i="29"/>
  <c r="F290" i="29"/>
  <c r="E290" i="29"/>
  <c r="D290" i="29"/>
  <c r="C290" i="29"/>
  <c r="B290" i="29"/>
  <c r="G289" i="29"/>
  <c r="F289" i="29"/>
  <c r="E289" i="29"/>
  <c r="D289" i="29"/>
  <c r="C289" i="29"/>
  <c r="B289" i="29"/>
  <c r="G283" i="29"/>
  <c r="F283" i="29"/>
  <c r="E283" i="29"/>
  <c r="D283" i="29"/>
  <c r="C283" i="29"/>
  <c r="B283" i="29"/>
  <c r="G282" i="29"/>
  <c r="F282" i="29"/>
  <c r="E282" i="29"/>
  <c r="D282" i="29"/>
  <c r="C282" i="29"/>
  <c r="B282" i="29"/>
  <c r="G281" i="29"/>
  <c r="F281" i="29"/>
  <c r="E281" i="29"/>
  <c r="D281" i="29"/>
  <c r="C281" i="29"/>
  <c r="B281" i="29"/>
  <c r="G280" i="29"/>
  <c r="F280" i="29"/>
  <c r="E280" i="29"/>
  <c r="D280" i="29"/>
  <c r="C280" i="29"/>
  <c r="B280" i="29"/>
  <c r="G279" i="29"/>
  <c r="F279" i="29"/>
  <c r="E279" i="29"/>
  <c r="D279" i="29"/>
  <c r="C279" i="29"/>
  <c r="B279" i="29"/>
  <c r="G278" i="29"/>
  <c r="F278" i="29"/>
  <c r="E278" i="29"/>
  <c r="D278" i="29"/>
  <c r="C278" i="29"/>
  <c r="B278" i="29"/>
  <c r="G277" i="29"/>
  <c r="F277" i="29"/>
  <c r="E277" i="29"/>
  <c r="D277" i="29"/>
  <c r="C277" i="29"/>
  <c r="B277" i="29"/>
  <c r="G276" i="29"/>
  <c r="F276" i="29"/>
  <c r="E276" i="29"/>
  <c r="D276" i="29"/>
  <c r="C276" i="29"/>
  <c r="B276" i="29"/>
  <c r="G275" i="29"/>
  <c r="F275" i="29"/>
  <c r="E275" i="29"/>
  <c r="D275" i="29"/>
  <c r="C275" i="29"/>
  <c r="B275" i="29"/>
  <c r="Y265" i="44" l="1"/>
  <c r="Z175" i="44"/>
  <c r="Y172" i="44"/>
  <c r="Z173" i="44"/>
  <c r="Z177" i="44"/>
  <c r="Z172" i="44"/>
  <c r="Y175" i="44"/>
  <c r="Z174" i="44"/>
  <c r="Y174" i="44"/>
  <c r="Y177" i="44"/>
  <c r="Y179" i="44"/>
  <c r="Z179" i="44"/>
  <c r="Y173" i="44"/>
  <c r="Z152" i="44"/>
  <c r="Z161" i="44"/>
  <c r="Z163" i="44"/>
  <c r="Z162" i="44"/>
  <c r="Z160" i="44"/>
  <c r="Z166" i="44"/>
  <c r="Z167" i="44"/>
  <c r="Z165" i="44"/>
  <c r="Y161" i="44"/>
  <c r="U151" i="44"/>
  <c r="Y162" i="44"/>
  <c r="Y165" i="44"/>
  <c r="Z159" i="44"/>
  <c r="Z164" i="44"/>
  <c r="U163" i="44"/>
  <c r="Y163" i="44"/>
  <c r="U158" i="44"/>
  <c r="Y160" i="44"/>
  <c r="U160" i="44"/>
  <c r="U166" i="44"/>
  <c r="Y166" i="44"/>
  <c r="Y167" i="44"/>
  <c r="U159" i="44"/>
  <c r="Y159" i="44"/>
  <c r="Y164" i="44"/>
  <c r="U164" i="44"/>
  <c r="Z151" i="44"/>
  <c r="Z150" i="44"/>
  <c r="Y152" i="44"/>
  <c r="Z147" i="44"/>
  <c r="Z148" i="44"/>
  <c r="Y150" i="44"/>
  <c r="Y15" i="44"/>
  <c r="Y151" i="44"/>
  <c r="Z149" i="44"/>
  <c r="Y149" i="44"/>
  <c r="U148" i="44"/>
  <c r="Y148" i="44"/>
  <c r="Y153" i="44"/>
  <c r="Z153" i="44"/>
  <c r="R144" i="44"/>
  <c r="Y147" i="44"/>
  <c r="U147" i="44"/>
  <c r="Y154" i="44"/>
  <c r="Z154" i="44"/>
  <c r="Y99" i="44"/>
  <c r="Y125" i="44"/>
  <c r="Y93" i="44"/>
  <c r="Z103" i="44"/>
  <c r="Z125" i="44"/>
  <c r="Y135" i="44"/>
  <c r="Z135" i="44"/>
  <c r="Y97" i="44"/>
  <c r="Z37" i="44"/>
  <c r="Z51" i="44"/>
  <c r="Z52" i="44"/>
  <c r="Z35" i="44"/>
  <c r="Y104" i="44"/>
  <c r="Y40" i="44"/>
  <c r="Z95" i="44"/>
  <c r="Z97" i="44"/>
  <c r="Y103" i="44"/>
  <c r="Z99" i="44"/>
  <c r="Y95" i="44"/>
  <c r="Z93" i="44"/>
  <c r="Z104" i="44"/>
  <c r="Y38" i="44"/>
  <c r="Y35" i="44"/>
  <c r="Y39" i="44"/>
  <c r="Y26" i="44"/>
  <c r="Z38" i="44"/>
  <c r="Y54" i="44"/>
  <c r="Y37" i="44"/>
  <c r="Z89" i="44"/>
  <c r="Z27" i="44"/>
  <c r="Z40" i="44"/>
  <c r="Y53" i="44"/>
  <c r="Y41" i="44"/>
  <c r="Z34" i="44"/>
  <c r="Z29" i="44"/>
  <c r="Z39" i="44"/>
  <c r="Y51" i="44"/>
  <c r="Y50" i="44"/>
  <c r="Z25" i="44"/>
  <c r="Z41" i="44"/>
  <c r="Z33" i="44"/>
  <c r="Z36" i="44"/>
  <c r="Z49" i="44"/>
  <c r="Y49" i="44"/>
  <c r="Y89" i="44"/>
  <c r="Y34" i="44"/>
  <c r="Y72" i="44"/>
  <c r="Z72" i="44"/>
  <c r="Z54" i="44"/>
  <c r="Z53" i="44"/>
  <c r="Y36" i="44"/>
  <c r="Y33" i="44"/>
  <c r="Y52" i="44"/>
  <c r="Y55" i="44"/>
  <c r="Z55" i="44"/>
  <c r="Z50" i="44"/>
  <c r="R42" i="44"/>
  <c r="R30" i="44"/>
  <c r="Z24" i="44"/>
  <c r="Y28" i="44"/>
  <c r="Z26" i="44"/>
  <c r="Y10" i="44"/>
  <c r="Y24" i="44"/>
  <c r="Y21" i="44"/>
  <c r="Y23" i="44"/>
  <c r="Y27" i="44"/>
  <c r="Z28" i="44"/>
  <c r="Z13" i="44"/>
  <c r="Y13" i="44"/>
  <c r="Z12" i="44"/>
  <c r="Y29" i="44"/>
  <c r="Z20" i="44"/>
  <c r="Z22" i="44"/>
  <c r="Z44" i="44"/>
  <c r="Y25" i="44"/>
  <c r="Z23" i="44"/>
  <c r="Y22" i="44"/>
  <c r="Z21" i="44"/>
  <c r="Y20" i="44"/>
  <c r="R17" i="44"/>
  <c r="R6" i="44"/>
  <c r="Z9" i="44"/>
  <c r="Z11" i="44"/>
  <c r="Y32" i="44"/>
  <c r="Z15" i="44"/>
  <c r="Y16" i="44"/>
  <c r="Y14" i="44"/>
  <c r="Z48" i="44"/>
  <c r="Y11" i="44"/>
  <c r="Y9" i="44"/>
  <c r="Z16" i="44"/>
  <c r="Z14" i="44"/>
  <c r="Z10" i="44"/>
  <c r="Y12" i="44"/>
  <c r="U263" i="44"/>
  <c r="U245" i="44"/>
  <c r="U229" i="44"/>
  <c r="U237" i="44"/>
  <c r="U183" i="44"/>
  <c r="U189" i="44"/>
  <c r="U197" i="44"/>
  <c r="U238" i="44"/>
  <c r="Y270" i="44"/>
  <c r="U235" i="44"/>
  <c r="U256" i="44"/>
  <c r="U185" i="44"/>
  <c r="Z19" i="44"/>
  <c r="Y19" i="44"/>
  <c r="Y44" i="44"/>
  <c r="Z58" i="44"/>
  <c r="Y59" i="44"/>
  <c r="Y67" i="44"/>
  <c r="Z75" i="44"/>
  <c r="Y81" i="44"/>
  <c r="Z83" i="44"/>
  <c r="Y88" i="44"/>
  <c r="Y45" i="44"/>
  <c r="Z63" i="44"/>
  <c r="Y64" i="44"/>
  <c r="Z67" i="44"/>
  <c r="Y75" i="44"/>
  <c r="Z46" i="44"/>
  <c r="Z60" i="44"/>
  <c r="Y61" i="44"/>
  <c r="Y63" i="44"/>
  <c r="Y69" i="44"/>
  <c r="Y76" i="44"/>
  <c r="Y85" i="44"/>
  <c r="Z87" i="44"/>
  <c r="Z69" i="44"/>
  <c r="Y79" i="44"/>
  <c r="Z81" i="44"/>
  <c r="Z32" i="44"/>
  <c r="S43" i="44"/>
  <c r="Y43" i="44" s="1"/>
  <c r="Z47" i="44"/>
  <c r="Y48" i="44"/>
  <c r="Y58" i="44"/>
  <c r="Z62" i="44"/>
  <c r="Y71" i="44"/>
  <c r="S8" i="44"/>
  <c r="Y8" i="44" s="1"/>
  <c r="Z59" i="44"/>
  <c r="Z65" i="44"/>
  <c r="Z71" i="44"/>
  <c r="Z77" i="44"/>
  <c r="Y83" i="44"/>
  <c r="Z85" i="44"/>
  <c r="Z88" i="44"/>
  <c r="Z45" i="44"/>
  <c r="Y46" i="44"/>
  <c r="Y60" i="44"/>
  <c r="Z64" i="44"/>
  <c r="Y65" i="44"/>
  <c r="Y77" i="44"/>
  <c r="Z79" i="44"/>
  <c r="Y47" i="44"/>
  <c r="S57" i="44"/>
  <c r="Y57" i="44" s="1"/>
  <c r="Z61" i="44"/>
  <c r="Y62" i="44"/>
  <c r="Z76" i="44"/>
  <c r="Y87" i="44"/>
  <c r="S91" i="44"/>
  <c r="Z91" i="44" s="1"/>
  <c r="R108" i="44"/>
  <c r="S108" i="44" s="1"/>
  <c r="Y108" i="44" s="1"/>
  <c r="R116" i="44"/>
  <c r="S116" i="44" s="1"/>
  <c r="Z116" i="44" s="1"/>
  <c r="R129" i="44"/>
  <c r="S129" i="44" s="1"/>
  <c r="U156" i="44"/>
  <c r="Z157" i="44"/>
  <c r="Y158" i="44"/>
  <c r="Z171" i="44"/>
  <c r="U181" i="44"/>
  <c r="Y186" i="44"/>
  <c r="Y187" i="44"/>
  <c r="R96" i="44"/>
  <c r="S96" i="44" s="1"/>
  <c r="R98" i="44"/>
  <c r="S98" i="44" s="1"/>
  <c r="R100" i="44"/>
  <c r="S100" i="44" s="1"/>
  <c r="R105" i="44"/>
  <c r="S105" i="44" s="1"/>
  <c r="S107" i="44"/>
  <c r="Y107" i="44" s="1"/>
  <c r="Y112" i="44"/>
  <c r="R136" i="44"/>
  <c r="S136" i="44" s="1"/>
  <c r="U145" i="44"/>
  <c r="R155" i="44"/>
  <c r="S156" i="44"/>
  <c r="Y156" i="44" s="1"/>
  <c r="Y157" i="44"/>
  <c r="U157" i="44"/>
  <c r="Y170" i="44"/>
  <c r="U170" i="44"/>
  <c r="R114" i="44"/>
  <c r="S114" i="44" s="1"/>
  <c r="Z114" i="44" s="1"/>
  <c r="Z158" i="44"/>
  <c r="Z199" i="44"/>
  <c r="Z66" i="44"/>
  <c r="Z68" i="44"/>
  <c r="Z70" i="44"/>
  <c r="R92" i="44"/>
  <c r="S92" i="44" s="1"/>
  <c r="Y92" i="44" s="1"/>
  <c r="R94" i="44"/>
  <c r="S94" i="44" s="1"/>
  <c r="R101" i="44"/>
  <c r="S101" i="44" s="1"/>
  <c r="R121" i="44"/>
  <c r="S121" i="44" s="1"/>
  <c r="Y121" i="44" s="1"/>
  <c r="R123" i="44"/>
  <c r="R134" i="44"/>
  <c r="S134" i="44" s="1"/>
  <c r="R132" i="44"/>
  <c r="S132" i="44" s="1"/>
  <c r="R130" i="44"/>
  <c r="S130" i="44" s="1"/>
  <c r="R128" i="44"/>
  <c r="S128" i="44" s="1"/>
  <c r="R126" i="44"/>
  <c r="S126" i="44" s="1"/>
  <c r="R124" i="44"/>
  <c r="S124" i="44" s="1"/>
  <c r="Y124" i="44" s="1"/>
  <c r="R131" i="44"/>
  <c r="S131" i="44" s="1"/>
  <c r="Z146" i="44"/>
  <c r="Z112" i="44"/>
  <c r="R120" i="44"/>
  <c r="S120" i="44" s="1"/>
  <c r="Z120" i="44" s="1"/>
  <c r="S145" i="44"/>
  <c r="Z145" i="44" s="1"/>
  <c r="Y146" i="44"/>
  <c r="U146" i="44"/>
  <c r="U177" i="44"/>
  <c r="R138" i="44"/>
  <c r="S138" i="44" s="1"/>
  <c r="Z202" i="44"/>
  <c r="R78" i="44"/>
  <c r="S78" i="44" s="1"/>
  <c r="Z78" i="44" s="1"/>
  <c r="R80" i="44"/>
  <c r="S80" i="44" s="1"/>
  <c r="Y80" i="44" s="1"/>
  <c r="R82" i="44"/>
  <c r="S82" i="44" s="1"/>
  <c r="Y82" i="44" s="1"/>
  <c r="R84" i="44"/>
  <c r="S84" i="44" s="1"/>
  <c r="Z84" i="44" s="1"/>
  <c r="R86" i="44"/>
  <c r="S86" i="44" s="1"/>
  <c r="Z86" i="44" s="1"/>
  <c r="R102" i="44"/>
  <c r="S102" i="44" s="1"/>
  <c r="R110" i="44"/>
  <c r="S110" i="44" s="1"/>
  <c r="Y110" i="44" s="1"/>
  <c r="R118" i="44"/>
  <c r="S118" i="44" s="1"/>
  <c r="Z118" i="44" s="1"/>
  <c r="R133" i="44"/>
  <c r="S133" i="44" s="1"/>
  <c r="U169" i="44"/>
  <c r="Z170" i="44"/>
  <c r="Y171" i="44"/>
  <c r="U178" i="44"/>
  <c r="U188" i="44"/>
  <c r="Y188" i="44"/>
  <c r="R109" i="44"/>
  <c r="S109" i="44" s="1"/>
  <c r="Y109" i="44" s="1"/>
  <c r="R127" i="44"/>
  <c r="S127" i="44" s="1"/>
  <c r="R137" i="44"/>
  <c r="S137" i="44" s="1"/>
  <c r="R111" i="44"/>
  <c r="S111" i="44" s="1"/>
  <c r="Y111" i="44" s="1"/>
  <c r="R113" i="44"/>
  <c r="S113" i="44" s="1"/>
  <c r="Y113" i="44" s="1"/>
  <c r="R115" i="44"/>
  <c r="S115" i="44" s="1"/>
  <c r="Y115" i="44" s="1"/>
  <c r="R117" i="44"/>
  <c r="S117" i="44" s="1"/>
  <c r="Y117" i="44" s="1"/>
  <c r="R119" i="44"/>
  <c r="S119" i="44" s="1"/>
  <c r="Y119" i="44" s="1"/>
  <c r="U172" i="44"/>
  <c r="S181" i="44"/>
  <c r="Y181" i="44" s="1"/>
  <c r="R185" i="44"/>
  <c r="S185" i="44" s="1"/>
  <c r="Z185" i="44" s="1"/>
  <c r="R189" i="44"/>
  <c r="S189" i="44" s="1"/>
  <c r="Y189" i="44" s="1"/>
  <c r="Y202" i="44"/>
  <c r="Y203" i="44"/>
  <c r="U203" i="44"/>
  <c r="U208" i="44"/>
  <c r="Y208" i="44"/>
  <c r="Z218" i="44"/>
  <c r="U225" i="44"/>
  <c r="U176" i="44"/>
  <c r="R184" i="44"/>
  <c r="S184" i="44" s="1"/>
  <c r="Y184" i="44" s="1"/>
  <c r="Z186" i="44"/>
  <c r="U192" i="44"/>
  <c r="R194" i="44"/>
  <c r="S194" i="44" s="1"/>
  <c r="Y194" i="44" s="1"/>
  <c r="Z198" i="44"/>
  <c r="Z204" i="44"/>
  <c r="Z207" i="44"/>
  <c r="Z209" i="44"/>
  <c r="U216" i="44"/>
  <c r="Y216" i="44"/>
  <c r="Z221" i="44"/>
  <c r="Z224" i="44"/>
  <c r="U224" i="44"/>
  <c r="U226" i="44"/>
  <c r="Y235" i="44"/>
  <c r="U241" i="44"/>
  <c r="Y182" i="44"/>
  <c r="R192" i="44"/>
  <c r="S192" i="44" s="1"/>
  <c r="Y192" i="44" s="1"/>
  <c r="Y199" i="44"/>
  <c r="U199" i="44"/>
  <c r="Z206" i="44"/>
  <c r="Y210" i="44"/>
  <c r="U210" i="44"/>
  <c r="Z211" i="44"/>
  <c r="Z215" i="44"/>
  <c r="Z217" i="44"/>
  <c r="Y238" i="44"/>
  <c r="U255" i="44"/>
  <c r="U260" i="44"/>
  <c r="Z187" i="44"/>
  <c r="U191" i="44"/>
  <c r="U194" i="44"/>
  <c r="U196" i="44"/>
  <c r="Z200" i="44"/>
  <c r="Y205" i="44"/>
  <c r="Y212" i="44"/>
  <c r="Y218" i="44"/>
  <c r="U218" i="44"/>
  <c r="Z219" i="44"/>
  <c r="Z220" i="44"/>
  <c r="Z228" i="44"/>
  <c r="Z243" i="44"/>
  <c r="U248" i="44"/>
  <c r="R176" i="44"/>
  <c r="S176" i="44" s="1"/>
  <c r="J182" i="44"/>
  <c r="Z182" i="44" s="1"/>
  <c r="Z188" i="44"/>
  <c r="K190" i="44"/>
  <c r="R191" i="44"/>
  <c r="S191" i="44" s="1"/>
  <c r="Z191" i="44" s="1"/>
  <c r="Z197" i="44"/>
  <c r="K198" i="44"/>
  <c r="Y207" i="44"/>
  <c r="U207" i="44"/>
  <c r="Y209" i="44"/>
  <c r="U209" i="44"/>
  <c r="Y221" i="44"/>
  <c r="U221" i="44"/>
  <c r="Z222" i="44"/>
  <c r="U227" i="44"/>
  <c r="U242" i="44"/>
  <c r="U171" i="44"/>
  <c r="U175" i="44"/>
  <c r="U184" i="44"/>
  <c r="Y201" i="44"/>
  <c r="Z203" i="44"/>
  <c r="Z208" i="44"/>
  <c r="Y211" i="44"/>
  <c r="U211" i="44"/>
  <c r="Z212" i="44"/>
  <c r="S214" i="44"/>
  <c r="Z214" i="44" s="1"/>
  <c r="Y215" i="44"/>
  <c r="U215" i="44"/>
  <c r="Y217" i="44"/>
  <c r="U217" i="44"/>
  <c r="Y223" i="44"/>
  <c r="Z239" i="44"/>
  <c r="U246" i="44"/>
  <c r="Z250" i="44"/>
  <c r="R178" i="44"/>
  <c r="S178" i="44" s="1"/>
  <c r="R183" i="44"/>
  <c r="S183" i="44" s="1"/>
  <c r="Y183" i="44" s="1"/>
  <c r="R193" i="44"/>
  <c r="S193" i="44" s="1"/>
  <c r="Y193" i="44" s="1"/>
  <c r="R195" i="44"/>
  <c r="S196" i="44"/>
  <c r="Y196" i="44" s="1"/>
  <c r="Y200" i="44"/>
  <c r="U200" i="44"/>
  <c r="Y206" i="44"/>
  <c r="Z216" i="44"/>
  <c r="Y219" i="44"/>
  <c r="Y220" i="44"/>
  <c r="U220" i="44"/>
  <c r="U231" i="44"/>
  <c r="Z232" i="44"/>
  <c r="U232" i="44"/>
  <c r="U249" i="44"/>
  <c r="Y249" i="44"/>
  <c r="U187" i="44"/>
  <c r="R190" i="44"/>
  <c r="S190" i="44" s="1"/>
  <c r="Z190" i="44" s="1"/>
  <c r="Y197" i="44"/>
  <c r="J201" i="44"/>
  <c r="Z201" i="44" s="1"/>
  <c r="Y204" i="44"/>
  <c r="Z205" i="44"/>
  <c r="Z210" i="44"/>
  <c r="Y222" i="44"/>
  <c r="U222" i="44"/>
  <c r="Z223" i="44"/>
  <c r="Y224" i="44"/>
  <c r="U259" i="44"/>
  <c r="R233" i="44"/>
  <c r="S233" i="44" s="1"/>
  <c r="Y233" i="44" s="1"/>
  <c r="R252" i="44"/>
  <c r="S252" i="44" s="1"/>
  <c r="Y252" i="44" s="1"/>
  <c r="U262" i="44"/>
  <c r="Z274" i="44"/>
  <c r="Z278" i="44"/>
  <c r="Y280" i="44"/>
  <c r="U280" i="44"/>
  <c r="Y281" i="44"/>
  <c r="U281" i="44"/>
  <c r="Z291" i="44"/>
  <c r="U206" i="44"/>
  <c r="U214" i="44"/>
  <c r="R241" i="44"/>
  <c r="S241" i="44" s="1"/>
  <c r="Z241" i="44" s="1"/>
  <c r="S248" i="44"/>
  <c r="Y248" i="44" s="1"/>
  <c r="Z249" i="44"/>
  <c r="R254" i="44"/>
  <c r="S254" i="44" s="1"/>
  <c r="Y254" i="44" s="1"/>
  <c r="Z271" i="44"/>
  <c r="Y274" i="44"/>
  <c r="U274" i="44"/>
  <c r="Z276" i="44"/>
  <c r="Y277" i="44"/>
  <c r="U277" i="44"/>
  <c r="Y278" i="44"/>
  <c r="U278" i="44"/>
  <c r="Z279" i="44"/>
  <c r="Z293" i="44"/>
  <c r="Y228" i="44"/>
  <c r="U228" i="44"/>
  <c r="R245" i="44"/>
  <c r="S245" i="44" s="1"/>
  <c r="Z245" i="44" s="1"/>
  <c r="U251" i="44"/>
  <c r="R256" i="44"/>
  <c r="S256" i="44" s="1"/>
  <c r="Y256" i="44" s="1"/>
  <c r="R258" i="44"/>
  <c r="S258" i="44" s="1"/>
  <c r="Z258" i="44" s="1"/>
  <c r="U267" i="44"/>
  <c r="U270" i="44"/>
  <c r="Y271" i="44"/>
  <c r="U271" i="44"/>
  <c r="Y273" i="44"/>
  <c r="Y289" i="44"/>
  <c r="Y292" i="44"/>
  <c r="Z296" i="44"/>
  <c r="U193" i="44"/>
  <c r="U204" i="44"/>
  <c r="U212" i="44"/>
  <c r="R229" i="44"/>
  <c r="S229" i="44" s="1"/>
  <c r="Y229" i="44" s="1"/>
  <c r="R231" i="44"/>
  <c r="U234" i="44"/>
  <c r="Z236" i="44"/>
  <c r="U240" i="44"/>
  <c r="U257" i="44"/>
  <c r="R260" i="44"/>
  <c r="S260" i="44" s="1"/>
  <c r="Y260" i="44" s="1"/>
  <c r="R262" i="44"/>
  <c r="S262" i="44" s="1"/>
  <c r="Z262" i="44" s="1"/>
  <c r="Z268" i="44"/>
  <c r="U275" i="44"/>
  <c r="Y275" i="44"/>
  <c r="Y296" i="44"/>
  <c r="U223" i="44"/>
  <c r="R234" i="44"/>
  <c r="S234" i="44" s="1"/>
  <c r="Z234" i="44" s="1"/>
  <c r="Y236" i="44"/>
  <c r="R237" i="44"/>
  <c r="S237" i="44" s="1"/>
  <c r="Y237" i="44" s="1"/>
  <c r="Y239" i="44"/>
  <c r="U239" i="44"/>
  <c r="R240" i="44"/>
  <c r="S240" i="44" s="1"/>
  <c r="Y240" i="44" s="1"/>
  <c r="U244" i="44"/>
  <c r="R255" i="44"/>
  <c r="S255" i="44" s="1"/>
  <c r="Z255" i="44" s="1"/>
  <c r="R257" i="44"/>
  <c r="S257" i="44" s="1"/>
  <c r="Z257" i="44" s="1"/>
  <c r="U261" i="44"/>
  <c r="Z269" i="44"/>
  <c r="Z270" i="44"/>
  <c r="Y272" i="44"/>
  <c r="Z273" i="44"/>
  <c r="Z275" i="44"/>
  <c r="Y276" i="44"/>
  <c r="U276" i="44"/>
  <c r="Y279" i="44"/>
  <c r="U279" i="44"/>
  <c r="R227" i="44"/>
  <c r="S227" i="44" s="1"/>
  <c r="Y227" i="44" s="1"/>
  <c r="U233" i="44"/>
  <c r="R242" i="44"/>
  <c r="S242" i="44" s="1"/>
  <c r="Z242" i="44" s="1"/>
  <c r="R251" i="44"/>
  <c r="S251" i="44" s="1"/>
  <c r="Y251" i="44" s="1"/>
  <c r="R253" i="44"/>
  <c r="S253" i="44" s="1"/>
  <c r="Z253" i="44" s="1"/>
  <c r="R261" i="44"/>
  <c r="S261" i="44" s="1"/>
  <c r="Y261" i="44" s="1"/>
  <c r="S267" i="44"/>
  <c r="Y267" i="44" s="1"/>
  <c r="Y269" i="44"/>
  <c r="U269" i="44"/>
  <c r="Z272" i="44"/>
  <c r="Y291" i="44"/>
  <c r="U205" i="44"/>
  <c r="R225" i="44"/>
  <c r="S225" i="44" s="1"/>
  <c r="Y225" i="44" s="1"/>
  <c r="R226" i="44"/>
  <c r="S226" i="44" s="1"/>
  <c r="Y226" i="44" s="1"/>
  <c r="Y232" i="44"/>
  <c r="Z235" i="44"/>
  <c r="Z238" i="44"/>
  <c r="Y250" i="44"/>
  <c r="U250" i="44"/>
  <c r="U254" i="44"/>
  <c r="R263" i="44"/>
  <c r="S263" i="44" s="1"/>
  <c r="Y263" i="44" s="1"/>
  <c r="Y268" i="44"/>
  <c r="U268" i="44"/>
  <c r="Z277" i="44"/>
  <c r="Z295" i="44"/>
  <c r="Y295" i="44"/>
  <c r="Z289" i="44"/>
  <c r="Y243" i="44"/>
  <c r="U243" i="44"/>
  <c r="R244" i="44"/>
  <c r="S244" i="44" s="1"/>
  <c r="Y244" i="44" s="1"/>
  <c r="R246" i="44"/>
  <c r="S246" i="44" s="1"/>
  <c r="Z246" i="44" s="1"/>
  <c r="U252" i="44"/>
  <c r="U258" i="44"/>
  <c r="R259" i="44"/>
  <c r="S259" i="44" s="1"/>
  <c r="Y259" i="44" s="1"/>
  <c r="Z280" i="44"/>
  <c r="Z281" i="44"/>
  <c r="S288" i="44"/>
  <c r="Y288" i="44" s="1"/>
  <c r="Z292" i="44"/>
  <c r="Y293" i="44"/>
  <c r="U273" i="44"/>
  <c r="R290" i="44"/>
  <c r="S290" i="44" s="1"/>
  <c r="U291" i="44"/>
  <c r="R294" i="44"/>
  <c r="S294" i="44" s="1"/>
  <c r="Z294" i="44" s="1"/>
  <c r="Y267" i="29"/>
  <c r="Z267" i="29"/>
  <c r="Y268" i="29"/>
  <c r="Z268" i="29"/>
  <c r="U267" i="29"/>
  <c r="U268" i="29"/>
  <c r="S267" i="29"/>
  <c r="S268" i="29"/>
  <c r="R255" i="29"/>
  <c r="R256" i="29"/>
  <c r="R257" i="29"/>
  <c r="R258" i="29"/>
  <c r="R259" i="29"/>
  <c r="R260" i="29"/>
  <c r="R261" i="29"/>
  <c r="R262" i="29"/>
  <c r="R263" i="29"/>
  <c r="R264" i="29"/>
  <c r="R265" i="29"/>
  <c r="R266" i="29"/>
  <c r="R267" i="29"/>
  <c r="R268" i="29"/>
  <c r="R254" i="29"/>
  <c r="C268" i="29"/>
  <c r="J268" i="29" s="1"/>
  <c r="D268" i="29"/>
  <c r="K268" i="29" s="1"/>
  <c r="E268" i="29"/>
  <c r="F268" i="29"/>
  <c r="G268" i="29"/>
  <c r="H268" i="29"/>
  <c r="C267" i="29"/>
  <c r="J267" i="29" s="1"/>
  <c r="D267" i="29"/>
  <c r="K267" i="29" s="1"/>
  <c r="E267" i="29"/>
  <c r="F267" i="29"/>
  <c r="G267" i="29"/>
  <c r="H267" i="29"/>
  <c r="AD416" i="40"/>
  <c r="AD244" i="29"/>
  <c r="AC244" i="29"/>
  <c r="AB235" i="29"/>
  <c r="C236" i="29"/>
  <c r="D236" i="29"/>
  <c r="E236" i="29"/>
  <c r="F236" i="29"/>
  <c r="G236" i="29"/>
  <c r="H236" i="29"/>
  <c r="C241" i="29"/>
  <c r="D241" i="29"/>
  <c r="E241" i="29"/>
  <c r="F241" i="29"/>
  <c r="G241" i="29"/>
  <c r="H241" i="29"/>
  <c r="C248" i="29"/>
  <c r="D248" i="29"/>
  <c r="E248" i="29"/>
  <c r="F248" i="29"/>
  <c r="G248" i="29"/>
  <c r="H248" i="29"/>
  <c r="C249" i="29"/>
  <c r="J249" i="29" s="1"/>
  <c r="D249" i="29"/>
  <c r="K249" i="29" s="1"/>
  <c r="E249" i="29"/>
  <c r="F249" i="29"/>
  <c r="G249" i="29"/>
  <c r="H249" i="29"/>
  <c r="C250" i="29"/>
  <c r="D250" i="29"/>
  <c r="E250" i="29"/>
  <c r="F250" i="29"/>
  <c r="G250" i="29"/>
  <c r="H250" i="29"/>
  <c r="C251" i="29"/>
  <c r="D251" i="29"/>
  <c r="K251" i="29" s="1"/>
  <c r="E251" i="29"/>
  <c r="F251" i="29"/>
  <c r="G251" i="29"/>
  <c r="H251" i="29"/>
  <c r="C252" i="29"/>
  <c r="D252" i="29"/>
  <c r="E252" i="29"/>
  <c r="F252" i="29"/>
  <c r="G252" i="29"/>
  <c r="H252" i="29"/>
  <c r="AD226" i="29"/>
  <c r="AC226" i="29"/>
  <c r="C223" i="29"/>
  <c r="D223" i="29"/>
  <c r="E223" i="29"/>
  <c r="F223" i="29"/>
  <c r="G223" i="29"/>
  <c r="H223" i="29"/>
  <c r="C230" i="29"/>
  <c r="D230" i="29"/>
  <c r="E230" i="29"/>
  <c r="F230" i="29"/>
  <c r="G230" i="29"/>
  <c r="H230" i="29"/>
  <c r="C231" i="29"/>
  <c r="J231" i="29" s="1"/>
  <c r="D231" i="29"/>
  <c r="E231" i="29"/>
  <c r="F231" i="29"/>
  <c r="G231" i="29"/>
  <c r="H231" i="29"/>
  <c r="C232" i="29"/>
  <c r="D232" i="29"/>
  <c r="E232" i="29"/>
  <c r="F232" i="29"/>
  <c r="G232" i="29"/>
  <c r="H232" i="29"/>
  <c r="C233" i="29"/>
  <c r="D233" i="29"/>
  <c r="E233" i="29"/>
  <c r="F233" i="29"/>
  <c r="G233" i="29"/>
  <c r="H233" i="29"/>
  <c r="C234" i="29"/>
  <c r="D234" i="29"/>
  <c r="E234" i="29"/>
  <c r="F234" i="29"/>
  <c r="G234" i="29"/>
  <c r="H234" i="29"/>
  <c r="Q213" i="29"/>
  <c r="Q214" i="29"/>
  <c r="Q215" i="29"/>
  <c r="Q216" i="29"/>
  <c r="Q217" i="29"/>
  <c r="AD216" i="29"/>
  <c r="AD215" i="29"/>
  <c r="AB201" i="29"/>
  <c r="C213" i="29"/>
  <c r="J213" i="29" s="1"/>
  <c r="D213" i="29"/>
  <c r="E213" i="29"/>
  <c r="F213" i="29"/>
  <c r="G213" i="29"/>
  <c r="H213" i="29"/>
  <c r="C214" i="29"/>
  <c r="D214" i="29"/>
  <c r="E214" i="29"/>
  <c r="F214" i="29"/>
  <c r="G214" i="29"/>
  <c r="H214" i="29"/>
  <c r="C215" i="29"/>
  <c r="D215" i="29"/>
  <c r="E215" i="29"/>
  <c r="F215" i="29"/>
  <c r="G215" i="29"/>
  <c r="H215" i="29"/>
  <c r="C216" i="29"/>
  <c r="D216" i="29"/>
  <c r="E216" i="29"/>
  <c r="F216" i="29"/>
  <c r="G216" i="29"/>
  <c r="H216" i="29"/>
  <c r="C217" i="29"/>
  <c r="D217" i="29"/>
  <c r="E217" i="29"/>
  <c r="F217" i="29"/>
  <c r="G217" i="29"/>
  <c r="H217" i="29"/>
  <c r="C200" i="29"/>
  <c r="D200" i="29"/>
  <c r="E200" i="29"/>
  <c r="F200" i="29"/>
  <c r="G200" i="29"/>
  <c r="H200" i="29"/>
  <c r="C198" i="29"/>
  <c r="D198" i="29"/>
  <c r="E198" i="29"/>
  <c r="F198" i="29"/>
  <c r="G198" i="29"/>
  <c r="H198" i="29"/>
  <c r="C199" i="29"/>
  <c r="D199" i="29"/>
  <c r="E199" i="29"/>
  <c r="F199" i="29"/>
  <c r="G199" i="29"/>
  <c r="H199" i="29"/>
  <c r="C196" i="29"/>
  <c r="D196" i="29"/>
  <c r="E196" i="29"/>
  <c r="F196" i="29"/>
  <c r="G196" i="29"/>
  <c r="H196" i="29"/>
  <c r="C197" i="29"/>
  <c r="D197" i="29"/>
  <c r="E197" i="29"/>
  <c r="F197" i="29"/>
  <c r="G197" i="29"/>
  <c r="H197" i="29"/>
  <c r="Y178" i="44" l="1"/>
  <c r="Z178" i="44"/>
  <c r="Z176" i="44"/>
  <c r="Y176" i="44"/>
  <c r="Y127" i="44"/>
  <c r="Z127" i="44"/>
  <c r="Y131" i="44"/>
  <c r="Z131" i="44"/>
  <c r="Y136" i="44"/>
  <c r="Z136" i="44"/>
  <c r="Y126" i="44"/>
  <c r="Z126" i="44"/>
  <c r="Y128" i="44"/>
  <c r="Z128" i="44"/>
  <c r="Z129" i="44"/>
  <c r="Y129" i="44"/>
  <c r="Z133" i="44"/>
  <c r="Y133" i="44"/>
  <c r="Y130" i="44"/>
  <c r="Z130" i="44"/>
  <c r="Y132" i="44"/>
  <c r="Z132" i="44"/>
  <c r="Y138" i="44"/>
  <c r="Z138" i="44"/>
  <c r="Y134" i="44"/>
  <c r="Z134" i="44"/>
  <c r="Z137" i="44"/>
  <c r="Y137" i="44"/>
  <c r="R122" i="44"/>
  <c r="R106" i="44"/>
  <c r="Z94" i="44"/>
  <c r="Y94" i="44"/>
  <c r="Z105" i="44"/>
  <c r="Y105" i="44"/>
  <c r="Z102" i="44"/>
  <c r="Y102" i="44"/>
  <c r="Y100" i="44"/>
  <c r="Z100" i="44"/>
  <c r="Z98" i="44"/>
  <c r="Y98" i="44"/>
  <c r="Z96" i="44"/>
  <c r="Y96" i="44"/>
  <c r="Z101" i="44"/>
  <c r="Y101" i="44"/>
  <c r="Z194" i="44"/>
  <c r="Y114" i="44"/>
  <c r="Y185" i="44"/>
  <c r="Y245" i="44"/>
  <c r="Z233" i="44"/>
  <c r="Y116" i="44"/>
  <c r="Y145" i="44"/>
  <c r="Z121" i="44"/>
  <c r="Z254" i="44"/>
  <c r="U182" i="44"/>
  <c r="Z260" i="44"/>
  <c r="Y257" i="44"/>
  <c r="Z192" i="44"/>
  <c r="Z156" i="44"/>
  <c r="Z124" i="44"/>
  <c r="Z251" i="44"/>
  <c r="Z184" i="44"/>
  <c r="Z108" i="44"/>
  <c r="Z256" i="44"/>
  <c r="Z237" i="44"/>
  <c r="Z193" i="44"/>
  <c r="Y86" i="44"/>
  <c r="Z8" i="44"/>
  <c r="Y214" i="44"/>
  <c r="Z80" i="44"/>
  <c r="Y241" i="44"/>
  <c r="Y191" i="44"/>
  <c r="Z117" i="44"/>
  <c r="Y66" i="44"/>
  <c r="Z261" i="44"/>
  <c r="Z109" i="44"/>
  <c r="Z248" i="44"/>
  <c r="Z244" i="44"/>
  <c r="Z288" i="44"/>
  <c r="Z263" i="44"/>
  <c r="Z259" i="44"/>
  <c r="Z226" i="44"/>
  <c r="Y246" i="44"/>
  <c r="Y242" i="44"/>
  <c r="Z189" i="44"/>
  <c r="Z227" i="44"/>
  <c r="Y234" i="44"/>
  <c r="Z181" i="44"/>
  <c r="Y91" i="44"/>
  <c r="Z57" i="44"/>
  <c r="Z92" i="44"/>
  <c r="Z43" i="44"/>
  <c r="Z267" i="44"/>
  <c r="Y190" i="44"/>
  <c r="U190" i="44"/>
  <c r="Y253" i="44"/>
  <c r="Y258" i="44"/>
  <c r="Z252" i="44"/>
  <c r="Y262" i="44"/>
  <c r="Z183" i="44"/>
  <c r="Z196" i="44"/>
  <c r="Y120" i="44"/>
  <c r="Y78" i="44"/>
  <c r="Y70" i="44"/>
  <c r="Z290" i="44"/>
  <c r="Y290" i="44"/>
  <c r="R180" i="44"/>
  <c r="Y255" i="44"/>
  <c r="Z240" i="44"/>
  <c r="R230" i="44"/>
  <c r="S231" i="44"/>
  <c r="R247" i="44"/>
  <c r="Z225" i="44"/>
  <c r="R213" i="44"/>
  <c r="Z115" i="44"/>
  <c r="Z119" i="44"/>
  <c r="Y84" i="44"/>
  <c r="S123" i="44"/>
  <c r="Y68" i="44"/>
  <c r="Z82" i="44"/>
  <c r="S7" i="44"/>
  <c r="Z229" i="44"/>
  <c r="Y198" i="44"/>
  <c r="U198" i="44"/>
  <c r="Z113" i="44"/>
  <c r="Z107" i="44"/>
  <c r="Y118" i="44"/>
  <c r="Z111" i="44"/>
  <c r="Y294" i="44"/>
  <c r="R168" i="44"/>
  <c r="S169" i="44"/>
  <c r="Z110" i="44"/>
  <c r="S31" i="44"/>
  <c r="S18" i="44"/>
  <c r="U201" i="44"/>
  <c r="U173" i="44"/>
  <c r="S74" i="44"/>
  <c r="R73" i="44"/>
  <c r="R90" i="44"/>
  <c r="R56" i="44"/>
  <c r="K250" i="29"/>
  <c r="U250" i="29" s="1"/>
  <c r="K217" i="29"/>
  <c r="K213" i="29"/>
  <c r="J250" i="29"/>
  <c r="J241" i="29"/>
  <c r="J251" i="29"/>
  <c r="K252" i="29"/>
  <c r="K248" i="29"/>
  <c r="J252" i="29"/>
  <c r="J248" i="29"/>
  <c r="U249" i="29"/>
  <c r="K236" i="29"/>
  <c r="J236" i="29"/>
  <c r="K241" i="29"/>
  <c r="U251" i="29"/>
  <c r="U248" i="29"/>
  <c r="K223" i="29"/>
  <c r="J233" i="29"/>
  <c r="K215" i="29"/>
  <c r="K233" i="29"/>
  <c r="K232" i="29"/>
  <c r="J232" i="29"/>
  <c r="K234" i="29"/>
  <c r="U234" i="29" s="1"/>
  <c r="J199" i="29"/>
  <c r="J234" i="29"/>
  <c r="J215" i="29"/>
  <c r="U215" i="29" s="1"/>
  <c r="J223" i="29"/>
  <c r="U223" i="29" s="1"/>
  <c r="K230" i="29"/>
  <c r="J230" i="29"/>
  <c r="K231" i="29"/>
  <c r="K216" i="29"/>
  <c r="J216" i="29"/>
  <c r="J217" i="29"/>
  <c r="U217" i="29" s="1"/>
  <c r="K200" i="29"/>
  <c r="K214" i="29"/>
  <c r="J214" i="29"/>
  <c r="U213" i="29"/>
  <c r="J200" i="29"/>
  <c r="K197" i="29"/>
  <c r="J197" i="29"/>
  <c r="K198" i="29"/>
  <c r="J198" i="29"/>
  <c r="K199" i="29"/>
  <c r="K196" i="29"/>
  <c r="J196" i="29"/>
  <c r="C181" i="29"/>
  <c r="D181" i="29"/>
  <c r="E181" i="29"/>
  <c r="F181" i="29"/>
  <c r="G181" i="29"/>
  <c r="H181" i="29"/>
  <c r="C177" i="29"/>
  <c r="D177" i="29"/>
  <c r="E177" i="29"/>
  <c r="F177" i="29"/>
  <c r="G177" i="29"/>
  <c r="H177" i="29"/>
  <c r="C178" i="29"/>
  <c r="D178" i="29"/>
  <c r="E178" i="29"/>
  <c r="F178" i="29"/>
  <c r="G178" i="29"/>
  <c r="H178" i="29"/>
  <c r="C180" i="29"/>
  <c r="D180" i="29"/>
  <c r="E180" i="29"/>
  <c r="F180" i="29"/>
  <c r="G180" i="29"/>
  <c r="H180" i="29"/>
  <c r="C182" i="29"/>
  <c r="D182" i="29"/>
  <c r="E182" i="29"/>
  <c r="F182" i="29"/>
  <c r="G182" i="29"/>
  <c r="H182" i="29"/>
  <c r="C168" i="29"/>
  <c r="D168" i="29"/>
  <c r="E168" i="29"/>
  <c r="F168" i="29"/>
  <c r="G168" i="29"/>
  <c r="H168" i="29"/>
  <c r="C164" i="29"/>
  <c r="D164" i="29"/>
  <c r="E164" i="29"/>
  <c r="F164" i="29"/>
  <c r="G164" i="29"/>
  <c r="H164" i="29"/>
  <c r="C165" i="29"/>
  <c r="D165" i="29"/>
  <c r="E165" i="29"/>
  <c r="F165" i="29"/>
  <c r="G165" i="29"/>
  <c r="H165" i="29"/>
  <c r="C166" i="29"/>
  <c r="D166" i="29"/>
  <c r="E166" i="29"/>
  <c r="F166" i="29"/>
  <c r="G166" i="29"/>
  <c r="H166" i="29"/>
  <c r="Q146" i="29"/>
  <c r="Q147" i="29"/>
  <c r="Q148" i="29"/>
  <c r="Q149" i="29"/>
  <c r="Q150" i="29"/>
  <c r="Q151" i="29"/>
  <c r="Q152" i="29"/>
  <c r="Q153" i="29"/>
  <c r="Q154" i="29"/>
  <c r="Q145" i="29"/>
  <c r="AD152" i="29"/>
  <c r="AD151" i="29"/>
  <c r="N151" i="29"/>
  <c r="AC151" i="29" s="1"/>
  <c r="C141" i="29"/>
  <c r="D141" i="29"/>
  <c r="E141" i="29"/>
  <c r="F141" i="29"/>
  <c r="C154" i="29"/>
  <c r="D154" i="29"/>
  <c r="E154" i="29"/>
  <c r="F154" i="29"/>
  <c r="G154" i="29"/>
  <c r="H154" i="29"/>
  <c r="H153" i="29"/>
  <c r="G153" i="29"/>
  <c r="F153" i="29"/>
  <c r="E153" i="29"/>
  <c r="D153" i="29"/>
  <c r="C153" i="29"/>
  <c r="H152" i="29"/>
  <c r="G152" i="29"/>
  <c r="F152" i="29"/>
  <c r="E152" i="29"/>
  <c r="D152" i="29"/>
  <c r="C152" i="29"/>
  <c r="H151" i="29"/>
  <c r="G151" i="29"/>
  <c r="F151" i="29"/>
  <c r="E151" i="29"/>
  <c r="D151" i="29"/>
  <c r="C151" i="29"/>
  <c r="H266" i="29"/>
  <c r="G266" i="29"/>
  <c r="F266" i="29"/>
  <c r="E266" i="29"/>
  <c r="D266" i="29"/>
  <c r="C266" i="29"/>
  <c r="H265" i="29"/>
  <c r="G265" i="29"/>
  <c r="F265" i="29"/>
  <c r="E265" i="29"/>
  <c r="D265" i="29"/>
  <c r="C265" i="29"/>
  <c r="H264" i="29"/>
  <c r="G264" i="29"/>
  <c r="F264" i="29"/>
  <c r="E264" i="29"/>
  <c r="D264" i="29"/>
  <c r="C264" i="29"/>
  <c r="H263" i="29"/>
  <c r="G263" i="29"/>
  <c r="F263" i="29"/>
  <c r="E263" i="29"/>
  <c r="D263" i="29"/>
  <c r="C263" i="29"/>
  <c r="H262" i="29"/>
  <c r="G262" i="29"/>
  <c r="F262" i="29"/>
  <c r="E262" i="29"/>
  <c r="D262" i="29"/>
  <c r="C262" i="29"/>
  <c r="H261" i="29"/>
  <c r="G261" i="29"/>
  <c r="F261" i="29"/>
  <c r="E261" i="29"/>
  <c r="D261" i="29"/>
  <c r="C261" i="29"/>
  <c r="H260" i="29"/>
  <c r="G260" i="29"/>
  <c r="F260" i="29"/>
  <c r="E260" i="29"/>
  <c r="D260" i="29"/>
  <c r="C260" i="29"/>
  <c r="H259" i="29"/>
  <c r="G259" i="29"/>
  <c r="F259" i="29"/>
  <c r="E259" i="29"/>
  <c r="D259" i="29"/>
  <c r="C259" i="29"/>
  <c r="H258" i="29"/>
  <c r="G258" i="29"/>
  <c r="F258" i="29"/>
  <c r="E258" i="29"/>
  <c r="D258" i="29"/>
  <c r="C258" i="29"/>
  <c r="H257" i="29"/>
  <c r="G257" i="29"/>
  <c r="F257" i="29"/>
  <c r="E257" i="29"/>
  <c r="D257" i="29"/>
  <c r="C257" i="29"/>
  <c r="H256" i="29"/>
  <c r="G256" i="29"/>
  <c r="F256" i="29"/>
  <c r="E256" i="29"/>
  <c r="D256" i="29"/>
  <c r="C256" i="29"/>
  <c r="H255" i="29"/>
  <c r="G255" i="29"/>
  <c r="F255" i="29"/>
  <c r="E255" i="29"/>
  <c r="D255" i="29"/>
  <c r="C255" i="29"/>
  <c r="H254" i="29"/>
  <c r="G254" i="29"/>
  <c r="F254" i="29"/>
  <c r="E254" i="29"/>
  <c r="D254" i="29"/>
  <c r="C254" i="29"/>
  <c r="H247" i="29"/>
  <c r="G247" i="29"/>
  <c r="F247" i="29"/>
  <c r="E247" i="29"/>
  <c r="D247" i="29"/>
  <c r="K247" i="29" s="1"/>
  <c r="C247" i="29"/>
  <c r="H246" i="29"/>
  <c r="G246" i="29"/>
  <c r="F246" i="29"/>
  <c r="E246" i="29"/>
  <c r="D246" i="29"/>
  <c r="C246" i="29"/>
  <c r="H245" i="29"/>
  <c r="G245" i="29"/>
  <c r="F245" i="29"/>
  <c r="E245" i="29"/>
  <c r="D245" i="29"/>
  <c r="C245" i="29"/>
  <c r="H244" i="29"/>
  <c r="G244" i="29"/>
  <c r="F244" i="29"/>
  <c r="E244" i="29"/>
  <c r="D244" i="29"/>
  <c r="C244" i="29"/>
  <c r="H243" i="29"/>
  <c r="G243" i="29"/>
  <c r="F243" i="29"/>
  <c r="E243" i="29"/>
  <c r="D243" i="29"/>
  <c r="K243" i="29" s="1"/>
  <c r="C243" i="29"/>
  <c r="H242" i="29"/>
  <c r="G242" i="29"/>
  <c r="F242" i="29"/>
  <c r="E242" i="29"/>
  <c r="D242" i="29"/>
  <c r="C242" i="29"/>
  <c r="H240" i="29"/>
  <c r="G240" i="29"/>
  <c r="F240" i="29"/>
  <c r="E240" i="29"/>
  <c r="D240" i="29"/>
  <c r="C240" i="29"/>
  <c r="H239" i="29"/>
  <c r="G239" i="29"/>
  <c r="F239" i="29"/>
  <c r="E239" i="29"/>
  <c r="D239" i="29"/>
  <c r="C239" i="29"/>
  <c r="H238" i="29"/>
  <c r="G238" i="29"/>
  <c r="F238" i="29"/>
  <c r="E238" i="29"/>
  <c r="D238" i="29"/>
  <c r="K238" i="29" s="1"/>
  <c r="C238" i="29"/>
  <c r="H237" i="29"/>
  <c r="G237" i="29"/>
  <c r="F237" i="29"/>
  <c r="E237" i="29"/>
  <c r="D237" i="29"/>
  <c r="C237" i="29"/>
  <c r="H229" i="29"/>
  <c r="G229" i="29"/>
  <c r="F229" i="29"/>
  <c r="E229" i="29"/>
  <c r="D229" i="29"/>
  <c r="C229" i="29"/>
  <c r="H228" i="29"/>
  <c r="G228" i="29"/>
  <c r="F228" i="29"/>
  <c r="E228" i="29"/>
  <c r="D228" i="29"/>
  <c r="C228" i="29"/>
  <c r="H227" i="29"/>
  <c r="G227" i="29"/>
  <c r="F227" i="29"/>
  <c r="E227" i="29"/>
  <c r="D227" i="29"/>
  <c r="C227" i="29"/>
  <c r="H226" i="29"/>
  <c r="G226" i="29"/>
  <c r="F226" i="29"/>
  <c r="E226" i="29"/>
  <c r="D226" i="29"/>
  <c r="C226" i="29"/>
  <c r="H225" i="29"/>
  <c r="G225" i="29"/>
  <c r="F225" i="29"/>
  <c r="E225" i="29"/>
  <c r="D225" i="29"/>
  <c r="C225" i="29"/>
  <c r="H224" i="29"/>
  <c r="G224" i="29"/>
  <c r="F224" i="29"/>
  <c r="E224" i="29"/>
  <c r="D224" i="29"/>
  <c r="C224" i="29"/>
  <c r="H222" i="29"/>
  <c r="G222" i="29"/>
  <c r="F222" i="29"/>
  <c r="E222" i="29"/>
  <c r="D222" i="29"/>
  <c r="C222" i="29"/>
  <c r="H221" i="29"/>
  <c r="G221" i="29"/>
  <c r="F221" i="29"/>
  <c r="E221" i="29"/>
  <c r="D221" i="29"/>
  <c r="C221" i="29"/>
  <c r="H220" i="29"/>
  <c r="G220" i="29"/>
  <c r="F220" i="29"/>
  <c r="E220" i="29"/>
  <c r="D220" i="29"/>
  <c r="C220" i="29"/>
  <c r="H219" i="29"/>
  <c r="G219" i="29"/>
  <c r="F219" i="29"/>
  <c r="E219" i="29"/>
  <c r="D219" i="29"/>
  <c r="C219" i="29"/>
  <c r="H212" i="29"/>
  <c r="G212" i="29"/>
  <c r="F212" i="29"/>
  <c r="E212" i="29"/>
  <c r="D212" i="29"/>
  <c r="C212" i="29"/>
  <c r="H211" i="29"/>
  <c r="G211" i="29"/>
  <c r="F211" i="29"/>
  <c r="E211" i="29"/>
  <c r="D211" i="29"/>
  <c r="C211" i="29"/>
  <c r="H210" i="29"/>
  <c r="G210" i="29"/>
  <c r="F210" i="29"/>
  <c r="E210" i="29"/>
  <c r="D210" i="29"/>
  <c r="C210" i="29"/>
  <c r="H209" i="29"/>
  <c r="G209" i="29"/>
  <c r="F209" i="29"/>
  <c r="E209" i="29"/>
  <c r="D209" i="29"/>
  <c r="C209" i="29"/>
  <c r="H208" i="29"/>
  <c r="G208" i="29"/>
  <c r="F208" i="29"/>
  <c r="E208" i="29"/>
  <c r="D208" i="29"/>
  <c r="C208" i="29"/>
  <c r="H207" i="29"/>
  <c r="G207" i="29"/>
  <c r="F207" i="29"/>
  <c r="E207" i="29"/>
  <c r="D207" i="29"/>
  <c r="C207" i="29"/>
  <c r="H206" i="29"/>
  <c r="G206" i="29"/>
  <c r="F206" i="29"/>
  <c r="E206" i="29"/>
  <c r="D206" i="29"/>
  <c r="C206" i="29"/>
  <c r="H205" i="29"/>
  <c r="G205" i="29"/>
  <c r="F205" i="29"/>
  <c r="E205" i="29"/>
  <c r="D205" i="29"/>
  <c r="C205" i="29"/>
  <c r="H204" i="29"/>
  <c r="G204" i="29"/>
  <c r="F204" i="29"/>
  <c r="E204" i="29"/>
  <c r="D204" i="29"/>
  <c r="C204" i="29"/>
  <c r="H203" i="29"/>
  <c r="G203" i="29"/>
  <c r="F203" i="29"/>
  <c r="E203" i="29"/>
  <c r="D203" i="29"/>
  <c r="C203" i="29"/>
  <c r="H202" i="29"/>
  <c r="G202" i="29"/>
  <c r="F202" i="29"/>
  <c r="E202" i="29"/>
  <c r="D202" i="29"/>
  <c r="C202" i="29"/>
  <c r="H195" i="29"/>
  <c r="G195" i="29"/>
  <c r="F195" i="29"/>
  <c r="E195" i="29"/>
  <c r="D195" i="29"/>
  <c r="C195" i="29"/>
  <c r="H194" i="29"/>
  <c r="G194" i="29"/>
  <c r="F194" i="29"/>
  <c r="E194" i="29"/>
  <c r="D194" i="29"/>
  <c r="C194" i="29"/>
  <c r="H193" i="29"/>
  <c r="G193" i="29"/>
  <c r="F193" i="29"/>
  <c r="E193" i="29"/>
  <c r="D193" i="29"/>
  <c r="C193" i="29"/>
  <c r="H192" i="29"/>
  <c r="G192" i="29"/>
  <c r="F192" i="29"/>
  <c r="E192" i="29"/>
  <c r="D192" i="29"/>
  <c r="C192" i="29"/>
  <c r="H191" i="29"/>
  <c r="G191" i="29"/>
  <c r="F191" i="29"/>
  <c r="E191" i="29"/>
  <c r="D191" i="29"/>
  <c r="C191" i="29"/>
  <c r="H190" i="29"/>
  <c r="G190" i="29"/>
  <c r="F190" i="29"/>
  <c r="E190" i="29"/>
  <c r="D190" i="29"/>
  <c r="C190" i="29"/>
  <c r="H189" i="29"/>
  <c r="G189" i="29"/>
  <c r="F189" i="29"/>
  <c r="E189" i="29"/>
  <c r="D189" i="29"/>
  <c r="C189" i="29"/>
  <c r="H188" i="29"/>
  <c r="G188" i="29"/>
  <c r="F188" i="29"/>
  <c r="E188" i="29"/>
  <c r="D188" i="29"/>
  <c r="C188" i="29"/>
  <c r="H187" i="29"/>
  <c r="G187" i="29"/>
  <c r="F187" i="29"/>
  <c r="E187" i="29"/>
  <c r="D187" i="29"/>
  <c r="C187" i="29"/>
  <c r="H186" i="29"/>
  <c r="G186" i="29"/>
  <c r="F186" i="29"/>
  <c r="E186" i="29"/>
  <c r="D186" i="29"/>
  <c r="C186" i="29"/>
  <c r="H185" i="29"/>
  <c r="G185" i="29"/>
  <c r="F185" i="29"/>
  <c r="E185" i="29"/>
  <c r="D185" i="29"/>
  <c r="C185" i="29"/>
  <c r="H184" i="29"/>
  <c r="G184" i="29"/>
  <c r="F184" i="29"/>
  <c r="E184" i="29"/>
  <c r="D184" i="29"/>
  <c r="C184" i="29"/>
  <c r="H179" i="29"/>
  <c r="G179" i="29"/>
  <c r="F179" i="29"/>
  <c r="E179" i="29"/>
  <c r="D179" i="29"/>
  <c r="C179" i="29"/>
  <c r="H176" i="29"/>
  <c r="G176" i="29"/>
  <c r="F176" i="29"/>
  <c r="E176" i="29"/>
  <c r="D176" i="29"/>
  <c r="C176" i="29"/>
  <c r="H175" i="29"/>
  <c r="G175" i="29"/>
  <c r="F175" i="29"/>
  <c r="E175" i="29"/>
  <c r="D175" i="29"/>
  <c r="C175" i="29"/>
  <c r="H174" i="29"/>
  <c r="G174" i="29"/>
  <c r="F174" i="29"/>
  <c r="E174" i="29"/>
  <c r="D174" i="29"/>
  <c r="C174" i="29"/>
  <c r="H173" i="29"/>
  <c r="G173" i="29"/>
  <c r="F173" i="29"/>
  <c r="E173" i="29"/>
  <c r="D173" i="29"/>
  <c r="C173" i="29"/>
  <c r="H172" i="29"/>
  <c r="G172" i="29"/>
  <c r="F172" i="29"/>
  <c r="E172" i="29"/>
  <c r="D172" i="29"/>
  <c r="C172" i="29"/>
  <c r="H171" i="29"/>
  <c r="G171" i="29"/>
  <c r="F171" i="29"/>
  <c r="E171" i="29"/>
  <c r="D171" i="29"/>
  <c r="C171" i="29"/>
  <c r="H170" i="29"/>
  <c r="G170" i="29"/>
  <c r="F170" i="29"/>
  <c r="E170" i="29"/>
  <c r="D170" i="29"/>
  <c r="C170" i="29"/>
  <c r="H169" i="29"/>
  <c r="G169" i="29"/>
  <c r="F169" i="29"/>
  <c r="E169" i="29"/>
  <c r="D169" i="29"/>
  <c r="C169" i="29"/>
  <c r="H163" i="29"/>
  <c r="G163" i="29"/>
  <c r="F163" i="29"/>
  <c r="E163" i="29"/>
  <c r="D163" i="29"/>
  <c r="C163" i="29"/>
  <c r="H162" i="29"/>
  <c r="G162" i="29"/>
  <c r="F162" i="29"/>
  <c r="E162" i="29"/>
  <c r="D162" i="29"/>
  <c r="C162" i="29"/>
  <c r="H161" i="29"/>
  <c r="G161" i="29"/>
  <c r="F161" i="29"/>
  <c r="E161" i="29"/>
  <c r="D161" i="29"/>
  <c r="C161" i="29"/>
  <c r="H160" i="29"/>
  <c r="G160" i="29"/>
  <c r="F160" i="29"/>
  <c r="E160" i="29"/>
  <c r="D160" i="29"/>
  <c r="C160" i="29"/>
  <c r="H159" i="29"/>
  <c r="G159" i="29"/>
  <c r="F159" i="29"/>
  <c r="E159" i="29"/>
  <c r="D159" i="29"/>
  <c r="C159" i="29"/>
  <c r="H158" i="29"/>
  <c r="G158" i="29"/>
  <c r="F158" i="29"/>
  <c r="E158" i="29"/>
  <c r="D158" i="29"/>
  <c r="C158" i="29"/>
  <c r="H157" i="29"/>
  <c r="G157" i="29"/>
  <c r="F157" i="29"/>
  <c r="E157" i="29"/>
  <c r="D157" i="29"/>
  <c r="C157" i="29"/>
  <c r="H156" i="29"/>
  <c r="G156" i="29"/>
  <c r="F156" i="29"/>
  <c r="E156" i="29"/>
  <c r="D156" i="29"/>
  <c r="C156" i="29"/>
  <c r="H150" i="29"/>
  <c r="G150" i="29"/>
  <c r="F150" i="29"/>
  <c r="E150" i="29"/>
  <c r="D150" i="29"/>
  <c r="C150" i="29"/>
  <c r="H149" i="29"/>
  <c r="G149" i="29"/>
  <c r="F149" i="29"/>
  <c r="E149" i="29"/>
  <c r="D149" i="29"/>
  <c r="C149" i="29"/>
  <c r="H148" i="29"/>
  <c r="G148" i="29"/>
  <c r="F148" i="29"/>
  <c r="E148" i="29"/>
  <c r="D148" i="29"/>
  <c r="C148" i="29"/>
  <c r="H147" i="29"/>
  <c r="G147" i="29"/>
  <c r="F147" i="29"/>
  <c r="E147" i="29"/>
  <c r="D147" i="29"/>
  <c r="C147" i="29"/>
  <c r="H146" i="29"/>
  <c r="G146" i="29"/>
  <c r="F146" i="29"/>
  <c r="E146" i="29"/>
  <c r="D146" i="29"/>
  <c r="C146" i="29"/>
  <c r="H145" i="29"/>
  <c r="G145" i="29"/>
  <c r="F145" i="29"/>
  <c r="E145" i="29"/>
  <c r="D145" i="29"/>
  <c r="C145" i="29"/>
  <c r="Q138" i="29"/>
  <c r="Q139" i="29"/>
  <c r="Q140" i="29"/>
  <c r="Q141" i="29"/>
  <c r="Q142" i="29"/>
  <c r="Q143" i="29"/>
  <c r="Q137" i="29"/>
  <c r="G141" i="29"/>
  <c r="H143" i="29"/>
  <c r="G143" i="29"/>
  <c r="F143" i="29"/>
  <c r="E143" i="29"/>
  <c r="D143" i="29"/>
  <c r="C143" i="29"/>
  <c r="H142" i="29"/>
  <c r="G142" i="29"/>
  <c r="F142" i="29"/>
  <c r="E142" i="29"/>
  <c r="D142" i="29"/>
  <c r="C142" i="29"/>
  <c r="H141" i="29"/>
  <c r="H140" i="29"/>
  <c r="G140" i="29"/>
  <c r="F140" i="29"/>
  <c r="E140" i="29"/>
  <c r="D140" i="29"/>
  <c r="C140" i="29"/>
  <c r="H139" i="29"/>
  <c r="G139" i="29"/>
  <c r="F139" i="29"/>
  <c r="E139" i="29"/>
  <c r="D139" i="29"/>
  <c r="C139" i="29"/>
  <c r="H138" i="29"/>
  <c r="G138" i="29"/>
  <c r="F138" i="29"/>
  <c r="E138" i="29"/>
  <c r="D138" i="29"/>
  <c r="C138" i="29"/>
  <c r="H137" i="29"/>
  <c r="G137" i="29"/>
  <c r="F137" i="29"/>
  <c r="E137" i="29"/>
  <c r="D137" i="29"/>
  <c r="C137" i="29"/>
  <c r="H121" i="29"/>
  <c r="C130" i="29"/>
  <c r="D130" i="29"/>
  <c r="E130" i="29"/>
  <c r="F130" i="29"/>
  <c r="G130" i="29"/>
  <c r="H130" i="29"/>
  <c r="I130" i="29"/>
  <c r="U130" i="29" s="1"/>
  <c r="J130" i="29"/>
  <c r="K130" i="29"/>
  <c r="AD107" i="29"/>
  <c r="AC107" i="29"/>
  <c r="H105" i="29"/>
  <c r="J110" i="29"/>
  <c r="K110" i="29"/>
  <c r="J112" i="29"/>
  <c r="K112" i="29"/>
  <c r="J114" i="29"/>
  <c r="K114" i="29"/>
  <c r="J104" i="29"/>
  <c r="K104" i="29"/>
  <c r="C99" i="29"/>
  <c r="D99" i="29"/>
  <c r="E99" i="29"/>
  <c r="F99" i="29"/>
  <c r="G99" i="29"/>
  <c r="H99" i="29"/>
  <c r="I99" i="29"/>
  <c r="U99" i="29" s="1"/>
  <c r="J99" i="29"/>
  <c r="K99" i="29"/>
  <c r="C104" i="29"/>
  <c r="D104" i="29"/>
  <c r="E104" i="29"/>
  <c r="F104" i="29"/>
  <c r="G104" i="29"/>
  <c r="H104" i="29"/>
  <c r="I104" i="29"/>
  <c r="U104" i="29" s="1"/>
  <c r="C114" i="29"/>
  <c r="D114" i="29"/>
  <c r="E114" i="29"/>
  <c r="F114" i="29"/>
  <c r="G114" i="29"/>
  <c r="H114" i="29"/>
  <c r="I114" i="29"/>
  <c r="U114" i="29" s="1"/>
  <c r="C109" i="29"/>
  <c r="D109" i="29"/>
  <c r="E109" i="29"/>
  <c r="F109" i="29"/>
  <c r="G109" i="29"/>
  <c r="H109" i="29"/>
  <c r="I109" i="29"/>
  <c r="U109" i="29" s="1"/>
  <c r="C110" i="29"/>
  <c r="D110" i="29"/>
  <c r="E110" i="29"/>
  <c r="F110" i="29"/>
  <c r="G110" i="29"/>
  <c r="H110" i="29"/>
  <c r="I110" i="29"/>
  <c r="U110" i="29" s="1"/>
  <c r="AD79" i="29"/>
  <c r="AD78" i="29"/>
  <c r="AD77" i="29"/>
  <c r="AD76" i="29"/>
  <c r="AD75" i="29"/>
  <c r="J92" i="29"/>
  <c r="K92" i="29"/>
  <c r="J94" i="29"/>
  <c r="K94" i="29"/>
  <c r="J95" i="29"/>
  <c r="K95" i="29"/>
  <c r="C86" i="29"/>
  <c r="D86" i="29"/>
  <c r="E86" i="29"/>
  <c r="F86" i="29"/>
  <c r="G86" i="29"/>
  <c r="H86" i="29"/>
  <c r="I86" i="29"/>
  <c r="U86" i="29" s="1"/>
  <c r="C91" i="29"/>
  <c r="D91" i="29"/>
  <c r="E91" i="29"/>
  <c r="F91" i="29"/>
  <c r="G91" i="29"/>
  <c r="H91" i="29"/>
  <c r="I91" i="29"/>
  <c r="U91" i="29" s="1"/>
  <c r="C92" i="29"/>
  <c r="D92" i="29"/>
  <c r="E92" i="29"/>
  <c r="F92" i="29"/>
  <c r="G92" i="29"/>
  <c r="H92" i="29"/>
  <c r="I92" i="29"/>
  <c r="U92" i="29" s="1"/>
  <c r="C93" i="29"/>
  <c r="D93" i="29"/>
  <c r="E93" i="29"/>
  <c r="F93" i="29"/>
  <c r="G93" i="29"/>
  <c r="H93" i="29"/>
  <c r="I93" i="29"/>
  <c r="U93" i="29" s="1"/>
  <c r="C94" i="29"/>
  <c r="D94" i="29"/>
  <c r="E94" i="29"/>
  <c r="F94" i="29"/>
  <c r="G94" i="29"/>
  <c r="H94" i="29"/>
  <c r="I94" i="29"/>
  <c r="U94" i="29" s="1"/>
  <c r="C95" i="29"/>
  <c r="D95" i="29"/>
  <c r="E95" i="29"/>
  <c r="F95" i="29"/>
  <c r="G95" i="29"/>
  <c r="H95" i="29"/>
  <c r="I95" i="29"/>
  <c r="U95" i="29" s="1"/>
  <c r="C96" i="29"/>
  <c r="D96" i="29"/>
  <c r="E96" i="29"/>
  <c r="F96" i="29"/>
  <c r="G96" i="29"/>
  <c r="H96" i="29"/>
  <c r="I96" i="29"/>
  <c r="U96" i="29" s="1"/>
  <c r="C97" i="29"/>
  <c r="D97" i="29"/>
  <c r="E97" i="29"/>
  <c r="F97" i="29"/>
  <c r="G97" i="29"/>
  <c r="H97" i="29"/>
  <c r="I97" i="29"/>
  <c r="U97" i="29" s="1"/>
  <c r="AC72" i="29"/>
  <c r="AB64" i="29"/>
  <c r="G70" i="29"/>
  <c r="C80" i="29"/>
  <c r="D80" i="29"/>
  <c r="E80" i="29"/>
  <c r="F80" i="29"/>
  <c r="G80" i="29"/>
  <c r="H80" i="29"/>
  <c r="I80" i="29"/>
  <c r="U80" i="29" s="1"/>
  <c r="C74" i="29"/>
  <c r="D74" i="29"/>
  <c r="E74" i="29"/>
  <c r="F74" i="29"/>
  <c r="G74" i="29"/>
  <c r="H74" i="29"/>
  <c r="I74" i="29"/>
  <c r="U74" i="29" s="1"/>
  <c r="C75" i="29"/>
  <c r="D75" i="29"/>
  <c r="E75" i="29"/>
  <c r="F75" i="29"/>
  <c r="G75" i="29"/>
  <c r="H75" i="29"/>
  <c r="I75" i="29"/>
  <c r="U75" i="29" s="1"/>
  <c r="C76" i="29"/>
  <c r="D76" i="29"/>
  <c r="E76" i="29"/>
  <c r="F76" i="29"/>
  <c r="G76" i="29"/>
  <c r="H76" i="29"/>
  <c r="I76" i="29"/>
  <c r="U76" i="29" s="1"/>
  <c r="Q63" i="29"/>
  <c r="Q61" i="29"/>
  <c r="Q62" i="29"/>
  <c r="AB48" i="29"/>
  <c r="C61" i="29"/>
  <c r="D61" i="29"/>
  <c r="E61" i="29"/>
  <c r="F61" i="29"/>
  <c r="G61" i="29"/>
  <c r="H61" i="29"/>
  <c r="I61" i="29"/>
  <c r="U61" i="29" s="1"/>
  <c r="C62" i="29"/>
  <c r="D62" i="29"/>
  <c r="E62" i="29"/>
  <c r="F62" i="29"/>
  <c r="G62" i="29"/>
  <c r="H62" i="29"/>
  <c r="I62" i="29"/>
  <c r="U62" i="29" s="1"/>
  <c r="C63" i="29"/>
  <c r="D63" i="29"/>
  <c r="E63" i="29"/>
  <c r="F63" i="29"/>
  <c r="G63" i="29"/>
  <c r="H63" i="29"/>
  <c r="I63" i="29"/>
  <c r="U63" i="29" s="1"/>
  <c r="Q60" i="29"/>
  <c r="I60" i="29"/>
  <c r="U60" i="29" s="1"/>
  <c r="H60" i="29"/>
  <c r="G60" i="29"/>
  <c r="F60" i="29"/>
  <c r="E60" i="29"/>
  <c r="D60" i="29"/>
  <c r="C60" i="29"/>
  <c r="Q59" i="29"/>
  <c r="K59" i="29"/>
  <c r="J59" i="29"/>
  <c r="I59" i="29"/>
  <c r="U59" i="29" s="1"/>
  <c r="H59" i="29"/>
  <c r="G59" i="29"/>
  <c r="F59" i="29"/>
  <c r="E59" i="29"/>
  <c r="D59" i="29"/>
  <c r="C59" i="29"/>
  <c r="K129" i="29"/>
  <c r="J129" i="29"/>
  <c r="I129" i="29"/>
  <c r="H129" i="29"/>
  <c r="G129" i="29"/>
  <c r="F129" i="29"/>
  <c r="E129" i="29"/>
  <c r="D129" i="29"/>
  <c r="C129" i="29"/>
  <c r="I128" i="29"/>
  <c r="H128" i="29"/>
  <c r="G128" i="29"/>
  <c r="F128" i="29"/>
  <c r="E128" i="29"/>
  <c r="D128" i="29"/>
  <c r="C128" i="29"/>
  <c r="I127" i="29"/>
  <c r="H127" i="29"/>
  <c r="G127" i="29"/>
  <c r="F127" i="29"/>
  <c r="E127" i="29"/>
  <c r="D127" i="29"/>
  <c r="C127" i="29"/>
  <c r="I126" i="29"/>
  <c r="H126" i="29"/>
  <c r="G126" i="29"/>
  <c r="F126" i="29"/>
  <c r="E126" i="29"/>
  <c r="D126" i="29"/>
  <c r="C126" i="29"/>
  <c r="I125" i="29"/>
  <c r="H125" i="29"/>
  <c r="G125" i="29"/>
  <c r="F125" i="29"/>
  <c r="E125" i="29"/>
  <c r="D125" i="29"/>
  <c r="C125" i="29"/>
  <c r="I124" i="29"/>
  <c r="H124" i="29"/>
  <c r="G124" i="29"/>
  <c r="F124" i="29"/>
  <c r="E124" i="29"/>
  <c r="D124" i="29"/>
  <c r="C124" i="29"/>
  <c r="I123" i="29"/>
  <c r="H123" i="29"/>
  <c r="G123" i="29"/>
  <c r="F123" i="29"/>
  <c r="E123" i="29"/>
  <c r="D123" i="29"/>
  <c r="C123" i="29"/>
  <c r="I122" i="29"/>
  <c r="H122" i="29"/>
  <c r="G122" i="29"/>
  <c r="F122" i="29"/>
  <c r="E122" i="29"/>
  <c r="D122" i="29"/>
  <c r="C122" i="29"/>
  <c r="I121" i="29"/>
  <c r="G121" i="29"/>
  <c r="F121" i="29"/>
  <c r="E121" i="29"/>
  <c r="D121" i="29"/>
  <c r="C121" i="29"/>
  <c r="K120" i="29"/>
  <c r="J120" i="29"/>
  <c r="I120" i="29"/>
  <c r="H120" i="29"/>
  <c r="G120" i="29"/>
  <c r="F120" i="29"/>
  <c r="E120" i="29"/>
  <c r="D120" i="29"/>
  <c r="C120" i="29"/>
  <c r="I119" i="29"/>
  <c r="H119" i="29"/>
  <c r="G119" i="29"/>
  <c r="F119" i="29"/>
  <c r="E119" i="29"/>
  <c r="D119" i="29"/>
  <c r="C119" i="29"/>
  <c r="I118" i="29"/>
  <c r="H118" i="29"/>
  <c r="G118" i="29"/>
  <c r="F118" i="29"/>
  <c r="E118" i="29"/>
  <c r="D118" i="29"/>
  <c r="C118" i="29"/>
  <c r="I117" i="29"/>
  <c r="H117" i="29"/>
  <c r="G117" i="29"/>
  <c r="F117" i="29"/>
  <c r="E117" i="29"/>
  <c r="D117" i="29"/>
  <c r="C117" i="29"/>
  <c r="I116" i="29"/>
  <c r="H116" i="29"/>
  <c r="G116" i="29"/>
  <c r="F116" i="29"/>
  <c r="E116" i="29"/>
  <c r="D116" i="29"/>
  <c r="C116" i="29"/>
  <c r="I113" i="29"/>
  <c r="U113" i="29" s="1"/>
  <c r="H113" i="29"/>
  <c r="G113" i="29"/>
  <c r="F113" i="29"/>
  <c r="E113" i="29"/>
  <c r="D113" i="29"/>
  <c r="C113" i="29"/>
  <c r="I112" i="29"/>
  <c r="U112" i="29" s="1"/>
  <c r="H112" i="29"/>
  <c r="G112" i="29"/>
  <c r="F112" i="29"/>
  <c r="E112" i="29"/>
  <c r="D112" i="29"/>
  <c r="C112" i="29"/>
  <c r="I111" i="29"/>
  <c r="U111" i="29" s="1"/>
  <c r="H111" i="29"/>
  <c r="G111" i="29"/>
  <c r="F111" i="29"/>
  <c r="E111" i="29"/>
  <c r="D111" i="29"/>
  <c r="C111" i="29"/>
  <c r="I108" i="29"/>
  <c r="H108" i="29"/>
  <c r="G108" i="29"/>
  <c r="F108" i="29"/>
  <c r="E108" i="29"/>
  <c r="D108" i="29"/>
  <c r="C108" i="29"/>
  <c r="I107" i="29"/>
  <c r="H107" i="29"/>
  <c r="G107" i="29"/>
  <c r="F107" i="29"/>
  <c r="E107" i="29"/>
  <c r="D107" i="29"/>
  <c r="C107" i="29"/>
  <c r="I106" i="29"/>
  <c r="H106" i="29"/>
  <c r="G106" i="29"/>
  <c r="F106" i="29"/>
  <c r="E106" i="29"/>
  <c r="D106" i="29"/>
  <c r="C106" i="29"/>
  <c r="I105" i="29"/>
  <c r="G105" i="29"/>
  <c r="F105" i="29"/>
  <c r="E105" i="29"/>
  <c r="D105" i="29"/>
  <c r="C105" i="29"/>
  <c r="I103" i="29"/>
  <c r="H103" i="29"/>
  <c r="G103" i="29"/>
  <c r="F103" i="29"/>
  <c r="E103" i="29"/>
  <c r="D103" i="29"/>
  <c r="C103" i="29"/>
  <c r="I102" i="29"/>
  <c r="H102" i="29"/>
  <c r="G102" i="29"/>
  <c r="F102" i="29"/>
  <c r="E102" i="29"/>
  <c r="D102" i="29"/>
  <c r="C102" i="29"/>
  <c r="I101" i="29"/>
  <c r="H101" i="29"/>
  <c r="G101" i="29"/>
  <c r="F101" i="29"/>
  <c r="E101" i="29"/>
  <c r="D101" i="29"/>
  <c r="C101" i="29"/>
  <c r="I100" i="29"/>
  <c r="H100" i="29"/>
  <c r="G100" i="29"/>
  <c r="F100" i="29"/>
  <c r="E100" i="29"/>
  <c r="D100" i="29"/>
  <c r="C100" i="29"/>
  <c r="I90" i="29"/>
  <c r="U90" i="29" s="1"/>
  <c r="H90" i="29"/>
  <c r="G90" i="29"/>
  <c r="F90" i="29"/>
  <c r="E90" i="29"/>
  <c r="D90" i="29"/>
  <c r="C90" i="29"/>
  <c r="I89" i="29"/>
  <c r="U89" i="29" s="1"/>
  <c r="H89" i="29"/>
  <c r="G89" i="29"/>
  <c r="F89" i="29"/>
  <c r="E89" i="29"/>
  <c r="D89" i="29"/>
  <c r="C89" i="29"/>
  <c r="I88" i="29"/>
  <c r="U88" i="29" s="1"/>
  <c r="H88" i="29"/>
  <c r="G88" i="29"/>
  <c r="F88" i="29"/>
  <c r="E88" i="29"/>
  <c r="D88" i="29"/>
  <c r="C88" i="29"/>
  <c r="I87" i="29"/>
  <c r="U87" i="29" s="1"/>
  <c r="H87" i="29"/>
  <c r="G87" i="29"/>
  <c r="F87" i="29"/>
  <c r="E87" i="29"/>
  <c r="D87" i="29"/>
  <c r="C87" i="29"/>
  <c r="I85" i="29"/>
  <c r="U85" i="29" s="1"/>
  <c r="H85" i="29"/>
  <c r="G85" i="29"/>
  <c r="F85" i="29"/>
  <c r="E85" i="29"/>
  <c r="D85" i="29"/>
  <c r="C85" i="29"/>
  <c r="I84" i="29"/>
  <c r="U84" i="29" s="1"/>
  <c r="H84" i="29"/>
  <c r="G84" i="29"/>
  <c r="F84" i="29"/>
  <c r="E84" i="29"/>
  <c r="D84" i="29"/>
  <c r="C84" i="29"/>
  <c r="I83" i="29"/>
  <c r="H83" i="29"/>
  <c r="G83" i="29"/>
  <c r="F83" i="29"/>
  <c r="E83" i="29"/>
  <c r="D83" i="29"/>
  <c r="C83" i="29"/>
  <c r="I82" i="29"/>
  <c r="H82" i="29"/>
  <c r="G82" i="29"/>
  <c r="F82" i="29"/>
  <c r="E82" i="29"/>
  <c r="D82" i="29"/>
  <c r="C82" i="29"/>
  <c r="I79" i="29"/>
  <c r="U79" i="29" s="1"/>
  <c r="H79" i="29"/>
  <c r="G79" i="29"/>
  <c r="F79" i="29"/>
  <c r="E79" i="29"/>
  <c r="D79" i="29"/>
  <c r="C79" i="29"/>
  <c r="I78" i="29"/>
  <c r="U78" i="29" s="1"/>
  <c r="H78" i="29"/>
  <c r="G78" i="29"/>
  <c r="F78" i="29"/>
  <c r="E78" i="29"/>
  <c r="D78" i="29"/>
  <c r="C78" i="29"/>
  <c r="I77" i="29"/>
  <c r="U77" i="29" s="1"/>
  <c r="H77" i="29"/>
  <c r="G77" i="29"/>
  <c r="F77" i="29"/>
  <c r="E77" i="29"/>
  <c r="D77" i="29"/>
  <c r="C77" i="29"/>
  <c r="I73" i="29"/>
  <c r="H73" i="29"/>
  <c r="G73" i="29"/>
  <c r="F73" i="29"/>
  <c r="E73" i="29"/>
  <c r="D73" i="29"/>
  <c r="C73" i="29"/>
  <c r="I72" i="29"/>
  <c r="H72" i="29"/>
  <c r="G72" i="29"/>
  <c r="F72" i="29"/>
  <c r="E72" i="29"/>
  <c r="D72" i="29"/>
  <c r="C72" i="29"/>
  <c r="I71" i="29"/>
  <c r="H71" i="29"/>
  <c r="G71" i="29"/>
  <c r="F71" i="29"/>
  <c r="E71" i="29"/>
  <c r="D71" i="29"/>
  <c r="C71" i="29"/>
  <c r="I70" i="29"/>
  <c r="H70" i="29"/>
  <c r="F70" i="29"/>
  <c r="E70" i="29"/>
  <c r="D70" i="29"/>
  <c r="C70" i="29"/>
  <c r="I69" i="29"/>
  <c r="H69" i="29"/>
  <c r="G69" i="29"/>
  <c r="F69" i="29"/>
  <c r="E69" i="29"/>
  <c r="D69" i="29"/>
  <c r="C69" i="29"/>
  <c r="I68" i="29"/>
  <c r="H68" i="29"/>
  <c r="G68" i="29"/>
  <c r="F68" i="29"/>
  <c r="E68" i="29"/>
  <c r="D68" i="29"/>
  <c r="C68" i="29"/>
  <c r="I67" i="29"/>
  <c r="H67" i="29"/>
  <c r="G67" i="29"/>
  <c r="F67" i="29"/>
  <c r="E67" i="29"/>
  <c r="D67" i="29"/>
  <c r="C67" i="29"/>
  <c r="I66" i="29"/>
  <c r="H66" i="29"/>
  <c r="G66" i="29"/>
  <c r="F66" i="29"/>
  <c r="E66" i="29"/>
  <c r="D66" i="29"/>
  <c r="C66" i="29"/>
  <c r="I65" i="29"/>
  <c r="H65" i="29"/>
  <c r="G65" i="29"/>
  <c r="F65" i="29"/>
  <c r="E65" i="29"/>
  <c r="D65" i="29"/>
  <c r="C65" i="29"/>
  <c r="I58" i="29"/>
  <c r="H58" i="29"/>
  <c r="G58" i="29"/>
  <c r="F58" i="29"/>
  <c r="E58" i="29"/>
  <c r="D58" i="29"/>
  <c r="C58" i="29"/>
  <c r="I57" i="29"/>
  <c r="H57" i="29"/>
  <c r="G57" i="29"/>
  <c r="F57" i="29"/>
  <c r="E57" i="29"/>
  <c r="D57" i="29"/>
  <c r="C57" i="29"/>
  <c r="I56" i="29"/>
  <c r="H56" i="29"/>
  <c r="G56" i="29"/>
  <c r="F56" i="29"/>
  <c r="E56" i="29"/>
  <c r="D56" i="29"/>
  <c r="C56" i="29"/>
  <c r="I55" i="29"/>
  <c r="H55" i="29"/>
  <c r="G55" i="29"/>
  <c r="F55" i="29"/>
  <c r="E55" i="29"/>
  <c r="D55" i="29"/>
  <c r="C55" i="29"/>
  <c r="I54" i="29"/>
  <c r="H54" i="29"/>
  <c r="G54" i="29"/>
  <c r="F54" i="29"/>
  <c r="E54" i="29"/>
  <c r="D54" i="29"/>
  <c r="C54" i="29"/>
  <c r="I53" i="29"/>
  <c r="H53" i="29"/>
  <c r="G53" i="29"/>
  <c r="F53" i="29"/>
  <c r="E53" i="29"/>
  <c r="D53" i="29"/>
  <c r="C53" i="29"/>
  <c r="I52" i="29"/>
  <c r="H52" i="29"/>
  <c r="G52" i="29"/>
  <c r="F52" i="29"/>
  <c r="E52" i="29"/>
  <c r="D52" i="29"/>
  <c r="C52" i="29"/>
  <c r="I51" i="29"/>
  <c r="H51" i="29"/>
  <c r="G51" i="29"/>
  <c r="F51" i="29"/>
  <c r="E51" i="29"/>
  <c r="D51" i="29"/>
  <c r="C51" i="29"/>
  <c r="I50" i="29"/>
  <c r="H50" i="29"/>
  <c r="G50" i="29"/>
  <c r="F50" i="29"/>
  <c r="E50" i="29"/>
  <c r="D50" i="29"/>
  <c r="C50" i="29"/>
  <c r="I49" i="29"/>
  <c r="H49" i="29"/>
  <c r="G49" i="29"/>
  <c r="F49" i="29"/>
  <c r="E49" i="29"/>
  <c r="D49" i="29"/>
  <c r="C49" i="29"/>
  <c r="Q44" i="29"/>
  <c r="Q45" i="29"/>
  <c r="Q46" i="29"/>
  <c r="Q47" i="29"/>
  <c r="O31" i="29"/>
  <c r="AD31" i="29" s="1"/>
  <c r="N31" i="29"/>
  <c r="AC31" i="29" s="1"/>
  <c r="N20" i="29"/>
  <c r="AC20" i="29" s="1"/>
  <c r="G41" i="29"/>
  <c r="J44" i="29"/>
  <c r="K44" i="29"/>
  <c r="J47" i="29"/>
  <c r="K47" i="29"/>
  <c r="H44" i="29"/>
  <c r="I44" i="29"/>
  <c r="U44" i="29" s="1"/>
  <c r="H45" i="29"/>
  <c r="I45" i="29"/>
  <c r="U45" i="29" s="1"/>
  <c r="H46" i="29"/>
  <c r="I46" i="29"/>
  <c r="U46" i="29" s="1"/>
  <c r="H47" i="29"/>
  <c r="I47" i="29"/>
  <c r="U47" i="29" s="1"/>
  <c r="C44" i="29"/>
  <c r="D44" i="29"/>
  <c r="E44" i="29"/>
  <c r="F44" i="29"/>
  <c r="C45" i="29"/>
  <c r="D45" i="29"/>
  <c r="E45" i="29"/>
  <c r="F45" i="29"/>
  <c r="C46" i="29"/>
  <c r="D46" i="29"/>
  <c r="E46" i="29"/>
  <c r="F46" i="29"/>
  <c r="C47" i="29"/>
  <c r="D47" i="29"/>
  <c r="E47" i="29"/>
  <c r="F47" i="29"/>
  <c r="G46" i="29"/>
  <c r="G47" i="29"/>
  <c r="G44" i="29"/>
  <c r="G45" i="29"/>
  <c r="I43" i="29"/>
  <c r="H43" i="29"/>
  <c r="G43" i="29"/>
  <c r="F43" i="29"/>
  <c r="E43" i="29"/>
  <c r="D43" i="29"/>
  <c r="C43" i="29"/>
  <c r="I42" i="29"/>
  <c r="H42" i="29"/>
  <c r="G42" i="29"/>
  <c r="F42" i="29"/>
  <c r="E42" i="29"/>
  <c r="D42" i="29"/>
  <c r="C42" i="29"/>
  <c r="I41" i="29"/>
  <c r="H41" i="29"/>
  <c r="F41" i="29"/>
  <c r="E41" i="29"/>
  <c r="D41" i="29"/>
  <c r="C41" i="29"/>
  <c r="I40" i="29"/>
  <c r="H40" i="29"/>
  <c r="G40" i="29"/>
  <c r="F40" i="29"/>
  <c r="E40" i="29"/>
  <c r="D40" i="29"/>
  <c r="C40" i="29"/>
  <c r="I39" i="29"/>
  <c r="H39" i="29"/>
  <c r="G39" i="29"/>
  <c r="F39" i="29"/>
  <c r="E39" i="29"/>
  <c r="D39" i="29"/>
  <c r="C39" i="29"/>
  <c r="I38" i="29"/>
  <c r="H38" i="29"/>
  <c r="G38" i="29"/>
  <c r="F38" i="29"/>
  <c r="E38" i="29"/>
  <c r="D38" i="29"/>
  <c r="C38" i="29"/>
  <c r="I37" i="29"/>
  <c r="H37" i="29"/>
  <c r="G37" i="29"/>
  <c r="F37" i="29"/>
  <c r="E37" i="29"/>
  <c r="D37" i="29"/>
  <c r="C37" i="29"/>
  <c r="I36" i="29"/>
  <c r="H36" i="29"/>
  <c r="G36" i="29"/>
  <c r="F36" i="29"/>
  <c r="E36" i="29"/>
  <c r="D36" i="29"/>
  <c r="C36" i="29"/>
  <c r="Q31" i="29"/>
  <c r="Q32" i="29"/>
  <c r="Q33" i="29"/>
  <c r="Q34" i="29"/>
  <c r="K31" i="29"/>
  <c r="J31" i="29"/>
  <c r="H31" i="29"/>
  <c r="I31" i="29"/>
  <c r="U31" i="29" s="1"/>
  <c r="H32" i="29"/>
  <c r="I32" i="29"/>
  <c r="U32" i="29" s="1"/>
  <c r="H33" i="29"/>
  <c r="I33" i="29"/>
  <c r="U33" i="29" s="1"/>
  <c r="H34" i="29"/>
  <c r="I34" i="29"/>
  <c r="U34" i="29" s="1"/>
  <c r="C31" i="29"/>
  <c r="D31" i="29"/>
  <c r="E31" i="29"/>
  <c r="F31" i="29"/>
  <c r="C32" i="29"/>
  <c r="D32" i="29"/>
  <c r="E32" i="29"/>
  <c r="F32" i="29"/>
  <c r="C33" i="29"/>
  <c r="D33" i="29"/>
  <c r="E33" i="29"/>
  <c r="F33" i="29"/>
  <c r="C34" i="29"/>
  <c r="D34" i="29"/>
  <c r="E34" i="29"/>
  <c r="F34" i="29"/>
  <c r="G32" i="29"/>
  <c r="G31" i="29"/>
  <c r="G33" i="29"/>
  <c r="G34" i="29"/>
  <c r="H29" i="29"/>
  <c r="I29" i="29"/>
  <c r="G29" i="29"/>
  <c r="F29" i="29"/>
  <c r="E29" i="29"/>
  <c r="D29" i="29"/>
  <c r="C29" i="29"/>
  <c r="I30" i="29"/>
  <c r="H30" i="29"/>
  <c r="G30" i="29"/>
  <c r="F30" i="29"/>
  <c r="E30" i="29"/>
  <c r="D30" i="29"/>
  <c r="C30" i="29"/>
  <c r="I28" i="29"/>
  <c r="H28" i="29"/>
  <c r="G28" i="29"/>
  <c r="F28" i="29"/>
  <c r="E28" i="29"/>
  <c r="D28" i="29"/>
  <c r="C28" i="29"/>
  <c r="I27" i="29"/>
  <c r="H27" i="29"/>
  <c r="G27" i="29"/>
  <c r="F27" i="29"/>
  <c r="E27" i="29"/>
  <c r="D27" i="29"/>
  <c r="C27" i="29"/>
  <c r="I26" i="29"/>
  <c r="H26" i="29"/>
  <c r="G26" i="29"/>
  <c r="F26" i="29"/>
  <c r="E26" i="29"/>
  <c r="D26" i="29"/>
  <c r="C26" i="29"/>
  <c r="I25" i="29"/>
  <c r="H25" i="29"/>
  <c r="G25" i="29"/>
  <c r="F25" i="29"/>
  <c r="E25" i="29"/>
  <c r="D25" i="29"/>
  <c r="C25" i="29"/>
  <c r="I24" i="29"/>
  <c r="H24" i="29"/>
  <c r="G24" i="29"/>
  <c r="F24" i="29"/>
  <c r="E24" i="29"/>
  <c r="D24" i="29"/>
  <c r="C24" i="29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AU315" i="41"/>
  <c r="AU316" i="41"/>
  <c r="AU317" i="41"/>
  <c r="AU318" i="41"/>
  <c r="AU319" i="41"/>
  <c r="AU320" i="41"/>
  <c r="AU321" i="41"/>
  <c r="AU322" i="41"/>
  <c r="AU323" i="41"/>
  <c r="AU324" i="41"/>
  <c r="AU325" i="41"/>
  <c r="AU326" i="41"/>
  <c r="AU327" i="41"/>
  <c r="AU328" i="41"/>
  <c r="AU329" i="41"/>
  <c r="AU330" i="41"/>
  <c r="AU331" i="41"/>
  <c r="AU332" i="41"/>
  <c r="AU333" i="41"/>
  <c r="AU334" i="41"/>
  <c r="AU335" i="41"/>
  <c r="AU336" i="41"/>
  <c r="AU337" i="41"/>
  <c r="AU338" i="41"/>
  <c r="AU339" i="41"/>
  <c r="AU340" i="41"/>
  <c r="AU341" i="41"/>
  <c r="AU342" i="41"/>
  <c r="AU343" i="41"/>
  <c r="AU344" i="41"/>
  <c r="AU345" i="41"/>
  <c r="AU346" i="41"/>
  <c r="AU347" i="41"/>
  <c r="AU348" i="41"/>
  <c r="AU349" i="41"/>
  <c r="AU350" i="41"/>
  <c r="AU351" i="41"/>
  <c r="AU352" i="41"/>
  <c r="AU353" i="41"/>
  <c r="AU354" i="41"/>
  <c r="AU355" i="41"/>
  <c r="AU356" i="41"/>
  <c r="AU357" i="41"/>
  <c r="AU358" i="41"/>
  <c r="AU359" i="41"/>
  <c r="AU360" i="41"/>
  <c r="AU361" i="41"/>
  <c r="AU362" i="41"/>
  <c r="AU363" i="41"/>
  <c r="AU364" i="41"/>
  <c r="AU365" i="41"/>
  <c r="AU366" i="41"/>
  <c r="AU367" i="41"/>
  <c r="AU368" i="41"/>
  <c r="AU369" i="41"/>
  <c r="AU370" i="41"/>
  <c r="AU371" i="41"/>
  <c r="AU372" i="41"/>
  <c r="AU373" i="41"/>
  <c r="AU374" i="41"/>
  <c r="AU375" i="41"/>
  <c r="AU376" i="41"/>
  <c r="AU377" i="41"/>
  <c r="AU378" i="41"/>
  <c r="AU379" i="41"/>
  <c r="AU380" i="41"/>
  <c r="AU381" i="41"/>
  <c r="AU382" i="41"/>
  <c r="AU383" i="41"/>
  <c r="AU384" i="41"/>
  <c r="AU385" i="41"/>
  <c r="AU386" i="41"/>
  <c r="AU387" i="41"/>
  <c r="AU388" i="41"/>
  <c r="AU389" i="41"/>
  <c r="AU390" i="41"/>
  <c r="AU391" i="41"/>
  <c r="AU392" i="41"/>
  <c r="AU393" i="41"/>
  <c r="AU394" i="41"/>
  <c r="AU395" i="41"/>
  <c r="AU396" i="41"/>
  <c r="AU397" i="41"/>
  <c r="AU398" i="41"/>
  <c r="AU399" i="41"/>
  <c r="AU400" i="41"/>
  <c r="AU401" i="41"/>
  <c r="AU402" i="41"/>
  <c r="AU403" i="41"/>
  <c r="AU404" i="41"/>
  <c r="AU405" i="41"/>
  <c r="AU406" i="41"/>
  <c r="AU407" i="41"/>
  <c r="AU408" i="41"/>
  <c r="AU409" i="41"/>
  <c r="AU410" i="41"/>
  <c r="AU411" i="41"/>
  <c r="AU412" i="41"/>
  <c r="AU413" i="41"/>
  <c r="AU414" i="41"/>
  <c r="AU415" i="41"/>
  <c r="AU416" i="41"/>
  <c r="AU417" i="41"/>
  <c r="AU418" i="41"/>
  <c r="AU419" i="41"/>
  <c r="AU420" i="41"/>
  <c r="AU421" i="41"/>
  <c r="AU422" i="41"/>
  <c r="AU423" i="41"/>
  <c r="AU424" i="41"/>
  <c r="AU425" i="41"/>
  <c r="AU426" i="41"/>
  <c r="AU427" i="41"/>
  <c r="AU428" i="41"/>
  <c r="AU429" i="41"/>
  <c r="AU430" i="41"/>
  <c r="AU431" i="41"/>
  <c r="AU432" i="41"/>
  <c r="AU433" i="41"/>
  <c r="AU434" i="41"/>
  <c r="AU435" i="41"/>
  <c r="AU436" i="41"/>
  <c r="AU437" i="41"/>
  <c r="AU438" i="41"/>
  <c r="AU439" i="41"/>
  <c r="AU440" i="41"/>
  <c r="AU441" i="41"/>
  <c r="AU442" i="41"/>
  <c r="AU443" i="41"/>
  <c r="AU444" i="41"/>
  <c r="AU445" i="41"/>
  <c r="AU446" i="41"/>
  <c r="AU447" i="41"/>
  <c r="AU448" i="41"/>
  <c r="AU449" i="41"/>
  <c r="AU450" i="41"/>
  <c r="AU451" i="41"/>
  <c r="AU452" i="41"/>
  <c r="AU453" i="41"/>
  <c r="AU454" i="41"/>
  <c r="AU455" i="41"/>
  <c r="AU456" i="41"/>
  <c r="AU457" i="41"/>
  <c r="AU458" i="41"/>
  <c r="AU459" i="41"/>
  <c r="AU460" i="41"/>
  <c r="AU461" i="41"/>
  <c r="AU462" i="41"/>
  <c r="AU463" i="41"/>
  <c r="AU464" i="41"/>
  <c r="AU465" i="41"/>
  <c r="AV315" i="41"/>
  <c r="AV316" i="41"/>
  <c r="AV317" i="41"/>
  <c r="AV318" i="41"/>
  <c r="AV319" i="41"/>
  <c r="AV320" i="41"/>
  <c r="AV321" i="41"/>
  <c r="AV322" i="41"/>
  <c r="AV323" i="41"/>
  <c r="AV324" i="41"/>
  <c r="AV325" i="41"/>
  <c r="AV326" i="41"/>
  <c r="AV327" i="41"/>
  <c r="AV328" i="41"/>
  <c r="AV329" i="41"/>
  <c r="AV330" i="41"/>
  <c r="AV331" i="41"/>
  <c r="AV332" i="41"/>
  <c r="AV333" i="41"/>
  <c r="AV334" i="41"/>
  <c r="AV335" i="41"/>
  <c r="AV336" i="41"/>
  <c r="AV337" i="41"/>
  <c r="AV338" i="41"/>
  <c r="AV339" i="41"/>
  <c r="AV340" i="41"/>
  <c r="AV341" i="41"/>
  <c r="AV342" i="41"/>
  <c r="AV343" i="41"/>
  <c r="AV344" i="41"/>
  <c r="AV345" i="41"/>
  <c r="AV346" i="41"/>
  <c r="AV347" i="41"/>
  <c r="AV348" i="41"/>
  <c r="AV349" i="41"/>
  <c r="AV350" i="41"/>
  <c r="AV351" i="41"/>
  <c r="AV352" i="41"/>
  <c r="AV353" i="41"/>
  <c r="AV354" i="41"/>
  <c r="AV355" i="41"/>
  <c r="AV356" i="41"/>
  <c r="AV357" i="41"/>
  <c r="AV358" i="41"/>
  <c r="AV359" i="41"/>
  <c r="AV360" i="41"/>
  <c r="AV361" i="41"/>
  <c r="AV362" i="41"/>
  <c r="AV363" i="41"/>
  <c r="AV364" i="41"/>
  <c r="AV365" i="41"/>
  <c r="AV366" i="41"/>
  <c r="AV367" i="41"/>
  <c r="AV368" i="41"/>
  <c r="AV369" i="41"/>
  <c r="AV370" i="41"/>
  <c r="AV371" i="41"/>
  <c r="AV372" i="41"/>
  <c r="AV373" i="41"/>
  <c r="AV374" i="41"/>
  <c r="AV375" i="41"/>
  <c r="AV376" i="41"/>
  <c r="AV377" i="41"/>
  <c r="AV378" i="41"/>
  <c r="AV379" i="41"/>
  <c r="AV380" i="41"/>
  <c r="AV381" i="41"/>
  <c r="AV382" i="41"/>
  <c r="AV383" i="41"/>
  <c r="AV384" i="41"/>
  <c r="AV385" i="41"/>
  <c r="AV386" i="41"/>
  <c r="AV387" i="41"/>
  <c r="AV388" i="41"/>
  <c r="AV389" i="41"/>
  <c r="AV390" i="41"/>
  <c r="AV391" i="41"/>
  <c r="AV392" i="41"/>
  <c r="AV393" i="41"/>
  <c r="AV394" i="41"/>
  <c r="AV395" i="41"/>
  <c r="AV396" i="41"/>
  <c r="AV397" i="41"/>
  <c r="AV398" i="41"/>
  <c r="AV399" i="41"/>
  <c r="AV400" i="41"/>
  <c r="AV401" i="41"/>
  <c r="AV402" i="41"/>
  <c r="AV403" i="41"/>
  <c r="AV404" i="41"/>
  <c r="AV405" i="41"/>
  <c r="AV406" i="41"/>
  <c r="AV407" i="41"/>
  <c r="AV408" i="41"/>
  <c r="AV409" i="41"/>
  <c r="AV410" i="41"/>
  <c r="AV411" i="41"/>
  <c r="AV412" i="41"/>
  <c r="AV413" i="41"/>
  <c r="AV414" i="41"/>
  <c r="AV415" i="41"/>
  <c r="AV416" i="41"/>
  <c r="AV417" i="41"/>
  <c r="AV418" i="41"/>
  <c r="AV419" i="41"/>
  <c r="AV420" i="41"/>
  <c r="AV421" i="41"/>
  <c r="AV422" i="41"/>
  <c r="AV423" i="41"/>
  <c r="AV424" i="41"/>
  <c r="AV425" i="41"/>
  <c r="AV426" i="41"/>
  <c r="AV427" i="41"/>
  <c r="AV428" i="41"/>
  <c r="AV429" i="41"/>
  <c r="AV430" i="41"/>
  <c r="AV431" i="41"/>
  <c r="AV432" i="41"/>
  <c r="AV433" i="41"/>
  <c r="AV434" i="41"/>
  <c r="AV435" i="41"/>
  <c r="AV436" i="41"/>
  <c r="AV437" i="41"/>
  <c r="AV438" i="41"/>
  <c r="AV439" i="41"/>
  <c r="AV440" i="41"/>
  <c r="AV441" i="41"/>
  <c r="AV442" i="41"/>
  <c r="AV443" i="41"/>
  <c r="AV444" i="41"/>
  <c r="AV445" i="41"/>
  <c r="AV446" i="41"/>
  <c r="AV447" i="41"/>
  <c r="AV448" i="41"/>
  <c r="AV449" i="41"/>
  <c r="AV450" i="41"/>
  <c r="AV451" i="41"/>
  <c r="AV452" i="41"/>
  <c r="AV453" i="41"/>
  <c r="AV454" i="41"/>
  <c r="AV455" i="41"/>
  <c r="AV456" i="41"/>
  <c r="AV457" i="41"/>
  <c r="AV458" i="41"/>
  <c r="AV459" i="41"/>
  <c r="AV460" i="41"/>
  <c r="AV461" i="41"/>
  <c r="AV462" i="41"/>
  <c r="AV463" i="41"/>
  <c r="AV464" i="41"/>
  <c r="AV465" i="41"/>
  <c r="AU263" i="40"/>
  <c r="AU264" i="40"/>
  <c r="AU265" i="40"/>
  <c r="AU266" i="40"/>
  <c r="AU267" i="40"/>
  <c r="AU268" i="40"/>
  <c r="AU269" i="40"/>
  <c r="AU270" i="40"/>
  <c r="AU271" i="40"/>
  <c r="AU272" i="40"/>
  <c r="AU273" i="40"/>
  <c r="AU274" i="40"/>
  <c r="AU275" i="40"/>
  <c r="AU276" i="40"/>
  <c r="AU277" i="40"/>
  <c r="AU278" i="40"/>
  <c r="AU279" i="40"/>
  <c r="AU280" i="40"/>
  <c r="AU281" i="40"/>
  <c r="AU282" i="40"/>
  <c r="AU283" i="40"/>
  <c r="AU284" i="40"/>
  <c r="AU285" i="40"/>
  <c r="AU286" i="40"/>
  <c r="AU287" i="40"/>
  <c r="AU288" i="40"/>
  <c r="AU289" i="40"/>
  <c r="AU290" i="40"/>
  <c r="AU291" i="40"/>
  <c r="AU292" i="40"/>
  <c r="AU293" i="40"/>
  <c r="AU294" i="40"/>
  <c r="AU295" i="40"/>
  <c r="AU296" i="40"/>
  <c r="AU297" i="40"/>
  <c r="AU298" i="40"/>
  <c r="AU299" i="40"/>
  <c r="AU300" i="40"/>
  <c r="AU301" i="40"/>
  <c r="AU302" i="40"/>
  <c r="AU303" i="40"/>
  <c r="AU304" i="40"/>
  <c r="AU305" i="40"/>
  <c r="AU306" i="40"/>
  <c r="AU307" i="40"/>
  <c r="AU308" i="40"/>
  <c r="AU309" i="40"/>
  <c r="AU310" i="40"/>
  <c r="AU311" i="40"/>
  <c r="AU312" i="40"/>
  <c r="AU313" i="40"/>
  <c r="AU314" i="40"/>
  <c r="AU315" i="40"/>
  <c r="AU316" i="40"/>
  <c r="AU317" i="40"/>
  <c r="AU318" i="40"/>
  <c r="AU319" i="40"/>
  <c r="AU320" i="40"/>
  <c r="AU321" i="40"/>
  <c r="AU322" i="40"/>
  <c r="AU323" i="40"/>
  <c r="AU324" i="40"/>
  <c r="AU325" i="40"/>
  <c r="AU326" i="40"/>
  <c r="AU327" i="40"/>
  <c r="AU328" i="40"/>
  <c r="AU329" i="40"/>
  <c r="AU330" i="40"/>
  <c r="AU331" i="40"/>
  <c r="AU332" i="40"/>
  <c r="AU333" i="40"/>
  <c r="AU334" i="40"/>
  <c r="AU335" i="40"/>
  <c r="AU336" i="40"/>
  <c r="AU337" i="40"/>
  <c r="AU338" i="40"/>
  <c r="AU339" i="40"/>
  <c r="AU340" i="40"/>
  <c r="AU341" i="40"/>
  <c r="AU342" i="40"/>
  <c r="AU343" i="40"/>
  <c r="AU344" i="40"/>
  <c r="AU345" i="40"/>
  <c r="AU346" i="40"/>
  <c r="AU347" i="40"/>
  <c r="AU348" i="40"/>
  <c r="AU349" i="40"/>
  <c r="AU350" i="40"/>
  <c r="AU351" i="40"/>
  <c r="AU352" i="40"/>
  <c r="AU353" i="40"/>
  <c r="AU354" i="40"/>
  <c r="AU355" i="40"/>
  <c r="AU356" i="40"/>
  <c r="AU357" i="40"/>
  <c r="AU358" i="40"/>
  <c r="AU359" i="40"/>
  <c r="AU360" i="40"/>
  <c r="AU361" i="40"/>
  <c r="AU362" i="40"/>
  <c r="AU363" i="40"/>
  <c r="AU364" i="40"/>
  <c r="AU365" i="40"/>
  <c r="AU366" i="40"/>
  <c r="AU367" i="40"/>
  <c r="AU368" i="40"/>
  <c r="AU369" i="40"/>
  <c r="AU370" i="40"/>
  <c r="AU371" i="40"/>
  <c r="AU372" i="40"/>
  <c r="AU373" i="40"/>
  <c r="AU374" i="40"/>
  <c r="AU375" i="40"/>
  <c r="AU376" i="40"/>
  <c r="AU377" i="40"/>
  <c r="AU378" i="40"/>
  <c r="AU379" i="40"/>
  <c r="AU380" i="40"/>
  <c r="AU381" i="40"/>
  <c r="AU382" i="40"/>
  <c r="AU383" i="40"/>
  <c r="AU384" i="40"/>
  <c r="AU385" i="40"/>
  <c r="AU386" i="40"/>
  <c r="AU387" i="40"/>
  <c r="AU388" i="40"/>
  <c r="AU389" i="40"/>
  <c r="AU390" i="40"/>
  <c r="AU391" i="40"/>
  <c r="AU392" i="40"/>
  <c r="AU393" i="40"/>
  <c r="AU394" i="40"/>
  <c r="AU395" i="40"/>
  <c r="AU396" i="40"/>
  <c r="AU397" i="40"/>
  <c r="AU398" i="40"/>
  <c r="AU399" i="40"/>
  <c r="AU400" i="40"/>
  <c r="AU401" i="40"/>
  <c r="AU402" i="40"/>
  <c r="AU403" i="40"/>
  <c r="AU404" i="40"/>
  <c r="AU405" i="40"/>
  <c r="AU406" i="40"/>
  <c r="AU407" i="40"/>
  <c r="AU408" i="40"/>
  <c r="AU409" i="40"/>
  <c r="AU410" i="40"/>
  <c r="AU411" i="40"/>
  <c r="AU412" i="40"/>
  <c r="AU413" i="40"/>
  <c r="AV263" i="40"/>
  <c r="AV264" i="40"/>
  <c r="AV265" i="40"/>
  <c r="AV266" i="40"/>
  <c r="AV267" i="40"/>
  <c r="AV268" i="40"/>
  <c r="AV269" i="40"/>
  <c r="AV270" i="40"/>
  <c r="AV271" i="40"/>
  <c r="AV272" i="40"/>
  <c r="AV273" i="40"/>
  <c r="AV274" i="40"/>
  <c r="AV275" i="40"/>
  <c r="AV276" i="40"/>
  <c r="AV277" i="40"/>
  <c r="AV278" i="40"/>
  <c r="AV279" i="40"/>
  <c r="AV280" i="40"/>
  <c r="AV281" i="40"/>
  <c r="AV282" i="40"/>
  <c r="AV283" i="40"/>
  <c r="AV284" i="40"/>
  <c r="AV285" i="40"/>
  <c r="AV286" i="40"/>
  <c r="AV287" i="40"/>
  <c r="AV288" i="40"/>
  <c r="AV289" i="40"/>
  <c r="AV290" i="40"/>
  <c r="AV291" i="40"/>
  <c r="AV292" i="40"/>
  <c r="AV293" i="40"/>
  <c r="AV294" i="40"/>
  <c r="AV295" i="40"/>
  <c r="AV296" i="40"/>
  <c r="AV297" i="40"/>
  <c r="AV298" i="40"/>
  <c r="AV299" i="40"/>
  <c r="AV300" i="40"/>
  <c r="AV301" i="40"/>
  <c r="AV302" i="40"/>
  <c r="AV303" i="40"/>
  <c r="AV304" i="40"/>
  <c r="AV305" i="40"/>
  <c r="AV306" i="40"/>
  <c r="AV307" i="40"/>
  <c r="AV308" i="40"/>
  <c r="AV309" i="40"/>
  <c r="AV310" i="40"/>
  <c r="AV311" i="40"/>
  <c r="AV312" i="40"/>
  <c r="AV313" i="40"/>
  <c r="AV314" i="40"/>
  <c r="AV315" i="40"/>
  <c r="AV316" i="40"/>
  <c r="AV317" i="40"/>
  <c r="AV318" i="40"/>
  <c r="AV319" i="40"/>
  <c r="AV320" i="40"/>
  <c r="AV321" i="40"/>
  <c r="AV322" i="40"/>
  <c r="AV323" i="40"/>
  <c r="AV324" i="40"/>
  <c r="AV325" i="40"/>
  <c r="AV326" i="40"/>
  <c r="AV327" i="40"/>
  <c r="AV328" i="40"/>
  <c r="AV329" i="40"/>
  <c r="AV330" i="40"/>
  <c r="AV331" i="40"/>
  <c r="AV332" i="40"/>
  <c r="AV333" i="40"/>
  <c r="AV334" i="40"/>
  <c r="AV335" i="40"/>
  <c r="AV336" i="40"/>
  <c r="AV337" i="40"/>
  <c r="AV338" i="40"/>
  <c r="AV339" i="40"/>
  <c r="AV340" i="40"/>
  <c r="AV341" i="40"/>
  <c r="AV342" i="40"/>
  <c r="AV343" i="40"/>
  <c r="AV344" i="40"/>
  <c r="AV345" i="40"/>
  <c r="AV346" i="40"/>
  <c r="AV347" i="40"/>
  <c r="AV348" i="40"/>
  <c r="AV349" i="40"/>
  <c r="AV350" i="40"/>
  <c r="AV351" i="40"/>
  <c r="AV352" i="40"/>
  <c r="AV353" i="40"/>
  <c r="AV354" i="40"/>
  <c r="AV355" i="40"/>
  <c r="AV356" i="40"/>
  <c r="AV357" i="40"/>
  <c r="AV358" i="40"/>
  <c r="AV359" i="40"/>
  <c r="AV360" i="40"/>
  <c r="AV361" i="40"/>
  <c r="AV362" i="40"/>
  <c r="AV363" i="40"/>
  <c r="AV364" i="40"/>
  <c r="AV365" i="40"/>
  <c r="AV366" i="40"/>
  <c r="AV367" i="40"/>
  <c r="AV368" i="40"/>
  <c r="AV369" i="40"/>
  <c r="AV370" i="40"/>
  <c r="AV371" i="40"/>
  <c r="AV372" i="40"/>
  <c r="AV373" i="40"/>
  <c r="AV374" i="40"/>
  <c r="AV375" i="40"/>
  <c r="AV376" i="40"/>
  <c r="AV377" i="40"/>
  <c r="AV378" i="40"/>
  <c r="AV379" i="40"/>
  <c r="AV380" i="40"/>
  <c r="AV381" i="40"/>
  <c r="AV382" i="40"/>
  <c r="AV383" i="40"/>
  <c r="AV384" i="40"/>
  <c r="AV385" i="40"/>
  <c r="AV386" i="40"/>
  <c r="AV387" i="40"/>
  <c r="AV388" i="40"/>
  <c r="AV389" i="40"/>
  <c r="AV390" i="40"/>
  <c r="AV391" i="40"/>
  <c r="AV392" i="40"/>
  <c r="AV393" i="40"/>
  <c r="AV394" i="40"/>
  <c r="AV395" i="40"/>
  <c r="AV396" i="40"/>
  <c r="AV397" i="40"/>
  <c r="AV398" i="40"/>
  <c r="AV399" i="40"/>
  <c r="AV400" i="40"/>
  <c r="AV401" i="40"/>
  <c r="AV402" i="40"/>
  <c r="AV403" i="40"/>
  <c r="AV404" i="40"/>
  <c r="AV405" i="40"/>
  <c r="AV406" i="40"/>
  <c r="AV407" i="40"/>
  <c r="AV408" i="40"/>
  <c r="AV409" i="40"/>
  <c r="AV410" i="40"/>
  <c r="AV411" i="40"/>
  <c r="AV412" i="40"/>
  <c r="AV413" i="40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O20" i="29"/>
  <c r="AD20" i="29" s="1"/>
  <c r="Q20" i="29"/>
  <c r="Q21" i="29"/>
  <c r="Q22" i="29"/>
  <c r="Y169" i="44" l="1"/>
  <c r="Z169" i="44"/>
  <c r="Z7" i="44"/>
  <c r="Y7" i="44"/>
  <c r="Y231" i="44"/>
  <c r="Z231" i="44"/>
  <c r="Y18" i="44"/>
  <c r="Z18" i="44"/>
  <c r="Z74" i="44"/>
  <c r="Y74" i="44"/>
  <c r="Z31" i="44"/>
  <c r="Y31" i="44"/>
  <c r="Z123" i="44"/>
  <c r="Y123" i="44"/>
  <c r="U233" i="29"/>
  <c r="K245" i="29"/>
  <c r="U232" i="29"/>
  <c r="U241" i="29"/>
  <c r="J225" i="29"/>
  <c r="J229" i="29"/>
  <c r="R238" i="29"/>
  <c r="J240" i="29"/>
  <c r="J245" i="29"/>
  <c r="U236" i="29"/>
  <c r="R252" i="29"/>
  <c r="S252" i="29" s="1"/>
  <c r="K228" i="29"/>
  <c r="U252" i="29"/>
  <c r="J238" i="29"/>
  <c r="R240" i="29"/>
  <c r="S240" i="29" s="1"/>
  <c r="J243" i="29"/>
  <c r="R245" i="29"/>
  <c r="S245" i="29" s="1"/>
  <c r="J247" i="29"/>
  <c r="U247" i="29"/>
  <c r="R239" i="29"/>
  <c r="S239" i="29" s="1"/>
  <c r="J242" i="29"/>
  <c r="R244" i="29"/>
  <c r="S244" i="29" s="1"/>
  <c r="J246" i="29"/>
  <c r="R249" i="29"/>
  <c r="S249" i="29" s="1"/>
  <c r="K242" i="29"/>
  <c r="K246" i="29"/>
  <c r="U243" i="29"/>
  <c r="S238" i="29"/>
  <c r="R243" i="29"/>
  <c r="S243" i="29" s="1"/>
  <c r="R247" i="29"/>
  <c r="S247" i="29" s="1"/>
  <c r="R248" i="29"/>
  <c r="S248" i="29" s="1"/>
  <c r="K240" i="29"/>
  <c r="G133" i="29"/>
  <c r="R237" i="29"/>
  <c r="S237" i="29" s="1"/>
  <c r="J239" i="29"/>
  <c r="R242" i="29"/>
  <c r="S242" i="29" s="1"/>
  <c r="J244" i="29"/>
  <c r="R246" i="29"/>
  <c r="S246" i="29" s="1"/>
  <c r="R236" i="29"/>
  <c r="S236" i="29" s="1"/>
  <c r="R241" i="29"/>
  <c r="S241" i="29" s="1"/>
  <c r="K239" i="29"/>
  <c r="K244" i="29"/>
  <c r="R250" i="29"/>
  <c r="S250" i="29" s="1"/>
  <c r="R251" i="29"/>
  <c r="S251" i="29" s="1"/>
  <c r="U216" i="29"/>
  <c r="K224" i="29"/>
  <c r="R219" i="29"/>
  <c r="U200" i="29"/>
  <c r="R221" i="29"/>
  <c r="S221" i="29" s="1"/>
  <c r="J224" i="29"/>
  <c r="R226" i="29"/>
  <c r="S226" i="29" s="1"/>
  <c r="J228" i="29"/>
  <c r="U228" i="29" s="1"/>
  <c r="U231" i="29"/>
  <c r="R220" i="29"/>
  <c r="S220" i="29" s="1"/>
  <c r="J222" i="29"/>
  <c r="R225" i="29"/>
  <c r="S225" i="29" s="1"/>
  <c r="J227" i="29"/>
  <c r="R229" i="29"/>
  <c r="S229" i="29" s="1"/>
  <c r="R223" i="29"/>
  <c r="S223" i="29" s="1"/>
  <c r="K222" i="29"/>
  <c r="K227" i="29"/>
  <c r="U214" i="29"/>
  <c r="U230" i="29"/>
  <c r="R224" i="29"/>
  <c r="S224" i="29" s="1"/>
  <c r="R228" i="29"/>
  <c r="S228" i="29" s="1"/>
  <c r="R233" i="29"/>
  <c r="S233" i="29" s="1"/>
  <c r="R230" i="29"/>
  <c r="S230" i="29" s="1"/>
  <c r="R232" i="29"/>
  <c r="S232" i="29" s="1"/>
  <c r="R222" i="29"/>
  <c r="S222" i="29" s="1"/>
  <c r="R227" i="29"/>
  <c r="S227" i="29" s="1"/>
  <c r="K225" i="29"/>
  <c r="R231" i="29"/>
  <c r="S231" i="29" s="1"/>
  <c r="R234" i="29"/>
  <c r="S234" i="29" s="1"/>
  <c r="J226" i="29"/>
  <c r="K226" i="29"/>
  <c r="K229" i="29"/>
  <c r="R200" i="29"/>
  <c r="S200" i="29" s="1"/>
  <c r="R216" i="29"/>
  <c r="S216" i="29" s="1"/>
  <c r="K194" i="29"/>
  <c r="R205" i="29"/>
  <c r="R209" i="29"/>
  <c r="R213" i="29"/>
  <c r="S213" i="29" s="1"/>
  <c r="R204" i="29"/>
  <c r="R208" i="29"/>
  <c r="R212" i="29"/>
  <c r="R217" i="29"/>
  <c r="S217" i="29" s="1"/>
  <c r="R203" i="29"/>
  <c r="R207" i="29"/>
  <c r="R211" i="29"/>
  <c r="R214" i="29"/>
  <c r="S214" i="29" s="1"/>
  <c r="R202" i="29"/>
  <c r="R206" i="29"/>
  <c r="R210" i="29"/>
  <c r="R215" i="29"/>
  <c r="S215" i="29" s="1"/>
  <c r="U197" i="29"/>
  <c r="R187" i="29"/>
  <c r="S187" i="29" s="1"/>
  <c r="U196" i="29"/>
  <c r="R199" i="29"/>
  <c r="S199" i="29" s="1"/>
  <c r="R191" i="29"/>
  <c r="S191" i="29" s="1"/>
  <c r="R195" i="29"/>
  <c r="S195" i="29" s="1"/>
  <c r="U199" i="29"/>
  <c r="R196" i="29"/>
  <c r="S196" i="29" s="1"/>
  <c r="R186" i="29"/>
  <c r="S186" i="29" s="1"/>
  <c r="R190" i="29"/>
  <c r="S190" i="29" s="1"/>
  <c r="R194" i="29"/>
  <c r="S194" i="29" s="1"/>
  <c r="K180" i="29"/>
  <c r="U198" i="29"/>
  <c r="K151" i="29"/>
  <c r="R185" i="29"/>
  <c r="R189" i="29"/>
  <c r="S189" i="29" s="1"/>
  <c r="R193" i="29"/>
  <c r="S193" i="29" s="1"/>
  <c r="R184" i="29"/>
  <c r="R188" i="29"/>
  <c r="S188" i="29" s="1"/>
  <c r="R192" i="29"/>
  <c r="J194" i="29"/>
  <c r="R197" i="29"/>
  <c r="S197" i="29" s="1"/>
  <c r="R198" i="29"/>
  <c r="S198" i="29" s="1"/>
  <c r="K195" i="29"/>
  <c r="J195" i="29"/>
  <c r="K168" i="29"/>
  <c r="K177" i="29"/>
  <c r="J178" i="29"/>
  <c r="K181" i="29"/>
  <c r="R156" i="29"/>
  <c r="J166" i="29"/>
  <c r="K164" i="29"/>
  <c r="R168" i="29"/>
  <c r="S168" i="29" s="1"/>
  <c r="J180" i="29"/>
  <c r="R177" i="29"/>
  <c r="S177" i="29" s="1"/>
  <c r="J179" i="29"/>
  <c r="R148" i="29"/>
  <c r="R157" i="29"/>
  <c r="R161" i="29"/>
  <c r="S161" i="29" s="1"/>
  <c r="R170" i="29"/>
  <c r="S170" i="29" s="1"/>
  <c r="R174" i="29"/>
  <c r="S174" i="29" s="1"/>
  <c r="J153" i="29"/>
  <c r="K153" i="29"/>
  <c r="K166" i="29"/>
  <c r="J168" i="29"/>
  <c r="R180" i="29"/>
  <c r="S180" i="29" s="1"/>
  <c r="R160" i="29"/>
  <c r="S160" i="29" s="1"/>
  <c r="R169" i="29"/>
  <c r="R173" i="29"/>
  <c r="S173" i="29" s="1"/>
  <c r="R179" i="29"/>
  <c r="S179" i="29" s="1"/>
  <c r="R164" i="29"/>
  <c r="S164" i="29" s="1"/>
  <c r="R182" i="29"/>
  <c r="S182" i="29" s="1"/>
  <c r="R181" i="29"/>
  <c r="S181" i="29" s="1"/>
  <c r="R159" i="29"/>
  <c r="S159" i="29" s="1"/>
  <c r="R163" i="29"/>
  <c r="S163" i="29" s="1"/>
  <c r="R172" i="29"/>
  <c r="S172" i="29" s="1"/>
  <c r="R176" i="29"/>
  <c r="S176" i="29" s="1"/>
  <c r="R165" i="29"/>
  <c r="S165" i="29" s="1"/>
  <c r="R158" i="29"/>
  <c r="S158" i="29" s="1"/>
  <c r="R162" i="29"/>
  <c r="S162" i="29" s="1"/>
  <c r="R171" i="29"/>
  <c r="S171" i="29" s="1"/>
  <c r="R175" i="29"/>
  <c r="S175" i="29" s="1"/>
  <c r="R166" i="29"/>
  <c r="S166" i="29" s="1"/>
  <c r="J164" i="29"/>
  <c r="U164" i="29" s="1"/>
  <c r="K182" i="29"/>
  <c r="R178" i="29"/>
  <c r="S178" i="29" s="1"/>
  <c r="J181" i="29"/>
  <c r="U181" i="29" s="1"/>
  <c r="J177" i="29"/>
  <c r="K178" i="29"/>
  <c r="K179" i="29"/>
  <c r="J182" i="29"/>
  <c r="R145" i="29"/>
  <c r="R149" i="29"/>
  <c r="R152" i="29"/>
  <c r="S152" i="29" s="1"/>
  <c r="J165" i="29"/>
  <c r="R154" i="29"/>
  <c r="S154" i="29" s="1"/>
  <c r="R151" i="29"/>
  <c r="S151" i="29" s="1"/>
  <c r="R147" i="29"/>
  <c r="J152" i="29"/>
  <c r="J154" i="29"/>
  <c r="R146" i="29"/>
  <c r="R150" i="29"/>
  <c r="R153" i="29"/>
  <c r="S153" i="29" s="1"/>
  <c r="K165" i="29"/>
  <c r="K139" i="29"/>
  <c r="R141" i="29"/>
  <c r="R140" i="29"/>
  <c r="K154" i="29"/>
  <c r="K152" i="29"/>
  <c r="J151" i="29"/>
  <c r="K142" i="29"/>
  <c r="R117" i="29"/>
  <c r="R139" i="29"/>
  <c r="R142" i="29"/>
  <c r="S142" i="29" s="1"/>
  <c r="R138" i="29"/>
  <c r="J140" i="29"/>
  <c r="J143" i="29"/>
  <c r="R137" i="29"/>
  <c r="K140" i="29"/>
  <c r="K143" i="29"/>
  <c r="R143" i="29"/>
  <c r="S143" i="29" s="1"/>
  <c r="J139" i="29"/>
  <c r="J142" i="29"/>
  <c r="K141" i="29"/>
  <c r="J141" i="29"/>
  <c r="R126" i="29"/>
  <c r="R116" i="29"/>
  <c r="R125" i="29"/>
  <c r="R124" i="29"/>
  <c r="R123" i="29"/>
  <c r="S123" i="29" s="1"/>
  <c r="R122" i="29"/>
  <c r="R120" i="29"/>
  <c r="R129" i="29"/>
  <c r="R119" i="29"/>
  <c r="R121" i="29"/>
  <c r="R128" i="29"/>
  <c r="R118" i="29"/>
  <c r="R127" i="29"/>
  <c r="R130" i="29"/>
  <c r="S130" i="29" s="1"/>
  <c r="R104" i="29"/>
  <c r="S104" i="29" s="1"/>
  <c r="R105" i="29"/>
  <c r="S105" i="29" s="1"/>
  <c r="R114" i="29"/>
  <c r="S114" i="29" s="1"/>
  <c r="R99" i="29"/>
  <c r="S99" i="29" s="1"/>
  <c r="R85" i="29"/>
  <c r="S85" i="29" s="1"/>
  <c r="R103" i="29"/>
  <c r="S103" i="29" s="1"/>
  <c r="R113" i="29"/>
  <c r="S113" i="29" s="1"/>
  <c r="R109" i="29"/>
  <c r="S109" i="29" s="1"/>
  <c r="R102" i="29"/>
  <c r="S102" i="29" s="1"/>
  <c r="R112" i="29"/>
  <c r="S112" i="29" s="1"/>
  <c r="R110" i="29"/>
  <c r="S110" i="29" s="1"/>
  <c r="R101" i="29"/>
  <c r="S101" i="29" s="1"/>
  <c r="R111" i="29"/>
  <c r="S111" i="29" s="1"/>
  <c r="R108" i="29"/>
  <c r="S108" i="29" s="1"/>
  <c r="R107" i="29"/>
  <c r="S107" i="29" s="1"/>
  <c r="R106" i="29"/>
  <c r="S106" i="29" s="1"/>
  <c r="G4" i="29"/>
  <c r="R84" i="29"/>
  <c r="S84" i="29" s="1"/>
  <c r="R95" i="29"/>
  <c r="S95" i="29" s="1"/>
  <c r="R96" i="29"/>
  <c r="S96" i="29" s="1"/>
  <c r="R82" i="29"/>
  <c r="R97" i="29"/>
  <c r="S97" i="29" s="1"/>
  <c r="R90" i="29"/>
  <c r="S90" i="29" s="1"/>
  <c r="R86" i="29"/>
  <c r="S86" i="29" s="1"/>
  <c r="R89" i="29"/>
  <c r="S89" i="29" s="1"/>
  <c r="R91" i="29"/>
  <c r="S91" i="29" s="1"/>
  <c r="R88" i="29"/>
  <c r="S88" i="29" s="1"/>
  <c r="R92" i="29"/>
  <c r="S92" i="29" s="1"/>
  <c r="R100" i="29"/>
  <c r="R87" i="29"/>
  <c r="S87" i="29" s="1"/>
  <c r="R93" i="29"/>
  <c r="S93" i="29" s="1"/>
  <c r="R94" i="29"/>
  <c r="S94" i="29" s="1"/>
  <c r="R67" i="29"/>
  <c r="S67" i="29" s="1"/>
  <c r="R66" i="29"/>
  <c r="R73" i="29"/>
  <c r="S73" i="29" s="1"/>
  <c r="R51" i="29"/>
  <c r="S51" i="29" s="1"/>
  <c r="R77" i="29"/>
  <c r="S77" i="29" s="1"/>
  <c r="R72" i="29"/>
  <c r="S72" i="29" s="1"/>
  <c r="R74" i="29"/>
  <c r="S74" i="29" s="1"/>
  <c r="R71" i="29"/>
  <c r="S71" i="29" s="1"/>
  <c r="R75" i="29"/>
  <c r="S75" i="29" s="1"/>
  <c r="R80" i="29"/>
  <c r="S80" i="29" s="1"/>
  <c r="R76" i="29"/>
  <c r="S76" i="29" s="1"/>
  <c r="R79" i="29"/>
  <c r="S79" i="29" s="1"/>
  <c r="R68" i="29"/>
  <c r="S68" i="29" s="1"/>
  <c r="R78" i="29"/>
  <c r="S78" i="29" s="1"/>
  <c r="R69" i="29"/>
  <c r="S69" i="29" s="1"/>
  <c r="R65" i="29"/>
  <c r="R70" i="29"/>
  <c r="S70" i="29" s="1"/>
  <c r="R55" i="29"/>
  <c r="S55" i="29" s="1"/>
  <c r="R59" i="29"/>
  <c r="S59" i="29" s="1"/>
  <c r="R62" i="29"/>
  <c r="S62" i="29" s="1"/>
  <c r="R54" i="29"/>
  <c r="S54" i="29" s="1"/>
  <c r="R63" i="29"/>
  <c r="S63" i="29" s="1"/>
  <c r="R53" i="29"/>
  <c r="S53" i="29" s="1"/>
  <c r="R60" i="29"/>
  <c r="S60" i="29" s="1"/>
  <c r="R52" i="29"/>
  <c r="S52" i="29" s="1"/>
  <c r="R50" i="29"/>
  <c r="S50" i="29" s="1"/>
  <c r="R58" i="29"/>
  <c r="S58" i="29" s="1"/>
  <c r="R49" i="29"/>
  <c r="R57" i="29"/>
  <c r="S57" i="29" s="1"/>
  <c r="R56" i="29"/>
  <c r="S56" i="29" s="1"/>
  <c r="R61" i="29"/>
  <c r="S61" i="29" s="1"/>
  <c r="R39" i="29"/>
  <c r="R29" i="29"/>
  <c r="R32" i="29"/>
  <c r="S32" i="29" s="1"/>
  <c r="R40" i="29"/>
  <c r="R44" i="29"/>
  <c r="S44" i="29" s="1"/>
  <c r="R25" i="29"/>
  <c r="R31" i="29"/>
  <c r="S31" i="29" s="1"/>
  <c r="R42" i="29"/>
  <c r="R47" i="29"/>
  <c r="S47" i="29" s="1"/>
  <c r="R43" i="29"/>
  <c r="R46" i="29"/>
  <c r="S46" i="29" s="1"/>
  <c r="R41" i="29"/>
  <c r="R28" i="29"/>
  <c r="S28" i="29" s="1"/>
  <c r="R36" i="29"/>
  <c r="R34" i="29"/>
  <c r="S34" i="29" s="1"/>
  <c r="R37" i="29"/>
  <c r="R30" i="29"/>
  <c r="R27" i="29"/>
  <c r="R26" i="29"/>
  <c r="R33" i="29"/>
  <c r="S33" i="29" s="1"/>
  <c r="R38" i="29"/>
  <c r="S38" i="29" s="1"/>
  <c r="R45" i="29"/>
  <c r="S45" i="29" s="1"/>
  <c r="R24" i="29"/>
  <c r="K20" i="29"/>
  <c r="J20" i="29"/>
  <c r="C20" i="29"/>
  <c r="D20" i="29"/>
  <c r="E20" i="29"/>
  <c r="F20" i="29"/>
  <c r="G20" i="29"/>
  <c r="H20" i="29"/>
  <c r="I20" i="29"/>
  <c r="U20" i="29" s="1"/>
  <c r="G19" i="29"/>
  <c r="C19" i="29"/>
  <c r="I19" i="29"/>
  <c r="U19" i="29" s="1"/>
  <c r="H19" i="29"/>
  <c r="F19" i="29"/>
  <c r="E19" i="29"/>
  <c r="D19" i="29"/>
  <c r="C17" i="29"/>
  <c r="D17" i="29"/>
  <c r="E17" i="29"/>
  <c r="F17" i="29"/>
  <c r="G17" i="29"/>
  <c r="H17" i="29"/>
  <c r="I17" i="29"/>
  <c r="U17" i="29" s="1"/>
  <c r="C18" i="29"/>
  <c r="D18" i="29"/>
  <c r="E18" i="29"/>
  <c r="F18" i="29"/>
  <c r="G18" i="29"/>
  <c r="H18" i="29"/>
  <c r="I18" i="29"/>
  <c r="U18" i="29" s="1"/>
  <c r="C21" i="29"/>
  <c r="D21" i="29"/>
  <c r="E21" i="29"/>
  <c r="F21" i="29"/>
  <c r="G21" i="29"/>
  <c r="H21" i="29"/>
  <c r="I21" i="29"/>
  <c r="U21" i="29" s="1"/>
  <c r="C22" i="29"/>
  <c r="D22" i="29"/>
  <c r="E22" i="29"/>
  <c r="F22" i="29"/>
  <c r="G22" i="29"/>
  <c r="H22" i="29"/>
  <c r="I22" i="29"/>
  <c r="U22" i="29" s="1"/>
  <c r="I16" i="29"/>
  <c r="U16" i="29" s="1"/>
  <c r="H16" i="29"/>
  <c r="G16" i="29"/>
  <c r="F16" i="29"/>
  <c r="E16" i="29"/>
  <c r="D16" i="29"/>
  <c r="C16" i="29"/>
  <c r="I15" i="29"/>
  <c r="U15" i="29" s="1"/>
  <c r="H15" i="29"/>
  <c r="G15" i="29"/>
  <c r="F15" i="29"/>
  <c r="E15" i="29"/>
  <c r="D15" i="29"/>
  <c r="C15" i="29"/>
  <c r="I14" i="29"/>
  <c r="U14" i="29" s="1"/>
  <c r="H14" i="29"/>
  <c r="G14" i="29"/>
  <c r="F14" i="29"/>
  <c r="E14" i="29"/>
  <c r="D14" i="29"/>
  <c r="C14" i="29"/>
  <c r="Q10" i="29"/>
  <c r="Q11" i="29"/>
  <c r="Q12" i="29"/>
  <c r="AB6" i="29"/>
  <c r="AB6" i="28"/>
  <c r="I12" i="29"/>
  <c r="U12" i="29" s="1"/>
  <c r="H12" i="29"/>
  <c r="G12" i="29"/>
  <c r="F12" i="29"/>
  <c r="E12" i="29"/>
  <c r="D12" i="29"/>
  <c r="C12" i="29"/>
  <c r="Q9" i="29"/>
  <c r="Q8" i="29"/>
  <c r="Q7" i="29"/>
  <c r="I11" i="29"/>
  <c r="U11" i="29" s="1"/>
  <c r="H11" i="29"/>
  <c r="G11" i="29"/>
  <c r="F11" i="29"/>
  <c r="E11" i="29"/>
  <c r="D11" i="29"/>
  <c r="C11" i="29"/>
  <c r="I10" i="29"/>
  <c r="U10" i="29" s="1"/>
  <c r="H10" i="29"/>
  <c r="G10" i="29"/>
  <c r="F10" i="29"/>
  <c r="E10" i="29"/>
  <c r="D10" i="29"/>
  <c r="C10" i="29"/>
  <c r="I9" i="29"/>
  <c r="U9" i="29" s="1"/>
  <c r="H9" i="29"/>
  <c r="G9" i="29"/>
  <c r="F9" i="29"/>
  <c r="E9" i="29"/>
  <c r="D9" i="29"/>
  <c r="C9" i="29"/>
  <c r="I8" i="29"/>
  <c r="U8" i="29" s="1"/>
  <c r="H8" i="29"/>
  <c r="G8" i="29"/>
  <c r="F8" i="29"/>
  <c r="E8" i="29"/>
  <c r="D8" i="29"/>
  <c r="C8" i="29"/>
  <c r="I7" i="29"/>
  <c r="U7" i="29" s="1"/>
  <c r="H7" i="29"/>
  <c r="G7" i="29"/>
  <c r="F7" i="29"/>
  <c r="E7" i="29"/>
  <c r="D7" i="29"/>
  <c r="C7" i="29"/>
  <c r="U296" i="29"/>
  <c r="U293" i="29"/>
  <c r="R293" i="29"/>
  <c r="S293" i="29" s="1"/>
  <c r="U292" i="29"/>
  <c r="U282" i="29"/>
  <c r="R277" i="29"/>
  <c r="S277" i="29" s="1"/>
  <c r="U275" i="29"/>
  <c r="J266" i="29"/>
  <c r="J262" i="29"/>
  <c r="J254" i="29"/>
  <c r="J221" i="29"/>
  <c r="Z221" i="29" s="1"/>
  <c r="J211" i="29"/>
  <c r="K209" i="29"/>
  <c r="J207" i="29"/>
  <c r="K205" i="29"/>
  <c r="K193" i="29"/>
  <c r="J185" i="29"/>
  <c r="K185" i="29"/>
  <c r="J184" i="29"/>
  <c r="K175" i="29"/>
  <c r="J170" i="29"/>
  <c r="K163" i="29"/>
  <c r="J162" i="29"/>
  <c r="K162" i="29"/>
  <c r="K160" i="29"/>
  <c r="K159" i="29"/>
  <c r="K158" i="29"/>
  <c r="K149" i="29"/>
  <c r="K145" i="29"/>
  <c r="U126" i="29"/>
  <c r="U125" i="29"/>
  <c r="U119" i="29"/>
  <c r="U118" i="29"/>
  <c r="U117" i="29"/>
  <c r="U107" i="29"/>
  <c r="U105" i="29"/>
  <c r="R83" i="29"/>
  <c r="S83" i="29" s="1"/>
  <c r="U83" i="29"/>
  <c r="U82" i="29"/>
  <c r="U71" i="29"/>
  <c r="U70" i="29"/>
  <c r="U57" i="29"/>
  <c r="U55" i="29"/>
  <c r="U50" i="29"/>
  <c r="U49" i="29"/>
  <c r="U43" i="29"/>
  <c r="U39" i="29"/>
  <c r="U38" i="29"/>
  <c r="U37" i="29"/>
  <c r="U36" i="29"/>
  <c r="U30" i="29"/>
  <c r="U28" i="29"/>
  <c r="U26" i="29"/>
  <c r="U24" i="29"/>
  <c r="F239" i="28"/>
  <c r="E239" i="28"/>
  <c r="D239" i="28"/>
  <c r="C239" i="28"/>
  <c r="B239" i="28"/>
  <c r="G238" i="28"/>
  <c r="F238" i="28"/>
  <c r="E238" i="28"/>
  <c r="D238" i="28"/>
  <c r="C238" i="28"/>
  <c r="B238" i="28"/>
  <c r="G237" i="28"/>
  <c r="F237" i="28"/>
  <c r="E237" i="28"/>
  <c r="D237" i="28"/>
  <c r="C237" i="28"/>
  <c r="B237" i="28"/>
  <c r="G236" i="28"/>
  <c r="F236" i="28"/>
  <c r="E236" i="28"/>
  <c r="D236" i="28"/>
  <c r="C236" i="28"/>
  <c r="B236" i="28"/>
  <c r="G235" i="28"/>
  <c r="F235" i="28"/>
  <c r="E235" i="28"/>
  <c r="D235" i="28"/>
  <c r="C235" i="28"/>
  <c r="B235" i="28"/>
  <c r="G234" i="28"/>
  <c r="F234" i="28"/>
  <c r="E234" i="28"/>
  <c r="D234" i="28"/>
  <c r="C234" i="28"/>
  <c r="B234" i="28"/>
  <c r="G233" i="28"/>
  <c r="F233" i="28"/>
  <c r="E233" i="28"/>
  <c r="D233" i="28"/>
  <c r="C233" i="28"/>
  <c r="B233" i="28"/>
  <c r="G232" i="28"/>
  <c r="F232" i="28"/>
  <c r="E232" i="28"/>
  <c r="D232" i="28"/>
  <c r="C232" i="28"/>
  <c r="B232" i="28"/>
  <c r="G231" i="28"/>
  <c r="F231" i="28"/>
  <c r="E231" i="28"/>
  <c r="D231" i="28"/>
  <c r="C231" i="28"/>
  <c r="B231" i="28"/>
  <c r="G225" i="28"/>
  <c r="F225" i="28"/>
  <c r="E225" i="28"/>
  <c r="D225" i="28"/>
  <c r="C225" i="28"/>
  <c r="B225" i="28"/>
  <c r="G224" i="28"/>
  <c r="F224" i="28"/>
  <c r="E224" i="28"/>
  <c r="D224" i="28"/>
  <c r="C224" i="28"/>
  <c r="B224" i="28"/>
  <c r="G223" i="28"/>
  <c r="F223" i="28"/>
  <c r="E223" i="28"/>
  <c r="D223" i="28"/>
  <c r="C223" i="28"/>
  <c r="B223" i="28"/>
  <c r="G222" i="28"/>
  <c r="F222" i="28"/>
  <c r="E222" i="28"/>
  <c r="D222" i="28"/>
  <c r="C222" i="28"/>
  <c r="B222" i="28"/>
  <c r="G221" i="28"/>
  <c r="F221" i="28"/>
  <c r="E221" i="28"/>
  <c r="D221" i="28"/>
  <c r="C221" i="28"/>
  <c r="B221" i="28"/>
  <c r="G220" i="28"/>
  <c r="F220" i="28"/>
  <c r="E220" i="28"/>
  <c r="D220" i="28"/>
  <c r="C220" i="28"/>
  <c r="B220" i="28"/>
  <c r="G219" i="28"/>
  <c r="F219" i="28"/>
  <c r="E219" i="28"/>
  <c r="D219" i="28"/>
  <c r="C219" i="28"/>
  <c r="B219" i="28"/>
  <c r="G218" i="28"/>
  <c r="F218" i="28"/>
  <c r="E218" i="28"/>
  <c r="D218" i="28"/>
  <c r="C218" i="28"/>
  <c r="B218" i="28"/>
  <c r="G217" i="28"/>
  <c r="F217" i="28"/>
  <c r="E217" i="28"/>
  <c r="D217" i="28"/>
  <c r="C217" i="28"/>
  <c r="B217" i="28"/>
  <c r="H209" i="28"/>
  <c r="G209" i="28"/>
  <c r="F209" i="28"/>
  <c r="E209" i="28"/>
  <c r="D209" i="28"/>
  <c r="C209" i="28"/>
  <c r="H208" i="28"/>
  <c r="G208" i="28"/>
  <c r="F208" i="28"/>
  <c r="E208" i="28"/>
  <c r="D208" i="28"/>
  <c r="C208" i="28"/>
  <c r="H207" i="28"/>
  <c r="G207" i="28"/>
  <c r="F207" i="28"/>
  <c r="E207" i="28"/>
  <c r="D207" i="28"/>
  <c r="C207" i="28"/>
  <c r="H206" i="28"/>
  <c r="G206" i="28"/>
  <c r="F206" i="28"/>
  <c r="E206" i="28"/>
  <c r="D206" i="28"/>
  <c r="C206" i="28"/>
  <c r="H205" i="28"/>
  <c r="G205" i="28"/>
  <c r="F205" i="28"/>
  <c r="E205" i="28"/>
  <c r="D205" i="28"/>
  <c r="C205" i="28"/>
  <c r="H204" i="28"/>
  <c r="G204" i="28"/>
  <c r="F204" i="28"/>
  <c r="E204" i="28"/>
  <c r="D204" i="28"/>
  <c r="C204" i="28"/>
  <c r="H203" i="28"/>
  <c r="G203" i="28"/>
  <c r="F203" i="28"/>
  <c r="E203" i="28"/>
  <c r="D203" i="28"/>
  <c r="C203" i="28"/>
  <c r="H202" i="28"/>
  <c r="G202" i="28"/>
  <c r="F202" i="28"/>
  <c r="E202" i="28"/>
  <c r="D202" i="28"/>
  <c r="C202" i="28"/>
  <c r="H201" i="28"/>
  <c r="G201" i="28"/>
  <c r="F201" i="28"/>
  <c r="E201" i="28"/>
  <c r="D201" i="28"/>
  <c r="C201" i="28"/>
  <c r="H200" i="28"/>
  <c r="G200" i="28"/>
  <c r="F200" i="28"/>
  <c r="E200" i="28"/>
  <c r="D200" i="28"/>
  <c r="C200" i="28"/>
  <c r="H199" i="28"/>
  <c r="G199" i="28"/>
  <c r="F199" i="28"/>
  <c r="E199" i="28"/>
  <c r="D199" i="28"/>
  <c r="C199" i="28"/>
  <c r="H198" i="28"/>
  <c r="G198" i="28"/>
  <c r="F198" i="28"/>
  <c r="E198" i="28"/>
  <c r="D198" i="28"/>
  <c r="C198" i="28"/>
  <c r="H197" i="28"/>
  <c r="G197" i="28"/>
  <c r="F197" i="28"/>
  <c r="E197" i="28"/>
  <c r="D197" i="28"/>
  <c r="C197" i="28"/>
  <c r="H195" i="28"/>
  <c r="G195" i="28"/>
  <c r="F195" i="28"/>
  <c r="E195" i="28"/>
  <c r="D195" i="28"/>
  <c r="C195" i="28"/>
  <c r="H194" i="28"/>
  <c r="G194" i="28"/>
  <c r="F194" i="28"/>
  <c r="E194" i="28"/>
  <c r="D194" i="28"/>
  <c r="C194" i="28"/>
  <c r="H193" i="28"/>
  <c r="G193" i="28"/>
  <c r="F193" i="28"/>
  <c r="E193" i="28"/>
  <c r="D193" i="28"/>
  <c r="C193" i="28"/>
  <c r="H192" i="28"/>
  <c r="G192" i="28"/>
  <c r="F192" i="28"/>
  <c r="E192" i="28"/>
  <c r="D192" i="28"/>
  <c r="C192" i="28"/>
  <c r="H191" i="28"/>
  <c r="G191" i="28"/>
  <c r="F191" i="28"/>
  <c r="E191" i="28"/>
  <c r="D191" i="28"/>
  <c r="C191" i="28"/>
  <c r="H190" i="28"/>
  <c r="G190" i="28"/>
  <c r="F190" i="28"/>
  <c r="E190" i="28"/>
  <c r="D190" i="28"/>
  <c r="C190" i="28"/>
  <c r="H189" i="28"/>
  <c r="G189" i="28"/>
  <c r="F189" i="28"/>
  <c r="E189" i="28"/>
  <c r="D189" i="28"/>
  <c r="C189" i="28"/>
  <c r="H188" i="28"/>
  <c r="G188" i="28"/>
  <c r="F188" i="28"/>
  <c r="E188" i="28"/>
  <c r="D188" i="28"/>
  <c r="C188" i="28"/>
  <c r="H187" i="28"/>
  <c r="G187" i="28"/>
  <c r="F187" i="28"/>
  <c r="E187" i="28"/>
  <c r="D187" i="28"/>
  <c r="C187" i="28"/>
  <c r="H186" i="28"/>
  <c r="G186" i="28"/>
  <c r="F186" i="28"/>
  <c r="E186" i="28"/>
  <c r="D186" i="28"/>
  <c r="C186" i="28"/>
  <c r="H185" i="28"/>
  <c r="G185" i="28"/>
  <c r="F185" i="28"/>
  <c r="E185" i="28"/>
  <c r="D185" i="28"/>
  <c r="C185" i="28"/>
  <c r="H183" i="28"/>
  <c r="G183" i="28"/>
  <c r="F183" i="28"/>
  <c r="E183" i="28"/>
  <c r="D183" i="28"/>
  <c r="C183" i="28"/>
  <c r="H182" i="28"/>
  <c r="G182" i="28"/>
  <c r="F182" i="28"/>
  <c r="E182" i="28"/>
  <c r="D182" i="28"/>
  <c r="C182" i="28"/>
  <c r="H181" i="28"/>
  <c r="G181" i="28"/>
  <c r="F181" i="28"/>
  <c r="E181" i="28"/>
  <c r="D181" i="28"/>
  <c r="C181" i="28"/>
  <c r="H180" i="28"/>
  <c r="G180" i="28"/>
  <c r="F180" i="28"/>
  <c r="E180" i="28"/>
  <c r="D180" i="28"/>
  <c r="C180" i="28"/>
  <c r="H179" i="28"/>
  <c r="G179" i="28"/>
  <c r="F179" i="28"/>
  <c r="E179" i="28"/>
  <c r="D179" i="28"/>
  <c r="C179" i="28"/>
  <c r="H178" i="28"/>
  <c r="G178" i="28"/>
  <c r="F178" i="28"/>
  <c r="E178" i="28"/>
  <c r="D178" i="28"/>
  <c r="C178" i="28"/>
  <c r="H177" i="28"/>
  <c r="G177" i="28"/>
  <c r="F177" i="28"/>
  <c r="E177" i="28"/>
  <c r="D177" i="28"/>
  <c r="C177" i="28"/>
  <c r="H176" i="28"/>
  <c r="G176" i="28"/>
  <c r="F176" i="28"/>
  <c r="E176" i="28"/>
  <c r="D176" i="28"/>
  <c r="C176" i="28"/>
  <c r="H175" i="28"/>
  <c r="G175" i="28"/>
  <c r="F175" i="28"/>
  <c r="E175" i="28"/>
  <c r="D175" i="28"/>
  <c r="C175" i="28"/>
  <c r="H174" i="28"/>
  <c r="G174" i="28"/>
  <c r="F174" i="28"/>
  <c r="E174" i="28"/>
  <c r="D174" i="28"/>
  <c r="C174" i="28"/>
  <c r="H173" i="28"/>
  <c r="G173" i="28"/>
  <c r="F173" i="28"/>
  <c r="E173" i="28"/>
  <c r="D173" i="28"/>
  <c r="C173" i="28"/>
  <c r="H171" i="28"/>
  <c r="G171" i="28"/>
  <c r="F171" i="28"/>
  <c r="E171" i="28"/>
  <c r="D171" i="28"/>
  <c r="C171" i="28"/>
  <c r="H170" i="28"/>
  <c r="G170" i="28"/>
  <c r="F170" i="28"/>
  <c r="E170" i="28"/>
  <c r="D170" i="28"/>
  <c r="C170" i="28"/>
  <c r="H169" i="28"/>
  <c r="G169" i="28"/>
  <c r="F169" i="28"/>
  <c r="E169" i="28"/>
  <c r="D169" i="28"/>
  <c r="C169" i="28"/>
  <c r="H168" i="28"/>
  <c r="G168" i="28"/>
  <c r="F168" i="28"/>
  <c r="E168" i="28"/>
  <c r="D168" i="28"/>
  <c r="C168" i="28"/>
  <c r="H167" i="28"/>
  <c r="G167" i="28"/>
  <c r="F167" i="28"/>
  <c r="E167" i="28"/>
  <c r="D167" i="28"/>
  <c r="C167" i="28"/>
  <c r="H166" i="28"/>
  <c r="G166" i="28"/>
  <c r="F166" i="28"/>
  <c r="E166" i="28"/>
  <c r="D166" i="28"/>
  <c r="C166" i="28"/>
  <c r="H165" i="28"/>
  <c r="G165" i="28"/>
  <c r="F165" i="28"/>
  <c r="E165" i="28"/>
  <c r="D165" i="28"/>
  <c r="C165" i="28"/>
  <c r="H164" i="28"/>
  <c r="G164" i="28"/>
  <c r="F164" i="28"/>
  <c r="E164" i="28"/>
  <c r="D164" i="28"/>
  <c r="C164" i="28"/>
  <c r="H163" i="28"/>
  <c r="G163" i="28"/>
  <c r="F163" i="28"/>
  <c r="E163" i="28"/>
  <c r="D163" i="28"/>
  <c r="C163" i="28"/>
  <c r="H162" i="28"/>
  <c r="G162" i="28"/>
  <c r="F162" i="28"/>
  <c r="E162" i="28"/>
  <c r="D162" i="28"/>
  <c r="C162" i="28"/>
  <c r="H161" i="28"/>
  <c r="G161" i="28"/>
  <c r="F161" i="28"/>
  <c r="E161" i="28"/>
  <c r="D161" i="28"/>
  <c r="C161" i="28"/>
  <c r="H160" i="28"/>
  <c r="G160" i="28"/>
  <c r="F160" i="28"/>
  <c r="E160" i="28"/>
  <c r="D160" i="28"/>
  <c r="C160" i="28"/>
  <c r="H159" i="28"/>
  <c r="G159" i="28"/>
  <c r="F159" i="28"/>
  <c r="E159" i="28"/>
  <c r="D159" i="28"/>
  <c r="C159" i="28"/>
  <c r="H157" i="28"/>
  <c r="G157" i="28"/>
  <c r="F157" i="28"/>
  <c r="E157" i="28"/>
  <c r="D157" i="28"/>
  <c r="C157" i="28"/>
  <c r="H156" i="28"/>
  <c r="G156" i="28"/>
  <c r="F156" i="28"/>
  <c r="E156" i="28"/>
  <c r="D156" i="28"/>
  <c r="C156" i="28"/>
  <c r="H155" i="28"/>
  <c r="G155" i="28"/>
  <c r="F155" i="28"/>
  <c r="E155" i="28"/>
  <c r="D155" i="28"/>
  <c r="C155" i="28"/>
  <c r="H154" i="28"/>
  <c r="G154" i="28"/>
  <c r="F154" i="28"/>
  <c r="E154" i="28"/>
  <c r="D154" i="28"/>
  <c r="C154" i="28"/>
  <c r="H153" i="28"/>
  <c r="G153" i="28"/>
  <c r="F153" i="28"/>
  <c r="E153" i="28"/>
  <c r="D153" i="28"/>
  <c r="C153" i="28"/>
  <c r="H152" i="28"/>
  <c r="G152" i="28"/>
  <c r="F152" i="28"/>
  <c r="E152" i="28"/>
  <c r="D152" i="28"/>
  <c r="C152" i="28"/>
  <c r="H151" i="28"/>
  <c r="G151" i="28"/>
  <c r="F151" i="28"/>
  <c r="E151" i="28"/>
  <c r="D151" i="28"/>
  <c r="C151" i="28"/>
  <c r="H150" i="28"/>
  <c r="G150" i="28"/>
  <c r="F150" i="28"/>
  <c r="E150" i="28"/>
  <c r="D150" i="28"/>
  <c r="C150" i="28"/>
  <c r="H149" i="28"/>
  <c r="G149" i="28"/>
  <c r="F149" i="28"/>
  <c r="E149" i="28"/>
  <c r="D149" i="28"/>
  <c r="C149" i="28"/>
  <c r="H148" i="28"/>
  <c r="G148" i="28"/>
  <c r="F148" i="28"/>
  <c r="E148" i="28"/>
  <c r="D148" i="28"/>
  <c r="C148" i="28"/>
  <c r="H147" i="28"/>
  <c r="G147" i="28"/>
  <c r="F147" i="28"/>
  <c r="E147" i="28"/>
  <c r="D147" i="28"/>
  <c r="C147" i="28"/>
  <c r="H146" i="28"/>
  <c r="G146" i="28"/>
  <c r="F146" i="28"/>
  <c r="E146" i="28"/>
  <c r="D146" i="28"/>
  <c r="C146" i="28"/>
  <c r="H144" i="28"/>
  <c r="G144" i="28"/>
  <c r="F144" i="28"/>
  <c r="E144" i="28"/>
  <c r="D144" i="28"/>
  <c r="C144" i="28"/>
  <c r="H143" i="28"/>
  <c r="G143" i="28"/>
  <c r="F143" i="28"/>
  <c r="E143" i="28"/>
  <c r="D143" i="28"/>
  <c r="C143" i="28"/>
  <c r="H142" i="28"/>
  <c r="G142" i="28"/>
  <c r="F142" i="28"/>
  <c r="E142" i="28"/>
  <c r="D142" i="28"/>
  <c r="C142" i="28"/>
  <c r="H141" i="28"/>
  <c r="G141" i="28"/>
  <c r="F141" i="28"/>
  <c r="E141" i="28"/>
  <c r="D141" i="28"/>
  <c r="C141" i="28"/>
  <c r="H140" i="28"/>
  <c r="G140" i="28"/>
  <c r="F140" i="28"/>
  <c r="E140" i="28"/>
  <c r="D140" i="28"/>
  <c r="C140" i="28"/>
  <c r="H139" i="28"/>
  <c r="G139" i="28"/>
  <c r="F139" i="28"/>
  <c r="E139" i="28"/>
  <c r="D139" i="28"/>
  <c r="C139" i="28"/>
  <c r="H138" i="28"/>
  <c r="G138" i="28"/>
  <c r="F138" i="28"/>
  <c r="E138" i="28"/>
  <c r="D138" i="28"/>
  <c r="C138" i="28"/>
  <c r="H137" i="28"/>
  <c r="G137" i="28"/>
  <c r="F137" i="28"/>
  <c r="E137" i="28"/>
  <c r="D137" i="28"/>
  <c r="C137" i="28"/>
  <c r="H136" i="28"/>
  <c r="G136" i="28"/>
  <c r="F136" i="28"/>
  <c r="E136" i="28"/>
  <c r="D136" i="28"/>
  <c r="C136" i="28"/>
  <c r="H134" i="28"/>
  <c r="G134" i="28"/>
  <c r="F134" i="28"/>
  <c r="E134" i="28"/>
  <c r="D134" i="28"/>
  <c r="C134" i="28"/>
  <c r="H133" i="28"/>
  <c r="G133" i="28"/>
  <c r="F133" i="28"/>
  <c r="E133" i="28"/>
  <c r="D133" i="28"/>
  <c r="C133" i="28"/>
  <c r="H132" i="28"/>
  <c r="G132" i="28"/>
  <c r="F132" i="28"/>
  <c r="E132" i="28"/>
  <c r="D132" i="28"/>
  <c r="C132" i="28"/>
  <c r="H131" i="28"/>
  <c r="G131" i="28"/>
  <c r="F131" i="28"/>
  <c r="E131" i="28"/>
  <c r="D131" i="28"/>
  <c r="C131" i="28"/>
  <c r="H130" i="28"/>
  <c r="G130" i="28"/>
  <c r="F130" i="28"/>
  <c r="D130" i="28"/>
  <c r="C130" i="28"/>
  <c r="H129" i="28"/>
  <c r="G129" i="28"/>
  <c r="F129" i="28"/>
  <c r="E129" i="28"/>
  <c r="D129" i="28"/>
  <c r="C129" i="28"/>
  <c r="H128" i="28"/>
  <c r="G128" i="28"/>
  <c r="F128" i="28"/>
  <c r="E128" i="28"/>
  <c r="D128" i="28"/>
  <c r="C128" i="28"/>
  <c r="H127" i="28"/>
  <c r="G127" i="28"/>
  <c r="F127" i="28"/>
  <c r="E127" i="28"/>
  <c r="D127" i="28"/>
  <c r="C127" i="28"/>
  <c r="H125" i="28"/>
  <c r="G125" i="28"/>
  <c r="F125" i="28"/>
  <c r="E125" i="28"/>
  <c r="D125" i="28"/>
  <c r="C125" i="28"/>
  <c r="H124" i="28"/>
  <c r="G124" i="28"/>
  <c r="F124" i="28"/>
  <c r="E124" i="28"/>
  <c r="D124" i="28"/>
  <c r="C124" i="28"/>
  <c r="H123" i="28"/>
  <c r="G123" i="28"/>
  <c r="F123" i="28"/>
  <c r="E123" i="28"/>
  <c r="D123" i="28"/>
  <c r="C123" i="28"/>
  <c r="H122" i="28"/>
  <c r="G122" i="28"/>
  <c r="F122" i="28"/>
  <c r="E122" i="28"/>
  <c r="D122" i="28"/>
  <c r="C122" i="28"/>
  <c r="H121" i="28"/>
  <c r="G121" i="28"/>
  <c r="F121" i="28"/>
  <c r="E121" i="28"/>
  <c r="D121" i="28"/>
  <c r="C121" i="28"/>
  <c r="H120" i="28"/>
  <c r="G120" i="28"/>
  <c r="F120" i="28"/>
  <c r="E120" i="28"/>
  <c r="D120" i="28"/>
  <c r="C120" i="28"/>
  <c r="H118" i="28"/>
  <c r="G118" i="28"/>
  <c r="F118" i="28"/>
  <c r="E118" i="28"/>
  <c r="D118" i="28"/>
  <c r="C118" i="28"/>
  <c r="H117" i="28"/>
  <c r="G117" i="28"/>
  <c r="F117" i="28"/>
  <c r="E117" i="28"/>
  <c r="D117" i="28"/>
  <c r="C117" i="28"/>
  <c r="H116" i="28"/>
  <c r="G116" i="28"/>
  <c r="F116" i="28"/>
  <c r="E116" i="28"/>
  <c r="D116" i="28"/>
  <c r="C116" i="28"/>
  <c r="H115" i="28"/>
  <c r="G115" i="28"/>
  <c r="F115" i="28"/>
  <c r="E115" i="28"/>
  <c r="D115" i="28"/>
  <c r="C115" i="28"/>
  <c r="H114" i="28"/>
  <c r="G114" i="28"/>
  <c r="F114" i="28"/>
  <c r="E114" i="28"/>
  <c r="D114" i="28"/>
  <c r="C114" i="28"/>
  <c r="H113" i="28"/>
  <c r="G113" i="28"/>
  <c r="F113" i="28"/>
  <c r="E113" i="28"/>
  <c r="D113" i="28"/>
  <c r="C113" i="28"/>
  <c r="K105" i="28"/>
  <c r="J105" i="28"/>
  <c r="I105" i="28"/>
  <c r="H105" i="28"/>
  <c r="G105" i="28"/>
  <c r="F105" i="28"/>
  <c r="E105" i="28"/>
  <c r="D105" i="28"/>
  <c r="C105" i="28"/>
  <c r="K104" i="28"/>
  <c r="J104" i="28"/>
  <c r="I104" i="28"/>
  <c r="H104" i="28"/>
  <c r="G104" i="28"/>
  <c r="F104" i="28"/>
  <c r="E104" i="28"/>
  <c r="D104" i="28"/>
  <c r="C104" i="28"/>
  <c r="K103" i="28"/>
  <c r="J103" i="28"/>
  <c r="I103" i="28"/>
  <c r="H103" i="28"/>
  <c r="G103" i="28"/>
  <c r="F103" i="28"/>
  <c r="E103" i="28"/>
  <c r="D103" i="28"/>
  <c r="C103" i="28"/>
  <c r="K102" i="28"/>
  <c r="J102" i="28"/>
  <c r="I102" i="28"/>
  <c r="H102" i="28"/>
  <c r="G102" i="28"/>
  <c r="F102" i="28"/>
  <c r="E102" i="28"/>
  <c r="D102" i="28"/>
  <c r="C102" i="28"/>
  <c r="K101" i="28"/>
  <c r="J101" i="28"/>
  <c r="I101" i="28"/>
  <c r="H101" i="28"/>
  <c r="G101" i="28"/>
  <c r="F101" i="28"/>
  <c r="E101" i="28"/>
  <c r="D101" i="28"/>
  <c r="C101" i="28"/>
  <c r="K100" i="28"/>
  <c r="J100" i="28"/>
  <c r="I100" i="28"/>
  <c r="H100" i="28"/>
  <c r="G100" i="28"/>
  <c r="F100" i="28"/>
  <c r="E100" i="28"/>
  <c r="D100" i="28"/>
  <c r="C100" i="28"/>
  <c r="K99" i="28"/>
  <c r="J99" i="28"/>
  <c r="I99" i="28"/>
  <c r="H99" i="28"/>
  <c r="G99" i="28"/>
  <c r="F99" i="28"/>
  <c r="E99" i="28"/>
  <c r="D99" i="28"/>
  <c r="C99" i="28"/>
  <c r="K98" i="28"/>
  <c r="J98" i="28"/>
  <c r="I98" i="28"/>
  <c r="H98" i="28"/>
  <c r="G98" i="28"/>
  <c r="F98" i="28"/>
  <c r="E98" i="28"/>
  <c r="D98" i="28"/>
  <c r="C98" i="28"/>
  <c r="K97" i="28"/>
  <c r="J97" i="28"/>
  <c r="I97" i="28"/>
  <c r="H97" i="28"/>
  <c r="G97" i="28"/>
  <c r="F97" i="28"/>
  <c r="E97" i="28"/>
  <c r="D97" i="28"/>
  <c r="C97" i="28"/>
  <c r="K96" i="28"/>
  <c r="J96" i="28"/>
  <c r="I96" i="28"/>
  <c r="H96" i="28"/>
  <c r="G96" i="28"/>
  <c r="F96" i="28"/>
  <c r="E96" i="28"/>
  <c r="D96" i="28"/>
  <c r="C96" i="28"/>
  <c r="K95" i="28"/>
  <c r="J95" i="28"/>
  <c r="I95" i="28"/>
  <c r="H95" i="28"/>
  <c r="G95" i="28"/>
  <c r="F95" i="28"/>
  <c r="E95" i="28"/>
  <c r="D95" i="28"/>
  <c r="C95" i="28"/>
  <c r="K94" i="28"/>
  <c r="J94" i="28"/>
  <c r="I94" i="28"/>
  <c r="H94" i="28"/>
  <c r="G94" i="28"/>
  <c r="F94" i="28"/>
  <c r="E94" i="28"/>
  <c r="D94" i="28"/>
  <c r="C94" i="28"/>
  <c r="K93" i="28"/>
  <c r="J93" i="28"/>
  <c r="I93" i="28"/>
  <c r="H93" i="28"/>
  <c r="G93" i="28"/>
  <c r="F93" i="28"/>
  <c r="E93" i="28"/>
  <c r="D93" i="28"/>
  <c r="C93" i="28"/>
  <c r="K92" i="28"/>
  <c r="J92" i="28"/>
  <c r="I92" i="28"/>
  <c r="H92" i="28"/>
  <c r="G92" i="28"/>
  <c r="F92" i="28"/>
  <c r="E92" i="28"/>
  <c r="D92" i="28"/>
  <c r="C92" i="28"/>
  <c r="K90" i="28"/>
  <c r="J90" i="28"/>
  <c r="I90" i="28"/>
  <c r="H90" i="28"/>
  <c r="G90" i="28"/>
  <c r="F90" i="28"/>
  <c r="E90" i="28"/>
  <c r="D90" i="28"/>
  <c r="C90" i="28"/>
  <c r="K89" i="28"/>
  <c r="J89" i="28"/>
  <c r="I89" i="28"/>
  <c r="H89" i="28"/>
  <c r="G89" i="28"/>
  <c r="F89" i="28"/>
  <c r="E89" i="28"/>
  <c r="D89" i="28"/>
  <c r="C89" i="28"/>
  <c r="K88" i="28"/>
  <c r="J88" i="28"/>
  <c r="I88" i="28"/>
  <c r="H88" i="28"/>
  <c r="G88" i="28"/>
  <c r="F88" i="28"/>
  <c r="E88" i="28"/>
  <c r="D88" i="28"/>
  <c r="C88" i="28"/>
  <c r="K87" i="28"/>
  <c r="J87" i="28"/>
  <c r="I87" i="28"/>
  <c r="H87" i="28"/>
  <c r="G87" i="28"/>
  <c r="F87" i="28"/>
  <c r="E87" i="28"/>
  <c r="D87" i="28"/>
  <c r="C87" i="28"/>
  <c r="K86" i="28"/>
  <c r="J86" i="28"/>
  <c r="I86" i="28"/>
  <c r="H86" i="28"/>
  <c r="G86" i="28"/>
  <c r="F86" i="28"/>
  <c r="E86" i="28"/>
  <c r="D86" i="28"/>
  <c r="C86" i="28"/>
  <c r="K85" i="28"/>
  <c r="J85" i="28"/>
  <c r="I85" i="28"/>
  <c r="H85" i="28"/>
  <c r="G85" i="28"/>
  <c r="F85" i="28"/>
  <c r="E85" i="28"/>
  <c r="D85" i="28"/>
  <c r="C85" i="28"/>
  <c r="K84" i="28"/>
  <c r="J84" i="28"/>
  <c r="I84" i="28"/>
  <c r="H84" i="28"/>
  <c r="G84" i="28"/>
  <c r="F84" i="28"/>
  <c r="E84" i="28"/>
  <c r="D84" i="28"/>
  <c r="C84" i="28"/>
  <c r="K83" i="28"/>
  <c r="J83" i="28"/>
  <c r="I83" i="28"/>
  <c r="H83" i="28"/>
  <c r="G83" i="28"/>
  <c r="F83" i="28"/>
  <c r="E83" i="28"/>
  <c r="D83" i="28"/>
  <c r="C83" i="28"/>
  <c r="K82" i="28"/>
  <c r="J82" i="28"/>
  <c r="I82" i="28"/>
  <c r="H82" i="28"/>
  <c r="G82" i="28"/>
  <c r="F82" i="28"/>
  <c r="E82" i="28"/>
  <c r="D82" i="28"/>
  <c r="C82" i="28"/>
  <c r="K81" i="28"/>
  <c r="J81" i="28"/>
  <c r="I81" i="28"/>
  <c r="H81" i="28"/>
  <c r="G81" i="28"/>
  <c r="F81" i="28"/>
  <c r="E81" i="28"/>
  <c r="D81" i="28"/>
  <c r="C81" i="28"/>
  <c r="K80" i="28"/>
  <c r="J80" i="28"/>
  <c r="I80" i="28"/>
  <c r="H80" i="28"/>
  <c r="G80" i="28"/>
  <c r="F80" i="28"/>
  <c r="E80" i="28"/>
  <c r="D80" i="28"/>
  <c r="C80" i="28"/>
  <c r="K78" i="28"/>
  <c r="J78" i="28"/>
  <c r="I78" i="28"/>
  <c r="H78" i="28"/>
  <c r="G78" i="28"/>
  <c r="F78" i="28"/>
  <c r="E78" i="28"/>
  <c r="D78" i="28"/>
  <c r="C78" i="28"/>
  <c r="K77" i="28"/>
  <c r="J77" i="28"/>
  <c r="I77" i="28"/>
  <c r="H77" i="28"/>
  <c r="G77" i="28"/>
  <c r="F77" i="28"/>
  <c r="E77" i="28"/>
  <c r="D77" i="28"/>
  <c r="C77" i="28"/>
  <c r="K76" i="28"/>
  <c r="J76" i="28"/>
  <c r="I76" i="28"/>
  <c r="H76" i="28"/>
  <c r="G76" i="28"/>
  <c r="F76" i="28"/>
  <c r="E76" i="28"/>
  <c r="D76" i="28"/>
  <c r="C76" i="28"/>
  <c r="K75" i="28"/>
  <c r="J75" i="28"/>
  <c r="I75" i="28"/>
  <c r="H75" i="28"/>
  <c r="G75" i="28"/>
  <c r="F75" i="28"/>
  <c r="E75" i="28"/>
  <c r="D75" i="28"/>
  <c r="C75" i="28"/>
  <c r="K74" i="28"/>
  <c r="J74" i="28"/>
  <c r="I74" i="28"/>
  <c r="H74" i="28"/>
  <c r="G74" i="28"/>
  <c r="F74" i="28"/>
  <c r="E74" i="28"/>
  <c r="D74" i="28"/>
  <c r="C74" i="28"/>
  <c r="K73" i="28"/>
  <c r="J73" i="28"/>
  <c r="I73" i="28"/>
  <c r="H73" i="28"/>
  <c r="G73" i="28"/>
  <c r="F73" i="28"/>
  <c r="E73" i="28"/>
  <c r="D73" i="28"/>
  <c r="C73" i="28"/>
  <c r="K72" i="28"/>
  <c r="J72" i="28"/>
  <c r="I72" i="28"/>
  <c r="H72" i="28"/>
  <c r="G72" i="28"/>
  <c r="F72" i="28"/>
  <c r="E72" i="28"/>
  <c r="D72" i="28"/>
  <c r="C72" i="28"/>
  <c r="K71" i="28"/>
  <c r="J71" i="28"/>
  <c r="I71" i="28"/>
  <c r="H71" i="28"/>
  <c r="G71" i="28"/>
  <c r="F71" i="28"/>
  <c r="E71" i="28"/>
  <c r="D71" i="28"/>
  <c r="C71" i="28"/>
  <c r="K70" i="28"/>
  <c r="J70" i="28"/>
  <c r="I70" i="28"/>
  <c r="H70" i="28"/>
  <c r="G70" i="28"/>
  <c r="F70" i="28"/>
  <c r="E70" i="28"/>
  <c r="D70" i="28"/>
  <c r="C70" i="28"/>
  <c r="K69" i="28"/>
  <c r="J69" i="28"/>
  <c r="I69" i="28"/>
  <c r="H69" i="28"/>
  <c r="G69" i="28"/>
  <c r="F69" i="28"/>
  <c r="E69" i="28"/>
  <c r="D69" i="28"/>
  <c r="C69" i="28"/>
  <c r="K68" i="28"/>
  <c r="J68" i="28"/>
  <c r="I68" i="28"/>
  <c r="H68" i="28"/>
  <c r="G68" i="28"/>
  <c r="F68" i="28"/>
  <c r="E68" i="28"/>
  <c r="D68" i="28"/>
  <c r="C68" i="28"/>
  <c r="K67" i="28"/>
  <c r="J67" i="28"/>
  <c r="I67" i="28"/>
  <c r="H67" i="28"/>
  <c r="G67" i="28"/>
  <c r="F67" i="28"/>
  <c r="E67" i="28"/>
  <c r="D67" i="28"/>
  <c r="C67" i="28"/>
  <c r="K66" i="28"/>
  <c r="J66" i="28"/>
  <c r="I66" i="28"/>
  <c r="H66" i="28"/>
  <c r="G66" i="28"/>
  <c r="F66" i="28"/>
  <c r="E66" i="28"/>
  <c r="D66" i="28"/>
  <c r="C66" i="28"/>
  <c r="K64" i="28"/>
  <c r="J64" i="28"/>
  <c r="I64" i="28"/>
  <c r="H64" i="28"/>
  <c r="G64" i="28"/>
  <c r="F64" i="28"/>
  <c r="E64" i="28"/>
  <c r="D64" i="28"/>
  <c r="C64" i="28"/>
  <c r="K63" i="28"/>
  <c r="J63" i="28"/>
  <c r="I63" i="28"/>
  <c r="H63" i="28"/>
  <c r="G63" i="28"/>
  <c r="F63" i="28"/>
  <c r="E63" i="28"/>
  <c r="D63" i="28"/>
  <c r="C63" i="28"/>
  <c r="K62" i="28"/>
  <c r="J62" i="28"/>
  <c r="I62" i="28"/>
  <c r="H62" i="28"/>
  <c r="G62" i="28"/>
  <c r="F62" i="28"/>
  <c r="E62" i="28"/>
  <c r="D62" i="28"/>
  <c r="C62" i="28"/>
  <c r="K61" i="28"/>
  <c r="J61" i="28"/>
  <c r="I61" i="28"/>
  <c r="H61" i="28"/>
  <c r="G61" i="28"/>
  <c r="F61" i="28"/>
  <c r="E61" i="28"/>
  <c r="D61" i="28"/>
  <c r="C61" i="28"/>
  <c r="K60" i="28"/>
  <c r="J60" i="28"/>
  <c r="I60" i="28"/>
  <c r="H60" i="28"/>
  <c r="G60" i="28"/>
  <c r="F60" i="28"/>
  <c r="E60" i="28"/>
  <c r="D60" i="28"/>
  <c r="C60" i="28"/>
  <c r="K59" i="28"/>
  <c r="J59" i="28"/>
  <c r="I59" i="28"/>
  <c r="H59" i="28"/>
  <c r="G59" i="28"/>
  <c r="F59" i="28"/>
  <c r="E59" i="28"/>
  <c r="D59" i="28"/>
  <c r="C59" i="28"/>
  <c r="K58" i="28"/>
  <c r="J58" i="28"/>
  <c r="I58" i="28"/>
  <c r="H58" i="28"/>
  <c r="G58" i="28"/>
  <c r="F58" i="28"/>
  <c r="E58" i="28"/>
  <c r="D58" i="28"/>
  <c r="C58" i="28"/>
  <c r="K57" i="28"/>
  <c r="J57" i="28"/>
  <c r="I57" i="28"/>
  <c r="H57" i="28"/>
  <c r="G57" i="28"/>
  <c r="F57" i="28"/>
  <c r="E57" i="28"/>
  <c r="D57" i="28"/>
  <c r="C57" i="28"/>
  <c r="K56" i="28"/>
  <c r="J56" i="28"/>
  <c r="I56" i="28"/>
  <c r="H56" i="28"/>
  <c r="G56" i="28"/>
  <c r="F56" i="28"/>
  <c r="E56" i="28"/>
  <c r="D56" i="28"/>
  <c r="C56" i="28"/>
  <c r="K55" i="28"/>
  <c r="J55" i="28"/>
  <c r="I55" i="28"/>
  <c r="H55" i="28"/>
  <c r="G55" i="28"/>
  <c r="F55" i="28"/>
  <c r="E55" i="28"/>
  <c r="D55" i="28"/>
  <c r="C55" i="28"/>
  <c r="K54" i="28"/>
  <c r="J54" i="28"/>
  <c r="I54" i="28"/>
  <c r="H54" i="28"/>
  <c r="G54" i="28"/>
  <c r="F54" i="28"/>
  <c r="E54" i="28"/>
  <c r="D54" i="28"/>
  <c r="C54" i="28"/>
  <c r="K53" i="28"/>
  <c r="J53" i="28"/>
  <c r="I53" i="28"/>
  <c r="H53" i="28"/>
  <c r="G53" i="28"/>
  <c r="F53" i="28"/>
  <c r="E53" i="28"/>
  <c r="D53" i="28"/>
  <c r="C53" i="28"/>
  <c r="K52" i="28"/>
  <c r="J52" i="28"/>
  <c r="I52" i="28"/>
  <c r="H52" i="28"/>
  <c r="G52" i="28"/>
  <c r="F52" i="28"/>
  <c r="E52" i="28"/>
  <c r="D52" i="28"/>
  <c r="C52" i="28"/>
  <c r="K50" i="28"/>
  <c r="J50" i="28"/>
  <c r="I50" i="28"/>
  <c r="H50" i="28"/>
  <c r="G50" i="28"/>
  <c r="F50" i="28"/>
  <c r="E50" i="28"/>
  <c r="D50" i="28"/>
  <c r="C50" i="28"/>
  <c r="K49" i="28"/>
  <c r="J49" i="28"/>
  <c r="I49" i="28"/>
  <c r="H49" i="28"/>
  <c r="G49" i="28"/>
  <c r="F49" i="28"/>
  <c r="E49" i="28"/>
  <c r="D49" i="28"/>
  <c r="C49" i="28"/>
  <c r="K48" i="28"/>
  <c r="J48" i="28"/>
  <c r="I48" i="28"/>
  <c r="H48" i="28"/>
  <c r="G48" i="28"/>
  <c r="F48" i="28"/>
  <c r="E48" i="28"/>
  <c r="D48" i="28"/>
  <c r="C48" i="28"/>
  <c r="K47" i="28"/>
  <c r="J47" i="28"/>
  <c r="I47" i="28"/>
  <c r="H47" i="28"/>
  <c r="G47" i="28"/>
  <c r="F47" i="28"/>
  <c r="E47" i="28"/>
  <c r="D47" i="28"/>
  <c r="C47" i="28"/>
  <c r="K46" i="28"/>
  <c r="J46" i="28"/>
  <c r="I46" i="28"/>
  <c r="H46" i="28"/>
  <c r="G46" i="28"/>
  <c r="F46" i="28"/>
  <c r="E46" i="28"/>
  <c r="D46" i="28"/>
  <c r="C46" i="28"/>
  <c r="K45" i="28"/>
  <c r="J45" i="28"/>
  <c r="I45" i="28"/>
  <c r="H45" i="28"/>
  <c r="G45" i="28"/>
  <c r="F45" i="28"/>
  <c r="E45" i="28"/>
  <c r="D45" i="28"/>
  <c r="C45" i="28"/>
  <c r="K44" i="28"/>
  <c r="J44" i="28"/>
  <c r="I44" i="28"/>
  <c r="H44" i="28"/>
  <c r="G44" i="28"/>
  <c r="F44" i="28"/>
  <c r="E44" i="28"/>
  <c r="D44" i="28"/>
  <c r="C44" i="28"/>
  <c r="K43" i="28"/>
  <c r="J43" i="28"/>
  <c r="I43" i="28"/>
  <c r="H43" i="28"/>
  <c r="G43" i="28"/>
  <c r="F43" i="28"/>
  <c r="E43" i="28"/>
  <c r="D43" i="28"/>
  <c r="C43" i="28"/>
  <c r="K42" i="28"/>
  <c r="J42" i="28"/>
  <c r="I42" i="28"/>
  <c r="H42" i="28"/>
  <c r="G42" i="28"/>
  <c r="F42" i="28"/>
  <c r="E42" i="28"/>
  <c r="D42" i="28"/>
  <c r="C42" i="28"/>
  <c r="K41" i="28"/>
  <c r="J41" i="28"/>
  <c r="I41" i="28"/>
  <c r="H41" i="28"/>
  <c r="G41" i="28"/>
  <c r="F41" i="28"/>
  <c r="E41" i="28"/>
  <c r="D41" i="28"/>
  <c r="C41" i="28"/>
  <c r="K40" i="28"/>
  <c r="J40" i="28"/>
  <c r="I40" i="28"/>
  <c r="H40" i="28"/>
  <c r="G40" i="28"/>
  <c r="F40" i="28"/>
  <c r="E40" i="28"/>
  <c r="D40" i="28"/>
  <c r="C40" i="28"/>
  <c r="K38" i="28"/>
  <c r="J38" i="28"/>
  <c r="I38" i="28"/>
  <c r="H38" i="28"/>
  <c r="G38" i="28"/>
  <c r="F38" i="28"/>
  <c r="E38" i="28"/>
  <c r="D38" i="28"/>
  <c r="C38" i="28"/>
  <c r="K37" i="28"/>
  <c r="J37" i="28"/>
  <c r="I37" i="28"/>
  <c r="H37" i="28"/>
  <c r="G37" i="28"/>
  <c r="F37" i="28"/>
  <c r="E37" i="28"/>
  <c r="D37" i="28"/>
  <c r="C37" i="28"/>
  <c r="K36" i="28"/>
  <c r="J36" i="28"/>
  <c r="I36" i="28"/>
  <c r="H36" i="28"/>
  <c r="G36" i="28"/>
  <c r="F36" i="28"/>
  <c r="E36" i="28"/>
  <c r="D36" i="28"/>
  <c r="C36" i="28"/>
  <c r="K35" i="28"/>
  <c r="J35" i="28"/>
  <c r="I35" i="28"/>
  <c r="H35" i="28"/>
  <c r="G35" i="28"/>
  <c r="F35" i="28"/>
  <c r="E35" i="28"/>
  <c r="D35" i="28"/>
  <c r="C35" i="28"/>
  <c r="K34" i="28"/>
  <c r="J34" i="28"/>
  <c r="I34" i="28"/>
  <c r="H34" i="28"/>
  <c r="G34" i="28"/>
  <c r="F34" i="28"/>
  <c r="E34" i="28"/>
  <c r="D34" i="28"/>
  <c r="C34" i="28"/>
  <c r="K33" i="28"/>
  <c r="J33" i="28"/>
  <c r="I33" i="28"/>
  <c r="H33" i="28"/>
  <c r="G33" i="28"/>
  <c r="F33" i="28"/>
  <c r="E33" i="28"/>
  <c r="D33" i="28"/>
  <c r="C33" i="28"/>
  <c r="K32" i="28"/>
  <c r="J32" i="28"/>
  <c r="I32" i="28"/>
  <c r="H32" i="28"/>
  <c r="G32" i="28"/>
  <c r="F32" i="28"/>
  <c r="E32" i="28"/>
  <c r="D32" i="28"/>
  <c r="C32" i="28"/>
  <c r="K31" i="28"/>
  <c r="J31" i="28"/>
  <c r="I31" i="28"/>
  <c r="H31" i="28"/>
  <c r="G31" i="28"/>
  <c r="F31" i="28"/>
  <c r="E31" i="28"/>
  <c r="D31" i="28"/>
  <c r="C31" i="28"/>
  <c r="K29" i="28"/>
  <c r="J29" i="28"/>
  <c r="I29" i="28"/>
  <c r="H29" i="28"/>
  <c r="G29" i="28"/>
  <c r="F29" i="28"/>
  <c r="E29" i="28"/>
  <c r="D29" i="28"/>
  <c r="C29" i="28"/>
  <c r="K28" i="28"/>
  <c r="J28" i="28"/>
  <c r="I28" i="28"/>
  <c r="H28" i="28"/>
  <c r="G28" i="28"/>
  <c r="F28" i="28"/>
  <c r="E28" i="28"/>
  <c r="D28" i="28"/>
  <c r="C28" i="28"/>
  <c r="K27" i="28"/>
  <c r="J27" i="28"/>
  <c r="I27" i="28"/>
  <c r="H27" i="28"/>
  <c r="G27" i="28"/>
  <c r="F27" i="28"/>
  <c r="E27" i="28"/>
  <c r="D27" i="28"/>
  <c r="C27" i="28"/>
  <c r="K26" i="28"/>
  <c r="J26" i="28"/>
  <c r="I26" i="28"/>
  <c r="H26" i="28"/>
  <c r="G26" i="28"/>
  <c r="F26" i="28"/>
  <c r="E26" i="28"/>
  <c r="D26" i="28"/>
  <c r="C26" i="28"/>
  <c r="K25" i="28"/>
  <c r="J25" i="28"/>
  <c r="I25" i="28"/>
  <c r="H25" i="28"/>
  <c r="G25" i="28"/>
  <c r="F25" i="28"/>
  <c r="E25" i="28"/>
  <c r="D25" i="28"/>
  <c r="C25" i="28"/>
  <c r="K24" i="28"/>
  <c r="J24" i="28"/>
  <c r="I24" i="28"/>
  <c r="H24" i="28"/>
  <c r="G24" i="28"/>
  <c r="F24" i="28"/>
  <c r="E24" i="28"/>
  <c r="D24" i="28"/>
  <c r="C24" i="28"/>
  <c r="K23" i="28"/>
  <c r="J23" i="28"/>
  <c r="I23" i="28"/>
  <c r="H23" i="28"/>
  <c r="G23" i="28"/>
  <c r="F23" i="28"/>
  <c r="E23" i="28"/>
  <c r="D23" i="28"/>
  <c r="C23" i="28"/>
  <c r="K21" i="28"/>
  <c r="J21" i="28"/>
  <c r="I21" i="28"/>
  <c r="H21" i="28"/>
  <c r="G21" i="28"/>
  <c r="F21" i="28"/>
  <c r="E21" i="28"/>
  <c r="D21" i="28"/>
  <c r="C21" i="28"/>
  <c r="K20" i="28"/>
  <c r="J20" i="28"/>
  <c r="I20" i="28"/>
  <c r="H20" i="28"/>
  <c r="G20" i="28"/>
  <c r="F20" i="28"/>
  <c r="E20" i="28"/>
  <c r="D20" i="28"/>
  <c r="C20" i="28"/>
  <c r="K19" i="28"/>
  <c r="J19" i="28"/>
  <c r="I19" i="28"/>
  <c r="H19" i="28"/>
  <c r="G19" i="28"/>
  <c r="F19" i="28"/>
  <c r="E19" i="28"/>
  <c r="D19" i="28"/>
  <c r="C19" i="28"/>
  <c r="K18" i="28"/>
  <c r="J18" i="28"/>
  <c r="I18" i="28"/>
  <c r="H18" i="28"/>
  <c r="G18" i="28"/>
  <c r="F18" i="28"/>
  <c r="E18" i="28"/>
  <c r="D18" i="28"/>
  <c r="C18" i="28"/>
  <c r="K17" i="28"/>
  <c r="J17" i="28"/>
  <c r="I17" i="28"/>
  <c r="H17" i="28"/>
  <c r="G17" i="28"/>
  <c r="F17" i="28"/>
  <c r="E17" i="28"/>
  <c r="D17" i="28"/>
  <c r="C17" i="28"/>
  <c r="K16" i="28"/>
  <c r="J16" i="28"/>
  <c r="I16" i="28"/>
  <c r="H16" i="28"/>
  <c r="G16" i="28"/>
  <c r="F16" i="28"/>
  <c r="E16" i="28"/>
  <c r="D16" i="28"/>
  <c r="C16" i="28"/>
  <c r="K14" i="28"/>
  <c r="J14" i="28"/>
  <c r="I14" i="28"/>
  <c r="H14" i="28"/>
  <c r="G14" i="28"/>
  <c r="F14" i="28"/>
  <c r="E14" i="28"/>
  <c r="D14" i="28"/>
  <c r="C14" i="28"/>
  <c r="K13" i="28"/>
  <c r="J13" i="28"/>
  <c r="I13" i="28"/>
  <c r="H13" i="28"/>
  <c r="G13" i="28"/>
  <c r="F13" i="28"/>
  <c r="E13" i="28"/>
  <c r="D13" i="28"/>
  <c r="C13" i="28"/>
  <c r="K12" i="28"/>
  <c r="J12" i="28"/>
  <c r="I12" i="28"/>
  <c r="H12" i="28"/>
  <c r="G12" i="28"/>
  <c r="F12" i="28"/>
  <c r="E12" i="28"/>
  <c r="D12" i="28"/>
  <c r="C12" i="28"/>
  <c r="K11" i="28"/>
  <c r="J11" i="28"/>
  <c r="I11" i="28"/>
  <c r="H11" i="28"/>
  <c r="G11" i="28"/>
  <c r="F11" i="28"/>
  <c r="E11" i="28"/>
  <c r="D11" i="28"/>
  <c r="C11" i="28"/>
  <c r="K10" i="28"/>
  <c r="J10" i="28"/>
  <c r="I10" i="28"/>
  <c r="H10" i="28"/>
  <c r="G10" i="28"/>
  <c r="F10" i="28"/>
  <c r="E10" i="28"/>
  <c r="D10" i="28"/>
  <c r="C10" i="28"/>
  <c r="K9" i="28"/>
  <c r="J9" i="28"/>
  <c r="I9" i="28"/>
  <c r="H9" i="28"/>
  <c r="G9" i="28"/>
  <c r="F9" i="28"/>
  <c r="E9" i="28"/>
  <c r="D9" i="28"/>
  <c r="C9" i="28"/>
  <c r="K8" i="28"/>
  <c r="J8" i="28"/>
  <c r="I8" i="28"/>
  <c r="H8" i="28"/>
  <c r="G8" i="28"/>
  <c r="F8" i="28"/>
  <c r="E8" i="28"/>
  <c r="D8" i="28"/>
  <c r="C8" i="28"/>
  <c r="K7" i="28"/>
  <c r="J7" i="28"/>
  <c r="I7" i="28"/>
  <c r="H7" i="28"/>
  <c r="G7" i="28"/>
  <c r="F7" i="28"/>
  <c r="E7" i="28"/>
  <c r="D7" i="28"/>
  <c r="C7" i="28"/>
  <c r="G239" i="28"/>
  <c r="U297" i="29"/>
  <c r="K264" i="29"/>
  <c r="K256" i="29"/>
  <c r="K237" i="29"/>
  <c r="K204" i="29"/>
  <c r="U123" i="29"/>
  <c r="U102" i="29"/>
  <c r="R237" i="28"/>
  <c r="S237" i="28" s="1"/>
  <c r="U236" i="28"/>
  <c r="R232" i="28"/>
  <c r="S232" i="28" s="1"/>
  <c r="R224" i="28"/>
  <c r="S224" i="28" s="1"/>
  <c r="U222" i="28"/>
  <c r="R218" i="28"/>
  <c r="S218" i="28" s="1"/>
  <c r="Y218" i="28" s="1"/>
  <c r="U218" i="28"/>
  <c r="R197" i="28"/>
  <c r="Q297" i="29"/>
  <c r="O297" i="29"/>
  <c r="AD297" i="29" s="1"/>
  <c r="N297" i="29"/>
  <c r="AC297" i="29" s="1"/>
  <c r="Q296" i="29"/>
  <c r="O296" i="29"/>
  <c r="AD296" i="29" s="1"/>
  <c r="N296" i="29"/>
  <c r="AC296" i="29" s="1"/>
  <c r="Q295" i="29"/>
  <c r="O295" i="29"/>
  <c r="AD295" i="29" s="1"/>
  <c r="N295" i="29"/>
  <c r="AC295" i="29" s="1"/>
  <c r="U294" i="29"/>
  <c r="Q294" i="29"/>
  <c r="O294" i="29"/>
  <c r="AD294" i="29" s="1"/>
  <c r="N294" i="29"/>
  <c r="AC294" i="29" s="1"/>
  <c r="Q293" i="29"/>
  <c r="O293" i="29"/>
  <c r="AD293" i="29" s="1"/>
  <c r="N293" i="29"/>
  <c r="AC293" i="29" s="1"/>
  <c r="Q292" i="29"/>
  <c r="O292" i="29"/>
  <c r="AD292" i="29" s="1"/>
  <c r="N292" i="29"/>
  <c r="AC292" i="29" s="1"/>
  <c r="Q291" i="29"/>
  <c r="O291" i="29"/>
  <c r="AD291" i="29" s="1"/>
  <c r="N291" i="29"/>
  <c r="AC291" i="29" s="1"/>
  <c r="Q290" i="29"/>
  <c r="O290" i="29"/>
  <c r="AD290" i="29" s="1"/>
  <c r="N290" i="29"/>
  <c r="AC290" i="29" s="1"/>
  <c r="U290" i="29"/>
  <c r="Q289" i="29"/>
  <c r="O289" i="29"/>
  <c r="AD289" i="29" s="1"/>
  <c r="N289" i="29"/>
  <c r="AC289" i="29" s="1"/>
  <c r="U289" i="29"/>
  <c r="U283" i="29"/>
  <c r="AD283" i="29"/>
  <c r="AC283" i="29"/>
  <c r="AD282" i="29"/>
  <c r="AC282" i="29"/>
  <c r="AD281" i="29"/>
  <c r="AC281" i="29"/>
  <c r="AD280" i="29"/>
  <c r="AC280" i="29"/>
  <c r="AD279" i="29"/>
  <c r="AC279" i="29"/>
  <c r="AD278" i="29"/>
  <c r="AC278" i="29"/>
  <c r="AD277" i="29"/>
  <c r="AC277" i="29"/>
  <c r="AD276" i="29"/>
  <c r="AC276" i="29"/>
  <c r="AD275" i="29"/>
  <c r="AC275" i="29"/>
  <c r="J264" i="29"/>
  <c r="J263" i="29"/>
  <c r="K262" i="29"/>
  <c r="AD261" i="29"/>
  <c r="AC261" i="29"/>
  <c r="K260" i="29"/>
  <c r="J260" i="29"/>
  <c r="J259" i="29"/>
  <c r="K259" i="29"/>
  <c r="K258" i="29"/>
  <c r="J258" i="29"/>
  <c r="J256" i="29"/>
  <c r="K255" i="29"/>
  <c r="J255" i="29"/>
  <c r="AB253" i="29"/>
  <c r="N253" i="29" s="1"/>
  <c r="J237" i="29"/>
  <c r="N235" i="29"/>
  <c r="AB218" i="29"/>
  <c r="N218" i="29" s="1"/>
  <c r="Q212" i="29"/>
  <c r="J212" i="29"/>
  <c r="Q211" i="29"/>
  <c r="Q210" i="29"/>
  <c r="Q209" i="29"/>
  <c r="AD209" i="29"/>
  <c r="AC209" i="29"/>
  <c r="Q208" i="29"/>
  <c r="J208" i="29"/>
  <c r="Q207" i="29"/>
  <c r="Q206" i="29"/>
  <c r="Q205" i="29"/>
  <c r="Q204" i="29"/>
  <c r="J204" i="29"/>
  <c r="Q203" i="29"/>
  <c r="J203" i="29"/>
  <c r="Q202" i="29"/>
  <c r="N201" i="29"/>
  <c r="J193" i="29"/>
  <c r="AD192" i="29"/>
  <c r="AC192" i="29"/>
  <c r="J192" i="29"/>
  <c r="J189" i="29"/>
  <c r="J188" i="29"/>
  <c r="AB183" i="29"/>
  <c r="N183" i="29" s="1"/>
  <c r="AD176" i="29"/>
  <c r="AC176" i="29"/>
  <c r="AB167" i="29"/>
  <c r="N167" i="29" s="1"/>
  <c r="AD163" i="29"/>
  <c r="AC163" i="29"/>
  <c r="AB155" i="29"/>
  <c r="N155" i="29" s="1"/>
  <c r="J147" i="29"/>
  <c r="AB144" i="29"/>
  <c r="N144" i="29" s="1"/>
  <c r="AB136" i="29"/>
  <c r="N136" i="29" s="1"/>
  <c r="U129" i="29"/>
  <c r="U128" i="29"/>
  <c r="U127" i="29"/>
  <c r="U124" i="29"/>
  <c r="AD123" i="29"/>
  <c r="AC123" i="29"/>
  <c r="U122" i="29"/>
  <c r="U121" i="29"/>
  <c r="U120" i="29"/>
  <c r="U116" i="29"/>
  <c r="AB115" i="29"/>
  <c r="N115" i="29" s="1"/>
  <c r="U108" i="29"/>
  <c r="U106" i="29"/>
  <c r="U103" i="29"/>
  <c r="U101" i="29"/>
  <c r="U100" i="29"/>
  <c r="AB98" i="29"/>
  <c r="N98" i="29" s="1"/>
  <c r="AD89" i="29"/>
  <c r="AC89" i="29"/>
  <c r="AB81" i="29"/>
  <c r="N81" i="29" s="1"/>
  <c r="U73" i="29"/>
  <c r="U72" i="29"/>
  <c r="AD72" i="29"/>
  <c r="U69" i="29"/>
  <c r="U68" i="29"/>
  <c r="U67" i="29"/>
  <c r="U66" i="29"/>
  <c r="U65" i="29"/>
  <c r="N64" i="29"/>
  <c r="Q58" i="29"/>
  <c r="U58" i="29"/>
  <c r="Q57" i="29"/>
  <c r="Q56" i="29"/>
  <c r="AD56" i="29"/>
  <c r="AC56" i="29"/>
  <c r="U56" i="29"/>
  <c r="Q55" i="29"/>
  <c r="Q54" i="29"/>
  <c r="U54" i="29"/>
  <c r="U53" i="29"/>
  <c r="Q53" i="29"/>
  <c r="Q52" i="29"/>
  <c r="U52" i="29"/>
  <c r="U51" i="29"/>
  <c r="Q51" i="29"/>
  <c r="Q50" i="29"/>
  <c r="Q49" i="29"/>
  <c r="N48" i="29"/>
  <c r="Q43" i="29"/>
  <c r="AD43" i="29"/>
  <c r="AC43" i="29"/>
  <c r="U42" i="29"/>
  <c r="Q42" i="29"/>
  <c r="U41" i="29"/>
  <c r="Q41" i="29"/>
  <c r="U40" i="29"/>
  <c r="Q40" i="29"/>
  <c r="Q39" i="29"/>
  <c r="Q38" i="29"/>
  <c r="Q37" i="29"/>
  <c r="Q36" i="29"/>
  <c r="AB35" i="29"/>
  <c r="N35" i="29" s="1"/>
  <c r="Q30" i="29"/>
  <c r="Q29" i="29"/>
  <c r="U29" i="29"/>
  <c r="Q28" i="29"/>
  <c r="Q27" i="29"/>
  <c r="U27" i="29"/>
  <c r="Q26" i="29"/>
  <c r="Q25" i="29"/>
  <c r="U25" i="29"/>
  <c r="Q24" i="29"/>
  <c r="AB23" i="29"/>
  <c r="N23" i="29" s="1"/>
  <c r="Q19" i="29"/>
  <c r="Q18" i="29"/>
  <c r="Q17" i="29"/>
  <c r="Q16" i="29"/>
  <c r="Q15" i="29"/>
  <c r="Q14" i="29"/>
  <c r="AB13" i="29"/>
  <c r="N13" i="29" s="1"/>
  <c r="N6" i="29"/>
  <c r="U232" i="28"/>
  <c r="U233" i="28"/>
  <c r="U234" i="28"/>
  <c r="U235" i="28"/>
  <c r="U237" i="28"/>
  <c r="U238" i="28"/>
  <c r="U239" i="28"/>
  <c r="R238" i="28"/>
  <c r="S238" i="28" s="1"/>
  <c r="R239" i="28"/>
  <c r="S239" i="28" s="1"/>
  <c r="AD238" i="28"/>
  <c r="AD239" i="28"/>
  <c r="AD231" i="28"/>
  <c r="AC239" i="28"/>
  <c r="AC231" i="28"/>
  <c r="AC238" i="28"/>
  <c r="AC237" i="28"/>
  <c r="AD237" i="28"/>
  <c r="AD236" i="28"/>
  <c r="AC236" i="28"/>
  <c r="AC235" i="28"/>
  <c r="AD235" i="28"/>
  <c r="AD234" i="28"/>
  <c r="AC234" i="28"/>
  <c r="AD233" i="28"/>
  <c r="AC233" i="28"/>
  <c r="AD232" i="28"/>
  <c r="AC232" i="28"/>
  <c r="AD225" i="28"/>
  <c r="AC225" i="28"/>
  <c r="AD224" i="28"/>
  <c r="AC224" i="28"/>
  <c r="AD223" i="28"/>
  <c r="AC223" i="28"/>
  <c r="AD222" i="28"/>
  <c r="AC222" i="28"/>
  <c r="AD221" i="28"/>
  <c r="AC221" i="28"/>
  <c r="AD220" i="28"/>
  <c r="AC220" i="28"/>
  <c r="AD219" i="28"/>
  <c r="AC219" i="28"/>
  <c r="AD218" i="28"/>
  <c r="AC218" i="28"/>
  <c r="AD217" i="28"/>
  <c r="AC217" i="28"/>
  <c r="U219" i="28"/>
  <c r="U220" i="28"/>
  <c r="U221" i="28"/>
  <c r="U223" i="28"/>
  <c r="U224" i="28"/>
  <c r="U225" i="28"/>
  <c r="U217" i="28"/>
  <c r="R220" i="28"/>
  <c r="S220" i="28" s="1"/>
  <c r="Q218" i="28"/>
  <c r="Q219" i="28"/>
  <c r="Q220" i="28"/>
  <c r="Q221" i="28"/>
  <c r="Q222" i="28"/>
  <c r="Q223" i="28"/>
  <c r="Q224" i="28"/>
  <c r="Q225" i="28"/>
  <c r="Q217" i="28"/>
  <c r="O218" i="28"/>
  <c r="O219" i="28"/>
  <c r="O220" i="28"/>
  <c r="O221" i="28"/>
  <c r="O222" i="28"/>
  <c r="O223" i="28"/>
  <c r="O224" i="28"/>
  <c r="O225" i="28"/>
  <c r="O217" i="28"/>
  <c r="N217" i="28"/>
  <c r="N218" i="28"/>
  <c r="N219" i="28"/>
  <c r="N220" i="28"/>
  <c r="N221" i="28"/>
  <c r="N222" i="28"/>
  <c r="N223" i="28"/>
  <c r="N224" i="28"/>
  <c r="N225" i="28"/>
  <c r="Y236" i="29" l="1"/>
  <c r="Z248" i="29"/>
  <c r="Y247" i="29"/>
  <c r="Y243" i="29"/>
  <c r="Y251" i="29"/>
  <c r="Y238" i="29"/>
  <c r="Z239" i="29"/>
  <c r="Y252" i="29"/>
  <c r="Y245" i="29"/>
  <c r="Z241" i="29"/>
  <c r="Z244" i="29"/>
  <c r="Z238" i="29"/>
  <c r="Z236" i="29"/>
  <c r="Y250" i="29"/>
  <c r="Z250" i="29"/>
  <c r="Z242" i="29"/>
  <c r="Z252" i="29"/>
  <c r="Z245" i="29"/>
  <c r="Y248" i="29"/>
  <c r="U244" i="29"/>
  <c r="Y244" i="29"/>
  <c r="R235" i="29"/>
  <c r="Z240" i="29"/>
  <c r="Y241" i="29"/>
  <c r="U239" i="29"/>
  <c r="Y239" i="29"/>
  <c r="U245" i="29"/>
  <c r="U246" i="29"/>
  <c r="Y246" i="29"/>
  <c r="Z247" i="29"/>
  <c r="U240" i="29"/>
  <c r="Y240" i="29"/>
  <c r="Y242" i="29"/>
  <c r="Z249" i="29"/>
  <c r="Y249" i="29"/>
  <c r="Z243" i="29"/>
  <c r="Z251" i="29"/>
  <c r="Z246" i="29"/>
  <c r="U166" i="29"/>
  <c r="Z229" i="29"/>
  <c r="Z226" i="29"/>
  <c r="Z230" i="29"/>
  <c r="Y223" i="29"/>
  <c r="Z231" i="29"/>
  <c r="Y228" i="29"/>
  <c r="Y224" i="29"/>
  <c r="Z225" i="29"/>
  <c r="Z216" i="29"/>
  <c r="Y229" i="29"/>
  <c r="U229" i="29"/>
  <c r="Y226" i="29"/>
  <c r="U226" i="29"/>
  <c r="R218" i="29"/>
  <c r="Z227" i="29"/>
  <c r="Y231" i="29"/>
  <c r="Z232" i="29"/>
  <c r="Y232" i="29"/>
  <c r="Y230" i="29"/>
  <c r="Z222" i="29"/>
  <c r="Z228" i="29"/>
  <c r="Y234" i="29"/>
  <c r="Z234" i="29"/>
  <c r="Z223" i="29"/>
  <c r="Y227" i="29"/>
  <c r="U227" i="29"/>
  <c r="Z224" i="29"/>
  <c r="Y225" i="29"/>
  <c r="U225" i="29"/>
  <c r="Y233" i="29"/>
  <c r="Z233" i="29"/>
  <c r="Y222" i="29"/>
  <c r="Y177" i="29"/>
  <c r="Y216" i="29"/>
  <c r="U180" i="29"/>
  <c r="R201" i="29"/>
  <c r="Y214" i="29"/>
  <c r="Z214" i="29"/>
  <c r="Z213" i="29"/>
  <c r="Y213" i="29"/>
  <c r="Y215" i="29"/>
  <c r="Z215" i="29"/>
  <c r="Y217" i="29"/>
  <c r="Z217" i="29"/>
  <c r="Z196" i="29"/>
  <c r="Z199" i="29"/>
  <c r="Z200" i="29"/>
  <c r="Y198" i="29"/>
  <c r="Z198" i="29"/>
  <c r="Y200" i="29"/>
  <c r="Y196" i="29"/>
  <c r="U168" i="29"/>
  <c r="R183" i="29"/>
  <c r="S192" i="29"/>
  <c r="Z192" i="29" s="1"/>
  <c r="Y199" i="29"/>
  <c r="Y197" i="29"/>
  <c r="Z197" i="29"/>
  <c r="U280" i="29"/>
  <c r="U291" i="29"/>
  <c r="Y181" i="29"/>
  <c r="Y164" i="29"/>
  <c r="Z182" i="29"/>
  <c r="Z179" i="29"/>
  <c r="R155" i="29"/>
  <c r="Y151" i="29"/>
  <c r="Y166" i="29"/>
  <c r="R294" i="29"/>
  <c r="S294" i="29" s="1"/>
  <c r="Y153" i="29"/>
  <c r="Z177" i="29"/>
  <c r="Y180" i="29"/>
  <c r="R144" i="29"/>
  <c r="Z152" i="29"/>
  <c r="Z178" i="29"/>
  <c r="Z166" i="29"/>
  <c r="Z180" i="29"/>
  <c r="Z151" i="29"/>
  <c r="Z165" i="29"/>
  <c r="Y175" i="29"/>
  <c r="Z181" i="29"/>
  <c r="Z164" i="29"/>
  <c r="Z154" i="29"/>
  <c r="U177" i="29"/>
  <c r="U182" i="29"/>
  <c r="Y182" i="29"/>
  <c r="Y179" i="29"/>
  <c r="U179" i="29"/>
  <c r="U178" i="29"/>
  <c r="Y178" i="29"/>
  <c r="U153" i="29"/>
  <c r="Z112" i="29"/>
  <c r="Z153" i="29"/>
  <c r="Y165" i="29"/>
  <c r="U165" i="29"/>
  <c r="U152" i="29"/>
  <c r="Y152" i="29"/>
  <c r="U151" i="29"/>
  <c r="Y142" i="29"/>
  <c r="U154" i="29"/>
  <c r="Y154" i="29"/>
  <c r="R280" i="29"/>
  <c r="S280" i="29" s="1"/>
  <c r="Y280" i="29" s="1"/>
  <c r="Y130" i="29"/>
  <c r="Z142" i="29"/>
  <c r="Z143" i="29"/>
  <c r="Y143" i="29"/>
  <c r="U143" i="29"/>
  <c r="R136" i="29"/>
  <c r="U142" i="29"/>
  <c r="Y86" i="29"/>
  <c r="Y109" i="29"/>
  <c r="Z130" i="29"/>
  <c r="Z75" i="29"/>
  <c r="Z67" i="29"/>
  <c r="Y113" i="29"/>
  <c r="Z113" i="29"/>
  <c r="Z74" i="29"/>
  <c r="Z111" i="29"/>
  <c r="Y111" i="29"/>
  <c r="Y63" i="29"/>
  <c r="Z104" i="29"/>
  <c r="Z86" i="29"/>
  <c r="Y110" i="29"/>
  <c r="Z114" i="29"/>
  <c r="K146" i="29"/>
  <c r="K150" i="29"/>
  <c r="Z109" i="29"/>
  <c r="Y91" i="29"/>
  <c r="Y112" i="29"/>
  <c r="J158" i="29"/>
  <c r="U158" i="29" s="1"/>
  <c r="J171" i="29"/>
  <c r="Z171" i="29" s="1"/>
  <c r="J175" i="29"/>
  <c r="J205" i="29"/>
  <c r="U205" i="29" s="1"/>
  <c r="J209" i="29"/>
  <c r="U209" i="29" s="1"/>
  <c r="J210" i="29"/>
  <c r="J219" i="29"/>
  <c r="Z76" i="29"/>
  <c r="Y104" i="29"/>
  <c r="Y114" i="29"/>
  <c r="Z99" i="29"/>
  <c r="Y99" i="29"/>
  <c r="Z110" i="29"/>
  <c r="R98" i="29"/>
  <c r="Z91" i="29"/>
  <c r="Y76" i="29"/>
  <c r="Z61" i="29"/>
  <c r="R81" i="29"/>
  <c r="Y74" i="29"/>
  <c r="Y75" i="29"/>
  <c r="K190" i="29"/>
  <c r="K210" i="29"/>
  <c r="K261" i="29"/>
  <c r="K265" i="29"/>
  <c r="Y61" i="29"/>
  <c r="Y62" i="29"/>
  <c r="Z189" i="29"/>
  <c r="Z63" i="29"/>
  <c r="Z188" i="29"/>
  <c r="J160" i="29"/>
  <c r="U160" i="29" s="1"/>
  <c r="R48" i="29"/>
  <c r="Z62" i="29"/>
  <c r="J159" i="29"/>
  <c r="Z159" i="29" s="1"/>
  <c r="J163" i="29"/>
  <c r="U163" i="29" s="1"/>
  <c r="J172" i="29"/>
  <c r="J176" i="29"/>
  <c r="Z176" i="29" s="1"/>
  <c r="J186" i="29"/>
  <c r="Z186" i="29" s="1"/>
  <c r="J202" i="29"/>
  <c r="J220" i="29"/>
  <c r="J257" i="29"/>
  <c r="J261" i="29"/>
  <c r="J265" i="29"/>
  <c r="Z59" i="29"/>
  <c r="Y59" i="29"/>
  <c r="Y60" i="29"/>
  <c r="Z60" i="29"/>
  <c r="J138" i="29"/>
  <c r="J145" i="29"/>
  <c r="U145" i="29" s="1"/>
  <c r="S147" i="29"/>
  <c r="Z147" i="29" s="1"/>
  <c r="J149" i="29"/>
  <c r="U149" i="29" s="1"/>
  <c r="J157" i="29"/>
  <c r="S156" i="29"/>
  <c r="J161" i="29"/>
  <c r="K137" i="29"/>
  <c r="K147" i="29"/>
  <c r="K148" i="29"/>
  <c r="K156" i="29"/>
  <c r="K161" i="29"/>
  <c r="K170" i="29"/>
  <c r="U170" i="29" s="1"/>
  <c r="K174" i="29"/>
  <c r="Y174" i="29" s="1"/>
  <c r="K187" i="29"/>
  <c r="K188" i="29"/>
  <c r="K208" i="29"/>
  <c r="U208" i="29" s="1"/>
  <c r="K212" i="29"/>
  <c r="U212" i="29" s="1"/>
  <c r="K263" i="29"/>
  <c r="U263" i="29" s="1"/>
  <c r="K266" i="29"/>
  <c r="U266" i="29" s="1"/>
  <c r="J137" i="29"/>
  <c r="J146" i="29"/>
  <c r="J156" i="29"/>
  <c r="J169" i="29"/>
  <c r="J173" i="29"/>
  <c r="Z173" i="29" s="1"/>
  <c r="J191" i="29"/>
  <c r="U281" i="29"/>
  <c r="U295" i="29"/>
  <c r="Z46" i="29"/>
  <c r="Z32" i="29"/>
  <c r="Z34" i="29"/>
  <c r="Y72" i="29"/>
  <c r="Y32" i="29"/>
  <c r="Z44" i="29"/>
  <c r="Z47" i="29"/>
  <c r="Y34" i="29"/>
  <c r="Z31" i="29"/>
  <c r="Y47" i="29"/>
  <c r="Y28" i="29"/>
  <c r="Z58" i="29"/>
  <c r="S148" i="29"/>
  <c r="Y162" i="29"/>
  <c r="S185" i="29"/>
  <c r="Y185" i="29" s="1"/>
  <c r="S211" i="29"/>
  <c r="Z211" i="29" s="1"/>
  <c r="S256" i="29"/>
  <c r="Y256" i="29" s="1"/>
  <c r="R282" i="29"/>
  <c r="S282" i="29" s="1"/>
  <c r="Y282" i="29" s="1"/>
  <c r="R295" i="29"/>
  <c r="S295" i="29" s="1"/>
  <c r="Z33" i="29"/>
  <c r="Y45" i="29"/>
  <c r="R35" i="29"/>
  <c r="Z38" i="29"/>
  <c r="Z83" i="29"/>
  <c r="Y31" i="29"/>
  <c r="Y44" i="29"/>
  <c r="Y33" i="29"/>
  <c r="Y46" i="29"/>
  <c r="Z45" i="29"/>
  <c r="R15" i="29"/>
  <c r="S15" i="29" s="1"/>
  <c r="Y15" i="29" s="1"/>
  <c r="R9" i="29"/>
  <c r="S9" i="29" s="1"/>
  <c r="Y9" i="29" s="1"/>
  <c r="R8" i="29"/>
  <c r="S8" i="29" s="1"/>
  <c r="R21" i="29"/>
  <c r="S21" i="29" s="1"/>
  <c r="Z21" i="29" s="1"/>
  <c r="R7" i="29"/>
  <c r="S7" i="29" s="1"/>
  <c r="Z7" i="29" s="1"/>
  <c r="R22" i="29"/>
  <c r="S22" i="29" s="1"/>
  <c r="Z22" i="29" s="1"/>
  <c r="R19" i="29"/>
  <c r="S19" i="29" s="1"/>
  <c r="Z19" i="29" s="1"/>
  <c r="R14" i="29"/>
  <c r="R20" i="29"/>
  <c r="S20" i="29" s="1"/>
  <c r="Z20" i="29" s="1"/>
  <c r="R11" i="29"/>
  <c r="S11" i="29" s="1"/>
  <c r="Y11" i="29" s="1"/>
  <c r="R10" i="29"/>
  <c r="S10" i="29" s="1"/>
  <c r="R16" i="29"/>
  <c r="S16" i="29" s="1"/>
  <c r="Z16" i="29" s="1"/>
  <c r="R17" i="29"/>
  <c r="S17" i="29" s="1"/>
  <c r="Z17" i="29" s="1"/>
  <c r="R12" i="29"/>
  <c r="S12" i="29" s="1"/>
  <c r="Z12" i="29" s="1"/>
  <c r="R18" i="29"/>
  <c r="S18" i="29" s="1"/>
  <c r="Z18" i="29" s="1"/>
  <c r="S208" i="29"/>
  <c r="S259" i="29"/>
  <c r="Y259" i="29" s="1"/>
  <c r="R296" i="29"/>
  <c r="S296" i="29" s="1"/>
  <c r="Y106" i="29"/>
  <c r="K172" i="29"/>
  <c r="K173" i="29"/>
  <c r="Y173" i="29" s="1"/>
  <c r="K176" i="29"/>
  <c r="Y176" i="29" s="1"/>
  <c r="K186" i="29"/>
  <c r="K191" i="29"/>
  <c r="K202" i="29"/>
  <c r="K206" i="29"/>
  <c r="K207" i="29"/>
  <c r="K220" i="29"/>
  <c r="K221" i="29"/>
  <c r="K254" i="29"/>
  <c r="U254" i="29" s="1"/>
  <c r="K257" i="29"/>
  <c r="U257" i="29" s="1"/>
  <c r="Y68" i="29"/>
  <c r="S207" i="29"/>
  <c r="Z207" i="29" s="1"/>
  <c r="R292" i="29"/>
  <c r="S292" i="29" s="1"/>
  <c r="S146" i="29"/>
  <c r="S37" i="29"/>
  <c r="Y37" i="29" s="1"/>
  <c r="Y79" i="29"/>
  <c r="Z170" i="29"/>
  <c r="S254" i="29"/>
  <c r="Z254" i="29" s="1"/>
  <c r="R291" i="29"/>
  <c r="S291" i="29" s="1"/>
  <c r="S145" i="29"/>
  <c r="Y145" i="29" s="1"/>
  <c r="S203" i="29"/>
  <c r="Z203" i="29" s="1"/>
  <c r="S205" i="29"/>
  <c r="S150" i="29"/>
  <c r="S169" i="29"/>
  <c r="Z220" i="28"/>
  <c r="Y220" i="28"/>
  <c r="S197" i="28"/>
  <c r="Z224" i="28"/>
  <c r="Y224" i="28"/>
  <c r="R217" i="28"/>
  <c r="S217" i="28" s="1"/>
  <c r="R236" i="28"/>
  <c r="S236" i="28" s="1"/>
  <c r="S27" i="29"/>
  <c r="Y27" i="29" s="1"/>
  <c r="R225" i="28"/>
  <c r="S225" i="28" s="1"/>
  <c r="Z218" i="28"/>
  <c r="R235" i="28"/>
  <c r="S235" i="28" s="1"/>
  <c r="S66" i="29"/>
  <c r="Z66" i="29" s="1"/>
  <c r="Z70" i="29"/>
  <c r="Z103" i="29"/>
  <c r="Z107" i="29"/>
  <c r="S119" i="29"/>
  <c r="Z119" i="29" s="1"/>
  <c r="U258" i="29"/>
  <c r="R219" i="28"/>
  <c r="S219" i="28" s="1"/>
  <c r="R234" i="28"/>
  <c r="S234" i="28" s="1"/>
  <c r="S26" i="29"/>
  <c r="Y26" i="29" s="1"/>
  <c r="Y77" i="29"/>
  <c r="S121" i="29"/>
  <c r="Z121" i="29" s="1"/>
  <c r="R223" i="28"/>
  <c r="S223" i="28" s="1"/>
  <c r="R233" i="28"/>
  <c r="S233" i="28" s="1"/>
  <c r="S25" i="29"/>
  <c r="Z25" i="29" s="1"/>
  <c r="Y108" i="29"/>
  <c r="S117" i="29"/>
  <c r="Z117" i="29" s="1"/>
  <c r="R222" i="28"/>
  <c r="S222" i="28" s="1"/>
  <c r="S231" i="28"/>
  <c r="Y101" i="29"/>
  <c r="Z105" i="29"/>
  <c r="R221" i="28"/>
  <c r="S221" i="28" s="1"/>
  <c r="Z102" i="29"/>
  <c r="Z28" i="29"/>
  <c r="U185" i="29"/>
  <c r="S30" i="29"/>
  <c r="Y30" i="29" s="1"/>
  <c r="Z72" i="29"/>
  <c r="Y83" i="29"/>
  <c r="Y84" i="29"/>
  <c r="Z78" i="29"/>
  <c r="Y88" i="29"/>
  <c r="Z93" i="29"/>
  <c r="Y38" i="29"/>
  <c r="Z123" i="29"/>
  <c r="S49" i="29"/>
  <c r="Y49" i="29" s="1"/>
  <c r="Z50" i="29"/>
  <c r="Y87" i="29"/>
  <c r="Y57" i="29"/>
  <c r="Y51" i="29"/>
  <c r="Z52" i="29"/>
  <c r="Y58" i="29"/>
  <c r="Y78" i="29"/>
  <c r="Z95" i="29"/>
  <c r="S39" i="29"/>
  <c r="Y39" i="29" s="1"/>
  <c r="S40" i="29"/>
  <c r="Z40" i="29" s="1"/>
  <c r="S41" i="29"/>
  <c r="Y41" i="29" s="1"/>
  <c r="S42" i="29"/>
  <c r="Z42" i="29" s="1"/>
  <c r="Y53" i="29"/>
  <c r="Z54" i="29"/>
  <c r="Y97" i="29"/>
  <c r="Y123" i="29"/>
  <c r="S29" i="29"/>
  <c r="Z29" i="29" s="1"/>
  <c r="S43" i="29"/>
  <c r="Y43" i="29" s="1"/>
  <c r="Y55" i="29"/>
  <c r="Z56" i="29"/>
  <c r="Y85" i="29"/>
  <c r="Y89" i="29"/>
  <c r="Z90" i="29"/>
  <c r="S124" i="29"/>
  <c r="Z124" i="29" s="1"/>
  <c r="S125" i="29"/>
  <c r="Y125" i="29" s="1"/>
  <c r="S126" i="29"/>
  <c r="Z126" i="29" s="1"/>
  <c r="S127" i="29"/>
  <c r="Y127" i="29" s="1"/>
  <c r="S128" i="29"/>
  <c r="Z128" i="29" s="1"/>
  <c r="S129" i="29"/>
  <c r="Y129" i="29" s="1"/>
  <c r="S141" i="29"/>
  <c r="Y141" i="29" s="1"/>
  <c r="J174" i="29"/>
  <c r="Z174" i="29" s="1"/>
  <c r="K184" i="29"/>
  <c r="S120" i="29"/>
  <c r="Y120" i="29" s="1"/>
  <c r="S138" i="29"/>
  <c r="J187" i="29"/>
  <c r="U255" i="29"/>
  <c r="K157" i="29"/>
  <c r="S65" i="29"/>
  <c r="Z65" i="29" s="1"/>
  <c r="Z69" i="29"/>
  <c r="Z71" i="29"/>
  <c r="Z73" i="29"/>
  <c r="S122" i="29"/>
  <c r="Z122" i="29" s="1"/>
  <c r="S140" i="29"/>
  <c r="S118" i="29"/>
  <c r="Y118" i="29" s="1"/>
  <c r="K138" i="29"/>
  <c r="S139" i="29"/>
  <c r="Z139" i="29" s="1"/>
  <c r="J148" i="29"/>
  <c r="S149" i="29"/>
  <c r="S157" i="29"/>
  <c r="U162" i="29"/>
  <c r="K171" i="29"/>
  <c r="Y92" i="29"/>
  <c r="Y94" i="29"/>
  <c r="J150" i="29"/>
  <c r="K169" i="29"/>
  <c r="J190" i="29"/>
  <c r="K211" i="29"/>
  <c r="Z237" i="29"/>
  <c r="S258" i="29"/>
  <c r="Y258" i="29" s="1"/>
  <c r="S260" i="29"/>
  <c r="Z260" i="29" s="1"/>
  <c r="S263" i="29"/>
  <c r="Z263" i="29" s="1"/>
  <c r="K192" i="29"/>
  <c r="Y193" i="29"/>
  <c r="S204" i="29"/>
  <c r="Y204" i="29" s="1"/>
  <c r="U222" i="29"/>
  <c r="U256" i="29"/>
  <c r="S266" i="29"/>
  <c r="U278" i="29"/>
  <c r="K189" i="29"/>
  <c r="U193" i="29"/>
  <c r="K203" i="29"/>
  <c r="U204" i="29"/>
  <c r="J206" i="29"/>
  <c r="S210" i="29"/>
  <c r="K219" i="29"/>
  <c r="S261" i="29"/>
  <c r="U264" i="29"/>
  <c r="Z277" i="29"/>
  <c r="U262" i="29"/>
  <c r="S264" i="29"/>
  <c r="Y264" i="29" s="1"/>
  <c r="Y277" i="29"/>
  <c r="R278" i="29"/>
  <c r="S278" i="29" s="1"/>
  <c r="Y278" i="29" s="1"/>
  <c r="U279" i="29"/>
  <c r="U260" i="29"/>
  <c r="R290" i="29"/>
  <c r="S290" i="29" s="1"/>
  <c r="S202" i="29"/>
  <c r="S209" i="29"/>
  <c r="S212" i="29"/>
  <c r="Z212" i="29" s="1"/>
  <c r="S255" i="29"/>
  <c r="Z255" i="29" s="1"/>
  <c r="S257" i="29"/>
  <c r="R281" i="29"/>
  <c r="S281" i="29" s="1"/>
  <c r="Y195" i="29"/>
  <c r="S206" i="29"/>
  <c r="Y237" i="29"/>
  <c r="U237" i="29"/>
  <c r="S262" i="29"/>
  <c r="Z262" i="29" s="1"/>
  <c r="S265" i="29"/>
  <c r="R276" i="29"/>
  <c r="S276" i="29" s="1"/>
  <c r="Z276" i="29" s="1"/>
  <c r="Z275" i="29"/>
  <c r="R279" i="29"/>
  <c r="S279" i="29" s="1"/>
  <c r="Y279" i="29" s="1"/>
  <c r="R283" i="29"/>
  <c r="S283" i="29" s="1"/>
  <c r="Y283" i="29" s="1"/>
  <c r="R289" i="29"/>
  <c r="S289" i="29" s="1"/>
  <c r="R297" i="29"/>
  <c r="S297" i="29" s="1"/>
  <c r="U276" i="29"/>
  <c r="U277" i="29"/>
  <c r="U186" i="29" l="1"/>
  <c r="U221" i="29"/>
  <c r="Y221" i="29"/>
  <c r="Z205" i="29"/>
  <c r="Y266" i="29"/>
  <c r="Z158" i="29"/>
  <c r="Z209" i="29"/>
  <c r="Z160" i="29"/>
  <c r="U159" i="29"/>
  <c r="U156" i="29"/>
  <c r="U175" i="29"/>
  <c r="Z175" i="29"/>
  <c r="Z280" i="29"/>
  <c r="Z163" i="29"/>
  <c r="U172" i="29"/>
  <c r="U210" i="29"/>
  <c r="Y190" i="29"/>
  <c r="Z169" i="29"/>
  <c r="Y150" i="29"/>
  <c r="U238" i="29"/>
  <c r="Z157" i="29"/>
  <c r="U176" i="29"/>
  <c r="Z146" i="29"/>
  <c r="Z138" i="29"/>
  <c r="U146" i="29"/>
  <c r="Y210" i="29"/>
  <c r="Y187" i="29"/>
  <c r="Z265" i="29"/>
  <c r="Y257" i="29"/>
  <c r="Z149" i="29"/>
  <c r="Y147" i="29"/>
  <c r="U261" i="29"/>
  <c r="Y220" i="29"/>
  <c r="U202" i="29"/>
  <c r="U173" i="29"/>
  <c r="U194" i="29"/>
  <c r="Y161" i="29"/>
  <c r="U265" i="29"/>
  <c r="Z162" i="29"/>
  <c r="Y208" i="29"/>
  <c r="Z194" i="29"/>
  <c r="Y172" i="29"/>
  <c r="Z261" i="29"/>
  <c r="U220" i="29"/>
  <c r="U191" i="29"/>
  <c r="Z172" i="29"/>
  <c r="Y188" i="29"/>
  <c r="U188" i="29"/>
  <c r="Z156" i="29"/>
  <c r="U147" i="29"/>
  <c r="Z185" i="29"/>
  <c r="Z256" i="29"/>
  <c r="Y156" i="29"/>
  <c r="Y170" i="29"/>
  <c r="Y202" i="29"/>
  <c r="Y148" i="29"/>
  <c r="Y191" i="29"/>
  <c r="U140" i="29"/>
  <c r="U137" i="29"/>
  <c r="U195" i="29"/>
  <c r="Z282" i="29"/>
  <c r="Z208" i="29"/>
  <c r="Y121" i="29"/>
  <c r="Z148" i="29"/>
  <c r="Y194" i="29"/>
  <c r="Y126" i="29"/>
  <c r="Y186" i="29"/>
  <c r="Y205" i="29"/>
  <c r="Z187" i="29"/>
  <c r="Y102" i="29"/>
  <c r="Y19" i="29"/>
  <c r="Z15" i="29"/>
  <c r="Y12" i="29"/>
  <c r="Y20" i="29"/>
  <c r="Y22" i="29"/>
  <c r="R13" i="29"/>
  <c r="S14" i="29"/>
  <c r="Z14" i="29" s="1"/>
  <c r="Y17" i="29"/>
  <c r="Y21" i="29"/>
  <c r="Z68" i="29"/>
  <c r="Z106" i="29"/>
  <c r="Z37" i="29"/>
  <c r="Y105" i="29"/>
  <c r="Z259" i="29"/>
  <c r="Z88" i="29"/>
  <c r="Y146" i="29"/>
  <c r="Z27" i="29"/>
  <c r="Y207" i="29"/>
  <c r="Y93" i="29"/>
  <c r="Z129" i="29"/>
  <c r="Y119" i="29"/>
  <c r="Y260" i="29"/>
  <c r="Y66" i="29"/>
  <c r="Y206" i="29"/>
  <c r="Z79" i="29"/>
  <c r="Y159" i="29"/>
  <c r="Y140" i="29"/>
  <c r="U206" i="29"/>
  <c r="Z150" i="29"/>
  <c r="Z127" i="29"/>
  <c r="Y103" i="29"/>
  <c r="Z120" i="29"/>
  <c r="Z9" i="29"/>
  <c r="Z101" i="29"/>
  <c r="Y70" i="29"/>
  <c r="Z84" i="29"/>
  <c r="Y160" i="29"/>
  <c r="Z11" i="29"/>
  <c r="Y7" i="29"/>
  <c r="Y255" i="29"/>
  <c r="Z57" i="29"/>
  <c r="Y122" i="29"/>
  <c r="Y54" i="29"/>
  <c r="Z266" i="29"/>
  <c r="Y25" i="29"/>
  <c r="Y265" i="29"/>
  <c r="Z210" i="29"/>
  <c r="Z30" i="29"/>
  <c r="Y117" i="29"/>
  <c r="S100" i="29"/>
  <c r="Y225" i="28"/>
  <c r="Z225" i="28"/>
  <c r="Z278" i="29"/>
  <c r="U148" i="29"/>
  <c r="Y107" i="29"/>
  <c r="R6" i="29"/>
  <c r="Y10" i="29"/>
  <c r="Z10" i="29"/>
  <c r="Z125" i="29"/>
  <c r="Y158" i="29"/>
  <c r="Z77" i="29"/>
  <c r="Z108" i="29"/>
  <c r="Y8" i="29"/>
  <c r="Z8" i="29"/>
  <c r="Z219" i="28"/>
  <c r="Y219" i="28"/>
  <c r="Z49" i="29"/>
  <c r="Z283" i="29"/>
  <c r="Z258" i="29"/>
  <c r="Z161" i="29"/>
  <c r="Z89" i="29"/>
  <c r="Z118" i="29"/>
  <c r="Z26" i="29"/>
  <c r="Z223" i="28"/>
  <c r="Y223" i="28"/>
  <c r="Y217" i="28"/>
  <c r="Z217" i="28"/>
  <c r="Y221" i="28"/>
  <c r="Z221" i="28"/>
  <c r="Y149" i="29"/>
  <c r="Y124" i="29"/>
  <c r="Z141" i="29"/>
  <c r="Y56" i="29"/>
  <c r="Z53" i="29"/>
  <c r="Z222" i="28"/>
  <c r="Y222" i="28"/>
  <c r="Z92" i="29"/>
  <c r="Z279" i="29"/>
  <c r="Y276" i="29"/>
  <c r="Z257" i="29"/>
  <c r="S82" i="29"/>
  <c r="Z191" i="29"/>
  <c r="Y65" i="29"/>
  <c r="S24" i="29"/>
  <c r="R23" i="29"/>
  <c r="Z85" i="29"/>
  <c r="Z55" i="29"/>
  <c r="Y50" i="29"/>
  <c r="R253" i="29"/>
  <c r="Z195" i="29"/>
  <c r="Z264" i="29"/>
  <c r="Y211" i="29"/>
  <c r="U211" i="29"/>
  <c r="Z204" i="29"/>
  <c r="Y263" i="29"/>
  <c r="Y171" i="29"/>
  <c r="U171" i="29"/>
  <c r="Y212" i="29"/>
  <c r="U187" i="29"/>
  <c r="Y69" i="29"/>
  <c r="Y42" i="29"/>
  <c r="Y52" i="29"/>
  <c r="Z87" i="29"/>
  <c r="Y73" i="29"/>
  <c r="Y262" i="29"/>
  <c r="Y209" i="29"/>
  <c r="Y128" i="29"/>
  <c r="U184" i="29"/>
  <c r="Y29" i="29"/>
  <c r="Y71" i="29"/>
  <c r="Y40" i="29"/>
  <c r="Y163" i="29"/>
  <c r="Y95" i="29"/>
  <c r="Z43" i="29"/>
  <c r="Y138" i="29"/>
  <c r="U138" i="29"/>
  <c r="Y192" i="29"/>
  <c r="U192" i="29"/>
  <c r="Y261" i="29"/>
  <c r="U169" i="29"/>
  <c r="Y169" i="29"/>
  <c r="Z193" i="29"/>
  <c r="U157" i="29"/>
  <c r="Y157" i="29"/>
  <c r="Z97" i="29"/>
  <c r="Y90" i="29"/>
  <c r="Z51" i="29"/>
  <c r="Z41" i="29"/>
  <c r="U219" i="29"/>
  <c r="S219" i="29"/>
  <c r="Z219" i="29" s="1"/>
  <c r="Z206" i="29"/>
  <c r="Y189" i="29"/>
  <c r="U189" i="29"/>
  <c r="Z202" i="29"/>
  <c r="Y254" i="29"/>
  <c r="Z145" i="29"/>
  <c r="R64" i="29"/>
  <c r="Z39" i="29"/>
  <c r="R167" i="29"/>
  <c r="Y16" i="29"/>
  <c r="Y275" i="29"/>
  <c r="S184" i="29"/>
  <c r="Z184" i="29" s="1"/>
  <c r="Z190" i="29"/>
  <c r="Y139" i="29"/>
  <c r="U139" i="29"/>
  <c r="Z220" i="29"/>
  <c r="S137" i="29"/>
  <c r="Z94" i="29"/>
  <c r="Y18" i="29"/>
  <c r="Y281" i="29"/>
  <c r="Z281" i="29"/>
  <c r="Y203" i="29"/>
  <c r="U203" i="29"/>
  <c r="S116" i="29"/>
  <c r="R115" i="29"/>
  <c r="Y67" i="29"/>
  <c r="S36" i="29"/>
  <c r="Z140" i="29"/>
  <c r="Y14" i="29" l="1"/>
  <c r="Z100" i="29"/>
  <c r="Y100" i="29"/>
  <c r="Y219" i="29"/>
  <c r="Y82" i="29"/>
  <c r="Z82" i="29"/>
  <c r="Z36" i="29"/>
  <c r="Y36" i="29"/>
  <c r="Y184" i="29"/>
  <c r="Y24" i="29"/>
  <c r="Z24" i="29"/>
  <c r="Y116" i="29"/>
  <c r="Z116" i="29"/>
  <c r="Z137" i="29"/>
  <c r="Y137" i="29"/>
  <c r="O204" i="28" l="1"/>
  <c r="AD204" i="28" s="1"/>
  <c r="N204" i="28"/>
  <c r="AC204" i="28" s="1"/>
  <c r="Q198" i="28"/>
  <c r="Q199" i="28"/>
  <c r="Q200" i="28"/>
  <c r="Q201" i="28"/>
  <c r="Q202" i="28"/>
  <c r="Q203" i="28"/>
  <c r="Q204" i="28"/>
  <c r="Q205" i="28"/>
  <c r="Q206" i="28"/>
  <c r="Q207" i="28"/>
  <c r="Q208" i="28"/>
  <c r="Q209" i="28"/>
  <c r="Q197" i="28"/>
  <c r="AB196" i="28"/>
  <c r="N196" i="28" s="1"/>
  <c r="J200" i="28"/>
  <c r="J207" i="28"/>
  <c r="J209" i="28"/>
  <c r="Q186" i="28"/>
  <c r="Q187" i="28"/>
  <c r="Q188" i="28"/>
  <c r="Q189" i="28"/>
  <c r="Q190" i="28"/>
  <c r="Q191" i="28"/>
  <c r="Q192" i="28"/>
  <c r="Q193" i="28"/>
  <c r="Q194" i="28"/>
  <c r="Q195" i="28"/>
  <c r="Q185" i="28"/>
  <c r="O192" i="28"/>
  <c r="AD192" i="28" s="1"/>
  <c r="O179" i="28"/>
  <c r="AD179" i="28" s="1"/>
  <c r="O168" i="28"/>
  <c r="N192" i="28"/>
  <c r="AC192" i="28" s="1"/>
  <c r="AB184" i="28"/>
  <c r="N184" i="28" s="1"/>
  <c r="K188" i="28"/>
  <c r="Q174" i="28"/>
  <c r="Q175" i="28"/>
  <c r="Q176" i="28"/>
  <c r="Q177" i="28"/>
  <c r="Q178" i="28"/>
  <c r="Q179" i="28"/>
  <c r="Q180" i="28"/>
  <c r="Q181" i="28"/>
  <c r="Q182" i="28"/>
  <c r="Q183" i="28"/>
  <c r="Q173" i="28"/>
  <c r="N179" i="28"/>
  <c r="AB172" i="28"/>
  <c r="N172" i="28" s="1"/>
  <c r="J199" i="28" l="1"/>
  <c r="J203" i="28"/>
  <c r="K202" i="28"/>
  <c r="U202" i="28" s="1"/>
  <c r="J202" i="28"/>
  <c r="K209" i="28"/>
  <c r="K208" i="28"/>
  <c r="K203" i="28"/>
  <c r="J208" i="28"/>
  <c r="K207" i="28"/>
  <c r="J205" i="28"/>
  <c r="J185" i="28"/>
  <c r="J201" i="28"/>
  <c r="R201" i="28"/>
  <c r="S201" i="28" s="1"/>
  <c r="K198" i="28"/>
  <c r="J192" i="28"/>
  <c r="J189" i="28"/>
  <c r="R205" i="28"/>
  <c r="S205" i="28" s="1"/>
  <c r="K187" i="28"/>
  <c r="K191" i="28"/>
  <c r="K195" i="28"/>
  <c r="R208" i="28"/>
  <c r="S208" i="28" s="1"/>
  <c r="R199" i="28"/>
  <c r="S199" i="28" s="1"/>
  <c r="J186" i="28"/>
  <c r="J194" i="28"/>
  <c r="R203" i="28"/>
  <c r="S203" i="28" s="1"/>
  <c r="R202" i="28"/>
  <c r="S202" i="28" s="1"/>
  <c r="K197" i="28"/>
  <c r="J206" i="28"/>
  <c r="R206" i="28"/>
  <c r="S206" i="28" s="1"/>
  <c r="R209" i="28"/>
  <c r="S209" i="28" s="1"/>
  <c r="R200" i="28"/>
  <c r="S200" i="28" s="1"/>
  <c r="J204" i="28"/>
  <c r="R204" i="28"/>
  <c r="S204" i="28" s="1"/>
  <c r="R207" i="28"/>
  <c r="S207" i="28" s="1"/>
  <c r="K206" i="28"/>
  <c r="R198" i="28"/>
  <c r="K205" i="28"/>
  <c r="K193" i="28"/>
  <c r="K189" i="28"/>
  <c r="R185" i="28"/>
  <c r="S185" i="28" s="1"/>
  <c r="J195" i="28"/>
  <c r="K190" i="28"/>
  <c r="U209" i="28"/>
  <c r="K200" i="28"/>
  <c r="U200" i="28" s="1"/>
  <c r="K204" i="28"/>
  <c r="K201" i="28"/>
  <c r="J190" i="28"/>
  <c r="R192" i="28"/>
  <c r="S192" i="28" s="1"/>
  <c r="K186" i="28"/>
  <c r="K194" i="28"/>
  <c r="R187" i="28"/>
  <c r="S187" i="28" s="1"/>
  <c r="R191" i="28"/>
  <c r="S191" i="28" s="1"/>
  <c r="R195" i="28"/>
  <c r="S195" i="28" s="1"/>
  <c r="R189" i="28"/>
  <c r="S189" i="28" s="1"/>
  <c r="K185" i="28"/>
  <c r="R188" i="28"/>
  <c r="S188" i="28" s="1"/>
  <c r="R186" i="28"/>
  <c r="S186" i="28" s="1"/>
  <c r="J188" i="28"/>
  <c r="U188" i="28" s="1"/>
  <c r="J193" i="28"/>
  <c r="R194" i="28"/>
  <c r="S194" i="28" s="1"/>
  <c r="K192" i="28"/>
  <c r="J187" i="28"/>
  <c r="J191" i="28"/>
  <c r="R193" i="28"/>
  <c r="S193" i="28" s="1"/>
  <c r="K199" i="28"/>
  <c r="U199" i="28" s="1"/>
  <c r="J178" i="28"/>
  <c r="R190" i="28"/>
  <c r="S190" i="28" s="1"/>
  <c r="J198" i="28"/>
  <c r="U198" i="28" s="1"/>
  <c r="J197" i="28"/>
  <c r="Z197" i="28" s="1"/>
  <c r="K178" i="28"/>
  <c r="AC179" i="28"/>
  <c r="Q171" i="28"/>
  <c r="Q160" i="28"/>
  <c r="Q161" i="28"/>
  <c r="Q162" i="28"/>
  <c r="Q163" i="28"/>
  <c r="Q164" i="28"/>
  <c r="Q165" i="28"/>
  <c r="Q166" i="28"/>
  <c r="Q167" i="28"/>
  <c r="Q168" i="28"/>
  <c r="Q169" i="28"/>
  <c r="Q170" i="28"/>
  <c r="Q159" i="28"/>
  <c r="N168" i="28"/>
  <c r="U190" i="28" l="1"/>
  <c r="U203" i="28"/>
  <c r="S198" i="28"/>
  <c r="R196" i="28"/>
  <c r="U208" i="28"/>
  <c r="U204" i="28"/>
  <c r="U186" i="28"/>
  <c r="U193" i="28"/>
  <c r="U201" i="28"/>
  <c r="U197" i="28"/>
  <c r="U205" i="28"/>
  <c r="U191" i="28"/>
  <c r="U185" i="28"/>
  <c r="U195" i="28"/>
  <c r="U207" i="28"/>
  <c r="U194" i="28"/>
  <c r="U178" i="28"/>
  <c r="U189" i="28"/>
  <c r="U206" i="28"/>
  <c r="K183" i="28"/>
  <c r="U192" i="28"/>
  <c r="U187" i="28"/>
  <c r="J177" i="28"/>
  <c r="R184" i="28"/>
  <c r="R180" i="28"/>
  <c r="S180" i="28" s="1"/>
  <c r="R173" i="28"/>
  <c r="R176" i="28"/>
  <c r="S176" i="28" s="1"/>
  <c r="R182" i="28"/>
  <c r="S182" i="28" s="1"/>
  <c r="J183" i="28"/>
  <c r="R174" i="28"/>
  <c r="S174" i="28" s="1"/>
  <c r="R183" i="28"/>
  <c r="S183" i="28" s="1"/>
  <c r="R175" i="28"/>
  <c r="S175" i="28" s="1"/>
  <c r="R179" i="28"/>
  <c r="S179" i="28" s="1"/>
  <c r="R177" i="28"/>
  <c r="S177" i="28" s="1"/>
  <c r="R181" i="28"/>
  <c r="S181" i="28" s="1"/>
  <c r="R178" i="28"/>
  <c r="S178" i="28" s="1"/>
  <c r="J175" i="28"/>
  <c r="K175" i="28"/>
  <c r="J181" i="28"/>
  <c r="K181" i="28"/>
  <c r="J174" i="28"/>
  <c r="K173" i="28"/>
  <c r="K180" i="28"/>
  <c r="K179" i="28"/>
  <c r="J173" i="28"/>
  <c r="J180" i="28"/>
  <c r="J176" i="28"/>
  <c r="J179" i="28"/>
  <c r="K176" i="28"/>
  <c r="J182" i="28"/>
  <c r="K174" i="28"/>
  <c r="K177" i="28"/>
  <c r="K182" i="28"/>
  <c r="K171" i="28"/>
  <c r="J171" i="28"/>
  <c r="J166" i="28"/>
  <c r="K166" i="28"/>
  <c r="AC168" i="28"/>
  <c r="AD168" i="28"/>
  <c r="AB158" i="28"/>
  <c r="N158" i="28" s="1"/>
  <c r="K169" i="28" l="1"/>
  <c r="U174" i="28"/>
  <c r="U177" i="28"/>
  <c r="U179" i="28"/>
  <c r="U180" i="28"/>
  <c r="U173" i="28"/>
  <c r="U176" i="28"/>
  <c r="U181" i="28"/>
  <c r="S173" i="28"/>
  <c r="R172" i="28"/>
  <c r="U175" i="28"/>
  <c r="U182" i="28"/>
  <c r="U183" i="28"/>
  <c r="U171" i="28"/>
  <c r="K163" i="28"/>
  <c r="K161" i="28"/>
  <c r="J165" i="28"/>
  <c r="J164" i="28"/>
  <c r="J163" i="28"/>
  <c r="J161" i="28"/>
  <c r="J168" i="28"/>
  <c r="J169" i="28"/>
  <c r="U169" i="28" s="1"/>
  <c r="J167" i="28"/>
  <c r="K168" i="28"/>
  <c r="K162" i="28"/>
  <c r="K167" i="28"/>
  <c r="K164" i="28"/>
  <c r="J162" i="28"/>
  <c r="K170" i="28"/>
  <c r="K165" i="28"/>
  <c r="J170" i="28"/>
  <c r="U166" i="28"/>
  <c r="O154" i="28"/>
  <c r="AD154" i="28" s="1"/>
  <c r="N154" i="28"/>
  <c r="AC154" i="28" s="1"/>
  <c r="Q155" i="28"/>
  <c r="Q156" i="28"/>
  <c r="Q157" i="28"/>
  <c r="Q147" i="28"/>
  <c r="Q148" i="28"/>
  <c r="Q149" i="28"/>
  <c r="Q150" i="28"/>
  <c r="Q151" i="28"/>
  <c r="Q152" i="28"/>
  <c r="Q153" i="28"/>
  <c r="Q154" i="28"/>
  <c r="Q146" i="28"/>
  <c r="AB145" i="28"/>
  <c r="N145" i="28" s="1"/>
  <c r="Q137" i="28"/>
  <c r="Q138" i="28"/>
  <c r="Q139" i="28"/>
  <c r="Q140" i="28"/>
  <c r="Q141" i="28"/>
  <c r="Q142" i="28"/>
  <c r="Q143" i="28"/>
  <c r="Q144" i="28"/>
  <c r="Q136" i="28"/>
  <c r="O143" i="28"/>
  <c r="AD143" i="28" s="1"/>
  <c r="N143" i="28"/>
  <c r="AC143" i="28" s="1"/>
  <c r="AB135" i="28"/>
  <c r="N135" i="28" s="1"/>
  <c r="Q128" i="28"/>
  <c r="Q129" i="28"/>
  <c r="Q130" i="28"/>
  <c r="Q131" i="28"/>
  <c r="Q132" i="28"/>
  <c r="Q133" i="28"/>
  <c r="Q134" i="28"/>
  <c r="Q127" i="28"/>
  <c r="Q121" i="28"/>
  <c r="Q122" i="28"/>
  <c r="Q123" i="28"/>
  <c r="Q124" i="28"/>
  <c r="Q125" i="28"/>
  <c r="Q120" i="28"/>
  <c r="O134" i="28"/>
  <c r="AD134" i="28" s="1"/>
  <c r="N134" i="28"/>
  <c r="AC134" i="28" s="1"/>
  <c r="AB126" i="28"/>
  <c r="N126" i="28" s="1"/>
  <c r="K129" i="28"/>
  <c r="K130" i="28"/>
  <c r="K131" i="28"/>
  <c r="K133" i="28"/>
  <c r="K127" i="28"/>
  <c r="J128" i="28"/>
  <c r="J130" i="28"/>
  <c r="J131" i="28"/>
  <c r="J133" i="28"/>
  <c r="J134" i="28" l="1"/>
  <c r="K134" i="28"/>
  <c r="J156" i="28"/>
  <c r="K146" i="28"/>
  <c r="K128" i="28"/>
  <c r="U163" i="28"/>
  <c r="U167" i="28"/>
  <c r="U170" i="28"/>
  <c r="R167" i="28"/>
  <c r="S167" i="28" s="1"/>
  <c r="R171" i="28"/>
  <c r="S171" i="28" s="1"/>
  <c r="K150" i="28"/>
  <c r="U168" i="28"/>
  <c r="R147" i="28"/>
  <c r="S147" i="28" s="1"/>
  <c r="U165" i="28"/>
  <c r="U162" i="28"/>
  <c r="U161" i="28"/>
  <c r="J159" i="28"/>
  <c r="K144" i="28"/>
  <c r="R169" i="28"/>
  <c r="S169" i="28" s="1"/>
  <c r="R165" i="28"/>
  <c r="S165" i="28" s="1"/>
  <c r="R157" i="28"/>
  <c r="S157" i="28" s="1"/>
  <c r="R150" i="28"/>
  <c r="R155" i="28"/>
  <c r="S155" i="28" s="1"/>
  <c r="U164" i="28"/>
  <c r="R163" i="28"/>
  <c r="S163" i="28" s="1"/>
  <c r="R152" i="28"/>
  <c r="S152" i="28" s="1"/>
  <c r="R149" i="28"/>
  <c r="S149" i="28" s="1"/>
  <c r="J129" i="28"/>
  <c r="U129" i="28" s="1"/>
  <c r="R159" i="28"/>
  <c r="R166" i="28"/>
  <c r="S166" i="28" s="1"/>
  <c r="R161" i="28"/>
  <c r="S161" i="28" s="1"/>
  <c r="R151" i="28"/>
  <c r="S151" i="28" s="1"/>
  <c r="R162" i="28"/>
  <c r="S162" i="28" s="1"/>
  <c r="R170" i="28"/>
  <c r="S170" i="28" s="1"/>
  <c r="R160" i="28"/>
  <c r="S160" i="28" s="1"/>
  <c r="R164" i="28"/>
  <c r="S164" i="28" s="1"/>
  <c r="R168" i="28"/>
  <c r="S168" i="28" s="1"/>
  <c r="R139" i="28"/>
  <c r="S139" i="28" s="1"/>
  <c r="R148" i="28"/>
  <c r="S148" i="28" s="1"/>
  <c r="R153" i="28"/>
  <c r="S153" i="28" s="1"/>
  <c r="R156" i="28"/>
  <c r="S156" i="28" s="1"/>
  <c r="K159" i="28"/>
  <c r="R143" i="28"/>
  <c r="S143" i="28" s="1"/>
  <c r="J157" i="28"/>
  <c r="R137" i="28"/>
  <c r="S137" i="28" s="1"/>
  <c r="R142" i="28"/>
  <c r="S142" i="28" s="1"/>
  <c r="J148" i="28"/>
  <c r="J153" i="28"/>
  <c r="J146" i="28"/>
  <c r="K157" i="28"/>
  <c r="R146" i="28"/>
  <c r="S146" i="28" s="1"/>
  <c r="R154" i="28"/>
  <c r="S154" i="28" s="1"/>
  <c r="K156" i="28"/>
  <c r="U156" i="28" s="1"/>
  <c r="R140" i="28"/>
  <c r="S140" i="28" s="1"/>
  <c r="R136" i="28"/>
  <c r="S136" i="28" s="1"/>
  <c r="R141" i="28"/>
  <c r="S141" i="28" s="1"/>
  <c r="K151" i="28"/>
  <c r="K160" i="28"/>
  <c r="J160" i="28"/>
  <c r="K155" i="28"/>
  <c r="K149" i="28"/>
  <c r="K154" i="28"/>
  <c r="K148" i="28"/>
  <c r="K153" i="28"/>
  <c r="R144" i="28"/>
  <c r="S144" i="28" s="1"/>
  <c r="J147" i="28"/>
  <c r="J151" i="28"/>
  <c r="K147" i="28"/>
  <c r="J144" i="28"/>
  <c r="J150" i="28"/>
  <c r="J155" i="28"/>
  <c r="J132" i="28"/>
  <c r="R138" i="28"/>
  <c r="S138" i="28" s="1"/>
  <c r="J149" i="28"/>
  <c r="J154" i="28"/>
  <c r="J127" i="28"/>
  <c r="U127" i="28" s="1"/>
  <c r="K152" i="28"/>
  <c r="J152" i="28"/>
  <c r="K132" i="28"/>
  <c r="J136" i="28"/>
  <c r="J143" i="28"/>
  <c r="K138" i="28"/>
  <c r="K143" i="28"/>
  <c r="K137" i="28"/>
  <c r="K142" i="28"/>
  <c r="J140" i="28"/>
  <c r="R134" i="28"/>
  <c r="S134" i="28" s="1"/>
  <c r="J138" i="28"/>
  <c r="J142" i="28"/>
  <c r="K141" i="28"/>
  <c r="K136" i="28"/>
  <c r="K140" i="28"/>
  <c r="J139" i="28"/>
  <c r="K139" i="28"/>
  <c r="J137" i="28"/>
  <c r="J141" i="28"/>
  <c r="R133" i="28"/>
  <c r="S133" i="28" s="1"/>
  <c r="R131" i="28"/>
  <c r="S131" i="28" s="1"/>
  <c r="R130" i="28"/>
  <c r="S130" i="28" s="1"/>
  <c r="R132" i="28"/>
  <c r="S132" i="28" s="1"/>
  <c r="R129" i="28"/>
  <c r="S129" i="28" s="1"/>
  <c r="R128" i="28"/>
  <c r="S128" i="28" s="1"/>
  <c r="R127" i="28"/>
  <c r="S127" i="28" s="1"/>
  <c r="U133" i="28"/>
  <c r="U134" i="28"/>
  <c r="U131" i="28"/>
  <c r="U130" i="28"/>
  <c r="U128" i="28"/>
  <c r="J120" i="28"/>
  <c r="AB119" i="28"/>
  <c r="N119" i="28" s="1"/>
  <c r="AB112" i="28"/>
  <c r="N112" i="28" s="1"/>
  <c r="Q14" i="28"/>
  <c r="Q13" i="28"/>
  <c r="Q12" i="28"/>
  <c r="Q11" i="28"/>
  <c r="Q10" i="28"/>
  <c r="Q9" i="28"/>
  <c r="Q8" i="28"/>
  <c r="Q7" i="28"/>
  <c r="Q114" i="28"/>
  <c r="Q115" i="28"/>
  <c r="Q116" i="28"/>
  <c r="Q117" i="28"/>
  <c r="Q118" i="28"/>
  <c r="Q113" i="28"/>
  <c r="K117" i="28"/>
  <c r="K116" i="28" l="1"/>
  <c r="U146" i="28"/>
  <c r="U159" i="28"/>
  <c r="U132" i="28"/>
  <c r="K123" i="28"/>
  <c r="U148" i="28"/>
  <c r="U150" i="28"/>
  <c r="U154" i="28"/>
  <c r="S159" i="28"/>
  <c r="R158" i="28"/>
  <c r="S150" i="28"/>
  <c r="U147" i="28"/>
  <c r="R145" i="28"/>
  <c r="J123" i="28"/>
  <c r="U123" i="28" s="1"/>
  <c r="U151" i="28"/>
  <c r="J117" i="28"/>
  <c r="U117" i="28" s="1"/>
  <c r="U153" i="28"/>
  <c r="U160" i="28"/>
  <c r="U136" i="28"/>
  <c r="U152" i="28"/>
  <c r="U144" i="28"/>
  <c r="U149" i="28"/>
  <c r="U155" i="28"/>
  <c r="U157" i="28"/>
  <c r="U140" i="28"/>
  <c r="U139" i="28"/>
  <c r="U137" i="28"/>
  <c r="R135" i="28"/>
  <c r="U143" i="28"/>
  <c r="U141" i="28"/>
  <c r="U138" i="28"/>
  <c r="U142" i="28"/>
  <c r="J114" i="28"/>
  <c r="J124" i="28"/>
  <c r="K121" i="28"/>
  <c r="R126" i="28"/>
  <c r="K122" i="28"/>
  <c r="K124" i="28"/>
  <c r="R123" i="28"/>
  <c r="S123" i="28" s="1"/>
  <c r="R120" i="28"/>
  <c r="S120" i="28" s="1"/>
  <c r="R124" i="28"/>
  <c r="S124" i="28" s="1"/>
  <c r="R125" i="28"/>
  <c r="S125" i="28" s="1"/>
  <c r="R122" i="28"/>
  <c r="S122" i="28" s="1"/>
  <c r="R121" i="28"/>
  <c r="S121" i="28" s="1"/>
  <c r="K120" i="28"/>
  <c r="U120" i="28" s="1"/>
  <c r="J122" i="28"/>
  <c r="J121" i="28"/>
  <c r="R113" i="28"/>
  <c r="S113" i="28" s="1"/>
  <c r="K125" i="28"/>
  <c r="J125" i="28"/>
  <c r="R118" i="28"/>
  <c r="R116" i="28"/>
  <c r="R114" i="28"/>
  <c r="R115" i="28"/>
  <c r="R117" i="28"/>
  <c r="K113" i="28"/>
  <c r="J113" i="28"/>
  <c r="K114" i="28"/>
  <c r="J115" i="28"/>
  <c r="K115" i="28"/>
  <c r="K118" i="28"/>
  <c r="J118" i="28"/>
  <c r="J116" i="28"/>
  <c r="U116" i="28" l="1"/>
  <c r="U114" i="28"/>
  <c r="U122" i="28"/>
  <c r="U121" i="28"/>
  <c r="U124" i="28"/>
  <c r="R119" i="28"/>
  <c r="U125" i="28"/>
  <c r="U115" i="28"/>
  <c r="R112" i="28"/>
  <c r="U113" i="28"/>
  <c r="U118" i="28"/>
  <c r="AB91" i="28" l="1"/>
  <c r="N91" i="28" s="1"/>
  <c r="AB79" i="28"/>
  <c r="N79" i="28" s="1"/>
  <c r="AB51" i="28"/>
  <c r="N51" i="28" s="1"/>
  <c r="AB39" i="28"/>
  <c r="N39" i="28" s="1"/>
  <c r="AB30" i="28"/>
  <c r="N30" i="28" s="1"/>
  <c r="AB22" i="28"/>
  <c r="N22" i="28" s="1"/>
  <c r="AB15" i="28"/>
  <c r="N15" i="28" s="1"/>
  <c r="N6" i="28"/>
  <c r="A26" i="27"/>
  <c r="I26" i="27" s="1"/>
  <c r="A16" i="27"/>
  <c r="I16" i="27" s="1"/>
  <c r="I6" i="27"/>
  <c r="A6" i="27"/>
  <c r="U104" i="28" l="1"/>
  <c r="U105" i="28"/>
  <c r="U96" i="28"/>
  <c r="U103" i="28"/>
  <c r="U102" i="28"/>
  <c r="U101" i="28"/>
  <c r="U100" i="28"/>
  <c r="U99" i="28"/>
  <c r="U98" i="28"/>
  <c r="U97" i="28"/>
  <c r="U95" i="28"/>
  <c r="U94" i="28"/>
  <c r="U93" i="28"/>
  <c r="U92" i="28"/>
  <c r="U90" i="28"/>
  <c r="U89" i="28"/>
  <c r="U88" i="28"/>
  <c r="U87" i="28"/>
  <c r="U86" i="28"/>
  <c r="U85" i="28"/>
  <c r="U84" i="28"/>
  <c r="U83" i="28"/>
  <c r="U82" i="28"/>
  <c r="U81" i="28"/>
  <c r="U80" i="28"/>
  <c r="AB65" i="28"/>
  <c r="N65" i="28" s="1"/>
  <c r="U70" i="28"/>
  <c r="U58" i="28"/>
  <c r="U67" i="28"/>
  <c r="U68" i="28"/>
  <c r="U69" i="28"/>
  <c r="U71" i="28"/>
  <c r="U72" i="28"/>
  <c r="U73" i="28"/>
  <c r="U74" i="28"/>
  <c r="U75" i="28"/>
  <c r="U76" i="28"/>
  <c r="U77" i="28"/>
  <c r="U78" i="28"/>
  <c r="U66" i="28"/>
  <c r="U52" i="28"/>
  <c r="U46" i="28"/>
  <c r="U53" i="28"/>
  <c r="U54" i="28"/>
  <c r="U55" i="28"/>
  <c r="U56" i="28"/>
  <c r="U57" i="28"/>
  <c r="U59" i="28"/>
  <c r="U60" i="28"/>
  <c r="U61" i="28"/>
  <c r="U62" i="28"/>
  <c r="U63" i="28"/>
  <c r="U64" i="28"/>
  <c r="U40" i="28"/>
  <c r="U36" i="28"/>
  <c r="U41" i="28"/>
  <c r="U42" i="28"/>
  <c r="U43" i="28"/>
  <c r="U44" i="28"/>
  <c r="U45" i="28"/>
  <c r="U47" i="28"/>
  <c r="U48" i="28"/>
  <c r="U49" i="28"/>
  <c r="U50" i="28"/>
  <c r="U31" i="28"/>
  <c r="D26" i="9"/>
  <c r="C26" i="9"/>
  <c r="U28" i="28"/>
  <c r="U32" i="28"/>
  <c r="U33" i="28"/>
  <c r="U34" i="28"/>
  <c r="U35" i="28"/>
  <c r="U37" i="28"/>
  <c r="U38" i="28"/>
  <c r="U23" i="28"/>
  <c r="D41" i="9"/>
  <c r="D40" i="9"/>
  <c r="D39" i="9"/>
  <c r="D38" i="9"/>
  <c r="D37" i="9"/>
  <c r="D36" i="9"/>
  <c r="D35" i="9"/>
  <c r="U29" i="28"/>
  <c r="U27" i="28"/>
  <c r="U18" i="28"/>
  <c r="U26" i="28"/>
  <c r="U25" i="28"/>
  <c r="U24" i="28"/>
  <c r="U17" i="28"/>
  <c r="U19" i="28"/>
  <c r="U20" i="28"/>
  <c r="U16" i="28"/>
  <c r="U14" i="28"/>
  <c r="U13" i="28"/>
  <c r="U12" i="28"/>
  <c r="U11" i="28"/>
  <c r="U9" i="28"/>
  <c r="U8" i="28"/>
  <c r="U7" i="28"/>
  <c r="U10" i="28"/>
  <c r="R98" i="28" l="1"/>
  <c r="R97" i="28"/>
  <c r="R105" i="28"/>
  <c r="R95" i="28"/>
  <c r="R94" i="28"/>
  <c r="R103" i="28"/>
  <c r="R93" i="28"/>
  <c r="R102" i="28"/>
  <c r="R92" i="28"/>
  <c r="R101" i="28"/>
  <c r="R100" i="28"/>
  <c r="R99" i="28"/>
  <c r="R104" i="28"/>
  <c r="R96" i="28"/>
  <c r="R81" i="28"/>
  <c r="R89" i="28"/>
  <c r="R87" i="28"/>
  <c r="R88" i="28"/>
  <c r="R86" i="28"/>
  <c r="R85" i="28"/>
  <c r="R83" i="28"/>
  <c r="R80" i="28"/>
  <c r="R90" i="28"/>
  <c r="R82" i="28"/>
  <c r="R84" i="28"/>
  <c r="R75" i="28"/>
  <c r="R76" i="28"/>
  <c r="R67" i="28"/>
  <c r="R74" i="28"/>
  <c r="R73" i="28"/>
  <c r="R72" i="28"/>
  <c r="R70" i="28"/>
  <c r="R66" i="28"/>
  <c r="R71" i="28"/>
  <c r="R78" i="28"/>
  <c r="R68" i="28"/>
  <c r="R77" i="28"/>
  <c r="R69" i="28"/>
  <c r="R63" i="28"/>
  <c r="R62" i="28"/>
  <c r="R55" i="28"/>
  <c r="R58" i="28"/>
  <c r="R54" i="28"/>
  <c r="R53" i="28"/>
  <c r="R61" i="28"/>
  <c r="R60" i="28"/>
  <c r="R59" i="28"/>
  <c r="R57" i="28"/>
  <c r="R52" i="28"/>
  <c r="R56" i="28"/>
  <c r="R64" i="28"/>
  <c r="R40" i="28"/>
  <c r="R50" i="28"/>
  <c r="R41" i="28"/>
  <c r="R49" i="28"/>
  <c r="R42" i="28"/>
  <c r="R48" i="28"/>
  <c r="R46" i="28"/>
  <c r="R45" i="28"/>
  <c r="R44" i="28"/>
  <c r="R43" i="28"/>
  <c r="R47" i="28"/>
  <c r="R33" i="28"/>
  <c r="R32" i="28"/>
  <c r="R38" i="28"/>
  <c r="R35" i="28"/>
  <c r="R37" i="28"/>
  <c r="R36" i="28"/>
  <c r="R34" i="28"/>
  <c r="R31" i="28"/>
  <c r="R79" i="28" l="1"/>
  <c r="R91" i="28"/>
  <c r="R65" i="28"/>
  <c r="R51" i="28"/>
  <c r="R30" i="28"/>
  <c r="R39" i="28"/>
  <c r="G4" i="6"/>
  <c r="N117" i="9" l="1"/>
  <c r="M117" i="9"/>
  <c r="E12" i="3" l="1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D12" i="3"/>
  <c r="D5" i="3" l="1"/>
  <c r="Y5" i="3" l="1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N136" i="9"/>
  <c r="N137" i="9"/>
  <c r="N138" i="9"/>
  <c r="N139" i="9"/>
  <c r="N140" i="9"/>
  <c r="N141" i="9"/>
  <c r="N142" i="9"/>
  <c r="N143" i="9"/>
  <c r="N135" i="9"/>
  <c r="N127" i="9"/>
  <c r="N128" i="9"/>
  <c r="N129" i="9"/>
  <c r="N130" i="9"/>
  <c r="N131" i="9"/>
  <c r="N132" i="9"/>
  <c r="N133" i="9"/>
  <c r="N134" i="9"/>
  <c r="N126" i="9"/>
  <c r="N125" i="9"/>
  <c r="N118" i="9"/>
  <c r="N119" i="9"/>
  <c r="N120" i="9"/>
  <c r="N121" i="9"/>
  <c r="N122" i="9"/>
  <c r="N123" i="9"/>
  <c r="N124" i="9"/>
  <c r="M136" i="9"/>
  <c r="M137" i="9"/>
  <c r="M138" i="9"/>
  <c r="M139" i="9"/>
  <c r="M140" i="9"/>
  <c r="M141" i="9"/>
  <c r="M142" i="9"/>
  <c r="M143" i="9"/>
  <c r="M135" i="9"/>
  <c r="M126" i="9"/>
  <c r="M127" i="9"/>
  <c r="M128" i="9"/>
  <c r="M129" i="9"/>
  <c r="M130" i="9"/>
  <c r="M131" i="9"/>
  <c r="M132" i="9"/>
  <c r="M133" i="9"/>
  <c r="M134" i="9"/>
  <c r="M118" i="9"/>
  <c r="M119" i="9"/>
  <c r="M120" i="9"/>
  <c r="M121" i="9"/>
  <c r="M122" i="9"/>
  <c r="M123" i="9"/>
  <c r="M124" i="9"/>
  <c r="M125" i="9"/>
  <c r="N90" i="9"/>
  <c r="M90" i="9"/>
  <c r="N109" i="9"/>
  <c r="N110" i="9"/>
  <c r="N111" i="9"/>
  <c r="N112" i="9"/>
  <c r="N113" i="9"/>
  <c r="N114" i="9"/>
  <c r="N115" i="9"/>
  <c r="N116" i="9"/>
  <c r="N108" i="9"/>
  <c r="N100" i="9"/>
  <c r="N101" i="9"/>
  <c r="N102" i="9"/>
  <c r="N103" i="9"/>
  <c r="N104" i="9"/>
  <c r="N105" i="9"/>
  <c r="N106" i="9"/>
  <c r="N107" i="9"/>
  <c r="N99" i="9"/>
  <c r="M109" i="9"/>
  <c r="M110" i="9"/>
  <c r="M111" i="9"/>
  <c r="M112" i="9"/>
  <c r="M113" i="9"/>
  <c r="M114" i="9"/>
  <c r="M115" i="9"/>
  <c r="M116" i="9"/>
  <c r="M108" i="9"/>
  <c r="M99" i="9"/>
  <c r="M100" i="9"/>
  <c r="M101" i="9"/>
  <c r="M102" i="9"/>
  <c r="M103" i="9"/>
  <c r="M104" i="9"/>
  <c r="M105" i="9"/>
  <c r="M106" i="9"/>
  <c r="M107" i="9"/>
  <c r="N91" i="9"/>
  <c r="N92" i="9"/>
  <c r="N93" i="9"/>
  <c r="N94" i="9"/>
  <c r="N95" i="9"/>
  <c r="N96" i="9"/>
  <c r="N97" i="9"/>
  <c r="N98" i="9"/>
  <c r="M91" i="9"/>
  <c r="M92" i="9"/>
  <c r="M93" i="9"/>
  <c r="M94" i="9"/>
  <c r="M95" i="9"/>
  <c r="M96" i="9"/>
  <c r="M97" i="9"/>
  <c r="M98" i="9"/>
  <c r="C29" i="9"/>
  <c r="C12" i="3" s="1"/>
  <c r="C30" i="9"/>
  <c r="C13" i="3" s="1"/>
  <c r="C34" i="9"/>
  <c r="C17" i="3" s="1"/>
  <c r="C33" i="9"/>
  <c r="C16" i="3" s="1"/>
  <c r="C32" i="9"/>
  <c r="C15" i="3" s="1"/>
  <c r="C31" i="9"/>
  <c r="C14" i="3" s="1"/>
  <c r="M63" i="9" l="1"/>
  <c r="N82" i="9"/>
  <c r="N83" i="9"/>
  <c r="N84" i="9"/>
  <c r="N85" i="9"/>
  <c r="N86" i="9"/>
  <c r="N87" i="9"/>
  <c r="N88" i="9"/>
  <c r="N89" i="9"/>
  <c r="N81" i="9"/>
  <c r="N73" i="9"/>
  <c r="N74" i="9"/>
  <c r="N75" i="9"/>
  <c r="N76" i="9"/>
  <c r="N77" i="9"/>
  <c r="N78" i="9"/>
  <c r="N79" i="9"/>
  <c r="N80" i="9"/>
  <c r="N72" i="9"/>
  <c r="N63" i="9"/>
  <c r="M89" i="9"/>
  <c r="M82" i="9"/>
  <c r="M83" i="9"/>
  <c r="M84" i="9"/>
  <c r="M85" i="9"/>
  <c r="M86" i="9"/>
  <c r="M87" i="9"/>
  <c r="M88" i="9"/>
  <c r="M81" i="9"/>
  <c r="M72" i="9"/>
  <c r="M73" i="9"/>
  <c r="M74" i="9"/>
  <c r="M75" i="9"/>
  <c r="M76" i="9"/>
  <c r="M77" i="9"/>
  <c r="M78" i="9"/>
  <c r="M79" i="9"/>
  <c r="M80" i="9"/>
  <c r="N64" i="9"/>
  <c r="N65" i="9"/>
  <c r="N66" i="9"/>
  <c r="N67" i="9"/>
  <c r="N68" i="9"/>
  <c r="N69" i="9"/>
  <c r="N70" i="9"/>
  <c r="N71" i="9"/>
  <c r="M64" i="9"/>
  <c r="M65" i="9"/>
  <c r="M66" i="9"/>
  <c r="M67" i="9"/>
  <c r="M68" i="9"/>
  <c r="M69" i="9"/>
  <c r="M70" i="9"/>
  <c r="M71" i="9"/>
  <c r="M54" i="9"/>
  <c r="N55" i="9"/>
  <c r="N56" i="9"/>
  <c r="N57" i="9"/>
  <c r="N58" i="9"/>
  <c r="N59" i="9"/>
  <c r="N60" i="9"/>
  <c r="N61" i="9"/>
  <c r="N62" i="9"/>
  <c r="N54" i="9"/>
  <c r="N53" i="9"/>
  <c r="N46" i="9"/>
  <c r="N47" i="9"/>
  <c r="N48" i="9"/>
  <c r="N49" i="9"/>
  <c r="N50" i="9"/>
  <c r="N51" i="9"/>
  <c r="N52" i="9"/>
  <c r="N45" i="9"/>
  <c r="N36" i="9"/>
  <c r="M55" i="9"/>
  <c r="M56" i="9"/>
  <c r="M57" i="9"/>
  <c r="M58" i="9"/>
  <c r="M59" i="9"/>
  <c r="M60" i="9"/>
  <c r="M61" i="9"/>
  <c r="M62" i="9"/>
  <c r="M46" i="9"/>
  <c r="M47" i="9"/>
  <c r="M48" i="9"/>
  <c r="M49" i="9"/>
  <c r="M50" i="9"/>
  <c r="M51" i="9"/>
  <c r="M52" i="9"/>
  <c r="M53" i="9"/>
  <c r="M45" i="9"/>
  <c r="M36" i="9"/>
  <c r="N37" i="9" l="1"/>
  <c r="N38" i="9"/>
  <c r="N39" i="9"/>
  <c r="N40" i="9"/>
  <c r="N41" i="9"/>
  <c r="N42" i="9"/>
  <c r="N43" i="9"/>
  <c r="N44" i="9"/>
  <c r="N9" i="9"/>
  <c r="M37" i="9"/>
  <c r="M38" i="9"/>
  <c r="M39" i="9"/>
  <c r="M40" i="9"/>
  <c r="M41" i="9"/>
  <c r="M42" i="9"/>
  <c r="M43" i="9"/>
  <c r="M44" i="9"/>
  <c r="M9" i="9"/>
  <c r="M35" i="9"/>
  <c r="C35" i="27" s="1"/>
  <c r="N28" i="9"/>
  <c r="N29" i="9"/>
  <c r="N30" i="9"/>
  <c r="N31" i="9"/>
  <c r="N32" i="9"/>
  <c r="N33" i="9"/>
  <c r="N34" i="9"/>
  <c r="N35" i="9"/>
  <c r="N27" i="9"/>
  <c r="M28" i="9"/>
  <c r="C28" i="27" s="1"/>
  <c r="M29" i="9"/>
  <c r="C29" i="27" s="1"/>
  <c r="M30" i="9"/>
  <c r="C30" i="27" s="1"/>
  <c r="M31" i="9"/>
  <c r="C31" i="27" s="1"/>
  <c r="M32" i="9"/>
  <c r="C32" i="27" s="1"/>
  <c r="M33" i="9"/>
  <c r="C33" i="27" s="1"/>
  <c r="M34" i="9"/>
  <c r="C34" i="27" s="1"/>
  <c r="M27" i="9"/>
  <c r="C27" i="27" s="1"/>
  <c r="N19" i="9"/>
  <c r="N20" i="9"/>
  <c r="N21" i="9"/>
  <c r="N22" i="9"/>
  <c r="N23" i="9"/>
  <c r="N24" i="9"/>
  <c r="N25" i="9"/>
  <c r="N26" i="9"/>
  <c r="N18" i="9"/>
  <c r="M19" i="9"/>
  <c r="C18" i="27" s="1"/>
  <c r="M20" i="9"/>
  <c r="C19" i="27" s="1"/>
  <c r="M21" i="9"/>
  <c r="C20" i="27" s="1"/>
  <c r="M22" i="9"/>
  <c r="C21" i="27" s="1"/>
  <c r="M23" i="9"/>
  <c r="C22" i="27" s="1"/>
  <c r="M24" i="9"/>
  <c r="C23" i="27" s="1"/>
  <c r="M25" i="9"/>
  <c r="C24" i="27" s="1"/>
  <c r="M26" i="9"/>
  <c r="C25" i="27" s="1"/>
  <c r="M18" i="9"/>
  <c r="C17" i="27" s="1"/>
  <c r="N10" i="9"/>
  <c r="N11" i="9"/>
  <c r="N12" i="9"/>
  <c r="N13" i="9"/>
  <c r="N14" i="9"/>
  <c r="N15" i="9"/>
  <c r="N16" i="9"/>
  <c r="N17" i="9"/>
  <c r="M10" i="9"/>
  <c r="M11" i="9"/>
  <c r="M12" i="9"/>
  <c r="N38" i="28" s="1"/>
  <c r="AC38" i="28" s="1"/>
  <c r="M13" i="9"/>
  <c r="M14" i="9"/>
  <c r="M15" i="9"/>
  <c r="M16" i="9"/>
  <c r="M17" i="9"/>
  <c r="N8" i="9"/>
  <c r="N7" i="9"/>
  <c r="N6" i="9"/>
  <c r="A23" i="9"/>
  <c r="B23" i="9" s="1"/>
  <c r="D30" i="9"/>
  <c r="D31" i="9"/>
  <c r="D32" i="9"/>
  <c r="D33" i="9"/>
  <c r="D34" i="9"/>
  <c r="B30" i="9"/>
  <c r="B31" i="9"/>
  <c r="B32" i="9"/>
  <c r="B33" i="9"/>
  <c r="B34" i="9"/>
  <c r="B29" i="9"/>
  <c r="D29" i="9"/>
  <c r="S135" i="43"/>
  <c r="S134" i="43"/>
  <c r="S133" i="43"/>
  <c r="S132" i="43"/>
  <c r="S131" i="43"/>
  <c r="S126" i="43"/>
  <c r="S117" i="43"/>
  <c r="S116" i="43"/>
  <c r="S115" i="43"/>
  <c r="S114" i="43"/>
  <c r="S113" i="43"/>
  <c r="S112" i="43"/>
  <c r="A64" i="43"/>
  <c r="A41" i="9" s="1"/>
  <c r="B41" i="9" s="1"/>
  <c r="A63" i="43"/>
  <c r="A40" i="9" s="1"/>
  <c r="B40" i="9" s="1"/>
  <c r="A62" i="43"/>
  <c r="A39" i="9" s="1"/>
  <c r="B39" i="9" s="1"/>
  <c r="A61" i="43"/>
  <c r="A38" i="9" s="1"/>
  <c r="B38" i="9" s="1"/>
  <c r="A60" i="43"/>
  <c r="A37" i="9" s="1"/>
  <c r="B37" i="9" s="1"/>
  <c r="A59" i="43"/>
  <c r="A36" i="9" s="1"/>
  <c r="B36" i="9" s="1"/>
  <c r="A57" i="43"/>
  <c r="A35" i="9" s="1"/>
  <c r="B35" i="9" s="1"/>
  <c r="A54" i="43"/>
  <c r="C26" i="22"/>
  <c r="G23" i="6" s="1"/>
  <c r="H23" i="6" s="1"/>
  <c r="C27" i="22"/>
  <c r="G24" i="6" s="1"/>
  <c r="H24" i="6" s="1"/>
  <c r="C15" i="27" l="1"/>
  <c r="Q96" i="28"/>
  <c r="Q104" i="28"/>
  <c r="Q97" i="28"/>
  <c r="Q105" i="28"/>
  <c r="Q98" i="28"/>
  <c r="Q99" i="28"/>
  <c r="Q93" i="28"/>
  <c r="Q103" i="28"/>
  <c r="Q100" i="28"/>
  <c r="Q94" i="28"/>
  <c r="Q101" i="28"/>
  <c r="Q95" i="28"/>
  <c r="N99" i="28"/>
  <c r="AC99" i="28" s="1"/>
  <c r="Q102" i="28"/>
  <c r="Q92" i="28"/>
  <c r="O95" i="28"/>
  <c r="AD95" i="28" s="1"/>
  <c r="O99" i="28"/>
  <c r="AD99" i="28" s="1"/>
  <c r="Q84" i="28"/>
  <c r="Q85" i="28"/>
  <c r="Q80" i="28"/>
  <c r="Q86" i="28"/>
  <c r="N86" i="28"/>
  <c r="AC86" i="28" s="1"/>
  <c r="Q87" i="28"/>
  <c r="Q88" i="28"/>
  <c r="Q81" i="28"/>
  <c r="Q89" i="28"/>
  <c r="Q82" i="28"/>
  <c r="Q90" i="28"/>
  <c r="Q83" i="28"/>
  <c r="O86" i="28"/>
  <c r="AD86" i="28" s="1"/>
  <c r="Q73" i="28"/>
  <c r="Q74" i="28"/>
  <c r="N72" i="28"/>
  <c r="AC72" i="28" s="1"/>
  <c r="Q75" i="28"/>
  <c r="Q68" i="28"/>
  <c r="Q76" i="28"/>
  <c r="Q69" i="28"/>
  <c r="Q77" i="28"/>
  <c r="Q70" i="28"/>
  <c r="Q78" i="28"/>
  <c r="Q72" i="28"/>
  <c r="Q71" i="28"/>
  <c r="Q67" i="28"/>
  <c r="Q66" i="28"/>
  <c r="O72" i="28"/>
  <c r="AD72" i="28" s="1"/>
  <c r="C12" i="27"/>
  <c r="Q58" i="28"/>
  <c r="Q52" i="28"/>
  <c r="Q53" i="28"/>
  <c r="Q59" i="28"/>
  <c r="N60" i="28"/>
  <c r="AC60" i="28" s="1"/>
  <c r="Q60" i="28"/>
  <c r="Q61" i="28"/>
  <c r="Q54" i="28"/>
  <c r="Q62" i="28"/>
  <c r="Q55" i="28"/>
  <c r="Q63" i="28"/>
  <c r="Q57" i="28"/>
  <c r="Q56" i="28"/>
  <c r="Q64" i="28"/>
  <c r="O60" i="28"/>
  <c r="AD60" i="28" s="1"/>
  <c r="Q49" i="28"/>
  <c r="Q42" i="28"/>
  <c r="Q50" i="28"/>
  <c r="Q43" i="28"/>
  <c r="Q41" i="28"/>
  <c r="Q44" i="28"/>
  <c r="Q40" i="28"/>
  <c r="Q48" i="28"/>
  <c r="Q45" i="28"/>
  <c r="Q46" i="28"/>
  <c r="Q47" i="28"/>
  <c r="N48" i="28"/>
  <c r="AC48" i="28" s="1"/>
  <c r="O48" i="28"/>
  <c r="AD48" i="28" s="1"/>
  <c r="O38" i="28"/>
  <c r="AD38" i="28" s="1"/>
  <c r="B25" i="43"/>
  <c r="C23" i="9" s="1"/>
  <c r="C38" i="9"/>
  <c r="C37" i="9"/>
  <c r="C36" i="9"/>
  <c r="C35" i="9"/>
  <c r="C39" i="9"/>
  <c r="C41" i="9"/>
  <c r="C40" i="9"/>
  <c r="B12" i="43"/>
  <c r="C10" i="9" s="1"/>
  <c r="Q23" i="28"/>
  <c r="Q24" i="28"/>
  <c r="Q25" i="28"/>
  <c r="C9" i="27"/>
  <c r="Q26" i="28"/>
  <c r="Q29" i="28"/>
  <c r="Q27" i="28"/>
  <c r="Q28" i="28"/>
  <c r="Q16" i="28"/>
  <c r="Q17" i="28"/>
  <c r="Q18" i="28"/>
  <c r="Q19" i="28"/>
  <c r="C8" i="27"/>
  <c r="Q20" i="28"/>
  <c r="Q21" i="28"/>
  <c r="B22" i="27"/>
  <c r="K22" i="27" s="1"/>
  <c r="B23" i="27"/>
  <c r="K23" i="27" s="1"/>
  <c r="B24" i="27"/>
  <c r="K24" i="27" s="1"/>
  <c r="B25" i="27"/>
  <c r="K25" i="27" s="1"/>
  <c r="B18" i="27"/>
  <c r="K18" i="27" s="1"/>
  <c r="B19" i="27"/>
  <c r="K19" i="27" s="1"/>
  <c r="B17" i="27"/>
  <c r="K17" i="27" s="1"/>
  <c r="B20" i="27"/>
  <c r="K20" i="27" s="1"/>
  <c r="B21" i="27"/>
  <c r="K21" i="27" s="1"/>
  <c r="B30" i="27"/>
  <c r="K30" i="27" s="1"/>
  <c r="B31" i="27"/>
  <c r="K31" i="27" s="1"/>
  <c r="B32" i="27"/>
  <c r="K32" i="27" s="1"/>
  <c r="B33" i="27"/>
  <c r="K33" i="27" s="1"/>
  <c r="B34" i="27"/>
  <c r="K34" i="27" s="1"/>
  <c r="B35" i="27"/>
  <c r="K35" i="27" s="1"/>
  <c r="B28" i="27"/>
  <c r="K28" i="27" s="1"/>
  <c r="B27" i="27"/>
  <c r="K27" i="27" s="1"/>
  <c r="B29" i="27"/>
  <c r="K29" i="27" s="1"/>
  <c r="C14" i="27"/>
  <c r="C13" i="27"/>
  <c r="C11" i="27"/>
  <c r="C7" i="27"/>
  <c r="B13" i="27"/>
  <c r="K13" i="27" s="1"/>
  <c r="B14" i="27"/>
  <c r="K14" i="27" s="1"/>
  <c r="B15" i="27"/>
  <c r="K15" i="27" s="1"/>
  <c r="B8" i="27"/>
  <c r="K8" i="27" s="1"/>
  <c r="B7" i="27"/>
  <c r="K7" i="27" s="1"/>
  <c r="B9" i="27"/>
  <c r="K9" i="27" s="1"/>
  <c r="B10" i="27"/>
  <c r="K10" i="27" s="1"/>
  <c r="B12" i="27"/>
  <c r="K12" i="27" s="1"/>
  <c r="B11" i="27"/>
  <c r="K11" i="27" s="1"/>
  <c r="Q31" i="28"/>
  <c r="Q32" i="28"/>
  <c r="Q33" i="28"/>
  <c r="Q34" i="28"/>
  <c r="Q35" i="28"/>
  <c r="C10" i="27"/>
  <c r="Q36" i="28"/>
  <c r="Q37" i="28"/>
  <c r="Q38" i="28"/>
  <c r="M6" i="9"/>
  <c r="M8" i="9"/>
  <c r="M7" i="9"/>
  <c r="C25" i="43"/>
  <c r="B9" i="43"/>
  <c r="B17" i="43"/>
  <c r="C15" i="9" s="1"/>
  <c r="B27" i="43"/>
  <c r="C25" i="9" s="1"/>
  <c r="B11" i="43"/>
  <c r="B19" i="43"/>
  <c r="C17" i="9" s="1"/>
  <c r="B8" i="43"/>
  <c r="B16" i="43"/>
  <c r="C14" i="9" s="1"/>
  <c r="B24" i="43"/>
  <c r="C22" i="9" s="1"/>
  <c r="B29" i="43"/>
  <c r="C27" i="9" s="1"/>
  <c r="B20" i="43"/>
  <c r="C18" i="9" s="1"/>
  <c r="B15" i="43"/>
  <c r="C13" i="9" s="1"/>
  <c r="B23" i="43"/>
  <c r="C21" i="9" s="1"/>
  <c r="B26" i="43"/>
  <c r="C24" i="9" s="1"/>
  <c r="B10" i="43"/>
  <c r="B18" i="43"/>
  <c r="C16" i="9" s="1"/>
  <c r="C26" i="43"/>
  <c r="D24" i="9" s="1"/>
  <c r="B30" i="43"/>
  <c r="C28" i="9" s="1"/>
  <c r="B13" i="43"/>
  <c r="C11" i="9" s="1"/>
  <c r="B21" i="43"/>
  <c r="C19" i="9" s="1"/>
  <c r="B14" i="43"/>
  <c r="C12" i="9" s="1"/>
  <c r="B22" i="43"/>
  <c r="C20" i="9" s="1"/>
  <c r="P278" i="44" l="1"/>
  <c r="P242" i="44"/>
  <c r="N242" i="44" s="1"/>
  <c r="AC242" i="44" s="1"/>
  <c r="P225" i="44"/>
  <c r="N225" i="44" s="1"/>
  <c r="AC225" i="44" s="1"/>
  <c r="P208" i="44"/>
  <c r="N208" i="44" s="1"/>
  <c r="AC208" i="44" s="1"/>
  <c r="P117" i="44"/>
  <c r="N117" i="44" s="1"/>
  <c r="AC117" i="44" s="1"/>
  <c r="P67" i="44"/>
  <c r="N67" i="44" s="1"/>
  <c r="AC67" i="44" s="1"/>
  <c r="P85" i="44"/>
  <c r="N85" i="44" s="1"/>
  <c r="AC85" i="44" s="1"/>
  <c r="P134" i="44"/>
  <c r="N134" i="44" s="1"/>
  <c r="AC134" i="44" s="1"/>
  <c r="P276" i="44"/>
  <c r="P259" i="44"/>
  <c r="N259" i="44" s="1"/>
  <c r="AC259" i="44" s="1"/>
  <c r="P193" i="44"/>
  <c r="N193" i="44" s="1"/>
  <c r="AC193" i="44" s="1"/>
  <c r="P132" i="44"/>
  <c r="N132" i="44" s="1"/>
  <c r="AC132" i="44" s="1"/>
  <c r="P102" i="44"/>
  <c r="N102" i="44" s="1"/>
  <c r="AC102" i="44" s="1"/>
  <c r="P68" i="44"/>
  <c r="N68" i="44" s="1"/>
  <c r="AC68" i="44" s="1"/>
  <c r="P258" i="44"/>
  <c r="N258" i="44" s="1"/>
  <c r="AC258" i="44" s="1"/>
  <c r="P241" i="44"/>
  <c r="N241" i="44" s="1"/>
  <c r="AC241" i="44" s="1"/>
  <c r="P224" i="44"/>
  <c r="N224" i="44" s="1"/>
  <c r="AC224" i="44" s="1"/>
  <c r="P207" i="44"/>
  <c r="N207" i="44" s="1"/>
  <c r="AC207" i="44" s="1"/>
  <c r="P118" i="44"/>
  <c r="N118" i="44" s="1"/>
  <c r="AC118" i="44" s="1"/>
  <c r="P101" i="44"/>
  <c r="N101" i="44" s="1"/>
  <c r="AC101" i="44" s="1"/>
  <c r="P84" i="44"/>
  <c r="N84" i="44" s="1"/>
  <c r="AC84" i="44" s="1"/>
  <c r="P247" i="29"/>
  <c r="P230" i="29"/>
  <c r="P181" i="29"/>
  <c r="P229" i="29"/>
  <c r="P180" i="29"/>
  <c r="P196" i="29"/>
  <c r="P195" i="29"/>
  <c r="N195" i="29" s="1"/>
  <c r="P248" i="29"/>
  <c r="P212" i="29"/>
  <c r="N212" i="29" s="1"/>
  <c r="AC212" i="29" s="1"/>
  <c r="P213" i="29"/>
  <c r="P196" i="44"/>
  <c r="N196" i="44" s="1"/>
  <c r="AC196" i="44" s="1"/>
  <c r="P265" i="44"/>
  <c r="N265" i="44" s="1"/>
  <c r="AC265" i="44" s="1"/>
  <c r="P168" i="29"/>
  <c r="O229" i="44"/>
  <c r="AD229" i="44" s="1"/>
  <c r="O99" i="29"/>
  <c r="O184" i="29"/>
  <c r="O266" i="44"/>
  <c r="AD266" i="44" s="1"/>
  <c r="O217" i="29"/>
  <c r="AD217" i="29" s="1"/>
  <c r="O236" i="29"/>
  <c r="AD236" i="29" s="1"/>
  <c r="P154" i="44"/>
  <c r="N154" i="44" s="1"/>
  <c r="AC154" i="44" s="1"/>
  <c r="P135" i="44"/>
  <c r="N135" i="44" s="1"/>
  <c r="AC135" i="44" s="1"/>
  <c r="P192" i="44"/>
  <c r="N192" i="44" s="1"/>
  <c r="AC192" i="44" s="1"/>
  <c r="P149" i="44"/>
  <c r="N149" i="44" s="1"/>
  <c r="AC149" i="44" s="1"/>
  <c r="P52" i="44"/>
  <c r="N52" i="44" s="1"/>
  <c r="AC52" i="44" s="1"/>
  <c r="P165" i="44"/>
  <c r="P153" i="44"/>
  <c r="N153" i="44" s="1"/>
  <c r="AC153" i="44" s="1"/>
  <c r="P40" i="44"/>
  <c r="P28" i="44"/>
  <c r="N28" i="44" s="1"/>
  <c r="AC28" i="44" s="1"/>
  <c r="P16" i="44"/>
  <c r="N16" i="44" s="1"/>
  <c r="AC16" i="44" s="1"/>
  <c r="P15" i="44"/>
  <c r="N15" i="44" s="1"/>
  <c r="AC15" i="44" s="1"/>
  <c r="P14" i="44"/>
  <c r="N14" i="44" s="1"/>
  <c r="AC14" i="44" s="1"/>
  <c r="P240" i="44"/>
  <c r="N240" i="44" s="1"/>
  <c r="AC240" i="44" s="1"/>
  <c r="P235" i="44"/>
  <c r="N235" i="44" s="1"/>
  <c r="AC235" i="44" s="1"/>
  <c r="P227" i="44"/>
  <c r="N227" i="44" s="1"/>
  <c r="AC227" i="44" s="1"/>
  <c r="P103" i="44"/>
  <c r="N103" i="44" s="1"/>
  <c r="AC103" i="44" s="1"/>
  <c r="P71" i="44"/>
  <c r="N71" i="44" s="1"/>
  <c r="AC71" i="44" s="1"/>
  <c r="P69" i="44"/>
  <c r="N69" i="44" s="1"/>
  <c r="AC69" i="44" s="1"/>
  <c r="P53" i="44"/>
  <c r="N53" i="44" s="1"/>
  <c r="AC53" i="44" s="1"/>
  <c r="P280" i="44"/>
  <c r="P262" i="44"/>
  <c r="N262" i="44" s="1"/>
  <c r="AC262" i="44" s="1"/>
  <c r="P223" i="44"/>
  <c r="N223" i="44" s="1"/>
  <c r="AC223" i="44" s="1"/>
  <c r="P211" i="44"/>
  <c r="N211" i="44" s="1"/>
  <c r="AC211" i="44" s="1"/>
  <c r="P61" i="44"/>
  <c r="N61" i="44" s="1"/>
  <c r="AC61" i="44" s="1"/>
  <c r="P261" i="44"/>
  <c r="N261" i="44" s="1"/>
  <c r="AC261" i="44" s="1"/>
  <c r="P257" i="44"/>
  <c r="N257" i="44" s="1"/>
  <c r="AC257" i="44" s="1"/>
  <c r="P206" i="44"/>
  <c r="N206" i="44" s="1"/>
  <c r="AC206" i="44" s="1"/>
  <c r="P166" i="44"/>
  <c r="P119" i="44"/>
  <c r="N119" i="44" s="1"/>
  <c r="AC119" i="44" s="1"/>
  <c r="P87" i="44"/>
  <c r="N87" i="44" s="1"/>
  <c r="AC87" i="44" s="1"/>
  <c r="P39" i="44"/>
  <c r="N39" i="44" s="1"/>
  <c r="AC39" i="44" s="1"/>
  <c r="P210" i="44"/>
  <c r="N210" i="44" s="1"/>
  <c r="AC210" i="44" s="1"/>
  <c r="P86" i="44"/>
  <c r="N86" i="44" s="1"/>
  <c r="AC86" i="44" s="1"/>
  <c r="P27" i="44"/>
  <c r="N27" i="44" s="1"/>
  <c r="AC27" i="44" s="1"/>
  <c r="P88" i="44"/>
  <c r="N88" i="44" s="1"/>
  <c r="AC88" i="44" s="1"/>
  <c r="P279" i="44"/>
  <c r="P245" i="44"/>
  <c r="N245" i="44" s="1"/>
  <c r="AC245" i="44" s="1"/>
  <c r="P228" i="44"/>
  <c r="N228" i="44" s="1"/>
  <c r="AC228" i="44" s="1"/>
  <c r="P218" i="44"/>
  <c r="N218" i="44" s="1"/>
  <c r="AC218" i="44" s="1"/>
  <c r="P201" i="44"/>
  <c r="N201" i="44" s="1"/>
  <c r="AC201" i="44" s="1"/>
  <c r="P191" i="44"/>
  <c r="N191" i="44" s="1"/>
  <c r="AC191" i="44" s="1"/>
  <c r="P164" i="44"/>
  <c r="N164" i="44" s="1"/>
  <c r="AC164" i="44" s="1"/>
  <c r="P137" i="44"/>
  <c r="N137" i="44" s="1"/>
  <c r="AC137" i="44" s="1"/>
  <c r="P78" i="44"/>
  <c r="N78" i="44" s="1"/>
  <c r="AC78" i="44" s="1"/>
  <c r="P70" i="44"/>
  <c r="N70" i="44" s="1"/>
  <c r="AC70" i="44" s="1"/>
  <c r="P47" i="44"/>
  <c r="N47" i="44" s="1"/>
  <c r="AC47" i="44" s="1"/>
  <c r="P271" i="44"/>
  <c r="P185" i="44"/>
  <c r="N185" i="44" s="1"/>
  <c r="AC185" i="44" s="1"/>
  <c r="P178" i="44"/>
  <c r="N178" i="44" s="1"/>
  <c r="AC178" i="44" s="1"/>
  <c r="P173" i="44"/>
  <c r="N173" i="44" s="1"/>
  <c r="AC173" i="44" s="1"/>
  <c r="P160" i="44"/>
  <c r="N160" i="44" s="1"/>
  <c r="AC160" i="44" s="1"/>
  <c r="P111" i="44"/>
  <c r="N111" i="44" s="1"/>
  <c r="AC111" i="44" s="1"/>
  <c r="P95" i="44"/>
  <c r="N95" i="44" s="1"/>
  <c r="AC95" i="44" s="1"/>
  <c r="P54" i="44"/>
  <c r="N54" i="44" s="1"/>
  <c r="AC54" i="44" s="1"/>
  <c r="P177" i="44"/>
  <c r="N177" i="44" s="1"/>
  <c r="AC177" i="44" s="1"/>
  <c r="P136" i="44"/>
  <c r="N136" i="44" s="1"/>
  <c r="AC136" i="44" s="1"/>
  <c r="P127" i="44"/>
  <c r="N127" i="44" s="1"/>
  <c r="AC127" i="44" s="1"/>
  <c r="P104" i="44"/>
  <c r="N104" i="44" s="1"/>
  <c r="AC104" i="44" s="1"/>
  <c r="P29" i="44"/>
  <c r="N29" i="44" s="1"/>
  <c r="AC29" i="44" s="1"/>
  <c r="P22" i="44"/>
  <c r="N22" i="44" s="1"/>
  <c r="AC22" i="44" s="1"/>
  <c r="P252" i="44"/>
  <c r="N252" i="44" s="1"/>
  <c r="AC252" i="44" s="1"/>
  <c r="P244" i="44"/>
  <c r="N244" i="44" s="1"/>
  <c r="AC244" i="44" s="1"/>
  <c r="P190" i="44"/>
  <c r="N190" i="44" s="1"/>
  <c r="AC190" i="44" s="1"/>
  <c r="P120" i="44"/>
  <c r="N120" i="44" s="1"/>
  <c r="AC120" i="44" s="1"/>
  <c r="P35" i="44"/>
  <c r="N35" i="44" s="1"/>
  <c r="AC35" i="44" s="1"/>
  <c r="P211" i="29"/>
  <c r="N211" i="29" s="1"/>
  <c r="P199" i="29"/>
  <c r="P246" i="29"/>
  <c r="P194" i="29"/>
  <c r="N194" i="29" s="1"/>
  <c r="P198" i="29"/>
  <c r="P232" i="29"/>
  <c r="P241" i="29"/>
  <c r="P228" i="29"/>
  <c r="P223" i="29"/>
  <c r="P216" i="29"/>
  <c r="P251" i="29"/>
  <c r="P215" i="29"/>
  <c r="P178" i="29"/>
  <c r="P250" i="29"/>
  <c r="P233" i="29"/>
  <c r="P267" i="29"/>
  <c r="N267" i="29" s="1"/>
  <c r="AC267" i="29" s="1"/>
  <c r="P9" i="44"/>
  <c r="N9" i="44" s="1"/>
  <c r="AC9" i="44" s="1"/>
  <c r="P233" i="44"/>
  <c r="N233" i="44" s="1"/>
  <c r="AC233" i="44" s="1"/>
  <c r="P125" i="44"/>
  <c r="N125" i="44" s="1"/>
  <c r="AC125" i="44" s="1"/>
  <c r="P93" i="44"/>
  <c r="N93" i="44" s="1"/>
  <c r="AC93" i="44" s="1"/>
  <c r="P59" i="44"/>
  <c r="N59" i="44" s="1"/>
  <c r="AC59" i="44" s="1"/>
  <c r="P45" i="44"/>
  <c r="N45" i="44" s="1"/>
  <c r="AC45" i="44" s="1"/>
  <c r="P171" i="44"/>
  <c r="N171" i="44" s="1"/>
  <c r="AC171" i="44" s="1"/>
  <c r="P109" i="44"/>
  <c r="N109" i="44" s="1"/>
  <c r="AC109" i="44" s="1"/>
  <c r="P76" i="44"/>
  <c r="N76" i="44" s="1"/>
  <c r="AC76" i="44" s="1"/>
  <c r="P33" i="44"/>
  <c r="N33" i="44" s="1"/>
  <c r="AC33" i="44" s="1"/>
  <c r="P269" i="44"/>
  <c r="N269" i="44" s="1"/>
  <c r="AC269" i="44" s="1"/>
  <c r="P183" i="44"/>
  <c r="N183" i="44" s="1"/>
  <c r="AC183" i="44" s="1"/>
  <c r="P199" i="44"/>
  <c r="N199" i="44" s="1"/>
  <c r="AC199" i="44" s="1"/>
  <c r="P158" i="44"/>
  <c r="N158" i="44" s="1"/>
  <c r="AC158" i="44" s="1"/>
  <c r="P216" i="44"/>
  <c r="N216" i="44" s="1"/>
  <c r="AC216" i="44" s="1"/>
  <c r="P147" i="44"/>
  <c r="N147" i="44" s="1"/>
  <c r="AC147" i="44" s="1"/>
  <c r="P20" i="44"/>
  <c r="N20" i="44" s="1"/>
  <c r="AC20" i="44" s="1"/>
  <c r="P250" i="44"/>
  <c r="N250" i="44" s="1"/>
  <c r="AC250" i="44" s="1"/>
  <c r="P217" i="44"/>
  <c r="N217" i="44" s="1"/>
  <c r="AC217" i="44" s="1"/>
  <c r="P159" i="44"/>
  <c r="N159" i="44" s="1"/>
  <c r="AC159" i="44" s="1"/>
  <c r="P270" i="44"/>
  <c r="P184" i="44"/>
  <c r="N184" i="44" s="1"/>
  <c r="AC184" i="44" s="1"/>
  <c r="P34" i="44"/>
  <c r="N34" i="44" s="1"/>
  <c r="AC34" i="44" s="1"/>
  <c r="P94" i="44"/>
  <c r="N94" i="44" s="1"/>
  <c r="AC94" i="44" s="1"/>
  <c r="P77" i="44"/>
  <c r="N77" i="44" s="1"/>
  <c r="AC77" i="44" s="1"/>
  <c r="P148" i="44"/>
  <c r="N148" i="44" s="1"/>
  <c r="AC148" i="44" s="1"/>
  <c r="P21" i="44"/>
  <c r="N21" i="44" s="1"/>
  <c r="AC21" i="44" s="1"/>
  <c r="P251" i="44"/>
  <c r="N251" i="44" s="1"/>
  <c r="AC251" i="44" s="1"/>
  <c r="P110" i="44"/>
  <c r="N110" i="44" s="1"/>
  <c r="AC110" i="44" s="1"/>
  <c r="P60" i="44"/>
  <c r="N60" i="44" s="1"/>
  <c r="AC60" i="44" s="1"/>
  <c r="P10" i="44"/>
  <c r="N10" i="44" s="1"/>
  <c r="AC10" i="44" s="1"/>
  <c r="P234" i="44"/>
  <c r="N234" i="44" s="1"/>
  <c r="AC234" i="44" s="1"/>
  <c r="P172" i="44"/>
  <c r="N172" i="44" s="1"/>
  <c r="AC172" i="44" s="1"/>
  <c r="P46" i="44"/>
  <c r="N46" i="44" s="1"/>
  <c r="AC46" i="44" s="1"/>
  <c r="P126" i="44"/>
  <c r="N126" i="44" s="1"/>
  <c r="AC126" i="44" s="1"/>
  <c r="P200" i="44"/>
  <c r="N200" i="44" s="1"/>
  <c r="AC200" i="44" s="1"/>
  <c r="P266" i="44"/>
  <c r="N266" i="44" s="1"/>
  <c r="AC266" i="44" s="1"/>
  <c r="P236" i="29"/>
  <c r="P151" i="44"/>
  <c r="N151" i="44" s="1"/>
  <c r="AC151" i="44" s="1"/>
  <c r="P162" i="44"/>
  <c r="N162" i="44" s="1"/>
  <c r="AC162" i="44" s="1"/>
  <c r="P24" i="44"/>
  <c r="N24" i="44" s="1"/>
  <c r="AC24" i="44" s="1"/>
  <c r="P12" i="44"/>
  <c r="N12" i="44" s="1"/>
  <c r="AC12" i="44" s="1"/>
  <c r="P175" i="44"/>
  <c r="N175" i="44" s="1"/>
  <c r="AC175" i="44" s="1"/>
  <c r="P107" i="44"/>
  <c r="N107" i="44" s="1"/>
  <c r="AC107" i="44" s="1"/>
  <c r="P31" i="44"/>
  <c r="N31" i="44" s="1"/>
  <c r="AC31" i="44" s="1"/>
  <c r="P97" i="44"/>
  <c r="N97" i="44" s="1"/>
  <c r="AC97" i="44" s="1"/>
  <c r="P248" i="44"/>
  <c r="N248" i="44" s="1"/>
  <c r="AC248" i="44" s="1"/>
  <c r="P220" i="44"/>
  <c r="N220" i="44" s="1"/>
  <c r="AC220" i="44" s="1"/>
  <c r="P129" i="44"/>
  <c r="N129" i="44" s="1"/>
  <c r="AC129" i="44" s="1"/>
  <c r="P63" i="44"/>
  <c r="N63" i="44" s="1"/>
  <c r="AC63" i="44" s="1"/>
  <c r="P57" i="44"/>
  <c r="N57" i="44" s="1"/>
  <c r="AC57" i="44" s="1"/>
  <c r="P273" i="44"/>
  <c r="P231" i="44"/>
  <c r="N231" i="44" s="1"/>
  <c r="AC231" i="44" s="1"/>
  <c r="P203" i="44"/>
  <c r="N203" i="44" s="1"/>
  <c r="AC203" i="44" s="1"/>
  <c r="P74" i="44"/>
  <c r="N74" i="44" s="1"/>
  <c r="AC74" i="44" s="1"/>
  <c r="P43" i="44"/>
  <c r="N43" i="44" s="1"/>
  <c r="AC43" i="44" s="1"/>
  <c r="P187" i="44"/>
  <c r="N187" i="44" s="1"/>
  <c r="AC187" i="44" s="1"/>
  <c r="P169" i="44"/>
  <c r="N169" i="44" s="1"/>
  <c r="AC169" i="44" s="1"/>
  <c r="P156" i="44"/>
  <c r="N156" i="44" s="1"/>
  <c r="AC156" i="44" s="1"/>
  <c r="P145" i="44"/>
  <c r="N145" i="44" s="1"/>
  <c r="P80" i="44"/>
  <c r="N80" i="44" s="1"/>
  <c r="AC80" i="44" s="1"/>
  <c r="P37" i="44"/>
  <c r="N37" i="44" s="1"/>
  <c r="AC37" i="44" s="1"/>
  <c r="P7" i="44"/>
  <c r="N7" i="44" s="1"/>
  <c r="P123" i="44"/>
  <c r="N123" i="44" s="1"/>
  <c r="AC123" i="44" s="1"/>
  <c r="P91" i="44"/>
  <c r="N91" i="44" s="1"/>
  <c r="AC91" i="44" s="1"/>
  <c r="P197" i="44"/>
  <c r="N197" i="44" s="1"/>
  <c r="AC197" i="44" s="1"/>
  <c r="P113" i="44"/>
  <c r="N113" i="44" s="1"/>
  <c r="AC113" i="44" s="1"/>
  <c r="P49" i="44"/>
  <c r="N49" i="44" s="1"/>
  <c r="AC49" i="44" s="1"/>
  <c r="P18" i="44"/>
  <c r="N18" i="44" s="1"/>
  <c r="AC18" i="44" s="1"/>
  <c r="P267" i="44"/>
  <c r="N267" i="44" s="1"/>
  <c r="AC267" i="44" s="1"/>
  <c r="P181" i="44"/>
  <c r="N181" i="44" s="1"/>
  <c r="AC181" i="44" s="1"/>
  <c r="P254" i="44"/>
  <c r="N254" i="44" s="1"/>
  <c r="AC254" i="44" s="1"/>
  <c r="P237" i="44"/>
  <c r="N237" i="44" s="1"/>
  <c r="AC237" i="44" s="1"/>
  <c r="P214" i="44"/>
  <c r="N214" i="44" s="1"/>
  <c r="AC214" i="44" s="1"/>
  <c r="P186" i="44"/>
  <c r="N186" i="44" s="1"/>
  <c r="AC186" i="44" s="1"/>
  <c r="P112" i="44"/>
  <c r="N112" i="44" s="1"/>
  <c r="AC112" i="44" s="1"/>
  <c r="P161" i="44"/>
  <c r="N161" i="44" s="1"/>
  <c r="AC161" i="44" s="1"/>
  <c r="P150" i="44"/>
  <c r="N150" i="44" s="1"/>
  <c r="AC150" i="44" s="1"/>
  <c r="P11" i="44"/>
  <c r="N11" i="44" s="1"/>
  <c r="AC11" i="44" s="1"/>
  <c r="P174" i="44"/>
  <c r="N174" i="44" s="1"/>
  <c r="AC174" i="44" s="1"/>
  <c r="P96" i="44"/>
  <c r="N96" i="44" s="1"/>
  <c r="AC96" i="44" s="1"/>
  <c r="P23" i="44"/>
  <c r="N23" i="44" s="1"/>
  <c r="AC23" i="44" s="1"/>
  <c r="P253" i="44"/>
  <c r="N253" i="44" s="1"/>
  <c r="AC253" i="44" s="1"/>
  <c r="P236" i="44"/>
  <c r="N236" i="44" s="1"/>
  <c r="AC236" i="44" s="1"/>
  <c r="P128" i="44"/>
  <c r="N128" i="44" s="1"/>
  <c r="AC128" i="44" s="1"/>
  <c r="P219" i="44"/>
  <c r="N219" i="44" s="1"/>
  <c r="AC219" i="44" s="1"/>
  <c r="P62" i="44"/>
  <c r="N62" i="44" s="1"/>
  <c r="AC62" i="44" s="1"/>
  <c r="P48" i="44"/>
  <c r="N48" i="44" s="1"/>
  <c r="AC48" i="44" s="1"/>
  <c r="P36" i="44"/>
  <c r="N36" i="44" s="1"/>
  <c r="AC36" i="44" s="1"/>
  <c r="P272" i="44"/>
  <c r="P202" i="44"/>
  <c r="N202" i="44" s="1"/>
  <c r="AC202" i="44" s="1"/>
  <c r="P79" i="44"/>
  <c r="N79" i="44" s="1"/>
  <c r="AC79" i="44" s="1"/>
  <c r="P157" i="44"/>
  <c r="N157" i="44" s="1"/>
  <c r="AC157" i="44" s="1"/>
  <c r="P146" i="44"/>
  <c r="N146" i="44" s="1"/>
  <c r="AC146" i="44" s="1"/>
  <c r="P309" i="44"/>
  <c r="P304" i="44"/>
  <c r="P296" i="44"/>
  <c r="P294" i="44"/>
  <c r="P198" i="44"/>
  <c r="N198" i="44" s="1"/>
  <c r="AC198" i="44" s="1"/>
  <c r="P307" i="44"/>
  <c r="P292" i="44"/>
  <c r="P268" i="44"/>
  <c r="N268" i="44" s="1"/>
  <c r="AC268" i="44" s="1"/>
  <c r="P215" i="44"/>
  <c r="N215" i="44" s="1"/>
  <c r="AC215" i="44" s="1"/>
  <c r="P182" i="44"/>
  <c r="N182" i="44" s="1"/>
  <c r="AC182" i="44" s="1"/>
  <c r="P19" i="44"/>
  <c r="N19" i="44" s="1"/>
  <c r="AC19" i="44" s="1"/>
  <c r="P8" i="44"/>
  <c r="N8" i="44" s="1"/>
  <c r="AC8" i="44" s="1"/>
  <c r="P310" i="44"/>
  <c r="P302" i="44"/>
  <c r="P92" i="44"/>
  <c r="N92" i="44" s="1"/>
  <c r="AC92" i="44" s="1"/>
  <c r="P44" i="44"/>
  <c r="N44" i="44" s="1"/>
  <c r="AC44" i="44" s="1"/>
  <c r="P290" i="44"/>
  <c r="P249" i="44"/>
  <c r="N249" i="44" s="1"/>
  <c r="AC249" i="44" s="1"/>
  <c r="P124" i="44"/>
  <c r="N124" i="44" s="1"/>
  <c r="AC124" i="44" s="1"/>
  <c r="P58" i="44"/>
  <c r="N58" i="44" s="1"/>
  <c r="AC58" i="44" s="1"/>
  <c r="P308" i="44"/>
  <c r="P305" i="44"/>
  <c r="P295" i="44"/>
  <c r="P293" i="44"/>
  <c r="P288" i="44"/>
  <c r="P232" i="44"/>
  <c r="N232" i="44" s="1"/>
  <c r="AC232" i="44" s="1"/>
  <c r="P108" i="44"/>
  <c r="N108" i="44" s="1"/>
  <c r="AC108" i="44" s="1"/>
  <c r="P32" i="44"/>
  <c r="N32" i="44" s="1"/>
  <c r="AC32" i="44" s="1"/>
  <c r="P75" i="44"/>
  <c r="N75" i="44" s="1"/>
  <c r="AC75" i="44" s="1"/>
  <c r="P170" i="44"/>
  <c r="N170" i="44" s="1"/>
  <c r="AC170" i="44" s="1"/>
  <c r="P306" i="44"/>
  <c r="P303" i="44"/>
  <c r="P291" i="44"/>
  <c r="P289" i="44"/>
  <c r="P7" i="28"/>
  <c r="N7" i="28" s="1"/>
  <c r="P99" i="29"/>
  <c r="N99" i="29" s="1"/>
  <c r="P184" i="29"/>
  <c r="N184" i="29" s="1"/>
  <c r="P27" i="29"/>
  <c r="N27" i="29" s="1"/>
  <c r="AC27" i="29" s="1"/>
  <c r="P222" i="29"/>
  <c r="N222" i="29" s="1"/>
  <c r="P148" i="29"/>
  <c r="N148" i="29" s="1"/>
  <c r="AC148" i="29" s="1"/>
  <c r="P39" i="29"/>
  <c r="P119" i="29"/>
  <c r="P52" i="29"/>
  <c r="P10" i="29"/>
  <c r="N10" i="29" s="1"/>
  <c r="AC10" i="29" s="1"/>
  <c r="P103" i="29"/>
  <c r="P188" i="29"/>
  <c r="N188" i="29" s="1"/>
  <c r="P257" i="29"/>
  <c r="P240" i="29"/>
  <c r="N240" i="29" s="1"/>
  <c r="P159" i="29"/>
  <c r="P205" i="29"/>
  <c r="N205" i="29" s="1"/>
  <c r="P68" i="29"/>
  <c r="P140" i="29"/>
  <c r="N140" i="29" s="1"/>
  <c r="AC140" i="29" s="1"/>
  <c r="P17" i="29"/>
  <c r="N17" i="29" s="1"/>
  <c r="AC17" i="29" s="1"/>
  <c r="P172" i="29"/>
  <c r="N172" i="29" s="1"/>
  <c r="P85" i="29"/>
  <c r="P60" i="29"/>
  <c r="P93" i="29"/>
  <c r="P76" i="29"/>
  <c r="P59" i="29"/>
  <c r="P92" i="29"/>
  <c r="P75" i="29"/>
  <c r="P111" i="29"/>
  <c r="P110" i="29"/>
  <c r="AC194" i="29"/>
  <c r="P263" i="29"/>
  <c r="P125" i="29"/>
  <c r="P265" i="29"/>
  <c r="P127" i="29"/>
  <c r="P207" i="29"/>
  <c r="N207" i="29" s="1"/>
  <c r="P161" i="29"/>
  <c r="P70" i="29"/>
  <c r="P174" i="29"/>
  <c r="N174" i="29" s="1"/>
  <c r="P105" i="29"/>
  <c r="P29" i="29"/>
  <c r="N29" i="29" s="1"/>
  <c r="AC29" i="29" s="1"/>
  <c r="P11" i="29"/>
  <c r="N11" i="29" s="1"/>
  <c r="AC11" i="29" s="1"/>
  <c r="P259" i="29"/>
  <c r="P54" i="29"/>
  <c r="P41" i="29"/>
  <c r="P141" i="29"/>
  <c r="N141" i="29" s="1"/>
  <c r="AC141" i="29" s="1"/>
  <c r="P121" i="29"/>
  <c r="P224" i="29"/>
  <c r="P150" i="29"/>
  <c r="N150" i="29" s="1"/>
  <c r="AC150" i="29" s="1"/>
  <c r="P87" i="29"/>
  <c r="P242" i="29"/>
  <c r="P190" i="29"/>
  <c r="N190" i="29" s="1"/>
  <c r="P19" i="29"/>
  <c r="N19" i="29" s="1"/>
  <c r="AC19" i="29" s="1"/>
  <c r="P154" i="29"/>
  <c r="N154" i="29" s="1"/>
  <c r="AC154" i="29" s="1"/>
  <c r="P94" i="29"/>
  <c r="P77" i="29"/>
  <c r="P62" i="29"/>
  <c r="P86" i="29"/>
  <c r="N86" i="29" s="1"/>
  <c r="P104" i="29"/>
  <c r="P61" i="29"/>
  <c r="P142" i="29"/>
  <c r="N142" i="29" s="1"/>
  <c r="AC142" i="29" s="1"/>
  <c r="P33" i="29"/>
  <c r="N33" i="29" s="1"/>
  <c r="AC33" i="29" s="1"/>
  <c r="P166" i="29"/>
  <c r="P46" i="29"/>
  <c r="P152" i="29"/>
  <c r="N152" i="29" s="1"/>
  <c r="AC152" i="29" s="1"/>
  <c r="P113" i="29"/>
  <c r="P112" i="29"/>
  <c r="P165" i="29"/>
  <c r="P47" i="29"/>
  <c r="P34" i="29"/>
  <c r="N34" i="29" s="1"/>
  <c r="AC34" i="29" s="1"/>
  <c r="P96" i="29"/>
  <c r="N96" i="29" s="1"/>
  <c r="P79" i="29"/>
  <c r="P95" i="29"/>
  <c r="P78" i="29"/>
  <c r="P63" i="29"/>
  <c r="P22" i="29"/>
  <c r="N22" i="29" s="1"/>
  <c r="AC22" i="29" s="1"/>
  <c r="P120" i="29"/>
  <c r="P21" i="29"/>
  <c r="N21" i="29" s="1"/>
  <c r="AC21" i="29" s="1"/>
  <c r="P40" i="29"/>
  <c r="P12" i="29"/>
  <c r="N12" i="29" s="1"/>
  <c r="AC12" i="29" s="1"/>
  <c r="P189" i="29"/>
  <c r="N189" i="29" s="1"/>
  <c r="P160" i="29"/>
  <c r="P128" i="29"/>
  <c r="N128" i="29" s="1"/>
  <c r="AC128" i="29" s="1"/>
  <c r="P69" i="29"/>
  <c r="P18" i="29"/>
  <c r="N18" i="29" s="1"/>
  <c r="AC18" i="29" s="1"/>
  <c r="P206" i="29"/>
  <c r="N206" i="29" s="1"/>
  <c r="P173" i="29"/>
  <c r="N173" i="29" s="1"/>
  <c r="P28" i="29"/>
  <c r="N28" i="29" s="1"/>
  <c r="AC28" i="29" s="1"/>
  <c r="P266" i="29"/>
  <c r="P258" i="29"/>
  <c r="P179" i="29"/>
  <c r="P149" i="29"/>
  <c r="N149" i="29" s="1"/>
  <c r="AC149" i="29" s="1"/>
  <c r="P129" i="29"/>
  <c r="P53" i="29"/>
  <c r="P239" i="29"/>
  <c r="N239" i="29" s="1"/>
  <c r="P67" i="29"/>
  <c r="P16" i="29"/>
  <c r="N16" i="29" s="1"/>
  <c r="AC16" i="29" s="1"/>
  <c r="P204" i="29"/>
  <c r="N204" i="29" s="1"/>
  <c r="P84" i="29"/>
  <c r="P187" i="29"/>
  <c r="N187" i="29" s="1"/>
  <c r="P171" i="29"/>
  <c r="N171" i="29" s="1"/>
  <c r="P158" i="29"/>
  <c r="P147" i="29"/>
  <c r="N147" i="29" s="1"/>
  <c r="AC147" i="29" s="1"/>
  <c r="P9" i="29"/>
  <c r="N9" i="29" s="1"/>
  <c r="AC9" i="29" s="1"/>
  <c r="P221" i="29"/>
  <c r="N221" i="29" s="1"/>
  <c r="P118" i="29"/>
  <c r="P102" i="29"/>
  <c r="P38" i="29"/>
  <c r="P26" i="29"/>
  <c r="N26" i="29" s="1"/>
  <c r="AC26" i="29" s="1"/>
  <c r="P256" i="29"/>
  <c r="P139" i="29"/>
  <c r="N139" i="29" s="1"/>
  <c r="AC139" i="29" s="1"/>
  <c r="P51" i="29"/>
  <c r="P157" i="29"/>
  <c r="P222" i="28"/>
  <c r="P292" i="29"/>
  <c r="P238" i="28"/>
  <c r="P293" i="29"/>
  <c r="P283" i="29"/>
  <c r="P281" i="29"/>
  <c r="P138" i="29"/>
  <c r="N138" i="29" s="1"/>
  <c r="AC138" i="29" s="1"/>
  <c r="P237" i="28"/>
  <c r="P223" i="28"/>
  <c r="P296" i="29"/>
  <c r="P291" i="29"/>
  <c r="P279" i="29"/>
  <c r="P277" i="29"/>
  <c r="P50" i="29"/>
  <c r="P231" i="28"/>
  <c r="P224" i="28"/>
  <c r="P280" i="29"/>
  <c r="P117" i="29"/>
  <c r="P217" i="28"/>
  <c r="P294" i="29"/>
  <c r="P289" i="29"/>
  <c r="P275" i="29"/>
  <c r="P255" i="29"/>
  <c r="P238" i="29"/>
  <c r="N238" i="29" s="1"/>
  <c r="P83" i="29"/>
  <c r="P15" i="29"/>
  <c r="N15" i="29" s="1"/>
  <c r="AC15" i="29" s="1"/>
  <c r="P236" i="28"/>
  <c r="P234" i="28"/>
  <c r="P225" i="28"/>
  <c r="P219" i="28"/>
  <c r="P290" i="29"/>
  <c r="P276" i="29"/>
  <c r="P101" i="29"/>
  <c r="P66" i="29"/>
  <c r="P8" i="29"/>
  <c r="N8" i="29" s="1"/>
  <c r="AC8" i="29" s="1"/>
  <c r="P233" i="28"/>
  <c r="P146" i="29"/>
  <c r="N146" i="29" s="1"/>
  <c r="AC146" i="29" s="1"/>
  <c r="P282" i="29"/>
  <c r="P203" i="29"/>
  <c r="N203" i="29" s="1"/>
  <c r="P186" i="29"/>
  <c r="N186" i="29" s="1"/>
  <c r="P170" i="29"/>
  <c r="N170" i="29" s="1"/>
  <c r="P239" i="28"/>
  <c r="P218" i="28"/>
  <c r="P295" i="29"/>
  <c r="P220" i="29"/>
  <c r="N220" i="29" s="1"/>
  <c r="P37" i="29"/>
  <c r="P25" i="29"/>
  <c r="N25" i="29" s="1"/>
  <c r="AC25" i="29" s="1"/>
  <c r="P235" i="28"/>
  <c r="P232" i="28"/>
  <c r="P221" i="28"/>
  <c r="P198" i="28"/>
  <c r="P297" i="29"/>
  <c r="P278" i="29"/>
  <c r="P220" i="28"/>
  <c r="P254" i="29"/>
  <c r="P185" i="29"/>
  <c r="N185" i="29" s="1"/>
  <c r="P169" i="29"/>
  <c r="N169" i="29" s="1"/>
  <c r="P145" i="29"/>
  <c r="N145" i="29" s="1"/>
  <c r="AC145" i="29" s="1"/>
  <c r="P106" i="29"/>
  <c r="P202" i="29"/>
  <c r="N202" i="29" s="1"/>
  <c r="P116" i="29"/>
  <c r="P100" i="29"/>
  <c r="P225" i="29"/>
  <c r="P219" i="29"/>
  <c r="N219" i="29" s="1"/>
  <c r="P156" i="29"/>
  <c r="P122" i="29"/>
  <c r="P36" i="29"/>
  <c r="P71" i="29"/>
  <c r="P42" i="29"/>
  <c r="P137" i="29"/>
  <c r="N137" i="29" s="1"/>
  <c r="P88" i="29"/>
  <c r="P24" i="29"/>
  <c r="N24" i="29" s="1"/>
  <c r="AC24" i="29" s="1"/>
  <c r="P175" i="29"/>
  <c r="N175" i="29" s="1"/>
  <c r="P14" i="29"/>
  <c r="N14" i="29" s="1"/>
  <c r="AC14" i="29" s="1"/>
  <c r="P243" i="29"/>
  <c r="P208" i="29"/>
  <c r="N208" i="29" s="1"/>
  <c r="P191" i="29"/>
  <c r="N191" i="29" s="1"/>
  <c r="P260" i="29"/>
  <c r="P82" i="29"/>
  <c r="P49" i="29"/>
  <c r="P7" i="29"/>
  <c r="N7" i="29" s="1"/>
  <c r="P237" i="29"/>
  <c r="N237" i="29" s="1"/>
  <c r="P30" i="29"/>
  <c r="N30" i="29" s="1"/>
  <c r="AC30" i="29" s="1"/>
  <c r="P55" i="29"/>
  <c r="P162" i="29"/>
  <c r="P65" i="29"/>
  <c r="P8" i="28"/>
  <c r="P185" i="28"/>
  <c r="N185" i="28" s="1"/>
  <c r="AC185" i="28" s="1"/>
  <c r="P160" i="28"/>
  <c r="N160" i="28" s="1"/>
  <c r="AC160" i="28" s="1"/>
  <c r="P159" i="28"/>
  <c r="N159" i="28" s="1"/>
  <c r="AC159" i="28" s="1"/>
  <c r="P146" i="28"/>
  <c r="N146" i="28" s="1"/>
  <c r="AC146" i="28" s="1"/>
  <c r="P201" i="28"/>
  <c r="N201" i="28" s="1"/>
  <c r="AC201" i="28" s="1"/>
  <c r="P209" i="28"/>
  <c r="N209" i="28" s="1"/>
  <c r="AC209" i="28" s="1"/>
  <c r="P171" i="28"/>
  <c r="N171" i="28" s="1"/>
  <c r="AC171" i="28" s="1"/>
  <c r="P165" i="28"/>
  <c r="N165" i="28" s="1"/>
  <c r="AC165" i="28" s="1"/>
  <c r="P144" i="28"/>
  <c r="N144" i="28" s="1"/>
  <c r="AC144" i="28" s="1"/>
  <c r="P131" i="28"/>
  <c r="N131" i="28" s="1"/>
  <c r="AC131" i="28" s="1"/>
  <c r="P140" i="28"/>
  <c r="N140" i="28" s="1"/>
  <c r="AC140" i="28" s="1"/>
  <c r="P151" i="28"/>
  <c r="N151" i="28" s="1"/>
  <c r="AC151" i="28" s="1"/>
  <c r="P124" i="28"/>
  <c r="N124" i="28" s="1"/>
  <c r="AC124" i="28" s="1"/>
  <c r="P117" i="28"/>
  <c r="N117" i="28" s="1"/>
  <c r="AC117" i="28" s="1"/>
  <c r="P206" i="28"/>
  <c r="N206" i="28" s="1"/>
  <c r="AC206" i="28" s="1"/>
  <c r="P194" i="28"/>
  <c r="N194" i="28" s="1"/>
  <c r="AC194" i="28" s="1"/>
  <c r="P183" i="28"/>
  <c r="N183" i="28" s="1"/>
  <c r="AC183" i="28" s="1"/>
  <c r="P181" i="28"/>
  <c r="N181" i="28" s="1"/>
  <c r="AC181" i="28" s="1"/>
  <c r="P208" i="28"/>
  <c r="N208" i="28" s="1"/>
  <c r="AC208" i="28" s="1"/>
  <c r="P156" i="28"/>
  <c r="N156" i="28" s="1"/>
  <c r="AC156" i="28" s="1"/>
  <c r="P187" i="28"/>
  <c r="N187" i="28" s="1"/>
  <c r="AC187" i="28" s="1"/>
  <c r="P174" i="28"/>
  <c r="N174" i="28" s="1"/>
  <c r="AC174" i="28" s="1"/>
  <c r="N198" i="28"/>
  <c r="AC198" i="28" s="1"/>
  <c r="P162" i="28"/>
  <c r="N162" i="28" s="1"/>
  <c r="AC162" i="28" s="1"/>
  <c r="P137" i="28"/>
  <c r="N137" i="28" s="1"/>
  <c r="AC137" i="28" s="1"/>
  <c r="P148" i="28"/>
  <c r="N148" i="28" s="1"/>
  <c r="AC148" i="28" s="1"/>
  <c r="P128" i="28"/>
  <c r="N128" i="28" s="1"/>
  <c r="AC128" i="28" s="1"/>
  <c r="P121" i="28"/>
  <c r="N121" i="28" s="1"/>
  <c r="AC121" i="28" s="1"/>
  <c r="P114" i="28"/>
  <c r="N114" i="28" s="1"/>
  <c r="AC114" i="28" s="1"/>
  <c r="P173" i="28"/>
  <c r="N173" i="28" s="1"/>
  <c r="AC173" i="28" s="1"/>
  <c r="P203" i="28"/>
  <c r="N203" i="28" s="1"/>
  <c r="AC203" i="28" s="1"/>
  <c r="P178" i="28"/>
  <c r="N178" i="28" s="1"/>
  <c r="AC178" i="28" s="1"/>
  <c r="P197" i="28"/>
  <c r="P191" i="28"/>
  <c r="N191" i="28" s="1"/>
  <c r="AC191" i="28" s="1"/>
  <c r="P186" i="28"/>
  <c r="N186" i="28" s="1"/>
  <c r="AC186" i="28" s="1"/>
  <c r="P167" i="28"/>
  <c r="N167" i="28" s="1"/>
  <c r="AC167" i="28" s="1"/>
  <c r="P161" i="28"/>
  <c r="N161" i="28" s="1"/>
  <c r="AC161" i="28" s="1"/>
  <c r="P142" i="28"/>
  <c r="N142" i="28" s="1"/>
  <c r="AC142" i="28" s="1"/>
  <c r="P133" i="28"/>
  <c r="N133" i="28" s="1"/>
  <c r="AC133" i="28" s="1"/>
  <c r="P147" i="28"/>
  <c r="N147" i="28" s="1"/>
  <c r="AC147" i="28" s="1"/>
  <c r="P136" i="28"/>
  <c r="N136" i="28" s="1"/>
  <c r="AC136" i="28" s="1"/>
  <c r="P127" i="28"/>
  <c r="N127" i="28" s="1"/>
  <c r="AC127" i="28" s="1"/>
  <c r="P153" i="28"/>
  <c r="N153" i="28" s="1"/>
  <c r="AC153" i="28" s="1"/>
  <c r="P120" i="28"/>
  <c r="N120" i="28" s="1"/>
  <c r="AC120" i="28" s="1"/>
  <c r="P113" i="28"/>
  <c r="N113" i="28" s="1"/>
  <c r="D23" i="6"/>
  <c r="P190" i="28"/>
  <c r="N190" i="28" s="1"/>
  <c r="AC190" i="28" s="1"/>
  <c r="P202" i="28"/>
  <c r="N202" i="28" s="1"/>
  <c r="AC202" i="28" s="1"/>
  <c r="P177" i="28"/>
  <c r="N177" i="28" s="1"/>
  <c r="AC177" i="28" s="1"/>
  <c r="P166" i="28"/>
  <c r="N166" i="28" s="1"/>
  <c r="AC166" i="28" s="1"/>
  <c r="P132" i="28"/>
  <c r="N132" i="28" s="1"/>
  <c r="AC132" i="28" s="1"/>
  <c r="P152" i="28"/>
  <c r="N152" i="28" s="1"/>
  <c r="AC152" i="28" s="1"/>
  <c r="P141" i="28"/>
  <c r="N141" i="28" s="1"/>
  <c r="AC141" i="28" s="1"/>
  <c r="P118" i="28"/>
  <c r="N118" i="28" s="1"/>
  <c r="AC118" i="28" s="1"/>
  <c r="P125" i="28"/>
  <c r="N125" i="28" s="1"/>
  <c r="AC125" i="28" s="1"/>
  <c r="B23" i="6"/>
  <c r="Q23" i="6" s="1"/>
  <c r="O7" i="28"/>
  <c r="AD7" i="28" s="1"/>
  <c r="O159" i="28"/>
  <c r="AD159" i="28" s="1"/>
  <c r="E23" i="6"/>
  <c r="P200" i="28"/>
  <c r="N200" i="28" s="1"/>
  <c r="AC200" i="28" s="1"/>
  <c r="P189" i="28"/>
  <c r="N189" i="28" s="1"/>
  <c r="AC189" i="28" s="1"/>
  <c r="P176" i="28"/>
  <c r="N176" i="28" s="1"/>
  <c r="AC176" i="28" s="1"/>
  <c r="P164" i="28"/>
  <c r="N164" i="28" s="1"/>
  <c r="AC164" i="28" s="1"/>
  <c r="P139" i="28"/>
  <c r="N139" i="28" s="1"/>
  <c r="AC139" i="28" s="1"/>
  <c r="P150" i="28"/>
  <c r="N150" i="28" s="1"/>
  <c r="AC150" i="28" s="1"/>
  <c r="P130" i="28"/>
  <c r="N130" i="28" s="1"/>
  <c r="AC130" i="28" s="1"/>
  <c r="P123" i="28"/>
  <c r="N123" i="28" s="1"/>
  <c r="AC123" i="28" s="1"/>
  <c r="P116" i="28"/>
  <c r="N116" i="28" s="1"/>
  <c r="AC116" i="28" s="1"/>
  <c r="P175" i="28"/>
  <c r="N175" i="28" s="1"/>
  <c r="AC175" i="28" s="1"/>
  <c r="P188" i="28"/>
  <c r="N188" i="28" s="1"/>
  <c r="AC188" i="28" s="1"/>
  <c r="P199" i="28"/>
  <c r="N199" i="28" s="1"/>
  <c r="AC199" i="28" s="1"/>
  <c r="P163" i="28"/>
  <c r="N163" i="28" s="1"/>
  <c r="AC163" i="28" s="1"/>
  <c r="P138" i="28"/>
  <c r="N138" i="28" s="1"/>
  <c r="AC138" i="28" s="1"/>
  <c r="P129" i="28"/>
  <c r="N129" i="28" s="1"/>
  <c r="AC129" i="28" s="1"/>
  <c r="P149" i="28"/>
  <c r="N149" i="28" s="1"/>
  <c r="AC149" i="28" s="1"/>
  <c r="P115" i="28"/>
  <c r="N115" i="28" s="1"/>
  <c r="AC115" i="28" s="1"/>
  <c r="P122" i="28"/>
  <c r="N122" i="28" s="1"/>
  <c r="AC122" i="28" s="1"/>
  <c r="N8" i="28"/>
  <c r="P85" i="28"/>
  <c r="N85" i="28" s="1"/>
  <c r="AC85" i="28" s="1"/>
  <c r="P47" i="28"/>
  <c r="N47" i="28" s="1"/>
  <c r="AC47" i="28" s="1"/>
  <c r="P71" i="28"/>
  <c r="N71" i="28" s="1"/>
  <c r="AC71" i="28" s="1"/>
  <c r="P41" i="28"/>
  <c r="N41" i="28" s="1"/>
  <c r="AC41" i="28" s="1"/>
  <c r="P53" i="28"/>
  <c r="N53" i="28" s="1"/>
  <c r="AC53" i="28" s="1"/>
  <c r="P92" i="28"/>
  <c r="N92" i="28" s="1"/>
  <c r="AC92" i="28" s="1"/>
  <c r="P59" i="28"/>
  <c r="N59" i="28" s="1"/>
  <c r="AC59" i="28" s="1"/>
  <c r="P98" i="28"/>
  <c r="N98" i="28" s="1"/>
  <c r="AC98" i="28" s="1"/>
  <c r="P80" i="28"/>
  <c r="N80" i="28" s="1"/>
  <c r="AC80" i="28" s="1"/>
  <c r="P66" i="28"/>
  <c r="N66" i="28" s="1"/>
  <c r="AC66" i="28" s="1"/>
  <c r="P40" i="28"/>
  <c r="N40" i="28" s="1"/>
  <c r="AC40" i="28" s="1"/>
  <c r="P52" i="28"/>
  <c r="N52" i="28" s="1"/>
  <c r="AC52" i="28" s="1"/>
  <c r="P95" i="28"/>
  <c r="N95" i="28" s="1"/>
  <c r="AC95" i="28" s="1"/>
  <c r="P83" i="28"/>
  <c r="N83" i="28" s="1"/>
  <c r="AC83" i="28" s="1"/>
  <c r="P69" i="28"/>
  <c r="N69" i="28" s="1"/>
  <c r="AC69" i="28" s="1"/>
  <c r="P44" i="28"/>
  <c r="N44" i="28" s="1"/>
  <c r="AC44" i="28" s="1"/>
  <c r="P56" i="28"/>
  <c r="N56" i="28" s="1"/>
  <c r="AC56" i="28" s="1"/>
  <c r="O40" i="28"/>
  <c r="AD40" i="28" s="1"/>
  <c r="P105" i="28"/>
  <c r="N105" i="28" s="1"/>
  <c r="AC105" i="28" s="1"/>
  <c r="P96" i="28"/>
  <c r="N96" i="28" s="1"/>
  <c r="AC96" i="28" s="1"/>
  <c r="P90" i="28"/>
  <c r="N90" i="28" s="1"/>
  <c r="AC90" i="28" s="1"/>
  <c r="P64" i="28"/>
  <c r="N64" i="28" s="1"/>
  <c r="AC64" i="28" s="1"/>
  <c r="P45" i="28"/>
  <c r="N45" i="28" s="1"/>
  <c r="AC45" i="28" s="1"/>
  <c r="P104" i="28"/>
  <c r="N104" i="28" s="1"/>
  <c r="AC104" i="28" s="1"/>
  <c r="P77" i="28"/>
  <c r="N77" i="28" s="1"/>
  <c r="AC77" i="28" s="1"/>
  <c r="P57" i="28"/>
  <c r="N57" i="28" s="1"/>
  <c r="AC57" i="28" s="1"/>
  <c r="P50" i="28"/>
  <c r="N50" i="28" s="1"/>
  <c r="AC50" i="28" s="1"/>
  <c r="P76" i="28"/>
  <c r="N76" i="28" s="1"/>
  <c r="AC76" i="28" s="1"/>
  <c r="P101" i="28"/>
  <c r="N101" i="28" s="1"/>
  <c r="AC101" i="28" s="1"/>
  <c r="P74" i="28"/>
  <c r="N74" i="28" s="1"/>
  <c r="AC74" i="28" s="1"/>
  <c r="P88" i="28"/>
  <c r="N88" i="28" s="1"/>
  <c r="AC88" i="28" s="1"/>
  <c r="P103" i="28"/>
  <c r="N103" i="28" s="1"/>
  <c r="AC103" i="28" s="1"/>
  <c r="P63" i="28"/>
  <c r="N63" i="28" s="1"/>
  <c r="AC63" i="28" s="1"/>
  <c r="P55" i="28"/>
  <c r="N55" i="28" s="1"/>
  <c r="AC55" i="28" s="1"/>
  <c r="P94" i="28"/>
  <c r="N94" i="28" s="1"/>
  <c r="AC94" i="28" s="1"/>
  <c r="P82" i="28"/>
  <c r="N82" i="28" s="1"/>
  <c r="AC82" i="28" s="1"/>
  <c r="P68" i="28"/>
  <c r="N68" i="28" s="1"/>
  <c r="AC68" i="28" s="1"/>
  <c r="P43" i="28"/>
  <c r="N43" i="28" s="1"/>
  <c r="AC43" i="28" s="1"/>
  <c r="P84" i="28"/>
  <c r="N84" i="28" s="1"/>
  <c r="AC84" i="28" s="1"/>
  <c r="P97" i="28"/>
  <c r="N97" i="28" s="1"/>
  <c r="AC97" i="28" s="1"/>
  <c r="P70" i="28"/>
  <c r="N70" i="28" s="1"/>
  <c r="AC70" i="28" s="1"/>
  <c r="P58" i="28"/>
  <c r="N58" i="28" s="1"/>
  <c r="AC58" i="28" s="1"/>
  <c r="P46" i="28"/>
  <c r="N46" i="28" s="1"/>
  <c r="AC46" i="28" s="1"/>
  <c r="P54" i="28"/>
  <c r="N54" i="28" s="1"/>
  <c r="AC54" i="28" s="1"/>
  <c r="P93" i="28"/>
  <c r="N93" i="28" s="1"/>
  <c r="AC93" i="28" s="1"/>
  <c r="P42" i="28"/>
  <c r="N42" i="28" s="1"/>
  <c r="AC42" i="28" s="1"/>
  <c r="P81" i="28"/>
  <c r="N81" i="28" s="1"/>
  <c r="AC81" i="28" s="1"/>
  <c r="P67" i="28"/>
  <c r="N67" i="28" s="1"/>
  <c r="AC67" i="28" s="1"/>
  <c r="O52" i="28"/>
  <c r="AD52" i="28" s="1"/>
  <c r="P20" i="28"/>
  <c r="N20" i="28" s="1"/>
  <c r="AC20" i="28" s="1"/>
  <c r="P35" i="28"/>
  <c r="N35" i="28" s="1"/>
  <c r="AC35" i="28" s="1"/>
  <c r="P13" i="28"/>
  <c r="P27" i="28"/>
  <c r="N27" i="28" s="1"/>
  <c r="AC27" i="28" s="1"/>
  <c r="P29" i="28"/>
  <c r="P37" i="28"/>
  <c r="P31" i="28"/>
  <c r="N31" i="28" s="1"/>
  <c r="AC31" i="28" s="1"/>
  <c r="P16" i="28"/>
  <c r="N16" i="28" s="1"/>
  <c r="AC16" i="28" s="1"/>
  <c r="P23" i="28"/>
  <c r="N23" i="28" s="1"/>
  <c r="AC23" i="28" s="1"/>
  <c r="D23" i="9"/>
  <c r="B7" i="6"/>
  <c r="Q7" i="6" s="1"/>
  <c r="C7" i="9"/>
  <c r="P36" i="28"/>
  <c r="N36" i="28" s="1"/>
  <c r="AC36" i="28" s="1"/>
  <c r="P14" i="28"/>
  <c r="P21" i="28"/>
  <c r="N21" i="28" s="1"/>
  <c r="AC21" i="28" s="1"/>
  <c r="P28" i="28"/>
  <c r="N28" i="28" s="1"/>
  <c r="AC28" i="28" s="1"/>
  <c r="B8" i="6"/>
  <c r="Q8" i="6" s="1"/>
  <c r="C8" i="9"/>
  <c r="B6" i="6"/>
  <c r="C6" i="9"/>
  <c r="P34" i="28"/>
  <c r="N34" i="28" s="1"/>
  <c r="AC34" i="28" s="1"/>
  <c r="P19" i="28"/>
  <c r="N19" i="28" s="1"/>
  <c r="AC19" i="28" s="1"/>
  <c r="P12" i="28"/>
  <c r="N12" i="28" s="1"/>
  <c r="P26" i="28"/>
  <c r="N26" i="28" s="1"/>
  <c r="AC26" i="28" s="1"/>
  <c r="P17" i="28"/>
  <c r="N17" i="28" s="1"/>
  <c r="AC17" i="28" s="1"/>
  <c r="P32" i="28"/>
  <c r="N32" i="28" s="1"/>
  <c r="AC32" i="28" s="1"/>
  <c r="P24" i="28"/>
  <c r="N24" i="28" s="1"/>
  <c r="AC24" i="28" s="1"/>
  <c r="P10" i="28"/>
  <c r="B9" i="6"/>
  <c r="Q9" i="6" s="1"/>
  <c r="C9" i="9"/>
  <c r="P18" i="28"/>
  <c r="N18" i="28" s="1"/>
  <c r="AC18" i="28" s="1"/>
  <c r="P25" i="28"/>
  <c r="N25" i="28" s="1"/>
  <c r="AC25" i="28" s="1"/>
  <c r="P11" i="28"/>
  <c r="N11" i="28" s="1"/>
  <c r="P33" i="28"/>
  <c r="N33" i="28" s="1"/>
  <c r="AC33" i="28" s="1"/>
  <c r="D24" i="27"/>
  <c r="A21" i="27"/>
  <c r="J21" i="27" s="1"/>
  <c r="A17" i="27"/>
  <c r="J17" i="27" s="1"/>
  <c r="D25" i="27"/>
  <c r="D17" i="27"/>
  <c r="A23" i="27"/>
  <c r="J23" i="27" s="1"/>
  <c r="D19" i="27"/>
  <c r="A24" i="27"/>
  <c r="J24" i="27" s="1"/>
  <c r="D18" i="27"/>
  <c r="D20" i="27"/>
  <c r="A25" i="27"/>
  <c r="J25" i="27" s="1"/>
  <c r="A20" i="27"/>
  <c r="J20" i="27" s="1"/>
  <c r="D21" i="27"/>
  <c r="A18" i="27"/>
  <c r="J18" i="27" s="1"/>
  <c r="D23" i="27"/>
  <c r="A22" i="27"/>
  <c r="J22" i="27" s="1"/>
  <c r="D22" i="27"/>
  <c r="A19" i="27"/>
  <c r="J19" i="27" s="1"/>
  <c r="D34" i="27"/>
  <c r="A28" i="27"/>
  <c r="J28" i="27" s="1"/>
  <c r="A27" i="27"/>
  <c r="J27" i="27" s="1"/>
  <c r="A29" i="27"/>
  <c r="J29" i="27" s="1"/>
  <c r="D35" i="27"/>
  <c r="D28" i="27"/>
  <c r="D27" i="27"/>
  <c r="A30" i="27"/>
  <c r="J30" i="27" s="1"/>
  <c r="D29" i="27"/>
  <c r="A31" i="27"/>
  <c r="J31" i="27" s="1"/>
  <c r="D30" i="27"/>
  <c r="A32" i="27"/>
  <c r="J32" i="27" s="1"/>
  <c r="D31" i="27"/>
  <c r="A33" i="27"/>
  <c r="J33" i="27" s="1"/>
  <c r="D33" i="27"/>
  <c r="D32" i="27"/>
  <c r="A34" i="27"/>
  <c r="J34" i="27" s="1"/>
  <c r="A35" i="27"/>
  <c r="J35" i="27" s="1"/>
  <c r="D13" i="27"/>
  <c r="A8" i="27"/>
  <c r="J8" i="27" s="1"/>
  <c r="D14" i="27"/>
  <c r="A9" i="27"/>
  <c r="J9" i="27" s="1"/>
  <c r="D15" i="27"/>
  <c r="A10" i="27"/>
  <c r="J10" i="27" s="1"/>
  <c r="D7" i="27"/>
  <c r="A11" i="27"/>
  <c r="J11" i="27" s="1"/>
  <c r="D8" i="27"/>
  <c r="A12" i="27"/>
  <c r="J12" i="27" s="1"/>
  <c r="D9" i="27"/>
  <c r="A15" i="27"/>
  <c r="J15" i="27" s="1"/>
  <c r="A7" i="27"/>
  <c r="J7" i="27" s="1"/>
  <c r="A13" i="27"/>
  <c r="J13" i="27" s="1"/>
  <c r="D10" i="27"/>
  <c r="D12" i="27"/>
  <c r="D11" i="27"/>
  <c r="A14" i="27"/>
  <c r="J14" i="27" s="1"/>
  <c r="D11" i="6"/>
  <c r="B11" i="6"/>
  <c r="Q11" i="6" s="1"/>
  <c r="D18" i="6"/>
  <c r="B18" i="6"/>
  <c r="Q18" i="6" s="1"/>
  <c r="D25" i="6"/>
  <c r="B25" i="6"/>
  <c r="Q25" i="6" s="1"/>
  <c r="D27" i="6"/>
  <c r="B27" i="6"/>
  <c r="Q27" i="6" s="1"/>
  <c r="D10" i="6"/>
  <c r="B10" i="6"/>
  <c r="Q10" i="6" s="1"/>
  <c r="B15" i="6"/>
  <c r="Q15" i="6" s="1"/>
  <c r="D15" i="6"/>
  <c r="D26" i="6"/>
  <c r="B26" i="6"/>
  <c r="Q26" i="6" s="1"/>
  <c r="D22" i="6"/>
  <c r="B22" i="6"/>
  <c r="Q22" i="6" s="1"/>
  <c r="D16" i="6"/>
  <c r="B16" i="6"/>
  <c r="Q16" i="6" s="1"/>
  <c r="D14" i="6"/>
  <c r="B14" i="6"/>
  <c r="Q14" i="6" s="1"/>
  <c r="D20" i="6"/>
  <c r="B20" i="6"/>
  <c r="Q20" i="6" s="1"/>
  <c r="D17" i="6"/>
  <c r="B17" i="6"/>
  <c r="Q17" i="6" s="1"/>
  <c r="B24" i="6"/>
  <c r="Q24" i="6" s="1"/>
  <c r="D24" i="6"/>
  <c r="D12" i="6"/>
  <c r="B12" i="6"/>
  <c r="Q12" i="6" s="1"/>
  <c r="D21" i="6"/>
  <c r="B21" i="6"/>
  <c r="Q21" i="6" s="1"/>
  <c r="D19" i="6"/>
  <c r="B19" i="6"/>
  <c r="Q19" i="6" s="1"/>
  <c r="D13" i="6"/>
  <c r="B13" i="6"/>
  <c r="Q13" i="6" s="1"/>
  <c r="D6" i="6"/>
  <c r="D8" i="6"/>
  <c r="D9" i="6"/>
  <c r="D7" i="6"/>
  <c r="C30" i="22"/>
  <c r="G27" i="6" s="1"/>
  <c r="H27" i="6" s="1"/>
  <c r="C29" i="22"/>
  <c r="C28" i="22"/>
  <c r="G25" i="6" s="1"/>
  <c r="H25" i="6" s="1"/>
  <c r="C25" i="22"/>
  <c r="C24" i="22"/>
  <c r="C23" i="22"/>
  <c r="C22" i="22"/>
  <c r="C21" i="22"/>
  <c r="C20" i="22"/>
  <c r="C19" i="22"/>
  <c r="C18" i="22"/>
  <c r="C17" i="22"/>
  <c r="C16" i="22"/>
  <c r="C15" i="22"/>
  <c r="G12" i="6" s="1"/>
  <c r="H12" i="6" s="1"/>
  <c r="C14" i="22"/>
  <c r="C12" i="22"/>
  <c r="C11" i="22"/>
  <c r="G8" i="6" s="1"/>
  <c r="H8" i="6" s="1"/>
  <c r="C10" i="22"/>
  <c r="C9" i="22"/>
  <c r="G6" i="6" s="1"/>
  <c r="H6" i="6" s="1"/>
  <c r="B30" i="22"/>
  <c r="C30" i="43" s="1"/>
  <c r="D28" i="9" s="1"/>
  <c r="B29" i="22"/>
  <c r="C29" i="43" s="1"/>
  <c r="D27" i="9" s="1"/>
  <c r="B28" i="22"/>
  <c r="C27" i="43" s="1"/>
  <c r="D25" i="9" s="1"/>
  <c r="B25" i="22"/>
  <c r="C24" i="43" s="1"/>
  <c r="D22" i="9" s="1"/>
  <c r="B24" i="22"/>
  <c r="C23" i="43" s="1"/>
  <c r="D21" i="9" s="1"/>
  <c r="B23" i="22"/>
  <c r="C22" i="43" s="1"/>
  <c r="D20" i="9" s="1"/>
  <c r="O192" i="44" s="1"/>
  <c r="AD192" i="44" s="1"/>
  <c r="B22" i="22"/>
  <c r="C21" i="43" s="1"/>
  <c r="D19" i="9" s="1"/>
  <c r="B21" i="22"/>
  <c r="C20" i="43" s="1"/>
  <c r="D18" i="9" s="1"/>
  <c r="B20" i="22"/>
  <c r="C19" i="43" s="1"/>
  <c r="D17" i="9" s="1"/>
  <c r="B19" i="22"/>
  <c r="C18" i="43" s="1"/>
  <c r="D16" i="9" s="1"/>
  <c r="B18" i="22"/>
  <c r="C17" i="43" s="1"/>
  <c r="D15" i="9" s="1"/>
  <c r="B17" i="22"/>
  <c r="C16" i="43" s="1"/>
  <c r="D14" i="9" s="1"/>
  <c r="B16" i="22"/>
  <c r="C15" i="43" s="1"/>
  <c r="D13" i="9" s="1"/>
  <c r="B15" i="22"/>
  <c r="C14" i="43" s="1"/>
  <c r="D12" i="9" s="1"/>
  <c r="B14" i="22"/>
  <c r="C13" i="43" s="1"/>
  <c r="D11" i="9" s="1"/>
  <c r="B13" i="22"/>
  <c r="C12" i="43" s="1"/>
  <c r="D10" i="9" s="1"/>
  <c r="B12" i="22"/>
  <c r="C11" i="43" s="1"/>
  <c r="D9" i="9" s="1"/>
  <c r="B11" i="22"/>
  <c r="C10" i="43" s="1"/>
  <c r="D8" i="9" s="1"/>
  <c r="B10" i="22"/>
  <c r="C9" i="43" s="1"/>
  <c r="D7" i="9" s="1"/>
  <c r="B9" i="22"/>
  <c r="C8" i="43" s="1"/>
  <c r="D6" i="9" s="1"/>
  <c r="L111" i="22" l="1"/>
  <c r="M111" i="22"/>
  <c r="M113" i="22" s="1"/>
  <c r="O111" i="22"/>
  <c r="O113" i="22" s="1"/>
  <c r="K111" i="22"/>
  <c r="P111" i="22"/>
  <c r="N111" i="22"/>
  <c r="AC113" i="28"/>
  <c r="AC137" i="29"/>
  <c r="AC145" i="44"/>
  <c r="AC8" i="28"/>
  <c r="AC7" i="29"/>
  <c r="AC7" i="44"/>
  <c r="N79" i="29"/>
  <c r="AC79" i="29" s="1"/>
  <c r="N39" i="29"/>
  <c r="AC39" i="29" s="1"/>
  <c r="N162" i="29"/>
  <c r="AC162" i="29" s="1"/>
  <c r="N42" i="29"/>
  <c r="AC42" i="29" s="1"/>
  <c r="N116" i="29"/>
  <c r="AC116" i="29" s="1"/>
  <c r="N256" i="29"/>
  <c r="AC256" i="29" s="1"/>
  <c r="N158" i="29"/>
  <c r="AC158" i="29" s="1"/>
  <c r="N53" i="29"/>
  <c r="AC53" i="29" s="1"/>
  <c r="N40" i="29"/>
  <c r="AC40" i="29" s="1"/>
  <c r="N166" i="29"/>
  <c r="AC166" i="29" s="1"/>
  <c r="N94" i="29"/>
  <c r="AC94" i="29" s="1"/>
  <c r="N121" i="29"/>
  <c r="AC121" i="29" s="1"/>
  <c r="N60" i="29"/>
  <c r="AC60" i="29" s="1"/>
  <c r="N236" i="29"/>
  <c r="AC236" i="29" s="1"/>
  <c r="N250" i="29"/>
  <c r="AC250" i="29" s="1"/>
  <c r="N232" i="29"/>
  <c r="AC232" i="29" s="1"/>
  <c r="N271" i="44"/>
  <c r="AC271" i="44" s="1"/>
  <c r="N213" i="29"/>
  <c r="AC213" i="29" s="1"/>
  <c r="N230" i="29"/>
  <c r="AC230" i="29" s="1"/>
  <c r="N65" i="29"/>
  <c r="AC65" i="29" s="1"/>
  <c r="N37" i="29"/>
  <c r="AC37" i="29" s="1"/>
  <c r="N50" i="29"/>
  <c r="AC50" i="29" s="1"/>
  <c r="N46" i="29"/>
  <c r="AC46" i="29" s="1"/>
  <c r="N181" i="29"/>
  <c r="AC181" i="29" s="1"/>
  <c r="N55" i="29"/>
  <c r="AC55" i="29" s="1"/>
  <c r="N71" i="29"/>
  <c r="AC71" i="29" s="1"/>
  <c r="N129" i="29"/>
  <c r="AC129" i="29" s="1"/>
  <c r="N70" i="29"/>
  <c r="AC70" i="29" s="1"/>
  <c r="N110" i="29"/>
  <c r="AC110" i="29" s="1"/>
  <c r="N85" i="29"/>
  <c r="AC85" i="29" s="1"/>
  <c r="N257" i="29"/>
  <c r="AC257" i="29" s="1"/>
  <c r="N270" i="44"/>
  <c r="AC270" i="44" s="1"/>
  <c r="N178" i="29"/>
  <c r="AC178" i="29" s="1"/>
  <c r="N198" i="29"/>
  <c r="AC198" i="29" s="1"/>
  <c r="N247" i="29"/>
  <c r="AC247" i="29" s="1"/>
  <c r="O273" i="44"/>
  <c r="AD273" i="44" s="1"/>
  <c r="O254" i="44"/>
  <c r="AD254" i="44" s="1"/>
  <c r="O243" i="29"/>
  <c r="AD243" i="29" s="1"/>
  <c r="O145" i="29"/>
  <c r="AD145" i="29" s="1"/>
  <c r="O151" i="44"/>
  <c r="AD151" i="44" s="1"/>
  <c r="O116" i="29"/>
  <c r="AD116" i="29" s="1"/>
  <c r="O49" i="44"/>
  <c r="AD49" i="44" s="1"/>
  <c r="O187" i="44"/>
  <c r="AD187" i="44" s="1"/>
  <c r="O162" i="44"/>
  <c r="AD162" i="44" s="1"/>
  <c r="O169" i="44"/>
  <c r="AD169" i="44" s="1"/>
  <c r="O122" i="29"/>
  <c r="AD122" i="29" s="1"/>
  <c r="O36" i="29"/>
  <c r="AD36" i="29" s="1"/>
  <c r="O197" i="44"/>
  <c r="AD197" i="44" s="1"/>
  <c r="O202" i="29"/>
  <c r="AD202" i="29" s="1"/>
  <c r="O185" i="29"/>
  <c r="O175" i="44"/>
  <c r="AD175" i="44" s="1"/>
  <c r="O107" i="44"/>
  <c r="AD107" i="44" s="1"/>
  <c r="O254" i="29"/>
  <c r="AD254" i="29" s="1"/>
  <c r="O231" i="44"/>
  <c r="AD231" i="44" s="1"/>
  <c r="O219" i="29"/>
  <c r="AD219" i="29" s="1"/>
  <c r="O214" i="44"/>
  <c r="AD214" i="44" s="1"/>
  <c r="O169" i="29"/>
  <c r="AD169" i="29" s="1"/>
  <c r="O156" i="29"/>
  <c r="O106" i="29"/>
  <c r="AD106" i="29" s="1"/>
  <c r="O97" i="44"/>
  <c r="AD97" i="44" s="1"/>
  <c r="O88" i="29"/>
  <c r="AD88" i="29" s="1"/>
  <c r="O80" i="44"/>
  <c r="AD80" i="44" s="1"/>
  <c r="O71" i="29"/>
  <c r="O55" i="29"/>
  <c r="O267" i="44"/>
  <c r="AD267" i="44" s="1"/>
  <c r="O248" i="44"/>
  <c r="AD248" i="44" s="1"/>
  <c r="O237" i="29"/>
  <c r="AD237" i="29" s="1"/>
  <c r="O208" i="29"/>
  <c r="O203" i="44"/>
  <c r="AD203" i="44" s="1"/>
  <c r="O156" i="44"/>
  <c r="AD156" i="44" s="1"/>
  <c r="O113" i="44"/>
  <c r="AD113" i="44" s="1"/>
  <c r="O237" i="44"/>
  <c r="AD237" i="44" s="1"/>
  <c r="O181" i="44"/>
  <c r="AD181" i="44" s="1"/>
  <c r="O42" i="29"/>
  <c r="O260" i="29"/>
  <c r="O129" i="44"/>
  <c r="AD129" i="44" s="1"/>
  <c r="O49" i="29"/>
  <c r="AD49" i="29" s="1"/>
  <c r="O191" i="29"/>
  <c r="AD191" i="29" s="1"/>
  <c r="O175" i="29"/>
  <c r="O100" i="29"/>
  <c r="O82" i="29"/>
  <c r="AD82" i="29" s="1"/>
  <c r="O65" i="29"/>
  <c r="O225" i="29"/>
  <c r="AD225" i="29" s="1"/>
  <c r="O162" i="29"/>
  <c r="O123" i="44"/>
  <c r="AD123" i="44" s="1"/>
  <c r="O91" i="44"/>
  <c r="AD91" i="44" s="1"/>
  <c r="O57" i="44"/>
  <c r="AD57" i="44" s="1"/>
  <c r="O74" i="44"/>
  <c r="AD74" i="44" s="1"/>
  <c r="O220" i="44"/>
  <c r="AD220" i="44" s="1"/>
  <c r="O63" i="44"/>
  <c r="AD63" i="44" s="1"/>
  <c r="O43" i="44"/>
  <c r="AD43" i="44" s="1"/>
  <c r="O145" i="44"/>
  <c r="AD145" i="44" s="1"/>
  <c r="O37" i="44"/>
  <c r="AD37" i="44" s="1"/>
  <c r="O12" i="44"/>
  <c r="AD12" i="44" s="1"/>
  <c r="O24" i="44"/>
  <c r="AD24" i="44" s="1"/>
  <c r="O18" i="44"/>
  <c r="AD18" i="44" s="1"/>
  <c r="O31" i="44"/>
  <c r="AD31" i="44" s="1"/>
  <c r="O7" i="44"/>
  <c r="AD7" i="44" s="1"/>
  <c r="N260" i="29"/>
  <c r="AC260" i="29" s="1"/>
  <c r="N263" i="29"/>
  <c r="AC263" i="29" s="1"/>
  <c r="O171" i="44"/>
  <c r="AD171" i="44" s="1"/>
  <c r="O38" i="29"/>
  <c r="AD38" i="29" s="1"/>
  <c r="O204" i="29"/>
  <c r="AD204" i="29" s="1"/>
  <c r="O199" i="44"/>
  <c r="AD199" i="44" s="1"/>
  <c r="O109" i="44"/>
  <c r="AD109" i="44" s="1"/>
  <c r="O59" i="44"/>
  <c r="AD59" i="44" s="1"/>
  <c r="O256" i="29"/>
  <c r="AD256" i="29" s="1"/>
  <c r="O233" i="44"/>
  <c r="AD233" i="44" s="1"/>
  <c r="O221" i="29"/>
  <c r="AD221" i="29" s="1"/>
  <c r="O216" i="44"/>
  <c r="AD216" i="44" s="1"/>
  <c r="O187" i="29"/>
  <c r="AD187" i="29" s="1"/>
  <c r="O171" i="29"/>
  <c r="O158" i="29"/>
  <c r="O269" i="44"/>
  <c r="AD269" i="44" s="1"/>
  <c r="O250" i="44"/>
  <c r="AD250" i="44" s="1"/>
  <c r="O239" i="29"/>
  <c r="O158" i="44"/>
  <c r="AD158" i="44" s="1"/>
  <c r="O183" i="44"/>
  <c r="AD183" i="44" s="1"/>
  <c r="O147" i="44"/>
  <c r="AD147" i="44" s="1"/>
  <c r="O147" i="29"/>
  <c r="O118" i="29"/>
  <c r="O102" i="29"/>
  <c r="O84" i="29"/>
  <c r="AD84" i="29" s="1"/>
  <c r="O67" i="29"/>
  <c r="O125" i="44"/>
  <c r="AD125" i="44" s="1"/>
  <c r="O93" i="44"/>
  <c r="AD93" i="44" s="1"/>
  <c r="O45" i="44"/>
  <c r="AD45" i="44" s="1"/>
  <c r="O76" i="44"/>
  <c r="AD76" i="44" s="1"/>
  <c r="O51" i="29"/>
  <c r="O20" i="44"/>
  <c r="AD20" i="44" s="1"/>
  <c r="O33" i="44"/>
  <c r="AD33" i="44" s="1"/>
  <c r="O9" i="44"/>
  <c r="AD9" i="44" s="1"/>
  <c r="O209" i="44"/>
  <c r="AD209" i="44" s="1"/>
  <c r="O182" i="29"/>
  <c r="AD182" i="29" s="1"/>
  <c r="O153" i="29"/>
  <c r="AD153" i="29" s="1"/>
  <c r="O243" i="44"/>
  <c r="AD243" i="44" s="1"/>
  <c r="O231" i="29"/>
  <c r="AD231" i="29" s="1"/>
  <c r="O197" i="29"/>
  <c r="AD197" i="29" s="1"/>
  <c r="O260" i="44"/>
  <c r="AD260" i="44" s="1"/>
  <c r="O249" i="29"/>
  <c r="AD249" i="29" s="1"/>
  <c r="O194" i="44"/>
  <c r="AD194" i="44" s="1"/>
  <c r="O109" i="29"/>
  <c r="O100" i="44"/>
  <c r="AD100" i="44" s="1"/>
  <c r="O91" i="29"/>
  <c r="O58" i="29"/>
  <c r="O41" i="44"/>
  <c r="AD41" i="44" s="1"/>
  <c r="O264" i="29"/>
  <c r="AD264" i="29" s="1"/>
  <c r="O277" i="44"/>
  <c r="AD277" i="44" s="1"/>
  <c r="O55" i="44"/>
  <c r="AD55" i="44" s="1"/>
  <c r="O126" i="29"/>
  <c r="AD126" i="29" s="1"/>
  <c r="O133" i="44"/>
  <c r="AD133" i="44" s="1"/>
  <c r="O167" i="44"/>
  <c r="AD167" i="44" s="1"/>
  <c r="O66" i="44"/>
  <c r="AD66" i="44" s="1"/>
  <c r="O116" i="44"/>
  <c r="AD116" i="44" s="1"/>
  <c r="O45" i="29"/>
  <c r="AD45" i="29" s="1"/>
  <c r="O83" i="44"/>
  <c r="AD83" i="44" s="1"/>
  <c r="O74" i="29"/>
  <c r="AD74" i="29" s="1"/>
  <c r="N243" i="29"/>
  <c r="AC243" i="29" s="1"/>
  <c r="N36" i="29"/>
  <c r="AC36" i="29" s="1"/>
  <c r="N106" i="29"/>
  <c r="AC106" i="29" s="1"/>
  <c r="N38" i="29"/>
  <c r="AC38" i="29" s="1"/>
  <c r="N120" i="29"/>
  <c r="AC120" i="29" s="1"/>
  <c r="N47" i="29"/>
  <c r="AC47" i="29" s="1"/>
  <c r="N41" i="29"/>
  <c r="AC41" i="29" s="1"/>
  <c r="N161" i="29"/>
  <c r="AC161" i="29" s="1"/>
  <c r="N111" i="29"/>
  <c r="AC111" i="29" s="1"/>
  <c r="N273" i="44"/>
  <c r="AC273" i="44" s="1"/>
  <c r="N215" i="29"/>
  <c r="AC215" i="29" s="1"/>
  <c r="N248" i="29"/>
  <c r="AC248" i="29" s="1"/>
  <c r="N100" i="29"/>
  <c r="AC100" i="29" s="1"/>
  <c r="N224" i="29"/>
  <c r="AC224" i="29" s="1"/>
  <c r="N241" i="29"/>
  <c r="AC241" i="29" s="1"/>
  <c r="P179" i="44"/>
  <c r="N179" i="44" s="1"/>
  <c r="AC179" i="44" s="1"/>
  <c r="P152" i="44"/>
  <c r="P167" i="44"/>
  <c r="N167" i="44" s="1"/>
  <c r="AC167" i="44" s="1"/>
  <c r="P55" i="44"/>
  <c r="N55" i="44" s="1"/>
  <c r="AC55" i="44" s="1"/>
  <c r="P13" i="44"/>
  <c r="P41" i="44"/>
  <c r="N41" i="44" s="1"/>
  <c r="AC41" i="44" s="1"/>
  <c r="P100" i="44"/>
  <c r="N100" i="44" s="1"/>
  <c r="AC100" i="44" s="1"/>
  <c r="P83" i="44"/>
  <c r="N83" i="44" s="1"/>
  <c r="AC83" i="44" s="1"/>
  <c r="P50" i="44"/>
  <c r="P163" i="44"/>
  <c r="P130" i="44"/>
  <c r="P81" i="44"/>
  <c r="P238" i="44"/>
  <c r="P133" i="44"/>
  <c r="N133" i="44" s="1"/>
  <c r="AC133" i="44" s="1"/>
  <c r="P114" i="44"/>
  <c r="P255" i="44"/>
  <c r="P260" i="44"/>
  <c r="N260" i="44" s="1"/>
  <c r="AC260" i="44" s="1"/>
  <c r="P188" i="44"/>
  <c r="P176" i="44"/>
  <c r="P25" i="44"/>
  <c r="P243" i="44"/>
  <c r="N243" i="44" s="1"/>
  <c r="AC243" i="44" s="1"/>
  <c r="P221" i="44"/>
  <c r="P209" i="44"/>
  <c r="N209" i="44" s="1"/>
  <c r="AC209" i="44" s="1"/>
  <c r="P116" i="44"/>
  <c r="N116" i="44" s="1"/>
  <c r="AC116" i="44" s="1"/>
  <c r="P66" i="44"/>
  <c r="N66" i="44" s="1"/>
  <c r="AC66" i="44" s="1"/>
  <c r="P64" i="44"/>
  <c r="P38" i="44"/>
  <c r="P274" i="44"/>
  <c r="P226" i="44"/>
  <c r="N226" i="44" s="1"/>
  <c r="AC226" i="44" s="1"/>
  <c r="P204" i="44"/>
  <c r="P277" i="44"/>
  <c r="P98" i="44"/>
  <c r="P194" i="44"/>
  <c r="N194" i="44" s="1"/>
  <c r="AC194" i="44" s="1"/>
  <c r="P197" i="29"/>
  <c r="P249" i="29"/>
  <c r="P182" i="29"/>
  <c r="P214" i="29"/>
  <c r="P231" i="29"/>
  <c r="P72" i="44"/>
  <c r="N72" i="44" s="1"/>
  <c r="AC72" i="44" s="1"/>
  <c r="P26" i="44"/>
  <c r="N26" i="44" s="1"/>
  <c r="AC26" i="44" s="1"/>
  <c r="P65" i="44"/>
  <c r="N65" i="44" s="1"/>
  <c r="AC65" i="44" s="1"/>
  <c r="P281" i="44"/>
  <c r="P138" i="44"/>
  <c r="N138" i="44" s="1"/>
  <c r="AC138" i="44" s="1"/>
  <c r="P99" i="44"/>
  <c r="N99" i="44" s="1"/>
  <c r="AC99" i="44" s="1"/>
  <c r="P256" i="44"/>
  <c r="N256" i="44" s="1"/>
  <c r="AC256" i="44" s="1"/>
  <c r="P263" i="44"/>
  <c r="N263" i="44" s="1"/>
  <c r="AC263" i="44" s="1"/>
  <c r="P189" i="44"/>
  <c r="N189" i="44" s="1"/>
  <c r="AC189" i="44" s="1"/>
  <c r="P105" i="44"/>
  <c r="N105" i="44" s="1"/>
  <c r="AC105" i="44" s="1"/>
  <c r="P89" i="44"/>
  <c r="N89" i="44" s="1"/>
  <c r="AC89" i="44" s="1"/>
  <c r="P115" i="44"/>
  <c r="N115" i="44" s="1"/>
  <c r="AC115" i="44" s="1"/>
  <c r="P229" i="44"/>
  <c r="N229" i="44" s="1"/>
  <c r="AC229" i="44" s="1"/>
  <c r="P239" i="44"/>
  <c r="N239" i="44" s="1"/>
  <c r="AC239" i="44" s="1"/>
  <c r="P212" i="44"/>
  <c r="N212" i="44" s="1"/>
  <c r="AC212" i="44" s="1"/>
  <c r="P121" i="44"/>
  <c r="N121" i="44" s="1"/>
  <c r="AC121" i="44" s="1"/>
  <c r="P82" i="44"/>
  <c r="N82" i="44" s="1"/>
  <c r="AC82" i="44" s="1"/>
  <c r="P51" i="44"/>
  <c r="N51" i="44" s="1"/>
  <c r="AC51" i="44" s="1"/>
  <c r="P131" i="44"/>
  <c r="N131" i="44" s="1"/>
  <c r="AC131" i="44" s="1"/>
  <c r="P222" i="44"/>
  <c r="N222" i="44" s="1"/>
  <c r="AC222" i="44" s="1"/>
  <c r="P275" i="44"/>
  <c r="P246" i="44"/>
  <c r="N246" i="44" s="1"/>
  <c r="AC246" i="44" s="1"/>
  <c r="P205" i="44"/>
  <c r="N205" i="44" s="1"/>
  <c r="AC205" i="44" s="1"/>
  <c r="P268" i="29"/>
  <c r="N268" i="29" s="1"/>
  <c r="AC268" i="29" s="1"/>
  <c r="P217" i="29"/>
  <c r="P252" i="29"/>
  <c r="P234" i="29"/>
  <c r="P177" i="29"/>
  <c r="P200" i="29"/>
  <c r="N122" i="29"/>
  <c r="AC122" i="29" s="1"/>
  <c r="N66" i="29"/>
  <c r="AC66" i="29" s="1"/>
  <c r="N117" i="29"/>
  <c r="AC117" i="29" s="1"/>
  <c r="N102" i="29"/>
  <c r="AC102" i="29" s="1"/>
  <c r="N84" i="29"/>
  <c r="AC84" i="29" s="1"/>
  <c r="N179" i="29"/>
  <c r="AC179" i="29" s="1"/>
  <c r="N69" i="29"/>
  <c r="AC69" i="29" s="1"/>
  <c r="N165" i="29"/>
  <c r="AC165" i="29" s="1"/>
  <c r="N61" i="29"/>
  <c r="AC61" i="29" s="1"/>
  <c r="N54" i="29"/>
  <c r="AC54" i="29" s="1"/>
  <c r="N75" i="29"/>
  <c r="AC75" i="29" s="1"/>
  <c r="N103" i="29"/>
  <c r="AC103" i="29" s="1"/>
  <c r="N251" i="29"/>
  <c r="AC251" i="29" s="1"/>
  <c r="N246" i="29"/>
  <c r="AC246" i="29" s="1"/>
  <c r="N279" i="44"/>
  <c r="AC279" i="44" s="1"/>
  <c r="N165" i="44"/>
  <c r="AC165" i="44" s="1"/>
  <c r="N166" i="44"/>
  <c r="AC166" i="44" s="1"/>
  <c r="N280" i="44"/>
  <c r="AC280" i="44" s="1"/>
  <c r="N77" i="29"/>
  <c r="AC77" i="29" s="1"/>
  <c r="N93" i="29"/>
  <c r="AC93" i="29" s="1"/>
  <c r="N233" i="29"/>
  <c r="AC233" i="29" s="1"/>
  <c r="O281" i="44"/>
  <c r="AD281" i="44" s="1"/>
  <c r="O124" i="29"/>
  <c r="O130" i="29"/>
  <c r="O210" i="29"/>
  <c r="O205" i="44"/>
  <c r="AD205" i="44" s="1"/>
  <c r="O115" i="44"/>
  <c r="AD115" i="44" s="1"/>
  <c r="O97" i="29"/>
  <c r="AD97" i="29" s="1"/>
  <c r="O89" i="44"/>
  <c r="AD89" i="44" s="1"/>
  <c r="O80" i="29"/>
  <c r="AD80" i="29" s="1"/>
  <c r="O262" i="29"/>
  <c r="O239" i="44"/>
  <c r="AD239" i="44" s="1"/>
  <c r="O227" i="29"/>
  <c r="AD227" i="29" s="1"/>
  <c r="O222" i="44"/>
  <c r="AD222" i="44" s="1"/>
  <c r="O212" i="44"/>
  <c r="AD212" i="44" s="1"/>
  <c r="O193" i="29"/>
  <c r="AD193" i="29" s="1"/>
  <c r="O177" i="29"/>
  <c r="AD177" i="29" s="1"/>
  <c r="O164" i="29"/>
  <c r="AD164" i="29" s="1"/>
  <c r="O114" i="29"/>
  <c r="O105" i="44"/>
  <c r="AD105" i="44" s="1"/>
  <c r="O275" i="44"/>
  <c r="AD275" i="44" s="1"/>
  <c r="O256" i="44"/>
  <c r="AD256" i="44" s="1"/>
  <c r="O245" i="29"/>
  <c r="AD245" i="29" s="1"/>
  <c r="O246" i="44"/>
  <c r="AD246" i="44" s="1"/>
  <c r="O234" i="29"/>
  <c r="AD234" i="29" s="1"/>
  <c r="O200" i="29"/>
  <c r="AD200" i="29" s="1"/>
  <c r="O121" i="44"/>
  <c r="AD121" i="44" s="1"/>
  <c r="O82" i="44"/>
  <c r="AD82" i="44" s="1"/>
  <c r="O138" i="44"/>
  <c r="AD138" i="44" s="1"/>
  <c r="O72" i="44"/>
  <c r="AD72" i="44" s="1"/>
  <c r="O65" i="44"/>
  <c r="AD65" i="44" s="1"/>
  <c r="O252" i="29"/>
  <c r="AD252" i="29" s="1"/>
  <c r="O73" i="29"/>
  <c r="AD73" i="29" s="1"/>
  <c r="O268" i="29"/>
  <c r="AD268" i="29" s="1"/>
  <c r="O263" i="44"/>
  <c r="AD263" i="44" s="1"/>
  <c r="O131" i="44"/>
  <c r="AD131" i="44" s="1"/>
  <c r="O99" i="44"/>
  <c r="AD99" i="44" s="1"/>
  <c r="O57" i="29"/>
  <c r="AD57" i="29" s="1"/>
  <c r="O51" i="44"/>
  <c r="AD51" i="44" s="1"/>
  <c r="O189" i="44"/>
  <c r="AD189" i="44" s="1"/>
  <c r="O108" i="29"/>
  <c r="AD108" i="29" s="1"/>
  <c r="O90" i="29"/>
  <c r="AD90" i="29" s="1"/>
  <c r="O26" i="44"/>
  <c r="AD26" i="44" s="1"/>
  <c r="O124" i="44"/>
  <c r="AD124" i="44" s="1"/>
  <c r="O170" i="44"/>
  <c r="AD170" i="44" s="1"/>
  <c r="O101" i="29"/>
  <c r="AD101" i="29" s="1"/>
  <c r="O92" i="44"/>
  <c r="AD92" i="44" s="1"/>
  <c r="O83" i="29"/>
  <c r="AD83" i="29" s="1"/>
  <c r="O75" i="44"/>
  <c r="AD75" i="44" s="1"/>
  <c r="O66" i="29"/>
  <c r="AD66" i="29" s="1"/>
  <c r="O50" i="29"/>
  <c r="O203" i="29"/>
  <c r="O255" i="29"/>
  <c r="O232" i="44"/>
  <c r="AD232" i="44" s="1"/>
  <c r="O220" i="29"/>
  <c r="O215" i="44"/>
  <c r="AD215" i="44" s="1"/>
  <c r="O170" i="29"/>
  <c r="AD170" i="29" s="1"/>
  <c r="O157" i="29"/>
  <c r="AD157" i="29" s="1"/>
  <c r="O268" i="44"/>
  <c r="AD268" i="44" s="1"/>
  <c r="O249" i="44"/>
  <c r="AD249" i="44" s="1"/>
  <c r="O238" i="29"/>
  <c r="O157" i="44"/>
  <c r="AD157" i="44" s="1"/>
  <c r="O44" i="44"/>
  <c r="AD44" i="44" s="1"/>
  <c r="O182" i="44"/>
  <c r="AD182" i="44" s="1"/>
  <c r="O146" i="44"/>
  <c r="AD146" i="44" s="1"/>
  <c r="O117" i="29"/>
  <c r="AD117" i="29" s="1"/>
  <c r="O37" i="29"/>
  <c r="O58" i="44"/>
  <c r="AD58" i="44" s="1"/>
  <c r="O108" i="44"/>
  <c r="AD108" i="44" s="1"/>
  <c r="O146" i="29"/>
  <c r="AD146" i="29" s="1"/>
  <c r="O19" i="44"/>
  <c r="AD19" i="44" s="1"/>
  <c r="O32" i="44"/>
  <c r="AD32" i="44" s="1"/>
  <c r="O198" i="44"/>
  <c r="AD198" i="44" s="1"/>
  <c r="O8" i="44"/>
  <c r="AD8" i="44" s="1"/>
  <c r="O186" i="29"/>
  <c r="AD186" i="29" s="1"/>
  <c r="N156" i="29"/>
  <c r="AC156" i="29" s="1"/>
  <c r="N101" i="29"/>
  <c r="AC101" i="29" s="1"/>
  <c r="N83" i="29"/>
  <c r="AC83" i="29" s="1"/>
  <c r="N118" i="29"/>
  <c r="AC118" i="29" s="1"/>
  <c r="N258" i="29"/>
  <c r="AC258" i="29" s="1"/>
  <c r="N63" i="29"/>
  <c r="AC63" i="29" s="1"/>
  <c r="N112" i="29"/>
  <c r="AC112" i="29" s="1"/>
  <c r="N104" i="29"/>
  <c r="AC104" i="29" s="1"/>
  <c r="N242" i="29"/>
  <c r="AC242" i="29" s="1"/>
  <c r="N259" i="29"/>
  <c r="AC259" i="29" s="1"/>
  <c r="N127" i="29"/>
  <c r="AC127" i="29" s="1"/>
  <c r="N92" i="29"/>
  <c r="AC92" i="29" s="1"/>
  <c r="N272" i="44"/>
  <c r="AC272" i="44" s="1"/>
  <c r="N216" i="29"/>
  <c r="AC216" i="29" s="1"/>
  <c r="N199" i="29"/>
  <c r="AC199" i="29" s="1"/>
  <c r="N196" i="29"/>
  <c r="AC196" i="29" s="1"/>
  <c r="N159" i="29"/>
  <c r="AC159" i="29" s="1"/>
  <c r="O103" i="29"/>
  <c r="AD103" i="29" s="1"/>
  <c r="O94" i="44"/>
  <c r="AD94" i="44" s="1"/>
  <c r="O85" i="29"/>
  <c r="O77" i="44"/>
  <c r="AD77" i="44" s="1"/>
  <c r="O68" i="29"/>
  <c r="AD68" i="29" s="1"/>
  <c r="O52" i="29"/>
  <c r="AD52" i="29" s="1"/>
  <c r="O205" i="29"/>
  <c r="AD205" i="29" s="1"/>
  <c r="O200" i="44"/>
  <c r="AD200" i="44" s="1"/>
  <c r="O257" i="29"/>
  <c r="AD257" i="29" s="1"/>
  <c r="O234" i="44"/>
  <c r="AD234" i="44" s="1"/>
  <c r="O222" i="29"/>
  <c r="O217" i="44"/>
  <c r="AD217" i="44" s="1"/>
  <c r="O188" i="29"/>
  <c r="AD188" i="29" s="1"/>
  <c r="O172" i="29"/>
  <c r="AD172" i="29" s="1"/>
  <c r="O159" i="29"/>
  <c r="O270" i="44"/>
  <c r="AD270" i="44" s="1"/>
  <c r="O251" i="44"/>
  <c r="AD251" i="44" s="1"/>
  <c r="O240" i="29"/>
  <c r="AD240" i="29" s="1"/>
  <c r="O159" i="44"/>
  <c r="AD159" i="44" s="1"/>
  <c r="O184" i="44"/>
  <c r="AD184" i="44" s="1"/>
  <c r="O148" i="44"/>
  <c r="AD148" i="44" s="1"/>
  <c r="O148" i="29"/>
  <c r="AD148" i="29" s="1"/>
  <c r="O119" i="29"/>
  <c r="O126" i="44"/>
  <c r="AD126" i="44" s="1"/>
  <c r="O172" i="44"/>
  <c r="AD172" i="44" s="1"/>
  <c r="O60" i="44"/>
  <c r="AD60" i="44" s="1"/>
  <c r="O110" i="44"/>
  <c r="AD110" i="44" s="1"/>
  <c r="O46" i="44"/>
  <c r="AD46" i="44" s="1"/>
  <c r="O39" i="29"/>
  <c r="AD39" i="29" s="1"/>
  <c r="O21" i="44"/>
  <c r="AD21" i="44" s="1"/>
  <c r="O34" i="44"/>
  <c r="AD34" i="44" s="1"/>
  <c r="O10" i="44"/>
  <c r="AD10" i="44" s="1"/>
  <c r="O259" i="29"/>
  <c r="AD259" i="29" s="1"/>
  <c r="O236" i="44"/>
  <c r="AD236" i="44" s="1"/>
  <c r="O224" i="29"/>
  <c r="AD224" i="29" s="1"/>
  <c r="O219" i="44"/>
  <c r="AD219" i="44" s="1"/>
  <c r="O190" i="29"/>
  <c r="AD190" i="29" s="1"/>
  <c r="O174" i="29"/>
  <c r="AD174" i="29" s="1"/>
  <c r="O161" i="29"/>
  <c r="AD161" i="29" s="1"/>
  <c r="O272" i="44"/>
  <c r="AD272" i="44" s="1"/>
  <c r="O253" i="44"/>
  <c r="AD253" i="44" s="1"/>
  <c r="O242" i="29"/>
  <c r="AD242" i="29" s="1"/>
  <c r="O161" i="44"/>
  <c r="AD161" i="44" s="1"/>
  <c r="O186" i="44"/>
  <c r="AD186" i="44" s="1"/>
  <c r="O128" i="44"/>
  <c r="AD128" i="44" s="1"/>
  <c r="O174" i="44"/>
  <c r="AD174" i="44" s="1"/>
  <c r="O41" i="29"/>
  <c r="O70" i="29"/>
  <c r="AD70" i="29" s="1"/>
  <c r="O105" i="29"/>
  <c r="AD105" i="29" s="1"/>
  <c r="O96" i="44"/>
  <c r="AD96" i="44" s="1"/>
  <c r="O87" i="29"/>
  <c r="O79" i="44"/>
  <c r="AD79" i="44" s="1"/>
  <c r="O62" i="44"/>
  <c r="AD62" i="44" s="1"/>
  <c r="O48" i="44"/>
  <c r="AD48" i="44" s="1"/>
  <c r="O112" i="44"/>
  <c r="AD112" i="44" s="1"/>
  <c r="O54" i="29"/>
  <c r="AD54" i="29" s="1"/>
  <c r="O150" i="44"/>
  <c r="AD150" i="44" s="1"/>
  <c r="O150" i="29"/>
  <c r="AD150" i="29" s="1"/>
  <c r="O207" i="29"/>
  <c r="O202" i="44"/>
  <c r="AD202" i="44" s="1"/>
  <c r="O121" i="29"/>
  <c r="AD121" i="29" s="1"/>
  <c r="O23" i="44"/>
  <c r="AD23" i="44" s="1"/>
  <c r="O36" i="44"/>
  <c r="AD36" i="44" s="1"/>
  <c r="O11" i="44"/>
  <c r="AD11" i="44" s="1"/>
  <c r="O214" i="29"/>
  <c r="AD214" i="29" s="1"/>
  <c r="O226" i="44"/>
  <c r="AD226" i="44" s="1"/>
  <c r="O196" i="44"/>
  <c r="AD196" i="44" s="1"/>
  <c r="O168" i="29"/>
  <c r="AD168" i="29" s="1"/>
  <c r="O265" i="44"/>
  <c r="AD265" i="44" s="1"/>
  <c r="N49" i="29"/>
  <c r="AC49" i="29" s="1"/>
  <c r="N157" i="29"/>
  <c r="AC157" i="29" s="1"/>
  <c r="N266" i="29"/>
  <c r="AC266" i="29" s="1"/>
  <c r="N160" i="29"/>
  <c r="AC160" i="29" s="1"/>
  <c r="N78" i="29"/>
  <c r="AC78" i="29" s="1"/>
  <c r="N113" i="29"/>
  <c r="AC113" i="29" s="1"/>
  <c r="N87" i="29"/>
  <c r="AC87" i="29" s="1"/>
  <c r="N265" i="29"/>
  <c r="AC265" i="29" s="1"/>
  <c r="N59" i="29"/>
  <c r="AC59" i="29" s="1"/>
  <c r="N68" i="29"/>
  <c r="AC68" i="29" s="1"/>
  <c r="N52" i="29"/>
  <c r="AC52" i="29" s="1"/>
  <c r="N223" i="29"/>
  <c r="AC223" i="29" s="1"/>
  <c r="N168" i="29"/>
  <c r="AC168" i="29" s="1"/>
  <c r="N180" i="29"/>
  <c r="AC180" i="29" s="1"/>
  <c r="O267" i="29"/>
  <c r="AD267" i="29" s="1"/>
  <c r="O262" i="44"/>
  <c r="AD262" i="44" s="1"/>
  <c r="O251" i="29"/>
  <c r="AD251" i="29" s="1"/>
  <c r="O244" i="44"/>
  <c r="AD244" i="44" s="1"/>
  <c r="O232" i="29"/>
  <c r="AD232" i="29" s="1"/>
  <c r="O206" i="29"/>
  <c r="O201" i="44"/>
  <c r="AD201" i="44" s="1"/>
  <c r="O198" i="29"/>
  <c r="AD198" i="29" s="1"/>
  <c r="O154" i="44"/>
  <c r="AD154" i="44" s="1"/>
  <c r="O119" i="44"/>
  <c r="AD119" i="44" s="1"/>
  <c r="O111" i="44"/>
  <c r="AD111" i="44" s="1"/>
  <c r="O69" i="44"/>
  <c r="AD69" i="44" s="1"/>
  <c r="O61" i="44"/>
  <c r="AD61" i="44" s="1"/>
  <c r="O46" i="29"/>
  <c r="AD46" i="29" s="1"/>
  <c r="O280" i="44"/>
  <c r="AD280" i="44" s="1"/>
  <c r="O266" i="29"/>
  <c r="O258" i="29"/>
  <c r="AD258" i="29" s="1"/>
  <c r="O261" i="44"/>
  <c r="AD261" i="44" s="1"/>
  <c r="O250" i="29"/>
  <c r="AD250" i="29" s="1"/>
  <c r="O235" i="44"/>
  <c r="AD235" i="44" s="1"/>
  <c r="O223" i="29"/>
  <c r="AD223" i="29" s="1"/>
  <c r="O218" i="44"/>
  <c r="AD218" i="44" s="1"/>
  <c r="O189" i="29"/>
  <c r="AD189" i="29" s="1"/>
  <c r="O173" i="29"/>
  <c r="O178" i="44"/>
  <c r="AD178" i="44" s="1"/>
  <c r="O160" i="29"/>
  <c r="AD160" i="29" s="1"/>
  <c r="O279" i="44"/>
  <c r="AD279" i="44" s="1"/>
  <c r="O271" i="44"/>
  <c r="AD271" i="44" s="1"/>
  <c r="O252" i="44"/>
  <c r="AD252" i="44" s="1"/>
  <c r="O241" i="29"/>
  <c r="AD241" i="29" s="1"/>
  <c r="O177" i="44"/>
  <c r="AD177" i="44" s="1"/>
  <c r="O160" i="44"/>
  <c r="AD160" i="44" s="1"/>
  <c r="O47" i="44"/>
  <c r="AD47" i="44" s="1"/>
  <c r="O44" i="29"/>
  <c r="AD44" i="29" s="1"/>
  <c r="O206" i="44"/>
  <c r="AD206" i="44" s="1"/>
  <c r="O185" i="44"/>
  <c r="AD185" i="44" s="1"/>
  <c r="O179" i="29"/>
  <c r="AD179" i="29" s="1"/>
  <c r="O166" i="29"/>
  <c r="AD166" i="29" s="1"/>
  <c r="O240" i="44"/>
  <c r="AD240" i="44" s="1"/>
  <c r="O228" i="29"/>
  <c r="AD228" i="29" s="1"/>
  <c r="O194" i="29"/>
  <c r="AD194" i="29" s="1"/>
  <c r="O178" i="29"/>
  <c r="AD178" i="29" s="1"/>
  <c r="O165" i="29"/>
  <c r="O149" i="29"/>
  <c r="O137" i="44"/>
  <c r="AD137" i="44" s="1"/>
  <c r="O128" i="29"/>
  <c r="O120" i="29"/>
  <c r="AD120" i="29" s="1"/>
  <c r="O257" i="44"/>
  <c r="AD257" i="44" s="1"/>
  <c r="O246" i="29"/>
  <c r="AD246" i="29" s="1"/>
  <c r="O191" i="44"/>
  <c r="AD191" i="44" s="1"/>
  <c r="O166" i="44"/>
  <c r="AD166" i="44" s="1"/>
  <c r="O136" i="44"/>
  <c r="AD136" i="44" s="1"/>
  <c r="O127" i="44"/>
  <c r="AD127" i="44" s="1"/>
  <c r="O96" i="29"/>
  <c r="O63" i="29"/>
  <c r="AD63" i="29" s="1"/>
  <c r="O54" i="44"/>
  <c r="AD54" i="44" s="1"/>
  <c r="O104" i="44"/>
  <c r="AD104" i="44" s="1"/>
  <c r="O95" i="29"/>
  <c r="AD95" i="29" s="1"/>
  <c r="O228" i="44"/>
  <c r="AD228" i="44" s="1"/>
  <c r="O211" i="44"/>
  <c r="AD211" i="44" s="1"/>
  <c r="O190" i="44"/>
  <c r="AD190" i="44" s="1"/>
  <c r="O173" i="44"/>
  <c r="AD173" i="44" s="1"/>
  <c r="O179" i="44"/>
  <c r="AD179" i="44" s="1"/>
  <c r="O165" i="44"/>
  <c r="AD165" i="44" s="1"/>
  <c r="O113" i="29"/>
  <c r="AD113" i="29" s="1"/>
  <c r="O199" i="29"/>
  <c r="AD199" i="29" s="1"/>
  <c r="O104" i="29"/>
  <c r="AD104" i="29" s="1"/>
  <c r="O86" i="29"/>
  <c r="O53" i="44"/>
  <c r="AD53" i="44" s="1"/>
  <c r="O62" i="29"/>
  <c r="AD62" i="29" s="1"/>
  <c r="O103" i="44"/>
  <c r="AD103" i="44" s="1"/>
  <c r="O233" i="29"/>
  <c r="AD233" i="29" s="1"/>
  <c r="O164" i="44"/>
  <c r="AD164" i="44" s="1"/>
  <c r="O135" i="44"/>
  <c r="AD135" i="44" s="1"/>
  <c r="O95" i="44"/>
  <c r="AD95" i="44" s="1"/>
  <c r="O71" i="44"/>
  <c r="AD71" i="44" s="1"/>
  <c r="O52" i="44"/>
  <c r="AD52" i="44" s="1"/>
  <c r="O40" i="29"/>
  <c r="AD40" i="29" s="1"/>
  <c r="O47" i="29"/>
  <c r="AD47" i="29" s="1"/>
  <c r="O149" i="44"/>
  <c r="AD149" i="44" s="1"/>
  <c r="O78" i="44"/>
  <c r="AD78" i="44" s="1"/>
  <c r="O70" i="44"/>
  <c r="AD70" i="44" s="1"/>
  <c r="O53" i="29"/>
  <c r="AD53" i="29" s="1"/>
  <c r="O154" i="29"/>
  <c r="O153" i="44"/>
  <c r="AD153" i="44" s="1"/>
  <c r="O210" i="44"/>
  <c r="AD210" i="44" s="1"/>
  <c r="O61" i="29"/>
  <c r="AD61" i="29" s="1"/>
  <c r="O245" i="44"/>
  <c r="AD245" i="44" s="1"/>
  <c r="O227" i="44"/>
  <c r="AD227" i="44" s="1"/>
  <c r="O129" i="29"/>
  <c r="AD129" i="29" s="1"/>
  <c r="O112" i="29"/>
  <c r="AD112" i="29" s="1"/>
  <c r="O94" i="29"/>
  <c r="AD94" i="29" s="1"/>
  <c r="O69" i="29"/>
  <c r="O120" i="44"/>
  <c r="AD120" i="44" s="1"/>
  <c r="O16" i="44"/>
  <c r="AD16" i="44" s="1"/>
  <c r="O22" i="44"/>
  <c r="AD22" i="44" s="1"/>
  <c r="O15" i="44"/>
  <c r="AD15" i="44" s="1"/>
  <c r="O35" i="44"/>
  <c r="AD35" i="44" s="1"/>
  <c r="O14" i="44"/>
  <c r="AD14" i="44" s="1"/>
  <c r="O40" i="44"/>
  <c r="AD40" i="44" s="1"/>
  <c r="O29" i="44"/>
  <c r="AD29" i="44" s="1"/>
  <c r="O39" i="44"/>
  <c r="AD39" i="44" s="1"/>
  <c r="O28" i="44"/>
  <c r="AD28" i="44" s="1"/>
  <c r="O27" i="44"/>
  <c r="AD27" i="44" s="1"/>
  <c r="N105" i="29"/>
  <c r="AC105" i="29" s="1"/>
  <c r="O224" i="44"/>
  <c r="AD224" i="44" s="1"/>
  <c r="O132" i="44"/>
  <c r="AD132" i="44" s="1"/>
  <c r="O111" i="29"/>
  <c r="AD111" i="29" s="1"/>
  <c r="O102" i="44"/>
  <c r="AD102" i="44" s="1"/>
  <c r="O93" i="29"/>
  <c r="O60" i="29"/>
  <c r="AD60" i="29" s="1"/>
  <c r="O208" i="44"/>
  <c r="AD208" i="44" s="1"/>
  <c r="O181" i="29"/>
  <c r="AD181" i="29" s="1"/>
  <c r="O265" i="29"/>
  <c r="AD265" i="29" s="1"/>
  <c r="O242" i="44"/>
  <c r="AD242" i="44" s="1"/>
  <c r="O230" i="29"/>
  <c r="AD230" i="29" s="1"/>
  <c r="O213" i="29"/>
  <c r="AD213" i="29" s="1"/>
  <c r="O207" i="44"/>
  <c r="AD207" i="44" s="1"/>
  <c r="O196" i="29"/>
  <c r="AD196" i="29" s="1"/>
  <c r="O180" i="29"/>
  <c r="AD180" i="29" s="1"/>
  <c r="O117" i="44"/>
  <c r="AD117" i="44" s="1"/>
  <c r="O67" i="44"/>
  <c r="AD67" i="44" s="1"/>
  <c r="O278" i="44"/>
  <c r="AD278" i="44" s="1"/>
  <c r="O259" i="44"/>
  <c r="AD259" i="44" s="1"/>
  <c r="O248" i="29"/>
  <c r="AD248" i="29" s="1"/>
  <c r="O241" i="44"/>
  <c r="AD241" i="44" s="1"/>
  <c r="O229" i="29"/>
  <c r="AD229" i="29" s="1"/>
  <c r="O225" i="44"/>
  <c r="AD225" i="44" s="1"/>
  <c r="O195" i="29"/>
  <c r="AD195" i="29" s="1"/>
  <c r="O193" i="44"/>
  <c r="AD193" i="44" s="1"/>
  <c r="O263" i="29"/>
  <c r="AD263" i="29" s="1"/>
  <c r="O258" i="44"/>
  <c r="AD258" i="44" s="1"/>
  <c r="O247" i="29"/>
  <c r="AD247" i="29" s="1"/>
  <c r="O276" i="44"/>
  <c r="AD276" i="44" s="1"/>
  <c r="O212" i="29"/>
  <c r="AD212" i="29" s="1"/>
  <c r="O127" i="29"/>
  <c r="AD127" i="29" s="1"/>
  <c r="O134" i="44"/>
  <c r="AD134" i="44" s="1"/>
  <c r="O118" i="44"/>
  <c r="AD118" i="44" s="1"/>
  <c r="O125" i="29"/>
  <c r="O68" i="44"/>
  <c r="AD68" i="44" s="1"/>
  <c r="O110" i="29"/>
  <c r="AD110" i="29" s="1"/>
  <c r="O92" i="29"/>
  <c r="O101" i="44"/>
  <c r="AD101" i="44" s="1"/>
  <c r="O59" i="29"/>
  <c r="AD59" i="29" s="1"/>
  <c r="N82" i="29"/>
  <c r="AC82" i="29" s="1"/>
  <c r="N88" i="29"/>
  <c r="AC88" i="29" s="1"/>
  <c r="N225" i="29"/>
  <c r="AC225" i="29" s="1"/>
  <c r="N254" i="29"/>
  <c r="AC254" i="29" s="1"/>
  <c r="N255" i="29"/>
  <c r="AC255" i="29" s="1"/>
  <c r="N51" i="29"/>
  <c r="AC51" i="29" s="1"/>
  <c r="N67" i="29"/>
  <c r="AC67" i="29" s="1"/>
  <c r="N95" i="29"/>
  <c r="AC95" i="29" s="1"/>
  <c r="N62" i="29"/>
  <c r="AC62" i="29" s="1"/>
  <c r="N125" i="29"/>
  <c r="AC125" i="29" s="1"/>
  <c r="N76" i="29"/>
  <c r="AC76" i="29" s="1"/>
  <c r="N119" i="29"/>
  <c r="AC119" i="29" s="1"/>
  <c r="N228" i="29"/>
  <c r="AC228" i="29" s="1"/>
  <c r="N229" i="29"/>
  <c r="AC229" i="29" s="1"/>
  <c r="N276" i="44"/>
  <c r="AC276" i="44" s="1"/>
  <c r="N278" i="44"/>
  <c r="AC278" i="44" s="1"/>
  <c r="AC240" i="29"/>
  <c r="AC237" i="29"/>
  <c r="AC239" i="29"/>
  <c r="AC238" i="29"/>
  <c r="AC222" i="29"/>
  <c r="AC219" i="29"/>
  <c r="AC221" i="29"/>
  <c r="AC220" i="29"/>
  <c r="AC207" i="29"/>
  <c r="AC203" i="29"/>
  <c r="AC208" i="29"/>
  <c r="AC202" i="29"/>
  <c r="AC206" i="29"/>
  <c r="AC204" i="29"/>
  <c r="AC205" i="29"/>
  <c r="AC190" i="29"/>
  <c r="AC185" i="29"/>
  <c r="AC186" i="29"/>
  <c r="AC189" i="29"/>
  <c r="AC188" i="29"/>
  <c r="AC184" i="29"/>
  <c r="AC191" i="29"/>
  <c r="AC187" i="29"/>
  <c r="AC171" i="29"/>
  <c r="AC172" i="29"/>
  <c r="AC173" i="29"/>
  <c r="AC174" i="29"/>
  <c r="AC175" i="29"/>
  <c r="AC169" i="29"/>
  <c r="AC170" i="29"/>
  <c r="AD93" i="29"/>
  <c r="AD92" i="29"/>
  <c r="AD125" i="29"/>
  <c r="O137" i="29"/>
  <c r="AD137" i="29" s="1"/>
  <c r="O30" i="29"/>
  <c r="AD30" i="29" s="1"/>
  <c r="AD162" i="29"/>
  <c r="AD100" i="29"/>
  <c r="AD65" i="29"/>
  <c r="AD71" i="29"/>
  <c r="AD42" i="29"/>
  <c r="O14" i="29"/>
  <c r="AD14" i="29" s="1"/>
  <c r="AD55" i="29"/>
  <c r="O24" i="29"/>
  <c r="AD24" i="29" s="1"/>
  <c r="AD156" i="29"/>
  <c r="O7" i="29"/>
  <c r="AD7" i="29" s="1"/>
  <c r="AD185" i="29"/>
  <c r="AD260" i="29"/>
  <c r="AD208" i="29"/>
  <c r="AD175" i="29"/>
  <c r="O29" i="29"/>
  <c r="AD29" i="29" s="1"/>
  <c r="AD87" i="29"/>
  <c r="AD41" i="29"/>
  <c r="O19" i="29"/>
  <c r="AD19" i="29" s="1"/>
  <c r="O141" i="29"/>
  <c r="AD141" i="29" s="1"/>
  <c r="AD207" i="29"/>
  <c r="O11" i="29"/>
  <c r="AD11" i="29" s="1"/>
  <c r="AD154" i="29"/>
  <c r="AD149" i="29"/>
  <c r="O18" i="29"/>
  <c r="AD18" i="29" s="1"/>
  <c r="AD128" i="29"/>
  <c r="O28" i="29"/>
  <c r="AD28" i="29" s="1"/>
  <c r="O142" i="29"/>
  <c r="AD142" i="29" s="1"/>
  <c r="O33" i="29"/>
  <c r="AD33" i="29" s="1"/>
  <c r="O22" i="29"/>
  <c r="AD22" i="29" s="1"/>
  <c r="AD165" i="29"/>
  <c r="O21" i="29"/>
  <c r="AD21" i="29" s="1"/>
  <c r="AD69" i="29"/>
  <c r="O34" i="29"/>
  <c r="AD34" i="29" s="1"/>
  <c r="AD266" i="29"/>
  <c r="O12" i="29"/>
  <c r="AD12" i="29" s="1"/>
  <c r="AD206" i="29"/>
  <c r="AD173" i="29"/>
  <c r="O209" i="28"/>
  <c r="AD209" i="28" s="1"/>
  <c r="AD67" i="29"/>
  <c r="AD51" i="29"/>
  <c r="AD147" i="29"/>
  <c r="O16" i="29"/>
  <c r="AD16" i="29" s="1"/>
  <c r="AD158" i="29"/>
  <c r="O26" i="29"/>
  <c r="AD26" i="29" s="1"/>
  <c r="O139" i="29"/>
  <c r="AD139" i="29" s="1"/>
  <c r="AD118" i="29"/>
  <c r="AD102" i="29"/>
  <c r="AD239" i="29"/>
  <c r="AD171" i="29"/>
  <c r="O9" i="29"/>
  <c r="AD9" i="29" s="1"/>
  <c r="AD109" i="29"/>
  <c r="AD58" i="29"/>
  <c r="AD211" i="29"/>
  <c r="O146" i="28"/>
  <c r="AD146" i="28" s="1"/>
  <c r="AD184" i="29"/>
  <c r="AD130" i="29"/>
  <c r="O143" i="29"/>
  <c r="AD143" i="29" s="1"/>
  <c r="AD114" i="29"/>
  <c r="AD124" i="29"/>
  <c r="O32" i="29"/>
  <c r="AD32" i="29" s="1"/>
  <c r="AD262" i="29"/>
  <c r="AD210" i="29"/>
  <c r="P153" i="29"/>
  <c r="N153" i="29" s="1"/>
  <c r="AC153" i="29" s="1"/>
  <c r="P91" i="29"/>
  <c r="N91" i="29" s="1"/>
  <c r="P74" i="29"/>
  <c r="P58" i="29"/>
  <c r="P45" i="29"/>
  <c r="P151" i="29"/>
  <c r="P31" i="29"/>
  <c r="P109" i="29"/>
  <c r="P244" i="29"/>
  <c r="P209" i="29"/>
  <c r="P89" i="29"/>
  <c r="P107" i="29"/>
  <c r="P261" i="29"/>
  <c r="P43" i="29"/>
  <c r="P226" i="29"/>
  <c r="P123" i="29"/>
  <c r="P20" i="29"/>
  <c r="AC211" i="29"/>
  <c r="P176" i="29"/>
  <c r="P56" i="29"/>
  <c r="P163" i="29"/>
  <c r="P72" i="29"/>
  <c r="P264" i="29"/>
  <c r="AC195" i="29"/>
  <c r="P192" i="29"/>
  <c r="P126" i="29"/>
  <c r="P130" i="29"/>
  <c r="P143" i="29"/>
  <c r="N143" i="29" s="1"/>
  <c r="AC143" i="29" s="1"/>
  <c r="P114" i="29"/>
  <c r="P44" i="29"/>
  <c r="P32" i="29"/>
  <c r="N32" i="29" s="1"/>
  <c r="AC32" i="29" s="1"/>
  <c r="P97" i="29"/>
  <c r="P80" i="29"/>
  <c r="P164" i="29"/>
  <c r="P73" i="29"/>
  <c r="P227" i="29"/>
  <c r="P193" i="29"/>
  <c r="N193" i="29" s="1"/>
  <c r="P245" i="29"/>
  <c r="P124" i="29"/>
  <c r="P262" i="29"/>
  <c r="P210" i="29"/>
  <c r="N210" i="29" s="1"/>
  <c r="P108" i="29"/>
  <c r="P90" i="29"/>
  <c r="P57" i="29"/>
  <c r="AD37" i="29"/>
  <c r="AD50" i="29"/>
  <c r="O25" i="29"/>
  <c r="AD25" i="29" s="1"/>
  <c r="O15" i="29"/>
  <c r="AD15" i="29" s="1"/>
  <c r="O138" i="29"/>
  <c r="AD138" i="29" s="1"/>
  <c r="O8" i="29"/>
  <c r="AD8" i="29" s="1"/>
  <c r="AD220" i="29"/>
  <c r="AD203" i="29"/>
  <c r="AD255" i="29"/>
  <c r="AD238" i="29"/>
  <c r="AD85" i="29"/>
  <c r="O17" i="29"/>
  <c r="AD17" i="29" s="1"/>
  <c r="AD119" i="29"/>
  <c r="O27" i="29"/>
  <c r="AD27" i="29" s="1"/>
  <c r="AD159" i="29"/>
  <c r="O140" i="29"/>
  <c r="AD140" i="29" s="1"/>
  <c r="O10" i="29"/>
  <c r="AD10" i="29" s="1"/>
  <c r="AD222" i="29"/>
  <c r="N197" i="28"/>
  <c r="AC197" i="28" s="1"/>
  <c r="O186" i="28"/>
  <c r="AD186" i="28" s="1"/>
  <c r="O191" i="28"/>
  <c r="AD191" i="28" s="1"/>
  <c r="O197" i="28"/>
  <c r="AD197" i="28" s="1"/>
  <c r="O173" i="28"/>
  <c r="AD173" i="28" s="1"/>
  <c r="O178" i="28"/>
  <c r="AD178" i="28" s="1"/>
  <c r="O203" i="28"/>
  <c r="AD203" i="28" s="1"/>
  <c r="O161" i="28"/>
  <c r="AD161" i="28" s="1"/>
  <c r="O167" i="28"/>
  <c r="AD167" i="28" s="1"/>
  <c r="O136" i="28"/>
  <c r="AD136" i="28" s="1"/>
  <c r="O133" i="28"/>
  <c r="AD133" i="28" s="1"/>
  <c r="O147" i="28"/>
  <c r="AD147" i="28" s="1"/>
  <c r="O142" i="28"/>
  <c r="AD142" i="28" s="1"/>
  <c r="O120" i="28"/>
  <c r="AD120" i="28" s="1"/>
  <c r="O153" i="28"/>
  <c r="AD153" i="28" s="1"/>
  <c r="O127" i="28"/>
  <c r="AD127" i="28" s="1"/>
  <c r="O113" i="28"/>
  <c r="AD113" i="28" s="1"/>
  <c r="O199" i="28"/>
  <c r="AD199" i="28" s="1"/>
  <c r="O175" i="28"/>
  <c r="AD175" i="28" s="1"/>
  <c r="O188" i="28"/>
  <c r="AD188" i="28" s="1"/>
  <c r="O163" i="28"/>
  <c r="AD163" i="28" s="1"/>
  <c r="O149" i="28"/>
  <c r="AD149" i="28" s="1"/>
  <c r="O138" i="28"/>
  <c r="AD138" i="28" s="1"/>
  <c r="O122" i="28"/>
  <c r="AD122" i="28" s="1"/>
  <c r="O129" i="28"/>
  <c r="AD129" i="28" s="1"/>
  <c r="O115" i="28"/>
  <c r="AD115" i="28" s="1"/>
  <c r="O195" i="28"/>
  <c r="AD195" i="28" s="1"/>
  <c r="O207" i="28"/>
  <c r="AD207" i="28" s="1"/>
  <c r="O182" i="28"/>
  <c r="AD182" i="28" s="1"/>
  <c r="O170" i="28"/>
  <c r="AD170" i="28" s="1"/>
  <c r="O157" i="28"/>
  <c r="AD157" i="28" s="1"/>
  <c r="O193" i="28"/>
  <c r="AD193" i="28" s="1"/>
  <c r="O205" i="28"/>
  <c r="AD205" i="28" s="1"/>
  <c r="O180" i="28"/>
  <c r="AD180" i="28" s="1"/>
  <c r="O169" i="28"/>
  <c r="AD169" i="28" s="1"/>
  <c r="O155" i="28"/>
  <c r="AD155" i="28" s="1"/>
  <c r="P195" i="28"/>
  <c r="N195" i="28" s="1"/>
  <c r="AC195" i="28" s="1"/>
  <c r="P179" i="28"/>
  <c r="P192" i="28"/>
  <c r="P204" i="28"/>
  <c r="P207" i="28"/>
  <c r="N207" i="28" s="1"/>
  <c r="AC207" i="28" s="1"/>
  <c r="P182" i="28"/>
  <c r="N182" i="28" s="1"/>
  <c r="AC182" i="28" s="1"/>
  <c r="P168" i="28"/>
  <c r="P170" i="28"/>
  <c r="N170" i="28" s="1"/>
  <c r="AC170" i="28" s="1"/>
  <c r="P134" i="28"/>
  <c r="P157" i="28"/>
  <c r="N157" i="28" s="1"/>
  <c r="AC157" i="28" s="1"/>
  <c r="P143" i="28"/>
  <c r="P154" i="28"/>
  <c r="P205" i="28"/>
  <c r="N205" i="28" s="1"/>
  <c r="AC205" i="28" s="1"/>
  <c r="P180" i="28"/>
  <c r="N180" i="28" s="1"/>
  <c r="AC180" i="28" s="1"/>
  <c r="P193" i="28"/>
  <c r="N193" i="28" s="1"/>
  <c r="AC193" i="28" s="1"/>
  <c r="P169" i="28"/>
  <c r="N169" i="28" s="1"/>
  <c r="AC169" i="28" s="1"/>
  <c r="P155" i="28"/>
  <c r="N155" i="28" s="1"/>
  <c r="AC155" i="28" s="1"/>
  <c r="O201" i="28"/>
  <c r="AD201" i="28" s="1"/>
  <c r="O171" i="28"/>
  <c r="AD171" i="28" s="1"/>
  <c r="O165" i="28"/>
  <c r="AD165" i="28" s="1"/>
  <c r="O151" i="28"/>
  <c r="AD151" i="28" s="1"/>
  <c r="O124" i="28"/>
  <c r="AD124" i="28" s="1"/>
  <c r="O144" i="28"/>
  <c r="AD144" i="28" s="1"/>
  <c r="O131" i="28"/>
  <c r="AD131" i="28" s="1"/>
  <c r="O140" i="28"/>
  <c r="AD140" i="28" s="1"/>
  <c r="O117" i="28"/>
  <c r="AD117" i="28" s="1"/>
  <c r="O187" i="28"/>
  <c r="AD187" i="28" s="1"/>
  <c r="O198" i="28"/>
  <c r="AD198" i="28" s="1"/>
  <c r="O174" i="28"/>
  <c r="AD174" i="28" s="1"/>
  <c r="O162" i="28"/>
  <c r="AD162" i="28" s="1"/>
  <c r="O137" i="28"/>
  <c r="AD137" i="28" s="1"/>
  <c r="O128" i="28"/>
  <c r="AD128" i="28" s="1"/>
  <c r="O148" i="28"/>
  <c r="AD148" i="28" s="1"/>
  <c r="O121" i="28"/>
  <c r="AD121" i="28" s="1"/>
  <c r="O114" i="28"/>
  <c r="AD114" i="28" s="1"/>
  <c r="O200" i="28"/>
  <c r="AD200" i="28" s="1"/>
  <c r="O176" i="28"/>
  <c r="AD176" i="28" s="1"/>
  <c r="O189" i="28"/>
  <c r="AD189" i="28" s="1"/>
  <c r="O164" i="28"/>
  <c r="AD164" i="28" s="1"/>
  <c r="O150" i="28"/>
  <c r="AD150" i="28" s="1"/>
  <c r="O130" i="28"/>
  <c r="AD130" i="28" s="1"/>
  <c r="O123" i="28"/>
  <c r="AD123" i="28" s="1"/>
  <c r="O139" i="28"/>
  <c r="AD139" i="28" s="1"/>
  <c r="O116" i="28"/>
  <c r="AD116" i="28" s="1"/>
  <c r="O177" i="28"/>
  <c r="AD177" i="28" s="1"/>
  <c r="O190" i="28"/>
  <c r="AD190" i="28" s="1"/>
  <c r="O202" i="28"/>
  <c r="AD202" i="28" s="1"/>
  <c r="O166" i="28"/>
  <c r="AD166" i="28" s="1"/>
  <c r="O125" i="28"/>
  <c r="AD125" i="28" s="1"/>
  <c r="O152" i="28"/>
  <c r="AD152" i="28" s="1"/>
  <c r="O132" i="28"/>
  <c r="AD132" i="28" s="1"/>
  <c r="O141" i="28"/>
  <c r="AD141" i="28" s="1"/>
  <c r="O118" i="28"/>
  <c r="AD118" i="28" s="1"/>
  <c r="O8" i="28"/>
  <c r="AD8" i="28" s="1"/>
  <c r="O185" i="28"/>
  <c r="AD185" i="28" s="1"/>
  <c r="O160" i="28"/>
  <c r="AD160" i="28" s="1"/>
  <c r="O208" i="28"/>
  <c r="AD208" i="28" s="1"/>
  <c r="O194" i="28"/>
  <c r="AD194" i="28" s="1"/>
  <c r="O181" i="28"/>
  <c r="AD181" i="28" s="1"/>
  <c r="O206" i="28"/>
  <c r="AD206" i="28" s="1"/>
  <c r="O183" i="28"/>
  <c r="AD183" i="28" s="1"/>
  <c r="O156" i="28"/>
  <c r="AD156" i="28" s="1"/>
  <c r="N13" i="28"/>
  <c r="AC13" i="28" s="1"/>
  <c r="N10" i="28"/>
  <c r="AC10" i="28" s="1"/>
  <c r="N14" i="28"/>
  <c r="AC14" i="28" s="1"/>
  <c r="O75" i="28"/>
  <c r="AD75" i="28" s="1"/>
  <c r="O62" i="28"/>
  <c r="AD62" i="28" s="1"/>
  <c r="O102" i="28"/>
  <c r="AD102" i="28" s="1"/>
  <c r="O89" i="28"/>
  <c r="AD89" i="28" s="1"/>
  <c r="P102" i="28"/>
  <c r="N102" i="28" s="1"/>
  <c r="AC102" i="28" s="1"/>
  <c r="P75" i="28"/>
  <c r="N75" i="28" s="1"/>
  <c r="AC75" i="28" s="1"/>
  <c r="P60" i="28"/>
  <c r="P86" i="28"/>
  <c r="P72" i="28"/>
  <c r="P62" i="28"/>
  <c r="N62" i="28" s="1"/>
  <c r="AC62" i="28" s="1"/>
  <c r="P99" i="28"/>
  <c r="P89" i="28"/>
  <c r="N89" i="28" s="1"/>
  <c r="AC89" i="28" s="1"/>
  <c r="P48" i="28"/>
  <c r="P61" i="28"/>
  <c r="N61" i="28" s="1"/>
  <c r="AC61" i="28" s="1"/>
  <c r="P100" i="28"/>
  <c r="N100" i="28" s="1"/>
  <c r="AC100" i="28" s="1"/>
  <c r="P78" i="28"/>
  <c r="N78" i="28" s="1"/>
  <c r="AC78" i="28" s="1"/>
  <c r="P73" i="28"/>
  <c r="N73" i="28" s="1"/>
  <c r="AC73" i="28" s="1"/>
  <c r="P87" i="28"/>
  <c r="N87" i="28" s="1"/>
  <c r="AC87" i="28" s="1"/>
  <c r="P49" i="28"/>
  <c r="N49" i="28" s="1"/>
  <c r="AC49" i="28" s="1"/>
  <c r="O87" i="28"/>
  <c r="AD87" i="28" s="1"/>
  <c r="O61" i="28"/>
  <c r="AD61" i="28" s="1"/>
  <c r="O73" i="28"/>
  <c r="AD73" i="28" s="1"/>
  <c r="O78" i="28"/>
  <c r="AD78" i="28" s="1"/>
  <c r="O100" i="28"/>
  <c r="AD100" i="28" s="1"/>
  <c r="O49" i="28"/>
  <c r="AD49" i="28" s="1"/>
  <c r="O67" i="28"/>
  <c r="AD67" i="28" s="1"/>
  <c r="O93" i="28"/>
  <c r="AD93" i="28" s="1"/>
  <c r="O54" i="28"/>
  <c r="AD54" i="28" s="1"/>
  <c r="O42" i="28"/>
  <c r="AD42" i="28" s="1"/>
  <c r="O81" i="28"/>
  <c r="AD81" i="28" s="1"/>
  <c r="O83" i="28"/>
  <c r="AD83" i="28" s="1"/>
  <c r="O44" i="28"/>
  <c r="AD44" i="28" s="1"/>
  <c r="O69" i="28"/>
  <c r="AD69" i="28" s="1"/>
  <c r="O56" i="28"/>
  <c r="AD56" i="28" s="1"/>
  <c r="O76" i="28"/>
  <c r="AD76" i="28" s="1"/>
  <c r="O103" i="28"/>
  <c r="AD103" i="28" s="1"/>
  <c r="O101" i="28"/>
  <c r="AD101" i="28" s="1"/>
  <c r="O63" i="28"/>
  <c r="AD63" i="28" s="1"/>
  <c r="O88" i="28"/>
  <c r="AD88" i="28" s="1"/>
  <c r="O74" i="28"/>
  <c r="AD74" i="28" s="1"/>
  <c r="O50" i="28"/>
  <c r="AD50" i="28" s="1"/>
  <c r="AC7" i="28"/>
  <c r="O43" i="28"/>
  <c r="AD43" i="28" s="1"/>
  <c r="O82" i="28"/>
  <c r="AD82" i="28" s="1"/>
  <c r="O94" i="28"/>
  <c r="AD94" i="28" s="1"/>
  <c r="O55" i="28"/>
  <c r="AD55" i="28" s="1"/>
  <c r="O68" i="28"/>
  <c r="AD68" i="28" s="1"/>
  <c r="O97" i="28"/>
  <c r="AD97" i="28" s="1"/>
  <c r="O70" i="28"/>
  <c r="AD70" i="28" s="1"/>
  <c r="O58" i="28"/>
  <c r="AD58" i="28" s="1"/>
  <c r="O46" i="28"/>
  <c r="AD46" i="28" s="1"/>
  <c r="O84" i="28"/>
  <c r="AD84" i="28" s="1"/>
  <c r="O45" i="28"/>
  <c r="AD45" i="28" s="1"/>
  <c r="O90" i="28"/>
  <c r="AD90" i="28" s="1"/>
  <c r="O105" i="28"/>
  <c r="AD105" i="28" s="1"/>
  <c r="O104" i="28"/>
  <c r="AD104" i="28" s="1"/>
  <c r="O96" i="28"/>
  <c r="AD96" i="28" s="1"/>
  <c r="O77" i="28"/>
  <c r="AD77" i="28" s="1"/>
  <c r="O57" i="28"/>
  <c r="AD57" i="28" s="1"/>
  <c r="O64" i="28"/>
  <c r="AD64" i="28" s="1"/>
  <c r="O29" i="28"/>
  <c r="AD29" i="28" s="1"/>
  <c r="O47" i="28"/>
  <c r="AD47" i="28" s="1"/>
  <c r="O37" i="28"/>
  <c r="AD37" i="28" s="1"/>
  <c r="O71" i="28"/>
  <c r="AD71" i="28" s="1"/>
  <c r="O85" i="28"/>
  <c r="AD85" i="28" s="1"/>
  <c r="O66" i="28"/>
  <c r="AD66" i="28" s="1"/>
  <c r="O92" i="28"/>
  <c r="AD92" i="28" s="1"/>
  <c r="O80" i="28"/>
  <c r="AD80" i="28" s="1"/>
  <c r="O53" i="28"/>
  <c r="AD53" i="28" s="1"/>
  <c r="O41" i="28"/>
  <c r="AD41" i="28" s="1"/>
  <c r="O59" i="28"/>
  <c r="AD59" i="28" s="1"/>
  <c r="O98" i="28"/>
  <c r="AD98" i="28" s="1"/>
  <c r="N37" i="28"/>
  <c r="AC37" i="28" s="1"/>
  <c r="N29" i="28"/>
  <c r="AC29" i="28" s="1"/>
  <c r="O16" i="28"/>
  <c r="AD16" i="28" s="1"/>
  <c r="O9" i="28"/>
  <c r="AD9" i="28" s="1"/>
  <c r="O23" i="28"/>
  <c r="AD23" i="28" s="1"/>
  <c r="O31" i="28"/>
  <c r="AD31" i="28" s="1"/>
  <c r="P38" i="28"/>
  <c r="O32" i="28"/>
  <c r="AD32" i="28" s="1"/>
  <c r="O24" i="28"/>
  <c r="AD24" i="28" s="1"/>
  <c r="O17" i="28"/>
  <c r="AD17" i="28" s="1"/>
  <c r="O10" i="28"/>
  <c r="AD10" i="28" s="1"/>
  <c r="O34" i="28"/>
  <c r="AD34" i="28" s="1"/>
  <c r="O19" i="28"/>
  <c r="AD19" i="28" s="1"/>
  <c r="O12" i="28"/>
  <c r="AD12" i="28" s="1"/>
  <c r="O26" i="28"/>
  <c r="AD26" i="28" s="1"/>
  <c r="O33" i="28"/>
  <c r="AD33" i="28" s="1"/>
  <c r="O18" i="28"/>
  <c r="AD18" i="28" s="1"/>
  <c r="O11" i="28"/>
  <c r="AD11" i="28" s="1"/>
  <c r="O25" i="28"/>
  <c r="AD25" i="28" s="1"/>
  <c r="O36" i="28"/>
  <c r="AD36" i="28" s="1"/>
  <c r="O14" i="28"/>
  <c r="AD14" i="28" s="1"/>
  <c r="O28" i="28"/>
  <c r="AD28" i="28" s="1"/>
  <c r="O21" i="28"/>
  <c r="AD21" i="28" s="1"/>
  <c r="C23" i="6"/>
  <c r="R23" i="6" s="1"/>
  <c r="O13" i="28"/>
  <c r="AD13" i="28" s="1"/>
  <c r="O27" i="28"/>
  <c r="AD27" i="28" s="1"/>
  <c r="O20" i="28"/>
  <c r="AD20" i="28" s="1"/>
  <c r="O35" i="28"/>
  <c r="AD35" i="28" s="1"/>
  <c r="A19" i="43"/>
  <c r="A17" i="9" s="1"/>
  <c r="E17" i="6" s="1"/>
  <c r="G17" i="6"/>
  <c r="H17" i="6" s="1"/>
  <c r="A11" i="43"/>
  <c r="A9" i="9" s="1"/>
  <c r="B9" i="9" s="1"/>
  <c r="G9" i="6"/>
  <c r="H9" i="6" s="1"/>
  <c r="A20" i="43"/>
  <c r="A18" i="9" s="1"/>
  <c r="B18" i="9" s="1"/>
  <c r="G18" i="6"/>
  <c r="H18" i="6" s="1"/>
  <c r="A9" i="43"/>
  <c r="A7" i="9" s="1"/>
  <c r="B7" i="9" s="1"/>
  <c r="G7" i="6"/>
  <c r="H7" i="6" s="1"/>
  <c r="A21" i="43"/>
  <c r="A19" i="9" s="1"/>
  <c r="B19" i="9" s="1"/>
  <c r="G19" i="6"/>
  <c r="H19" i="6" s="1"/>
  <c r="A22" i="43"/>
  <c r="A20" i="9" s="1"/>
  <c r="B20" i="9" s="1"/>
  <c r="G20" i="6"/>
  <c r="H20" i="6" s="1"/>
  <c r="A15" i="43"/>
  <c r="A13" i="9" s="1"/>
  <c r="B13" i="9" s="1"/>
  <c r="G13" i="6"/>
  <c r="H13" i="6" s="1"/>
  <c r="A23" i="43"/>
  <c r="A21" i="9" s="1"/>
  <c r="B21" i="9" s="1"/>
  <c r="G21" i="6"/>
  <c r="H21" i="6" s="1"/>
  <c r="A13" i="43"/>
  <c r="A11" i="9" s="1"/>
  <c r="B11" i="9" s="1"/>
  <c r="G11" i="6"/>
  <c r="H11" i="6" s="1"/>
  <c r="A16" i="43"/>
  <c r="A14" i="9" s="1"/>
  <c r="B14" i="9" s="1"/>
  <c r="G14" i="6"/>
  <c r="H14" i="6" s="1"/>
  <c r="A24" i="43"/>
  <c r="A22" i="9" s="1"/>
  <c r="B22" i="9" s="1"/>
  <c r="G22" i="6"/>
  <c r="H22" i="6" s="1"/>
  <c r="A18" i="43"/>
  <c r="A16" i="9" s="1"/>
  <c r="B16" i="9" s="1"/>
  <c r="G16" i="6"/>
  <c r="H16" i="6" s="1"/>
  <c r="A29" i="43"/>
  <c r="A27" i="9" s="1"/>
  <c r="B27" i="9" s="1"/>
  <c r="G26" i="6"/>
  <c r="H26" i="6" s="1"/>
  <c r="A17" i="43"/>
  <c r="A15" i="9" s="1"/>
  <c r="B15" i="9" s="1"/>
  <c r="G15" i="6"/>
  <c r="H15" i="6" s="1"/>
  <c r="A8" i="43"/>
  <c r="A6" i="9" s="1"/>
  <c r="C6" i="6" s="1"/>
  <c r="E22" i="6"/>
  <c r="C13" i="6"/>
  <c r="R13" i="6" s="1"/>
  <c r="N113" i="22" l="1"/>
  <c r="A56" i="43"/>
  <c r="N115" i="22"/>
  <c r="P113" i="22"/>
  <c r="K113" i="22"/>
  <c r="A58" i="43"/>
  <c r="H111" i="22"/>
  <c r="K115" i="22"/>
  <c r="L113" i="22"/>
  <c r="H105" i="22"/>
  <c r="H102" i="22"/>
  <c r="H95" i="22"/>
  <c r="H97" i="22"/>
  <c r="H94" i="22"/>
  <c r="H107" i="22"/>
  <c r="H103" i="22"/>
  <c r="H100" i="22"/>
  <c r="H110" i="22"/>
  <c r="H109" i="22"/>
  <c r="H99" i="22"/>
  <c r="H112" i="22"/>
  <c r="H92" i="22"/>
  <c r="H101" i="22"/>
  <c r="H91" i="22"/>
  <c r="H104" i="22"/>
  <c r="H93" i="22"/>
  <c r="H106" i="22"/>
  <c r="H96" i="22"/>
  <c r="H90" i="22"/>
  <c r="J108" i="22"/>
  <c r="H108" i="22"/>
  <c r="H98" i="22"/>
  <c r="N40" i="44"/>
  <c r="D100" i="22" s="1"/>
  <c r="N262" i="29"/>
  <c r="AC262" i="29" s="1"/>
  <c r="N97" i="29"/>
  <c r="AC97" i="29" s="1"/>
  <c r="N109" i="29"/>
  <c r="AC109" i="29" s="1"/>
  <c r="N245" i="29"/>
  <c r="AC245" i="29" s="1"/>
  <c r="N44" i="29"/>
  <c r="N217" i="29"/>
  <c r="AC217" i="29" s="1"/>
  <c r="N277" i="44"/>
  <c r="AC277" i="44" s="1"/>
  <c r="N231" i="29"/>
  <c r="AC231" i="29" s="1"/>
  <c r="N57" i="29"/>
  <c r="AC57" i="29" s="1"/>
  <c r="N227" i="29"/>
  <c r="AC227" i="29" s="1"/>
  <c r="N58" i="29"/>
  <c r="AC58" i="29" s="1"/>
  <c r="N214" i="29"/>
  <c r="AC214" i="29" s="1"/>
  <c r="N114" i="29"/>
  <c r="AC114" i="29" s="1"/>
  <c r="N90" i="29"/>
  <c r="AC90" i="29" s="1"/>
  <c r="N73" i="29"/>
  <c r="AC73" i="29" s="1"/>
  <c r="N130" i="29"/>
  <c r="AC130" i="29" s="1"/>
  <c r="N74" i="29"/>
  <c r="AC74" i="29" s="1"/>
  <c r="N182" i="29"/>
  <c r="AC182" i="29" s="1"/>
  <c r="N45" i="29"/>
  <c r="AC45" i="29" s="1"/>
  <c r="N108" i="29"/>
  <c r="AC108" i="29" s="1"/>
  <c r="N164" i="29"/>
  <c r="AC164" i="29" s="1"/>
  <c r="N126" i="29"/>
  <c r="AC126" i="29" s="1"/>
  <c r="N200" i="29"/>
  <c r="AC200" i="29" s="1"/>
  <c r="N275" i="44"/>
  <c r="AC275" i="44" s="1"/>
  <c r="N249" i="29"/>
  <c r="AC249" i="29" s="1"/>
  <c r="N80" i="29"/>
  <c r="AC80" i="29" s="1"/>
  <c r="N177" i="29"/>
  <c r="AC177" i="29" s="1"/>
  <c r="N281" i="44"/>
  <c r="AC281" i="44" s="1"/>
  <c r="N197" i="29"/>
  <c r="AC197" i="29" s="1"/>
  <c r="N234" i="29"/>
  <c r="AC234" i="29" s="1"/>
  <c r="N124" i="29"/>
  <c r="AC124" i="29" s="1"/>
  <c r="N264" i="29"/>
  <c r="AC264" i="29" s="1"/>
  <c r="N252" i="29"/>
  <c r="AC252" i="29" s="1"/>
  <c r="AC210" i="29"/>
  <c r="AC193" i="29"/>
  <c r="C16" i="6"/>
  <c r="R16" i="6" s="1"/>
  <c r="E15" i="6"/>
  <c r="C20" i="6"/>
  <c r="R20" i="6" s="1"/>
  <c r="E20" i="6"/>
  <c r="E9" i="6"/>
  <c r="E14" i="6"/>
  <c r="E7" i="6"/>
  <c r="C9" i="6"/>
  <c r="R9" i="6" s="1"/>
  <c r="C7" i="6"/>
  <c r="R7" i="6" s="1"/>
  <c r="C14" i="6"/>
  <c r="R14" i="6" s="1"/>
  <c r="C19" i="6"/>
  <c r="R19" i="6" s="1"/>
  <c r="E21" i="6"/>
  <c r="E13" i="6"/>
  <c r="C18" i="6"/>
  <c r="R18" i="6" s="1"/>
  <c r="E19" i="6"/>
  <c r="B17" i="9"/>
  <c r="C17" i="6"/>
  <c r="R17" i="6" s="1"/>
  <c r="C15" i="6"/>
  <c r="R15" i="6" s="1"/>
  <c r="C21" i="6"/>
  <c r="R21" i="6" s="1"/>
  <c r="C26" i="6"/>
  <c r="R26" i="6" s="1"/>
  <c r="E11" i="6"/>
  <c r="E26" i="6"/>
  <c r="E16" i="6"/>
  <c r="C22" i="6"/>
  <c r="R22" i="6" s="1"/>
  <c r="E18" i="6"/>
  <c r="C11" i="6"/>
  <c r="R11" i="6" s="1"/>
  <c r="B6" i="9"/>
  <c r="J112" i="22" l="1"/>
  <c r="J95" i="22"/>
  <c r="C106" i="22"/>
  <c r="J107" i="22"/>
  <c r="D111" i="22"/>
  <c r="D93" i="22"/>
  <c r="D95" i="22"/>
  <c r="D99" i="22"/>
  <c r="J111" i="22"/>
  <c r="J90" i="22"/>
  <c r="J103" i="22"/>
  <c r="I109" i="22"/>
  <c r="C94" i="22"/>
  <c r="C102" i="22"/>
  <c r="C109" i="22"/>
  <c r="I104" i="22"/>
  <c r="J106" i="22"/>
  <c r="D90" i="22"/>
  <c r="I95" i="22"/>
  <c r="I93" i="22"/>
  <c r="C91" i="22"/>
  <c r="J97" i="22"/>
  <c r="J94" i="22"/>
  <c r="H113" i="22"/>
  <c r="I110" i="22"/>
  <c r="D109" i="22"/>
  <c r="D96" i="22"/>
  <c r="D112" i="22"/>
  <c r="D97" i="22"/>
  <c r="D107" i="22"/>
  <c r="C107" i="22"/>
  <c r="C104" i="22"/>
  <c r="J110" i="22"/>
  <c r="J93" i="22"/>
  <c r="I105" i="22"/>
  <c r="D106" i="22"/>
  <c r="I103" i="22"/>
  <c r="D102" i="22"/>
  <c r="J104" i="22"/>
  <c r="I106" i="22"/>
  <c r="C110" i="22"/>
  <c r="I92" i="22"/>
  <c r="C103" i="22"/>
  <c r="C90" i="22"/>
  <c r="J91" i="22"/>
  <c r="D103" i="22"/>
  <c r="I90" i="22"/>
  <c r="D94" i="22"/>
  <c r="C100" i="22"/>
  <c r="J92" i="22"/>
  <c r="C101" i="22"/>
  <c r="I97" i="22"/>
  <c r="I108" i="22"/>
  <c r="C99" i="22"/>
  <c r="I102" i="22"/>
  <c r="D105" i="22"/>
  <c r="C98" i="22"/>
  <c r="J101" i="22"/>
  <c r="J99" i="22"/>
  <c r="D91" i="22"/>
  <c r="C108" i="22"/>
  <c r="C93" i="22"/>
  <c r="I98" i="22"/>
  <c r="I91" i="22"/>
  <c r="D98" i="22"/>
  <c r="C96" i="22"/>
  <c r="C111" i="22"/>
  <c r="I94" i="22"/>
  <c r="D104" i="22"/>
  <c r="I99" i="22"/>
  <c r="D92" i="22"/>
  <c r="C92" i="22"/>
  <c r="J105" i="22"/>
  <c r="J109" i="22"/>
  <c r="I96" i="22"/>
  <c r="I101" i="22"/>
  <c r="C95" i="22"/>
  <c r="I107" i="22"/>
  <c r="C112" i="22"/>
  <c r="I112" i="22"/>
  <c r="D110" i="22"/>
  <c r="J98" i="22"/>
  <c r="D101" i="22"/>
  <c r="I100" i="22"/>
  <c r="C97" i="22"/>
  <c r="C105" i="22"/>
  <c r="J96" i="22"/>
  <c r="J102" i="22"/>
  <c r="I111" i="22"/>
  <c r="D108" i="22"/>
  <c r="J100" i="22"/>
  <c r="AC40" i="44"/>
  <c r="AC44" i="29"/>
  <c r="E6" i="6"/>
  <c r="AU144" i="37"/>
  <c r="AU145" i="37"/>
  <c r="AU146" i="37"/>
  <c r="AU147" i="37"/>
  <c r="AU148" i="37"/>
  <c r="AU149" i="37"/>
  <c r="AU150" i="37"/>
  <c r="AU151" i="37"/>
  <c r="AU152" i="37"/>
  <c r="AU153" i="37"/>
  <c r="AU154" i="37"/>
  <c r="AU155" i="37"/>
  <c r="AU156" i="37"/>
  <c r="AU157" i="37"/>
  <c r="AU158" i="37"/>
  <c r="AU159" i="37"/>
  <c r="AU160" i="37"/>
  <c r="AU161" i="37"/>
  <c r="AU162" i="37"/>
  <c r="AU163" i="37"/>
  <c r="AU164" i="37"/>
  <c r="AU165" i="37"/>
  <c r="AU166" i="37"/>
  <c r="AU167" i="37"/>
  <c r="AU168" i="37"/>
  <c r="AU169" i="37"/>
  <c r="AU170" i="37"/>
  <c r="AU171" i="37"/>
  <c r="AU172" i="37"/>
  <c r="AU173" i="37"/>
  <c r="AU174" i="37"/>
  <c r="AU175" i="37"/>
  <c r="AU176" i="37"/>
  <c r="AU177" i="37"/>
  <c r="AU178" i="37"/>
  <c r="AU179" i="37"/>
  <c r="AU180" i="37"/>
  <c r="AU181" i="37"/>
  <c r="AU182" i="37"/>
  <c r="AU183" i="37"/>
  <c r="AU184" i="37"/>
  <c r="AU185" i="37"/>
  <c r="AU186" i="37"/>
  <c r="AU187" i="37"/>
  <c r="AU188" i="37"/>
  <c r="AU189" i="37"/>
  <c r="AU190" i="37"/>
  <c r="AU191" i="37"/>
  <c r="AU192" i="37"/>
  <c r="AU193" i="37"/>
  <c r="AU194" i="37"/>
  <c r="AU195" i="37"/>
  <c r="AU196" i="37"/>
  <c r="AU197" i="37"/>
  <c r="AU198" i="37"/>
  <c r="AU199" i="37"/>
  <c r="AU200" i="37"/>
  <c r="AU201" i="37"/>
  <c r="AU202" i="37"/>
  <c r="AU203" i="37"/>
  <c r="AU204" i="37"/>
  <c r="AU205" i="37"/>
  <c r="AU206" i="37"/>
  <c r="AU207" i="37"/>
  <c r="AU208" i="37"/>
  <c r="AU209" i="37"/>
  <c r="AU210" i="37"/>
  <c r="AU211" i="37"/>
  <c r="AU212" i="37"/>
  <c r="AU213" i="37"/>
  <c r="AV144" i="37"/>
  <c r="AV145" i="37"/>
  <c r="AV146" i="37"/>
  <c r="AV147" i="37"/>
  <c r="AV148" i="37"/>
  <c r="AV149" i="37"/>
  <c r="AV150" i="37"/>
  <c r="AV151" i="37"/>
  <c r="AV152" i="37"/>
  <c r="AV153" i="37"/>
  <c r="AV154" i="37"/>
  <c r="AV155" i="37"/>
  <c r="AV156" i="37"/>
  <c r="AV157" i="37"/>
  <c r="AV158" i="37"/>
  <c r="AV159" i="37"/>
  <c r="AV160" i="37"/>
  <c r="AV161" i="37"/>
  <c r="AV162" i="37"/>
  <c r="AV163" i="37"/>
  <c r="AV164" i="37"/>
  <c r="AV165" i="37"/>
  <c r="AV166" i="37"/>
  <c r="AV167" i="37"/>
  <c r="AV168" i="37"/>
  <c r="AV169" i="37"/>
  <c r="AV170" i="37"/>
  <c r="AV171" i="37"/>
  <c r="AV172" i="37"/>
  <c r="AV173" i="37"/>
  <c r="AV174" i="37"/>
  <c r="AV175" i="37"/>
  <c r="AV176" i="37"/>
  <c r="AV177" i="37"/>
  <c r="AV178" i="37"/>
  <c r="AV179" i="37"/>
  <c r="AV180" i="37"/>
  <c r="AV181" i="37"/>
  <c r="AV182" i="37"/>
  <c r="AV183" i="37"/>
  <c r="AV184" i="37"/>
  <c r="AV185" i="37"/>
  <c r="AV186" i="37"/>
  <c r="AV187" i="37"/>
  <c r="AV188" i="37"/>
  <c r="AV189" i="37"/>
  <c r="AV190" i="37"/>
  <c r="AV191" i="37"/>
  <c r="AV192" i="37"/>
  <c r="AV193" i="37"/>
  <c r="AV194" i="37"/>
  <c r="AV195" i="37"/>
  <c r="AV196" i="37"/>
  <c r="AV197" i="37"/>
  <c r="AV198" i="37"/>
  <c r="AV199" i="37"/>
  <c r="AV200" i="37"/>
  <c r="AV201" i="37"/>
  <c r="AV202" i="37"/>
  <c r="AV203" i="37"/>
  <c r="AV204" i="37"/>
  <c r="AV205" i="37"/>
  <c r="AV206" i="37"/>
  <c r="AV207" i="37"/>
  <c r="AV208" i="37"/>
  <c r="AV209" i="37"/>
  <c r="AV210" i="37"/>
  <c r="AV211" i="37"/>
  <c r="AV212" i="37"/>
  <c r="AV213" i="37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69" i="27" a="1"/>
  <c r="D69" i="27" s="1"/>
  <c r="D68" i="27" a="1"/>
  <c r="D68" i="27" s="1"/>
  <c r="D67" i="27" a="1"/>
  <c r="D67" i="27" s="1"/>
  <c r="D66" i="27" a="1"/>
  <c r="D66" i="27" s="1"/>
  <c r="E69" i="27" a="1"/>
  <c r="E69" i="27" s="1"/>
  <c r="E68" i="27" a="1"/>
  <c r="E68" i="27" s="1"/>
  <c r="E67" i="27" a="1"/>
  <c r="E67" i="27" s="1"/>
  <c r="E66" i="27" a="1"/>
  <c r="E66" i="27" s="1"/>
  <c r="D63" i="27" a="1"/>
  <c r="D63" i="27" s="1"/>
  <c r="D62" i="27" a="1"/>
  <c r="D62" i="27" s="1"/>
  <c r="E70" i="27" a="1"/>
  <c r="E70" i="27" s="1"/>
  <c r="E65" i="27" a="1"/>
  <c r="E65" i="27" s="1"/>
  <c r="D70" i="27" a="1"/>
  <c r="D70" i="27" s="1"/>
  <c r="D65" i="27" a="1"/>
  <c r="D65" i="27" s="1"/>
  <c r="C69" i="27" a="1"/>
  <c r="C69" i="27" s="1"/>
  <c r="C68" i="27" a="1"/>
  <c r="C68" i="27" s="1"/>
  <c r="C67" i="27" a="1"/>
  <c r="C67" i="27" s="1"/>
  <c r="C70" i="27" a="1"/>
  <c r="C70" i="27" s="1"/>
  <c r="C66" i="27" a="1"/>
  <c r="C66" i="27" s="1"/>
  <c r="C63" i="27" a="1"/>
  <c r="C63" i="27" s="1"/>
  <c r="C56" i="27"/>
  <c r="F49" i="27"/>
  <c r="F50" i="27"/>
  <c r="F51" i="27"/>
  <c r="F52" i="27"/>
  <c r="F53" i="27"/>
  <c r="F54" i="27"/>
  <c r="F55" i="27"/>
  <c r="F48" i="27"/>
  <c r="F47" i="27"/>
  <c r="G156" i="27"/>
  <c r="H156" i="27"/>
  <c r="I156" i="27"/>
  <c r="J156" i="27"/>
  <c r="A55" i="43" l="1"/>
  <c r="J113" i="22"/>
  <c r="D113" i="22"/>
  <c r="I113" i="22"/>
  <c r="H115" i="22" s="1"/>
  <c r="C113" i="22"/>
  <c r="F67" i="27"/>
  <c r="F68" i="27"/>
  <c r="F66" i="27"/>
  <c r="U21" i="28"/>
  <c r="R23" i="28" l="1"/>
  <c r="R20" i="28"/>
  <c r="R16" i="28"/>
  <c r="R17" i="28"/>
  <c r="R29" i="28"/>
  <c r="R27" i="28"/>
  <c r="R28" i="28"/>
  <c r="R19" i="28"/>
  <c r="R26" i="28"/>
  <c r="R25" i="28"/>
  <c r="R18" i="28"/>
  <c r="R21" i="28"/>
  <c r="R24" i="28"/>
  <c r="AU263" i="41"/>
  <c r="AU264" i="41"/>
  <c r="AU265" i="41"/>
  <c r="AU266" i="41"/>
  <c r="AU267" i="41"/>
  <c r="AU268" i="41"/>
  <c r="AU269" i="41"/>
  <c r="AU270" i="41"/>
  <c r="AU271" i="41"/>
  <c r="AU272" i="41"/>
  <c r="AU273" i="41"/>
  <c r="AU274" i="41"/>
  <c r="AU275" i="41"/>
  <c r="AU276" i="41"/>
  <c r="AU277" i="41"/>
  <c r="AU278" i="41"/>
  <c r="AU279" i="41"/>
  <c r="AU280" i="41"/>
  <c r="AU281" i="41"/>
  <c r="AU282" i="41"/>
  <c r="AU283" i="41"/>
  <c r="AU284" i="41"/>
  <c r="AU285" i="41"/>
  <c r="AU286" i="41"/>
  <c r="AU287" i="41"/>
  <c r="AU288" i="41"/>
  <c r="AU289" i="41"/>
  <c r="AU290" i="41"/>
  <c r="AU291" i="41"/>
  <c r="AU292" i="41"/>
  <c r="AU293" i="41"/>
  <c r="AU294" i="41"/>
  <c r="AU295" i="41"/>
  <c r="AU296" i="41"/>
  <c r="AU297" i="41"/>
  <c r="AU298" i="41"/>
  <c r="AU299" i="41"/>
  <c r="AU300" i="41"/>
  <c r="AU301" i="41"/>
  <c r="AU302" i="41"/>
  <c r="AU303" i="41"/>
  <c r="AU304" i="41"/>
  <c r="AU305" i="41"/>
  <c r="AU306" i="41"/>
  <c r="AU307" i="41"/>
  <c r="AU308" i="41"/>
  <c r="AU309" i="41"/>
  <c r="AU310" i="41"/>
  <c r="AU311" i="41"/>
  <c r="AU312" i="41"/>
  <c r="AU313" i="41"/>
  <c r="AU314" i="41"/>
  <c r="AV263" i="41"/>
  <c r="AV264" i="41"/>
  <c r="AV265" i="41"/>
  <c r="AV266" i="41"/>
  <c r="AV267" i="41"/>
  <c r="AV268" i="41"/>
  <c r="AV269" i="41"/>
  <c r="AV270" i="41"/>
  <c r="AV271" i="41"/>
  <c r="AV272" i="41"/>
  <c r="AV273" i="41"/>
  <c r="AV274" i="41"/>
  <c r="AV275" i="41"/>
  <c r="AV276" i="41"/>
  <c r="AV277" i="41"/>
  <c r="AV278" i="41"/>
  <c r="AV279" i="41"/>
  <c r="AV280" i="41"/>
  <c r="AV281" i="41"/>
  <c r="AV282" i="41"/>
  <c r="AV283" i="41"/>
  <c r="AV284" i="41"/>
  <c r="AV285" i="41"/>
  <c r="AV286" i="41"/>
  <c r="AV287" i="41"/>
  <c r="AV288" i="41"/>
  <c r="AV289" i="41"/>
  <c r="AV290" i="41"/>
  <c r="AV291" i="41"/>
  <c r="AV292" i="41"/>
  <c r="AV293" i="41"/>
  <c r="AV294" i="41"/>
  <c r="AV295" i="41"/>
  <c r="AV296" i="41"/>
  <c r="AV297" i="41"/>
  <c r="AV298" i="41"/>
  <c r="AV299" i="41"/>
  <c r="AV300" i="41"/>
  <c r="AV301" i="41"/>
  <c r="AV302" i="41"/>
  <c r="AV303" i="41"/>
  <c r="AV304" i="41"/>
  <c r="AV305" i="41"/>
  <c r="AV306" i="41"/>
  <c r="AV307" i="41"/>
  <c r="AV308" i="41"/>
  <c r="AV309" i="41"/>
  <c r="AV310" i="41"/>
  <c r="AV311" i="41"/>
  <c r="AV312" i="41"/>
  <c r="AV313" i="41"/>
  <c r="AV314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J72" i="44" s="1"/>
  <c r="W421" i="41"/>
  <c r="K72" i="44" s="1"/>
  <c r="X420" i="41"/>
  <c r="J62" i="44" s="1"/>
  <c r="W420" i="41"/>
  <c r="K62" i="44" s="1"/>
  <c r="X419" i="41"/>
  <c r="W419" i="41"/>
  <c r="X418" i="41"/>
  <c r="W418" i="41"/>
  <c r="X417" i="41"/>
  <c r="W417" i="41"/>
  <c r="X416" i="41"/>
  <c r="W416" i="41"/>
  <c r="X415" i="41"/>
  <c r="W415" i="41"/>
  <c r="X414" i="41"/>
  <c r="J50" i="44" s="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J48" i="44" s="1"/>
  <c r="W400" i="41"/>
  <c r="K48" i="44" s="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J37" i="44" s="1"/>
  <c r="W387" i="41"/>
  <c r="K37" i="44" s="1"/>
  <c r="X386" i="41"/>
  <c r="J36" i="44" s="1"/>
  <c r="W386" i="41"/>
  <c r="K36" i="44" s="1"/>
  <c r="X385" i="41"/>
  <c r="J27" i="44" s="1"/>
  <c r="W385" i="41"/>
  <c r="K27" i="44" s="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J24" i="44" s="1"/>
  <c r="W373" i="41"/>
  <c r="K24" i="44" s="1"/>
  <c r="X372" i="41"/>
  <c r="J23" i="44" s="1"/>
  <c r="W372" i="41"/>
  <c r="K23" i="44" s="1"/>
  <c r="X371" i="41"/>
  <c r="W371" i="41"/>
  <c r="X370" i="41"/>
  <c r="W370" i="41"/>
  <c r="X369" i="41"/>
  <c r="W369" i="41"/>
  <c r="X368" i="41"/>
  <c r="J16" i="44" s="1"/>
  <c r="W368" i="41"/>
  <c r="K16" i="44" s="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J86" i="44" s="1"/>
  <c r="W299" i="41"/>
  <c r="K86" i="44" s="1"/>
  <c r="X298" i="41"/>
  <c r="W298" i="41"/>
  <c r="X297" i="41"/>
  <c r="J88" i="44" s="1"/>
  <c r="W297" i="41"/>
  <c r="K88" i="44" s="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J89" i="44" s="1"/>
  <c r="W275" i="41"/>
  <c r="K89" i="44" s="1"/>
  <c r="X274" i="41"/>
  <c r="W274" i="41"/>
  <c r="K79" i="44" s="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J66" i="44" s="1"/>
  <c r="W265" i="41"/>
  <c r="X264" i="41"/>
  <c r="W264" i="41"/>
  <c r="X263" i="41"/>
  <c r="W263" i="41"/>
  <c r="AV262" i="41"/>
  <c r="AU262" i="41"/>
  <c r="X262" i="41"/>
  <c r="W262" i="41"/>
  <c r="AV261" i="41"/>
  <c r="AU261" i="41"/>
  <c r="X261" i="41"/>
  <c r="W261" i="41"/>
  <c r="AV260" i="41"/>
  <c r="AU260" i="41"/>
  <c r="X260" i="41"/>
  <c r="W260" i="41"/>
  <c r="AV259" i="41"/>
  <c r="AU259" i="41"/>
  <c r="X259" i="41"/>
  <c r="W259" i="41"/>
  <c r="AV258" i="41"/>
  <c r="AU258" i="41"/>
  <c r="X258" i="41"/>
  <c r="W258" i="41"/>
  <c r="AV257" i="41"/>
  <c r="AU257" i="41"/>
  <c r="X257" i="41"/>
  <c r="W257" i="41"/>
  <c r="AV256" i="41"/>
  <c r="AU256" i="41"/>
  <c r="X256" i="41"/>
  <c r="W256" i="41"/>
  <c r="AV255" i="41"/>
  <c r="AU255" i="41"/>
  <c r="X255" i="41"/>
  <c r="W255" i="41"/>
  <c r="AV254" i="41"/>
  <c r="AU254" i="41"/>
  <c r="X254" i="41"/>
  <c r="W254" i="41"/>
  <c r="AV253" i="41"/>
  <c r="AU253" i="41"/>
  <c r="X253" i="41"/>
  <c r="W253" i="41"/>
  <c r="AV252" i="41"/>
  <c r="AU252" i="41"/>
  <c r="X252" i="41"/>
  <c r="W252" i="41"/>
  <c r="AV251" i="41"/>
  <c r="AU251" i="41"/>
  <c r="X251" i="41"/>
  <c r="W251" i="41"/>
  <c r="AV250" i="41"/>
  <c r="AU250" i="41"/>
  <c r="X250" i="41"/>
  <c r="W250" i="41"/>
  <c r="AV249" i="41"/>
  <c r="AU249" i="41"/>
  <c r="X249" i="41"/>
  <c r="W249" i="41"/>
  <c r="AV248" i="41"/>
  <c r="AU248" i="41"/>
  <c r="X248" i="41"/>
  <c r="W248" i="41"/>
  <c r="AV247" i="41"/>
  <c r="AU247" i="41"/>
  <c r="X247" i="41"/>
  <c r="W247" i="41"/>
  <c r="AV246" i="41"/>
  <c r="AU246" i="41"/>
  <c r="X246" i="41"/>
  <c r="W246" i="41"/>
  <c r="AV245" i="41"/>
  <c r="AU245" i="41"/>
  <c r="X245" i="41"/>
  <c r="W245" i="41"/>
  <c r="AV244" i="41"/>
  <c r="AU244" i="41"/>
  <c r="X244" i="41"/>
  <c r="J53" i="44" s="1"/>
  <c r="W244" i="41"/>
  <c r="K53" i="44" s="1"/>
  <c r="AV243" i="41"/>
  <c r="AU243" i="41"/>
  <c r="X243" i="41"/>
  <c r="W243" i="41"/>
  <c r="AV242" i="41"/>
  <c r="AU242" i="41"/>
  <c r="X242" i="41"/>
  <c r="J54" i="44" s="1"/>
  <c r="W242" i="41"/>
  <c r="K54" i="44" s="1"/>
  <c r="AV241" i="41"/>
  <c r="AU241" i="41"/>
  <c r="X241" i="41"/>
  <c r="W241" i="41"/>
  <c r="AV240" i="41"/>
  <c r="AU240" i="41"/>
  <c r="X240" i="41"/>
  <c r="W240" i="41"/>
  <c r="AV239" i="41"/>
  <c r="AU239" i="41"/>
  <c r="X239" i="41"/>
  <c r="W239" i="41"/>
  <c r="AV238" i="41"/>
  <c r="AU238" i="41"/>
  <c r="X238" i="41"/>
  <c r="W238" i="41"/>
  <c r="AV237" i="41"/>
  <c r="AU237" i="41"/>
  <c r="X237" i="41"/>
  <c r="W237" i="41"/>
  <c r="AV236" i="41"/>
  <c r="AU236" i="41"/>
  <c r="X236" i="41"/>
  <c r="W236" i="41"/>
  <c r="AV235" i="41"/>
  <c r="AU235" i="41"/>
  <c r="X235" i="41"/>
  <c r="W235" i="41"/>
  <c r="AV234" i="41"/>
  <c r="AU234" i="41"/>
  <c r="X234" i="41"/>
  <c r="W234" i="41"/>
  <c r="AV233" i="41"/>
  <c r="AU233" i="41"/>
  <c r="X233" i="41"/>
  <c r="W233" i="41"/>
  <c r="AV232" i="41"/>
  <c r="AU232" i="41"/>
  <c r="X232" i="41"/>
  <c r="W232" i="41"/>
  <c r="AV231" i="41"/>
  <c r="AU231" i="41"/>
  <c r="X231" i="41"/>
  <c r="W231" i="41"/>
  <c r="AV230" i="41"/>
  <c r="AU230" i="41"/>
  <c r="X230" i="41"/>
  <c r="W230" i="41"/>
  <c r="K40" i="44" s="1"/>
  <c r="AV229" i="41"/>
  <c r="AU229" i="41"/>
  <c r="X229" i="41"/>
  <c r="W229" i="41"/>
  <c r="K38" i="44" s="1"/>
  <c r="AV228" i="41"/>
  <c r="AU228" i="41"/>
  <c r="X228" i="41"/>
  <c r="W228" i="41"/>
  <c r="AV227" i="41"/>
  <c r="AU227" i="41"/>
  <c r="X227" i="41"/>
  <c r="W227" i="41"/>
  <c r="AV226" i="41"/>
  <c r="AU226" i="41"/>
  <c r="X226" i="41"/>
  <c r="W226" i="41"/>
  <c r="AV225" i="41"/>
  <c r="AU225" i="41"/>
  <c r="X225" i="41"/>
  <c r="W225" i="41"/>
  <c r="AV224" i="41"/>
  <c r="AU224" i="41"/>
  <c r="X224" i="41"/>
  <c r="W224" i="41"/>
  <c r="AV223" i="41"/>
  <c r="AU223" i="41"/>
  <c r="X223" i="41"/>
  <c r="W223" i="41"/>
  <c r="AV222" i="41"/>
  <c r="AU222" i="41"/>
  <c r="X222" i="41"/>
  <c r="W222" i="41"/>
  <c r="AV221" i="41"/>
  <c r="AU221" i="41"/>
  <c r="X221" i="41"/>
  <c r="W221" i="41"/>
  <c r="AV220" i="41"/>
  <c r="AU220" i="41"/>
  <c r="X220" i="41"/>
  <c r="W220" i="41"/>
  <c r="AV219" i="41"/>
  <c r="AU219" i="41"/>
  <c r="X219" i="41"/>
  <c r="W219" i="41"/>
  <c r="AV218" i="41"/>
  <c r="AU218" i="41"/>
  <c r="X218" i="41"/>
  <c r="W218" i="41"/>
  <c r="AV217" i="41"/>
  <c r="AU217" i="41"/>
  <c r="X217" i="41"/>
  <c r="W217" i="41"/>
  <c r="AV216" i="41"/>
  <c r="AU216" i="41"/>
  <c r="X216" i="41"/>
  <c r="W216" i="41"/>
  <c r="AV215" i="41"/>
  <c r="AU215" i="41"/>
  <c r="X215" i="41"/>
  <c r="W215" i="41"/>
  <c r="AV214" i="41"/>
  <c r="AU214" i="41"/>
  <c r="X214" i="41"/>
  <c r="W214" i="41"/>
  <c r="AV213" i="41"/>
  <c r="AU213" i="41"/>
  <c r="X213" i="41"/>
  <c r="W213" i="41"/>
  <c r="AV212" i="41"/>
  <c r="AU212" i="41"/>
  <c r="X212" i="41"/>
  <c r="W212" i="41"/>
  <c r="AV211" i="41"/>
  <c r="AU211" i="41"/>
  <c r="X211" i="41"/>
  <c r="W211" i="41"/>
  <c r="AV210" i="41"/>
  <c r="AU210" i="41"/>
  <c r="X210" i="41"/>
  <c r="W210" i="41"/>
  <c r="AV209" i="41"/>
  <c r="AU209" i="41"/>
  <c r="X209" i="41"/>
  <c r="W209" i="41"/>
  <c r="AV208" i="41"/>
  <c r="AU208" i="41"/>
  <c r="X208" i="41"/>
  <c r="W208" i="41"/>
  <c r="AV207" i="41"/>
  <c r="AU207" i="41"/>
  <c r="X207" i="41"/>
  <c r="J12" i="44" s="1"/>
  <c r="W207" i="41"/>
  <c r="K12" i="44" s="1"/>
  <c r="AV206" i="41"/>
  <c r="AU206" i="41"/>
  <c r="X206" i="41"/>
  <c r="J127" i="44" s="1"/>
  <c r="W206" i="41"/>
  <c r="K127" i="44" s="1"/>
  <c r="AV205" i="41"/>
  <c r="AU205" i="41"/>
  <c r="X205" i="41"/>
  <c r="W205" i="41"/>
  <c r="AV204" i="41"/>
  <c r="AU204" i="41"/>
  <c r="X204" i="41"/>
  <c r="W204" i="41"/>
  <c r="AV203" i="41"/>
  <c r="AU203" i="41"/>
  <c r="X203" i="41"/>
  <c r="W203" i="41"/>
  <c r="AV202" i="41"/>
  <c r="AU202" i="41"/>
  <c r="X202" i="41"/>
  <c r="W202" i="41"/>
  <c r="AV201" i="41"/>
  <c r="AU201" i="41"/>
  <c r="X201" i="41"/>
  <c r="W201" i="41"/>
  <c r="AV200" i="41"/>
  <c r="AU200" i="41"/>
  <c r="X200" i="41"/>
  <c r="W200" i="41"/>
  <c r="AV199" i="41"/>
  <c r="AU199" i="41"/>
  <c r="X199" i="41"/>
  <c r="W199" i="41"/>
  <c r="AV198" i="41"/>
  <c r="AU198" i="41"/>
  <c r="X198" i="41"/>
  <c r="W198" i="41"/>
  <c r="AV197" i="41"/>
  <c r="AU197" i="41"/>
  <c r="X197" i="41"/>
  <c r="W197" i="41"/>
  <c r="AV196" i="41"/>
  <c r="AU196" i="41"/>
  <c r="X196" i="41"/>
  <c r="W196" i="41"/>
  <c r="AV195" i="41"/>
  <c r="AU195" i="41"/>
  <c r="X195" i="41"/>
  <c r="W195" i="41"/>
  <c r="AV194" i="41"/>
  <c r="AU194" i="41"/>
  <c r="X194" i="41"/>
  <c r="W194" i="41"/>
  <c r="AV193" i="41"/>
  <c r="AU193" i="41"/>
  <c r="X193" i="41"/>
  <c r="W193" i="41"/>
  <c r="AV192" i="41"/>
  <c r="AU192" i="41"/>
  <c r="X192" i="41"/>
  <c r="W192" i="41"/>
  <c r="AV191" i="41"/>
  <c r="AU191" i="41"/>
  <c r="X191" i="41"/>
  <c r="W191" i="41"/>
  <c r="AV190" i="41"/>
  <c r="AU190" i="41"/>
  <c r="X190" i="41"/>
  <c r="W190" i="41"/>
  <c r="AV189" i="41"/>
  <c r="AU189" i="41"/>
  <c r="X189" i="41"/>
  <c r="W189" i="41"/>
  <c r="AV188" i="41"/>
  <c r="AU188" i="41"/>
  <c r="X188" i="41"/>
  <c r="J129" i="44" s="1"/>
  <c r="W188" i="41"/>
  <c r="AV187" i="41"/>
  <c r="AU187" i="41"/>
  <c r="X187" i="41"/>
  <c r="W187" i="41"/>
  <c r="AV186" i="41"/>
  <c r="AU186" i="41"/>
  <c r="X186" i="41"/>
  <c r="W186" i="41"/>
  <c r="AV185" i="41"/>
  <c r="AU185" i="41"/>
  <c r="X185" i="41"/>
  <c r="W185" i="41"/>
  <c r="AV184" i="41"/>
  <c r="AU184" i="41"/>
  <c r="X184" i="41"/>
  <c r="W184" i="41"/>
  <c r="AV183" i="41"/>
  <c r="AU183" i="41"/>
  <c r="X183" i="41"/>
  <c r="W183" i="41"/>
  <c r="AV182" i="41"/>
  <c r="AU182" i="41"/>
  <c r="X182" i="41"/>
  <c r="W182" i="41"/>
  <c r="AV181" i="41"/>
  <c r="AU181" i="41"/>
  <c r="X181" i="41"/>
  <c r="W181" i="41"/>
  <c r="AV180" i="41"/>
  <c r="AU180" i="41"/>
  <c r="X180" i="41"/>
  <c r="W180" i="41"/>
  <c r="AV179" i="41"/>
  <c r="AU179" i="41"/>
  <c r="X179" i="41"/>
  <c r="W179" i="41"/>
  <c r="AV178" i="41"/>
  <c r="AU178" i="41"/>
  <c r="X178" i="41"/>
  <c r="W178" i="41"/>
  <c r="AV177" i="41"/>
  <c r="AU177" i="41"/>
  <c r="X177" i="41"/>
  <c r="J95" i="44" s="1"/>
  <c r="W177" i="41"/>
  <c r="K95" i="44" s="1"/>
  <c r="AV176" i="41"/>
  <c r="AU176" i="41"/>
  <c r="X176" i="41"/>
  <c r="W176" i="41"/>
  <c r="AV175" i="41"/>
  <c r="AU175" i="41"/>
  <c r="X175" i="41"/>
  <c r="W175" i="41"/>
  <c r="AV174" i="41"/>
  <c r="AU174" i="41"/>
  <c r="X174" i="41"/>
  <c r="W174" i="41"/>
  <c r="AV173" i="41"/>
  <c r="AU173" i="41"/>
  <c r="X173" i="41"/>
  <c r="W173" i="41"/>
  <c r="AV172" i="41"/>
  <c r="AU172" i="41"/>
  <c r="X172" i="41"/>
  <c r="W172" i="41"/>
  <c r="AV171" i="41"/>
  <c r="AU171" i="41"/>
  <c r="X171" i="41"/>
  <c r="W171" i="41"/>
  <c r="AV170" i="41"/>
  <c r="AU170" i="41"/>
  <c r="X170" i="41"/>
  <c r="W170" i="41"/>
  <c r="AV169" i="41"/>
  <c r="AU169" i="41"/>
  <c r="X169" i="41"/>
  <c r="W169" i="41"/>
  <c r="AV168" i="41"/>
  <c r="AU168" i="41"/>
  <c r="X168" i="41"/>
  <c r="W168" i="41"/>
  <c r="AV167" i="41"/>
  <c r="AU167" i="41"/>
  <c r="X167" i="41"/>
  <c r="W167" i="41"/>
  <c r="AV166" i="41"/>
  <c r="AU166" i="41"/>
  <c r="X166" i="41"/>
  <c r="W166" i="41"/>
  <c r="AV165" i="41"/>
  <c r="AU165" i="41"/>
  <c r="X165" i="41"/>
  <c r="W165" i="41"/>
  <c r="AV164" i="41"/>
  <c r="AU164" i="41"/>
  <c r="X164" i="41"/>
  <c r="W164" i="41"/>
  <c r="AV163" i="41"/>
  <c r="AU163" i="41"/>
  <c r="X163" i="41"/>
  <c r="W163" i="41"/>
  <c r="AV162" i="41"/>
  <c r="AU162" i="41"/>
  <c r="X162" i="41"/>
  <c r="J96" i="44" s="1"/>
  <c r="W162" i="41"/>
  <c r="K96" i="44" s="1"/>
  <c r="AV161" i="41"/>
  <c r="AU161" i="41"/>
  <c r="X161" i="41"/>
  <c r="W161" i="41"/>
  <c r="AV160" i="41"/>
  <c r="AU160" i="41"/>
  <c r="X160" i="41"/>
  <c r="W160" i="41"/>
  <c r="AV159" i="41"/>
  <c r="AU159" i="41"/>
  <c r="X159" i="41"/>
  <c r="J85" i="44" s="1"/>
  <c r="W159" i="41"/>
  <c r="K85" i="44" s="1"/>
  <c r="AV158" i="41"/>
  <c r="AU158" i="41"/>
  <c r="X158" i="41"/>
  <c r="W158" i="41"/>
  <c r="AV157" i="41"/>
  <c r="AU157" i="41"/>
  <c r="X157" i="41"/>
  <c r="W157" i="41"/>
  <c r="AV156" i="41"/>
  <c r="AU156" i="41"/>
  <c r="X156" i="41"/>
  <c r="W156" i="41"/>
  <c r="AV155" i="41"/>
  <c r="AU155" i="41"/>
  <c r="X155" i="41"/>
  <c r="W155" i="41"/>
  <c r="AV154" i="41"/>
  <c r="AU154" i="41"/>
  <c r="X154" i="41"/>
  <c r="W154" i="41"/>
  <c r="AV153" i="41"/>
  <c r="AU153" i="41"/>
  <c r="X153" i="41"/>
  <c r="W153" i="41"/>
  <c r="AV152" i="41"/>
  <c r="AU152" i="41"/>
  <c r="X152" i="41"/>
  <c r="W152" i="41"/>
  <c r="AV151" i="41"/>
  <c r="AU151" i="41"/>
  <c r="X151" i="41"/>
  <c r="W151" i="41"/>
  <c r="AV150" i="41"/>
  <c r="AU150" i="41"/>
  <c r="X150" i="41"/>
  <c r="W150" i="41"/>
  <c r="AV149" i="41"/>
  <c r="AU149" i="41"/>
  <c r="X149" i="41"/>
  <c r="W149" i="41"/>
  <c r="AV148" i="41"/>
  <c r="AU148" i="41"/>
  <c r="X148" i="41"/>
  <c r="W148" i="41"/>
  <c r="AV147" i="41"/>
  <c r="AU147" i="41"/>
  <c r="X147" i="41"/>
  <c r="W147" i="41"/>
  <c r="K69" i="44" s="1"/>
  <c r="AV146" i="41"/>
  <c r="AU146" i="41"/>
  <c r="X146" i="41"/>
  <c r="W146" i="41"/>
  <c r="AV145" i="41"/>
  <c r="AU145" i="41"/>
  <c r="X145" i="41"/>
  <c r="W145" i="41"/>
  <c r="AV144" i="41"/>
  <c r="AU144" i="41"/>
  <c r="X144" i="41"/>
  <c r="W144" i="41"/>
  <c r="AV143" i="41"/>
  <c r="AU143" i="41"/>
  <c r="X143" i="41"/>
  <c r="W143" i="41"/>
  <c r="AV142" i="41"/>
  <c r="AU142" i="41"/>
  <c r="X142" i="41"/>
  <c r="W142" i="41"/>
  <c r="AV141" i="41"/>
  <c r="AU141" i="41"/>
  <c r="X141" i="41"/>
  <c r="W141" i="41"/>
  <c r="AV140" i="41"/>
  <c r="AU140" i="41"/>
  <c r="X140" i="41"/>
  <c r="W140" i="41"/>
  <c r="AV139" i="41"/>
  <c r="AU139" i="41"/>
  <c r="X139" i="41"/>
  <c r="W139" i="41"/>
  <c r="AV138" i="41"/>
  <c r="AU138" i="41"/>
  <c r="X138" i="41"/>
  <c r="W138" i="41"/>
  <c r="AV137" i="41"/>
  <c r="AU137" i="41"/>
  <c r="X137" i="41"/>
  <c r="W137" i="41"/>
  <c r="AV136" i="41"/>
  <c r="AU136" i="41"/>
  <c r="X136" i="41"/>
  <c r="W136" i="41"/>
  <c r="AV135" i="41"/>
  <c r="AU135" i="41"/>
  <c r="X135" i="41"/>
  <c r="W135" i="41"/>
  <c r="AV134" i="41"/>
  <c r="AU134" i="41"/>
  <c r="X134" i="41"/>
  <c r="W134" i="41"/>
  <c r="AV133" i="41"/>
  <c r="AU133" i="41"/>
  <c r="X133" i="41"/>
  <c r="W133" i="41"/>
  <c r="AV132" i="41"/>
  <c r="AU132" i="41"/>
  <c r="X132" i="41"/>
  <c r="W132" i="41"/>
  <c r="AV131" i="41"/>
  <c r="AU131" i="41"/>
  <c r="X131" i="41"/>
  <c r="W131" i="41"/>
  <c r="AV130" i="41"/>
  <c r="AU130" i="41"/>
  <c r="X130" i="41"/>
  <c r="W130" i="41"/>
  <c r="AV129" i="41"/>
  <c r="AU129" i="41"/>
  <c r="X129" i="41"/>
  <c r="W129" i="41"/>
  <c r="AV128" i="41"/>
  <c r="AU128" i="41"/>
  <c r="X128" i="41"/>
  <c r="W128" i="41"/>
  <c r="AV127" i="41"/>
  <c r="AU127" i="41"/>
  <c r="X127" i="41"/>
  <c r="W127" i="41"/>
  <c r="AV126" i="41"/>
  <c r="AU126" i="41"/>
  <c r="X126" i="41"/>
  <c r="W126" i="41"/>
  <c r="AV125" i="41"/>
  <c r="AU125" i="41"/>
  <c r="X125" i="41"/>
  <c r="W125" i="41"/>
  <c r="AV124" i="41"/>
  <c r="AU124" i="41"/>
  <c r="X124" i="41"/>
  <c r="W124" i="41"/>
  <c r="AV123" i="41"/>
  <c r="AU123" i="41"/>
  <c r="X123" i="41"/>
  <c r="W123" i="41"/>
  <c r="AV122" i="41"/>
  <c r="AU122" i="41"/>
  <c r="X122" i="41"/>
  <c r="J35" i="44" s="1"/>
  <c r="W122" i="41"/>
  <c r="AV121" i="41"/>
  <c r="AU121" i="41"/>
  <c r="X121" i="41"/>
  <c r="W121" i="41"/>
  <c r="AV120" i="41"/>
  <c r="AU120" i="41"/>
  <c r="X120" i="41"/>
  <c r="W120" i="41"/>
  <c r="AV119" i="41"/>
  <c r="AU119" i="41"/>
  <c r="X119" i="41"/>
  <c r="W119" i="41"/>
  <c r="AV118" i="41"/>
  <c r="AU118" i="41"/>
  <c r="X118" i="41"/>
  <c r="W118" i="41"/>
  <c r="AV117" i="41"/>
  <c r="AU117" i="41"/>
  <c r="X117" i="41"/>
  <c r="J22" i="44" s="1"/>
  <c r="W117" i="41"/>
  <c r="K22" i="44" s="1"/>
  <c r="AV116" i="41"/>
  <c r="AU116" i="41"/>
  <c r="X116" i="41"/>
  <c r="W116" i="41"/>
  <c r="AV115" i="41"/>
  <c r="AU115" i="41"/>
  <c r="X115" i="41"/>
  <c r="W115" i="41"/>
  <c r="AV114" i="41"/>
  <c r="AU114" i="41"/>
  <c r="X114" i="41"/>
  <c r="W114" i="41"/>
  <c r="AV113" i="41"/>
  <c r="AU113" i="41"/>
  <c r="X113" i="41"/>
  <c r="W113" i="41"/>
  <c r="K14" i="44" s="1"/>
  <c r="AV112" i="41"/>
  <c r="AU112" i="41"/>
  <c r="X112" i="41"/>
  <c r="W112" i="41"/>
  <c r="AV111" i="41"/>
  <c r="AU111" i="41"/>
  <c r="X111" i="41"/>
  <c r="W111" i="41"/>
  <c r="AV110" i="41"/>
  <c r="AU110" i="41"/>
  <c r="X110" i="41"/>
  <c r="W110" i="41"/>
  <c r="AV109" i="41"/>
  <c r="AU109" i="41"/>
  <c r="X109" i="41"/>
  <c r="W109" i="41"/>
  <c r="AV108" i="41"/>
  <c r="AU108" i="41"/>
  <c r="X108" i="41"/>
  <c r="W108" i="41"/>
  <c r="AV107" i="41"/>
  <c r="AU107" i="41"/>
  <c r="X107" i="41"/>
  <c r="W107" i="41"/>
  <c r="K7" i="44" s="1"/>
  <c r="AV106" i="41"/>
  <c r="AU106" i="41"/>
  <c r="X106" i="41"/>
  <c r="W106" i="41"/>
  <c r="AV105" i="41"/>
  <c r="AU105" i="41"/>
  <c r="X105" i="41"/>
  <c r="W105" i="41"/>
  <c r="AV104" i="41"/>
  <c r="AU104" i="41"/>
  <c r="X104" i="41"/>
  <c r="J136" i="44" s="1"/>
  <c r="W104" i="41"/>
  <c r="AV103" i="41"/>
  <c r="AU103" i="41"/>
  <c r="X103" i="41"/>
  <c r="W103" i="41"/>
  <c r="AV102" i="41"/>
  <c r="AU102" i="41"/>
  <c r="X102" i="41"/>
  <c r="W102" i="41"/>
  <c r="AV101" i="41"/>
  <c r="AU101" i="41"/>
  <c r="X101" i="41"/>
  <c r="W101" i="41"/>
  <c r="K130" i="44" s="1"/>
  <c r="AV100" i="41"/>
  <c r="AU100" i="41"/>
  <c r="X100" i="41"/>
  <c r="J132" i="44" s="1"/>
  <c r="W100" i="41"/>
  <c r="AV99" i="41"/>
  <c r="AU99" i="41"/>
  <c r="X99" i="41"/>
  <c r="J134" i="44" s="1"/>
  <c r="W99" i="41"/>
  <c r="K134" i="44" s="1"/>
  <c r="AV98" i="41"/>
  <c r="AU98" i="41"/>
  <c r="X98" i="41"/>
  <c r="W98" i="41"/>
  <c r="AV97" i="41"/>
  <c r="AU97" i="41"/>
  <c r="X97" i="41"/>
  <c r="W97" i="41"/>
  <c r="K131" i="44" s="1"/>
  <c r="AV96" i="41"/>
  <c r="AU96" i="41"/>
  <c r="X96" i="41"/>
  <c r="J126" i="44" s="1"/>
  <c r="W96" i="41"/>
  <c r="AV95" i="41"/>
  <c r="AU95" i="41"/>
  <c r="X95" i="41"/>
  <c r="W95" i="41"/>
  <c r="AV94" i="41"/>
  <c r="AU94" i="41"/>
  <c r="X94" i="41"/>
  <c r="J133" i="44" s="1"/>
  <c r="W94" i="41"/>
  <c r="AV93" i="41"/>
  <c r="AU93" i="41"/>
  <c r="X93" i="41"/>
  <c r="W93" i="41"/>
  <c r="AV92" i="41"/>
  <c r="AU92" i="41"/>
  <c r="X92" i="41"/>
  <c r="W92" i="41"/>
  <c r="AV91" i="41"/>
  <c r="AU91" i="41"/>
  <c r="X91" i="41"/>
  <c r="W91" i="41"/>
  <c r="AV90" i="41"/>
  <c r="AU90" i="41"/>
  <c r="X90" i="41"/>
  <c r="W90" i="41"/>
  <c r="AV89" i="41"/>
  <c r="AU89" i="41"/>
  <c r="X89" i="41"/>
  <c r="W89" i="41"/>
  <c r="AV88" i="41"/>
  <c r="AU88" i="41"/>
  <c r="X88" i="41"/>
  <c r="W88" i="41"/>
  <c r="AV87" i="41"/>
  <c r="AU87" i="41"/>
  <c r="X87" i="41"/>
  <c r="J111" i="44" s="1"/>
  <c r="W87" i="41"/>
  <c r="K111" i="44" s="1"/>
  <c r="AV86" i="41"/>
  <c r="AU86" i="41"/>
  <c r="X86" i="41"/>
  <c r="W86" i="41"/>
  <c r="K120" i="44" s="1"/>
  <c r="AV85" i="41"/>
  <c r="AU85" i="41"/>
  <c r="X85" i="41"/>
  <c r="W85" i="41"/>
  <c r="AV84" i="41"/>
  <c r="AU84" i="41"/>
  <c r="X84" i="41"/>
  <c r="W84" i="41"/>
  <c r="AV83" i="41"/>
  <c r="AU83" i="41"/>
  <c r="X83" i="41"/>
  <c r="W83" i="41"/>
  <c r="K118" i="44" s="1"/>
  <c r="AV82" i="41"/>
  <c r="AU82" i="41"/>
  <c r="X82" i="41"/>
  <c r="J117" i="44" s="1"/>
  <c r="W82" i="41"/>
  <c r="K117" i="44" s="1"/>
  <c r="AV81" i="41"/>
  <c r="AU81" i="41"/>
  <c r="X81" i="41"/>
  <c r="J115" i="44" s="1"/>
  <c r="W81" i="41"/>
  <c r="K115" i="44" s="1"/>
  <c r="AV80" i="41"/>
  <c r="AU80" i="41"/>
  <c r="X80" i="41"/>
  <c r="J110" i="44" s="1"/>
  <c r="W80" i="41"/>
  <c r="K110" i="44" s="1"/>
  <c r="AV79" i="41"/>
  <c r="AU79" i="41"/>
  <c r="X79" i="41"/>
  <c r="W79" i="41"/>
  <c r="AV78" i="41"/>
  <c r="AU78" i="41"/>
  <c r="X78" i="41"/>
  <c r="W78" i="41"/>
  <c r="AV77" i="41"/>
  <c r="AU77" i="41"/>
  <c r="X77" i="41"/>
  <c r="W77" i="41"/>
  <c r="AV76" i="41"/>
  <c r="AU76" i="41"/>
  <c r="X76" i="41"/>
  <c r="W76" i="41"/>
  <c r="AV75" i="41"/>
  <c r="AU75" i="41"/>
  <c r="X75" i="41"/>
  <c r="W75" i="41"/>
  <c r="AV74" i="41"/>
  <c r="AU74" i="41"/>
  <c r="X74" i="41"/>
  <c r="W74" i="41"/>
  <c r="AV73" i="41"/>
  <c r="AU73" i="41"/>
  <c r="X73" i="41"/>
  <c r="W73" i="41"/>
  <c r="AV72" i="41"/>
  <c r="AU72" i="41"/>
  <c r="X72" i="41"/>
  <c r="J107" i="44" s="1"/>
  <c r="W72" i="41"/>
  <c r="K107" i="44" s="1"/>
  <c r="AV71" i="41"/>
  <c r="AU71" i="41"/>
  <c r="X71" i="41"/>
  <c r="J113" i="44" s="1"/>
  <c r="W71" i="41"/>
  <c r="K113" i="44" s="1"/>
  <c r="AV70" i="41"/>
  <c r="AU70" i="41"/>
  <c r="X70" i="41"/>
  <c r="W70" i="41"/>
  <c r="K104" i="44" s="1"/>
  <c r="AV69" i="41"/>
  <c r="AU69" i="41"/>
  <c r="X69" i="41"/>
  <c r="W69" i="41"/>
  <c r="AV68" i="41"/>
  <c r="AU68" i="41"/>
  <c r="X68" i="41"/>
  <c r="W68" i="41"/>
  <c r="AV67" i="41"/>
  <c r="AU67" i="41"/>
  <c r="X67" i="41"/>
  <c r="J102" i="44" s="1"/>
  <c r="W67" i="41"/>
  <c r="K102" i="44" s="1"/>
  <c r="AV66" i="41"/>
  <c r="AU66" i="41"/>
  <c r="X66" i="41"/>
  <c r="J101" i="44" s="1"/>
  <c r="W66" i="41"/>
  <c r="K101" i="44" s="1"/>
  <c r="AV65" i="41"/>
  <c r="AU65" i="41"/>
  <c r="X65" i="41"/>
  <c r="W65" i="41"/>
  <c r="K99" i="44" s="1"/>
  <c r="AV64" i="41"/>
  <c r="AU64" i="41"/>
  <c r="X64" i="41"/>
  <c r="J94" i="44" s="1"/>
  <c r="W64" i="41"/>
  <c r="AV63" i="41"/>
  <c r="AU63" i="41"/>
  <c r="X63" i="41"/>
  <c r="W63" i="41"/>
  <c r="AV62" i="41"/>
  <c r="AU62" i="41"/>
  <c r="X62" i="41"/>
  <c r="J100" i="44" s="1"/>
  <c r="W62" i="41"/>
  <c r="AV61" i="41"/>
  <c r="AU61" i="41"/>
  <c r="X61" i="41"/>
  <c r="W61" i="41"/>
  <c r="AV60" i="41"/>
  <c r="AU60" i="41"/>
  <c r="X60" i="41"/>
  <c r="W60" i="41"/>
  <c r="AV59" i="41"/>
  <c r="AU59" i="41"/>
  <c r="X59" i="41"/>
  <c r="W59" i="41"/>
  <c r="AV58" i="41"/>
  <c r="AU58" i="41"/>
  <c r="X58" i="41"/>
  <c r="W58" i="41"/>
  <c r="AV57" i="41"/>
  <c r="AU57" i="41"/>
  <c r="X57" i="41"/>
  <c r="W57" i="41"/>
  <c r="K92" i="44" s="1"/>
  <c r="AV56" i="41"/>
  <c r="AU56" i="41"/>
  <c r="X56" i="41"/>
  <c r="J91" i="44" s="1"/>
  <c r="W56" i="41"/>
  <c r="K91" i="44" s="1"/>
  <c r="AV55" i="41"/>
  <c r="AU55" i="41"/>
  <c r="X55" i="41"/>
  <c r="J97" i="44" s="1"/>
  <c r="W55" i="41"/>
  <c r="K97" i="44" s="1"/>
  <c r="AV54" i="41"/>
  <c r="AU54" i="41"/>
  <c r="X54" i="41"/>
  <c r="J105" i="44" s="1"/>
  <c r="W54" i="41"/>
  <c r="K105" i="44" s="1"/>
  <c r="AV53" i="41"/>
  <c r="AU53" i="41"/>
  <c r="X53" i="41"/>
  <c r="W53" i="41"/>
  <c r="K78" i="44" s="1"/>
  <c r="AV52" i="41"/>
  <c r="AU52" i="41"/>
  <c r="X52" i="41"/>
  <c r="J87" i="44" s="1"/>
  <c r="W52" i="41"/>
  <c r="K87" i="44" s="1"/>
  <c r="AV51" i="41"/>
  <c r="AU51" i="41"/>
  <c r="X51" i="41"/>
  <c r="W51" i="41"/>
  <c r="K81" i="44" s="1"/>
  <c r="AV50" i="41"/>
  <c r="AU50" i="41"/>
  <c r="X50" i="41"/>
  <c r="W50" i="41"/>
  <c r="K82" i="44" s="1"/>
  <c r="AV49" i="41"/>
  <c r="AU49" i="41"/>
  <c r="X49" i="41"/>
  <c r="W49" i="41"/>
  <c r="AV48" i="41"/>
  <c r="AU48" i="41"/>
  <c r="X48" i="41"/>
  <c r="J77" i="44" s="1"/>
  <c r="W48" i="41"/>
  <c r="AV47" i="41"/>
  <c r="AU47" i="41"/>
  <c r="X47" i="41"/>
  <c r="W47" i="41"/>
  <c r="AV46" i="41"/>
  <c r="AU46" i="41"/>
  <c r="X46" i="41"/>
  <c r="W46" i="41"/>
  <c r="AV45" i="41"/>
  <c r="AU45" i="41"/>
  <c r="X45" i="41"/>
  <c r="W45" i="41"/>
  <c r="AV44" i="41"/>
  <c r="AU44" i="41"/>
  <c r="X44" i="41"/>
  <c r="W44" i="41"/>
  <c r="AV43" i="41"/>
  <c r="AU43" i="41"/>
  <c r="X43" i="41"/>
  <c r="W43" i="41"/>
  <c r="K75" i="44" s="1"/>
  <c r="AV42" i="41"/>
  <c r="AU42" i="41"/>
  <c r="X42" i="41"/>
  <c r="W42" i="41"/>
  <c r="K74" i="44" s="1"/>
  <c r="AV41" i="41"/>
  <c r="AU41" i="41"/>
  <c r="X41" i="41"/>
  <c r="W41" i="41"/>
  <c r="K61" i="44" s="1"/>
  <c r="AV40" i="41"/>
  <c r="AU40" i="41"/>
  <c r="X40" i="41"/>
  <c r="W40" i="41"/>
  <c r="AV39" i="41"/>
  <c r="AU39" i="41"/>
  <c r="X39" i="41"/>
  <c r="W39" i="41"/>
  <c r="K64" i="44" s="1"/>
  <c r="AV38" i="41"/>
  <c r="AU38" i="41"/>
  <c r="X38" i="41"/>
  <c r="J65" i="44" s="1"/>
  <c r="W38" i="41"/>
  <c r="K65" i="44" s="1"/>
  <c r="AV37" i="41"/>
  <c r="AU37" i="41"/>
  <c r="X37" i="41"/>
  <c r="W37" i="41"/>
  <c r="AV36" i="41"/>
  <c r="AU36" i="41"/>
  <c r="X36" i="41"/>
  <c r="W36" i="41"/>
  <c r="AV35" i="41"/>
  <c r="AU35" i="41"/>
  <c r="X35" i="41"/>
  <c r="W35" i="41"/>
  <c r="AV34" i="41"/>
  <c r="AU34" i="41"/>
  <c r="X34" i="41"/>
  <c r="W34" i="41"/>
  <c r="AV33" i="41"/>
  <c r="AU33" i="41"/>
  <c r="X33" i="41"/>
  <c r="W33" i="41"/>
  <c r="AV32" i="41"/>
  <c r="AU32" i="41"/>
  <c r="X32" i="41"/>
  <c r="W32" i="41"/>
  <c r="AV31" i="41"/>
  <c r="AU31" i="41"/>
  <c r="X31" i="41"/>
  <c r="W31" i="41"/>
  <c r="AV30" i="41"/>
  <c r="AU30" i="41"/>
  <c r="X30" i="41"/>
  <c r="J58" i="44" s="1"/>
  <c r="W30" i="41"/>
  <c r="AV29" i="41"/>
  <c r="AU29" i="41"/>
  <c r="X29" i="41"/>
  <c r="W29" i="41"/>
  <c r="K57" i="44" s="1"/>
  <c r="AV28" i="41"/>
  <c r="AU28" i="41"/>
  <c r="X28" i="41"/>
  <c r="J63" i="44" s="1"/>
  <c r="W28" i="41"/>
  <c r="AV27" i="41"/>
  <c r="AU27" i="41"/>
  <c r="X27" i="41"/>
  <c r="W27" i="41"/>
  <c r="K47" i="44" s="1"/>
  <c r="AV26" i="41"/>
  <c r="AU26" i="41"/>
  <c r="X26" i="41"/>
  <c r="J46" i="44" s="1"/>
  <c r="W26" i="41"/>
  <c r="K46" i="44" s="1"/>
  <c r="AV25" i="41"/>
  <c r="AU25" i="41"/>
  <c r="X25" i="41"/>
  <c r="W25" i="41"/>
  <c r="AV24" i="41"/>
  <c r="AU24" i="41"/>
  <c r="X24" i="41"/>
  <c r="J45" i="44" s="1"/>
  <c r="W24" i="41"/>
  <c r="AV23" i="41"/>
  <c r="AU23" i="41"/>
  <c r="X23" i="41"/>
  <c r="W23" i="41"/>
  <c r="K44" i="44" s="1"/>
  <c r="AV22" i="41"/>
  <c r="AU22" i="41"/>
  <c r="X22" i="41"/>
  <c r="J43" i="44" s="1"/>
  <c r="W22" i="41"/>
  <c r="AV21" i="41"/>
  <c r="AU21" i="41"/>
  <c r="X21" i="41"/>
  <c r="J34" i="44" s="1"/>
  <c r="W21" i="41"/>
  <c r="K34" i="44" s="1"/>
  <c r="AV20" i="41"/>
  <c r="AU20" i="41"/>
  <c r="X20" i="41"/>
  <c r="W20" i="41"/>
  <c r="AV19" i="41"/>
  <c r="AU19" i="41"/>
  <c r="X19" i="41"/>
  <c r="W19" i="41"/>
  <c r="AV18" i="41"/>
  <c r="AU18" i="41"/>
  <c r="X18" i="41"/>
  <c r="J32" i="44" s="1"/>
  <c r="W18" i="41"/>
  <c r="AV17" i="41"/>
  <c r="AU17" i="41"/>
  <c r="X17" i="41"/>
  <c r="W17" i="41"/>
  <c r="K31" i="44" s="1"/>
  <c r="AV16" i="41"/>
  <c r="AU16" i="41"/>
  <c r="X16" i="41"/>
  <c r="J29" i="44" s="1"/>
  <c r="W16" i="41"/>
  <c r="K29" i="44" s="1"/>
  <c r="AV15" i="41"/>
  <c r="AU15" i="41"/>
  <c r="X15" i="41"/>
  <c r="W15" i="41"/>
  <c r="K21" i="44" s="1"/>
  <c r="AV14" i="41"/>
  <c r="AU14" i="41"/>
  <c r="X14" i="41"/>
  <c r="J20" i="44" s="1"/>
  <c r="W14" i="41"/>
  <c r="K20" i="44" s="1"/>
  <c r="AV13" i="41"/>
  <c r="AU13" i="41"/>
  <c r="X13" i="41"/>
  <c r="W13" i="41"/>
  <c r="K19" i="44" s="1"/>
  <c r="AV12" i="41"/>
  <c r="AU12" i="41"/>
  <c r="X12" i="41"/>
  <c r="J18" i="44" s="1"/>
  <c r="W12" i="41"/>
  <c r="K18" i="44" s="1"/>
  <c r="AV11" i="41"/>
  <c r="AU11" i="41"/>
  <c r="X11" i="41"/>
  <c r="W11" i="41"/>
  <c r="AV10" i="41"/>
  <c r="AU10" i="41"/>
  <c r="X10" i="41"/>
  <c r="J10" i="44" s="1"/>
  <c r="W10" i="41"/>
  <c r="AV9" i="41"/>
  <c r="AU9" i="41"/>
  <c r="X9" i="41"/>
  <c r="W9" i="41"/>
  <c r="AV8" i="41"/>
  <c r="AU8" i="41"/>
  <c r="X8" i="41"/>
  <c r="J9" i="44" s="1"/>
  <c r="W8" i="41"/>
  <c r="AV7" i="41"/>
  <c r="AU7" i="41"/>
  <c r="X7" i="41"/>
  <c r="W7" i="41"/>
  <c r="K8" i="44" s="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AU144" i="40"/>
  <c r="AV144" i="40"/>
  <c r="AU145" i="40"/>
  <c r="AV145" i="40"/>
  <c r="AU146" i="40"/>
  <c r="AV146" i="40"/>
  <c r="AU147" i="40"/>
  <c r="AV147" i="40"/>
  <c r="AU148" i="40"/>
  <c r="AV148" i="40"/>
  <c r="AU149" i="40"/>
  <c r="AV149" i="40"/>
  <c r="AU150" i="40"/>
  <c r="AV150" i="40"/>
  <c r="AU151" i="40"/>
  <c r="AV151" i="40"/>
  <c r="AU152" i="40"/>
  <c r="AV152" i="40"/>
  <c r="AU153" i="40"/>
  <c r="AV153" i="40"/>
  <c r="AU154" i="40"/>
  <c r="AV154" i="40"/>
  <c r="AU155" i="40"/>
  <c r="AV155" i="40"/>
  <c r="AU156" i="40"/>
  <c r="AV156" i="40"/>
  <c r="AU157" i="40"/>
  <c r="AV157" i="40"/>
  <c r="AU158" i="40"/>
  <c r="AV158" i="40"/>
  <c r="AU159" i="40"/>
  <c r="AV159" i="40"/>
  <c r="AU160" i="40"/>
  <c r="AV160" i="40"/>
  <c r="AU161" i="40"/>
  <c r="AV161" i="40"/>
  <c r="AU162" i="40"/>
  <c r="AV162" i="40"/>
  <c r="AU163" i="40"/>
  <c r="AV163" i="40"/>
  <c r="AU164" i="40"/>
  <c r="AV164" i="40"/>
  <c r="AU165" i="40"/>
  <c r="AV165" i="40"/>
  <c r="AU166" i="40"/>
  <c r="AV166" i="40"/>
  <c r="AU167" i="40"/>
  <c r="AV167" i="40"/>
  <c r="AU168" i="40"/>
  <c r="AV168" i="40"/>
  <c r="AU169" i="40"/>
  <c r="AV169" i="40"/>
  <c r="AU170" i="40"/>
  <c r="AV170" i="40"/>
  <c r="AU171" i="40"/>
  <c r="AV171" i="40"/>
  <c r="AU172" i="40"/>
  <c r="AV172" i="40"/>
  <c r="AU173" i="40"/>
  <c r="AV173" i="40"/>
  <c r="AU174" i="40"/>
  <c r="AV174" i="40"/>
  <c r="AU175" i="40"/>
  <c r="AV175" i="40"/>
  <c r="AU176" i="40"/>
  <c r="AV176" i="40"/>
  <c r="AU177" i="40"/>
  <c r="AV177" i="40"/>
  <c r="AU178" i="40"/>
  <c r="AV178" i="40"/>
  <c r="AU179" i="40"/>
  <c r="AV179" i="40"/>
  <c r="AU180" i="40"/>
  <c r="AV180" i="40"/>
  <c r="AU181" i="40"/>
  <c r="AV181" i="40"/>
  <c r="AU182" i="40"/>
  <c r="AV182" i="40"/>
  <c r="AU183" i="40"/>
  <c r="AV183" i="40"/>
  <c r="AU184" i="40"/>
  <c r="AV184" i="40"/>
  <c r="AU185" i="40"/>
  <c r="AV185" i="40"/>
  <c r="AU186" i="40"/>
  <c r="AV186" i="40"/>
  <c r="AU187" i="40"/>
  <c r="AV187" i="40"/>
  <c r="AU188" i="40"/>
  <c r="AV188" i="40"/>
  <c r="AU189" i="40"/>
  <c r="AV189" i="40"/>
  <c r="AU190" i="40"/>
  <c r="AV190" i="40"/>
  <c r="AU191" i="40"/>
  <c r="AV191" i="40"/>
  <c r="AU192" i="40"/>
  <c r="AV192" i="40"/>
  <c r="AU193" i="40"/>
  <c r="AV193" i="40"/>
  <c r="AU194" i="40"/>
  <c r="AV194" i="40"/>
  <c r="AU195" i="40"/>
  <c r="AV195" i="40"/>
  <c r="AU196" i="40"/>
  <c r="AV196" i="40"/>
  <c r="AU197" i="40"/>
  <c r="AV197" i="40"/>
  <c r="AU198" i="40"/>
  <c r="AV198" i="40"/>
  <c r="AU199" i="40"/>
  <c r="AV199" i="40"/>
  <c r="AU200" i="40"/>
  <c r="AV200" i="40"/>
  <c r="AU201" i="40"/>
  <c r="AV201" i="40"/>
  <c r="AU202" i="40"/>
  <c r="AV202" i="40"/>
  <c r="AU203" i="40"/>
  <c r="AV203" i="40"/>
  <c r="AU204" i="40"/>
  <c r="AV204" i="40"/>
  <c r="AU205" i="40"/>
  <c r="AV205" i="40"/>
  <c r="AU206" i="40"/>
  <c r="AV206" i="40"/>
  <c r="AU207" i="40"/>
  <c r="AV207" i="40"/>
  <c r="AU208" i="40"/>
  <c r="AV208" i="40"/>
  <c r="AU209" i="40"/>
  <c r="AV209" i="40"/>
  <c r="AU210" i="40"/>
  <c r="AV210" i="40"/>
  <c r="AU211" i="40"/>
  <c r="AV211" i="40"/>
  <c r="AU212" i="40"/>
  <c r="AV212" i="40"/>
  <c r="AU213" i="40"/>
  <c r="AV213" i="40"/>
  <c r="AU214" i="40"/>
  <c r="AV214" i="40"/>
  <c r="AU215" i="40"/>
  <c r="AV215" i="40"/>
  <c r="AU216" i="40"/>
  <c r="AV216" i="40"/>
  <c r="AU217" i="40"/>
  <c r="AV217" i="40"/>
  <c r="AU218" i="40"/>
  <c r="AV218" i="40"/>
  <c r="AU219" i="40"/>
  <c r="AV219" i="40"/>
  <c r="AU220" i="40"/>
  <c r="AV220" i="40"/>
  <c r="AU221" i="40"/>
  <c r="AV221" i="40"/>
  <c r="AU222" i="40"/>
  <c r="AV222" i="40"/>
  <c r="AU223" i="40"/>
  <c r="AV223" i="40"/>
  <c r="AU224" i="40"/>
  <c r="AV224" i="40"/>
  <c r="AU225" i="40"/>
  <c r="AV225" i="40"/>
  <c r="AU226" i="40"/>
  <c r="AV226" i="40"/>
  <c r="AU227" i="40"/>
  <c r="AV227" i="40"/>
  <c r="AU228" i="40"/>
  <c r="AV228" i="40"/>
  <c r="AU229" i="40"/>
  <c r="AV229" i="40"/>
  <c r="AU230" i="40"/>
  <c r="AV230" i="40"/>
  <c r="AU231" i="40"/>
  <c r="AV231" i="40"/>
  <c r="AU232" i="40"/>
  <c r="AV232" i="40"/>
  <c r="AU233" i="40"/>
  <c r="AV233" i="40"/>
  <c r="AU234" i="40"/>
  <c r="AV234" i="40"/>
  <c r="AU235" i="40"/>
  <c r="AV235" i="40"/>
  <c r="AU236" i="40"/>
  <c r="AV236" i="40"/>
  <c r="AU237" i="40"/>
  <c r="AV237" i="40"/>
  <c r="AU238" i="40"/>
  <c r="AV238" i="40"/>
  <c r="AU239" i="40"/>
  <c r="AV239" i="40"/>
  <c r="AU240" i="40"/>
  <c r="AV240" i="40"/>
  <c r="AU241" i="40"/>
  <c r="AV241" i="40"/>
  <c r="AU242" i="40"/>
  <c r="AV242" i="40"/>
  <c r="AU243" i="40"/>
  <c r="AV243" i="40"/>
  <c r="AU244" i="40"/>
  <c r="AV244" i="40"/>
  <c r="AU245" i="40"/>
  <c r="AV245" i="40"/>
  <c r="AU246" i="40"/>
  <c r="AV246" i="40"/>
  <c r="AU247" i="40"/>
  <c r="AV247" i="40"/>
  <c r="AU248" i="40"/>
  <c r="AV248" i="40"/>
  <c r="AU249" i="40"/>
  <c r="AV249" i="40"/>
  <c r="AU250" i="40"/>
  <c r="AV250" i="40"/>
  <c r="AU251" i="40"/>
  <c r="AV251" i="40"/>
  <c r="AU252" i="40"/>
  <c r="AV252" i="40"/>
  <c r="AU253" i="40"/>
  <c r="AV253" i="40"/>
  <c r="AU254" i="40"/>
  <c r="AV254" i="40"/>
  <c r="AU255" i="40"/>
  <c r="AV255" i="40"/>
  <c r="AU256" i="40"/>
  <c r="AV256" i="40"/>
  <c r="AU257" i="40"/>
  <c r="AV257" i="40"/>
  <c r="AU258" i="40"/>
  <c r="AV258" i="40"/>
  <c r="AU259" i="40"/>
  <c r="AV259" i="40"/>
  <c r="AU260" i="40"/>
  <c r="AV260" i="40"/>
  <c r="AU261" i="40"/>
  <c r="AV261" i="40"/>
  <c r="AU262" i="40"/>
  <c r="AV262" i="40"/>
  <c r="AU7" i="40"/>
  <c r="AU8" i="40"/>
  <c r="AU9" i="40"/>
  <c r="AU10" i="40"/>
  <c r="AU11" i="40"/>
  <c r="AU12" i="40"/>
  <c r="AU13" i="40"/>
  <c r="AU14" i="40"/>
  <c r="AU15" i="40"/>
  <c r="AU16" i="40"/>
  <c r="AU17" i="40"/>
  <c r="AU18" i="40"/>
  <c r="AU19" i="40"/>
  <c r="AU20" i="40"/>
  <c r="AU21" i="40"/>
  <c r="AU22" i="40"/>
  <c r="AU23" i="40"/>
  <c r="AU24" i="40"/>
  <c r="AU25" i="40"/>
  <c r="AU26" i="40"/>
  <c r="AU27" i="40"/>
  <c r="AU28" i="40"/>
  <c r="AU29" i="40"/>
  <c r="AU30" i="40"/>
  <c r="AU31" i="40"/>
  <c r="AU32" i="40"/>
  <c r="AU33" i="40"/>
  <c r="AU34" i="40"/>
  <c r="AU35" i="40"/>
  <c r="AU36" i="40"/>
  <c r="AU37" i="40"/>
  <c r="AU38" i="40"/>
  <c r="AU39" i="40"/>
  <c r="AU40" i="40"/>
  <c r="AU41" i="40"/>
  <c r="AU42" i="40"/>
  <c r="AU43" i="40"/>
  <c r="AU44" i="40"/>
  <c r="AU45" i="40"/>
  <c r="AU46" i="40"/>
  <c r="AU47" i="40"/>
  <c r="AU48" i="40"/>
  <c r="AU49" i="40"/>
  <c r="AU50" i="40"/>
  <c r="AU51" i="40"/>
  <c r="AU52" i="40"/>
  <c r="AU53" i="40"/>
  <c r="AU54" i="40"/>
  <c r="AU55" i="40"/>
  <c r="AU56" i="40"/>
  <c r="AU57" i="40"/>
  <c r="AU58" i="40"/>
  <c r="AU59" i="40"/>
  <c r="AU60" i="40"/>
  <c r="AU61" i="40"/>
  <c r="AU62" i="40"/>
  <c r="AU63" i="40"/>
  <c r="AU64" i="40"/>
  <c r="AU65" i="40"/>
  <c r="AU66" i="40"/>
  <c r="AU67" i="40"/>
  <c r="AU68" i="40"/>
  <c r="AU69" i="40"/>
  <c r="AU70" i="40"/>
  <c r="AU71" i="40"/>
  <c r="AU72" i="40"/>
  <c r="AU73" i="40"/>
  <c r="AU74" i="40"/>
  <c r="AU75" i="40"/>
  <c r="AU76" i="40"/>
  <c r="AU77" i="40"/>
  <c r="AU78" i="40"/>
  <c r="AU79" i="40"/>
  <c r="AU80" i="40"/>
  <c r="AU81" i="40"/>
  <c r="AU82" i="40"/>
  <c r="AU83" i="40"/>
  <c r="AU84" i="40"/>
  <c r="AU85" i="40"/>
  <c r="AU86" i="40"/>
  <c r="AU87" i="40"/>
  <c r="AU88" i="40"/>
  <c r="AU89" i="40"/>
  <c r="AU90" i="40"/>
  <c r="AU91" i="40"/>
  <c r="AU92" i="40"/>
  <c r="AU93" i="40"/>
  <c r="AU94" i="40"/>
  <c r="AU95" i="40"/>
  <c r="AU96" i="40"/>
  <c r="AU97" i="40"/>
  <c r="AU98" i="40"/>
  <c r="AU99" i="40"/>
  <c r="AU100" i="40"/>
  <c r="AU101" i="40"/>
  <c r="AU102" i="40"/>
  <c r="AU103" i="40"/>
  <c r="AU104" i="40"/>
  <c r="AU105" i="40"/>
  <c r="AU106" i="40"/>
  <c r="AU107" i="40"/>
  <c r="AU108" i="40"/>
  <c r="AU109" i="40"/>
  <c r="AU110" i="40"/>
  <c r="AU111" i="40"/>
  <c r="AU112" i="40"/>
  <c r="AU113" i="40"/>
  <c r="AU114" i="40"/>
  <c r="AU115" i="40"/>
  <c r="AU116" i="40"/>
  <c r="AU117" i="40"/>
  <c r="AU118" i="40"/>
  <c r="AU119" i="40"/>
  <c r="AU120" i="40"/>
  <c r="AU121" i="40"/>
  <c r="AU122" i="40"/>
  <c r="AU123" i="40"/>
  <c r="AU124" i="40"/>
  <c r="AU125" i="40"/>
  <c r="AU126" i="40"/>
  <c r="AU127" i="40"/>
  <c r="AU128" i="40"/>
  <c r="AU129" i="40"/>
  <c r="AU130" i="40"/>
  <c r="AU131" i="40"/>
  <c r="AU132" i="40"/>
  <c r="AU133" i="40"/>
  <c r="AU134" i="40"/>
  <c r="AU135" i="40"/>
  <c r="AU136" i="40"/>
  <c r="AU137" i="40"/>
  <c r="AU138" i="40"/>
  <c r="AU139" i="40"/>
  <c r="AU140" i="40"/>
  <c r="AU141" i="40"/>
  <c r="AU142" i="40"/>
  <c r="AU143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J22" i="29" s="1"/>
  <c r="W594" i="40"/>
  <c r="K22" i="29" s="1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J97" i="29" s="1"/>
  <c r="W403" i="40"/>
  <c r="K97" i="29" s="1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J80" i="29" s="1"/>
  <c r="W368" i="40"/>
  <c r="K80" i="29" s="1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J46" i="29" s="1"/>
  <c r="W338" i="40"/>
  <c r="K46" i="29" s="1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J41" i="29" s="1"/>
  <c r="W323" i="40"/>
  <c r="K41" i="29" s="1"/>
  <c r="X322" i="40"/>
  <c r="J28" i="29" s="1"/>
  <c r="W322" i="40"/>
  <c r="K28" i="29" s="1"/>
  <c r="X321" i="40"/>
  <c r="W321" i="40"/>
  <c r="X320" i="40"/>
  <c r="W320" i="40"/>
  <c r="X319" i="40"/>
  <c r="W319" i="40"/>
  <c r="X318" i="40"/>
  <c r="W318" i="40"/>
  <c r="X317" i="40"/>
  <c r="W317" i="40"/>
  <c r="X316" i="40"/>
  <c r="J29" i="29" s="1"/>
  <c r="W316" i="40"/>
  <c r="K29" i="29" s="1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J19" i="29" s="1"/>
  <c r="W308" i="40"/>
  <c r="K19" i="29" s="1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J122" i="29" s="1"/>
  <c r="W284" i="40"/>
  <c r="K122" i="29" s="1"/>
  <c r="X283" i="40"/>
  <c r="W283" i="40"/>
  <c r="X282" i="40"/>
  <c r="W282" i="40"/>
  <c r="X281" i="40"/>
  <c r="W281" i="40"/>
  <c r="X280" i="40"/>
  <c r="J111" i="29" s="1"/>
  <c r="W280" i="40"/>
  <c r="K111" i="29" s="1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J106" i="29" s="1"/>
  <c r="W268" i="40"/>
  <c r="K106" i="29" s="1"/>
  <c r="X267" i="40"/>
  <c r="J86" i="29" s="1"/>
  <c r="W267" i="40"/>
  <c r="K86" i="29" s="1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J76" i="29" s="1"/>
  <c r="W237" i="40"/>
  <c r="K76" i="29" s="1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K61" i="29" s="1"/>
  <c r="X213" i="40"/>
  <c r="J53" i="29" s="1"/>
  <c r="W213" i="40"/>
  <c r="K53" i="29" s="1"/>
  <c r="X212" i="40"/>
  <c r="W212" i="40"/>
  <c r="X211" i="40"/>
  <c r="W211" i="40"/>
  <c r="X210" i="40"/>
  <c r="W210" i="40"/>
  <c r="X209" i="40"/>
  <c r="J60" i="29" s="1"/>
  <c r="W209" i="40"/>
  <c r="K60" i="29" s="1"/>
  <c r="X208" i="40"/>
  <c r="W208" i="40"/>
  <c r="X207" i="40"/>
  <c r="W207" i="40"/>
  <c r="X206" i="40"/>
  <c r="J12" i="29" s="1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J54" i="29" s="1"/>
  <c r="W187" i="40"/>
  <c r="K54" i="29" s="1"/>
  <c r="X186" i="40"/>
  <c r="J43" i="29" s="1"/>
  <c r="W186" i="40"/>
  <c r="K43" i="29" s="1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J32" i="29" s="1"/>
  <c r="W176" i="40"/>
  <c r="K32" i="29" s="1"/>
  <c r="X175" i="40"/>
  <c r="W175" i="40"/>
  <c r="X174" i="40"/>
  <c r="W174" i="40"/>
  <c r="X173" i="40"/>
  <c r="W173" i="40"/>
  <c r="X172" i="40"/>
  <c r="J30" i="29" s="1"/>
  <c r="W172" i="40"/>
  <c r="K30" i="29" s="1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J100" i="29" s="1"/>
  <c r="W145" i="40"/>
  <c r="K100" i="29" s="1"/>
  <c r="X144" i="40"/>
  <c r="W144" i="40"/>
  <c r="AV143" i="40"/>
  <c r="X143" i="40"/>
  <c r="W143" i="40"/>
  <c r="AV142" i="40"/>
  <c r="X142" i="40"/>
  <c r="J93" i="29" s="1"/>
  <c r="W142" i="40"/>
  <c r="AV141" i="40"/>
  <c r="X141" i="40"/>
  <c r="W141" i="40"/>
  <c r="AV140" i="40"/>
  <c r="X140" i="40"/>
  <c r="W140" i="40"/>
  <c r="AV139" i="40"/>
  <c r="X139" i="40"/>
  <c r="W139" i="40"/>
  <c r="AV138" i="40"/>
  <c r="X138" i="40"/>
  <c r="W138" i="40"/>
  <c r="AV137" i="40"/>
  <c r="X137" i="40"/>
  <c r="W137" i="40"/>
  <c r="AV136" i="40"/>
  <c r="X136" i="40"/>
  <c r="W136" i="40"/>
  <c r="AV135" i="40"/>
  <c r="X135" i="40"/>
  <c r="W135" i="40"/>
  <c r="AV134" i="40"/>
  <c r="X134" i="40"/>
  <c r="J87" i="29" s="1"/>
  <c r="W134" i="40"/>
  <c r="AV133" i="40"/>
  <c r="X133" i="40"/>
  <c r="J79" i="29" s="1"/>
  <c r="W133" i="40"/>
  <c r="AV132" i="40"/>
  <c r="X132" i="40"/>
  <c r="W132" i="40"/>
  <c r="AV131" i="40"/>
  <c r="X131" i="40"/>
  <c r="W131" i="40"/>
  <c r="AV130" i="40"/>
  <c r="X130" i="40"/>
  <c r="W130" i="40"/>
  <c r="AV129" i="40"/>
  <c r="X129" i="40"/>
  <c r="W129" i="40"/>
  <c r="AV128" i="40"/>
  <c r="X128" i="40"/>
  <c r="W128" i="40"/>
  <c r="AV127" i="40"/>
  <c r="X127" i="40"/>
  <c r="W127" i="40"/>
  <c r="AV126" i="40"/>
  <c r="X126" i="40"/>
  <c r="W126" i="40"/>
  <c r="AV125" i="40"/>
  <c r="X125" i="40"/>
  <c r="W125" i="40"/>
  <c r="AV124" i="40"/>
  <c r="X124" i="40"/>
  <c r="W124" i="40"/>
  <c r="AV123" i="40"/>
  <c r="X123" i="40"/>
  <c r="W123" i="40"/>
  <c r="AV122" i="40"/>
  <c r="X122" i="40"/>
  <c r="W122" i="40"/>
  <c r="AV121" i="40"/>
  <c r="X121" i="40"/>
  <c r="W121" i="40"/>
  <c r="AV120" i="40"/>
  <c r="X120" i="40"/>
  <c r="J62" i="29" s="1"/>
  <c r="W120" i="40"/>
  <c r="K62" i="29" s="1"/>
  <c r="AV119" i="40"/>
  <c r="X119" i="40"/>
  <c r="W119" i="40"/>
  <c r="AV118" i="40"/>
  <c r="X118" i="40"/>
  <c r="W118" i="40"/>
  <c r="AV117" i="40"/>
  <c r="X117" i="40"/>
  <c r="W117" i="40"/>
  <c r="AV116" i="40"/>
  <c r="X116" i="40"/>
  <c r="J58" i="29" s="1"/>
  <c r="W116" i="40"/>
  <c r="K58" i="29" s="1"/>
  <c r="AV115" i="40"/>
  <c r="X115" i="40"/>
  <c r="W115" i="40"/>
  <c r="AV114" i="40"/>
  <c r="X114" i="40"/>
  <c r="W114" i="40"/>
  <c r="AV113" i="40"/>
  <c r="X113" i="40"/>
  <c r="W113" i="40"/>
  <c r="AV112" i="40"/>
  <c r="X112" i="40"/>
  <c r="W112" i="40"/>
  <c r="AV111" i="40"/>
  <c r="X111" i="40"/>
  <c r="W111" i="40"/>
  <c r="AV110" i="40"/>
  <c r="X110" i="40"/>
  <c r="W110" i="40"/>
  <c r="AV109" i="40"/>
  <c r="X109" i="40"/>
  <c r="W109" i="40"/>
  <c r="AV108" i="40"/>
  <c r="X108" i="40"/>
  <c r="W108" i="40"/>
  <c r="AV107" i="40"/>
  <c r="X107" i="40"/>
  <c r="W107" i="40"/>
  <c r="AV106" i="40"/>
  <c r="X106" i="40"/>
  <c r="W106" i="40"/>
  <c r="AV105" i="40"/>
  <c r="X105" i="40"/>
  <c r="W105" i="40"/>
  <c r="AV104" i="40"/>
  <c r="X104" i="40"/>
  <c r="W104" i="40"/>
  <c r="AV103" i="40"/>
  <c r="X103" i="40"/>
  <c r="W103" i="40"/>
  <c r="AV102" i="40"/>
  <c r="X102" i="40"/>
  <c r="J33" i="29" s="1"/>
  <c r="W102" i="40"/>
  <c r="K33" i="29" s="1"/>
  <c r="AV101" i="40"/>
  <c r="X101" i="40"/>
  <c r="J34" i="29" s="1"/>
  <c r="W101" i="40"/>
  <c r="K34" i="29" s="1"/>
  <c r="AV100" i="40"/>
  <c r="X100" i="40"/>
  <c r="W100" i="40"/>
  <c r="AV99" i="40"/>
  <c r="X99" i="40"/>
  <c r="W99" i="40"/>
  <c r="AV98" i="40"/>
  <c r="X98" i="40"/>
  <c r="W98" i="40"/>
  <c r="AV97" i="40"/>
  <c r="X97" i="40"/>
  <c r="W97" i="40"/>
  <c r="AV96" i="40"/>
  <c r="X96" i="40"/>
  <c r="W96" i="40"/>
  <c r="AV95" i="40"/>
  <c r="X95" i="40"/>
  <c r="W95" i="40"/>
  <c r="AV94" i="40"/>
  <c r="X94" i="40"/>
  <c r="W94" i="40"/>
  <c r="AV93" i="40"/>
  <c r="X93" i="40"/>
  <c r="W93" i="40"/>
  <c r="AV92" i="40"/>
  <c r="X92" i="40"/>
  <c r="W92" i="40"/>
  <c r="AV91" i="40"/>
  <c r="X91" i="40"/>
  <c r="J128" i="29" s="1"/>
  <c r="W91" i="40"/>
  <c r="AV90" i="40"/>
  <c r="X90" i="40"/>
  <c r="W90" i="40"/>
  <c r="AV89" i="40"/>
  <c r="X89" i="40"/>
  <c r="W89" i="40"/>
  <c r="AV88" i="40"/>
  <c r="X88" i="40"/>
  <c r="W88" i="40"/>
  <c r="AV87" i="40"/>
  <c r="X87" i="40"/>
  <c r="J125" i="29" s="1"/>
  <c r="W87" i="40"/>
  <c r="K125" i="29" s="1"/>
  <c r="AV86" i="40"/>
  <c r="X86" i="40"/>
  <c r="J127" i="29" s="1"/>
  <c r="W86" i="40"/>
  <c r="K127" i="29" s="1"/>
  <c r="AV85" i="40"/>
  <c r="X85" i="40"/>
  <c r="W85" i="40"/>
  <c r="AV84" i="40"/>
  <c r="X84" i="40"/>
  <c r="W84" i="40"/>
  <c r="AV83" i="40"/>
  <c r="X83" i="40"/>
  <c r="W83" i="40"/>
  <c r="AV82" i="40"/>
  <c r="X82" i="40"/>
  <c r="W82" i="40"/>
  <c r="AV81" i="40"/>
  <c r="X81" i="40"/>
  <c r="W81" i="40"/>
  <c r="AV80" i="40"/>
  <c r="X80" i="40"/>
  <c r="W80" i="40"/>
  <c r="AV79" i="40"/>
  <c r="X79" i="40"/>
  <c r="W79" i="40"/>
  <c r="AV78" i="40"/>
  <c r="X78" i="40"/>
  <c r="W78" i="40"/>
  <c r="AV77" i="40"/>
  <c r="X77" i="40"/>
  <c r="W77" i="40"/>
  <c r="AV76" i="40"/>
  <c r="X76" i="40"/>
  <c r="J121" i="29" s="1"/>
  <c r="W76" i="40"/>
  <c r="K121" i="29" s="1"/>
  <c r="AV75" i="40"/>
  <c r="X75" i="40"/>
  <c r="J113" i="29" s="1"/>
  <c r="W75" i="40"/>
  <c r="K113" i="29" s="1"/>
  <c r="AV74" i="40"/>
  <c r="X74" i="40"/>
  <c r="W74" i="40"/>
  <c r="AV73" i="40"/>
  <c r="X73" i="40"/>
  <c r="W73" i="40"/>
  <c r="AV72" i="40"/>
  <c r="X72" i="40"/>
  <c r="W72" i="40"/>
  <c r="AV71" i="40"/>
  <c r="X71" i="40"/>
  <c r="W71" i="40"/>
  <c r="AV70" i="40"/>
  <c r="X70" i="40"/>
  <c r="W70" i="40"/>
  <c r="AV69" i="40"/>
  <c r="X69" i="40"/>
  <c r="W69" i="40"/>
  <c r="AV68" i="40"/>
  <c r="X68" i="40"/>
  <c r="W68" i="40"/>
  <c r="AV67" i="40"/>
  <c r="X67" i="40"/>
  <c r="W67" i="40"/>
  <c r="AV66" i="40"/>
  <c r="X66" i="40"/>
  <c r="W66" i="40"/>
  <c r="AV65" i="40"/>
  <c r="X65" i="40"/>
  <c r="W65" i="40"/>
  <c r="AV64" i="40"/>
  <c r="X64" i="40"/>
  <c r="J101" i="29" s="1"/>
  <c r="W64" i="40"/>
  <c r="AV63" i="40"/>
  <c r="X63" i="40"/>
  <c r="J105" i="29" s="1"/>
  <c r="W63" i="40"/>
  <c r="K105" i="29" s="1"/>
  <c r="AV62" i="40"/>
  <c r="X62" i="40"/>
  <c r="J96" i="29" s="1"/>
  <c r="W62" i="40"/>
  <c r="AV61" i="40"/>
  <c r="X61" i="40"/>
  <c r="W61" i="40"/>
  <c r="AV60" i="40"/>
  <c r="X60" i="40"/>
  <c r="W60" i="40"/>
  <c r="K89" i="29" s="1"/>
  <c r="AV59" i="40"/>
  <c r="X59" i="40"/>
  <c r="W59" i="40"/>
  <c r="AV58" i="40"/>
  <c r="X58" i="40"/>
  <c r="W58" i="40"/>
  <c r="AV57" i="40"/>
  <c r="X57" i="40"/>
  <c r="W57" i="40"/>
  <c r="AV56" i="40"/>
  <c r="X56" i="40"/>
  <c r="W56" i="40"/>
  <c r="AV55" i="40"/>
  <c r="X55" i="40"/>
  <c r="W55" i="40"/>
  <c r="AV54" i="40"/>
  <c r="X54" i="40"/>
  <c r="W54" i="40"/>
  <c r="AV53" i="40"/>
  <c r="X53" i="40"/>
  <c r="W53" i="40"/>
  <c r="AV52" i="40"/>
  <c r="X52" i="40"/>
  <c r="W52" i="40"/>
  <c r="AV51" i="40"/>
  <c r="X51" i="40"/>
  <c r="W51" i="40"/>
  <c r="AV50" i="40"/>
  <c r="X50" i="40"/>
  <c r="W50" i="40"/>
  <c r="AV49" i="40"/>
  <c r="X49" i="40"/>
  <c r="W49" i="40"/>
  <c r="AV48" i="40"/>
  <c r="X48" i="40"/>
  <c r="W48" i="40"/>
  <c r="AV47" i="40"/>
  <c r="X47" i="40"/>
  <c r="W47" i="40"/>
  <c r="AV46" i="40"/>
  <c r="X46" i="40"/>
  <c r="J73" i="29" s="1"/>
  <c r="W46" i="40"/>
  <c r="AV45" i="40"/>
  <c r="X45" i="40"/>
  <c r="W45" i="40"/>
  <c r="AV44" i="40"/>
  <c r="X44" i="40"/>
  <c r="W44" i="40"/>
  <c r="AV43" i="40"/>
  <c r="X43" i="40"/>
  <c r="W43" i="40"/>
  <c r="AV42" i="40"/>
  <c r="X42" i="40"/>
  <c r="W42" i="40"/>
  <c r="AV41" i="40"/>
  <c r="X41" i="40"/>
  <c r="W41" i="40"/>
  <c r="AV40" i="40"/>
  <c r="X40" i="40"/>
  <c r="W40" i="40"/>
  <c r="AV39" i="40"/>
  <c r="X39" i="40"/>
  <c r="W39" i="40"/>
  <c r="AV38" i="40"/>
  <c r="X38" i="40"/>
  <c r="W38" i="40"/>
  <c r="AV37" i="40"/>
  <c r="X37" i="40"/>
  <c r="W37" i="40"/>
  <c r="AV36" i="40"/>
  <c r="X36" i="40"/>
  <c r="W36" i="40"/>
  <c r="AV35" i="40"/>
  <c r="X35" i="40"/>
  <c r="W35" i="40"/>
  <c r="AV34" i="40"/>
  <c r="X34" i="40"/>
  <c r="J70" i="29" s="1"/>
  <c r="W34" i="40"/>
  <c r="K70" i="29" s="1"/>
  <c r="AV33" i="40"/>
  <c r="X33" i="40"/>
  <c r="J63" i="29" s="1"/>
  <c r="W33" i="40"/>
  <c r="K63" i="29" s="1"/>
  <c r="AV32" i="40"/>
  <c r="X32" i="40"/>
  <c r="J56" i="29" s="1"/>
  <c r="W32" i="40"/>
  <c r="AV31" i="40"/>
  <c r="X31" i="40"/>
  <c r="W31" i="40"/>
  <c r="AV30" i="40"/>
  <c r="X30" i="40"/>
  <c r="W30" i="40"/>
  <c r="AV29" i="40"/>
  <c r="X29" i="40"/>
  <c r="W29" i="40"/>
  <c r="AV28" i="40"/>
  <c r="X28" i="40"/>
  <c r="W28" i="40"/>
  <c r="AV27" i="40"/>
  <c r="X27" i="40"/>
  <c r="W27" i="40"/>
  <c r="AV26" i="40"/>
  <c r="X26" i="40"/>
  <c r="W26" i="40"/>
  <c r="AV25" i="40"/>
  <c r="X25" i="40"/>
  <c r="W25" i="40"/>
  <c r="AV24" i="40"/>
  <c r="X24" i="40"/>
  <c r="J50" i="29" s="1"/>
  <c r="W24" i="40"/>
  <c r="AV23" i="40"/>
  <c r="X23" i="40"/>
  <c r="W23" i="40"/>
  <c r="AV22" i="40"/>
  <c r="X22" i="40"/>
  <c r="W22" i="40"/>
  <c r="AV21" i="40"/>
  <c r="X21" i="40"/>
  <c r="W21" i="40"/>
  <c r="AV20" i="40"/>
  <c r="X20" i="40"/>
  <c r="W20" i="40"/>
  <c r="AV19" i="40"/>
  <c r="X19" i="40"/>
  <c r="J45" i="29" s="1"/>
  <c r="W19" i="40"/>
  <c r="K45" i="29" s="1"/>
  <c r="AV18" i="40"/>
  <c r="X18" i="40"/>
  <c r="W18" i="40"/>
  <c r="AV17" i="40"/>
  <c r="X17" i="40"/>
  <c r="J37" i="29" s="1"/>
  <c r="W17" i="40"/>
  <c r="AV16" i="40"/>
  <c r="X16" i="40"/>
  <c r="J36" i="29" s="1"/>
  <c r="W16" i="40"/>
  <c r="AV15" i="40"/>
  <c r="X15" i="40"/>
  <c r="W15" i="40"/>
  <c r="AV14" i="40"/>
  <c r="X14" i="40"/>
  <c r="W14" i="40"/>
  <c r="AV13" i="40"/>
  <c r="X13" i="40"/>
  <c r="W13" i="40"/>
  <c r="AV12" i="40"/>
  <c r="X12" i="40"/>
  <c r="W12" i="40"/>
  <c r="AV11" i="40"/>
  <c r="X11" i="40"/>
  <c r="W11" i="40"/>
  <c r="AV10" i="40"/>
  <c r="X10" i="40"/>
  <c r="W10" i="40"/>
  <c r="AV9" i="40"/>
  <c r="X9" i="40"/>
  <c r="W9" i="40"/>
  <c r="AV8" i="40"/>
  <c r="X8" i="40"/>
  <c r="W8" i="40"/>
  <c r="AV7" i="40"/>
  <c r="X7" i="40"/>
  <c r="W7" i="40"/>
  <c r="AV7" i="37"/>
  <c r="AV8" i="37"/>
  <c r="AV9" i="37"/>
  <c r="AV10" i="37"/>
  <c r="AV11" i="37"/>
  <c r="AV12" i="37"/>
  <c r="AV13" i="37"/>
  <c r="AV14" i="37"/>
  <c r="AV15" i="37"/>
  <c r="AV16" i="37"/>
  <c r="AV17" i="37"/>
  <c r="AV18" i="37"/>
  <c r="AV19" i="37"/>
  <c r="AV20" i="37"/>
  <c r="AV21" i="37"/>
  <c r="AV22" i="37"/>
  <c r="AV23" i="37"/>
  <c r="AV24" i="37"/>
  <c r="AV25" i="37"/>
  <c r="AV26" i="37"/>
  <c r="AV27" i="37"/>
  <c r="AV28" i="37"/>
  <c r="AV29" i="37"/>
  <c r="AV30" i="37"/>
  <c r="AV31" i="37"/>
  <c r="AV32" i="37"/>
  <c r="AV33" i="37"/>
  <c r="AV34" i="37"/>
  <c r="AV35" i="37"/>
  <c r="AV36" i="37"/>
  <c r="AV37" i="37"/>
  <c r="AV38" i="37"/>
  <c r="AV39" i="37"/>
  <c r="AV40" i="37"/>
  <c r="AV41" i="37"/>
  <c r="AV42" i="37"/>
  <c r="AV43" i="37"/>
  <c r="AV44" i="37"/>
  <c r="AV45" i="37"/>
  <c r="AV46" i="37"/>
  <c r="AV47" i="37"/>
  <c r="AV48" i="37"/>
  <c r="AV49" i="37"/>
  <c r="AV50" i="37"/>
  <c r="AV51" i="37"/>
  <c r="AV52" i="37"/>
  <c r="AV53" i="37"/>
  <c r="AV54" i="37"/>
  <c r="AV55" i="37"/>
  <c r="AV56" i="37"/>
  <c r="AV57" i="37"/>
  <c r="AV58" i="37"/>
  <c r="AV59" i="37"/>
  <c r="AV60" i="37"/>
  <c r="AV61" i="37"/>
  <c r="AV62" i="37"/>
  <c r="AV63" i="37"/>
  <c r="AV64" i="37"/>
  <c r="AV65" i="37"/>
  <c r="AV66" i="37"/>
  <c r="AV67" i="37"/>
  <c r="AV68" i="37"/>
  <c r="AV69" i="37"/>
  <c r="AV70" i="37"/>
  <c r="AV71" i="37"/>
  <c r="AV72" i="37"/>
  <c r="AV73" i="37"/>
  <c r="AV74" i="37"/>
  <c r="AV75" i="37"/>
  <c r="AV76" i="37"/>
  <c r="AV77" i="37"/>
  <c r="AV78" i="37"/>
  <c r="AV79" i="37"/>
  <c r="AV80" i="37"/>
  <c r="AV81" i="37"/>
  <c r="AV82" i="37"/>
  <c r="AV83" i="37"/>
  <c r="AV84" i="37"/>
  <c r="AV85" i="37"/>
  <c r="AV86" i="37"/>
  <c r="AV87" i="37"/>
  <c r="AV88" i="37"/>
  <c r="AV89" i="37"/>
  <c r="AV90" i="37"/>
  <c r="AV91" i="37"/>
  <c r="AV92" i="37"/>
  <c r="AV93" i="37"/>
  <c r="AV94" i="37"/>
  <c r="AV95" i="37"/>
  <c r="AV96" i="37"/>
  <c r="AV97" i="37"/>
  <c r="AV98" i="37"/>
  <c r="AV99" i="37"/>
  <c r="AV100" i="37"/>
  <c r="AV101" i="37"/>
  <c r="AV102" i="37"/>
  <c r="AV103" i="37"/>
  <c r="AV104" i="37"/>
  <c r="AV105" i="37"/>
  <c r="AV106" i="37"/>
  <c r="AV107" i="37"/>
  <c r="AV108" i="37"/>
  <c r="AV109" i="37"/>
  <c r="AV110" i="37"/>
  <c r="AV111" i="37"/>
  <c r="AV112" i="37"/>
  <c r="AV113" i="37"/>
  <c r="AV114" i="37"/>
  <c r="AV115" i="37"/>
  <c r="AV116" i="37"/>
  <c r="AV117" i="37"/>
  <c r="AV118" i="37"/>
  <c r="AV119" i="37"/>
  <c r="AV120" i="37"/>
  <c r="AV121" i="37"/>
  <c r="AV122" i="37"/>
  <c r="AV123" i="37"/>
  <c r="AV124" i="37"/>
  <c r="AV125" i="37"/>
  <c r="AV126" i="37"/>
  <c r="AV127" i="37"/>
  <c r="AV128" i="37"/>
  <c r="AV129" i="37"/>
  <c r="AV130" i="37"/>
  <c r="AV131" i="37"/>
  <c r="AV132" i="37"/>
  <c r="AV133" i="37"/>
  <c r="AV134" i="37"/>
  <c r="AV135" i="37"/>
  <c r="AV136" i="37"/>
  <c r="AV137" i="37"/>
  <c r="AV138" i="37"/>
  <c r="AV139" i="37"/>
  <c r="AV140" i="37"/>
  <c r="AV141" i="37"/>
  <c r="AV142" i="37"/>
  <c r="AV143" i="37"/>
  <c r="AU7" i="37"/>
  <c r="AU8" i="37"/>
  <c r="AU9" i="37"/>
  <c r="AU10" i="37"/>
  <c r="AU11" i="37"/>
  <c r="AU12" i="37"/>
  <c r="AU13" i="37"/>
  <c r="AU14" i="37"/>
  <c r="AU15" i="37"/>
  <c r="AU16" i="37"/>
  <c r="AU17" i="37"/>
  <c r="AU18" i="37"/>
  <c r="AU19" i="37"/>
  <c r="AU20" i="37"/>
  <c r="AU21" i="37"/>
  <c r="AU22" i="37"/>
  <c r="AU23" i="37"/>
  <c r="AU24" i="37"/>
  <c r="AU25" i="37"/>
  <c r="AU26" i="37"/>
  <c r="AU27" i="37"/>
  <c r="AU28" i="37"/>
  <c r="AU29" i="37"/>
  <c r="AU30" i="37"/>
  <c r="AU31" i="37"/>
  <c r="AU32" i="37"/>
  <c r="AU33" i="37"/>
  <c r="AU34" i="37"/>
  <c r="AU35" i="37"/>
  <c r="AU36" i="37"/>
  <c r="AU37" i="37"/>
  <c r="AU38" i="37"/>
  <c r="AU39" i="37"/>
  <c r="AU40" i="37"/>
  <c r="AU41" i="37"/>
  <c r="AU42" i="37"/>
  <c r="AU43" i="37"/>
  <c r="AU44" i="37"/>
  <c r="AU45" i="37"/>
  <c r="AU46" i="37"/>
  <c r="AU47" i="37"/>
  <c r="AU48" i="37"/>
  <c r="AU49" i="37"/>
  <c r="AU50" i="37"/>
  <c r="AU51" i="37"/>
  <c r="AU52" i="37"/>
  <c r="AU53" i="37"/>
  <c r="AU54" i="37"/>
  <c r="AU55" i="37"/>
  <c r="AU56" i="37"/>
  <c r="AU57" i="37"/>
  <c r="AU58" i="37"/>
  <c r="AU59" i="37"/>
  <c r="AU60" i="37"/>
  <c r="AU61" i="37"/>
  <c r="AU62" i="37"/>
  <c r="AU63" i="37"/>
  <c r="AU64" i="37"/>
  <c r="AU65" i="37"/>
  <c r="AU66" i="37"/>
  <c r="AU67" i="37"/>
  <c r="AU68" i="37"/>
  <c r="AU69" i="37"/>
  <c r="AU70" i="37"/>
  <c r="AU71" i="37"/>
  <c r="AU72" i="37"/>
  <c r="AU73" i="37"/>
  <c r="AU74" i="37"/>
  <c r="AU75" i="37"/>
  <c r="AU76" i="37"/>
  <c r="AU77" i="37"/>
  <c r="AU78" i="37"/>
  <c r="AU79" i="37"/>
  <c r="AU80" i="37"/>
  <c r="AU81" i="37"/>
  <c r="AU82" i="37"/>
  <c r="AU83" i="37"/>
  <c r="AU84" i="37"/>
  <c r="AU85" i="37"/>
  <c r="AU86" i="37"/>
  <c r="AU87" i="37"/>
  <c r="AU88" i="37"/>
  <c r="AU89" i="37"/>
  <c r="AU90" i="37"/>
  <c r="AU91" i="37"/>
  <c r="AU92" i="37"/>
  <c r="AU93" i="37"/>
  <c r="AU94" i="37"/>
  <c r="AU95" i="37"/>
  <c r="AU96" i="37"/>
  <c r="AU97" i="37"/>
  <c r="AU98" i="37"/>
  <c r="AU99" i="37"/>
  <c r="AU100" i="37"/>
  <c r="AU101" i="37"/>
  <c r="AU102" i="37"/>
  <c r="AU103" i="37"/>
  <c r="AU104" i="37"/>
  <c r="AU105" i="37"/>
  <c r="AU106" i="37"/>
  <c r="AU107" i="37"/>
  <c r="AU108" i="37"/>
  <c r="AU109" i="37"/>
  <c r="AU110" i="37"/>
  <c r="AU111" i="37"/>
  <c r="AU112" i="37"/>
  <c r="AU113" i="37"/>
  <c r="AU114" i="37"/>
  <c r="AU115" i="37"/>
  <c r="AU116" i="37"/>
  <c r="AU117" i="37"/>
  <c r="AU118" i="37"/>
  <c r="AU119" i="37"/>
  <c r="AU120" i="37"/>
  <c r="AU121" i="37"/>
  <c r="AU122" i="37"/>
  <c r="AU123" i="37"/>
  <c r="AU124" i="37"/>
  <c r="AU125" i="37"/>
  <c r="AU126" i="37"/>
  <c r="AU127" i="37"/>
  <c r="AU128" i="37"/>
  <c r="AU129" i="37"/>
  <c r="AU130" i="37"/>
  <c r="AU131" i="37"/>
  <c r="AU132" i="37"/>
  <c r="AU133" i="37"/>
  <c r="AU134" i="37"/>
  <c r="AU135" i="37"/>
  <c r="AU136" i="37"/>
  <c r="AU137" i="37"/>
  <c r="AU138" i="37"/>
  <c r="AU139" i="37"/>
  <c r="AU140" i="37"/>
  <c r="AU141" i="37"/>
  <c r="AU142" i="37"/>
  <c r="AU143" i="37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J60" i="44" l="1"/>
  <c r="J71" i="44"/>
  <c r="J76" i="44"/>
  <c r="J74" i="44"/>
  <c r="K49" i="44"/>
  <c r="K123" i="44"/>
  <c r="K132" i="44"/>
  <c r="J83" i="44"/>
  <c r="J82" i="44"/>
  <c r="J123" i="44"/>
  <c r="J40" i="44"/>
  <c r="K133" i="44"/>
  <c r="K124" i="44"/>
  <c r="K128" i="44"/>
  <c r="K138" i="44"/>
  <c r="K125" i="44"/>
  <c r="J128" i="44"/>
  <c r="J138" i="44"/>
  <c r="K136" i="44"/>
  <c r="K108" i="44"/>
  <c r="K59" i="44"/>
  <c r="K52" i="44"/>
  <c r="K55" i="44"/>
  <c r="K33" i="44"/>
  <c r="J52" i="44"/>
  <c r="J55" i="44"/>
  <c r="J79" i="44"/>
  <c r="J21" i="44"/>
  <c r="J44" i="44"/>
  <c r="J38" i="44"/>
  <c r="J33" i="44"/>
  <c r="J19" i="44"/>
  <c r="J69" i="44"/>
  <c r="K35" i="44"/>
  <c r="J8" i="44"/>
  <c r="J64" i="44"/>
  <c r="J81" i="44"/>
  <c r="J124" i="44"/>
  <c r="J14" i="44"/>
  <c r="J31" i="44"/>
  <c r="J47" i="44"/>
  <c r="J61" i="44"/>
  <c r="J78" i="44"/>
  <c r="J92" i="44"/>
  <c r="J118" i="44"/>
  <c r="J125" i="44"/>
  <c r="J130" i="44"/>
  <c r="J57" i="44"/>
  <c r="J75" i="44"/>
  <c r="J99" i="44"/>
  <c r="J108" i="44"/>
  <c r="J131" i="44"/>
  <c r="J7" i="44"/>
  <c r="J49" i="44"/>
  <c r="J93" i="44"/>
  <c r="J104" i="44"/>
  <c r="J120" i="44"/>
  <c r="J80" i="44"/>
  <c r="K63" i="44"/>
  <c r="J13" i="44"/>
  <c r="J15" i="44"/>
  <c r="K13" i="44"/>
  <c r="K15" i="44"/>
  <c r="K43" i="44"/>
  <c r="K58" i="44"/>
  <c r="K94" i="44"/>
  <c r="K32" i="44"/>
  <c r="J116" i="44"/>
  <c r="J114" i="44"/>
  <c r="K71" i="44"/>
  <c r="J98" i="44"/>
  <c r="J109" i="44"/>
  <c r="K83" i="44"/>
  <c r="J59" i="44"/>
  <c r="K9" i="44"/>
  <c r="K77" i="44"/>
  <c r="K100" i="44"/>
  <c r="K109" i="44"/>
  <c r="K116" i="44"/>
  <c r="K114" i="44"/>
  <c r="K126" i="44"/>
  <c r="K80" i="44"/>
  <c r="K129" i="44"/>
  <c r="K66" i="44"/>
  <c r="K10" i="44"/>
  <c r="K45" i="44"/>
  <c r="K60" i="44"/>
  <c r="K76" i="44"/>
  <c r="K93" i="44"/>
  <c r="K98" i="44"/>
  <c r="K50" i="44"/>
  <c r="J65" i="29"/>
  <c r="J25" i="29"/>
  <c r="J88" i="29"/>
  <c r="K55" i="29"/>
  <c r="J83" i="29"/>
  <c r="J103" i="29"/>
  <c r="K56" i="29"/>
  <c r="K91" i="29"/>
  <c r="J49" i="29"/>
  <c r="J91" i="29"/>
  <c r="K109" i="29"/>
  <c r="J38" i="29"/>
  <c r="J109" i="29"/>
  <c r="J52" i="29"/>
  <c r="J84" i="29"/>
  <c r="K85" i="29"/>
  <c r="J108" i="29"/>
  <c r="K88" i="29"/>
  <c r="K73" i="29"/>
  <c r="K96" i="29"/>
  <c r="K87" i="29"/>
  <c r="K93" i="29"/>
  <c r="J55" i="29"/>
  <c r="J89" i="29"/>
  <c r="K90" i="29"/>
  <c r="K84" i="29"/>
  <c r="J90" i="29"/>
  <c r="J85" i="29"/>
  <c r="K74" i="29"/>
  <c r="J77" i="29"/>
  <c r="J74" i="29"/>
  <c r="K79" i="29"/>
  <c r="K50" i="29"/>
  <c r="K78" i="29"/>
  <c r="K75" i="29"/>
  <c r="K101" i="29"/>
  <c r="J78" i="29"/>
  <c r="J75" i="29"/>
  <c r="K103" i="29"/>
  <c r="J107" i="29"/>
  <c r="J118" i="29"/>
  <c r="J123" i="29"/>
  <c r="K128" i="29"/>
  <c r="K51" i="29"/>
  <c r="K39" i="29"/>
  <c r="J51" i="29"/>
  <c r="K66" i="29"/>
  <c r="J72" i="29"/>
  <c r="J102" i="29"/>
  <c r="K124" i="29"/>
  <c r="K40" i="29"/>
  <c r="K72" i="29"/>
  <c r="K102" i="29"/>
  <c r="K49" i="29"/>
  <c r="J66" i="29"/>
  <c r="K67" i="29"/>
  <c r="J124" i="29"/>
  <c r="J40" i="29"/>
  <c r="K82" i="29"/>
  <c r="J21" i="29"/>
  <c r="J61" i="29"/>
  <c r="J67" i="29"/>
  <c r="K68" i="29"/>
  <c r="K119" i="29"/>
  <c r="K71" i="29"/>
  <c r="J82" i="29"/>
  <c r="K116" i="29"/>
  <c r="K69" i="29"/>
  <c r="K77" i="29"/>
  <c r="K52" i="29"/>
  <c r="J68" i="29"/>
  <c r="K108" i="29"/>
  <c r="K117" i="29"/>
  <c r="J119" i="29"/>
  <c r="J71" i="29"/>
  <c r="J116" i="29"/>
  <c r="J69" i="29"/>
  <c r="K107" i="29"/>
  <c r="J117" i="29"/>
  <c r="K118" i="29"/>
  <c r="K123" i="29"/>
  <c r="K126" i="29"/>
  <c r="K57" i="29"/>
  <c r="K65" i="29"/>
  <c r="K83" i="29"/>
  <c r="J126" i="29"/>
  <c r="J57" i="29"/>
  <c r="K26" i="29"/>
  <c r="K42" i="29"/>
  <c r="K37" i="29"/>
  <c r="J42" i="29"/>
  <c r="J39" i="29"/>
  <c r="K38" i="29"/>
  <c r="K36" i="29"/>
  <c r="J9" i="29"/>
  <c r="K24" i="29"/>
  <c r="J24" i="29"/>
  <c r="J26" i="29"/>
  <c r="K27" i="29"/>
  <c r="J27" i="29"/>
  <c r="K11" i="29"/>
  <c r="K18" i="29"/>
  <c r="K25" i="29"/>
  <c r="J11" i="29"/>
  <c r="J18" i="29"/>
  <c r="K9" i="29"/>
  <c r="J10" i="29"/>
  <c r="K17" i="29"/>
  <c r="K12" i="29"/>
  <c r="K21" i="29"/>
  <c r="K7" i="29"/>
  <c r="J17" i="29"/>
  <c r="J7" i="29"/>
  <c r="K14" i="29"/>
  <c r="J14" i="29"/>
  <c r="J15" i="29"/>
  <c r="K15" i="29"/>
  <c r="J16" i="29"/>
  <c r="K16" i="29"/>
  <c r="K10" i="29"/>
  <c r="K8" i="29"/>
  <c r="J8" i="29"/>
  <c r="Y208" i="28"/>
  <c r="Z203" i="28"/>
  <c r="Y203" i="28"/>
  <c r="Y202" i="28"/>
  <c r="Y201" i="28"/>
  <c r="Y199" i="28"/>
  <c r="Z204" i="28"/>
  <c r="Z207" i="28"/>
  <c r="Y206" i="28"/>
  <c r="Z205" i="28"/>
  <c r="Z208" i="28"/>
  <c r="Y198" i="28"/>
  <c r="Y209" i="28"/>
  <c r="Y207" i="28"/>
  <c r="Z201" i="28"/>
  <c r="Z202" i="28"/>
  <c r="Z198" i="28"/>
  <c r="Y200" i="28"/>
  <c r="Y197" i="28"/>
  <c r="Z209" i="28"/>
  <c r="Z200" i="28"/>
  <c r="Y205" i="28"/>
  <c r="Y204" i="28"/>
  <c r="Z206" i="28"/>
  <c r="Z199" i="28"/>
  <c r="Z189" i="28"/>
  <c r="Y188" i="28"/>
  <c r="Y190" i="28"/>
  <c r="Y186" i="28"/>
  <c r="Y193" i="28"/>
  <c r="Y191" i="28"/>
  <c r="Y187" i="28"/>
  <c r="Z191" i="28"/>
  <c r="Z186" i="28"/>
  <c r="Z192" i="28"/>
  <c r="Z194" i="28"/>
  <c r="Z188" i="28"/>
  <c r="Y194" i="28"/>
  <c r="Z193" i="28"/>
  <c r="Y189" i="28"/>
  <c r="Z190" i="28"/>
  <c r="Y195" i="28"/>
  <c r="Z187" i="28"/>
  <c r="Z185" i="28"/>
  <c r="Y192" i="28"/>
  <c r="Y185" i="28"/>
  <c r="Z195" i="28"/>
  <c r="Y183" i="28"/>
  <c r="Z176" i="28"/>
  <c r="Z181" i="28"/>
  <c r="Z180" i="28"/>
  <c r="Z179" i="28"/>
  <c r="Z178" i="28"/>
  <c r="Y178" i="28"/>
  <c r="Z177" i="28"/>
  <c r="Y177" i="28"/>
  <c r="Z183" i="28"/>
  <c r="Y175" i="28"/>
  <c r="Z174" i="28"/>
  <c r="Y174" i="28"/>
  <c r="Y181" i="28"/>
  <c r="Z175" i="28"/>
  <c r="Y179" i="28"/>
  <c r="Y176" i="28"/>
  <c r="Y180" i="28"/>
  <c r="Z182" i="28"/>
  <c r="Y182" i="28"/>
  <c r="Z173" i="28"/>
  <c r="Y173" i="28"/>
  <c r="Y171" i="28"/>
  <c r="Z171" i="28"/>
  <c r="Z167" i="28"/>
  <c r="Y153" i="28"/>
  <c r="Z156" i="28"/>
  <c r="Y151" i="28"/>
  <c r="Y165" i="28"/>
  <c r="Y167" i="28"/>
  <c r="Z147" i="28"/>
  <c r="Y157" i="28"/>
  <c r="Y170" i="28"/>
  <c r="Z162" i="28"/>
  <c r="Z154" i="28"/>
  <c r="Z151" i="28"/>
  <c r="Z142" i="28"/>
  <c r="Z157" i="28"/>
  <c r="Z166" i="28"/>
  <c r="Y148" i="28"/>
  <c r="Z146" i="28"/>
  <c r="Y155" i="28"/>
  <c r="Z143" i="28"/>
  <c r="Y162" i="28"/>
  <c r="Z168" i="28"/>
  <c r="Y166" i="28"/>
  <c r="Y152" i="28"/>
  <c r="Y139" i="28"/>
  <c r="Z155" i="28"/>
  <c r="Y141" i="28"/>
  <c r="Z164" i="28"/>
  <c r="Y142" i="28"/>
  <c r="Z140" i="28"/>
  <c r="Y169" i="28"/>
  <c r="Y168" i="28"/>
  <c r="Z144" i="28"/>
  <c r="Y149" i="28"/>
  <c r="Y143" i="28"/>
  <c r="Z139" i="28"/>
  <c r="Z170" i="28"/>
  <c r="Z149" i="28"/>
  <c r="Z169" i="28"/>
  <c r="Y161" i="28"/>
  <c r="Y140" i="28"/>
  <c r="Z160" i="28"/>
  <c r="Y164" i="28"/>
  <c r="Z141" i="28"/>
  <c r="Z163" i="28"/>
  <c r="Z161" i="28"/>
  <c r="Y138" i="28"/>
  <c r="Y154" i="28"/>
  <c r="Y160" i="28"/>
  <c r="Z137" i="28"/>
  <c r="Z152" i="28"/>
  <c r="Z136" i="28"/>
  <c r="Z148" i="28"/>
  <c r="Y136" i="28"/>
  <c r="Y144" i="28"/>
  <c r="Z138" i="28"/>
  <c r="Z165" i="28"/>
  <c r="Y163" i="28"/>
  <c r="Y147" i="28"/>
  <c r="Z150" i="28"/>
  <c r="Y159" i="28"/>
  <c r="Y137" i="28"/>
  <c r="Z153" i="28"/>
  <c r="Y156" i="28"/>
  <c r="Y146" i="28"/>
  <c r="Y150" i="28"/>
  <c r="Z159" i="28"/>
  <c r="Z134" i="28"/>
  <c r="Z130" i="28"/>
  <c r="Y129" i="28"/>
  <c r="Z133" i="28"/>
  <c r="Y130" i="28"/>
  <c r="Y134" i="28"/>
  <c r="Z131" i="28"/>
  <c r="Z128" i="28"/>
  <c r="Y133" i="28"/>
  <c r="Y131" i="28"/>
  <c r="Y128" i="28"/>
  <c r="Z129" i="28"/>
  <c r="Z132" i="28"/>
  <c r="Y132" i="28"/>
  <c r="Z127" i="28"/>
  <c r="Y127" i="28"/>
  <c r="Y123" i="28"/>
  <c r="Y120" i="28"/>
  <c r="Y122" i="28"/>
  <c r="Z121" i="28"/>
  <c r="Y121" i="28"/>
  <c r="Z120" i="28"/>
  <c r="Z124" i="28"/>
  <c r="Y124" i="28"/>
  <c r="Z123" i="28"/>
  <c r="Z125" i="28"/>
  <c r="Y113" i="28"/>
  <c r="Z122" i="28"/>
  <c r="Y125" i="28"/>
  <c r="Z113" i="28"/>
  <c r="R22" i="28"/>
  <c r="S117" i="28" l="1"/>
  <c r="S114" i="28"/>
  <c r="S115" i="28"/>
  <c r="S118" i="28"/>
  <c r="S116" i="28"/>
  <c r="R7" i="28"/>
  <c r="R9" i="28"/>
  <c r="R8" i="28"/>
  <c r="R13" i="28"/>
  <c r="R11" i="28"/>
  <c r="R14" i="28"/>
  <c r="R12" i="28"/>
  <c r="R10" i="28"/>
  <c r="D156" i="27"/>
  <c r="E156" i="27"/>
  <c r="F156" i="27"/>
  <c r="Y117" i="28" l="1"/>
  <c r="Z117" i="28"/>
  <c r="Z116" i="28"/>
  <c r="Y116" i="28"/>
  <c r="Z118" i="28"/>
  <c r="Y118" i="28"/>
  <c r="Y115" i="28"/>
  <c r="Z115" i="28"/>
  <c r="Y114" i="28"/>
  <c r="Z114" i="28"/>
  <c r="R6" i="28"/>
  <c r="R15" i="28" l="1"/>
  <c r="L78" i="27" l="1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E56" i="27" l="1"/>
  <c r="D56" i="27"/>
  <c r="X172" i="27"/>
  <c r="F56" i="27" l="1"/>
  <c r="E63" i="27" a="1"/>
  <c r="E63" i="27" s="1"/>
  <c r="E64" i="27" a="1"/>
  <c r="E64" i="27" s="1"/>
  <c r="D64" i="27" a="1"/>
  <c r="D64" i="27" s="1"/>
  <c r="C64" i="27" a="1"/>
  <c r="C64" i="27" s="1"/>
  <c r="C65" i="27" a="1"/>
  <c r="C65" i="27" s="1"/>
  <c r="F65" i="27" l="1"/>
  <c r="F63" i="27"/>
  <c r="F64" i="27"/>
  <c r="L156" i="27" l="1"/>
  <c r="E62" i="27" a="1"/>
  <c r="E62" i="27" s="1"/>
  <c r="C62" i="27" a="1"/>
  <c r="C62" i="27" s="1"/>
  <c r="F62" i="27" l="1"/>
  <c r="E71" i="27"/>
  <c r="C71" i="27"/>
  <c r="D71" i="27"/>
  <c r="AG113" i="27"/>
  <c r="AF113" i="27" s="1"/>
  <c r="AI113" i="27" s="1"/>
  <c r="F71" i="27" l="1"/>
  <c r="AD113" i="27" a="1"/>
  <c r="AD113" i="27" s="1"/>
  <c r="M79" i="27" s="1"/>
  <c r="AE113" i="27" a="1"/>
  <c r="AE113" i="27" s="1"/>
  <c r="M78" i="27" s="1"/>
  <c r="AC113" i="27"/>
  <c r="M80" i="27" s="1"/>
  <c r="F69" i="27"/>
  <c r="F70" i="27"/>
  <c r="C156" i="27"/>
  <c r="K156" i="27"/>
  <c r="AH100" i="27"/>
  <c r="AH82" i="27"/>
  <c r="AH83" i="27"/>
  <c r="AH84" i="27"/>
  <c r="AH85" i="27"/>
  <c r="AH86" i="27"/>
  <c r="AH87" i="27"/>
  <c r="AH88" i="27"/>
  <c r="AH89" i="27"/>
  <c r="AH90" i="27"/>
  <c r="AH91" i="27"/>
  <c r="AH92" i="27"/>
  <c r="AH93" i="27"/>
  <c r="AH94" i="27"/>
  <c r="AH95" i="27"/>
  <c r="AH96" i="27"/>
  <c r="AH97" i="27"/>
  <c r="AH98" i="27"/>
  <c r="AH99" i="27"/>
  <c r="AH101" i="27"/>
  <c r="AH103" i="27"/>
  <c r="AH104" i="27"/>
  <c r="AH105" i="27"/>
  <c r="AH106" i="27"/>
  <c r="AH107" i="27"/>
  <c r="AH102" i="27"/>
  <c r="AG108" i="27"/>
  <c r="AG126" i="27"/>
  <c r="AG131" i="27"/>
  <c r="X139" i="27"/>
  <c r="Y139" i="27"/>
  <c r="Z139" i="27"/>
  <c r="T139" i="27"/>
  <c r="AG114" i="27"/>
  <c r="U139" i="27"/>
  <c r="Y108" i="27"/>
  <c r="AA108" i="27"/>
  <c r="AF100" i="27"/>
  <c r="V108" i="27"/>
  <c r="X108" i="27"/>
  <c r="AC108" i="27"/>
  <c r="AF95" i="27"/>
  <c r="S108" i="27"/>
  <c r="U108" i="27"/>
  <c r="AF84" i="27"/>
  <c r="W108" i="27"/>
  <c r="AG115" i="27"/>
  <c r="AG116" i="27"/>
  <c r="AG117" i="27"/>
  <c r="AG118" i="27"/>
  <c r="AG119" i="27"/>
  <c r="AG120" i="27"/>
  <c r="AG121" i="27"/>
  <c r="AG122" i="27"/>
  <c r="AG123" i="27"/>
  <c r="AG124" i="27"/>
  <c r="AG125" i="27"/>
  <c r="AG127" i="27"/>
  <c r="AG128" i="27"/>
  <c r="AG129" i="27"/>
  <c r="AG130" i="27"/>
  <c r="AG132" i="27"/>
  <c r="AG133" i="27"/>
  <c r="AG134" i="27"/>
  <c r="AG135" i="27"/>
  <c r="AG136" i="27"/>
  <c r="AG137" i="27"/>
  <c r="AG138" i="27"/>
  <c r="S139" i="27"/>
  <c r="V139" i="27"/>
  <c r="W139" i="27"/>
  <c r="AD108" i="27"/>
  <c r="AE108" i="27"/>
  <c r="AF107" i="27"/>
  <c r="AF85" i="27"/>
  <c r="AF86" i="27"/>
  <c r="AF87" i="27"/>
  <c r="AF88" i="27"/>
  <c r="AF89" i="27"/>
  <c r="AF90" i="27"/>
  <c r="AF91" i="27"/>
  <c r="AF92" i="27"/>
  <c r="AF93" i="27"/>
  <c r="AF94" i="27"/>
  <c r="AF96" i="27"/>
  <c r="AF97" i="27"/>
  <c r="AF98" i="27"/>
  <c r="AF99" i="27"/>
  <c r="AF101" i="27"/>
  <c r="AF102" i="27"/>
  <c r="AF103" i="27"/>
  <c r="AF104" i="27"/>
  <c r="AF105" i="27"/>
  <c r="AF106" i="27"/>
  <c r="AF82" i="27"/>
  <c r="T108" i="27"/>
  <c r="AA61" i="24"/>
  <c r="L61" i="24"/>
  <c r="H61" i="24"/>
  <c r="C61" i="24"/>
  <c r="AA60" i="24"/>
  <c r="L60" i="24"/>
  <c r="H60" i="24"/>
  <c r="C60" i="24"/>
  <c r="AM60" i="24" s="1"/>
  <c r="AK59" i="24"/>
  <c r="AA59" i="24"/>
  <c r="Z59" i="24"/>
  <c r="T59" i="24"/>
  <c r="S59" i="24"/>
  <c r="R59" i="24"/>
  <c r="L59" i="24" s="1"/>
  <c r="H59" i="24"/>
  <c r="C59" i="24"/>
  <c r="AK58" i="24"/>
  <c r="AA58" i="24"/>
  <c r="Z58" i="24"/>
  <c r="T58" i="24"/>
  <c r="S58" i="24"/>
  <c r="L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AA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G30" i="24" s="1"/>
  <c r="F57" i="24"/>
  <c r="E57" i="24"/>
  <c r="E30" i="24" s="1"/>
  <c r="D57" i="24"/>
  <c r="D30" i="24" s="1"/>
  <c r="AA56" i="24"/>
  <c r="L56" i="24"/>
  <c r="H56" i="24"/>
  <c r="C13" i="22" s="1"/>
  <c r="G10" i="6" s="1"/>
  <c r="H10" i="6" s="1"/>
  <c r="C56" i="24"/>
  <c r="AA55" i="24"/>
  <c r="L55" i="24"/>
  <c r="H55" i="24"/>
  <c r="C55" i="24"/>
  <c r="AA54" i="24"/>
  <c r="L54" i="24"/>
  <c r="H54" i="24"/>
  <c r="C54" i="24"/>
  <c r="AM54" i="24" s="1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M50" i="24" s="1"/>
  <c r="AA49" i="24"/>
  <c r="L49" i="24"/>
  <c r="H49" i="24"/>
  <c r="C49" i="24"/>
  <c r="AA48" i="24"/>
  <c r="L48" i="24"/>
  <c r="H48" i="24"/>
  <c r="C48" i="24"/>
  <c r="AA47" i="24"/>
  <c r="AA45" i="24" s="1"/>
  <c r="L47" i="24"/>
  <c r="AA46" i="24"/>
  <c r="L46" i="24"/>
  <c r="H46" i="24"/>
  <c r="C46" i="24"/>
  <c r="AM46" i="24" s="1"/>
  <c r="AL45" i="24"/>
  <c r="AL30" i="24" s="1"/>
  <c r="AK45" i="24"/>
  <c r="AJ45" i="24"/>
  <c r="AI45" i="24"/>
  <c r="AH45" i="24"/>
  <c r="AG45" i="24"/>
  <c r="AF45" i="24"/>
  <c r="AE45" i="24"/>
  <c r="AE30" i="24" s="1"/>
  <c r="AD45" i="24"/>
  <c r="AD30" i="24" s="1"/>
  <c r="AC45" i="24"/>
  <c r="AB45" i="24"/>
  <c r="Z45" i="24"/>
  <c r="Z30" i="24" s="1"/>
  <c r="Y45" i="24"/>
  <c r="X45" i="24"/>
  <c r="W45" i="24"/>
  <c r="V45" i="24"/>
  <c r="U45" i="24"/>
  <c r="T45" i="24"/>
  <c r="S45" i="24"/>
  <c r="R45" i="24"/>
  <c r="Q45" i="24"/>
  <c r="P45" i="24"/>
  <c r="O45" i="24"/>
  <c r="O30" i="24" s="1"/>
  <c r="N45" i="24"/>
  <c r="M45" i="24"/>
  <c r="K45" i="24"/>
  <c r="J45" i="24"/>
  <c r="I45" i="24"/>
  <c r="I30" i="24" s="1"/>
  <c r="G45" i="24"/>
  <c r="F45" i="24"/>
  <c r="F30" i="24" s="1"/>
  <c r="E45" i="24"/>
  <c r="D45" i="24"/>
  <c r="AA44" i="24"/>
  <c r="L44" i="24"/>
  <c r="H44" i="24"/>
  <c r="C44" i="24"/>
  <c r="AM44" i="24" s="1"/>
  <c r="AA43" i="24"/>
  <c r="L43" i="24"/>
  <c r="H43" i="24"/>
  <c r="C43" i="24"/>
  <c r="AM43" i="24" s="1"/>
  <c r="AA42" i="24"/>
  <c r="L42" i="24"/>
  <c r="H42" i="24"/>
  <c r="C42" i="24"/>
  <c r="AA41" i="24"/>
  <c r="L41" i="24"/>
  <c r="H41" i="24"/>
  <c r="C41" i="24"/>
  <c r="AM41" i="24" s="1"/>
  <c r="AA40" i="24"/>
  <c r="L40" i="24"/>
  <c r="H40" i="24"/>
  <c r="AM40" i="24" s="1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M35" i="24" s="1"/>
  <c r="AA34" i="24"/>
  <c r="L34" i="24"/>
  <c r="H34" i="24"/>
  <c r="C34" i="24"/>
  <c r="AA33" i="24"/>
  <c r="L33" i="24"/>
  <c r="H33" i="24"/>
  <c r="C33" i="24"/>
  <c r="AM33" i="24" s="1"/>
  <c r="AA32" i="24"/>
  <c r="L32" i="24"/>
  <c r="H32" i="24"/>
  <c r="C32" i="24"/>
  <c r="AM32" i="24" s="1"/>
  <c r="AL31" i="24"/>
  <c r="AJ31" i="24"/>
  <c r="AI31" i="24"/>
  <c r="AH31" i="24"/>
  <c r="AG31" i="24"/>
  <c r="AF31" i="24"/>
  <c r="AD31" i="24"/>
  <c r="AC31" i="24"/>
  <c r="AC30" i="24" s="1"/>
  <c r="AB31" i="24"/>
  <c r="AB30" i="24" s="1"/>
  <c r="Y31" i="24"/>
  <c r="Y30" i="24" s="1"/>
  <c r="X31" i="24"/>
  <c r="W31" i="24"/>
  <c r="V31" i="24"/>
  <c r="Q31" i="24"/>
  <c r="N31" i="24"/>
  <c r="M31" i="24"/>
  <c r="K31" i="24"/>
  <c r="K30" i="24" s="1"/>
  <c r="J31" i="24"/>
  <c r="J30" i="24" s="1"/>
  <c r="I31" i="24"/>
  <c r="AK30" i="24"/>
  <c r="AJ30" i="24"/>
  <c r="AH30" i="24"/>
  <c r="W30" i="24"/>
  <c r="U30" i="24"/>
  <c r="T30" i="24"/>
  <c r="S30" i="24"/>
  <c r="R30" i="24"/>
  <c r="AA29" i="24"/>
  <c r="H29" i="24"/>
  <c r="H28" i="24" s="1"/>
  <c r="C29" i="24"/>
  <c r="A30" i="43" s="1"/>
  <c r="A28" i="9" s="1"/>
  <c r="B28" i="9" s="1"/>
  <c r="AL28" i="24"/>
  <c r="AK28" i="24"/>
  <c r="AJ28" i="24"/>
  <c r="AI28" i="24"/>
  <c r="AH28" i="24"/>
  <c r="AG28" i="24"/>
  <c r="AF28" i="24"/>
  <c r="AE28" i="24"/>
  <c r="AD28" i="24"/>
  <c r="AC28" i="24"/>
  <c r="AB28" i="24"/>
  <c r="AA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 s="1"/>
  <c r="AM24" i="24"/>
  <c r="AC23" i="24"/>
  <c r="AB23" i="24"/>
  <c r="AL22" i="24"/>
  <c r="AJ22" i="24"/>
  <c r="AI22" i="24"/>
  <c r="AH22" i="24"/>
  <c r="AG22" i="24"/>
  <c r="AF22" i="24"/>
  <c r="AE22" i="24"/>
  <c r="AD22" i="24"/>
  <c r="AB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H22" i="24" s="1"/>
  <c r="I22" i="24"/>
  <c r="G22" i="24"/>
  <c r="F22" i="24"/>
  <c r="E22" i="24"/>
  <c r="D22" i="24"/>
  <c r="AA21" i="24"/>
  <c r="L21" i="24"/>
  <c r="AM21" i="24" s="1"/>
  <c r="H21" i="24"/>
  <c r="AA20" i="24"/>
  <c r="L20" i="24"/>
  <c r="H20" i="24"/>
  <c r="AM19" i="24"/>
  <c r="AA18" i="24"/>
  <c r="AM18" i="24" s="1"/>
  <c r="AA17" i="24"/>
  <c r="L17" i="24"/>
  <c r="H17" i="24"/>
  <c r="C17" i="24"/>
  <c r="AM16" i="24"/>
  <c r="AA16" i="24"/>
  <c r="L16" i="24"/>
  <c r="L15" i="24" s="1"/>
  <c r="H16" i="24"/>
  <c r="C16" i="24"/>
  <c r="C15" i="24" s="1"/>
  <c r="A14" i="43" s="1"/>
  <c r="A12" i="9" s="1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AM13" i="24" s="1"/>
  <c r="C13" i="24"/>
  <c r="AM12" i="24"/>
  <c r="AA11" i="24"/>
  <c r="AA9" i="24" s="1"/>
  <c r="L11" i="24"/>
  <c r="H11" i="24"/>
  <c r="C11" i="24"/>
  <c r="A10" i="43" s="1"/>
  <c r="A8" i="9" s="1"/>
  <c r="AA10" i="24"/>
  <c r="L10" i="24"/>
  <c r="L9" i="24" s="1"/>
  <c r="H10" i="24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U27" i="24" s="1"/>
  <c r="U62" i="24" s="1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I8" i="24"/>
  <c r="AD8" i="24"/>
  <c r="V8" i="24"/>
  <c r="U8" i="24"/>
  <c r="AL7" i="24"/>
  <c r="AL8" i="24" s="1"/>
  <c r="AK7" i="24"/>
  <c r="AK8" i="24" s="1"/>
  <c r="AJ7" i="24"/>
  <c r="AJ27" i="24" s="1"/>
  <c r="AJ62" i="24" s="1"/>
  <c r="AI7" i="24"/>
  <c r="AH7" i="24"/>
  <c r="AG7" i="24"/>
  <c r="AG8" i="24" s="1"/>
  <c r="AF7" i="24"/>
  <c r="AF27" i="24" s="1"/>
  <c r="AE7" i="24"/>
  <c r="AD7" i="24"/>
  <c r="AC7" i="24"/>
  <c r="AC8" i="24" s="1"/>
  <c r="AB7" i="24"/>
  <c r="AB27" i="24" s="1"/>
  <c r="Z7" i="24"/>
  <c r="Y7" i="24"/>
  <c r="X7" i="24"/>
  <c r="W7" i="24"/>
  <c r="V7" i="24"/>
  <c r="U7" i="24"/>
  <c r="T7" i="24"/>
  <c r="T27" i="24" s="1"/>
  <c r="T62" i="24" s="1"/>
  <c r="S7" i="24"/>
  <c r="R7" i="24"/>
  <c r="R8" i="24" s="1"/>
  <c r="Q7" i="24"/>
  <c r="Q8" i="24" s="1"/>
  <c r="P7" i="24"/>
  <c r="P8" i="24" s="1"/>
  <c r="O7" i="24"/>
  <c r="O8" i="24" s="1"/>
  <c r="N7" i="24"/>
  <c r="N8" i="24" s="1"/>
  <c r="M7" i="24"/>
  <c r="M8" i="24" s="1"/>
  <c r="K7" i="24"/>
  <c r="K27" i="24" s="1"/>
  <c r="K62" i="24" s="1"/>
  <c r="J7" i="24"/>
  <c r="I7" i="24"/>
  <c r="I8" i="24" s="1"/>
  <c r="G7" i="24"/>
  <c r="G8" i="24" s="1"/>
  <c r="F7" i="24"/>
  <c r="F8" i="24" s="1"/>
  <c r="E7" i="24"/>
  <c r="E8" i="24" s="1"/>
  <c r="D7" i="24"/>
  <c r="AA6" i="24"/>
  <c r="L6" i="24"/>
  <c r="H6" i="24"/>
  <c r="C6" i="24"/>
  <c r="AA5" i="24"/>
  <c r="L5" i="24"/>
  <c r="H5" i="24"/>
  <c r="C5" i="24"/>
  <c r="AM5" i="24" s="1"/>
  <c r="AM4" i="24"/>
  <c r="AA4" i="24"/>
  <c r="L4" i="24"/>
  <c r="H4" i="24"/>
  <c r="C4" i="24"/>
  <c r="AA3" i="24"/>
  <c r="L3" i="24"/>
  <c r="H3" i="24"/>
  <c r="C3" i="24"/>
  <c r="C7" i="24" s="1"/>
  <c r="AA2" i="24"/>
  <c r="AA7" i="24" s="1"/>
  <c r="AA8" i="24" s="1"/>
  <c r="L2" i="24"/>
  <c r="H2" i="24"/>
  <c r="C2" i="24"/>
  <c r="AM2" i="24" s="1"/>
  <c r="B12" i="9" l="1"/>
  <c r="E12" i="6"/>
  <c r="C12" i="6"/>
  <c r="R12" i="6" s="1"/>
  <c r="AE8" i="24"/>
  <c r="AI30" i="24"/>
  <c r="AM58" i="24"/>
  <c r="X27" i="24"/>
  <c r="H31" i="24"/>
  <c r="AM39" i="24"/>
  <c r="V30" i="24"/>
  <c r="A12" i="43"/>
  <c r="A10" i="9" s="1"/>
  <c r="C31" i="22"/>
  <c r="H57" i="24"/>
  <c r="AM57" i="24" s="1"/>
  <c r="B8" i="9"/>
  <c r="E8" i="6"/>
  <c r="C8" i="6"/>
  <c r="R8" i="6" s="1"/>
  <c r="L22" i="24"/>
  <c r="AA23" i="24"/>
  <c r="L31" i="24"/>
  <c r="AF30" i="24"/>
  <c r="AF62" i="24" s="1"/>
  <c r="H45" i="24"/>
  <c r="AM52" i="24"/>
  <c r="L57" i="24"/>
  <c r="E27" i="6"/>
  <c r="C27" i="6"/>
  <c r="R27" i="6" s="1"/>
  <c r="AM3" i="24"/>
  <c r="L7" i="24"/>
  <c r="Z8" i="24"/>
  <c r="AH8" i="24"/>
  <c r="AM11" i="24"/>
  <c r="AM14" i="24"/>
  <c r="E27" i="24"/>
  <c r="E62" i="24" s="1"/>
  <c r="M30" i="24"/>
  <c r="AM37" i="24"/>
  <c r="P30" i="24"/>
  <c r="X30" i="24"/>
  <c r="AG30" i="24"/>
  <c r="AB62" i="24"/>
  <c r="F27" i="24"/>
  <c r="K8" i="24"/>
  <c r="AM6" i="24"/>
  <c r="J8" i="24"/>
  <c r="S27" i="24"/>
  <c r="S62" i="24" s="1"/>
  <c r="AI27" i="24"/>
  <c r="AI62" i="24" s="1"/>
  <c r="S8" i="24"/>
  <c r="AM20" i="24"/>
  <c r="M27" i="24"/>
  <c r="N30" i="24"/>
  <c r="AM36" i="24"/>
  <c r="AM38" i="24"/>
  <c r="Q30" i="24"/>
  <c r="AM49" i="24"/>
  <c r="AM51" i="24"/>
  <c r="AM53" i="24"/>
  <c r="C57" i="24"/>
  <c r="AM10" i="24"/>
  <c r="C28" i="24"/>
  <c r="C8" i="24" s="1"/>
  <c r="AM34" i="24"/>
  <c r="L45" i="24"/>
  <c r="AM61" i="24"/>
  <c r="AM17" i="24"/>
  <c r="D27" i="24"/>
  <c r="D62" i="24" s="1"/>
  <c r="N27" i="24"/>
  <c r="N62" i="24" s="1"/>
  <c r="V27" i="24"/>
  <c r="V62" i="24" s="1"/>
  <c r="AD27" i="24"/>
  <c r="AD62" i="24" s="1"/>
  <c r="AL27" i="24"/>
  <c r="AL62" i="24" s="1"/>
  <c r="H9" i="24"/>
  <c r="H15" i="24"/>
  <c r="AM26" i="24"/>
  <c r="A26" i="43"/>
  <c r="A24" i="9" s="1"/>
  <c r="AA31" i="24"/>
  <c r="AA30" i="24" s="1"/>
  <c r="AM42" i="24"/>
  <c r="AM48" i="24"/>
  <c r="AM55" i="24"/>
  <c r="N80" i="27"/>
  <c r="O80" i="27" s="1"/>
  <c r="N78" i="27"/>
  <c r="O78" i="27" s="1"/>
  <c r="AF132" i="27"/>
  <c r="AI132" i="27" s="1"/>
  <c r="AC132" i="27"/>
  <c r="M113" i="27" s="1"/>
  <c r="AE132" i="27" a="1"/>
  <c r="AE132" i="27" s="1"/>
  <c r="M111" i="27" s="1"/>
  <c r="AD132" i="27" a="1"/>
  <c r="AD132" i="27" s="1"/>
  <c r="M112" i="27" s="1"/>
  <c r="AD122" i="27" a="1"/>
  <c r="AD122" i="27" s="1"/>
  <c r="M148" i="27" s="1"/>
  <c r="AF122" i="27"/>
  <c r="AI122" i="27" s="1"/>
  <c r="AC122" i="27"/>
  <c r="M149" i="27" s="1"/>
  <c r="AE122" i="27" a="1"/>
  <c r="AE122" i="27" s="1"/>
  <c r="M147" i="27" s="1"/>
  <c r="AF133" i="27"/>
  <c r="AI133" i="27" s="1"/>
  <c r="AC133" i="27"/>
  <c r="M125" i="27" s="1"/>
  <c r="AE133" i="27" a="1"/>
  <c r="AE133" i="27" s="1"/>
  <c r="M123" i="27" s="1"/>
  <c r="AD133" i="27" a="1"/>
  <c r="AD133" i="27" s="1"/>
  <c r="M124" i="27" s="1"/>
  <c r="AF121" i="27"/>
  <c r="AI121" i="27" s="1"/>
  <c r="AE121" i="27" a="1"/>
  <c r="AE121" i="27" s="1"/>
  <c r="M132" i="27" s="1"/>
  <c r="AD121" i="27" a="1"/>
  <c r="AD121" i="27" s="1"/>
  <c r="M133" i="27" s="1"/>
  <c r="AC121" i="27"/>
  <c r="M134" i="27" s="1"/>
  <c r="AE131" i="27" a="1"/>
  <c r="AE131" i="27" s="1"/>
  <c r="M96" i="27" s="1"/>
  <c r="AD131" i="27" a="1"/>
  <c r="AD131" i="27" s="1"/>
  <c r="M97" i="27" s="1"/>
  <c r="AF131" i="27"/>
  <c r="AI131" i="27" s="1"/>
  <c r="AC131" i="27"/>
  <c r="M98" i="27" s="1"/>
  <c r="AF138" i="27"/>
  <c r="AI138" i="27" s="1"/>
  <c r="AC138" i="27"/>
  <c r="M131" i="27" s="1"/>
  <c r="AE138" i="27" a="1"/>
  <c r="AE138" i="27" s="1"/>
  <c r="M129" i="27" s="1"/>
  <c r="AD138" i="27" a="1"/>
  <c r="AD138" i="27" s="1"/>
  <c r="M130" i="27" s="1"/>
  <c r="AD129" i="27" a="1"/>
  <c r="AD129" i="27" s="1"/>
  <c r="M142" i="27" s="1"/>
  <c r="AF129" i="27"/>
  <c r="AI129" i="27" s="1"/>
  <c r="AE129" i="27" a="1"/>
  <c r="AE129" i="27" s="1"/>
  <c r="M141" i="27" s="1"/>
  <c r="AC129" i="27"/>
  <c r="M143" i="27" s="1"/>
  <c r="AE120" i="27" a="1"/>
  <c r="AE120" i="27" s="1"/>
  <c r="M126" i="27" s="1"/>
  <c r="AD120" i="27" a="1"/>
  <c r="AD120" i="27" s="1"/>
  <c r="M127" i="27" s="1"/>
  <c r="AF120" i="27"/>
  <c r="AI120" i="27" s="1"/>
  <c r="AC120" i="27"/>
  <c r="M128" i="27" s="1"/>
  <c r="AE126" i="27" a="1"/>
  <c r="AE126" i="27" s="1"/>
  <c r="M87" i="27" s="1"/>
  <c r="AD126" i="27" a="1"/>
  <c r="AD126" i="27" s="1"/>
  <c r="M88" i="27" s="1"/>
  <c r="AF126" i="27"/>
  <c r="AI126" i="27" s="1"/>
  <c r="AC126" i="27"/>
  <c r="M89" i="27" s="1"/>
  <c r="AD123" i="27" a="1"/>
  <c r="AD123" i="27" s="1"/>
  <c r="M151" i="27" s="1"/>
  <c r="AF123" i="27"/>
  <c r="AI123" i="27" s="1"/>
  <c r="AC123" i="27"/>
  <c r="M152" i="27" s="1"/>
  <c r="AE123" i="27" a="1"/>
  <c r="AE123" i="27" s="1"/>
  <c r="M150" i="27" s="1"/>
  <c r="AF130" i="27"/>
  <c r="AI130" i="27" s="1"/>
  <c r="AD130" i="27" a="1"/>
  <c r="AD130" i="27" s="1"/>
  <c r="M145" i="27" s="1"/>
  <c r="AC130" i="27"/>
  <c r="M146" i="27" s="1"/>
  <c r="AE130" i="27" a="1"/>
  <c r="AE130" i="27" s="1"/>
  <c r="M144" i="27" s="1"/>
  <c r="AF137" i="27"/>
  <c r="AI137" i="27" s="1"/>
  <c r="AE137" i="27" a="1"/>
  <c r="AE137" i="27" s="1"/>
  <c r="M90" i="27" s="1"/>
  <c r="AC137" i="27"/>
  <c r="M92" i="27" s="1"/>
  <c r="AD137" i="27" a="1"/>
  <c r="AD137" i="27" s="1"/>
  <c r="M91" i="27" s="1"/>
  <c r="AF128" i="27"/>
  <c r="AI128" i="27" s="1"/>
  <c r="AE128" i="27" a="1"/>
  <c r="AE128" i="27" s="1"/>
  <c r="M114" i="27" s="1"/>
  <c r="AD128" i="27" a="1"/>
  <c r="AD128" i="27" s="1"/>
  <c r="M115" i="27" s="1"/>
  <c r="AC128" i="27"/>
  <c r="M116" i="27" s="1"/>
  <c r="AF119" i="27"/>
  <c r="AI119" i="27" s="1"/>
  <c r="AC119" i="27"/>
  <c r="M122" i="27" s="1"/>
  <c r="AE119" i="27" a="1"/>
  <c r="AE119" i="27" s="1"/>
  <c r="M120" i="27" s="1"/>
  <c r="AD119" i="27" a="1"/>
  <c r="AD119" i="27" s="1"/>
  <c r="M121" i="27" s="1"/>
  <c r="AE115" i="27" a="1"/>
  <c r="AE115" i="27" s="1"/>
  <c r="M102" i="27" s="1"/>
  <c r="AF115" i="27"/>
  <c r="AI115" i="27" s="1"/>
  <c r="AC115" i="27"/>
  <c r="M104" i="27" s="1"/>
  <c r="AD115" i="27" a="1"/>
  <c r="AD115" i="27" s="1"/>
  <c r="M103" i="27" s="1"/>
  <c r="AE136" i="27" a="1"/>
  <c r="AE136" i="27" s="1"/>
  <c r="M81" i="27" s="1"/>
  <c r="AD136" i="27" a="1"/>
  <c r="AD136" i="27" s="1"/>
  <c r="M82" i="27" s="1"/>
  <c r="AF136" i="27"/>
  <c r="AI136" i="27" s="1"/>
  <c r="AC136" i="27"/>
  <c r="M83" i="27" s="1"/>
  <c r="AF127" i="27"/>
  <c r="AI127" i="27" s="1"/>
  <c r="AC127" i="27"/>
  <c r="M101" i="27" s="1"/>
  <c r="AD127" i="27" a="1"/>
  <c r="AD127" i="27" s="1"/>
  <c r="M100" i="27" s="1"/>
  <c r="AE127" i="27" a="1"/>
  <c r="AE127" i="27" s="1"/>
  <c r="M99" i="27" s="1"/>
  <c r="AE118" i="27" a="1"/>
  <c r="AE118" i="27" s="1"/>
  <c r="M117" i="27" s="1"/>
  <c r="AF118" i="27"/>
  <c r="AI118" i="27" s="1"/>
  <c r="AC118" i="27"/>
  <c r="M119" i="27" s="1"/>
  <c r="AD118" i="27" a="1"/>
  <c r="AD118" i="27" s="1"/>
  <c r="M118" i="27" s="1"/>
  <c r="AF114" i="27"/>
  <c r="AI114" i="27" s="1"/>
  <c r="AC114" i="27"/>
  <c r="M95" i="27" s="1"/>
  <c r="AE114" i="27" a="1"/>
  <c r="AE114" i="27" s="1"/>
  <c r="M93" i="27" s="1"/>
  <c r="AD114" i="27" a="1"/>
  <c r="AD114" i="27" s="1"/>
  <c r="M94" i="27" s="1"/>
  <c r="AF135" i="27"/>
  <c r="AI135" i="27" s="1"/>
  <c r="AE135" i="27" a="1"/>
  <c r="AE135" i="27" s="1"/>
  <c r="M138" i="27" s="1"/>
  <c r="AC135" i="27"/>
  <c r="M140" i="27" s="1"/>
  <c r="AD135" i="27" a="1"/>
  <c r="AD135" i="27" s="1"/>
  <c r="M139" i="27" s="1"/>
  <c r="AD125" i="27" a="1"/>
  <c r="AD125" i="27" s="1"/>
  <c r="M85" i="27" s="1"/>
  <c r="AC125" i="27"/>
  <c r="M86" i="27" s="1"/>
  <c r="AF125" i="27"/>
  <c r="AI125" i="27" s="1"/>
  <c r="AE125" i="27" a="1"/>
  <c r="AE125" i="27" s="1"/>
  <c r="M84" i="27" s="1"/>
  <c r="AC117" i="27"/>
  <c r="M110" i="27" s="1"/>
  <c r="AF117" i="27"/>
  <c r="AI117" i="27" s="1"/>
  <c r="AE117" i="27" a="1"/>
  <c r="AE117" i="27" s="1"/>
  <c r="M108" i="27" s="1"/>
  <c r="AD117" i="27" a="1"/>
  <c r="AD117" i="27" s="1"/>
  <c r="M109" i="27" s="1"/>
  <c r="AE134" i="27" a="1"/>
  <c r="AE134" i="27" s="1"/>
  <c r="M135" i="27" s="1"/>
  <c r="AD134" i="27" a="1"/>
  <c r="AD134" i="27" s="1"/>
  <c r="M136" i="27" s="1"/>
  <c r="AF134" i="27"/>
  <c r="AI134" i="27" s="1"/>
  <c r="AC134" i="27"/>
  <c r="M137" i="27" s="1"/>
  <c r="AD124" i="27" a="1"/>
  <c r="AD124" i="27" s="1"/>
  <c r="M154" i="27" s="1"/>
  <c r="AF124" i="27"/>
  <c r="AI124" i="27" s="1"/>
  <c r="AC124" i="27"/>
  <c r="M155" i="27" s="1"/>
  <c r="AE124" i="27" a="1"/>
  <c r="AE124" i="27" s="1"/>
  <c r="M153" i="27" s="1"/>
  <c r="AD116" i="27" a="1"/>
  <c r="AD116" i="27" s="1"/>
  <c r="M106" i="27" s="1"/>
  <c r="AF116" i="27"/>
  <c r="AI116" i="27" s="1"/>
  <c r="AC116" i="27"/>
  <c r="M107" i="27" s="1"/>
  <c r="AE116" i="27" a="1"/>
  <c r="AE116" i="27" s="1"/>
  <c r="M105" i="27" s="1"/>
  <c r="AG139" i="27"/>
  <c r="Z108" i="27"/>
  <c r="AB108" i="27"/>
  <c r="X29" i="24"/>
  <c r="X28" i="24" s="1"/>
  <c r="X8" i="24" s="1"/>
  <c r="F62" i="24"/>
  <c r="AK23" i="24"/>
  <c r="AK22" i="24" s="1"/>
  <c r="AK27" i="24" s="1"/>
  <c r="AK62" i="24" s="1"/>
  <c r="AA22" i="24"/>
  <c r="AA27" i="24" s="1"/>
  <c r="AA62" i="24" s="1"/>
  <c r="L27" i="24"/>
  <c r="AM25" i="24"/>
  <c r="C22" i="24"/>
  <c r="M62" i="24"/>
  <c r="H7" i="24"/>
  <c r="AM7" i="24" s="1"/>
  <c r="AM59" i="24"/>
  <c r="D8" i="24"/>
  <c r="T8" i="24"/>
  <c r="AB8" i="24"/>
  <c r="AJ8" i="24"/>
  <c r="AM47" i="24"/>
  <c r="G27" i="24"/>
  <c r="G62" i="24" s="1"/>
  <c r="O27" i="24"/>
  <c r="O62" i="24" s="1"/>
  <c r="W27" i="24"/>
  <c r="AE27" i="24"/>
  <c r="AE62" i="24" s="1"/>
  <c r="P27" i="24"/>
  <c r="P62" i="24" s="1"/>
  <c r="I27" i="24"/>
  <c r="I62" i="24" s="1"/>
  <c r="Q27" i="24"/>
  <c r="Q62" i="24" s="1"/>
  <c r="Y27" i="24"/>
  <c r="AG27" i="24"/>
  <c r="AG62" i="24" s="1"/>
  <c r="C31" i="24"/>
  <c r="AF8" i="24"/>
  <c r="C9" i="24"/>
  <c r="AM9" i="24" s="1"/>
  <c r="J27" i="24"/>
  <c r="J62" i="24" s="1"/>
  <c r="R27" i="24"/>
  <c r="R62" i="24" s="1"/>
  <c r="Z27" i="24"/>
  <c r="Z62" i="24" s="1"/>
  <c r="AH27" i="24"/>
  <c r="AH62" i="24" s="1"/>
  <c r="C45" i="24"/>
  <c r="AM45" i="24" s="1"/>
  <c r="AC22" i="24"/>
  <c r="AC27" i="24" s="1"/>
  <c r="AC62" i="24" s="1"/>
  <c r="AA15" i="24"/>
  <c r="X62" i="24" l="1"/>
  <c r="L30" i="24"/>
  <c r="B10" i="9"/>
  <c r="E10" i="6"/>
  <c r="C10" i="6"/>
  <c r="R10" i="6" s="1"/>
  <c r="AM15" i="24"/>
  <c r="AC12" i="28"/>
  <c r="H30" i="24"/>
  <c r="B24" i="9"/>
  <c r="C24" i="6"/>
  <c r="R24" i="6" s="1"/>
  <c r="E24" i="6"/>
  <c r="M156" i="27"/>
  <c r="N156" i="27" s="1"/>
  <c r="N79" i="27"/>
  <c r="O79" i="27" s="1"/>
  <c r="N139" i="27"/>
  <c r="O139" i="27" s="1"/>
  <c r="N121" i="27"/>
  <c r="O121" i="27" s="1"/>
  <c r="N140" i="27"/>
  <c r="O140" i="27" s="1"/>
  <c r="N92" i="27"/>
  <c r="O92" i="27" s="1"/>
  <c r="N129" i="27"/>
  <c r="O129" i="27" s="1"/>
  <c r="N138" i="27"/>
  <c r="O138" i="27" s="1"/>
  <c r="N82" i="27"/>
  <c r="O82" i="27" s="1"/>
  <c r="N122" i="27"/>
  <c r="O122" i="27" s="1"/>
  <c r="N90" i="27"/>
  <c r="O90" i="27" s="1"/>
  <c r="N127" i="27"/>
  <c r="O127" i="27" s="1"/>
  <c r="N131" i="27"/>
  <c r="O131" i="27" s="1"/>
  <c r="N132" i="27"/>
  <c r="O132" i="27" s="1"/>
  <c r="N109" i="27"/>
  <c r="O109" i="27" s="1"/>
  <c r="N150" i="27"/>
  <c r="O150" i="27" s="1"/>
  <c r="N155" i="27"/>
  <c r="O155" i="27" s="1"/>
  <c r="N120" i="27"/>
  <c r="O120" i="27" s="1"/>
  <c r="N152" i="27"/>
  <c r="O152" i="27" s="1"/>
  <c r="N133" i="27"/>
  <c r="O133" i="27" s="1"/>
  <c r="N149" i="27"/>
  <c r="O149" i="27" s="1"/>
  <c r="N154" i="27"/>
  <c r="O154" i="27" s="1"/>
  <c r="N110" i="27"/>
  <c r="O110" i="27" s="1"/>
  <c r="N117" i="27"/>
  <c r="O117" i="27" s="1"/>
  <c r="N81" i="27"/>
  <c r="O81" i="27" s="1"/>
  <c r="N151" i="27"/>
  <c r="O151" i="27" s="1"/>
  <c r="N126" i="27"/>
  <c r="O126" i="27" s="1"/>
  <c r="N148" i="27"/>
  <c r="O148" i="27" s="1"/>
  <c r="N134" i="27"/>
  <c r="O134" i="27" s="1"/>
  <c r="N103" i="27"/>
  <c r="O103" i="27" s="1"/>
  <c r="N116" i="27"/>
  <c r="O116" i="27" s="1"/>
  <c r="N144" i="27"/>
  <c r="O144" i="27" s="1"/>
  <c r="N89" i="27"/>
  <c r="O89" i="27" s="1"/>
  <c r="N143" i="27"/>
  <c r="O143" i="27" s="1"/>
  <c r="N98" i="27"/>
  <c r="O98" i="27" s="1"/>
  <c r="N124" i="27"/>
  <c r="O124" i="27" s="1"/>
  <c r="N112" i="27"/>
  <c r="O112" i="27" s="1"/>
  <c r="N118" i="27"/>
  <c r="O118" i="27" s="1"/>
  <c r="N128" i="27"/>
  <c r="O128" i="27" s="1"/>
  <c r="N108" i="27"/>
  <c r="O108" i="27" s="1"/>
  <c r="N105" i="27"/>
  <c r="O105" i="27" s="1"/>
  <c r="N99" i="27"/>
  <c r="O99" i="27" s="1"/>
  <c r="N107" i="27"/>
  <c r="O107" i="27" s="1"/>
  <c r="N93" i="27"/>
  <c r="O93" i="27" s="1"/>
  <c r="N100" i="27"/>
  <c r="O100" i="27" s="1"/>
  <c r="N104" i="27"/>
  <c r="O104" i="27" s="1"/>
  <c r="N115" i="27"/>
  <c r="O115" i="27" s="1"/>
  <c r="N146" i="27"/>
  <c r="O146" i="27" s="1"/>
  <c r="N141" i="27"/>
  <c r="O141" i="27" s="1"/>
  <c r="N123" i="27"/>
  <c r="O123" i="27" s="1"/>
  <c r="N111" i="27"/>
  <c r="O111" i="27" s="1"/>
  <c r="N83" i="27"/>
  <c r="O83" i="27" s="1"/>
  <c r="N130" i="27"/>
  <c r="O130" i="27" s="1"/>
  <c r="N119" i="27"/>
  <c r="O119" i="27" s="1"/>
  <c r="N84" i="27"/>
  <c r="O84" i="27" s="1"/>
  <c r="N86" i="27"/>
  <c r="O86" i="27" s="1"/>
  <c r="N101" i="27"/>
  <c r="O101" i="27" s="1"/>
  <c r="N114" i="27"/>
  <c r="O114" i="27" s="1"/>
  <c r="N145" i="27"/>
  <c r="O145" i="27" s="1"/>
  <c r="N88" i="27"/>
  <c r="O88" i="27" s="1"/>
  <c r="N97" i="27"/>
  <c r="O97" i="27" s="1"/>
  <c r="N125" i="27"/>
  <c r="O125" i="27" s="1"/>
  <c r="N113" i="27"/>
  <c r="O113" i="27" s="1"/>
  <c r="N153" i="27"/>
  <c r="O153" i="27" s="1"/>
  <c r="N91" i="27"/>
  <c r="O91" i="27" s="1"/>
  <c r="N147" i="27"/>
  <c r="O147" i="27" s="1"/>
  <c r="N137" i="27"/>
  <c r="O137" i="27" s="1"/>
  <c r="N94" i="27"/>
  <c r="O94" i="27" s="1"/>
  <c r="N136" i="27"/>
  <c r="O136" i="27" s="1"/>
  <c r="N95" i="27"/>
  <c r="O95" i="27" s="1"/>
  <c r="N106" i="27"/>
  <c r="O106" i="27" s="1"/>
  <c r="N135" i="27"/>
  <c r="O135" i="27" s="1"/>
  <c r="N85" i="27"/>
  <c r="O85" i="27" s="1"/>
  <c r="N102" i="27"/>
  <c r="O102" i="27" s="1"/>
  <c r="N87" i="27"/>
  <c r="O87" i="27" s="1"/>
  <c r="N142" i="27"/>
  <c r="O142" i="27" s="1"/>
  <c r="N96" i="27"/>
  <c r="O96" i="27" s="1"/>
  <c r="AF108" i="27"/>
  <c r="C27" i="24"/>
  <c r="A27" i="43" s="1"/>
  <c r="A25" i="9" s="1"/>
  <c r="AM23" i="24"/>
  <c r="AM22" i="24" s="1"/>
  <c r="W29" i="24"/>
  <c r="AM31" i="24"/>
  <c r="Y29" i="24"/>
  <c r="Y28" i="24" s="1"/>
  <c r="Y8" i="24" s="1"/>
  <c r="Y62" i="24"/>
  <c r="H8" i="24"/>
  <c r="H27" i="24"/>
  <c r="H62" i="24" s="1"/>
  <c r="I68" i="27" l="1" a="1"/>
  <c r="I68" i="27" s="1"/>
  <c r="K66" i="27" a="1"/>
  <c r="K66" i="27" s="1"/>
  <c r="E31" i="27" s="1"/>
  <c r="AM30" i="24"/>
  <c r="I69" i="27" a="1"/>
  <c r="I69" i="27" s="1"/>
  <c r="J68" i="27" a="1"/>
  <c r="J68" i="27" s="1"/>
  <c r="E23" i="27" s="1"/>
  <c r="J67" i="27" a="1"/>
  <c r="J67" i="27" s="1"/>
  <c r="E22" i="27" s="1"/>
  <c r="B25" i="9"/>
  <c r="C25" i="6"/>
  <c r="R25" i="6" s="1"/>
  <c r="I66" i="27" a="1"/>
  <c r="I66" i="27" s="1"/>
  <c r="K67" i="27" a="1"/>
  <c r="K67" i="27" s="1"/>
  <c r="E32" i="27" s="1"/>
  <c r="K68" i="27" a="1"/>
  <c r="K68" i="27" s="1"/>
  <c r="E33" i="27" s="1"/>
  <c r="J69" i="27" a="1"/>
  <c r="J69" i="27" s="1"/>
  <c r="E24" i="27" s="1"/>
  <c r="I70" i="27" a="1"/>
  <c r="I70" i="27" s="1"/>
  <c r="I67" i="27" a="1"/>
  <c r="I67" i="27" s="1"/>
  <c r="K69" i="27" a="1"/>
  <c r="K69" i="27" s="1"/>
  <c r="E34" i="27" s="1"/>
  <c r="J66" i="27" a="1"/>
  <c r="J66" i="27" s="1"/>
  <c r="E21" i="27" s="1"/>
  <c r="AC11" i="28"/>
  <c r="O156" i="27"/>
  <c r="W28" i="24"/>
  <c r="L29" i="24"/>
  <c r="C62" i="24"/>
  <c r="AM27" i="24"/>
  <c r="E12" i="27" l="1"/>
  <c r="S62" i="28"/>
  <c r="S54" i="28"/>
  <c r="S64" i="28"/>
  <c r="S56" i="28"/>
  <c r="S58" i="28"/>
  <c r="S63" i="28"/>
  <c r="S61" i="28"/>
  <c r="S53" i="28"/>
  <c r="S59" i="28"/>
  <c r="S60" i="28"/>
  <c r="S52" i="28"/>
  <c r="S57" i="28"/>
  <c r="S55" i="28"/>
  <c r="E15" i="27"/>
  <c r="S93" i="28"/>
  <c r="S103" i="28"/>
  <c r="S105" i="28"/>
  <c r="S96" i="28"/>
  <c r="S102" i="28"/>
  <c r="S95" i="28"/>
  <c r="S100" i="28"/>
  <c r="S92" i="28"/>
  <c r="S98" i="28"/>
  <c r="S97" i="28"/>
  <c r="S104" i="28"/>
  <c r="S99" i="28"/>
  <c r="S94" i="28"/>
  <c r="S101" i="28"/>
  <c r="E14" i="27"/>
  <c r="S89" i="28"/>
  <c r="S82" i="28"/>
  <c r="S80" i="28"/>
  <c r="S86" i="28"/>
  <c r="S87" i="28"/>
  <c r="S83" i="28"/>
  <c r="S85" i="28"/>
  <c r="S90" i="28"/>
  <c r="S84" i="28"/>
  <c r="S81" i="28"/>
  <c r="S88" i="28"/>
  <c r="E11" i="27"/>
  <c r="S45" i="28"/>
  <c r="S47" i="28"/>
  <c r="S46" i="28"/>
  <c r="S44" i="28"/>
  <c r="S40" i="28"/>
  <c r="S50" i="28"/>
  <c r="S49" i="28"/>
  <c r="S41" i="28"/>
  <c r="S48" i="28"/>
  <c r="S42" i="28"/>
  <c r="S43" i="28"/>
  <c r="E13" i="27"/>
  <c r="S69" i="28"/>
  <c r="S67" i="28"/>
  <c r="S73" i="28"/>
  <c r="S78" i="28"/>
  <c r="S71" i="28"/>
  <c r="S76" i="28"/>
  <c r="S68" i="28"/>
  <c r="S77" i="28"/>
  <c r="S75" i="28"/>
  <c r="S70" i="28"/>
  <c r="S72" i="28"/>
  <c r="S74" i="28"/>
  <c r="S66" i="28"/>
  <c r="L68" i="27"/>
  <c r="D10" i="3" a="1"/>
  <c r="N10" i="3" s="1"/>
  <c r="E25" i="6"/>
  <c r="L67" i="27"/>
  <c r="L66" i="27"/>
  <c r="L69" i="27"/>
  <c r="L28" i="24"/>
  <c r="AM29" i="24"/>
  <c r="AM28" i="24" s="1"/>
  <c r="W8" i="24"/>
  <c r="W62" i="24"/>
  <c r="P10" i="3" l="1"/>
  <c r="S10" i="3"/>
  <c r="J10" i="3"/>
  <c r="K10" i="3"/>
  <c r="X10" i="3"/>
  <c r="F10" i="3"/>
  <c r="L10" i="3"/>
  <c r="E10" i="3"/>
  <c r="V10" i="3"/>
  <c r="I10" i="3"/>
  <c r="T10" i="3"/>
  <c r="H10" i="3"/>
  <c r="Y10" i="3"/>
  <c r="D10" i="3"/>
  <c r="Q10" i="3"/>
  <c r="M10" i="3"/>
  <c r="W10" i="3"/>
  <c r="G10" i="3"/>
  <c r="O10" i="3"/>
  <c r="R10" i="3"/>
  <c r="U10" i="3"/>
  <c r="L8" i="24"/>
  <c r="AM8" i="24" s="1"/>
  <c r="L62" i="24"/>
  <c r="AM62" i="24" s="1"/>
  <c r="F99" i="18" l="1"/>
  <c r="W88" i="18" l="1"/>
  <c r="C88" i="18" l="1"/>
  <c r="X88" i="18" s="1"/>
  <c r="Q18" i="18"/>
  <c r="E13" i="33" l="1"/>
  <c r="E9" i="33"/>
  <c r="E8" i="33"/>
  <c r="E7" i="33"/>
  <c r="E6" i="33"/>
  <c r="E12" i="33" l="1"/>
  <c r="E14" i="33"/>
  <c r="E10" i="33"/>
  <c r="E15" i="33"/>
  <c r="E11" i="33"/>
  <c r="E16" i="33"/>
  <c r="R6" i="6" l="1"/>
  <c r="I6" i="33" l="1"/>
  <c r="H6" i="33"/>
  <c r="B6" i="33" s="1"/>
  <c r="C6" i="33"/>
  <c r="C10" i="33"/>
  <c r="I10" i="33"/>
  <c r="H10" i="33"/>
  <c r="B10" i="33" s="1"/>
  <c r="C14" i="33"/>
  <c r="I14" i="33"/>
  <c r="H14" i="33"/>
  <c r="B14" i="33" s="1"/>
  <c r="C7" i="33"/>
  <c r="H7" i="33"/>
  <c r="B7" i="33" s="1"/>
  <c r="I7" i="33"/>
  <c r="C11" i="33"/>
  <c r="I11" i="33"/>
  <c r="H11" i="33"/>
  <c r="B11" i="33" s="1"/>
  <c r="C15" i="33"/>
  <c r="I15" i="33"/>
  <c r="H15" i="33"/>
  <c r="B15" i="33" s="1"/>
  <c r="I8" i="33"/>
  <c r="C8" i="33"/>
  <c r="H8" i="33"/>
  <c r="B8" i="33" s="1"/>
  <c r="H12" i="33"/>
  <c r="B12" i="33" s="1"/>
  <c r="C12" i="33"/>
  <c r="I12" i="33"/>
  <c r="I16" i="33"/>
  <c r="H16" i="33"/>
  <c r="B16" i="33" s="1"/>
  <c r="C16" i="33"/>
  <c r="C5" i="33"/>
  <c r="I5" i="33"/>
  <c r="H5" i="33"/>
  <c r="B5" i="33" s="1"/>
  <c r="C9" i="33"/>
  <c r="I9" i="33"/>
  <c r="H9" i="33"/>
  <c r="B9" i="33" s="1"/>
  <c r="C13" i="33"/>
  <c r="I13" i="33"/>
  <c r="H13" i="33"/>
  <c r="B13" i="33" s="1"/>
  <c r="B42" i="27"/>
  <c r="B41" i="27"/>
  <c r="B40" i="27"/>
  <c r="A42" i="27"/>
  <c r="A41" i="27"/>
  <c r="A40" i="27"/>
  <c r="D13" i="33" l="1"/>
  <c r="D9" i="33"/>
  <c r="D5" i="33"/>
  <c r="D16" i="33"/>
  <c r="D8" i="33"/>
  <c r="D6" i="33"/>
  <c r="D12" i="33"/>
  <c r="D14" i="33"/>
  <c r="D15" i="33"/>
  <c r="D11" i="33"/>
  <c r="D7" i="33"/>
  <c r="D10" i="33"/>
  <c r="S60" i="18" l="1"/>
  <c r="S38" i="18"/>
  <c r="S26" i="18"/>
  <c r="S50" i="18"/>
  <c r="S80" i="18"/>
  <c r="S70" i="18"/>
  <c r="Q6" i="6" l="1"/>
  <c r="A10" i="18"/>
  <c r="E10" i="18" s="1"/>
  <c r="E78" i="18"/>
  <c r="C78" i="18" s="1"/>
  <c r="X78" i="18" s="1"/>
  <c r="A9" i="18"/>
  <c r="E9" i="18" s="1"/>
  <c r="E68" i="18"/>
  <c r="C68" i="18" s="1"/>
  <c r="X68" i="18" s="1"/>
  <c r="A68" i="18"/>
  <c r="E58" i="18"/>
  <c r="C58" i="18" s="1"/>
  <c r="X58" i="18" s="1"/>
  <c r="F48" i="18"/>
  <c r="F47" i="18"/>
  <c r="E47" i="18"/>
  <c r="C47" i="18" s="1"/>
  <c r="X47" i="18" s="1"/>
  <c r="E46" i="18"/>
  <c r="C46" i="18" s="1"/>
  <c r="X46" i="18" s="1"/>
  <c r="E36" i="18"/>
  <c r="C36" i="18" s="1"/>
  <c r="X36" i="18" s="1"/>
  <c r="A5" i="18"/>
  <c r="E5" i="18" s="1"/>
  <c r="E35" i="18"/>
  <c r="C35" i="18" s="1"/>
  <c r="X35" i="18" s="1"/>
  <c r="E34" i="18"/>
  <c r="C34" i="18" s="1"/>
  <c r="X34" i="18" s="1"/>
  <c r="E24" i="18"/>
  <c r="C24" i="18" s="1"/>
  <c r="X24" i="18" s="1"/>
  <c r="A20" i="18"/>
  <c r="E23" i="18"/>
  <c r="C23" i="18" s="1"/>
  <c r="X23" i="18" s="1"/>
  <c r="E22" i="18"/>
  <c r="C22" i="18" s="1"/>
  <c r="X22" i="18" s="1"/>
  <c r="E21" i="18"/>
  <c r="C21" i="18" s="1"/>
  <c r="X21" i="18" s="1"/>
  <c r="E20" i="18"/>
  <c r="C20" i="18" s="1"/>
  <c r="X20" i="18" s="1"/>
  <c r="E18" i="18"/>
  <c r="C18" i="18" s="1"/>
  <c r="X18" i="18" s="1"/>
  <c r="C10" i="18"/>
  <c r="C9" i="18"/>
  <c r="C8" i="18"/>
  <c r="C7" i="18"/>
  <c r="C6" i="18"/>
  <c r="C5" i="18"/>
  <c r="C4" i="18"/>
  <c r="Q19" i="18"/>
  <c r="Q20" i="18"/>
  <c r="Q21" i="18"/>
  <c r="Q22" i="18"/>
  <c r="Q23" i="18"/>
  <c r="Q24" i="18"/>
  <c r="Q34" i="18"/>
  <c r="Q35" i="18"/>
  <c r="Q36" i="18"/>
  <c r="Q46" i="18"/>
  <c r="Q47" i="18"/>
  <c r="Q58" i="18"/>
  <c r="Q68" i="18"/>
  <c r="Q78" i="18"/>
  <c r="K18" i="18"/>
  <c r="K19" i="18"/>
  <c r="K20" i="18"/>
  <c r="K21" i="18"/>
  <c r="K23" i="18" s="1"/>
  <c r="K22" i="18"/>
  <c r="K24" i="18"/>
  <c r="K34" i="18"/>
  <c r="K35" i="18"/>
  <c r="D36" i="18"/>
  <c r="K36" i="18"/>
  <c r="K46" i="18"/>
  <c r="D47" i="18"/>
  <c r="K47" i="18"/>
  <c r="K58" i="18"/>
  <c r="K68" i="18"/>
  <c r="O24" i="18"/>
  <c r="B68" i="18" l="1"/>
  <c r="W68" i="18" s="1"/>
  <c r="B20" i="18"/>
  <c r="W20" i="18" s="1"/>
  <c r="O68" i="18"/>
  <c r="O70" i="18" s="1"/>
  <c r="A7" i="18"/>
  <c r="E7" i="18" s="1"/>
  <c r="A78" i="18"/>
  <c r="B78" i="18" s="1"/>
  <c r="W78" i="18" s="1"/>
  <c r="A58" i="18"/>
  <c r="B58" i="18" s="1"/>
  <c r="W58" i="18" s="1"/>
  <c r="A21" i="18"/>
  <c r="B21" i="18" s="1"/>
  <c r="W21" i="18" s="1"/>
  <c r="A34" i="18"/>
  <c r="B34" i="18" s="1"/>
  <c r="W34" i="18" s="1"/>
  <c r="A36" i="18"/>
  <c r="B36" i="18" s="1"/>
  <c r="W36" i="18" s="1"/>
  <c r="A22" i="18"/>
  <c r="B22" i="18" s="1"/>
  <c r="W22" i="18" s="1"/>
  <c r="A23" i="18"/>
  <c r="B23" i="18" s="1"/>
  <c r="W23" i="18" s="1"/>
  <c r="A35" i="18"/>
  <c r="B35" i="18" s="1"/>
  <c r="W35" i="18" s="1"/>
  <c r="A4" i="18"/>
  <c r="E4" i="18" s="1"/>
  <c r="A19" i="18"/>
  <c r="A18" i="18"/>
  <c r="B18" i="18" s="1"/>
  <c r="W18" i="18" s="1"/>
  <c r="A47" i="18"/>
  <c r="B47" i="18" s="1"/>
  <c r="W47" i="18" s="1"/>
  <c r="A46" i="18"/>
  <c r="B46" i="18" s="1"/>
  <c r="W46" i="18" s="1"/>
  <c r="A24" i="18"/>
  <c r="B24" i="18" s="1"/>
  <c r="W24" i="18" s="1"/>
  <c r="A6" i="18"/>
  <c r="E6" i="18" s="1"/>
  <c r="A88" i="18"/>
  <c r="A8" i="18"/>
  <c r="E8" i="18" s="1"/>
  <c r="O22" i="18" l="1"/>
  <c r="O23" i="18"/>
  <c r="O20" i="18"/>
  <c r="R68" i="18"/>
  <c r="H68" i="18" s="1"/>
  <c r="O47" i="18"/>
  <c r="O46" i="18"/>
  <c r="O35" i="18"/>
  <c r="O36" i="18"/>
  <c r="O34" i="18"/>
  <c r="O21" i="18"/>
  <c r="S68" i="18"/>
  <c r="I68" i="18" s="1"/>
  <c r="I70" i="18" s="1"/>
  <c r="O58" i="18"/>
  <c r="B8" i="18" l="1"/>
  <c r="O50" i="18"/>
  <c r="S46" i="18" s="1"/>
  <c r="I46" i="18" s="1"/>
  <c r="R46" i="18"/>
  <c r="R47" i="18" s="1"/>
  <c r="O38" i="18"/>
  <c r="R34" i="18"/>
  <c r="N68" i="18"/>
  <c r="N70" i="18" s="1"/>
  <c r="R58" i="18"/>
  <c r="H58" i="18" s="1"/>
  <c r="O60" i="18"/>
  <c r="S58" i="18" s="1"/>
  <c r="I58" i="18" s="1"/>
  <c r="S47" i="18" l="1"/>
  <c r="I47" i="18" s="1"/>
  <c r="I50" i="18" s="1"/>
  <c r="H46" i="18"/>
  <c r="H47" i="18" s="1"/>
  <c r="R35" i="18"/>
  <c r="R36" i="18"/>
  <c r="H34" i="18"/>
  <c r="S36" i="18"/>
  <c r="I36" i="18" s="1"/>
  <c r="S35" i="18"/>
  <c r="I35" i="18" s="1"/>
  <c r="S34" i="18"/>
  <c r="I34" i="18" s="1"/>
  <c r="N58" i="18"/>
  <c r="N60" i="18" s="1"/>
  <c r="I60" i="18"/>
  <c r="B7" i="18" s="1"/>
  <c r="H96" i="18" l="1"/>
  <c r="E96" i="18" s="1"/>
  <c r="H93" i="18"/>
  <c r="H94" i="18"/>
  <c r="N47" i="18"/>
  <c r="B6" i="18"/>
  <c r="N46" i="18"/>
  <c r="H35" i="18"/>
  <c r="N35" i="18" s="1"/>
  <c r="H36" i="18"/>
  <c r="N36" i="18" s="1"/>
  <c r="I38" i="18"/>
  <c r="B5" i="18" s="1"/>
  <c r="N34" i="18"/>
  <c r="N50" i="18" l="1"/>
  <c r="N38" i="18"/>
  <c r="E19" i="18" l="1"/>
  <c r="C19" i="18" l="1"/>
  <c r="X19" i="18" s="1"/>
  <c r="B19" i="18"/>
  <c r="W19" i="18" s="1"/>
  <c r="P9" i="28"/>
  <c r="N9" i="28" l="1"/>
  <c r="B94" i="22" l="1"/>
  <c r="B91" i="22"/>
  <c r="B90" i="22"/>
  <c r="B96" i="22"/>
  <c r="B108" i="22"/>
  <c r="B102" i="22"/>
  <c r="B104" i="22"/>
  <c r="B106" i="22"/>
  <c r="B100" i="22"/>
  <c r="B109" i="22"/>
  <c r="B92" i="22"/>
  <c r="B98" i="22"/>
  <c r="B99" i="22"/>
  <c r="B105" i="22"/>
  <c r="B107" i="22"/>
  <c r="B93" i="22"/>
  <c r="AC9" i="28"/>
  <c r="H97" i="18"/>
  <c r="R78" i="18" l="1"/>
  <c r="I64" i="27" l="1" a="1"/>
  <c r="I64" i="27" s="1"/>
  <c r="K65" i="27" a="1"/>
  <c r="K65" i="27" s="1"/>
  <c r="E30" i="27" s="1"/>
  <c r="I63" i="27" a="1"/>
  <c r="I63" i="27" s="1"/>
  <c r="K64" i="27" a="1"/>
  <c r="K64" i="27" s="1"/>
  <c r="E29" i="27" s="1"/>
  <c r="K63" i="27" a="1"/>
  <c r="K63" i="27" s="1"/>
  <c r="E28" i="27" s="1"/>
  <c r="J65" i="27" a="1"/>
  <c r="J65" i="27" s="1"/>
  <c r="E20" i="27" s="1"/>
  <c r="J64" i="27" a="1"/>
  <c r="J64" i="27" s="1"/>
  <c r="E19" i="27" s="1"/>
  <c r="J63" i="27" a="1"/>
  <c r="J63" i="27" s="1"/>
  <c r="E18" i="27" s="1"/>
  <c r="I65" i="27" a="1"/>
  <c r="I65" i="27" s="1"/>
  <c r="I62" i="27" a="1"/>
  <c r="I62" i="27" s="1"/>
  <c r="S7" i="28" s="1"/>
  <c r="K62" i="27" a="1"/>
  <c r="K62" i="27" s="1"/>
  <c r="E27" i="27" s="1"/>
  <c r="K70" i="27" a="1"/>
  <c r="K70" i="27" s="1"/>
  <c r="E35" i="27" s="1"/>
  <c r="J70" i="27" a="1"/>
  <c r="J70" i="27" s="1"/>
  <c r="E25" i="27" s="1"/>
  <c r="J62" i="27" a="1"/>
  <c r="J62" i="27" s="1"/>
  <c r="E17" i="27" s="1"/>
  <c r="E8" i="27" l="1"/>
  <c r="S21" i="28"/>
  <c r="S20" i="28"/>
  <c r="S18" i="28"/>
  <c r="S19" i="28"/>
  <c r="S17" i="28"/>
  <c r="S16" i="28"/>
  <c r="E10" i="27"/>
  <c r="S31" i="28"/>
  <c r="S37" i="28"/>
  <c r="S36" i="28"/>
  <c r="S38" i="28"/>
  <c r="S32" i="28"/>
  <c r="S33" i="28"/>
  <c r="S34" i="28"/>
  <c r="S35" i="28"/>
  <c r="E9" i="27"/>
  <c r="S28" i="28"/>
  <c r="S27" i="28"/>
  <c r="S29" i="28"/>
  <c r="S26" i="28"/>
  <c r="S23" i="28"/>
  <c r="S25" i="28"/>
  <c r="S24" i="28"/>
  <c r="S8" i="28"/>
  <c r="E7" i="27"/>
  <c r="L70" i="27"/>
  <c r="S9" i="28"/>
  <c r="S12" i="28"/>
  <c r="S14" i="28"/>
  <c r="S11" i="28"/>
  <c r="S13" i="28"/>
  <c r="S10" i="28"/>
  <c r="E40" i="27"/>
  <c r="L65" i="27"/>
  <c r="L63" i="27"/>
  <c r="L64" i="27"/>
  <c r="L62" i="27"/>
  <c r="I71" i="27"/>
  <c r="E41" i="27"/>
  <c r="J71" i="27"/>
  <c r="K71" i="27"/>
  <c r="E42" i="27"/>
  <c r="Y32" i="28" l="1"/>
  <c r="B111" i="22" s="1"/>
  <c r="Z32" i="28"/>
  <c r="Y38" i="28"/>
  <c r="B110" i="22" s="1"/>
  <c r="Z38" i="28"/>
  <c r="Z33" i="28"/>
  <c r="Y33" i="28"/>
  <c r="B97" i="22" s="1"/>
  <c r="Z36" i="28"/>
  <c r="Y36" i="28"/>
  <c r="B112" i="22" s="1"/>
  <c r="Y37" i="28"/>
  <c r="Z37" i="28"/>
  <c r="Y31" i="28"/>
  <c r="Z31" i="28"/>
  <c r="Y35" i="28"/>
  <c r="B103" i="22" s="1"/>
  <c r="Z35" i="28"/>
  <c r="Y34" i="28"/>
  <c r="B101" i="22" s="1"/>
  <c r="Z34" i="28"/>
  <c r="L71" i="27"/>
  <c r="B95" i="22" l="1"/>
  <c r="H92" i="18"/>
  <c r="H88" i="18"/>
  <c r="O18" i="18"/>
  <c r="B113" i="22" l="1"/>
  <c r="B115" i="22" s="1"/>
  <c r="A53" i="43"/>
  <c r="H90" i="18"/>
  <c r="H89" i="18"/>
  <c r="O19" i="18"/>
  <c r="R18" i="18" s="1"/>
  <c r="H91" i="18"/>
  <c r="H95" i="18"/>
  <c r="E95" i="18" s="1"/>
  <c r="O78" i="18"/>
  <c r="E88" i="18"/>
  <c r="H99" i="18" l="1"/>
  <c r="B10" i="18" s="1"/>
  <c r="O26" i="18"/>
  <c r="H18" i="18"/>
  <c r="R21" i="18"/>
  <c r="R19" i="18"/>
  <c r="R20" i="18"/>
  <c r="R24" i="18"/>
  <c r="R22" i="18"/>
  <c r="R23" i="18"/>
  <c r="E89" i="18"/>
  <c r="E97" i="18"/>
  <c r="E93" i="18"/>
  <c r="E94" i="18"/>
  <c r="E92" i="18"/>
  <c r="O80" i="18"/>
  <c r="S78" i="18" s="1"/>
  <c r="I78" i="18"/>
  <c r="E90" i="18"/>
  <c r="E91" i="18"/>
  <c r="E99" i="18" l="1"/>
  <c r="S24" i="18"/>
  <c r="I24" i="18" s="1"/>
  <c r="S23" i="18"/>
  <c r="I23" i="18" s="1"/>
  <c r="S20" i="18"/>
  <c r="I20" i="18" s="1"/>
  <c r="S18" i="18"/>
  <c r="I18" i="18" s="1"/>
  <c r="S22" i="18"/>
  <c r="I22" i="18" s="1"/>
  <c r="S21" i="18"/>
  <c r="I21" i="18" s="1"/>
  <c r="S19" i="18"/>
  <c r="I19" i="18" s="1"/>
  <c r="I80" i="18"/>
  <c r="B9" i="18" s="1"/>
  <c r="N78" i="18"/>
  <c r="N80" i="18" s="1"/>
  <c r="H20" i="18"/>
  <c r="H24" i="18"/>
  <c r="H19" i="18"/>
  <c r="H22" i="18"/>
  <c r="H21" i="18"/>
  <c r="H23" i="18"/>
  <c r="N23" i="18" l="1"/>
  <c r="N24" i="18"/>
  <c r="N22" i="18"/>
  <c r="N21" i="18"/>
  <c r="N19" i="18"/>
  <c r="I26" i="18"/>
  <c r="B4" i="18" s="1"/>
  <c r="N20" i="18"/>
  <c r="N18" i="18"/>
  <c r="N26" i="1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</author>
  </authors>
  <commentList>
    <comment ref="A6" authorId="0" shapeId="0" xr:uid="{575EBED7-DB0C-4F05-81EF-9E505B7079EE}">
      <text>
        <r>
          <rPr>
            <b/>
            <sz val="9"/>
            <color indexed="81"/>
            <rFont val="Tahoma"/>
            <family val="2"/>
          </rPr>
          <t>Gary:</t>
        </r>
        <r>
          <rPr>
            <sz val="9"/>
            <color indexed="81"/>
            <rFont val="Tahoma"/>
            <family val="2"/>
          </rPr>
          <t xml:space="preserve">
Commodities are activated according to the EB sheet row 5 entry being non-0.
If a fuel is needed for new planned or envisioned technologies, </t>
        </r>
        <r>
          <rPr>
            <b/>
            <sz val="9"/>
            <color indexed="81"/>
            <rFont val="Tahoma"/>
            <family val="2"/>
          </rPr>
          <t>BLANK OUT</t>
        </r>
        <r>
          <rPr>
            <sz val="9"/>
            <color indexed="81"/>
            <rFont val="Tahoma"/>
            <family val="2"/>
          </rPr>
          <t xml:space="preserve"> (" ")  the "*" from Col-A here to allow the X-process to be created.  
The matching supply must be activated similarly in the SUP template for the 1st year said commodity is to be available.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KanORS</author>
  </authors>
  <commentList>
    <comment ref="I2" authorId="0" shapeId="0" xr:uid="{00000000-0006-0000-0700-000001000000}">
      <text>
        <r>
          <rPr>
            <sz val="10"/>
            <color indexed="8"/>
            <rFont val="Tahoma"/>
            <family val="2"/>
          </rPr>
          <t>This coefficient represents the possibility of expanding the existing supply infrastructure without additional investments.</t>
        </r>
      </text>
    </comment>
    <comment ref="H4" authorId="0" shapeId="0" xr:uid="{00000000-0006-0000-0700-000002000000}">
      <text>
        <r>
          <rPr>
            <sz val="8"/>
            <color indexed="8"/>
            <rFont val="Tahoma"/>
            <family val="2"/>
          </rPr>
          <t xml:space="preserve">To allow flexible sector fuel production after the base year.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77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  <author>Mc Guire, Jason</author>
  </authors>
  <commentList>
    <comment ref="Y4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D6" authorId="1" shapeId="0" xr:uid="{29C2BB78-4D1D-4426-9254-AF4BC65130F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kWh/yr Estimated main space energy demand (final consumption)</t>
        </r>
      </text>
    </comment>
    <comment ref="K6" authorId="1" shapeId="0" xr:uid="{1D00B900-FA69-4B17-AB97-6894C16041F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kWh/yr - Negative values are cooling, this added total looks at absolute values only. So that cooling energy is part of total energy. (Otherwise cooling energy is substracted from total energy)</t>
        </r>
      </text>
    </comment>
    <comment ref="D14" authorId="1" shapeId="0" xr:uid="{31AE107C-02D4-409B-B007-4C2A2575B9E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Y110" authorId="0" shapeId="0" xr:uid="{2A62E385-8594-4E78-A948-0828EB2FA44C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Y215" authorId="0" shapeId="0" xr:uid="{A6B18795-E21B-459B-84DF-5D7B7C9BDE2C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Y229" authorId="0" shapeId="0" xr:uid="{A5CC6CB0-9FEA-4BF4-95C0-F54C9E95B9C8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  <author>Mc Guire, Jason</author>
  </authors>
  <commentList>
    <comment ref="Y4" authorId="0" shapeId="0" xr:uid="{69BC4224-4823-4E13-AB53-029D5312335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D6" authorId="1" shapeId="0" xr:uid="{7631E9E4-FA20-4D50-A1C4-6531137A78C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kWh/yr Estimated main space energy demand (final consumption)</t>
        </r>
      </text>
    </comment>
    <comment ref="K6" authorId="1" shapeId="0" xr:uid="{7AA9F745-80AA-414E-A672-3C4929C9BC3A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kWh/yr - Negative values are cooling, this added total looks at absolute values only. So that cooling energy is part of total energy. (Otherwise cooling energy is substracted from total energy)</t>
        </r>
      </text>
    </comment>
    <comment ref="D11" authorId="1" shapeId="0" xr:uid="{B5AF9CB4-CF67-4169-AAEB-A1DC47F51A4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18" authorId="1" shapeId="0" xr:uid="{5548AFBD-790C-4E20-8F22-230377330F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19" authorId="1" shapeId="0" xr:uid="{13091497-D810-4994-997B-BF71B4221ACB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8" authorId="1" shapeId="0" xr:uid="{97D92300-F191-4BF0-B3C0-6CE768C8A2CA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9" authorId="1" shapeId="0" xr:uid="{BAFA1B54-1CDE-4786-83D6-70EBD38225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0" authorId="1" shapeId="0" xr:uid="{40CC8AF9-066D-40EF-90F3-3C8C8877ADBE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Y134" authorId="0" shapeId="0" xr:uid="{6021C42B-C0D3-4186-A2CD-49D37348A4A9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Y273" authorId="0" shapeId="0" xr:uid="{5551FBB5-6391-4B0D-A8FE-4811A24B08A6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Y287" authorId="0" shapeId="0" xr:uid="{664B2421-0F54-4432-9319-FF6F0AE644BB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  <author>Mc Guire, Jason</author>
  </authors>
  <commentList>
    <comment ref="Y4" authorId="0" shapeId="0" xr:uid="{D0CD4AA5-89CA-493D-BA1C-DFF2FFF521AB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D6" authorId="1" shapeId="0" xr:uid="{2BE05279-7046-4014-B654-1FEDABAC79CB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kWh/yr Estimated main space energy demand (final consumption)</t>
        </r>
      </text>
    </comment>
    <comment ref="K6" authorId="1" shapeId="0" xr:uid="{BB174189-9DE1-4FEB-B1AD-0945EBE5A3AB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kWh/yr - Negative values are cooling, this added total looks at absolute values only. So that cooling energy is part of total energy. (Otherwise cooling energy is substracted from total energy)</t>
        </r>
      </text>
    </comment>
    <comment ref="D11" authorId="1" shapeId="0" xr:uid="{E57A1F7F-DAB8-4E7E-9DE5-6533D549D2D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2" authorId="1" shapeId="0" xr:uid="{9594665D-E028-4567-96B2-999124711D7E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3" authorId="1" shapeId="0" xr:uid="{9E64DF89-908D-4F6A-B820-6026C1507E0E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5" authorId="1" shapeId="0" xr:uid="{0D52ED74-F289-409D-B5A3-C42D8609EBA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6" authorId="1" shapeId="0" xr:uid="{1FC4C5BF-B572-4A7E-B00A-E62179F44D63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7" authorId="1" shapeId="0" xr:uid="{1C764983-B9FF-48D7-92DD-749A4A07A0F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Y142" authorId="0" shapeId="0" xr:uid="{1B28AE3E-6A28-459E-B6B3-8C1C1053E70F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Y286" authorId="0" shapeId="0" xr:uid="{FE488BC0-BE34-49B1-BE87-BE1F3BF3E5EA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Y300" authorId="0" shapeId="0" xr:uid="{F1869208-9256-4D0F-8FA6-F13A7967CA36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B2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Adjustment related to factors such:
- HDD
- Fuel Poverty
- Inhabited stock 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<sst xmlns="http://schemas.openxmlformats.org/spreadsheetml/2006/main" count="43381" uniqueCount="857">
  <si>
    <t>Irish TIMES Energy System Model</t>
  </si>
  <si>
    <t>Document type:</t>
  </si>
  <si>
    <t xml:space="preserve">Base Year Template </t>
  </si>
  <si>
    <t>Sector:</t>
  </si>
  <si>
    <t>Residential</t>
  </si>
  <si>
    <t>Developer:</t>
  </si>
  <si>
    <t>Jason Mc Guire + Energy Policy Modelling Group, UCC</t>
  </si>
  <si>
    <t>Version:</t>
  </si>
  <si>
    <t>Residential 2.0.7</t>
  </si>
  <si>
    <t>Date:</t>
  </si>
  <si>
    <t>Table of contents</t>
  </si>
  <si>
    <t>Colour code</t>
  </si>
  <si>
    <t>Sheet</t>
  </si>
  <si>
    <t>Description</t>
  </si>
  <si>
    <t>Updated</t>
  </si>
  <si>
    <t>Referenced data (columns and rows headers)</t>
  </si>
  <si>
    <t>RES</t>
  </si>
  <si>
    <t>Sector Reference Energy System</t>
  </si>
  <si>
    <t>Own calculations (columns and rows headers)</t>
  </si>
  <si>
    <t>EB2018</t>
  </si>
  <si>
    <t>SEAI 2018 energy balance in ktoe</t>
  </si>
  <si>
    <t>Own assumptions (columns and rows headers)</t>
  </si>
  <si>
    <t>RSD_Balance</t>
  </si>
  <si>
    <t>Description of the existing uses of energy in theresidential sector</t>
  </si>
  <si>
    <t>aaa</t>
  </si>
  <si>
    <t>Results</t>
  </si>
  <si>
    <t>RSD_Commodities</t>
  </si>
  <si>
    <t>TIMES commodities list for the residential sector</t>
  </si>
  <si>
    <t>Sheets which contains input tables for the RES BY-Template</t>
  </si>
  <si>
    <t>RSD_EmiCoeffs</t>
  </si>
  <si>
    <t>Emission coefficients for the residential sector</t>
  </si>
  <si>
    <r>
      <t>Sheets which contains input tables (not activated) for the building retrofit SubRes (</t>
    </r>
    <r>
      <rPr>
        <i/>
        <sz val="9"/>
        <color theme="1"/>
        <rFont val="Calibri"/>
        <family val="2"/>
        <scheme val="minor"/>
      </rPr>
      <t>SubRES_RsdRetrofits_Trans.xlsx</t>
    </r>
    <r>
      <rPr>
        <sz val="9"/>
        <color theme="1"/>
        <rFont val="Calibri"/>
        <family val="2"/>
        <scheme val="minor"/>
      </rPr>
      <t>)</t>
    </r>
  </si>
  <si>
    <t>RSD_FuelTechs</t>
  </si>
  <si>
    <t>Description of the fuel sectoral technologies for the residential sector</t>
  </si>
  <si>
    <t>Filtered Data</t>
  </si>
  <si>
    <t>DwellingStocks</t>
  </si>
  <si>
    <t>Description of the residential building stocks</t>
  </si>
  <si>
    <t>RHWLP-APT</t>
  </si>
  <si>
    <t>Description of space heat, water heat and lighting technologies in apartments</t>
  </si>
  <si>
    <t>RHWLP-Ter</t>
  </si>
  <si>
    <t>Description of space heat, water heat and lighting technologies in terrace dwellings</t>
  </si>
  <si>
    <t>RHWLP-Det</t>
  </si>
  <si>
    <t>Description of space heat, water heat and lighting technologies in detached dwellings</t>
  </si>
  <si>
    <t>RH-Adj</t>
  </si>
  <si>
    <t>Description of the space heat adjustment factor (due to climate, fuel poverty, inhabited stock, etc.)</t>
  </si>
  <si>
    <t>ROth</t>
  </si>
  <si>
    <t>Description of the residential other appliances</t>
  </si>
  <si>
    <t>Open Issues</t>
  </si>
  <si>
    <t>Units</t>
  </si>
  <si>
    <t>Capacity</t>
  </si>
  <si>
    <t>000units or PJa</t>
  </si>
  <si>
    <t>Space Heating - Main Fuel type Null</t>
  </si>
  <si>
    <t>Consumption</t>
  </si>
  <si>
    <t>PJ</t>
  </si>
  <si>
    <t>Negative values in Space , Water energy consumption..data not great,  bottom up calibrated to match top down? Due to Heat Pumps or CHP???</t>
  </si>
  <si>
    <t>Currency (year)</t>
  </si>
  <si>
    <t>Base year</t>
  </si>
  <si>
    <t>Data Sources</t>
  </si>
  <si>
    <t>Date</t>
  </si>
  <si>
    <t>ArDEM</t>
  </si>
  <si>
    <t xml:space="preserve">ArDEM SQL </t>
  </si>
  <si>
    <t>Assumptions</t>
  </si>
  <si>
    <t>LEAP</t>
  </si>
  <si>
    <t xml:space="preserve">Irish LEAP </t>
  </si>
  <si>
    <t>Value</t>
  </si>
  <si>
    <t>JRC_EU_TIMES</t>
  </si>
  <si>
    <t>European TIMES</t>
  </si>
  <si>
    <t xml:space="preserve"> Nov-19</t>
  </si>
  <si>
    <t>Tenants</t>
  </si>
  <si>
    <t>BER to House Stock calibration - assumme county level of Archetype and Rating is constant.</t>
  </si>
  <si>
    <t>PET_IE</t>
  </si>
  <si>
    <t xml:space="preserve">Irish TIMES 1.0 </t>
  </si>
  <si>
    <t>BER Database</t>
  </si>
  <si>
    <t>https://ndber.seai.ie/pass/ber/search.aspx</t>
  </si>
  <si>
    <t>Energy Balance 2018</t>
  </si>
  <si>
    <t>https://www.seai.ie/data-and-insights/seai-statistics/key-publications/national-energy-balance/</t>
  </si>
  <si>
    <t>Verision Control</t>
  </si>
  <si>
    <t>Verision</t>
  </si>
  <si>
    <t>2.0.7</t>
  </si>
  <si>
    <t xml:space="preserve">JMcG continue from Alessandro Chiodi BY template in 2018  </t>
  </si>
  <si>
    <t>July 2020 - Jason Mc Guire</t>
  </si>
  <si>
    <t xml:space="preserve">Automatic Naming Convention </t>
  </si>
  <si>
    <t xml:space="preserve"> ( * = 0PJ, ie. unused commodity in BY  )</t>
  </si>
  <si>
    <t>TIMES</t>
  </si>
  <si>
    <t>* SECTORAL COMMODITIES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</si>
  <si>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</si>
  <si>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</si>
  <si>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</si>
  <si>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</si>
  <si>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</si>
  <si>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</si>
  <si>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</si>
  <si>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</si>
  <si>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</si>
  <si>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</si>
  <si>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</si>
  <si>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</si>
  <si>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</si>
  <si>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</si>
  <si>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</si>
  <si>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</si>
  <si>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</si>
  <si>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</si>
  <si>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</si>
  <si>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</si>
  <si>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</si>
  <si>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</si>
  <si>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</si>
  <si>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</si>
  <si>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</si>
  <si>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</si>
  <si>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</si>
  <si>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</si>
  <si>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</si>
  <si>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</si>
  <si>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</si>
  <si>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</si>
  <si>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</si>
  <si>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</si>
  <si>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</si>
  <si>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</si>
  <si>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</si>
  <si>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</si>
  <si>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</si>
  <si>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</si>
  <si>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</si>
  <si>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</si>
  <si>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SH</t>
  </si>
  <si>
    <t>Residential Space Heating</t>
  </si>
  <si>
    <t>SC</t>
  </si>
  <si>
    <t>Residential Space Cooling</t>
  </si>
  <si>
    <t>WH</t>
  </si>
  <si>
    <t>Residential Water Heating</t>
  </si>
  <si>
    <t>RF</t>
  </si>
  <si>
    <t>Residential Refrigeration</t>
  </si>
  <si>
    <t>LT</t>
  </si>
  <si>
    <t>Residential Lighting</t>
  </si>
  <si>
    <t>CK</t>
  </si>
  <si>
    <t>Residential Cooking</t>
  </si>
  <si>
    <t>CW</t>
  </si>
  <si>
    <t>Residential Cloth Washing demand</t>
  </si>
  <si>
    <t>CD</t>
  </si>
  <si>
    <t>Residential Cloth Drying demand</t>
  </si>
  <si>
    <t>DW</t>
  </si>
  <si>
    <t>Residential Dish Washing demand</t>
  </si>
  <si>
    <t>ME</t>
  </si>
  <si>
    <t>Residential ELC Appliances</t>
  </si>
  <si>
    <t>MA</t>
  </si>
  <si>
    <t>Residential Other Applications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</si>
  <si>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</si>
  <si>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</si>
  <si>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</si>
  <si>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</si>
  <si>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</si>
  <si>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</si>
  <si>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</si>
  <si>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</si>
  <si>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</si>
  <si>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</si>
  <si>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</si>
  <si>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</si>
  <si>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</si>
  <si>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</si>
  <si>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</si>
  <si>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</si>
  <si>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</si>
  <si>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</si>
  <si>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</si>
  <si>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</si>
  <si>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>BER BAND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</si>
  <si>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</si>
  <si>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</si>
  <si>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</si>
  <si>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</si>
  <si>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Anthracite + Manufactured Ovoids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</si>
  <si>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</si>
  <si>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</si>
  <si>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</si>
  <si>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</si>
  <si>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</si>
  <si>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</si>
  <si>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</si>
  <si>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</si>
  <si>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</si>
  <si>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</si>
  <si>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</si>
  <si>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</si>
  <si>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</si>
  <si>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</si>
  <si>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</si>
  <si>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</si>
  <si>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</si>
  <si>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</si>
  <si>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</si>
  <si>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</si>
  <si>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</si>
  <si>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</si>
  <si>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</si>
  <si>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</si>
  <si>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Biomass &amp;   Renewable  Waste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</si>
  <si>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</si>
  <si>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</si>
  <si>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</si>
  <si>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</si>
  <si>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</si>
  <si>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</si>
  <si>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</si>
  <si>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</si>
  <si>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</si>
  <si>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</si>
  <si>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</si>
  <si>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</si>
  <si>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</si>
  <si>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</si>
  <si>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</si>
  <si>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</si>
  <si>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</si>
  <si>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</si>
  <si>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</si>
  <si>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</si>
  <si>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</si>
  <si>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</si>
  <si>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</si>
  <si>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</si>
  <si>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</si>
  <si>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</si>
  <si>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</si>
  <si>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</si>
  <si>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</si>
  <si>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</si>
  <si>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</si>
  <si>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</si>
  <si>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</si>
  <si>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</si>
  <si>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</si>
  <si>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</si>
  <si>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</si>
  <si>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</si>
  <si>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</si>
  <si>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</si>
  <si>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</si>
  <si>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</si>
  <si>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</si>
  <si>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</si>
  <si>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</si>
  <si>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</si>
  <si>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</si>
  <si>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</si>
  <si>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</si>
  <si>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</si>
  <si>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</si>
  <si>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</si>
  <si>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</si>
  <si>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</si>
  <si>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</si>
  <si>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</si>
  <si>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</si>
  <si>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</si>
  <si>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</si>
  <si>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</si>
  <si>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</si>
  <si>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</si>
  <si>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</si>
  <si>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</si>
  <si>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</si>
  <si>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</si>
  <si>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</si>
  <si>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</si>
  <si>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</si>
  <si>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</si>
  <si>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</si>
  <si>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</si>
  <si>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</si>
  <si>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</si>
  <si>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</si>
  <si>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</si>
  <si>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</si>
  <si>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</si>
  <si>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</si>
  <si>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</si>
  <si>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</si>
  <si>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</si>
  <si>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</si>
  <si>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</si>
  <si>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</si>
  <si>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</si>
  <si>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</si>
  <si>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</si>
  <si>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</si>
  <si>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</si>
  <si>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</si>
  <si>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</si>
  <si>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</si>
  <si>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</si>
  <si>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</si>
  <si>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</si>
  <si>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COABIT</t>
  </si>
  <si>
    <t>COAHAR</t>
  </si>
  <si>
    <t>COACOK</t>
  </si>
  <si>
    <t>COALIG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</si>
  <si>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</si>
  <si>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</si>
  <si>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</si>
  <si>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</si>
  <si>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</si>
  <si>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</si>
  <si>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</si>
  <si>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</si>
  <si>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</si>
  <si>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</si>
  <si>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</si>
  <si>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</si>
  <si>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</si>
  <si>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</si>
  <si>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</si>
  <si>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</si>
  <si>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</si>
  <si>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</si>
  <si>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ELCD</t>
  </si>
  <si>
    <t>HET</t>
  </si>
  <si>
    <t>Total</t>
  </si>
  <si>
    <t>Breakout by end-use (Fractional Shares)</t>
  </si>
  <si>
    <t>End Use  Description</t>
  </si>
  <si>
    <t>Space Heating</t>
  </si>
  <si>
    <t>Space Cooling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</si>
  <si>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</si>
  <si>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</si>
  <si>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</si>
  <si>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</si>
  <si>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</si>
  <si>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</si>
  <si>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</si>
  <si>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</si>
  <si>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Electric</t>
  </si>
  <si>
    <t>Other Energy</t>
  </si>
  <si>
    <t>BIOGAS*</t>
  </si>
  <si>
    <t>Cumulative Total</t>
  </si>
  <si>
    <t>Breakout by building type &amp; Energy Rating  (Fractional Shares)</t>
  </si>
  <si>
    <t>Final energy consumption by end-use and building type (PJ)</t>
  </si>
  <si>
    <t>Other</t>
  </si>
  <si>
    <t xml:space="preserve"> Other Electric</t>
  </si>
  <si>
    <t xml:space="preserve">Commodities 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</si>
  <si>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</si>
  <si>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</si>
  <si>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</si>
  <si>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</si>
  <si>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</si>
  <si>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</si>
  <si>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</si>
  <si>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</si>
  <si>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</si>
  <si>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</si>
  <si>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</si>
  <si>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</si>
  <si>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</si>
  <si>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</si>
  <si>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</si>
  <si>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</si>
  <si>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</si>
  <si>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</si>
  <si>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</si>
  <si>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</si>
  <si>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</si>
  <si>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</si>
  <si>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</si>
  <si>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Emission coefficients</t>
  </si>
  <si>
    <t>Emission coefficient by fuel type</t>
  </si>
  <si>
    <t>kt/PJ</t>
  </si>
  <si>
    <t>Emission coefficients per unit of fuel consumed in the residential sector</t>
  </si>
  <si>
    <t>~COMEMI</t>
  </si>
  <si>
    <t>*</t>
  </si>
  <si>
    <t>Base-year infrastructure for residential fuels</t>
  </si>
  <si>
    <t>~FI_T</t>
  </si>
  <si>
    <t>~FI_Process</t>
  </si>
  <si>
    <t>TechName</t>
  </si>
  <si>
    <t>TechDesc</t>
  </si>
  <si>
    <t>Comm-IN</t>
  </si>
  <si>
    <t>Comm-OUT</t>
  </si>
  <si>
    <t>EFF</t>
  </si>
  <si>
    <t>NCAP_BND~UP~0</t>
  </si>
  <si>
    <t>Life</t>
  </si>
  <si>
    <t>INVCOST</t>
  </si>
  <si>
    <t>VAROM</t>
  </si>
  <si>
    <t>FIXOM</t>
  </si>
  <si>
    <t>DELIV</t>
  </si>
  <si>
    <t>Sets</t>
  </si>
  <si>
    <t>Tact</t>
  </si>
  <si>
    <t>Tcap</t>
  </si>
  <si>
    <t>Tslvl</t>
  </si>
  <si>
    <t>PrimaryCG</t>
  </si>
  <si>
    <t>\I: Units</t>
  </si>
  <si>
    <t>€/GJa</t>
  </si>
  <si>
    <t>€/GJ</t>
  </si>
  <si>
    <t>PRE</t>
  </si>
  <si>
    <t>PJa</t>
  </si>
  <si>
    <t>Input data for Irish TIMES</t>
  </si>
  <si>
    <t>Dwelling stock</t>
  </si>
  <si>
    <t>*TechDesc</t>
  </si>
  <si>
    <t>Stock</t>
  </si>
  <si>
    <t>LIFE</t>
  </si>
  <si>
    <t>Cap2Act</t>
  </si>
  <si>
    <t>Vintage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</si>
  <si>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</si>
  <si>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</si>
  <si>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</si>
  <si>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</si>
  <si>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</si>
  <si>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</si>
  <si>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</si>
  <si>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</si>
  <si>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</si>
  <si>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</si>
  <si>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</si>
  <si>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</si>
  <si>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2016 Census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</si>
  <si>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</si>
  <si>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</si>
  <si>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</si>
  <si>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</si>
  <si>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</si>
  <si>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</si>
  <si>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</si>
  <si>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</si>
  <si>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</si>
  <si>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</si>
  <si>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</si>
  <si>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</si>
  <si>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</si>
  <si>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</si>
  <si>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</si>
  <si>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</si>
  <si>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</si>
  <si>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</si>
  <si>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</si>
  <si>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</si>
  <si>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</si>
  <si>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</si>
  <si>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</si>
  <si>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</si>
  <si>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</si>
  <si>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</si>
  <si>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</si>
  <si>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</si>
  <si>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</si>
  <si>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</si>
  <si>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</si>
  <si>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</si>
  <si>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</si>
  <si>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</si>
  <si>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</si>
  <si>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</si>
  <si>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</si>
  <si>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</si>
  <si>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</si>
  <si>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</si>
  <si>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</si>
  <si>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</si>
  <si>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</si>
  <si>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</si>
  <si>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</si>
  <si>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</si>
  <si>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</si>
  <si>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</si>
  <si>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</si>
  <si>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</si>
  <si>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</si>
  <si>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</si>
  <si>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</si>
  <si>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</si>
  <si>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</si>
  <si>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</si>
  <si>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</si>
  <si>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</si>
  <si>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</si>
  <si>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</si>
  <si>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</si>
  <si>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</si>
  <si>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</si>
  <si>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</si>
  <si>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</si>
  <si>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</si>
  <si>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</si>
  <si>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</si>
  <si>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</si>
  <si>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</si>
  <si>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</si>
  <si>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</si>
  <si>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</si>
  <si>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</si>
  <si>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</si>
  <si>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</si>
  <si>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</si>
  <si>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</si>
  <si>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</si>
  <si>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</si>
  <si>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</si>
  <si>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</si>
  <si>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</si>
  <si>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</si>
  <si>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</si>
  <si>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</si>
  <si>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</si>
  <si>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</si>
  <si>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</si>
  <si>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</si>
  <si>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</si>
  <si>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</si>
  <si>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</si>
  <si>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</si>
  <si>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</si>
  <si>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</si>
  <si>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</si>
  <si>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</si>
  <si>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</si>
  <si>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</si>
  <si>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</si>
  <si>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</si>
  <si>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</si>
  <si>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</si>
  <si>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</si>
  <si>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</si>
  <si>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</si>
  <si>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</si>
  <si>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</si>
  <si>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</si>
  <si>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</si>
  <si>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</si>
  <si>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</si>
  <si>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</si>
  <si>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</si>
  <si>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</si>
  <si>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</si>
  <si>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</si>
  <si>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</si>
  <si>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</si>
  <si>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</si>
  <si>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</si>
  <si>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</si>
  <si>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</si>
  <si>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</si>
  <si>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</si>
  <si>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</si>
  <si>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</si>
  <si>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</si>
  <si>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</si>
  <si>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</si>
  <si>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</si>
  <si>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</si>
  <si>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</si>
  <si>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</si>
  <si>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</si>
  <si>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</si>
  <si>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</si>
  <si>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</si>
  <si>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</si>
  <si>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</si>
  <si>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</si>
  <si>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</si>
  <si>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</si>
  <si>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</si>
  <si>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Apartment Space Heating Energy</t>
  </si>
  <si>
    <t>Values in Tableau</t>
  </si>
  <si>
    <t>*Stock Share</t>
  </si>
  <si>
    <t>Deliv En</t>
  </si>
  <si>
    <t>Prim En</t>
  </si>
  <si>
    <t>kWh/yr</t>
  </si>
  <si>
    <t>#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</si>
  <si>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</si>
  <si>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</si>
  <si>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</si>
  <si>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</si>
  <si>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</si>
  <si>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</si>
  <si>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</si>
  <si>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</si>
  <si>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</si>
  <si>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</si>
  <si>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</si>
  <si>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</si>
  <si>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</si>
  <si>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</si>
  <si>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</si>
  <si>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</si>
  <si>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</si>
  <si>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</si>
  <si>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</si>
  <si>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RSDBIO</t>
  </si>
  <si>
    <t>Null</t>
  </si>
  <si>
    <t>RSDHET</t>
  </si>
  <si>
    <t>MainWaterHeatingFuel</t>
  </si>
  <si>
    <t>Input</t>
  </si>
  <si>
    <t>RSDCOA</t>
  </si>
  <si>
    <t xml:space="preserve">Space Heat adjustment </t>
  </si>
  <si>
    <t>Base year demand (PJ)</t>
  </si>
  <si>
    <t>~FI_T:</t>
  </si>
  <si>
    <t>\I:</t>
  </si>
  <si>
    <t>AuD</t>
  </si>
  <si>
    <t>AuE</t>
  </si>
  <si>
    <t>AuN</t>
  </si>
  <si>
    <t>AuP</t>
  </si>
  <si>
    <t>SpD</t>
  </si>
  <si>
    <t>SpE</t>
  </si>
  <si>
    <t>SpN</t>
  </si>
  <si>
    <t>SpP</t>
  </si>
  <si>
    <t>SuD</t>
  </si>
  <si>
    <t>SuE</t>
  </si>
  <si>
    <t>SuN</t>
  </si>
  <si>
    <t>SuP</t>
  </si>
  <si>
    <t>WiD</t>
  </si>
  <si>
    <t>WiE</t>
  </si>
  <si>
    <t>WiN</t>
  </si>
  <si>
    <t>WiP</t>
  </si>
  <si>
    <t>*Driver</t>
  </si>
  <si>
    <t>COM_FR</t>
  </si>
  <si>
    <t>UKTM_v1.2.3</t>
  </si>
  <si>
    <t>RCH</t>
  </si>
  <si>
    <t>RECR</t>
  </si>
  <si>
    <t>REW</t>
  </si>
  <si>
    <t>REA</t>
  </si>
  <si>
    <t>REO</t>
  </si>
  <si>
    <t>Base-year technologies for residential - Cooking</t>
  </si>
  <si>
    <t>End-Use</t>
  </si>
  <si>
    <t>\I:Technology Shares</t>
  </si>
  <si>
    <t>Final Energy</t>
  </si>
  <si>
    <t>Final Energy SEAI</t>
  </si>
  <si>
    <t>Cap2Act-assumption</t>
  </si>
  <si>
    <t>Stock-assumption</t>
  </si>
  <si>
    <t>\I: Unit</t>
  </si>
  <si>
    <t>% of Final Energy</t>
  </si>
  <si>
    <t>TJ/Unit - delivered/year</t>
  </si>
  <si>
    <t>'000 Units</t>
  </si>
  <si>
    <t>Years</t>
  </si>
  <si>
    <t>kEur/Unit per Year</t>
  </si>
  <si>
    <t>\I:TOTAL</t>
  </si>
  <si>
    <t>Base-year technologies for residential - Refrigeration</t>
  </si>
  <si>
    <t>Base-year technologies for residential - Cloth washing</t>
  </si>
  <si>
    <t>Base-year technologies for residential - Cloth drying</t>
  </si>
  <si>
    <t>Proportion of households with clothes drying equipment</t>
  </si>
  <si>
    <t>Base-year technologies for residential - Dish washing</t>
  </si>
  <si>
    <t>Proportion of households with dish washing equipment</t>
  </si>
  <si>
    <t>Base-year technologies for residential - Other electricity</t>
  </si>
  <si>
    <t>Base-year technologies for residential - Other energy</t>
  </si>
  <si>
    <t>Input~2050</t>
  </si>
  <si>
    <t>(%)</t>
  </si>
  <si>
    <t>ROENGEN_00</t>
  </si>
  <si>
    <t>RSDLPG</t>
  </si>
  <si>
    <t>RSDOIL</t>
  </si>
  <si>
    <t>RSDGAS</t>
  </si>
  <si>
    <t>RSDSOL</t>
  </si>
  <si>
    <t>RSDGEO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</si>
  <si>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</si>
  <si>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</si>
  <si>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</si>
  <si>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</si>
  <si>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</si>
  <si>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</si>
  <si>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</si>
  <si>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</si>
  <si>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</si>
  <si>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</si>
  <si>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</si>
  <si>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</si>
  <si>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</si>
  <si>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</si>
  <si>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</si>
  <si>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</si>
  <si>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</si>
  <si>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</si>
  <si>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</si>
  <si>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Manufactured Smokeless Fuel</t>
  </si>
  <si>
    <t>Electricity - Standard Domesti</t>
  </si>
  <si>
    <t>Sod Peat</t>
  </si>
  <si>
    <t>Clare County</t>
  </si>
  <si>
    <t>Wood Logs</t>
  </si>
  <si>
    <t>Anthracite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</si>
  <si>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</si>
  <si>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</si>
  <si>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</si>
  <si>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</si>
  <si>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</si>
  <si>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</si>
  <si>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</si>
  <si>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</si>
  <si>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</si>
  <si>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</si>
  <si>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</si>
  <si>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</si>
  <si>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</si>
  <si>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</si>
  <si>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</si>
  <si>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</si>
  <si>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</si>
  <si>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</si>
  <si>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</si>
  <si>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</si>
  <si>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</si>
  <si>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</si>
  <si>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</si>
  <si>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</si>
  <si>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</si>
  <si>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</si>
  <si>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</si>
  <si>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</si>
  <si>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</si>
  <si>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</si>
  <si>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</si>
  <si>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</si>
  <si>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</si>
  <si>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</si>
  <si>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</si>
  <si>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</si>
  <si>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</si>
  <si>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</si>
  <si>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</si>
  <si>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</si>
  <si>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</si>
  <si>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</si>
  <si>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</si>
  <si>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</si>
  <si>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</si>
  <si>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</si>
  <si>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</si>
  <si>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</si>
  <si>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</si>
  <si>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</si>
  <si>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</si>
  <si>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PF</t>
  </si>
  <si>
    <t>Residential Pumps &amp; Fans</t>
  </si>
  <si>
    <t>http://www.epa.ie/pubs/reports/air/airemissions/Emission%20Factors%20for%202019%20V1816122019.pdf</t>
  </si>
  <si>
    <t>-EGHP-</t>
  </si>
  <si>
    <t>Electrical Ground Sourced Heat Pump</t>
  </si>
  <si>
    <t>Electrical Air Sourced Heat Pump</t>
  </si>
  <si>
    <t>-EAHP-</t>
  </si>
  <si>
    <t>-AHP-</t>
  </si>
  <si>
    <t>Absorption Heat Pump</t>
  </si>
  <si>
    <t>* Space Heating Device</t>
  </si>
  <si>
    <t>-F-</t>
  </si>
  <si>
    <t>Boiler</t>
  </si>
  <si>
    <t>-B-</t>
  </si>
  <si>
    <t>-S</t>
  </si>
  <si>
    <t>Stove</t>
  </si>
  <si>
    <t>Furance</t>
  </si>
  <si>
    <t>Open Fire</t>
  </si>
  <si>
    <t>-OF-</t>
  </si>
  <si>
    <t>Emission - Dynamic coefficients</t>
  </si>
  <si>
    <t>RESCOK</t>
  </si>
  <si>
    <t>RESCOA</t>
  </si>
  <si>
    <t>RESKER</t>
  </si>
  <si>
    <t>RESLFO</t>
  </si>
  <si>
    <t>RESLPG</t>
  </si>
  <si>
    <t>RESMAINSGAS</t>
  </si>
  <si>
    <t>RESHOUSEGAS</t>
  </si>
  <si>
    <t>RESMAINSBOM</t>
  </si>
  <si>
    <t>RESHOUSEBOM</t>
  </si>
  <si>
    <t>RESWOD</t>
  </si>
  <si>
    <t>RESPELH</t>
  </si>
  <si>
    <t>RESBIOLFO</t>
  </si>
  <si>
    <t>RESHYG</t>
  </si>
  <si>
    <t>RESMSWINO</t>
  </si>
  <si>
    <t>RESMSWORG</t>
  </si>
  <si>
    <t>Plain English  commodity description ("CommName" column to the right)</t>
  </si>
  <si>
    <t>Coke for the residential sector</t>
  </si>
  <si>
    <t>Coal for the residential sector</t>
  </si>
  <si>
    <t>Kerosene (heating oil) for the residential sector</t>
  </si>
  <si>
    <t>Light fuel oil for the residential sector</t>
  </si>
  <si>
    <t>Liquified petroleum gas for the residential sector</t>
  </si>
  <si>
    <t>Natural gas for the residential sector (after distribution grid)</t>
  </si>
  <si>
    <t>Natural gas for the residential sector (after service pipelines)</t>
  </si>
  <si>
    <t>Biomethane for the residential sector (after distribution grid)</t>
  </si>
  <si>
    <t>Biomethane for the residential sector (after service pipelines)</t>
  </si>
  <si>
    <t>Woody energy crops for the residential sector</t>
  </si>
  <si>
    <t>Wood pellets (high quality) for the residential sector</t>
  </si>
  <si>
    <t>Bio-light fuel oil for the residential sector</t>
  </si>
  <si>
    <t>Hydrogen (gaseous) for the residential sector (before distribution grid)</t>
  </si>
  <si>
    <t>Inorganic waste for the residential sector</t>
  </si>
  <si>
    <t>Organic waste for the residential sector</t>
  </si>
  <si>
    <t>energy-related CO2 (sector-wise accounting system, residential sector)</t>
  </si>
  <si>
    <t>RESCO2N</t>
  </si>
  <si>
    <t>energy-related CH4 (sector-wise accounting system, residential sector)</t>
  </si>
  <si>
    <t>RESCH4N</t>
  </si>
  <si>
    <t>energy-related N2O (sector-wise accounting system, residential sector)</t>
  </si>
  <si>
    <t>RESN2ON</t>
  </si>
  <si>
    <t>CH4 (aggregate accounting system)</t>
  </si>
  <si>
    <t>CH4TOT</t>
  </si>
  <si>
    <t>N2O (aggregate accounting system)</t>
  </si>
  <si>
    <t>N2OTOT</t>
  </si>
  <si>
    <t>Air quality emissions</t>
  </si>
  <si>
    <t>Air quality emission factors</t>
  </si>
  <si>
    <t>Inorganic waste for the services sector</t>
  </si>
  <si>
    <t>Organic waste for the services sector</t>
  </si>
  <si>
    <t>PM10, residential sector (sector-wise accounting)</t>
  </si>
  <si>
    <t>PM10</t>
  </si>
  <si>
    <t>RESPM10</t>
  </si>
  <si>
    <t>PM2.5, residential sector (sector-wise accounting)</t>
  </si>
  <si>
    <t>PM2.5</t>
  </si>
  <si>
    <t>RESPM25</t>
  </si>
  <si>
    <t>NOx, residential sector (sector-wise accounting)</t>
  </si>
  <si>
    <t>NOx as NO2</t>
  </si>
  <si>
    <t>RESNOX</t>
  </si>
  <si>
    <t>SO2, residential sector (sector-wise accounting)</t>
  </si>
  <si>
    <t>SO2</t>
  </si>
  <si>
    <t>RESSO2</t>
  </si>
  <si>
    <t>NH3, residential sector (sector-wise accounting)</t>
  </si>
  <si>
    <t>NH3</t>
  </si>
  <si>
    <t>RESNH3</t>
  </si>
  <si>
    <t>Non Methane VOC, residential sector (sector-wise accounting)</t>
  </si>
  <si>
    <t>Non Methane VOC</t>
  </si>
  <si>
    <t>RESVOC</t>
  </si>
  <si>
    <t xml:space="preserve">UK TIMES - Not Used </t>
  </si>
  <si>
    <t>-DH-</t>
  </si>
  <si>
    <t>District Heating</t>
  </si>
  <si>
    <t>*Correction Factor</t>
  </si>
  <si>
    <t>INF</t>
  </si>
  <si>
    <t>Infrastructure</t>
  </si>
  <si>
    <t>FLO_SHAR~UP~2020</t>
  </si>
  <si>
    <t>*Units</t>
  </si>
  <si>
    <t>PEA</t>
  </si>
  <si>
    <t>RSDSMF</t>
  </si>
  <si>
    <t>Apartment Water Heating Energy</t>
  </si>
  <si>
    <t>COMEMI</t>
  </si>
  <si>
    <t>17th August 2020</t>
  </si>
  <si>
    <t>Milion Euro 2018?</t>
  </si>
  <si>
    <t>-EWHP-</t>
  </si>
  <si>
    <t>Electrical Water Sourced Heat Pump</t>
  </si>
  <si>
    <t xml:space="preserve">Data for assigning end use fuel type, eg. Boiler,Open Fire, GSHP, etc. </t>
  </si>
  <si>
    <t>'#</t>
  </si>
  <si>
    <t>*'%</t>
  </si>
  <si>
    <t>*'Avg. HSMainSystemEfficiency</t>
  </si>
  <si>
    <t>CalculatedWaterDeliveredEnergy</t>
  </si>
  <si>
    <t>CalculatedWaterPrimaryEnergy</t>
  </si>
  <si>
    <t>Apartment Space Heating</t>
  </si>
  <si>
    <t>Apartment Water Heating</t>
  </si>
  <si>
    <t>Apartment Lighting</t>
  </si>
  <si>
    <t>Apartment Pumps &amp; Fans</t>
  </si>
  <si>
    <t>Attached Space Heating Energy</t>
  </si>
  <si>
    <t>Attached Water Heating Energy</t>
  </si>
  <si>
    <t>Attached Water Heating</t>
  </si>
  <si>
    <t>RSD</t>
  </si>
  <si>
    <t>Attached Lighting</t>
  </si>
  <si>
    <t>Attached Pumps &amp; Fans</t>
  </si>
  <si>
    <t>Detached Space Heating Energy</t>
  </si>
  <si>
    <t>Detached Space Heating</t>
  </si>
  <si>
    <t>Attached Space Heating</t>
  </si>
  <si>
    <t>Detached Water Heating Energy</t>
  </si>
  <si>
    <t>Detached Water Heating</t>
  </si>
  <si>
    <t>SMF</t>
  </si>
  <si>
    <t>1 kWh/yr</t>
  </si>
  <si>
    <t>From SEAI 2018 Report - https://www.seai.ie/publications/Energy-in-the-Residential-Sector-2018-Final.pdf</t>
  </si>
  <si>
    <t>SEAI Energy Balance 2018</t>
  </si>
  <si>
    <t>Total/EndUse</t>
  </si>
  <si>
    <t>https://storage.topten.eu/source/files/WhiteGoods_in_Europe_June15.pdf</t>
  </si>
  <si>
    <t>kWh/yr/unit</t>
  </si>
  <si>
    <t>Item</t>
  </si>
  <si>
    <t>Ownership</t>
  </si>
  <si>
    <t>L&amp;P</t>
  </si>
  <si>
    <t>Water</t>
  </si>
  <si>
    <t>Space 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</si>
</sst>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1">
    <numFmt numFmtId="41" formatCode="_-* #,##0_-;\-* #,##0_-;_-* &quot;-&quot;_-;_-@_-"/>
    <numFmt numFmtId="43" formatCode="_-* #,##0.00_-;\-* #,##0.00_-;_-* &quot;-&quot;??_-;_-@_-"/>
    <numFmt numFmtId="164" formatCode="&quot;$&quot;#,##0_);\(&quot;$&quot;#,##0\)"/>
    <numFmt numFmtId="165" formatCode="_(&quot;$&quot;* #,##0.00_);_(&quot;$&quot;* \(#,##0.00\);_(&quot;$&quot;* &quot;-&quot;??_);_(@_)"/>
    <numFmt numFmtId="166" formatCode="0.0"/>
    <numFmt numFmtId="167" formatCode="0.0%"/>
    <numFmt numFmtId="168" formatCode="0.0000"/>
    <numFmt numFmtId="169" formatCode="0.000"/>
    <numFmt numFmtId="170" formatCode="0.00000"/>
    <numFmt numFmtId="171" formatCode="_([$€]* #,##0.00_);_([$€]* \(#,##0.00\);_([$€]* &quot;-&quot;??_);_(@_)"/>
    <numFmt numFmtId="172" formatCode="_ * #,##0.00_ ;_ * \-#,##0.00_ ;_ * &quot;-&quot;??_ ;_ @_ "/>
    <numFmt numFmtId="173" formatCode="_ * #,##0_ ;_ * \-#,##0_ ;_ * &quot;-&quot;_ ;_ @_ "/>
    <numFmt numFmtId="174" formatCode="_ &quot;kr&quot;\ * #,##0_ ;_ &quot;kr&quot;\ * \-#,##0_ ;_ &quot;kr&quot;\ * &quot;-&quot;_ ;_ @_ "/>
    <numFmt numFmtId="175" formatCode="_ &quot;kr&quot;\ * #,##0.00_ ;_ &quot;kr&quot;\ * \-#,##0.00_ ;_ &quot;kr&quot;\ * &quot;-&quot;??_ ;_ @_ "/>
    <numFmt numFmtId="176" formatCode="_([$€-2]* #,##0.00_);_([$€-2]* \(#,##0.00\);_([$€-2]* &quot;-&quot;??_)"/>
    <numFmt numFmtId="177" formatCode="_-[$€-2]\ * #,##0.00_-;\-[$€-2]\ * #,##0.00_-;_-[$€-2]\ * &quot;-&quot;??_-"/>
    <numFmt numFmtId="178" formatCode="#,##0;\-\ #,##0;_-\ &quot;- &quot;"/>
    <numFmt numFmtId="179" formatCode="\Te\x\t"/>
    <numFmt numFmtId="180" formatCode="dd/mm/yyyy;@"/>
    <numFmt numFmtId="181" formatCode="_-&quot;€&quot;\ * #,##0.00_-;\-&quot;€&quot;\ * #,##0.00_-;_-&quot;€&quot;\ * &quot;-&quot;??_-;_-@_-"/>
    <numFmt numFmtId="182" formatCode="\(##\);\(##\)"/>
    <numFmt numFmtId="183" formatCode="#,##0.0"/>
    <numFmt numFmtId="184" formatCode="_-[$€]* #,##0.00_-;\-[$€]* #,##0.00_-;_-[$€]* &quot;-&quot;??_-;_-@_-"/>
    <numFmt numFmtId="185" formatCode="#,##0.0000"/>
    <numFmt numFmtId="186" formatCode="_-&quot;$&quot;* #,##0.00_-;\-&quot;$&quot;* #,##0.00_-;_-&quot;$&quot;* &quot;-&quot;??_-;_-@_-"/>
    <numFmt numFmtId="187" formatCode="General_)"/>
    <numFmt numFmtId="188" formatCode="_-* #,##0.00\ &quot;€&quot;_-;\-* #,##0.00\ &quot;€&quot;_-;_-* &quot;-&quot;??\ &quot;€&quot;_-;_-@_-"/>
    <numFmt numFmtId="189" formatCode="_-* #,##0.00\ _€_-;\-* #,##0.00\ _€_-;_-* &quot;-&quot;??\ _€_-;_-@_-"/>
    <numFmt numFmtId="190" formatCode="&quot;€&quot;#,##0"/>
    <numFmt numFmtId="191" formatCode="#,##0.00_ ;[Red]\-#,##0.00\ "/>
    <numFmt numFmtId="192" formatCode="0.000000"/>
  </numFmts>
  <fonts count="16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4"/>
      <color indexed="9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10"/>
      <color indexed="8"/>
      <name val="Tahoma"/>
      <family val="2"/>
    </font>
    <font>
      <sz val="10"/>
      <color indexed="8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name val="Helvetica"/>
    </font>
    <font>
      <b/>
      <sz val="12"/>
      <name val="Arial"/>
      <family val="2"/>
    </font>
    <font>
      <sz val="8"/>
      <color indexed="9"/>
      <name val="Arial"/>
      <family val="2"/>
    </font>
    <font>
      <sz val="10"/>
      <name val="Arial"/>
      <family val="2"/>
    </font>
    <font>
      <sz val="10"/>
      <name val="Courier"/>
      <family val="3"/>
    </font>
    <font>
      <sz val="10"/>
      <name val="Myriad Pro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MS Sans Serif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9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0"/>
      <color indexed="10"/>
      <name val="Calibri"/>
      <family val="2"/>
      <scheme val="minor"/>
    </font>
    <font>
      <sz val="11"/>
      <color indexed="9"/>
      <name val="Calibri"/>
      <family val="2"/>
      <scheme val="minor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0"/>
      <name val="Arial"/>
      <family val="2"/>
      <charset val="238"/>
    </font>
    <font>
      <b/>
      <sz val="11"/>
      <color indexed="8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0"/>
      <color theme="4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sz val="10"/>
      <name val="Verdana"/>
      <family val="2"/>
    </font>
    <font>
      <sz val="11"/>
      <color theme="1"/>
      <name val="Calibri"/>
      <family val="2"/>
      <charset val="186"/>
      <scheme val="minor"/>
    </font>
    <font>
      <b/>
      <sz val="9"/>
      <name val="Times New Roman"/>
      <family val="1"/>
    </font>
    <font>
      <sz val="12"/>
      <name val="Arial"/>
      <family val="2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u/>
      <sz val="12"/>
      <color indexed="20"/>
      <name val="宋体"/>
      <charset val="134"/>
    </font>
    <font>
      <b/>
      <sz val="11"/>
      <color theme="0"/>
      <name val="Calibri"/>
      <family val="2"/>
    </font>
    <font>
      <sz val="11"/>
      <color rgb="FF000098"/>
      <name val="Calibri"/>
      <family val="2"/>
    </font>
    <font>
      <sz val="12"/>
      <color theme="1"/>
      <name val="Myriad Pro"/>
      <family val="2"/>
    </font>
    <font>
      <u/>
      <sz val="9.9"/>
      <color theme="10"/>
      <name val="Calibri"/>
      <family val="2"/>
    </font>
    <font>
      <sz val="11"/>
      <color indexed="60"/>
      <name val="Calibri"/>
      <family val="2"/>
      <charset val="161"/>
    </font>
    <font>
      <b/>
      <sz val="11"/>
      <color indexed="10"/>
      <name val="Calibri"/>
      <family val="2"/>
    </font>
    <font>
      <sz val="10"/>
      <name val="Times New Roman"/>
      <family val="1"/>
    </font>
    <font>
      <sz val="12"/>
      <color indexed="8"/>
      <name val="Times New Roman"/>
      <family val="1"/>
    </font>
    <font>
      <sz val="11"/>
      <color indexed="8"/>
      <name val="Arial"/>
      <family val="2"/>
    </font>
    <font>
      <sz val="10"/>
      <name val="Arial Cyr"/>
      <charset val="204"/>
    </font>
    <font>
      <b/>
      <sz val="12"/>
      <color indexed="8"/>
      <name val="Times New Roman"/>
      <family val="1"/>
    </font>
    <font>
      <u/>
      <sz val="10"/>
      <color indexed="12"/>
      <name val="Times New Roman"/>
      <family val="1"/>
    </font>
    <font>
      <b/>
      <sz val="11"/>
      <color indexed="62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sz val="10"/>
      <name val="Calibri"/>
      <family val="2"/>
    </font>
    <font>
      <u/>
      <sz val="11"/>
      <color theme="10"/>
      <name val="Calibri"/>
      <family val="2"/>
    </font>
    <font>
      <sz val="8"/>
      <name val="Tahoma"/>
      <family val="2"/>
    </font>
    <font>
      <sz val="10"/>
      <color indexed="8"/>
      <name val="MS Sans Serif"/>
      <family val="2"/>
    </font>
    <font>
      <b/>
      <sz val="12.6"/>
      <color indexed="8"/>
      <name val="Times New Roman"/>
      <family val="1"/>
    </font>
    <font>
      <u/>
      <sz val="11"/>
      <color theme="1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i/>
      <sz val="10"/>
      <name val="Arial"/>
      <family val="2"/>
    </font>
    <font>
      <sz val="11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1"/>
      <color indexed="62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10"/>
      <name val="Arial"/>
      <family val="2"/>
    </font>
    <font>
      <sz val="11"/>
      <name val="Arial"/>
      <family val="2"/>
    </font>
    <font>
      <u/>
      <sz val="12"/>
      <color indexed="20"/>
      <name val="??"/>
      <charset val="134"/>
    </font>
    <font>
      <sz val="11"/>
      <color rgb="FF9C6500"/>
      <name val="Calibri"/>
      <family val="2"/>
      <charset val="161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4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indexed="20"/>
      <name val="Arial"/>
      <family val="2"/>
    </font>
    <font>
      <b/>
      <sz val="10"/>
      <color theme="0"/>
      <name val="Calibri"/>
      <family val="2"/>
      <scheme val="minor"/>
    </font>
  </fonts>
  <fills count="10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EB9C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rgb="FF1B429A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darkTrellis"/>
    </fill>
    <fill>
      <patternFill patternType="solid">
        <fgColor rgb="FFC2D69A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</fills>
  <borders count="21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6AB0E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6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medium">
        <color indexed="64"/>
      </right>
      <top style="thin">
        <color theme="0"/>
      </top>
      <bottom/>
      <diagonal/>
    </border>
    <border>
      <left style="medium">
        <color indexed="64"/>
      </left>
      <right style="thin">
        <color theme="0"/>
      </right>
      <top/>
      <bottom style="medium">
        <color indexed="64"/>
      </bottom>
      <diagonal/>
    </border>
    <border>
      <left style="thin">
        <color theme="0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medium">
        <color indexed="64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46495">
    <xf numFmtId="0" fontId="0" fillId="0" borderId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171" fontId="24" fillId="0" borderId="0" applyFont="0" applyFill="0" applyBorder="0" applyAlignment="0" applyProtection="0"/>
    <xf numFmtId="171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15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1" fillId="0" borderId="0"/>
    <xf numFmtId="0" fontId="15" fillId="0" borderId="0"/>
    <xf numFmtId="0" fontId="15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0" borderId="0"/>
    <xf numFmtId="0" fontId="4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0" borderId="0"/>
    <xf numFmtId="0" fontId="4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0" borderId="0"/>
    <xf numFmtId="0" fontId="4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0" borderId="0"/>
    <xf numFmtId="0" fontId="4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8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8" fillId="0" borderId="0"/>
    <xf numFmtId="0" fontId="15" fillId="0" borderId="0"/>
    <xf numFmtId="0" fontId="5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1" fillId="0" borderId="0"/>
    <xf numFmtId="0" fontId="5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1" fillId="0" borderId="0"/>
    <xf numFmtId="0" fontId="15" fillId="0" borderId="0"/>
    <xf numFmtId="0" fontId="15" fillId="0" borderId="0"/>
    <xf numFmtId="0" fontId="5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0" borderId="0"/>
    <xf numFmtId="0" fontId="26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178" fontId="15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9" fontId="1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6" fillId="0" borderId="0" applyFont="0" applyFill="0" applyBorder="0" applyAlignment="0" applyProtection="0"/>
    <xf numFmtId="172" fontId="43" fillId="0" borderId="0" applyFont="0" applyFill="0" applyBorder="0" applyAlignment="0" applyProtection="0"/>
    <xf numFmtId="173" fontId="43" fillId="0" borderId="0" applyFont="0" applyFill="0" applyBorder="0" applyAlignment="0" applyProtection="0"/>
    <xf numFmtId="174" fontId="43" fillId="0" borderId="0" applyFont="0" applyFill="0" applyBorder="0" applyAlignment="0" applyProtection="0"/>
    <xf numFmtId="0" fontId="15" fillId="0" borderId="9" applyNumberFormat="0" applyFill="0" applyProtection="0">
      <alignment horizontal="right"/>
    </xf>
    <xf numFmtId="0" fontId="15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44" fillId="24" borderId="0" applyNumberFormat="0" applyBorder="0" applyProtection="0">
      <alignment horizontal="left"/>
    </xf>
    <xf numFmtId="0" fontId="16" fillId="24" borderId="9" applyNumberFormat="0" applyProtection="0">
      <alignment horizontal="left"/>
    </xf>
    <xf numFmtId="0" fontId="15" fillId="0" borderId="9" applyNumberFormat="0" applyFill="0" applyProtection="0">
      <alignment horizontal="right"/>
    </xf>
    <xf numFmtId="0" fontId="15" fillId="0" borderId="9" applyNumberFormat="0" applyFill="0" applyProtection="0">
      <alignment horizontal="right"/>
    </xf>
    <xf numFmtId="0" fontId="45" fillId="25" borderId="0" applyNumberFormat="0" applyBorder="0" applyProtection="0">
      <alignment horizontal="left"/>
    </xf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175" fontId="43" fillId="0" borderId="0" applyFon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53" fillId="0" borderId="0"/>
    <xf numFmtId="0" fontId="14" fillId="0" borderId="0"/>
    <xf numFmtId="0" fontId="23" fillId="0" borderId="0"/>
    <xf numFmtId="0" fontId="61" fillId="41" borderId="0" applyNumberFormat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1" fontId="14" fillId="0" borderId="0" applyFont="0" applyFill="0" applyBorder="0" applyAlignment="0" applyProtection="0"/>
    <xf numFmtId="11" fontId="14" fillId="0" borderId="0" applyFont="0" applyFill="0" applyBorder="0" applyAlignment="0" applyProtection="0"/>
    <xf numFmtId="1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2" fillId="0" borderId="0"/>
    <xf numFmtId="0" fontId="14" fillId="0" borderId="0"/>
    <xf numFmtId="0" fontId="12" fillId="0" borderId="0"/>
    <xf numFmtId="0" fontId="14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2" fillId="0" borderId="0"/>
    <xf numFmtId="0" fontId="23" fillId="0" borderId="0"/>
    <xf numFmtId="0" fontId="12" fillId="0" borderId="0"/>
    <xf numFmtId="43" fontId="14" fillId="0" borderId="0" applyFont="0" applyFill="0" applyBorder="0" applyAlignment="0" applyProtection="0"/>
    <xf numFmtId="0" fontId="12" fillId="0" borderId="0"/>
    <xf numFmtId="0" fontId="14" fillId="0" borderId="0"/>
    <xf numFmtId="0" fontId="14" fillId="0" borderId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23" borderId="7" applyNumberFormat="0" applyFont="0" applyAlignment="0" applyProtection="0"/>
    <xf numFmtId="0" fontId="12" fillId="0" borderId="0"/>
    <xf numFmtId="0" fontId="14" fillId="0" borderId="0"/>
    <xf numFmtId="0" fontId="77" fillId="2" borderId="0" applyNumberFormat="0" applyBorder="0" applyAlignment="0" applyProtection="0"/>
    <xf numFmtId="0" fontId="77" fillId="3" borderId="0" applyNumberFormat="0" applyBorder="0" applyAlignment="0" applyProtection="0"/>
    <xf numFmtId="0" fontId="77" fillId="4" borderId="0" applyNumberFormat="0" applyBorder="0" applyAlignment="0" applyProtection="0"/>
    <xf numFmtId="0" fontId="77" fillId="5" borderId="0" applyNumberFormat="0" applyBorder="0" applyAlignment="0" applyProtection="0"/>
    <xf numFmtId="0" fontId="77" fillId="6" borderId="0" applyNumberFormat="0" applyBorder="0" applyAlignment="0" applyProtection="0"/>
    <xf numFmtId="0" fontId="77" fillId="7" borderId="0" applyNumberFormat="0" applyBorder="0" applyAlignment="0" applyProtection="0"/>
    <xf numFmtId="0" fontId="77" fillId="8" borderId="0" applyNumberFormat="0" applyBorder="0" applyAlignment="0" applyProtection="0"/>
    <xf numFmtId="0" fontId="77" fillId="9" borderId="0" applyNumberFormat="0" applyBorder="0" applyAlignment="0" applyProtection="0"/>
    <xf numFmtId="0" fontId="77" fillId="10" borderId="0" applyNumberFormat="0" applyBorder="0" applyAlignment="0" applyProtection="0"/>
    <xf numFmtId="0" fontId="77" fillId="5" borderId="0" applyNumberFormat="0" applyBorder="0" applyAlignment="0" applyProtection="0"/>
    <xf numFmtId="0" fontId="77" fillId="8" borderId="0" applyNumberFormat="0" applyBorder="0" applyAlignment="0" applyProtection="0"/>
    <xf numFmtId="0" fontId="77" fillId="11" borderId="0" applyNumberFormat="0" applyBorder="0" applyAlignment="0" applyProtection="0"/>
    <xf numFmtId="0" fontId="78" fillId="12" borderId="0" applyNumberFormat="0" applyBorder="0" applyAlignment="0" applyProtection="0"/>
    <xf numFmtId="0" fontId="78" fillId="9" borderId="0" applyNumberFormat="0" applyBorder="0" applyAlignment="0" applyProtection="0"/>
    <xf numFmtId="0" fontId="78" fillId="10" borderId="0" applyNumberFormat="0" applyBorder="0" applyAlignment="0" applyProtection="0"/>
    <xf numFmtId="0" fontId="78" fillId="13" borderId="0" applyNumberFormat="0" applyBorder="0" applyAlignment="0" applyProtection="0"/>
    <xf numFmtId="0" fontId="78" fillId="14" borderId="0" applyNumberFormat="0" applyBorder="0" applyAlignment="0" applyProtection="0"/>
    <xf numFmtId="0" fontId="78" fillId="15" borderId="0" applyNumberFormat="0" applyBorder="0" applyAlignment="0" applyProtection="0"/>
    <xf numFmtId="0" fontId="79" fillId="7" borderId="1" applyNumberFormat="0" applyAlignment="0" applyProtection="0"/>
    <xf numFmtId="0" fontId="80" fillId="0" borderId="0" applyNumberFormat="0" applyFill="0" applyBorder="0" applyAlignment="0" applyProtection="0"/>
    <xf numFmtId="0" fontId="81" fillId="0" borderId="3" applyNumberFormat="0" applyFill="0" applyAlignment="0" applyProtection="0"/>
    <xf numFmtId="0" fontId="82" fillId="0" borderId="4" applyNumberFormat="0" applyFill="0" applyAlignment="0" applyProtection="0"/>
    <xf numFmtId="0" fontId="83" fillId="0" borderId="5" applyNumberFormat="0" applyFill="0" applyAlignment="0" applyProtection="0"/>
    <xf numFmtId="0" fontId="83" fillId="0" borderId="0" applyNumberFormat="0" applyFill="0" applyBorder="0" applyAlignment="0" applyProtection="0"/>
    <xf numFmtId="43" fontId="14" fillId="0" borderId="0" applyFont="0" applyFill="0" applyBorder="0" applyAlignment="0" applyProtection="0"/>
    <xf numFmtId="0" fontId="84" fillId="21" borderId="2" applyNumberFormat="0" applyAlignment="0" applyProtection="0"/>
    <xf numFmtId="43" fontId="14" fillId="0" borderId="0" applyFont="0" applyFill="0" applyBorder="0" applyAlignment="0" applyProtection="0"/>
    <xf numFmtId="0" fontId="85" fillId="0" borderId="0" applyNumberFormat="0" applyFill="0" applyBorder="0" applyAlignment="0" applyProtection="0"/>
    <xf numFmtId="0" fontId="17" fillId="47" borderId="0">
      <alignment horizontal="left"/>
    </xf>
    <xf numFmtId="0" fontId="86" fillId="0" borderId="6" applyNumberFormat="0" applyFill="0" applyAlignment="0" applyProtection="0"/>
    <xf numFmtId="0" fontId="77" fillId="23" borderId="7" applyNumberFormat="0" applyFont="0" applyAlignment="0" applyProtection="0"/>
    <xf numFmtId="0" fontId="78" fillId="16" borderId="0" applyNumberFormat="0" applyBorder="0" applyAlignment="0" applyProtection="0"/>
    <xf numFmtId="0" fontId="78" fillId="17" borderId="0" applyNumberFormat="0" applyBorder="0" applyAlignment="0" applyProtection="0"/>
    <xf numFmtId="0" fontId="78" fillId="18" borderId="0" applyNumberFormat="0" applyBorder="0" applyAlignment="0" applyProtection="0"/>
    <xf numFmtId="0" fontId="78" fillId="13" borderId="0" applyNumberFormat="0" applyBorder="0" applyAlignment="0" applyProtection="0"/>
    <xf numFmtId="0" fontId="78" fillId="14" borderId="0" applyNumberFormat="0" applyBorder="0" applyAlignment="0" applyProtection="0"/>
    <xf numFmtId="0" fontId="78" fillId="19" borderId="0" applyNumberFormat="0" applyBorder="0" applyAlignment="0" applyProtection="0"/>
    <xf numFmtId="0" fontId="87" fillId="4" borderId="0" applyNumberFormat="0" applyBorder="0" applyAlignment="0" applyProtection="0"/>
    <xf numFmtId="0" fontId="88" fillId="20" borderId="8" applyNumberFormat="0" applyAlignment="0" applyProtection="0"/>
    <xf numFmtId="0" fontId="89" fillId="0" borderId="0" applyNumberFormat="0" applyFill="0" applyBorder="0" applyAlignment="0" applyProtection="0"/>
    <xf numFmtId="0" fontId="14" fillId="0" borderId="0"/>
    <xf numFmtId="0" fontId="90" fillId="0" borderId="0"/>
    <xf numFmtId="0" fontId="14" fillId="0" borderId="0"/>
    <xf numFmtId="0" fontId="22" fillId="0" borderId="0"/>
    <xf numFmtId="0" fontId="91" fillId="0" borderId="10" applyNumberFormat="0" applyFill="0" applyAlignment="0" applyProtection="0"/>
    <xf numFmtId="9" fontId="14" fillId="0" borderId="0" applyFont="0" applyFill="0" applyBorder="0" applyAlignment="0" applyProtection="0"/>
    <xf numFmtId="0" fontId="92" fillId="3" borderId="0" applyNumberFormat="0" applyBorder="0" applyAlignment="0" applyProtection="0"/>
    <xf numFmtId="0" fontId="93" fillId="22" borderId="0" applyNumberFormat="0" applyBorder="0" applyAlignment="0" applyProtection="0"/>
    <xf numFmtId="0" fontId="94" fillId="20" borderId="1" applyNumberFormat="0" applyAlignment="0" applyProtection="0"/>
    <xf numFmtId="0" fontId="95" fillId="0" borderId="0"/>
    <xf numFmtId="0" fontId="12" fillId="0" borderId="0"/>
    <xf numFmtId="0" fontId="12" fillId="0" borderId="0"/>
    <xf numFmtId="0" fontId="12" fillId="0" borderId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14" fillId="0" borderId="0" applyNumberFormat="0" applyFont="0" applyFill="0" applyBorder="0" applyProtection="0">
      <alignment horizontal="left" vertical="center" indent="5"/>
    </xf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49" fontId="14" fillId="30" borderId="160">
      <alignment vertical="top" wrapText="1"/>
    </xf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7" fillId="0" borderId="148">
      <alignment horizontal="left" vertical="center" wrapText="1" indent="2"/>
    </xf>
    <xf numFmtId="3" fontId="98" fillId="0" borderId="160">
      <alignment horizontal="right" vertical="top"/>
    </xf>
    <xf numFmtId="0" fontId="16" fillId="54" borderId="9">
      <alignment horizontal="centerContinuous" vertical="top" wrapText="1"/>
    </xf>
    <xf numFmtId="0" fontId="99" fillId="0" borderId="0">
      <alignment vertical="top" wrapText="1"/>
    </xf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1" fontId="14" fillId="0" borderId="0" applyFont="0" applyFill="0" applyBorder="0" applyAlignment="0" applyProtection="0"/>
    <xf numFmtId="11" fontId="14" fillId="0" borderId="0" applyFont="0" applyFill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0" applyBorder="0">
      <alignment horizontal="right" vertical="center"/>
    </xf>
    <xf numFmtId="0" fontId="100" fillId="0" borderId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01" fillId="0" borderId="0"/>
    <xf numFmtId="0" fontId="14" fillId="0" borderId="0"/>
    <xf numFmtId="0" fontId="12" fillId="0" borderId="0"/>
    <xf numFmtId="0" fontId="12" fillId="0" borderId="0"/>
    <xf numFmtId="0" fontId="26" fillId="0" borderId="0"/>
    <xf numFmtId="0" fontId="12" fillId="0" borderId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4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0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02" fillId="0" borderId="0"/>
    <xf numFmtId="0" fontId="10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 applyNumberFormat="0" applyFont="0" applyFill="0" applyBorder="0" applyProtection="0">
      <alignment vertical="center"/>
    </xf>
    <xf numFmtId="0" fontId="26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4" fillId="0" borderId="0"/>
    <xf numFmtId="0" fontId="14" fillId="0" borderId="0"/>
    <xf numFmtId="0" fontId="14" fillId="0" borderId="0"/>
    <xf numFmtId="0" fontId="4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8" fillId="0" borderId="0"/>
    <xf numFmtId="0" fontId="12" fillId="0" borderId="0"/>
    <xf numFmtId="0" fontId="48" fillId="0" borderId="0"/>
    <xf numFmtId="0" fontId="48" fillId="0" borderId="0"/>
    <xf numFmtId="0" fontId="48" fillId="0" borderId="0"/>
    <xf numFmtId="0" fontId="12" fillId="0" borderId="0"/>
    <xf numFmtId="0" fontId="14" fillId="0" borderId="0"/>
    <xf numFmtId="0" fontId="4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4" fillId="0" borderId="0"/>
    <xf numFmtId="0" fontId="14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" fontId="97" fillId="0" borderId="9" applyFill="0" applyBorder="0" applyProtection="0">
      <alignment horizontal="right" vertical="center"/>
    </xf>
    <xf numFmtId="4" fontId="97" fillId="0" borderId="9" applyFill="0" applyBorder="0" applyProtection="0">
      <alignment horizontal="right" vertical="center"/>
    </xf>
    <xf numFmtId="4" fontId="97" fillId="0" borderId="9" applyFill="0" applyBorder="0" applyProtection="0">
      <alignment horizontal="right" vertical="center"/>
    </xf>
    <xf numFmtId="0" fontId="103" fillId="0" borderId="0" applyNumberFormat="0" applyFill="0" applyBorder="0" applyProtection="0">
      <alignment horizontal="left" vertical="center"/>
    </xf>
    <xf numFmtId="0" fontId="14" fillId="33" borderId="0" applyNumberFormat="0" applyFont="0" applyBorder="0" applyAlignment="0" applyProtection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04" fillId="0" borderId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182" fontId="105" fillId="0" borderId="0">
      <alignment horizontal="right"/>
    </xf>
    <xf numFmtId="178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99" fillId="0" borderId="0">
      <alignment vertical="top" wrapText="1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0" fontId="40" fillId="0" borderId="0" applyNumberForma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110" fillId="0" borderId="0" applyNumberFormat="0" applyFill="0" applyBorder="0" applyAlignment="0" applyProtection="0">
      <alignment vertical="center"/>
    </xf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4" fillId="0" borderId="0" applyFont="0" applyFill="0" applyBorder="0" applyAlignment="0" applyProtection="0"/>
    <xf numFmtId="0" fontId="14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 applyNumberFormat="0" applyFont="0" applyFill="0" applyBorder="0" applyProtection="0">
      <alignment vertical="center"/>
    </xf>
    <xf numFmtId="9" fontId="12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11" fillId="63" borderId="162"/>
    <xf numFmtId="0" fontId="112" fillId="0" borderId="163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9" fillId="20" borderId="1" applyNumberFormat="0" applyAlignment="0" applyProtection="0"/>
    <xf numFmtId="0" fontId="30" fillId="21" borderId="2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4" fillId="0" borderId="0"/>
    <xf numFmtId="0" fontId="14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2" fillId="0" borderId="0"/>
    <xf numFmtId="0" fontId="48" fillId="0" borderId="0"/>
    <xf numFmtId="0" fontId="48" fillId="0" borderId="0"/>
    <xf numFmtId="0" fontId="48" fillId="0" borderId="0"/>
    <xf numFmtId="0" fontId="14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6" fillId="23" borderId="7" applyNumberFormat="0" applyFont="0" applyAlignment="0" applyProtection="0"/>
    <xf numFmtId="0" fontId="26" fillId="23" borderId="7" applyNumberFormat="0" applyFont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44" fillId="24" borderId="0" applyNumberFormat="0" applyBorder="0" applyProtection="0">
      <alignment horizontal="left"/>
    </xf>
    <xf numFmtId="0" fontId="45" fillId="25" borderId="0" applyNumberFormat="0" applyBorder="0" applyProtection="0">
      <alignment horizontal="left"/>
    </xf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2" fillId="0" borderId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0" fontId="114" fillId="0" borderId="0" applyNumberFormat="0" applyFill="0" applyBorder="0" applyAlignment="0" applyProtection="0">
      <alignment vertical="top"/>
      <protection locked="0"/>
    </xf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0" fontId="115" fillId="22" borderId="0" applyNumberFormat="0" applyBorder="0" applyAlignment="0" applyProtection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2" fillId="0" borderId="0"/>
    <xf numFmtId="0" fontId="26" fillId="0" borderId="0"/>
    <xf numFmtId="0" fontId="12" fillId="0" borderId="0"/>
    <xf numFmtId="0" fontId="12" fillId="0" borderId="0"/>
    <xf numFmtId="0" fontId="26" fillId="0" borderId="0"/>
    <xf numFmtId="0" fontId="26" fillId="0" borderId="0"/>
    <xf numFmtId="0" fontId="14" fillId="0" borderId="0"/>
    <xf numFmtId="0" fontId="1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2" fillId="0" borderId="0"/>
    <xf numFmtId="0" fontId="26" fillId="0" borderId="0"/>
    <xf numFmtId="0" fontId="12" fillId="0" borderId="0"/>
    <xf numFmtId="0" fontId="12" fillId="0" borderId="0"/>
    <xf numFmtId="0" fontId="26" fillId="0" borderId="0"/>
    <xf numFmtId="0" fontId="14" fillId="0" borderId="0"/>
    <xf numFmtId="0" fontId="26" fillId="0" borderId="0"/>
    <xf numFmtId="0" fontId="14" fillId="0" borderId="0"/>
    <xf numFmtId="0" fontId="14" fillId="0" borderId="0" applyNumberFormat="0" applyFont="0" applyFill="0" applyBorder="0" applyAlignment="0" applyProtection="0"/>
    <xf numFmtId="0" fontId="14" fillId="0" borderId="0"/>
    <xf numFmtId="0" fontId="26" fillId="0" borderId="0"/>
    <xf numFmtId="0" fontId="14" fillId="0" borderId="0"/>
    <xf numFmtId="0" fontId="26" fillId="0" borderId="0"/>
    <xf numFmtId="0" fontId="14" fillId="0" borderId="0"/>
    <xf numFmtId="0" fontId="14" fillId="0" borderId="0"/>
    <xf numFmtId="0" fontId="12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9" fontId="12" fillId="0" borderId="0" applyFont="0" applyFill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26" fillId="23" borderId="7" applyNumberFormat="0" applyFont="0" applyAlignment="0" applyProtection="0"/>
    <xf numFmtId="0" fontId="26" fillId="23" borderId="7" applyNumberFormat="0" applyFont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113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4" fillId="0" borderId="0"/>
    <xf numFmtId="0" fontId="12" fillId="0" borderId="0"/>
    <xf numFmtId="0" fontId="14" fillId="0" borderId="0" applyNumberFormat="0" applyFont="0" applyFill="0" applyBorder="0" applyProtection="0">
      <alignment horizontal="left" vertical="center" indent="2"/>
    </xf>
    <xf numFmtId="0" fontId="14" fillId="0" borderId="0" applyNumberFormat="0" applyFont="0" applyFill="0" applyBorder="0" applyProtection="0">
      <alignment horizontal="left" vertical="center" indent="2"/>
    </xf>
    <xf numFmtId="0" fontId="14" fillId="0" borderId="0" applyNumberFormat="0" applyFont="0" applyFill="0" applyBorder="0" applyProtection="0">
      <alignment horizontal="left" vertical="center" indent="2"/>
    </xf>
    <xf numFmtId="4" fontId="97" fillId="38" borderId="0" applyBorder="0">
      <alignment horizontal="right" vertical="center"/>
    </xf>
    <xf numFmtId="43" fontId="117" fillId="0" borderId="0" applyFont="0" applyFill="0" applyBorder="0" applyAlignment="0" applyProtection="0"/>
    <xf numFmtId="0" fontId="96" fillId="0" borderId="0" applyNumberFormat="0">
      <alignment horizontal="right"/>
    </xf>
    <xf numFmtId="0" fontId="96" fillId="0" borderId="151">
      <alignment horizontal="left" vertical="top" wrapText="1"/>
    </xf>
    <xf numFmtId="0" fontId="100" fillId="0" borderId="0" applyNumberFormat="0" applyFill="0" applyBorder="0" applyAlignment="0" applyProtection="0"/>
    <xf numFmtId="0" fontId="12" fillId="0" borderId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33" borderId="0" applyNumberFormat="0" applyFont="0" applyBorder="0" applyAlignment="0" applyProtection="0"/>
    <xf numFmtId="0" fontId="14" fillId="33" borderId="0" applyNumberFormat="0" applyFont="0" applyBorder="0" applyAlignment="0" applyProtection="0"/>
    <xf numFmtId="0" fontId="103" fillId="30" borderId="0" applyBorder="0" applyAlignment="0"/>
    <xf numFmtId="0" fontId="97" fillId="30" borderId="0" applyBorder="0">
      <alignment horizontal="right" vertical="center"/>
    </xf>
    <xf numFmtId="4" fontId="97" fillId="38" borderId="0" applyBorder="0">
      <alignment horizontal="right" vertical="center"/>
    </xf>
    <xf numFmtId="0" fontId="96" fillId="38" borderId="9">
      <alignment horizontal="right" vertical="center"/>
    </xf>
    <xf numFmtId="0" fontId="118" fillId="38" borderId="9">
      <alignment horizontal="right" vertical="center"/>
    </xf>
    <xf numFmtId="0" fontId="96" fillId="32" borderId="9">
      <alignment horizontal="right" vertical="center"/>
    </xf>
    <xf numFmtId="0" fontId="96" fillId="32" borderId="9">
      <alignment horizontal="right" vertical="center"/>
    </xf>
    <xf numFmtId="0" fontId="96" fillId="32" borderId="70">
      <alignment horizontal="right" vertical="center"/>
    </xf>
    <xf numFmtId="0" fontId="96" fillId="32" borderId="145">
      <alignment horizontal="right" vertical="center"/>
    </xf>
    <xf numFmtId="0" fontId="96" fillId="32" borderId="149">
      <alignment horizontal="right" vertical="center"/>
    </xf>
    <xf numFmtId="0" fontId="97" fillId="32" borderId="148">
      <alignment horizontal="left" vertical="center" wrapText="1" indent="2"/>
    </xf>
    <xf numFmtId="0" fontId="97" fillId="38" borderId="145">
      <alignment horizontal="left" vertical="center"/>
    </xf>
    <xf numFmtId="0" fontId="119" fillId="64" borderId="164">
      <alignment horizontal="center" vertical="center" wrapText="1"/>
    </xf>
    <xf numFmtId="0" fontId="14" fillId="0" borderId="22"/>
    <xf numFmtId="0" fontId="120" fillId="0" borderId="11"/>
    <xf numFmtId="0" fontId="97" fillId="0" borderId="9">
      <alignment horizontal="right" vertical="center"/>
    </xf>
    <xf numFmtId="1" fontId="121" fillId="38" borderId="0" applyBorder="0">
      <alignment horizontal="right" vertical="center"/>
    </xf>
    <xf numFmtId="0" fontId="12" fillId="0" borderId="0"/>
    <xf numFmtId="0" fontId="12" fillId="0" borderId="0"/>
    <xf numFmtId="0" fontId="97" fillId="0" borderId="9" applyNumberFormat="0" applyFill="0" applyAlignment="0" applyProtection="0"/>
    <xf numFmtId="0" fontId="97" fillId="33" borderId="9"/>
    <xf numFmtId="0" fontId="14" fillId="0" borderId="0"/>
    <xf numFmtId="0" fontId="122" fillId="0" borderId="0" applyNumberFormat="0" applyFill="0" applyBorder="0" applyAlignment="0" applyProtection="0"/>
    <xf numFmtId="0" fontId="97" fillId="0" borderId="0"/>
    <xf numFmtId="176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85" fontId="97" fillId="0" borderId="0" applyBorder="0">
      <alignment horizontal="right"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171" fontId="14" fillId="0" borderId="0" applyFont="0" applyFill="0" applyBorder="0" applyAlignment="0" applyProtection="0"/>
    <xf numFmtId="0" fontId="12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44" fillId="24" borderId="0" applyNumberFormat="0" applyBorder="0" applyProtection="0">
      <alignment horizontal="lef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5" fillId="25" borderId="0" applyNumberFormat="0" applyBorder="0" applyProtection="0">
      <alignment horizontal="left"/>
    </xf>
    <xf numFmtId="0" fontId="40" fillId="0" borderId="0" applyNumberFormat="0" applyFill="0" applyBorder="0" applyAlignment="0" applyProtection="0"/>
    <xf numFmtId="0" fontId="41" fillId="0" borderId="10" applyNumberFormat="0" applyFill="0" applyAlignment="0" applyProtection="0"/>
    <xf numFmtId="0" fontId="42" fillId="0" borderId="0" applyNumberForma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0" fillId="0" borderId="0" applyNumberFormat="0" applyFont="0" applyFill="0" applyBorder="0" applyProtection="0">
      <alignment horizontal="left" vertical="center" indent="5"/>
    </xf>
    <xf numFmtId="4" fontId="97" fillId="0" borderId="0" applyFill="0" applyBorder="0" applyProtection="0">
      <alignment horizontal="right" vertical="center"/>
    </xf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17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17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17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65" borderId="0" applyNumberFormat="0" applyBorder="0" applyAlignment="0" applyProtection="0"/>
    <xf numFmtId="0" fontId="27" fillId="65" borderId="0" applyNumberFormat="0" applyBorder="0" applyAlignment="0" applyProtection="0"/>
    <xf numFmtId="0" fontId="27" fillId="65" borderId="0" applyNumberFormat="0" applyBorder="0" applyAlignment="0" applyProtection="0"/>
    <xf numFmtId="0" fontId="27" fillId="65" borderId="0" applyNumberFormat="0" applyBorder="0" applyAlignment="0" applyProtection="0"/>
    <xf numFmtId="0" fontId="27" fillId="65" borderId="0" applyNumberFormat="0" applyBorder="0" applyAlignment="0" applyProtection="0"/>
    <xf numFmtId="0" fontId="27" fillId="65" borderId="0" applyNumberFormat="0" applyBorder="0" applyAlignment="0" applyProtection="0"/>
    <xf numFmtId="0" fontId="27" fillId="65" borderId="0" applyNumberFormat="0" applyBorder="0" applyAlignment="0" applyProtection="0"/>
    <xf numFmtId="0" fontId="27" fillId="65" borderId="0" applyNumberFormat="0" applyBorder="0" applyAlignment="0" applyProtection="0"/>
    <xf numFmtId="0" fontId="27" fillId="65" borderId="0" applyNumberFormat="0" applyBorder="0" applyAlignment="0" applyProtection="0"/>
    <xf numFmtId="0" fontId="27" fillId="65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66" borderId="0" applyNumberFormat="0" applyBorder="0" applyAlignment="0" applyProtection="0"/>
    <xf numFmtId="0" fontId="27" fillId="66" borderId="0" applyNumberFormat="0" applyBorder="0" applyAlignment="0" applyProtection="0"/>
    <xf numFmtId="0" fontId="27" fillId="66" borderId="0" applyNumberFormat="0" applyBorder="0" applyAlignment="0" applyProtection="0"/>
    <xf numFmtId="0" fontId="27" fillId="66" borderId="0" applyNumberFormat="0" applyBorder="0" applyAlignment="0" applyProtection="0"/>
    <xf numFmtId="0" fontId="27" fillId="66" borderId="0" applyNumberFormat="0" applyBorder="0" applyAlignment="0" applyProtection="0"/>
    <xf numFmtId="0" fontId="27" fillId="66" borderId="0" applyNumberFormat="0" applyBorder="0" applyAlignment="0" applyProtection="0"/>
    <xf numFmtId="0" fontId="27" fillId="66" borderId="0" applyNumberFormat="0" applyBorder="0" applyAlignment="0" applyProtection="0"/>
    <xf numFmtId="0" fontId="27" fillId="66" borderId="0" applyNumberFormat="0" applyBorder="0" applyAlignment="0" applyProtection="0"/>
    <xf numFmtId="0" fontId="27" fillId="66" borderId="0" applyNumberFormat="0" applyBorder="0" applyAlignment="0" applyProtection="0"/>
    <xf numFmtId="0" fontId="27" fillId="66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0" fontId="5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0" fontId="5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86" fontId="14" fillId="0" borderId="0" applyFont="0" applyFill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124" fillId="0" borderId="165" applyNumberFormat="0" applyFill="0" applyAlignment="0" applyProtection="0"/>
    <xf numFmtId="0" fontId="124" fillId="0" borderId="165" applyNumberFormat="0" applyFill="0" applyAlignment="0" applyProtection="0"/>
    <xf numFmtId="0" fontId="124" fillId="0" borderId="165" applyNumberFormat="0" applyFill="0" applyAlignment="0" applyProtection="0"/>
    <xf numFmtId="0" fontId="124" fillId="0" borderId="165" applyNumberFormat="0" applyFill="0" applyAlignment="0" applyProtection="0"/>
    <xf numFmtId="0" fontId="124" fillId="0" borderId="165" applyNumberFormat="0" applyFill="0" applyAlignment="0" applyProtection="0"/>
    <xf numFmtId="0" fontId="124" fillId="0" borderId="165" applyNumberFormat="0" applyFill="0" applyAlignment="0" applyProtection="0"/>
    <xf numFmtId="0" fontId="124" fillId="0" borderId="165" applyNumberFormat="0" applyFill="0" applyAlignment="0" applyProtection="0"/>
    <xf numFmtId="0" fontId="124" fillId="0" borderId="165" applyNumberFormat="0" applyFill="0" applyAlignment="0" applyProtection="0"/>
    <xf numFmtId="0" fontId="124" fillId="0" borderId="165" applyNumberFormat="0" applyFill="0" applyAlignment="0" applyProtection="0"/>
    <xf numFmtId="0" fontId="124" fillId="0" borderId="165" applyNumberFormat="0" applyFill="0" applyAlignment="0" applyProtection="0"/>
    <xf numFmtId="0" fontId="125" fillId="0" borderId="166" applyNumberFormat="0" applyFill="0" applyAlignment="0" applyProtection="0"/>
    <xf numFmtId="0" fontId="125" fillId="0" borderId="166" applyNumberFormat="0" applyFill="0" applyAlignment="0" applyProtection="0"/>
    <xf numFmtId="0" fontId="125" fillId="0" borderId="166" applyNumberFormat="0" applyFill="0" applyAlignment="0" applyProtection="0"/>
    <xf numFmtId="0" fontId="125" fillId="0" borderId="166" applyNumberFormat="0" applyFill="0" applyAlignment="0" applyProtection="0"/>
    <xf numFmtId="0" fontId="125" fillId="0" borderId="166" applyNumberFormat="0" applyFill="0" applyAlignment="0" applyProtection="0"/>
    <xf numFmtId="0" fontId="125" fillId="0" borderId="166" applyNumberFormat="0" applyFill="0" applyAlignment="0" applyProtection="0"/>
    <xf numFmtId="0" fontId="125" fillId="0" borderId="166" applyNumberFormat="0" applyFill="0" applyAlignment="0" applyProtection="0"/>
    <xf numFmtId="0" fontId="125" fillId="0" borderId="166" applyNumberFormat="0" applyFill="0" applyAlignment="0" applyProtection="0"/>
    <xf numFmtId="0" fontId="125" fillId="0" borderId="166" applyNumberFormat="0" applyFill="0" applyAlignment="0" applyProtection="0"/>
    <xf numFmtId="0" fontId="125" fillId="0" borderId="166" applyNumberFormat="0" applyFill="0" applyAlignment="0" applyProtection="0"/>
    <xf numFmtId="0" fontId="123" fillId="0" borderId="167" applyNumberFormat="0" applyFill="0" applyAlignment="0" applyProtection="0"/>
    <xf numFmtId="0" fontId="123" fillId="0" borderId="167" applyNumberFormat="0" applyFill="0" applyAlignment="0" applyProtection="0"/>
    <xf numFmtId="0" fontId="123" fillId="0" borderId="167" applyNumberFormat="0" applyFill="0" applyAlignment="0" applyProtection="0"/>
    <xf numFmtId="0" fontId="123" fillId="0" borderId="167" applyNumberFormat="0" applyFill="0" applyAlignment="0" applyProtection="0"/>
    <xf numFmtId="0" fontId="123" fillId="0" borderId="167" applyNumberFormat="0" applyFill="0" applyAlignment="0" applyProtection="0"/>
    <xf numFmtId="0" fontId="123" fillId="0" borderId="167" applyNumberFormat="0" applyFill="0" applyAlignment="0" applyProtection="0"/>
    <xf numFmtId="0" fontId="123" fillId="0" borderId="167" applyNumberFormat="0" applyFill="0" applyAlignment="0" applyProtection="0"/>
    <xf numFmtId="0" fontId="123" fillId="0" borderId="167" applyNumberFormat="0" applyFill="0" applyAlignment="0" applyProtection="0"/>
    <xf numFmtId="0" fontId="123" fillId="0" borderId="167" applyNumberFormat="0" applyFill="0" applyAlignment="0" applyProtection="0"/>
    <xf numFmtId="0" fontId="123" fillId="0" borderId="167" applyNumberFormat="0" applyFill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30" fillId="0" borderId="0" applyNumberFormat="0" applyFill="0" applyBorder="0" applyAlignment="0" applyProtection="0">
      <alignment vertical="top"/>
      <protection locked="0"/>
    </xf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42" fillId="0" borderId="168" applyNumberFormat="0" applyFill="0" applyAlignment="0" applyProtection="0"/>
    <xf numFmtId="0" fontId="42" fillId="0" borderId="168" applyNumberFormat="0" applyFill="0" applyAlignment="0" applyProtection="0"/>
    <xf numFmtId="0" fontId="42" fillId="0" borderId="168" applyNumberFormat="0" applyFill="0" applyAlignment="0" applyProtection="0"/>
    <xf numFmtId="0" fontId="42" fillId="0" borderId="168" applyNumberFormat="0" applyFill="0" applyAlignment="0" applyProtection="0"/>
    <xf numFmtId="0" fontId="42" fillId="0" borderId="168" applyNumberFormat="0" applyFill="0" applyAlignment="0" applyProtection="0"/>
    <xf numFmtId="0" fontId="42" fillId="0" borderId="168" applyNumberFormat="0" applyFill="0" applyAlignment="0" applyProtection="0"/>
    <xf numFmtId="0" fontId="42" fillId="0" borderId="168" applyNumberFormat="0" applyFill="0" applyAlignment="0" applyProtection="0"/>
    <xf numFmtId="0" fontId="42" fillId="0" borderId="168" applyNumberFormat="0" applyFill="0" applyAlignment="0" applyProtection="0"/>
    <xf numFmtId="0" fontId="42" fillId="0" borderId="168" applyNumberFormat="0" applyFill="0" applyAlignment="0" applyProtection="0"/>
    <xf numFmtId="0" fontId="42" fillId="0" borderId="168" applyNumberFormat="0" applyFill="0" applyAlignment="0" applyProtection="0"/>
    <xf numFmtId="0" fontId="126" fillId="22" borderId="0" applyNumberFormat="0" applyBorder="0" applyAlignment="0" applyProtection="0"/>
    <xf numFmtId="0" fontId="126" fillId="22" borderId="0" applyNumberFormat="0" applyBorder="0" applyAlignment="0" applyProtection="0"/>
    <xf numFmtId="0" fontId="126" fillId="22" borderId="0" applyNumberFormat="0" applyBorder="0" applyAlignment="0" applyProtection="0"/>
    <xf numFmtId="0" fontId="126" fillId="22" borderId="0" applyNumberFormat="0" applyBorder="0" applyAlignment="0" applyProtection="0"/>
    <xf numFmtId="0" fontId="126" fillId="22" borderId="0" applyNumberFormat="0" applyBorder="0" applyAlignment="0" applyProtection="0"/>
    <xf numFmtId="0" fontId="126" fillId="22" borderId="0" applyNumberFormat="0" applyBorder="0" applyAlignment="0" applyProtection="0"/>
    <xf numFmtId="0" fontId="126" fillId="22" borderId="0" applyNumberFormat="0" applyBorder="0" applyAlignment="0" applyProtection="0"/>
    <xf numFmtId="0" fontId="126" fillId="22" borderId="0" applyNumberFormat="0" applyBorder="0" applyAlignment="0" applyProtection="0"/>
    <xf numFmtId="0" fontId="126" fillId="22" borderId="0" applyNumberFormat="0" applyBorder="0" applyAlignment="0" applyProtection="0"/>
    <xf numFmtId="0" fontId="126" fillId="22" borderId="0" applyNumberFormat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164" fontId="127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164" fontId="127" fillId="0" borderId="0">
      <alignment vertical="center"/>
    </xf>
    <xf numFmtId="164" fontId="127" fillId="0" borderId="0">
      <alignment vertical="center"/>
    </xf>
    <xf numFmtId="164" fontId="127" fillId="0" borderId="0">
      <alignment vertical="center"/>
    </xf>
    <xf numFmtId="164" fontId="127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7" fillId="0" borderId="0">
      <alignment vertical="center"/>
    </xf>
    <xf numFmtId="164" fontId="127" fillId="0" borderId="0">
      <alignment vertical="center"/>
    </xf>
    <xf numFmtId="164" fontId="127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164" fontId="127" fillId="0" borderId="0">
      <alignment vertical="center"/>
    </xf>
    <xf numFmtId="164" fontId="127" fillId="0" borderId="0">
      <alignment vertical="center"/>
    </xf>
    <xf numFmtId="164" fontId="127" fillId="0" borderId="0">
      <alignment vertical="center"/>
    </xf>
    <xf numFmtId="164" fontId="127" fillId="0" borderId="0">
      <alignment vertical="center"/>
    </xf>
    <xf numFmtId="0" fontId="12" fillId="0" borderId="0"/>
    <xf numFmtId="167" fontId="127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167" fontId="127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4" fillId="0" borderId="0" applyNumberFormat="0" applyFont="0" applyFill="0" applyBorder="0" applyAlignment="0" applyProtection="0"/>
    <xf numFmtId="0" fontId="12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87" fontId="127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26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8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14" fillId="0" borderId="0" applyNumberFormat="0" applyFont="0" applyFill="0" applyBorder="0" applyAlignment="0" applyProtection="0"/>
    <xf numFmtId="0" fontId="14" fillId="0" borderId="0" applyNumberFormat="0" applyFont="0" applyFill="0" applyBorder="0" applyAlignment="0" applyProtection="0"/>
    <xf numFmtId="0" fontId="14" fillId="0" borderId="0" applyNumberFormat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17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4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17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4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17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4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17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17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4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52" fillId="35" borderId="0" applyNumberFormat="0" applyBorder="0" applyAlignment="0" applyProtection="0"/>
    <xf numFmtId="43" fontId="14" fillId="0" borderId="0" applyFont="0" applyFill="0" applyBorder="0" applyAlignment="0" applyProtection="0"/>
    <xf numFmtId="0" fontId="61" fillId="50" borderId="0" applyNumberFormat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26" fillId="2" borderId="0" applyNumberFormat="0" applyBorder="0" applyAlignment="0" applyProtection="0"/>
    <xf numFmtId="0" fontId="26" fillId="3" borderId="0" applyNumberFormat="0" applyBorder="0" applyAlignment="0" applyProtection="0"/>
    <xf numFmtId="0" fontId="26" fillId="4" borderId="0" applyNumberFormat="0" applyBorder="0" applyAlignment="0" applyProtection="0"/>
    <xf numFmtId="0" fontId="26" fillId="5" borderId="0" applyNumberFormat="0" applyBorder="0" applyAlignment="0" applyProtection="0"/>
    <xf numFmtId="0" fontId="26" fillId="6" borderId="0" applyNumberFormat="0" applyBorder="0" applyAlignment="0" applyProtection="0"/>
    <xf numFmtId="0" fontId="26" fillId="7" borderId="0" applyNumberFormat="0" applyBorder="0" applyAlignment="0" applyProtection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5" borderId="0" applyNumberFormat="0" applyBorder="0" applyAlignment="0" applyProtection="0"/>
    <xf numFmtId="0" fontId="26" fillId="8" borderId="0" applyNumberFormat="0" applyBorder="0" applyAlignment="0" applyProtection="0"/>
    <xf numFmtId="0" fontId="26" fillId="11" borderId="0" applyNumberFormat="0" applyBorder="0" applyAlignment="0" applyProtection="0"/>
    <xf numFmtId="0" fontId="27" fillId="12" borderId="0" applyNumberFormat="0" applyBorder="0" applyAlignment="0" applyProtection="0"/>
    <xf numFmtId="0" fontId="27" fillId="9" borderId="0" applyNumberFormat="0" applyBorder="0" applyAlignment="0" applyProtection="0"/>
    <xf numFmtId="0" fontId="27" fillId="10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5" borderId="0" applyNumberFormat="0" applyBorder="0" applyAlignment="0" applyProtection="0"/>
    <xf numFmtId="0" fontId="29" fillId="20" borderId="1" applyNumberFormat="0" applyAlignment="0" applyProtection="0"/>
    <xf numFmtId="0" fontId="37" fillId="0" borderId="6" applyNumberFormat="0" applyFill="0" applyAlignment="0" applyProtection="0"/>
    <xf numFmtId="0" fontId="30" fillId="21" borderId="2" applyNumberFormat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9" borderId="0" applyNumberFormat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8" fillId="22" borderId="0" applyNumberFormat="0" applyBorder="0" applyAlignment="0" applyProtection="0"/>
    <xf numFmtId="0" fontId="131" fillId="0" borderId="0"/>
    <xf numFmtId="0" fontId="26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23" borderId="7" applyNumberFormat="0" applyFont="0" applyAlignment="0" applyProtection="0"/>
    <xf numFmtId="0" fontId="4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33" fillId="0" borderId="3" applyNumberFormat="0" applyFill="0" applyAlignment="0" applyProtection="0"/>
    <xf numFmtId="0" fontId="34" fillId="0" borderId="4" applyNumberFormat="0" applyFill="0" applyAlignment="0" applyProtection="0"/>
    <xf numFmtId="0" fontId="35" fillId="0" borderId="5" applyNumberFormat="0" applyFill="0" applyAlignment="0" applyProtection="0"/>
    <xf numFmtId="0" fontId="35" fillId="0" borderId="0" applyNumberFormat="0" applyFill="0" applyBorder="0" applyAlignment="0" applyProtection="0"/>
    <xf numFmtId="0" fontId="41" fillId="0" borderId="10" applyNumberFormat="0" applyFill="0" applyAlignment="0" applyProtection="0"/>
    <xf numFmtId="0" fontId="28" fillId="3" borderId="0" applyNumberFormat="0" applyBorder="0" applyAlignment="0" applyProtection="0"/>
    <xf numFmtId="0" fontId="32" fillId="4" borderId="0" applyNumberFormat="0" applyBorder="0" applyAlignment="0" applyProtection="0"/>
    <xf numFmtId="43" fontId="14" fillId="0" borderId="0" applyFont="0" applyFill="0" applyBorder="0" applyAlignment="0" applyProtection="0"/>
    <xf numFmtId="4" fontId="96" fillId="32" borderId="9">
      <alignment horizontal="right" vertical="center"/>
    </xf>
    <xf numFmtId="4" fontId="96" fillId="32" borderId="9">
      <alignment horizontal="right" vertical="center"/>
    </xf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3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9" fillId="20" borderId="8" applyNumberFormat="0" applyAlignment="0" applyProtection="0"/>
    <xf numFmtId="0" fontId="96" fillId="38" borderId="9">
      <alignment horizontal="right" vertical="center"/>
    </xf>
    <xf numFmtId="0" fontId="118" fillId="38" borderId="9">
      <alignment horizontal="right" vertical="center"/>
    </xf>
    <xf numFmtId="0" fontId="96" fillId="32" borderId="9">
      <alignment horizontal="right" vertical="center"/>
    </xf>
    <xf numFmtId="0" fontId="96" fillId="32" borderId="9">
      <alignment horizontal="right" vertical="center"/>
    </xf>
    <xf numFmtId="0" fontId="96" fillId="32" borderId="149">
      <alignment horizontal="right" vertical="center"/>
    </xf>
    <xf numFmtId="0" fontId="97" fillId="0" borderId="9">
      <alignment horizontal="right" vertical="center"/>
    </xf>
    <xf numFmtId="0" fontId="97" fillId="0" borderId="9" applyNumberFormat="0" applyFill="0" applyAlignment="0" applyProtection="0"/>
    <xf numFmtId="0" fontId="97" fillId="33" borderId="9"/>
    <xf numFmtId="0" fontId="39" fillId="20" borderId="8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39" fillId="20" borderId="8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52" fillId="35" borderId="0" applyNumberFormat="0" applyBorder="0" applyAlignment="0" applyProtection="0"/>
    <xf numFmtId="0" fontId="18" fillId="0" borderId="0"/>
    <xf numFmtId="0" fontId="132" fillId="0" borderId="0"/>
    <xf numFmtId="43" fontId="133" fillId="0" borderId="0" applyFont="0" applyFill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7" fillId="12" borderId="0" applyNumberFormat="0" applyBorder="0" applyAlignment="0" applyProtection="0"/>
    <xf numFmtId="0" fontId="27" fillId="9" borderId="0" applyNumberFormat="0" applyBorder="0" applyAlignment="0" applyProtection="0"/>
    <xf numFmtId="0" fontId="27" fillId="10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9" borderId="0" applyNumberFormat="0" applyBorder="0" applyAlignment="0" applyProtection="0"/>
    <xf numFmtId="0" fontId="39" fillId="20" borderId="8" applyNumberFormat="0" applyAlignment="0" applyProtection="0"/>
    <xf numFmtId="0" fontId="29" fillId="20" borderId="1" applyNumberFormat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6" fillId="7" borderId="1" applyNumberFormat="0" applyAlignment="0" applyProtection="0"/>
    <xf numFmtId="0" fontId="41" fillId="0" borderId="10" applyNumberFormat="0" applyFill="0" applyAlignment="0" applyProtection="0"/>
    <xf numFmtId="0" fontId="31" fillId="0" borderId="0" applyNumberForma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0" fontId="32" fillId="4" borderId="0" applyNumberFormat="0" applyBorder="0" applyAlignment="0" applyProtection="0"/>
    <xf numFmtId="0" fontId="26" fillId="0" borderId="0"/>
    <xf numFmtId="0" fontId="14" fillId="0" borderId="0"/>
    <xf numFmtId="0" fontId="26" fillId="0" borderId="0"/>
    <xf numFmtId="0" fontId="26" fillId="0" borderId="0"/>
    <xf numFmtId="0" fontId="26" fillId="0" borderId="0"/>
    <xf numFmtId="0" fontId="14" fillId="0" borderId="0" applyNumberFormat="0" applyFont="0" applyFill="0" applyBorder="0" applyAlignment="0" applyProtection="0"/>
    <xf numFmtId="0" fontId="14" fillId="0" borderId="0" applyNumberFormat="0" applyFont="0" applyFill="0" applyBorder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8" fillId="3" borderId="0" applyNumberFormat="0" applyBorder="0" applyAlignment="0" applyProtection="0"/>
    <xf numFmtId="0" fontId="40" fillId="0" borderId="0" applyNumberFormat="0" applyFill="0" applyBorder="0" applyAlignment="0" applyProtection="0"/>
    <xf numFmtId="0" fontId="33" fillId="0" borderId="3" applyNumberFormat="0" applyFill="0" applyAlignment="0" applyProtection="0"/>
    <xf numFmtId="0" fontId="34" fillId="0" borderId="4" applyNumberFormat="0" applyFill="0" applyAlignment="0" applyProtection="0"/>
    <xf numFmtId="0" fontId="35" fillId="0" borderId="5" applyNumberFormat="0" applyFill="0" applyAlignment="0" applyProtection="0"/>
    <xf numFmtId="0" fontId="35" fillId="0" borderId="0" applyNumberFormat="0" applyFill="0" applyBorder="0" applyAlignment="0" applyProtection="0"/>
    <xf numFmtId="0" fontId="37" fillId="0" borderId="6" applyNumberFormat="0" applyFill="0" applyAlignment="0" applyProtection="0"/>
    <xf numFmtId="0" fontId="42" fillId="0" borderId="0" applyNumberFormat="0" applyFill="0" applyBorder="0" applyAlignment="0" applyProtection="0"/>
    <xf numFmtId="43" fontId="12" fillId="0" borderId="0" applyFont="0" applyFill="0" applyBorder="0" applyAlignment="0" applyProtection="0"/>
    <xf numFmtId="0" fontId="30" fillId="21" borderId="2" applyNumberFormat="0" applyAlignment="0" applyProtection="0"/>
    <xf numFmtId="9" fontId="12" fillId="0" borderId="0" applyFont="0" applyFill="0" applyBorder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3" fontId="12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3" fillId="0" borderId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left"/>
    </xf>
    <xf numFmtId="0" fontId="16" fillId="24" borderId="9" applyNumberFormat="0" applyProtection="0">
      <alignment horizontal="right"/>
    </xf>
    <xf numFmtId="0" fontId="14" fillId="0" borderId="9" applyNumberFormat="0" applyFill="0" applyProtection="0">
      <alignment horizontal="right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117" fillId="0" borderId="0" applyFont="0" applyFill="0" applyBorder="0" applyAlignment="0" applyProtection="0"/>
    <xf numFmtId="0" fontId="96" fillId="32" borderId="149">
      <alignment horizontal="right" vertical="center"/>
    </xf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4" fontId="97" fillId="0" borderId="9" applyFill="0" applyBorder="0" applyProtection="0">
      <alignment horizontal="right" vertical="center"/>
    </xf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4" fillId="0" borderId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left"/>
    </xf>
    <xf numFmtId="0" fontId="16" fillId="24" borderId="9" applyNumberFormat="0" applyProtection="0">
      <alignment horizontal="right"/>
    </xf>
    <xf numFmtId="0" fontId="14" fillId="0" borderId="9" applyNumberFormat="0" applyFill="0" applyProtection="0">
      <alignment horizontal="right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97" fillId="0" borderId="9" applyNumberFormat="0" applyFill="0" applyAlignment="0" applyProtection="0"/>
    <xf numFmtId="0" fontId="118" fillId="38" borderId="9">
      <alignment horizontal="right" vertical="center"/>
    </xf>
    <xf numFmtId="0" fontId="96" fillId="38" borderId="9">
      <alignment horizontal="right" vertical="center"/>
    </xf>
    <xf numFmtId="0" fontId="88" fillId="20" borderId="8" applyNumberFormat="0" applyAlignment="0" applyProtection="0"/>
    <xf numFmtId="0" fontId="41" fillId="0" borderId="10" applyNumberFormat="0" applyFill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4" fillId="0" borderId="0"/>
    <xf numFmtId="0" fontId="39" fillId="20" borderId="8" applyNumberFormat="0" applyAlignment="0" applyProtection="0"/>
    <xf numFmtId="0" fontId="9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6" fillId="0" borderId="0" applyFont="0" applyFill="0" applyBorder="0" applyAlignment="0" applyProtection="0"/>
    <xf numFmtId="177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109" fillId="60" borderId="9">
      <alignment horizontal="left" vertical="center" wrapText="1"/>
    </xf>
    <xf numFmtId="0" fontId="14" fillId="59" borderId="28">
      <alignment horizontal="left" vertical="center" wrapText="1"/>
    </xf>
    <xf numFmtId="49" fontId="14" fillId="58" borderId="9">
      <alignment vertical="center" wrapText="1"/>
    </xf>
    <xf numFmtId="0" fontId="14" fillId="57" borderId="23" applyBorder="0">
      <alignment horizontal="lef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left"/>
    </xf>
    <xf numFmtId="0" fontId="16" fillId="24" borderId="9" applyNumberFormat="0" applyProtection="0">
      <alignment horizontal="lef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01" fillId="0" borderId="0"/>
    <xf numFmtId="0" fontId="12" fillId="0" borderId="0"/>
    <xf numFmtId="4" fontId="97" fillId="0" borderId="9" applyFill="0" applyBorder="0" applyProtection="0">
      <alignment horizontal="right" vertical="center"/>
    </xf>
    <xf numFmtId="4" fontId="97" fillId="0" borderId="9" applyFill="0" applyBorder="0" applyProtection="0">
      <alignment horizontal="right" vertical="center"/>
    </xf>
    <xf numFmtId="4" fontId="97" fillId="0" borderId="9" applyFill="0" applyBorder="0" applyProtection="0">
      <alignment horizontal="right" vertical="center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02" fillId="0" borderId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02" fillId="0" borderId="0"/>
    <xf numFmtId="0" fontId="102" fillId="0" borderId="0"/>
    <xf numFmtId="0" fontId="12" fillId="0" borderId="0"/>
    <xf numFmtId="0" fontId="12" fillId="0" borderId="0" applyNumberFormat="0" applyFont="0" applyFill="0" applyBorder="0" applyProtection="0">
      <alignment vertical="center"/>
    </xf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4" fillId="0" borderId="0"/>
    <xf numFmtId="0" fontId="14" fillId="0" borderId="0"/>
    <xf numFmtId="0" fontId="48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" fontId="97" fillId="0" borderId="9" applyFill="0" applyBorder="0" applyProtection="0">
      <alignment horizontal="right" vertical="center"/>
    </xf>
    <xf numFmtId="4" fontId="97" fillId="0" borderId="9" applyFill="0" applyBorder="0" applyProtection="0">
      <alignment horizontal="right" vertical="center"/>
    </xf>
    <xf numFmtId="4" fontId="97" fillId="0" borderId="9" applyFill="0" applyBorder="0" applyProtection="0">
      <alignment horizontal="right" vertical="center"/>
    </xf>
    <xf numFmtId="0" fontId="104" fillId="0" borderId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02" fillId="0" borderId="0" applyFont="0" applyFill="0" applyBorder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39" fillId="67" borderId="8" applyNumberFormat="0" applyAlignment="0" applyProtection="0"/>
    <xf numFmtId="0" fontId="39" fillId="67" borderId="8" applyNumberFormat="0" applyAlignment="0" applyProtection="0"/>
    <xf numFmtId="9" fontId="12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 applyNumberFormat="0" applyFont="0" applyFill="0" applyBorder="0" applyProtection="0">
      <alignment vertical="center"/>
    </xf>
    <xf numFmtId="9" fontId="12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97" fillId="0" borderId="9">
      <alignment horizontal="right" vertical="center"/>
    </xf>
    <xf numFmtId="0" fontId="96" fillId="32" borderId="9">
      <alignment horizontal="right" vertical="center"/>
    </xf>
    <xf numFmtId="0" fontId="41" fillId="0" borderId="10" applyNumberFormat="0" applyFill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0" fontId="14" fillId="0" borderId="0"/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0" borderId="9" applyNumberFormat="0" applyFill="0" applyProtection="0">
      <alignment horizontal="right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8" fillId="0" borderId="0"/>
    <xf numFmtId="0" fontId="36" fillId="7" borderId="1" applyNumberFormat="0" applyAlignment="0" applyProtection="0"/>
    <xf numFmtId="0" fontId="36" fillId="7" borderId="1" applyNumberFormat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9" fillId="67" borderId="8" applyNumberFormat="0" applyAlignment="0" applyProtection="0"/>
    <xf numFmtId="0" fontId="14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8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26" fillId="0" borderId="0"/>
    <xf numFmtId="0" fontId="26" fillId="0" borderId="0"/>
    <xf numFmtId="0" fontId="26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39" fillId="20" borderId="8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41" fillId="0" borderId="10" applyNumberFormat="0" applyFill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3" fontId="117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96" fillId="38" borderId="9">
      <alignment horizontal="right" vertical="center"/>
    </xf>
    <xf numFmtId="0" fontId="118" fillId="38" borderId="9">
      <alignment horizontal="right" vertical="center"/>
    </xf>
    <xf numFmtId="0" fontId="96" fillId="32" borderId="9">
      <alignment horizontal="right" vertical="center"/>
    </xf>
    <xf numFmtId="0" fontId="96" fillId="32" borderId="9">
      <alignment horizontal="right" vertical="center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96" fillId="32" borderId="149">
      <alignment horizontal="right" vertical="center"/>
    </xf>
    <xf numFmtId="0" fontId="97" fillId="0" borderId="9">
      <alignment horizontal="right" vertical="center"/>
    </xf>
    <xf numFmtId="0" fontId="97" fillId="0" borderId="9" applyNumberFormat="0" applyFill="0" applyAlignment="0" applyProtection="0"/>
    <xf numFmtId="0" fontId="97" fillId="33" borderId="9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9" applyNumberFormat="0" applyFill="0" applyProtection="0">
      <alignment horizontal="right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3" fontId="117" fillId="0" borderId="0" applyFont="0" applyFill="0" applyBorder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3" fontId="117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41" fillId="0" borderId="10" applyNumberFormat="0" applyFill="0" applyAlignment="0" applyProtection="0"/>
    <xf numFmtId="0" fontId="97" fillId="33" borderId="9"/>
    <xf numFmtId="0" fontId="96" fillId="32" borderId="9">
      <alignment horizontal="right" vertical="center"/>
    </xf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62" borderId="9">
      <alignment horizontal="left" vertical="center" wrapText="1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61" borderId="9">
      <alignment horizontal="left" vertical="center" wrapText="1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0" borderId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12" fillId="0" borderId="0"/>
    <xf numFmtId="0" fontId="12" fillId="0" borderId="0"/>
    <xf numFmtId="43" fontId="14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4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 applyNumberFormat="0" applyFont="0" applyFill="0" applyBorder="0" applyProtection="0">
      <alignment vertical="center"/>
    </xf>
    <xf numFmtId="9" fontId="12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23" borderId="0" applyNumberFormat="0" applyBorder="0" applyAlignment="0" applyProtection="0"/>
    <xf numFmtId="0" fontId="26" fillId="7" borderId="0" applyNumberFormat="0" applyBorder="0" applyAlignment="0" applyProtection="0"/>
    <xf numFmtId="0" fontId="26" fillId="6" borderId="0" applyNumberFormat="0" applyBorder="0" applyAlignment="0" applyProtection="0"/>
    <xf numFmtId="0" fontId="26" fillId="23" borderId="0" applyNumberFormat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26" fillId="6" borderId="0" applyNumberFormat="0" applyBorder="0" applyAlignment="0" applyProtection="0"/>
    <xf numFmtId="0" fontId="26" fillId="9" borderId="0" applyNumberFormat="0" applyBorder="0" applyAlignment="0" applyProtection="0"/>
    <xf numFmtId="0" fontId="26" fillId="22" borderId="0" applyNumberFormat="0" applyBorder="0" applyAlignment="0" applyProtection="0"/>
    <xf numFmtId="0" fontId="26" fillId="3" borderId="0" applyNumberFormat="0" applyBorder="0" applyAlignment="0" applyProtection="0"/>
    <xf numFmtId="0" fontId="26" fillId="6" borderId="0" applyNumberFormat="0" applyBorder="0" applyAlignment="0" applyProtection="0"/>
    <xf numFmtId="0" fontId="26" fillId="23" borderId="0" applyNumberFormat="0" applyBorder="0" applyAlignment="0" applyProtection="0"/>
    <xf numFmtId="0" fontId="27" fillId="6" borderId="0" applyNumberFormat="0" applyBorder="0" applyAlignment="0" applyProtection="0"/>
    <xf numFmtId="0" fontId="27" fillId="19" borderId="0" applyNumberFormat="0" applyBorder="0" applyAlignment="0" applyProtection="0"/>
    <xf numFmtId="0" fontId="27" fillId="11" borderId="0" applyNumberFormat="0" applyBorder="0" applyAlignment="0" applyProtection="0"/>
    <xf numFmtId="0" fontId="27" fillId="3" borderId="0" applyNumberFormat="0" applyBorder="0" applyAlignment="0" applyProtection="0"/>
    <xf numFmtId="0" fontId="27" fillId="6" borderId="0" applyNumberFormat="0" applyBorder="0" applyAlignment="0" applyProtection="0"/>
    <xf numFmtId="0" fontId="27" fillId="9" borderId="0" applyNumberFormat="0" applyBorder="0" applyAlignment="0" applyProtection="0"/>
    <xf numFmtId="0" fontId="42" fillId="0" borderId="0" applyNumberFormat="0" applyFill="0" applyBorder="0" applyAlignment="0" applyProtection="0"/>
    <xf numFmtId="0" fontId="116" fillId="67" borderId="1" applyNumberFormat="0" applyAlignment="0" applyProtection="0"/>
    <xf numFmtId="0" fontId="42" fillId="0" borderId="168" applyNumberFormat="0" applyFill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28" fillId="5" borderId="0" applyNumberFormat="0" applyBorder="0" applyAlignment="0" applyProtection="0"/>
    <xf numFmtId="0" fontId="126" fillId="22" borderId="0" applyNumberFormat="0" applyBorder="0" applyAlignment="0" applyProtection="0"/>
    <xf numFmtId="0" fontId="23" fillId="0" borderId="0"/>
    <xf numFmtId="0" fontId="32" fillId="6" borderId="0" applyNumberFormat="0" applyBorder="0" applyAlignment="0" applyProtection="0"/>
    <xf numFmtId="0" fontId="39" fillId="67" borderId="8" applyNumberFormat="0" applyAlignment="0" applyProtection="0"/>
    <xf numFmtId="0" fontId="104" fillId="0" borderId="0"/>
    <xf numFmtId="0" fontId="31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4" fillId="0" borderId="165" applyNumberFormat="0" applyFill="0" applyAlignment="0" applyProtection="0"/>
    <xf numFmtId="0" fontId="125" fillId="0" borderId="166" applyNumberFormat="0" applyFill="0" applyAlignment="0" applyProtection="0"/>
    <xf numFmtId="0" fontId="123" fillId="0" borderId="167" applyNumberFormat="0" applyFill="0" applyAlignment="0" applyProtection="0"/>
    <xf numFmtId="0" fontId="123" fillId="0" borderId="0" applyNumberFormat="0" applyFill="0" applyBorder="0" applyAlignment="0" applyProtection="0"/>
    <xf numFmtId="0" fontId="30" fillId="21" borderId="2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43" fontId="14" fillId="0" borderId="0" applyFont="0" applyFill="0" applyBorder="0" applyAlignment="0" applyProtection="0"/>
    <xf numFmtId="0" fontId="79" fillId="7" borderId="1" applyNumberFormat="0" applyAlignment="0" applyProtection="0"/>
    <xf numFmtId="0" fontId="83" fillId="0" borderId="5" applyNumberFormat="0" applyFill="0" applyAlignment="0" applyProtection="0"/>
    <xf numFmtId="0" fontId="77" fillId="23" borderId="7" applyNumberFormat="0" applyFont="0" applyAlignment="0" applyProtection="0"/>
    <xf numFmtId="0" fontId="88" fillId="20" borderId="8" applyNumberFormat="0" applyAlignment="0" applyProtection="0"/>
    <xf numFmtId="0" fontId="91" fillId="0" borderId="10" applyNumberFormat="0" applyFill="0" applyAlignment="0" applyProtection="0"/>
    <xf numFmtId="0" fontId="94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97" fillId="0" borderId="148">
      <alignment horizontal="left" vertical="center" wrapText="1" indent="2"/>
    </xf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7" fillId="0" borderId="148">
      <alignment horizontal="left" vertical="center" wrapText="1" indent="2"/>
    </xf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14" fillId="0" borderId="0"/>
    <xf numFmtId="0" fontId="12" fillId="0" borderId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94" fillId="20" borderId="1" applyNumberFormat="0" applyAlignment="0" applyProtection="0"/>
    <xf numFmtId="0" fontId="91" fillId="0" borderId="10" applyNumberFormat="0" applyFill="0" applyAlignment="0" applyProtection="0"/>
    <xf numFmtId="0" fontId="88" fillId="20" borderId="8" applyNumberFormat="0" applyAlignment="0" applyProtection="0"/>
    <xf numFmtId="0" fontId="77" fillId="23" borderId="7" applyNumberFormat="0" applyFont="0" applyAlignment="0" applyProtection="0"/>
    <xf numFmtId="0" fontId="84" fillId="21" borderId="2" applyNumberFormat="0" applyAlignment="0" applyProtection="0"/>
    <xf numFmtId="0" fontId="83" fillId="0" borderId="5" applyNumberFormat="0" applyFill="0" applyAlignment="0" applyProtection="0"/>
    <xf numFmtId="0" fontId="79" fillId="7" borderId="1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0" fontId="30" fillId="21" borderId="2" applyNumberFormat="0" applyAlignment="0" applyProtection="0"/>
    <xf numFmtId="0" fontId="123" fillId="0" borderId="167" applyNumberFormat="0" applyFill="0" applyAlignment="0" applyProtection="0"/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2" fillId="0" borderId="0"/>
    <xf numFmtId="43" fontId="12" fillId="0" borderId="0" applyFont="0" applyFill="0" applyBorder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43" fontId="12" fillId="0" borderId="0" applyFont="0" applyFill="0" applyBorder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48" fillId="0" borderId="0"/>
    <xf numFmtId="4" fontId="97" fillId="0" borderId="9" applyFill="0" applyBorder="0" applyProtection="0">
      <alignment horizontal="right" vertical="center"/>
    </xf>
    <xf numFmtId="0" fontId="14" fillId="0" borderId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43" fontId="14" fillId="0" borderId="0" applyFont="0" applyFill="0" applyBorder="0" applyAlignment="0" applyProtection="0"/>
    <xf numFmtId="0" fontId="29" fillId="20" borderId="1" applyNumberFormat="0" applyAlignment="0" applyProtection="0"/>
    <xf numFmtId="41" fontId="14" fillId="0" borderId="0" applyFont="0" applyFill="0" applyBorder="0" applyAlignment="0" applyProtection="0"/>
    <xf numFmtId="0" fontId="14" fillId="23" borderId="7" applyNumberFormat="0" applyFont="0" applyAlignment="0" applyProtection="0"/>
    <xf numFmtId="0" fontId="35" fillId="0" borderId="5" applyNumberFormat="0" applyFill="0" applyAlignment="0" applyProtection="0"/>
    <xf numFmtId="0" fontId="41" fillId="0" borderId="10" applyNumberFormat="0" applyFill="0" applyAlignment="0" applyProtection="0"/>
    <xf numFmtId="0" fontId="14" fillId="0" borderId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26" fillId="0" borderId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30" fillId="21" borderId="2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43" fontId="14" fillId="0" borderId="0" applyFont="0" applyFill="0" applyBorder="0" applyAlignment="0" applyProtection="0"/>
    <xf numFmtId="0" fontId="79" fillId="7" borderId="1" applyNumberFormat="0" applyAlignment="0" applyProtection="0"/>
    <xf numFmtId="0" fontId="77" fillId="23" borderId="7" applyNumberFormat="0" applyFont="0" applyAlignment="0" applyProtection="0"/>
    <xf numFmtId="0" fontId="88" fillId="20" borderId="8" applyNumberFormat="0" applyAlignment="0" applyProtection="0"/>
    <xf numFmtId="0" fontId="91" fillId="0" borderId="10" applyNumberFormat="0" applyFill="0" applyAlignment="0" applyProtection="0"/>
    <xf numFmtId="0" fontId="94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7" fillId="0" borderId="148">
      <alignment horizontal="left" vertical="center" wrapText="1" indent="2"/>
    </xf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43" fontId="12" fillId="0" borderId="0" applyFont="0" applyFill="0" applyBorder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43" fontId="14" fillId="0" borderId="0" applyFont="0" applyFill="0" applyBorder="0" applyAlignment="0" applyProtection="0"/>
    <xf numFmtId="0" fontId="29" fillId="20" borderId="1" applyNumberFormat="0" applyAlignment="0" applyProtection="0"/>
    <xf numFmtId="41" fontId="14" fillId="0" borderId="0" applyFont="0" applyFill="0" applyBorder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43" fontId="14" fillId="0" borderId="0" applyFont="0" applyFill="0" applyBorder="0" applyAlignment="0" applyProtection="0"/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123" fillId="0" borderId="167" applyNumberFormat="0" applyFill="0" applyAlignment="0" applyProtection="0"/>
    <xf numFmtId="0" fontId="30" fillId="21" borderId="2" applyNumberFormat="0" applyAlignment="0" applyProtection="0"/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41" fillId="0" borderId="10" applyNumberFormat="0" applyFill="0" applyAlignment="0" applyProtection="0"/>
    <xf numFmtId="0" fontId="79" fillId="7" borderId="1" applyNumberFormat="0" applyAlignment="0" applyProtection="0"/>
    <xf numFmtId="0" fontId="83" fillId="0" borderId="5" applyNumberFormat="0" applyFill="0" applyAlignment="0" applyProtection="0"/>
    <xf numFmtId="0" fontId="84" fillId="21" borderId="2" applyNumberFormat="0" applyAlignment="0" applyProtection="0"/>
    <xf numFmtId="0" fontId="77" fillId="23" borderId="7" applyNumberFormat="0" applyFont="0" applyAlignment="0" applyProtection="0"/>
    <xf numFmtId="0" fontId="94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97" fillId="0" borderId="148">
      <alignment horizontal="left" vertical="center" wrapText="1" indent="2"/>
    </xf>
    <xf numFmtId="0" fontId="97" fillId="0" borderId="148">
      <alignment horizontal="left" vertical="center" wrapText="1" indent="2"/>
    </xf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97" fillId="0" borderId="148">
      <alignment horizontal="left" vertical="center" wrapText="1" indent="2"/>
    </xf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6" fillId="7" borderId="1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6" fillId="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30" fillId="21" borderId="2" applyNumberFormat="0" applyAlignment="0" applyProtection="0"/>
    <xf numFmtId="0" fontId="35" fillId="0" borderId="5" applyNumberFormat="0" applyFill="0" applyAlignment="0" applyProtection="0"/>
    <xf numFmtId="0" fontId="36" fillId="7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43" fontId="12" fillId="0" borderId="0" applyFont="0" applyFill="0" applyBorder="0" applyAlignment="0" applyProtection="0"/>
    <xf numFmtId="49" fontId="14" fillId="30" borderId="160">
      <alignment vertical="top" wrapText="1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0" fontId="41" fillId="0" borderId="10" applyNumberFormat="0" applyFill="0" applyAlignment="0" applyProtection="0"/>
    <xf numFmtId="0" fontId="14" fillId="23" borderId="7" applyNumberFormat="0" applyFont="0" applyAlignment="0" applyProtection="0"/>
    <xf numFmtId="0" fontId="35" fillId="0" borderId="5" applyNumberFormat="0" applyFill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91" fillId="0" borderId="10" applyNumberFormat="0" applyFill="0" applyAlignment="0" applyProtection="0"/>
    <xf numFmtId="0" fontId="77" fillId="23" borderId="7" applyNumberFormat="0" applyFont="0" applyAlignment="0" applyProtection="0"/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30" fillId="21" borderId="2" applyNumberFormat="0" applyAlignment="0" applyProtection="0"/>
    <xf numFmtId="0" fontId="123" fillId="0" borderId="167" applyNumberFormat="0" applyFill="0" applyAlignment="0" applyProtection="0"/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43" fontId="12" fillId="0" borderId="0" applyFont="0" applyFill="0" applyBorder="0" applyAlignment="0" applyProtection="0"/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94" fillId="20" borderId="1" applyNumberFormat="0" applyAlignment="0" applyProtection="0"/>
    <xf numFmtId="0" fontId="88" fillId="20" borderId="8" applyNumberFormat="0" applyAlignment="0" applyProtection="0"/>
    <xf numFmtId="0" fontId="83" fillId="0" borderId="5" applyNumberFormat="0" applyFill="0" applyAlignment="0" applyProtection="0"/>
    <xf numFmtId="0" fontId="79" fillId="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36" fillId="7" borderId="1" applyNumberFormat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29" fillId="20" borderId="1" applyNumberFormat="0" applyAlignment="0" applyProtection="0"/>
    <xf numFmtId="0" fontId="14" fillId="23" borderId="7" applyNumberFormat="0" applyFont="0" applyAlignment="0" applyProtection="0"/>
    <xf numFmtId="0" fontId="35" fillId="0" borderId="5" applyNumberFormat="0" applyFill="0" applyAlignment="0" applyProtection="0"/>
    <xf numFmtId="0" fontId="41" fillId="0" borderId="10" applyNumberFormat="0" applyFill="0" applyAlignment="0" applyProtection="0"/>
    <xf numFmtId="43" fontId="12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16" fillId="67" borderId="1" applyNumberFormat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29" fillId="20" borderId="1" applyNumberFormat="0" applyAlignment="0" applyProtection="0"/>
    <xf numFmtId="0" fontId="39" fillId="67" borderId="8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43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5" fillId="0" borderId="5" applyNumberFormat="0" applyFill="0" applyAlignment="0" applyProtection="0"/>
    <xf numFmtId="0" fontId="83" fillId="0" borderId="5" applyNumberFormat="0" applyFill="0" applyAlignment="0" applyProtection="0"/>
    <xf numFmtId="0" fontId="84" fillId="21" borderId="2" applyNumberFormat="0" applyAlignment="0" applyProtection="0"/>
    <xf numFmtId="0" fontId="30" fillId="21" borderId="2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0" fillId="21" borderId="2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62" borderId="9">
      <alignment horizontal="left" vertical="center" wrapText="1"/>
    </xf>
    <xf numFmtId="0" fontId="14" fillId="61" borderId="9">
      <alignment horizontal="left" vertical="center" wrapText="1"/>
    </xf>
    <xf numFmtId="0" fontId="109" fillId="60" borderId="9">
      <alignment horizontal="left" vertical="center" wrapText="1"/>
    </xf>
    <xf numFmtId="0" fontId="14" fillId="59" borderId="28">
      <alignment horizontal="left" vertical="center" wrapText="1"/>
    </xf>
    <xf numFmtId="49" fontId="14" fillId="58" borderId="9">
      <alignment vertical="center" wrapText="1"/>
    </xf>
    <xf numFmtId="0" fontId="14" fillId="57" borderId="23" applyBorder="0">
      <alignment horizontal="left" vertical="center"/>
    </xf>
    <xf numFmtId="183" fontId="108" fillId="56" borderId="161">
      <alignment vertical="center"/>
    </xf>
    <xf numFmtId="167" fontId="107" fillId="55" borderId="161">
      <alignment vertical="center"/>
    </xf>
    <xf numFmtId="183" fontId="106" fillId="55" borderId="161">
      <alignment vertical="center"/>
    </xf>
    <xf numFmtId="0" fontId="39" fillId="20" borderId="8" applyNumberFormat="0" applyAlignment="0" applyProtection="0"/>
    <xf numFmtId="0" fontId="26" fillId="23" borderId="7" applyNumberFormat="0" applyFont="0" applyAlignment="0" applyProtection="0"/>
    <xf numFmtId="0" fontId="36" fillId="7" borderId="1" applyNumberFormat="0" applyAlignment="0" applyProtection="0"/>
    <xf numFmtId="49" fontId="14" fillId="30" borderId="160">
      <alignment vertical="top" wrapText="1"/>
    </xf>
    <xf numFmtId="43" fontId="12" fillId="0" borderId="0" applyFont="0" applyFill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29" fillId="20" borderId="1" applyNumberFormat="0" applyAlignment="0" applyProtection="0"/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30" fillId="21" borderId="2" applyNumberFormat="0" applyAlignment="0" applyProtection="0"/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79" fillId="7" borderId="1" applyNumberFormat="0" applyAlignment="0" applyProtection="0"/>
    <xf numFmtId="0" fontId="77" fillId="23" borderId="7" applyNumberFormat="0" applyFont="0" applyAlignment="0" applyProtection="0"/>
    <xf numFmtId="0" fontId="88" fillId="20" borderId="8" applyNumberFormat="0" applyAlignment="0" applyProtection="0"/>
    <xf numFmtId="0" fontId="91" fillId="0" borderId="10" applyNumberFormat="0" applyFill="0" applyAlignment="0" applyProtection="0"/>
    <xf numFmtId="0" fontId="94" fillId="20" borderId="1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4" fontId="97" fillId="0" borderId="9" applyFill="0" applyBorder="0" applyProtection="0">
      <alignment horizontal="right" vertical="center"/>
    </xf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7" fillId="0" borderId="148">
      <alignment horizontal="left" vertical="center" wrapText="1" indent="2"/>
    </xf>
    <xf numFmtId="0" fontId="97" fillId="0" borderId="148">
      <alignment horizontal="left" vertical="center" wrapText="1" indent="2"/>
    </xf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97" fillId="0" borderId="148">
      <alignment horizontal="left" vertical="center" wrapText="1" indent="2"/>
    </xf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94" fillId="20" borderId="1" applyNumberFormat="0" applyAlignment="0" applyProtection="0"/>
    <xf numFmtId="0" fontId="39" fillId="20" borderId="8" applyNumberFormat="0" applyAlignment="0" applyProtection="0"/>
    <xf numFmtId="0" fontId="88" fillId="20" borderId="8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77" fillId="23" borderId="7" applyNumberFormat="0" applyFont="0" applyAlignment="0" applyProtection="0"/>
    <xf numFmtId="0" fontId="36" fillId="7" borderId="1" applyNumberFormat="0" applyAlignment="0" applyProtection="0"/>
    <xf numFmtId="0" fontId="83" fillId="0" borderId="5" applyNumberFormat="0" applyFill="0" applyAlignment="0" applyProtection="0"/>
    <xf numFmtId="0" fontId="79" fillId="7" borderId="1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23" fillId="0" borderId="167" applyNumberFormat="0" applyFill="0" applyAlignment="0" applyProtection="0"/>
    <xf numFmtId="0" fontId="39" fillId="67" borderId="8" applyNumberFormat="0" applyAlignment="0" applyProtection="0"/>
    <xf numFmtId="0" fontId="39" fillId="20" borderId="8" applyNumberFormat="0" applyAlignment="0" applyProtection="0"/>
    <xf numFmtId="0" fontId="36" fillId="7" borderId="1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0" fontId="30" fillId="21" borderId="2" applyNumberFormat="0" applyAlignment="0" applyProtection="0"/>
    <xf numFmtId="0" fontId="39" fillId="20" borderId="8" applyNumberFormat="0" applyAlignment="0" applyProtection="0"/>
    <xf numFmtId="43" fontId="12" fillId="0" borderId="0" applyFont="0" applyFill="0" applyBorder="0" applyAlignment="0" applyProtection="0"/>
    <xf numFmtId="0" fontId="29" fillId="20" borderId="1" applyNumberFormat="0" applyAlignment="0" applyProtection="0"/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43" fontId="12" fillId="0" borderId="0" applyFont="0" applyFill="0" applyBorder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91" fillId="0" borderId="10" applyNumberFormat="0" applyFill="0" applyAlignment="0" applyProtection="0"/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84" fillId="21" borderId="2" applyNumberFormat="0" applyAlignment="0" applyProtection="0"/>
    <xf numFmtId="4" fontId="97" fillId="0" borderId="9" applyFill="0" applyBorder="0" applyProtection="0">
      <alignment horizontal="right" vertical="center"/>
    </xf>
    <xf numFmtId="49" fontId="97" fillId="0" borderId="9" applyNumberFormat="0" applyFont="0" applyFill="0" applyBorder="0" applyProtection="0">
      <alignment horizontal="left" vertical="center" indent="2"/>
    </xf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35" fillId="0" borderId="5" applyNumberFormat="0" applyFill="0" applyAlignment="0" applyProtection="0"/>
    <xf numFmtId="0" fontId="30" fillId="21" borderId="2" applyNumberFormat="0" applyAlignment="0" applyProtection="0"/>
    <xf numFmtId="41" fontId="14" fillId="0" borderId="0" applyFont="0" applyFill="0" applyBorder="0" applyAlignment="0" applyProtection="0"/>
    <xf numFmtId="0" fontId="35" fillId="0" borderId="5" applyNumberFormat="0" applyFill="0" applyAlignment="0" applyProtection="0"/>
    <xf numFmtId="43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39" fillId="20" borderId="8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29" fillId="20" borderId="1" applyNumberFormat="0" applyAlignment="0" applyProtection="0"/>
    <xf numFmtId="0" fontId="30" fillId="21" borderId="2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5" fillId="0" borderId="5" applyNumberFormat="0" applyFill="0" applyAlignment="0" applyProtection="0"/>
    <xf numFmtId="0" fontId="41" fillId="0" borderId="10" applyNumberFormat="0" applyFill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94" fillId="20" borderId="1" applyNumberFormat="0" applyAlignment="0" applyProtection="0"/>
    <xf numFmtId="0" fontId="91" fillId="0" borderId="10" applyNumberFormat="0" applyFill="0" applyAlignment="0" applyProtection="0"/>
    <xf numFmtId="0" fontId="88" fillId="20" borderId="8" applyNumberFormat="0" applyAlignment="0" applyProtection="0"/>
    <xf numFmtId="0" fontId="77" fillId="23" borderId="7" applyNumberFormat="0" applyFont="0" applyAlignment="0" applyProtection="0"/>
    <xf numFmtId="0" fontId="84" fillId="21" borderId="2" applyNumberFormat="0" applyAlignment="0" applyProtection="0"/>
    <xf numFmtId="0" fontId="79" fillId="7" borderId="1" applyNumberFormat="0" applyAlignment="0" applyProtection="0"/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43" fontId="12" fillId="0" borderId="0" applyFont="0" applyFill="0" applyBorder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29" fillId="20" borderId="1" applyNumberForma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0" fontId="29" fillId="20" borderId="1" applyNumberFormat="0" applyAlignment="0" applyProtection="0"/>
    <xf numFmtId="0" fontId="30" fillId="21" borderId="2" applyNumberForma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43" fontId="12" fillId="0" borderId="0" applyFont="0" applyFill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30" fillId="21" borderId="2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43" fontId="14" fillId="0" borderId="0" applyFont="0" applyFill="0" applyBorder="0" applyAlignment="0" applyProtection="0"/>
    <xf numFmtId="0" fontId="79" fillId="7" borderId="1" applyNumberFormat="0" applyAlignment="0" applyProtection="0"/>
    <xf numFmtId="0" fontId="84" fillId="21" borderId="2" applyNumberFormat="0" applyAlignment="0" applyProtection="0"/>
    <xf numFmtId="0" fontId="77" fillId="23" borderId="7" applyNumberFormat="0" applyFont="0" applyAlignment="0" applyProtection="0"/>
    <xf numFmtId="0" fontId="88" fillId="20" borderId="8" applyNumberFormat="0" applyAlignment="0" applyProtection="0"/>
    <xf numFmtId="0" fontId="91" fillId="0" borderId="10" applyNumberFormat="0" applyFill="0" applyAlignment="0" applyProtection="0"/>
    <xf numFmtId="0" fontId="94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7" fillId="0" borderId="148">
      <alignment horizontal="left" vertical="center" wrapText="1" indent="2"/>
    </xf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43" fontId="12" fillId="0" borderId="0" applyFont="0" applyFill="0" applyBorder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43" fontId="14" fillId="0" borderId="0" applyFont="0" applyFill="0" applyBorder="0" applyAlignment="0" applyProtection="0"/>
    <xf numFmtId="0" fontId="29" fillId="20" borderId="1" applyNumberFormat="0" applyAlignment="0" applyProtection="0"/>
    <xf numFmtId="0" fontId="30" fillId="21" borderId="2" applyNumberFormat="0" applyAlignment="0" applyProtection="0"/>
    <xf numFmtId="41" fontId="14" fillId="0" borderId="0" applyFont="0" applyFill="0" applyBorder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43" fontId="14" fillId="0" borderId="0" applyFont="0" applyFill="0" applyBorder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0" fontId="29" fillId="20" borderId="1" applyNumberFormat="0" applyAlignment="0" applyProtection="0"/>
    <xf numFmtId="0" fontId="30" fillId="21" borderId="2" applyNumberFormat="0" applyAlignment="0" applyProtection="0"/>
    <xf numFmtId="0" fontId="14" fillId="23" borderId="7" applyNumberFormat="0" applyFont="0" applyAlignment="0" applyProtection="0"/>
    <xf numFmtId="0" fontId="35" fillId="0" borderId="5" applyNumberFormat="0" applyFill="0" applyAlignment="0" applyProtection="0"/>
    <xf numFmtId="0" fontId="41" fillId="0" borderId="10" applyNumberFormat="0" applyFill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30" fillId="21" borderId="2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41" fillId="0" borderId="10" applyNumberFormat="0" applyFill="0" applyAlignment="0" applyProtection="0"/>
    <xf numFmtId="0" fontId="79" fillId="7" borderId="1" applyNumberFormat="0" applyAlignment="0" applyProtection="0"/>
    <xf numFmtId="0" fontId="77" fillId="23" borderId="7" applyNumberFormat="0" applyFont="0" applyAlignment="0" applyProtection="0"/>
    <xf numFmtId="0" fontId="88" fillId="20" borderId="8" applyNumberFormat="0" applyAlignment="0" applyProtection="0"/>
    <xf numFmtId="0" fontId="91" fillId="0" borderId="10" applyNumberFormat="0" applyFill="0" applyAlignment="0" applyProtection="0"/>
    <xf numFmtId="0" fontId="94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97" fillId="0" borderId="148">
      <alignment horizontal="left" vertical="center" wrapText="1" indent="2"/>
    </xf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0" fontId="29" fillId="20" borderId="1" applyNumberForma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67" borderId="8" applyNumberFormat="0" applyAlignment="0" applyProtection="0"/>
    <xf numFmtId="0" fontId="41" fillId="0" borderId="10" applyNumberFormat="0" applyFill="0" applyAlignment="0" applyProtection="0"/>
    <xf numFmtId="0" fontId="123" fillId="0" borderId="167" applyNumberFormat="0" applyFill="0" applyAlignment="0" applyProtection="0"/>
    <xf numFmtId="0" fontId="30" fillId="21" borderId="2" applyNumberFormat="0" applyAlignment="0" applyProtection="0"/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79" fillId="7" borderId="1" applyNumberFormat="0" applyAlignment="0" applyProtection="0"/>
    <xf numFmtId="0" fontId="83" fillId="0" borderId="5" applyNumberFormat="0" applyFill="0" applyAlignment="0" applyProtection="0"/>
    <xf numFmtId="0" fontId="84" fillId="21" borderId="2" applyNumberFormat="0" applyAlignment="0" applyProtection="0"/>
    <xf numFmtId="0" fontId="77" fillId="23" borderId="7" applyNumberFormat="0" applyFont="0" applyAlignment="0" applyProtection="0"/>
    <xf numFmtId="0" fontId="88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9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94" fillId="20" borderId="1" applyNumberFormat="0" applyAlignment="0" applyProtection="0"/>
    <xf numFmtId="0" fontId="41" fillId="0" borderId="10" applyNumberFormat="0" applyFill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97" fillId="0" borderId="148">
      <alignment horizontal="left" vertical="center" wrapText="1" indent="2"/>
    </xf>
    <xf numFmtId="0" fontId="97" fillId="0" borderId="148">
      <alignment horizontal="left" vertical="center" wrapText="1" indent="2"/>
    </xf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97" fillId="0" borderId="148">
      <alignment horizontal="left" vertical="center" wrapText="1" indent="2"/>
    </xf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6" fillId="7" borderId="1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6" fillId="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30" fillId="21" borderId="2" applyNumberFormat="0" applyAlignment="0" applyProtection="0"/>
    <xf numFmtId="0" fontId="35" fillId="0" borderId="5" applyNumberFormat="0" applyFill="0" applyAlignment="0" applyProtection="0"/>
    <xf numFmtId="0" fontId="36" fillId="7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49" fontId="14" fillId="30" borderId="160">
      <alignment vertical="top" wrapText="1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4" fontId="97" fillId="0" borderId="9" applyFill="0" applyBorder="0" applyProtection="0">
      <alignment horizontal="right" vertical="center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30" fillId="21" borderId="2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0" fontId="35" fillId="0" borderId="5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91" fillId="0" borderId="10" applyNumberFormat="0" applyFill="0" applyAlignment="0" applyProtection="0"/>
    <xf numFmtId="0" fontId="77" fillId="23" borderId="7" applyNumberFormat="0" applyFont="0" applyAlignment="0" applyProtection="0"/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30" fillId="21" borderId="2" applyNumberFormat="0" applyAlignment="0" applyProtection="0"/>
    <xf numFmtId="0" fontId="123" fillId="0" borderId="167" applyNumberFormat="0" applyFill="0" applyAlignment="0" applyProtection="0"/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94" fillId="20" borderId="1" applyNumberFormat="0" applyAlignment="0" applyProtection="0"/>
    <xf numFmtId="0" fontId="88" fillId="20" borderId="8" applyNumberFormat="0" applyAlignment="0" applyProtection="0"/>
    <xf numFmtId="0" fontId="83" fillId="0" borderId="5" applyNumberFormat="0" applyFill="0" applyAlignment="0" applyProtection="0"/>
    <xf numFmtId="0" fontId="79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29" fillId="20" borderId="1" applyNumberFormat="0" applyAlignment="0" applyProtection="0"/>
    <xf numFmtId="0" fontId="14" fillId="23" borderId="7" applyNumberFormat="0" applyFont="0" applyAlignment="0" applyProtection="0"/>
    <xf numFmtId="0" fontId="35" fillId="0" borderId="5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29" fillId="20" borderId="1" applyNumberFormat="0" applyAlignment="0" applyProtection="0"/>
    <xf numFmtId="0" fontId="39" fillId="67" borderId="8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5" fillId="0" borderId="5" applyNumberFormat="0" applyFill="0" applyAlignment="0" applyProtection="0"/>
    <xf numFmtId="0" fontId="83" fillId="0" borderId="5" applyNumberFormat="0" applyFill="0" applyAlignment="0" applyProtection="0"/>
    <xf numFmtId="0" fontId="84" fillId="21" borderId="2" applyNumberFormat="0" applyAlignment="0" applyProtection="0"/>
    <xf numFmtId="0" fontId="30" fillId="21" borderId="2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0" fillId="21" borderId="2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62" borderId="9">
      <alignment horizontal="left" vertical="center" wrapText="1"/>
    </xf>
    <xf numFmtId="0" fontId="14" fillId="61" borderId="9">
      <alignment horizontal="left" vertical="center" wrapText="1"/>
    </xf>
    <xf numFmtId="0" fontId="109" fillId="60" borderId="9">
      <alignment horizontal="left" vertical="center" wrapText="1"/>
    </xf>
    <xf numFmtId="0" fontId="14" fillId="59" borderId="28">
      <alignment horizontal="left" vertical="center" wrapText="1"/>
    </xf>
    <xf numFmtId="49" fontId="14" fillId="58" borderId="9">
      <alignment vertical="center" wrapText="1"/>
    </xf>
    <xf numFmtId="0" fontId="14" fillId="57" borderId="23" applyBorder="0">
      <alignment horizontal="left" vertical="center"/>
    </xf>
    <xf numFmtId="183" fontId="108" fillId="56" borderId="161">
      <alignment vertical="center"/>
    </xf>
    <xf numFmtId="167" fontId="107" fillId="55" borderId="161">
      <alignment vertical="center"/>
    </xf>
    <xf numFmtId="183" fontId="106" fillId="55" borderId="161">
      <alignment vertical="center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26" fillId="23" borderId="7" applyNumberFormat="0" applyFont="0" applyAlignment="0" applyProtection="0"/>
    <xf numFmtId="0" fontId="36" fillId="7" borderId="1" applyNumberFormat="0" applyAlignment="0" applyProtection="0"/>
    <xf numFmtId="49" fontId="14" fillId="30" borderId="160">
      <alignment vertical="top" wrapText="1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0" fontId="29" fillId="20" borderId="1" applyNumberFormat="0" applyAlignment="0" applyProtection="0"/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30" fillId="21" borderId="2" applyNumberFormat="0" applyAlignment="0" applyProtection="0"/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79" fillId="7" borderId="1" applyNumberFormat="0" applyAlignment="0" applyProtection="0"/>
    <xf numFmtId="0" fontId="77" fillId="23" borderId="7" applyNumberFormat="0" applyFont="0" applyAlignment="0" applyProtection="0"/>
    <xf numFmtId="0" fontId="88" fillId="20" borderId="8" applyNumberFormat="0" applyAlignment="0" applyProtection="0"/>
    <xf numFmtId="0" fontId="91" fillId="0" borderId="10" applyNumberFormat="0" applyFill="0" applyAlignment="0" applyProtection="0"/>
    <xf numFmtId="0" fontId="94" fillId="20" borderId="1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left"/>
    </xf>
    <xf numFmtId="0" fontId="39" fillId="20" borderId="8" applyNumberFormat="0" applyAlignment="0" applyProtection="0"/>
    <xf numFmtId="0" fontId="16" fillId="24" borderId="9" applyNumberFormat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4" fontId="97" fillId="0" borderId="9" applyFill="0" applyBorder="0" applyProtection="0">
      <alignment horizontal="right" vertical="center"/>
    </xf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97" fillId="0" borderId="148">
      <alignment horizontal="left" vertical="center" wrapText="1" indent="2"/>
    </xf>
    <xf numFmtId="0" fontId="97" fillId="0" borderId="148">
      <alignment horizontal="left" vertical="center" wrapText="1" indent="2"/>
    </xf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97" fillId="0" borderId="148">
      <alignment horizontal="left" vertical="center" wrapText="1" indent="2"/>
    </xf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94" fillId="20" borderId="1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88" fillId="20" borderId="8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77" fillId="23" borderId="7" applyNumberFormat="0" applyFont="0" applyAlignment="0" applyProtection="0"/>
    <xf numFmtId="0" fontId="36" fillId="7" borderId="1" applyNumberFormat="0" applyAlignment="0" applyProtection="0"/>
    <xf numFmtId="0" fontId="83" fillId="0" borderId="5" applyNumberFormat="0" applyFill="0" applyAlignment="0" applyProtection="0"/>
    <xf numFmtId="0" fontId="79" fillId="7" borderId="1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6" fillId="24" borderId="9" applyNumberFormat="0" applyProtection="0">
      <alignment horizontal="right"/>
    </xf>
    <xf numFmtId="0" fontId="123" fillId="0" borderId="167" applyNumberFormat="0" applyFill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67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6" fillId="7" borderId="1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0" fontId="30" fillId="21" borderId="2" applyNumberFormat="0" applyAlignment="0" applyProtection="0"/>
    <xf numFmtId="0" fontId="39" fillId="20" borderId="8" applyNumberFormat="0" applyAlignment="0" applyProtection="0"/>
    <xf numFmtId="0" fontId="29" fillId="20" borderId="1" applyNumberFormat="0" applyAlignment="0" applyProtection="0"/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91" fillId="0" borderId="10" applyNumberFormat="0" applyFill="0" applyAlignment="0" applyProtection="0"/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84" fillId="21" borderId="2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5" fillId="0" borderId="5" applyNumberFormat="0" applyFill="0" applyAlignment="0" applyProtection="0"/>
    <xf numFmtId="0" fontId="30" fillId="21" borderId="2" applyNumberFormat="0" applyAlignment="0" applyProtection="0"/>
    <xf numFmtId="0" fontId="35" fillId="0" borderId="5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29" fillId="20" borderId="1" applyNumberFormat="0" applyAlignment="0" applyProtection="0"/>
    <xf numFmtId="0" fontId="30" fillId="21" borderId="2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5" fillId="0" borderId="5" applyNumberFormat="0" applyFill="0" applyAlignment="0" applyProtection="0"/>
    <xf numFmtId="0" fontId="41" fillId="0" borderId="10" applyNumberFormat="0" applyFill="0" applyAlignment="0" applyProtection="0"/>
    <xf numFmtId="0" fontId="16" fillId="24" borderId="9" applyNumberFormat="0" applyProtection="0">
      <alignment horizontal="left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94" fillId="20" borderId="1" applyNumberFormat="0" applyAlignment="0" applyProtection="0"/>
    <xf numFmtId="0" fontId="91" fillId="0" borderId="10" applyNumberFormat="0" applyFill="0" applyAlignment="0" applyProtection="0"/>
    <xf numFmtId="0" fontId="88" fillId="20" borderId="8" applyNumberFormat="0" applyAlignment="0" applyProtection="0"/>
    <xf numFmtId="0" fontId="77" fillId="23" borderId="7" applyNumberFormat="0" applyFont="0" applyAlignment="0" applyProtection="0"/>
    <xf numFmtId="0" fontId="84" fillId="21" borderId="2" applyNumberFormat="0" applyAlignment="0" applyProtection="0"/>
    <xf numFmtId="0" fontId="79" fillId="7" borderId="1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29" fillId="20" borderId="1" applyNumberForma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0" fontId="29" fillId="20" borderId="1" applyNumberFormat="0" applyAlignment="0" applyProtection="0"/>
    <xf numFmtId="0" fontId="30" fillId="21" borderId="2" applyNumberForma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30" fillId="21" borderId="2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79" fillId="7" borderId="1" applyNumberFormat="0" applyAlignment="0" applyProtection="0"/>
    <xf numFmtId="0" fontId="84" fillId="21" borderId="2" applyNumberFormat="0" applyAlignment="0" applyProtection="0"/>
    <xf numFmtId="0" fontId="77" fillId="23" borderId="7" applyNumberFormat="0" applyFont="0" applyAlignment="0" applyProtection="0"/>
    <xf numFmtId="0" fontId="88" fillId="20" borderId="8" applyNumberFormat="0" applyAlignment="0" applyProtection="0"/>
    <xf numFmtId="0" fontId="91" fillId="0" borderId="10" applyNumberFormat="0" applyFill="0" applyAlignment="0" applyProtection="0"/>
    <xf numFmtId="0" fontId="94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97" fillId="0" borderId="148">
      <alignment horizontal="left" vertical="center" wrapText="1" indent="2"/>
    </xf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0" fontId="29" fillId="20" borderId="1" applyNumberFormat="0" applyAlignment="0" applyProtection="0"/>
    <xf numFmtId="0" fontId="30" fillId="21" borderId="2" applyNumberForma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0" fontId="12" fillId="0" borderId="0"/>
    <xf numFmtId="0" fontId="134" fillId="0" borderId="0" applyNumberFormat="0" applyFill="0" applyBorder="0" applyAlignment="0" applyProtection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57" borderId="23" applyBorder="0">
      <alignment horizontal="left" vertical="center"/>
    </xf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 applyNumberFormat="0" applyFont="0" applyFill="0" applyBorder="0" applyProtection="0">
      <alignment vertical="center"/>
    </xf>
    <xf numFmtId="9" fontId="12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79" fillId="7" borderId="1" applyNumberFormat="0" applyAlignment="0" applyProtection="0"/>
    <xf numFmtId="0" fontId="77" fillId="23" borderId="7" applyNumberFormat="0" applyFont="0" applyAlignment="0" applyProtection="0"/>
    <xf numFmtId="0" fontId="88" fillId="20" borderId="8" applyNumberFormat="0" applyAlignment="0" applyProtection="0"/>
    <xf numFmtId="0" fontId="91" fillId="0" borderId="10" applyNumberFormat="0" applyFill="0" applyAlignment="0" applyProtection="0"/>
    <xf numFmtId="0" fontId="94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43" fontId="12" fillId="0" borderId="0" applyFont="0" applyFill="0" applyBorder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29" fillId="20" borderId="1" applyNumberFormat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43" fontId="14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4" fontId="97" fillId="0" borderId="9" applyFill="0" applyBorder="0" applyProtection="0">
      <alignment horizontal="right" vertical="center"/>
    </xf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94" fillId="20" borderId="1" applyNumberFormat="0" applyAlignment="0" applyProtection="0"/>
    <xf numFmtId="0" fontId="91" fillId="0" borderId="10" applyNumberFormat="0" applyFill="0" applyAlignment="0" applyProtection="0"/>
    <xf numFmtId="0" fontId="88" fillId="20" borderId="8" applyNumberFormat="0" applyAlignment="0" applyProtection="0"/>
    <xf numFmtId="0" fontId="77" fillId="23" borderId="7" applyNumberFormat="0" applyFont="0" applyAlignment="0" applyProtection="0"/>
    <xf numFmtId="0" fontId="79" fillId="7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4" fillId="57" borderId="23" applyBorder="0">
      <alignment horizontal="left" vertical="center"/>
    </xf>
    <xf numFmtId="43" fontId="12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43" borderId="12">
      <alignment horizontal="center" vertical="center" wrapText="1"/>
    </xf>
    <xf numFmtId="0" fontId="26" fillId="32" borderId="9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29" fillId="20" borderId="1" applyNumberForma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0" fontId="14" fillId="43" borderId="12">
      <alignment horizontal="center" vertical="center" wrapText="1"/>
    </xf>
    <xf numFmtId="0" fontId="26" fillId="32" borderId="9"/>
    <xf numFmtId="0" fontId="14" fillId="0" borderId="0"/>
    <xf numFmtId="0" fontId="12" fillId="0" borderId="0"/>
    <xf numFmtId="0" fontId="23" fillId="0" borderId="0"/>
    <xf numFmtId="0" fontId="14" fillId="0" borderId="0"/>
    <xf numFmtId="0" fontId="135" fillId="46" borderId="0"/>
    <xf numFmtId="0" fontId="14" fillId="42" borderId="14">
      <alignment horizontal="center" vertical="center" wrapText="1"/>
    </xf>
    <xf numFmtId="0" fontId="14" fillId="42" borderId="14">
      <alignment horizontal="center" vertical="center" wrapText="1"/>
    </xf>
    <xf numFmtId="0" fontId="136" fillId="69" borderId="13">
      <alignment vertical="center" wrapText="1"/>
    </xf>
    <xf numFmtId="1" fontId="12" fillId="52" borderId="0"/>
    <xf numFmtId="2" fontId="12" fillId="53" borderId="0"/>
    <xf numFmtId="0" fontId="136" fillId="69" borderId="13">
      <alignment vertical="center" wrapText="1"/>
    </xf>
    <xf numFmtId="0" fontId="14" fillId="68" borderId="0"/>
    <xf numFmtId="0" fontId="26" fillId="34" borderId="9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 applyNumberFormat="0" applyFont="0" applyFill="0" applyBorder="0" applyProtection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 applyNumberFormat="0" applyFont="0" applyFill="0" applyBorder="0" applyProtection="0">
      <alignment vertical="center"/>
    </xf>
    <xf numFmtId="9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7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7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7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7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7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7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4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7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4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7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4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7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7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4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26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 applyNumberFormat="0" applyFont="0" applyFill="0" applyBorder="0" applyProtection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 applyNumberFormat="0" applyFont="0" applyFill="0" applyBorder="0" applyProtection="0">
      <alignment vertical="center"/>
    </xf>
    <xf numFmtId="9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43" fontId="14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 applyNumberFormat="0" applyFont="0" applyFill="0" applyBorder="0" applyProtection="0">
      <alignment vertical="center"/>
    </xf>
    <xf numFmtId="9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 applyNumberFormat="0" applyFont="0" applyFill="0" applyBorder="0" applyProtection="0">
      <alignment vertical="center"/>
    </xf>
    <xf numFmtId="9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1" fontId="11" fillId="52" borderId="0"/>
    <xf numFmtId="2" fontId="11" fillId="53" borderId="0"/>
    <xf numFmtId="43" fontId="14" fillId="0" borderId="0" applyFont="0" applyFill="0" applyBorder="0" applyAlignment="0" applyProtection="0"/>
    <xf numFmtId="0" fontId="1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 applyNumberFormat="0" applyFont="0" applyFill="0" applyBorder="0" applyProtection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4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 applyNumberFormat="0" applyFont="0" applyFill="0" applyBorder="0" applyProtection="0">
      <alignment vertical="center"/>
    </xf>
    <xf numFmtId="9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17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7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7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7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7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7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4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7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4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7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4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7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7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4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26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 applyNumberFormat="0" applyFont="0" applyFill="0" applyBorder="0" applyProtection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 applyNumberFormat="0" applyFont="0" applyFill="0" applyBorder="0" applyProtection="0">
      <alignment vertical="center"/>
    </xf>
    <xf numFmtId="9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43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 applyNumberFormat="0" applyFont="0" applyFill="0" applyBorder="0" applyProtection="0">
      <alignment vertical="center"/>
    </xf>
    <xf numFmtId="9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 applyNumberFormat="0" applyFont="0" applyFill="0" applyBorder="0" applyProtection="0">
      <alignment vertical="center"/>
    </xf>
    <xf numFmtId="9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1" fontId="10" fillId="52" borderId="0"/>
    <xf numFmtId="2" fontId="10" fillId="53" borderId="0"/>
    <xf numFmtId="43" fontId="14" fillId="0" borderId="0" applyFont="0" applyFill="0" applyBorder="0" applyAlignment="0" applyProtection="0"/>
    <xf numFmtId="0" fontId="1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Protection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 applyNumberFormat="0" applyFont="0" applyFill="0" applyBorder="0" applyProtection="0">
      <alignment vertical="center"/>
    </xf>
    <xf numFmtId="9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117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7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7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7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7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7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4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7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4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7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4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7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7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4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26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 applyNumberFormat="0" applyFont="0" applyFill="0" applyBorder="0" applyProtection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 applyNumberFormat="0" applyFont="0" applyFill="0" applyBorder="0" applyProtection="0">
      <alignment vertical="center"/>
    </xf>
    <xf numFmtId="9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43" fontId="14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 applyNumberFormat="0" applyFont="0" applyFill="0" applyBorder="0" applyProtection="0">
      <alignment vertical="center"/>
    </xf>
    <xf numFmtId="9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 applyNumberFormat="0" applyFont="0" applyFill="0" applyBorder="0" applyProtection="0">
      <alignment vertical="center"/>
    </xf>
    <xf numFmtId="9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1" fontId="9" fillId="52" borderId="0"/>
    <xf numFmtId="2" fontId="9" fillId="53" borderId="0"/>
    <xf numFmtId="0" fontId="8" fillId="0" borderId="0"/>
    <xf numFmtId="0" fontId="14" fillId="0" borderId="0"/>
    <xf numFmtId="0" fontId="8" fillId="0" borderId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Protection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 applyNumberFormat="0" applyFont="0" applyFill="0" applyBorder="0" applyProtection="0">
      <alignment vertical="center"/>
    </xf>
    <xf numFmtId="9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43" fontId="117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7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7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7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7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7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4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7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4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7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4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7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7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4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43" fontId="26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 applyNumberFormat="0" applyFont="0" applyFill="0" applyBorder="0" applyProtection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 applyNumberFormat="0" applyFont="0" applyFill="0" applyBorder="0" applyProtection="0">
      <alignment vertical="center"/>
    </xf>
    <xf numFmtId="9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67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71" fontId="14" fillId="0" borderId="0" applyFont="0" applyFill="0" applyBorder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14" fillId="0" borderId="0"/>
    <xf numFmtId="0" fontId="8" fillId="0" borderId="0"/>
    <xf numFmtId="0" fontId="8" fillId="0" borderId="0"/>
    <xf numFmtId="0" fontId="14" fillId="0" borderId="0"/>
    <xf numFmtId="0" fontId="8" fillId="0" borderId="0"/>
    <xf numFmtId="0" fontId="14" fillId="0" borderId="0"/>
    <xf numFmtId="0" fontId="14" fillId="0" borderId="0"/>
    <xf numFmtId="0" fontId="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26" fillId="2" borderId="0" applyNumberFormat="0" applyBorder="0" applyAlignment="0" applyProtection="0"/>
    <xf numFmtId="1" fontId="8" fillId="52" borderId="0"/>
    <xf numFmtId="2" fontId="8" fillId="53" borderId="0"/>
    <xf numFmtId="0" fontId="8" fillId="0" borderId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 applyNumberFormat="0" applyFont="0" applyFill="0" applyBorder="0" applyAlignment="0" applyProtection="0"/>
    <xf numFmtId="0" fontId="147" fillId="0" borderId="0" applyNumberFormat="0" applyFill="0" applyBorder="0" applyAlignment="0" applyProtection="0">
      <alignment vertical="center"/>
    </xf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8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8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2" borderId="0" applyNumberFormat="0" applyBorder="0" applyAlignment="0" applyProtection="0"/>
    <xf numFmtId="0" fontId="26" fillId="8" borderId="0" applyNumberFormat="0" applyBorder="0" applyAlignment="0" applyProtection="0"/>
    <xf numFmtId="0" fontId="26" fillId="2" borderId="0" applyNumberFormat="0" applyBorder="0" applyAlignment="0" applyProtection="0"/>
    <xf numFmtId="0" fontId="26" fillId="8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3" borderId="0" applyNumberFormat="0" applyBorder="0" applyAlignment="0" applyProtection="0"/>
    <xf numFmtId="0" fontId="26" fillId="9" borderId="0" applyNumberFormat="0" applyBorder="0" applyAlignment="0" applyProtection="0"/>
    <xf numFmtId="0" fontId="26" fillId="3" borderId="0" applyNumberFormat="0" applyBorder="0" applyAlignment="0" applyProtection="0"/>
    <xf numFmtId="0" fontId="26" fillId="9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23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23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4" borderId="0" applyNumberFormat="0" applyBorder="0" applyAlignment="0" applyProtection="0"/>
    <xf numFmtId="0" fontId="26" fillId="23" borderId="0" applyNumberFormat="0" applyBorder="0" applyAlignment="0" applyProtection="0"/>
    <xf numFmtId="0" fontId="26" fillId="4" borderId="0" applyNumberFormat="0" applyBorder="0" applyAlignment="0" applyProtection="0"/>
    <xf numFmtId="0" fontId="26" fillId="23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7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7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5" borderId="0" applyNumberFormat="0" applyBorder="0" applyAlignment="0" applyProtection="0"/>
    <xf numFmtId="0" fontId="26" fillId="7" borderId="0" applyNumberFormat="0" applyBorder="0" applyAlignment="0" applyProtection="0"/>
    <xf numFmtId="0" fontId="26" fillId="5" borderId="0" applyNumberFormat="0" applyBorder="0" applyAlignment="0" applyProtection="0"/>
    <xf numFmtId="0" fontId="26" fillId="7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23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23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7" borderId="0" applyNumberFormat="0" applyBorder="0" applyAlignment="0" applyProtection="0"/>
    <xf numFmtId="0" fontId="26" fillId="23" borderId="0" applyNumberFormat="0" applyBorder="0" applyAlignment="0" applyProtection="0"/>
    <xf numFmtId="0" fontId="26" fillId="7" borderId="0" applyNumberFormat="0" applyBorder="0" applyAlignment="0" applyProtection="0"/>
    <xf numFmtId="0" fontId="26" fillId="23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6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6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8" borderId="0" applyNumberFormat="0" applyBorder="0" applyAlignment="0" applyProtection="0"/>
    <xf numFmtId="0" fontId="26" fillId="6" borderId="0" applyNumberFormat="0" applyBorder="0" applyAlignment="0" applyProtection="0"/>
    <xf numFmtId="0" fontId="26" fillId="8" borderId="0" applyNumberFormat="0" applyBorder="0" applyAlignment="0" applyProtection="0"/>
    <xf numFmtId="0" fontId="26" fillId="6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22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22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10" borderId="0" applyNumberFormat="0" applyBorder="0" applyAlignment="0" applyProtection="0"/>
    <xf numFmtId="0" fontId="26" fillId="22" borderId="0" applyNumberFormat="0" applyBorder="0" applyAlignment="0" applyProtection="0"/>
    <xf numFmtId="0" fontId="26" fillId="10" borderId="0" applyNumberFormat="0" applyBorder="0" applyAlignment="0" applyProtection="0"/>
    <xf numFmtId="0" fontId="26" fillId="22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3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3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5" borderId="0" applyNumberFormat="0" applyBorder="0" applyAlignment="0" applyProtection="0"/>
    <xf numFmtId="0" fontId="26" fillId="3" borderId="0" applyNumberFormat="0" applyBorder="0" applyAlignment="0" applyProtection="0"/>
    <xf numFmtId="0" fontId="26" fillId="5" borderId="0" applyNumberFormat="0" applyBorder="0" applyAlignment="0" applyProtection="0"/>
    <xf numFmtId="0" fontId="26" fillId="3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6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6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8" borderId="0" applyNumberFormat="0" applyBorder="0" applyAlignment="0" applyProtection="0"/>
    <xf numFmtId="0" fontId="26" fillId="6" borderId="0" applyNumberFormat="0" applyBorder="0" applyAlignment="0" applyProtection="0"/>
    <xf numFmtId="0" fontId="26" fillId="8" borderId="0" applyNumberFormat="0" applyBorder="0" applyAlignment="0" applyProtection="0"/>
    <xf numFmtId="0" fontId="26" fillId="6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23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23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11" borderId="0" applyNumberFormat="0" applyBorder="0" applyAlignment="0" applyProtection="0"/>
    <xf numFmtId="0" fontId="26" fillId="23" borderId="0" applyNumberFormat="0" applyBorder="0" applyAlignment="0" applyProtection="0"/>
    <xf numFmtId="0" fontId="26" fillId="11" borderId="0" applyNumberFormat="0" applyBorder="0" applyAlignment="0" applyProtection="0"/>
    <xf numFmtId="0" fontId="26" fillId="23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6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43" fontId="26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1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1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6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9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3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65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9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1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66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7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97" fillId="38" borderId="0" applyBorder="0">
      <alignment horizontal="right" vertical="center"/>
    </xf>
    <xf numFmtId="0" fontId="97" fillId="38" borderId="0" applyBorder="0">
      <alignment horizontal="right" vertical="center"/>
    </xf>
    <xf numFmtId="0" fontId="96" fillId="38" borderId="9">
      <alignment horizontal="right" vertical="center"/>
    </xf>
    <xf numFmtId="0" fontId="118" fillId="38" borderId="9">
      <alignment horizontal="right" vertical="center"/>
    </xf>
    <xf numFmtId="0" fontId="96" fillId="32" borderId="9">
      <alignment horizontal="right" vertical="center"/>
    </xf>
    <xf numFmtId="0" fontId="96" fillId="32" borderId="9">
      <alignment horizontal="right" vertical="center"/>
    </xf>
    <xf numFmtId="0" fontId="39" fillId="20" borderId="8" applyNumberFormat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5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9" fillId="20" borderId="1" applyNumberFormat="0" applyAlignment="0" applyProtection="0"/>
    <xf numFmtId="4" fontId="103" fillId="0" borderId="157" applyFill="0" applyBorder="0" applyProtection="0">
      <alignment horizontal="right" vertical="center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116" fillId="67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89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8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8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65" fontId="14" fillId="0" borderId="0" applyFont="0" applyFill="0" applyBorder="0" applyAlignment="0" applyProtection="0"/>
    <xf numFmtId="0" fontId="36" fillId="7" borderId="1" applyNumberFormat="0" applyAlignment="0" applyProtection="0"/>
    <xf numFmtId="0" fontId="41" fillId="0" borderId="10" applyNumberFormat="0" applyFill="0" applyAlignment="0" applyProtection="0"/>
    <xf numFmtId="0" fontId="22" fillId="0" borderId="0">
      <alignment vertical="top"/>
    </xf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88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88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6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124" fillId="0" borderId="165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125" fillId="0" borderId="166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123" fillId="0" borderId="167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22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22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97" fillId="0" borderId="9">
      <alignment horizontal="right" vertical="center"/>
    </xf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42" fillId="0" borderId="168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126" fillId="22" borderId="0" applyNumberFormat="0" applyBorder="0" applyAlignment="0" applyProtection="0"/>
    <xf numFmtId="0" fontId="148" fillId="35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26" fillId="0" borderId="0"/>
    <xf numFmtId="0" fontId="14" fillId="0" borderId="0"/>
    <xf numFmtId="0" fontId="26" fillId="0" borderId="0"/>
    <xf numFmtId="0" fontId="26" fillId="0" borderId="0"/>
    <xf numFmtId="167" fontId="127" fillId="0" borderId="0">
      <alignment vertical="center"/>
    </xf>
    <xf numFmtId="0" fontId="26" fillId="0" borderId="0"/>
    <xf numFmtId="0" fontId="8" fillId="0" borderId="0"/>
    <xf numFmtId="0" fontId="26" fillId="0" borderId="0"/>
    <xf numFmtId="167" fontId="127" fillId="0" borderId="0">
      <alignment vertical="center"/>
    </xf>
    <xf numFmtId="0" fontId="26" fillId="0" borderId="0"/>
    <xf numFmtId="0" fontId="8" fillId="0" borderId="0"/>
    <xf numFmtId="0" fontId="26" fillId="0" borderId="0"/>
    <xf numFmtId="0" fontId="14" fillId="0" borderId="0"/>
    <xf numFmtId="0" fontId="26" fillId="0" borderId="0"/>
    <xf numFmtId="0" fontId="14" fillId="0" borderId="0"/>
    <xf numFmtId="0" fontId="8" fillId="0" borderId="0"/>
    <xf numFmtId="0" fontId="14" fillId="0" borderId="0" applyNumberFormat="0" applyFont="0" applyFill="0" applyBorder="0" applyAlignment="0" applyProtection="0"/>
    <xf numFmtId="0" fontId="14" fillId="0" borderId="0" applyNumberFormat="0" applyFont="0" applyFill="0" applyBorder="0" applyAlignment="0" applyProtection="0"/>
    <xf numFmtId="0" fontId="26" fillId="0" borderId="0"/>
    <xf numFmtId="0" fontId="146" fillId="0" borderId="0"/>
    <xf numFmtId="0" fontId="14" fillId="0" borderId="0"/>
    <xf numFmtId="0" fontId="26" fillId="0" borderId="0"/>
    <xf numFmtId="0" fontId="8" fillId="0" borderId="0"/>
    <xf numFmtId="0" fontId="14" fillId="0" borderId="0">
      <alignment vertical="top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>
      <alignment vertical="top"/>
    </xf>
    <xf numFmtId="0" fontId="5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5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7" fillId="0" borderId="0"/>
    <xf numFmtId="187" fontId="127" fillId="0" borderId="0">
      <alignment vertical="center"/>
    </xf>
    <xf numFmtId="0" fontId="26" fillId="0" borderId="0"/>
    <xf numFmtId="0" fontId="11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4" fillId="0" borderId="0"/>
    <xf numFmtId="0" fontId="14" fillId="0" borderId="0"/>
    <xf numFmtId="0" fontId="14" fillId="0" borderId="0"/>
    <xf numFmtId="0" fontId="2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6" fillId="0" borderId="0"/>
    <xf numFmtId="0" fontId="26" fillId="0" borderId="0"/>
    <xf numFmtId="0" fontId="14" fillId="0" borderId="0"/>
    <xf numFmtId="0" fontId="8" fillId="0" borderId="0"/>
    <xf numFmtId="0" fontId="14" fillId="0" borderId="0"/>
    <xf numFmtId="0" fontId="26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4" fillId="0" borderId="0"/>
    <xf numFmtId="0" fontId="26" fillId="0" borderId="0"/>
    <xf numFmtId="0" fontId="8" fillId="0" borderId="0"/>
    <xf numFmtId="0" fontId="26" fillId="0" borderId="0"/>
    <xf numFmtId="0" fontId="26" fillId="0" borderId="0"/>
    <xf numFmtId="0" fontId="26" fillId="0" borderId="0"/>
    <xf numFmtId="0" fontId="14" fillId="0" borderId="0"/>
    <xf numFmtId="0" fontId="26" fillId="0" borderId="0"/>
    <xf numFmtId="0" fontId="14" fillId="71" borderId="0" applyNumberFormat="0" applyFont="0" applyBorder="0" applyAlignment="0" applyProtection="0"/>
    <xf numFmtId="0" fontId="26" fillId="0" borderId="0"/>
    <xf numFmtId="0" fontId="14" fillId="0" borderId="0"/>
    <xf numFmtId="0" fontId="14" fillId="0" borderId="0" applyNumberFormat="0" applyFont="0" applyFill="0" applyBorder="0" applyAlignment="0" applyProtection="0"/>
    <xf numFmtId="0" fontId="26" fillId="0" borderId="0"/>
    <xf numFmtId="0" fontId="26" fillId="0" borderId="0"/>
    <xf numFmtId="0" fontId="14" fillId="0" borderId="0"/>
    <xf numFmtId="0" fontId="26" fillId="0" borderId="0"/>
    <xf numFmtId="0" fontId="26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6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7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7" fillId="0" borderId="0"/>
    <xf numFmtId="0" fontId="14" fillId="0" borderId="0"/>
    <xf numFmtId="0" fontId="1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97" fillId="0" borderId="9" applyNumberFormat="0" applyFill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67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185" fontId="97" fillId="70" borderId="9" applyNumberFormat="0" applyFont="0" applyBorder="0" applyAlignment="0" applyProtection="0">
      <alignment horizontal="right" vertical="center"/>
    </xf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23" borderId="7" applyNumberFormat="0" applyFont="0" applyAlignment="0" applyProtection="0"/>
    <xf numFmtId="0" fontId="26" fillId="23" borderId="7" applyNumberFormat="0" applyFon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23" borderId="7" applyNumberFormat="0" applyFon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0" fontId="96" fillId="38" borderId="9">
      <alignment horizontal="right" vertical="center"/>
    </xf>
    <xf numFmtId="0" fontId="118" fillId="38" borderId="9">
      <alignment horizontal="right" vertical="center"/>
    </xf>
    <xf numFmtId="0" fontId="96" fillId="32" borderId="9">
      <alignment horizontal="right" vertical="center"/>
    </xf>
    <xf numFmtId="0" fontId="96" fillId="32" borderId="9">
      <alignment horizontal="right" vertical="center"/>
    </xf>
    <xf numFmtId="0" fontId="96" fillId="32" borderId="149">
      <alignment horizontal="right" vertical="center"/>
    </xf>
    <xf numFmtId="0" fontId="97" fillId="0" borderId="9">
      <alignment horizontal="right" vertical="center"/>
    </xf>
    <xf numFmtId="0" fontId="97" fillId="0" borderId="9" applyNumberFormat="0" applyFill="0" applyAlignment="0" applyProtection="0"/>
    <xf numFmtId="0" fontId="97" fillId="33" borderId="9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5" fillId="0" borderId="0"/>
    <xf numFmtId="43" fontId="145" fillId="0" borderId="0" applyFont="0" applyFill="0" applyBorder="0" applyAlignment="0" applyProtection="0"/>
    <xf numFmtId="43" fontId="145" fillId="0" borderId="0" applyFont="0" applyFill="0" applyBorder="0" applyAlignment="0" applyProtection="0"/>
    <xf numFmtId="43" fontId="145" fillId="0" borderId="0" applyFont="0" applyFill="0" applyBorder="0" applyAlignment="0" applyProtection="0"/>
    <xf numFmtId="0" fontId="145" fillId="0" borderId="0"/>
    <xf numFmtId="0" fontId="145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6" fillId="38" borderId="9">
      <alignment horizontal="right" vertical="center"/>
    </xf>
    <xf numFmtId="0" fontId="118" fillId="38" borderId="9">
      <alignment horizontal="right" vertical="center"/>
    </xf>
    <xf numFmtId="0" fontId="96" fillId="32" borderId="9">
      <alignment horizontal="right" vertical="center"/>
    </xf>
    <xf numFmtId="0" fontId="96" fillId="32" borderId="9">
      <alignment horizontal="right" vertical="center"/>
    </xf>
    <xf numFmtId="0" fontId="96" fillId="32" borderId="149">
      <alignment horizontal="right" vertical="center"/>
    </xf>
    <xf numFmtId="0" fontId="97" fillId="0" borderId="9">
      <alignment horizontal="right" vertical="center"/>
    </xf>
    <xf numFmtId="0" fontId="97" fillId="0" borderId="9" applyNumberFormat="0" applyFill="0" applyAlignment="0" applyProtection="0"/>
    <xf numFmtId="0" fontId="97" fillId="33" borderId="9"/>
    <xf numFmtId="49" fontId="97" fillId="0" borderId="9" applyNumberFormat="0" applyFont="0" applyFill="0" applyBorder="0" applyProtection="0">
      <alignment horizontal="left" vertical="center" indent="2"/>
    </xf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0" fontId="39" fillId="20" borderId="8" applyNumberFormat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0" fontId="96" fillId="32" borderId="149">
      <alignment horizontal="right" vertical="center"/>
    </xf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left"/>
    </xf>
    <xf numFmtId="0" fontId="16" fillId="24" borderId="9" applyNumberFormat="0" applyProtection="0">
      <alignment horizontal="right"/>
    </xf>
    <xf numFmtId="0" fontId="14" fillId="0" borderId="9" applyNumberFormat="0" applyFill="0" applyProtection="0">
      <alignment horizontal="right"/>
    </xf>
    <xf numFmtId="0" fontId="97" fillId="0" borderId="9" applyNumberFormat="0" applyFill="0" applyAlignment="0" applyProtection="0"/>
    <xf numFmtId="0" fontId="118" fillId="38" borderId="9">
      <alignment horizontal="right" vertical="center"/>
    </xf>
    <xf numFmtId="0" fontId="96" fillId="38" borderId="9">
      <alignment horizontal="right" vertical="center"/>
    </xf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97" fillId="0" borderId="9">
      <alignment horizontal="right" vertical="center"/>
    </xf>
    <xf numFmtId="0" fontId="96" fillId="32" borderId="9">
      <alignment horizontal="right" vertical="center"/>
    </xf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9" fillId="67" borderId="8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0" fontId="96" fillId="38" borderId="9">
      <alignment horizontal="right" vertical="center"/>
    </xf>
    <xf numFmtId="0" fontId="118" fillId="38" borderId="9">
      <alignment horizontal="right" vertical="center"/>
    </xf>
    <xf numFmtId="0" fontId="96" fillId="32" borderId="9">
      <alignment horizontal="right" vertical="center"/>
    </xf>
    <xf numFmtId="0" fontId="96" fillId="32" borderId="9">
      <alignment horizontal="right" vertical="center"/>
    </xf>
    <xf numFmtId="0" fontId="96" fillId="32" borderId="149">
      <alignment horizontal="right" vertical="center"/>
    </xf>
    <xf numFmtId="0" fontId="97" fillId="0" borderId="9">
      <alignment horizontal="right" vertical="center"/>
    </xf>
    <xf numFmtId="0" fontId="97" fillId="0" borderId="9" applyNumberFormat="0" applyFill="0" applyAlignment="0" applyProtection="0"/>
    <xf numFmtId="0" fontId="97" fillId="33" borderId="9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97" fillId="33" borderId="9"/>
    <xf numFmtId="0" fontId="96" fillId="32" borderId="9">
      <alignment horizontal="right" vertical="center"/>
    </xf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7" fillId="0" borderId="0"/>
    <xf numFmtId="0" fontId="7" fillId="0" borderId="0"/>
    <xf numFmtId="0" fontId="155" fillId="0" borderId="0" applyNumberFormat="0" applyFill="0" applyBorder="0" applyAlignment="0" applyProtection="0"/>
    <xf numFmtId="0" fontId="6" fillId="0" borderId="0"/>
    <xf numFmtId="0" fontId="6" fillId="75" borderId="0" applyNumberFormat="0" applyBorder="0" applyAlignment="0" applyProtection="0"/>
    <xf numFmtId="0" fontId="6" fillId="77" borderId="0" applyNumberFormat="0" applyBorder="0" applyAlignment="0" applyProtection="0"/>
    <xf numFmtId="0" fontId="6" fillId="79" borderId="0" applyNumberFormat="0" applyBorder="0" applyAlignment="0" applyProtection="0"/>
    <xf numFmtId="0" fontId="6" fillId="81" borderId="0" applyNumberFormat="0" applyBorder="0" applyAlignment="0" applyProtection="0"/>
    <xf numFmtId="0" fontId="6" fillId="83" borderId="0" applyNumberFormat="0" applyBorder="0" applyAlignment="0" applyProtection="0"/>
    <xf numFmtId="0" fontId="6" fillId="85" borderId="0" applyNumberFormat="0" applyBorder="0" applyAlignment="0" applyProtection="0"/>
    <xf numFmtId="0" fontId="6" fillId="76" borderId="0" applyNumberFormat="0" applyBorder="0" applyAlignment="0" applyProtection="0"/>
    <xf numFmtId="0" fontId="6" fillId="78" borderId="0" applyNumberFormat="0" applyBorder="0" applyAlignment="0" applyProtection="0"/>
    <xf numFmtId="0" fontId="6" fillId="80" borderId="0" applyNumberFormat="0" applyBorder="0" applyAlignment="0" applyProtection="0"/>
    <xf numFmtId="0" fontId="6" fillId="82" borderId="0" applyNumberFormat="0" applyBorder="0" applyAlignment="0" applyProtection="0"/>
    <xf numFmtId="0" fontId="6" fillId="84" borderId="0" applyNumberFormat="0" applyBorder="0" applyAlignment="0" applyProtection="0"/>
    <xf numFmtId="0" fontId="6" fillId="86" borderId="0" applyNumberFormat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6" fillId="0" borderId="0"/>
    <xf numFmtId="0" fontId="6" fillId="0" borderId="0"/>
    <xf numFmtId="0" fontId="117" fillId="0" borderId="0"/>
    <xf numFmtId="0" fontId="6" fillId="0" borderId="0"/>
    <xf numFmtId="0" fontId="6" fillId="0" borderId="0"/>
    <xf numFmtId="0" fontId="6" fillId="74" borderId="172" applyNumberFormat="0" applyFont="0" applyAlignment="0" applyProtection="0"/>
    <xf numFmtId="0" fontId="6" fillId="74" borderId="172" applyNumberFormat="0" applyFont="0" applyAlignment="0" applyProtection="0"/>
    <xf numFmtId="9" fontId="6" fillId="0" borderId="0" applyFont="0" applyFill="0" applyBorder="0" applyAlignment="0" applyProtection="0"/>
    <xf numFmtId="0" fontId="6" fillId="0" borderId="0"/>
    <xf numFmtId="0" fontId="14" fillId="0" borderId="0"/>
    <xf numFmtId="0" fontId="6" fillId="0" borderId="0"/>
    <xf numFmtId="0" fontId="6" fillId="0" borderId="0"/>
    <xf numFmtId="0" fontId="6" fillId="0" borderId="0"/>
  </cellStyleXfs>
  <cellXfs count="1171">
    <xf numFmtId="0" fontId="0" fillId="0" borderId="0" xfId="0"/>
    <xf numFmtId="38" fontId="54" fillId="0" borderId="0" xfId="3054" applyNumberFormat="1" applyFont="1" applyAlignment="1">
      <alignment horizontal="left" wrapText="1"/>
    </xf>
    <xf numFmtId="38" fontId="55" fillId="0" borderId="29" xfId="3054" applyNumberFormat="1" applyFont="1" applyBorder="1" applyAlignment="1">
      <alignment horizontal="center" wrapText="1"/>
    </xf>
    <xf numFmtId="38" fontId="55" fillId="0" borderId="35" xfId="3054" applyNumberFormat="1" applyFont="1" applyFill="1" applyBorder="1" applyAlignment="1">
      <alignment horizontal="center" textRotation="90" wrapText="1"/>
    </xf>
    <xf numFmtId="38" fontId="48" fillId="0" borderId="0" xfId="3055" applyNumberFormat="1" applyFont="1" applyAlignment="1"/>
    <xf numFmtId="38" fontId="56" fillId="37" borderId="0" xfId="3055" applyNumberFormat="1" applyFont="1" applyFill="1" applyAlignment="1"/>
    <xf numFmtId="38" fontId="48" fillId="0" borderId="36" xfId="3054" applyNumberFormat="1" applyFont="1" applyFill="1" applyBorder="1" applyAlignment="1">
      <alignment horizontal="left"/>
    </xf>
    <xf numFmtId="38" fontId="48" fillId="0" borderId="0" xfId="3055" applyNumberFormat="1" applyFont="1" applyFill="1"/>
    <xf numFmtId="38" fontId="57" fillId="37" borderId="0" xfId="3055" applyNumberFormat="1" applyFont="1" applyFill="1"/>
    <xf numFmtId="38" fontId="48" fillId="0" borderId="46" xfId="3054" applyNumberFormat="1" applyFont="1" applyFill="1" applyBorder="1" applyAlignment="1">
      <alignment horizontal="left"/>
    </xf>
    <xf numFmtId="38" fontId="48" fillId="0" borderId="55" xfId="3054" applyNumberFormat="1" applyFont="1" applyFill="1" applyBorder="1" applyAlignment="1">
      <alignment horizontal="left"/>
    </xf>
    <xf numFmtId="38" fontId="55" fillId="0" borderId="27" xfId="3054" applyNumberFormat="1" applyFont="1" applyFill="1" applyBorder="1" applyAlignment="1">
      <alignment horizontal="left"/>
    </xf>
    <xf numFmtId="38" fontId="58" fillId="37" borderId="0" xfId="3055" applyNumberFormat="1" applyFont="1" applyFill="1"/>
    <xf numFmtId="38" fontId="55" fillId="0" borderId="0" xfId="3055" applyNumberFormat="1" applyFont="1" applyFill="1"/>
    <xf numFmtId="38" fontId="55" fillId="0" borderId="13" xfId="3054" applyNumberFormat="1" applyFont="1" applyFill="1" applyBorder="1" applyAlignment="1">
      <alignment horizontal="left"/>
    </xf>
    <xf numFmtId="38" fontId="48" fillId="0" borderId="78" xfId="3054" applyNumberFormat="1" applyFont="1" applyFill="1" applyBorder="1" applyAlignment="1">
      <alignment horizontal="left"/>
    </xf>
    <xf numFmtId="38" fontId="48" fillId="0" borderId="88" xfId="3054" applyNumberFormat="1" applyFont="1" applyFill="1" applyBorder="1" applyAlignment="1">
      <alignment horizontal="left"/>
    </xf>
    <xf numFmtId="38" fontId="55" fillId="0" borderId="0" xfId="3054" applyNumberFormat="1" applyFont="1" applyFill="1" applyBorder="1" applyAlignment="1">
      <alignment horizontal="left"/>
    </xf>
    <xf numFmtId="38" fontId="55" fillId="0" borderId="0" xfId="3054" applyNumberFormat="1" applyFont="1" applyFill="1" applyBorder="1" applyAlignment="1">
      <alignment horizontal="center"/>
    </xf>
    <xf numFmtId="38" fontId="57" fillId="37" borderId="0" xfId="3055" applyNumberFormat="1" applyFont="1" applyFill="1" applyBorder="1"/>
    <xf numFmtId="38" fontId="48" fillId="0" borderId="0" xfId="3055" applyNumberFormat="1" applyFont="1" applyFill="1" applyBorder="1"/>
    <xf numFmtId="38" fontId="55" fillId="0" borderId="12" xfId="3054" applyNumberFormat="1" applyFont="1" applyFill="1" applyBorder="1" applyAlignment="1">
      <alignment horizontal="left"/>
    </xf>
    <xf numFmtId="38" fontId="48" fillId="0" borderId="0" xfId="3054" applyNumberFormat="1" applyFont="1" applyFill="1" applyBorder="1" applyAlignment="1">
      <alignment horizontal="left"/>
    </xf>
    <xf numFmtId="38" fontId="55" fillId="0" borderId="115" xfId="3054" applyNumberFormat="1" applyFont="1" applyFill="1" applyBorder="1" applyAlignment="1">
      <alignment horizontal="left"/>
    </xf>
    <xf numFmtId="38" fontId="48" fillId="0" borderId="12" xfId="3054" applyNumberFormat="1" applyFont="1" applyFill="1" applyBorder="1" applyAlignment="1">
      <alignment horizontal="left"/>
    </xf>
    <xf numFmtId="38" fontId="58" fillId="37" borderId="0" xfId="3055" applyNumberFormat="1" applyFont="1" applyFill="1" applyBorder="1"/>
    <xf numFmtId="38" fontId="55" fillId="0" borderId="0" xfId="3055" applyNumberFormat="1" applyFont="1" applyFill="1" applyBorder="1"/>
    <xf numFmtId="38" fontId="48" fillId="0" borderId="130" xfId="3056" applyNumberFormat="1" applyFont="1" applyBorder="1" applyAlignment="1">
      <alignment horizontal="left" vertical="top" wrapText="1"/>
    </xf>
    <xf numFmtId="38" fontId="48" fillId="0" borderId="131" xfId="3056" applyNumberFormat="1" applyFont="1" applyBorder="1" applyAlignment="1">
      <alignment vertical="top"/>
    </xf>
    <xf numFmtId="38" fontId="48" fillId="0" borderId="0" xfId="3055" applyNumberFormat="1" applyFont="1"/>
    <xf numFmtId="38" fontId="48" fillId="26" borderId="46" xfId="3056" applyNumberFormat="1" applyFont="1" applyFill="1" applyBorder="1" applyAlignment="1">
      <alignment horizontal="left" vertical="top" wrapText="1"/>
    </xf>
    <xf numFmtId="38" fontId="48" fillId="0" borderId="47" xfId="3056" applyNumberFormat="1" applyFont="1" applyBorder="1" applyAlignment="1">
      <alignment horizontal="left" vertical="top"/>
    </xf>
    <xf numFmtId="38" fontId="48" fillId="0" borderId="46" xfId="3056" applyNumberFormat="1" applyFont="1" applyBorder="1" applyAlignment="1">
      <alignment horizontal="left" vertical="top" wrapText="1"/>
    </xf>
    <xf numFmtId="38" fontId="48" fillId="0" borderId="47" xfId="3056" applyNumberFormat="1" applyFont="1" applyBorder="1" applyAlignment="1">
      <alignment vertical="top"/>
    </xf>
    <xf numFmtId="38" fontId="48" fillId="26" borderId="88" xfId="3056" applyNumberFormat="1" applyFont="1" applyFill="1" applyBorder="1" applyAlignment="1">
      <alignment horizontal="left" vertical="top" wrapText="1"/>
    </xf>
    <xf numFmtId="38" fontId="48" fillId="0" borderId="89" xfId="3056" applyNumberFormat="1" applyFont="1" applyBorder="1" applyAlignment="1">
      <alignment vertical="top"/>
    </xf>
    <xf numFmtId="38" fontId="48" fillId="0" borderId="78" xfId="3056" applyNumberFormat="1" applyFont="1" applyFill="1" applyBorder="1" applyAlignment="1">
      <alignment horizontal="left" vertical="top" wrapText="1"/>
    </xf>
    <xf numFmtId="38" fontId="48" fillId="0" borderId="130" xfId="3056" applyNumberFormat="1" applyFont="1" applyFill="1" applyBorder="1" applyAlignment="1">
      <alignment horizontal="left" vertical="top" wrapText="1"/>
    </xf>
    <xf numFmtId="38" fontId="48" fillId="0" borderId="46" xfId="3056" applyNumberFormat="1" applyFont="1" applyFill="1" applyBorder="1" applyAlignment="1">
      <alignment horizontal="left" vertical="top" wrapText="1"/>
    </xf>
    <xf numFmtId="38" fontId="14" fillId="0" borderId="0" xfId="3055" applyNumberFormat="1"/>
    <xf numFmtId="38" fontId="14" fillId="0" borderId="0" xfId="3055" applyNumberFormat="1" applyFill="1"/>
    <xf numFmtId="38" fontId="55" fillId="0" borderId="0" xfId="3054" applyNumberFormat="1" applyFont="1" applyBorder="1" applyAlignment="1">
      <alignment horizontal="center"/>
    </xf>
    <xf numFmtId="167" fontId="55" fillId="0" borderId="0" xfId="2866" applyNumberFormat="1" applyFont="1" applyFill="1" applyBorder="1" applyAlignment="1">
      <alignment horizontal="center"/>
    </xf>
    <xf numFmtId="38" fontId="55" fillId="0" borderId="0" xfId="3055" applyNumberFormat="1" applyFont="1"/>
    <xf numFmtId="180" fontId="55" fillId="40" borderId="0" xfId="3054" applyNumberFormat="1" applyFont="1" applyFill="1" applyBorder="1" applyAlignment="1">
      <alignment horizontal="left"/>
    </xf>
    <xf numFmtId="9" fontId="0" fillId="0" borderId="0" xfId="2866" applyFont="1" applyFill="1"/>
    <xf numFmtId="180" fontId="55" fillId="0" borderId="0" xfId="3054" applyNumberFormat="1" applyFont="1" applyFill="1" applyBorder="1" applyAlignment="1">
      <alignment horizontal="left"/>
    </xf>
    <xf numFmtId="38" fontId="14" fillId="40" borderId="0" xfId="3055" applyNumberFormat="1" applyFill="1"/>
    <xf numFmtId="38" fontId="55" fillId="40" borderId="0" xfId="3054" applyNumberFormat="1" applyFont="1" applyFill="1"/>
    <xf numFmtId="38" fontId="48" fillId="0" borderId="0" xfId="3054" applyNumberFormat="1" applyFont="1" applyFill="1"/>
    <xf numFmtId="38" fontId="55" fillId="0" borderId="0" xfId="3054" applyNumberFormat="1" applyFont="1" applyFill="1"/>
    <xf numFmtId="40" fontId="48" fillId="0" borderId="0" xfId="3054" applyNumberFormat="1" applyFont="1" applyFill="1"/>
    <xf numFmtId="0" fontId="14" fillId="0" borderId="0" xfId="3055" applyFill="1"/>
    <xf numFmtId="38" fontId="55" fillId="0" borderId="0" xfId="3054" applyNumberFormat="1" applyFont="1" applyBorder="1"/>
    <xf numFmtId="40" fontId="55" fillId="0" borderId="0" xfId="3054" applyNumberFormat="1" applyFont="1" applyFill="1"/>
    <xf numFmtId="40" fontId="55" fillId="0" borderId="0" xfId="3054" applyNumberFormat="1" applyFont="1" applyFill="1" applyBorder="1"/>
    <xf numFmtId="38" fontId="48" fillId="0" borderId="0" xfId="3055" applyNumberFormat="1" applyFont="1" applyAlignment="1">
      <alignment horizontal="left"/>
    </xf>
    <xf numFmtId="38" fontId="55" fillId="0" borderId="0" xfId="3054" applyNumberFormat="1" applyFont="1" applyFill="1" applyAlignment="1">
      <alignment horizontal="center"/>
    </xf>
    <xf numFmtId="38" fontId="48" fillId="0" borderId="0" xfId="3054" applyNumberFormat="1" applyFont="1" applyFill="1" applyAlignment="1">
      <alignment horizontal="center"/>
    </xf>
    <xf numFmtId="38" fontId="55" fillId="0" borderId="0" xfId="3054" applyNumberFormat="1" applyFont="1" applyFill="1" applyBorder="1"/>
    <xf numFmtId="38" fontId="58" fillId="0" borderId="0" xfId="3055" applyNumberFormat="1" applyFont="1" applyFill="1"/>
    <xf numFmtId="38" fontId="57" fillId="0" borderId="0" xfId="3055" applyNumberFormat="1" applyFont="1" applyFill="1"/>
    <xf numFmtId="38" fontId="48" fillId="0" borderId="88" xfId="3056" applyNumberFormat="1" applyFont="1" applyFill="1" applyBorder="1" applyAlignment="1">
      <alignment horizontal="left" vertical="top" wrapText="1"/>
    </xf>
    <xf numFmtId="38" fontId="48" fillId="39" borderId="0" xfId="3055" applyNumberFormat="1" applyFont="1" applyFill="1"/>
    <xf numFmtId="38" fontId="58" fillId="39" borderId="0" xfId="3055" applyNumberFormat="1" applyFont="1" applyFill="1"/>
    <xf numFmtId="38" fontId="55" fillId="39" borderId="0" xfId="3055" applyNumberFormat="1" applyFont="1" applyFill="1"/>
    <xf numFmtId="0" fontId="13" fillId="0" borderId="0" xfId="3058"/>
    <xf numFmtId="0" fontId="13" fillId="0" borderId="0" xfId="3058" applyBorder="1"/>
    <xf numFmtId="179" fontId="61" fillId="41" borderId="0" xfId="3057" applyNumberFormat="1" applyFont="1"/>
    <xf numFmtId="0" fontId="63" fillId="45" borderId="13" xfId="0" applyFont="1" applyFill="1" applyBorder="1" applyAlignment="1">
      <alignment vertical="center"/>
    </xf>
    <xf numFmtId="0" fontId="0" fillId="46" borderId="0" xfId="0" applyFill="1"/>
    <xf numFmtId="0" fontId="16" fillId="46" borderId="0" xfId="0" applyFont="1" applyFill="1"/>
    <xf numFmtId="0" fontId="0" fillId="0" borderId="0" xfId="0" applyFont="1" applyAlignment="1">
      <alignment vertical="center"/>
    </xf>
    <xf numFmtId="0" fontId="63" fillId="45" borderId="14" xfId="0" applyFont="1" applyFill="1" applyBorder="1" applyAlignment="1">
      <alignment vertical="center"/>
    </xf>
    <xf numFmtId="0" fontId="64" fillId="38" borderId="13" xfId="2108" applyFont="1" applyFill="1" applyBorder="1" applyAlignment="1">
      <alignment horizontal="left" vertical="center" wrapText="1"/>
    </xf>
    <xf numFmtId="0" fontId="64" fillId="38" borderId="11" xfId="2108" applyFont="1" applyFill="1" applyBorder="1" applyAlignment="1">
      <alignment horizontal="left" vertical="center" wrapText="1"/>
    </xf>
    <xf numFmtId="0" fontId="60" fillId="46" borderId="0" xfId="3058" applyFont="1" applyFill="1"/>
    <xf numFmtId="0" fontId="65" fillId="47" borderId="0" xfId="0" applyFont="1" applyFill="1"/>
    <xf numFmtId="0" fontId="64" fillId="0" borderId="0" xfId="0" applyFont="1"/>
    <xf numFmtId="0" fontId="64" fillId="47" borderId="0" xfId="0" applyFont="1" applyFill="1"/>
    <xf numFmtId="179" fontId="64" fillId="0" borderId="0" xfId="0" applyNumberFormat="1" applyFont="1" applyFill="1" applyBorder="1" applyAlignment="1" applyProtection="1"/>
    <xf numFmtId="0" fontId="64" fillId="0" borderId="0" xfId="0" applyNumberFormat="1" applyFont="1" applyFill="1" applyBorder="1" applyAlignment="1" applyProtection="1"/>
    <xf numFmtId="179" fontId="64" fillId="0" borderId="0" xfId="0" applyNumberFormat="1" applyFont="1"/>
    <xf numFmtId="0" fontId="68" fillId="0" borderId="0" xfId="3058" applyFont="1"/>
    <xf numFmtId="179" fontId="61" fillId="47" borderId="0" xfId="3057" applyNumberFormat="1" applyFont="1" applyFill="1" applyAlignment="1">
      <alignment vertical="center"/>
    </xf>
    <xf numFmtId="179" fontId="61" fillId="0" borderId="0" xfId="3057" applyNumberFormat="1" applyFont="1" applyFill="1" applyAlignment="1">
      <alignment vertical="center"/>
    </xf>
    <xf numFmtId="0" fontId="63" fillId="45" borderId="14" xfId="0" applyFont="1" applyFill="1" applyBorder="1" applyAlignment="1">
      <alignment horizontal="center" vertical="center"/>
    </xf>
    <xf numFmtId="0" fontId="64" fillId="38" borderId="13" xfId="2108" applyFont="1" applyFill="1" applyBorder="1" applyAlignment="1">
      <alignment horizontal="center" vertical="center" wrapText="1"/>
    </xf>
    <xf numFmtId="2" fontId="13" fillId="0" borderId="0" xfId="3058" applyNumberFormat="1"/>
    <xf numFmtId="0" fontId="64" fillId="38" borderId="13" xfId="2108" quotePrefix="1" applyFont="1" applyFill="1" applyBorder="1" applyAlignment="1">
      <alignment horizontal="center" vertical="center" wrapText="1"/>
    </xf>
    <xf numFmtId="179" fontId="61" fillId="0" borderId="0" xfId="3057" applyNumberFormat="1" applyFont="1" applyFill="1" applyBorder="1" applyAlignment="1">
      <alignment vertical="center"/>
    </xf>
    <xf numFmtId="0" fontId="63" fillId="0" borderId="0" xfId="0" applyFont="1" applyFill="1" applyBorder="1" applyAlignment="1">
      <alignment horizontal="center" vertical="center"/>
    </xf>
    <xf numFmtId="0" fontId="64" fillId="0" borderId="0" xfId="2108" applyFont="1" applyFill="1" applyBorder="1" applyAlignment="1">
      <alignment horizontal="center" vertical="center" wrapText="1"/>
    </xf>
    <xf numFmtId="0" fontId="60" fillId="0" borderId="0" xfId="3058" applyFont="1" applyFill="1" applyBorder="1"/>
    <xf numFmtId="0" fontId="63" fillId="45" borderId="28" xfId="0" applyFont="1" applyFill="1" applyBorder="1" applyAlignment="1">
      <alignment horizontal="center" vertical="center"/>
    </xf>
    <xf numFmtId="0" fontId="63" fillId="45" borderId="24" xfId="0" applyFont="1" applyFill="1" applyBorder="1" applyAlignment="1">
      <alignment horizontal="center" vertical="center"/>
    </xf>
    <xf numFmtId="0" fontId="71" fillId="0" borderId="0" xfId="3058" applyFont="1" applyFill="1" applyBorder="1"/>
    <xf numFmtId="9" fontId="60" fillId="46" borderId="0" xfId="3058" applyNumberFormat="1" applyFont="1" applyFill="1"/>
    <xf numFmtId="0" fontId="61" fillId="51" borderId="0" xfId="3058" applyFont="1" applyFill="1"/>
    <xf numFmtId="0" fontId="61" fillId="47" borderId="0" xfId="3058" applyFont="1" applyFill="1"/>
    <xf numFmtId="0" fontId="64" fillId="0" borderId="0" xfId="0" applyFont="1" applyBorder="1"/>
    <xf numFmtId="0" fontId="66" fillId="26" borderId="0" xfId="0" applyFont="1" applyFill="1" applyBorder="1" applyProtection="1">
      <protection locked="0"/>
    </xf>
    <xf numFmtId="0" fontId="73" fillId="26" borderId="0" xfId="0" applyNumberFormat="1" applyFont="1" applyFill="1" applyBorder="1" applyAlignment="1" applyProtection="1">
      <alignment horizontal="left"/>
      <protection locked="0"/>
    </xf>
    <xf numFmtId="0" fontId="64" fillId="0" borderId="0" xfId="0" applyNumberFormat="1" applyFont="1" applyFill="1" applyBorder="1" applyAlignment="1" applyProtection="1">
      <protection locked="0"/>
    </xf>
    <xf numFmtId="0" fontId="66" fillId="0" borderId="0" xfId="0" applyNumberFormat="1" applyFont="1" applyFill="1" applyBorder="1" applyAlignment="1" applyProtection="1"/>
    <xf numFmtId="0" fontId="64" fillId="26" borderId="0" xfId="0" applyFont="1" applyFill="1" applyBorder="1" applyProtection="1">
      <protection locked="0"/>
    </xf>
    <xf numFmtId="0" fontId="73" fillId="26" borderId="0" xfId="0" applyFont="1" applyFill="1" applyBorder="1" applyAlignment="1" applyProtection="1">
      <alignment horizontal="left"/>
      <protection locked="0"/>
    </xf>
    <xf numFmtId="0" fontId="66" fillId="26" borderId="11" xfId="0" applyFont="1" applyFill="1" applyBorder="1" applyProtection="1">
      <protection locked="0"/>
    </xf>
    <xf numFmtId="0" fontId="73" fillId="26" borderId="11" xfId="0" applyNumberFormat="1" applyFont="1" applyFill="1" applyBorder="1" applyAlignment="1" applyProtection="1">
      <alignment horizontal="left"/>
      <protection locked="0"/>
    </xf>
    <xf numFmtId="0" fontId="73" fillId="0" borderId="0" xfId="0" applyNumberFormat="1" applyFont="1" applyFill="1" applyBorder="1" applyAlignment="1" applyProtection="1">
      <protection locked="0"/>
    </xf>
    <xf numFmtId="169" fontId="64" fillId="0" borderId="0" xfId="0" applyNumberFormat="1" applyFont="1"/>
    <xf numFmtId="0" fontId="64" fillId="26" borderId="0" xfId="0" applyNumberFormat="1" applyFont="1" applyFill="1" applyBorder="1" applyAlignment="1" applyProtection="1"/>
    <xf numFmtId="0" fontId="74" fillId="27" borderId="0" xfId="0" quotePrefix="1" applyNumberFormat="1" applyFont="1" applyFill="1" applyBorder="1" applyAlignment="1" applyProtection="1">
      <alignment horizontal="left"/>
    </xf>
    <xf numFmtId="2" fontId="67" fillId="0" borderId="0" xfId="0" applyNumberFormat="1" applyFont="1" applyFill="1" applyBorder="1" applyAlignment="1" applyProtection="1">
      <protection locked="0"/>
    </xf>
    <xf numFmtId="9" fontId="64" fillId="0" borderId="0" xfId="0" applyNumberFormat="1" applyFont="1" applyBorder="1"/>
    <xf numFmtId="169" fontId="64" fillId="0" borderId="0" xfId="0" applyNumberFormat="1" applyFont="1" applyFill="1" applyBorder="1" applyAlignment="1" applyProtection="1">
      <protection locked="0"/>
    </xf>
    <xf numFmtId="166" fontId="67" fillId="0" borderId="0" xfId="0" applyNumberFormat="1" applyFont="1" applyFill="1" applyBorder="1" applyAlignment="1" applyProtection="1">
      <protection locked="0"/>
    </xf>
    <xf numFmtId="166" fontId="75" fillId="0" borderId="0" xfId="0" applyNumberFormat="1" applyFont="1" applyFill="1" applyBorder="1" applyAlignment="1" applyProtection="1">
      <alignment horizontal="right"/>
    </xf>
    <xf numFmtId="2" fontId="64" fillId="0" borderId="0" xfId="0" applyNumberFormat="1" applyFont="1" applyFill="1" applyBorder="1" applyAlignment="1" applyProtection="1">
      <protection locked="0"/>
    </xf>
    <xf numFmtId="2" fontId="64" fillId="31" borderId="0" xfId="0" applyNumberFormat="1" applyFont="1" applyFill="1" applyBorder="1" applyAlignment="1" applyProtection="1"/>
    <xf numFmtId="0" fontId="64" fillId="0" borderId="0" xfId="0" applyFont="1" applyFill="1"/>
    <xf numFmtId="2" fontId="64" fillId="0" borderId="0" xfId="0" applyNumberFormat="1" applyFont="1" applyFill="1" applyBorder="1" applyAlignment="1" applyProtection="1"/>
    <xf numFmtId="0" fontId="64" fillId="0" borderId="0" xfId="0" applyNumberFormat="1" applyFont="1" applyFill="1" applyBorder="1" applyAlignment="1" applyProtection="1">
      <alignment horizontal="center" wrapText="1"/>
    </xf>
    <xf numFmtId="0" fontId="64" fillId="0" borderId="0" xfId="0" applyNumberFormat="1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vertical="center"/>
    </xf>
    <xf numFmtId="0" fontId="64" fillId="0" borderId="0" xfId="0" quotePrefix="1" applyFont="1" applyBorder="1"/>
    <xf numFmtId="179" fontId="61" fillId="41" borderId="0" xfId="3057" applyNumberFormat="1"/>
    <xf numFmtId="0" fontId="74" fillId="27" borderId="0" xfId="0" applyNumberFormat="1" applyFont="1" applyFill="1" applyBorder="1" applyAlignment="1" applyProtection="1">
      <alignment vertical="center"/>
    </xf>
    <xf numFmtId="0" fontId="66" fillId="0" borderId="0" xfId="0" applyNumberFormat="1" applyFont="1" applyFill="1" applyBorder="1" applyAlignment="1" applyProtection="1">
      <alignment horizontal="left" vertical="center"/>
    </xf>
    <xf numFmtId="0" fontId="66" fillId="0" borderId="0" xfId="0" applyNumberFormat="1" applyFont="1" applyFill="1" applyBorder="1" applyAlignment="1" applyProtection="1">
      <alignment vertical="center"/>
    </xf>
    <xf numFmtId="0" fontId="64" fillId="0" borderId="0" xfId="0" applyNumberFormat="1" applyFont="1" applyFill="1" applyBorder="1" applyAlignment="1" applyProtection="1">
      <alignment vertical="center"/>
    </xf>
    <xf numFmtId="0" fontId="64" fillId="38" borderId="11" xfId="3136" applyFont="1" applyFill="1" applyBorder="1" applyAlignment="1">
      <alignment horizontal="left" vertical="center" wrapText="1"/>
    </xf>
    <xf numFmtId="0" fontId="137" fillId="3" borderId="0" xfId="4570" applyFont="1" applyAlignment="1">
      <alignment vertical="center"/>
    </xf>
    <xf numFmtId="179" fontId="61" fillId="41" borderId="0" xfId="3057" applyNumberFormat="1" applyFont="1" applyAlignment="1">
      <alignment vertical="center"/>
    </xf>
    <xf numFmtId="179" fontId="64" fillId="0" borderId="0" xfId="0" applyNumberFormat="1" applyFont="1" applyAlignment="1">
      <alignment vertical="center"/>
    </xf>
    <xf numFmtId="0" fontId="60" fillId="0" borderId="0" xfId="3058" applyFont="1"/>
    <xf numFmtId="0" fontId="73" fillId="0" borderId="0" xfId="0" applyFont="1"/>
    <xf numFmtId="0" fontId="11" fillId="0" borderId="0" xfId="3058" applyFont="1"/>
    <xf numFmtId="0" fontId="139" fillId="47" borderId="0" xfId="0" applyFont="1" applyFill="1" applyAlignment="1">
      <alignment vertical="center"/>
    </xf>
    <xf numFmtId="0" fontId="139" fillId="51" borderId="0" xfId="0" applyFont="1" applyFill="1" applyAlignment="1">
      <alignment vertical="center"/>
    </xf>
    <xf numFmtId="0" fontId="73" fillId="46" borderId="0" xfId="0" applyFont="1" applyFill="1"/>
    <xf numFmtId="0" fontId="64" fillId="46" borderId="0" xfId="0" applyFont="1" applyFill="1"/>
    <xf numFmtId="179" fontId="61" fillId="47" borderId="0" xfId="3057" applyNumberFormat="1" applyFont="1" applyFill="1" applyAlignment="1"/>
    <xf numFmtId="2" fontId="67" fillId="0" borderId="0" xfId="0" applyNumberFormat="1" applyFont="1" applyFill="1" applyBorder="1" applyProtection="1">
      <protection locked="0"/>
    </xf>
    <xf numFmtId="0" fontId="74" fillId="27" borderId="0" xfId="0" applyNumberFormat="1" applyFont="1" applyFill="1" applyBorder="1" applyAlignment="1" applyProtection="1"/>
    <xf numFmtId="0" fontId="64" fillId="0" borderId="0" xfId="0" applyFont="1" applyFill="1" applyBorder="1"/>
    <xf numFmtId="0" fontId="64" fillId="26" borderId="13" xfId="0" applyNumberFormat="1" applyFont="1" applyFill="1" applyBorder="1" applyAlignment="1" applyProtection="1"/>
    <xf numFmtId="0" fontId="140" fillId="26" borderId="13" xfId="0" applyNumberFormat="1" applyFont="1" applyFill="1" applyBorder="1" applyAlignment="1" applyProtection="1"/>
    <xf numFmtId="2" fontId="73" fillId="26" borderId="0" xfId="0" applyNumberFormat="1" applyFont="1" applyFill="1" applyBorder="1" applyAlignment="1" applyProtection="1">
      <alignment horizontal="left"/>
    </xf>
    <xf numFmtId="0" fontId="64" fillId="26" borderId="0" xfId="0" applyNumberFormat="1" applyFont="1" applyFill="1" applyBorder="1" applyAlignment="1" applyProtection="1">
      <alignment vertical="center"/>
    </xf>
    <xf numFmtId="0" fontId="66" fillId="0" borderId="0" xfId="0" applyNumberFormat="1" applyFont="1" applyFill="1" applyBorder="1" applyAlignment="1" applyProtection="1">
      <alignment horizontal="left"/>
    </xf>
    <xf numFmtId="0" fontId="74" fillId="0" borderId="0" xfId="0" applyNumberFormat="1" applyFont="1" applyFill="1" applyBorder="1" applyAlignment="1" applyProtection="1"/>
    <xf numFmtId="0" fontId="64" fillId="26" borderId="14" xfId="0" applyNumberFormat="1" applyFont="1" applyFill="1" applyBorder="1" applyAlignment="1" applyProtection="1">
      <alignment vertical="center"/>
    </xf>
    <xf numFmtId="0" fontId="64" fillId="26" borderId="14" xfId="0" quotePrefix="1" applyNumberFormat="1" applyFont="1" applyFill="1" applyBorder="1" applyAlignment="1" applyProtection="1">
      <alignment horizontal="center" vertical="center" wrapText="1"/>
    </xf>
    <xf numFmtId="0" fontId="64" fillId="26" borderId="14" xfId="0" applyNumberFormat="1" applyFont="1" applyFill="1" applyBorder="1" applyAlignment="1" applyProtection="1">
      <alignment horizontal="center" vertical="center" wrapText="1"/>
    </xf>
    <xf numFmtId="0" fontId="140" fillId="26" borderId="14" xfId="0" applyNumberFormat="1" applyFont="1" applyFill="1" applyBorder="1" applyAlignment="1" applyProtection="1">
      <alignment horizontal="center"/>
    </xf>
    <xf numFmtId="0" fontId="64" fillId="26" borderId="11" xfId="0" applyNumberFormat="1" applyFont="1" applyFill="1" applyBorder="1" applyAlignment="1" applyProtection="1">
      <alignment horizontal="left" vertical="center" wrapText="1"/>
    </xf>
    <xf numFmtId="0" fontId="64" fillId="26" borderId="11" xfId="0" applyNumberFormat="1" applyFont="1" applyFill="1" applyBorder="1" applyAlignment="1" applyProtection="1">
      <alignment vertical="center"/>
    </xf>
    <xf numFmtId="0" fontId="64" fillId="26" borderId="11" xfId="0" applyNumberFormat="1" applyFont="1" applyFill="1" applyBorder="1" applyAlignment="1" applyProtection="1">
      <alignment horizontal="center" vertical="center" wrapText="1"/>
    </xf>
    <xf numFmtId="0" fontId="64" fillId="26" borderId="13" xfId="0" applyNumberFormat="1" applyFont="1" applyFill="1" applyBorder="1" applyAlignment="1" applyProtection="1">
      <alignment horizontal="center" vertical="center"/>
    </xf>
    <xf numFmtId="2" fontId="64" fillId="26" borderId="11" xfId="0" applyNumberFormat="1" applyFont="1" applyFill="1" applyBorder="1" applyAlignment="1" applyProtection="1">
      <alignment horizontal="center" vertical="center" wrapText="1"/>
    </xf>
    <xf numFmtId="0" fontId="64" fillId="26" borderId="13" xfId="0" quotePrefix="1" applyNumberFormat="1" applyFont="1" applyFill="1" applyBorder="1" applyAlignment="1" applyProtection="1">
      <alignment horizontal="center" vertical="center"/>
    </xf>
    <xf numFmtId="0" fontId="64" fillId="28" borderId="0" xfId="0" quotePrefix="1" applyNumberFormat="1" applyFont="1" applyFill="1" applyBorder="1" applyAlignment="1" applyProtection="1">
      <alignment horizontal="left"/>
    </xf>
    <xf numFmtId="166" fontId="64" fillId="29" borderId="0" xfId="0" applyNumberFormat="1" applyFont="1" applyFill="1" applyBorder="1" applyAlignment="1" applyProtection="1"/>
    <xf numFmtId="2" fontId="64" fillId="32" borderId="0" xfId="0" applyNumberFormat="1" applyFont="1" applyFill="1" applyBorder="1" applyAlignment="1" applyProtection="1"/>
    <xf numFmtId="0" fontId="64" fillId="29" borderId="0" xfId="0" applyNumberFormat="1" applyFont="1" applyFill="1" applyBorder="1" applyAlignment="1" applyProtection="1"/>
    <xf numFmtId="0" fontId="64" fillId="32" borderId="0" xfId="0" applyNumberFormat="1" applyFont="1" applyFill="1" applyBorder="1" applyAlignment="1" applyProtection="1"/>
    <xf numFmtId="169" fontId="64" fillId="31" borderId="0" xfId="0" applyNumberFormat="1" applyFont="1" applyFill="1" applyBorder="1" applyAlignment="1" applyProtection="1"/>
    <xf numFmtId="166" fontId="64" fillId="26" borderId="0" xfId="0" applyNumberFormat="1" applyFont="1" applyFill="1" applyBorder="1" applyAlignment="1" applyProtection="1"/>
    <xf numFmtId="2" fontId="64" fillId="26" borderId="0" xfId="0" applyNumberFormat="1" applyFont="1" applyFill="1" applyBorder="1" applyAlignment="1" applyProtection="1"/>
    <xf numFmtId="0" fontId="140" fillId="26" borderId="0" xfId="0" applyNumberFormat="1" applyFont="1" applyFill="1" applyBorder="1" applyAlignment="1" applyProtection="1"/>
    <xf numFmtId="0" fontId="141" fillId="26" borderId="0" xfId="0" applyNumberFormat="1" applyFont="1" applyFill="1" applyBorder="1" applyAlignment="1" applyProtection="1"/>
    <xf numFmtId="166" fontId="73" fillId="26" borderId="0" xfId="0" applyNumberFormat="1" applyFont="1" applyFill="1" applyBorder="1" applyAlignment="1" applyProtection="1"/>
    <xf numFmtId="0" fontId="73" fillId="26" borderId="0" xfId="0" applyNumberFormat="1" applyFont="1" applyFill="1" applyBorder="1" applyAlignment="1" applyProtection="1"/>
    <xf numFmtId="166" fontId="73" fillId="29" borderId="0" xfId="0" applyNumberFormat="1" applyFont="1" applyFill="1"/>
    <xf numFmtId="0" fontId="64" fillId="29" borderId="16" xfId="0" applyNumberFormat="1" applyFont="1" applyFill="1" applyBorder="1" applyAlignment="1" applyProtection="1"/>
    <xf numFmtId="2" fontId="64" fillId="29" borderId="0" xfId="2866" applyNumberFormat="1" applyFont="1" applyFill="1"/>
    <xf numFmtId="168" fontId="64" fillId="32" borderId="0" xfId="0" applyNumberFormat="1" applyFont="1" applyFill="1" applyBorder="1" applyAlignment="1" applyProtection="1"/>
    <xf numFmtId="0" fontId="64" fillId="29" borderId="18" xfId="0" applyNumberFormat="1" applyFont="1" applyFill="1" applyBorder="1" applyAlignment="1" applyProtection="1"/>
    <xf numFmtId="0" fontId="64" fillId="26" borderId="17" xfId="0" applyNumberFormat="1" applyFont="1" applyFill="1" applyBorder="1" applyAlignment="1" applyProtection="1"/>
    <xf numFmtId="0" fontId="64" fillId="28" borderId="0" xfId="0" quotePrefix="1" applyNumberFormat="1" applyFont="1" applyFill="1" applyBorder="1" applyAlignment="1" applyProtection="1">
      <alignment horizontal="left" vertical="center"/>
    </xf>
    <xf numFmtId="166" fontId="73" fillId="29" borderId="0" xfId="0" applyNumberFormat="1" applyFont="1" applyFill="1" applyBorder="1" applyAlignment="1" applyProtection="1"/>
    <xf numFmtId="170" fontId="64" fillId="26" borderId="0" xfId="0" applyNumberFormat="1" applyFont="1" applyFill="1" applyBorder="1" applyAlignment="1" applyProtection="1"/>
    <xf numFmtId="9" fontId="142" fillId="7" borderId="1" xfId="1937" applyNumberFormat="1" applyFont="1"/>
    <xf numFmtId="0" fontId="64" fillId="26" borderId="13" xfId="0" applyFont="1" applyFill="1" applyBorder="1" applyAlignment="1">
      <alignment horizontal="center" vertical="center"/>
    </xf>
    <xf numFmtId="166" fontId="64" fillId="29" borderId="0" xfId="2866" applyNumberFormat="1" applyFont="1" applyFill="1"/>
    <xf numFmtId="2" fontId="64" fillId="32" borderId="0" xfId="0" applyNumberFormat="1" applyFont="1" applyFill="1"/>
    <xf numFmtId="1" fontId="73" fillId="29" borderId="0" xfId="0" applyNumberFormat="1" applyFont="1" applyFill="1"/>
    <xf numFmtId="0" fontId="64" fillId="26" borderId="12" xfId="0" applyNumberFormat="1" applyFont="1" applyFill="1" applyBorder="1" applyAlignment="1" applyProtection="1">
      <alignment horizontal="center" vertical="center" wrapText="1"/>
    </xf>
    <xf numFmtId="0" fontId="64" fillId="26" borderId="13" xfId="0" applyNumberFormat="1" applyFont="1" applyFill="1" applyBorder="1" applyAlignment="1" applyProtection="1">
      <alignment horizontal="center" vertical="center" wrapText="1"/>
    </xf>
    <xf numFmtId="1" fontId="64" fillId="26" borderId="0" xfId="0" applyNumberFormat="1" applyFont="1" applyFill="1" applyBorder="1" applyAlignment="1" applyProtection="1"/>
    <xf numFmtId="169" fontId="64" fillId="26" borderId="0" xfId="0" applyNumberFormat="1" applyFont="1" applyFill="1" applyBorder="1" applyAlignment="1" applyProtection="1"/>
    <xf numFmtId="0" fontId="64" fillId="0" borderId="0" xfId="0" applyNumberFormat="1" applyFont="1" applyFill="1" applyBorder="1" applyAlignment="1" applyProtection="1">
      <alignment horizontal="left" vertical="center" wrapText="1"/>
    </xf>
    <xf numFmtId="2" fontId="64" fillId="0" borderId="0" xfId="3136" applyNumberFormat="1" applyFont="1" applyFill="1"/>
    <xf numFmtId="2" fontId="64" fillId="0" borderId="0" xfId="0" applyNumberFormat="1" applyFont="1" applyFill="1" applyBorder="1" applyAlignment="1" applyProtection="1">
      <alignment horizontal="right"/>
    </xf>
    <xf numFmtId="0" fontId="63" fillId="0" borderId="0" xfId="3136" applyFont="1" applyFill="1" applyBorder="1" applyAlignment="1">
      <alignment horizontal="left" vertical="center" wrapText="1"/>
    </xf>
    <xf numFmtId="0" fontId="68" fillId="0" borderId="0" xfId="3136" quotePrefix="1" applyFont="1" applyFill="1" applyBorder="1" applyAlignment="1">
      <alignment horizontal="left" vertical="center" wrapText="1"/>
    </xf>
    <xf numFmtId="0" fontId="144" fillId="0" borderId="0" xfId="3136" applyFont="1"/>
    <xf numFmtId="0" fontId="143" fillId="0" borderId="0" xfId="3136" applyFont="1" applyFill="1" applyBorder="1" applyAlignment="1">
      <alignment horizontal="left"/>
    </xf>
    <xf numFmtId="0" fontId="143" fillId="0" borderId="15" xfId="3136" applyFont="1" applyFill="1" applyBorder="1"/>
    <xf numFmtId="0" fontId="68" fillId="0" borderId="0" xfId="3136" applyFont="1" applyFill="1" applyBorder="1" applyAlignment="1">
      <alignment horizontal="left" vertical="center" wrapText="1"/>
    </xf>
    <xf numFmtId="0" fontId="68" fillId="26" borderId="13" xfId="3136" applyFont="1" applyFill="1" applyBorder="1" applyAlignment="1">
      <alignment horizontal="left" vertical="center" wrapText="1"/>
    </xf>
    <xf numFmtId="1" fontId="68" fillId="53" borderId="13" xfId="3136" applyNumberFormat="1" applyFont="1" applyFill="1" applyBorder="1" applyAlignment="1">
      <alignment horizontal="center"/>
    </xf>
    <xf numFmtId="2" fontId="68" fillId="0" borderId="0" xfId="3136" applyNumberFormat="1" applyFont="1" applyFill="1" applyBorder="1" applyAlignment="1">
      <alignment horizontal="right"/>
    </xf>
    <xf numFmtId="0" fontId="143" fillId="0" borderId="0" xfId="3136" applyFont="1" applyFill="1" applyAlignment="1">
      <alignment horizontal="left"/>
    </xf>
    <xf numFmtId="0" fontId="76" fillId="0" borderId="0" xfId="3136" applyFont="1" applyFill="1"/>
    <xf numFmtId="0" fontId="64" fillId="0" borderId="0" xfId="3136" applyFont="1"/>
    <xf numFmtId="0" fontId="64" fillId="46" borderId="19" xfId="3136" applyFont="1" applyFill="1" applyBorder="1" applyAlignment="1">
      <alignment horizontal="center"/>
    </xf>
    <xf numFmtId="2" fontId="68" fillId="0" borderId="0" xfId="3136" applyNumberFormat="1" applyFont="1" applyFill="1" applyBorder="1" applyAlignment="1">
      <alignment horizontal="center"/>
    </xf>
    <xf numFmtId="0" fontId="68" fillId="0" borderId="0" xfId="0" applyNumberFormat="1" applyFont="1" applyFill="1" applyBorder="1" applyAlignment="1" applyProtection="1">
      <alignment horizontal="center"/>
    </xf>
    <xf numFmtId="2" fontId="68" fillId="0" borderId="0" xfId="3136" applyNumberFormat="1" applyFont="1" applyFill="1" applyAlignment="1">
      <alignment horizontal="center"/>
    </xf>
    <xf numFmtId="0" fontId="68" fillId="0" borderId="0" xfId="0" applyFont="1" applyAlignment="1">
      <alignment horizontal="center"/>
    </xf>
    <xf numFmtId="0" fontId="64" fillId="0" borderId="0" xfId="0" applyFont="1"/>
    <xf numFmtId="0" fontId="64" fillId="0" borderId="0" xfId="0" quotePrefix="1" applyFont="1"/>
    <xf numFmtId="9" fontId="64" fillId="26" borderId="0" xfId="2866" applyFont="1" applyFill="1" applyBorder="1" applyAlignment="1" applyProtection="1"/>
    <xf numFmtId="9" fontId="64" fillId="32" borderId="0" xfId="2866" applyFont="1" applyFill="1" applyBorder="1" applyAlignment="1" applyProtection="1">
      <protection locked="0"/>
    </xf>
    <xf numFmtId="0" fontId="7" fillId="68" borderId="0" xfId="46464" applyFont="1" applyFill="1" applyAlignment="1">
      <alignment vertical="center"/>
    </xf>
    <xf numFmtId="0" fontId="149" fillId="68" borderId="0" xfId="23428" applyFont="1" applyFill="1" applyBorder="1" applyAlignment="1">
      <alignment vertical="center"/>
    </xf>
    <xf numFmtId="0" fontId="134" fillId="68" borderId="0" xfId="23428" applyFont="1" applyFill="1" applyBorder="1" applyAlignment="1">
      <alignment vertical="center"/>
    </xf>
    <xf numFmtId="0" fontId="63" fillId="68" borderId="0" xfId="23428" applyFont="1" applyFill="1" applyBorder="1" applyAlignment="1">
      <alignment vertical="center"/>
    </xf>
    <xf numFmtId="0" fontId="150" fillId="68" borderId="0" xfId="23428" applyFont="1" applyFill="1" applyBorder="1" applyAlignment="1">
      <alignment vertical="center"/>
    </xf>
    <xf numFmtId="0" fontId="72" fillId="37" borderId="0" xfId="46464" applyFont="1" applyFill="1" applyBorder="1" applyAlignment="1">
      <alignment vertical="center"/>
    </xf>
    <xf numFmtId="0" fontId="68" fillId="68" borderId="0" xfId="23428" applyFont="1" applyFill="1" applyBorder="1" applyAlignment="1">
      <alignment vertical="center"/>
    </xf>
    <xf numFmtId="0" fontId="151" fillId="68" borderId="0" xfId="23428" applyFont="1" applyFill="1" applyBorder="1" applyAlignment="1">
      <alignment vertical="center"/>
    </xf>
    <xf numFmtId="0" fontId="152" fillId="37" borderId="0" xfId="46464" applyFont="1" applyFill="1" applyAlignment="1">
      <alignment vertical="center"/>
    </xf>
    <xf numFmtId="0" fontId="152" fillId="68" borderId="0" xfId="46464" applyFont="1" applyFill="1" applyAlignment="1">
      <alignment vertical="center"/>
    </xf>
    <xf numFmtId="0" fontId="7" fillId="0" borderId="0" xfId="46465" applyFont="1"/>
    <xf numFmtId="0" fontId="63" fillId="0" borderId="28" xfId="0" applyFont="1" applyFill="1" applyBorder="1" applyAlignment="1">
      <alignment vertical="center"/>
    </xf>
    <xf numFmtId="0" fontId="63" fillId="0" borderId="24" xfId="0" applyFont="1" applyFill="1" applyBorder="1" applyAlignment="1">
      <alignment vertical="center"/>
    </xf>
    <xf numFmtId="0" fontId="64" fillId="0" borderId="23" xfId="0" applyFont="1" applyFill="1" applyBorder="1" applyAlignment="1">
      <alignment vertical="center"/>
    </xf>
    <xf numFmtId="0" fontId="64" fillId="0" borderId="22" xfId="0" applyFont="1" applyFill="1" applyBorder="1" applyAlignment="1">
      <alignment vertical="center"/>
    </xf>
    <xf numFmtId="0" fontId="64" fillId="0" borderId="157" xfId="0" applyFont="1" applyFill="1" applyBorder="1" applyAlignment="1">
      <alignment vertical="center"/>
    </xf>
    <xf numFmtId="0" fontId="60" fillId="0" borderId="0" xfId="46465" applyFont="1" applyFill="1"/>
    <xf numFmtId="0" fontId="60" fillId="0" borderId="23" xfId="46465" applyFont="1" applyBorder="1"/>
    <xf numFmtId="0" fontId="60" fillId="0" borderId="22" xfId="46465" applyFont="1" applyBorder="1"/>
    <xf numFmtId="0" fontId="60" fillId="0" borderId="157" xfId="46465" applyFont="1" applyBorder="1"/>
    <xf numFmtId="166" fontId="68" fillId="0" borderId="0" xfId="0" applyNumberFormat="1" applyFont="1" applyFill="1" applyAlignment="1">
      <alignment horizontal="center" vertical="center"/>
    </xf>
    <xf numFmtId="0" fontId="68" fillId="0" borderId="0" xfId="0" applyFont="1" applyFill="1" applyAlignment="1">
      <alignment vertical="center"/>
    </xf>
    <xf numFmtId="0" fontId="73" fillId="31" borderId="13" xfId="0" applyFont="1" applyFill="1" applyBorder="1" applyAlignment="1">
      <alignment horizontal="center" vertical="center"/>
    </xf>
    <xf numFmtId="0" fontId="14" fillId="0" borderId="0" xfId="0" applyFont="1"/>
    <xf numFmtId="179" fontId="153" fillId="41" borderId="0" xfId="3057" applyNumberFormat="1" applyFont="1"/>
    <xf numFmtId="0" fontId="73" fillId="26" borderId="13" xfId="3055" applyFont="1" applyFill="1" applyBorder="1" applyAlignment="1">
      <alignment vertical="center"/>
    </xf>
    <xf numFmtId="0" fontId="73" fillId="26" borderId="13" xfId="3055" applyFont="1" applyFill="1" applyBorder="1" applyAlignment="1">
      <alignment horizontal="left" vertical="center"/>
    </xf>
    <xf numFmtId="166" fontId="138" fillId="72" borderId="0" xfId="0" applyNumberFormat="1" applyFont="1" applyFill="1" applyAlignment="1">
      <alignment horizontal="left" vertical="center"/>
    </xf>
    <xf numFmtId="9" fontId="138" fillId="72" borderId="0" xfId="2866" applyFont="1" applyFill="1" applyAlignment="1">
      <alignment horizontal="left" vertical="center"/>
    </xf>
    <xf numFmtId="9" fontId="64" fillId="36" borderId="0" xfId="2866" applyFont="1" applyFill="1"/>
    <xf numFmtId="0" fontId="73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/>
    <xf numFmtId="9" fontId="0" fillId="0" borderId="0" xfId="2866" applyFont="1" applyFill="1" applyBorder="1" applyAlignment="1">
      <alignment vertical="center"/>
    </xf>
    <xf numFmtId="0" fontId="63" fillId="0" borderId="158" xfId="0" applyFont="1" applyFill="1" applyBorder="1" applyAlignment="1">
      <alignment vertical="center"/>
    </xf>
    <xf numFmtId="0" fontId="63" fillId="0" borderId="23" xfId="0" applyFont="1" applyFill="1" applyBorder="1" applyAlignment="1">
      <alignment vertical="center"/>
    </xf>
    <xf numFmtId="0" fontId="63" fillId="0" borderId="9" xfId="0" applyFont="1" applyFill="1" applyBorder="1" applyAlignment="1">
      <alignment vertical="center"/>
    </xf>
    <xf numFmtId="0" fontId="26" fillId="23" borderId="158" xfId="12305" applyBorder="1" applyAlignment="1">
      <alignment vertical="center"/>
    </xf>
    <xf numFmtId="0" fontId="154" fillId="23" borderId="25" xfId="12305" applyFont="1" applyBorder="1" applyAlignment="1">
      <alignment vertical="center"/>
    </xf>
    <xf numFmtId="38" fontId="55" fillId="73" borderId="118" xfId="3054" applyNumberFormat="1" applyFont="1" applyFill="1" applyBorder="1" applyAlignment="1">
      <alignment horizontal="center" textRotation="90" wrapText="1"/>
    </xf>
    <xf numFmtId="38" fontId="55" fillId="73" borderId="119" xfId="3054" applyNumberFormat="1" applyFont="1" applyFill="1" applyBorder="1" applyAlignment="1">
      <alignment horizontal="center" textRotation="90" wrapText="1"/>
    </xf>
    <xf numFmtId="38" fontId="55" fillId="73" borderId="121" xfId="3054" applyNumberFormat="1" applyFont="1" applyFill="1" applyBorder="1" applyAlignment="1">
      <alignment horizontal="center" textRotation="90" wrapText="1"/>
    </xf>
    <xf numFmtId="38" fontId="55" fillId="73" borderId="171" xfId="3054" applyNumberFormat="1" applyFont="1" applyFill="1" applyBorder="1" applyAlignment="1">
      <alignment horizontal="center" textRotation="90" wrapText="1"/>
    </xf>
    <xf numFmtId="38" fontId="48" fillId="73" borderId="0" xfId="3055" applyNumberFormat="1" applyFont="1" applyFill="1" applyAlignment="1">
      <alignment horizontal="left"/>
    </xf>
    <xf numFmtId="38" fontId="55" fillId="73" borderId="30" xfId="3054" applyNumberFormat="1" applyFont="1" applyFill="1" applyBorder="1" applyAlignment="1">
      <alignment horizontal="center" textRotation="90" wrapText="1"/>
    </xf>
    <xf numFmtId="38" fontId="55" fillId="73" borderId="31" xfId="3054" applyNumberFormat="1" applyFont="1" applyFill="1" applyBorder="1" applyAlignment="1">
      <alignment horizontal="center" textRotation="90" wrapText="1"/>
    </xf>
    <xf numFmtId="38" fontId="55" fillId="73" borderId="32" xfId="3054" applyNumberFormat="1" applyFont="1" applyFill="1" applyBorder="1" applyAlignment="1">
      <alignment horizontal="center" textRotation="90" wrapText="1"/>
    </xf>
    <xf numFmtId="38" fontId="55" fillId="73" borderId="34" xfId="3054" applyNumberFormat="1" applyFont="1" applyFill="1" applyBorder="1" applyAlignment="1">
      <alignment horizontal="center" textRotation="90" wrapText="1"/>
    </xf>
    <xf numFmtId="38" fontId="55" fillId="0" borderId="37" xfId="3054" applyNumberFormat="1" applyFont="1" applyBorder="1" applyAlignment="1">
      <alignment horizontal="center"/>
    </xf>
    <xf numFmtId="38" fontId="55" fillId="0" borderId="38" xfId="3054" applyNumberFormat="1" applyFont="1" applyBorder="1" applyAlignment="1">
      <alignment horizontal="center"/>
    </xf>
    <xf numFmtId="38" fontId="55" fillId="0" borderId="39" xfId="3054" applyNumberFormat="1" applyFont="1" applyBorder="1" applyAlignment="1">
      <alignment horizontal="center"/>
    </xf>
    <xf numFmtId="38" fontId="55" fillId="0" borderId="40" xfId="3054" applyNumberFormat="1" applyFont="1" applyBorder="1" applyAlignment="1">
      <alignment horizontal="center"/>
    </xf>
    <xf numFmtId="38" fontId="48" fillId="0" borderId="41" xfId="3054" applyNumberFormat="1" applyFont="1" applyBorder="1" applyAlignment="1">
      <alignment horizontal="center"/>
    </xf>
    <xf numFmtId="38" fontId="55" fillId="0" borderId="42" xfId="3054" applyNumberFormat="1" applyFont="1" applyBorder="1" applyAlignment="1">
      <alignment horizontal="center"/>
    </xf>
    <xf numFmtId="38" fontId="48" fillId="0" borderId="39" xfId="3054" applyNumberFormat="1" applyFont="1" applyBorder="1" applyAlignment="1">
      <alignment horizontal="center"/>
    </xf>
    <xf numFmtId="38" fontId="48" fillId="87" borderId="40" xfId="3054" applyNumberFormat="1" applyFont="1" applyFill="1" applyBorder="1" applyAlignment="1">
      <alignment horizontal="center"/>
    </xf>
    <xf numFmtId="38" fontId="48" fillId="0" borderId="40" xfId="3054" applyNumberFormat="1" applyFont="1" applyBorder="1" applyAlignment="1">
      <alignment horizontal="center"/>
    </xf>
    <xf numFmtId="38" fontId="48" fillId="0" borderId="43" xfId="3054" applyNumberFormat="1" applyFont="1" applyBorder="1" applyAlignment="1">
      <alignment horizontal="center"/>
    </xf>
    <xf numFmtId="38" fontId="55" fillId="0" borderId="36" xfId="3054" applyNumberFormat="1" applyFont="1" applyBorder="1" applyAlignment="1">
      <alignment horizontal="center"/>
    </xf>
    <xf numFmtId="38" fontId="48" fillId="0" borderId="44" xfId="3054" applyNumberFormat="1" applyFont="1" applyBorder="1" applyAlignment="1">
      <alignment horizontal="center"/>
    </xf>
    <xf numFmtId="38" fontId="48" fillId="0" borderId="42" xfId="3054" applyNumberFormat="1" applyFont="1" applyBorder="1" applyAlignment="1">
      <alignment horizontal="center"/>
    </xf>
    <xf numFmtId="38" fontId="48" fillId="0" borderId="45" xfId="3054" applyNumberFormat="1" applyFont="1" applyBorder="1" applyAlignment="1">
      <alignment horizontal="center"/>
    </xf>
    <xf numFmtId="38" fontId="55" fillId="0" borderId="47" xfId="3054" applyNumberFormat="1" applyFont="1" applyBorder="1" applyAlignment="1">
      <alignment horizontal="center"/>
    </xf>
    <xf numFmtId="38" fontId="55" fillId="0" borderId="48" xfId="3054" applyNumberFormat="1" applyFont="1" applyBorder="1" applyAlignment="1">
      <alignment horizontal="center"/>
    </xf>
    <xf numFmtId="38" fontId="55" fillId="0" borderId="49" xfId="3054" applyNumberFormat="1" applyFont="1" applyBorder="1" applyAlignment="1">
      <alignment horizontal="center"/>
    </xf>
    <xf numFmtId="38" fontId="55" fillId="0" borderId="50" xfId="3054" applyNumberFormat="1" applyFont="1" applyBorder="1" applyAlignment="1">
      <alignment horizontal="center"/>
    </xf>
    <xf numFmtId="38" fontId="48" fillId="0" borderId="50" xfId="3054" applyNumberFormat="1" applyFont="1" applyBorder="1" applyAlignment="1">
      <alignment horizontal="center"/>
    </xf>
    <xf numFmtId="38" fontId="55" fillId="0" borderId="51" xfId="3054" applyNumberFormat="1" applyFont="1" applyBorder="1" applyAlignment="1">
      <alignment horizontal="center"/>
    </xf>
    <xf numFmtId="38" fontId="48" fillId="0" borderId="49" xfId="3054" applyNumberFormat="1" applyFont="1" applyBorder="1" applyAlignment="1">
      <alignment horizontal="center"/>
    </xf>
    <xf numFmtId="38" fontId="48" fillId="87" borderId="52" xfId="3054" applyNumberFormat="1" applyFont="1" applyFill="1" applyBorder="1" applyAlignment="1">
      <alignment horizontal="center"/>
    </xf>
    <xf numFmtId="38" fontId="48" fillId="0" borderId="52" xfId="3054" applyNumberFormat="1" applyFont="1" applyBorder="1" applyAlignment="1">
      <alignment horizontal="center"/>
    </xf>
    <xf numFmtId="38" fontId="55" fillId="0" borderId="46" xfId="3054" applyNumberFormat="1" applyFont="1" applyBorder="1" applyAlignment="1">
      <alignment horizontal="center"/>
    </xf>
    <xf numFmtId="38" fontId="48" fillId="0" borderId="53" xfId="3054" applyNumberFormat="1" applyFont="1" applyBorder="1" applyAlignment="1">
      <alignment horizontal="center"/>
    </xf>
    <xf numFmtId="38" fontId="48" fillId="0" borderId="51" xfId="3054" applyNumberFormat="1" applyFont="1" applyBorder="1" applyAlignment="1">
      <alignment horizontal="center"/>
    </xf>
    <xf numFmtId="38" fontId="48" fillId="0" borderId="54" xfId="3054" applyNumberFormat="1" applyFont="1" applyBorder="1" applyAlignment="1">
      <alignment horizontal="center"/>
    </xf>
    <xf numFmtId="38" fontId="55" fillId="0" borderId="52" xfId="3054" applyNumberFormat="1" applyFont="1" applyBorder="1" applyAlignment="1">
      <alignment horizontal="center"/>
    </xf>
    <xf numFmtId="38" fontId="55" fillId="0" borderId="56" xfId="3054" applyNumberFormat="1" applyFont="1" applyBorder="1" applyAlignment="1">
      <alignment horizontal="center"/>
    </xf>
    <xf numFmtId="38" fontId="55" fillId="0" borderId="57" xfId="3054" applyNumberFormat="1" applyFont="1" applyBorder="1" applyAlignment="1">
      <alignment horizontal="center"/>
    </xf>
    <xf numFmtId="38" fontId="48" fillId="0" borderId="58" xfId="3054" applyNumberFormat="1" applyFont="1" applyBorder="1" applyAlignment="1">
      <alignment horizontal="center"/>
    </xf>
    <xf numFmtId="38" fontId="55" fillId="0" borderId="59" xfId="3054" applyNumberFormat="1" applyFont="1" applyBorder="1" applyAlignment="1">
      <alignment horizontal="center"/>
    </xf>
    <xf numFmtId="38" fontId="48" fillId="0" borderId="57" xfId="3054" applyNumberFormat="1" applyFont="1" applyBorder="1" applyAlignment="1">
      <alignment horizontal="center"/>
    </xf>
    <xf numFmtId="38" fontId="48" fillId="87" borderId="57" xfId="3054" applyNumberFormat="1" applyFont="1" applyFill="1" applyBorder="1" applyAlignment="1">
      <alignment horizontal="center"/>
    </xf>
    <xf numFmtId="38" fontId="55" fillId="0" borderId="55" xfId="3054" applyNumberFormat="1" applyFont="1" applyBorder="1" applyAlignment="1">
      <alignment horizontal="center"/>
    </xf>
    <xf numFmtId="38" fontId="48" fillId="0" borderId="60" xfId="3054" applyNumberFormat="1" applyFont="1" applyBorder="1" applyAlignment="1">
      <alignment horizontal="center"/>
    </xf>
    <xf numFmtId="38" fontId="48" fillId="0" borderId="61" xfId="3054" applyNumberFormat="1" applyFont="1" applyBorder="1" applyAlignment="1">
      <alignment horizontal="center"/>
    </xf>
    <xf numFmtId="38" fontId="48" fillId="0" borderId="59" xfId="3054" applyNumberFormat="1" applyFont="1" applyBorder="1" applyAlignment="1">
      <alignment horizontal="center"/>
    </xf>
    <xf numFmtId="38" fontId="48" fillId="0" borderId="62" xfId="3054" applyNumberFormat="1" applyFont="1" applyBorder="1" applyAlignment="1">
      <alignment horizontal="center"/>
    </xf>
    <xf numFmtId="38" fontId="55" fillId="0" borderId="63" xfId="3054" applyNumberFormat="1" applyFont="1" applyBorder="1" applyAlignment="1">
      <alignment horizontal="center"/>
    </xf>
    <xf numFmtId="38" fontId="55" fillId="0" borderId="64" xfId="3054" applyNumberFormat="1" applyFont="1" applyBorder="1" applyAlignment="1">
      <alignment horizontal="center"/>
    </xf>
    <xf numFmtId="38" fontId="55" fillId="0" borderId="27" xfId="3054" applyNumberFormat="1" applyFont="1" applyBorder="1" applyAlignment="1">
      <alignment horizontal="center"/>
    </xf>
    <xf numFmtId="38" fontId="55" fillId="0" borderId="43" xfId="3054" applyNumberFormat="1" applyFont="1" applyBorder="1" applyAlignment="1">
      <alignment horizontal="center"/>
    </xf>
    <xf numFmtId="38" fontId="55" fillId="0" borderId="65" xfId="3054" applyNumberFormat="1" applyFont="1" applyBorder="1" applyAlignment="1">
      <alignment horizontal="center"/>
    </xf>
    <xf numFmtId="38" fontId="55" fillId="87" borderId="43" xfId="3054" applyNumberFormat="1" applyFont="1" applyFill="1" applyBorder="1" applyAlignment="1">
      <alignment horizontal="center"/>
    </xf>
    <xf numFmtId="38" fontId="55" fillId="0" borderId="66" xfId="3054" applyNumberFormat="1" applyFont="1" applyBorder="1" applyAlignment="1">
      <alignment horizontal="center"/>
    </xf>
    <xf numFmtId="38" fontId="55" fillId="0" borderId="67" xfId="3054" applyNumberFormat="1" applyFont="1" applyBorder="1" applyAlignment="1">
      <alignment horizontal="center"/>
    </xf>
    <xf numFmtId="38" fontId="55" fillId="0" borderId="68" xfId="3054" applyNumberFormat="1" applyFont="1" applyBorder="1" applyAlignment="1">
      <alignment horizontal="center"/>
    </xf>
    <xf numFmtId="38" fontId="55" fillId="0" borderId="69" xfId="3054" applyNumberFormat="1" applyFont="1" applyBorder="1" applyAlignment="1">
      <alignment horizontal="center"/>
    </xf>
    <xf numFmtId="38" fontId="55" fillId="0" borderId="70" xfId="3054" applyNumberFormat="1" applyFont="1" applyBorder="1" applyAlignment="1">
      <alignment horizontal="center"/>
    </xf>
    <xf numFmtId="38" fontId="55" fillId="0" borderId="13" xfId="3054" applyNumberFormat="1" applyFont="1" applyBorder="1" applyAlignment="1">
      <alignment horizontal="center"/>
    </xf>
    <xf numFmtId="38" fontId="55" fillId="0" borderId="71" xfId="3054" applyNumberFormat="1" applyFont="1" applyBorder="1" applyAlignment="1">
      <alignment horizontal="center"/>
    </xf>
    <xf numFmtId="38" fontId="55" fillId="0" borderId="72" xfId="3054" applyNumberFormat="1" applyFont="1" applyBorder="1" applyAlignment="1">
      <alignment horizontal="center"/>
    </xf>
    <xf numFmtId="38" fontId="55" fillId="0" borderId="20" xfId="3054" applyNumberFormat="1" applyFont="1" applyBorder="1" applyAlignment="1">
      <alignment horizontal="center"/>
    </xf>
    <xf numFmtId="38" fontId="55" fillId="87" borderId="71" xfId="3054" applyNumberFormat="1" applyFont="1" applyFill="1" applyBorder="1" applyAlignment="1">
      <alignment horizontal="center"/>
    </xf>
    <xf numFmtId="38" fontId="48" fillId="0" borderId="20" xfId="3054" applyNumberFormat="1" applyFont="1" applyBorder="1" applyAlignment="1">
      <alignment horizontal="center"/>
    </xf>
    <xf numFmtId="38" fontId="55" fillId="0" borderId="73" xfId="3054" applyNumberFormat="1" applyFont="1" applyBorder="1" applyAlignment="1">
      <alignment horizontal="center"/>
    </xf>
    <xf numFmtId="38" fontId="55" fillId="0" borderId="74" xfId="3054" applyNumberFormat="1" applyFont="1" applyBorder="1" applyAlignment="1">
      <alignment horizontal="center"/>
    </xf>
    <xf numFmtId="38" fontId="55" fillId="0" borderId="75" xfId="3054" applyNumberFormat="1" applyFont="1" applyBorder="1" applyAlignment="1">
      <alignment horizontal="center"/>
    </xf>
    <xf numFmtId="38" fontId="55" fillId="0" borderId="76" xfId="3054" applyNumberFormat="1" applyFont="1" applyBorder="1" applyAlignment="1">
      <alignment horizontal="center"/>
    </xf>
    <xf numFmtId="38" fontId="55" fillId="0" borderId="77" xfId="3054" applyNumberFormat="1" applyFont="1" applyBorder="1" applyAlignment="1">
      <alignment horizontal="center"/>
    </xf>
    <xf numFmtId="38" fontId="55" fillId="0" borderId="79" xfId="3054" applyNumberFormat="1" applyFont="1" applyBorder="1" applyAlignment="1">
      <alignment horizontal="center"/>
    </xf>
    <xf numFmtId="38" fontId="55" fillId="0" borderId="80" xfId="3054" applyNumberFormat="1" applyFont="1" applyBorder="1" applyAlignment="1">
      <alignment horizontal="center"/>
    </xf>
    <xf numFmtId="38" fontId="48" fillId="0" borderId="81" xfId="3054" applyNumberFormat="1" applyFont="1" applyBorder="1" applyAlignment="1">
      <alignment horizontal="center"/>
    </xf>
    <xf numFmtId="38" fontId="48" fillId="0" borderId="82" xfId="3054" applyNumberFormat="1" applyFont="1" applyBorder="1" applyAlignment="1">
      <alignment horizontal="center"/>
    </xf>
    <xf numFmtId="38" fontId="48" fillId="0" borderId="83" xfId="3054" applyNumberFormat="1" applyFont="1" applyBorder="1" applyAlignment="1">
      <alignment horizontal="center"/>
    </xf>
    <xf numFmtId="38" fontId="55" fillId="0" borderId="84" xfId="3054" applyNumberFormat="1" applyFont="1" applyBorder="1" applyAlignment="1">
      <alignment horizontal="center"/>
    </xf>
    <xf numFmtId="38" fontId="48" fillId="87" borderId="82" xfId="3054" applyNumberFormat="1" applyFont="1" applyFill="1" applyBorder="1" applyAlignment="1">
      <alignment horizontal="center"/>
    </xf>
    <xf numFmtId="38" fontId="55" fillId="0" borderId="78" xfId="3054" applyNumberFormat="1" applyFont="1" applyBorder="1" applyAlignment="1">
      <alignment horizontal="center"/>
    </xf>
    <xf numFmtId="38" fontId="48" fillId="0" borderId="85" xfId="3054" applyNumberFormat="1" applyFont="1" applyBorder="1" applyAlignment="1">
      <alignment horizontal="center"/>
    </xf>
    <xf numFmtId="38" fontId="48" fillId="0" borderId="84" xfId="3054" applyNumberFormat="1" applyFont="1" applyBorder="1" applyAlignment="1">
      <alignment horizontal="center"/>
    </xf>
    <xf numFmtId="38" fontId="48" fillId="0" borderId="86" xfId="3054" applyNumberFormat="1" applyFont="1" applyBorder="1" applyAlignment="1">
      <alignment horizontal="center"/>
    </xf>
    <xf numFmtId="38" fontId="48" fillId="0" borderId="87" xfId="3054" applyNumberFormat="1" applyFont="1" applyBorder="1" applyAlignment="1">
      <alignment horizontal="center"/>
    </xf>
    <xf numFmtId="38" fontId="55" fillId="0" borderId="89" xfId="3054" applyNumberFormat="1" applyFont="1" applyBorder="1" applyAlignment="1">
      <alignment horizontal="center"/>
    </xf>
    <xf numFmtId="38" fontId="55" fillId="0" borderId="90" xfId="3054" applyNumberFormat="1" applyFont="1" applyBorder="1" applyAlignment="1">
      <alignment horizontal="center"/>
    </xf>
    <xf numFmtId="38" fontId="48" fillId="0" borderId="91" xfId="3054" applyNumberFormat="1" applyFont="1" applyBorder="1" applyAlignment="1">
      <alignment horizontal="center"/>
    </xf>
    <xf numFmtId="38" fontId="48" fillId="0" borderId="92" xfId="3054" applyNumberFormat="1" applyFont="1" applyBorder="1" applyAlignment="1">
      <alignment horizontal="center"/>
    </xf>
    <xf numFmtId="38" fontId="48" fillId="0" borderId="93" xfId="3054" applyNumberFormat="1" applyFont="1" applyBorder="1" applyAlignment="1">
      <alignment horizontal="center"/>
    </xf>
    <xf numFmtId="38" fontId="55" fillId="0" borderId="94" xfId="3054" applyNumberFormat="1" applyFont="1" applyBorder="1" applyAlignment="1">
      <alignment horizontal="center"/>
    </xf>
    <xf numFmtId="38" fontId="48" fillId="87" borderId="92" xfId="3054" applyNumberFormat="1" applyFont="1" applyFill="1" applyBorder="1" applyAlignment="1">
      <alignment horizontal="center"/>
    </xf>
    <xf numFmtId="38" fontId="55" fillId="0" borderId="88" xfId="3054" applyNumberFormat="1" applyFont="1" applyBorder="1" applyAlignment="1">
      <alignment horizontal="center"/>
    </xf>
    <xf numFmtId="38" fontId="48" fillId="0" borderId="95" xfId="3054" applyNumberFormat="1" applyFont="1" applyBorder="1" applyAlignment="1">
      <alignment horizontal="center"/>
    </xf>
    <xf numFmtId="38" fontId="48" fillId="0" borderId="94" xfId="3054" applyNumberFormat="1" applyFont="1" applyBorder="1" applyAlignment="1">
      <alignment horizontal="center"/>
    </xf>
    <xf numFmtId="38" fontId="48" fillId="0" borderId="96" xfId="3054" applyNumberFormat="1" applyFont="1" applyBorder="1" applyAlignment="1">
      <alignment horizontal="center"/>
    </xf>
    <xf numFmtId="38" fontId="55" fillId="0" borderId="29" xfId="3054" applyNumberFormat="1" applyFont="1" applyBorder="1" applyAlignment="1">
      <alignment horizontal="center"/>
    </xf>
    <xf numFmtId="38" fontId="55" fillId="0" borderId="97" xfId="3054" applyNumberFormat="1" applyFont="1" applyBorder="1" applyAlignment="1">
      <alignment horizontal="center"/>
    </xf>
    <xf numFmtId="38" fontId="55" fillId="0" borderId="98" xfId="3054" applyNumberFormat="1" applyFont="1" applyBorder="1" applyAlignment="1">
      <alignment horizontal="center"/>
    </xf>
    <xf numFmtId="38" fontId="55" fillId="0" borderId="99" xfId="3054" applyNumberFormat="1" applyFont="1" applyBorder="1" applyAlignment="1">
      <alignment horizontal="center"/>
    </xf>
    <xf numFmtId="38" fontId="55" fillId="0" borderId="100" xfId="3054" applyNumberFormat="1" applyFont="1" applyBorder="1" applyAlignment="1">
      <alignment horizontal="center"/>
    </xf>
    <xf numFmtId="38" fontId="55" fillId="0" borderId="22" xfId="3054" applyNumberFormat="1" applyFont="1" applyBorder="1" applyAlignment="1">
      <alignment horizontal="center"/>
    </xf>
    <xf numFmtId="38" fontId="55" fillId="87" borderId="99" xfId="3054" applyNumberFormat="1" applyFont="1" applyFill="1" applyBorder="1" applyAlignment="1">
      <alignment horizontal="center"/>
    </xf>
    <xf numFmtId="38" fontId="55" fillId="0" borderId="0" xfId="3054" applyNumberFormat="1" applyFont="1" applyAlignment="1">
      <alignment horizontal="center"/>
    </xf>
    <xf numFmtId="38" fontId="55" fillId="0" borderId="21" xfId="3054" applyNumberFormat="1" applyFont="1" applyBorder="1" applyAlignment="1">
      <alignment horizontal="center"/>
    </xf>
    <xf numFmtId="38" fontId="55" fillId="0" borderId="101" xfId="3054" applyNumberFormat="1" applyFont="1" applyBorder="1" applyAlignment="1">
      <alignment horizontal="center"/>
    </xf>
    <xf numFmtId="38" fontId="55" fillId="0" borderId="102" xfId="3054" applyNumberFormat="1" applyFont="1" applyBorder="1" applyAlignment="1">
      <alignment horizontal="center"/>
    </xf>
    <xf numFmtId="38" fontId="48" fillId="0" borderId="103" xfId="3054" applyNumberFormat="1" applyFont="1" applyBorder="1" applyAlignment="1">
      <alignment horizontal="center"/>
    </xf>
    <xf numFmtId="1" fontId="48" fillId="0" borderId="51" xfId="3054" applyNumberFormat="1" applyFont="1" applyBorder="1" applyAlignment="1">
      <alignment horizontal="center"/>
    </xf>
    <xf numFmtId="38" fontId="48" fillId="0" borderId="0" xfId="0" applyNumberFormat="1" applyFont="1"/>
    <xf numFmtId="38" fontId="55" fillId="0" borderId="104" xfId="3054" applyNumberFormat="1" applyFont="1" applyBorder="1" applyAlignment="1">
      <alignment horizontal="center"/>
    </xf>
    <xf numFmtId="38" fontId="55" fillId="0" borderId="105" xfId="3054" applyNumberFormat="1" applyFont="1" applyBorder="1" applyAlignment="1">
      <alignment horizontal="center"/>
    </xf>
    <xf numFmtId="38" fontId="48" fillId="0" borderId="106" xfId="3054" applyNumberFormat="1" applyFont="1" applyBorder="1" applyAlignment="1">
      <alignment horizontal="center"/>
    </xf>
    <xf numFmtId="38" fontId="48" fillId="0" borderId="107" xfId="3054" applyNumberFormat="1" applyFont="1" applyBorder="1" applyAlignment="1">
      <alignment horizontal="center"/>
    </xf>
    <xf numFmtId="38" fontId="48" fillId="0" borderId="108" xfId="3054" applyNumberFormat="1" applyFont="1" applyBorder="1" applyAlignment="1">
      <alignment horizontal="center"/>
    </xf>
    <xf numFmtId="38" fontId="55" fillId="0" borderId="23" xfId="3054" applyNumberFormat="1" applyFont="1" applyBorder="1" applyAlignment="1">
      <alignment horizontal="center"/>
    </xf>
    <xf numFmtId="38" fontId="48" fillId="87" borderId="107" xfId="3054" applyNumberFormat="1" applyFont="1" applyFill="1" applyBorder="1" applyAlignment="1">
      <alignment horizontal="center"/>
    </xf>
    <xf numFmtId="38" fontId="55" fillId="0" borderId="12" xfId="3054" applyNumberFormat="1" applyFont="1" applyBorder="1" applyAlignment="1">
      <alignment horizontal="center"/>
    </xf>
    <xf numFmtId="38" fontId="48" fillId="0" borderId="25" xfId="3054" applyNumberFormat="1" applyFont="1" applyBorder="1" applyAlignment="1">
      <alignment horizontal="center"/>
    </xf>
    <xf numFmtId="38" fontId="48" fillId="0" borderId="101" xfId="3054" applyNumberFormat="1" applyFont="1" applyBorder="1" applyAlignment="1">
      <alignment horizontal="center"/>
    </xf>
    <xf numFmtId="38" fontId="48" fillId="0" borderId="23" xfId="3054" applyNumberFormat="1" applyFont="1" applyBorder="1" applyAlignment="1">
      <alignment horizontal="center"/>
    </xf>
    <xf numFmtId="38" fontId="48" fillId="0" borderId="109" xfId="3054" applyNumberFormat="1" applyFont="1" applyBorder="1" applyAlignment="1">
      <alignment horizontal="center"/>
    </xf>
    <xf numFmtId="38" fontId="55" fillId="0" borderId="110" xfId="3054" applyNumberFormat="1" applyFont="1" applyBorder="1" applyAlignment="1">
      <alignment horizontal="center"/>
    </xf>
    <xf numFmtId="38" fontId="55" fillId="0" borderId="111" xfId="3054" applyNumberFormat="1" applyFont="1" applyBorder="1" applyAlignment="1">
      <alignment horizontal="center"/>
    </xf>
    <xf numFmtId="38" fontId="55" fillId="0" borderId="82" xfId="3054" applyNumberFormat="1" applyFont="1" applyBorder="1" applyAlignment="1">
      <alignment horizontal="center"/>
    </xf>
    <xf numFmtId="38" fontId="48" fillId="0" borderId="78" xfId="3054" applyNumberFormat="1" applyFont="1" applyBorder="1" applyAlignment="1">
      <alignment horizontal="center"/>
    </xf>
    <xf numFmtId="38" fontId="55" fillId="0" borderId="26" xfId="3054" applyNumberFormat="1" applyFont="1" applyBorder="1" applyAlignment="1">
      <alignment horizontal="center"/>
    </xf>
    <xf numFmtId="38" fontId="55" fillId="0" borderId="112" xfId="3054" applyNumberFormat="1" applyFont="1" applyBorder="1" applyAlignment="1">
      <alignment horizontal="center"/>
    </xf>
    <xf numFmtId="38" fontId="48" fillId="0" borderId="100" xfId="3054" applyNumberFormat="1" applyFont="1" applyBorder="1" applyAlignment="1">
      <alignment horizontal="center"/>
    </xf>
    <xf numFmtId="38" fontId="48" fillId="0" borderId="0" xfId="3054" applyNumberFormat="1" applyFont="1" applyAlignment="1">
      <alignment horizontal="center"/>
    </xf>
    <xf numFmtId="38" fontId="48" fillId="87" borderId="99" xfId="3054" applyNumberFormat="1" applyFont="1" applyFill="1" applyBorder="1" applyAlignment="1">
      <alignment horizontal="center"/>
    </xf>
    <xf numFmtId="38" fontId="48" fillId="0" borderId="99" xfId="3054" applyNumberFormat="1" applyFont="1" applyBorder="1" applyAlignment="1">
      <alignment horizontal="center"/>
    </xf>
    <xf numFmtId="38" fontId="48" fillId="0" borderId="21" xfId="3054" applyNumberFormat="1" applyFont="1" applyBorder="1" applyAlignment="1">
      <alignment horizontal="center"/>
    </xf>
    <xf numFmtId="38" fontId="48" fillId="0" borderId="98" xfId="3054" applyNumberFormat="1" applyFont="1" applyBorder="1" applyAlignment="1">
      <alignment horizontal="center"/>
    </xf>
    <xf numFmtId="38" fontId="48" fillId="0" borderId="22" xfId="3054" applyNumberFormat="1" applyFont="1" applyBorder="1" applyAlignment="1">
      <alignment horizontal="center"/>
    </xf>
    <xf numFmtId="38" fontId="48" fillId="0" borderId="102" xfId="3054" applyNumberFormat="1" applyFont="1" applyBorder="1" applyAlignment="1">
      <alignment horizontal="center"/>
    </xf>
    <xf numFmtId="38" fontId="55" fillId="0" borderId="113" xfId="3054" applyNumberFormat="1" applyFont="1" applyBorder="1" applyAlignment="1">
      <alignment horizontal="center"/>
    </xf>
    <xf numFmtId="38" fontId="48" fillId="0" borderId="114" xfId="3054" applyNumberFormat="1" applyFont="1" applyBorder="1" applyAlignment="1">
      <alignment horizontal="center"/>
    </xf>
    <xf numFmtId="38" fontId="48" fillId="0" borderId="55" xfId="3054" applyNumberFormat="1" applyFont="1" applyBorder="1" applyAlignment="1">
      <alignment horizontal="center"/>
    </xf>
    <xf numFmtId="38" fontId="48" fillId="87" borderId="61" xfId="3054" applyNumberFormat="1" applyFont="1" applyFill="1" applyBorder="1" applyAlignment="1">
      <alignment horizontal="center"/>
    </xf>
    <xf numFmtId="38" fontId="55" fillId="0" borderId="116" xfId="3054" applyNumberFormat="1" applyFont="1" applyBorder="1" applyAlignment="1">
      <alignment horizontal="center"/>
    </xf>
    <xf numFmtId="38" fontId="55" fillId="0" borderId="117" xfId="3054" applyNumberFormat="1" applyFont="1" applyBorder="1" applyAlignment="1">
      <alignment horizontal="center"/>
    </xf>
    <xf numFmtId="38" fontId="55" fillId="0" borderId="118" xfId="3054" applyNumberFormat="1" applyFont="1" applyBorder="1" applyAlignment="1">
      <alignment horizontal="center"/>
    </xf>
    <xf numFmtId="38" fontId="55" fillId="0" borderId="119" xfId="3054" applyNumberFormat="1" applyFont="1" applyBorder="1" applyAlignment="1">
      <alignment horizontal="center"/>
    </xf>
    <xf numFmtId="38" fontId="55" fillId="0" borderId="120" xfId="3054" applyNumberFormat="1" applyFont="1" applyBorder="1" applyAlignment="1">
      <alignment horizontal="center"/>
    </xf>
    <xf numFmtId="38" fontId="55" fillId="87" borderId="119" xfId="3054" applyNumberFormat="1" applyFont="1" applyFill="1" applyBorder="1" applyAlignment="1">
      <alignment horizontal="center"/>
    </xf>
    <xf numFmtId="38" fontId="55" fillId="0" borderId="115" xfId="3054" applyNumberFormat="1" applyFont="1" applyBorder="1" applyAlignment="1">
      <alignment horizontal="center"/>
    </xf>
    <xf numFmtId="38" fontId="55" fillId="0" borderId="121" xfId="3054" applyNumberFormat="1" applyFont="1" applyBorder="1" applyAlignment="1">
      <alignment horizontal="center"/>
    </xf>
    <xf numFmtId="38" fontId="55" fillId="0" borderId="122" xfId="3054" applyNumberFormat="1" applyFont="1" applyBorder="1" applyAlignment="1">
      <alignment horizontal="center"/>
    </xf>
    <xf numFmtId="38" fontId="48" fillId="0" borderId="104" xfId="3054" applyNumberFormat="1" applyFont="1" applyBorder="1" applyAlignment="1">
      <alignment horizontal="center"/>
    </xf>
    <xf numFmtId="38" fontId="55" fillId="0" borderId="123" xfId="3054" applyNumberFormat="1" applyFont="1" applyBorder="1" applyAlignment="1">
      <alignment horizontal="center"/>
    </xf>
    <xf numFmtId="38" fontId="55" fillId="0" borderId="131" xfId="3054" applyNumberFormat="1" applyFont="1" applyBorder="1" applyAlignment="1">
      <alignment horizontal="center"/>
    </xf>
    <xf numFmtId="38" fontId="55" fillId="0" borderId="149" xfId="3054" applyNumberFormat="1" applyFont="1" applyBorder="1" applyAlignment="1">
      <alignment horizontal="center"/>
    </xf>
    <xf numFmtId="38" fontId="48" fillId="0" borderId="0" xfId="3054" applyNumberFormat="1" applyFont="1" applyAlignment="1">
      <alignment horizontal="left"/>
    </xf>
    <xf numFmtId="180" fontId="55" fillId="0" borderId="0" xfId="3054" applyNumberFormat="1" applyFont="1" applyAlignment="1">
      <alignment horizontal="left"/>
    </xf>
    <xf numFmtId="180" fontId="48" fillId="88" borderId="0" xfId="3054" applyNumberFormat="1" applyFont="1" applyFill="1" applyAlignment="1">
      <alignment horizontal="left"/>
    </xf>
    <xf numFmtId="180" fontId="48" fillId="38" borderId="0" xfId="3054" applyNumberFormat="1" applyFont="1" applyFill="1" applyAlignment="1">
      <alignment horizontal="left"/>
    </xf>
    <xf numFmtId="38" fontId="48" fillId="87" borderId="0" xfId="0" applyNumberFormat="1" applyFont="1" applyFill="1" applyAlignment="1">
      <alignment horizontal="left"/>
    </xf>
    <xf numFmtId="180" fontId="48" fillId="40" borderId="0" xfId="3054" applyNumberFormat="1" applyFont="1" applyFill="1" applyAlignment="1">
      <alignment horizontal="left"/>
    </xf>
    <xf numFmtId="0" fontId="155" fillId="0" borderId="156" xfId="46466" applyBorder="1" applyAlignment="1">
      <alignment horizontal="left"/>
    </xf>
    <xf numFmtId="38" fontId="55" fillId="89" borderId="149" xfId="3054" applyNumberFormat="1" applyFont="1" applyFill="1" applyBorder="1" applyAlignment="1">
      <alignment horizontal="center"/>
    </xf>
    <xf numFmtId="38" fontId="55" fillId="90" borderId="120" xfId="3054" applyNumberFormat="1" applyFont="1" applyFill="1" applyBorder="1" applyAlignment="1">
      <alignment horizontal="center" textRotation="90" wrapText="1"/>
    </xf>
    <xf numFmtId="38" fontId="55" fillId="90" borderId="170" xfId="3054" applyNumberFormat="1" applyFont="1" applyFill="1" applyBorder="1" applyAlignment="1">
      <alignment horizontal="center" textRotation="90" wrapText="1"/>
    </xf>
    <xf numFmtId="38" fontId="55" fillId="90" borderId="33" xfId="3054" applyNumberFormat="1" applyFont="1" applyFill="1" applyBorder="1" applyAlignment="1">
      <alignment horizontal="center" textRotation="90" wrapText="1"/>
    </xf>
    <xf numFmtId="38" fontId="55" fillId="90" borderId="11" xfId="3054" applyNumberFormat="1" applyFont="1" applyFill="1" applyBorder="1" applyAlignment="1">
      <alignment horizontal="center" textRotation="90" wrapText="1"/>
    </xf>
    <xf numFmtId="38" fontId="55" fillId="90" borderId="0" xfId="3054" applyNumberFormat="1" applyFont="1" applyFill="1"/>
    <xf numFmtId="38" fontId="55" fillId="90" borderId="117" xfId="3054" applyNumberFormat="1" applyFont="1" applyFill="1" applyBorder="1" applyAlignment="1">
      <alignment horizontal="center" textRotation="90" wrapText="1"/>
    </xf>
    <xf numFmtId="38" fontId="55" fillId="90" borderId="14" xfId="3054" applyNumberFormat="1" applyFont="1" applyFill="1" applyBorder="1" applyAlignment="1">
      <alignment horizontal="left"/>
    </xf>
    <xf numFmtId="38" fontId="55" fillId="90" borderId="0" xfId="3054" applyNumberFormat="1" applyFont="1" applyFill="1" applyBorder="1" applyAlignment="1">
      <alignment horizontal="left"/>
    </xf>
    <xf numFmtId="38" fontId="55" fillId="90" borderId="19" xfId="3054" applyNumberFormat="1" applyFont="1" applyFill="1" applyBorder="1" applyAlignment="1">
      <alignment horizontal="left"/>
    </xf>
    <xf numFmtId="38" fontId="55" fillId="90" borderId="12" xfId="3054" applyNumberFormat="1" applyFont="1" applyFill="1" applyBorder="1" applyAlignment="1">
      <alignment horizontal="left"/>
    </xf>
    <xf numFmtId="38" fontId="55" fillId="90" borderId="88" xfId="3056" applyNumberFormat="1" applyFont="1" applyFill="1" applyBorder="1" applyAlignment="1">
      <alignment horizontal="left" vertical="top" wrapText="1"/>
    </xf>
    <xf numFmtId="0" fontId="155" fillId="0" borderId="0" xfId="46466"/>
    <xf numFmtId="0" fontId="59" fillId="93" borderId="9" xfId="3058" applyFont="1" applyFill="1" applyBorder="1" applyAlignment="1">
      <alignment horizontal="center"/>
    </xf>
    <xf numFmtId="0" fontId="157" fillId="91" borderId="9" xfId="0" applyFont="1" applyFill="1" applyBorder="1" applyAlignment="1">
      <alignment horizontal="center"/>
    </xf>
    <xf numFmtId="0" fontId="16" fillId="0" borderId="20" xfId="0" applyFont="1" applyBorder="1"/>
    <xf numFmtId="0" fontId="16" fillId="0" borderId="70" xfId="0" applyFont="1" applyBorder="1"/>
    <xf numFmtId="0" fontId="16" fillId="0" borderId="0" xfId="0" applyFont="1"/>
    <xf numFmtId="0" fontId="157" fillId="91" borderId="28" xfId="0" applyFont="1" applyFill="1" applyBorder="1"/>
    <xf numFmtId="0" fontId="16" fillId="90" borderId="151" xfId="0" applyFont="1" applyFill="1" applyBorder="1"/>
    <xf numFmtId="0" fontId="16" fillId="0" borderId="179" xfId="0" applyFont="1" applyBorder="1"/>
    <xf numFmtId="0" fontId="16" fillId="0" borderId="173" xfId="0" applyFont="1" applyBorder="1" applyAlignment="1">
      <alignment horizontal="right"/>
    </xf>
    <xf numFmtId="0" fontId="16" fillId="0" borderId="180" xfId="0" applyFont="1" applyBorder="1" applyAlignment="1">
      <alignment horizontal="right"/>
    </xf>
    <xf numFmtId="0" fontId="16" fillId="0" borderId="177" xfId="0" applyFont="1" applyBorder="1" applyAlignment="1">
      <alignment horizontal="right" vertical="top"/>
    </xf>
    <xf numFmtId="0" fontId="16" fillId="0" borderId="34" xfId="3058" applyFont="1" applyBorder="1"/>
    <xf numFmtId="0" fontId="16" fillId="0" borderId="175" xfId="0" applyFont="1" applyBorder="1"/>
    <xf numFmtId="0" fontId="59" fillId="90" borderId="151" xfId="3058" applyFont="1" applyFill="1" applyBorder="1"/>
    <xf numFmtId="0" fontId="158" fillId="92" borderId="174" xfId="0" applyFont="1" applyFill="1" applyBorder="1" applyAlignment="1">
      <alignment horizontal="right"/>
    </xf>
    <xf numFmtId="0" fontId="158" fillId="0" borderId="149" xfId="0" applyFont="1" applyBorder="1" applyAlignment="1">
      <alignment horizontal="right" vertical="top"/>
    </xf>
    <xf numFmtId="0" fontId="158" fillId="92" borderId="149" xfId="0" applyFont="1" applyFill="1" applyBorder="1" applyAlignment="1">
      <alignment horizontal="right" vertical="top"/>
    </xf>
    <xf numFmtId="0" fontId="156" fillId="0" borderId="149" xfId="0" applyFont="1" applyBorder="1" applyAlignment="1">
      <alignment horizontal="right" vertical="top"/>
    </xf>
    <xf numFmtId="0" fontId="156" fillId="92" borderId="149" xfId="0" applyFont="1" applyFill="1" applyBorder="1" applyAlignment="1">
      <alignment horizontal="right" vertical="top"/>
    </xf>
    <xf numFmtId="0" fontId="157" fillId="93" borderId="17" xfId="3058" applyFont="1" applyFill="1" applyBorder="1" applyAlignment="1">
      <alignment horizontal="center"/>
    </xf>
    <xf numFmtId="190" fontId="13" fillId="0" borderId="177" xfId="3058" applyNumberFormat="1" applyFill="1" applyBorder="1"/>
    <xf numFmtId="3" fontId="0" fillId="0" borderId="156" xfId="0" applyNumberFormat="1" applyBorder="1"/>
    <xf numFmtId="3" fontId="0" fillId="0" borderId="157" xfId="0" applyNumberFormat="1" applyBorder="1"/>
    <xf numFmtId="3" fontId="0" fillId="0" borderId="159" xfId="0" applyNumberFormat="1" applyBorder="1"/>
    <xf numFmtId="3" fontId="0" fillId="0" borderId="180" xfId="0" applyNumberFormat="1" applyBorder="1"/>
    <xf numFmtId="3" fontId="0" fillId="0" borderId="124" xfId="0" applyNumberFormat="1" applyBorder="1"/>
    <xf numFmtId="3" fontId="0" fillId="0" borderId="127" xfId="0" applyNumberFormat="1" applyBorder="1"/>
    <xf numFmtId="3" fontId="0" fillId="0" borderId="129" xfId="0" applyNumberFormat="1" applyBorder="1"/>
    <xf numFmtId="3" fontId="13" fillId="0" borderId="176" xfId="3058" applyNumberFormat="1" applyBorder="1"/>
    <xf numFmtId="3" fontId="0" fillId="0" borderId="24" xfId="0" applyNumberFormat="1" applyBorder="1"/>
    <xf numFmtId="3" fontId="0" fillId="0" borderId="9" xfId="0" applyNumberFormat="1" applyBorder="1"/>
    <xf numFmtId="3" fontId="0" fillId="0" borderId="28" xfId="0" applyNumberFormat="1" applyBorder="1"/>
    <xf numFmtId="3" fontId="13" fillId="0" borderId="177" xfId="3058" applyNumberFormat="1" applyFill="1" applyBorder="1"/>
    <xf numFmtId="3" fontId="13" fillId="0" borderId="145" xfId="3058" applyNumberFormat="1" applyFill="1" applyBorder="1"/>
    <xf numFmtId="3" fontId="13" fillId="0" borderId="9" xfId="3058" applyNumberFormat="1" applyFill="1" applyBorder="1"/>
    <xf numFmtId="3" fontId="13" fillId="0" borderId="28" xfId="3058" applyNumberFormat="1" applyFill="1" applyBorder="1"/>
    <xf numFmtId="3" fontId="0" fillId="0" borderId="177" xfId="0" applyNumberFormat="1" applyBorder="1"/>
    <xf numFmtId="3" fontId="0" fillId="0" borderId="145" xfId="0" applyNumberFormat="1" applyBorder="1"/>
    <xf numFmtId="3" fontId="13" fillId="0" borderId="177" xfId="3058" applyNumberFormat="1" applyBorder="1"/>
    <xf numFmtId="0" fontId="59" fillId="90" borderId="176" xfId="3058" applyFont="1" applyFill="1" applyBorder="1" applyAlignment="1">
      <alignment horizontal="center"/>
    </xf>
    <xf numFmtId="0" fontId="59" fillId="90" borderId="177" xfId="3058" applyFont="1" applyFill="1" applyBorder="1" applyAlignment="1">
      <alignment horizontal="center"/>
    </xf>
    <xf numFmtId="0" fontId="59" fillId="90" borderId="176" xfId="3058" applyFont="1" applyFill="1" applyBorder="1" applyAlignment="1"/>
    <xf numFmtId="0" fontId="59" fillId="93" borderId="122" xfId="3058" applyFont="1" applyFill="1" applyBorder="1" applyAlignment="1">
      <alignment horizontal="center" wrapText="1"/>
    </xf>
    <xf numFmtId="0" fontId="59" fillId="93" borderId="155" xfId="3058" applyFont="1" applyFill="1" applyBorder="1" applyAlignment="1">
      <alignment horizontal="center" wrapText="1"/>
    </xf>
    <xf numFmtId="0" fontId="157" fillId="0" borderId="181" xfId="3058" applyFont="1" applyBorder="1"/>
    <xf numFmtId="190" fontId="0" fillId="0" borderId="102" xfId="0" applyNumberFormat="1" applyBorder="1"/>
    <xf numFmtId="190" fontId="13" fillId="0" borderId="149" xfId="3058" applyNumberFormat="1" applyFill="1" applyBorder="1"/>
    <xf numFmtId="0" fontId="16" fillId="0" borderId="178" xfId="0" applyFont="1" applyBorder="1" applyAlignment="1">
      <alignment horizontal="right" vertical="top"/>
    </xf>
    <xf numFmtId="3" fontId="0" fillId="0" borderId="158" xfId="0" applyNumberFormat="1" applyBorder="1"/>
    <xf numFmtId="3" fontId="0" fillId="0" borderId="23" xfId="0" applyNumberFormat="1" applyBorder="1"/>
    <xf numFmtId="3" fontId="0" fillId="0" borderId="25" xfId="0" applyNumberFormat="1" applyBorder="1"/>
    <xf numFmtId="3" fontId="0" fillId="0" borderId="178" xfId="0" applyNumberFormat="1" applyBorder="1"/>
    <xf numFmtId="3" fontId="0" fillId="0" borderId="105" xfId="0" applyNumberFormat="1" applyBorder="1"/>
    <xf numFmtId="3" fontId="13" fillId="0" borderId="178" xfId="3058" applyNumberFormat="1" applyBorder="1"/>
    <xf numFmtId="190" fontId="13" fillId="0" borderId="104" xfId="3058" applyNumberFormat="1" applyFill="1" applyBorder="1"/>
    <xf numFmtId="0" fontId="16" fillId="0" borderId="173" xfId="0" applyFont="1" applyBorder="1" applyAlignment="1">
      <alignment horizontal="right" vertical="top"/>
    </xf>
    <xf numFmtId="3" fontId="16" fillId="90" borderId="182" xfId="0" applyNumberFormat="1" applyFont="1" applyFill="1" applyBorder="1"/>
    <xf numFmtId="3" fontId="16" fillId="90" borderId="120" xfId="0" applyNumberFormat="1" applyFont="1" applyFill="1" applyBorder="1"/>
    <xf numFmtId="3" fontId="16" fillId="90" borderId="150" xfId="0" applyNumberFormat="1" applyFont="1" applyFill="1" applyBorder="1"/>
    <xf numFmtId="3" fontId="16" fillId="90" borderId="173" xfId="0" applyNumberFormat="1" applyFont="1" applyFill="1" applyBorder="1"/>
    <xf numFmtId="3" fontId="16" fillId="90" borderId="117" xfId="0" applyNumberFormat="1" applyFont="1" applyFill="1" applyBorder="1"/>
    <xf numFmtId="3" fontId="60" fillId="90" borderId="173" xfId="3058" applyNumberFormat="1" applyFont="1" applyFill="1" applyBorder="1"/>
    <xf numFmtId="190" fontId="60" fillId="90" borderId="173" xfId="3058" applyNumberFormat="1" applyFont="1" applyFill="1" applyBorder="1"/>
    <xf numFmtId="3" fontId="14" fillId="0" borderId="24" xfId="0" applyNumberFormat="1" applyFont="1" applyBorder="1"/>
    <xf numFmtId="3" fontId="14" fillId="0" borderId="9" xfId="0" applyNumberFormat="1" applyFont="1" applyBorder="1"/>
    <xf numFmtId="3" fontId="14" fillId="0" borderId="28" xfId="0" applyNumberFormat="1" applyFont="1" applyBorder="1"/>
    <xf numFmtId="190" fontId="14" fillId="0" borderId="102" xfId="0" applyNumberFormat="1" applyFont="1" applyBorder="1"/>
    <xf numFmtId="3" fontId="14" fillId="0" borderId="177" xfId="0" applyNumberFormat="1" applyFont="1" applyBorder="1"/>
    <xf numFmtId="3" fontId="14" fillId="0" borderId="145" xfId="0" applyNumberFormat="1" applyFont="1" applyBorder="1"/>
    <xf numFmtId="3" fontId="13" fillId="0" borderId="0" xfId="3058" applyNumberFormat="1"/>
    <xf numFmtId="0" fontId="160" fillId="0" borderId="0" xfId="0" quotePrefix="1" applyFont="1" applyAlignment="1">
      <alignment horizontal="left"/>
    </xf>
    <xf numFmtId="0" fontId="109" fillId="0" borderId="0" xfId="0" quotePrefix="1" applyFont="1" applyAlignment="1">
      <alignment horizontal="left" vertical="top"/>
    </xf>
    <xf numFmtId="0" fontId="161" fillId="0" borderId="0" xfId="0" applyFont="1" applyAlignment="1">
      <alignment horizontal="left" vertical="top"/>
    </xf>
    <xf numFmtId="0" fontId="157" fillId="93" borderId="76" xfId="46466" applyFont="1" applyFill="1" applyBorder="1" applyAlignment="1">
      <alignment horizontal="center"/>
    </xf>
    <xf numFmtId="0" fontId="157" fillId="93" borderId="27" xfId="46466" applyFont="1" applyFill="1" applyBorder="1" applyAlignment="1">
      <alignment horizontal="center"/>
    </xf>
    <xf numFmtId="0" fontId="157" fillId="93" borderId="152" xfId="46466" applyFont="1" applyFill="1" applyBorder="1" applyAlignment="1">
      <alignment horizontal="center"/>
    </xf>
    <xf numFmtId="0" fontId="59" fillId="93" borderId="68" xfId="3058" applyFont="1" applyFill="1" applyBorder="1" applyAlignment="1">
      <alignment horizontal="center"/>
    </xf>
    <xf numFmtId="0" fontId="59" fillId="93" borderId="27" xfId="3058" applyFont="1" applyFill="1" applyBorder="1" applyAlignment="1">
      <alignment horizontal="center"/>
    </xf>
    <xf numFmtId="0" fontId="59" fillId="93" borderId="152" xfId="3058" applyFont="1" applyFill="1" applyBorder="1" applyAlignment="1">
      <alignment horizontal="center"/>
    </xf>
    <xf numFmtId="0" fontId="59" fillId="93" borderId="145" xfId="3058" applyFont="1" applyFill="1" applyBorder="1" applyAlignment="1">
      <alignment horizontal="center"/>
    </xf>
    <xf numFmtId="0" fontId="59" fillId="93" borderId="28" xfId="3058" applyFont="1" applyFill="1" applyBorder="1" applyAlignment="1">
      <alignment horizontal="center"/>
    </xf>
    <xf numFmtId="0" fontId="157" fillId="93" borderId="122" xfId="3058" applyNumberFormat="1" applyFont="1" applyFill="1" applyBorder="1" applyAlignment="1">
      <alignment horizontal="center"/>
    </xf>
    <xf numFmtId="0" fontId="157" fillId="93" borderId="155" xfId="3058" applyNumberFormat="1" applyFont="1" applyFill="1" applyBorder="1" applyAlignment="1">
      <alignment horizontal="center"/>
    </xf>
    <xf numFmtId="0" fontId="61" fillId="93" borderId="0" xfId="3058" applyFont="1" applyFill="1"/>
    <xf numFmtId="0" fontId="158" fillId="90" borderId="28" xfId="0" applyFont="1" applyFill="1" applyBorder="1" applyAlignment="1">
      <alignment horizontal="right" vertical="top"/>
    </xf>
    <xf numFmtId="167" fontId="13" fillId="90" borderId="0" xfId="3058" applyNumberFormat="1" applyFill="1"/>
    <xf numFmtId="0" fontId="158" fillId="0" borderId="104" xfId="0" applyFont="1" applyBorder="1" applyAlignment="1">
      <alignment horizontal="right" vertical="top"/>
    </xf>
    <xf numFmtId="0" fontId="13" fillId="39" borderId="0" xfId="3058" applyFill="1"/>
    <xf numFmtId="0" fontId="157" fillId="93" borderId="64" xfId="0" applyFont="1" applyFill="1" applyBorder="1"/>
    <xf numFmtId="0" fontId="157" fillId="93" borderId="65" xfId="0" applyFont="1" applyFill="1" applyBorder="1"/>
    <xf numFmtId="0" fontId="156" fillId="0" borderId="177" xfId="0" applyFont="1" applyBorder="1" applyAlignment="1">
      <alignment horizontal="right" vertical="top"/>
    </xf>
    <xf numFmtId="0" fontId="156" fillId="92" borderId="177" xfId="0" applyFont="1" applyFill="1" applyBorder="1" applyAlignment="1">
      <alignment horizontal="right" vertical="top"/>
    </xf>
    <xf numFmtId="0" fontId="16" fillId="90" borderId="70" xfId="0" applyFont="1" applyFill="1" applyBorder="1"/>
    <xf numFmtId="0" fontId="16" fillId="90" borderId="20" xfId="0" applyFont="1" applyFill="1" applyBorder="1"/>
    <xf numFmtId="0" fontId="16" fillId="90" borderId="69" xfId="0" applyFont="1" applyFill="1" applyBorder="1"/>
    <xf numFmtId="0" fontId="157" fillId="93" borderId="21" xfId="0" applyFont="1" applyFill="1" applyBorder="1" applyAlignment="1"/>
    <xf numFmtId="0" fontId="157" fillId="93" borderId="26" xfId="0" applyFont="1" applyFill="1" applyBorder="1" applyAlignment="1"/>
    <xf numFmtId="0" fontId="157" fillId="93" borderId="0" xfId="0" applyFont="1" applyFill="1" applyBorder="1" applyAlignment="1"/>
    <xf numFmtId="0" fontId="157" fillId="93" borderId="97" xfId="0" applyFont="1" applyFill="1" applyBorder="1" applyAlignment="1">
      <alignment horizontal="center"/>
    </xf>
    <xf numFmtId="0" fontId="157" fillId="91" borderId="29" xfId="0" applyFont="1" applyFill="1" applyBorder="1"/>
    <xf numFmtId="0" fontId="156" fillId="92" borderId="9" xfId="0" applyFont="1" applyFill="1" applyBorder="1" applyAlignment="1">
      <alignment horizontal="right"/>
    </xf>
    <xf numFmtId="0" fontId="156" fillId="0" borderId="9" xfId="0" applyFont="1" applyBorder="1" applyAlignment="1">
      <alignment horizontal="right" vertical="top"/>
    </xf>
    <xf numFmtId="0" fontId="156" fillId="92" borderId="9" xfId="0" applyFont="1" applyFill="1" applyBorder="1" applyAlignment="1">
      <alignment horizontal="right" vertical="top"/>
    </xf>
    <xf numFmtId="0" fontId="157" fillId="91" borderId="16" xfId="0" applyFont="1" applyFill="1" applyBorder="1" applyAlignment="1">
      <alignment horizontal="right"/>
    </xf>
    <xf numFmtId="0" fontId="158" fillId="92" borderId="177" xfId="0" applyFont="1" applyFill="1" applyBorder="1" applyAlignment="1">
      <alignment horizontal="right"/>
    </xf>
    <xf numFmtId="0" fontId="158" fillId="0" borderId="177" xfId="0" applyFont="1" applyBorder="1" applyAlignment="1">
      <alignment horizontal="right" vertical="top"/>
    </xf>
    <xf numFmtId="0" fontId="158" fillId="92" borderId="177" xfId="0" applyFont="1" applyFill="1" applyBorder="1" applyAlignment="1">
      <alignment horizontal="right" vertical="top"/>
    </xf>
    <xf numFmtId="0" fontId="158" fillId="0" borderId="151" xfId="0" applyFont="1" applyBorder="1" applyAlignment="1">
      <alignment horizontal="right" vertical="top"/>
    </xf>
    <xf numFmtId="0" fontId="157" fillId="93" borderId="16" xfId="0" applyFont="1" applyFill="1" applyBorder="1"/>
    <xf numFmtId="0" fontId="156" fillId="92" borderId="177" xfId="0" applyFont="1" applyFill="1" applyBorder="1" applyAlignment="1">
      <alignment horizontal="right"/>
    </xf>
    <xf numFmtId="0" fontId="157" fillId="93" borderId="63" xfId="0" applyFont="1" applyFill="1" applyBorder="1"/>
    <xf numFmtId="0" fontId="156" fillId="92" borderId="145" xfId="0" applyFont="1" applyFill="1" applyBorder="1" applyAlignment="1">
      <alignment horizontal="right"/>
    </xf>
    <xf numFmtId="0" fontId="156" fillId="92" borderId="149" xfId="0" applyFont="1" applyFill="1" applyBorder="1" applyAlignment="1">
      <alignment horizontal="right"/>
    </xf>
    <xf numFmtId="0" fontId="156" fillId="0" borderId="145" xfId="0" applyFont="1" applyBorder="1" applyAlignment="1">
      <alignment horizontal="right" vertical="top"/>
    </xf>
    <xf numFmtId="0" fontId="156" fillId="92" borderId="145" xfId="0" applyFont="1" applyFill="1" applyBorder="1" applyAlignment="1">
      <alignment horizontal="right" vertical="top"/>
    </xf>
    <xf numFmtId="0" fontId="157" fillId="93" borderId="16" xfId="3058" applyFont="1" applyFill="1" applyBorder="1"/>
    <xf numFmtId="0" fontId="158" fillId="92" borderId="183" xfId="0" applyFont="1" applyFill="1" applyBorder="1" applyAlignment="1">
      <alignment horizontal="right" vertical="top"/>
    </xf>
    <xf numFmtId="0" fontId="158" fillId="0" borderId="149" xfId="3058" applyFont="1" applyBorder="1" applyAlignment="1">
      <alignment horizontal="right" vertical="top"/>
    </xf>
    <xf numFmtId="0" fontId="158" fillId="0" borderId="183" xfId="3058" applyFont="1" applyBorder="1" applyAlignment="1">
      <alignment horizontal="right" vertical="top"/>
    </xf>
    <xf numFmtId="0" fontId="158" fillId="0" borderId="104" xfId="3058" applyFont="1" applyBorder="1" applyAlignment="1">
      <alignment horizontal="right" vertical="top"/>
    </xf>
    <xf numFmtId="0" fontId="159" fillId="0" borderId="102" xfId="3058" applyFont="1" applyBorder="1" applyAlignment="1">
      <alignment vertical="center"/>
    </xf>
    <xf numFmtId="169" fontId="159" fillId="0" borderId="0" xfId="3058" applyNumberFormat="1" applyFont="1" applyBorder="1" applyAlignment="1">
      <alignment vertical="center"/>
    </xf>
    <xf numFmtId="1" fontId="159" fillId="0" borderId="154" xfId="3058" applyNumberFormat="1" applyFont="1" applyBorder="1" applyAlignment="1">
      <alignment vertical="center"/>
    </xf>
    <xf numFmtId="0" fontId="160" fillId="0" borderId="35" xfId="0" applyFont="1" applyBorder="1" applyAlignment="1">
      <alignment vertical="center"/>
    </xf>
    <xf numFmtId="0" fontId="160" fillId="0" borderId="11" xfId="0" applyFont="1" applyBorder="1" applyAlignment="1">
      <alignment vertical="center"/>
    </xf>
    <xf numFmtId="1" fontId="159" fillId="0" borderId="102" xfId="3058" applyNumberFormat="1" applyFont="1" applyBorder="1" applyAlignment="1">
      <alignment vertical="center"/>
    </xf>
    <xf numFmtId="1" fontId="160" fillId="0" borderId="35" xfId="0" applyNumberFormat="1" applyFont="1" applyBorder="1" applyAlignment="1">
      <alignment vertical="center"/>
    </xf>
    <xf numFmtId="1" fontId="160" fillId="0" borderId="153" xfId="0" applyNumberFormat="1" applyFont="1" applyBorder="1" applyAlignment="1">
      <alignment vertical="center"/>
    </xf>
    <xf numFmtId="0" fontId="159" fillId="0" borderId="18" xfId="3058" applyFont="1" applyBorder="1" applyAlignment="1">
      <alignment vertical="center"/>
    </xf>
    <xf numFmtId="0" fontId="160" fillId="95" borderId="17" xfId="0" applyFont="1" applyFill="1" applyBorder="1" applyAlignment="1">
      <alignment vertical="center"/>
    </xf>
    <xf numFmtId="0" fontId="160" fillId="0" borderId="122" xfId="0" quotePrefix="1" applyFont="1" applyBorder="1" applyAlignment="1">
      <alignment horizontal="center"/>
    </xf>
    <xf numFmtId="0" fontId="160" fillId="0" borderId="115" xfId="0" quotePrefix="1" applyFont="1" applyBorder="1" applyAlignment="1">
      <alignment horizontal="center"/>
    </xf>
    <xf numFmtId="0" fontId="160" fillId="0" borderId="173" xfId="3058" applyFont="1" applyBorder="1" applyAlignment="1">
      <alignment horizontal="center"/>
    </xf>
    <xf numFmtId="0" fontId="60" fillId="90" borderId="0" xfId="3058" applyFont="1" applyFill="1"/>
    <xf numFmtId="169" fontId="158" fillId="0" borderId="183" xfId="3058" applyNumberFormat="1" applyFont="1" applyBorder="1" applyAlignment="1">
      <alignment horizontal="right" vertical="top"/>
    </xf>
    <xf numFmtId="169" fontId="158" fillId="0" borderId="149" xfId="3058" applyNumberFormat="1" applyFont="1" applyBorder="1" applyAlignment="1">
      <alignment horizontal="right" vertical="top"/>
    </xf>
    <xf numFmtId="169" fontId="158" fillId="0" borderId="104" xfId="3058" applyNumberFormat="1" applyFont="1" applyBorder="1" applyAlignment="1">
      <alignment horizontal="right" vertical="top"/>
    </xf>
    <xf numFmtId="0" fontId="60" fillId="93" borderId="184" xfId="3058" applyFont="1" applyFill="1" applyBorder="1"/>
    <xf numFmtId="0" fontId="60" fillId="93" borderId="33" xfId="3058" applyFont="1" applyFill="1" applyBorder="1"/>
    <xf numFmtId="0" fontId="60" fillId="93" borderId="34" xfId="3058" applyFont="1" applyFill="1" applyBorder="1"/>
    <xf numFmtId="0" fontId="60" fillId="93" borderId="17" xfId="3058" applyFont="1" applyFill="1" applyBorder="1" applyAlignment="1">
      <alignment horizontal="right"/>
    </xf>
    <xf numFmtId="2" fontId="160" fillId="0" borderId="11" xfId="0" applyNumberFormat="1" applyFont="1" applyBorder="1" applyAlignment="1">
      <alignment vertical="center"/>
    </xf>
    <xf numFmtId="191" fontId="55" fillId="0" borderId="64" xfId="3054" applyNumberFormat="1" applyFont="1" applyBorder="1" applyAlignment="1">
      <alignment horizontal="center"/>
    </xf>
    <xf numFmtId="191" fontId="55" fillId="0" borderId="66" xfId="3054" applyNumberFormat="1" applyFont="1" applyBorder="1" applyAlignment="1">
      <alignment horizontal="center"/>
    </xf>
    <xf numFmtId="191" fontId="55" fillId="0" borderId="43" xfId="3054" applyNumberFormat="1" applyFont="1" applyBorder="1" applyAlignment="1">
      <alignment horizontal="center"/>
    </xf>
    <xf numFmtId="191" fontId="55" fillId="0" borderId="75" xfId="3054" applyNumberFormat="1" applyFont="1" applyBorder="1" applyAlignment="1">
      <alignment horizontal="center"/>
    </xf>
    <xf numFmtId="191" fontId="55" fillId="0" borderId="65" xfId="3054" applyNumberFormat="1" applyFont="1" applyBorder="1" applyAlignment="1">
      <alignment horizontal="center"/>
    </xf>
    <xf numFmtId="191" fontId="55" fillId="87" borderId="43" xfId="3054" applyNumberFormat="1" applyFont="1" applyFill="1" applyBorder="1" applyAlignment="1">
      <alignment horizontal="center"/>
    </xf>
    <xf numFmtId="191" fontId="55" fillId="0" borderId="27" xfId="3054" applyNumberFormat="1" applyFont="1" applyBorder="1" applyAlignment="1">
      <alignment horizontal="center"/>
    </xf>
    <xf numFmtId="191" fontId="55" fillId="0" borderId="76" xfId="3054" applyNumberFormat="1" applyFont="1" applyBorder="1" applyAlignment="1">
      <alignment horizontal="center"/>
    </xf>
    <xf numFmtId="191" fontId="55" fillId="0" borderId="68" xfId="3054" applyNumberFormat="1" applyFont="1" applyBorder="1" applyAlignment="1">
      <alignment horizontal="center"/>
    </xf>
    <xf numFmtId="191" fontId="48" fillId="0" borderId="105" xfId="3054" applyNumberFormat="1" applyFont="1" applyBorder="1" applyAlignment="1">
      <alignment horizontal="center"/>
    </xf>
    <xf numFmtId="191" fontId="48" fillId="0" borderId="106" xfId="3054" applyNumberFormat="1" applyFont="1" applyBorder="1" applyAlignment="1">
      <alignment horizontal="center"/>
    </xf>
    <xf numFmtId="191" fontId="48" fillId="0" borderId="107" xfId="3054" applyNumberFormat="1" applyFont="1" applyBorder="1" applyAlignment="1">
      <alignment horizontal="center"/>
    </xf>
    <xf numFmtId="191" fontId="48" fillId="0" borderId="108" xfId="3054" applyNumberFormat="1" applyFont="1" applyBorder="1" applyAlignment="1">
      <alignment horizontal="center"/>
    </xf>
    <xf numFmtId="191" fontId="48" fillId="0" borderId="23" xfId="3054" applyNumberFormat="1" applyFont="1" applyBorder="1" applyAlignment="1">
      <alignment horizontal="center"/>
    </xf>
    <xf numFmtId="191" fontId="48" fillId="87" borderId="107" xfId="3054" applyNumberFormat="1" applyFont="1" applyFill="1" applyBorder="1" applyAlignment="1">
      <alignment horizontal="center"/>
    </xf>
    <xf numFmtId="191" fontId="48" fillId="0" borderId="12" xfId="3054" applyNumberFormat="1" applyFont="1" applyBorder="1" applyAlignment="1">
      <alignment horizontal="center"/>
    </xf>
    <xf numFmtId="191" fontId="48" fillId="0" borderId="25" xfId="3054" applyNumberFormat="1" applyFont="1" applyBorder="1" applyAlignment="1">
      <alignment horizontal="center"/>
    </xf>
    <xf numFmtId="191" fontId="48" fillId="0" borderId="109" xfId="3054" applyNumberFormat="1" applyFont="1" applyBorder="1" applyAlignment="1">
      <alignment horizontal="center"/>
    </xf>
    <xf numFmtId="191" fontId="55" fillId="87" borderId="66" xfId="3054" applyNumberFormat="1" applyFont="1" applyFill="1" applyBorder="1" applyAlignment="1">
      <alignment horizontal="center"/>
    </xf>
    <xf numFmtId="191" fontId="55" fillId="0" borderId="120" xfId="3054" applyNumberFormat="1" applyFont="1" applyBorder="1" applyAlignment="1">
      <alignment horizontal="center"/>
    </xf>
    <xf numFmtId="191" fontId="55" fillId="0" borderId="122" xfId="3054" applyNumberFormat="1" applyFont="1" applyBorder="1" applyAlignment="1">
      <alignment horizontal="center"/>
    </xf>
    <xf numFmtId="191" fontId="55" fillId="0" borderId="124" xfId="3054" applyNumberFormat="1" applyFont="1" applyBorder="1" applyAlignment="1">
      <alignment horizontal="center"/>
    </xf>
    <xf numFmtId="191" fontId="55" fillId="0" borderId="125" xfId="3054" applyNumberFormat="1" applyFont="1" applyBorder="1" applyAlignment="1">
      <alignment horizontal="center"/>
    </xf>
    <xf numFmtId="191" fontId="55" fillId="0" borderId="126" xfId="3054" applyNumberFormat="1" applyFont="1" applyBorder="1" applyAlignment="1">
      <alignment horizontal="center"/>
    </xf>
    <xf numFmtId="191" fontId="55" fillId="0" borderId="127" xfId="3054" applyNumberFormat="1" applyFont="1" applyBorder="1" applyAlignment="1">
      <alignment horizontal="center"/>
    </xf>
    <xf numFmtId="191" fontId="55" fillId="0" borderId="128" xfId="3054" applyNumberFormat="1" applyFont="1" applyBorder="1" applyAlignment="1">
      <alignment horizontal="center"/>
    </xf>
    <xf numFmtId="191" fontId="55" fillId="87" borderId="125" xfId="3054" applyNumberFormat="1" applyFont="1" applyFill="1" applyBorder="1" applyAlignment="1">
      <alignment horizontal="center"/>
    </xf>
    <xf numFmtId="191" fontId="55" fillId="0" borderId="19" xfId="3054" applyNumberFormat="1" applyFont="1" applyBorder="1" applyAlignment="1">
      <alignment horizontal="center"/>
    </xf>
    <xf numFmtId="191" fontId="55" fillId="0" borderId="129" xfId="3054" applyNumberFormat="1" applyFont="1" applyBorder="1" applyAlignment="1">
      <alignment horizontal="center"/>
    </xf>
    <xf numFmtId="191" fontId="55" fillId="0" borderId="77" xfId="3054" applyNumberFormat="1" applyFont="1" applyBorder="1" applyAlignment="1">
      <alignment horizontal="center"/>
    </xf>
    <xf numFmtId="191" fontId="55" fillId="0" borderId="132" xfId="3054" applyNumberFormat="1" applyFont="1" applyBorder="1" applyAlignment="1">
      <alignment horizontal="center"/>
    </xf>
    <xf numFmtId="191" fontId="48" fillId="0" borderId="87" xfId="3054" applyNumberFormat="1" applyFont="1" applyBorder="1" applyAlignment="1">
      <alignment horizontal="center"/>
    </xf>
    <xf numFmtId="191" fontId="48" fillId="0" borderId="133" xfId="3054" applyNumberFormat="1" applyFont="1" applyBorder="1" applyAlignment="1">
      <alignment horizontal="center"/>
    </xf>
    <xf numFmtId="191" fontId="55" fillId="0" borderId="134" xfId="3054" applyNumberFormat="1" applyFont="1" applyBorder="1" applyAlignment="1">
      <alignment horizontal="center"/>
    </xf>
    <xf numFmtId="191" fontId="48" fillId="0" borderId="135" xfId="3054" applyNumberFormat="1" applyFont="1" applyBorder="1" applyAlignment="1">
      <alignment horizontal="center"/>
    </xf>
    <xf numFmtId="191" fontId="48" fillId="87" borderId="87" xfId="3054" applyNumberFormat="1" applyFont="1" applyFill="1" applyBorder="1" applyAlignment="1">
      <alignment horizontal="center"/>
    </xf>
    <xf numFmtId="191" fontId="55" fillId="38" borderId="134" xfId="3054" applyNumberFormat="1" applyFont="1" applyFill="1" applyBorder="1" applyAlignment="1">
      <alignment horizontal="center"/>
    </xf>
    <xf numFmtId="191" fontId="48" fillId="38" borderId="84" xfId="3054" applyNumberFormat="1" applyFont="1" applyFill="1" applyBorder="1" applyAlignment="1">
      <alignment horizontal="center"/>
    </xf>
    <xf numFmtId="191" fontId="55" fillId="0" borderId="130" xfId="3054" applyNumberFormat="1" applyFont="1" applyBorder="1" applyAlignment="1">
      <alignment horizontal="center"/>
    </xf>
    <xf numFmtId="191" fontId="48" fillId="0" borderId="136" xfId="3054" applyNumberFormat="1" applyFont="1" applyBorder="1" applyAlignment="1">
      <alignment horizontal="center"/>
    </xf>
    <xf numFmtId="191" fontId="48" fillId="0" borderId="78" xfId="3054" applyNumberFormat="1" applyFont="1" applyBorder="1" applyAlignment="1">
      <alignment horizontal="center"/>
    </xf>
    <xf numFmtId="191" fontId="48" fillId="0" borderId="84" xfId="3054" applyNumberFormat="1" applyFont="1" applyBorder="1" applyAlignment="1">
      <alignment horizontal="center"/>
    </xf>
    <xf numFmtId="191" fontId="48" fillId="0" borderId="86" xfId="3054" applyNumberFormat="1" applyFont="1" applyBorder="1" applyAlignment="1">
      <alignment horizontal="center"/>
    </xf>
    <xf numFmtId="191" fontId="55" fillId="0" borderId="48" xfId="3054" applyNumberFormat="1" applyFont="1" applyBorder="1" applyAlignment="1">
      <alignment horizontal="center"/>
    </xf>
    <xf numFmtId="191" fontId="48" fillId="0" borderId="52" xfId="3054" applyNumberFormat="1" applyFont="1" applyBorder="1" applyAlignment="1">
      <alignment horizontal="center"/>
    </xf>
    <xf numFmtId="191" fontId="48" fillId="0" borderId="50" xfId="3054" applyNumberFormat="1" applyFont="1" applyBorder="1" applyAlignment="1">
      <alignment horizontal="center"/>
    </xf>
    <xf numFmtId="191" fontId="55" fillId="0" borderId="51" xfId="3054" applyNumberFormat="1" applyFont="1" applyBorder="1" applyAlignment="1">
      <alignment horizontal="center"/>
    </xf>
    <xf numFmtId="191" fontId="48" fillId="0" borderId="49" xfId="3054" applyNumberFormat="1" applyFont="1" applyBorder="1" applyAlignment="1">
      <alignment horizontal="center"/>
    </xf>
    <xf numFmtId="191" fontId="48" fillId="87" borderId="52" xfId="3054" applyNumberFormat="1" applyFont="1" applyFill="1" applyBorder="1" applyAlignment="1">
      <alignment horizontal="center"/>
    </xf>
    <xf numFmtId="191" fontId="55" fillId="38" borderId="51" xfId="3054" applyNumberFormat="1" applyFont="1" applyFill="1" applyBorder="1" applyAlignment="1">
      <alignment horizontal="center"/>
    </xf>
    <xf numFmtId="191" fontId="48" fillId="38" borderId="51" xfId="3054" applyNumberFormat="1" applyFont="1" applyFill="1" applyBorder="1" applyAlignment="1">
      <alignment horizontal="center"/>
    </xf>
    <xf numFmtId="191" fontId="55" fillId="0" borderId="46" xfId="3054" applyNumberFormat="1" applyFont="1" applyBorder="1" applyAlignment="1">
      <alignment horizontal="center"/>
    </xf>
    <xf numFmtId="191" fontId="48" fillId="0" borderId="53" xfId="3054" applyNumberFormat="1" applyFont="1" applyBorder="1" applyAlignment="1">
      <alignment horizontal="center"/>
    </xf>
    <xf numFmtId="191" fontId="48" fillId="0" borderId="46" xfId="3054" applyNumberFormat="1" applyFont="1" applyBorder="1" applyAlignment="1">
      <alignment horizontal="center"/>
    </xf>
    <xf numFmtId="191" fontId="48" fillId="0" borderId="51" xfId="3054" applyNumberFormat="1" applyFont="1" applyBorder="1" applyAlignment="1">
      <alignment horizontal="center"/>
    </xf>
    <xf numFmtId="191" fontId="48" fillId="0" borderId="54" xfId="3054" applyNumberFormat="1" applyFont="1" applyBorder="1" applyAlignment="1">
      <alignment horizontal="center"/>
    </xf>
    <xf numFmtId="191" fontId="48" fillId="38" borderId="134" xfId="3054" applyNumberFormat="1" applyFont="1" applyFill="1" applyBorder="1" applyAlignment="1">
      <alignment horizontal="center"/>
    </xf>
    <xf numFmtId="191" fontId="48" fillId="0" borderId="130" xfId="3054" applyNumberFormat="1" applyFont="1" applyBorder="1" applyAlignment="1">
      <alignment horizontal="center"/>
    </xf>
    <xf numFmtId="191" fontId="48" fillId="0" borderId="134" xfId="3054" applyNumberFormat="1" applyFont="1" applyBorder="1" applyAlignment="1">
      <alignment horizontal="center"/>
    </xf>
    <xf numFmtId="191" fontId="48" fillId="38" borderId="22" xfId="3054" applyNumberFormat="1" applyFont="1" applyFill="1" applyBorder="1" applyAlignment="1">
      <alignment horizontal="center"/>
    </xf>
    <xf numFmtId="191" fontId="48" fillId="0" borderId="0" xfId="3054" applyNumberFormat="1" applyFont="1" applyAlignment="1">
      <alignment horizontal="center"/>
    </xf>
    <xf numFmtId="191" fontId="48" fillId="0" borderId="22" xfId="3054" applyNumberFormat="1" applyFont="1" applyBorder="1" applyAlignment="1">
      <alignment horizontal="center"/>
    </xf>
    <xf numFmtId="191" fontId="55" fillId="0" borderId="137" xfId="3054" applyNumberFormat="1" applyFont="1" applyBorder="1" applyAlignment="1">
      <alignment horizontal="center"/>
    </xf>
    <xf numFmtId="191" fontId="48" fillId="0" borderId="138" xfId="3054" applyNumberFormat="1" applyFont="1" applyBorder="1" applyAlignment="1">
      <alignment horizontal="center"/>
    </xf>
    <xf numFmtId="191" fontId="48" fillId="0" borderId="139" xfId="3054" applyNumberFormat="1" applyFont="1" applyBorder="1" applyAlignment="1">
      <alignment horizontal="center"/>
    </xf>
    <xf numFmtId="191" fontId="55" fillId="0" borderId="140" xfId="3054" applyNumberFormat="1" applyFont="1" applyBorder="1" applyAlignment="1">
      <alignment horizontal="center"/>
    </xf>
    <xf numFmtId="191" fontId="48" fillId="0" borderId="141" xfId="3054" applyNumberFormat="1" applyFont="1" applyBorder="1" applyAlignment="1">
      <alignment horizontal="center"/>
    </xf>
    <xf numFmtId="191" fontId="48" fillId="87" borderId="138" xfId="3054" applyNumberFormat="1" applyFont="1" applyFill="1" applyBorder="1" applyAlignment="1">
      <alignment horizontal="center"/>
    </xf>
    <xf numFmtId="191" fontId="55" fillId="38" borderId="140" xfId="3054" applyNumberFormat="1" applyFont="1" applyFill="1" applyBorder="1" applyAlignment="1">
      <alignment horizontal="center"/>
    </xf>
    <xf numFmtId="191" fontId="48" fillId="38" borderId="94" xfId="3054" applyNumberFormat="1" applyFont="1" applyFill="1" applyBorder="1" applyAlignment="1">
      <alignment horizontal="center"/>
    </xf>
    <xf numFmtId="191" fontId="55" fillId="0" borderId="142" xfId="3054" applyNumberFormat="1" applyFont="1" applyBorder="1" applyAlignment="1">
      <alignment horizontal="center"/>
    </xf>
    <xf numFmtId="191" fontId="48" fillId="0" borderId="143" xfId="3054" applyNumberFormat="1" applyFont="1" applyBorder="1" applyAlignment="1">
      <alignment horizontal="center"/>
    </xf>
    <xf numFmtId="191" fontId="48" fillId="0" borderId="99" xfId="3054" applyNumberFormat="1" applyFont="1" applyBorder="1" applyAlignment="1">
      <alignment horizontal="center"/>
    </xf>
    <xf numFmtId="191" fontId="48" fillId="0" borderId="88" xfId="3054" applyNumberFormat="1" applyFont="1" applyBorder="1" applyAlignment="1">
      <alignment horizontal="center"/>
    </xf>
    <xf numFmtId="191" fontId="48" fillId="0" borderId="94" xfId="3054" applyNumberFormat="1" applyFont="1" applyBorder="1" applyAlignment="1">
      <alignment horizontal="center"/>
    </xf>
    <xf numFmtId="191" fontId="48" fillId="0" borderId="144" xfId="3054" applyNumberFormat="1" applyFont="1" applyBorder="1" applyAlignment="1">
      <alignment horizontal="center"/>
    </xf>
    <xf numFmtId="191" fontId="55" fillId="0" borderId="145" xfId="3054" applyNumberFormat="1" applyFont="1" applyBorder="1" applyAlignment="1">
      <alignment horizontal="center"/>
    </xf>
    <xf numFmtId="191" fontId="55" fillId="0" borderId="101" xfId="3054" applyNumberFormat="1" applyFont="1" applyBorder="1" applyAlignment="1">
      <alignment horizontal="center"/>
    </xf>
    <xf numFmtId="191" fontId="55" fillId="0" borderId="146" xfId="3054" applyNumberFormat="1" applyFont="1" applyBorder="1" applyAlignment="1">
      <alignment horizontal="center"/>
    </xf>
    <xf numFmtId="191" fontId="55" fillId="0" borderId="9" xfId="3054" applyNumberFormat="1" applyFont="1" applyBorder="1" applyAlignment="1">
      <alignment horizontal="center"/>
    </xf>
    <xf numFmtId="191" fontId="55" fillId="0" borderId="147" xfId="3054" applyNumberFormat="1" applyFont="1" applyBorder="1" applyAlignment="1">
      <alignment horizontal="center"/>
    </xf>
    <xf numFmtId="191" fontId="55" fillId="87" borderId="101" xfId="3054" applyNumberFormat="1" applyFont="1" applyFill="1" applyBorder="1" applyAlignment="1">
      <alignment horizontal="center"/>
    </xf>
    <xf numFmtId="191" fontId="55" fillId="0" borderId="14" xfId="3054" applyNumberFormat="1" applyFont="1" applyBorder="1" applyAlignment="1">
      <alignment horizontal="center"/>
    </xf>
    <xf numFmtId="191" fontId="55" fillId="0" borderId="28" xfId="3054" applyNumberFormat="1" applyFont="1" applyBorder="1" applyAlignment="1">
      <alignment horizontal="center"/>
    </xf>
    <xf numFmtId="191" fontId="55" fillId="0" borderId="148" xfId="3054" applyNumberFormat="1" applyFont="1" applyBorder="1" applyAlignment="1">
      <alignment horizontal="center"/>
    </xf>
    <xf numFmtId="191" fontId="55" fillId="0" borderId="80" xfId="3054" applyNumberFormat="1" applyFont="1" applyBorder="1" applyAlignment="1">
      <alignment horizontal="center"/>
    </xf>
    <xf numFmtId="191" fontId="55" fillId="0" borderId="81" xfId="3054" applyNumberFormat="1" applyFont="1" applyBorder="1" applyAlignment="1">
      <alignment horizontal="center"/>
    </xf>
    <xf numFmtId="191" fontId="55" fillId="0" borderId="82" xfId="3054" applyNumberFormat="1" applyFont="1" applyBorder="1" applyAlignment="1">
      <alignment horizontal="center"/>
    </xf>
    <xf numFmtId="191" fontId="48" fillId="0" borderId="83" xfId="3054" applyNumberFormat="1" applyFont="1" applyBorder="1" applyAlignment="1">
      <alignment horizontal="center"/>
    </xf>
    <xf numFmtId="191" fontId="55" fillId="0" borderId="84" xfId="3054" applyNumberFormat="1" applyFont="1" applyBorder="1" applyAlignment="1">
      <alignment horizontal="center"/>
    </xf>
    <xf numFmtId="191" fontId="48" fillId="0" borderId="81" xfId="3054" applyNumberFormat="1" applyFont="1" applyBorder="1" applyAlignment="1">
      <alignment horizontal="center"/>
    </xf>
    <xf numFmtId="191" fontId="48" fillId="87" borderId="82" xfId="3054" applyNumberFormat="1" applyFont="1" applyFill="1" applyBorder="1" applyAlignment="1">
      <alignment horizontal="center"/>
    </xf>
    <xf numFmtId="191" fontId="48" fillId="0" borderId="82" xfId="3054" applyNumberFormat="1" applyFont="1" applyBorder="1" applyAlignment="1">
      <alignment horizontal="center"/>
    </xf>
    <xf numFmtId="191" fontId="55" fillId="0" borderId="78" xfId="3054" applyNumberFormat="1" applyFont="1" applyBorder="1" applyAlignment="1">
      <alignment horizontal="center"/>
    </xf>
    <xf numFmtId="191" fontId="48" fillId="0" borderId="85" xfId="3054" applyNumberFormat="1" applyFont="1" applyBorder="1" applyAlignment="1">
      <alignment horizontal="center"/>
    </xf>
    <xf numFmtId="191" fontId="48" fillId="0" borderId="103" xfId="3054" applyNumberFormat="1" applyFont="1" applyBorder="1" applyAlignment="1">
      <alignment horizontal="center"/>
    </xf>
    <xf numFmtId="191" fontId="55" fillId="0" borderId="135" xfId="3054" applyNumberFormat="1" applyFont="1" applyBorder="1" applyAlignment="1">
      <alignment horizontal="center"/>
    </xf>
    <xf numFmtId="191" fontId="55" fillId="0" borderId="87" xfId="3054" applyNumberFormat="1" applyFont="1" applyBorder="1" applyAlignment="1">
      <alignment horizontal="center"/>
    </xf>
    <xf numFmtId="191" fontId="55" fillId="0" borderId="49" xfId="3054" applyNumberFormat="1" applyFont="1" applyBorder="1" applyAlignment="1">
      <alignment horizontal="center"/>
    </xf>
    <xf numFmtId="191" fontId="55" fillId="0" borderId="52" xfId="3054" applyNumberFormat="1" applyFont="1" applyBorder="1" applyAlignment="1">
      <alignment horizontal="center"/>
    </xf>
    <xf numFmtId="191" fontId="55" fillId="0" borderId="90" xfId="3054" applyNumberFormat="1" applyFont="1" applyBorder="1" applyAlignment="1">
      <alignment horizontal="center"/>
    </xf>
    <xf numFmtId="191" fontId="55" fillId="0" borderId="91" xfId="3054" applyNumberFormat="1" applyFont="1" applyBorder="1" applyAlignment="1">
      <alignment horizontal="center"/>
    </xf>
    <xf numFmtId="191" fontId="55" fillId="0" borderId="92" xfId="3054" applyNumberFormat="1" applyFont="1" applyBorder="1" applyAlignment="1">
      <alignment horizontal="center"/>
    </xf>
    <xf numFmtId="191" fontId="48" fillId="0" borderId="93" xfId="3054" applyNumberFormat="1" applyFont="1" applyBorder="1" applyAlignment="1">
      <alignment horizontal="center"/>
    </xf>
    <xf numFmtId="191" fontId="55" fillId="0" borderId="94" xfId="3054" applyNumberFormat="1" applyFont="1" applyBorder="1" applyAlignment="1">
      <alignment horizontal="center"/>
    </xf>
    <xf numFmtId="191" fontId="48" fillId="0" borderId="91" xfId="3054" applyNumberFormat="1" applyFont="1" applyBorder="1" applyAlignment="1">
      <alignment horizontal="center"/>
    </xf>
    <xf numFmtId="191" fontId="48" fillId="87" borderId="92" xfId="3054" applyNumberFormat="1" applyFont="1" applyFill="1" applyBorder="1" applyAlignment="1">
      <alignment horizontal="center"/>
    </xf>
    <xf numFmtId="191" fontId="48" fillId="0" borderId="92" xfId="3054" applyNumberFormat="1" applyFont="1" applyBorder="1" applyAlignment="1">
      <alignment horizontal="center"/>
    </xf>
    <xf numFmtId="191" fontId="55" fillId="0" borderId="88" xfId="3054" applyNumberFormat="1" applyFont="1" applyBorder="1" applyAlignment="1">
      <alignment horizontal="center"/>
    </xf>
    <xf numFmtId="191" fontId="48" fillId="0" borderId="95" xfId="3054" applyNumberFormat="1" applyFont="1" applyBorder="1" applyAlignment="1">
      <alignment horizontal="center"/>
    </xf>
    <xf numFmtId="191" fontId="48" fillId="0" borderId="96" xfId="3054" applyNumberFormat="1" applyFont="1" applyBorder="1" applyAlignment="1">
      <alignment horizontal="center"/>
    </xf>
    <xf numFmtId="191" fontId="55" fillId="89" borderId="145" xfId="3054" applyNumberFormat="1" applyFont="1" applyFill="1" applyBorder="1" applyAlignment="1">
      <alignment horizontal="center"/>
    </xf>
    <xf numFmtId="191" fontId="55" fillId="89" borderId="147" xfId="3054" applyNumberFormat="1" applyFont="1" applyFill="1" applyBorder="1" applyAlignment="1">
      <alignment horizontal="center"/>
    </xf>
    <xf numFmtId="191" fontId="55" fillId="89" borderId="50" xfId="3054" applyNumberFormat="1" applyFont="1" applyFill="1" applyBorder="1" applyAlignment="1">
      <alignment horizontal="center"/>
    </xf>
    <xf numFmtId="191" fontId="55" fillId="89" borderId="146" xfId="3054" applyNumberFormat="1" applyFont="1" applyFill="1" applyBorder="1" applyAlignment="1">
      <alignment horizontal="center"/>
    </xf>
    <xf numFmtId="191" fontId="55" fillId="89" borderId="9" xfId="3054" applyNumberFormat="1" applyFont="1" applyFill="1" applyBorder="1" applyAlignment="1">
      <alignment horizontal="center"/>
    </xf>
    <xf numFmtId="191" fontId="55" fillId="89" borderId="101" xfId="3054" applyNumberFormat="1" applyFont="1" applyFill="1" applyBorder="1" applyAlignment="1">
      <alignment horizontal="center"/>
    </xf>
    <xf numFmtId="191" fontId="55" fillId="89" borderId="14" xfId="3054" applyNumberFormat="1" applyFont="1" applyFill="1" applyBorder="1" applyAlignment="1">
      <alignment horizontal="center"/>
    </xf>
    <xf numFmtId="191" fontId="55" fillId="89" borderId="28" xfId="3054" applyNumberFormat="1" applyFont="1" applyFill="1" applyBorder="1" applyAlignment="1">
      <alignment horizontal="center"/>
    </xf>
    <xf numFmtId="191" fontId="55" fillId="89" borderId="102" xfId="3054" applyNumberFormat="1" applyFont="1" applyFill="1" applyBorder="1" applyAlignment="1">
      <alignment horizontal="center"/>
    </xf>
    <xf numFmtId="191" fontId="55" fillId="87" borderId="147" xfId="3054" applyNumberFormat="1" applyFont="1" applyFill="1" applyBorder="1" applyAlignment="1">
      <alignment horizontal="center"/>
    </xf>
    <xf numFmtId="191" fontId="55" fillId="0" borderId="105" xfId="3054" applyNumberFormat="1" applyFont="1" applyBorder="1" applyAlignment="1">
      <alignment horizontal="center"/>
    </xf>
    <xf numFmtId="191" fontId="55" fillId="0" borderId="106" xfId="3054" applyNumberFormat="1" applyFont="1" applyBorder="1" applyAlignment="1">
      <alignment horizontal="center"/>
    </xf>
    <xf numFmtId="191" fontId="55" fillId="0" borderId="107" xfId="3054" applyNumberFormat="1" applyFont="1" applyBorder="1" applyAlignment="1">
      <alignment horizontal="center"/>
    </xf>
    <xf numFmtId="191" fontId="55" fillId="0" borderId="108" xfId="3054" applyNumberFormat="1" applyFont="1" applyBorder="1" applyAlignment="1">
      <alignment horizontal="center"/>
    </xf>
    <xf numFmtId="191" fontId="55" fillId="0" borderId="23" xfId="3054" applyNumberFormat="1" applyFont="1" applyBorder="1" applyAlignment="1">
      <alignment horizontal="center"/>
    </xf>
    <xf numFmtId="191" fontId="55" fillId="87" borderId="107" xfId="3054" applyNumberFormat="1" applyFont="1" applyFill="1" applyBorder="1" applyAlignment="1">
      <alignment horizontal="center"/>
    </xf>
    <xf numFmtId="191" fontId="55" fillId="0" borderId="12" xfId="3054" applyNumberFormat="1" applyFont="1" applyBorder="1" applyAlignment="1">
      <alignment horizontal="center"/>
    </xf>
    <xf numFmtId="191" fontId="55" fillId="0" borderId="25" xfId="3054" applyNumberFormat="1" applyFont="1" applyBorder="1" applyAlignment="1">
      <alignment horizontal="center"/>
    </xf>
    <xf numFmtId="191" fontId="55" fillId="0" borderId="102" xfId="3054" applyNumberFormat="1" applyFont="1" applyBorder="1" applyAlignment="1">
      <alignment horizontal="center"/>
    </xf>
    <xf numFmtId="191" fontId="55" fillId="0" borderId="96" xfId="3054" applyNumberFormat="1" applyFont="1" applyBorder="1" applyAlignment="1">
      <alignment horizontal="center"/>
    </xf>
    <xf numFmtId="191" fontId="55" fillId="0" borderId="117" xfId="3054" applyNumberFormat="1" applyFont="1" applyBorder="1" applyAlignment="1">
      <alignment horizontal="center"/>
    </xf>
    <xf numFmtId="191" fontId="55" fillId="0" borderId="118" xfId="3054" applyNumberFormat="1" applyFont="1" applyBorder="1" applyAlignment="1">
      <alignment horizontal="center"/>
    </xf>
    <xf numFmtId="191" fontId="55" fillId="0" borderId="119" xfId="3054" applyNumberFormat="1" applyFont="1" applyBorder="1" applyAlignment="1">
      <alignment horizontal="center"/>
    </xf>
    <xf numFmtId="191" fontId="55" fillId="0" borderId="121" xfId="3054" applyNumberFormat="1" applyFont="1" applyBorder="1" applyAlignment="1">
      <alignment horizontal="center"/>
    </xf>
    <xf numFmtId="191" fontId="55" fillId="87" borderId="119" xfId="3054" applyNumberFormat="1" applyFont="1" applyFill="1" applyBorder="1" applyAlignment="1">
      <alignment horizontal="center"/>
    </xf>
    <xf numFmtId="191" fontId="55" fillId="0" borderId="115" xfId="3054" applyNumberFormat="1" applyFont="1" applyBorder="1" applyAlignment="1">
      <alignment horizontal="center"/>
    </xf>
    <xf numFmtId="191" fontId="55" fillId="0" borderId="150" xfId="3054" applyNumberFormat="1" applyFont="1" applyBorder="1" applyAlignment="1">
      <alignment horizontal="center"/>
    </xf>
    <xf numFmtId="3" fontId="0" fillId="0" borderId="0" xfId="0" applyNumberFormat="1"/>
    <xf numFmtId="3" fontId="16" fillId="0" borderId="0" xfId="0" applyNumberFormat="1" applyFont="1"/>
    <xf numFmtId="0" fontId="162" fillId="44" borderId="21" xfId="0" applyFont="1" applyFill="1" applyBorder="1" applyAlignment="1">
      <alignment vertical="center"/>
    </xf>
    <xf numFmtId="166" fontId="0" fillId="45" borderId="9" xfId="0" applyNumberFormat="1" applyFill="1" applyBorder="1" applyAlignment="1">
      <alignment vertical="center"/>
    </xf>
    <xf numFmtId="0" fontId="162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/>
    <xf numFmtId="0" fontId="60" fillId="42" borderId="122" xfId="0" applyFont="1" applyFill="1" applyBorder="1" applyAlignment="1">
      <alignment horizontal="center" vertical="center"/>
    </xf>
    <xf numFmtId="0" fontId="60" fillId="42" borderId="150" xfId="0" applyFont="1" applyFill="1" applyBorder="1" applyAlignment="1">
      <alignment horizontal="center" vertical="center"/>
    </xf>
    <xf numFmtId="0" fontId="60" fillId="42" borderId="116" xfId="0" applyFont="1" applyFill="1" applyBorder="1" applyAlignment="1">
      <alignment horizontal="center" vertical="center"/>
    </xf>
    <xf numFmtId="0" fontId="162" fillId="42" borderId="21" xfId="0" applyFont="1" applyFill="1" applyBorder="1" applyAlignment="1">
      <alignment vertical="center"/>
    </xf>
    <xf numFmtId="0" fontId="60" fillId="94" borderId="124" xfId="0" quotePrefix="1" applyFont="1" applyFill="1" applyBorder="1" applyAlignment="1">
      <alignment horizontal="right" vertical="top"/>
    </xf>
    <xf numFmtId="0" fontId="60" fillId="94" borderId="123" xfId="0" quotePrefix="1" applyFont="1" applyFill="1" applyBorder="1" applyAlignment="1">
      <alignment horizontal="right" vertical="top"/>
    </xf>
    <xf numFmtId="0" fontId="60" fillId="92" borderId="145" xfId="0" quotePrefix="1" applyFont="1" applyFill="1" applyBorder="1" applyAlignment="1">
      <alignment horizontal="right" vertical="top"/>
    </xf>
    <xf numFmtId="0" fontId="60" fillId="92" borderId="149" xfId="0" quotePrefix="1" applyFont="1" applyFill="1" applyBorder="1" applyAlignment="1">
      <alignment horizontal="right" vertical="top"/>
    </xf>
    <xf numFmtId="0" fontId="60" fillId="94" borderId="145" xfId="0" quotePrefix="1" applyFont="1" applyFill="1" applyBorder="1" applyAlignment="1">
      <alignment horizontal="right" vertical="top"/>
    </xf>
    <xf numFmtId="0" fontId="60" fillId="94" borderId="149" xfId="0" quotePrefix="1" applyFont="1" applyFill="1" applyBorder="1" applyAlignment="1">
      <alignment horizontal="right" vertical="top"/>
    </xf>
    <xf numFmtId="0" fontId="60" fillId="92" borderId="117" xfId="0" quotePrefix="1" applyFont="1" applyFill="1" applyBorder="1" applyAlignment="1">
      <alignment horizontal="right" vertical="top"/>
    </xf>
    <xf numFmtId="0" fontId="164" fillId="92" borderId="120" xfId="0" applyFont="1" applyFill="1" applyBorder="1" applyAlignment="1">
      <alignment vertical="center"/>
    </xf>
    <xf numFmtId="0" fontId="59" fillId="96" borderId="173" xfId="0" applyFont="1" applyFill="1" applyBorder="1" applyAlignment="1">
      <alignment vertical="center"/>
    </xf>
    <xf numFmtId="0" fontId="60" fillId="0" borderId="68" xfId="3058" applyFont="1" applyBorder="1" applyAlignment="1">
      <alignment horizontal="right"/>
    </xf>
    <xf numFmtId="0" fontId="60" fillId="0" borderId="152" xfId="3058" applyFont="1" applyBorder="1" applyAlignment="1">
      <alignment horizontal="right"/>
    </xf>
    <xf numFmtId="0" fontId="60" fillId="0" borderId="102" xfId="3058" applyFont="1" applyBorder="1" applyAlignment="1">
      <alignment horizontal="right"/>
    </xf>
    <xf numFmtId="0" fontId="60" fillId="0" borderId="154" xfId="3058" applyFont="1" applyBorder="1" applyAlignment="1">
      <alignment horizontal="right"/>
    </xf>
    <xf numFmtId="1" fontId="60" fillId="98" borderId="145" xfId="0" quotePrefix="1" applyNumberFormat="1" applyFont="1" applyFill="1" applyBorder="1" applyAlignment="1">
      <alignment horizontal="right" vertical="top"/>
    </xf>
    <xf numFmtId="1" fontId="60" fillId="98" borderId="149" xfId="0" quotePrefix="1" applyNumberFormat="1" applyFont="1" applyFill="1" applyBorder="1" applyAlignment="1">
      <alignment horizontal="right" vertical="top"/>
    </xf>
    <xf numFmtId="0" fontId="156" fillId="44" borderId="21" xfId="0" applyFont="1" applyFill="1" applyBorder="1" applyAlignment="1">
      <alignment vertical="center"/>
    </xf>
    <xf numFmtId="0" fontId="64" fillId="38" borderId="175" xfId="2108" applyFont="1" applyFill="1" applyBorder="1" applyAlignment="1">
      <alignment horizontal="center" vertical="center" wrapText="1"/>
    </xf>
    <xf numFmtId="0" fontId="64" fillId="38" borderId="179" xfId="2108" applyFont="1" applyFill="1" applyBorder="1" applyAlignment="1">
      <alignment horizontal="center" vertical="center" wrapText="1"/>
    </xf>
    <xf numFmtId="1" fontId="60" fillId="49" borderId="124" xfId="0" applyNumberFormat="1" applyFont="1" applyFill="1" applyBorder="1" applyAlignment="1">
      <alignment horizontal="right" vertical="center"/>
    </xf>
    <xf numFmtId="1" fontId="60" fillId="49" borderId="145" xfId="0" applyNumberFormat="1" applyFont="1" applyFill="1" applyBorder="1" applyAlignment="1">
      <alignment horizontal="right" vertical="center"/>
    </xf>
    <xf numFmtId="0" fontId="59" fillId="51" borderId="27" xfId="0" applyFont="1" applyFill="1" applyBorder="1" applyAlignment="1">
      <alignment horizontal="right" vertical="center"/>
    </xf>
    <xf numFmtId="0" fontId="59" fillId="51" borderId="152" xfId="0" applyFont="1" applyFill="1" applyBorder="1" applyAlignment="1">
      <alignment horizontal="right" vertical="center"/>
    </xf>
    <xf numFmtId="0" fontId="68" fillId="37" borderId="0" xfId="23428" applyFont="1" applyFill="1" applyBorder="1" applyAlignment="1">
      <alignment vertical="center"/>
    </xf>
    <xf numFmtId="0" fontId="60" fillId="94" borderId="105" xfId="0" quotePrefix="1" applyFont="1" applyFill="1" applyBorder="1" applyAlignment="1">
      <alignment horizontal="right" vertical="top"/>
    </xf>
    <xf numFmtId="0" fontId="60" fillId="94" borderId="104" xfId="0" quotePrefix="1" applyFont="1" applyFill="1" applyBorder="1" applyAlignment="1">
      <alignment horizontal="right" vertical="top"/>
    </xf>
    <xf numFmtId="0" fontId="60" fillId="94" borderId="70" xfId="0" quotePrefix="1" applyFont="1" applyFill="1" applyBorder="1" applyAlignment="1">
      <alignment horizontal="right" vertical="top"/>
    </xf>
    <xf numFmtId="0" fontId="60" fillId="94" borderId="69" xfId="0" quotePrefix="1" applyFont="1" applyFill="1" applyBorder="1" applyAlignment="1">
      <alignment horizontal="right" vertical="top"/>
    </xf>
    <xf numFmtId="3" fontId="59" fillId="96" borderId="173" xfId="0" applyNumberFormat="1" applyFont="1" applyFill="1" applyBorder="1" applyAlignment="1">
      <alignment horizontal="right" vertical="center"/>
    </xf>
    <xf numFmtId="0" fontId="60" fillId="0" borderId="122" xfId="3058" applyFont="1" applyBorder="1" applyAlignment="1">
      <alignment horizontal="right"/>
    </xf>
    <xf numFmtId="3" fontId="60" fillId="0" borderId="115" xfId="3058" applyNumberFormat="1" applyFont="1" applyBorder="1" applyAlignment="1">
      <alignment horizontal="right"/>
    </xf>
    <xf numFmtId="0" fontId="60" fillId="0" borderId="115" xfId="3058" applyFont="1" applyBorder="1" applyAlignment="1">
      <alignment horizontal="right"/>
    </xf>
    <xf numFmtId="0" fontId="60" fillId="44" borderId="68" xfId="0" applyFont="1" applyFill="1" applyBorder="1" applyAlignment="1">
      <alignment vertical="center"/>
    </xf>
    <xf numFmtId="0" fontId="60" fillId="44" borderId="76" xfId="0" applyFont="1" applyFill="1" applyBorder="1" applyAlignment="1">
      <alignment vertical="center"/>
    </xf>
    <xf numFmtId="0" fontId="60" fillId="44" borderId="63" xfId="0" applyFont="1" applyFill="1" applyBorder="1" applyAlignment="1">
      <alignment vertical="center"/>
    </xf>
    <xf numFmtId="1" fontId="60" fillId="49" borderId="123" xfId="0" applyNumberFormat="1" applyFont="1" applyFill="1" applyBorder="1" applyAlignment="1">
      <alignment vertical="center"/>
    </xf>
    <xf numFmtId="1" fontId="60" fillId="49" borderId="149" xfId="0" applyNumberFormat="1" applyFont="1" applyFill="1" applyBorder="1" applyAlignment="1">
      <alignment vertical="center"/>
    </xf>
    <xf numFmtId="1" fontId="60" fillId="49" borderId="105" xfId="0" applyNumberFormat="1" applyFont="1" applyFill="1" applyBorder="1" applyAlignment="1">
      <alignment horizontal="right" vertical="center"/>
    </xf>
    <xf numFmtId="1" fontId="60" fillId="98" borderId="117" xfId="0" quotePrefix="1" applyNumberFormat="1" applyFont="1" applyFill="1" applyBorder="1" applyAlignment="1">
      <alignment horizontal="right" vertical="top"/>
    </xf>
    <xf numFmtId="1" fontId="59" fillId="96" borderId="116" xfId="0" applyNumberFormat="1" applyFont="1" applyFill="1" applyBorder="1" applyAlignment="1">
      <alignment vertical="center"/>
    </xf>
    <xf numFmtId="1" fontId="13" fillId="0" borderId="0" xfId="3058" applyNumberFormat="1"/>
    <xf numFmtId="0" fontId="161" fillId="91" borderId="185" xfId="0" quotePrefix="1" applyFont="1" applyFill="1" applyBorder="1" applyAlignment="1">
      <alignment horizontal="center"/>
    </xf>
    <xf numFmtId="0" fontId="5" fillId="94" borderId="187" xfId="3058" applyNumberFormat="1" applyFont="1" applyFill="1" applyBorder="1" applyAlignment="1"/>
    <xf numFmtId="0" fontId="5" fillId="92" borderId="187" xfId="3058" applyNumberFormat="1" applyFont="1" applyFill="1" applyBorder="1" applyAlignment="1"/>
    <xf numFmtId="3" fontId="5" fillId="92" borderId="187" xfId="3058" applyNumberFormat="1" applyFont="1" applyFill="1" applyBorder="1" applyAlignment="1"/>
    <xf numFmtId="3" fontId="5" fillId="94" borderId="187" xfId="3058" applyNumberFormat="1" applyFont="1" applyFill="1" applyBorder="1" applyAlignment="1"/>
    <xf numFmtId="0" fontId="14" fillId="0" borderId="0" xfId="3685"/>
    <xf numFmtId="49" fontId="166" fillId="0" borderId="0" xfId="3694" applyNumberFormat="1" applyFont="1"/>
    <xf numFmtId="0" fontId="166" fillId="0" borderId="0" xfId="3694" applyFont="1"/>
    <xf numFmtId="0" fontId="23" fillId="0" borderId="0" xfId="3685" applyFont="1"/>
    <xf numFmtId="0" fontId="23" fillId="0" borderId="0" xfId="3685" quotePrefix="1" applyFont="1"/>
    <xf numFmtId="0" fontId="64" fillId="0" borderId="27" xfId="0" applyFont="1" applyBorder="1"/>
    <xf numFmtId="0" fontId="64" fillId="0" borderId="27" xfId="0" quotePrefix="1" applyFont="1" applyBorder="1"/>
    <xf numFmtId="0" fontId="64" fillId="0" borderId="11" xfId="0" applyFont="1" applyBorder="1"/>
    <xf numFmtId="0" fontId="64" fillId="0" borderId="11" xfId="0" quotePrefix="1" applyFont="1" applyBorder="1"/>
    <xf numFmtId="166" fontId="16" fillId="45" borderId="9" xfId="0" applyNumberFormat="1" applyFont="1" applyFill="1" applyBorder="1" applyAlignment="1">
      <alignment vertical="center"/>
    </xf>
    <xf numFmtId="0" fontId="168" fillId="95" borderId="0" xfId="0" applyNumberFormat="1" applyFont="1" applyFill="1" applyBorder="1" applyAlignment="1" applyProtection="1">
      <protection locked="0"/>
    </xf>
    <xf numFmtId="0" fontId="165" fillId="42" borderId="68" xfId="0" applyFont="1" applyFill="1" applyBorder="1" applyAlignment="1">
      <alignment vertical="center"/>
    </xf>
    <xf numFmtId="0" fontId="165" fillId="42" borderId="27" xfId="0" applyFont="1" applyFill="1" applyBorder="1" applyAlignment="1">
      <alignment vertical="center"/>
    </xf>
    <xf numFmtId="0" fontId="165" fillId="42" borderId="152" xfId="0" applyFont="1" applyFill="1" applyBorder="1" applyAlignment="1">
      <alignment vertical="center"/>
    </xf>
    <xf numFmtId="0" fontId="165" fillId="42" borderId="35" xfId="0" applyFont="1" applyFill="1" applyBorder="1" applyAlignment="1">
      <alignment vertical="center"/>
    </xf>
    <xf numFmtId="0" fontId="165" fillId="42" borderId="11" xfId="0" applyFont="1" applyFill="1" applyBorder="1" applyAlignment="1">
      <alignment vertical="center"/>
    </xf>
    <xf numFmtId="0" fontId="165" fillId="42" borderId="153" xfId="0" applyFont="1" applyFill="1" applyBorder="1" applyAlignment="1">
      <alignment vertical="center"/>
    </xf>
    <xf numFmtId="0" fontId="138" fillId="99" borderId="189" xfId="0" applyNumberFormat="1" applyFont="1" applyFill="1" applyBorder="1" applyAlignment="1"/>
    <xf numFmtId="0" fontId="138" fillId="0" borderId="190" xfId="0" applyNumberFormat="1" applyFont="1" applyBorder="1" applyAlignment="1"/>
    <xf numFmtId="0" fontId="138" fillId="99" borderId="190" xfId="0" applyNumberFormat="1" applyFont="1" applyFill="1" applyBorder="1" applyAlignment="1"/>
    <xf numFmtId="0" fontId="59" fillId="95" borderId="17" xfId="0" applyNumberFormat="1" applyFont="1" applyFill="1" applyBorder="1" applyAlignment="1" applyProtection="1">
      <protection locked="0"/>
    </xf>
    <xf numFmtId="38" fontId="59" fillId="95" borderId="17" xfId="0" applyNumberFormat="1" applyFont="1" applyFill="1" applyBorder="1" applyAlignment="1" applyProtection="1">
      <alignment vertical="center" wrapText="1"/>
    </xf>
    <xf numFmtId="2" fontId="59" fillId="95" borderId="153" xfId="0" applyNumberFormat="1" applyFont="1" applyFill="1" applyBorder="1" applyAlignment="1" applyProtection="1">
      <alignment horizontal="right"/>
      <protection locked="0"/>
    </xf>
    <xf numFmtId="0" fontId="73" fillId="26" borderId="115" xfId="0" applyNumberFormat="1" applyFont="1" applyFill="1" applyBorder="1" applyAlignment="1" applyProtection="1">
      <alignment horizontal="left" vertical="center" wrapText="1"/>
      <protection locked="0"/>
    </xf>
    <xf numFmtId="0" fontId="73" fillId="26" borderId="155" xfId="0" applyNumberFormat="1" applyFont="1" applyFill="1" applyBorder="1" applyAlignment="1" applyProtection="1">
      <alignment horizontal="left" vertical="center" wrapText="1"/>
      <protection locked="0"/>
    </xf>
    <xf numFmtId="0" fontId="64" fillId="26" borderId="180" xfId="0" applyNumberFormat="1" applyFont="1" applyFill="1" applyBorder="1" applyAlignment="1" applyProtection="1">
      <alignment horizontal="left" vertical="center" wrapText="1"/>
      <protection locked="0"/>
    </xf>
    <xf numFmtId="0" fontId="138" fillId="0" borderId="177" xfId="0" applyNumberFormat="1" applyFont="1" applyBorder="1" applyAlignment="1"/>
    <xf numFmtId="0" fontId="64" fillId="26" borderId="177" xfId="0" applyNumberFormat="1" applyFont="1" applyFill="1" applyBorder="1" applyAlignment="1" applyProtection="1">
      <alignment horizontal="left" vertical="center" wrapText="1"/>
      <protection locked="0"/>
    </xf>
    <xf numFmtId="0" fontId="64" fillId="26" borderId="28" xfId="0" applyNumberFormat="1" applyFont="1" applyFill="1" applyBorder="1" applyAlignment="1" applyProtection="1">
      <alignment horizontal="left" vertical="center" wrapText="1"/>
      <protection locked="0"/>
    </xf>
    <xf numFmtId="0" fontId="138" fillId="0" borderId="28" xfId="0" applyNumberFormat="1" applyFont="1" applyBorder="1" applyAlignment="1"/>
    <xf numFmtId="0" fontId="73" fillId="26" borderId="109" xfId="0" applyNumberFormat="1" applyFont="1" applyFill="1" applyBorder="1" applyAlignment="1" applyProtection="1">
      <protection locked="0"/>
    </xf>
    <xf numFmtId="0" fontId="73" fillId="26" borderId="12" xfId="0" applyNumberFormat="1" applyFont="1" applyFill="1" applyBorder="1" applyAlignment="1" applyProtection="1">
      <alignment horizontal="center"/>
      <protection locked="0"/>
    </xf>
    <xf numFmtId="0" fontId="73" fillId="26" borderId="191" xfId="0" applyNumberFormat="1" applyFont="1" applyFill="1" applyBorder="1" applyAlignment="1" applyProtection="1">
      <alignment horizontal="center"/>
      <protection locked="0"/>
    </xf>
    <xf numFmtId="0" fontId="73" fillId="26" borderId="35" xfId="0" applyNumberFormat="1" applyFont="1" applyFill="1" applyBorder="1" applyAlignment="1" applyProtection="1">
      <alignment horizontal="center"/>
      <protection locked="0"/>
    </xf>
    <xf numFmtId="0" fontId="73" fillId="26" borderId="11" xfId="0" applyNumberFormat="1" applyFont="1" applyFill="1" applyBorder="1" applyAlignment="1" applyProtection="1">
      <alignment horizontal="center"/>
      <protection locked="0"/>
    </xf>
    <xf numFmtId="0" fontId="73" fillId="26" borderId="153" xfId="0" applyNumberFormat="1" applyFont="1" applyFill="1" applyBorder="1" applyAlignment="1" applyProtection="1">
      <alignment horizontal="center"/>
      <protection locked="0"/>
    </xf>
    <xf numFmtId="49" fontId="23" fillId="0" borderId="0" xfId="3685" applyNumberFormat="1" applyFont="1"/>
    <xf numFmtId="2" fontId="138" fillId="99" borderId="189" xfId="0" applyNumberFormat="1" applyFont="1" applyFill="1" applyBorder="1" applyAlignment="1"/>
    <xf numFmtId="2" fontId="138" fillId="0" borderId="190" xfId="0" applyNumberFormat="1" applyFont="1" applyBorder="1" applyAlignment="1"/>
    <xf numFmtId="2" fontId="138" fillId="99" borderId="190" xfId="0" applyNumberFormat="1" applyFont="1" applyFill="1" applyBorder="1" applyAlignment="1"/>
    <xf numFmtId="0" fontId="167" fillId="0" borderId="0" xfId="3694" applyFont="1" applyAlignment="1">
      <alignment horizontal="right"/>
    </xf>
    <xf numFmtId="0" fontId="14" fillId="0" borderId="0" xfId="3685" applyAlignment="1">
      <alignment horizontal="right"/>
    </xf>
    <xf numFmtId="0" fontId="14" fillId="0" borderId="0" xfId="3469" applyFill="1" applyAlignment="1">
      <alignment horizontal="right"/>
    </xf>
    <xf numFmtId="0" fontId="64" fillId="0" borderId="0" xfId="0" applyFont="1" applyAlignment="1">
      <alignment horizontal="right"/>
    </xf>
    <xf numFmtId="166" fontId="0" fillId="45" borderId="155" xfId="0" applyNumberFormat="1" applyFill="1" applyBorder="1" applyAlignment="1">
      <alignment vertical="center"/>
    </xf>
    <xf numFmtId="0" fontId="162" fillId="0" borderId="193" xfId="0" applyFont="1" applyBorder="1" applyAlignment="1">
      <alignment vertical="center"/>
    </xf>
    <xf numFmtId="0" fontId="162" fillId="0" borderId="194" xfId="0" applyFont="1" applyBorder="1" applyAlignment="1">
      <alignment vertical="center"/>
    </xf>
    <xf numFmtId="0" fontId="162" fillId="0" borderId="195" xfId="0" applyFont="1" applyBorder="1" applyAlignment="1">
      <alignment vertical="center"/>
    </xf>
    <xf numFmtId="166" fontId="0" fillId="45" borderId="173" xfId="0" applyNumberFormat="1" applyFill="1" applyBorder="1" applyAlignment="1">
      <alignment vertical="center"/>
    </xf>
    <xf numFmtId="0" fontId="162" fillId="42" borderId="176" xfId="0" applyFont="1" applyFill="1" applyBorder="1" applyAlignment="1">
      <alignment vertical="center"/>
    </xf>
    <xf numFmtId="0" fontId="162" fillId="44" borderId="177" xfId="0" applyFont="1" applyFill="1" applyBorder="1" applyAlignment="1">
      <alignment vertical="center"/>
    </xf>
    <xf numFmtId="166" fontId="0" fillId="45" borderId="177" xfId="0" applyNumberFormat="1" applyFill="1" applyBorder="1" applyAlignment="1">
      <alignment vertical="center"/>
    </xf>
    <xf numFmtId="0" fontId="70" fillId="68" borderId="177" xfId="0" applyFont="1" applyFill="1" applyBorder="1" applyAlignment="1">
      <alignment vertical="center"/>
    </xf>
    <xf numFmtId="0" fontId="70" fillId="90" borderId="177" xfId="0" applyFont="1" applyFill="1" applyBorder="1" applyAlignment="1">
      <alignment vertical="center"/>
    </xf>
    <xf numFmtId="0" fontId="0" fillId="36" borderId="177" xfId="0" applyFill="1" applyBorder="1"/>
    <xf numFmtId="179" fontId="18" fillId="38" borderId="11" xfId="3425" applyNumberFormat="1" applyFont="1" applyFill="1" applyBorder="1" applyAlignment="1">
      <alignment horizontal="center" vertical="center" wrapText="1"/>
    </xf>
    <xf numFmtId="179" fontId="18" fillId="38" borderId="13" xfId="3425" applyNumberFormat="1" applyFont="1" applyFill="1" applyBorder="1" applyAlignment="1">
      <alignment horizontal="center" vertical="center" wrapText="1"/>
    </xf>
    <xf numFmtId="0" fontId="63" fillId="45" borderId="12" xfId="0" applyFont="1" applyFill="1" applyBorder="1" applyAlignment="1">
      <alignment vertical="center"/>
    </xf>
    <xf numFmtId="0" fontId="64" fillId="0" borderId="196" xfId="0" applyFont="1" applyBorder="1"/>
    <xf numFmtId="0" fontId="5" fillId="37" borderId="0" xfId="46464" applyFont="1" applyFill="1" applyAlignment="1">
      <alignment vertical="center"/>
    </xf>
    <xf numFmtId="0" fontId="5" fillId="40" borderId="0" xfId="46464" applyFont="1" applyFill="1" applyAlignment="1">
      <alignment vertical="center"/>
    </xf>
    <xf numFmtId="0" fontId="5" fillId="68" borderId="0" xfId="46464" applyFont="1" applyFill="1" applyAlignment="1">
      <alignment vertical="center"/>
    </xf>
    <xf numFmtId="0" fontId="5" fillId="0" borderId="0" xfId="46465" applyFont="1"/>
    <xf numFmtId="0" fontId="5" fillId="0" borderId="23" xfId="46465" applyFont="1" applyBorder="1"/>
    <xf numFmtId="0" fontId="5" fillId="0" borderId="22" xfId="46465" applyFont="1" applyBorder="1"/>
    <xf numFmtId="0" fontId="5" fillId="97" borderId="151" xfId="46465" applyFont="1" applyFill="1" applyBorder="1"/>
    <xf numFmtId="0" fontId="5" fillId="0" borderId="0" xfId="46465" applyFont="1" applyBorder="1"/>
    <xf numFmtId="15" fontId="5" fillId="0" borderId="22" xfId="46465" applyNumberFormat="1" applyFont="1" applyBorder="1"/>
    <xf numFmtId="0" fontId="5" fillId="0" borderId="157" xfId="46465" applyFont="1" applyBorder="1"/>
    <xf numFmtId="0" fontId="5" fillId="0" borderId="158" xfId="46465" quotePrefix="1" applyFont="1" applyBorder="1"/>
    <xf numFmtId="0" fontId="5" fillId="0" borderId="26" xfId="46465" applyFont="1" applyBorder="1"/>
    <xf numFmtId="0" fontId="5" fillId="0" borderId="156" xfId="46465" applyFont="1" applyBorder="1" applyAlignment="1">
      <alignment horizontal="left"/>
    </xf>
    <xf numFmtId="0" fontId="5" fillId="0" borderId="23" xfId="46465" applyFont="1" applyBorder="1" applyAlignment="1">
      <alignment horizontal="right"/>
    </xf>
    <xf numFmtId="0" fontId="5" fillId="0" borderId="22" xfId="46465" applyFont="1" applyBorder="1" applyAlignment="1">
      <alignment horizontal="right"/>
    </xf>
    <xf numFmtId="0" fontId="5" fillId="0" borderId="26" xfId="46465" applyFont="1" applyBorder="1" applyAlignment="1">
      <alignment horizontal="left"/>
    </xf>
    <xf numFmtId="17" fontId="5" fillId="0" borderId="22" xfId="46465" applyNumberFormat="1" applyFont="1" applyBorder="1" applyAlignment="1">
      <alignment horizontal="right"/>
    </xf>
    <xf numFmtId="17" fontId="5" fillId="0" borderId="157" xfId="46465" applyNumberFormat="1" applyFont="1" applyBorder="1" applyAlignment="1">
      <alignment horizontal="right"/>
    </xf>
    <xf numFmtId="15" fontId="5" fillId="0" borderId="23" xfId="46465" applyNumberFormat="1" applyFont="1" applyBorder="1" applyAlignment="1">
      <alignment horizontal="right"/>
    </xf>
    <xf numFmtId="179" fontId="5" fillId="0" borderId="0" xfId="0" applyNumberFormat="1" applyFont="1"/>
    <xf numFmtId="0" fontId="5" fillId="0" borderId="0" xfId="3058" applyFont="1"/>
    <xf numFmtId="166" fontId="5" fillId="0" borderId="0" xfId="0" applyNumberFormat="1" applyFont="1" applyFill="1" applyAlignment="1">
      <alignment horizontal="left" vertical="center"/>
    </xf>
    <xf numFmtId="166" fontId="5" fillId="0" borderId="0" xfId="0" applyNumberFormat="1" applyFont="1" applyFill="1" applyAlignment="1">
      <alignment horizontal="center" vertical="center"/>
    </xf>
    <xf numFmtId="3" fontId="5" fillId="0" borderId="0" xfId="3058" applyNumberFormat="1" applyFont="1"/>
    <xf numFmtId="0" fontId="5" fillId="94" borderId="127" xfId="0" quotePrefix="1" applyFont="1" applyFill="1" applyBorder="1" applyAlignment="1">
      <alignment horizontal="right" vertical="top"/>
    </xf>
    <xf numFmtId="1" fontId="5" fillId="49" borderId="127" xfId="0" applyNumberFormat="1" applyFont="1" applyFill="1" applyBorder="1" applyAlignment="1">
      <alignment vertical="center"/>
    </xf>
    <xf numFmtId="0" fontId="5" fillId="92" borderId="9" xfId="0" quotePrefix="1" applyFont="1" applyFill="1" applyBorder="1" applyAlignment="1">
      <alignment horizontal="right" vertical="top"/>
    </xf>
    <xf numFmtId="1" fontId="5" fillId="98" borderId="9" xfId="0" quotePrefix="1" applyNumberFormat="1" applyFont="1" applyFill="1" applyBorder="1" applyAlignment="1">
      <alignment horizontal="right" vertical="top"/>
    </xf>
    <xf numFmtId="0" fontId="5" fillId="94" borderId="9" xfId="0" quotePrefix="1" applyFont="1" applyFill="1" applyBorder="1" applyAlignment="1">
      <alignment horizontal="right" vertical="top"/>
    </xf>
    <xf numFmtId="1" fontId="5" fillId="49" borderId="9" xfId="0" applyNumberFormat="1" applyFont="1" applyFill="1" applyBorder="1" applyAlignment="1">
      <alignment vertical="center"/>
    </xf>
    <xf numFmtId="0" fontId="5" fillId="94" borderId="23" xfId="0" quotePrefix="1" applyFont="1" applyFill="1" applyBorder="1" applyAlignment="1">
      <alignment horizontal="right" vertical="top"/>
    </xf>
    <xf numFmtId="0" fontId="5" fillId="94" borderId="20" xfId="0" quotePrefix="1" applyFont="1" applyFill="1" applyBorder="1" applyAlignment="1">
      <alignment horizontal="right" vertical="top"/>
    </xf>
    <xf numFmtId="1" fontId="5" fillId="49" borderId="23" xfId="0" applyNumberFormat="1" applyFont="1" applyFill="1" applyBorder="1" applyAlignment="1">
      <alignment vertical="center"/>
    </xf>
    <xf numFmtId="1" fontId="5" fillId="98" borderId="120" xfId="0" quotePrefix="1" applyNumberFormat="1" applyFont="1" applyFill="1" applyBorder="1" applyAlignment="1">
      <alignment horizontal="right" vertical="top"/>
    </xf>
    <xf numFmtId="0" fontId="5" fillId="39" borderId="0" xfId="3058" applyFont="1" applyFill="1"/>
    <xf numFmtId="0" fontId="5" fillId="0" borderId="68" xfId="3058" applyFont="1" applyBorder="1"/>
    <xf numFmtId="0" fontId="5" fillId="0" borderId="102" xfId="3058" applyFont="1" applyBorder="1"/>
    <xf numFmtId="3" fontId="5" fillId="0" borderId="177" xfId="3058" applyNumberFormat="1" applyFont="1" applyFill="1" applyBorder="1"/>
    <xf numFmtId="3" fontId="5" fillId="0" borderId="145" xfId="3058" applyNumberFormat="1" applyFont="1" applyFill="1" applyBorder="1"/>
    <xf numFmtId="3" fontId="5" fillId="0" borderId="9" xfId="3058" applyNumberFormat="1" applyFont="1" applyFill="1" applyBorder="1"/>
    <xf numFmtId="3" fontId="5" fillId="0" borderId="28" xfId="3058" applyNumberFormat="1" applyFont="1" applyFill="1" applyBorder="1"/>
    <xf numFmtId="190" fontId="5" fillId="0" borderId="149" xfId="3058" applyNumberFormat="1" applyFont="1" applyFill="1" applyBorder="1"/>
    <xf numFmtId="3" fontId="5" fillId="0" borderId="177" xfId="3058" applyNumberFormat="1" applyFont="1" applyBorder="1"/>
    <xf numFmtId="4" fontId="5" fillId="0" borderId="116" xfId="3058" applyNumberFormat="1" applyFont="1" applyFill="1" applyBorder="1"/>
    <xf numFmtId="0" fontId="5" fillId="47" borderId="0" xfId="3058" applyFont="1" applyFill="1"/>
    <xf numFmtId="0" fontId="5" fillId="48" borderId="0" xfId="3058" applyFont="1" applyFill="1"/>
    <xf numFmtId="0" fontId="5" fillId="0" borderId="0" xfId="3058" applyFont="1" applyFill="1" applyBorder="1"/>
    <xf numFmtId="1" fontId="5" fillId="49" borderId="123" xfId="0" applyNumberFormat="1" applyFont="1" applyFill="1" applyBorder="1" applyAlignment="1">
      <alignment vertical="center"/>
    </xf>
    <xf numFmtId="0" fontId="5" fillId="0" borderId="0" xfId="3058" quotePrefix="1" applyFont="1"/>
    <xf numFmtId="1" fontId="5" fillId="98" borderId="149" xfId="0" quotePrefix="1" applyNumberFormat="1" applyFont="1" applyFill="1" applyBorder="1" applyAlignment="1">
      <alignment horizontal="right" vertical="top"/>
    </xf>
    <xf numFmtId="1" fontId="5" fillId="49" borderId="149" xfId="0" applyNumberFormat="1" applyFont="1" applyFill="1" applyBorder="1" applyAlignment="1">
      <alignment vertical="center"/>
    </xf>
    <xf numFmtId="1" fontId="5" fillId="98" borderId="20" xfId="0" quotePrefix="1" applyNumberFormat="1" applyFont="1" applyFill="1" applyBorder="1" applyAlignment="1">
      <alignment horizontal="right" vertical="top"/>
    </xf>
    <xf numFmtId="1" fontId="5" fillId="98" borderId="69" xfId="0" quotePrefix="1" applyNumberFormat="1" applyFont="1" applyFill="1" applyBorder="1" applyAlignment="1">
      <alignment horizontal="right" vertical="top"/>
    </xf>
    <xf numFmtId="0" fontId="5" fillId="0" borderId="0" xfId="3058" applyFont="1" applyFill="1"/>
    <xf numFmtId="0" fontId="64" fillId="0" borderId="196" xfId="0" applyNumberFormat="1" applyFont="1" applyFill="1" applyBorder="1" applyAlignment="1" applyProtection="1"/>
    <xf numFmtId="0" fontId="64" fillId="0" borderId="11" xfId="0" applyNumberFormat="1" applyFont="1" applyFill="1" applyBorder="1" applyAlignment="1" applyProtection="1"/>
    <xf numFmtId="0" fontId="138" fillId="99" borderId="0" xfId="0" applyNumberFormat="1" applyFont="1" applyFill="1" applyBorder="1" applyAlignment="1"/>
    <xf numFmtId="2" fontId="138" fillId="99" borderId="0" xfId="0" applyNumberFormat="1" applyFont="1" applyFill="1" applyBorder="1" applyAlignment="1"/>
    <xf numFmtId="0" fontId="138" fillId="0" borderId="0" xfId="0" applyNumberFormat="1" applyFont="1" applyBorder="1" applyAlignment="1"/>
    <xf numFmtId="2" fontId="138" fillId="0" borderId="0" xfId="0" applyNumberFormat="1" applyFont="1" applyBorder="1" applyAlignment="1"/>
    <xf numFmtId="0" fontId="68" fillId="26" borderId="16" xfId="3136" applyFont="1" applyFill="1" applyBorder="1" applyAlignment="1">
      <alignment horizontal="left" vertical="center" wrapText="1"/>
    </xf>
    <xf numFmtId="0" fontId="138" fillId="99" borderId="18" xfId="0" applyNumberFormat="1" applyFont="1" applyFill="1" applyBorder="1" applyAlignment="1"/>
    <xf numFmtId="0" fontId="138" fillId="0" borderId="18" xfId="0" applyNumberFormat="1" applyFont="1" applyBorder="1" applyAlignment="1"/>
    <xf numFmtId="0" fontId="138" fillId="0" borderId="17" xfId="0" applyNumberFormat="1" applyFont="1" applyBorder="1" applyAlignment="1"/>
    <xf numFmtId="1" fontId="68" fillId="53" borderId="27" xfId="3136" applyNumberFormat="1" applyFont="1" applyFill="1" applyBorder="1" applyAlignment="1">
      <alignment horizontal="center"/>
    </xf>
    <xf numFmtId="1" fontId="68" fillId="53" borderId="152" xfId="3136" applyNumberFormat="1" applyFont="1" applyFill="1" applyBorder="1" applyAlignment="1">
      <alignment horizontal="center"/>
    </xf>
    <xf numFmtId="0" fontId="64" fillId="46" borderId="151" xfId="3136" applyFont="1" applyFill="1" applyBorder="1"/>
    <xf numFmtId="0" fontId="64" fillId="46" borderId="179" xfId="3136" applyFont="1" applyFill="1" applyBorder="1" applyAlignment="1">
      <alignment horizontal="center"/>
    </xf>
    <xf numFmtId="0" fontId="64" fillId="46" borderId="20" xfId="3136" applyFont="1" applyFill="1" applyBorder="1" applyAlignment="1">
      <alignment horizontal="center"/>
    </xf>
    <xf numFmtId="0" fontId="64" fillId="46" borderId="69" xfId="3136" applyFont="1" applyFill="1" applyBorder="1" applyAlignment="1">
      <alignment horizontal="center"/>
    </xf>
    <xf numFmtId="2" fontId="138" fillId="99" borderId="68" xfId="0" applyNumberFormat="1" applyFont="1" applyFill="1" applyBorder="1" applyAlignment="1"/>
    <xf numFmtId="2" fontId="138" fillId="99" borderId="27" xfId="0" applyNumberFormat="1" applyFont="1" applyFill="1" applyBorder="1" applyAlignment="1"/>
    <xf numFmtId="0" fontId="138" fillId="99" borderId="27" xfId="0" applyNumberFormat="1" applyFont="1" applyFill="1" applyBorder="1" applyAlignment="1"/>
    <xf numFmtId="2" fontId="138" fillId="99" borderId="152" xfId="0" applyNumberFormat="1" applyFont="1" applyFill="1" applyBorder="1" applyAlignment="1"/>
    <xf numFmtId="2" fontId="138" fillId="0" borderId="102" xfId="0" applyNumberFormat="1" applyFont="1" applyBorder="1" applyAlignment="1"/>
    <xf numFmtId="2" fontId="138" fillId="0" borderId="154" xfId="0" applyNumberFormat="1" applyFont="1" applyBorder="1" applyAlignment="1"/>
    <xf numFmtId="2" fontId="138" fillId="99" borderId="102" xfId="0" applyNumberFormat="1" applyFont="1" applyFill="1" applyBorder="1" applyAlignment="1"/>
    <xf numFmtId="2" fontId="138" fillId="99" borderId="154" xfId="0" applyNumberFormat="1" applyFont="1" applyFill="1" applyBorder="1" applyAlignment="1"/>
    <xf numFmtId="2" fontId="138" fillId="0" borderId="35" xfId="0" applyNumberFormat="1" applyFont="1" applyBorder="1" applyAlignment="1"/>
    <xf numFmtId="2" fontId="138" fillId="0" borderId="11" xfId="0" applyNumberFormat="1" applyFont="1" applyBorder="1" applyAlignment="1"/>
    <xf numFmtId="0" fontId="138" fillId="0" borderId="11" xfId="0" applyNumberFormat="1" applyFont="1" applyBorder="1" applyAlignment="1"/>
    <xf numFmtId="2" fontId="138" fillId="0" borderId="153" xfId="0" applyNumberFormat="1" applyFont="1" applyBorder="1" applyAlignment="1"/>
    <xf numFmtId="0" fontId="168" fillId="100" borderId="0" xfId="0" applyFont="1" applyFill="1"/>
    <xf numFmtId="0" fontId="64" fillId="38" borderId="12" xfId="2108" applyFont="1" applyFill="1" applyBorder="1" applyAlignment="1">
      <alignment horizontal="left" vertical="center" wrapText="1"/>
    </xf>
    <xf numFmtId="0" fontId="64" fillId="46" borderId="0" xfId="3136" applyFont="1" applyFill="1" applyBorder="1" applyAlignment="1">
      <alignment horizontal="left"/>
    </xf>
    <xf numFmtId="0" fontId="138" fillId="0" borderId="0" xfId="0" applyNumberFormat="1" applyFont="1" applyBorder="1" applyAlignment="1">
      <alignment horizontal="left"/>
    </xf>
    <xf numFmtId="0" fontId="138" fillId="99" borderId="0" xfId="0" applyNumberFormat="1" applyFont="1" applyFill="1" applyBorder="1" applyAlignment="1">
      <alignment horizontal="left"/>
    </xf>
    <xf numFmtId="2" fontId="138" fillId="0" borderId="0" xfId="0" applyNumberFormat="1" applyFont="1" applyBorder="1" applyAlignment="1">
      <alignment horizontal="left"/>
    </xf>
    <xf numFmtId="0" fontId="63" fillId="45" borderId="14" xfId="0" applyFont="1" applyFill="1" applyBorder="1" applyAlignment="1">
      <alignment horizontal="center" vertical="center" wrapText="1"/>
    </xf>
    <xf numFmtId="0" fontId="64" fillId="0" borderId="0" xfId="0" applyFont="1" applyAlignment="1">
      <alignment horizontal="center" vertical="center" wrapText="1"/>
    </xf>
    <xf numFmtId="0" fontId="161" fillId="91" borderId="122" xfId="0" quotePrefix="1" applyFont="1" applyFill="1" applyBorder="1" applyAlignment="1">
      <alignment horizontal="center"/>
    </xf>
    <xf numFmtId="1" fontId="5" fillId="92" borderId="187" xfId="3058" applyNumberFormat="1" applyFont="1" applyFill="1" applyBorder="1" applyAlignment="1"/>
    <xf numFmtId="1" fontId="5" fillId="94" borderId="187" xfId="3058" applyNumberFormat="1" applyFont="1" applyFill="1" applyBorder="1" applyAlignment="1"/>
    <xf numFmtId="1" fontId="70" fillId="94" borderId="187" xfId="3058" applyNumberFormat="1" applyFont="1" applyFill="1" applyBorder="1" applyAlignment="1"/>
    <xf numFmtId="0" fontId="13" fillId="101" borderId="0" xfId="3058" applyFill="1"/>
    <xf numFmtId="0" fontId="68" fillId="101" borderId="0" xfId="3058" applyFont="1" applyFill="1"/>
    <xf numFmtId="2" fontId="13" fillId="101" borderId="0" xfId="3058" applyNumberFormat="1" applyFill="1"/>
    <xf numFmtId="0" fontId="13" fillId="102" borderId="0" xfId="3058" applyFill="1"/>
    <xf numFmtId="168" fontId="5" fillId="49" borderId="127" xfId="0" applyNumberFormat="1" applyFont="1" applyFill="1" applyBorder="1" applyAlignment="1">
      <alignment vertical="center"/>
    </xf>
    <xf numFmtId="168" fontId="5" fillId="49" borderId="123" xfId="0" applyNumberFormat="1" applyFont="1" applyFill="1" applyBorder="1" applyAlignment="1">
      <alignment vertical="center"/>
    </xf>
    <xf numFmtId="168" fontId="5" fillId="98" borderId="9" xfId="0" quotePrefix="1" applyNumberFormat="1" applyFont="1" applyFill="1" applyBorder="1" applyAlignment="1">
      <alignment horizontal="right" vertical="top"/>
    </xf>
    <xf numFmtId="168" fontId="5" fillId="98" borderId="149" xfId="0" quotePrefix="1" applyNumberFormat="1" applyFont="1" applyFill="1" applyBorder="1" applyAlignment="1">
      <alignment horizontal="right" vertical="top"/>
    </xf>
    <xf numFmtId="168" fontId="5" fillId="49" borderId="9" xfId="0" applyNumberFormat="1" applyFont="1" applyFill="1" applyBorder="1" applyAlignment="1">
      <alignment vertical="center"/>
    </xf>
    <xf numFmtId="168" fontId="5" fillId="49" borderId="149" xfId="0" applyNumberFormat="1" applyFont="1" applyFill="1" applyBorder="1" applyAlignment="1">
      <alignment vertical="center"/>
    </xf>
    <xf numFmtId="192" fontId="5" fillId="49" borderId="127" xfId="0" applyNumberFormat="1" applyFont="1" applyFill="1" applyBorder="1" applyAlignment="1">
      <alignment vertical="center"/>
    </xf>
    <xf numFmtId="192" fontId="5" fillId="49" borderId="123" xfId="0" applyNumberFormat="1" applyFont="1" applyFill="1" applyBorder="1" applyAlignment="1">
      <alignment vertical="center"/>
    </xf>
    <xf numFmtId="192" fontId="5" fillId="98" borderId="9" xfId="0" quotePrefix="1" applyNumberFormat="1" applyFont="1" applyFill="1" applyBorder="1" applyAlignment="1">
      <alignment horizontal="right" vertical="top"/>
    </xf>
    <xf numFmtId="192" fontId="5" fillId="98" borderId="149" xfId="0" quotePrefix="1" applyNumberFormat="1" applyFont="1" applyFill="1" applyBorder="1" applyAlignment="1">
      <alignment horizontal="right" vertical="top"/>
    </xf>
    <xf numFmtId="192" fontId="5" fillId="49" borderId="9" xfId="0" applyNumberFormat="1" applyFont="1" applyFill="1" applyBorder="1" applyAlignment="1">
      <alignment vertical="center"/>
    </xf>
    <xf numFmtId="192" fontId="5" fillId="49" borderId="149" xfId="0" applyNumberFormat="1" applyFont="1" applyFill="1" applyBorder="1" applyAlignment="1">
      <alignment vertical="center"/>
    </xf>
    <xf numFmtId="0" fontId="5" fillId="101" borderId="0" xfId="3058" applyFont="1" applyFill="1"/>
    <xf numFmtId="9" fontId="5" fillId="101" borderId="0" xfId="2866" applyFont="1" applyFill="1"/>
    <xf numFmtId="169" fontId="5" fillId="101" borderId="0" xfId="3058" applyNumberFormat="1" applyFont="1" applyFill="1"/>
    <xf numFmtId="0" fontId="13" fillId="37" borderId="0" xfId="3058" applyFill="1"/>
    <xf numFmtId="0" fontId="68" fillId="37" borderId="0" xfId="3058" applyFont="1" applyFill="1"/>
    <xf numFmtId="0" fontId="5" fillId="37" borderId="0" xfId="3058" applyFont="1" applyFill="1"/>
    <xf numFmtId="9" fontId="5" fillId="37" borderId="0" xfId="2866" applyFont="1" applyFill="1"/>
    <xf numFmtId="169" fontId="5" fillId="37" borderId="0" xfId="3058" applyNumberFormat="1" applyFont="1" applyFill="1"/>
    <xf numFmtId="0" fontId="4" fillId="0" borderId="0" xfId="3058" applyFont="1"/>
    <xf numFmtId="0" fontId="4" fillId="101" borderId="0" xfId="3058" applyFont="1" applyFill="1"/>
    <xf numFmtId="0" fontId="5" fillId="101" borderId="0" xfId="3058" quotePrefix="1" applyFont="1" applyFill="1"/>
    <xf numFmtId="0" fontId="4" fillId="37" borderId="0" xfId="3058" applyFont="1" applyFill="1"/>
    <xf numFmtId="0" fontId="5" fillId="37" borderId="0" xfId="3058" quotePrefix="1" applyFont="1" applyFill="1"/>
    <xf numFmtId="1" fontId="68" fillId="94" borderId="187" xfId="3058" applyNumberFormat="1" applyFont="1" applyFill="1" applyBorder="1" applyAlignment="1"/>
    <xf numFmtId="1" fontId="70" fillId="92" borderId="187" xfId="3058" applyNumberFormat="1" applyFont="1" applyFill="1" applyBorder="1" applyAlignment="1"/>
    <xf numFmtId="0" fontId="161" fillId="91" borderId="185" xfId="0" quotePrefix="1" applyFont="1" applyFill="1" applyBorder="1" applyAlignment="1">
      <alignment horizontal="center" wrapText="1"/>
    </xf>
    <xf numFmtId="0" fontId="161" fillId="91" borderId="186" xfId="0" quotePrefix="1" applyFont="1" applyFill="1" applyBorder="1" applyAlignment="1">
      <alignment horizontal="center" wrapText="1"/>
    </xf>
    <xf numFmtId="0" fontId="165" fillId="44" borderId="150" xfId="0" applyFont="1" applyFill="1" applyBorder="1" applyAlignment="1">
      <alignment vertical="center" wrapText="1"/>
    </xf>
    <xf numFmtId="0" fontId="165" fillId="44" borderId="116" xfId="0" applyFont="1" applyFill="1" applyBorder="1" applyAlignment="1">
      <alignment vertical="center" wrapText="1"/>
    </xf>
    <xf numFmtId="167" fontId="60" fillId="46" borderId="0" xfId="3058" applyNumberFormat="1" applyFont="1" applyFill="1"/>
    <xf numFmtId="1" fontId="68" fillId="92" borderId="187" xfId="3058" applyNumberFormat="1" applyFont="1" applyFill="1" applyBorder="1" applyAlignment="1"/>
    <xf numFmtId="0" fontId="161" fillId="91" borderId="122" xfId="0" quotePrefix="1" applyFont="1" applyFill="1" applyBorder="1" applyAlignment="1">
      <alignment horizontal="center"/>
    </xf>
    <xf numFmtId="0" fontId="3" fillId="37" borderId="0" xfId="46464" applyFont="1" applyFill="1" applyAlignment="1">
      <alignment vertical="center"/>
    </xf>
    <xf numFmtId="0" fontId="3" fillId="39" borderId="26" xfId="46465" applyFont="1" applyFill="1" applyBorder="1"/>
    <xf numFmtId="2" fontId="13" fillId="37" borderId="0" xfId="3058" applyNumberFormat="1" applyFill="1"/>
    <xf numFmtId="2" fontId="13" fillId="102" borderId="0" xfId="3058" applyNumberFormat="1" applyFill="1"/>
    <xf numFmtId="0" fontId="3" fillId="0" borderId="156" xfId="46465" applyFont="1" applyBorder="1" applyAlignment="1">
      <alignment horizontal="left"/>
    </xf>
    <xf numFmtId="0" fontId="3" fillId="0" borderId="0" xfId="46465" applyFont="1"/>
    <xf numFmtId="0" fontId="161" fillId="91" borderId="199" xfId="0" quotePrefix="1" applyFont="1" applyFill="1" applyBorder="1" applyAlignment="1">
      <alignment horizontal="center" wrapText="1"/>
    </xf>
    <xf numFmtId="1" fontId="5" fillId="94" borderId="200" xfId="3058" applyNumberFormat="1" applyFont="1" applyFill="1" applyBorder="1" applyAlignment="1"/>
    <xf numFmtId="1" fontId="68" fillId="92" borderId="200" xfId="3058" applyNumberFormat="1" applyFont="1" applyFill="1" applyBorder="1" applyAlignment="1"/>
    <xf numFmtId="1" fontId="70" fillId="94" borderId="200" xfId="3058" applyNumberFormat="1" applyFont="1" applyFill="1" applyBorder="1" applyAlignment="1"/>
    <xf numFmtId="0" fontId="161" fillId="91" borderId="173" xfId="0" quotePrefix="1" applyFont="1" applyFill="1" applyBorder="1" applyAlignment="1">
      <alignment horizontal="center"/>
    </xf>
    <xf numFmtId="0" fontId="161" fillId="91" borderId="201" xfId="0" quotePrefix="1" applyFont="1" applyFill="1" applyBorder="1" applyAlignment="1">
      <alignment horizontal="center" wrapText="1"/>
    </xf>
    <xf numFmtId="0" fontId="5" fillId="94" borderId="197" xfId="3058" applyNumberFormat="1" applyFont="1" applyFill="1" applyBorder="1" applyAlignment="1"/>
    <xf numFmtId="0" fontId="5" fillId="94" borderId="198" xfId="3058" applyNumberFormat="1" applyFont="1" applyFill="1" applyBorder="1" applyAlignment="1"/>
    <xf numFmtId="3" fontId="5" fillId="92" borderId="197" xfId="3058" applyNumberFormat="1" applyFont="1" applyFill="1" applyBorder="1" applyAlignment="1"/>
    <xf numFmtId="0" fontId="5" fillId="92" borderId="198" xfId="3058" applyNumberFormat="1" applyFont="1" applyFill="1" applyBorder="1" applyAlignment="1"/>
    <xf numFmtId="3" fontId="5" fillId="94" borderId="197" xfId="3058" applyNumberFormat="1" applyFont="1" applyFill="1" applyBorder="1" applyAlignment="1"/>
    <xf numFmtId="0" fontId="5" fillId="92" borderId="197" xfId="3058" applyNumberFormat="1" applyFont="1" applyFill="1" applyBorder="1" applyAlignment="1"/>
    <xf numFmtId="0" fontId="5" fillId="92" borderId="202" xfId="3058" applyNumberFormat="1" applyFont="1" applyFill="1" applyBorder="1" applyAlignment="1"/>
    <xf numFmtId="0" fontId="5" fillId="92" borderId="203" xfId="3058" applyNumberFormat="1" applyFont="1" applyFill="1" applyBorder="1" applyAlignment="1"/>
    <xf numFmtId="0" fontId="3" fillId="94" borderId="187" xfId="3058" applyNumberFormat="1" applyFont="1" applyFill="1" applyBorder="1" applyAlignment="1"/>
    <xf numFmtId="0" fontId="3" fillId="92" borderId="187" xfId="3058" applyNumberFormat="1" applyFont="1" applyFill="1" applyBorder="1" applyAlignment="1"/>
    <xf numFmtId="0" fontId="5" fillId="94" borderId="204" xfId="3058" applyNumberFormat="1" applyFont="1" applyFill="1" applyBorder="1" applyAlignment="1"/>
    <xf numFmtId="0" fontId="5" fillId="94" borderId="205" xfId="3058" applyNumberFormat="1" applyFont="1" applyFill="1" applyBorder="1" applyAlignment="1"/>
    <xf numFmtId="0" fontId="5" fillId="92" borderId="207" xfId="3058" applyNumberFormat="1" applyFont="1" applyFill="1" applyBorder="1" applyAlignment="1"/>
    <xf numFmtId="0" fontId="5" fillId="92" borderId="208" xfId="3058" applyNumberFormat="1" applyFont="1" applyFill="1" applyBorder="1" applyAlignment="1"/>
    <xf numFmtId="0" fontId="5" fillId="94" borderId="102" xfId="3058" applyNumberFormat="1" applyFont="1" applyFill="1" applyBorder="1" applyAlignment="1"/>
    <xf numFmtId="0" fontId="5" fillId="94" borderId="154" xfId="3058" applyNumberFormat="1" applyFont="1" applyFill="1" applyBorder="1" applyAlignment="1"/>
    <xf numFmtId="0" fontId="5" fillId="92" borderId="102" xfId="3058" applyNumberFormat="1" applyFont="1" applyFill="1" applyBorder="1" applyAlignment="1"/>
    <xf numFmtId="0" fontId="5" fillId="92" borderId="154" xfId="3058" applyNumberFormat="1" applyFont="1" applyFill="1" applyBorder="1" applyAlignment="1"/>
    <xf numFmtId="0" fontId="5" fillId="92" borderId="209" xfId="3058" applyNumberFormat="1" applyFont="1" applyFill="1" applyBorder="1" applyAlignment="1"/>
    <xf numFmtId="0" fontId="5" fillId="92" borderId="210" xfId="3058" applyNumberFormat="1" applyFont="1" applyFill="1" applyBorder="1" applyAlignment="1"/>
    <xf numFmtId="169" fontId="68" fillId="101" borderId="0" xfId="3058" applyNumberFormat="1" applyFont="1" applyFill="1"/>
    <xf numFmtId="169" fontId="68" fillId="0" borderId="0" xfId="3058" applyNumberFormat="1" applyFont="1"/>
    <xf numFmtId="2" fontId="68" fillId="101" borderId="0" xfId="3058" applyNumberFormat="1" applyFont="1" applyFill="1"/>
    <xf numFmtId="2" fontId="68" fillId="0" borderId="0" xfId="3058" applyNumberFormat="1" applyFont="1"/>
    <xf numFmtId="0" fontId="157" fillId="91" borderId="206" xfId="0" applyFont="1" applyFill="1" applyBorder="1"/>
    <xf numFmtId="0" fontId="5" fillId="94" borderId="68" xfId="3058" applyNumberFormat="1" applyFont="1" applyFill="1" applyBorder="1" applyAlignment="1"/>
    <xf numFmtId="0" fontId="5" fillId="94" borderId="152" xfId="3058" applyNumberFormat="1" applyFont="1" applyFill="1" applyBorder="1" applyAlignment="1"/>
    <xf numFmtId="0" fontId="5" fillId="94" borderId="35" xfId="3058" applyNumberFormat="1" applyFont="1" applyFill="1" applyBorder="1" applyAlignment="1"/>
    <xf numFmtId="0" fontId="5" fillId="94" borderId="153" xfId="3058" applyNumberFormat="1" applyFont="1" applyFill="1" applyBorder="1" applyAlignment="1"/>
    <xf numFmtId="0" fontId="2" fillId="94" borderId="187" xfId="3058" applyNumberFormat="1" applyFont="1" applyFill="1" applyBorder="1" applyAlignment="1"/>
    <xf numFmtId="0" fontId="2" fillId="92" borderId="187" xfId="3058" applyNumberFormat="1" applyFont="1" applyFill="1" applyBorder="1" applyAlignment="1"/>
    <xf numFmtId="0" fontId="5" fillId="92" borderId="35" xfId="3058" applyNumberFormat="1" applyFont="1" applyFill="1" applyBorder="1" applyAlignment="1"/>
    <xf numFmtId="0" fontId="5" fillId="92" borderId="153" xfId="3058" applyNumberFormat="1" applyFont="1" applyFill="1" applyBorder="1" applyAlignment="1"/>
    <xf numFmtId="192" fontId="5" fillId="49" borderId="0" xfId="0" applyNumberFormat="1" applyFont="1" applyFill="1" applyBorder="1" applyAlignment="1">
      <alignment vertical="center"/>
    </xf>
    <xf numFmtId="3" fontId="5" fillId="94" borderId="102" xfId="3058" applyNumberFormat="1" applyFont="1" applyFill="1" applyBorder="1" applyAlignment="1"/>
    <xf numFmtId="1" fontId="2" fillId="92" borderId="187" xfId="3058" applyNumberFormat="1" applyFont="1" applyFill="1" applyBorder="1" applyAlignment="1"/>
    <xf numFmtId="167" fontId="5" fillId="101" borderId="0" xfId="2866" applyNumberFormat="1" applyFont="1" applyFill="1"/>
    <xf numFmtId="167" fontId="5" fillId="37" borderId="0" xfId="2866" applyNumberFormat="1" applyFont="1" applyFill="1"/>
    <xf numFmtId="3" fontId="70" fillId="94" borderId="197" xfId="3058" applyNumberFormat="1" applyFont="1" applyFill="1" applyBorder="1" applyAlignment="1"/>
    <xf numFmtId="0" fontId="70" fillId="94" borderId="198" xfId="3058" applyNumberFormat="1" applyFont="1" applyFill="1" applyBorder="1" applyAlignment="1"/>
    <xf numFmtId="0" fontId="161" fillId="91" borderId="122" xfId="0" quotePrefix="1" applyFont="1" applyFill="1" applyBorder="1" applyAlignment="1">
      <alignment horizontal="center"/>
    </xf>
    <xf numFmtId="0" fontId="5" fillId="94" borderId="207" xfId="3058" applyNumberFormat="1" applyFont="1" applyFill="1" applyBorder="1" applyAlignment="1"/>
    <xf numFmtId="0" fontId="5" fillId="94" borderId="208" xfId="3058" applyNumberFormat="1" applyFont="1" applyFill="1" applyBorder="1" applyAlignment="1"/>
    <xf numFmtId="0" fontId="5" fillId="92" borderId="211" xfId="3058" applyNumberFormat="1" applyFont="1" applyFill="1" applyBorder="1" applyAlignment="1"/>
    <xf numFmtId="0" fontId="5" fillId="92" borderId="212" xfId="3058" applyNumberFormat="1" applyFont="1" applyFill="1" applyBorder="1" applyAlignment="1"/>
    <xf numFmtId="0" fontId="70" fillId="92" borderId="102" xfId="3058" applyNumberFormat="1" applyFont="1" applyFill="1" applyBorder="1" applyAlignment="1"/>
    <xf numFmtId="0" fontId="70" fillId="92" borderId="154" xfId="3058" applyNumberFormat="1" applyFont="1" applyFill="1" applyBorder="1" applyAlignment="1"/>
    <xf numFmtId="0" fontId="73" fillId="26" borderId="115" xfId="0" applyNumberFormat="1" applyFont="1" applyFill="1" applyBorder="1" applyAlignment="1" applyProtection="1">
      <alignment horizontal="center"/>
      <protection locked="0"/>
    </xf>
    <xf numFmtId="0" fontId="73" fillId="26" borderId="155" xfId="0" applyNumberFormat="1" applyFont="1" applyFill="1" applyBorder="1" applyAlignment="1" applyProtection="1">
      <alignment horizontal="center"/>
      <protection locked="0"/>
    </xf>
    <xf numFmtId="0" fontId="138" fillId="37" borderId="0" xfId="46464" applyFont="1" applyFill="1" applyAlignment="1">
      <alignment horizontal="left" vertical="center"/>
    </xf>
    <xf numFmtId="0" fontId="149" fillId="37" borderId="0" xfId="23428" applyFont="1" applyFill="1" applyBorder="1" applyAlignment="1">
      <alignment horizontal="center" vertical="center"/>
    </xf>
    <xf numFmtId="0" fontId="63" fillId="37" borderId="0" xfId="23428" applyFont="1" applyFill="1" applyBorder="1" applyAlignment="1">
      <alignment vertical="center"/>
    </xf>
    <xf numFmtId="0" fontId="68" fillId="37" borderId="0" xfId="23428" applyFont="1" applyFill="1" applyBorder="1" applyAlignment="1">
      <alignment vertical="center"/>
    </xf>
    <xf numFmtId="0" fontId="64" fillId="0" borderId="0" xfId="0" applyFont="1" applyFill="1" applyAlignment="1">
      <alignment horizontal="left"/>
    </xf>
    <xf numFmtId="166" fontId="16" fillId="45" borderId="28" xfId="0" applyNumberFormat="1" applyFont="1" applyFill="1" applyBorder="1" applyAlignment="1">
      <alignment horizontal="center" vertical="center"/>
    </xf>
    <xf numFmtId="166" fontId="16" fillId="45" borderId="14" xfId="0" applyNumberFormat="1" applyFont="1" applyFill="1" applyBorder="1" applyAlignment="1">
      <alignment horizontal="center" vertical="center"/>
    </xf>
    <xf numFmtId="166" fontId="16" fillId="45" borderId="24" xfId="0" applyNumberFormat="1" applyFont="1" applyFill="1" applyBorder="1" applyAlignment="1">
      <alignment horizontal="center" vertical="center"/>
    </xf>
    <xf numFmtId="166" fontId="16" fillId="45" borderId="21" xfId="0" applyNumberFormat="1" applyFont="1" applyFill="1" applyBorder="1" applyAlignment="1">
      <alignment horizontal="center" vertical="center"/>
    </xf>
    <xf numFmtId="166" fontId="16" fillId="45" borderId="0" xfId="0" applyNumberFormat="1" applyFont="1" applyFill="1" applyBorder="1" applyAlignment="1">
      <alignment horizontal="center" vertical="center"/>
    </xf>
    <xf numFmtId="0" fontId="73" fillId="26" borderId="122" xfId="0" applyNumberFormat="1" applyFont="1" applyFill="1" applyBorder="1" applyAlignment="1" applyProtection="1">
      <alignment horizontal="center"/>
      <protection locked="0"/>
    </xf>
    <xf numFmtId="0" fontId="73" fillId="26" borderId="115" xfId="0" applyNumberFormat="1" applyFont="1" applyFill="1" applyBorder="1" applyAlignment="1" applyProtection="1">
      <alignment horizontal="center"/>
      <protection locked="0"/>
    </xf>
    <xf numFmtId="0" fontId="73" fillId="26" borderId="155" xfId="0" applyNumberFormat="1" applyFont="1" applyFill="1" applyBorder="1" applyAlignment="1" applyProtection="1">
      <alignment horizontal="center"/>
      <protection locked="0"/>
    </xf>
    <xf numFmtId="0" fontId="73" fillId="26" borderId="152" xfId="0" applyNumberFormat="1" applyFont="1" applyFill="1" applyBorder="1" applyAlignment="1" applyProtection="1">
      <alignment horizontal="center"/>
      <protection locked="0"/>
    </xf>
    <xf numFmtId="0" fontId="73" fillId="26" borderId="192" xfId="0" applyNumberFormat="1" applyFont="1" applyFill="1" applyBorder="1" applyAlignment="1" applyProtection="1">
      <alignment horizontal="center"/>
      <protection locked="0"/>
    </xf>
    <xf numFmtId="0" fontId="73" fillId="26" borderId="115" xfId="0" applyNumberFormat="1" applyFont="1" applyFill="1" applyBorder="1" applyAlignment="1" applyProtection="1">
      <alignment horizontal="center" vertical="center" wrapText="1"/>
      <protection locked="0"/>
    </xf>
    <xf numFmtId="0" fontId="73" fillId="26" borderId="155" xfId="0" applyNumberFormat="1" applyFont="1" applyFill="1" applyBorder="1" applyAlignment="1" applyProtection="1">
      <alignment horizontal="center" vertical="center" wrapText="1"/>
      <protection locked="0"/>
    </xf>
    <xf numFmtId="0" fontId="73" fillId="26" borderId="16" xfId="0" applyNumberFormat="1" applyFont="1" applyFill="1" applyBorder="1" applyAlignment="1" applyProtection="1">
      <alignment horizontal="center" vertical="center" wrapText="1"/>
      <protection locked="0"/>
    </xf>
    <xf numFmtId="0" fontId="73" fillId="26" borderId="17" xfId="0" applyNumberFormat="1" applyFont="1" applyFill="1" applyBorder="1" applyAlignment="1" applyProtection="1">
      <alignment horizontal="center" vertical="center" wrapText="1"/>
      <protection locked="0"/>
    </xf>
    <xf numFmtId="0" fontId="165" fillId="42" borderId="122" xfId="0" applyFont="1" applyFill="1" applyBorder="1" applyAlignment="1">
      <alignment horizontal="center" vertical="center"/>
    </xf>
    <xf numFmtId="0" fontId="165" fillId="42" borderId="115" xfId="0" applyFont="1" applyFill="1" applyBorder="1" applyAlignment="1">
      <alignment horizontal="center" vertical="center"/>
    </xf>
    <xf numFmtId="0" fontId="165" fillId="42" borderId="155" xfId="0" applyFont="1" applyFill="1" applyBorder="1" applyAlignment="1">
      <alignment horizontal="center" vertical="center"/>
    </xf>
    <xf numFmtId="0" fontId="165" fillId="42" borderId="35" xfId="0" applyFont="1" applyFill="1" applyBorder="1" applyAlignment="1">
      <alignment horizontal="center" vertical="center"/>
    </xf>
    <xf numFmtId="0" fontId="165" fillId="42" borderId="11" xfId="0" applyFont="1" applyFill="1" applyBorder="1" applyAlignment="1">
      <alignment horizontal="center" vertical="center"/>
    </xf>
    <xf numFmtId="0" fontId="157" fillId="93" borderId="122" xfId="0" applyFont="1" applyFill="1" applyBorder="1" applyAlignment="1">
      <alignment horizontal="center"/>
    </xf>
    <xf numFmtId="0" fontId="157" fillId="93" borderId="115" xfId="0" applyFont="1" applyFill="1" applyBorder="1" applyAlignment="1">
      <alignment horizontal="center"/>
    </xf>
    <xf numFmtId="0" fontId="157" fillId="93" borderId="155" xfId="0" applyFont="1" applyFill="1" applyBorder="1" applyAlignment="1">
      <alignment horizontal="center"/>
    </xf>
    <xf numFmtId="0" fontId="61" fillId="93" borderId="0" xfId="3058" applyFont="1" applyFill="1" applyAlignment="1">
      <alignment horizontal="center"/>
    </xf>
    <xf numFmtId="0" fontId="61" fillId="93" borderId="154" xfId="3058" applyFont="1" applyFill="1" applyBorder="1" applyAlignment="1">
      <alignment horizontal="center"/>
    </xf>
    <xf numFmtId="0" fontId="60" fillId="44" borderId="122" xfId="0" applyFont="1" applyFill="1" applyBorder="1" applyAlignment="1">
      <alignment horizontal="center" vertical="center"/>
    </xf>
    <xf numFmtId="0" fontId="60" fillId="44" borderId="115" xfId="0" applyFont="1" applyFill="1" applyBorder="1" applyAlignment="1">
      <alignment horizontal="center" vertical="center"/>
    </xf>
    <xf numFmtId="0" fontId="60" fillId="44" borderId="155" xfId="0" applyFont="1" applyFill="1" applyBorder="1" applyAlignment="1">
      <alignment horizontal="center" vertical="center"/>
    </xf>
    <xf numFmtId="0" fontId="161" fillId="93" borderId="68" xfId="0" quotePrefix="1" applyFont="1" applyFill="1" applyBorder="1" applyAlignment="1">
      <alignment horizontal="center" vertical="center"/>
    </xf>
    <xf numFmtId="0" fontId="161" fillId="93" borderId="27" xfId="0" quotePrefix="1" applyFont="1" applyFill="1" applyBorder="1" applyAlignment="1">
      <alignment horizontal="center" vertical="center"/>
    </xf>
    <xf numFmtId="0" fontId="161" fillId="93" borderId="152" xfId="0" quotePrefix="1" applyFont="1" applyFill="1" applyBorder="1" applyAlignment="1">
      <alignment horizontal="center" vertical="center"/>
    </xf>
    <xf numFmtId="0" fontId="161" fillId="91" borderId="122" xfId="0" quotePrefix="1" applyFont="1" applyFill="1" applyBorder="1" applyAlignment="1">
      <alignment horizontal="center"/>
    </xf>
    <xf numFmtId="0" fontId="161" fillId="91" borderId="115" xfId="0" quotePrefix="1" applyFont="1" applyFill="1" applyBorder="1" applyAlignment="1">
      <alignment horizontal="center"/>
    </xf>
    <xf numFmtId="0" fontId="161" fillId="91" borderId="27" xfId="0" quotePrefix="1" applyFont="1" applyFill="1" applyBorder="1" applyAlignment="1">
      <alignment horizontal="center"/>
    </xf>
    <xf numFmtId="0" fontId="161" fillId="91" borderId="152" xfId="0" quotePrefix="1" applyFont="1" applyFill="1" applyBorder="1" applyAlignment="1">
      <alignment horizontal="center"/>
    </xf>
    <xf numFmtId="0" fontId="161" fillId="91" borderId="155" xfId="0" quotePrefix="1" applyFont="1" applyFill="1" applyBorder="1" applyAlignment="1">
      <alignment horizontal="center"/>
    </xf>
    <xf numFmtId="0" fontId="161" fillId="91" borderId="188" xfId="0" quotePrefix="1" applyFont="1" applyFill="1" applyBorder="1" applyAlignment="1">
      <alignment horizontal="center"/>
    </xf>
    <xf numFmtId="0" fontId="161" fillId="91" borderId="0" xfId="0" quotePrefix="1" applyFont="1" applyFill="1" applyBorder="1" applyAlignment="1">
      <alignment horizontal="center"/>
    </xf>
    <xf numFmtId="0" fontId="161" fillId="91" borderId="154" xfId="0" quotePrefix="1" applyFont="1" applyFill="1" applyBorder="1" applyAlignment="1">
      <alignment horizontal="center"/>
    </xf>
    <xf numFmtId="0" fontId="139" fillId="51" borderId="0" xfId="0" applyFont="1" applyFill="1" applyAlignment="1">
      <alignment horizontal="center" vertical="center"/>
    </xf>
    <xf numFmtId="0" fontId="1" fillId="94" borderId="187" xfId="3058" applyNumberFormat="1" applyFont="1" applyFill="1" applyBorder="1" applyAlignment="1"/>
    <xf numFmtId="1" fontId="1" fillId="94" borderId="187" xfId="3058" applyNumberFormat="1" applyFont="1" applyFill="1" applyBorder="1" applyAlignment="1"/>
    <xf numFmtId="1" fontId="1" fillId="92" borderId="187" xfId="3058" applyNumberFormat="1" applyFont="1" applyFill="1" applyBorder="1" applyAlignment="1"/>
    <xf numFmtId="0" fontId="1" fillId="94" borderId="213" xfId="3058" applyNumberFormat="1" applyFont="1" applyFill="1" applyBorder="1" applyAlignment="1"/>
    <xf numFmtId="0" fontId="70" fillId="92" borderId="197" xfId="3058" applyNumberFormat="1" applyFont="1" applyFill="1" applyBorder="1" applyAlignment="1"/>
    <xf numFmtId="0" fontId="70" fillId="92" borderId="198" xfId="3058" applyNumberFormat="1" applyFont="1" applyFill="1" applyBorder="1" applyAlignment="1"/>
    <xf numFmtId="0" fontId="5" fillId="94" borderId="202" xfId="3058" applyNumberFormat="1" applyFont="1" applyFill="1" applyBorder="1" applyAlignment="1"/>
    <xf numFmtId="0" fontId="5" fillId="94" borderId="203" xfId="3058" applyNumberFormat="1" applyFont="1" applyFill="1" applyBorder="1" applyAlignment="1"/>
    <xf numFmtId="0" fontId="73" fillId="26" borderId="122" xfId="0" applyNumberFormat="1" applyFont="1" applyFill="1" applyBorder="1" applyAlignment="1" applyProtection="1">
      <protection locked="0"/>
    </xf>
    <xf numFmtId="0" fontId="64" fillId="26" borderId="129" xfId="0" applyNumberFormat="1" applyFont="1" applyFill="1" applyBorder="1" applyAlignment="1" applyProtection="1">
      <alignment horizontal="left" vertical="center" wrapText="1"/>
      <protection locked="0"/>
    </xf>
    <xf numFmtId="0" fontId="64" fillId="26" borderId="123" xfId="0" applyNumberFormat="1" applyFont="1" applyFill="1" applyBorder="1" applyAlignment="1" applyProtection="1">
      <alignment horizontal="left" vertical="center" wrapText="1"/>
      <protection locked="0"/>
    </xf>
    <xf numFmtId="0" fontId="138" fillId="0" borderId="149" xfId="0" applyNumberFormat="1" applyFont="1" applyBorder="1" applyAlignment="1"/>
    <xf numFmtId="0" fontId="64" fillId="26" borderId="149" xfId="0" applyNumberFormat="1" applyFont="1" applyFill="1" applyBorder="1" applyAlignment="1" applyProtection="1">
      <alignment horizontal="left" vertical="center" wrapText="1"/>
      <protection locked="0"/>
    </xf>
    <xf numFmtId="0" fontId="138" fillId="0" borderId="148" xfId="0" applyNumberFormat="1" applyFont="1" applyBorder="1" applyAlignment="1"/>
    <xf numFmtId="0" fontId="64" fillId="26" borderId="148" xfId="0" applyNumberFormat="1" applyFont="1" applyFill="1" applyBorder="1" applyAlignment="1" applyProtection="1">
      <alignment horizontal="left" vertical="center" wrapText="1"/>
      <protection locked="0"/>
    </xf>
    <xf numFmtId="0" fontId="73" fillId="26" borderId="15" xfId="0" applyNumberFormat="1" applyFont="1" applyFill="1" applyBorder="1" applyAlignment="1" applyProtection="1">
      <alignment horizontal="center"/>
      <protection locked="0"/>
    </xf>
    <xf numFmtId="0" fontId="73" fillId="26" borderId="115" xfId="0" applyNumberFormat="1" applyFont="1" applyFill="1" applyBorder="1" applyAlignment="1" applyProtection="1">
      <protection locked="0"/>
    </xf>
    <xf numFmtId="0" fontId="73" fillId="26" borderId="68" xfId="0" applyNumberFormat="1" applyFont="1" applyFill="1" applyBorder="1" applyAlignment="1" applyProtection="1">
      <alignment horizontal="center"/>
      <protection locked="0"/>
    </xf>
    <xf numFmtId="0" fontId="73" fillId="26" borderId="27" xfId="0" applyNumberFormat="1" applyFont="1" applyFill="1" applyBorder="1" applyAlignment="1" applyProtection="1">
      <alignment horizontal="center"/>
      <protection locked="0"/>
    </xf>
    <xf numFmtId="185" fontId="64" fillId="26" borderId="9" xfId="0" applyNumberFormat="1" applyFont="1" applyFill="1" applyBorder="1" applyAlignment="1" applyProtection="1">
      <alignment horizontal="left" vertical="center" wrapText="1"/>
      <protection locked="0"/>
    </xf>
    <xf numFmtId="185" fontId="138" fillId="0" borderId="9" xfId="0" applyNumberFormat="1" applyFont="1" applyBorder="1" applyAlignment="1">
      <alignment horizontal="left"/>
    </xf>
    <xf numFmtId="0" fontId="73" fillId="26" borderId="23" xfId="0" applyNumberFormat="1" applyFont="1" applyFill="1" applyBorder="1" applyAlignment="1" applyProtection="1">
      <alignment horizontal="center"/>
      <protection locked="0"/>
    </xf>
    <xf numFmtId="185" fontId="64" fillId="26" borderId="124" xfId="0" applyNumberFormat="1" applyFont="1" applyFill="1" applyBorder="1" applyAlignment="1" applyProtection="1">
      <alignment horizontal="left" vertical="center" wrapText="1"/>
      <protection locked="0"/>
    </xf>
    <xf numFmtId="185" fontId="64" fillId="26" borderId="127" xfId="0" applyNumberFormat="1" applyFont="1" applyFill="1" applyBorder="1" applyAlignment="1" applyProtection="1">
      <alignment horizontal="left" vertical="center" wrapText="1"/>
      <protection locked="0"/>
    </xf>
    <xf numFmtId="185" fontId="64" fillId="26" borderId="123" xfId="0" applyNumberFormat="1" applyFont="1" applyFill="1" applyBorder="1" applyAlignment="1" applyProtection="1">
      <alignment horizontal="left" vertical="center" wrapText="1"/>
      <protection locked="0"/>
    </xf>
    <xf numFmtId="185" fontId="138" fillId="0" borderId="145" xfId="0" applyNumberFormat="1" applyFont="1" applyBorder="1" applyAlignment="1">
      <alignment horizontal="left"/>
    </xf>
    <xf numFmtId="185" fontId="138" fillId="0" borderId="149" xfId="0" applyNumberFormat="1" applyFont="1" applyBorder="1" applyAlignment="1">
      <alignment horizontal="left"/>
    </xf>
    <xf numFmtId="185" fontId="64" fillId="26" borderId="145" xfId="0" applyNumberFormat="1" applyFont="1" applyFill="1" applyBorder="1" applyAlignment="1" applyProtection="1">
      <alignment horizontal="left" vertical="center" wrapText="1"/>
      <protection locked="0"/>
    </xf>
    <xf numFmtId="185" fontId="64" fillId="26" borderId="149" xfId="0" applyNumberFormat="1" applyFont="1" applyFill="1" applyBorder="1" applyAlignment="1" applyProtection="1">
      <alignment horizontal="left" vertical="center" wrapText="1"/>
      <protection locked="0"/>
    </xf>
    <xf numFmtId="185" fontId="64" fillId="26" borderId="70" xfId="0" applyNumberFormat="1" applyFont="1" applyFill="1" applyBorder="1" applyAlignment="1" applyProtection="1">
      <alignment horizontal="left" vertical="center" wrapText="1"/>
      <protection locked="0"/>
    </xf>
    <xf numFmtId="185" fontId="64" fillId="26" borderId="20" xfId="0" applyNumberFormat="1" applyFont="1" applyFill="1" applyBorder="1" applyAlignment="1" applyProtection="1">
      <alignment horizontal="left" vertical="center" wrapText="1"/>
      <protection locked="0"/>
    </xf>
    <xf numFmtId="4" fontId="67" fillId="102" borderId="0" xfId="0" applyNumberFormat="1" applyFont="1" applyFill="1" applyBorder="1" applyAlignment="1" applyProtection="1">
      <alignment horizontal="left"/>
      <protection locked="0"/>
    </xf>
    <xf numFmtId="0" fontId="73" fillId="26" borderId="105" xfId="0" applyNumberFormat="1" applyFont="1" applyFill="1" applyBorder="1" applyAlignment="1" applyProtection="1">
      <protection locked="0"/>
    </xf>
    <xf numFmtId="0" fontId="73" fillId="26" borderId="104" xfId="0" applyNumberFormat="1" applyFont="1" applyFill="1" applyBorder="1" applyAlignment="1" applyProtection="1">
      <alignment horizontal="center"/>
      <protection locked="0"/>
    </xf>
    <xf numFmtId="4" fontId="64" fillId="0" borderId="0" xfId="0" applyNumberFormat="1" applyFont="1"/>
    <xf numFmtId="4" fontId="138" fillId="0" borderId="145" xfId="0" applyNumberFormat="1" applyFont="1" applyBorder="1" applyAlignment="1">
      <alignment horizontal="left"/>
    </xf>
    <xf numFmtId="4" fontId="138" fillId="0" borderId="9" xfId="0" applyNumberFormat="1" applyFont="1" applyBorder="1" applyAlignment="1">
      <alignment horizontal="left"/>
    </xf>
    <xf numFmtId="4" fontId="138" fillId="0" borderId="149" xfId="0" applyNumberFormat="1" applyFont="1" applyBorder="1" applyAlignment="1">
      <alignment horizontal="left"/>
    </xf>
    <xf numFmtId="4" fontId="138" fillId="103" borderId="149" xfId="0" applyNumberFormat="1" applyFont="1" applyFill="1" applyBorder="1" applyAlignment="1">
      <alignment horizontal="left"/>
    </xf>
    <xf numFmtId="4" fontId="138" fillId="103" borderId="9" xfId="0" applyNumberFormat="1" applyFont="1" applyFill="1" applyBorder="1" applyAlignment="1">
      <alignment horizontal="left"/>
    </xf>
    <xf numFmtId="0" fontId="68" fillId="26" borderId="214" xfId="0" applyNumberFormat="1" applyFont="1" applyFill="1" applyBorder="1" applyAlignment="1" applyProtection="1">
      <alignment horizontal="left" vertical="center" wrapText="1"/>
      <protection locked="0"/>
    </xf>
    <xf numFmtId="0" fontId="1" fillId="0" borderId="148" xfId="0" applyNumberFormat="1" applyFont="1" applyBorder="1" applyAlignment="1"/>
    <xf numFmtId="0" fontId="68" fillId="26" borderId="148" xfId="0" applyNumberFormat="1" applyFont="1" applyFill="1" applyBorder="1" applyAlignment="1" applyProtection="1">
      <alignment horizontal="left" vertical="center" wrapText="1"/>
      <protection locked="0"/>
    </xf>
    <xf numFmtId="0" fontId="1" fillId="48" borderId="0" xfId="3058" applyFont="1" applyFill="1"/>
    <xf numFmtId="4" fontId="73" fillId="0" borderId="0" xfId="0" applyNumberFormat="1" applyFont="1"/>
    <xf numFmtId="0" fontId="64" fillId="100" borderId="129" xfId="0" applyNumberFormat="1" applyFont="1" applyFill="1" applyBorder="1" applyAlignment="1" applyProtection="1">
      <alignment horizontal="left" vertical="center" wrapText="1"/>
      <protection locked="0"/>
    </xf>
    <xf numFmtId="0" fontId="138" fillId="100" borderId="28" xfId="0" applyNumberFormat="1" applyFont="1" applyFill="1" applyBorder="1" applyAlignment="1"/>
    <xf numFmtId="0" fontId="64" fillId="100" borderId="28" xfId="0" applyNumberFormat="1" applyFont="1" applyFill="1" applyBorder="1" applyAlignment="1" applyProtection="1">
      <alignment horizontal="left" vertical="center" wrapText="1"/>
      <protection locked="0"/>
    </xf>
    <xf numFmtId="0" fontId="64" fillId="100" borderId="175" xfId="0" applyNumberFormat="1" applyFont="1" applyFill="1" applyBorder="1" applyAlignment="1" applyProtection="1">
      <alignment horizontal="left" vertical="center" wrapText="1"/>
      <protection locked="0"/>
    </xf>
    <xf numFmtId="185" fontId="64" fillId="26" borderId="129" xfId="0" applyNumberFormat="1" applyFont="1" applyFill="1" applyBorder="1" applyAlignment="1" applyProtection="1">
      <alignment horizontal="left" vertical="center" wrapText="1"/>
      <protection locked="0"/>
    </xf>
    <xf numFmtId="185" fontId="138" fillId="0" borderId="28" xfId="0" applyNumberFormat="1" applyFont="1" applyBorder="1" applyAlignment="1">
      <alignment horizontal="left"/>
    </xf>
    <xf numFmtId="185" fontId="64" fillId="26" borderId="28" xfId="0" applyNumberFormat="1" applyFont="1" applyFill="1" applyBorder="1" applyAlignment="1" applyProtection="1">
      <alignment horizontal="left" vertical="center" wrapText="1"/>
      <protection locked="0"/>
    </xf>
    <xf numFmtId="4" fontId="138" fillId="0" borderId="28" xfId="0" applyNumberFormat="1" applyFont="1" applyBorder="1" applyAlignment="1">
      <alignment horizontal="left"/>
    </xf>
    <xf numFmtId="185" fontId="64" fillId="26" borderId="175" xfId="0" applyNumberFormat="1" applyFont="1" applyFill="1" applyBorder="1" applyAlignment="1" applyProtection="1">
      <alignment horizontal="left" vertical="center" wrapText="1"/>
      <protection locked="0"/>
    </xf>
    <xf numFmtId="0" fontId="64" fillId="100" borderId="77" xfId="0" applyNumberFormat="1" applyFont="1" applyFill="1" applyBorder="1" applyAlignment="1" applyProtection="1">
      <alignment horizontal="left" vertical="center" wrapText="1"/>
      <protection locked="0"/>
    </xf>
    <xf numFmtId="0" fontId="64" fillId="100" borderId="123" xfId="0" applyNumberFormat="1" applyFont="1" applyFill="1" applyBorder="1" applyAlignment="1" applyProtection="1">
      <alignment horizontal="left" vertical="center" wrapText="1"/>
      <protection locked="0"/>
    </xf>
    <xf numFmtId="0" fontId="138" fillId="100" borderId="148" xfId="0" applyNumberFormat="1" applyFont="1" applyFill="1" applyBorder="1" applyAlignment="1"/>
    <xf numFmtId="0" fontId="138" fillId="100" borderId="149" xfId="0" applyNumberFormat="1" applyFont="1" applyFill="1" applyBorder="1" applyAlignment="1"/>
    <xf numFmtId="0" fontId="64" fillId="100" borderId="148" xfId="0" applyNumberFormat="1" applyFont="1" applyFill="1" applyBorder="1" applyAlignment="1" applyProtection="1">
      <alignment horizontal="left" vertical="center" wrapText="1"/>
      <protection locked="0"/>
    </xf>
    <xf numFmtId="0" fontId="64" fillId="100" borderId="149" xfId="0" applyNumberFormat="1" applyFont="1" applyFill="1" applyBorder="1" applyAlignment="1" applyProtection="1">
      <alignment horizontal="left" vertical="center" wrapText="1"/>
      <protection locked="0"/>
    </xf>
    <xf numFmtId="0" fontId="64" fillId="100" borderId="74" xfId="0" applyNumberFormat="1" applyFont="1" applyFill="1" applyBorder="1" applyAlignment="1" applyProtection="1">
      <alignment horizontal="left" vertical="center" wrapText="1"/>
      <protection locked="0"/>
    </xf>
    <xf numFmtId="0" fontId="64" fillId="100" borderId="69" xfId="0" applyNumberFormat="1" applyFont="1" applyFill="1" applyBorder="1" applyAlignment="1" applyProtection="1">
      <alignment horizontal="left" vertical="center" wrapText="1"/>
      <protection locked="0"/>
    </xf>
    <xf numFmtId="0" fontId="64" fillId="100" borderId="9" xfId="0" applyNumberFormat="1" applyFont="1" applyFill="1" applyBorder="1" applyAlignment="1" applyProtection="1">
      <alignment horizontal="left" vertical="center" wrapText="1"/>
      <protection locked="0"/>
    </xf>
    <xf numFmtId="0" fontId="138" fillId="100" borderId="9" xfId="0" applyNumberFormat="1" applyFont="1" applyFill="1" applyBorder="1" applyAlignment="1"/>
    <xf numFmtId="0" fontId="138" fillId="0" borderId="9" xfId="0" applyNumberFormat="1" applyFont="1" applyBorder="1" applyAlignment="1"/>
    <xf numFmtId="0" fontId="64" fillId="100" borderId="20" xfId="0" applyNumberFormat="1" applyFont="1" applyFill="1" applyBorder="1" applyAlignment="1" applyProtection="1">
      <alignment horizontal="left" vertical="center" wrapText="1"/>
      <protection locked="0"/>
    </xf>
    <xf numFmtId="0" fontId="64" fillId="26" borderId="9" xfId="0" applyNumberFormat="1" applyFont="1" applyFill="1" applyBorder="1" applyAlignment="1" applyProtection="1">
      <alignment horizontal="left" vertical="center" wrapText="1"/>
      <protection locked="0"/>
    </xf>
    <xf numFmtId="0" fontId="64" fillId="26" borderId="77" xfId="0" applyNumberFormat="1" applyFont="1" applyFill="1" applyBorder="1" applyAlignment="1" applyProtection="1">
      <alignment horizontal="left" vertical="center" wrapText="1"/>
      <protection locked="0"/>
    </xf>
    <xf numFmtId="0" fontId="138" fillId="0" borderId="145" xfId="0" applyNumberFormat="1" applyFont="1" applyBorder="1" applyAlignment="1"/>
    <xf numFmtId="0" fontId="64" fillId="26" borderId="145" xfId="0" applyNumberFormat="1" applyFont="1" applyFill="1" applyBorder="1" applyAlignment="1" applyProtection="1">
      <alignment horizontal="left" vertical="center" wrapText="1"/>
      <protection locked="0"/>
    </xf>
    <xf numFmtId="0" fontId="64" fillId="26" borderId="70" xfId="0" applyNumberFormat="1" applyFont="1" applyFill="1" applyBorder="1" applyAlignment="1" applyProtection="1">
      <alignment horizontal="left" vertical="center" wrapText="1"/>
      <protection locked="0"/>
    </xf>
    <xf numFmtId="0" fontId="64" fillId="26" borderId="20" xfId="0" applyNumberFormat="1" applyFont="1" applyFill="1" applyBorder="1" applyAlignment="1" applyProtection="1">
      <alignment horizontal="left" vertical="center" wrapText="1"/>
      <protection locked="0"/>
    </xf>
    <xf numFmtId="0" fontId="64" fillId="26" borderId="69" xfId="0" applyNumberFormat="1" applyFont="1" applyFill="1" applyBorder="1" applyAlignment="1" applyProtection="1">
      <alignment horizontal="left" vertical="center" wrapText="1"/>
      <protection locked="0"/>
    </xf>
    <xf numFmtId="2" fontId="5" fillId="49" borderId="124" xfId="0" applyNumberFormat="1" applyFont="1" applyFill="1" applyBorder="1" applyAlignment="1">
      <alignment vertical="center"/>
    </xf>
    <xf numFmtId="2" fontId="5" fillId="98" borderId="145" xfId="0" quotePrefix="1" applyNumberFormat="1" applyFont="1" applyFill="1" applyBorder="1" applyAlignment="1">
      <alignment horizontal="right" vertical="top"/>
    </xf>
    <xf numFmtId="2" fontId="5" fillId="49" borderId="145" xfId="0" applyNumberFormat="1" applyFont="1" applyFill="1" applyBorder="1" applyAlignment="1">
      <alignment vertical="center"/>
    </xf>
    <xf numFmtId="2" fontId="5" fillId="49" borderId="70" xfId="0" applyNumberFormat="1" applyFont="1" applyFill="1" applyBorder="1" applyAlignment="1">
      <alignment vertical="center"/>
    </xf>
    <xf numFmtId="4" fontId="64" fillId="0" borderId="0" xfId="0" applyNumberFormat="1" applyFont="1" applyFill="1" applyBorder="1" applyAlignment="1" applyProtection="1">
      <protection locked="0"/>
    </xf>
    <xf numFmtId="2" fontId="73" fillId="0" borderId="0" xfId="0" applyNumberFormat="1" applyFont="1" applyFill="1" applyBorder="1" applyAlignment="1" applyProtection="1">
      <protection locked="0"/>
    </xf>
    <xf numFmtId="4" fontId="73" fillId="0" borderId="0" xfId="0" applyNumberFormat="1" applyFont="1" applyFill="1" applyBorder="1" applyAlignment="1" applyProtection="1">
      <protection locked="0"/>
    </xf>
    <xf numFmtId="0" fontId="68" fillId="26" borderId="102" xfId="0" applyNumberFormat="1" applyFont="1" applyFill="1" applyBorder="1" applyAlignment="1" applyProtection="1">
      <alignment horizontal="left" vertical="center" wrapText="1"/>
      <protection locked="0"/>
    </xf>
    <xf numFmtId="185" fontId="64" fillId="26" borderId="105" xfId="0" applyNumberFormat="1" applyFont="1" applyFill="1" applyBorder="1" applyAlignment="1" applyProtection="1">
      <alignment horizontal="left" vertical="center" wrapText="1"/>
      <protection locked="0"/>
    </xf>
    <xf numFmtId="185" fontId="64" fillId="26" borderId="23" xfId="0" applyNumberFormat="1" applyFont="1" applyFill="1" applyBorder="1" applyAlignment="1" applyProtection="1">
      <alignment horizontal="left" vertical="center" wrapText="1"/>
      <protection locked="0"/>
    </xf>
    <xf numFmtId="185" fontId="64" fillId="26" borderId="104" xfId="0" applyNumberFormat="1" applyFont="1" applyFill="1" applyBorder="1" applyAlignment="1" applyProtection="1">
      <alignment horizontal="left" vertical="center" wrapText="1"/>
      <protection locked="0"/>
    </xf>
    <xf numFmtId="0" fontId="73" fillId="102" borderId="68" xfId="0" applyNumberFormat="1" applyFont="1" applyFill="1" applyBorder="1" applyAlignment="1" applyProtection="1">
      <protection locked="0"/>
    </xf>
    <xf numFmtId="4" fontId="67" fillId="102" borderId="27" xfId="0" applyNumberFormat="1" applyFont="1" applyFill="1" applyBorder="1" applyAlignment="1" applyProtection="1">
      <alignment horizontal="left"/>
      <protection locked="0"/>
    </xf>
    <xf numFmtId="4" fontId="67" fillId="102" borderId="152" xfId="0" applyNumberFormat="1" applyFont="1" applyFill="1" applyBorder="1" applyAlignment="1" applyProtection="1">
      <alignment horizontal="left"/>
      <protection locked="0"/>
    </xf>
    <xf numFmtId="0" fontId="64" fillId="0" borderId="102" xfId="0" applyFont="1" applyBorder="1"/>
    <xf numFmtId="0" fontId="73" fillId="0" borderId="154" xfId="0" applyNumberFormat="1" applyFont="1" applyFill="1" applyBorder="1" applyAlignment="1" applyProtection="1">
      <protection locked="0"/>
    </xf>
    <xf numFmtId="0" fontId="73" fillId="0" borderId="35" xfId="0" applyFont="1" applyBorder="1"/>
    <xf numFmtId="4" fontId="73" fillId="0" borderId="11" xfId="0" applyNumberFormat="1" applyFont="1" applyBorder="1"/>
    <xf numFmtId="0" fontId="64" fillId="0" borderId="153" xfId="0" applyFont="1" applyBorder="1"/>
    <xf numFmtId="0" fontId="64" fillId="100" borderId="109" xfId="0" applyNumberFormat="1" applyFont="1" applyFill="1" applyBorder="1" applyAlignment="1" applyProtection="1">
      <alignment horizontal="left" vertical="center" wrapText="1"/>
      <protection locked="0"/>
    </xf>
    <xf numFmtId="0" fontId="64" fillId="100" borderId="25" xfId="0" applyNumberFormat="1" applyFont="1" applyFill="1" applyBorder="1" applyAlignment="1" applyProtection="1">
      <alignment horizontal="left" vertical="center" wrapText="1"/>
      <protection locked="0"/>
    </xf>
    <xf numFmtId="0" fontId="64" fillId="100" borderId="104" xfId="0" applyNumberFormat="1" applyFont="1" applyFill="1" applyBorder="1" applyAlignment="1" applyProtection="1">
      <alignment horizontal="left" vertical="center" wrapText="1"/>
      <protection locked="0"/>
    </xf>
    <xf numFmtId="4" fontId="67" fillId="102" borderId="68" xfId="0" applyNumberFormat="1" applyFont="1" applyFill="1" applyBorder="1" applyAlignment="1" applyProtection="1">
      <alignment horizontal="left"/>
      <protection locked="0"/>
    </xf>
    <xf numFmtId="0" fontId="73" fillId="0" borderId="102" xfId="0" applyNumberFormat="1" applyFont="1" applyFill="1" applyBorder="1" applyAlignment="1" applyProtection="1">
      <protection locked="0"/>
    </xf>
    <xf numFmtId="4" fontId="73" fillId="0" borderId="35" xfId="0" applyNumberFormat="1" applyFont="1" applyBorder="1"/>
    <xf numFmtId="4" fontId="64" fillId="0" borderId="35" xfId="0" applyNumberFormat="1" applyFont="1" applyBorder="1"/>
    <xf numFmtId="0" fontId="64" fillId="0" borderId="154" xfId="0" applyNumberFormat="1" applyFont="1" applyFill="1" applyBorder="1" applyAlignment="1" applyProtection="1"/>
    <xf numFmtId="0" fontId="64" fillId="0" borderId="35" xfId="0" applyFont="1" applyBorder="1"/>
    <xf numFmtId="0" fontId="64" fillId="0" borderId="102" xfId="0" applyNumberFormat="1" applyFont="1" applyFill="1" applyBorder="1" applyAlignment="1" applyProtection="1">
      <protection locked="0"/>
    </xf>
    <xf numFmtId="0" fontId="64" fillId="0" borderId="154" xfId="0" applyNumberFormat="1" applyFont="1" applyFill="1" applyBorder="1" applyAlignment="1" applyProtection="1">
      <protection locked="0"/>
    </xf>
    <xf numFmtId="0" fontId="64" fillId="0" borderId="11" xfId="0" applyNumberFormat="1" applyFont="1" applyFill="1" applyBorder="1" applyAlignment="1" applyProtection="1">
      <protection locked="0"/>
    </xf>
    <xf numFmtId="0" fontId="64" fillId="0" borderId="153" xfId="0" applyNumberFormat="1" applyFont="1" applyFill="1" applyBorder="1" applyAlignment="1" applyProtection="1">
      <protection locked="0"/>
    </xf>
    <xf numFmtId="4" fontId="64" fillId="0" borderId="35" xfId="0" applyNumberFormat="1" applyFont="1" applyFill="1" applyBorder="1" applyAlignment="1" applyProtection="1">
      <protection locked="0"/>
    </xf>
    <xf numFmtId="0" fontId="155" fillId="0" borderId="0" xfId="46466" applyNumberFormat="1" applyFill="1" applyBorder="1" applyAlignment="1" applyProtection="1">
      <protection locked="0"/>
    </xf>
    <xf numFmtId="0" fontId="73" fillId="0" borderId="0" xfId="0" applyFont="1" applyBorder="1"/>
    <xf numFmtId="4" fontId="73" fillId="0" borderId="0" xfId="0" applyNumberFormat="1" applyFont="1" applyBorder="1"/>
    <xf numFmtId="0" fontId="165" fillId="42" borderId="0" xfId="0" applyFont="1" applyFill="1" applyBorder="1" applyAlignment="1">
      <alignment horizontal="center" vertical="center"/>
    </xf>
    <xf numFmtId="0" fontId="73" fillId="26" borderId="16" xfId="0" applyNumberFormat="1" applyFont="1" applyFill="1" applyBorder="1" applyAlignment="1" applyProtection="1">
      <alignment horizontal="center"/>
      <protection locked="0"/>
    </xf>
    <xf numFmtId="0" fontId="73" fillId="26" borderId="17" xfId="0" applyNumberFormat="1" applyFont="1" applyFill="1" applyBorder="1" applyAlignment="1" applyProtection="1">
      <alignment horizontal="center"/>
      <protection locked="0"/>
    </xf>
    <xf numFmtId="0" fontId="168" fillId="100" borderId="68" xfId="0" applyNumberFormat="1" applyFont="1" applyFill="1" applyBorder="1" applyAlignment="1" applyProtection="1">
      <alignment horizontal="center" wrapText="1"/>
      <protection locked="0"/>
    </xf>
    <xf numFmtId="0" fontId="168" fillId="100" borderId="35" xfId="0" applyNumberFormat="1" applyFont="1" applyFill="1" applyBorder="1" applyAlignment="1" applyProtection="1">
      <alignment horizontal="center" wrapText="1"/>
      <protection locked="0"/>
    </xf>
  </cellXfs>
  <cellStyles count="46495">
    <cellStyle name="???????" xfId="41920" xr:uid="{00000000-0005-0000-0000-000000000000}"/>
    <cellStyle name="20 % - Accent1" xfId="12300" xr:uid="{00000000-0005-0000-0000-000001000000}"/>
    <cellStyle name="20 % - Accent2" xfId="12301" xr:uid="{00000000-0005-0000-0000-000002000000}"/>
    <cellStyle name="20 % - Accent3" xfId="12302" xr:uid="{00000000-0005-0000-0000-000003000000}"/>
    <cellStyle name="20 % - Accent4" xfId="12303" xr:uid="{00000000-0005-0000-0000-000004000000}"/>
    <cellStyle name="20 % - Accent5" xfId="12304" xr:uid="{00000000-0005-0000-0000-000005000000}"/>
    <cellStyle name="20 % - Accent6" xfId="12305" xr:uid="{00000000-0005-0000-0000-000006000000}"/>
    <cellStyle name="20% - 1. jelölőszín" xfId="3096" xr:uid="{00000000-0005-0000-0000-000007000000}"/>
    <cellStyle name="20% - 2. jelölőszín" xfId="3097" xr:uid="{00000000-0005-0000-0000-000008000000}"/>
    <cellStyle name="20% - 3. jelölőszín" xfId="3098" xr:uid="{00000000-0005-0000-0000-000009000000}"/>
    <cellStyle name="20% - 4. jelölőszín" xfId="3099" xr:uid="{00000000-0005-0000-0000-00000A000000}"/>
    <cellStyle name="20% - 5. jelölőszín" xfId="3100" xr:uid="{00000000-0005-0000-0000-00000B000000}"/>
    <cellStyle name="20% - 6. jelölőszín" xfId="3101" xr:uid="{00000000-0005-0000-0000-00000C000000}"/>
    <cellStyle name="20% - Accent1 10" xfId="3149" xr:uid="{00000000-0005-0000-0000-00000D000000}"/>
    <cellStyle name="20% - Accent1 10 2" xfId="4496" xr:uid="{00000000-0005-0000-0000-00000E000000}"/>
    <cellStyle name="20% - Accent1 11" xfId="41921" xr:uid="{00000000-0005-0000-0000-00000F000000}"/>
    <cellStyle name="20% - Accent1 11 2" xfId="41922" xr:uid="{00000000-0005-0000-0000-000010000000}"/>
    <cellStyle name="20% - Accent1 12" xfId="41923" xr:uid="{00000000-0005-0000-0000-000011000000}"/>
    <cellStyle name="20% - Accent1 13" xfId="41924" xr:uid="{00000000-0005-0000-0000-000012000000}"/>
    <cellStyle name="20% - Accent1 14" xfId="41925" xr:uid="{00000000-0005-0000-0000-000013000000}"/>
    <cellStyle name="20% - Accent1 15" xfId="41926" xr:uid="{00000000-0005-0000-0000-000014000000}"/>
    <cellStyle name="20% - Accent1 16" xfId="41927" xr:uid="{00000000-0005-0000-0000-000015000000}"/>
    <cellStyle name="20% - Accent1 17" xfId="41928" xr:uid="{00000000-0005-0000-0000-000016000000}"/>
    <cellStyle name="20% - Accent1 18" xfId="41929" xr:uid="{00000000-0005-0000-0000-000017000000}"/>
    <cellStyle name="20% - Accent1 19" xfId="41930" xr:uid="{00000000-0005-0000-0000-000018000000}"/>
    <cellStyle name="20% - Accent1 2" xfId="1" xr:uid="{00000000-0005-0000-0000-000019000000}"/>
    <cellStyle name="20% - Accent1 2 10" xfId="2" xr:uid="{00000000-0005-0000-0000-00001A000000}"/>
    <cellStyle name="20% - Accent1 2 10 2" xfId="4497" xr:uid="{00000000-0005-0000-0000-00001B000000}"/>
    <cellStyle name="20% - Accent1 2 10 3" xfId="7565" xr:uid="{00000000-0005-0000-0000-00001C000000}"/>
    <cellStyle name="20% - Accent1 2 11" xfId="3" xr:uid="{00000000-0005-0000-0000-00001D000000}"/>
    <cellStyle name="20% - Accent1 2 11 2" xfId="4498" xr:uid="{00000000-0005-0000-0000-00001E000000}"/>
    <cellStyle name="20% - Accent1 2 11 3" xfId="7566" xr:uid="{00000000-0005-0000-0000-00001F000000}"/>
    <cellStyle name="20% - Accent1 2 12" xfId="4499" xr:uid="{00000000-0005-0000-0000-000020000000}"/>
    <cellStyle name="20% - Accent1 2 12 2" xfId="6284" xr:uid="{00000000-0005-0000-0000-000021000000}"/>
    <cellStyle name="20% - Accent1 2 12 3" xfId="7567" xr:uid="{00000000-0005-0000-0000-000022000000}"/>
    <cellStyle name="20% - Accent1 2 13" xfId="6285" xr:uid="{00000000-0005-0000-0000-000023000000}"/>
    <cellStyle name="20% - Accent1 2 13 2" xfId="7568" xr:uid="{00000000-0005-0000-0000-000024000000}"/>
    <cellStyle name="20% - Accent1 2 14" xfId="7569" xr:uid="{00000000-0005-0000-0000-000025000000}"/>
    <cellStyle name="20% - Accent1 2 15" xfId="7570" xr:uid="{00000000-0005-0000-0000-000026000000}"/>
    <cellStyle name="20% - Accent1 2 16" xfId="41705" xr:uid="{00000000-0005-0000-0000-000027000000}"/>
    <cellStyle name="20% - Accent1 2 17" xfId="46468" xr:uid="{BB978B7B-29FD-4546-8721-A87BA550C2D4}"/>
    <cellStyle name="20% - Accent1 2 2" xfId="4" xr:uid="{00000000-0005-0000-0000-000028000000}"/>
    <cellStyle name="20% - Accent1 2 2 2" xfId="4500" xr:uid="{00000000-0005-0000-0000-000029000000}"/>
    <cellStyle name="20% - Accent1 2 2 3" xfId="7571" xr:uid="{00000000-0005-0000-0000-00002A000000}"/>
    <cellStyle name="20% - Accent1 2 3" xfId="5" xr:uid="{00000000-0005-0000-0000-00002B000000}"/>
    <cellStyle name="20% - Accent1 2 3 2" xfId="4501" xr:uid="{00000000-0005-0000-0000-00002C000000}"/>
    <cellStyle name="20% - Accent1 2 3 3" xfId="7572" xr:uid="{00000000-0005-0000-0000-00002D000000}"/>
    <cellStyle name="20% - Accent1 2 4" xfId="6" xr:uid="{00000000-0005-0000-0000-00002E000000}"/>
    <cellStyle name="20% - Accent1 2 4 2" xfId="4502" xr:uid="{00000000-0005-0000-0000-00002F000000}"/>
    <cellStyle name="20% - Accent1 2 4 3" xfId="7573" xr:uid="{00000000-0005-0000-0000-000030000000}"/>
    <cellStyle name="20% - Accent1 2 5" xfId="7" xr:uid="{00000000-0005-0000-0000-000031000000}"/>
    <cellStyle name="20% - Accent1 2 5 2" xfId="4503" xr:uid="{00000000-0005-0000-0000-000032000000}"/>
    <cellStyle name="20% - Accent1 2 5 3" xfId="7574" xr:uid="{00000000-0005-0000-0000-000033000000}"/>
    <cellStyle name="20% - Accent1 2 6" xfId="8" xr:uid="{00000000-0005-0000-0000-000034000000}"/>
    <cellStyle name="20% - Accent1 2 6 2" xfId="4504" xr:uid="{00000000-0005-0000-0000-000035000000}"/>
    <cellStyle name="20% - Accent1 2 6 3" xfId="7575" xr:uid="{00000000-0005-0000-0000-000036000000}"/>
    <cellStyle name="20% - Accent1 2 7" xfId="9" xr:uid="{00000000-0005-0000-0000-000037000000}"/>
    <cellStyle name="20% - Accent1 2 7 2" xfId="4505" xr:uid="{00000000-0005-0000-0000-000038000000}"/>
    <cellStyle name="20% - Accent1 2 7 3" xfId="7576" xr:uid="{00000000-0005-0000-0000-000039000000}"/>
    <cellStyle name="20% - Accent1 2 8" xfId="10" xr:uid="{00000000-0005-0000-0000-00003A000000}"/>
    <cellStyle name="20% - Accent1 2 8 2" xfId="4506" xr:uid="{00000000-0005-0000-0000-00003B000000}"/>
    <cellStyle name="20% - Accent1 2 8 3" xfId="7577" xr:uid="{00000000-0005-0000-0000-00003C000000}"/>
    <cellStyle name="20% - Accent1 2 9" xfId="11" xr:uid="{00000000-0005-0000-0000-00003D000000}"/>
    <cellStyle name="20% - Accent1 2 9 2" xfId="4507" xr:uid="{00000000-0005-0000-0000-00003E000000}"/>
    <cellStyle name="20% - Accent1 2 9 3" xfId="7578" xr:uid="{00000000-0005-0000-0000-00003F000000}"/>
    <cellStyle name="20% - Accent1 20" xfId="41931" xr:uid="{00000000-0005-0000-0000-000040000000}"/>
    <cellStyle name="20% - Accent1 21" xfId="41932" xr:uid="{00000000-0005-0000-0000-000041000000}"/>
    <cellStyle name="20% - Accent1 22" xfId="41933" xr:uid="{00000000-0005-0000-0000-000042000000}"/>
    <cellStyle name="20% - Accent1 23" xfId="41934" xr:uid="{00000000-0005-0000-0000-000043000000}"/>
    <cellStyle name="20% - Accent1 24" xfId="41935" xr:uid="{00000000-0005-0000-0000-000044000000}"/>
    <cellStyle name="20% - Accent1 25" xfId="41936" xr:uid="{00000000-0005-0000-0000-000045000000}"/>
    <cellStyle name="20% - Accent1 26" xfId="41937" xr:uid="{00000000-0005-0000-0000-000046000000}"/>
    <cellStyle name="20% - Accent1 27" xfId="41938" xr:uid="{00000000-0005-0000-0000-000047000000}"/>
    <cellStyle name="20% - Accent1 28" xfId="41939" xr:uid="{00000000-0005-0000-0000-000048000000}"/>
    <cellStyle name="20% - Accent1 29" xfId="41940" xr:uid="{00000000-0005-0000-0000-000049000000}"/>
    <cellStyle name="20% - Accent1 3" xfId="12" xr:uid="{00000000-0005-0000-0000-00004A000000}"/>
    <cellStyle name="20% - Accent1 3 10" xfId="13" xr:uid="{00000000-0005-0000-0000-00004B000000}"/>
    <cellStyle name="20% - Accent1 3 10 2" xfId="4508" xr:uid="{00000000-0005-0000-0000-00004C000000}"/>
    <cellStyle name="20% - Accent1 3 11" xfId="14" xr:uid="{00000000-0005-0000-0000-00004D000000}"/>
    <cellStyle name="20% - Accent1 3 11 2" xfId="4509" xr:uid="{00000000-0005-0000-0000-00004E000000}"/>
    <cellStyle name="20% - Accent1 3 12" xfId="4510" xr:uid="{00000000-0005-0000-0000-00004F000000}"/>
    <cellStyle name="20% - Accent1 3 13" xfId="7579" xr:uid="{00000000-0005-0000-0000-000050000000}"/>
    <cellStyle name="20% - Accent1 3 2" xfId="15" xr:uid="{00000000-0005-0000-0000-000051000000}"/>
    <cellStyle name="20% - Accent1 3 2 2" xfId="4511" xr:uid="{00000000-0005-0000-0000-000052000000}"/>
    <cellStyle name="20% - Accent1 3 2 3" xfId="41941" xr:uid="{00000000-0005-0000-0000-000053000000}"/>
    <cellStyle name="20% - Accent1 3 3" xfId="16" xr:uid="{00000000-0005-0000-0000-000054000000}"/>
    <cellStyle name="20% - Accent1 3 3 2" xfId="4512" xr:uid="{00000000-0005-0000-0000-000055000000}"/>
    <cellStyle name="20% - Accent1 3 4" xfId="17" xr:uid="{00000000-0005-0000-0000-000056000000}"/>
    <cellStyle name="20% - Accent1 3 4 2" xfId="4513" xr:uid="{00000000-0005-0000-0000-000057000000}"/>
    <cellStyle name="20% - Accent1 3 5" xfId="18" xr:uid="{00000000-0005-0000-0000-000058000000}"/>
    <cellStyle name="20% - Accent1 3 5 2" xfId="4514" xr:uid="{00000000-0005-0000-0000-000059000000}"/>
    <cellStyle name="20% - Accent1 3 6" xfId="19" xr:uid="{00000000-0005-0000-0000-00005A000000}"/>
    <cellStyle name="20% - Accent1 3 6 2" xfId="4515" xr:uid="{00000000-0005-0000-0000-00005B000000}"/>
    <cellStyle name="20% - Accent1 3 7" xfId="20" xr:uid="{00000000-0005-0000-0000-00005C000000}"/>
    <cellStyle name="20% - Accent1 3 7 2" xfId="4516" xr:uid="{00000000-0005-0000-0000-00005D000000}"/>
    <cellStyle name="20% - Accent1 3 8" xfId="21" xr:uid="{00000000-0005-0000-0000-00005E000000}"/>
    <cellStyle name="20% - Accent1 3 8 2" xfId="4517" xr:uid="{00000000-0005-0000-0000-00005F000000}"/>
    <cellStyle name="20% - Accent1 3 9" xfId="22" xr:uid="{00000000-0005-0000-0000-000060000000}"/>
    <cellStyle name="20% - Accent1 3 9 2" xfId="4518" xr:uid="{00000000-0005-0000-0000-000061000000}"/>
    <cellStyle name="20% - Accent1 30" xfId="41942" xr:uid="{00000000-0005-0000-0000-000062000000}"/>
    <cellStyle name="20% - Accent1 31" xfId="41943" xr:uid="{00000000-0005-0000-0000-000063000000}"/>
    <cellStyle name="20% - Accent1 32" xfId="41944" xr:uid="{00000000-0005-0000-0000-000064000000}"/>
    <cellStyle name="20% - Accent1 33" xfId="41945" xr:uid="{00000000-0005-0000-0000-000065000000}"/>
    <cellStyle name="20% - Accent1 34" xfId="41946" xr:uid="{00000000-0005-0000-0000-000066000000}"/>
    <cellStyle name="20% - Accent1 35" xfId="41947" xr:uid="{00000000-0005-0000-0000-000067000000}"/>
    <cellStyle name="20% - Accent1 36" xfId="41948" xr:uid="{00000000-0005-0000-0000-000068000000}"/>
    <cellStyle name="20% - Accent1 37" xfId="41949" xr:uid="{00000000-0005-0000-0000-000069000000}"/>
    <cellStyle name="20% - Accent1 38" xfId="41950" xr:uid="{00000000-0005-0000-0000-00006A000000}"/>
    <cellStyle name="20% - Accent1 39" xfId="41951" xr:uid="{00000000-0005-0000-0000-00006B000000}"/>
    <cellStyle name="20% - Accent1 4" xfId="23" xr:uid="{00000000-0005-0000-0000-00006C000000}"/>
    <cellStyle name="20% - Accent1 4 10" xfId="24" xr:uid="{00000000-0005-0000-0000-00006D000000}"/>
    <cellStyle name="20% - Accent1 4 10 2" xfId="4519" xr:uid="{00000000-0005-0000-0000-00006E000000}"/>
    <cellStyle name="20% - Accent1 4 11" xfId="25" xr:uid="{00000000-0005-0000-0000-00006F000000}"/>
    <cellStyle name="20% - Accent1 4 11 2" xfId="4520" xr:uid="{00000000-0005-0000-0000-000070000000}"/>
    <cellStyle name="20% - Accent1 4 12" xfId="4521" xr:uid="{00000000-0005-0000-0000-000071000000}"/>
    <cellStyle name="20% - Accent1 4 13" xfId="7580" xr:uid="{00000000-0005-0000-0000-000072000000}"/>
    <cellStyle name="20% - Accent1 4 2" xfId="26" xr:uid="{00000000-0005-0000-0000-000073000000}"/>
    <cellStyle name="20% - Accent1 4 2 2" xfId="4522" xr:uid="{00000000-0005-0000-0000-000074000000}"/>
    <cellStyle name="20% - Accent1 4 2 3" xfId="41952" xr:uid="{00000000-0005-0000-0000-000075000000}"/>
    <cellStyle name="20% - Accent1 4 3" xfId="27" xr:uid="{00000000-0005-0000-0000-000076000000}"/>
    <cellStyle name="20% - Accent1 4 3 2" xfId="4523" xr:uid="{00000000-0005-0000-0000-000077000000}"/>
    <cellStyle name="20% - Accent1 4 4" xfId="28" xr:uid="{00000000-0005-0000-0000-000078000000}"/>
    <cellStyle name="20% - Accent1 4 4 2" xfId="4524" xr:uid="{00000000-0005-0000-0000-000079000000}"/>
    <cellStyle name="20% - Accent1 4 5" xfId="29" xr:uid="{00000000-0005-0000-0000-00007A000000}"/>
    <cellStyle name="20% - Accent1 4 5 2" xfId="4525" xr:uid="{00000000-0005-0000-0000-00007B000000}"/>
    <cellStyle name="20% - Accent1 4 6" xfId="30" xr:uid="{00000000-0005-0000-0000-00007C000000}"/>
    <cellStyle name="20% - Accent1 4 6 2" xfId="4526" xr:uid="{00000000-0005-0000-0000-00007D000000}"/>
    <cellStyle name="20% - Accent1 4 7" xfId="31" xr:uid="{00000000-0005-0000-0000-00007E000000}"/>
    <cellStyle name="20% - Accent1 4 7 2" xfId="4527" xr:uid="{00000000-0005-0000-0000-00007F000000}"/>
    <cellStyle name="20% - Accent1 4 8" xfId="32" xr:uid="{00000000-0005-0000-0000-000080000000}"/>
    <cellStyle name="20% - Accent1 4 8 2" xfId="4528" xr:uid="{00000000-0005-0000-0000-000081000000}"/>
    <cellStyle name="20% - Accent1 4 9" xfId="33" xr:uid="{00000000-0005-0000-0000-000082000000}"/>
    <cellStyle name="20% - Accent1 4 9 2" xfId="4529" xr:uid="{00000000-0005-0000-0000-000083000000}"/>
    <cellStyle name="20% - Accent1 40" xfId="41953" xr:uid="{00000000-0005-0000-0000-000084000000}"/>
    <cellStyle name="20% - Accent1 41" xfId="41954" xr:uid="{00000000-0005-0000-0000-000085000000}"/>
    <cellStyle name="20% - Accent1 42" xfId="41955" xr:uid="{00000000-0005-0000-0000-000086000000}"/>
    <cellStyle name="20% - Accent1 43" xfId="41956" xr:uid="{00000000-0005-0000-0000-000087000000}"/>
    <cellStyle name="20% - Accent1 5" xfId="34" xr:uid="{00000000-0005-0000-0000-000088000000}"/>
    <cellStyle name="20% - Accent1 5 10" xfId="35" xr:uid="{00000000-0005-0000-0000-000089000000}"/>
    <cellStyle name="20% - Accent1 5 10 2" xfId="4530" xr:uid="{00000000-0005-0000-0000-00008A000000}"/>
    <cellStyle name="20% - Accent1 5 11" xfId="36" xr:uid="{00000000-0005-0000-0000-00008B000000}"/>
    <cellStyle name="20% - Accent1 5 11 2" xfId="4531" xr:uid="{00000000-0005-0000-0000-00008C000000}"/>
    <cellStyle name="20% - Accent1 5 12" xfId="4532" xr:uid="{00000000-0005-0000-0000-00008D000000}"/>
    <cellStyle name="20% - Accent1 5 13" xfId="7581" xr:uid="{00000000-0005-0000-0000-00008E000000}"/>
    <cellStyle name="20% - Accent1 5 2" xfId="37" xr:uid="{00000000-0005-0000-0000-00008F000000}"/>
    <cellStyle name="20% - Accent1 5 2 2" xfId="4533" xr:uid="{00000000-0005-0000-0000-000090000000}"/>
    <cellStyle name="20% - Accent1 5 2 3" xfId="41957" xr:uid="{00000000-0005-0000-0000-000091000000}"/>
    <cellStyle name="20% - Accent1 5 3" xfId="38" xr:uid="{00000000-0005-0000-0000-000092000000}"/>
    <cellStyle name="20% - Accent1 5 3 2" xfId="4534" xr:uid="{00000000-0005-0000-0000-000093000000}"/>
    <cellStyle name="20% - Accent1 5 4" xfId="39" xr:uid="{00000000-0005-0000-0000-000094000000}"/>
    <cellStyle name="20% - Accent1 5 4 2" xfId="4535" xr:uid="{00000000-0005-0000-0000-000095000000}"/>
    <cellStyle name="20% - Accent1 5 5" xfId="40" xr:uid="{00000000-0005-0000-0000-000096000000}"/>
    <cellStyle name="20% - Accent1 5 5 2" xfId="4536" xr:uid="{00000000-0005-0000-0000-000097000000}"/>
    <cellStyle name="20% - Accent1 5 6" xfId="41" xr:uid="{00000000-0005-0000-0000-000098000000}"/>
    <cellStyle name="20% - Accent1 5 6 2" xfId="4537" xr:uid="{00000000-0005-0000-0000-000099000000}"/>
    <cellStyle name="20% - Accent1 5 7" xfId="42" xr:uid="{00000000-0005-0000-0000-00009A000000}"/>
    <cellStyle name="20% - Accent1 5 7 2" xfId="4538" xr:uid="{00000000-0005-0000-0000-00009B000000}"/>
    <cellStyle name="20% - Accent1 5 8" xfId="43" xr:uid="{00000000-0005-0000-0000-00009C000000}"/>
    <cellStyle name="20% - Accent1 5 8 2" xfId="4539" xr:uid="{00000000-0005-0000-0000-00009D000000}"/>
    <cellStyle name="20% - Accent1 5 9" xfId="44" xr:uid="{00000000-0005-0000-0000-00009E000000}"/>
    <cellStyle name="20% - Accent1 5 9 2" xfId="4540" xr:uid="{00000000-0005-0000-0000-00009F000000}"/>
    <cellStyle name="20% - Accent1 6" xfId="45" xr:uid="{00000000-0005-0000-0000-0000A0000000}"/>
    <cellStyle name="20% - Accent1 6 10" xfId="46" xr:uid="{00000000-0005-0000-0000-0000A1000000}"/>
    <cellStyle name="20% - Accent1 6 10 2" xfId="4541" xr:uid="{00000000-0005-0000-0000-0000A2000000}"/>
    <cellStyle name="20% - Accent1 6 11" xfId="47" xr:uid="{00000000-0005-0000-0000-0000A3000000}"/>
    <cellStyle name="20% - Accent1 6 11 2" xfId="4542" xr:uid="{00000000-0005-0000-0000-0000A4000000}"/>
    <cellStyle name="20% - Accent1 6 12" xfId="4543" xr:uid="{00000000-0005-0000-0000-0000A5000000}"/>
    <cellStyle name="20% - Accent1 6 13" xfId="7582" xr:uid="{00000000-0005-0000-0000-0000A6000000}"/>
    <cellStyle name="20% - Accent1 6 2" xfId="48" xr:uid="{00000000-0005-0000-0000-0000A7000000}"/>
    <cellStyle name="20% - Accent1 6 2 2" xfId="4544" xr:uid="{00000000-0005-0000-0000-0000A8000000}"/>
    <cellStyle name="20% - Accent1 6 2 3" xfId="41958" xr:uid="{00000000-0005-0000-0000-0000A9000000}"/>
    <cellStyle name="20% - Accent1 6 3" xfId="49" xr:uid="{00000000-0005-0000-0000-0000AA000000}"/>
    <cellStyle name="20% - Accent1 6 3 2" xfId="4545" xr:uid="{00000000-0005-0000-0000-0000AB000000}"/>
    <cellStyle name="20% - Accent1 6 4" xfId="50" xr:uid="{00000000-0005-0000-0000-0000AC000000}"/>
    <cellStyle name="20% - Accent1 6 4 2" xfId="4546" xr:uid="{00000000-0005-0000-0000-0000AD000000}"/>
    <cellStyle name="20% - Accent1 6 5" xfId="51" xr:uid="{00000000-0005-0000-0000-0000AE000000}"/>
    <cellStyle name="20% - Accent1 6 5 2" xfId="4547" xr:uid="{00000000-0005-0000-0000-0000AF000000}"/>
    <cellStyle name="20% - Accent1 6 6" xfId="52" xr:uid="{00000000-0005-0000-0000-0000B0000000}"/>
    <cellStyle name="20% - Accent1 6 6 2" xfId="4548" xr:uid="{00000000-0005-0000-0000-0000B1000000}"/>
    <cellStyle name="20% - Accent1 6 7" xfId="53" xr:uid="{00000000-0005-0000-0000-0000B2000000}"/>
    <cellStyle name="20% - Accent1 6 7 2" xfId="4549" xr:uid="{00000000-0005-0000-0000-0000B3000000}"/>
    <cellStyle name="20% - Accent1 6 8" xfId="54" xr:uid="{00000000-0005-0000-0000-0000B4000000}"/>
    <cellStyle name="20% - Accent1 6 8 2" xfId="4550" xr:uid="{00000000-0005-0000-0000-0000B5000000}"/>
    <cellStyle name="20% - Accent1 6 9" xfId="55" xr:uid="{00000000-0005-0000-0000-0000B6000000}"/>
    <cellStyle name="20% - Accent1 6 9 2" xfId="4551" xr:uid="{00000000-0005-0000-0000-0000B7000000}"/>
    <cellStyle name="20% - Accent1 7" xfId="56" xr:uid="{00000000-0005-0000-0000-0000B8000000}"/>
    <cellStyle name="20% - Accent1 7 2" xfId="4552" xr:uid="{00000000-0005-0000-0000-0000B9000000}"/>
    <cellStyle name="20% - Accent1 7 2 2" xfId="41960" xr:uid="{00000000-0005-0000-0000-0000BA000000}"/>
    <cellStyle name="20% - Accent1 7 3" xfId="7583" xr:uid="{00000000-0005-0000-0000-0000BB000000}"/>
    <cellStyle name="20% - Accent1 7 3 2" xfId="41959" xr:uid="{00000000-0005-0000-0000-0000BC000000}"/>
    <cellStyle name="20% - Accent1 8" xfId="57" xr:uid="{00000000-0005-0000-0000-0000BD000000}"/>
    <cellStyle name="20% - Accent1 8 2" xfId="4553" xr:uid="{00000000-0005-0000-0000-0000BE000000}"/>
    <cellStyle name="20% - Accent1 8 2 2" xfId="41962" xr:uid="{00000000-0005-0000-0000-0000BF000000}"/>
    <cellStyle name="20% - Accent1 8 3" xfId="7584" xr:uid="{00000000-0005-0000-0000-0000C0000000}"/>
    <cellStyle name="20% - Accent1 8 3 2" xfId="41961" xr:uid="{00000000-0005-0000-0000-0000C1000000}"/>
    <cellStyle name="20% - Accent1 9" xfId="3150" xr:uid="{00000000-0005-0000-0000-0000C2000000}"/>
    <cellStyle name="20% - Accent1 9 2" xfId="4554" xr:uid="{00000000-0005-0000-0000-0000C3000000}"/>
    <cellStyle name="20% - Accent2 10" xfId="3151" xr:uid="{00000000-0005-0000-0000-0000C4000000}"/>
    <cellStyle name="20% - Accent2 10 2" xfId="4555" xr:uid="{00000000-0005-0000-0000-0000C5000000}"/>
    <cellStyle name="20% - Accent2 11" xfId="41963" xr:uid="{00000000-0005-0000-0000-0000C6000000}"/>
    <cellStyle name="20% - Accent2 11 2" xfId="41964" xr:uid="{00000000-0005-0000-0000-0000C7000000}"/>
    <cellStyle name="20% - Accent2 12" xfId="41965" xr:uid="{00000000-0005-0000-0000-0000C8000000}"/>
    <cellStyle name="20% - Accent2 13" xfId="41966" xr:uid="{00000000-0005-0000-0000-0000C9000000}"/>
    <cellStyle name="20% - Accent2 14" xfId="41967" xr:uid="{00000000-0005-0000-0000-0000CA000000}"/>
    <cellStyle name="20% - Accent2 15" xfId="41968" xr:uid="{00000000-0005-0000-0000-0000CB000000}"/>
    <cellStyle name="20% - Accent2 16" xfId="41969" xr:uid="{00000000-0005-0000-0000-0000CC000000}"/>
    <cellStyle name="20% - Accent2 17" xfId="41970" xr:uid="{00000000-0005-0000-0000-0000CD000000}"/>
    <cellStyle name="20% - Accent2 18" xfId="41971" xr:uid="{00000000-0005-0000-0000-0000CE000000}"/>
    <cellStyle name="20% - Accent2 19" xfId="41972" xr:uid="{00000000-0005-0000-0000-0000CF000000}"/>
    <cellStyle name="20% - Accent2 2" xfId="58" xr:uid="{00000000-0005-0000-0000-0000D0000000}"/>
    <cellStyle name="20% - Accent2 2 10" xfId="59" xr:uid="{00000000-0005-0000-0000-0000D1000000}"/>
    <cellStyle name="20% - Accent2 2 10 2" xfId="4556" xr:uid="{00000000-0005-0000-0000-0000D2000000}"/>
    <cellStyle name="20% - Accent2 2 10 3" xfId="7585" xr:uid="{00000000-0005-0000-0000-0000D3000000}"/>
    <cellStyle name="20% - Accent2 2 11" xfId="60" xr:uid="{00000000-0005-0000-0000-0000D4000000}"/>
    <cellStyle name="20% - Accent2 2 11 2" xfId="4557" xr:uid="{00000000-0005-0000-0000-0000D5000000}"/>
    <cellStyle name="20% - Accent2 2 11 3" xfId="7586" xr:uid="{00000000-0005-0000-0000-0000D6000000}"/>
    <cellStyle name="20% - Accent2 2 12" xfId="4558" xr:uid="{00000000-0005-0000-0000-0000D7000000}"/>
    <cellStyle name="20% - Accent2 2 12 2" xfId="6286" xr:uid="{00000000-0005-0000-0000-0000D8000000}"/>
    <cellStyle name="20% - Accent2 2 12 3" xfId="7587" xr:uid="{00000000-0005-0000-0000-0000D9000000}"/>
    <cellStyle name="20% - Accent2 2 13" xfId="6287" xr:uid="{00000000-0005-0000-0000-0000DA000000}"/>
    <cellStyle name="20% - Accent2 2 13 2" xfId="7588" xr:uid="{00000000-0005-0000-0000-0000DB000000}"/>
    <cellStyle name="20% - Accent2 2 14" xfId="7589" xr:uid="{00000000-0005-0000-0000-0000DC000000}"/>
    <cellStyle name="20% - Accent2 2 15" xfId="7590" xr:uid="{00000000-0005-0000-0000-0000DD000000}"/>
    <cellStyle name="20% - Accent2 2 16" xfId="41973" xr:uid="{00000000-0005-0000-0000-0000DE000000}"/>
    <cellStyle name="20% - Accent2 2 17" xfId="46469" xr:uid="{996F3726-F923-41BD-BD57-D25057519B66}"/>
    <cellStyle name="20% - Accent2 2 2" xfId="61" xr:uid="{00000000-0005-0000-0000-0000DF000000}"/>
    <cellStyle name="20% - Accent2 2 2 2" xfId="4559" xr:uid="{00000000-0005-0000-0000-0000E0000000}"/>
    <cellStyle name="20% - Accent2 2 2 3" xfId="7591" xr:uid="{00000000-0005-0000-0000-0000E1000000}"/>
    <cellStyle name="20% - Accent2 2 3" xfId="62" xr:uid="{00000000-0005-0000-0000-0000E2000000}"/>
    <cellStyle name="20% - Accent2 2 3 2" xfId="4560" xr:uid="{00000000-0005-0000-0000-0000E3000000}"/>
    <cellStyle name="20% - Accent2 2 3 3" xfId="7592" xr:uid="{00000000-0005-0000-0000-0000E4000000}"/>
    <cellStyle name="20% - Accent2 2 4" xfId="63" xr:uid="{00000000-0005-0000-0000-0000E5000000}"/>
    <cellStyle name="20% - Accent2 2 4 2" xfId="4561" xr:uid="{00000000-0005-0000-0000-0000E6000000}"/>
    <cellStyle name="20% - Accent2 2 4 3" xfId="7593" xr:uid="{00000000-0005-0000-0000-0000E7000000}"/>
    <cellStyle name="20% - Accent2 2 5" xfId="64" xr:uid="{00000000-0005-0000-0000-0000E8000000}"/>
    <cellStyle name="20% - Accent2 2 5 2" xfId="4562" xr:uid="{00000000-0005-0000-0000-0000E9000000}"/>
    <cellStyle name="20% - Accent2 2 5 3" xfId="7594" xr:uid="{00000000-0005-0000-0000-0000EA000000}"/>
    <cellStyle name="20% - Accent2 2 6" xfId="65" xr:uid="{00000000-0005-0000-0000-0000EB000000}"/>
    <cellStyle name="20% - Accent2 2 6 2" xfId="4563" xr:uid="{00000000-0005-0000-0000-0000EC000000}"/>
    <cellStyle name="20% - Accent2 2 6 3" xfId="7595" xr:uid="{00000000-0005-0000-0000-0000ED000000}"/>
    <cellStyle name="20% - Accent2 2 7" xfId="66" xr:uid="{00000000-0005-0000-0000-0000EE000000}"/>
    <cellStyle name="20% - Accent2 2 7 2" xfId="4564" xr:uid="{00000000-0005-0000-0000-0000EF000000}"/>
    <cellStyle name="20% - Accent2 2 7 3" xfId="7596" xr:uid="{00000000-0005-0000-0000-0000F0000000}"/>
    <cellStyle name="20% - Accent2 2 8" xfId="67" xr:uid="{00000000-0005-0000-0000-0000F1000000}"/>
    <cellStyle name="20% - Accent2 2 8 2" xfId="4565" xr:uid="{00000000-0005-0000-0000-0000F2000000}"/>
    <cellStyle name="20% - Accent2 2 8 3" xfId="7597" xr:uid="{00000000-0005-0000-0000-0000F3000000}"/>
    <cellStyle name="20% - Accent2 2 9" xfId="68" xr:uid="{00000000-0005-0000-0000-0000F4000000}"/>
    <cellStyle name="20% - Accent2 2 9 2" xfId="4566" xr:uid="{00000000-0005-0000-0000-0000F5000000}"/>
    <cellStyle name="20% - Accent2 2 9 3" xfId="7598" xr:uid="{00000000-0005-0000-0000-0000F6000000}"/>
    <cellStyle name="20% - Accent2 20" xfId="41974" xr:uid="{00000000-0005-0000-0000-0000F7000000}"/>
    <cellStyle name="20% - Accent2 21" xfId="41975" xr:uid="{00000000-0005-0000-0000-0000F8000000}"/>
    <cellStyle name="20% - Accent2 22" xfId="41976" xr:uid="{00000000-0005-0000-0000-0000F9000000}"/>
    <cellStyle name="20% - Accent2 23" xfId="41977" xr:uid="{00000000-0005-0000-0000-0000FA000000}"/>
    <cellStyle name="20% - Accent2 24" xfId="41978" xr:uid="{00000000-0005-0000-0000-0000FB000000}"/>
    <cellStyle name="20% - Accent2 25" xfId="41979" xr:uid="{00000000-0005-0000-0000-0000FC000000}"/>
    <cellStyle name="20% - Accent2 26" xfId="41980" xr:uid="{00000000-0005-0000-0000-0000FD000000}"/>
    <cellStyle name="20% - Accent2 27" xfId="41981" xr:uid="{00000000-0005-0000-0000-0000FE000000}"/>
    <cellStyle name="20% - Accent2 28" xfId="41982" xr:uid="{00000000-0005-0000-0000-0000FF000000}"/>
    <cellStyle name="20% - Accent2 29" xfId="41983" xr:uid="{00000000-0005-0000-0000-000000010000}"/>
    <cellStyle name="20% - Accent2 3" xfId="69" xr:uid="{00000000-0005-0000-0000-000001010000}"/>
    <cellStyle name="20% - Accent2 3 10" xfId="70" xr:uid="{00000000-0005-0000-0000-000002010000}"/>
    <cellStyle name="20% - Accent2 3 10 2" xfId="4567" xr:uid="{00000000-0005-0000-0000-000003010000}"/>
    <cellStyle name="20% - Accent2 3 11" xfId="71" xr:uid="{00000000-0005-0000-0000-000004010000}"/>
    <cellStyle name="20% - Accent2 3 11 2" xfId="4568" xr:uid="{00000000-0005-0000-0000-000005010000}"/>
    <cellStyle name="20% - Accent2 3 12" xfId="4569" xr:uid="{00000000-0005-0000-0000-000006010000}"/>
    <cellStyle name="20% - Accent2 3 13" xfId="7599" xr:uid="{00000000-0005-0000-0000-000007010000}"/>
    <cellStyle name="20% - Accent2 3 2" xfId="72" xr:uid="{00000000-0005-0000-0000-000008010000}"/>
    <cellStyle name="20% - Accent2 3 2 2" xfId="4570" xr:uid="{00000000-0005-0000-0000-000009010000}"/>
    <cellStyle name="20% - Accent2 3 2 3" xfId="41984" xr:uid="{00000000-0005-0000-0000-00000A010000}"/>
    <cellStyle name="20% - Accent2 3 3" xfId="73" xr:uid="{00000000-0005-0000-0000-00000B010000}"/>
    <cellStyle name="20% - Accent2 3 3 2" xfId="4571" xr:uid="{00000000-0005-0000-0000-00000C010000}"/>
    <cellStyle name="20% - Accent2 3 4" xfId="74" xr:uid="{00000000-0005-0000-0000-00000D010000}"/>
    <cellStyle name="20% - Accent2 3 4 2" xfId="4572" xr:uid="{00000000-0005-0000-0000-00000E010000}"/>
    <cellStyle name="20% - Accent2 3 5" xfId="75" xr:uid="{00000000-0005-0000-0000-00000F010000}"/>
    <cellStyle name="20% - Accent2 3 5 2" xfId="4573" xr:uid="{00000000-0005-0000-0000-000010010000}"/>
    <cellStyle name="20% - Accent2 3 6" xfId="76" xr:uid="{00000000-0005-0000-0000-000011010000}"/>
    <cellStyle name="20% - Accent2 3 6 2" xfId="4574" xr:uid="{00000000-0005-0000-0000-000012010000}"/>
    <cellStyle name="20% - Accent2 3 7" xfId="77" xr:uid="{00000000-0005-0000-0000-000013010000}"/>
    <cellStyle name="20% - Accent2 3 7 2" xfId="4575" xr:uid="{00000000-0005-0000-0000-000014010000}"/>
    <cellStyle name="20% - Accent2 3 8" xfId="78" xr:uid="{00000000-0005-0000-0000-000015010000}"/>
    <cellStyle name="20% - Accent2 3 8 2" xfId="4576" xr:uid="{00000000-0005-0000-0000-000016010000}"/>
    <cellStyle name="20% - Accent2 3 9" xfId="79" xr:uid="{00000000-0005-0000-0000-000017010000}"/>
    <cellStyle name="20% - Accent2 3 9 2" xfId="4577" xr:uid="{00000000-0005-0000-0000-000018010000}"/>
    <cellStyle name="20% - Accent2 30" xfId="41985" xr:uid="{00000000-0005-0000-0000-000019010000}"/>
    <cellStyle name="20% - Accent2 31" xfId="41986" xr:uid="{00000000-0005-0000-0000-00001A010000}"/>
    <cellStyle name="20% - Accent2 32" xfId="41987" xr:uid="{00000000-0005-0000-0000-00001B010000}"/>
    <cellStyle name="20% - Accent2 33" xfId="41988" xr:uid="{00000000-0005-0000-0000-00001C010000}"/>
    <cellStyle name="20% - Accent2 34" xfId="41989" xr:uid="{00000000-0005-0000-0000-00001D010000}"/>
    <cellStyle name="20% - Accent2 35" xfId="41990" xr:uid="{00000000-0005-0000-0000-00001E010000}"/>
    <cellStyle name="20% - Accent2 36" xfId="41991" xr:uid="{00000000-0005-0000-0000-00001F010000}"/>
    <cellStyle name="20% - Accent2 37" xfId="41992" xr:uid="{00000000-0005-0000-0000-000020010000}"/>
    <cellStyle name="20% - Accent2 38" xfId="41993" xr:uid="{00000000-0005-0000-0000-000021010000}"/>
    <cellStyle name="20% - Accent2 39" xfId="41994" xr:uid="{00000000-0005-0000-0000-000022010000}"/>
    <cellStyle name="20% - Accent2 4" xfId="80" xr:uid="{00000000-0005-0000-0000-000023010000}"/>
    <cellStyle name="20% - Accent2 4 10" xfId="81" xr:uid="{00000000-0005-0000-0000-000024010000}"/>
    <cellStyle name="20% - Accent2 4 10 2" xfId="4578" xr:uid="{00000000-0005-0000-0000-000025010000}"/>
    <cellStyle name="20% - Accent2 4 11" xfId="82" xr:uid="{00000000-0005-0000-0000-000026010000}"/>
    <cellStyle name="20% - Accent2 4 11 2" xfId="4579" xr:uid="{00000000-0005-0000-0000-000027010000}"/>
    <cellStyle name="20% - Accent2 4 12" xfId="4580" xr:uid="{00000000-0005-0000-0000-000028010000}"/>
    <cellStyle name="20% - Accent2 4 13" xfId="7600" xr:uid="{00000000-0005-0000-0000-000029010000}"/>
    <cellStyle name="20% - Accent2 4 2" xfId="83" xr:uid="{00000000-0005-0000-0000-00002A010000}"/>
    <cellStyle name="20% - Accent2 4 2 2" xfId="4581" xr:uid="{00000000-0005-0000-0000-00002B010000}"/>
    <cellStyle name="20% - Accent2 4 2 3" xfId="41995" xr:uid="{00000000-0005-0000-0000-00002C010000}"/>
    <cellStyle name="20% - Accent2 4 3" xfId="84" xr:uid="{00000000-0005-0000-0000-00002D010000}"/>
    <cellStyle name="20% - Accent2 4 3 2" xfId="4582" xr:uid="{00000000-0005-0000-0000-00002E010000}"/>
    <cellStyle name="20% - Accent2 4 4" xfId="85" xr:uid="{00000000-0005-0000-0000-00002F010000}"/>
    <cellStyle name="20% - Accent2 4 4 2" xfId="4583" xr:uid="{00000000-0005-0000-0000-000030010000}"/>
    <cellStyle name="20% - Accent2 4 5" xfId="86" xr:uid="{00000000-0005-0000-0000-000031010000}"/>
    <cellStyle name="20% - Accent2 4 5 2" xfId="4584" xr:uid="{00000000-0005-0000-0000-000032010000}"/>
    <cellStyle name="20% - Accent2 4 6" xfId="87" xr:uid="{00000000-0005-0000-0000-000033010000}"/>
    <cellStyle name="20% - Accent2 4 6 2" xfId="4585" xr:uid="{00000000-0005-0000-0000-000034010000}"/>
    <cellStyle name="20% - Accent2 4 7" xfId="88" xr:uid="{00000000-0005-0000-0000-000035010000}"/>
    <cellStyle name="20% - Accent2 4 7 2" xfId="4586" xr:uid="{00000000-0005-0000-0000-000036010000}"/>
    <cellStyle name="20% - Accent2 4 8" xfId="89" xr:uid="{00000000-0005-0000-0000-000037010000}"/>
    <cellStyle name="20% - Accent2 4 8 2" xfId="4587" xr:uid="{00000000-0005-0000-0000-000038010000}"/>
    <cellStyle name="20% - Accent2 4 9" xfId="90" xr:uid="{00000000-0005-0000-0000-000039010000}"/>
    <cellStyle name="20% - Accent2 4 9 2" xfId="4588" xr:uid="{00000000-0005-0000-0000-00003A010000}"/>
    <cellStyle name="20% - Accent2 40" xfId="41996" xr:uid="{00000000-0005-0000-0000-00003B010000}"/>
    <cellStyle name="20% - Accent2 41" xfId="41997" xr:uid="{00000000-0005-0000-0000-00003C010000}"/>
    <cellStyle name="20% - Accent2 42" xfId="41998" xr:uid="{00000000-0005-0000-0000-00003D010000}"/>
    <cellStyle name="20% - Accent2 43" xfId="41999" xr:uid="{00000000-0005-0000-0000-00003E010000}"/>
    <cellStyle name="20% - Accent2 5" xfId="91" xr:uid="{00000000-0005-0000-0000-00003F010000}"/>
    <cellStyle name="20% - Accent2 5 10" xfId="92" xr:uid="{00000000-0005-0000-0000-000040010000}"/>
    <cellStyle name="20% - Accent2 5 10 2" xfId="4589" xr:uid="{00000000-0005-0000-0000-000041010000}"/>
    <cellStyle name="20% - Accent2 5 11" xfId="93" xr:uid="{00000000-0005-0000-0000-000042010000}"/>
    <cellStyle name="20% - Accent2 5 11 2" xfId="4590" xr:uid="{00000000-0005-0000-0000-000043010000}"/>
    <cellStyle name="20% - Accent2 5 12" xfId="4591" xr:uid="{00000000-0005-0000-0000-000044010000}"/>
    <cellStyle name="20% - Accent2 5 13" xfId="7601" xr:uid="{00000000-0005-0000-0000-000045010000}"/>
    <cellStyle name="20% - Accent2 5 2" xfId="94" xr:uid="{00000000-0005-0000-0000-000046010000}"/>
    <cellStyle name="20% - Accent2 5 2 2" xfId="4592" xr:uid="{00000000-0005-0000-0000-000047010000}"/>
    <cellStyle name="20% - Accent2 5 2 3" xfId="42000" xr:uid="{00000000-0005-0000-0000-000048010000}"/>
    <cellStyle name="20% - Accent2 5 3" xfId="95" xr:uid="{00000000-0005-0000-0000-000049010000}"/>
    <cellStyle name="20% - Accent2 5 3 2" xfId="4593" xr:uid="{00000000-0005-0000-0000-00004A010000}"/>
    <cellStyle name="20% - Accent2 5 4" xfId="96" xr:uid="{00000000-0005-0000-0000-00004B010000}"/>
    <cellStyle name="20% - Accent2 5 4 2" xfId="4594" xr:uid="{00000000-0005-0000-0000-00004C010000}"/>
    <cellStyle name="20% - Accent2 5 5" xfId="97" xr:uid="{00000000-0005-0000-0000-00004D010000}"/>
    <cellStyle name="20% - Accent2 5 5 2" xfId="4595" xr:uid="{00000000-0005-0000-0000-00004E010000}"/>
    <cellStyle name="20% - Accent2 5 6" xfId="98" xr:uid="{00000000-0005-0000-0000-00004F010000}"/>
    <cellStyle name="20% - Accent2 5 6 2" xfId="4596" xr:uid="{00000000-0005-0000-0000-000050010000}"/>
    <cellStyle name="20% - Accent2 5 7" xfId="99" xr:uid="{00000000-0005-0000-0000-000051010000}"/>
    <cellStyle name="20% - Accent2 5 7 2" xfId="4597" xr:uid="{00000000-0005-0000-0000-000052010000}"/>
    <cellStyle name="20% - Accent2 5 8" xfId="100" xr:uid="{00000000-0005-0000-0000-000053010000}"/>
    <cellStyle name="20% - Accent2 5 8 2" xfId="4598" xr:uid="{00000000-0005-0000-0000-000054010000}"/>
    <cellStyle name="20% - Accent2 5 9" xfId="101" xr:uid="{00000000-0005-0000-0000-000055010000}"/>
    <cellStyle name="20% - Accent2 5 9 2" xfId="4599" xr:uid="{00000000-0005-0000-0000-000056010000}"/>
    <cellStyle name="20% - Accent2 6" xfId="102" xr:uid="{00000000-0005-0000-0000-000057010000}"/>
    <cellStyle name="20% - Accent2 6 10" xfId="103" xr:uid="{00000000-0005-0000-0000-000058010000}"/>
    <cellStyle name="20% - Accent2 6 10 2" xfId="4600" xr:uid="{00000000-0005-0000-0000-000059010000}"/>
    <cellStyle name="20% - Accent2 6 11" xfId="104" xr:uid="{00000000-0005-0000-0000-00005A010000}"/>
    <cellStyle name="20% - Accent2 6 11 2" xfId="4601" xr:uid="{00000000-0005-0000-0000-00005B010000}"/>
    <cellStyle name="20% - Accent2 6 12" xfId="4602" xr:uid="{00000000-0005-0000-0000-00005C010000}"/>
    <cellStyle name="20% - Accent2 6 13" xfId="7602" xr:uid="{00000000-0005-0000-0000-00005D010000}"/>
    <cellStyle name="20% - Accent2 6 2" xfId="105" xr:uid="{00000000-0005-0000-0000-00005E010000}"/>
    <cellStyle name="20% - Accent2 6 2 2" xfId="4603" xr:uid="{00000000-0005-0000-0000-00005F010000}"/>
    <cellStyle name="20% - Accent2 6 2 3" xfId="42001" xr:uid="{00000000-0005-0000-0000-000060010000}"/>
    <cellStyle name="20% - Accent2 6 3" xfId="106" xr:uid="{00000000-0005-0000-0000-000061010000}"/>
    <cellStyle name="20% - Accent2 6 3 2" xfId="4604" xr:uid="{00000000-0005-0000-0000-000062010000}"/>
    <cellStyle name="20% - Accent2 6 4" xfId="107" xr:uid="{00000000-0005-0000-0000-000063010000}"/>
    <cellStyle name="20% - Accent2 6 4 2" xfId="4605" xr:uid="{00000000-0005-0000-0000-000064010000}"/>
    <cellStyle name="20% - Accent2 6 5" xfId="108" xr:uid="{00000000-0005-0000-0000-000065010000}"/>
    <cellStyle name="20% - Accent2 6 5 2" xfId="4606" xr:uid="{00000000-0005-0000-0000-000066010000}"/>
    <cellStyle name="20% - Accent2 6 6" xfId="109" xr:uid="{00000000-0005-0000-0000-000067010000}"/>
    <cellStyle name="20% - Accent2 6 6 2" xfId="4607" xr:uid="{00000000-0005-0000-0000-000068010000}"/>
    <cellStyle name="20% - Accent2 6 7" xfId="110" xr:uid="{00000000-0005-0000-0000-000069010000}"/>
    <cellStyle name="20% - Accent2 6 7 2" xfId="4608" xr:uid="{00000000-0005-0000-0000-00006A010000}"/>
    <cellStyle name="20% - Accent2 6 8" xfId="111" xr:uid="{00000000-0005-0000-0000-00006B010000}"/>
    <cellStyle name="20% - Accent2 6 8 2" xfId="4609" xr:uid="{00000000-0005-0000-0000-00006C010000}"/>
    <cellStyle name="20% - Accent2 6 9" xfId="112" xr:uid="{00000000-0005-0000-0000-00006D010000}"/>
    <cellStyle name="20% - Accent2 6 9 2" xfId="4610" xr:uid="{00000000-0005-0000-0000-00006E010000}"/>
    <cellStyle name="20% - Accent2 7" xfId="113" xr:uid="{00000000-0005-0000-0000-00006F010000}"/>
    <cellStyle name="20% - Accent2 7 2" xfId="4611" xr:uid="{00000000-0005-0000-0000-000070010000}"/>
    <cellStyle name="20% - Accent2 7 2 2" xfId="42003" xr:uid="{00000000-0005-0000-0000-000071010000}"/>
    <cellStyle name="20% - Accent2 7 3" xfId="7603" xr:uid="{00000000-0005-0000-0000-000072010000}"/>
    <cellStyle name="20% - Accent2 7 3 2" xfId="42002" xr:uid="{00000000-0005-0000-0000-000073010000}"/>
    <cellStyle name="20% - Accent2 8" xfId="114" xr:uid="{00000000-0005-0000-0000-000074010000}"/>
    <cellStyle name="20% - Accent2 8 2" xfId="4612" xr:uid="{00000000-0005-0000-0000-000075010000}"/>
    <cellStyle name="20% - Accent2 8 2 2" xfId="42005" xr:uid="{00000000-0005-0000-0000-000076010000}"/>
    <cellStyle name="20% - Accent2 8 3" xfId="7604" xr:uid="{00000000-0005-0000-0000-000077010000}"/>
    <cellStyle name="20% - Accent2 8 3 2" xfId="42004" xr:uid="{00000000-0005-0000-0000-000078010000}"/>
    <cellStyle name="20% - Accent2 9" xfId="3152" xr:uid="{00000000-0005-0000-0000-000079010000}"/>
    <cellStyle name="20% - Accent2 9 2" xfId="4613" xr:uid="{00000000-0005-0000-0000-00007A010000}"/>
    <cellStyle name="20% - Accent3 10" xfId="3153" xr:uid="{00000000-0005-0000-0000-00007B010000}"/>
    <cellStyle name="20% - Accent3 10 2" xfId="4614" xr:uid="{00000000-0005-0000-0000-00007C010000}"/>
    <cellStyle name="20% - Accent3 11" xfId="42006" xr:uid="{00000000-0005-0000-0000-00007D010000}"/>
    <cellStyle name="20% - Accent3 11 2" xfId="42007" xr:uid="{00000000-0005-0000-0000-00007E010000}"/>
    <cellStyle name="20% - Accent3 12" xfId="42008" xr:uid="{00000000-0005-0000-0000-00007F010000}"/>
    <cellStyle name="20% - Accent3 13" xfId="42009" xr:uid="{00000000-0005-0000-0000-000080010000}"/>
    <cellStyle name="20% - Accent3 14" xfId="42010" xr:uid="{00000000-0005-0000-0000-000081010000}"/>
    <cellStyle name="20% - Accent3 15" xfId="42011" xr:uid="{00000000-0005-0000-0000-000082010000}"/>
    <cellStyle name="20% - Accent3 16" xfId="42012" xr:uid="{00000000-0005-0000-0000-000083010000}"/>
    <cellStyle name="20% - Accent3 17" xfId="42013" xr:uid="{00000000-0005-0000-0000-000084010000}"/>
    <cellStyle name="20% - Accent3 18" xfId="42014" xr:uid="{00000000-0005-0000-0000-000085010000}"/>
    <cellStyle name="20% - Accent3 19" xfId="42015" xr:uid="{00000000-0005-0000-0000-000086010000}"/>
    <cellStyle name="20% - Accent3 2" xfId="115" xr:uid="{00000000-0005-0000-0000-000087010000}"/>
    <cellStyle name="20% - Accent3 2 10" xfId="116" xr:uid="{00000000-0005-0000-0000-000088010000}"/>
    <cellStyle name="20% - Accent3 2 10 2" xfId="4615" xr:uid="{00000000-0005-0000-0000-000089010000}"/>
    <cellStyle name="20% - Accent3 2 10 3" xfId="7605" xr:uid="{00000000-0005-0000-0000-00008A010000}"/>
    <cellStyle name="20% - Accent3 2 11" xfId="117" xr:uid="{00000000-0005-0000-0000-00008B010000}"/>
    <cellStyle name="20% - Accent3 2 11 2" xfId="4616" xr:uid="{00000000-0005-0000-0000-00008C010000}"/>
    <cellStyle name="20% - Accent3 2 11 3" xfId="7606" xr:uid="{00000000-0005-0000-0000-00008D010000}"/>
    <cellStyle name="20% - Accent3 2 12" xfId="4617" xr:uid="{00000000-0005-0000-0000-00008E010000}"/>
    <cellStyle name="20% - Accent3 2 12 2" xfId="6288" xr:uid="{00000000-0005-0000-0000-00008F010000}"/>
    <cellStyle name="20% - Accent3 2 12 3" xfId="7607" xr:uid="{00000000-0005-0000-0000-000090010000}"/>
    <cellStyle name="20% - Accent3 2 13" xfId="6289" xr:uid="{00000000-0005-0000-0000-000091010000}"/>
    <cellStyle name="20% - Accent3 2 13 2" xfId="7608" xr:uid="{00000000-0005-0000-0000-000092010000}"/>
    <cellStyle name="20% - Accent3 2 14" xfId="7609" xr:uid="{00000000-0005-0000-0000-000093010000}"/>
    <cellStyle name="20% - Accent3 2 15" xfId="7610" xr:uid="{00000000-0005-0000-0000-000094010000}"/>
    <cellStyle name="20% - Accent3 2 16" xfId="42016" xr:uid="{00000000-0005-0000-0000-000095010000}"/>
    <cellStyle name="20% - Accent3 2 17" xfId="46470" xr:uid="{5D1D9518-65EF-4605-B55A-5F3269842A59}"/>
    <cellStyle name="20% - Accent3 2 2" xfId="118" xr:uid="{00000000-0005-0000-0000-000096010000}"/>
    <cellStyle name="20% - Accent3 2 2 2" xfId="4618" xr:uid="{00000000-0005-0000-0000-000097010000}"/>
    <cellStyle name="20% - Accent3 2 2 3" xfId="7611" xr:uid="{00000000-0005-0000-0000-000098010000}"/>
    <cellStyle name="20% - Accent3 2 3" xfId="119" xr:uid="{00000000-0005-0000-0000-000099010000}"/>
    <cellStyle name="20% - Accent3 2 3 2" xfId="4619" xr:uid="{00000000-0005-0000-0000-00009A010000}"/>
    <cellStyle name="20% - Accent3 2 3 3" xfId="7612" xr:uid="{00000000-0005-0000-0000-00009B010000}"/>
    <cellStyle name="20% - Accent3 2 4" xfId="120" xr:uid="{00000000-0005-0000-0000-00009C010000}"/>
    <cellStyle name="20% - Accent3 2 4 2" xfId="4620" xr:uid="{00000000-0005-0000-0000-00009D010000}"/>
    <cellStyle name="20% - Accent3 2 4 3" xfId="7613" xr:uid="{00000000-0005-0000-0000-00009E010000}"/>
    <cellStyle name="20% - Accent3 2 5" xfId="121" xr:uid="{00000000-0005-0000-0000-00009F010000}"/>
    <cellStyle name="20% - Accent3 2 5 2" xfId="4621" xr:uid="{00000000-0005-0000-0000-0000A0010000}"/>
    <cellStyle name="20% - Accent3 2 5 3" xfId="7614" xr:uid="{00000000-0005-0000-0000-0000A1010000}"/>
    <cellStyle name="20% - Accent3 2 6" xfId="122" xr:uid="{00000000-0005-0000-0000-0000A2010000}"/>
    <cellStyle name="20% - Accent3 2 6 2" xfId="4622" xr:uid="{00000000-0005-0000-0000-0000A3010000}"/>
    <cellStyle name="20% - Accent3 2 6 3" xfId="7615" xr:uid="{00000000-0005-0000-0000-0000A4010000}"/>
    <cellStyle name="20% - Accent3 2 7" xfId="123" xr:uid="{00000000-0005-0000-0000-0000A5010000}"/>
    <cellStyle name="20% - Accent3 2 7 2" xfId="4623" xr:uid="{00000000-0005-0000-0000-0000A6010000}"/>
    <cellStyle name="20% - Accent3 2 7 3" xfId="7616" xr:uid="{00000000-0005-0000-0000-0000A7010000}"/>
    <cellStyle name="20% - Accent3 2 8" xfId="124" xr:uid="{00000000-0005-0000-0000-0000A8010000}"/>
    <cellStyle name="20% - Accent3 2 8 2" xfId="4624" xr:uid="{00000000-0005-0000-0000-0000A9010000}"/>
    <cellStyle name="20% - Accent3 2 8 3" xfId="7617" xr:uid="{00000000-0005-0000-0000-0000AA010000}"/>
    <cellStyle name="20% - Accent3 2 9" xfId="125" xr:uid="{00000000-0005-0000-0000-0000AB010000}"/>
    <cellStyle name="20% - Accent3 2 9 2" xfId="4625" xr:uid="{00000000-0005-0000-0000-0000AC010000}"/>
    <cellStyle name="20% - Accent3 2 9 3" xfId="7618" xr:uid="{00000000-0005-0000-0000-0000AD010000}"/>
    <cellStyle name="20% - Accent3 20" xfId="42017" xr:uid="{00000000-0005-0000-0000-0000AE010000}"/>
    <cellStyle name="20% - Accent3 21" xfId="42018" xr:uid="{00000000-0005-0000-0000-0000AF010000}"/>
    <cellStyle name="20% - Accent3 22" xfId="42019" xr:uid="{00000000-0005-0000-0000-0000B0010000}"/>
    <cellStyle name="20% - Accent3 23" xfId="42020" xr:uid="{00000000-0005-0000-0000-0000B1010000}"/>
    <cellStyle name="20% - Accent3 24" xfId="42021" xr:uid="{00000000-0005-0000-0000-0000B2010000}"/>
    <cellStyle name="20% - Accent3 25" xfId="42022" xr:uid="{00000000-0005-0000-0000-0000B3010000}"/>
    <cellStyle name="20% - Accent3 26" xfId="42023" xr:uid="{00000000-0005-0000-0000-0000B4010000}"/>
    <cellStyle name="20% - Accent3 27" xfId="42024" xr:uid="{00000000-0005-0000-0000-0000B5010000}"/>
    <cellStyle name="20% - Accent3 28" xfId="42025" xr:uid="{00000000-0005-0000-0000-0000B6010000}"/>
    <cellStyle name="20% - Accent3 29" xfId="42026" xr:uid="{00000000-0005-0000-0000-0000B7010000}"/>
    <cellStyle name="20% - Accent3 3" xfId="126" xr:uid="{00000000-0005-0000-0000-0000B8010000}"/>
    <cellStyle name="20% - Accent3 3 10" xfId="127" xr:uid="{00000000-0005-0000-0000-0000B9010000}"/>
    <cellStyle name="20% - Accent3 3 10 2" xfId="4626" xr:uid="{00000000-0005-0000-0000-0000BA010000}"/>
    <cellStyle name="20% - Accent3 3 11" xfId="128" xr:uid="{00000000-0005-0000-0000-0000BB010000}"/>
    <cellStyle name="20% - Accent3 3 11 2" xfId="4627" xr:uid="{00000000-0005-0000-0000-0000BC010000}"/>
    <cellStyle name="20% - Accent3 3 12" xfId="4628" xr:uid="{00000000-0005-0000-0000-0000BD010000}"/>
    <cellStyle name="20% - Accent3 3 13" xfId="7619" xr:uid="{00000000-0005-0000-0000-0000BE010000}"/>
    <cellStyle name="20% - Accent3 3 2" xfId="129" xr:uid="{00000000-0005-0000-0000-0000BF010000}"/>
    <cellStyle name="20% - Accent3 3 2 2" xfId="4629" xr:uid="{00000000-0005-0000-0000-0000C0010000}"/>
    <cellStyle name="20% - Accent3 3 2 3" xfId="42027" xr:uid="{00000000-0005-0000-0000-0000C1010000}"/>
    <cellStyle name="20% - Accent3 3 3" xfId="130" xr:uid="{00000000-0005-0000-0000-0000C2010000}"/>
    <cellStyle name="20% - Accent3 3 3 2" xfId="4630" xr:uid="{00000000-0005-0000-0000-0000C3010000}"/>
    <cellStyle name="20% - Accent3 3 4" xfId="131" xr:uid="{00000000-0005-0000-0000-0000C4010000}"/>
    <cellStyle name="20% - Accent3 3 4 2" xfId="4631" xr:uid="{00000000-0005-0000-0000-0000C5010000}"/>
    <cellStyle name="20% - Accent3 3 5" xfId="132" xr:uid="{00000000-0005-0000-0000-0000C6010000}"/>
    <cellStyle name="20% - Accent3 3 5 2" xfId="4632" xr:uid="{00000000-0005-0000-0000-0000C7010000}"/>
    <cellStyle name="20% - Accent3 3 6" xfId="133" xr:uid="{00000000-0005-0000-0000-0000C8010000}"/>
    <cellStyle name="20% - Accent3 3 6 2" xfId="4633" xr:uid="{00000000-0005-0000-0000-0000C9010000}"/>
    <cellStyle name="20% - Accent3 3 7" xfId="134" xr:uid="{00000000-0005-0000-0000-0000CA010000}"/>
    <cellStyle name="20% - Accent3 3 7 2" xfId="4634" xr:uid="{00000000-0005-0000-0000-0000CB010000}"/>
    <cellStyle name="20% - Accent3 3 8" xfId="135" xr:uid="{00000000-0005-0000-0000-0000CC010000}"/>
    <cellStyle name="20% - Accent3 3 8 2" xfId="4635" xr:uid="{00000000-0005-0000-0000-0000CD010000}"/>
    <cellStyle name="20% - Accent3 3 9" xfId="136" xr:uid="{00000000-0005-0000-0000-0000CE010000}"/>
    <cellStyle name="20% - Accent3 3 9 2" xfId="4636" xr:uid="{00000000-0005-0000-0000-0000CF010000}"/>
    <cellStyle name="20% - Accent3 30" xfId="42028" xr:uid="{00000000-0005-0000-0000-0000D0010000}"/>
    <cellStyle name="20% - Accent3 31" xfId="42029" xr:uid="{00000000-0005-0000-0000-0000D1010000}"/>
    <cellStyle name="20% - Accent3 32" xfId="42030" xr:uid="{00000000-0005-0000-0000-0000D2010000}"/>
    <cellStyle name="20% - Accent3 33" xfId="42031" xr:uid="{00000000-0005-0000-0000-0000D3010000}"/>
    <cellStyle name="20% - Accent3 34" xfId="42032" xr:uid="{00000000-0005-0000-0000-0000D4010000}"/>
    <cellStyle name="20% - Accent3 35" xfId="42033" xr:uid="{00000000-0005-0000-0000-0000D5010000}"/>
    <cellStyle name="20% - Accent3 36" xfId="42034" xr:uid="{00000000-0005-0000-0000-0000D6010000}"/>
    <cellStyle name="20% - Accent3 37" xfId="42035" xr:uid="{00000000-0005-0000-0000-0000D7010000}"/>
    <cellStyle name="20% - Accent3 38" xfId="42036" xr:uid="{00000000-0005-0000-0000-0000D8010000}"/>
    <cellStyle name="20% - Accent3 39" xfId="42037" xr:uid="{00000000-0005-0000-0000-0000D9010000}"/>
    <cellStyle name="20% - Accent3 4" xfId="137" xr:uid="{00000000-0005-0000-0000-0000DA010000}"/>
    <cellStyle name="20% - Accent3 4 10" xfId="138" xr:uid="{00000000-0005-0000-0000-0000DB010000}"/>
    <cellStyle name="20% - Accent3 4 10 2" xfId="4637" xr:uid="{00000000-0005-0000-0000-0000DC010000}"/>
    <cellStyle name="20% - Accent3 4 11" xfId="139" xr:uid="{00000000-0005-0000-0000-0000DD010000}"/>
    <cellStyle name="20% - Accent3 4 11 2" xfId="4638" xr:uid="{00000000-0005-0000-0000-0000DE010000}"/>
    <cellStyle name="20% - Accent3 4 12" xfId="4639" xr:uid="{00000000-0005-0000-0000-0000DF010000}"/>
    <cellStyle name="20% - Accent3 4 13" xfId="7620" xr:uid="{00000000-0005-0000-0000-0000E0010000}"/>
    <cellStyle name="20% - Accent3 4 2" xfId="140" xr:uid="{00000000-0005-0000-0000-0000E1010000}"/>
    <cellStyle name="20% - Accent3 4 2 2" xfId="4640" xr:uid="{00000000-0005-0000-0000-0000E2010000}"/>
    <cellStyle name="20% - Accent3 4 2 3" xfId="42038" xr:uid="{00000000-0005-0000-0000-0000E3010000}"/>
    <cellStyle name="20% - Accent3 4 3" xfId="141" xr:uid="{00000000-0005-0000-0000-0000E4010000}"/>
    <cellStyle name="20% - Accent3 4 3 2" xfId="4641" xr:uid="{00000000-0005-0000-0000-0000E5010000}"/>
    <cellStyle name="20% - Accent3 4 4" xfId="142" xr:uid="{00000000-0005-0000-0000-0000E6010000}"/>
    <cellStyle name="20% - Accent3 4 4 2" xfId="4642" xr:uid="{00000000-0005-0000-0000-0000E7010000}"/>
    <cellStyle name="20% - Accent3 4 5" xfId="143" xr:uid="{00000000-0005-0000-0000-0000E8010000}"/>
    <cellStyle name="20% - Accent3 4 5 2" xfId="4643" xr:uid="{00000000-0005-0000-0000-0000E9010000}"/>
    <cellStyle name="20% - Accent3 4 6" xfId="144" xr:uid="{00000000-0005-0000-0000-0000EA010000}"/>
    <cellStyle name="20% - Accent3 4 6 2" xfId="4644" xr:uid="{00000000-0005-0000-0000-0000EB010000}"/>
    <cellStyle name="20% - Accent3 4 7" xfId="145" xr:uid="{00000000-0005-0000-0000-0000EC010000}"/>
    <cellStyle name="20% - Accent3 4 7 2" xfId="4645" xr:uid="{00000000-0005-0000-0000-0000ED010000}"/>
    <cellStyle name="20% - Accent3 4 8" xfId="146" xr:uid="{00000000-0005-0000-0000-0000EE010000}"/>
    <cellStyle name="20% - Accent3 4 8 2" xfId="4646" xr:uid="{00000000-0005-0000-0000-0000EF010000}"/>
    <cellStyle name="20% - Accent3 4 9" xfId="147" xr:uid="{00000000-0005-0000-0000-0000F0010000}"/>
    <cellStyle name="20% - Accent3 4 9 2" xfId="4647" xr:uid="{00000000-0005-0000-0000-0000F1010000}"/>
    <cellStyle name="20% - Accent3 40" xfId="42039" xr:uid="{00000000-0005-0000-0000-0000F2010000}"/>
    <cellStyle name="20% - Accent3 41" xfId="42040" xr:uid="{00000000-0005-0000-0000-0000F3010000}"/>
    <cellStyle name="20% - Accent3 42" xfId="42041" xr:uid="{00000000-0005-0000-0000-0000F4010000}"/>
    <cellStyle name="20% - Accent3 43" xfId="42042" xr:uid="{00000000-0005-0000-0000-0000F5010000}"/>
    <cellStyle name="20% - Accent3 5" xfId="148" xr:uid="{00000000-0005-0000-0000-0000F6010000}"/>
    <cellStyle name="20% - Accent3 5 10" xfId="149" xr:uid="{00000000-0005-0000-0000-0000F7010000}"/>
    <cellStyle name="20% - Accent3 5 10 2" xfId="4648" xr:uid="{00000000-0005-0000-0000-0000F8010000}"/>
    <cellStyle name="20% - Accent3 5 11" xfId="150" xr:uid="{00000000-0005-0000-0000-0000F9010000}"/>
    <cellStyle name="20% - Accent3 5 11 2" xfId="4649" xr:uid="{00000000-0005-0000-0000-0000FA010000}"/>
    <cellStyle name="20% - Accent3 5 12" xfId="4650" xr:uid="{00000000-0005-0000-0000-0000FB010000}"/>
    <cellStyle name="20% - Accent3 5 13" xfId="7621" xr:uid="{00000000-0005-0000-0000-0000FC010000}"/>
    <cellStyle name="20% - Accent3 5 2" xfId="151" xr:uid="{00000000-0005-0000-0000-0000FD010000}"/>
    <cellStyle name="20% - Accent3 5 2 2" xfId="4651" xr:uid="{00000000-0005-0000-0000-0000FE010000}"/>
    <cellStyle name="20% - Accent3 5 2 3" xfId="42043" xr:uid="{00000000-0005-0000-0000-0000FF010000}"/>
    <cellStyle name="20% - Accent3 5 3" xfId="152" xr:uid="{00000000-0005-0000-0000-000000020000}"/>
    <cellStyle name="20% - Accent3 5 3 2" xfId="4652" xr:uid="{00000000-0005-0000-0000-000001020000}"/>
    <cellStyle name="20% - Accent3 5 4" xfId="153" xr:uid="{00000000-0005-0000-0000-000002020000}"/>
    <cellStyle name="20% - Accent3 5 4 2" xfId="4653" xr:uid="{00000000-0005-0000-0000-000003020000}"/>
    <cellStyle name="20% - Accent3 5 5" xfId="154" xr:uid="{00000000-0005-0000-0000-000004020000}"/>
    <cellStyle name="20% - Accent3 5 5 2" xfId="4654" xr:uid="{00000000-0005-0000-0000-000005020000}"/>
    <cellStyle name="20% - Accent3 5 6" xfId="155" xr:uid="{00000000-0005-0000-0000-000006020000}"/>
    <cellStyle name="20% - Accent3 5 6 2" xfId="4655" xr:uid="{00000000-0005-0000-0000-000007020000}"/>
    <cellStyle name="20% - Accent3 5 7" xfId="156" xr:uid="{00000000-0005-0000-0000-000008020000}"/>
    <cellStyle name="20% - Accent3 5 7 2" xfId="4656" xr:uid="{00000000-0005-0000-0000-000009020000}"/>
    <cellStyle name="20% - Accent3 5 8" xfId="157" xr:uid="{00000000-0005-0000-0000-00000A020000}"/>
    <cellStyle name="20% - Accent3 5 8 2" xfId="4657" xr:uid="{00000000-0005-0000-0000-00000B020000}"/>
    <cellStyle name="20% - Accent3 5 9" xfId="158" xr:uid="{00000000-0005-0000-0000-00000C020000}"/>
    <cellStyle name="20% - Accent3 5 9 2" xfId="4658" xr:uid="{00000000-0005-0000-0000-00000D020000}"/>
    <cellStyle name="20% - Accent3 6" xfId="159" xr:uid="{00000000-0005-0000-0000-00000E020000}"/>
    <cellStyle name="20% - Accent3 6 10" xfId="160" xr:uid="{00000000-0005-0000-0000-00000F020000}"/>
    <cellStyle name="20% - Accent3 6 10 2" xfId="4659" xr:uid="{00000000-0005-0000-0000-000010020000}"/>
    <cellStyle name="20% - Accent3 6 11" xfId="161" xr:uid="{00000000-0005-0000-0000-000011020000}"/>
    <cellStyle name="20% - Accent3 6 11 2" xfId="4660" xr:uid="{00000000-0005-0000-0000-000012020000}"/>
    <cellStyle name="20% - Accent3 6 12" xfId="4661" xr:uid="{00000000-0005-0000-0000-000013020000}"/>
    <cellStyle name="20% - Accent3 6 13" xfId="7622" xr:uid="{00000000-0005-0000-0000-000014020000}"/>
    <cellStyle name="20% - Accent3 6 2" xfId="162" xr:uid="{00000000-0005-0000-0000-000015020000}"/>
    <cellStyle name="20% - Accent3 6 2 2" xfId="4662" xr:uid="{00000000-0005-0000-0000-000016020000}"/>
    <cellStyle name="20% - Accent3 6 2 3" xfId="42044" xr:uid="{00000000-0005-0000-0000-000017020000}"/>
    <cellStyle name="20% - Accent3 6 3" xfId="163" xr:uid="{00000000-0005-0000-0000-000018020000}"/>
    <cellStyle name="20% - Accent3 6 3 2" xfId="4663" xr:uid="{00000000-0005-0000-0000-000019020000}"/>
    <cellStyle name="20% - Accent3 6 4" xfId="164" xr:uid="{00000000-0005-0000-0000-00001A020000}"/>
    <cellStyle name="20% - Accent3 6 4 2" xfId="4664" xr:uid="{00000000-0005-0000-0000-00001B020000}"/>
    <cellStyle name="20% - Accent3 6 5" xfId="165" xr:uid="{00000000-0005-0000-0000-00001C020000}"/>
    <cellStyle name="20% - Accent3 6 5 2" xfId="4665" xr:uid="{00000000-0005-0000-0000-00001D020000}"/>
    <cellStyle name="20% - Accent3 6 6" xfId="166" xr:uid="{00000000-0005-0000-0000-00001E020000}"/>
    <cellStyle name="20% - Accent3 6 6 2" xfId="4666" xr:uid="{00000000-0005-0000-0000-00001F020000}"/>
    <cellStyle name="20% - Accent3 6 7" xfId="167" xr:uid="{00000000-0005-0000-0000-000020020000}"/>
    <cellStyle name="20% - Accent3 6 7 2" xfId="4667" xr:uid="{00000000-0005-0000-0000-000021020000}"/>
    <cellStyle name="20% - Accent3 6 8" xfId="168" xr:uid="{00000000-0005-0000-0000-000022020000}"/>
    <cellStyle name="20% - Accent3 6 8 2" xfId="4668" xr:uid="{00000000-0005-0000-0000-000023020000}"/>
    <cellStyle name="20% - Accent3 6 9" xfId="169" xr:uid="{00000000-0005-0000-0000-000024020000}"/>
    <cellStyle name="20% - Accent3 6 9 2" xfId="4669" xr:uid="{00000000-0005-0000-0000-000025020000}"/>
    <cellStyle name="20% - Accent3 7" xfId="170" xr:uid="{00000000-0005-0000-0000-000026020000}"/>
    <cellStyle name="20% - Accent3 7 2" xfId="4670" xr:uid="{00000000-0005-0000-0000-000027020000}"/>
    <cellStyle name="20% - Accent3 7 2 2" xfId="42046" xr:uid="{00000000-0005-0000-0000-000028020000}"/>
    <cellStyle name="20% - Accent3 7 3" xfId="7623" xr:uid="{00000000-0005-0000-0000-000029020000}"/>
    <cellStyle name="20% - Accent3 7 3 2" xfId="42045" xr:uid="{00000000-0005-0000-0000-00002A020000}"/>
    <cellStyle name="20% - Accent3 8" xfId="171" xr:uid="{00000000-0005-0000-0000-00002B020000}"/>
    <cellStyle name="20% - Accent3 8 2" xfId="4671" xr:uid="{00000000-0005-0000-0000-00002C020000}"/>
    <cellStyle name="20% - Accent3 8 2 2" xfId="42048" xr:uid="{00000000-0005-0000-0000-00002D020000}"/>
    <cellStyle name="20% - Accent3 8 3" xfId="7624" xr:uid="{00000000-0005-0000-0000-00002E020000}"/>
    <cellStyle name="20% - Accent3 8 3 2" xfId="42047" xr:uid="{00000000-0005-0000-0000-00002F020000}"/>
    <cellStyle name="20% - Accent3 9" xfId="3154" xr:uid="{00000000-0005-0000-0000-000030020000}"/>
    <cellStyle name="20% - Accent3 9 2" xfId="4672" xr:uid="{00000000-0005-0000-0000-000031020000}"/>
    <cellStyle name="20% - Accent4 10" xfId="3155" xr:uid="{00000000-0005-0000-0000-000032020000}"/>
    <cellStyle name="20% - Accent4 10 2" xfId="4673" xr:uid="{00000000-0005-0000-0000-000033020000}"/>
    <cellStyle name="20% - Accent4 11" xfId="42049" xr:uid="{00000000-0005-0000-0000-000034020000}"/>
    <cellStyle name="20% - Accent4 11 2" xfId="42050" xr:uid="{00000000-0005-0000-0000-000035020000}"/>
    <cellStyle name="20% - Accent4 12" xfId="42051" xr:uid="{00000000-0005-0000-0000-000036020000}"/>
    <cellStyle name="20% - Accent4 13" xfId="42052" xr:uid="{00000000-0005-0000-0000-000037020000}"/>
    <cellStyle name="20% - Accent4 14" xfId="42053" xr:uid="{00000000-0005-0000-0000-000038020000}"/>
    <cellStyle name="20% - Accent4 15" xfId="42054" xr:uid="{00000000-0005-0000-0000-000039020000}"/>
    <cellStyle name="20% - Accent4 16" xfId="42055" xr:uid="{00000000-0005-0000-0000-00003A020000}"/>
    <cellStyle name="20% - Accent4 17" xfId="42056" xr:uid="{00000000-0005-0000-0000-00003B020000}"/>
    <cellStyle name="20% - Accent4 18" xfId="42057" xr:uid="{00000000-0005-0000-0000-00003C020000}"/>
    <cellStyle name="20% - Accent4 19" xfId="42058" xr:uid="{00000000-0005-0000-0000-00003D020000}"/>
    <cellStyle name="20% - Accent4 2" xfId="172" xr:uid="{00000000-0005-0000-0000-00003E020000}"/>
    <cellStyle name="20% - Accent4 2 10" xfId="173" xr:uid="{00000000-0005-0000-0000-00003F020000}"/>
    <cellStyle name="20% - Accent4 2 10 2" xfId="4674" xr:uid="{00000000-0005-0000-0000-000040020000}"/>
    <cellStyle name="20% - Accent4 2 10 3" xfId="7625" xr:uid="{00000000-0005-0000-0000-000041020000}"/>
    <cellStyle name="20% - Accent4 2 11" xfId="174" xr:uid="{00000000-0005-0000-0000-000042020000}"/>
    <cellStyle name="20% - Accent4 2 11 2" xfId="4675" xr:uid="{00000000-0005-0000-0000-000043020000}"/>
    <cellStyle name="20% - Accent4 2 11 3" xfId="7626" xr:uid="{00000000-0005-0000-0000-000044020000}"/>
    <cellStyle name="20% - Accent4 2 12" xfId="4676" xr:uid="{00000000-0005-0000-0000-000045020000}"/>
    <cellStyle name="20% - Accent4 2 12 2" xfId="6290" xr:uid="{00000000-0005-0000-0000-000046020000}"/>
    <cellStyle name="20% - Accent4 2 12 3" xfId="7627" xr:uid="{00000000-0005-0000-0000-000047020000}"/>
    <cellStyle name="20% - Accent4 2 13" xfId="6291" xr:uid="{00000000-0005-0000-0000-000048020000}"/>
    <cellStyle name="20% - Accent4 2 13 2" xfId="7628" xr:uid="{00000000-0005-0000-0000-000049020000}"/>
    <cellStyle name="20% - Accent4 2 14" xfId="7629" xr:uid="{00000000-0005-0000-0000-00004A020000}"/>
    <cellStyle name="20% - Accent4 2 15" xfId="7630" xr:uid="{00000000-0005-0000-0000-00004B020000}"/>
    <cellStyle name="20% - Accent4 2 16" xfId="42059" xr:uid="{00000000-0005-0000-0000-00004C020000}"/>
    <cellStyle name="20% - Accent4 2 17" xfId="46471" xr:uid="{7546F70D-A82D-4891-90DE-9D17ECB49503}"/>
    <cellStyle name="20% - Accent4 2 2" xfId="175" xr:uid="{00000000-0005-0000-0000-00004D020000}"/>
    <cellStyle name="20% - Accent4 2 2 2" xfId="4677" xr:uid="{00000000-0005-0000-0000-00004E020000}"/>
    <cellStyle name="20% - Accent4 2 2 3" xfId="7631" xr:uid="{00000000-0005-0000-0000-00004F020000}"/>
    <cellStyle name="20% - Accent4 2 3" xfId="176" xr:uid="{00000000-0005-0000-0000-000050020000}"/>
    <cellStyle name="20% - Accent4 2 3 2" xfId="4678" xr:uid="{00000000-0005-0000-0000-000051020000}"/>
    <cellStyle name="20% - Accent4 2 3 3" xfId="7632" xr:uid="{00000000-0005-0000-0000-000052020000}"/>
    <cellStyle name="20% - Accent4 2 4" xfId="177" xr:uid="{00000000-0005-0000-0000-000053020000}"/>
    <cellStyle name="20% - Accent4 2 4 2" xfId="4679" xr:uid="{00000000-0005-0000-0000-000054020000}"/>
    <cellStyle name="20% - Accent4 2 4 3" xfId="7633" xr:uid="{00000000-0005-0000-0000-000055020000}"/>
    <cellStyle name="20% - Accent4 2 5" xfId="178" xr:uid="{00000000-0005-0000-0000-000056020000}"/>
    <cellStyle name="20% - Accent4 2 5 2" xfId="4680" xr:uid="{00000000-0005-0000-0000-000057020000}"/>
    <cellStyle name="20% - Accent4 2 5 3" xfId="7634" xr:uid="{00000000-0005-0000-0000-000058020000}"/>
    <cellStyle name="20% - Accent4 2 6" xfId="179" xr:uid="{00000000-0005-0000-0000-000059020000}"/>
    <cellStyle name="20% - Accent4 2 6 2" xfId="4681" xr:uid="{00000000-0005-0000-0000-00005A020000}"/>
    <cellStyle name="20% - Accent4 2 6 3" xfId="7635" xr:uid="{00000000-0005-0000-0000-00005B020000}"/>
    <cellStyle name="20% - Accent4 2 7" xfId="180" xr:uid="{00000000-0005-0000-0000-00005C020000}"/>
    <cellStyle name="20% - Accent4 2 7 2" xfId="4682" xr:uid="{00000000-0005-0000-0000-00005D020000}"/>
    <cellStyle name="20% - Accent4 2 7 3" xfId="7636" xr:uid="{00000000-0005-0000-0000-00005E020000}"/>
    <cellStyle name="20% - Accent4 2 8" xfId="181" xr:uid="{00000000-0005-0000-0000-00005F020000}"/>
    <cellStyle name="20% - Accent4 2 8 2" xfId="4683" xr:uid="{00000000-0005-0000-0000-000060020000}"/>
    <cellStyle name="20% - Accent4 2 8 3" xfId="7637" xr:uid="{00000000-0005-0000-0000-000061020000}"/>
    <cellStyle name="20% - Accent4 2 9" xfId="182" xr:uid="{00000000-0005-0000-0000-000062020000}"/>
    <cellStyle name="20% - Accent4 2 9 2" xfId="4684" xr:uid="{00000000-0005-0000-0000-000063020000}"/>
    <cellStyle name="20% - Accent4 2 9 3" xfId="7638" xr:uid="{00000000-0005-0000-0000-000064020000}"/>
    <cellStyle name="20% - Accent4 20" xfId="42060" xr:uid="{00000000-0005-0000-0000-000065020000}"/>
    <cellStyle name="20% - Accent4 21" xfId="42061" xr:uid="{00000000-0005-0000-0000-000066020000}"/>
    <cellStyle name="20% - Accent4 22" xfId="42062" xr:uid="{00000000-0005-0000-0000-000067020000}"/>
    <cellStyle name="20% - Accent4 23" xfId="42063" xr:uid="{00000000-0005-0000-0000-000068020000}"/>
    <cellStyle name="20% - Accent4 24" xfId="42064" xr:uid="{00000000-0005-0000-0000-000069020000}"/>
    <cellStyle name="20% - Accent4 25" xfId="42065" xr:uid="{00000000-0005-0000-0000-00006A020000}"/>
    <cellStyle name="20% - Accent4 26" xfId="42066" xr:uid="{00000000-0005-0000-0000-00006B020000}"/>
    <cellStyle name="20% - Accent4 27" xfId="42067" xr:uid="{00000000-0005-0000-0000-00006C020000}"/>
    <cellStyle name="20% - Accent4 28" xfId="42068" xr:uid="{00000000-0005-0000-0000-00006D020000}"/>
    <cellStyle name="20% - Accent4 29" xfId="42069" xr:uid="{00000000-0005-0000-0000-00006E020000}"/>
    <cellStyle name="20% - Accent4 3" xfId="183" xr:uid="{00000000-0005-0000-0000-00006F020000}"/>
    <cellStyle name="20% - Accent4 3 10" xfId="184" xr:uid="{00000000-0005-0000-0000-000070020000}"/>
    <cellStyle name="20% - Accent4 3 10 2" xfId="4685" xr:uid="{00000000-0005-0000-0000-000071020000}"/>
    <cellStyle name="20% - Accent4 3 11" xfId="185" xr:uid="{00000000-0005-0000-0000-000072020000}"/>
    <cellStyle name="20% - Accent4 3 11 2" xfId="4686" xr:uid="{00000000-0005-0000-0000-000073020000}"/>
    <cellStyle name="20% - Accent4 3 12" xfId="4687" xr:uid="{00000000-0005-0000-0000-000074020000}"/>
    <cellStyle name="20% - Accent4 3 13" xfId="7639" xr:uid="{00000000-0005-0000-0000-000075020000}"/>
    <cellStyle name="20% - Accent4 3 2" xfId="186" xr:uid="{00000000-0005-0000-0000-000076020000}"/>
    <cellStyle name="20% - Accent4 3 2 2" xfId="4688" xr:uid="{00000000-0005-0000-0000-000077020000}"/>
    <cellStyle name="20% - Accent4 3 2 3" xfId="42070" xr:uid="{00000000-0005-0000-0000-000078020000}"/>
    <cellStyle name="20% - Accent4 3 3" xfId="187" xr:uid="{00000000-0005-0000-0000-000079020000}"/>
    <cellStyle name="20% - Accent4 3 3 2" xfId="4689" xr:uid="{00000000-0005-0000-0000-00007A020000}"/>
    <cellStyle name="20% - Accent4 3 4" xfId="188" xr:uid="{00000000-0005-0000-0000-00007B020000}"/>
    <cellStyle name="20% - Accent4 3 4 2" xfId="4690" xr:uid="{00000000-0005-0000-0000-00007C020000}"/>
    <cellStyle name="20% - Accent4 3 5" xfId="189" xr:uid="{00000000-0005-0000-0000-00007D020000}"/>
    <cellStyle name="20% - Accent4 3 5 2" xfId="4691" xr:uid="{00000000-0005-0000-0000-00007E020000}"/>
    <cellStyle name="20% - Accent4 3 6" xfId="190" xr:uid="{00000000-0005-0000-0000-00007F020000}"/>
    <cellStyle name="20% - Accent4 3 6 2" xfId="4692" xr:uid="{00000000-0005-0000-0000-000080020000}"/>
    <cellStyle name="20% - Accent4 3 7" xfId="191" xr:uid="{00000000-0005-0000-0000-000081020000}"/>
    <cellStyle name="20% - Accent4 3 7 2" xfId="4693" xr:uid="{00000000-0005-0000-0000-000082020000}"/>
    <cellStyle name="20% - Accent4 3 8" xfId="192" xr:uid="{00000000-0005-0000-0000-000083020000}"/>
    <cellStyle name="20% - Accent4 3 8 2" xfId="4694" xr:uid="{00000000-0005-0000-0000-000084020000}"/>
    <cellStyle name="20% - Accent4 3 9" xfId="193" xr:uid="{00000000-0005-0000-0000-000085020000}"/>
    <cellStyle name="20% - Accent4 3 9 2" xfId="4695" xr:uid="{00000000-0005-0000-0000-000086020000}"/>
    <cellStyle name="20% - Accent4 30" xfId="42071" xr:uid="{00000000-0005-0000-0000-000087020000}"/>
    <cellStyle name="20% - Accent4 31" xfId="42072" xr:uid="{00000000-0005-0000-0000-000088020000}"/>
    <cellStyle name="20% - Accent4 32" xfId="42073" xr:uid="{00000000-0005-0000-0000-000089020000}"/>
    <cellStyle name="20% - Accent4 33" xfId="42074" xr:uid="{00000000-0005-0000-0000-00008A020000}"/>
    <cellStyle name="20% - Accent4 34" xfId="42075" xr:uid="{00000000-0005-0000-0000-00008B020000}"/>
    <cellStyle name="20% - Accent4 35" xfId="42076" xr:uid="{00000000-0005-0000-0000-00008C020000}"/>
    <cellStyle name="20% - Accent4 36" xfId="42077" xr:uid="{00000000-0005-0000-0000-00008D020000}"/>
    <cellStyle name="20% - Accent4 37" xfId="42078" xr:uid="{00000000-0005-0000-0000-00008E020000}"/>
    <cellStyle name="20% - Accent4 38" xfId="42079" xr:uid="{00000000-0005-0000-0000-00008F020000}"/>
    <cellStyle name="20% - Accent4 39" xfId="42080" xr:uid="{00000000-0005-0000-0000-000090020000}"/>
    <cellStyle name="20% - Accent4 4" xfId="194" xr:uid="{00000000-0005-0000-0000-000091020000}"/>
    <cellStyle name="20% - Accent4 4 10" xfId="195" xr:uid="{00000000-0005-0000-0000-000092020000}"/>
    <cellStyle name="20% - Accent4 4 10 2" xfId="4696" xr:uid="{00000000-0005-0000-0000-000093020000}"/>
    <cellStyle name="20% - Accent4 4 11" xfId="196" xr:uid="{00000000-0005-0000-0000-000094020000}"/>
    <cellStyle name="20% - Accent4 4 11 2" xfId="4697" xr:uid="{00000000-0005-0000-0000-000095020000}"/>
    <cellStyle name="20% - Accent4 4 12" xfId="4698" xr:uid="{00000000-0005-0000-0000-000096020000}"/>
    <cellStyle name="20% - Accent4 4 13" xfId="7640" xr:uid="{00000000-0005-0000-0000-000097020000}"/>
    <cellStyle name="20% - Accent4 4 2" xfId="197" xr:uid="{00000000-0005-0000-0000-000098020000}"/>
    <cellStyle name="20% - Accent4 4 2 2" xfId="4699" xr:uid="{00000000-0005-0000-0000-000099020000}"/>
    <cellStyle name="20% - Accent4 4 2 3" xfId="42081" xr:uid="{00000000-0005-0000-0000-00009A020000}"/>
    <cellStyle name="20% - Accent4 4 3" xfId="198" xr:uid="{00000000-0005-0000-0000-00009B020000}"/>
    <cellStyle name="20% - Accent4 4 3 2" xfId="4700" xr:uid="{00000000-0005-0000-0000-00009C020000}"/>
    <cellStyle name="20% - Accent4 4 4" xfId="199" xr:uid="{00000000-0005-0000-0000-00009D020000}"/>
    <cellStyle name="20% - Accent4 4 4 2" xfId="4701" xr:uid="{00000000-0005-0000-0000-00009E020000}"/>
    <cellStyle name="20% - Accent4 4 5" xfId="200" xr:uid="{00000000-0005-0000-0000-00009F020000}"/>
    <cellStyle name="20% - Accent4 4 5 2" xfId="4702" xr:uid="{00000000-0005-0000-0000-0000A0020000}"/>
    <cellStyle name="20% - Accent4 4 6" xfId="201" xr:uid="{00000000-0005-0000-0000-0000A1020000}"/>
    <cellStyle name="20% - Accent4 4 6 2" xfId="4703" xr:uid="{00000000-0005-0000-0000-0000A2020000}"/>
    <cellStyle name="20% - Accent4 4 7" xfId="202" xr:uid="{00000000-0005-0000-0000-0000A3020000}"/>
    <cellStyle name="20% - Accent4 4 7 2" xfId="4704" xr:uid="{00000000-0005-0000-0000-0000A4020000}"/>
    <cellStyle name="20% - Accent4 4 8" xfId="203" xr:uid="{00000000-0005-0000-0000-0000A5020000}"/>
    <cellStyle name="20% - Accent4 4 8 2" xfId="4705" xr:uid="{00000000-0005-0000-0000-0000A6020000}"/>
    <cellStyle name="20% - Accent4 4 9" xfId="204" xr:uid="{00000000-0005-0000-0000-0000A7020000}"/>
    <cellStyle name="20% - Accent4 4 9 2" xfId="4706" xr:uid="{00000000-0005-0000-0000-0000A8020000}"/>
    <cellStyle name="20% - Accent4 40" xfId="42082" xr:uid="{00000000-0005-0000-0000-0000A9020000}"/>
    <cellStyle name="20% - Accent4 41" xfId="42083" xr:uid="{00000000-0005-0000-0000-0000AA020000}"/>
    <cellStyle name="20% - Accent4 42" xfId="42084" xr:uid="{00000000-0005-0000-0000-0000AB020000}"/>
    <cellStyle name="20% - Accent4 43" xfId="42085" xr:uid="{00000000-0005-0000-0000-0000AC020000}"/>
    <cellStyle name="20% - Accent4 5" xfId="205" xr:uid="{00000000-0005-0000-0000-0000AD020000}"/>
    <cellStyle name="20% - Accent4 5 10" xfId="206" xr:uid="{00000000-0005-0000-0000-0000AE020000}"/>
    <cellStyle name="20% - Accent4 5 10 2" xfId="4707" xr:uid="{00000000-0005-0000-0000-0000AF020000}"/>
    <cellStyle name="20% - Accent4 5 11" xfId="207" xr:uid="{00000000-0005-0000-0000-0000B0020000}"/>
    <cellStyle name="20% - Accent4 5 11 2" xfId="4708" xr:uid="{00000000-0005-0000-0000-0000B1020000}"/>
    <cellStyle name="20% - Accent4 5 12" xfId="4709" xr:uid="{00000000-0005-0000-0000-0000B2020000}"/>
    <cellStyle name="20% - Accent4 5 13" xfId="7641" xr:uid="{00000000-0005-0000-0000-0000B3020000}"/>
    <cellStyle name="20% - Accent4 5 2" xfId="208" xr:uid="{00000000-0005-0000-0000-0000B4020000}"/>
    <cellStyle name="20% - Accent4 5 2 2" xfId="4710" xr:uid="{00000000-0005-0000-0000-0000B5020000}"/>
    <cellStyle name="20% - Accent4 5 2 3" xfId="42086" xr:uid="{00000000-0005-0000-0000-0000B6020000}"/>
    <cellStyle name="20% - Accent4 5 3" xfId="209" xr:uid="{00000000-0005-0000-0000-0000B7020000}"/>
    <cellStyle name="20% - Accent4 5 3 2" xfId="4711" xr:uid="{00000000-0005-0000-0000-0000B8020000}"/>
    <cellStyle name="20% - Accent4 5 4" xfId="210" xr:uid="{00000000-0005-0000-0000-0000B9020000}"/>
    <cellStyle name="20% - Accent4 5 4 2" xfId="4712" xr:uid="{00000000-0005-0000-0000-0000BA020000}"/>
    <cellStyle name="20% - Accent4 5 5" xfId="211" xr:uid="{00000000-0005-0000-0000-0000BB020000}"/>
    <cellStyle name="20% - Accent4 5 5 2" xfId="4713" xr:uid="{00000000-0005-0000-0000-0000BC020000}"/>
    <cellStyle name="20% - Accent4 5 6" xfId="212" xr:uid="{00000000-0005-0000-0000-0000BD020000}"/>
    <cellStyle name="20% - Accent4 5 6 2" xfId="4714" xr:uid="{00000000-0005-0000-0000-0000BE020000}"/>
    <cellStyle name="20% - Accent4 5 7" xfId="213" xr:uid="{00000000-0005-0000-0000-0000BF020000}"/>
    <cellStyle name="20% - Accent4 5 7 2" xfId="4715" xr:uid="{00000000-0005-0000-0000-0000C0020000}"/>
    <cellStyle name="20% - Accent4 5 8" xfId="214" xr:uid="{00000000-0005-0000-0000-0000C1020000}"/>
    <cellStyle name="20% - Accent4 5 8 2" xfId="4716" xr:uid="{00000000-0005-0000-0000-0000C2020000}"/>
    <cellStyle name="20% - Accent4 5 9" xfId="215" xr:uid="{00000000-0005-0000-0000-0000C3020000}"/>
    <cellStyle name="20% - Accent4 5 9 2" xfId="4717" xr:uid="{00000000-0005-0000-0000-0000C4020000}"/>
    <cellStyle name="20% - Accent4 6" xfId="216" xr:uid="{00000000-0005-0000-0000-0000C5020000}"/>
    <cellStyle name="20% - Accent4 6 10" xfId="217" xr:uid="{00000000-0005-0000-0000-0000C6020000}"/>
    <cellStyle name="20% - Accent4 6 10 2" xfId="4718" xr:uid="{00000000-0005-0000-0000-0000C7020000}"/>
    <cellStyle name="20% - Accent4 6 11" xfId="218" xr:uid="{00000000-0005-0000-0000-0000C8020000}"/>
    <cellStyle name="20% - Accent4 6 11 2" xfId="4719" xr:uid="{00000000-0005-0000-0000-0000C9020000}"/>
    <cellStyle name="20% - Accent4 6 12" xfId="4720" xr:uid="{00000000-0005-0000-0000-0000CA020000}"/>
    <cellStyle name="20% - Accent4 6 13" xfId="7642" xr:uid="{00000000-0005-0000-0000-0000CB020000}"/>
    <cellStyle name="20% - Accent4 6 2" xfId="219" xr:uid="{00000000-0005-0000-0000-0000CC020000}"/>
    <cellStyle name="20% - Accent4 6 2 2" xfId="4721" xr:uid="{00000000-0005-0000-0000-0000CD020000}"/>
    <cellStyle name="20% - Accent4 6 2 3" xfId="42087" xr:uid="{00000000-0005-0000-0000-0000CE020000}"/>
    <cellStyle name="20% - Accent4 6 3" xfId="220" xr:uid="{00000000-0005-0000-0000-0000CF020000}"/>
    <cellStyle name="20% - Accent4 6 3 2" xfId="4722" xr:uid="{00000000-0005-0000-0000-0000D0020000}"/>
    <cellStyle name="20% - Accent4 6 4" xfId="221" xr:uid="{00000000-0005-0000-0000-0000D1020000}"/>
    <cellStyle name="20% - Accent4 6 4 2" xfId="4723" xr:uid="{00000000-0005-0000-0000-0000D2020000}"/>
    <cellStyle name="20% - Accent4 6 5" xfId="222" xr:uid="{00000000-0005-0000-0000-0000D3020000}"/>
    <cellStyle name="20% - Accent4 6 5 2" xfId="4724" xr:uid="{00000000-0005-0000-0000-0000D4020000}"/>
    <cellStyle name="20% - Accent4 6 6" xfId="223" xr:uid="{00000000-0005-0000-0000-0000D5020000}"/>
    <cellStyle name="20% - Accent4 6 6 2" xfId="4725" xr:uid="{00000000-0005-0000-0000-0000D6020000}"/>
    <cellStyle name="20% - Accent4 6 7" xfId="224" xr:uid="{00000000-0005-0000-0000-0000D7020000}"/>
    <cellStyle name="20% - Accent4 6 7 2" xfId="4726" xr:uid="{00000000-0005-0000-0000-0000D8020000}"/>
    <cellStyle name="20% - Accent4 6 8" xfId="225" xr:uid="{00000000-0005-0000-0000-0000D9020000}"/>
    <cellStyle name="20% - Accent4 6 8 2" xfId="4727" xr:uid="{00000000-0005-0000-0000-0000DA020000}"/>
    <cellStyle name="20% - Accent4 6 9" xfId="226" xr:uid="{00000000-0005-0000-0000-0000DB020000}"/>
    <cellStyle name="20% - Accent4 6 9 2" xfId="4728" xr:uid="{00000000-0005-0000-0000-0000DC020000}"/>
    <cellStyle name="20% - Accent4 7" xfId="227" xr:uid="{00000000-0005-0000-0000-0000DD020000}"/>
    <cellStyle name="20% - Accent4 7 2" xfId="4729" xr:uid="{00000000-0005-0000-0000-0000DE020000}"/>
    <cellStyle name="20% - Accent4 7 2 2" xfId="42089" xr:uid="{00000000-0005-0000-0000-0000DF020000}"/>
    <cellStyle name="20% - Accent4 7 3" xfId="7643" xr:uid="{00000000-0005-0000-0000-0000E0020000}"/>
    <cellStyle name="20% - Accent4 7 3 2" xfId="42088" xr:uid="{00000000-0005-0000-0000-0000E1020000}"/>
    <cellStyle name="20% - Accent4 8" xfId="228" xr:uid="{00000000-0005-0000-0000-0000E2020000}"/>
    <cellStyle name="20% - Accent4 8 2" xfId="4730" xr:uid="{00000000-0005-0000-0000-0000E3020000}"/>
    <cellStyle name="20% - Accent4 8 2 2" xfId="42091" xr:uid="{00000000-0005-0000-0000-0000E4020000}"/>
    <cellStyle name="20% - Accent4 8 3" xfId="7644" xr:uid="{00000000-0005-0000-0000-0000E5020000}"/>
    <cellStyle name="20% - Accent4 8 3 2" xfId="42090" xr:uid="{00000000-0005-0000-0000-0000E6020000}"/>
    <cellStyle name="20% - Accent4 9" xfId="3156" xr:uid="{00000000-0005-0000-0000-0000E7020000}"/>
    <cellStyle name="20% - Accent4 9 2" xfId="4731" xr:uid="{00000000-0005-0000-0000-0000E8020000}"/>
    <cellStyle name="20% - Accent5 10" xfId="3157" xr:uid="{00000000-0005-0000-0000-0000E9020000}"/>
    <cellStyle name="20% - Accent5 10 2" xfId="4732" xr:uid="{00000000-0005-0000-0000-0000EA020000}"/>
    <cellStyle name="20% - Accent5 11" xfId="42092" xr:uid="{00000000-0005-0000-0000-0000EB020000}"/>
    <cellStyle name="20% - Accent5 11 2" xfId="42093" xr:uid="{00000000-0005-0000-0000-0000EC020000}"/>
    <cellStyle name="20% - Accent5 12" xfId="42094" xr:uid="{00000000-0005-0000-0000-0000ED020000}"/>
    <cellStyle name="20% - Accent5 13" xfId="42095" xr:uid="{00000000-0005-0000-0000-0000EE020000}"/>
    <cellStyle name="20% - Accent5 14" xfId="42096" xr:uid="{00000000-0005-0000-0000-0000EF020000}"/>
    <cellStyle name="20% - Accent5 15" xfId="42097" xr:uid="{00000000-0005-0000-0000-0000F0020000}"/>
    <cellStyle name="20% - Accent5 16" xfId="42098" xr:uid="{00000000-0005-0000-0000-0000F1020000}"/>
    <cellStyle name="20% - Accent5 17" xfId="42099" xr:uid="{00000000-0005-0000-0000-0000F2020000}"/>
    <cellStyle name="20% - Accent5 18" xfId="42100" xr:uid="{00000000-0005-0000-0000-0000F3020000}"/>
    <cellStyle name="20% - Accent5 19" xfId="42101" xr:uid="{00000000-0005-0000-0000-0000F4020000}"/>
    <cellStyle name="20% - Accent5 2" xfId="229" xr:uid="{00000000-0005-0000-0000-0000F5020000}"/>
    <cellStyle name="20% - Accent5 2 10" xfId="230" xr:uid="{00000000-0005-0000-0000-0000F6020000}"/>
    <cellStyle name="20% - Accent5 2 10 2" xfId="4733" xr:uid="{00000000-0005-0000-0000-0000F7020000}"/>
    <cellStyle name="20% - Accent5 2 11" xfId="231" xr:uid="{00000000-0005-0000-0000-0000F8020000}"/>
    <cellStyle name="20% - Accent5 2 11 2" xfId="4734" xr:uid="{00000000-0005-0000-0000-0000F9020000}"/>
    <cellStyle name="20% - Accent5 2 12" xfId="4735" xr:uid="{00000000-0005-0000-0000-0000FA020000}"/>
    <cellStyle name="20% - Accent5 2 12 2" xfId="6292" xr:uid="{00000000-0005-0000-0000-0000FB020000}"/>
    <cellStyle name="20% - Accent5 2 13" xfId="6293" xr:uid="{00000000-0005-0000-0000-0000FC020000}"/>
    <cellStyle name="20% - Accent5 2 14" xfId="7645" xr:uid="{00000000-0005-0000-0000-0000FD020000}"/>
    <cellStyle name="20% - Accent5 2 15" xfId="7646" xr:uid="{00000000-0005-0000-0000-0000FE020000}"/>
    <cellStyle name="20% - Accent5 2 16" xfId="46472" xr:uid="{73FFC913-318A-4CF0-AF3D-1AC12FED956F}"/>
    <cellStyle name="20% - Accent5 2 2" xfId="232" xr:uid="{00000000-0005-0000-0000-0000FF020000}"/>
    <cellStyle name="20% - Accent5 2 2 2" xfId="4736" xr:uid="{00000000-0005-0000-0000-000000030000}"/>
    <cellStyle name="20% - Accent5 2 3" xfId="233" xr:uid="{00000000-0005-0000-0000-000001030000}"/>
    <cellStyle name="20% - Accent5 2 3 2" xfId="4737" xr:uid="{00000000-0005-0000-0000-000002030000}"/>
    <cellStyle name="20% - Accent5 2 4" xfId="234" xr:uid="{00000000-0005-0000-0000-000003030000}"/>
    <cellStyle name="20% - Accent5 2 4 2" xfId="4738" xr:uid="{00000000-0005-0000-0000-000004030000}"/>
    <cellStyle name="20% - Accent5 2 5" xfId="235" xr:uid="{00000000-0005-0000-0000-000005030000}"/>
    <cellStyle name="20% - Accent5 2 5 2" xfId="4739" xr:uid="{00000000-0005-0000-0000-000006030000}"/>
    <cellStyle name="20% - Accent5 2 6" xfId="236" xr:uid="{00000000-0005-0000-0000-000007030000}"/>
    <cellStyle name="20% - Accent5 2 6 2" xfId="4740" xr:uid="{00000000-0005-0000-0000-000008030000}"/>
    <cellStyle name="20% - Accent5 2 7" xfId="237" xr:uid="{00000000-0005-0000-0000-000009030000}"/>
    <cellStyle name="20% - Accent5 2 7 2" xfId="4741" xr:uid="{00000000-0005-0000-0000-00000A030000}"/>
    <cellStyle name="20% - Accent5 2 8" xfId="238" xr:uid="{00000000-0005-0000-0000-00000B030000}"/>
    <cellStyle name="20% - Accent5 2 8 2" xfId="4742" xr:uid="{00000000-0005-0000-0000-00000C030000}"/>
    <cellStyle name="20% - Accent5 2 9" xfId="239" xr:uid="{00000000-0005-0000-0000-00000D030000}"/>
    <cellStyle name="20% - Accent5 2 9 2" xfId="4743" xr:uid="{00000000-0005-0000-0000-00000E030000}"/>
    <cellStyle name="20% - Accent5 20" xfId="42102" xr:uid="{00000000-0005-0000-0000-00000F030000}"/>
    <cellStyle name="20% - Accent5 21" xfId="42103" xr:uid="{00000000-0005-0000-0000-000010030000}"/>
    <cellStyle name="20% - Accent5 22" xfId="42104" xr:uid="{00000000-0005-0000-0000-000011030000}"/>
    <cellStyle name="20% - Accent5 23" xfId="42105" xr:uid="{00000000-0005-0000-0000-000012030000}"/>
    <cellStyle name="20% - Accent5 24" xfId="42106" xr:uid="{00000000-0005-0000-0000-000013030000}"/>
    <cellStyle name="20% - Accent5 25" xfId="42107" xr:uid="{00000000-0005-0000-0000-000014030000}"/>
    <cellStyle name="20% - Accent5 26" xfId="42108" xr:uid="{00000000-0005-0000-0000-000015030000}"/>
    <cellStyle name="20% - Accent5 27" xfId="42109" xr:uid="{00000000-0005-0000-0000-000016030000}"/>
    <cellStyle name="20% - Accent5 28" xfId="42110" xr:uid="{00000000-0005-0000-0000-000017030000}"/>
    <cellStyle name="20% - Accent5 29" xfId="42111" xr:uid="{00000000-0005-0000-0000-000018030000}"/>
    <cellStyle name="20% - Accent5 3" xfId="240" xr:uid="{00000000-0005-0000-0000-000019030000}"/>
    <cellStyle name="20% - Accent5 3 10" xfId="241" xr:uid="{00000000-0005-0000-0000-00001A030000}"/>
    <cellStyle name="20% - Accent5 3 10 2" xfId="4744" xr:uid="{00000000-0005-0000-0000-00001B030000}"/>
    <cellStyle name="20% - Accent5 3 11" xfId="242" xr:uid="{00000000-0005-0000-0000-00001C030000}"/>
    <cellStyle name="20% - Accent5 3 11 2" xfId="4745" xr:uid="{00000000-0005-0000-0000-00001D030000}"/>
    <cellStyle name="20% - Accent5 3 12" xfId="4746" xr:uid="{00000000-0005-0000-0000-00001E030000}"/>
    <cellStyle name="20% - Accent5 3 2" xfId="243" xr:uid="{00000000-0005-0000-0000-00001F030000}"/>
    <cellStyle name="20% - Accent5 3 2 2" xfId="4747" xr:uid="{00000000-0005-0000-0000-000020030000}"/>
    <cellStyle name="20% - Accent5 3 3" xfId="244" xr:uid="{00000000-0005-0000-0000-000021030000}"/>
    <cellStyle name="20% - Accent5 3 3 2" xfId="4748" xr:uid="{00000000-0005-0000-0000-000022030000}"/>
    <cellStyle name="20% - Accent5 3 4" xfId="245" xr:uid="{00000000-0005-0000-0000-000023030000}"/>
    <cellStyle name="20% - Accent5 3 4 2" xfId="4749" xr:uid="{00000000-0005-0000-0000-000024030000}"/>
    <cellStyle name="20% - Accent5 3 5" xfId="246" xr:uid="{00000000-0005-0000-0000-000025030000}"/>
    <cellStyle name="20% - Accent5 3 5 2" xfId="4750" xr:uid="{00000000-0005-0000-0000-000026030000}"/>
    <cellStyle name="20% - Accent5 3 6" xfId="247" xr:uid="{00000000-0005-0000-0000-000027030000}"/>
    <cellStyle name="20% - Accent5 3 6 2" xfId="4751" xr:uid="{00000000-0005-0000-0000-000028030000}"/>
    <cellStyle name="20% - Accent5 3 7" xfId="248" xr:uid="{00000000-0005-0000-0000-000029030000}"/>
    <cellStyle name="20% - Accent5 3 7 2" xfId="4752" xr:uid="{00000000-0005-0000-0000-00002A030000}"/>
    <cellStyle name="20% - Accent5 3 8" xfId="249" xr:uid="{00000000-0005-0000-0000-00002B030000}"/>
    <cellStyle name="20% - Accent5 3 8 2" xfId="4753" xr:uid="{00000000-0005-0000-0000-00002C030000}"/>
    <cellStyle name="20% - Accent5 3 9" xfId="250" xr:uid="{00000000-0005-0000-0000-00002D030000}"/>
    <cellStyle name="20% - Accent5 3 9 2" xfId="4754" xr:uid="{00000000-0005-0000-0000-00002E030000}"/>
    <cellStyle name="20% - Accent5 30" xfId="42112" xr:uid="{00000000-0005-0000-0000-00002F030000}"/>
    <cellStyle name="20% - Accent5 31" xfId="42113" xr:uid="{00000000-0005-0000-0000-000030030000}"/>
    <cellStyle name="20% - Accent5 32" xfId="42114" xr:uid="{00000000-0005-0000-0000-000031030000}"/>
    <cellStyle name="20% - Accent5 33" xfId="42115" xr:uid="{00000000-0005-0000-0000-000032030000}"/>
    <cellStyle name="20% - Accent5 34" xfId="42116" xr:uid="{00000000-0005-0000-0000-000033030000}"/>
    <cellStyle name="20% - Accent5 35" xfId="42117" xr:uid="{00000000-0005-0000-0000-000034030000}"/>
    <cellStyle name="20% - Accent5 36" xfId="42118" xr:uid="{00000000-0005-0000-0000-000035030000}"/>
    <cellStyle name="20% - Accent5 37" xfId="42119" xr:uid="{00000000-0005-0000-0000-000036030000}"/>
    <cellStyle name="20% - Accent5 38" xfId="42120" xr:uid="{00000000-0005-0000-0000-000037030000}"/>
    <cellStyle name="20% - Accent5 39" xfId="42121" xr:uid="{00000000-0005-0000-0000-000038030000}"/>
    <cellStyle name="20% - Accent5 4" xfId="251" xr:uid="{00000000-0005-0000-0000-000039030000}"/>
    <cellStyle name="20% - Accent5 4 10" xfId="252" xr:uid="{00000000-0005-0000-0000-00003A030000}"/>
    <cellStyle name="20% - Accent5 4 10 2" xfId="4755" xr:uid="{00000000-0005-0000-0000-00003B030000}"/>
    <cellStyle name="20% - Accent5 4 11" xfId="253" xr:uid="{00000000-0005-0000-0000-00003C030000}"/>
    <cellStyle name="20% - Accent5 4 11 2" xfId="4756" xr:uid="{00000000-0005-0000-0000-00003D030000}"/>
    <cellStyle name="20% - Accent5 4 12" xfId="4757" xr:uid="{00000000-0005-0000-0000-00003E030000}"/>
    <cellStyle name="20% - Accent5 4 2" xfId="254" xr:uid="{00000000-0005-0000-0000-00003F030000}"/>
    <cellStyle name="20% - Accent5 4 2 2" xfId="4758" xr:uid="{00000000-0005-0000-0000-000040030000}"/>
    <cellStyle name="20% - Accent5 4 3" xfId="255" xr:uid="{00000000-0005-0000-0000-000041030000}"/>
    <cellStyle name="20% - Accent5 4 3 2" xfId="4759" xr:uid="{00000000-0005-0000-0000-000042030000}"/>
    <cellStyle name="20% - Accent5 4 4" xfId="256" xr:uid="{00000000-0005-0000-0000-000043030000}"/>
    <cellStyle name="20% - Accent5 4 4 2" xfId="4760" xr:uid="{00000000-0005-0000-0000-000044030000}"/>
    <cellStyle name="20% - Accent5 4 5" xfId="257" xr:uid="{00000000-0005-0000-0000-000045030000}"/>
    <cellStyle name="20% - Accent5 4 5 2" xfId="4761" xr:uid="{00000000-0005-0000-0000-000046030000}"/>
    <cellStyle name="20% - Accent5 4 6" xfId="258" xr:uid="{00000000-0005-0000-0000-000047030000}"/>
    <cellStyle name="20% - Accent5 4 6 2" xfId="4762" xr:uid="{00000000-0005-0000-0000-000048030000}"/>
    <cellStyle name="20% - Accent5 4 7" xfId="259" xr:uid="{00000000-0005-0000-0000-000049030000}"/>
    <cellStyle name="20% - Accent5 4 7 2" xfId="4763" xr:uid="{00000000-0005-0000-0000-00004A030000}"/>
    <cellStyle name="20% - Accent5 4 8" xfId="260" xr:uid="{00000000-0005-0000-0000-00004B030000}"/>
    <cellStyle name="20% - Accent5 4 8 2" xfId="4764" xr:uid="{00000000-0005-0000-0000-00004C030000}"/>
    <cellStyle name="20% - Accent5 4 9" xfId="261" xr:uid="{00000000-0005-0000-0000-00004D030000}"/>
    <cellStyle name="20% - Accent5 4 9 2" xfId="4765" xr:uid="{00000000-0005-0000-0000-00004E030000}"/>
    <cellStyle name="20% - Accent5 40" xfId="42122" xr:uid="{00000000-0005-0000-0000-00004F030000}"/>
    <cellStyle name="20% - Accent5 41" xfId="42123" xr:uid="{00000000-0005-0000-0000-000050030000}"/>
    <cellStyle name="20% - Accent5 42" xfId="42124" xr:uid="{00000000-0005-0000-0000-000051030000}"/>
    <cellStyle name="20% - Accent5 43" xfId="42125" xr:uid="{00000000-0005-0000-0000-000052030000}"/>
    <cellStyle name="20% - Accent5 5" xfId="262" xr:uid="{00000000-0005-0000-0000-000053030000}"/>
    <cellStyle name="20% - Accent5 5 10" xfId="263" xr:uid="{00000000-0005-0000-0000-000054030000}"/>
    <cellStyle name="20% - Accent5 5 10 2" xfId="4766" xr:uid="{00000000-0005-0000-0000-000055030000}"/>
    <cellStyle name="20% - Accent5 5 11" xfId="264" xr:uid="{00000000-0005-0000-0000-000056030000}"/>
    <cellStyle name="20% - Accent5 5 11 2" xfId="4767" xr:uid="{00000000-0005-0000-0000-000057030000}"/>
    <cellStyle name="20% - Accent5 5 12" xfId="4768" xr:uid="{00000000-0005-0000-0000-000058030000}"/>
    <cellStyle name="20% - Accent5 5 2" xfId="265" xr:uid="{00000000-0005-0000-0000-000059030000}"/>
    <cellStyle name="20% - Accent5 5 2 2" xfId="4769" xr:uid="{00000000-0005-0000-0000-00005A030000}"/>
    <cellStyle name="20% - Accent5 5 3" xfId="266" xr:uid="{00000000-0005-0000-0000-00005B030000}"/>
    <cellStyle name="20% - Accent5 5 3 2" xfId="4770" xr:uid="{00000000-0005-0000-0000-00005C030000}"/>
    <cellStyle name="20% - Accent5 5 4" xfId="267" xr:uid="{00000000-0005-0000-0000-00005D030000}"/>
    <cellStyle name="20% - Accent5 5 4 2" xfId="4771" xr:uid="{00000000-0005-0000-0000-00005E030000}"/>
    <cellStyle name="20% - Accent5 5 5" xfId="268" xr:uid="{00000000-0005-0000-0000-00005F030000}"/>
    <cellStyle name="20% - Accent5 5 5 2" xfId="4772" xr:uid="{00000000-0005-0000-0000-000060030000}"/>
    <cellStyle name="20% - Accent5 5 6" xfId="269" xr:uid="{00000000-0005-0000-0000-000061030000}"/>
    <cellStyle name="20% - Accent5 5 6 2" xfId="4773" xr:uid="{00000000-0005-0000-0000-000062030000}"/>
    <cellStyle name="20% - Accent5 5 7" xfId="270" xr:uid="{00000000-0005-0000-0000-000063030000}"/>
    <cellStyle name="20% - Accent5 5 7 2" xfId="4774" xr:uid="{00000000-0005-0000-0000-000064030000}"/>
    <cellStyle name="20% - Accent5 5 8" xfId="271" xr:uid="{00000000-0005-0000-0000-000065030000}"/>
    <cellStyle name="20% - Accent5 5 8 2" xfId="4775" xr:uid="{00000000-0005-0000-0000-000066030000}"/>
    <cellStyle name="20% - Accent5 5 9" xfId="272" xr:uid="{00000000-0005-0000-0000-000067030000}"/>
    <cellStyle name="20% - Accent5 5 9 2" xfId="4776" xr:uid="{00000000-0005-0000-0000-000068030000}"/>
    <cellStyle name="20% - Accent5 6" xfId="273" xr:uid="{00000000-0005-0000-0000-000069030000}"/>
    <cellStyle name="20% - Accent5 6 10" xfId="274" xr:uid="{00000000-0005-0000-0000-00006A030000}"/>
    <cellStyle name="20% - Accent5 6 10 2" xfId="4777" xr:uid="{00000000-0005-0000-0000-00006B030000}"/>
    <cellStyle name="20% - Accent5 6 11" xfId="275" xr:uid="{00000000-0005-0000-0000-00006C030000}"/>
    <cellStyle name="20% - Accent5 6 11 2" xfId="4778" xr:uid="{00000000-0005-0000-0000-00006D030000}"/>
    <cellStyle name="20% - Accent5 6 12" xfId="4779" xr:uid="{00000000-0005-0000-0000-00006E030000}"/>
    <cellStyle name="20% - Accent5 6 2" xfId="276" xr:uid="{00000000-0005-0000-0000-00006F030000}"/>
    <cellStyle name="20% - Accent5 6 2 2" xfId="4780" xr:uid="{00000000-0005-0000-0000-000070030000}"/>
    <cellStyle name="20% - Accent5 6 3" xfId="277" xr:uid="{00000000-0005-0000-0000-000071030000}"/>
    <cellStyle name="20% - Accent5 6 3 2" xfId="4781" xr:uid="{00000000-0005-0000-0000-000072030000}"/>
    <cellStyle name="20% - Accent5 6 4" xfId="278" xr:uid="{00000000-0005-0000-0000-000073030000}"/>
    <cellStyle name="20% - Accent5 6 4 2" xfId="4782" xr:uid="{00000000-0005-0000-0000-000074030000}"/>
    <cellStyle name="20% - Accent5 6 5" xfId="279" xr:uid="{00000000-0005-0000-0000-000075030000}"/>
    <cellStyle name="20% - Accent5 6 5 2" xfId="4783" xr:uid="{00000000-0005-0000-0000-000076030000}"/>
    <cellStyle name="20% - Accent5 6 6" xfId="280" xr:uid="{00000000-0005-0000-0000-000077030000}"/>
    <cellStyle name="20% - Accent5 6 6 2" xfId="4784" xr:uid="{00000000-0005-0000-0000-000078030000}"/>
    <cellStyle name="20% - Accent5 6 7" xfId="281" xr:uid="{00000000-0005-0000-0000-000079030000}"/>
    <cellStyle name="20% - Accent5 6 7 2" xfId="4785" xr:uid="{00000000-0005-0000-0000-00007A030000}"/>
    <cellStyle name="20% - Accent5 6 8" xfId="282" xr:uid="{00000000-0005-0000-0000-00007B030000}"/>
    <cellStyle name="20% - Accent5 6 8 2" xfId="4786" xr:uid="{00000000-0005-0000-0000-00007C030000}"/>
    <cellStyle name="20% - Accent5 6 9" xfId="283" xr:uid="{00000000-0005-0000-0000-00007D030000}"/>
    <cellStyle name="20% - Accent5 6 9 2" xfId="4787" xr:uid="{00000000-0005-0000-0000-00007E030000}"/>
    <cellStyle name="20% - Accent5 7" xfId="284" xr:uid="{00000000-0005-0000-0000-00007F030000}"/>
    <cellStyle name="20% - Accent5 7 2" xfId="4788" xr:uid="{00000000-0005-0000-0000-000080030000}"/>
    <cellStyle name="20% - Accent5 8" xfId="285" xr:uid="{00000000-0005-0000-0000-000081030000}"/>
    <cellStyle name="20% - Accent5 8 2" xfId="4789" xr:uid="{00000000-0005-0000-0000-000082030000}"/>
    <cellStyle name="20% - Accent5 9" xfId="3158" xr:uid="{00000000-0005-0000-0000-000083030000}"/>
    <cellStyle name="20% - Accent5 9 2" xfId="4790" xr:uid="{00000000-0005-0000-0000-000084030000}"/>
    <cellStyle name="20% - Accent6 10" xfId="3159" xr:uid="{00000000-0005-0000-0000-000085030000}"/>
    <cellStyle name="20% - Accent6 10 2" xfId="4791" xr:uid="{00000000-0005-0000-0000-000086030000}"/>
    <cellStyle name="20% - Accent6 11" xfId="42126" xr:uid="{00000000-0005-0000-0000-000087030000}"/>
    <cellStyle name="20% - Accent6 11 2" xfId="42127" xr:uid="{00000000-0005-0000-0000-000088030000}"/>
    <cellStyle name="20% - Accent6 12" xfId="42128" xr:uid="{00000000-0005-0000-0000-000089030000}"/>
    <cellStyle name="20% - Accent6 13" xfId="42129" xr:uid="{00000000-0005-0000-0000-00008A030000}"/>
    <cellStyle name="20% - Accent6 14" xfId="42130" xr:uid="{00000000-0005-0000-0000-00008B030000}"/>
    <cellStyle name="20% - Accent6 15" xfId="42131" xr:uid="{00000000-0005-0000-0000-00008C030000}"/>
    <cellStyle name="20% - Accent6 16" xfId="42132" xr:uid="{00000000-0005-0000-0000-00008D030000}"/>
    <cellStyle name="20% - Accent6 17" xfId="42133" xr:uid="{00000000-0005-0000-0000-00008E030000}"/>
    <cellStyle name="20% - Accent6 18" xfId="42134" xr:uid="{00000000-0005-0000-0000-00008F030000}"/>
    <cellStyle name="20% - Accent6 19" xfId="42135" xr:uid="{00000000-0005-0000-0000-000090030000}"/>
    <cellStyle name="20% - Accent6 2" xfId="286" xr:uid="{00000000-0005-0000-0000-000091030000}"/>
    <cellStyle name="20% - Accent6 2 10" xfId="287" xr:uid="{00000000-0005-0000-0000-000092030000}"/>
    <cellStyle name="20% - Accent6 2 10 2" xfId="4792" xr:uid="{00000000-0005-0000-0000-000093030000}"/>
    <cellStyle name="20% - Accent6 2 10 3" xfId="7647" xr:uid="{00000000-0005-0000-0000-000094030000}"/>
    <cellStyle name="20% - Accent6 2 11" xfId="288" xr:uid="{00000000-0005-0000-0000-000095030000}"/>
    <cellStyle name="20% - Accent6 2 11 2" xfId="4793" xr:uid="{00000000-0005-0000-0000-000096030000}"/>
    <cellStyle name="20% - Accent6 2 11 3" xfId="7648" xr:uid="{00000000-0005-0000-0000-000097030000}"/>
    <cellStyle name="20% - Accent6 2 12" xfId="4794" xr:uid="{00000000-0005-0000-0000-000098030000}"/>
    <cellStyle name="20% - Accent6 2 12 2" xfId="6294" xr:uid="{00000000-0005-0000-0000-000099030000}"/>
    <cellStyle name="20% - Accent6 2 12 3" xfId="7649" xr:uid="{00000000-0005-0000-0000-00009A030000}"/>
    <cellStyle name="20% - Accent6 2 13" xfId="6295" xr:uid="{00000000-0005-0000-0000-00009B030000}"/>
    <cellStyle name="20% - Accent6 2 13 2" xfId="7650" xr:uid="{00000000-0005-0000-0000-00009C030000}"/>
    <cellStyle name="20% - Accent6 2 14" xfId="7651" xr:uid="{00000000-0005-0000-0000-00009D030000}"/>
    <cellStyle name="20% - Accent6 2 15" xfId="7652" xr:uid="{00000000-0005-0000-0000-00009E030000}"/>
    <cellStyle name="20% - Accent6 2 16" xfId="42136" xr:uid="{00000000-0005-0000-0000-00009F030000}"/>
    <cellStyle name="20% - Accent6 2 17" xfId="46473" xr:uid="{1C63D513-2A37-4CF7-979E-0DA2A6E81684}"/>
    <cellStyle name="20% - Accent6 2 2" xfId="289" xr:uid="{00000000-0005-0000-0000-0000A0030000}"/>
    <cellStyle name="20% - Accent6 2 2 2" xfId="4795" xr:uid="{00000000-0005-0000-0000-0000A1030000}"/>
    <cellStyle name="20% - Accent6 2 2 3" xfId="7653" xr:uid="{00000000-0005-0000-0000-0000A2030000}"/>
    <cellStyle name="20% - Accent6 2 3" xfId="290" xr:uid="{00000000-0005-0000-0000-0000A3030000}"/>
    <cellStyle name="20% - Accent6 2 3 2" xfId="4796" xr:uid="{00000000-0005-0000-0000-0000A4030000}"/>
    <cellStyle name="20% - Accent6 2 3 3" xfId="7654" xr:uid="{00000000-0005-0000-0000-0000A5030000}"/>
    <cellStyle name="20% - Accent6 2 4" xfId="291" xr:uid="{00000000-0005-0000-0000-0000A6030000}"/>
    <cellStyle name="20% - Accent6 2 4 2" xfId="4797" xr:uid="{00000000-0005-0000-0000-0000A7030000}"/>
    <cellStyle name="20% - Accent6 2 4 3" xfId="7655" xr:uid="{00000000-0005-0000-0000-0000A8030000}"/>
    <cellStyle name="20% - Accent6 2 5" xfId="292" xr:uid="{00000000-0005-0000-0000-0000A9030000}"/>
    <cellStyle name="20% - Accent6 2 5 2" xfId="4798" xr:uid="{00000000-0005-0000-0000-0000AA030000}"/>
    <cellStyle name="20% - Accent6 2 5 3" xfId="7656" xr:uid="{00000000-0005-0000-0000-0000AB030000}"/>
    <cellStyle name="20% - Accent6 2 6" xfId="293" xr:uid="{00000000-0005-0000-0000-0000AC030000}"/>
    <cellStyle name="20% - Accent6 2 6 2" xfId="4799" xr:uid="{00000000-0005-0000-0000-0000AD030000}"/>
    <cellStyle name="20% - Accent6 2 6 3" xfId="7657" xr:uid="{00000000-0005-0000-0000-0000AE030000}"/>
    <cellStyle name="20% - Accent6 2 7" xfId="294" xr:uid="{00000000-0005-0000-0000-0000AF030000}"/>
    <cellStyle name="20% - Accent6 2 7 2" xfId="4800" xr:uid="{00000000-0005-0000-0000-0000B0030000}"/>
    <cellStyle name="20% - Accent6 2 7 3" xfId="7658" xr:uid="{00000000-0005-0000-0000-0000B1030000}"/>
    <cellStyle name="20% - Accent6 2 8" xfId="295" xr:uid="{00000000-0005-0000-0000-0000B2030000}"/>
    <cellStyle name="20% - Accent6 2 8 2" xfId="4801" xr:uid="{00000000-0005-0000-0000-0000B3030000}"/>
    <cellStyle name="20% - Accent6 2 8 3" xfId="7659" xr:uid="{00000000-0005-0000-0000-0000B4030000}"/>
    <cellStyle name="20% - Accent6 2 9" xfId="296" xr:uid="{00000000-0005-0000-0000-0000B5030000}"/>
    <cellStyle name="20% - Accent6 2 9 2" xfId="4802" xr:uid="{00000000-0005-0000-0000-0000B6030000}"/>
    <cellStyle name="20% - Accent6 2 9 3" xfId="7660" xr:uid="{00000000-0005-0000-0000-0000B7030000}"/>
    <cellStyle name="20% - Accent6 20" xfId="42137" xr:uid="{00000000-0005-0000-0000-0000B8030000}"/>
    <cellStyle name="20% - Accent6 21" xfId="42138" xr:uid="{00000000-0005-0000-0000-0000B9030000}"/>
    <cellStyle name="20% - Accent6 22" xfId="42139" xr:uid="{00000000-0005-0000-0000-0000BA030000}"/>
    <cellStyle name="20% - Accent6 23" xfId="42140" xr:uid="{00000000-0005-0000-0000-0000BB030000}"/>
    <cellStyle name="20% - Accent6 24" xfId="42141" xr:uid="{00000000-0005-0000-0000-0000BC030000}"/>
    <cellStyle name="20% - Accent6 25" xfId="42142" xr:uid="{00000000-0005-0000-0000-0000BD030000}"/>
    <cellStyle name="20% - Accent6 26" xfId="42143" xr:uid="{00000000-0005-0000-0000-0000BE030000}"/>
    <cellStyle name="20% - Accent6 27" xfId="42144" xr:uid="{00000000-0005-0000-0000-0000BF030000}"/>
    <cellStyle name="20% - Accent6 28" xfId="42145" xr:uid="{00000000-0005-0000-0000-0000C0030000}"/>
    <cellStyle name="20% - Accent6 29" xfId="42146" xr:uid="{00000000-0005-0000-0000-0000C1030000}"/>
    <cellStyle name="20% - Accent6 3" xfId="297" xr:uid="{00000000-0005-0000-0000-0000C2030000}"/>
    <cellStyle name="20% - Accent6 3 10" xfId="298" xr:uid="{00000000-0005-0000-0000-0000C3030000}"/>
    <cellStyle name="20% - Accent6 3 10 2" xfId="4803" xr:uid="{00000000-0005-0000-0000-0000C4030000}"/>
    <cellStyle name="20% - Accent6 3 11" xfId="299" xr:uid="{00000000-0005-0000-0000-0000C5030000}"/>
    <cellStyle name="20% - Accent6 3 11 2" xfId="4804" xr:uid="{00000000-0005-0000-0000-0000C6030000}"/>
    <cellStyle name="20% - Accent6 3 12" xfId="4805" xr:uid="{00000000-0005-0000-0000-0000C7030000}"/>
    <cellStyle name="20% - Accent6 3 13" xfId="7661" xr:uid="{00000000-0005-0000-0000-0000C8030000}"/>
    <cellStyle name="20% - Accent6 3 2" xfId="300" xr:uid="{00000000-0005-0000-0000-0000C9030000}"/>
    <cellStyle name="20% - Accent6 3 2 2" xfId="4806" xr:uid="{00000000-0005-0000-0000-0000CA030000}"/>
    <cellStyle name="20% - Accent6 3 2 3" xfId="42147" xr:uid="{00000000-0005-0000-0000-0000CB030000}"/>
    <cellStyle name="20% - Accent6 3 3" xfId="301" xr:uid="{00000000-0005-0000-0000-0000CC030000}"/>
    <cellStyle name="20% - Accent6 3 3 2" xfId="4807" xr:uid="{00000000-0005-0000-0000-0000CD030000}"/>
    <cellStyle name="20% - Accent6 3 4" xfId="302" xr:uid="{00000000-0005-0000-0000-0000CE030000}"/>
    <cellStyle name="20% - Accent6 3 4 2" xfId="4808" xr:uid="{00000000-0005-0000-0000-0000CF030000}"/>
    <cellStyle name="20% - Accent6 3 5" xfId="303" xr:uid="{00000000-0005-0000-0000-0000D0030000}"/>
    <cellStyle name="20% - Accent6 3 5 2" xfId="4809" xr:uid="{00000000-0005-0000-0000-0000D1030000}"/>
    <cellStyle name="20% - Accent6 3 6" xfId="304" xr:uid="{00000000-0005-0000-0000-0000D2030000}"/>
    <cellStyle name="20% - Accent6 3 6 2" xfId="4810" xr:uid="{00000000-0005-0000-0000-0000D3030000}"/>
    <cellStyle name="20% - Accent6 3 7" xfId="305" xr:uid="{00000000-0005-0000-0000-0000D4030000}"/>
    <cellStyle name="20% - Accent6 3 7 2" xfId="4811" xr:uid="{00000000-0005-0000-0000-0000D5030000}"/>
    <cellStyle name="20% - Accent6 3 8" xfId="306" xr:uid="{00000000-0005-0000-0000-0000D6030000}"/>
    <cellStyle name="20% - Accent6 3 8 2" xfId="4812" xr:uid="{00000000-0005-0000-0000-0000D7030000}"/>
    <cellStyle name="20% - Accent6 3 9" xfId="307" xr:uid="{00000000-0005-0000-0000-0000D8030000}"/>
    <cellStyle name="20% - Accent6 3 9 2" xfId="4813" xr:uid="{00000000-0005-0000-0000-0000D9030000}"/>
    <cellStyle name="20% - Accent6 30" xfId="42148" xr:uid="{00000000-0005-0000-0000-0000DA030000}"/>
    <cellStyle name="20% - Accent6 31" xfId="42149" xr:uid="{00000000-0005-0000-0000-0000DB030000}"/>
    <cellStyle name="20% - Accent6 32" xfId="42150" xr:uid="{00000000-0005-0000-0000-0000DC030000}"/>
    <cellStyle name="20% - Accent6 33" xfId="42151" xr:uid="{00000000-0005-0000-0000-0000DD030000}"/>
    <cellStyle name="20% - Accent6 34" xfId="42152" xr:uid="{00000000-0005-0000-0000-0000DE030000}"/>
    <cellStyle name="20% - Accent6 35" xfId="42153" xr:uid="{00000000-0005-0000-0000-0000DF030000}"/>
    <cellStyle name="20% - Accent6 36" xfId="42154" xr:uid="{00000000-0005-0000-0000-0000E0030000}"/>
    <cellStyle name="20% - Accent6 37" xfId="42155" xr:uid="{00000000-0005-0000-0000-0000E1030000}"/>
    <cellStyle name="20% - Accent6 38" xfId="42156" xr:uid="{00000000-0005-0000-0000-0000E2030000}"/>
    <cellStyle name="20% - Accent6 39" xfId="42157" xr:uid="{00000000-0005-0000-0000-0000E3030000}"/>
    <cellStyle name="20% - Accent6 4" xfId="308" xr:uid="{00000000-0005-0000-0000-0000E4030000}"/>
    <cellStyle name="20% - Accent6 4 10" xfId="309" xr:uid="{00000000-0005-0000-0000-0000E5030000}"/>
    <cellStyle name="20% - Accent6 4 10 2" xfId="4814" xr:uid="{00000000-0005-0000-0000-0000E6030000}"/>
    <cellStyle name="20% - Accent6 4 11" xfId="310" xr:uid="{00000000-0005-0000-0000-0000E7030000}"/>
    <cellStyle name="20% - Accent6 4 11 2" xfId="4815" xr:uid="{00000000-0005-0000-0000-0000E8030000}"/>
    <cellStyle name="20% - Accent6 4 12" xfId="4816" xr:uid="{00000000-0005-0000-0000-0000E9030000}"/>
    <cellStyle name="20% - Accent6 4 13" xfId="7662" xr:uid="{00000000-0005-0000-0000-0000EA030000}"/>
    <cellStyle name="20% - Accent6 4 2" xfId="311" xr:uid="{00000000-0005-0000-0000-0000EB030000}"/>
    <cellStyle name="20% - Accent6 4 2 2" xfId="4817" xr:uid="{00000000-0005-0000-0000-0000EC030000}"/>
    <cellStyle name="20% - Accent6 4 2 3" xfId="42158" xr:uid="{00000000-0005-0000-0000-0000ED030000}"/>
    <cellStyle name="20% - Accent6 4 3" xfId="312" xr:uid="{00000000-0005-0000-0000-0000EE030000}"/>
    <cellStyle name="20% - Accent6 4 3 2" xfId="4818" xr:uid="{00000000-0005-0000-0000-0000EF030000}"/>
    <cellStyle name="20% - Accent6 4 4" xfId="313" xr:uid="{00000000-0005-0000-0000-0000F0030000}"/>
    <cellStyle name="20% - Accent6 4 4 2" xfId="4819" xr:uid="{00000000-0005-0000-0000-0000F1030000}"/>
    <cellStyle name="20% - Accent6 4 5" xfId="314" xr:uid="{00000000-0005-0000-0000-0000F2030000}"/>
    <cellStyle name="20% - Accent6 4 5 2" xfId="4820" xr:uid="{00000000-0005-0000-0000-0000F3030000}"/>
    <cellStyle name="20% - Accent6 4 6" xfId="315" xr:uid="{00000000-0005-0000-0000-0000F4030000}"/>
    <cellStyle name="20% - Accent6 4 6 2" xfId="4821" xr:uid="{00000000-0005-0000-0000-0000F5030000}"/>
    <cellStyle name="20% - Accent6 4 7" xfId="316" xr:uid="{00000000-0005-0000-0000-0000F6030000}"/>
    <cellStyle name="20% - Accent6 4 7 2" xfId="4822" xr:uid="{00000000-0005-0000-0000-0000F7030000}"/>
    <cellStyle name="20% - Accent6 4 8" xfId="317" xr:uid="{00000000-0005-0000-0000-0000F8030000}"/>
    <cellStyle name="20% - Accent6 4 8 2" xfId="4823" xr:uid="{00000000-0005-0000-0000-0000F9030000}"/>
    <cellStyle name="20% - Accent6 4 9" xfId="318" xr:uid="{00000000-0005-0000-0000-0000FA030000}"/>
    <cellStyle name="20% - Accent6 4 9 2" xfId="4824" xr:uid="{00000000-0005-0000-0000-0000FB030000}"/>
    <cellStyle name="20% - Accent6 40" xfId="42159" xr:uid="{00000000-0005-0000-0000-0000FC030000}"/>
    <cellStyle name="20% - Accent6 41" xfId="42160" xr:uid="{00000000-0005-0000-0000-0000FD030000}"/>
    <cellStyle name="20% - Accent6 42" xfId="42161" xr:uid="{00000000-0005-0000-0000-0000FE030000}"/>
    <cellStyle name="20% - Accent6 43" xfId="42162" xr:uid="{00000000-0005-0000-0000-0000FF030000}"/>
    <cellStyle name="20% - Accent6 5" xfId="319" xr:uid="{00000000-0005-0000-0000-000000040000}"/>
    <cellStyle name="20% - Accent6 5 10" xfId="320" xr:uid="{00000000-0005-0000-0000-000001040000}"/>
    <cellStyle name="20% - Accent6 5 10 2" xfId="4825" xr:uid="{00000000-0005-0000-0000-000002040000}"/>
    <cellStyle name="20% - Accent6 5 11" xfId="321" xr:uid="{00000000-0005-0000-0000-000003040000}"/>
    <cellStyle name="20% - Accent6 5 11 2" xfId="4826" xr:uid="{00000000-0005-0000-0000-000004040000}"/>
    <cellStyle name="20% - Accent6 5 12" xfId="4827" xr:uid="{00000000-0005-0000-0000-000005040000}"/>
    <cellStyle name="20% - Accent6 5 13" xfId="7663" xr:uid="{00000000-0005-0000-0000-000006040000}"/>
    <cellStyle name="20% - Accent6 5 2" xfId="322" xr:uid="{00000000-0005-0000-0000-000007040000}"/>
    <cellStyle name="20% - Accent6 5 2 2" xfId="4828" xr:uid="{00000000-0005-0000-0000-000008040000}"/>
    <cellStyle name="20% - Accent6 5 2 3" xfId="42163" xr:uid="{00000000-0005-0000-0000-000009040000}"/>
    <cellStyle name="20% - Accent6 5 3" xfId="323" xr:uid="{00000000-0005-0000-0000-00000A040000}"/>
    <cellStyle name="20% - Accent6 5 3 2" xfId="4829" xr:uid="{00000000-0005-0000-0000-00000B040000}"/>
    <cellStyle name="20% - Accent6 5 4" xfId="324" xr:uid="{00000000-0005-0000-0000-00000C040000}"/>
    <cellStyle name="20% - Accent6 5 4 2" xfId="4830" xr:uid="{00000000-0005-0000-0000-00000D040000}"/>
    <cellStyle name="20% - Accent6 5 5" xfId="325" xr:uid="{00000000-0005-0000-0000-00000E040000}"/>
    <cellStyle name="20% - Accent6 5 5 2" xfId="4831" xr:uid="{00000000-0005-0000-0000-00000F040000}"/>
    <cellStyle name="20% - Accent6 5 6" xfId="326" xr:uid="{00000000-0005-0000-0000-000010040000}"/>
    <cellStyle name="20% - Accent6 5 6 2" xfId="4832" xr:uid="{00000000-0005-0000-0000-000011040000}"/>
    <cellStyle name="20% - Accent6 5 7" xfId="327" xr:uid="{00000000-0005-0000-0000-000012040000}"/>
    <cellStyle name="20% - Accent6 5 7 2" xfId="4833" xr:uid="{00000000-0005-0000-0000-000013040000}"/>
    <cellStyle name="20% - Accent6 5 8" xfId="328" xr:uid="{00000000-0005-0000-0000-000014040000}"/>
    <cellStyle name="20% - Accent6 5 8 2" xfId="4834" xr:uid="{00000000-0005-0000-0000-000015040000}"/>
    <cellStyle name="20% - Accent6 5 9" xfId="329" xr:uid="{00000000-0005-0000-0000-000016040000}"/>
    <cellStyle name="20% - Accent6 5 9 2" xfId="4835" xr:uid="{00000000-0005-0000-0000-000017040000}"/>
    <cellStyle name="20% - Accent6 6" xfId="330" xr:uid="{00000000-0005-0000-0000-000018040000}"/>
    <cellStyle name="20% - Accent6 6 10" xfId="331" xr:uid="{00000000-0005-0000-0000-000019040000}"/>
    <cellStyle name="20% - Accent6 6 10 2" xfId="4836" xr:uid="{00000000-0005-0000-0000-00001A040000}"/>
    <cellStyle name="20% - Accent6 6 11" xfId="332" xr:uid="{00000000-0005-0000-0000-00001B040000}"/>
    <cellStyle name="20% - Accent6 6 11 2" xfId="4837" xr:uid="{00000000-0005-0000-0000-00001C040000}"/>
    <cellStyle name="20% - Accent6 6 12" xfId="4838" xr:uid="{00000000-0005-0000-0000-00001D040000}"/>
    <cellStyle name="20% - Accent6 6 13" xfId="7664" xr:uid="{00000000-0005-0000-0000-00001E040000}"/>
    <cellStyle name="20% - Accent6 6 2" xfId="333" xr:uid="{00000000-0005-0000-0000-00001F040000}"/>
    <cellStyle name="20% - Accent6 6 2 2" xfId="4839" xr:uid="{00000000-0005-0000-0000-000020040000}"/>
    <cellStyle name="20% - Accent6 6 2 3" xfId="42164" xr:uid="{00000000-0005-0000-0000-000021040000}"/>
    <cellStyle name="20% - Accent6 6 3" xfId="334" xr:uid="{00000000-0005-0000-0000-000022040000}"/>
    <cellStyle name="20% - Accent6 6 3 2" xfId="4840" xr:uid="{00000000-0005-0000-0000-000023040000}"/>
    <cellStyle name="20% - Accent6 6 4" xfId="335" xr:uid="{00000000-0005-0000-0000-000024040000}"/>
    <cellStyle name="20% - Accent6 6 4 2" xfId="4841" xr:uid="{00000000-0005-0000-0000-000025040000}"/>
    <cellStyle name="20% - Accent6 6 5" xfId="336" xr:uid="{00000000-0005-0000-0000-000026040000}"/>
    <cellStyle name="20% - Accent6 6 5 2" xfId="4842" xr:uid="{00000000-0005-0000-0000-000027040000}"/>
    <cellStyle name="20% - Accent6 6 6" xfId="337" xr:uid="{00000000-0005-0000-0000-000028040000}"/>
    <cellStyle name="20% - Accent6 6 6 2" xfId="4843" xr:uid="{00000000-0005-0000-0000-000029040000}"/>
    <cellStyle name="20% - Accent6 6 7" xfId="338" xr:uid="{00000000-0005-0000-0000-00002A040000}"/>
    <cellStyle name="20% - Accent6 6 7 2" xfId="4844" xr:uid="{00000000-0005-0000-0000-00002B040000}"/>
    <cellStyle name="20% - Accent6 6 8" xfId="339" xr:uid="{00000000-0005-0000-0000-00002C040000}"/>
    <cellStyle name="20% - Accent6 6 8 2" xfId="4845" xr:uid="{00000000-0005-0000-0000-00002D040000}"/>
    <cellStyle name="20% - Accent6 6 9" xfId="340" xr:uid="{00000000-0005-0000-0000-00002E040000}"/>
    <cellStyle name="20% - Accent6 6 9 2" xfId="4846" xr:uid="{00000000-0005-0000-0000-00002F040000}"/>
    <cellStyle name="20% - Accent6 7" xfId="341" xr:uid="{00000000-0005-0000-0000-000030040000}"/>
    <cellStyle name="20% - Accent6 7 2" xfId="4847" xr:uid="{00000000-0005-0000-0000-000031040000}"/>
    <cellStyle name="20% - Accent6 7 2 2" xfId="42166" xr:uid="{00000000-0005-0000-0000-000032040000}"/>
    <cellStyle name="20% - Accent6 7 3" xfId="7665" xr:uid="{00000000-0005-0000-0000-000033040000}"/>
    <cellStyle name="20% - Accent6 7 3 2" xfId="42165" xr:uid="{00000000-0005-0000-0000-000034040000}"/>
    <cellStyle name="20% - Accent6 8" xfId="342" xr:uid="{00000000-0005-0000-0000-000035040000}"/>
    <cellStyle name="20% - Accent6 8 2" xfId="4848" xr:uid="{00000000-0005-0000-0000-000036040000}"/>
    <cellStyle name="20% - Accent6 8 2 2" xfId="42168" xr:uid="{00000000-0005-0000-0000-000037040000}"/>
    <cellStyle name="20% - Accent6 8 3" xfId="7666" xr:uid="{00000000-0005-0000-0000-000038040000}"/>
    <cellStyle name="20% - Accent6 8 3 2" xfId="42167" xr:uid="{00000000-0005-0000-0000-000039040000}"/>
    <cellStyle name="20% - Accent6 9" xfId="3160" xr:uid="{00000000-0005-0000-0000-00003A040000}"/>
    <cellStyle name="20% - Accent6 9 2" xfId="4849" xr:uid="{00000000-0005-0000-0000-00003B040000}"/>
    <cellStyle name="20% - Akzent1" xfId="10118" xr:uid="{00000000-0005-0000-0000-00003C040000}"/>
    <cellStyle name="20% - Akzent1 2" xfId="10119" xr:uid="{00000000-0005-0000-0000-00003D040000}"/>
    <cellStyle name="20% - Akzent2" xfId="10120" xr:uid="{00000000-0005-0000-0000-00003E040000}"/>
    <cellStyle name="20% - Akzent2 2" xfId="10121" xr:uid="{00000000-0005-0000-0000-00003F040000}"/>
    <cellStyle name="20% - Akzent3" xfId="10122" xr:uid="{00000000-0005-0000-0000-000040040000}"/>
    <cellStyle name="20% - Akzent3 2" xfId="10123" xr:uid="{00000000-0005-0000-0000-000041040000}"/>
    <cellStyle name="20% - Akzent4" xfId="10124" xr:uid="{00000000-0005-0000-0000-000042040000}"/>
    <cellStyle name="20% - Akzent4 2" xfId="10125" xr:uid="{00000000-0005-0000-0000-000043040000}"/>
    <cellStyle name="20% - Akzent5" xfId="10126" xr:uid="{00000000-0005-0000-0000-000044040000}"/>
    <cellStyle name="20% - Akzent5 2" xfId="10127" xr:uid="{00000000-0005-0000-0000-000045040000}"/>
    <cellStyle name="20% - Akzent6" xfId="10128" xr:uid="{00000000-0005-0000-0000-000046040000}"/>
    <cellStyle name="20% - Akzent6 2" xfId="10129" xr:uid="{00000000-0005-0000-0000-000047040000}"/>
    <cellStyle name="20% - Colore 1" xfId="9576" xr:uid="{00000000-0005-0000-0000-000048040000}"/>
    <cellStyle name="20% - Colore 2" xfId="9577" xr:uid="{00000000-0005-0000-0000-000049040000}"/>
    <cellStyle name="20% - Colore 3" xfId="9578" xr:uid="{00000000-0005-0000-0000-00004A040000}"/>
    <cellStyle name="20% - Colore 4" xfId="9579" xr:uid="{00000000-0005-0000-0000-00004B040000}"/>
    <cellStyle name="20% - Colore 5" xfId="9580" xr:uid="{00000000-0005-0000-0000-00004C040000}"/>
    <cellStyle name="20% - Colore 6" xfId="9581" xr:uid="{00000000-0005-0000-0000-00004D040000}"/>
    <cellStyle name="2x indented GHG Textfiels" xfId="5878" xr:uid="{00000000-0005-0000-0000-00004E040000}"/>
    <cellStyle name="2x indented GHG Textfiels 10" xfId="17063" xr:uid="{00000000-0005-0000-0000-00004F040000}"/>
    <cellStyle name="2x indented GHG Textfiels 10 2" xfId="22713" xr:uid="{00000000-0005-0000-0000-000050040000}"/>
    <cellStyle name="2x indented GHG Textfiels 11" xfId="13323" xr:uid="{00000000-0005-0000-0000-000051040000}"/>
    <cellStyle name="2x indented GHG Textfiels 11 2" xfId="18305" xr:uid="{00000000-0005-0000-0000-000052040000}"/>
    <cellStyle name="2x indented GHG Textfiels 12" xfId="12306" xr:uid="{00000000-0005-0000-0000-000053040000}"/>
    <cellStyle name="2x indented GHG Textfiels 13" xfId="12977" xr:uid="{00000000-0005-0000-0000-000054040000}"/>
    <cellStyle name="2x indented GHG Textfiels 14" xfId="24146" xr:uid="{00000000-0005-0000-0000-000055040000}"/>
    <cellStyle name="2x indented GHG Textfiels 2" xfId="7011" xr:uid="{00000000-0005-0000-0000-000056040000}"/>
    <cellStyle name="2x indented GHG Textfiels 2 2" xfId="14668" xr:uid="{00000000-0005-0000-0000-000057040000}"/>
    <cellStyle name="2x indented GHG Textfiels 2 2 2" xfId="19976" xr:uid="{00000000-0005-0000-0000-000058040000}"/>
    <cellStyle name="2x indented GHG Textfiels 2 2 3" xfId="24334" xr:uid="{00000000-0005-0000-0000-000059040000}"/>
    <cellStyle name="2x indented GHG Textfiels 2 3" xfId="15007" xr:uid="{00000000-0005-0000-0000-00005A040000}"/>
    <cellStyle name="2x indented GHG Textfiels 2 3 2" xfId="20368" xr:uid="{00000000-0005-0000-0000-00005B040000}"/>
    <cellStyle name="2x indented GHG Textfiels 2 4" xfId="15076" xr:uid="{00000000-0005-0000-0000-00005C040000}"/>
    <cellStyle name="2x indented GHG Textfiels 2 4 2" xfId="20460" xr:uid="{00000000-0005-0000-0000-00005D040000}"/>
    <cellStyle name="2x indented GHG Textfiels 2 5" xfId="16059" xr:uid="{00000000-0005-0000-0000-00005E040000}"/>
    <cellStyle name="2x indented GHG Textfiels 2 5 2" xfId="21561" xr:uid="{00000000-0005-0000-0000-00005F040000}"/>
    <cellStyle name="2x indented GHG Textfiels 2 6" xfId="16367" xr:uid="{00000000-0005-0000-0000-000060040000}"/>
    <cellStyle name="2x indented GHG Textfiels 2 6 2" xfId="22009" xr:uid="{00000000-0005-0000-0000-000061040000}"/>
    <cellStyle name="2x indented GHG Textfiels 2 7" xfId="17072" xr:uid="{00000000-0005-0000-0000-000062040000}"/>
    <cellStyle name="2x indented GHG Textfiels 2 7 2" xfId="22719" xr:uid="{00000000-0005-0000-0000-000063040000}"/>
    <cellStyle name="2x indented GHG Textfiels 2 8" xfId="13332" xr:uid="{00000000-0005-0000-0000-000064040000}"/>
    <cellStyle name="2x indented GHG Textfiels 2 8 2" xfId="18311" xr:uid="{00000000-0005-0000-0000-000065040000}"/>
    <cellStyle name="2x indented GHG Textfiels 2 9" xfId="12340" xr:uid="{00000000-0005-0000-0000-000066040000}"/>
    <cellStyle name="2x indented GHG Textfiels 3" xfId="7012" xr:uid="{00000000-0005-0000-0000-000067040000}"/>
    <cellStyle name="2x indented GHG Textfiels 3 10" xfId="13310" xr:uid="{00000000-0005-0000-0000-000068040000}"/>
    <cellStyle name="2x indented GHG Textfiels 3 2" xfId="14991" xr:uid="{00000000-0005-0000-0000-000069040000}"/>
    <cellStyle name="2x indented GHG Textfiels 3 2 2" xfId="20344" xr:uid="{00000000-0005-0000-0000-00006A040000}"/>
    <cellStyle name="2x indented GHG Textfiels 3 3" xfId="15053" xr:uid="{00000000-0005-0000-0000-00006B040000}"/>
    <cellStyle name="2x indented GHG Textfiels 3 3 2" xfId="20428" xr:uid="{00000000-0005-0000-0000-00006C040000}"/>
    <cellStyle name="2x indented GHG Textfiels 3 4" xfId="16148" xr:uid="{00000000-0005-0000-0000-00006D040000}"/>
    <cellStyle name="2x indented GHG Textfiels 3 4 2" xfId="21667" xr:uid="{00000000-0005-0000-0000-00006E040000}"/>
    <cellStyle name="2x indented GHG Textfiels 3 5" xfId="16249" xr:uid="{00000000-0005-0000-0000-00006F040000}"/>
    <cellStyle name="2x indented GHG Textfiels 3 5 2" xfId="21802" xr:uid="{00000000-0005-0000-0000-000070040000}"/>
    <cellStyle name="2x indented GHG Textfiels 3 6" xfId="17057" xr:uid="{00000000-0005-0000-0000-000071040000}"/>
    <cellStyle name="2x indented GHG Textfiels 3 6 2" xfId="22708" xr:uid="{00000000-0005-0000-0000-000072040000}"/>
    <cellStyle name="2x indented GHG Textfiels 3 7" xfId="17777" xr:uid="{00000000-0005-0000-0000-000073040000}"/>
    <cellStyle name="2x indented GHG Textfiels 3 7 2" xfId="23422" xr:uid="{00000000-0005-0000-0000-000074040000}"/>
    <cellStyle name="2x indented GHG Textfiels 3 8" xfId="13981" xr:uid="{00000000-0005-0000-0000-000075040000}"/>
    <cellStyle name="2x indented GHG Textfiels 3 8 2" xfId="18955" xr:uid="{00000000-0005-0000-0000-000076040000}"/>
    <cellStyle name="2x indented GHG Textfiels 3 9" xfId="18299" xr:uid="{00000000-0005-0000-0000-000077040000}"/>
    <cellStyle name="2x indented GHG Textfiels 4" xfId="7667" xr:uid="{00000000-0005-0000-0000-000078040000}"/>
    <cellStyle name="2x indented GHG Textfiels 4 2" xfId="9736" xr:uid="{00000000-0005-0000-0000-000079040000}"/>
    <cellStyle name="2x indented GHG Textfiels 4 2 2" xfId="45114" xr:uid="{00000000-0005-0000-0000-00007A040000}"/>
    <cellStyle name="2x indented GHG Textfiels 4 3" xfId="11879" xr:uid="{00000000-0005-0000-0000-00007B040000}"/>
    <cellStyle name="2x indented GHG Textfiels 4 3 2" xfId="46210" xr:uid="{00000000-0005-0000-0000-00007C040000}"/>
    <cellStyle name="2x indented GHG Textfiels 4 4" xfId="11269" xr:uid="{00000000-0005-0000-0000-00007D040000}"/>
    <cellStyle name="2x indented GHG Textfiels 4 4 2" xfId="45774" xr:uid="{00000000-0005-0000-0000-00007E040000}"/>
    <cellStyle name="2x indented GHG Textfiels 4 5" xfId="44942" xr:uid="{00000000-0005-0000-0000-00007F040000}"/>
    <cellStyle name="2x indented GHG Textfiels 5" xfId="7010" xr:uid="{00000000-0005-0000-0000-000080040000}"/>
    <cellStyle name="2x indented GHG Textfiels 5 2" xfId="19986" xr:uid="{00000000-0005-0000-0000-000081040000}"/>
    <cellStyle name="2x indented GHG Textfiels 5 3" xfId="14675" xr:uid="{00000000-0005-0000-0000-000082040000}"/>
    <cellStyle name="2x indented GHG Textfiels 6" xfId="11392" xr:uid="{00000000-0005-0000-0000-000083040000}"/>
    <cellStyle name="2x indented GHG Textfiels 6 2" xfId="20375" xr:uid="{00000000-0005-0000-0000-000084040000}"/>
    <cellStyle name="2x indented GHG Textfiels 7" xfId="11002" xr:uid="{00000000-0005-0000-0000-000085040000}"/>
    <cellStyle name="2x indented GHG Textfiels 7 2" xfId="20448" xr:uid="{00000000-0005-0000-0000-000086040000}"/>
    <cellStyle name="2x indented GHG Textfiels 8" xfId="15303" xr:uid="{00000000-0005-0000-0000-000087040000}"/>
    <cellStyle name="2x indented GHG Textfiels 8 2" xfId="20692" xr:uid="{00000000-0005-0000-0000-000088040000}"/>
    <cellStyle name="2x indented GHG Textfiels 9" xfId="16372" xr:uid="{00000000-0005-0000-0000-000089040000}"/>
    <cellStyle name="2x indented GHG Textfiels 9 2" xfId="22014" xr:uid="{00000000-0005-0000-0000-00008A040000}"/>
    <cellStyle name="40 % - Accent1" xfId="12307" xr:uid="{00000000-0005-0000-0000-00008B040000}"/>
    <cellStyle name="40 % - Accent2" xfId="12308" xr:uid="{00000000-0005-0000-0000-00008C040000}"/>
    <cellStyle name="40 % - Accent3" xfId="12309" xr:uid="{00000000-0005-0000-0000-00008D040000}"/>
    <cellStyle name="40 % - Accent4" xfId="12310" xr:uid="{00000000-0005-0000-0000-00008E040000}"/>
    <cellStyle name="40 % - Accent5" xfId="12311" xr:uid="{00000000-0005-0000-0000-00008F040000}"/>
    <cellStyle name="40 % - Accent6" xfId="12312" xr:uid="{00000000-0005-0000-0000-000090040000}"/>
    <cellStyle name="40% - 1. jelölőszín" xfId="3102" xr:uid="{00000000-0005-0000-0000-000091040000}"/>
    <cellStyle name="40% - 2. jelölőszín" xfId="3103" xr:uid="{00000000-0005-0000-0000-000092040000}"/>
    <cellStyle name="40% - 3. jelölőszín" xfId="3104" xr:uid="{00000000-0005-0000-0000-000093040000}"/>
    <cellStyle name="40% - 4. jelölőszín" xfId="3105" xr:uid="{00000000-0005-0000-0000-000094040000}"/>
    <cellStyle name="40% - 5. jelölőszín" xfId="3106" xr:uid="{00000000-0005-0000-0000-000095040000}"/>
    <cellStyle name="40% - 6. jelölőszín" xfId="3107" xr:uid="{00000000-0005-0000-0000-000096040000}"/>
    <cellStyle name="40% - Accent1 10" xfId="3161" xr:uid="{00000000-0005-0000-0000-000097040000}"/>
    <cellStyle name="40% - Accent1 10 2" xfId="4850" xr:uid="{00000000-0005-0000-0000-000098040000}"/>
    <cellStyle name="40% - Accent1 11" xfId="42169" xr:uid="{00000000-0005-0000-0000-000099040000}"/>
    <cellStyle name="40% - Accent1 11 2" xfId="42170" xr:uid="{00000000-0005-0000-0000-00009A040000}"/>
    <cellStyle name="40% - Accent1 12" xfId="42171" xr:uid="{00000000-0005-0000-0000-00009B040000}"/>
    <cellStyle name="40% - Accent1 13" xfId="42172" xr:uid="{00000000-0005-0000-0000-00009C040000}"/>
    <cellStyle name="40% - Accent1 14" xfId="42173" xr:uid="{00000000-0005-0000-0000-00009D040000}"/>
    <cellStyle name="40% - Accent1 15" xfId="42174" xr:uid="{00000000-0005-0000-0000-00009E040000}"/>
    <cellStyle name="40% - Accent1 16" xfId="42175" xr:uid="{00000000-0005-0000-0000-00009F040000}"/>
    <cellStyle name="40% - Accent1 17" xfId="42176" xr:uid="{00000000-0005-0000-0000-0000A0040000}"/>
    <cellStyle name="40% - Accent1 18" xfId="42177" xr:uid="{00000000-0005-0000-0000-0000A1040000}"/>
    <cellStyle name="40% - Accent1 19" xfId="42178" xr:uid="{00000000-0005-0000-0000-0000A2040000}"/>
    <cellStyle name="40% - Accent1 2" xfId="343" xr:uid="{00000000-0005-0000-0000-0000A3040000}"/>
    <cellStyle name="40% - Accent1 2 10" xfId="344" xr:uid="{00000000-0005-0000-0000-0000A4040000}"/>
    <cellStyle name="40% - Accent1 2 10 2" xfId="4851" xr:uid="{00000000-0005-0000-0000-0000A5040000}"/>
    <cellStyle name="40% - Accent1 2 10 3" xfId="7668" xr:uid="{00000000-0005-0000-0000-0000A6040000}"/>
    <cellStyle name="40% - Accent1 2 11" xfId="345" xr:uid="{00000000-0005-0000-0000-0000A7040000}"/>
    <cellStyle name="40% - Accent1 2 11 2" xfId="4852" xr:uid="{00000000-0005-0000-0000-0000A8040000}"/>
    <cellStyle name="40% - Accent1 2 11 3" xfId="7669" xr:uid="{00000000-0005-0000-0000-0000A9040000}"/>
    <cellStyle name="40% - Accent1 2 12" xfId="4853" xr:uid="{00000000-0005-0000-0000-0000AA040000}"/>
    <cellStyle name="40% - Accent1 2 12 2" xfId="6296" xr:uid="{00000000-0005-0000-0000-0000AB040000}"/>
    <cellStyle name="40% - Accent1 2 12 3" xfId="7670" xr:uid="{00000000-0005-0000-0000-0000AC040000}"/>
    <cellStyle name="40% - Accent1 2 13" xfId="6297" xr:uid="{00000000-0005-0000-0000-0000AD040000}"/>
    <cellStyle name="40% - Accent1 2 13 2" xfId="7671" xr:uid="{00000000-0005-0000-0000-0000AE040000}"/>
    <cellStyle name="40% - Accent1 2 14" xfId="7672" xr:uid="{00000000-0005-0000-0000-0000AF040000}"/>
    <cellStyle name="40% - Accent1 2 15" xfId="7673" xr:uid="{00000000-0005-0000-0000-0000B0040000}"/>
    <cellStyle name="40% - Accent1 2 16" xfId="42179" xr:uid="{00000000-0005-0000-0000-0000B1040000}"/>
    <cellStyle name="40% - Accent1 2 17" xfId="46474" xr:uid="{BAA241D5-10DC-47BF-9BC1-E541B32665C6}"/>
    <cellStyle name="40% - Accent1 2 2" xfId="346" xr:uid="{00000000-0005-0000-0000-0000B2040000}"/>
    <cellStyle name="40% - Accent1 2 2 2" xfId="4854" xr:uid="{00000000-0005-0000-0000-0000B3040000}"/>
    <cellStyle name="40% - Accent1 2 2 3" xfId="7674" xr:uid="{00000000-0005-0000-0000-0000B4040000}"/>
    <cellStyle name="40% - Accent1 2 3" xfId="347" xr:uid="{00000000-0005-0000-0000-0000B5040000}"/>
    <cellStyle name="40% - Accent1 2 3 2" xfId="4855" xr:uid="{00000000-0005-0000-0000-0000B6040000}"/>
    <cellStyle name="40% - Accent1 2 3 3" xfId="7675" xr:uid="{00000000-0005-0000-0000-0000B7040000}"/>
    <cellStyle name="40% - Accent1 2 4" xfId="348" xr:uid="{00000000-0005-0000-0000-0000B8040000}"/>
    <cellStyle name="40% - Accent1 2 4 2" xfId="4856" xr:uid="{00000000-0005-0000-0000-0000B9040000}"/>
    <cellStyle name="40% - Accent1 2 4 3" xfId="7676" xr:uid="{00000000-0005-0000-0000-0000BA040000}"/>
    <cellStyle name="40% - Accent1 2 5" xfId="349" xr:uid="{00000000-0005-0000-0000-0000BB040000}"/>
    <cellStyle name="40% - Accent1 2 5 2" xfId="4857" xr:uid="{00000000-0005-0000-0000-0000BC040000}"/>
    <cellStyle name="40% - Accent1 2 5 3" xfId="7677" xr:uid="{00000000-0005-0000-0000-0000BD040000}"/>
    <cellStyle name="40% - Accent1 2 6" xfId="350" xr:uid="{00000000-0005-0000-0000-0000BE040000}"/>
    <cellStyle name="40% - Accent1 2 6 2" xfId="4858" xr:uid="{00000000-0005-0000-0000-0000BF040000}"/>
    <cellStyle name="40% - Accent1 2 6 3" xfId="7678" xr:uid="{00000000-0005-0000-0000-0000C0040000}"/>
    <cellStyle name="40% - Accent1 2 7" xfId="351" xr:uid="{00000000-0005-0000-0000-0000C1040000}"/>
    <cellStyle name="40% - Accent1 2 7 2" xfId="4859" xr:uid="{00000000-0005-0000-0000-0000C2040000}"/>
    <cellStyle name="40% - Accent1 2 7 3" xfId="7679" xr:uid="{00000000-0005-0000-0000-0000C3040000}"/>
    <cellStyle name="40% - Accent1 2 8" xfId="352" xr:uid="{00000000-0005-0000-0000-0000C4040000}"/>
    <cellStyle name="40% - Accent1 2 8 2" xfId="4860" xr:uid="{00000000-0005-0000-0000-0000C5040000}"/>
    <cellStyle name="40% - Accent1 2 8 3" xfId="7680" xr:uid="{00000000-0005-0000-0000-0000C6040000}"/>
    <cellStyle name="40% - Accent1 2 9" xfId="353" xr:uid="{00000000-0005-0000-0000-0000C7040000}"/>
    <cellStyle name="40% - Accent1 2 9 2" xfId="4861" xr:uid="{00000000-0005-0000-0000-0000C8040000}"/>
    <cellStyle name="40% - Accent1 2 9 3" xfId="7681" xr:uid="{00000000-0005-0000-0000-0000C9040000}"/>
    <cellStyle name="40% - Accent1 20" xfId="42180" xr:uid="{00000000-0005-0000-0000-0000CA040000}"/>
    <cellStyle name="40% - Accent1 21" xfId="42181" xr:uid="{00000000-0005-0000-0000-0000CB040000}"/>
    <cellStyle name="40% - Accent1 22" xfId="42182" xr:uid="{00000000-0005-0000-0000-0000CC040000}"/>
    <cellStyle name="40% - Accent1 23" xfId="42183" xr:uid="{00000000-0005-0000-0000-0000CD040000}"/>
    <cellStyle name="40% - Accent1 24" xfId="42184" xr:uid="{00000000-0005-0000-0000-0000CE040000}"/>
    <cellStyle name="40% - Accent1 25" xfId="42185" xr:uid="{00000000-0005-0000-0000-0000CF040000}"/>
    <cellStyle name="40% - Accent1 26" xfId="42186" xr:uid="{00000000-0005-0000-0000-0000D0040000}"/>
    <cellStyle name="40% - Accent1 27" xfId="42187" xr:uid="{00000000-0005-0000-0000-0000D1040000}"/>
    <cellStyle name="40% - Accent1 28" xfId="42188" xr:uid="{00000000-0005-0000-0000-0000D2040000}"/>
    <cellStyle name="40% - Accent1 29" xfId="42189" xr:uid="{00000000-0005-0000-0000-0000D3040000}"/>
    <cellStyle name="40% - Accent1 3" xfId="354" xr:uid="{00000000-0005-0000-0000-0000D4040000}"/>
    <cellStyle name="40% - Accent1 3 10" xfId="355" xr:uid="{00000000-0005-0000-0000-0000D5040000}"/>
    <cellStyle name="40% - Accent1 3 10 2" xfId="4862" xr:uid="{00000000-0005-0000-0000-0000D6040000}"/>
    <cellStyle name="40% - Accent1 3 11" xfId="356" xr:uid="{00000000-0005-0000-0000-0000D7040000}"/>
    <cellStyle name="40% - Accent1 3 11 2" xfId="4863" xr:uid="{00000000-0005-0000-0000-0000D8040000}"/>
    <cellStyle name="40% - Accent1 3 12" xfId="4864" xr:uid="{00000000-0005-0000-0000-0000D9040000}"/>
    <cellStyle name="40% - Accent1 3 13" xfId="7682" xr:uid="{00000000-0005-0000-0000-0000DA040000}"/>
    <cellStyle name="40% - Accent1 3 2" xfId="357" xr:uid="{00000000-0005-0000-0000-0000DB040000}"/>
    <cellStyle name="40% - Accent1 3 2 2" xfId="4865" xr:uid="{00000000-0005-0000-0000-0000DC040000}"/>
    <cellStyle name="40% - Accent1 3 2 3" xfId="42190" xr:uid="{00000000-0005-0000-0000-0000DD040000}"/>
    <cellStyle name="40% - Accent1 3 3" xfId="358" xr:uid="{00000000-0005-0000-0000-0000DE040000}"/>
    <cellStyle name="40% - Accent1 3 3 2" xfId="4866" xr:uid="{00000000-0005-0000-0000-0000DF040000}"/>
    <cellStyle name="40% - Accent1 3 4" xfId="359" xr:uid="{00000000-0005-0000-0000-0000E0040000}"/>
    <cellStyle name="40% - Accent1 3 4 2" xfId="4867" xr:uid="{00000000-0005-0000-0000-0000E1040000}"/>
    <cellStyle name="40% - Accent1 3 5" xfId="360" xr:uid="{00000000-0005-0000-0000-0000E2040000}"/>
    <cellStyle name="40% - Accent1 3 5 2" xfId="4868" xr:uid="{00000000-0005-0000-0000-0000E3040000}"/>
    <cellStyle name="40% - Accent1 3 6" xfId="361" xr:uid="{00000000-0005-0000-0000-0000E4040000}"/>
    <cellStyle name="40% - Accent1 3 6 2" xfId="4869" xr:uid="{00000000-0005-0000-0000-0000E5040000}"/>
    <cellStyle name="40% - Accent1 3 7" xfId="362" xr:uid="{00000000-0005-0000-0000-0000E6040000}"/>
    <cellStyle name="40% - Accent1 3 7 2" xfId="4870" xr:uid="{00000000-0005-0000-0000-0000E7040000}"/>
    <cellStyle name="40% - Accent1 3 8" xfId="363" xr:uid="{00000000-0005-0000-0000-0000E8040000}"/>
    <cellStyle name="40% - Accent1 3 8 2" xfId="4871" xr:uid="{00000000-0005-0000-0000-0000E9040000}"/>
    <cellStyle name="40% - Accent1 3 9" xfId="364" xr:uid="{00000000-0005-0000-0000-0000EA040000}"/>
    <cellStyle name="40% - Accent1 3 9 2" xfId="4872" xr:uid="{00000000-0005-0000-0000-0000EB040000}"/>
    <cellStyle name="40% - Accent1 30" xfId="42191" xr:uid="{00000000-0005-0000-0000-0000EC040000}"/>
    <cellStyle name="40% - Accent1 31" xfId="42192" xr:uid="{00000000-0005-0000-0000-0000ED040000}"/>
    <cellStyle name="40% - Accent1 32" xfId="42193" xr:uid="{00000000-0005-0000-0000-0000EE040000}"/>
    <cellStyle name="40% - Accent1 33" xfId="42194" xr:uid="{00000000-0005-0000-0000-0000EF040000}"/>
    <cellStyle name="40% - Accent1 34" xfId="42195" xr:uid="{00000000-0005-0000-0000-0000F0040000}"/>
    <cellStyle name="40% - Accent1 35" xfId="42196" xr:uid="{00000000-0005-0000-0000-0000F1040000}"/>
    <cellStyle name="40% - Accent1 36" xfId="42197" xr:uid="{00000000-0005-0000-0000-0000F2040000}"/>
    <cellStyle name="40% - Accent1 37" xfId="42198" xr:uid="{00000000-0005-0000-0000-0000F3040000}"/>
    <cellStyle name="40% - Accent1 38" xfId="42199" xr:uid="{00000000-0005-0000-0000-0000F4040000}"/>
    <cellStyle name="40% - Accent1 39" xfId="42200" xr:uid="{00000000-0005-0000-0000-0000F5040000}"/>
    <cellStyle name="40% - Accent1 4" xfId="365" xr:uid="{00000000-0005-0000-0000-0000F6040000}"/>
    <cellStyle name="40% - Accent1 4 10" xfId="366" xr:uid="{00000000-0005-0000-0000-0000F7040000}"/>
    <cellStyle name="40% - Accent1 4 10 2" xfId="4873" xr:uid="{00000000-0005-0000-0000-0000F8040000}"/>
    <cellStyle name="40% - Accent1 4 11" xfId="367" xr:uid="{00000000-0005-0000-0000-0000F9040000}"/>
    <cellStyle name="40% - Accent1 4 11 2" xfId="4874" xr:uid="{00000000-0005-0000-0000-0000FA040000}"/>
    <cellStyle name="40% - Accent1 4 12" xfId="4875" xr:uid="{00000000-0005-0000-0000-0000FB040000}"/>
    <cellStyle name="40% - Accent1 4 13" xfId="7683" xr:uid="{00000000-0005-0000-0000-0000FC040000}"/>
    <cellStyle name="40% - Accent1 4 2" xfId="368" xr:uid="{00000000-0005-0000-0000-0000FD040000}"/>
    <cellStyle name="40% - Accent1 4 2 2" xfId="4876" xr:uid="{00000000-0005-0000-0000-0000FE040000}"/>
    <cellStyle name="40% - Accent1 4 2 3" xfId="42201" xr:uid="{00000000-0005-0000-0000-0000FF040000}"/>
    <cellStyle name="40% - Accent1 4 3" xfId="369" xr:uid="{00000000-0005-0000-0000-000000050000}"/>
    <cellStyle name="40% - Accent1 4 3 2" xfId="4877" xr:uid="{00000000-0005-0000-0000-000001050000}"/>
    <cellStyle name="40% - Accent1 4 4" xfId="370" xr:uid="{00000000-0005-0000-0000-000002050000}"/>
    <cellStyle name="40% - Accent1 4 4 2" xfId="4878" xr:uid="{00000000-0005-0000-0000-000003050000}"/>
    <cellStyle name="40% - Accent1 4 5" xfId="371" xr:uid="{00000000-0005-0000-0000-000004050000}"/>
    <cellStyle name="40% - Accent1 4 5 2" xfId="4879" xr:uid="{00000000-0005-0000-0000-000005050000}"/>
    <cellStyle name="40% - Accent1 4 6" xfId="372" xr:uid="{00000000-0005-0000-0000-000006050000}"/>
    <cellStyle name="40% - Accent1 4 6 2" xfId="4880" xr:uid="{00000000-0005-0000-0000-000007050000}"/>
    <cellStyle name="40% - Accent1 4 7" xfId="373" xr:uid="{00000000-0005-0000-0000-000008050000}"/>
    <cellStyle name="40% - Accent1 4 7 2" xfId="4881" xr:uid="{00000000-0005-0000-0000-000009050000}"/>
    <cellStyle name="40% - Accent1 4 8" xfId="374" xr:uid="{00000000-0005-0000-0000-00000A050000}"/>
    <cellStyle name="40% - Accent1 4 8 2" xfId="4882" xr:uid="{00000000-0005-0000-0000-00000B050000}"/>
    <cellStyle name="40% - Accent1 4 9" xfId="375" xr:uid="{00000000-0005-0000-0000-00000C050000}"/>
    <cellStyle name="40% - Accent1 4 9 2" xfId="4883" xr:uid="{00000000-0005-0000-0000-00000D050000}"/>
    <cellStyle name="40% - Accent1 40" xfId="42202" xr:uid="{00000000-0005-0000-0000-00000E050000}"/>
    <cellStyle name="40% - Accent1 41" xfId="42203" xr:uid="{00000000-0005-0000-0000-00000F050000}"/>
    <cellStyle name="40% - Accent1 42" xfId="42204" xr:uid="{00000000-0005-0000-0000-000010050000}"/>
    <cellStyle name="40% - Accent1 43" xfId="42205" xr:uid="{00000000-0005-0000-0000-000011050000}"/>
    <cellStyle name="40% - Accent1 5" xfId="376" xr:uid="{00000000-0005-0000-0000-000012050000}"/>
    <cellStyle name="40% - Accent1 5 10" xfId="377" xr:uid="{00000000-0005-0000-0000-000013050000}"/>
    <cellStyle name="40% - Accent1 5 10 2" xfId="4884" xr:uid="{00000000-0005-0000-0000-000014050000}"/>
    <cellStyle name="40% - Accent1 5 11" xfId="378" xr:uid="{00000000-0005-0000-0000-000015050000}"/>
    <cellStyle name="40% - Accent1 5 11 2" xfId="4885" xr:uid="{00000000-0005-0000-0000-000016050000}"/>
    <cellStyle name="40% - Accent1 5 12" xfId="4886" xr:uid="{00000000-0005-0000-0000-000017050000}"/>
    <cellStyle name="40% - Accent1 5 13" xfId="7684" xr:uid="{00000000-0005-0000-0000-000018050000}"/>
    <cellStyle name="40% - Accent1 5 2" xfId="379" xr:uid="{00000000-0005-0000-0000-000019050000}"/>
    <cellStyle name="40% - Accent1 5 2 2" xfId="4887" xr:uid="{00000000-0005-0000-0000-00001A050000}"/>
    <cellStyle name="40% - Accent1 5 2 3" xfId="42206" xr:uid="{00000000-0005-0000-0000-00001B050000}"/>
    <cellStyle name="40% - Accent1 5 3" xfId="380" xr:uid="{00000000-0005-0000-0000-00001C050000}"/>
    <cellStyle name="40% - Accent1 5 3 2" xfId="4888" xr:uid="{00000000-0005-0000-0000-00001D050000}"/>
    <cellStyle name="40% - Accent1 5 4" xfId="381" xr:uid="{00000000-0005-0000-0000-00001E050000}"/>
    <cellStyle name="40% - Accent1 5 4 2" xfId="4889" xr:uid="{00000000-0005-0000-0000-00001F050000}"/>
    <cellStyle name="40% - Accent1 5 5" xfId="382" xr:uid="{00000000-0005-0000-0000-000020050000}"/>
    <cellStyle name="40% - Accent1 5 5 2" xfId="4890" xr:uid="{00000000-0005-0000-0000-000021050000}"/>
    <cellStyle name="40% - Accent1 5 6" xfId="383" xr:uid="{00000000-0005-0000-0000-000022050000}"/>
    <cellStyle name="40% - Accent1 5 6 2" xfId="4891" xr:uid="{00000000-0005-0000-0000-000023050000}"/>
    <cellStyle name="40% - Accent1 5 7" xfId="384" xr:uid="{00000000-0005-0000-0000-000024050000}"/>
    <cellStyle name="40% - Accent1 5 7 2" xfId="4892" xr:uid="{00000000-0005-0000-0000-000025050000}"/>
    <cellStyle name="40% - Accent1 5 8" xfId="385" xr:uid="{00000000-0005-0000-0000-000026050000}"/>
    <cellStyle name="40% - Accent1 5 8 2" xfId="4893" xr:uid="{00000000-0005-0000-0000-000027050000}"/>
    <cellStyle name="40% - Accent1 5 9" xfId="386" xr:uid="{00000000-0005-0000-0000-000028050000}"/>
    <cellStyle name="40% - Accent1 5 9 2" xfId="4894" xr:uid="{00000000-0005-0000-0000-000029050000}"/>
    <cellStyle name="40% - Accent1 6" xfId="387" xr:uid="{00000000-0005-0000-0000-00002A050000}"/>
    <cellStyle name="40% - Accent1 6 10" xfId="388" xr:uid="{00000000-0005-0000-0000-00002B050000}"/>
    <cellStyle name="40% - Accent1 6 10 2" xfId="4895" xr:uid="{00000000-0005-0000-0000-00002C050000}"/>
    <cellStyle name="40% - Accent1 6 11" xfId="389" xr:uid="{00000000-0005-0000-0000-00002D050000}"/>
    <cellStyle name="40% - Accent1 6 11 2" xfId="4896" xr:uid="{00000000-0005-0000-0000-00002E050000}"/>
    <cellStyle name="40% - Accent1 6 12" xfId="4897" xr:uid="{00000000-0005-0000-0000-00002F050000}"/>
    <cellStyle name="40% - Accent1 6 13" xfId="7685" xr:uid="{00000000-0005-0000-0000-000030050000}"/>
    <cellStyle name="40% - Accent1 6 2" xfId="390" xr:uid="{00000000-0005-0000-0000-000031050000}"/>
    <cellStyle name="40% - Accent1 6 2 2" xfId="4898" xr:uid="{00000000-0005-0000-0000-000032050000}"/>
    <cellStyle name="40% - Accent1 6 2 3" xfId="42207" xr:uid="{00000000-0005-0000-0000-000033050000}"/>
    <cellStyle name="40% - Accent1 6 3" xfId="391" xr:uid="{00000000-0005-0000-0000-000034050000}"/>
    <cellStyle name="40% - Accent1 6 3 2" xfId="4899" xr:uid="{00000000-0005-0000-0000-000035050000}"/>
    <cellStyle name="40% - Accent1 6 4" xfId="392" xr:uid="{00000000-0005-0000-0000-000036050000}"/>
    <cellStyle name="40% - Accent1 6 4 2" xfId="4900" xr:uid="{00000000-0005-0000-0000-000037050000}"/>
    <cellStyle name="40% - Accent1 6 5" xfId="393" xr:uid="{00000000-0005-0000-0000-000038050000}"/>
    <cellStyle name="40% - Accent1 6 5 2" xfId="4901" xr:uid="{00000000-0005-0000-0000-000039050000}"/>
    <cellStyle name="40% - Accent1 6 6" xfId="394" xr:uid="{00000000-0005-0000-0000-00003A050000}"/>
    <cellStyle name="40% - Accent1 6 6 2" xfId="4902" xr:uid="{00000000-0005-0000-0000-00003B050000}"/>
    <cellStyle name="40% - Accent1 6 7" xfId="395" xr:uid="{00000000-0005-0000-0000-00003C050000}"/>
    <cellStyle name="40% - Accent1 6 7 2" xfId="4903" xr:uid="{00000000-0005-0000-0000-00003D050000}"/>
    <cellStyle name="40% - Accent1 6 8" xfId="396" xr:uid="{00000000-0005-0000-0000-00003E050000}"/>
    <cellStyle name="40% - Accent1 6 8 2" xfId="4904" xr:uid="{00000000-0005-0000-0000-00003F050000}"/>
    <cellStyle name="40% - Accent1 6 9" xfId="397" xr:uid="{00000000-0005-0000-0000-000040050000}"/>
    <cellStyle name="40% - Accent1 6 9 2" xfId="4905" xr:uid="{00000000-0005-0000-0000-000041050000}"/>
    <cellStyle name="40% - Accent1 7" xfId="398" xr:uid="{00000000-0005-0000-0000-000042050000}"/>
    <cellStyle name="40% - Accent1 7 2" xfId="4906" xr:uid="{00000000-0005-0000-0000-000043050000}"/>
    <cellStyle name="40% - Accent1 7 2 2" xfId="42209" xr:uid="{00000000-0005-0000-0000-000044050000}"/>
    <cellStyle name="40% - Accent1 7 3" xfId="7686" xr:uid="{00000000-0005-0000-0000-000045050000}"/>
    <cellStyle name="40% - Accent1 7 3 2" xfId="42208" xr:uid="{00000000-0005-0000-0000-000046050000}"/>
    <cellStyle name="40% - Accent1 8" xfId="399" xr:uid="{00000000-0005-0000-0000-000047050000}"/>
    <cellStyle name="40% - Accent1 8 2" xfId="4907" xr:uid="{00000000-0005-0000-0000-000048050000}"/>
    <cellStyle name="40% - Accent1 8 2 2" xfId="42211" xr:uid="{00000000-0005-0000-0000-000049050000}"/>
    <cellStyle name="40% - Accent1 8 3" xfId="7687" xr:uid="{00000000-0005-0000-0000-00004A050000}"/>
    <cellStyle name="40% - Accent1 8 3 2" xfId="42210" xr:uid="{00000000-0005-0000-0000-00004B050000}"/>
    <cellStyle name="40% - Accent1 9" xfId="3162" xr:uid="{00000000-0005-0000-0000-00004C050000}"/>
    <cellStyle name="40% - Accent1 9 2" xfId="4908" xr:uid="{00000000-0005-0000-0000-00004D050000}"/>
    <cellStyle name="40% - Accent2 10" xfId="3163" xr:uid="{00000000-0005-0000-0000-00004E050000}"/>
    <cellStyle name="40% - Accent2 10 2" xfId="4909" xr:uid="{00000000-0005-0000-0000-00004F050000}"/>
    <cellStyle name="40% - Accent2 11" xfId="42212" xr:uid="{00000000-0005-0000-0000-000050050000}"/>
    <cellStyle name="40% - Accent2 11 2" xfId="42213" xr:uid="{00000000-0005-0000-0000-000051050000}"/>
    <cellStyle name="40% - Accent2 12" xfId="42214" xr:uid="{00000000-0005-0000-0000-000052050000}"/>
    <cellStyle name="40% - Accent2 13" xfId="42215" xr:uid="{00000000-0005-0000-0000-000053050000}"/>
    <cellStyle name="40% - Accent2 14" xfId="42216" xr:uid="{00000000-0005-0000-0000-000054050000}"/>
    <cellStyle name="40% - Accent2 15" xfId="42217" xr:uid="{00000000-0005-0000-0000-000055050000}"/>
    <cellStyle name="40% - Accent2 16" xfId="42218" xr:uid="{00000000-0005-0000-0000-000056050000}"/>
    <cellStyle name="40% - Accent2 17" xfId="42219" xr:uid="{00000000-0005-0000-0000-000057050000}"/>
    <cellStyle name="40% - Accent2 18" xfId="42220" xr:uid="{00000000-0005-0000-0000-000058050000}"/>
    <cellStyle name="40% - Accent2 19" xfId="42221" xr:uid="{00000000-0005-0000-0000-000059050000}"/>
    <cellStyle name="40% - Accent2 2" xfId="400" xr:uid="{00000000-0005-0000-0000-00005A050000}"/>
    <cellStyle name="40% - Accent2 2 10" xfId="401" xr:uid="{00000000-0005-0000-0000-00005B050000}"/>
    <cellStyle name="40% - Accent2 2 10 2" xfId="4910" xr:uid="{00000000-0005-0000-0000-00005C050000}"/>
    <cellStyle name="40% - Accent2 2 11" xfId="402" xr:uid="{00000000-0005-0000-0000-00005D050000}"/>
    <cellStyle name="40% - Accent2 2 11 2" xfId="4911" xr:uid="{00000000-0005-0000-0000-00005E050000}"/>
    <cellStyle name="40% - Accent2 2 12" xfId="4912" xr:uid="{00000000-0005-0000-0000-00005F050000}"/>
    <cellStyle name="40% - Accent2 2 12 2" xfId="6298" xr:uid="{00000000-0005-0000-0000-000060050000}"/>
    <cellStyle name="40% - Accent2 2 13" xfId="6299" xr:uid="{00000000-0005-0000-0000-000061050000}"/>
    <cellStyle name="40% - Accent2 2 14" xfId="7688" xr:uid="{00000000-0005-0000-0000-000062050000}"/>
    <cellStyle name="40% - Accent2 2 15" xfId="7689" xr:uid="{00000000-0005-0000-0000-000063050000}"/>
    <cellStyle name="40% - Accent2 2 16" xfId="46475" xr:uid="{32396547-9538-484D-90E1-688F8DFDC726}"/>
    <cellStyle name="40% - Accent2 2 2" xfId="403" xr:uid="{00000000-0005-0000-0000-000064050000}"/>
    <cellStyle name="40% - Accent2 2 2 2" xfId="4913" xr:uid="{00000000-0005-0000-0000-000065050000}"/>
    <cellStyle name="40% - Accent2 2 3" xfId="404" xr:uid="{00000000-0005-0000-0000-000066050000}"/>
    <cellStyle name="40% - Accent2 2 3 2" xfId="4914" xr:uid="{00000000-0005-0000-0000-000067050000}"/>
    <cellStyle name="40% - Accent2 2 4" xfId="405" xr:uid="{00000000-0005-0000-0000-000068050000}"/>
    <cellStyle name="40% - Accent2 2 4 2" xfId="4915" xr:uid="{00000000-0005-0000-0000-000069050000}"/>
    <cellStyle name="40% - Accent2 2 5" xfId="406" xr:uid="{00000000-0005-0000-0000-00006A050000}"/>
    <cellStyle name="40% - Accent2 2 5 2" xfId="4916" xr:uid="{00000000-0005-0000-0000-00006B050000}"/>
    <cellStyle name="40% - Accent2 2 6" xfId="407" xr:uid="{00000000-0005-0000-0000-00006C050000}"/>
    <cellStyle name="40% - Accent2 2 6 2" xfId="4917" xr:uid="{00000000-0005-0000-0000-00006D050000}"/>
    <cellStyle name="40% - Accent2 2 7" xfId="408" xr:uid="{00000000-0005-0000-0000-00006E050000}"/>
    <cellStyle name="40% - Accent2 2 7 2" xfId="4918" xr:uid="{00000000-0005-0000-0000-00006F050000}"/>
    <cellStyle name="40% - Accent2 2 8" xfId="409" xr:uid="{00000000-0005-0000-0000-000070050000}"/>
    <cellStyle name="40% - Accent2 2 8 2" xfId="4919" xr:uid="{00000000-0005-0000-0000-000071050000}"/>
    <cellStyle name="40% - Accent2 2 9" xfId="410" xr:uid="{00000000-0005-0000-0000-000072050000}"/>
    <cellStyle name="40% - Accent2 2 9 2" xfId="4920" xr:uid="{00000000-0005-0000-0000-000073050000}"/>
    <cellStyle name="40% - Accent2 20" xfId="42222" xr:uid="{00000000-0005-0000-0000-000074050000}"/>
    <cellStyle name="40% - Accent2 21" xfId="42223" xr:uid="{00000000-0005-0000-0000-000075050000}"/>
    <cellStyle name="40% - Accent2 22" xfId="42224" xr:uid="{00000000-0005-0000-0000-000076050000}"/>
    <cellStyle name="40% - Accent2 23" xfId="42225" xr:uid="{00000000-0005-0000-0000-000077050000}"/>
    <cellStyle name="40% - Accent2 24" xfId="42226" xr:uid="{00000000-0005-0000-0000-000078050000}"/>
    <cellStyle name="40% - Accent2 25" xfId="42227" xr:uid="{00000000-0005-0000-0000-000079050000}"/>
    <cellStyle name="40% - Accent2 26" xfId="42228" xr:uid="{00000000-0005-0000-0000-00007A050000}"/>
    <cellStyle name="40% - Accent2 27" xfId="42229" xr:uid="{00000000-0005-0000-0000-00007B050000}"/>
    <cellStyle name="40% - Accent2 28" xfId="42230" xr:uid="{00000000-0005-0000-0000-00007C050000}"/>
    <cellStyle name="40% - Accent2 29" xfId="42231" xr:uid="{00000000-0005-0000-0000-00007D050000}"/>
    <cellStyle name="40% - Accent2 3" xfId="411" xr:uid="{00000000-0005-0000-0000-00007E050000}"/>
    <cellStyle name="40% - Accent2 3 10" xfId="412" xr:uid="{00000000-0005-0000-0000-00007F050000}"/>
    <cellStyle name="40% - Accent2 3 10 2" xfId="4921" xr:uid="{00000000-0005-0000-0000-000080050000}"/>
    <cellStyle name="40% - Accent2 3 11" xfId="413" xr:uid="{00000000-0005-0000-0000-000081050000}"/>
    <cellStyle name="40% - Accent2 3 11 2" xfId="4922" xr:uid="{00000000-0005-0000-0000-000082050000}"/>
    <cellStyle name="40% - Accent2 3 12" xfId="4923" xr:uid="{00000000-0005-0000-0000-000083050000}"/>
    <cellStyle name="40% - Accent2 3 2" xfId="414" xr:uid="{00000000-0005-0000-0000-000084050000}"/>
    <cellStyle name="40% - Accent2 3 2 2" xfId="4924" xr:uid="{00000000-0005-0000-0000-000085050000}"/>
    <cellStyle name="40% - Accent2 3 3" xfId="415" xr:uid="{00000000-0005-0000-0000-000086050000}"/>
    <cellStyle name="40% - Accent2 3 3 2" xfId="4925" xr:uid="{00000000-0005-0000-0000-000087050000}"/>
    <cellStyle name="40% - Accent2 3 4" xfId="416" xr:uid="{00000000-0005-0000-0000-000088050000}"/>
    <cellStyle name="40% - Accent2 3 4 2" xfId="4926" xr:uid="{00000000-0005-0000-0000-000089050000}"/>
    <cellStyle name="40% - Accent2 3 5" xfId="417" xr:uid="{00000000-0005-0000-0000-00008A050000}"/>
    <cellStyle name="40% - Accent2 3 5 2" xfId="4927" xr:uid="{00000000-0005-0000-0000-00008B050000}"/>
    <cellStyle name="40% - Accent2 3 6" xfId="418" xr:uid="{00000000-0005-0000-0000-00008C050000}"/>
    <cellStyle name="40% - Accent2 3 6 2" xfId="4928" xr:uid="{00000000-0005-0000-0000-00008D050000}"/>
    <cellStyle name="40% - Accent2 3 7" xfId="419" xr:uid="{00000000-0005-0000-0000-00008E050000}"/>
    <cellStyle name="40% - Accent2 3 7 2" xfId="4929" xr:uid="{00000000-0005-0000-0000-00008F050000}"/>
    <cellStyle name="40% - Accent2 3 8" xfId="420" xr:uid="{00000000-0005-0000-0000-000090050000}"/>
    <cellStyle name="40% - Accent2 3 8 2" xfId="4930" xr:uid="{00000000-0005-0000-0000-000091050000}"/>
    <cellStyle name="40% - Accent2 3 9" xfId="421" xr:uid="{00000000-0005-0000-0000-000092050000}"/>
    <cellStyle name="40% - Accent2 3 9 2" xfId="4931" xr:uid="{00000000-0005-0000-0000-000093050000}"/>
    <cellStyle name="40% - Accent2 30" xfId="42232" xr:uid="{00000000-0005-0000-0000-000094050000}"/>
    <cellStyle name="40% - Accent2 31" xfId="42233" xr:uid="{00000000-0005-0000-0000-000095050000}"/>
    <cellStyle name="40% - Accent2 32" xfId="42234" xr:uid="{00000000-0005-0000-0000-000096050000}"/>
    <cellStyle name="40% - Accent2 33" xfId="42235" xr:uid="{00000000-0005-0000-0000-000097050000}"/>
    <cellStyle name="40% - Accent2 34" xfId="42236" xr:uid="{00000000-0005-0000-0000-000098050000}"/>
    <cellStyle name="40% - Accent2 35" xfId="42237" xr:uid="{00000000-0005-0000-0000-000099050000}"/>
    <cellStyle name="40% - Accent2 36" xfId="42238" xr:uid="{00000000-0005-0000-0000-00009A050000}"/>
    <cellStyle name="40% - Accent2 37" xfId="42239" xr:uid="{00000000-0005-0000-0000-00009B050000}"/>
    <cellStyle name="40% - Accent2 38" xfId="42240" xr:uid="{00000000-0005-0000-0000-00009C050000}"/>
    <cellStyle name="40% - Accent2 39" xfId="42241" xr:uid="{00000000-0005-0000-0000-00009D050000}"/>
    <cellStyle name="40% - Accent2 4" xfId="422" xr:uid="{00000000-0005-0000-0000-00009E050000}"/>
    <cellStyle name="40% - Accent2 4 10" xfId="423" xr:uid="{00000000-0005-0000-0000-00009F050000}"/>
    <cellStyle name="40% - Accent2 4 10 2" xfId="4932" xr:uid="{00000000-0005-0000-0000-0000A0050000}"/>
    <cellStyle name="40% - Accent2 4 11" xfId="424" xr:uid="{00000000-0005-0000-0000-0000A1050000}"/>
    <cellStyle name="40% - Accent2 4 11 2" xfId="4933" xr:uid="{00000000-0005-0000-0000-0000A2050000}"/>
    <cellStyle name="40% - Accent2 4 12" xfId="4934" xr:uid="{00000000-0005-0000-0000-0000A3050000}"/>
    <cellStyle name="40% - Accent2 4 2" xfId="425" xr:uid="{00000000-0005-0000-0000-0000A4050000}"/>
    <cellStyle name="40% - Accent2 4 2 2" xfId="4935" xr:uid="{00000000-0005-0000-0000-0000A5050000}"/>
    <cellStyle name="40% - Accent2 4 3" xfId="426" xr:uid="{00000000-0005-0000-0000-0000A6050000}"/>
    <cellStyle name="40% - Accent2 4 3 2" xfId="4936" xr:uid="{00000000-0005-0000-0000-0000A7050000}"/>
    <cellStyle name="40% - Accent2 4 4" xfId="427" xr:uid="{00000000-0005-0000-0000-0000A8050000}"/>
    <cellStyle name="40% - Accent2 4 4 2" xfId="4937" xr:uid="{00000000-0005-0000-0000-0000A9050000}"/>
    <cellStyle name="40% - Accent2 4 5" xfId="428" xr:uid="{00000000-0005-0000-0000-0000AA050000}"/>
    <cellStyle name="40% - Accent2 4 5 2" xfId="4938" xr:uid="{00000000-0005-0000-0000-0000AB050000}"/>
    <cellStyle name="40% - Accent2 4 6" xfId="429" xr:uid="{00000000-0005-0000-0000-0000AC050000}"/>
    <cellStyle name="40% - Accent2 4 6 2" xfId="4939" xr:uid="{00000000-0005-0000-0000-0000AD050000}"/>
    <cellStyle name="40% - Accent2 4 7" xfId="430" xr:uid="{00000000-0005-0000-0000-0000AE050000}"/>
    <cellStyle name="40% - Accent2 4 7 2" xfId="4940" xr:uid="{00000000-0005-0000-0000-0000AF050000}"/>
    <cellStyle name="40% - Accent2 4 8" xfId="431" xr:uid="{00000000-0005-0000-0000-0000B0050000}"/>
    <cellStyle name="40% - Accent2 4 8 2" xfId="4941" xr:uid="{00000000-0005-0000-0000-0000B1050000}"/>
    <cellStyle name="40% - Accent2 4 9" xfId="432" xr:uid="{00000000-0005-0000-0000-0000B2050000}"/>
    <cellStyle name="40% - Accent2 4 9 2" xfId="4942" xr:uid="{00000000-0005-0000-0000-0000B3050000}"/>
    <cellStyle name="40% - Accent2 40" xfId="42242" xr:uid="{00000000-0005-0000-0000-0000B4050000}"/>
    <cellStyle name="40% - Accent2 41" xfId="42243" xr:uid="{00000000-0005-0000-0000-0000B5050000}"/>
    <cellStyle name="40% - Accent2 42" xfId="42244" xr:uid="{00000000-0005-0000-0000-0000B6050000}"/>
    <cellStyle name="40% - Accent2 43" xfId="42245" xr:uid="{00000000-0005-0000-0000-0000B7050000}"/>
    <cellStyle name="40% - Accent2 5" xfId="433" xr:uid="{00000000-0005-0000-0000-0000B8050000}"/>
    <cellStyle name="40% - Accent2 5 10" xfId="434" xr:uid="{00000000-0005-0000-0000-0000B9050000}"/>
    <cellStyle name="40% - Accent2 5 10 2" xfId="4943" xr:uid="{00000000-0005-0000-0000-0000BA050000}"/>
    <cellStyle name="40% - Accent2 5 11" xfId="435" xr:uid="{00000000-0005-0000-0000-0000BB050000}"/>
    <cellStyle name="40% - Accent2 5 11 2" xfId="4944" xr:uid="{00000000-0005-0000-0000-0000BC050000}"/>
    <cellStyle name="40% - Accent2 5 12" xfId="4945" xr:uid="{00000000-0005-0000-0000-0000BD050000}"/>
    <cellStyle name="40% - Accent2 5 2" xfId="436" xr:uid="{00000000-0005-0000-0000-0000BE050000}"/>
    <cellStyle name="40% - Accent2 5 2 2" xfId="4946" xr:uid="{00000000-0005-0000-0000-0000BF050000}"/>
    <cellStyle name="40% - Accent2 5 3" xfId="437" xr:uid="{00000000-0005-0000-0000-0000C0050000}"/>
    <cellStyle name="40% - Accent2 5 3 2" xfId="4947" xr:uid="{00000000-0005-0000-0000-0000C1050000}"/>
    <cellStyle name="40% - Accent2 5 4" xfId="438" xr:uid="{00000000-0005-0000-0000-0000C2050000}"/>
    <cellStyle name="40% - Accent2 5 4 2" xfId="4948" xr:uid="{00000000-0005-0000-0000-0000C3050000}"/>
    <cellStyle name="40% - Accent2 5 5" xfId="439" xr:uid="{00000000-0005-0000-0000-0000C4050000}"/>
    <cellStyle name="40% - Accent2 5 5 2" xfId="4949" xr:uid="{00000000-0005-0000-0000-0000C5050000}"/>
    <cellStyle name="40% - Accent2 5 6" xfId="440" xr:uid="{00000000-0005-0000-0000-0000C6050000}"/>
    <cellStyle name="40% - Accent2 5 6 2" xfId="4950" xr:uid="{00000000-0005-0000-0000-0000C7050000}"/>
    <cellStyle name="40% - Accent2 5 7" xfId="441" xr:uid="{00000000-0005-0000-0000-0000C8050000}"/>
    <cellStyle name="40% - Accent2 5 7 2" xfId="4951" xr:uid="{00000000-0005-0000-0000-0000C9050000}"/>
    <cellStyle name="40% - Accent2 5 8" xfId="442" xr:uid="{00000000-0005-0000-0000-0000CA050000}"/>
    <cellStyle name="40% - Accent2 5 8 2" xfId="4952" xr:uid="{00000000-0005-0000-0000-0000CB050000}"/>
    <cellStyle name="40% - Accent2 5 9" xfId="443" xr:uid="{00000000-0005-0000-0000-0000CC050000}"/>
    <cellStyle name="40% - Accent2 5 9 2" xfId="4953" xr:uid="{00000000-0005-0000-0000-0000CD050000}"/>
    <cellStyle name="40% - Accent2 6" xfId="444" xr:uid="{00000000-0005-0000-0000-0000CE050000}"/>
    <cellStyle name="40% - Accent2 6 10" xfId="445" xr:uid="{00000000-0005-0000-0000-0000CF050000}"/>
    <cellStyle name="40% - Accent2 6 10 2" xfId="4954" xr:uid="{00000000-0005-0000-0000-0000D0050000}"/>
    <cellStyle name="40% - Accent2 6 11" xfId="446" xr:uid="{00000000-0005-0000-0000-0000D1050000}"/>
    <cellStyle name="40% - Accent2 6 11 2" xfId="4955" xr:uid="{00000000-0005-0000-0000-0000D2050000}"/>
    <cellStyle name="40% - Accent2 6 12" xfId="4956" xr:uid="{00000000-0005-0000-0000-0000D3050000}"/>
    <cellStyle name="40% - Accent2 6 2" xfId="447" xr:uid="{00000000-0005-0000-0000-0000D4050000}"/>
    <cellStyle name="40% - Accent2 6 2 2" xfId="4957" xr:uid="{00000000-0005-0000-0000-0000D5050000}"/>
    <cellStyle name="40% - Accent2 6 3" xfId="448" xr:uid="{00000000-0005-0000-0000-0000D6050000}"/>
    <cellStyle name="40% - Accent2 6 3 2" xfId="4958" xr:uid="{00000000-0005-0000-0000-0000D7050000}"/>
    <cellStyle name="40% - Accent2 6 4" xfId="449" xr:uid="{00000000-0005-0000-0000-0000D8050000}"/>
    <cellStyle name="40% - Accent2 6 4 2" xfId="4959" xr:uid="{00000000-0005-0000-0000-0000D9050000}"/>
    <cellStyle name="40% - Accent2 6 5" xfId="450" xr:uid="{00000000-0005-0000-0000-0000DA050000}"/>
    <cellStyle name="40% - Accent2 6 5 2" xfId="4960" xr:uid="{00000000-0005-0000-0000-0000DB050000}"/>
    <cellStyle name="40% - Accent2 6 6" xfId="451" xr:uid="{00000000-0005-0000-0000-0000DC050000}"/>
    <cellStyle name="40% - Accent2 6 6 2" xfId="4961" xr:uid="{00000000-0005-0000-0000-0000DD050000}"/>
    <cellStyle name="40% - Accent2 6 7" xfId="452" xr:uid="{00000000-0005-0000-0000-0000DE050000}"/>
    <cellStyle name="40% - Accent2 6 7 2" xfId="4962" xr:uid="{00000000-0005-0000-0000-0000DF050000}"/>
    <cellStyle name="40% - Accent2 6 8" xfId="453" xr:uid="{00000000-0005-0000-0000-0000E0050000}"/>
    <cellStyle name="40% - Accent2 6 8 2" xfId="4963" xr:uid="{00000000-0005-0000-0000-0000E1050000}"/>
    <cellStyle name="40% - Accent2 6 9" xfId="454" xr:uid="{00000000-0005-0000-0000-0000E2050000}"/>
    <cellStyle name="40% - Accent2 6 9 2" xfId="4964" xr:uid="{00000000-0005-0000-0000-0000E3050000}"/>
    <cellStyle name="40% - Accent2 7" xfId="455" xr:uid="{00000000-0005-0000-0000-0000E4050000}"/>
    <cellStyle name="40% - Accent2 7 2" xfId="4965" xr:uid="{00000000-0005-0000-0000-0000E5050000}"/>
    <cellStyle name="40% - Accent2 8" xfId="456" xr:uid="{00000000-0005-0000-0000-0000E6050000}"/>
    <cellStyle name="40% - Accent2 8 2" xfId="4966" xr:uid="{00000000-0005-0000-0000-0000E7050000}"/>
    <cellStyle name="40% - Accent2 9" xfId="3164" xr:uid="{00000000-0005-0000-0000-0000E8050000}"/>
    <cellStyle name="40% - Accent2 9 2" xfId="4967" xr:uid="{00000000-0005-0000-0000-0000E9050000}"/>
    <cellStyle name="40% - Accent3 10" xfId="3165" xr:uid="{00000000-0005-0000-0000-0000EA050000}"/>
    <cellStyle name="40% - Accent3 10 2" xfId="4968" xr:uid="{00000000-0005-0000-0000-0000EB050000}"/>
    <cellStyle name="40% - Accent3 11" xfId="42246" xr:uid="{00000000-0005-0000-0000-0000EC050000}"/>
    <cellStyle name="40% - Accent3 11 2" xfId="42247" xr:uid="{00000000-0005-0000-0000-0000ED050000}"/>
    <cellStyle name="40% - Accent3 12" xfId="42248" xr:uid="{00000000-0005-0000-0000-0000EE050000}"/>
    <cellStyle name="40% - Accent3 13" xfId="42249" xr:uid="{00000000-0005-0000-0000-0000EF050000}"/>
    <cellStyle name="40% - Accent3 14" xfId="42250" xr:uid="{00000000-0005-0000-0000-0000F0050000}"/>
    <cellStyle name="40% - Accent3 15" xfId="42251" xr:uid="{00000000-0005-0000-0000-0000F1050000}"/>
    <cellStyle name="40% - Accent3 16" xfId="42252" xr:uid="{00000000-0005-0000-0000-0000F2050000}"/>
    <cellStyle name="40% - Accent3 17" xfId="42253" xr:uid="{00000000-0005-0000-0000-0000F3050000}"/>
    <cellStyle name="40% - Accent3 18" xfId="42254" xr:uid="{00000000-0005-0000-0000-0000F4050000}"/>
    <cellStyle name="40% - Accent3 19" xfId="42255" xr:uid="{00000000-0005-0000-0000-0000F5050000}"/>
    <cellStyle name="40% - Accent3 2" xfId="457" xr:uid="{00000000-0005-0000-0000-0000F6050000}"/>
    <cellStyle name="40% - Accent3 2 10" xfId="458" xr:uid="{00000000-0005-0000-0000-0000F7050000}"/>
    <cellStyle name="40% - Accent3 2 10 2" xfId="4969" xr:uid="{00000000-0005-0000-0000-0000F8050000}"/>
    <cellStyle name="40% - Accent3 2 10 3" xfId="7690" xr:uid="{00000000-0005-0000-0000-0000F9050000}"/>
    <cellStyle name="40% - Accent3 2 11" xfId="459" xr:uid="{00000000-0005-0000-0000-0000FA050000}"/>
    <cellStyle name="40% - Accent3 2 11 2" xfId="4970" xr:uid="{00000000-0005-0000-0000-0000FB050000}"/>
    <cellStyle name="40% - Accent3 2 11 3" xfId="7691" xr:uid="{00000000-0005-0000-0000-0000FC050000}"/>
    <cellStyle name="40% - Accent3 2 12" xfId="4971" xr:uid="{00000000-0005-0000-0000-0000FD050000}"/>
    <cellStyle name="40% - Accent3 2 12 2" xfId="6300" xr:uid="{00000000-0005-0000-0000-0000FE050000}"/>
    <cellStyle name="40% - Accent3 2 12 3" xfId="7692" xr:uid="{00000000-0005-0000-0000-0000FF050000}"/>
    <cellStyle name="40% - Accent3 2 13" xfId="6301" xr:uid="{00000000-0005-0000-0000-000000060000}"/>
    <cellStyle name="40% - Accent3 2 13 2" xfId="7693" xr:uid="{00000000-0005-0000-0000-000001060000}"/>
    <cellStyle name="40% - Accent3 2 14" xfId="7694" xr:uid="{00000000-0005-0000-0000-000002060000}"/>
    <cellStyle name="40% - Accent3 2 15" xfId="7695" xr:uid="{00000000-0005-0000-0000-000003060000}"/>
    <cellStyle name="40% - Accent3 2 16" xfId="42256" xr:uid="{00000000-0005-0000-0000-000004060000}"/>
    <cellStyle name="40% - Accent3 2 17" xfId="46476" xr:uid="{94882251-C38B-43B2-A548-C793FB9C6D4E}"/>
    <cellStyle name="40% - Accent3 2 2" xfId="460" xr:uid="{00000000-0005-0000-0000-000005060000}"/>
    <cellStyle name="40% - Accent3 2 2 2" xfId="4972" xr:uid="{00000000-0005-0000-0000-000006060000}"/>
    <cellStyle name="40% - Accent3 2 2 3" xfId="7696" xr:uid="{00000000-0005-0000-0000-000007060000}"/>
    <cellStyle name="40% - Accent3 2 3" xfId="461" xr:uid="{00000000-0005-0000-0000-000008060000}"/>
    <cellStyle name="40% - Accent3 2 3 2" xfId="4973" xr:uid="{00000000-0005-0000-0000-000009060000}"/>
    <cellStyle name="40% - Accent3 2 3 3" xfId="7697" xr:uid="{00000000-0005-0000-0000-00000A060000}"/>
    <cellStyle name="40% - Accent3 2 4" xfId="462" xr:uid="{00000000-0005-0000-0000-00000B060000}"/>
    <cellStyle name="40% - Accent3 2 4 2" xfId="4974" xr:uid="{00000000-0005-0000-0000-00000C060000}"/>
    <cellStyle name="40% - Accent3 2 4 3" xfId="7698" xr:uid="{00000000-0005-0000-0000-00000D060000}"/>
    <cellStyle name="40% - Accent3 2 5" xfId="463" xr:uid="{00000000-0005-0000-0000-00000E060000}"/>
    <cellStyle name="40% - Accent3 2 5 2" xfId="4975" xr:uid="{00000000-0005-0000-0000-00000F060000}"/>
    <cellStyle name="40% - Accent3 2 5 3" xfId="7699" xr:uid="{00000000-0005-0000-0000-000010060000}"/>
    <cellStyle name="40% - Accent3 2 6" xfId="464" xr:uid="{00000000-0005-0000-0000-000011060000}"/>
    <cellStyle name="40% - Accent3 2 6 2" xfId="4976" xr:uid="{00000000-0005-0000-0000-000012060000}"/>
    <cellStyle name="40% - Accent3 2 6 3" xfId="7700" xr:uid="{00000000-0005-0000-0000-000013060000}"/>
    <cellStyle name="40% - Accent3 2 7" xfId="465" xr:uid="{00000000-0005-0000-0000-000014060000}"/>
    <cellStyle name="40% - Accent3 2 7 2" xfId="4977" xr:uid="{00000000-0005-0000-0000-000015060000}"/>
    <cellStyle name="40% - Accent3 2 7 3" xfId="7701" xr:uid="{00000000-0005-0000-0000-000016060000}"/>
    <cellStyle name="40% - Accent3 2 8" xfId="466" xr:uid="{00000000-0005-0000-0000-000017060000}"/>
    <cellStyle name="40% - Accent3 2 8 2" xfId="4978" xr:uid="{00000000-0005-0000-0000-000018060000}"/>
    <cellStyle name="40% - Accent3 2 8 3" xfId="7702" xr:uid="{00000000-0005-0000-0000-000019060000}"/>
    <cellStyle name="40% - Accent3 2 9" xfId="467" xr:uid="{00000000-0005-0000-0000-00001A060000}"/>
    <cellStyle name="40% - Accent3 2 9 2" xfId="4979" xr:uid="{00000000-0005-0000-0000-00001B060000}"/>
    <cellStyle name="40% - Accent3 2 9 3" xfId="7703" xr:uid="{00000000-0005-0000-0000-00001C060000}"/>
    <cellStyle name="40% - Accent3 20" xfId="42257" xr:uid="{00000000-0005-0000-0000-00001D060000}"/>
    <cellStyle name="40% - Accent3 21" xfId="42258" xr:uid="{00000000-0005-0000-0000-00001E060000}"/>
    <cellStyle name="40% - Accent3 22" xfId="42259" xr:uid="{00000000-0005-0000-0000-00001F060000}"/>
    <cellStyle name="40% - Accent3 23" xfId="42260" xr:uid="{00000000-0005-0000-0000-000020060000}"/>
    <cellStyle name="40% - Accent3 24" xfId="42261" xr:uid="{00000000-0005-0000-0000-000021060000}"/>
    <cellStyle name="40% - Accent3 25" xfId="42262" xr:uid="{00000000-0005-0000-0000-000022060000}"/>
    <cellStyle name="40% - Accent3 26" xfId="42263" xr:uid="{00000000-0005-0000-0000-000023060000}"/>
    <cellStyle name="40% - Accent3 27" xfId="42264" xr:uid="{00000000-0005-0000-0000-000024060000}"/>
    <cellStyle name="40% - Accent3 28" xfId="42265" xr:uid="{00000000-0005-0000-0000-000025060000}"/>
    <cellStyle name="40% - Accent3 29" xfId="42266" xr:uid="{00000000-0005-0000-0000-000026060000}"/>
    <cellStyle name="40% - Accent3 3" xfId="468" xr:uid="{00000000-0005-0000-0000-000027060000}"/>
    <cellStyle name="40% - Accent3 3 10" xfId="469" xr:uid="{00000000-0005-0000-0000-000028060000}"/>
    <cellStyle name="40% - Accent3 3 10 2" xfId="4980" xr:uid="{00000000-0005-0000-0000-000029060000}"/>
    <cellStyle name="40% - Accent3 3 11" xfId="470" xr:uid="{00000000-0005-0000-0000-00002A060000}"/>
    <cellStyle name="40% - Accent3 3 11 2" xfId="4981" xr:uid="{00000000-0005-0000-0000-00002B060000}"/>
    <cellStyle name="40% - Accent3 3 12" xfId="4982" xr:uid="{00000000-0005-0000-0000-00002C060000}"/>
    <cellStyle name="40% - Accent3 3 13" xfId="7704" xr:uid="{00000000-0005-0000-0000-00002D060000}"/>
    <cellStyle name="40% - Accent3 3 2" xfId="471" xr:uid="{00000000-0005-0000-0000-00002E060000}"/>
    <cellStyle name="40% - Accent3 3 2 2" xfId="4983" xr:uid="{00000000-0005-0000-0000-00002F060000}"/>
    <cellStyle name="40% - Accent3 3 2 3" xfId="42267" xr:uid="{00000000-0005-0000-0000-000030060000}"/>
    <cellStyle name="40% - Accent3 3 3" xfId="472" xr:uid="{00000000-0005-0000-0000-000031060000}"/>
    <cellStyle name="40% - Accent3 3 3 2" xfId="4984" xr:uid="{00000000-0005-0000-0000-000032060000}"/>
    <cellStyle name="40% - Accent3 3 4" xfId="473" xr:uid="{00000000-0005-0000-0000-000033060000}"/>
    <cellStyle name="40% - Accent3 3 4 2" xfId="4985" xr:uid="{00000000-0005-0000-0000-000034060000}"/>
    <cellStyle name="40% - Accent3 3 5" xfId="474" xr:uid="{00000000-0005-0000-0000-000035060000}"/>
    <cellStyle name="40% - Accent3 3 5 2" xfId="4986" xr:uid="{00000000-0005-0000-0000-000036060000}"/>
    <cellStyle name="40% - Accent3 3 6" xfId="475" xr:uid="{00000000-0005-0000-0000-000037060000}"/>
    <cellStyle name="40% - Accent3 3 6 2" xfId="4987" xr:uid="{00000000-0005-0000-0000-000038060000}"/>
    <cellStyle name="40% - Accent3 3 7" xfId="476" xr:uid="{00000000-0005-0000-0000-000039060000}"/>
    <cellStyle name="40% - Accent3 3 7 2" xfId="4988" xr:uid="{00000000-0005-0000-0000-00003A060000}"/>
    <cellStyle name="40% - Accent3 3 8" xfId="477" xr:uid="{00000000-0005-0000-0000-00003B060000}"/>
    <cellStyle name="40% - Accent3 3 8 2" xfId="4989" xr:uid="{00000000-0005-0000-0000-00003C060000}"/>
    <cellStyle name="40% - Accent3 3 9" xfId="478" xr:uid="{00000000-0005-0000-0000-00003D060000}"/>
    <cellStyle name="40% - Accent3 3 9 2" xfId="4990" xr:uid="{00000000-0005-0000-0000-00003E060000}"/>
    <cellStyle name="40% - Accent3 30" xfId="42268" xr:uid="{00000000-0005-0000-0000-00003F060000}"/>
    <cellStyle name="40% - Accent3 31" xfId="42269" xr:uid="{00000000-0005-0000-0000-000040060000}"/>
    <cellStyle name="40% - Accent3 32" xfId="42270" xr:uid="{00000000-0005-0000-0000-000041060000}"/>
    <cellStyle name="40% - Accent3 33" xfId="42271" xr:uid="{00000000-0005-0000-0000-000042060000}"/>
    <cellStyle name="40% - Accent3 34" xfId="42272" xr:uid="{00000000-0005-0000-0000-000043060000}"/>
    <cellStyle name="40% - Accent3 35" xfId="42273" xr:uid="{00000000-0005-0000-0000-000044060000}"/>
    <cellStyle name="40% - Accent3 36" xfId="42274" xr:uid="{00000000-0005-0000-0000-000045060000}"/>
    <cellStyle name="40% - Accent3 37" xfId="42275" xr:uid="{00000000-0005-0000-0000-000046060000}"/>
    <cellStyle name="40% - Accent3 38" xfId="42276" xr:uid="{00000000-0005-0000-0000-000047060000}"/>
    <cellStyle name="40% - Accent3 39" xfId="42277" xr:uid="{00000000-0005-0000-0000-000048060000}"/>
    <cellStyle name="40% - Accent3 4" xfId="479" xr:uid="{00000000-0005-0000-0000-000049060000}"/>
    <cellStyle name="40% - Accent3 4 10" xfId="480" xr:uid="{00000000-0005-0000-0000-00004A060000}"/>
    <cellStyle name="40% - Accent3 4 10 2" xfId="4991" xr:uid="{00000000-0005-0000-0000-00004B060000}"/>
    <cellStyle name="40% - Accent3 4 11" xfId="481" xr:uid="{00000000-0005-0000-0000-00004C060000}"/>
    <cellStyle name="40% - Accent3 4 11 2" xfId="4992" xr:uid="{00000000-0005-0000-0000-00004D060000}"/>
    <cellStyle name="40% - Accent3 4 12" xfId="4993" xr:uid="{00000000-0005-0000-0000-00004E060000}"/>
    <cellStyle name="40% - Accent3 4 13" xfId="7705" xr:uid="{00000000-0005-0000-0000-00004F060000}"/>
    <cellStyle name="40% - Accent3 4 2" xfId="482" xr:uid="{00000000-0005-0000-0000-000050060000}"/>
    <cellStyle name="40% - Accent3 4 2 2" xfId="4994" xr:uid="{00000000-0005-0000-0000-000051060000}"/>
    <cellStyle name="40% - Accent3 4 2 3" xfId="42278" xr:uid="{00000000-0005-0000-0000-000052060000}"/>
    <cellStyle name="40% - Accent3 4 3" xfId="483" xr:uid="{00000000-0005-0000-0000-000053060000}"/>
    <cellStyle name="40% - Accent3 4 3 2" xfId="4995" xr:uid="{00000000-0005-0000-0000-000054060000}"/>
    <cellStyle name="40% - Accent3 4 4" xfId="484" xr:uid="{00000000-0005-0000-0000-000055060000}"/>
    <cellStyle name="40% - Accent3 4 4 2" xfId="4996" xr:uid="{00000000-0005-0000-0000-000056060000}"/>
    <cellStyle name="40% - Accent3 4 5" xfId="485" xr:uid="{00000000-0005-0000-0000-000057060000}"/>
    <cellStyle name="40% - Accent3 4 5 2" xfId="4997" xr:uid="{00000000-0005-0000-0000-000058060000}"/>
    <cellStyle name="40% - Accent3 4 6" xfId="486" xr:uid="{00000000-0005-0000-0000-000059060000}"/>
    <cellStyle name="40% - Accent3 4 6 2" xfId="4998" xr:uid="{00000000-0005-0000-0000-00005A060000}"/>
    <cellStyle name="40% - Accent3 4 7" xfId="487" xr:uid="{00000000-0005-0000-0000-00005B060000}"/>
    <cellStyle name="40% - Accent3 4 7 2" xfId="4999" xr:uid="{00000000-0005-0000-0000-00005C060000}"/>
    <cellStyle name="40% - Accent3 4 8" xfId="488" xr:uid="{00000000-0005-0000-0000-00005D060000}"/>
    <cellStyle name="40% - Accent3 4 8 2" xfId="5000" xr:uid="{00000000-0005-0000-0000-00005E060000}"/>
    <cellStyle name="40% - Accent3 4 9" xfId="489" xr:uid="{00000000-0005-0000-0000-00005F060000}"/>
    <cellStyle name="40% - Accent3 4 9 2" xfId="5001" xr:uid="{00000000-0005-0000-0000-000060060000}"/>
    <cellStyle name="40% - Accent3 40" xfId="42279" xr:uid="{00000000-0005-0000-0000-000061060000}"/>
    <cellStyle name="40% - Accent3 41" xfId="42280" xr:uid="{00000000-0005-0000-0000-000062060000}"/>
    <cellStyle name="40% - Accent3 42" xfId="42281" xr:uid="{00000000-0005-0000-0000-000063060000}"/>
    <cellStyle name="40% - Accent3 43" xfId="42282" xr:uid="{00000000-0005-0000-0000-000064060000}"/>
    <cellStyle name="40% - Accent3 5" xfId="490" xr:uid="{00000000-0005-0000-0000-000065060000}"/>
    <cellStyle name="40% - Accent3 5 10" xfId="491" xr:uid="{00000000-0005-0000-0000-000066060000}"/>
    <cellStyle name="40% - Accent3 5 10 2" xfId="5002" xr:uid="{00000000-0005-0000-0000-000067060000}"/>
    <cellStyle name="40% - Accent3 5 11" xfId="492" xr:uid="{00000000-0005-0000-0000-000068060000}"/>
    <cellStyle name="40% - Accent3 5 11 2" xfId="5003" xr:uid="{00000000-0005-0000-0000-000069060000}"/>
    <cellStyle name="40% - Accent3 5 12" xfId="5004" xr:uid="{00000000-0005-0000-0000-00006A060000}"/>
    <cellStyle name="40% - Accent3 5 13" xfId="7706" xr:uid="{00000000-0005-0000-0000-00006B060000}"/>
    <cellStyle name="40% - Accent3 5 2" xfId="493" xr:uid="{00000000-0005-0000-0000-00006C060000}"/>
    <cellStyle name="40% - Accent3 5 2 2" xfId="5005" xr:uid="{00000000-0005-0000-0000-00006D060000}"/>
    <cellStyle name="40% - Accent3 5 2 3" xfId="42283" xr:uid="{00000000-0005-0000-0000-00006E060000}"/>
    <cellStyle name="40% - Accent3 5 3" xfId="494" xr:uid="{00000000-0005-0000-0000-00006F060000}"/>
    <cellStyle name="40% - Accent3 5 3 2" xfId="5006" xr:uid="{00000000-0005-0000-0000-000070060000}"/>
    <cellStyle name="40% - Accent3 5 4" xfId="495" xr:uid="{00000000-0005-0000-0000-000071060000}"/>
    <cellStyle name="40% - Accent3 5 4 2" xfId="5007" xr:uid="{00000000-0005-0000-0000-000072060000}"/>
    <cellStyle name="40% - Accent3 5 5" xfId="496" xr:uid="{00000000-0005-0000-0000-000073060000}"/>
    <cellStyle name="40% - Accent3 5 5 2" xfId="5008" xr:uid="{00000000-0005-0000-0000-000074060000}"/>
    <cellStyle name="40% - Accent3 5 6" xfId="497" xr:uid="{00000000-0005-0000-0000-000075060000}"/>
    <cellStyle name="40% - Accent3 5 6 2" xfId="5009" xr:uid="{00000000-0005-0000-0000-000076060000}"/>
    <cellStyle name="40% - Accent3 5 7" xfId="498" xr:uid="{00000000-0005-0000-0000-000077060000}"/>
    <cellStyle name="40% - Accent3 5 7 2" xfId="5010" xr:uid="{00000000-0005-0000-0000-000078060000}"/>
    <cellStyle name="40% - Accent3 5 8" xfId="499" xr:uid="{00000000-0005-0000-0000-000079060000}"/>
    <cellStyle name="40% - Accent3 5 8 2" xfId="5011" xr:uid="{00000000-0005-0000-0000-00007A060000}"/>
    <cellStyle name="40% - Accent3 5 9" xfId="500" xr:uid="{00000000-0005-0000-0000-00007B060000}"/>
    <cellStyle name="40% - Accent3 5 9 2" xfId="5012" xr:uid="{00000000-0005-0000-0000-00007C060000}"/>
    <cellStyle name="40% - Accent3 6" xfId="501" xr:uid="{00000000-0005-0000-0000-00007D060000}"/>
    <cellStyle name="40% - Accent3 6 10" xfId="502" xr:uid="{00000000-0005-0000-0000-00007E060000}"/>
    <cellStyle name="40% - Accent3 6 10 2" xfId="5013" xr:uid="{00000000-0005-0000-0000-00007F060000}"/>
    <cellStyle name="40% - Accent3 6 11" xfId="503" xr:uid="{00000000-0005-0000-0000-000080060000}"/>
    <cellStyle name="40% - Accent3 6 11 2" xfId="5014" xr:uid="{00000000-0005-0000-0000-000081060000}"/>
    <cellStyle name="40% - Accent3 6 12" xfId="5015" xr:uid="{00000000-0005-0000-0000-000082060000}"/>
    <cellStyle name="40% - Accent3 6 13" xfId="7707" xr:uid="{00000000-0005-0000-0000-000083060000}"/>
    <cellStyle name="40% - Accent3 6 2" xfId="504" xr:uid="{00000000-0005-0000-0000-000084060000}"/>
    <cellStyle name="40% - Accent3 6 2 2" xfId="5016" xr:uid="{00000000-0005-0000-0000-000085060000}"/>
    <cellStyle name="40% - Accent3 6 2 3" xfId="42284" xr:uid="{00000000-0005-0000-0000-000086060000}"/>
    <cellStyle name="40% - Accent3 6 3" xfId="505" xr:uid="{00000000-0005-0000-0000-000087060000}"/>
    <cellStyle name="40% - Accent3 6 3 2" xfId="5017" xr:uid="{00000000-0005-0000-0000-000088060000}"/>
    <cellStyle name="40% - Accent3 6 4" xfId="506" xr:uid="{00000000-0005-0000-0000-000089060000}"/>
    <cellStyle name="40% - Accent3 6 4 2" xfId="5018" xr:uid="{00000000-0005-0000-0000-00008A060000}"/>
    <cellStyle name="40% - Accent3 6 5" xfId="507" xr:uid="{00000000-0005-0000-0000-00008B060000}"/>
    <cellStyle name="40% - Accent3 6 5 2" xfId="5019" xr:uid="{00000000-0005-0000-0000-00008C060000}"/>
    <cellStyle name="40% - Accent3 6 6" xfId="508" xr:uid="{00000000-0005-0000-0000-00008D060000}"/>
    <cellStyle name="40% - Accent3 6 6 2" xfId="5020" xr:uid="{00000000-0005-0000-0000-00008E060000}"/>
    <cellStyle name="40% - Accent3 6 7" xfId="509" xr:uid="{00000000-0005-0000-0000-00008F060000}"/>
    <cellStyle name="40% - Accent3 6 7 2" xfId="5021" xr:uid="{00000000-0005-0000-0000-000090060000}"/>
    <cellStyle name="40% - Accent3 6 8" xfId="510" xr:uid="{00000000-0005-0000-0000-000091060000}"/>
    <cellStyle name="40% - Accent3 6 8 2" xfId="5022" xr:uid="{00000000-0005-0000-0000-000092060000}"/>
    <cellStyle name="40% - Accent3 6 9" xfId="511" xr:uid="{00000000-0005-0000-0000-000093060000}"/>
    <cellStyle name="40% - Accent3 6 9 2" xfId="5023" xr:uid="{00000000-0005-0000-0000-000094060000}"/>
    <cellStyle name="40% - Accent3 7" xfId="512" xr:uid="{00000000-0005-0000-0000-000095060000}"/>
    <cellStyle name="40% - Accent3 7 2" xfId="5024" xr:uid="{00000000-0005-0000-0000-000096060000}"/>
    <cellStyle name="40% - Accent3 7 2 2" xfId="42286" xr:uid="{00000000-0005-0000-0000-000097060000}"/>
    <cellStyle name="40% - Accent3 7 3" xfId="7708" xr:uid="{00000000-0005-0000-0000-000098060000}"/>
    <cellStyle name="40% - Accent3 7 3 2" xfId="42285" xr:uid="{00000000-0005-0000-0000-000099060000}"/>
    <cellStyle name="40% - Accent3 8" xfId="513" xr:uid="{00000000-0005-0000-0000-00009A060000}"/>
    <cellStyle name="40% - Accent3 8 2" xfId="5025" xr:uid="{00000000-0005-0000-0000-00009B060000}"/>
    <cellStyle name="40% - Accent3 8 2 2" xfId="42288" xr:uid="{00000000-0005-0000-0000-00009C060000}"/>
    <cellStyle name="40% - Accent3 8 3" xfId="7709" xr:uid="{00000000-0005-0000-0000-00009D060000}"/>
    <cellStyle name="40% - Accent3 8 3 2" xfId="42287" xr:uid="{00000000-0005-0000-0000-00009E060000}"/>
    <cellStyle name="40% - Accent3 9" xfId="3166" xr:uid="{00000000-0005-0000-0000-00009F060000}"/>
    <cellStyle name="40% - Accent3 9 2" xfId="5026" xr:uid="{00000000-0005-0000-0000-0000A0060000}"/>
    <cellStyle name="40% - Accent4 10" xfId="3167" xr:uid="{00000000-0005-0000-0000-0000A1060000}"/>
    <cellStyle name="40% - Accent4 10 2" xfId="5027" xr:uid="{00000000-0005-0000-0000-0000A2060000}"/>
    <cellStyle name="40% - Accent4 11" xfId="42289" xr:uid="{00000000-0005-0000-0000-0000A3060000}"/>
    <cellStyle name="40% - Accent4 11 2" xfId="42290" xr:uid="{00000000-0005-0000-0000-0000A4060000}"/>
    <cellStyle name="40% - Accent4 12" xfId="42291" xr:uid="{00000000-0005-0000-0000-0000A5060000}"/>
    <cellStyle name="40% - Accent4 13" xfId="42292" xr:uid="{00000000-0005-0000-0000-0000A6060000}"/>
    <cellStyle name="40% - Accent4 14" xfId="42293" xr:uid="{00000000-0005-0000-0000-0000A7060000}"/>
    <cellStyle name="40% - Accent4 15" xfId="42294" xr:uid="{00000000-0005-0000-0000-0000A8060000}"/>
    <cellStyle name="40% - Accent4 16" xfId="42295" xr:uid="{00000000-0005-0000-0000-0000A9060000}"/>
    <cellStyle name="40% - Accent4 17" xfId="42296" xr:uid="{00000000-0005-0000-0000-0000AA060000}"/>
    <cellStyle name="40% - Accent4 18" xfId="42297" xr:uid="{00000000-0005-0000-0000-0000AB060000}"/>
    <cellStyle name="40% - Accent4 19" xfId="42298" xr:uid="{00000000-0005-0000-0000-0000AC060000}"/>
    <cellStyle name="40% - Accent4 2" xfId="514" xr:uid="{00000000-0005-0000-0000-0000AD060000}"/>
    <cellStyle name="40% - Accent4 2 10" xfId="515" xr:uid="{00000000-0005-0000-0000-0000AE060000}"/>
    <cellStyle name="40% - Accent4 2 10 2" xfId="5028" xr:uid="{00000000-0005-0000-0000-0000AF060000}"/>
    <cellStyle name="40% - Accent4 2 10 3" xfId="7710" xr:uid="{00000000-0005-0000-0000-0000B0060000}"/>
    <cellStyle name="40% - Accent4 2 11" xfId="516" xr:uid="{00000000-0005-0000-0000-0000B1060000}"/>
    <cellStyle name="40% - Accent4 2 11 2" xfId="5029" xr:uid="{00000000-0005-0000-0000-0000B2060000}"/>
    <cellStyle name="40% - Accent4 2 11 3" xfId="7711" xr:uid="{00000000-0005-0000-0000-0000B3060000}"/>
    <cellStyle name="40% - Accent4 2 12" xfId="5030" xr:uid="{00000000-0005-0000-0000-0000B4060000}"/>
    <cellStyle name="40% - Accent4 2 12 2" xfId="6302" xr:uid="{00000000-0005-0000-0000-0000B5060000}"/>
    <cellStyle name="40% - Accent4 2 12 3" xfId="7712" xr:uid="{00000000-0005-0000-0000-0000B6060000}"/>
    <cellStyle name="40% - Accent4 2 13" xfId="6303" xr:uid="{00000000-0005-0000-0000-0000B7060000}"/>
    <cellStyle name="40% - Accent4 2 13 2" xfId="7713" xr:uid="{00000000-0005-0000-0000-0000B8060000}"/>
    <cellStyle name="40% - Accent4 2 14" xfId="7714" xr:uid="{00000000-0005-0000-0000-0000B9060000}"/>
    <cellStyle name="40% - Accent4 2 15" xfId="7715" xr:uid="{00000000-0005-0000-0000-0000BA060000}"/>
    <cellStyle name="40% - Accent4 2 16" xfId="42299" xr:uid="{00000000-0005-0000-0000-0000BB060000}"/>
    <cellStyle name="40% - Accent4 2 17" xfId="46477" xr:uid="{069FB7BD-8888-489F-83AA-1664AC8399BA}"/>
    <cellStyle name="40% - Accent4 2 2" xfId="517" xr:uid="{00000000-0005-0000-0000-0000BC060000}"/>
    <cellStyle name="40% - Accent4 2 2 2" xfId="5031" xr:uid="{00000000-0005-0000-0000-0000BD060000}"/>
    <cellStyle name="40% - Accent4 2 2 3" xfId="7716" xr:uid="{00000000-0005-0000-0000-0000BE060000}"/>
    <cellStyle name="40% - Accent4 2 3" xfId="518" xr:uid="{00000000-0005-0000-0000-0000BF060000}"/>
    <cellStyle name="40% - Accent4 2 3 2" xfId="5032" xr:uid="{00000000-0005-0000-0000-0000C0060000}"/>
    <cellStyle name="40% - Accent4 2 3 3" xfId="7717" xr:uid="{00000000-0005-0000-0000-0000C1060000}"/>
    <cellStyle name="40% - Accent4 2 4" xfId="519" xr:uid="{00000000-0005-0000-0000-0000C2060000}"/>
    <cellStyle name="40% - Accent4 2 4 2" xfId="5033" xr:uid="{00000000-0005-0000-0000-0000C3060000}"/>
    <cellStyle name="40% - Accent4 2 4 3" xfId="7718" xr:uid="{00000000-0005-0000-0000-0000C4060000}"/>
    <cellStyle name="40% - Accent4 2 5" xfId="520" xr:uid="{00000000-0005-0000-0000-0000C5060000}"/>
    <cellStyle name="40% - Accent4 2 5 2" xfId="5034" xr:uid="{00000000-0005-0000-0000-0000C6060000}"/>
    <cellStyle name="40% - Accent4 2 5 3" xfId="7719" xr:uid="{00000000-0005-0000-0000-0000C7060000}"/>
    <cellStyle name="40% - Accent4 2 6" xfId="521" xr:uid="{00000000-0005-0000-0000-0000C8060000}"/>
    <cellStyle name="40% - Accent4 2 6 2" xfId="5035" xr:uid="{00000000-0005-0000-0000-0000C9060000}"/>
    <cellStyle name="40% - Accent4 2 6 3" xfId="7720" xr:uid="{00000000-0005-0000-0000-0000CA060000}"/>
    <cellStyle name="40% - Accent4 2 7" xfId="522" xr:uid="{00000000-0005-0000-0000-0000CB060000}"/>
    <cellStyle name="40% - Accent4 2 7 2" xfId="5036" xr:uid="{00000000-0005-0000-0000-0000CC060000}"/>
    <cellStyle name="40% - Accent4 2 7 3" xfId="7721" xr:uid="{00000000-0005-0000-0000-0000CD060000}"/>
    <cellStyle name="40% - Accent4 2 8" xfId="523" xr:uid="{00000000-0005-0000-0000-0000CE060000}"/>
    <cellStyle name="40% - Accent4 2 8 2" xfId="5037" xr:uid="{00000000-0005-0000-0000-0000CF060000}"/>
    <cellStyle name="40% - Accent4 2 8 3" xfId="7722" xr:uid="{00000000-0005-0000-0000-0000D0060000}"/>
    <cellStyle name="40% - Accent4 2 9" xfId="524" xr:uid="{00000000-0005-0000-0000-0000D1060000}"/>
    <cellStyle name="40% - Accent4 2 9 2" xfId="5038" xr:uid="{00000000-0005-0000-0000-0000D2060000}"/>
    <cellStyle name="40% - Accent4 2 9 3" xfId="7723" xr:uid="{00000000-0005-0000-0000-0000D3060000}"/>
    <cellStyle name="40% - Accent4 20" xfId="42300" xr:uid="{00000000-0005-0000-0000-0000D4060000}"/>
    <cellStyle name="40% - Accent4 21" xfId="42301" xr:uid="{00000000-0005-0000-0000-0000D5060000}"/>
    <cellStyle name="40% - Accent4 22" xfId="42302" xr:uid="{00000000-0005-0000-0000-0000D6060000}"/>
    <cellStyle name="40% - Accent4 23" xfId="42303" xr:uid="{00000000-0005-0000-0000-0000D7060000}"/>
    <cellStyle name="40% - Accent4 24" xfId="42304" xr:uid="{00000000-0005-0000-0000-0000D8060000}"/>
    <cellStyle name="40% - Accent4 25" xfId="42305" xr:uid="{00000000-0005-0000-0000-0000D9060000}"/>
    <cellStyle name="40% - Accent4 26" xfId="42306" xr:uid="{00000000-0005-0000-0000-0000DA060000}"/>
    <cellStyle name="40% - Accent4 27" xfId="42307" xr:uid="{00000000-0005-0000-0000-0000DB060000}"/>
    <cellStyle name="40% - Accent4 28" xfId="42308" xr:uid="{00000000-0005-0000-0000-0000DC060000}"/>
    <cellStyle name="40% - Accent4 29" xfId="42309" xr:uid="{00000000-0005-0000-0000-0000DD060000}"/>
    <cellStyle name="40% - Accent4 3" xfId="525" xr:uid="{00000000-0005-0000-0000-0000DE060000}"/>
    <cellStyle name="40% - Accent4 3 10" xfId="526" xr:uid="{00000000-0005-0000-0000-0000DF060000}"/>
    <cellStyle name="40% - Accent4 3 10 2" xfId="5039" xr:uid="{00000000-0005-0000-0000-0000E0060000}"/>
    <cellStyle name="40% - Accent4 3 11" xfId="527" xr:uid="{00000000-0005-0000-0000-0000E1060000}"/>
    <cellStyle name="40% - Accent4 3 11 2" xfId="5040" xr:uid="{00000000-0005-0000-0000-0000E2060000}"/>
    <cellStyle name="40% - Accent4 3 12" xfId="5041" xr:uid="{00000000-0005-0000-0000-0000E3060000}"/>
    <cellStyle name="40% - Accent4 3 13" xfId="7724" xr:uid="{00000000-0005-0000-0000-0000E4060000}"/>
    <cellStyle name="40% - Accent4 3 2" xfId="528" xr:uid="{00000000-0005-0000-0000-0000E5060000}"/>
    <cellStyle name="40% - Accent4 3 2 2" xfId="5042" xr:uid="{00000000-0005-0000-0000-0000E6060000}"/>
    <cellStyle name="40% - Accent4 3 2 3" xfId="42310" xr:uid="{00000000-0005-0000-0000-0000E7060000}"/>
    <cellStyle name="40% - Accent4 3 3" xfId="529" xr:uid="{00000000-0005-0000-0000-0000E8060000}"/>
    <cellStyle name="40% - Accent4 3 3 2" xfId="5043" xr:uid="{00000000-0005-0000-0000-0000E9060000}"/>
    <cellStyle name="40% - Accent4 3 4" xfId="530" xr:uid="{00000000-0005-0000-0000-0000EA060000}"/>
    <cellStyle name="40% - Accent4 3 4 2" xfId="5044" xr:uid="{00000000-0005-0000-0000-0000EB060000}"/>
    <cellStyle name="40% - Accent4 3 5" xfId="531" xr:uid="{00000000-0005-0000-0000-0000EC060000}"/>
    <cellStyle name="40% - Accent4 3 5 2" xfId="5045" xr:uid="{00000000-0005-0000-0000-0000ED060000}"/>
    <cellStyle name="40% - Accent4 3 6" xfId="532" xr:uid="{00000000-0005-0000-0000-0000EE060000}"/>
    <cellStyle name="40% - Accent4 3 6 2" xfId="5046" xr:uid="{00000000-0005-0000-0000-0000EF060000}"/>
    <cellStyle name="40% - Accent4 3 7" xfId="533" xr:uid="{00000000-0005-0000-0000-0000F0060000}"/>
    <cellStyle name="40% - Accent4 3 7 2" xfId="5047" xr:uid="{00000000-0005-0000-0000-0000F1060000}"/>
    <cellStyle name="40% - Accent4 3 8" xfId="534" xr:uid="{00000000-0005-0000-0000-0000F2060000}"/>
    <cellStyle name="40% - Accent4 3 8 2" xfId="5048" xr:uid="{00000000-0005-0000-0000-0000F3060000}"/>
    <cellStyle name="40% - Accent4 3 9" xfId="535" xr:uid="{00000000-0005-0000-0000-0000F4060000}"/>
    <cellStyle name="40% - Accent4 3 9 2" xfId="5049" xr:uid="{00000000-0005-0000-0000-0000F5060000}"/>
    <cellStyle name="40% - Accent4 30" xfId="42311" xr:uid="{00000000-0005-0000-0000-0000F6060000}"/>
    <cellStyle name="40% - Accent4 31" xfId="42312" xr:uid="{00000000-0005-0000-0000-0000F7060000}"/>
    <cellStyle name="40% - Accent4 32" xfId="42313" xr:uid="{00000000-0005-0000-0000-0000F8060000}"/>
    <cellStyle name="40% - Accent4 33" xfId="42314" xr:uid="{00000000-0005-0000-0000-0000F9060000}"/>
    <cellStyle name="40% - Accent4 34" xfId="42315" xr:uid="{00000000-0005-0000-0000-0000FA060000}"/>
    <cellStyle name="40% - Accent4 35" xfId="42316" xr:uid="{00000000-0005-0000-0000-0000FB060000}"/>
    <cellStyle name="40% - Accent4 36" xfId="42317" xr:uid="{00000000-0005-0000-0000-0000FC060000}"/>
    <cellStyle name="40% - Accent4 37" xfId="42318" xr:uid="{00000000-0005-0000-0000-0000FD060000}"/>
    <cellStyle name="40% - Accent4 38" xfId="42319" xr:uid="{00000000-0005-0000-0000-0000FE060000}"/>
    <cellStyle name="40% - Accent4 39" xfId="42320" xr:uid="{00000000-0005-0000-0000-0000FF060000}"/>
    <cellStyle name="40% - Accent4 4" xfId="536" xr:uid="{00000000-0005-0000-0000-000000070000}"/>
    <cellStyle name="40% - Accent4 4 10" xfId="537" xr:uid="{00000000-0005-0000-0000-000001070000}"/>
    <cellStyle name="40% - Accent4 4 10 2" xfId="5050" xr:uid="{00000000-0005-0000-0000-000002070000}"/>
    <cellStyle name="40% - Accent4 4 11" xfId="538" xr:uid="{00000000-0005-0000-0000-000003070000}"/>
    <cellStyle name="40% - Accent4 4 11 2" xfId="5051" xr:uid="{00000000-0005-0000-0000-000004070000}"/>
    <cellStyle name="40% - Accent4 4 12" xfId="5052" xr:uid="{00000000-0005-0000-0000-000005070000}"/>
    <cellStyle name="40% - Accent4 4 13" xfId="7725" xr:uid="{00000000-0005-0000-0000-000006070000}"/>
    <cellStyle name="40% - Accent4 4 2" xfId="539" xr:uid="{00000000-0005-0000-0000-000007070000}"/>
    <cellStyle name="40% - Accent4 4 2 2" xfId="5053" xr:uid="{00000000-0005-0000-0000-000008070000}"/>
    <cellStyle name="40% - Accent4 4 2 3" xfId="42321" xr:uid="{00000000-0005-0000-0000-000009070000}"/>
    <cellStyle name="40% - Accent4 4 3" xfId="540" xr:uid="{00000000-0005-0000-0000-00000A070000}"/>
    <cellStyle name="40% - Accent4 4 3 2" xfId="5054" xr:uid="{00000000-0005-0000-0000-00000B070000}"/>
    <cellStyle name="40% - Accent4 4 4" xfId="541" xr:uid="{00000000-0005-0000-0000-00000C070000}"/>
    <cellStyle name="40% - Accent4 4 4 2" xfId="5055" xr:uid="{00000000-0005-0000-0000-00000D070000}"/>
    <cellStyle name="40% - Accent4 4 5" xfId="542" xr:uid="{00000000-0005-0000-0000-00000E070000}"/>
    <cellStyle name="40% - Accent4 4 5 2" xfId="5056" xr:uid="{00000000-0005-0000-0000-00000F070000}"/>
    <cellStyle name="40% - Accent4 4 6" xfId="543" xr:uid="{00000000-0005-0000-0000-000010070000}"/>
    <cellStyle name="40% - Accent4 4 6 2" xfId="5057" xr:uid="{00000000-0005-0000-0000-000011070000}"/>
    <cellStyle name="40% - Accent4 4 7" xfId="544" xr:uid="{00000000-0005-0000-0000-000012070000}"/>
    <cellStyle name="40% - Accent4 4 7 2" xfId="5058" xr:uid="{00000000-0005-0000-0000-000013070000}"/>
    <cellStyle name="40% - Accent4 4 8" xfId="545" xr:uid="{00000000-0005-0000-0000-000014070000}"/>
    <cellStyle name="40% - Accent4 4 8 2" xfId="5059" xr:uid="{00000000-0005-0000-0000-000015070000}"/>
    <cellStyle name="40% - Accent4 4 9" xfId="546" xr:uid="{00000000-0005-0000-0000-000016070000}"/>
    <cellStyle name="40% - Accent4 4 9 2" xfId="5060" xr:uid="{00000000-0005-0000-0000-000017070000}"/>
    <cellStyle name="40% - Accent4 40" xfId="42322" xr:uid="{00000000-0005-0000-0000-000018070000}"/>
    <cellStyle name="40% - Accent4 41" xfId="42323" xr:uid="{00000000-0005-0000-0000-000019070000}"/>
    <cellStyle name="40% - Accent4 42" xfId="42324" xr:uid="{00000000-0005-0000-0000-00001A070000}"/>
    <cellStyle name="40% - Accent4 43" xfId="42325" xr:uid="{00000000-0005-0000-0000-00001B070000}"/>
    <cellStyle name="40% - Accent4 5" xfId="547" xr:uid="{00000000-0005-0000-0000-00001C070000}"/>
    <cellStyle name="40% - Accent4 5 10" xfId="548" xr:uid="{00000000-0005-0000-0000-00001D070000}"/>
    <cellStyle name="40% - Accent4 5 10 2" xfId="5061" xr:uid="{00000000-0005-0000-0000-00001E070000}"/>
    <cellStyle name="40% - Accent4 5 11" xfId="549" xr:uid="{00000000-0005-0000-0000-00001F070000}"/>
    <cellStyle name="40% - Accent4 5 11 2" xfId="5062" xr:uid="{00000000-0005-0000-0000-000020070000}"/>
    <cellStyle name="40% - Accent4 5 12" xfId="5063" xr:uid="{00000000-0005-0000-0000-000021070000}"/>
    <cellStyle name="40% - Accent4 5 13" xfId="7726" xr:uid="{00000000-0005-0000-0000-000022070000}"/>
    <cellStyle name="40% - Accent4 5 2" xfId="550" xr:uid="{00000000-0005-0000-0000-000023070000}"/>
    <cellStyle name="40% - Accent4 5 2 2" xfId="5064" xr:uid="{00000000-0005-0000-0000-000024070000}"/>
    <cellStyle name="40% - Accent4 5 2 3" xfId="42326" xr:uid="{00000000-0005-0000-0000-000025070000}"/>
    <cellStyle name="40% - Accent4 5 3" xfId="551" xr:uid="{00000000-0005-0000-0000-000026070000}"/>
    <cellStyle name="40% - Accent4 5 3 2" xfId="5065" xr:uid="{00000000-0005-0000-0000-000027070000}"/>
    <cellStyle name="40% - Accent4 5 4" xfId="552" xr:uid="{00000000-0005-0000-0000-000028070000}"/>
    <cellStyle name="40% - Accent4 5 4 2" xfId="5066" xr:uid="{00000000-0005-0000-0000-000029070000}"/>
    <cellStyle name="40% - Accent4 5 5" xfId="553" xr:uid="{00000000-0005-0000-0000-00002A070000}"/>
    <cellStyle name="40% - Accent4 5 5 2" xfId="5067" xr:uid="{00000000-0005-0000-0000-00002B070000}"/>
    <cellStyle name="40% - Accent4 5 6" xfId="554" xr:uid="{00000000-0005-0000-0000-00002C070000}"/>
    <cellStyle name="40% - Accent4 5 6 2" xfId="5068" xr:uid="{00000000-0005-0000-0000-00002D070000}"/>
    <cellStyle name="40% - Accent4 5 7" xfId="555" xr:uid="{00000000-0005-0000-0000-00002E070000}"/>
    <cellStyle name="40% - Accent4 5 7 2" xfId="5069" xr:uid="{00000000-0005-0000-0000-00002F070000}"/>
    <cellStyle name="40% - Accent4 5 8" xfId="556" xr:uid="{00000000-0005-0000-0000-000030070000}"/>
    <cellStyle name="40% - Accent4 5 8 2" xfId="5070" xr:uid="{00000000-0005-0000-0000-000031070000}"/>
    <cellStyle name="40% - Accent4 5 9" xfId="557" xr:uid="{00000000-0005-0000-0000-000032070000}"/>
    <cellStyle name="40% - Accent4 5 9 2" xfId="5071" xr:uid="{00000000-0005-0000-0000-000033070000}"/>
    <cellStyle name="40% - Accent4 6" xfId="558" xr:uid="{00000000-0005-0000-0000-000034070000}"/>
    <cellStyle name="40% - Accent4 6 10" xfId="559" xr:uid="{00000000-0005-0000-0000-000035070000}"/>
    <cellStyle name="40% - Accent4 6 10 2" xfId="5072" xr:uid="{00000000-0005-0000-0000-000036070000}"/>
    <cellStyle name="40% - Accent4 6 11" xfId="560" xr:uid="{00000000-0005-0000-0000-000037070000}"/>
    <cellStyle name="40% - Accent4 6 11 2" xfId="5073" xr:uid="{00000000-0005-0000-0000-000038070000}"/>
    <cellStyle name="40% - Accent4 6 12" xfId="5074" xr:uid="{00000000-0005-0000-0000-000039070000}"/>
    <cellStyle name="40% - Accent4 6 13" xfId="7727" xr:uid="{00000000-0005-0000-0000-00003A070000}"/>
    <cellStyle name="40% - Accent4 6 2" xfId="561" xr:uid="{00000000-0005-0000-0000-00003B070000}"/>
    <cellStyle name="40% - Accent4 6 2 2" xfId="5075" xr:uid="{00000000-0005-0000-0000-00003C070000}"/>
    <cellStyle name="40% - Accent4 6 2 3" xfId="42327" xr:uid="{00000000-0005-0000-0000-00003D070000}"/>
    <cellStyle name="40% - Accent4 6 3" xfId="562" xr:uid="{00000000-0005-0000-0000-00003E070000}"/>
    <cellStyle name="40% - Accent4 6 3 2" xfId="5076" xr:uid="{00000000-0005-0000-0000-00003F070000}"/>
    <cellStyle name="40% - Accent4 6 4" xfId="563" xr:uid="{00000000-0005-0000-0000-000040070000}"/>
    <cellStyle name="40% - Accent4 6 4 2" xfId="5077" xr:uid="{00000000-0005-0000-0000-000041070000}"/>
    <cellStyle name="40% - Accent4 6 5" xfId="564" xr:uid="{00000000-0005-0000-0000-000042070000}"/>
    <cellStyle name="40% - Accent4 6 5 2" xfId="5078" xr:uid="{00000000-0005-0000-0000-000043070000}"/>
    <cellStyle name="40% - Accent4 6 6" xfId="565" xr:uid="{00000000-0005-0000-0000-000044070000}"/>
    <cellStyle name="40% - Accent4 6 6 2" xfId="5079" xr:uid="{00000000-0005-0000-0000-000045070000}"/>
    <cellStyle name="40% - Accent4 6 7" xfId="566" xr:uid="{00000000-0005-0000-0000-000046070000}"/>
    <cellStyle name="40% - Accent4 6 7 2" xfId="5080" xr:uid="{00000000-0005-0000-0000-000047070000}"/>
    <cellStyle name="40% - Accent4 6 8" xfId="567" xr:uid="{00000000-0005-0000-0000-000048070000}"/>
    <cellStyle name="40% - Accent4 6 8 2" xfId="5081" xr:uid="{00000000-0005-0000-0000-000049070000}"/>
    <cellStyle name="40% - Accent4 6 9" xfId="568" xr:uid="{00000000-0005-0000-0000-00004A070000}"/>
    <cellStyle name="40% - Accent4 6 9 2" xfId="5082" xr:uid="{00000000-0005-0000-0000-00004B070000}"/>
    <cellStyle name="40% - Accent4 7" xfId="569" xr:uid="{00000000-0005-0000-0000-00004C070000}"/>
    <cellStyle name="40% - Accent4 7 2" xfId="5083" xr:uid="{00000000-0005-0000-0000-00004D070000}"/>
    <cellStyle name="40% - Accent4 7 2 2" xfId="42329" xr:uid="{00000000-0005-0000-0000-00004E070000}"/>
    <cellStyle name="40% - Accent4 7 3" xfId="7728" xr:uid="{00000000-0005-0000-0000-00004F070000}"/>
    <cellStyle name="40% - Accent4 7 3 2" xfId="42328" xr:uid="{00000000-0005-0000-0000-000050070000}"/>
    <cellStyle name="40% - Accent4 8" xfId="570" xr:uid="{00000000-0005-0000-0000-000051070000}"/>
    <cellStyle name="40% - Accent4 8 2" xfId="5084" xr:uid="{00000000-0005-0000-0000-000052070000}"/>
    <cellStyle name="40% - Accent4 8 2 2" xfId="42331" xr:uid="{00000000-0005-0000-0000-000053070000}"/>
    <cellStyle name="40% - Accent4 8 3" xfId="7729" xr:uid="{00000000-0005-0000-0000-000054070000}"/>
    <cellStyle name="40% - Accent4 8 3 2" xfId="42330" xr:uid="{00000000-0005-0000-0000-000055070000}"/>
    <cellStyle name="40% - Accent4 9" xfId="3168" xr:uid="{00000000-0005-0000-0000-000056070000}"/>
    <cellStyle name="40% - Accent4 9 2" xfId="5085" xr:uid="{00000000-0005-0000-0000-000057070000}"/>
    <cellStyle name="40% - Accent5 10" xfId="3169" xr:uid="{00000000-0005-0000-0000-000058070000}"/>
    <cellStyle name="40% - Accent5 10 2" xfId="5086" xr:uid="{00000000-0005-0000-0000-000059070000}"/>
    <cellStyle name="40% - Accent5 11" xfId="42332" xr:uid="{00000000-0005-0000-0000-00005A070000}"/>
    <cellStyle name="40% - Accent5 11 2" xfId="42333" xr:uid="{00000000-0005-0000-0000-00005B070000}"/>
    <cellStyle name="40% - Accent5 12" xfId="42334" xr:uid="{00000000-0005-0000-0000-00005C070000}"/>
    <cellStyle name="40% - Accent5 13" xfId="42335" xr:uid="{00000000-0005-0000-0000-00005D070000}"/>
    <cellStyle name="40% - Accent5 14" xfId="42336" xr:uid="{00000000-0005-0000-0000-00005E070000}"/>
    <cellStyle name="40% - Accent5 15" xfId="42337" xr:uid="{00000000-0005-0000-0000-00005F070000}"/>
    <cellStyle name="40% - Accent5 16" xfId="42338" xr:uid="{00000000-0005-0000-0000-000060070000}"/>
    <cellStyle name="40% - Accent5 17" xfId="42339" xr:uid="{00000000-0005-0000-0000-000061070000}"/>
    <cellStyle name="40% - Accent5 18" xfId="42340" xr:uid="{00000000-0005-0000-0000-000062070000}"/>
    <cellStyle name="40% - Accent5 19" xfId="42341" xr:uid="{00000000-0005-0000-0000-000063070000}"/>
    <cellStyle name="40% - Accent5 2" xfId="571" xr:uid="{00000000-0005-0000-0000-000064070000}"/>
    <cellStyle name="40% - Accent5 2 10" xfId="572" xr:uid="{00000000-0005-0000-0000-000065070000}"/>
    <cellStyle name="40% - Accent5 2 10 2" xfId="5087" xr:uid="{00000000-0005-0000-0000-000066070000}"/>
    <cellStyle name="40% - Accent5 2 10 3" xfId="7730" xr:uid="{00000000-0005-0000-0000-000067070000}"/>
    <cellStyle name="40% - Accent5 2 11" xfId="573" xr:uid="{00000000-0005-0000-0000-000068070000}"/>
    <cellStyle name="40% - Accent5 2 11 2" xfId="5088" xr:uid="{00000000-0005-0000-0000-000069070000}"/>
    <cellStyle name="40% - Accent5 2 11 3" xfId="7731" xr:uid="{00000000-0005-0000-0000-00006A070000}"/>
    <cellStyle name="40% - Accent5 2 12" xfId="5089" xr:uid="{00000000-0005-0000-0000-00006B070000}"/>
    <cellStyle name="40% - Accent5 2 12 2" xfId="6304" xr:uid="{00000000-0005-0000-0000-00006C070000}"/>
    <cellStyle name="40% - Accent5 2 12 3" xfId="7732" xr:uid="{00000000-0005-0000-0000-00006D070000}"/>
    <cellStyle name="40% - Accent5 2 13" xfId="6305" xr:uid="{00000000-0005-0000-0000-00006E070000}"/>
    <cellStyle name="40% - Accent5 2 13 2" xfId="7733" xr:uid="{00000000-0005-0000-0000-00006F070000}"/>
    <cellStyle name="40% - Accent5 2 14" xfId="7734" xr:uid="{00000000-0005-0000-0000-000070070000}"/>
    <cellStyle name="40% - Accent5 2 15" xfId="7735" xr:uid="{00000000-0005-0000-0000-000071070000}"/>
    <cellStyle name="40% - Accent5 2 16" xfId="42342" xr:uid="{00000000-0005-0000-0000-000072070000}"/>
    <cellStyle name="40% - Accent5 2 17" xfId="46478" xr:uid="{55EDFBCB-C2BC-49E3-A8FB-2F3934175DC8}"/>
    <cellStyle name="40% - Accent5 2 2" xfId="574" xr:uid="{00000000-0005-0000-0000-000073070000}"/>
    <cellStyle name="40% - Accent5 2 2 2" xfId="5090" xr:uid="{00000000-0005-0000-0000-000074070000}"/>
    <cellStyle name="40% - Accent5 2 2 3" xfId="7736" xr:uid="{00000000-0005-0000-0000-000075070000}"/>
    <cellStyle name="40% - Accent5 2 3" xfId="575" xr:uid="{00000000-0005-0000-0000-000076070000}"/>
    <cellStyle name="40% - Accent5 2 3 2" xfId="5091" xr:uid="{00000000-0005-0000-0000-000077070000}"/>
    <cellStyle name="40% - Accent5 2 3 3" xfId="7737" xr:uid="{00000000-0005-0000-0000-000078070000}"/>
    <cellStyle name="40% - Accent5 2 4" xfId="576" xr:uid="{00000000-0005-0000-0000-000079070000}"/>
    <cellStyle name="40% - Accent5 2 4 2" xfId="5092" xr:uid="{00000000-0005-0000-0000-00007A070000}"/>
    <cellStyle name="40% - Accent5 2 4 3" xfId="7738" xr:uid="{00000000-0005-0000-0000-00007B070000}"/>
    <cellStyle name="40% - Accent5 2 5" xfId="577" xr:uid="{00000000-0005-0000-0000-00007C070000}"/>
    <cellStyle name="40% - Accent5 2 5 2" xfId="5093" xr:uid="{00000000-0005-0000-0000-00007D070000}"/>
    <cellStyle name="40% - Accent5 2 5 3" xfId="7739" xr:uid="{00000000-0005-0000-0000-00007E070000}"/>
    <cellStyle name="40% - Accent5 2 6" xfId="578" xr:uid="{00000000-0005-0000-0000-00007F070000}"/>
    <cellStyle name="40% - Accent5 2 6 2" xfId="5094" xr:uid="{00000000-0005-0000-0000-000080070000}"/>
    <cellStyle name="40% - Accent5 2 6 3" xfId="7740" xr:uid="{00000000-0005-0000-0000-000081070000}"/>
    <cellStyle name="40% - Accent5 2 7" xfId="579" xr:uid="{00000000-0005-0000-0000-000082070000}"/>
    <cellStyle name="40% - Accent5 2 7 2" xfId="5095" xr:uid="{00000000-0005-0000-0000-000083070000}"/>
    <cellStyle name="40% - Accent5 2 7 3" xfId="7741" xr:uid="{00000000-0005-0000-0000-000084070000}"/>
    <cellStyle name="40% - Accent5 2 8" xfId="580" xr:uid="{00000000-0005-0000-0000-000085070000}"/>
    <cellStyle name="40% - Accent5 2 8 2" xfId="5096" xr:uid="{00000000-0005-0000-0000-000086070000}"/>
    <cellStyle name="40% - Accent5 2 8 3" xfId="7742" xr:uid="{00000000-0005-0000-0000-000087070000}"/>
    <cellStyle name="40% - Accent5 2 9" xfId="581" xr:uid="{00000000-0005-0000-0000-000088070000}"/>
    <cellStyle name="40% - Accent5 2 9 2" xfId="5097" xr:uid="{00000000-0005-0000-0000-000089070000}"/>
    <cellStyle name="40% - Accent5 2 9 3" xfId="7743" xr:uid="{00000000-0005-0000-0000-00008A070000}"/>
    <cellStyle name="40% - Accent5 20" xfId="42343" xr:uid="{00000000-0005-0000-0000-00008B070000}"/>
    <cellStyle name="40% - Accent5 21" xfId="42344" xr:uid="{00000000-0005-0000-0000-00008C070000}"/>
    <cellStyle name="40% - Accent5 22" xfId="42345" xr:uid="{00000000-0005-0000-0000-00008D070000}"/>
    <cellStyle name="40% - Accent5 23" xfId="42346" xr:uid="{00000000-0005-0000-0000-00008E070000}"/>
    <cellStyle name="40% - Accent5 24" xfId="42347" xr:uid="{00000000-0005-0000-0000-00008F070000}"/>
    <cellStyle name="40% - Accent5 25" xfId="42348" xr:uid="{00000000-0005-0000-0000-000090070000}"/>
    <cellStyle name="40% - Accent5 26" xfId="42349" xr:uid="{00000000-0005-0000-0000-000091070000}"/>
    <cellStyle name="40% - Accent5 27" xfId="42350" xr:uid="{00000000-0005-0000-0000-000092070000}"/>
    <cellStyle name="40% - Accent5 28" xfId="42351" xr:uid="{00000000-0005-0000-0000-000093070000}"/>
    <cellStyle name="40% - Accent5 29" xfId="42352" xr:uid="{00000000-0005-0000-0000-000094070000}"/>
    <cellStyle name="40% - Accent5 3" xfId="582" xr:uid="{00000000-0005-0000-0000-000095070000}"/>
    <cellStyle name="40% - Accent5 3 10" xfId="583" xr:uid="{00000000-0005-0000-0000-000096070000}"/>
    <cellStyle name="40% - Accent5 3 10 2" xfId="5098" xr:uid="{00000000-0005-0000-0000-000097070000}"/>
    <cellStyle name="40% - Accent5 3 11" xfId="584" xr:uid="{00000000-0005-0000-0000-000098070000}"/>
    <cellStyle name="40% - Accent5 3 11 2" xfId="5099" xr:uid="{00000000-0005-0000-0000-000099070000}"/>
    <cellStyle name="40% - Accent5 3 12" xfId="5100" xr:uid="{00000000-0005-0000-0000-00009A070000}"/>
    <cellStyle name="40% - Accent5 3 13" xfId="7744" xr:uid="{00000000-0005-0000-0000-00009B070000}"/>
    <cellStyle name="40% - Accent5 3 2" xfId="585" xr:uid="{00000000-0005-0000-0000-00009C070000}"/>
    <cellStyle name="40% - Accent5 3 2 2" xfId="5101" xr:uid="{00000000-0005-0000-0000-00009D070000}"/>
    <cellStyle name="40% - Accent5 3 2 3" xfId="42353" xr:uid="{00000000-0005-0000-0000-00009E070000}"/>
    <cellStyle name="40% - Accent5 3 3" xfId="586" xr:uid="{00000000-0005-0000-0000-00009F070000}"/>
    <cellStyle name="40% - Accent5 3 3 2" xfId="5102" xr:uid="{00000000-0005-0000-0000-0000A0070000}"/>
    <cellStyle name="40% - Accent5 3 4" xfId="587" xr:uid="{00000000-0005-0000-0000-0000A1070000}"/>
    <cellStyle name="40% - Accent5 3 4 2" xfId="5103" xr:uid="{00000000-0005-0000-0000-0000A2070000}"/>
    <cellStyle name="40% - Accent5 3 5" xfId="588" xr:uid="{00000000-0005-0000-0000-0000A3070000}"/>
    <cellStyle name="40% - Accent5 3 5 2" xfId="5104" xr:uid="{00000000-0005-0000-0000-0000A4070000}"/>
    <cellStyle name="40% - Accent5 3 6" xfId="589" xr:uid="{00000000-0005-0000-0000-0000A5070000}"/>
    <cellStyle name="40% - Accent5 3 6 2" xfId="5105" xr:uid="{00000000-0005-0000-0000-0000A6070000}"/>
    <cellStyle name="40% - Accent5 3 7" xfId="590" xr:uid="{00000000-0005-0000-0000-0000A7070000}"/>
    <cellStyle name="40% - Accent5 3 7 2" xfId="5106" xr:uid="{00000000-0005-0000-0000-0000A8070000}"/>
    <cellStyle name="40% - Accent5 3 8" xfId="591" xr:uid="{00000000-0005-0000-0000-0000A9070000}"/>
    <cellStyle name="40% - Accent5 3 8 2" xfId="5107" xr:uid="{00000000-0005-0000-0000-0000AA070000}"/>
    <cellStyle name="40% - Accent5 3 9" xfId="592" xr:uid="{00000000-0005-0000-0000-0000AB070000}"/>
    <cellStyle name="40% - Accent5 3 9 2" xfId="5108" xr:uid="{00000000-0005-0000-0000-0000AC070000}"/>
    <cellStyle name="40% - Accent5 30" xfId="42354" xr:uid="{00000000-0005-0000-0000-0000AD070000}"/>
    <cellStyle name="40% - Accent5 31" xfId="42355" xr:uid="{00000000-0005-0000-0000-0000AE070000}"/>
    <cellStyle name="40% - Accent5 32" xfId="42356" xr:uid="{00000000-0005-0000-0000-0000AF070000}"/>
    <cellStyle name="40% - Accent5 33" xfId="42357" xr:uid="{00000000-0005-0000-0000-0000B0070000}"/>
    <cellStyle name="40% - Accent5 34" xfId="42358" xr:uid="{00000000-0005-0000-0000-0000B1070000}"/>
    <cellStyle name="40% - Accent5 35" xfId="42359" xr:uid="{00000000-0005-0000-0000-0000B2070000}"/>
    <cellStyle name="40% - Accent5 36" xfId="42360" xr:uid="{00000000-0005-0000-0000-0000B3070000}"/>
    <cellStyle name="40% - Accent5 37" xfId="42361" xr:uid="{00000000-0005-0000-0000-0000B4070000}"/>
    <cellStyle name="40% - Accent5 38" xfId="42362" xr:uid="{00000000-0005-0000-0000-0000B5070000}"/>
    <cellStyle name="40% - Accent5 39" xfId="42363" xr:uid="{00000000-0005-0000-0000-0000B6070000}"/>
    <cellStyle name="40% - Accent5 4" xfId="593" xr:uid="{00000000-0005-0000-0000-0000B7070000}"/>
    <cellStyle name="40% - Accent5 4 10" xfId="594" xr:uid="{00000000-0005-0000-0000-0000B8070000}"/>
    <cellStyle name="40% - Accent5 4 10 2" xfId="5109" xr:uid="{00000000-0005-0000-0000-0000B9070000}"/>
    <cellStyle name="40% - Accent5 4 11" xfId="595" xr:uid="{00000000-0005-0000-0000-0000BA070000}"/>
    <cellStyle name="40% - Accent5 4 11 2" xfId="5110" xr:uid="{00000000-0005-0000-0000-0000BB070000}"/>
    <cellStyle name="40% - Accent5 4 12" xfId="5111" xr:uid="{00000000-0005-0000-0000-0000BC070000}"/>
    <cellStyle name="40% - Accent5 4 13" xfId="7745" xr:uid="{00000000-0005-0000-0000-0000BD070000}"/>
    <cellStyle name="40% - Accent5 4 2" xfId="596" xr:uid="{00000000-0005-0000-0000-0000BE070000}"/>
    <cellStyle name="40% - Accent5 4 2 2" xfId="5112" xr:uid="{00000000-0005-0000-0000-0000BF070000}"/>
    <cellStyle name="40% - Accent5 4 2 3" xfId="42364" xr:uid="{00000000-0005-0000-0000-0000C0070000}"/>
    <cellStyle name="40% - Accent5 4 3" xfId="597" xr:uid="{00000000-0005-0000-0000-0000C1070000}"/>
    <cellStyle name="40% - Accent5 4 3 2" xfId="5113" xr:uid="{00000000-0005-0000-0000-0000C2070000}"/>
    <cellStyle name="40% - Accent5 4 4" xfId="598" xr:uid="{00000000-0005-0000-0000-0000C3070000}"/>
    <cellStyle name="40% - Accent5 4 4 2" xfId="5114" xr:uid="{00000000-0005-0000-0000-0000C4070000}"/>
    <cellStyle name="40% - Accent5 4 5" xfId="599" xr:uid="{00000000-0005-0000-0000-0000C5070000}"/>
    <cellStyle name="40% - Accent5 4 5 2" xfId="5115" xr:uid="{00000000-0005-0000-0000-0000C6070000}"/>
    <cellStyle name="40% - Accent5 4 6" xfId="600" xr:uid="{00000000-0005-0000-0000-0000C7070000}"/>
    <cellStyle name="40% - Accent5 4 6 2" xfId="5116" xr:uid="{00000000-0005-0000-0000-0000C8070000}"/>
    <cellStyle name="40% - Accent5 4 7" xfId="601" xr:uid="{00000000-0005-0000-0000-0000C9070000}"/>
    <cellStyle name="40% - Accent5 4 7 2" xfId="5117" xr:uid="{00000000-0005-0000-0000-0000CA070000}"/>
    <cellStyle name="40% - Accent5 4 8" xfId="602" xr:uid="{00000000-0005-0000-0000-0000CB070000}"/>
    <cellStyle name="40% - Accent5 4 8 2" xfId="5118" xr:uid="{00000000-0005-0000-0000-0000CC070000}"/>
    <cellStyle name="40% - Accent5 4 9" xfId="603" xr:uid="{00000000-0005-0000-0000-0000CD070000}"/>
    <cellStyle name="40% - Accent5 4 9 2" xfId="5119" xr:uid="{00000000-0005-0000-0000-0000CE070000}"/>
    <cellStyle name="40% - Accent5 40" xfId="42365" xr:uid="{00000000-0005-0000-0000-0000CF070000}"/>
    <cellStyle name="40% - Accent5 41" xfId="42366" xr:uid="{00000000-0005-0000-0000-0000D0070000}"/>
    <cellStyle name="40% - Accent5 42" xfId="42367" xr:uid="{00000000-0005-0000-0000-0000D1070000}"/>
    <cellStyle name="40% - Accent5 43" xfId="42368" xr:uid="{00000000-0005-0000-0000-0000D2070000}"/>
    <cellStyle name="40% - Accent5 5" xfId="604" xr:uid="{00000000-0005-0000-0000-0000D3070000}"/>
    <cellStyle name="40% - Accent5 5 10" xfId="605" xr:uid="{00000000-0005-0000-0000-0000D4070000}"/>
    <cellStyle name="40% - Accent5 5 10 2" xfId="5120" xr:uid="{00000000-0005-0000-0000-0000D5070000}"/>
    <cellStyle name="40% - Accent5 5 11" xfId="606" xr:uid="{00000000-0005-0000-0000-0000D6070000}"/>
    <cellStyle name="40% - Accent5 5 11 2" xfId="5121" xr:uid="{00000000-0005-0000-0000-0000D7070000}"/>
    <cellStyle name="40% - Accent5 5 12" xfId="5122" xr:uid="{00000000-0005-0000-0000-0000D8070000}"/>
    <cellStyle name="40% - Accent5 5 13" xfId="7746" xr:uid="{00000000-0005-0000-0000-0000D9070000}"/>
    <cellStyle name="40% - Accent5 5 2" xfId="607" xr:uid="{00000000-0005-0000-0000-0000DA070000}"/>
    <cellStyle name="40% - Accent5 5 2 2" xfId="5123" xr:uid="{00000000-0005-0000-0000-0000DB070000}"/>
    <cellStyle name="40% - Accent5 5 2 3" xfId="42369" xr:uid="{00000000-0005-0000-0000-0000DC070000}"/>
    <cellStyle name="40% - Accent5 5 3" xfId="608" xr:uid="{00000000-0005-0000-0000-0000DD070000}"/>
    <cellStyle name="40% - Accent5 5 3 2" xfId="5124" xr:uid="{00000000-0005-0000-0000-0000DE070000}"/>
    <cellStyle name="40% - Accent5 5 4" xfId="609" xr:uid="{00000000-0005-0000-0000-0000DF070000}"/>
    <cellStyle name="40% - Accent5 5 4 2" xfId="5125" xr:uid="{00000000-0005-0000-0000-0000E0070000}"/>
    <cellStyle name="40% - Accent5 5 5" xfId="610" xr:uid="{00000000-0005-0000-0000-0000E1070000}"/>
    <cellStyle name="40% - Accent5 5 5 2" xfId="5126" xr:uid="{00000000-0005-0000-0000-0000E2070000}"/>
    <cellStyle name="40% - Accent5 5 6" xfId="611" xr:uid="{00000000-0005-0000-0000-0000E3070000}"/>
    <cellStyle name="40% - Accent5 5 6 2" xfId="5127" xr:uid="{00000000-0005-0000-0000-0000E4070000}"/>
    <cellStyle name="40% - Accent5 5 7" xfId="612" xr:uid="{00000000-0005-0000-0000-0000E5070000}"/>
    <cellStyle name="40% - Accent5 5 7 2" xfId="5128" xr:uid="{00000000-0005-0000-0000-0000E6070000}"/>
    <cellStyle name="40% - Accent5 5 8" xfId="613" xr:uid="{00000000-0005-0000-0000-0000E7070000}"/>
    <cellStyle name="40% - Accent5 5 8 2" xfId="5129" xr:uid="{00000000-0005-0000-0000-0000E8070000}"/>
    <cellStyle name="40% - Accent5 5 9" xfId="614" xr:uid="{00000000-0005-0000-0000-0000E9070000}"/>
    <cellStyle name="40% - Accent5 5 9 2" xfId="5130" xr:uid="{00000000-0005-0000-0000-0000EA070000}"/>
    <cellStyle name="40% - Accent5 6" xfId="615" xr:uid="{00000000-0005-0000-0000-0000EB070000}"/>
    <cellStyle name="40% - Accent5 6 10" xfId="616" xr:uid="{00000000-0005-0000-0000-0000EC070000}"/>
    <cellStyle name="40% - Accent5 6 10 2" xfId="5131" xr:uid="{00000000-0005-0000-0000-0000ED070000}"/>
    <cellStyle name="40% - Accent5 6 11" xfId="617" xr:uid="{00000000-0005-0000-0000-0000EE070000}"/>
    <cellStyle name="40% - Accent5 6 11 2" xfId="5132" xr:uid="{00000000-0005-0000-0000-0000EF070000}"/>
    <cellStyle name="40% - Accent5 6 12" xfId="5133" xr:uid="{00000000-0005-0000-0000-0000F0070000}"/>
    <cellStyle name="40% - Accent5 6 13" xfId="7747" xr:uid="{00000000-0005-0000-0000-0000F1070000}"/>
    <cellStyle name="40% - Accent5 6 2" xfId="618" xr:uid="{00000000-0005-0000-0000-0000F2070000}"/>
    <cellStyle name="40% - Accent5 6 2 2" xfId="5134" xr:uid="{00000000-0005-0000-0000-0000F3070000}"/>
    <cellStyle name="40% - Accent5 6 2 3" xfId="42370" xr:uid="{00000000-0005-0000-0000-0000F4070000}"/>
    <cellStyle name="40% - Accent5 6 3" xfId="619" xr:uid="{00000000-0005-0000-0000-0000F5070000}"/>
    <cellStyle name="40% - Accent5 6 3 2" xfId="5135" xr:uid="{00000000-0005-0000-0000-0000F6070000}"/>
    <cellStyle name="40% - Accent5 6 4" xfId="620" xr:uid="{00000000-0005-0000-0000-0000F7070000}"/>
    <cellStyle name="40% - Accent5 6 4 2" xfId="5136" xr:uid="{00000000-0005-0000-0000-0000F8070000}"/>
    <cellStyle name="40% - Accent5 6 5" xfId="621" xr:uid="{00000000-0005-0000-0000-0000F9070000}"/>
    <cellStyle name="40% - Accent5 6 5 2" xfId="5137" xr:uid="{00000000-0005-0000-0000-0000FA070000}"/>
    <cellStyle name="40% - Accent5 6 6" xfId="622" xr:uid="{00000000-0005-0000-0000-0000FB070000}"/>
    <cellStyle name="40% - Accent5 6 6 2" xfId="5138" xr:uid="{00000000-0005-0000-0000-0000FC070000}"/>
    <cellStyle name="40% - Accent5 6 7" xfId="623" xr:uid="{00000000-0005-0000-0000-0000FD070000}"/>
    <cellStyle name="40% - Accent5 6 7 2" xfId="5139" xr:uid="{00000000-0005-0000-0000-0000FE070000}"/>
    <cellStyle name="40% - Accent5 6 8" xfId="624" xr:uid="{00000000-0005-0000-0000-0000FF070000}"/>
    <cellStyle name="40% - Accent5 6 8 2" xfId="5140" xr:uid="{00000000-0005-0000-0000-000000080000}"/>
    <cellStyle name="40% - Accent5 6 9" xfId="625" xr:uid="{00000000-0005-0000-0000-000001080000}"/>
    <cellStyle name="40% - Accent5 6 9 2" xfId="5141" xr:uid="{00000000-0005-0000-0000-000002080000}"/>
    <cellStyle name="40% - Accent5 7" xfId="626" xr:uid="{00000000-0005-0000-0000-000003080000}"/>
    <cellStyle name="40% - Accent5 7 2" xfId="5142" xr:uid="{00000000-0005-0000-0000-000004080000}"/>
    <cellStyle name="40% - Accent5 7 2 2" xfId="42372" xr:uid="{00000000-0005-0000-0000-000005080000}"/>
    <cellStyle name="40% - Accent5 7 3" xfId="7748" xr:uid="{00000000-0005-0000-0000-000006080000}"/>
    <cellStyle name="40% - Accent5 7 3 2" xfId="42371" xr:uid="{00000000-0005-0000-0000-000007080000}"/>
    <cellStyle name="40% - Accent5 8" xfId="627" xr:uid="{00000000-0005-0000-0000-000008080000}"/>
    <cellStyle name="40% - Accent5 8 2" xfId="5143" xr:uid="{00000000-0005-0000-0000-000009080000}"/>
    <cellStyle name="40% - Accent5 8 2 2" xfId="42374" xr:uid="{00000000-0005-0000-0000-00000A080000}"/>
    <cellStyle name="40% - Accent5 8 3" xfId="7749" xr:uid="{00000000-0005-0000-0000-00000B080000}"/>
    <cellStyle name="40% - Accent5 8 3 2" xfId="42373" xr:uid="{00000000-0005-0000-0000-00000C080000}"/>
    <cellStyle name="40% - Accent5 9" xfId="3170" xr:uid="{00000000-0005-0000-0000-00000D080000}"/>
    <cellStyle name="40% - Accent5 9 2" xfId="5144" xr:uid="{00000000-0005-0000-0000-00000E080000}"/>
    <cellStyle name="40% - Accent6 10" xfId="3171" xr:uid="{00000000-0005-0000-0000-00000F080000}"/>
    <cellStyle name="40% - Accent6 10 2" xfId="5145" xr:uid="{00000000-0005-0000-0000-000010080000}"/>
    <cellStyle name="40% - Accent6 11" xfId="42375" xr:uid="{00000000-0005-0000-0000-000011080000}"/>
    <cellStyle name="40% - Accent6 11 2" xfId="42376" xr:uid="{00000000-0005-0000-0000-000012080000}"/>
    <cellStyle name="40% - Accent6 12" xfId="42377" xr:uid="{00000000-0005-0000-0000-000013080000}"/>
    <cellStyle name="40% - Accent6 13" xfId="42378" xr:uid="{00000000-0005-0000-0000-000014080000}"/>
    <cellStyle name="40% - Accent6 14" xfId="42379" xr:uid="{00000000-0005-0000-0000-000015080000}"/>
    <cellStyle name="40% - Accent6 15" xfId="42380" xr:uid="{00000000-0005-0000-0000-000016080000}"/>
    <cellStyle name="40% - Accent6 16" xfId="42381" xr:uid="{00000000-0005-0000-0000-000017080000}"/>
    <cellStyle name="40% - Accent6 17" xfId="42382" xr:uid="{00000000-0005-0000-0000-000018080000}"/>
    <cellStyle name="40% - Accent6 18" xfId="42383" xr:uid="{00000000-0005-0000-0000-000019080000}"/>
    <cellStyle name="40% - Accent6 19" xfId="42384" xr:uid="{00000000-0005-0000-0000-00001A080000}"/>
    <cellStyle name="40% - Accent6 2" xfId="628" xr:uid="{00000000-0005-0000-0000-00001B080000}"/>
    <cellStyle name="40% - Accent6 2 10" xfId="629" xr:uid="{00000000-0005-0000-0000-00001C080000}"/>
    <cellStyle name="40% - Accent6 2 10 2" xfId="5146" xr:uid="{00000000-0005-0000-0000-00001D080000}"/>
    <cellStyle name="40% - Accent6 2 10 3" xfId="7750" xr:uid="{00000000-0005-0000-0000-00001E080000}"/>
    <cellStyle name="40% - Accent6 2 11" xfId="630" xr:uid="{00000000-0005-0000-0000-00001F080000}"/>
    <cellStyle name="40% - Accent6 2 11 2" xfId="5147" xr:uid="{00000000-0005-0000-0000-000020080000}"/>
    <cellStyle name="40% - Accent6 2 11 3" xfId="7751" xr:uid="{00000000-0005-0000-0000-000021080000}"/>
    <cellStyle name="40% - Accent6 2 12" xfId="5148" xr:uid="{00000000-0005-0000-0000-000022080000}"/>
    <cellStyle name="40% - Accent6 2 12 2" xfId="6306" xr:uid="{00000000-0005-0000-0000-000023080000}"/>
    <cellStyle name="40% - Accent6 2 12 3" xfId="7752" xr:uid="{00000000-0005-0000-0000-000024080000}"/>
    <cellStyle name="40% - Accent6 2 13" xfId="6307" xr:uid="{00000000-0005-0000-0000-000025080000}"/>
    <cellStyle name="40% - Accent6 2 13 2" xfId="7753" xr:uid="{00000000-0005-0000-0000-000026080000}"/>
    <cellStyle name="40% - Accent6 2 14" xfId="7754" xr:uid="{00000000-0005-0000-0000-000027080000}"/>
    <cellStyle name="40% - Accent6 2 15" xfId="7755" xr:uid="{00000000-0005-0000-0000-000028080000}"/>
    <cellStyle name="40% - Accent6 2 16" xfId="42385" xr:uid="{00000000-0005-0000-0000-000029080000}"/>
    <cellStyle name="40% - Accent6 2 17" xfId="46479" xr:uid="{96CFE25A-B1DA-4A92-97DF-6FC8ADCA1EF8}"/>
    <cellStyle name="40% - Accent6 2 2" xfId="631" xr:uid="{00000000-0005-0000-0000-00002A080000}"/>
    <cellStyle name="40% - Accent6 2 2 2" xfId="5149" xr:uid="{00000000-0005-0000-0000-00002B080000}"/>
    <cellStyle name="40% - Accent6 2 2 3" xfId="7756" xr:uid="{00000000-0005-0000-0000-00002C080000}"/>
    <cellStyle name="40% - Accent6 2 3" xfId="632" xr:uid="{00000000-0005-0000-0000-00002D080000}"/>
    <cellStyle name="40% - Accent6 2 3 2" xfId="5150" xr:uid="{00000000-0005-0000-0000-00002E080000}"/>
    <cellStyle name="40% - Accent6 2 3 3" xfId="7757" xr:uid="{00000000-0005-0000-0000-00002F080000}"/>
    <cellStyle name="40% - Accent6 2 4" xfId="633" xr:uid="{00000000-0005-0000-0000-000030080000}"/>
    <cellStyle name="40% - Accent6 2 4 2" xfId="5151" xr:uid="{00000000-0005-0000-0000-000031080000}"/>
    <cellStyle name="40% - Accent6 2 4 3" xfId="7758" xr:uid="{00000000-0005-0000-0000-000032080000}"/>
    <cellStyle name="40% - Accent6 2 5" xfId="634" xr:uid="{00000000-0005-0000-0000-000033080000}"/>
    <cellStyle name="40% - Accent6 2 5 2" xfId="5152" xr:uid="{00000000-0005-0000-0000-000034080000}"/>
    <cellStyle name="40% - Accent6 2 5 3" xfId="7759" xr:uid="{00000000-0005-0000-0000-000035080000}"/>
    <cellStyle name="40% - Accent6 2 6" xfId="635" xr:uid="{00000000-0005-0000-0000-000036080000}"/>
    <cellStyle name="40% - Accent6 2 6 2" xfId="5153" xr:uid="{00000000-0005-0000-0000-000037080000}"/>
    <cellStyle name="40% - Accent6 2 6 3" xfId="7760" xr:uid="{00000000-0005-0000-0000-000038080000}"/>
    <cellStyle name="40% - Accent6 2 7" xfId="636" xr:uid="{00000000-0005-0000-0000-000039080000}"/>
    <cellStyle name="40% - Accent6 2 7 2" xfId="5154" xr:uid="{00000000-0005-0000-0000-00003A080000}"/>
    <cellStyle name="40% - Accent6 2 7 3" xfId="7761" xr:uid="{00000000-0005-0000-0000-00003B080000}"/>
    <cellStyle name="40% - Accent6 2 8" xfId="637" xr:uid="{00000000-0005-0000-0000-00003C080000}"/>
    <cellStyle name="40% - Accent6 2 8 2" xfId="5155" xr:uid="{00000000-0005-0000-0000-00003D080000}"/>
    <cellStyle name="40% - Accent6 2 8 3" xfId="7762" xr:uid="{00000000-0005-0000-0000-00003E080000}"/>
    <cellStyle name="40% - Accent6 2 9" xfId="638" xr:uid="{00000000-0005-0000-0000-00003F080000}"/>
    <cellStyle name="40% - Accent6 2 9 2" xfId="5156" xr:uid="{00000000-0005-0000-0000-000040080000}"/>
    <cellStyle name="40% - Accent6 2 9 3" xfId="7763" xr:uid="{00000000-0005-0000-0000-000041080000}"/>
    <cellStyle name="40% - Accent6 20" xfId="42386" xr:uid="{00000000-0005-0000-0000-000042080000}"/>
    <cellStyle name="40% - Accent6 21" xfId="42387" xr:uid="{00000000-0005-0000-0000-000043080000}"/>
    <cellStyle name="40% - Accent6 22" xfId="42388" xr:uid="{00000000-0005-0000-0000-000044080000}"/>
    <cellStyle name="40% - Accent6 23" xfId="42389" xr:uid="{00000000-0005-0000-0000-000045080000}"/>
    <cellStyle name="40% - Accent6 24" xfId="42390" xr:uid="{00000000-0005-0000-0000-000046080000}"/>
    <cellStyle name="40% - Accent6 25" xfId="42391" xr:uid="{00000000-0005-0000-0000-000047080000}"/>
    <cellStyle name="40% - Accent6 26" xfId="42392" xr:uid="{00000000-0005-0000-0000-000048080000}"/>
    <cellStyle name="40% - Accent6 27" xfId="42393" xr:uid="{00000000-0005-0000-0000-000049080000}"/>
    <cellStyle name="40% - Accent6 28" xfId="42394" xr:uid="{00000000-0005-0000-0000-00004A080000}"/>
    <cellStyle name="40% - Accent6 29" xfId="42395" xr:uid="{00000000-0005-0000-0000-00004B080000}"/>
    <cellStyle name="40% - Accent6 3" xfId="639" xr:uid="{00000000-0005-0000-0000-00004C080000}"/>
    <cellStyle name="40% - Accent6 3 10" xfId="640" xr:uid="{00000000-0005-0000-0000-00004D080000}"/>
    <cellStyle name="40% - Accent6 3 10 2" xfId="5157" xr:uid="{00000000-0005-0000-0000-00004E080000}"/>
    <cellStyle name="40% - Accent6 3 11" xfId="641" xr:uid="{00000000-0005-0000-0000-00004F080000}"/>
    <cellStyle name="40% - Accent6 3 11 2" xfId="5158" xr:uid="{00000000-0005-0000-0000-000050080000}"/>
    <cellStyle name="40% - Accent6 3 12" xfId="5159" xr:uid="{00000000-0005-0000-0000-000051080000}"/>
    <cellStyle name="40% - Accent6 3 13" xfId="7764" xr:uid="{00000000-0005-0000-0000-000052080000}"/>
    <cellStyle name="40% - Accent6 3 2" xfId="642" xr:uid="{00000000-0005-0000-0000-000053080000}"/>
    <cellStyle name="40% - Accent6 3 2 2" xfId="5160" xr:uid="{00000000-0005-0000-0000-000054080000}"/>
    <cellStyle name="40% - Accent6 3 2 3" xfId="42396" xr:uid="{00000000-0005-0000-0000-000055080000}"/>
    <cellStyle name="40% - Accent6 3 3" xfId="643" xr:uid="{00000000-0005-0000-0000-000056080000}"/>
    <cellStyle name="40% - Accent6 3 3 2" xfId="5161" xr:uid="{00000000-0005-0000-0000-000057080000}"/>
    <cellStyle name="40% - Accent6 3 4" xfId="644" xr:uid="{00000000-0005-0000-0000-000058080000}"/>
    <cellStyle name="40% - Accent6 3 4 2" xfId="5162" xr:uid="{00000000-0005-0000-0000-000059080000}"/>
    <cellStyle name="40% - Accent6 3 5" xfId="645" xr:uid="{00000000-0005-0000-0000-00005A080000}"/>
    <cellStyle name="40% - Accent6 3 5 2" xfId="5163" xr:uid="{00000000-0005-0000-0000-00005B080000}"/>
    <cellStyle name="40% - Accent6 3 6" xfId="646" xr:uid="{00000000-0005-0000-0000-00005C080000}"/>
    <cellStyle name="40% - Accent6 3 6 2" xfId="5164" xr:uid="{00000000-0005-0000-0000-00005D080000}"/>
    <cellStyle name="40% - Accent6 3 7" xfId="647" xr:uid="{00000000-0005-0000-0000-00005E080000}"/>
    <cellStyle name="40% - Accent6 3 7 2" xfId="5165" xr:uid="{00000000-0005-0000-0000-00005F080000}"/>
    <cellStyle name="40% - Accent6 3 8" xfId="648" xr:uid="{00000000-0005-0000-0000-000060080000}"/>
    <cellStyle name="40% - Accent6 3 8 2" xfId="5166" xr:uid="{00000000-0005-0000-0000-000061080000}"/>
    <cellStyle name="40% - Accent6 3 9" xfId="649" xr:uid="{00000000-0005-0000-0000-000062080000}"/>
    <cellStyle name="40% - Accent6 3 9 2" xfId="5167" xr:uid="{00000000-0005-0000-0000-000063080000}"/>
    <cellStyle name="40% - Accent6 30" xfId="42397" xr:uid="{00000000-0005-0000-0000-000064080000}"/>
    <cellStyle name="40% - Accent6 31" xfId="42398" xr:uid="{00000000-0005-0000-0000-000065080000}"/>
    <cellStyle name="40% - Accent6 32" xfId="42399" xr:uid="{00000000-0005-0000-0000-000066080000}"/>
    <cellStyle name="40% - Accent6 33" xfId="42400" xr:uid="{00000000-0005-0000-0000-000067080000}"/>
    <cellStyle name="40% - Accent6 34" xfId="42401" xr:uid="{00000000-0005-0000-0000-000068080000}"/>
    <cellStyle name="40% - Accent6 35" xfId="42402" xr:uid="{00000000-0005-0000-0000-000069080000}"/>
    <cellStyle name="40% - Accent6 36" xfId="42403" xr:uid="{00000000-0005-0000-0000-00006A080000}"/>
    <cellStyle name="40% - Accent6 37" xfId="42404" xr:uid="{00000000-0005-0000-0000-00006B080000}"/>
    <cellStyle name="40% - Accent6 38" xfId="42405" xr:uid="{00000000-0005-0000-0000-00006C080000}"/>
    <cellStyle name="40% - Accent6 39" xfId="42406" xr:uid="{00000000-0005-0000-0000-00006D080000}"/>
    <cellStyle name="40% - Accent6 4" xfId="650" xr:uid="{00000000-0005-0000-0000-00006E080000}"/>
    <cellStyle name="40% - Accent6 4 10" xfId="651" xr:uid="{00000000-0005-0000-0000-00006F080000}"/>
    <cellStyle name="40% - Accent6 4 10 2" xfId="5168" xr:uid="{00000000-0005-0000-0000-000070080000}"/>
    <cellStyle name="40% - Accent6 4 11" xfId="652" xr:uid="{00000000-0005-0000-0000-000071080000}"/>
    <cellStyle name="40% - Accent6 4 11 2" xfId="5169" xr:uid="{00000000-0005-0000-0000-000072080000}"/>
    <cellStyle name="40% - Accent6 4 12" xfId="5170" xr:uid="{00000000-0005-0000-0000-000073080000}"/>
    <cellStyle name="40% - Accent6 4 13" xfId="7765" xr:uid="{00000000-0005-0000-0000-000074080000}"/>
    <cellStyle name="40% - Accent6 4 2" xfId="653" xr:uid="{00000000-0005-0000-0000-000075080000}"/>
    <cellStyle name="40% - Accent6 4 2 2" xfId="5171" xr:uid="{00000000-0005-0000-0000-000076080000}"/>
    <cellStyle name="40% - Accent6 4 2 3" xfId="42407" xr:uid="{00000000-0005-0000-0000-000077080000}"/>
    <cellStyle name="40% - Accent6 4 3" xfId="654" xr:uid="{00000000-0005-0000-0000-000078080000}"/>
    <cellStyle name="40% - Accent6 4 3 2" xfId="5172" xr:uid="{00000000-0005-0000-0000-000079080000}"/>
    <cellStyle name="40% - Accent6 4 4" xfId="655" xr:uid="{00000000-0005-0000-0000-00007A080000}"/>
    <cellStyle name="40% - Accent6 4 4 2" xfId="5173" xr:uid="{00000000-0005-0000-0000-00007B080000}"/>
    <cellStyle name="40% - Accent6 4 5" xfId="656" xr:uid="{00000000-0005-0000-0000-00007C080000}"/>
    <cellStyle name="40% - Accent6 4 5 2" xfId="5174" xr:uid="{00000000-0005-0000-0000-00007D080000}"/>
    <cellStyle name="40% - Accent6 4 6" xfId="657" xr:uid="{00000000-0005-0000-0000-00007E080000}"/>
    <cellStyle name="40% - Accent6 4 6 2" xfId="5175" xr:uid="{00000000-0005-0000-0000-00007F080000}"/>
    <cellStyle name="40% - Accent6 4 7" xfId="658" xr:uid="{00000000-0005-0000-0000-000080080000}"/>
    <cellStyle name="40% - Accent6 4 7 2" xfId="5176" xr:uid="{00000000-0005-0000-0000-000081080000}"/>
    <cellStyle name="40% - Accent6 4 8" xfId="659" xr:uid="{00000000-0005-0000-0000-000082080000}"/>
    <cellStyle name="40% - Accent6 4 8 2" xfId="5177" xr:uid="{00000000-0005-0000-0000-000083080000}"/>
    <cellStyle name="40% - Accent6 4 9" xfId="660" xr:uid="{00000000-0005-0000-0000-000084080000}"/>
    <cellStyle name="40% - Accent6 4 9 2" xfId="5178" xr:uid="{00000000-0005-0000-0000-000085080000}"/>
    <cellStyle name="40% - Accent6 40" xfId="42408" xr:uid="{00000000-0005-0000-0000-000086080000}"/>
    <cellStyle name="40% - Accent6 41" xfId="42409" xr:uid="{00000000-0005-0000-0000-000087080000}"/>
    <cellStyle name="40% - Accent6 42" xfId="42410" xr:uid="{00000000-0005-0000-0000-000088080000}"/>
    <cellStyle name="40% - Accent6 43" xfId="42411" xr:uid="{00000000-0005-0000-0000-000089080000}"/>
    <cellStyle name="40% - Accent6 5" xfId="661" xr:uid="{00000000-0005-0000-0000-00008A080000}"/>
    <cellStyle name="40% - Accent6 5 10" xfId="662" xr:uid="{00000000-0005-0000-0000-00008B080000}"/>
    <cellStyle name="40% - Accent6 5 10 2" xfId="5179" xr:uid="{00000000-0005-0000-0000-00008C080000}"/>
    <cellStyle name="40% - Accent6 5 11" xfId="663" xr:uid="{00000000-0005-0000-0000-00008D080000}"/>
    <cellStyle name="40% - Accent6 5 11 2" xfId="5180" xr:uid="{00000000-0005-0000-0000-00008E080000}"/>
    <cellStyle name="40% - Accent6 5 12" xfId="5181" xr:uid="{00000000-0005-0000-0000-00008F080000}"/>
    <cellStyle name="40% - Accent6 5 13" xfId="7766" xr:uid="{00000000-0005-0000-0000-000090080000}"/>
    <cellStyle name="40% - Accent6 5 2" xfId="664" xr:uid="{00000000-0005-0000-0000-000091080000}"/>
    <cellStyle name="40% - Accent6 5 2 2" xfId="5182" xr:uid="{00000000-0005-0000-0000-000092080000}"/>
    <cellStyle name="40% - Accent6 5 2 3" xfId="42412" xr:uid="{00000000-0005-0000-0000-000093080000}"/>
    <cellStyle name="40% - Accent6 5 3" xfId="665" xr:uid="{00000000-0005-0000-0000-000094080000}"/>
    <cellStyle name="40% - Accent6 5 3 2" xfId="5183" xr:uid="{00000000-0005-0000-0000-000095080000}"/>
    <cellStyle name="40% - Accent6 5 4" xfId="666" xr:uid="{00000000-0005-0000-0000-000096080000}"/>
    <cellStyle name="40% - Accent6 5 4 2" xfId="5184" xr:uid="{00000000-0005-0000-0000-000097080000}"/>
    <cellStyle name="40% - Accent6 5 5" xfId="667" xr:uid="{00000000-0005-0000-0000-000098080000}"/>
    <cellStyle name="40% - Accent6 5 5 2" xfId="5185" xr:uid="{00000000-0005-0000-0000-000099080000}"/>
    <cellStyle name="40% - Accent6 5 6" xfId="668" xr:uid="{00000000-0005-0000-0000-00009A080000}"/>
    <cellStyle name="40% - Accent6 5 6 2" xfId="5186" xr:uid="{00000000-0005-0000-0000-00009B080000}"/>
    <cellStyle name="40% - Accent6 5 7" xfId="669" xr:uid="{00000000-0005-0000-0000-00009C080000}"/>
    <cellStyle name="40% - Accent6 5 7 2" xfId="5187" xr:uid="{00000000-0005-0000-0000-00009D080000}"/>
    <cellStyle name="40% - Accent6 5 8" xfId="670" xr:uid="{00000000-0005-0000-0000-00009E080000}"/>
    <cellStyle name="40% - Accent6 5 8 2" xfId="5188" xr:uid="{00000000-0005-0000-0000-00009F080000}"/>
    <cellStyle name="40% - Accent6 5 9" xfId="671" xr:uid="{00000000-0005-0000-0000-0000A0080000}"/>
    <cellStyle name="40% - Accent6 5 9 2" xfId="5189" xr:uid="{00000000-0005-0000-0000-0000A1080000}"/>
    <cellStyle name="40% - Accent6 6" xfId="672" xr:uid="{00000000-0005-0000-0000-0000A2080000}"/>
    <cellStyle name="40% - Accent6 6 10" xfId="673" xr:uid="{00000000-0005-0000-0000-0000A3080000}"/>
    <cellStyle name="40% - Accent6 6 10 2" xfId="5190" xr:uid="{00000000-0005-0000-0000-0000A4080000}"/>
    <cellStyle name="40% - Accent6 6 11" xfId="674" xr:uid="{00000000-0005-0000-0000-0000A5080000}"/>
    <cellStyle name="40% - Accent6 6 11 2" xfId="5191" xr:uid="{00000000-0005-0000-0000-0000A6080000}"/>
    <cellStyle name="40% - Accent6 6 12" xfId="5192" xr:uid="{00000000-0005-0000-0000-0000A7080000}"/>
    <cellStyle name="40% - Accent6 6 13" xfId="7767" xr:uid="{00000000-0005-0000-0000-0000A8080000}"/>
    <cellStyle name="40% - Accent6 6 2" xfId="675" xr:uid="{00000000-0005-0000-0000-0000A9080000}"/>
    <cellStyle name="40% - Accent6 6 2 2" xfId="5193" xr:uid="{00000000-0005-0000-0000-0000AA080000}"/>
    <cellStyle name="40% - Accent6 6 2 3" xfId="42413" xr:uid="{00000000-0005-0000-0000-0000AB080000}"/>
    <cellStyle name="40% - Accent6 6 3" xfId="676" xr:uid="{00000000-0005-0000-0000-0000AC080000}"/>
    <cellStyle name="40% - Accent6 6 3 2" xfId="5194" xr:uid="{00000000-0005-0000-0000-0000AD080000}"/>
    <cellStyle name="40% - Accent6 6 4" xfId="677" xr:uid="{00000000-0005-0000-0000-0000AE080000}"/>
    <cellStyle name="40% - Accent6 6 4 2" xfId="5195" xr:uid="{00000000-0005-0000-0000-0000AF080000}"/>
    <cellStyle name="40% - Accent6 6 5" xfId="678" xr:uid="{00000000-0005-0000-0000-0000B0080000}"/>
    <cellStyle name="40% - Accent6 6 5 2" xfId="5196" xr:uid="{00000000-0005-0000-0000-0000B1080000}"/>
    <cellStyle name="40% - Accent6 6 6" xfId="679" xr:uid="{00000000-0005-0000-0000-0000B2080000}"/>
    <cellStyle name="40% - Accent6 6 6 2" xfId="5197" xr:uid="{00000000-0005-0000-0000-0000B3080000}"/>
    <cellStyle name="40% - Accent6 6 7" xfId="680" xr:uid="{00000000-0005-0000-0000-0000B4080000}"/>
    <cellStyle name="40% - Accent6 6 7 2" xfId="5198" xr:uid="{00000000-0005-0000-0000-0000B5080000}"/>
    <cellStyle name="40% - Accent6 6 8" xfId="681" xr:uid="{00000000-0005-0000-0000-0000B6080000}"/>
    <cellStyle name="40% - Accent6 6 8 2" xfId="5199" xr:uid="{00000000-0005-0000-0000-0000B7080000}"/>
    <cellStyle name="40% - Accent6 6 9" xfId="682" xr:uid="{00000000-0005-0000-0000-0000B8080000}"/>
    <cellStyle name="40% - Accent6 6 9 2" xfId="5200" xr:uid="{00000000-0005-0000-0000-0000B9080000}"/>
    <cellStyle name="40% - Accent6 7" xfId="683" xr:uid="{00000000-0005-0000-0000-0000BA080000}"/>
    <cellStyle name="40% - Accent6 7 2" xfId="5201" xr:uid="{00000000-0005-0000-0000-0000BB080000}"/>
    <cellStyle name="40% - Accent6 7 2 2" xfId="42415" xr:uid="{00000000-0005-0000-0000-0000BC080000}"/>
    <cellStyle name="40% - Accent6 7 3" xfId="7768" xr:uid="{00000000-0005-0000-0000-0000BD080000}"/>
    <cellStyle name="40% - Accent6 7 3 2" xfId="42414" xr:uid="{00000000-0005-0000-0000-0000BE080000}"/>
    <cellStyle name="40% - Accent6 8" xfId="684" xr:uid="{00000000-0005-0000-0000-0000BF080000}"/>
    <cellStyle name="40% - Accent6 8 2" xfId="5202" xr:uid="{00000000-0005-0000-0000-0000C0080000}"/>
    <cellStyle name="40% - Accent6 8 2 2" xfId="42417" xr:uid="{00000000-0005-0000-0000-0000C1080000}"/>
    <cellStyle name="40% - Accent6 8 3" xfId="7769" xr:uid="{00000000-0005-0000-0000-0000C2080000}"/>
    <cellStyle name="40% - Accent6 8 3 2" xfId="42416" xr:uid="{00000000-0005-0000-0000-0000C3080000}"/>
    <cellStyle name="40% - Accent6 9" xfId="3172" xr:uid="{00000000-0005-0000-0000-0000C4080000}"/>
    <cellStyle name="40% - Accent6 9 2" xfId="5203" xr:uid="{00000000-0005-0000-0000-0000C5080000}"/>
    <cellStyle name="40% - Akzent1" xfId="10130" xr:uid="{00000000-0005-0000-0000-0000C6080000}"/>
    <cellStyle name="40% - Akzent1 2" xfId="10131" xr:uid="{00000000-0005-0000-0000-0000C7080000}"/>
    <cellStyle name="40% - Akzent2" xfId="10132" xr:uid="{00000000-0005-0000-0000-0000C8080000}"/>
    <cellStyle name="40% - Akzent2 2" xfId="10133" xr:uid="{00000000-0005-0000-0000-0000C9080000}"/>
    <cellStyle name="40% - Akzent3" xfId="10134" xr:uid="{00000000-0005-0000-0000-0000CA080000}"/>
    <cellStyle name="40% - Akzent3 2" xfId="10135" xr:uid="{00000000-0005-0000-0000-0000CB080000}"/>
    <cellStyle name="40% - Akzent4" xfId="10136" xr:uid="{00000000-0005-0000-0000-0000CC080000}"/>
    <cellStyle name="40% - Akzent4 2" xfId="10137" xr:uid="{00000000-0005-0000-0000-0000CD080000}"/>
    <cellStyle name="40% - Akzent5" xfId="10138" xr:uid="{00000000-0005-0000-0000-0000CE080000}"/>
    <cellStyle name="40% - Akzent5 2" xfId="10139" xr:uid="{00000000-0005-0000-0000-0000CF080000}"/>
    <cellStyle name="40% - Akzent6" xfId="10140" xr:uid="{00000000-0005-0000-0000-0000D0080000}"/>
    <cellStyle name="40% - Akzent6 2" xfId="10141" xr:uid="{00000000-0005-0000-0000-0000D1080000}"/>
    <cellStyle name="40% - Colore 1" xfId="9582" xr:uid="{00000000-0005-0000-0000-0000D2080000}"/>
    <cellStyle name="40% - Colore 2" xfId="9583" xr:uid="{00000000-0005-0000-0000-0000D3080000}"/>
    <cellStyle name="40% - Colore 3" xfId="9584" xr:uid="{00000000-0005-0000-0000-0000D4080000}"/>
    <cellStyle name="40% - Colore 4" xfId="9585" xr:uid="{00000000-0005-0000-0000-0000D5080000}"/>
    <cellStyle name="40% - Colore 5" xfId="9586" xr:uid="{00000000-0005-0000-0000-0000D6080000}"/>
    <cellStyle name="40% - Colore 6" xfId="9587" xr:uid="{00000000-0005-0000-0000-0000D7080000}"/>
    <cellStyle name="5x indented GHG Textfiels" xfId="3173" xr:uid="{00000000-0005-0000-0000-0000D8080000}"/>
    <cellStyle name="5x indented GHG Textfiels 2" xfId="7205" xr:uid="{00000000-0005-0000-0000-0000D9080000}"/>
    <cellStyle name="60 % - Accent1" xfId="12313" xr:uid="{00000000-0005-0000-0000-0000DA080000}"/>
    <cellStyle name="60 % - Accent2" xfId="12314" xr:uid="{00000000-0005-0000-0000-0000DB080000}"/>
    <cellStyle name="60 % - Accent3" xfId="12315" xr:uid="{00000000-0005-0000-0000-0000DC080000}"/>
    <cellStyle name="60 % - Accent4" xfId="12316" xr:uid="{00000000-0005-0000-0000-0000DD080000}"/>
    <cellStyle name="60 % - Accent5" xfId="12317" xr:uid="{00000000-0005-0000-0000-0000DE080000}"/>
    <cellStyle name="60 % - Accent6" xfId="12318" xr:uid="{00000000-0005-0000-0000-0000DF080000}"/>
    <cellStyle name="60% - 1. jelölőszín" xfId="3108" xr:uid="{00000000-0005-0000-0000-0000E0080000}"/>
    <cellStyle name="60% - 2. jelölőszín" xfId="3109" xr:uid="{00000000-0005-0000-0000-0000E1080000}"/>
    <cellStyle name="60% - 3. jelölőszín" xfId="3110" xr:uid="{00000000-0005-0000-0000-0000E2080000}"/>
    <cellStyle name="60% - 4. jelölőszín" xfId="3111" xr:uid="{00000000-0005-0000-0000-0000E3080000}"/>
    <cellStyle name="60% - 5. jelölőszín" xfId="3112" xr:uid="{00000000-0005-0000-0000-0000E4080000}"/>
    <cellStyle name="60% - 6. jelölőszín" xfId="3113" xr:uid="{00000000-0005-0000-0000-0000E5080000}"/>
    <cellStyle name="60% - Accent1 10" xfId="3174" xr:uid="{00000000-0005-0000-0000-0000E6080000}"/>
    <cellStyle name="60% - Accent1 11" xfId="42418" xr:uid="{00000000-0005-0000-0000-0000E7080000}"/>
    <cellStyle name="60% - Accent1 12" xfId="42419" xr:uid="{00000000-0005-0000-0000-0000E8080000}"/>
    <cellStyle name="60% - Accent1 13" xfId="42420" xr:uid="{00000000-0005-0000-0000-0000E9080000}"/>
    <cellStyle name="60% - Accent1 14" xfId="42421" xr:uid="{00000000-0005-0000-0000-0000EA080000}"/>
    <cellStyle name="60% - Accent1 15" xfId="42422" xr:uid="{00000000-0005-0000-0000-0000EB080000}"/>
    <cellStyle name="60% - Accent1 16" xfId="42423" xr:uid="{00000000-0005-0000-0000-0000EC080000}"/>
    <cellStyle name="60% - Accent1 17" xfId="42424" xr:uid="{00000000-0005-0000-0000-0000ED080000}"/>
    <cellStyle name="60% - Accent1 18" xfId="42425" xr:uid="{00000000-0005-0000-0000-0000EE080000}"/>
    <cellStyle name="60% - Accent1 19" xfId="42426" xr:uid="{00000000-0005-0000-0000-0000EF080000}"/>
    <cellStyle name="60% - Accent1 2" xfId="685" xr:uid="{00000000-0005-0000-0000-0000F0080000}"/>
    <cellStyle name="60% - Accent1 2 10" xfId="686" xr:uid="{00000000-0005-0000-0000-0000F1080000}"/>
    <cellStyle name="60% - Accent1 2 10 2" xfId="7770" xr:uid="{00000000-0005-0000-0000-0000F2080000}"/>
    <cellStyle name="60% - Accent1 2 11" xfId="687" xr:uid="{00000000-0005-0000-0000-0000F3080000}"/>
    <cellStyle name="60% - Accent1 2 2" xfId="688" xr:uid="{00000000-0005-0000-0000-0000F4080000}"/>
    <cellStyle name="60% - Accent1 2 2 2" xfId="7771" xr:uid="{00000000-0005-0000-0000-0000F5080000}"/>
    <cellStyle name="60% - Accent1 2 3" xfId="689" xr:uid="{00000000-0005-0000-0000-0000F6080000}"/>
    <cellStyle name="60% - Accent1 2 3 2" xfId="7772" xr:uid="{00000000-0005-0000-0000-0000F7080000}"/>
    <cellStyle name="60% - Accent1 2 4" xfId="690" xr:uid="{00000000-0005-0000-0000-0000F8080000}"/>
    <cellStyle name="60% - Accent1 2 4 2" xfId="7773" xr:uid="{00000000-0005-0000-0000-0000F9080000}"/>
    <cellStyle name="60% - Accent1 2 5" xfId="691" xr:uid="{00000000-0005-0000-0000-0000FA080000}"/>
    <cellStyle name="60% - Accent1 2 5 2" xfId="7774" xr:uid="{00000000-0005-0000-0000-0000FB080000}"/>
    <cellStyle name="60% - Accent1 2 6" xfId="692" xr:uid="{00000000-0005-0000-0000-0000FC080000}"/>
    <cellStyle name="60% - Accent1 2 6 2" xfId="7775" xr:uid="{00000000-0005-0000-0000-0000FD080000}"/>
    <cellStyle name="60% - Accent1 2 7" xfId="693" xr:uid="{00000000-0005-0000-0000-0000FE080000}"/>
    <cellStyle name="60% - Accent1 2 7 2" xfId="7776" xr:uid="{00000000-0005-0000-0000-0000FF080000}"/>
    <cellStyle name="60% - Accent1 2 8" xfId="694" xr:uid="{00000000-0005-0000-0000-000000090000}"/>
    <cellStyle name="60% - Accent1 2 8 2" xfId="7777" xr:uid="{00000000-0005-0000-0000-000001090000}"/>
    <cellStyle name="60% - Accent1 2 9" xfId="695" xr:uid="{00000000-0005-0000-0000-000002090000}"/>
    <cellStyle name="60% - Accent1 2 9 2" xfId="7778" xr:uid="{00000000-0005-0000-0000-000003090000}"/>
    <cellStyle name="60% - Accent1 20" xfId="42427" xr:uid="{00000000-0005-0000-0000-000004090000}"/>
    <cellStyle name="60% - Accent1 21" xfId="42428" xr:uid="{00000000-0005-0000-0000-000005090000}"/>
    <cellStyle name="60% - Accent1 22" xfId="42429" xr:uid="{00000000-0005-0000-0000-000006090000}"/>
    <cellStyle name="60% - Accent1 23" xfId="42430" xr:uid="{00000000-0005-0000-0000-000007090000}"/>
    <cellStyle name="60% - Accent1 24" xfId="42431" xr:uid="{00000000-0005-0000-0000-000008090000}"/>
    <cellStyle name="60% - Accent1 25" xfId="42432" xr:uid="{00000000-0005-0000-0000-000009090000}"/>
    <cellStyle name="60% - Accent1 26" xfId="42433" xr:uid="{00000000-0005-0000-0000-00000A090000}"/>
    <cellStyle name="60% - Accent1 27" xfId="42434" xr:uid="{00000000-0005-0000-0000-00000B090000}"/>
    <cellStyle name="60% - Accent1 28" xfId="42435" xr:uid="{00000000-0005-0000-0000-00000C090000}"/>
    <cellStyle name="60% - Accent1 29" xfId="42436" xr:uid="{00000000-0005-0000-0000-00000D090000}"/>
    <cellStyle name="60% - Accent1 3" xfId="696" xr:uid="{00000000-0005-0000-0000-00000E090000}"/>
    <cellStyle name="60% - Accent1 3 10" xfId="697" xr:uid="{00000000-0005-0000-0000-00000F090000}"/>
    <cellStyle name="60% - Accent1 3 11" xfId="698" xr:uid="{00000000-0005-0000-0000-000010090000}"/>
    <cellStyle name="60% - Accent1 3 12" xfId="7779" xr:uid="{00000000-0005-0000-0000-000011090000}"/>
    <cellStyle name="60% - Accent1 3 2" xfId="699" xr:uid="{00000000-0005-0000-0000-000012090000}"/>
    <cellStyle name="60% - Accent1 3 2 2" xfId="42437" xr:uid="{00000000-0005-0000-0000-000013090000}"/>
    <cellStyle name="60% - Accent1 3 3" xfId="700" xr:uid="{00000000-0005-0000-0000-000014090000}"/>
    <cellStyle name="60% - Accent1 3 4" xfId="701" xr:uid="{00000000-0005-0000-0000-000015090000}"/>
    <cellStyle name="60% - Accent1 3 5" xfId="702" xr:uid="{00000000-0005-0000-0000-000016090000}"/>
    <cellStyle name="60% - Accent1 3 6" xfId="703" xr:uid="{00000000-0005-0000-0000-000017090000}"/>
    <cellStyle name="60% - Accent1 3 7" xfId="704" xr:uid="{00000000-0005-0000-0000-000018090000}"/>
    <cellStyle name="60% - Accent1 3 8" xfId="705" xr:uid="{00000000-0005-0000-0000-000019090000}"/>
    <cellStyle name="60% - Accent1 3 9" xfId="706" xr:uid="{00000000-0005-0000-0000-00001A090000}"/>
    <cellStyle name="60% - Accent1 30" xfId="42438" xr:uid="{00000000-0005-0000-0000-00001B090000}"/>
    <cellStyle name="60% - Accent1 31" xfId="42439" xr:uid="{00000000-0005-0000-0000-00001C090000}"/>
    <cellStyle name="60% - Accent1 32" xfId="42440" xr:uid="{00000000-0005-0000-0000-00001D090000}"/>
    <cellStyle name="60% - Accent1 33" xfId="42441" xr:uid="{00000000-0005-0000-0000-00001E090000}"/>
    <cellStyle name="60% - Accent1 34" xfId="42442" xr:uid="{00000000-0005-0000-0000-00001F090000}"/>
    <cellStyle name="60% - Accent1 35" xfId="42443" xr:uid="{00000000-0005-0000-0000-000020090000}"/>
    <cellStyle name="60% - Accent1 36" xfId="42444" xr:uid="{00000000-0005-0000-0000-000021090000}"/>
    <cellStyle name="60% - Accent1 37" xfId="42445" xr:uid="{00000000-0005-0000-0000-000022090000}"/>
    <cellStyle name="60% - Accent1 38" xfId="42446" xr:uid="{00000000-0005-0000-0000-000023090000}"/>
    <cellStyle name="60% - Accent1 39" xfId="42447" xr:uid="{00000000-0005-0000-0000-000024090000}"/>
    <cellStyle name="60% - Accent1 4" xfId="707" xr:uid="{00000000-0005-0000-0000-000025090000}"/>
    <cellStyle name="60% - Accent1 4 10" xfId="708" xr:uid="{00000000-0005-0000-0000-000026090000}"/>
    <cellStyle name="60% - Accent1 4 11" xfId="709" xr:uid="{00000000-0005-0000-0000-000027090000}"/>
    <cellStyle name="60% - Accent1 4 2" xfId="710" xr:uid="{00000000-0005-0000-0000-000028090000}"/>
    <cellStyle name="60% - Accent1 4 3" xfId="711" xr:uid="{00000000-0005-0000-0000-000029090000}"/>
    <cellStyle name="60% - Accent1 4 4" xfId="712" xr:uid="{00000000-0005-0000-0000-00002A090000}"/>
    <cellStyle name="60% - Accent1 4 5" xfId="713" xr:uid="{00000000-0005-0000-0000-00002B090000}"/>
    <cellStyle name="60% - Accent1 4 6" xfId="714" xr:uid="{00000000-0005-0000-0000-00002C090000}"/>
    <cellStyle name="60% - Accent1 4 7" xfId="715" xr:uid="{00000000-0005-0000-0000-00002D090000}"/>
    <cellStyle name="60% - Accent1 4 8" xfId="716" xr:uid="{00000000-0005-0000-0000-00002E090000}"/>
    <cellStyle name="60% - Accent1 4 9" xfId="717" xr:uid="{00000000-0005-0000-0000-00002F090000}"/>
    <cellStyle name="60% - Accent1 40" xfId="42450" xr:uid="{00000000-0005-0000-0000-000030090000}"/>
    <cellStyle name="60% - Accent1 41" xfId="42451" xr:uid="{00000000-0005-0000-0000-000031090000}"/>
    <cellStyle name="60% - Accent1 42" xfId="42452" xr:uid="{00000000-0005-0000-0000-000032090000}"/>
    <cellStyle name="60% - Accent1 43" xfId="42453" xr:uid="{00000000-0005-0000-0000-000033090000}"/>
    <cellStyle name="60% - Accent1 5" xfId="718" xr:uid="{00000000-0005-0000-0000-000034090000}"/>
    <cellStyle name="60% - Accent1 5 10" xfId="719" xr:uid="{00000000-0005-0000-0000-000035090000}"/>
    <cellStyle name="60% - Accent1 5 11" xfId="720" xr:uid="{00000000-0005-0000-0000-000036090000}"/>
    <cellStyle name="60% - Accent1 5 2" xfId="721" xr:uid="{00000000-0005-0000-0000-000037090000}"/>
    <cellStyle name="60% - Accent1 5 3" xfId="722" xr:uid="{00000000-0005-0000-0000-000038090000}"/>
    <cellStyle name="60% - Accent1 5 4" xfId="723" xr:uid="{00000000-0005-0000-0000-000039090000}"/>
    <cellStyle name="60% - Accent1 5 5" xfId="724" xr:uid="{00000000-0005-0000-0000-00003A090000}"/>
    <cellStyle name="60% - Accent1 5 6" xfId="725" xr:uid="{00000000-0005-0000-0000-00003B090000}"/>
    <cellStyle name="60% - Accent1 5 7" xfId="726" xr:uid="{00000000-0005-0000-0000-00003C090000}"/>
    <cellStyle name="60% - Accent1 5 8" xfId="727" xr:uid="{00000000-0005-0000-0000-00003D090000}"/>
    <cellStyle name="60% - Accent1 5 9" xfId="728" xr:uid="{00000000-0005-0000-0000-00003E090000}"/>
    <cellStyle name="60% - Accent1 6" xfId="729" xr:uid="{00000000-0005-0000-0000-00003F090000}"/>
    <cellStyle name="60% - Accent1 6 10" xfId="730" xr:uid="{00000000-0005-0000-0000-000040090000}"/>
    <cellStyle name="60% - Accent1 6 11" xfId="731" xr:uid="{00000000-0005-0000-0000-000041090000}"/>
    <cellStyle name="60% - Accent1 6 2" xfId="732" xr:uid="{00000000-0005-0000-0000-000042090000}"/>
    <cellStyle name="60% - Accent1 6 3" xfId="733" xr:uid="{00000000-0005-0000-0000-000043090000}"/>
    <cellStyle name="60% - Accent1 6 4" xfId="734" xr:uid="{00000000-0005-0000-0000-000044090000}"/>
    <cellStyle name="60% - Accent1 6 5" xfId="735" xr:uid="{00000000-0005-0000-0000-000045090000}"/>
    <cellStyle name="60% - Accent1 6 6" xfId="736" xr:uid="{00000000-0005-0000-0000-000046090000}"/>
    <cellStyle name="60% - Accent1 6 7" xfId="737" xr:uid="{00000000-0005-0000-0000-000047090000}"/>
    <cellStyle name="60% - Accent1 6 8" xfId="738" xr:uid="{00000000-0005-0000-0000-000048090000}"/>
    <cellStyle name="60% - Accent1 6 9" xfId="739" xr:uid="{00000000-0005-0000-0000-000049090000}"/>
    <cellStyle name="60% - Accent1 7" xfId="740" xr:uid="{00000000-0005-0000-0000-00004A090000}"/>
    <cellStyle name="60% - Accent1 8" xfId="741" xr:uid="{00000000-0005-0000-0000-00004B090000}"/>
    <cellStyle name="60% - Accent1 9" xfId="3175" xr:uid="{00000000-0005-0000-0000-00004C090000}"/>
    <cellStyle name="60% - Accent2 10" xfId="3176" xr:uid="{00000000-0005-0000-0000-00004D090000}"/>
    <cellStyle name="60% - Accent2 11" xfId="42456" xr:uid="{00000000-0005-0000-0000-00004E090000}"/>
    <cellStyle name="60% - Accent2 12" xfId="42457" xr:uid="{00000000-0005-0000-0000-00004F090000}"/>
    <cellStyle name="60% - Accent2 13" xfId="42458" xr:uid="{00000000-0005-0000-0000-000050090000}"/>
    <cellStyle name="60% - Accent2 14" xfId="42459" xr:uid="{00000000-0005-0000-0000-000051090000}"/>
    <cellStyle name="60% - Accent2 15" xfId="42460" xr:uid="{00000000-0005-0000-0000-000052090000}"/>
    <cellStyle name="60% - Accent2 16" xfId="42461" xr:uid="{00000000-0005-0000-0000-000053090000}"/>
    <cellStyle name="60% - Accent2 17" xfId="42462" xr:uid="{00000000-0005-0000-0000-000054090000}"/>
    <cellStyle name="60% - Accent2 18" xfId="42463" xr:uid="{00000000-0005-0000-0000-000055090000}"/>
    <cellStyle name="60% - Accent2 19" xfId="42464" xr:uid="{00000000-0005-0000-0000-000056090000}"/>
    <cellStyle name="60% - Accent2 2" xfId="742" xr:uid="{00000000-0005-0000-0000-000057090000}"/>
    <cellStyle name="60% - Accent2 2 10" xfId="743" xr:uid="{00000000-0005-0000-0000-000058090000}"/>
    <cellStyle name="60% - Accent2 2 10 2" xfId="7780" xr:uid="{00000000-0005-0000-0000-000059090000}"/>
    <cellStyle name="60% - Accent2 2 11" xfId="744" xr:uid="{00000000-0005-0000-0000-00005A090000}"/>
    <cellStyle name="60% - Accent2 2 2" xfId="745" xr:uid="{00000000-0005-0000-0000-00005B090000}"/>
    <cellStyle name="60% - Accent2 2 2 2" xfId="7781" xr:uid="{00000000-0005-0000-0000-00005C090000}"/>
    <cellStyle name="60% - Accent2 2 3" xfId="746" xr:uid="{00000000-0005-0000-0000-00005D090000}"/>
    <cellStyle name="60% - Accent2 2 3 2" xfId="7782" xr:uid="{00000000-0005-0000-0000-00005E090000}"/>
    <cellStyle name="60% - Accent2 2 4" xfId="747" xr:uid="{00000000-0005-0000-0000-00005F090000}"/>
    <cellStyle name="60% - Accent2 2 4 2" xfId="7783" xr:uid="{00000000-0005-0000-0000-000060090000}"/>
    <cellStyle name="60% - Accent2 2 5" xfId="748" xr:uid="{00000000-0005-0000-0000-000061090000}"/>
    <cellStyle name="60% - Accent2 2 5 2" xfId="7784" xr:uid="{00000000-0005-0000-0000-000062090000}"/>
    <cellStyle name="60% - Accent2 2 6" xfId="749" xr:uid="{00000000-0005-0000-0000-000063090000}"/>
    <cellStyle name="60% - Accent2 2 6 2" xfId="7785" xr:uid="{00000000-0005-0000-0000-000064090000}"/>
    <cellStyle name="60% - Accent2 2 7" xfId="750" xr:uid="{00000000-0005-0000-0000-000065090000}"/>
    <cellStyle name="60% - Accent2 2 7 2" xfId="7786" xr:uid="{00000000-0005-0000-0000-000066090000}"/>
    <cellStyle name="60% - Accent2 2 8" xfId="751" xr:uid="{00000000-0005-0000-0000-000067090000}"/>
    <cellStyle name="60% - Accent2 2 8 2" xfId="7787" xr:uid="{00000000-0005-0000-0000-000068090000}"/>
    <cellStyle name="60% - Accent2 2 9" xfId="752" xr:uid="{00000000-0005-0000-0000-000069090000}"/>
    <cellStyle name="60% - Accent2 2 9 2" xfId="7788" xr:uid="{00000000-0005-0000-0000-00006A090000}"/>
    <cellStyle name="60% - Accent2 20" xfId="42465" xr:uid="{00000000-0005-0000-0000-00006B090000}"/>
    <cellStyle name="60% - Accent2 21" xfId="42466" xr:uid="{00000000-0005-0000-0000-00006C090000}"/>
    <cellStyle name="60% - Accent2 22" xfId="42467" xr:uid="{00000000-0005-0000-0000-00006D090000}"/>
    <cellStyle name="60% - Accent2 23" xfId="42468" xr:uid="{00000000-0005-0000-0000-00006E090000}"/>
    <cellStyle name="60% - Accent2 24" xfId="42469" xr:uid="{00000000-0005-0000-0000-00006F090000}"/>
    <cellStyle name="60% - Accent2 25" xfId="42470" xr:uid="{00000000-0005-0000-0000-000070090000}"/>
    <cellStyle name="60% - Accent2 26" xfId="42471" xr:uid="{00000000-0005-0000-0000-000071090000}"/>
    <cellStyle name="60% - Accent2 27" xfId="42472" xr:uid="{00000000-0005-0000-0000-000072090000}"/>
    <cellStyle name="60% - Accent2 28" xfId="42473" xr:uid="{00000000-0005-0000-0000-000073090000}"/>
    <cellStyle name="60% - Accent2 29" xfId="42474" xr:uid="{00000000-0005-0000-0000-000074090000}"/>
    <cellStyle name="60% - Accent2 3" xfId="753" xr:uid="{00000000-0005-0000-0000-000075090000}"/>
    <cellStyle name="60% - Accent2 3 10" xfId="754" xr:uid="{00000000-0005-0000-0000-000076090000}"/>
    <cellStyle name="60% - Accent2 3 11" xfId="755" xr:uid="{00000000-0005-0000-0000-000077090000}"/>
    <cellStyle name="60% - Accent2 3 12" xfId="7789" xr:uid="{00000000-0005-0000-0000-000078090000}"/>
    <cellStyle name="60% - Accent2 3 2" xfId="756" xr:uid="{00000000-0005-0000-0000-000079090000}"/>
    <cellStyle name="60% - Accent2 3 2 2" xfId="42475" xr:uid="{00000000-0005-0000-0000-00007A090000}"/>
    <cellStyle name="60% - Accent2 3 3" xfId="757" xr:uid="{00000000-0005-0000-0000-00007B090000}"/>
    <cellStyle name="60% - Accent2 3 4" xfId="758" xr:uid="{00000000-0005-0000-0000-00007C090000}"/>
    <cellStyle name="60% - Accent2 3 5" xfId="759" xr:uid="{00000000-0005-0000-0000-00007D090000}"/>
    <cellStyle name="60% - Accent2 3 6" xfId="760" xr:uid="{00000000-0005-0000-0000-00007E090000}"/>
    <cellStyle name="60% - Accent2 3 7" xfId="761" xr:uid="{00000000-0005-0000-0000-00007F090000}"/>
    <cellStyle name="60% - Accent2 3 8" xfId="762" xr:uid="{00000000-0005-0000-0000-000080090000}"/>
    <cellStyle name="60% - Accent2 3 9" xfId="763" xr:uid="{00000000-0005-0000-0000-000081090000}"/>
    <cellStyle name="60% - Accent2 30" xfId="42476" xr:uid="{00000000-0005-0000-0000-000082090000}"/>
    <cellStyle name="60% - Accent2 31" xfId="42477" xr:uid="{00000000-0005-0000-0000-000083090000}"/>
    <cellStyle name="60% - Accent2 32" xfId="42478" xr:uid="{00000000-0005-0000-0000-000084090000}"/>
    <cellStyle name="60% - Accent2 33" xfId="42479" xr:uid="{00000000-0005-0000-0000-000085090000}"/>
    <cellStyle name="60% - Accent2 34" xfId="42480" xr:uid="{00000000-0005-0000-0000-000086090000}"/>
    <cellStyle name="60% - Accent2 35" xfId="42481" xr:uid="{00000000-0005-0000-0000-000087090000}"/>
    <cellStyle name="60% - Accent2 36" xfId="42482" xr:uid="{00000000-0005-0000-0000-000088090000}"/>
    <cellStyle name="60% - Accent2 37" xfId="42483" xr:uid="{00000000-0005-0000-0000-000089090000}"/>
    <cellStyle name="60% - Accent2 38" xfId="42484" xr:uid="{00000000-0005-0000-0000-00008A090000}"/>
    <cellStyle name="60% - Accent2 39" xfId="42485" xr:uid="{00000000-0005-0000-0000-00008B090000}"/>
    <cellStyle name="60% - Accent2 4" xfId="764" xr:uid="{00000000-0005-0000-0000-00008C090000}"/>
    <cellStyle name="60% - Accent2 4 10" xfId="765" xr:uid="{00000000-0005-0000-0000-00008D090000}"/>
    <cellStyle name="60% - Accent2 4 11" xfId="766" xr:uid="{00000000-0005-0000-0000-00008E090000}"/>
    <cellStyle name="60% - Accent2 4 2" xfId="767" xr:uid="{00000000-0005-0000-0000-00008F090000}"/>
    <cellStyle name="60% - Accent2 4 3" xfId="768" xr:uid="{00000000-0005-0000-0000-000090090000}"/>
    <cellStyle name="60% - Accent2 4 4" xfId="769" xr:uid="{00000000-0005-0000-0000-000091090000}"/>
    <cellStyle name="60% - Accent2 4 5" xfId="770" xr:uid="{00000000-0005-0000-0000-000092090000}"/>
    <cellStyle name="60% - Accent2 4 6" xfId="771" xr:uid="{00000000-0005-0000-0000-000093090000}"/>
    <cellStyle name="60% - Accent2 4 7" xfId="772" xr:uid="{00000000-0005-0000-0000-000094090000}"/>
    <cellStyle name="60% - Accent2 4 8" xfId="773" xr:uid="{00000000-0005-0000-0000-000095090000}"/>
    <cellStyle name="60% - Accent2 4 9" xfId="774" xr:uid="{00000000-0005-0000-0000-000096090000}"/>
    <cellStyle name="60% - Accent2 40" xfId="42486" xr:uid="{00000000-0005-0000-0000-000097090000}"/>
    <cellStyle name="60% - Accent2 41" xfId="42487" xr:uid="{00000000-0005-0000-0000-000098090000}"/>
    <cellStyle name="60% - Accent2 42" xfId="42488" xr:uid="{00000000-0005-0000-0000-000099090000}"/>
    <cellStyle name="60% - Accent2 43" xfId="42489" xr:uid="{00000000-0005-0000-0000-00009A090000}"/>
    <cellStyle name="60% - Accent2 5" xfId="775" xr:uid="{00000000-0005-0000-0000-00009B090000}"/>
    <cellStyle name="60% - Accent2 5 10" xfId="776" xr:uid="{00000000-0005-0000-0000-00009C090000}"/>
    <cellStyle name="60% - Accent2 5 11" xfId="777" xr:uid="{00000000-0005-0000-0000-00009D090000}"/>
    <cellStyle name="60% - Accent2 5 2" xfId="778" xr:uid="{00000000-0005-0000-0000-00009E090000}"/>
    <cellStyle name="60% - Accent2 5 3" xfId="779" xr:uid="{00000000-0005-0000-0000-00009F090000}"/>
    <cellStyle name="60% - Accent2 5 4" xfId="780" xr:uid="{00000000-0005-0000-0000-0000A0090000}"/>
    <cellStyle name="60% - Accent2 5 5" xfId="781" xr:uid="{00000000-0005-0000-0000-0000A1090000}"/>
    <cellStyle name="60% - Accent2 5 6" xfId="782" xr:uid="{00000000-0005-0000-0000-0000A2090000}"/>
    <cellStyle name="60% - Accent2 5 7" xfId="783" xr:uid="{00000000-0005-0000-0000-0000A3090000}"/>
    <cellStyle name="60% - Accent2 5 8" xfId="784" xr:uid="{00000000-0005-0000-0000-0000A4090000}"/>
    <cellStyle name="60% - Accent2 5 9" xfId="785" xr:uid="{00000000-0005-0000-0000-0000A5090000}"/>
    <cellStyle name="60% - Accent2 6" xfId="786" xr:uid="{00000000-0005-0000-0000-0000A6090000}"/>
    <cellStyle name="60% - Accent2 6 10" xfId="787" xr:uid="{00000000-0005-0000-0000-0000A7090000}"/>
    <cellStyle name="60% - Accent2 6 11" xfId="788" xr:uid="{00000000-0005-0000-0000-0000A8090000}"/>
    <cellStyle name="60% - Accent2 6 2" xfId="789" xr:uid="{00000000-0005-0000-0000-0000A9090000}"/>
    <cellStyle name="60% - Accent2 6 3" xfId="790" xr:uid="{00000000-0005-0000-0000-0000AA090000}"/>
    <cellStyle name="60% - Accent2 6 4" xfId="791" xr:uid="{00000000-0005-0000-0000-0000AB090000}"/>
    <cellStyle name="60% - Accent2 6 5" xfId="792" xr:uid="{00000000-0005-0000-0000-0000AC090000}"/>
    <cellStyle name="60% - Accent2 6 6" xfId="793" xr:uid="{00000000-0005-0000-0000-0000AD090000}"/>
    <cellStyle name="60% - Accent2 6 7" xfId="794" xr:uid="{00000000-0005-0000-0000-0000AE090000}"/>
    <cellStyle name="60% - Accent2 6 8" xfId="795" xr:uid="{00000000-0005-0000-0000-0000AF090000}"/>
    <cellStyle name="60% - Accent2 6 9" xfId="796" xr:uid="{00000000-0005-0000-0000-0000B0090000}"/>
    <cellStyle name="60% - Accent2 7" xfId="797" xr:uid="{00000000-0005-0000-0000-0000B1090000}"/>
    <cellStyle name="60% - Accent2 8" xfId="798" xr:uid="{00000000-0005-0000-0000-0000B2090000}"/>
    <cellStyle name="60% - Accent2 9" xfId="3177" xr:uid="{00000000-0005-0000-0000-0000B3090000}"/>
    <cellStyle name="60% - Accent3 10" xfId="3178" xr:uid="{00000000-0005-0000-0000-0000B4090000}"/>
    <cellStyle name="60% - Accent3 11" xfId="9568" xr:uid="{00000000-0005-0000-0000-0000B5090000}"/>
    <cellStyle name="60% - Accent3 11 2" xfId="42490" xr:uid="{00000000-0005-0000-0000-0000B6090000}"/>
    <cellStyle name="60% - Accent3 12" xfId="42491" xr:uid="{00000000-0005-0000-0000-0000B7090000}"/>
    <cellStyle name="60% - Accent3 13" xfId="42492" xr:uid="{00000000-0005-0000-0000-0000B8090000}"/>
    <cellStyle name="60% - Accent3 14" xfId="42493" xr:uid="{00000000-0005-0000-0000-0000B9090000}"/>
    <cellStyle name="60% - Accent3 15" xfId="42494" xr:uid="{00000000-0005-0000-0000-0000BA090000}"/>
    <cellStyle name="60% - Accent3 16" xfId="42495" xr:uid="{00000000-0005-0000-0000-0000BB090000}"/>
    <cellStyle name="60% - Accent3 17" xfId="42496" xr:uid="{00000000-0005-0000-0000-0000BC090000}"/>
    <cellStyle name="60% - Accent3 18" xfId="42497" xr:uid="{00000000-0005-0000-0000-0000BD090000}"/>
    <cellStyle name="60% - Accent3 19" xfId="42498" xr:uid="{00000000-0005-0000-0000-0000BE090000}"/>
    <cellStyle name="60% - Accent3 2" xfId="799" xr:uid="{00000000-0005-0000-0000-0000BF090000}"/>
    <cellStyle name="60% - Accent3 2 10" xfId="800" xr:uid="{00000000-0005-0000-0000-0000C0090000}"/>
    <cellStyle name="60% - Accent3 2 10 2" xfId="7790" xr:uid="{00000000-0005-0000-0000-0000C1090000}"/>
    <cellStyle name="60% - Accent3 2 11" xfId="801" xr:uid="{00000000-0005-0000-0000-0000C2090000}"/>
    <cellStyle name="60% - Accent3 2 2" xfId="802" xr:uid="{00000000-0005-0000-0000-0000C3090000}"/>
    <cellStyle name="60% - Accent3 2 2 2" xfId="7791" xr:uid="{00000000-0005-0000-0000-0000C4090000}"/>
    <cellStyle name="60% - Accent3 2 3" xfId="803" xr:uid="{00000000-0005-0000-0000-0000C5090000}"/>
    <cellStyle name="60% - Accent3 2 3 2" xfId="7792" xr:uid="{00000000-0005-0000-0000-0000C6090000}"/>
    <cellStyle name="60% - Accent3 2 4" xfId="804" xr:uid="{00000000-0005-0000-0000-0000C7090000}"/>
    <cellStyle name="60% - Accent3 2 4 2" xfId="7793" xr:uid="{00000000-0005-0000-0000-0000C8090000}"/>
    <cellStyle name="60% - Accent3 2 5" xfId="805" xr:uid="{00000000-0005-0000-0000-0000C9090000}"/>
    <cellStyle name="60% - Accent3 2 5 2" xfId="7794" xr:uid="{00000000-0005-0000-0000-0000CA090000}"/>
    <cellStyle name="60% - Accent3 2 6" xfId="806" xr:uid="{00000000-0005-0000-0000-0000CB090000}"/>
    <cellStyle name="60% - Accent3 2 6 2" xfId="7795" xr:uid="{00000000-0005-0000-0000-0000CC090000}"/>
    <cellStyle name="60% - Accent3 2 7" xfId="807" xr:uid="{00000000-0005-0000-0000-0000CD090000}"/>
    <cellStyle name="60% - Accent3 2 7 2" xfId="7796" xr:uid="{00000000-0005-0000-0000-0000CE090000}"/>
    <cellStyle name="60% - Accent3 2 8" xfId="808" xr:uid="{00000000-0005-0000-0000-0000CF090000}"/>
    <cellStyle name="60% - Accent3 2 8 2" xfId="7797" xr:uid="{00000000-0005-0000-0000-0000D0090000}"/>
    <cellStyle name="60% - Accent3 2 9" xfId="809" xr:uid="{00000000-0005-0000-0000-0000D1090000}"/>
    <cellStyle name="60% - Accent3 2 9 2" xfId="7798" xr:uid="{00000000-0005-0000-0000-0000D2090000}"/>
    <cellStyle name="60% - Accent3 20" xfId="42499" xr:uid="{00000000-0005-0000-0000-0000D3090000}"/>
    <cellStyle name="60% - Accent3 21" xfId="42500" xr:uid="{00000000-0005-0000-0000-0000D4090000}"/>
    <cellStyle name="60% - Accent3 22" xfId="42501" xr:uid="{00000000-0005-0000-0000-0000D5090000}"/>
    <cellStyle name="60% - Accent3 23" xfId="42502" xr:uid="{00000000-0005-0000-0000-0000D6090000}"/>
    <cellStyle name="60% - Accent3 24" xfId="42503" xr:uid="{00000000-0005-0000-0000-0000D7090000}"/>
    <cellStyle name="60% - Accent3 25" xfId="42504" xr:uid="{00000000-0005-0000-0000-0000D8090000}"/>
    <cellStyle name="60% - Accent3 26" xfId="42505" xr:uid="{00000000-0005-0000-0000-0000D9090000}"/>
    <cellStyle name="60% - Accent3 27" xfId="42506" xr:uid="{00000000-0005-0000-0000-0000DA090000}"/>
    <cellStyle name="60% - Accent3 28" xfId="42507" xr:uid="{00000000-0005-0000-0000-0000DB090000}"/>
    <cellStyle name="60% - Accent3 29" xfId="42508" xr:uid="{00000000-0005-0000-0000-0000DC090000}"/>
    <cellStyle name="60% - Accent3 3" xfId="810" xr:uid="{00000000-0005-0000-0000-0000DD090000}"/>
    <cellStyle name="60% - Accent3 3 10" xfId="811" xr:uid="{00000000-0005-0000-0000-0000DE090000}"/>
    <cellStyle name="60% - Accent3 3 11" xfId="812" xr:uid="{00000000-0005-0000-0000-0000DF090000}"/>
    <cellStyle name="60% - Accent3 3 12" xfId="7799" xr:uid="{00000000-0005-0000-0000-0000E0090000}"/>
    <cellStyle name="60% - Accent3 3 2" xfId="813" xr:uid="{00000000-0005-0000-0000-0000E1090000}"/>
    <cellStyle name="60% - Accent3 3 2 2" xfId="42509" xr:uid="{00000000-0005-0000-0000-0000E2090000}"/>
    <cellStyle name="60% - Accent3 3 3" xfId="814" xr:uid="{00000000-0005-0000-0000-0000E3090000}"/>
    <cellStyle name="60% - Accent3 3 4" xfId="815" xr:uid="{00000000-0005-0000-0000-0000E4090000}"/>
    <cellStyle name="60% - Accent3 3 5" xfId="816" xr:uid="{00000000-0005-0000-0000-0000E5090000}"/>
    <cellStyle name="60% - Accent3 3 6" xfId="817" xr:uid="{00000000-0005-0000-0000-0000E6090000}"/>
    <cellStyle name="60% - Accent3 3 7" xfId="818" xr:uid="{00000000-0005-0000-0000-0000E7090000}"/>
    <cellStyle name="60% - Accent3 3 8" xfId="819" xr:uid="{00000000-0005-0000-0000-0000E8090000}"/>
    <cellStyle name="60% - Accent3 3 9" xfId="820" xr:uid="{00000000-0005-0000-0000-0000E9090000}"/>
    <cellStyle name="60% - Accent3 30" xfId="42510" xr:uid="{00000000-0005-0000-0000-0000EA090000}"/>
    <cellStyle name="60% - Accent3 31" xfId="42511" xr:uid="{00000000-0005-0000-0000-0000EB090000}"/>
    <cellStyle name="60% - Accent3 32" xfId="42512" xr:uid="{00000000-0005-0000-0000-0000EC090000}"/>
    <cellStyle name="60% - Accent3 33" xfId="42513" xr:uid="{00000000-0005-0000-0000-0000ED090000}"/>
    <cellStyle name="60% - Accent3 34" xfId="42514" xr:uid="{00000000-0005-0000-0000-0000EE090000}"/>
    <cellStyle name="60% - Accent3 35" xfId="42515" xr:uid="{00000000-0005-0000-0000-0000EF090000}"/>
    <cellStyle name="60% - Accent3 36" xfId="42516" xr:uid="{00000000-0005-0000-0000-0000F0090000}"/>
    <cellStyle name="60% - Accent3 37" xfId="42517" xr:uid="{00000000-0005-0000-0000-0000F1090000}"/>
    <cellStyle name="60% - Accent3 38" xfId="42518" xr:uid="{00000000-0005-0000-0000-0000F2090000}"/>
    <cellStyle name="60% - Accent3 39" xfId="42519" xr:uid="{00000000-0005-0000-0000-0000F3090000}"/>
    <cellStyle name="60% - Accent3 4" xfId="821" xr:uid="{00000000-0005-0000-0000-0000F4090000}"/>
    <cellStyle name="60% - Accent3 4 10" xfId="822" xr:uid="{00000000-0005-0000-0000-0000F5090000}"/>
    <cellStyle name="60% - Accent3 4 11" xfId="823" xr:uid="{00000000-0005-0000-0000-0000F6090000}"/>
    <cellStyle name="60% - Accent3 4 2" xfId="824" xr:uid="{00000000-0005-0000-0000-0000F7090000}"/>
    <cellStyle name="60% - Accent3 4 3" xfId="825" xr:uid="{00000000-0005-0000-0000-0000F8090000}"/>
    <cellStyle name="60% - Accent3 4 4" xfId="826" xr:uid="{00000000-0005-0000-0000-0000F9090000}"/>
    <cellStyle name="60% - Accent3 4 5" xfId="827" xr:uid="{00000000-0005-0000-0000-0000FA090000}"/>
    <cellStyle name="60% - Accent3 4 6" xfId="828" xr:uid="{00000000-0005-0000-0000-0000FB090000}"/>
    <cellStyle name="60% - Accent3 4 7" xfId="829" xr:uid="{00000000-0005-0000-0000-0000FC090000}"/>
    <cellStyle name="60% - Accent3 4 8" xfId="830" xr:uid="{00000000-0005-0000-0000-0000FD090000}"/>
    <cellStyle name="60% - Accent3 4 9" xfId="831" xr:uid="{00000000-0005-0000-0000-0000FE090000}"/>
    <cellStyle name="60% - Accent3 40" xfId="42520" xr:uid="{00000000-0005-0000-0000-0000FF090000}"/>
    <cellStyle name="60% - Accent3 41" xfId="42521" xr:uid="{00000000-0005-0000-0000-0000000A0000}"/>
    <cellStyle name="60% - Accent3 42" xfId="42522" xr:uid="{00000000-0005-0000-0000-0000010A0000}"/>
    <cellStyle name="60% - Accent3 43" xfId="42523" xr:uid="{00000000-0005-0000-0000-0000020A0000}"/>
    <cellStyle name="60% - Accent3 5" xfId="832" xr:uid="{00000000-0005-0000-0000-0000030A0000}"/>
    <cellStyle name="60% - Accent3 5 10" xfId="833" xr:uid="{00000000-0005-0000-0000-0000040A0000}"/>
    <cellStyle name="60% - Accent3 5 11" xfId="834" xr:uid="{00000000-0005-0000-0000-0000050A0000}"/>
    <cellStyle name="60% - Accent3 5 2" xfId="835" xr:uid="{00000000-0005-0000-0000-0000060A0000}"/>
    <cellStyle name="60% - Accent3 5 3" xfId="836" xr:uid="{00000000-0005-0000-0000-0000070A0000}"/>
    <cellStyle name="60% - Accent3 5 4" xfId="837" xr:uid="{00000000-0005-0000-0000-0000080A0000}"/>
    <cellStyle name="60% - Accent3 5 5" xfId="838" xr:uid="{00000000-0005-0000-0000-0000090A0000}"/>
    <cellStyle name="60% - Accent3 5 6" xfId="839" xr:uid="{00000000-0005-0000-0000-00000A0A0000}"/>
    <cellStyle name="60% - Accent3 5 7" xfId="840" xr:uid="{00000000-0005-0000-0000-00000B0A0000}"/>
    <cellStyle name="60% - Accent3 5 8" xfId="841" xr:uid="{00000000-0005-0000-0000-00000C0A0000}"/>
    <cellStyle name="60% - Accent3 5 9" xfId="842" xr:uid="{00000000-0005-0000-0000-00000D0A0000}"/>
    <cellStyle name="60% - Accent3 6" xfId="843" xr:uid="{00000000-0005-0000-0000-00000E0A0000}"/>
    <cellStyle name="60% - Accent3 6 10" xfId="844" xr:uid="{00000000-0005-0000-0000-00000F0A0000}"/>
    <cellStyle name="60% - Accent3 6 11" xfId="845" xr:uid="{00000000-0005-0000-0000-0000100A0000}"/>
    <cellStyle name="60% - Accent3 6 2" xfId="846" xr:uid="{00000000-0005-0000-0000-0000110A0000}"/>
    <cellStyle name="60% - Accent3 6 3" xfId="847" xr:uid="{00000000-0005-0000-0000-0000120A0000}"/>
    <cellStyle name="60% - Accent3 6 4" xfId="848" xr:uid="{00000000-0005-0000-0000-0000130A0000}"/>
    <cellStyle name="60% - Accent3 6 5" xfId="849" xr:uid="{00000000-0005-0000-0000-0000140A0000}"/>
    <cellStyle name="60% - Accent3 6 6" xfId="850" xr:uid="{00000000-0005-0000-0000-0000150A0000}"/>
    <cellStyle name="60% - Accent3 6 7" xfId="851" xr:uid="{00000000-0005-0000-0000-0000160A0000}"/>
    <cellStyle name="60% - Accent3 6 8" xfId="852" xr:uid="{00000000-0005-0000-0000-0000170A0000}"/>
    <cellStyle name="60% - Accent3 6 9" xfId="853" xr:uid="{00000000-0005-0000-0000-0000180A0000}"/>
    <cellStyle name="60% - Accent3 7" xfId="854" xr:uid="{00000000-0005-0000-0000-0000190A0000}"/>
    <cellStyle name="60% - Accent3 8" xfId="855" xr:uid="{00000000-0005-0000-0000-00001A0A0000}"/>
    <cellStyle name="60% - Accent3 9" xfId="3179" xr:uid="{00000000-0005-0000-0000-00001B0A0000}"/>
    <cellStyle name="60% - Accent4 10" xfId="3180" xr:uid="{00000000-0005-0000-0000-00001C0A0000}"/>
    <cellStyle name="60% - Accent4 11" xfId="42524" xr:uid="{00000000-0005-0000-0000-00001D0A0000}"/>
    <cellStyle name="60% - Accent4 12" xfId="42525" xr:uid="{00000000-0005-0000-0000-00001E0A0000}"/>
    <cellStyle name="60% - Accent4 13" xfId="42526" xr:uid="{00000000-0005-0000-0000-00001F0A0000}"/>
    <cellStyle name="60% - Accent4 14" xfId="42527" xr:uid="{00000000-0005-0000-0000-0000200A0000}"/>
    <cellStyle name="60% - Accent4 15" xfId="42528" xr:uid="{00000000-0005-0000-0000-0000210A0000}"/>
    <cellStyle name="60% - Accent4 16" xfId="42529" xr:uid="{00000000-0005-0000-0000-0000220A0000}"/>
    <cellStyle name="60% - Accent4 17" xfId="42530" xr:uid="{00000000-0005-0000-0000-0000230A0000}"/>
    <cellStyle name="60% - Accent4 18" xfId="42531" xr:uid="{00000000-0005-0000-0000-0000240A0000}"/>
    <cellStyle name="60% - Accent4 19" xfId="42532" xr:uid="{00000000-0005-0000-0000-0000250A0000}"/>
    <cellStyle name="60% - Accent4 2" xfId="856" xr:uid="{00000000-0005-0000-0000-0000260A0000}"/>
    <cellStyle name="60% - Accent4 2 10" xfId="857" xr:uid="{00000000-0005-0000-0000-0000270A0000}"/>
    <cellStyle name="60% - Accent4 2 10 2" xfId="7800" xr:uid="{00000000-0005-0000-0000-0000280A0000}"/>
    <cellStyle name="60% - Accent4 2 11" xfId="858" xr:uid="{00000000-0005-0000-0000-0000290A0000}"/>
    <cellStyle name="60% - Accent4 2 2" xfId="859" xr:uid="{00000000-0005-0000-0000-00002A0A0000}"/>
    <cellStyle name="60% - Accent4 2 2 2" xfId="7801" xr:uid="{00000000-0005-0000-0000-00002B0A0000}"/>
    <cellStyle name="60% - Accent4 2 3" xfId="860" xr:uid="{00000000-0005-0000-0000-00002C0A0000}"/>
    <cellStyle name="60% - Accent4 2 3 2" xfId="7802" xr:uid="{00000000-0005-0000-0000-00002D0A0000}"/>
    <cellStyle name="60% - Accent4 2 4" xfId="861" xr:uid="{00000000-0005-0000-0000-00002E0A0000}"/>
    <cellStyle name="60% - Accent4 2 4 2" xfId="7803" xr:uid="{00000000-0005-0000-0000-00002F0A0000}"/>
    <cellStyle name="60% - Accent4 2 5" xfId="862" xr:uid="{00000000-0005-0000-0000-0000300A0000}"/>
    <cellStyle name="60% - Accent4 2 5 2" xfId="7804" xr:uid="{00000000-0005-0000-0000-0000310A0000}"/>
    <cellStyle name="60% - Accent4 2 6" xfId="863" xr:uid="{00000000-0005-0000-0000-0000320A0000}"/>
    <cellStyle name="60% - Accent4 2 6 2" xfId="7805" xr:uid="{00000000-0005-0000-0000-0000330A0000}"/>
    <cellStyle name="60% - Accent4 2 7" xfId="864" xr:uid="{00000000-0005-0000-0000-0000340A0000}"/>
    <cellStyle name="60% - Accent4 2 7 2" xfId="7806" xr:uid="{00000000-0005-0000-0000-0000350A0000}"/>
    <cellStyle name="60% - Accent4 2 8" xfId="865" xr:uid="{00000000-0005-0000-0000-0000360A0000}"/>
    <cellStyle name="60% - Accent4 2 8 2" xfId="7807" xr:uid="{00000000-0005-0000-0000-0000370A0000}"/>
    <cellStyle name="60% - Accent4 2 9" xfId="866" xr:uid="{00000000-0005-0000-0000-0000380A0000}"/>
    <cellStyle name="60% - Accent4 2 9 2" xfId="7808" xr:uid="{00000000-0005-0000-0000-0000390A0000}"/>
    <cellStyle name="60% - Accent4 20" xfId="42533" xr:uid="{00000000-0005-0000-0000-00003A0A0000}"/>
    <cellStyle name="60% - Accent4 21" xfId="42534" xr:uid="{00000000-0005-0000-0000-00003B0A0000}"/>
    <cellStyle name="60% - Accent4 22" xfId="42535" xr:uid="{00000000-0005-0000-0000-00003C0A0000}"/>
    <cellStyle name="60% - Accent4 23" xfId="42536" xr:uid="{00000000-0005-0000-0000-00003D0A0000}"/>
    <cellStyle name="60% - Accent4 24" xfId="42537" xr:uid="{00000000-0005-0000-0000-00003E0A0000}"/>
    <cellStyle name="60% - Accent4 25" xfId="42538" xr:uid="{00000000-0005-0000-0000-00003F0A0000}"/>
    <cellStyle name="60% - Accent4 26" xfId="42539" xr:uid="{00000000-0005-0000-0000-0000400A0000}"/>
    <cellStyle name="60% - Accent4 27" xfId="42540" xr:uid="{00000000-0005-0000-0000-0000410A0000}"/>
    <cellStyle name="60% - Accent4 28" xfId="42541" xr:uid="{00000000-0005-0000-0000-0000420A0000}"/>
    <cellStyle name="60% - Accent4 29" xfId="42542" xr:uid="{00000000-0005-0000-0000-0000430A0000}"/>
    <cellStyle name="60% - Accent4 3" xfId="867" xr:uid="{00000000-0005-0000-0000-0000440A0000}"/>
    <cellStyle name="60% - Accent4 3 10" xfId="868" xr:uid="{00000000-0005-0000-0000-0000450A0000}"/>
    <cellStyle name="60% - Accent4 3 11" xfId="869" xr:uid="{00000000-0005-0000-0000-0000460A0000}"/>
    <cellStyle name="60% - Accent4 3 12" xfId="7809" xr:uid="{00000000-0005-0000-0000-0000470A0000}"/>
    <cellStyle name="60% - Accent4 3 2" xfId="870" xr:uid="{00000000-0005-0000-0000-0000480A0000}"/>
    <cellStyle name="60% - Accent4 3 2 2" xfId="42543" xr:uid="{00000000-0005-0000-0000-0000490A0000}"/>
    <cellStyle name="60% - Accent4 3 3" xfId="871" xr:uid="{00000000-0005-0000-0000-00004A0A0000}"/>
    <cellStyle name="60% - Accent4 3 4" xfId="872" xr:uid="{00000000-0005-0000-0000-00004B0A0000}"/>
    <cellStyle name="60% - Accent4 3 5" xfId="873" xr:uid="{00000000-0005-0000-0000-00004C0A0000}"/>
    <cellStyle name="60% - Accent4 3 6" xfId="874" xr:uid="{00000000-0005-0000-0000-00004D0A0000}"/>
    <cellStyle name="60% - Accent4 3 7" xfId="875" xr:uid="{00000000-0005-0000-0000-00004E0A0000}"/>
    <cellStyle name="60% - Accent4 3 8" xfId="876" xr:uid="{00000000-0005-0000-0000-00004F0A0000}"/>
    <cellStyle name="60% - Accent4 3 9" xfId="877" xr:uid="{00000000-0005-0000-0000-0000500A0000}"/>
    <cellStyle name="60% - Accent4 30" xfId="42544" xr:uid="{00000000-0005-0000-0000-0000510A0000}"/>
    <cellStyle name="60% - Accent4 31" xfId="42545" xr:uid="{00000000-0005-0000-0000-0000520A0000}"/>
    <cellStyle name="60% - Accent4 32" xfId="42546" xr:uid="{00000000-0005-0000-0000-0000530A0000}"/>
    <cellStyle name="60% - Accent4 33" xfId="42547" xr:uid="{00000000-0005-0000-0000-0000540A0000}"/>
    <cellStyle name="60% - Accent4 34" xfId="42548" xr:uid="{00000000-0005-0000-0000-0000550A0000}"/>
    <cellStyle name="60% - Accent4 35" xfId="42549" xr:uid="{00000000-0005-0000-0000-0000560A0000}"/>
    <cellStyle name="60% - Accent4 36" xfId="42550" xr:uid="{00000000-0005-0000-0000-0000570A0000}"/>
    <cellStyle name="60% - Accent4 37" xfId="42551" xr:uid="{00000000-0005-0000-0000-0000580A0000}"/>
    <cellStyle name="60% - Accent4 38" xfId="42552" xr:uid="{00000000-0005-0000-0000-0000590A0000}"/>
    <cellStyle name="60% - Accent4 39" xfId="42553" xr:uid="{00000000-0005-0000-0000-00005A0A0000}"/>
    <cellStyle name="60% - Accent4 4" xfId="878" xr:uid="{00000000-0005-0000-0000-00005B0A0000}"/>
    <cellStyle name="60% - Accent4 4 10" xfId="879" xr:uid="{00000000-0005-0000-0000-00005C0A0000}"/>
    <cellStyle name="60% - Accent4 4 11" xfId="880" xr:uid="{00000000-0005-0000-0000-00005D0A0000}"/>
    <cellStyle name="60% - Accent4 4 2" xfId="881" xr:uid="{00000000-0005-0000-0000-00005E0A0000}"/>
    <cellStyle name="60% - Accent4 4 3" xfId="882" xr:uid="{00000000-0005-0000-0000-00005F0A0000}"/>
    <cellStyle name="60% - Accent4 4 4" xfId="883" xr:uid="{00000000-0005-0000-0000-0000600A0000}"/>
    <cellStyle name="60% - Accent4 4 5" xfId="884" xr:uid="{00000000-0005-0000-0000-0000610A0000}"/>
    <cellStyle name="60% - Accent4 4 6" xfId="885" xr:uid="{00000000-0005-0000-0000-0000620A0000}"/>
    <cellStyle name="60% - Accent4 4 7" xfId="886" xr:uid="{00000000-0005-0000-0000-0000630A0000}"/>
    <cellStyle name="60% - Accent4 4 8" xfId="887" xr:uid="{00000000-0005-0000-0000-0000640A0000}"/>
    <cellStyle name="60% - Accent4 4 9" xfId="888" xr:uid="{00000000-0005-0000-0000-0000650A0000}"/>
    <cellStyle name="60% - Accent4 40" xfId="42554" xr:uid="{00000000-0005-0000-0000-0000660A0000}"/>
    <cellStyle name="60% - Accent4 41" xfId="42555" xr:uid="{00000000-0005-0000-0000-0000670A0000}"/>
    <cellStyle name="60% - Accent4 42" xfId="42556" xr:uid="{00000000-0005-0000-0000-0000680A0000}"/>
    <cellStyle name="60% - Accent4 43" xfId="42557" xr:uid="{00000000-0005-0000-0000-0000690A0000}"/>
    <cellStyle name="60% - Accent4 5" xfId="889" xr:uid="{00000000-0005-0000-0000-00006A0A0000}"/>
    <cellStyle name="60% - Accent4 5 10" xfId="890" xr:uid="{00000000-0005-0000-0000-00006B0A0000}"/>
    <cellStyle name="60% - Accent4 5 11" xfId="891" xr:uid="{00000000-0005-0000-0000-00006C0A0000}"/>
    <cellStyle name="60% - Accent4 5 2" xfId="892" xr:uid="{00000000-0005-0000-0000-00006D0A0000}"/>
    <cellStyle name="60% - Accent4 5 3" xfId="893" xr:uid="{00000000-0005-0000-0000-00006E0A0000}"/>
    <cellStyle name="60% - Accent4 5 4" xfId="894" xr:uid="{00000000-0005-0000-0000-00006F0A0000}"/>
    <cellStyle name="60% - Accent4 5 5" xfId="895" xr:uid="{00000000-0005-0000-0000-0000700A0000}"/>
    <cellStyle name="60% - Accent4 5 6" xfId="896" xr:uid="{00000000-0005-0000-0000-0000710A0000}"/>
    <cellStyle name="60% - Accent4 5 7" xfId="897" xr:uid="{00000000-0005-0000-0000-0000720A0000}"/>
    <cellStyle name="60% - Accent4 5 8" xfId="898" xr:uid="{00000000-0005-0000-0000-0000730A0000}"/>
    <cellStyle name="60% - Accent4 5 9" xfId="899" xr:uid="{00000000-0005-0000-0000-0000740A0000}"/>
    <cellStyle name="60% - Accent4 6" xfId="900" xr:uid="{00000000-0005-0000-0000-0000750A0000}"/>
    <cellStyle name="60% - Accent4 6 10" xfId="901" xr:uid="{00000000-0005-0000-0000-0000760A0000}"/>
    <cellStyle name="60% - Accent4 6 11" xfId="902" xr:uid="{00000000-0005-0000-0000-0000770A0000}"/>
    <cellStyle name="60% - Accent4 6 2" xfId="903" xr:uid="{00000000-0005-0000-0000-0000780A0000}"/>
    <cellStyle name="60% - Accent4 6 3" xfId="904" xr:uid="{00000000-0005-0000-0000-0000790A0000}"/>
    <cellStyle name="60% - Accent4 6 4" xfId="905" xr:uid="{00000000-0005-0000-0000-00007A0A0000}"/>
    <cellStyle name="60% - Accent4 6 5" xfId="906" xr:uid="{00000000-0005-0000-0000-00007B0A0000}"/>
    <cellStyle name="60% - Accent4 6 6" xfId="907" xr:uid="{00000000-0005-0000-0000-00007C0A0000}"/>
    <cellStyle name="60% - Accent4 6 7" xfId="908" xr:uid="{00000000-0005-0000-0000-00007D0A0000}"/>
    <cellStyle name="60% - Accent4 6 8" xfId="909" xr:uid="{00000000-0005-0000-0000-00007E0A0000}"/>
    <cellStyle name="60% - Accent4 6 9" xfId="910" xr:uid="{00000000-0005-0000-0000-00007F0A0000}"/>
    <cellStyle name="60% - Accent4 7" xfId="911" xr:uid="{00000000-0005-0000-0000-0000800A0000}"/>
    <cellStyle name="60% - Accent4 8" xfId="912" xr:uid="{00000000-0005-0000-0000-0000810A0000}"/>
    <cellStyle name="60% - Accent4 9" xfId="3181" xr:uid="{00000000-0005-0000-0000-0000820A0000}"/>
    <cellStyle name="60% - Accent5 10" xfId="3182" xr:uid="{00000000-0005-0000-0000-0000830A0000}"/>
    <cellStyle name="60% - Accent5 11" xfId="42558" xr:uid="{00000000-0005-0000-0000-0000840A0000}"/>
    <cellStyle name="60% - Accent5 12" xfId="42559" xr:uid="{00000000-0005-0000-0000-0000850A0000}"/>
    <cellStyle name="60% - Accent5 13" xfId="42560" xr:uid="{00000000-0005-0000-0000-0000860A0000}"/>
    <cellStyle name="60% - Accent5 14" xfId="42561" xr:uid="{00000000-0005-0000-0000-0000870A0000}"/>
    <cellStyle name="60% - Accent5 15" xfId="42562" xr:uid="{00000000-0005-0000-0000-0000880A0000}"/>
    <cellStyle name="60% - Accent5 16" xfId="42563" xr:uid="{00000000-0005-0000-0000-0000890A0000}"/>
    <cellStyle name="60% - Accent5 17" xfId="42564" xr:uid="{00000000-0005-0000-0000-00008A0A0000}"/>
    <cellStyle name="60% - Accent5 18" xfId="42565" xr:uid="{00000000-0005-0000-0000-00008B0A0000}"/>
    <cellStyle name="60% - Accent5 19" xfId="42566" xr:uid="{00000000-0005-0000-0000-00008C0A0000}"/>
    <cellStyle name="60% - Accent5 2" xfId="913" xr:uid="{00000000-0005-0000-0000-00008D0A0000}"/>
    <cellStyle name="60% - Accent5 2 10" xfId="914" xr:uid="{00000000-0005-0000-0000-00008E0A0000}"/>
    <cellStyle name="60% - Accent5 2 10 2" xfId="7810" xr:uid="{00000000-0005-0000-0000-00008F0A0000}"/>
    <cellStyle name="60% - Accent5 2 11" xfId="915" xr:uid="{00000000-0005-0000-0000-0000900A0000}"/>
    <cellStyle name="60% - Accent5 2 2" xfId="916" xr:uid="{00000000-0005-0000-0000-0000910A0000}"/>
    <cellStyle name="60% - Accent5 2 2 2" xfId="7811" xr:uid="{00000000-0005-0000-0000-0000920A0000}"/>
    <cellStyle name="60% - Accent5 2 3" xfId="917" xr:uid="{00000000-0005-0000-0000-0000930A0000}"/>
    <cellStyle name="60% - Accent5 2 3 2" xfId="7812" xr:uid="{00000000-0005-0000-0000-0000940A0000}"/>
    <cellStyle name="60% - Accent5 2 4" xfId="918" xr:uid="{00000000-0005-0000-0000-0000950A0000}"/>
    <cellStyle name="60% - Accent5 2 4 2" xfId="7813" xr:uid="{00000000-0005-0000-0000-0000960A0000}"/>
    <cellStyle name="60% - Accent5 2 5" xfId="919" xr:uid="{00000000-0005-0000-0000-0000970A0000}"/>
    <cellStyle name="60% - Accent5 2 5 2" xfId="7814" xr:uid="{00000000-0005-0000-0000-0000980A0000}"/>
    <cellStyle name="60% - Accent5 2 6" xfId="920" xr:uid="{00000000-0005-0000-0000-0000990A0000}"/>
    <cellStyle name="60% - Accent5 2 6 2" xfId="7815" xr:uid="{00000000-0005-0000-0000-00009A0A0000}"/>
    <cellStyle name="60% - Accent5 2 7" xfId="921" xr:uid="{00000000-0005-0000-0000-00009B0A0000}"/>
    <cellStyle name="60% - Accent5 2 7 2" xfId="7816" xr:uid="{00000000-0005-0000-0000-00009C0A0000}"/>
    <cellStyle name="60% - Accent5 2 8" xfId="922" xr:uid="{00000000-0005-0000-0000-00009D0A0000}"/>
    <cellStyle name="60% - Accent5 2 8 2" xfId="7817" xr:uid="{00000000-0005-0000-0000-00009E0A0000}"/>
    <cellStyle name="60% - Accent5 2 9" xfId="923" xr:uid="{00000000-0005-0000-0000-00009F0A0000}"/>
    <cellStyle name="60% - Accent5 2 9 2" xfId="7818" xr:uid="{00000000-0005-0000-0000-0000A00A0000}"/>
    <cellStyle name="60% - Accent5 20" xfId="42567" xr:uid="{00000000-0005-0000-0000-0000A10A0000}"/>
    <cellStyle name="60% - Accent5 21" xfId="42568" xr:uid="{00000000-0005-0000-0000-0000A20A0000}"/>
    <cellStyle name="60% - Accent5 22" xfId="42569" xr:uid="{00000000-0005-0000-0000-0000A30A0000}"/>
    <cellStyle name="60% - Accent5 23" xfId="42570" xr:uid="{00000000-0005-0000-0000-0000A40A0000}"/>
    <cellStyle name="60% - Accent5 24" xfId="42571" xr:uid="{00000000-0005-0000-0000-0000A50A0000}"/>
    <cellStyle name="60% - Accent5 25" xfId="42572" xr:uid="{00000000-0005-0000-0000-0000A60A0000}"/>
    <cellStyle name="60% - Accent5 26" xfId="42573" xr:uid="{00000000-0005-0000-0000-0000A70A0000}"/>
    <cellStyle name="60% - Accent5 27" xfId="42574" xr:uid="{00000000-0005-0000-0000-0000A80A0000}"/>
    <cellStyle name="60% - Accent5 28" xfId="42575" xr:uid="{00000000-0005-0000-0000-0000A90A0000}"/>
    <cellStyle name="60% - Accent5 29" xfId="42576" xr:uid="{00000000-0005-0000-0000-0000AA0A0000}"/>
    <cellStyle name="60% - Accent5 3" xfId="924" xr:uid="{00000000-0005-0000-0000-0000AB0A0000}"/>
    <cellStyle name="60% - Accent5 3 10" xfId="925" xr:uid="{00000000-0005-0000-0000-0000AC0A0000}"/>
    <cellStyle name="60% - Accent5 3 11" xfId="926" xr:uid="{00000000-0005-0000-0000-0000AD0A0000}"/>
    <cellStyle name="60% - Accent5 3 12" xfId="7819" xr:uid="{00000000-0005-0000-0000-0000AE0A0000}"/>
    <cellStyle name="60% - Accent5 3 2" xfId="927" xr:uid="{00000000-0005-0000-0000-0000AF0A0000}"/>
    <cellStyle name="60% - Accent5 3 2 2" xfId="42577" xr:uid="{00000000-0005-0000-0000-0000B00A0000}"/>
    <cellStyle name="60% - Accent5 3 3" xfId="928" xr:uid="{00000000-0005-0000-0000-0000B10A0000}"/>
    <cellStyle name="60% - Accent5 3 4" xfId="929" xr:uid="{00000000-0005-0000-0000-0000B20A0000}"/>
    <cellStyle name="60% - Accent5 3 5" xfId="930" xr:uid="{00000000-0005-0000-0000-0000B30A0000}"/>
    <cellStyle name="60% - Accent5 3 6" xfId="931" xr:uid="{00000000-0005-0000-0000-0000B40A0000}"/>
    <cellStyle name="60% - Accent5 3 7" xfId="932" xr:uid="{00000000-0005-0000-0000-0000B50A0000}"/>
    <cellStyle name="60% - Accent5 3 8" xfId="933" xr:uid="{00000000-0005-0000-0000-0000B60A0000}"/>
    <cellStyle name="60% - Accent5 3 9" xfId="934" xr:uid="{00000000-0005-0000-0000-0000B70A0000}"/>
    <cellStyle name="60% - Accent5 30" xfId="42578" xr:uid="{00000000-0005-0000-0000-0000B80A0000}"/>
    <cellStyle name="60% - Accent5 31" xfId="42579" xr:uid="{00000000-0005-0000-0000-0000B90A0000}"/>
    <cellStyle name="60% - Accent5 32" xfId="42580" xr:uid="{00000000-0005-0000-0000-0000BA0A0000}"/>
    <cellStyle name="60% - Accent5 33" xfId="42581" xr:uid="{00000000-0005-0000-0000-0000BB0A0000}"/>
    <cellStyle name="60% - Accent5 34" xfId="42582" xr:uid="{00000000-0005-0000-0000-0000BC0A0000}"/>
    <cellStyle name="60% - Accent5 35" xfId="42583" xr:uid="{00000000-0005-0000-0000-0000BD0A0000}"/>
    <cellStyle name="60% - Accent5 36" xfId="42584" xr:uid="{00000000-0005-0000-0000-0000BE0A0000}"/>
    <cellStyle name="60% - Accent5 37" xfId="42585" xr:uid="{00000000-0005-0000-0000-0000BF0A0000}"/>
    <cellStyle name="60% - Accent5 38" xfId="42586" xr:uid="{00000000-0005-0000-0000-0000C00A0000}"/>
    <cellStyle name="60% - Accent5 39" xfId="42587" xr:uid="{00000000-0005-0000-0000-0000C10A0000}"/>
    <cellStyle name="60% - Accent5 4" xfId="935" xr:uid="{00000000-0005-0000-0000-0000C20A0000}"/>
    <cellStyle name="60% - Accent5 4 10" xfId="936" xr:uid="{00000000-0005-0000-0000-0000C30A0000}"/>
    <cellStyle name="60% - Accent5 4 11" xfId="937" xr:uid="{00000000-0005-0000-0000-0000C40A0000}"/>
    <cellStyle name="60% - Accent5 4 2" xfId="938" xr:uid="{00000000-0005-0000-0000-0000C50A0000}"/>
    <cellStyle name="60% - Accent5 4 3" xfId="939" xr:uid="{00000000-0005-0000-0000-0000C60A0000}"/>
    <cellStyle name="60% - Accent5 4 4" xfId="940" xr:uid="{00000000-0005-0000-0000-0000C70A0000}"/>
    <cellStyle name="60% - Accent5 4 5" xfId="941" xr:uid="{00000000-0005-0000-0000-0000C80A0000}"/>
    <cellStyle name="60% - Accent5 4 6" xfId="942" xr:uid="{00000000-0005-0000-0000-0000C90A0000}"/>
    <cellStyle name="60% - Accent5 4 7" xfId="943" xr:uid="{00000000-0005-0000-0000-0000CA0A0000}"/>
    <cellStyle name="60% - Accent5 4 8" xfId="944" xr:uid="{00000000-0005-0000-0000-0000CB0A0000}"/>
    <cellStyle name="60% - Accent5 4 9" xfId="945" xr:uid="{00000000-0005-0000-0000-0000CC0A0000}"/>
    <cellStyle name="60% - Accent5 40" xfId="42588" xr:uid="{00000000-0005-0000-0000-0000CD0A0000}"/>
    <cellStyle name="60% - Accent5 41" xfId="42589" xr:uid="{00000000-0005-0000-0000-0000CE0A0000}"/>
    <cellStyle name="60% - Accent5 42" xfId="42590" xr:uid="{00000000-0005-0000-0000-0000CF0A0000}"/>
    <cellStyle name="60% - Accent5 43" xfId="42591" xr:uid="{00000000-0005-0000-0000-0000D00A0000}"/>
    <cellStyle name="60% - Accent5 5" xfId="946" xr:uid="{00000000-0005-0000-0000-0000D10A0000}"/>
    <cellStyle name="60% - Accent5 5 10" xfId="947" xr:uid="{00000000-0005-0000-0000-0000D20A0000}"/>
    <cellStyle name="60% - Accent5 5 11" xfId="948" xr:uid="{00000000-0005-0000-0000-0000D30A0000}"/>
    <cellStyle name="60% - Accent5 5 2" xfId="949" xr:uid="{00000000-0005-0000-0000-0000D40A0000}"/>
    <cellStyle name="60% - Accent5 5 3" xfId="950" xr:uid="{00000000-0005-0000-0000-0000D50A0000}"/>
    <cellStyle name="60% - Accent5 5 4" xfId="951" xr:uid="{00000000-0005-0000-0000-0000D60A0000}"/>
    <cellStyle name="60% - Accent5 5 5" xfId="952" xr:uid="{00000000-0005-0000-0000-0000D70A0000}"/>
    <cellStyle name="60% - Accent5 5 6" xfId="953" xr:uid="{00000000-0005-0000-0000-0000D80A0000}"/>
    <cellStyle name="60% - Accent5 5 7" xfId="954" xr:uid="{00000000-0005-0000-0000-0000D90A0000}"/>
    <cellStyle name="60% - Accent5 5 8" xfId="955" xr:uid="{00000000-0005-0000-0000-0000DA0A0000}"/>
    <cellStyle name="60% - Accent5 5 9" xfId="956" xr:uid="{00000000-0005-0000-0000-0000DB0A0000}"/>
    <cellStyle name="60% - Accent5 6" xfId="957" xr:uid="{00000000-0005-0000-0000-0000DC0A0000}"/>
    <cellStyle name="60% - Accent5 6 10" xfId="958" xr:uid="{00000000-0005-0000-0000-0000DD0A0000}"/>
    <cellStyle name="60% - Accent5 6 11" xfId="959" xr:uid="{00000000-0005-0000-0000-0000DE0A0000}"/>
    <cellStyle name="60% - Accent5 6 2" xfId="960" xr:uid="{00000000-0005-0000-0000-0000DF0A0000}"/>
    <cellStyle name="60% - Accent5 6 3" xfId="961" xr:uid="{00000000-0005-0000-0000-0000E00A0000}"/>
    <cellStyle name="60% - Accent5 6 4" xfId="962" xr:uid="{00000000-0005-0000-0000-0000E10A0000}"/>
    <cellStyle name="60% - Accent5 6 5" xfId="963" xr:uid="{00000000-0005-0000-0000-0000E20A0000}"/>
    <cellStyle name="60% - Accent5 6 6" xfId="964" xr:uid="{00000000-0005-0000-0000-0000E30A0000}"/>
    <cellStyle name="60% - Accent5 6 7" xfId="965" xr:uid="{00000000-0005-0000-0000-0000E40A0000}"/>
    <cellStyle name="60% - Accent5 6 8" xfId="966" xr:uid="{00000000-0005-0000-0000-0000E50A0000}"/>
    <cellStyle name="60% - Accent5 6 9" xfId="967" xr:uid="{00000000-0005-0000-0000-0000E60A0000}"/>
    <cellStyle name="60% - Accent5 7" xfId="968" xr:uid="{00000000-0005-0000-0000-0000E70A0000}"/>
    <cellStyle name="60% - Accent5 8" xfId="969" xr:uid="{00000000-0005-0000-0000-0000E80A0000}"/>
    <cellStyle name="60% - Accent5 9" xfId="3183" xr:uid="{00000000-0005-0000-0000-0000E90A0000}"/>
    <cellStyle name="60% - Accent6 10" xfId="3184" xr:uid="{00000000-0005-0000-0000-0000EA0A0000}"/>
    <cellStyle name="60% - Accent6 11" xfId="42592" xr:uid="{00000000-0005-0000-0000-0000EB0A0000}"/>
    <cellStyle name="60% - Accent6 12" xfId="42593" xr:uid="{00000000-0005-0000-0000-0000EC0A0000}"/>
    <cellStyle name="60% - Accent6 13" xfId="42594" xr:uid="{00000000-0005-0000-0000-0000ED0A0000}"/>
    <cellStyle name="60% - Accent6 14" xfId="42595" xr:uid="{00000000-0005-0000-0000-0000EE0A0000}"/>
    <cellStyle name="60% - Accent6 15" xfId="42596" xr:uid="{00000000-0005-0000-0000-0000EF0A0000}"/>
    <cellStyle name="60% - Accent6 16" xfId="42597" xr:uid="{00000000-0005-0000-0000-0000F00A0000}"/>
    <cellStyle name="60% - Accent6 17" xfId="42598" xr:uid="{00000000-0005-0000-0000-0000F10A0000}"/>
    <cellStyle name="60% - Accent6 18" xfId="42599" xr:uid="{00000000-0005-0000-0000-0000F20A0000}"/>
    <cellStyle name="60% - Accent6 19" xfId="42600" xr:uid="{00000000-0005-0000-0000-0000F30A0000}"/>
    <cellStyle name="60% - Accent6 2" xfId="970" xr:uid="{00000000-0005-0000-0000-0000F40A0000}"/>
    <cellStyle name="60% - Accent6 2 10" xfId="971" xr:uid="{00000000-0005-0000-0000-0000F50A0000}"/>
    <cellStyle name="60% - Accent6 2 10 2" xfId="7820" xr:uid="{00000000-0005-0000-0000-0000F60A0000}"/>
    <cellStyle name="60% - Accent6 2 11" xfId="972" xr:uid="{00000000-0005-0000-0000-0000F70A0000}"/>
    <cellStyle name="60% - Accent6 2 2" xfId="973" xr:uid="{00000000-0005-0000-0000-0000F80A0000}"/>
    <cellStyle name="60% - Accent6 2 2 2" xfId="7821" xr:uid="{00000000-0005-0000-0000-0000F90A0000}"/>
    <cellStyle name="60% - Accent6 2 3" xfId="974" xr:uid="{00000000-0005-0000-0000-0000FA0A0000}"/>
    <cellStyle name="60% - Accent6 2 3 2" xfId="7822" xr:uid="{00000000-0005-0000-0000-0000FB0A0000}"/>
    <cellStyle name="60% - Accent6 2 4" xfId="975" xr:uid="{00000000-0005-0000-0000-0000FC0A0000}"/>
    <cellStyle name="60% - Accent6 2 4 2" xfId="7823" xr:uid="{00000000-0005-0000-0000-0000FD0A0000}"/>
    <cellStyle name="60% - Accent6 2 5" xfId="976" xr:uid="{00000000-0005-0000-0000-0000FE0A0000}"/>
    <cellStyle name="60% - Accent6 2 5 2" xfId="7824" xr:uid="{00000000-0005-0000-0000-0000FF0A0000}"/>
    <cellStyle name="60% - Accent6 2 6" xfId="977" xr:uid="{00000000-0005-0000-0000-0000000B0000}"/>
    <cellStyle name="60% - Accent6 2 6 2" xfId="7825" xr:uid="{00000000-0005-0000-0000-0000010B0000}"/>
    <cellStyle name="60% - Accent6 2 7" xfId="978" xr:uid="{00000000-0005-0000-0000-0000020B0000}"/>
    <cellStyle name="60% - Accent6 2 7 2" xfId="7826" xr:uid="{00000000-0005-0000-0000-0000030B0000}"/>
    <cellStyle name="60% - Accent6 2 8" xfId="979" xr:uid="{00000000-0005-0000-0000-0000040B0000}"/>
    <cellStyle name="60% - Accent6 2 8 2" xfId="7827" xr:uid="{00000000-0005-0000-0000-0000050B0000}"/>
    <cellStyle name="60% - Accent6 2 9" xfId="980" xr:uid="{00000000-0005-0000-0000-0000060B0000}"/>
    <cellStyle name="60% - Accent6 2 9 2" xfId="7828" xr:uid="{00000000-0005-0000-0000-0000070B0000}"/>
    <cellStyle name="60% - Accent6 20" xfId="42601" xr:uid="{00000000-0005-0000-0000-0000080B0000}"/>
    <cellStyle name="60% - Accent6 21" xfId="42602" xr:uid="{00000000-0005-0000-0000-0000090B0000}"/>
    <cellStyle name="60% - Accent6 22" xfId="42603" xr:uid="{00000000-0005-0000-0000-00000A0B0000}"/>
    <cellStyle name="60% - Accent6 23" xfId="42604" xr:uid="{00000000-0005-0000-0000-00000B0B0000}"/>
    <cellStyle name="60% - Accent6 24" xfId="42605" xr:uid="{00000000-0005-0000-0000-00000C0B0000}"/>
    <cellStyle name="60% - Accent6 25" xfId="42606" xr:uid="{00000000-0005-0000-0000-00000D0B0000}"/>
    <cellStyle name="60% - Accent6 26" xfId="42607" xr:uid="{00000000-0005-0000-0000-00000E0B0000}"/>
    <cellStyle name="60% - Accent6 27" xfId="42608" xr:uid="{00000000-0005-0000-0000-00000F0B0000}"/>
    <cellStyle name="60% - Accent6 28" xfId="42609" xr:uid="{00000000-0005-0000-0000-0000100B0000}"/>
    <cellStyle name="60% - Accent6 29" xfId="42610" xr:uid="{00000000-0005-0000-0000-0000110B0000}"/>
    <cellStyle name="60% - Accent6 3" xfId="981" xr:uid="{00000000-0005-0000-0000-0000120B0000}"/>
    <cellStyle name="60% - Accent6 3 10" xfId="982" xr:uid="{00000000-0005-0000-0000-0000130B0000}"/>
    <cellStyle name="60% - Accent6 3 11" xfId="983" xr:uid="{00000000-0005-0000-0000-0000140B0000}"/>
    <cellStyle name="60% - Accent6 3 12" xfId="7829" xr:uid="{00000000-0005-0000-0000-0000150B0000}"/>
    <cellStyle name="60% - Accent6 3 2" xfId="984" xr:uid="{00000000-0005-0000-0000-0000160B0000}"/>
    <cellStyle name="60% - Accent6 3 2 2" xfId="42611" xr:uid="{00000000-0005-0000-0000-0000170B0000}"/>
    <cellStyle name="60% - Accent6 3 3" xfId="985" xr:uid="{00000000-0005-0000-0000-0000180B0000}"/>
    <cellStyle name="60% - Accent6 3 4" xfId="986" xr:uid="{00000000-0005-0000-0000-0000190B0000}"/>
    <cellStyle name="60% - Accent6 3 5" xfId="987" xr:uid="{00000000-0005-0000-0000-00001A0B0000}"/>
    <cellStyle name="60% - Accent6 3 6" xfId="988" xr:uid="{00000000-0005-0000-0000-00001B0B0000}"/>
    <cellStyle name="60% - Accent6 3 7" xfId="989" xr:uid="{00000000-0005-0000-0000-00001C0B0000}"/>
    <cellStyle name="60% - Accent6 3 8" xfId="990" xr:uid="{00000000-0005-0000-0000-00001D0B0000}"/>
    <cellStyle name="60% - Accent6 3 9" xfId="991" xr:uid="{00000000-0005-0000-0000-00001E0B0000}"/>
    <cellStyle name="60% - Accent6 30" xfId="42612" xr:uid="{00000000-0005-0000-0000-00001F0B0000}"/>
    <cellStyle name="60% - Accent6 31" xfId="42613" xr:uid="{00000000-0005-0000-0000-0000200B0000}"/>
    <cellStyle name="60% - Accent6 32" xfId="42614" xr:uid="{00000000-0005-0000-0000-0000210B0000}"/>
    <cellStyle name="60% - Accent6 33" xfId="42615" xr:uid="{00000000-0005-0000-0000-0000220B0000}"/>
    <cellStyle name="60% - Accent6 34" xfId="42616" xr:uid="{00000000-0005-0000-0000-0000230B0000}"/>
    <cellStyle name="60% - Accent6 35" xfId="42617" xr:uid="{00000000-0005-0000-0000-0000240B0000}"/>
    <cellStyle name="60% - Accent6 36" xfId="42618" xr:uid="{00000000-0005-0000-0000-0000250B0000}"/>
    <cellStyle name="60% - Accent6 37" xfId="42619" xr:uid="{00000000-0005-0000-0000-0000260B0000}"/>
    <cellStyle name="60% - Accent6 38" xfId="42620" xr:uid="{00000000-0005-0000-0000-0000270B0000}"/>
    <cellStyle name="60% - Accent6 39" xfId="42621" xr:uid="{00000000-0005-0000-0000-0000280B0000}"/>
    <cellStyle name="60% - Accent6 4" xfId="992" xr:uid="{00000000-0005-0000-0000-0000290B0000}"/>
    <cellStyle name="60% - Accent6 4 10" xfId="993" xr:uid="{00000000-0005-0000-0000-00002A0B0000}"/>
    <cellStyle name="60% - Accent6 4 11" xfId="994" xr:uid="{00000000-0005-0000-0000-00002B0B0000}"/>
    <cellStyle name="60% - Accent6 4 2" xfId="995" xr:uid="{00000000-0005-0000-0000-00002C0B0000}"/>
    <cellStyle name="60% - Accent6 4 3" xfId="996" xr:uid="{00000000-0005-0000-0000-00002D0B0000}"/>
    <cellStyle name="60% - Accent6 4 4" xfId="997" xr:uid="{00000000-0005-0000-0000-00002E0B0000}"/>
    <cellStyle name="60% - Accent6 4 5" xfId="998" xr:uid="{00000000-0005-0000-0000-00002F0B0000}"/>
    <cellStyle name="60% - Accent6 4 6" xfId="999" xr:uid="{00000000-0005-0000-0000-0000300B0000}"/>
    <cellStyle name="60% - Accent6 4 7" xfId="1000" xr:uid="{00000000-0005-0000-0000-0000310B0000}"/>
    <cellStyle name="60% - Accent6 4 8" xfId="1001" xr:uid="{00000000-0005-0000-0000-0000320B0000}"/>
    <cellStyle name="60% - Accent6 4 9" xfId="1002" xr:uid="{00000000-0005-0000-0000-0000330B0000}"/>
    <cellStyle name="60% - Accent6 40" xfId="42622" xr:uid="{00000000-0005-0000-0000-0000340B0000}"/>
    <cellStyle name="60% - Accent6 41" xfId="42623" xr:uid="{00000000-0005-0000-0000-0000350B0000}"/>
    <cellStyle name="60% - Accent6 42" xfId="42624" xr:uid="{00000000-0005-0000-0000-0000360B0000}"/>
    <cellStyle name="60% - Accent6 43" xfId="42625" xr:uid="{00000000-0005-0000-0000-0000370B0000}"/>
    <cellStyle name="60% - Accent6 5" xfId="1003" xr:uid="{00000000-0005-0000-0000-0000380B0000}"/>
    <cellStyle name="60% - Accent6 5 10" xfId="1004" xr:uid="{00000000-0005-0000-0000-0000390B0000}"/>
    <cellStyle name="60% - Accent6 5 11" xfId="1005" xr:uid="{00000000-0005-0000-0000-00003A0B0000}"/>
    <cellStyle name="60% - Accent6 5 2" xfId="1006" xr:uid="{00000000-0005-0000-0000-00003B0B0000}"/>
    <cellStyle name="60% - Accent6 5 3" xfId="1007" xr:uid="{00000000-0005-0000-0000-00003C0B0000}"/>
    <cellStyle name="60% - Accent6 5 4" xfId="1008" xr:uid="{00000000-0005-0000-0000-00003D0B0000}"/>
    <cellStyle name="60% - Accent6 5 5" xfId="1009" xr:uid="{00000000-0005-0000-0000-00003E0B0000}"/>
    <cellStyle name="60% - Accent6 5 6" xfId="1010" xr:uid="{00000000-0005-0000-0000-00003F0B0000}"/>
    <cellStyle name="60% - Accent6 5 7" xfId="1011" xr:uid="{00000000-0005-0000-0000-0000400B0000}"/>
    <cellStyle name="60% - Accent6 5 8" xfId="1012" xr:uid="{00000000-0005-0000-0000-0000410B0000}"/>
    <cellStyle name="60% - Accent6 5 9" xfId="1013" xr:uid="{00000000-0005-0000-0000-0000420B0000}"/>
    <cellStyle name="60% - Accent6 6" xfId="1014" xr:uid="{00000000-0005-0000-0000-0000430B0000}"/>
    <cellStyle name="60% - Accent6 6 10" xfId="1015" xr:uid="{00000000-0005-0000-0000-0000440B0000}"/>
    <cellStyle name="60% - Accent6 6 11" xfId="1016" xr:uid="{00000000-0005-0000-0000-0000450B0000}"/>
    <cellStyle name="60% - Accent6 6 2" xfId="1017" xr:uid="{00000000-0005-0000-0000-0000460B0000}"/>
    <cellStyle name="60% - Accent6 6 3" xfId="1018" xr:uid="{00000000-0005-0000-0000-0000470B0000}"/>
    <cellStyle name="60% - Accent6 6 4" xfId="1019" xr:uid="{00000000-0005-0000-0000-0000480B0000}"/>
    <cellStyle name="60% - Accent6 6 5" xfId="1020" xr:uid="{00000000-0005-0000-0000-0000490B0000}"/>
    <cellStyle name="60% - Accent6 6 6" xfId="1021" xr:uid="{00000000-0005-0000-0000-00004A0B0000}"/>
    <cellStyle name="60% - Accent6 6 7" xfId="1022" xr:uid="{00000000-0005-0000-0000-00004B0B0000}"/>
    <cellStyle name="60% - Accent6 6 8" xfId="1023" xr:uid="{00000000-0005-0000-0000-00004C0B0000}"/>
    <cellStyle name="60% - Accent6 6 9" xfId="1024" xr:uid="{00000000-0005-0000-0000-00004D0B0000}"/>
    <cellStyle name="60% - Accent6 7" xfId="1025" xr:uid="{00000000-0005-0000-0000-00004E0B0000}"/>
    <cellStyle name="60% - Accent6 8" xfId="1026" xr:uid="{00000000-0005-0000-0000-00004F0B0000}"/>
    <cellStyle name="60% - Accent6 9" xfId="3185" xr:uid="{00000000-0005-0000-0000-0000500B0000}"/>
    <cellStyle name="60% - Akzent1" xfId="10142" xr:uid="{00000000-0005-0000-0000-0000510B0000}"/>
    <cellStyle name="60% - Akzent2" xfId="10143" xr:uid="{00000000-0005-0000-0000-0000520B0000}"/>
    <cellStyle name="60% - Akzent3" xfId="10144" xr:uid="{00000000-0005-0000-0000-0000530B0000}"/>
    <cellStyle name="60% - Akzent4" xfId="10145" xr:uid="{00000000-0005-0000-0000-0000540B0000}"/>
    <cellStyle name="60% - Akzent5" xfId="10146" xr:uid="{00000000-0005-0000-0000-0000550B0000}"/>
    <cellStyle name="60% - Akzent6" xfId="10147" xr:uid="{00000000-0005-0000-0000-0000560B0000}"/>
    <cellStyle name="60% - Colore 1" xfId="9588" xr:uid="{00000000-0005-0000-0000-0000570B0000}"/>
    <cellStyle name="60% - Colore 2" xfId="9589" xr:uid="{00000000-0005-0000-0000-0000580B0000}"/>
    <cellStyle name="60% - Colore 3" xfId="9590" xr:uid="{00000000-0005-0000-0000-0000590B0000}"/>
    <cellStyle name="60% - Colore 4" xfId="9591" xr:uid="{00000000-0005-0000-0000-00005A0B0000}"/>
    <cellStyle name="60% - Colore 5" xfId="9592" xr:uid="{00000000-0005-0000-0000-00005B0B0000}"/>
    <cellStyle name="60% - Colore 6" xfId="9593" xr:uid="{00000000-0005-0000-0000-00005C0B0000}"/>
    <cellStyle name="60% - Cor4 2" xfId="42626" xr:uid="{00000000-0005-0000-0000-00005D0B0000}"/>
    <cellStyle name="a_Calc_Outputs" xfId="43670" xr:uid="{00000000-0005-0000-0000-00005E0B0000}"/>
    <cellStyle name="Accent1" xfId="3057" builtinId="29"/>
    <cellStyle name="Accent1 10" xfId="3186" xr:uid="{00000000-0005-0000-0000-0000600B0000}"/>
    <cellStyle name="Accent1 11" xfId="42627" xr:uid="{00000000-0005-0000-0000-0000610B0000}"/>
    <cellStyle name="Accent1 12" xfId="42628" xr:uid="{00000000-0005-0000-0000-0000620B0000}"/>
    <cellStyle name="Accent1 13" xfId="42629" xr:uid="{00000000-0005-0000-0000-0000630B0000}"/>
    <cellStyle name="Accent1 14" xfId="42630" xr:uid="{00000000-0005-0000-0000-0000640B0000}"/>
    <cellStyle name="Accent1 15" xfId="42631" xr:uid="{00000000-0005-0000-0000-0000650B0000}"/>
    <cellStyle name="Accent1 16" xfId="42632" xr:uid="{00000000-0005-0000-0000-0000660B0000}"/>
    <cellStyle name="Accent1 17" xfId="42633" xr:uid="{00000000-0005-0000-0000-0000670B0000}"/>
    <cellStyle name="Accent1 18" xfId="42634" xr:uid="{00000000-0005-0000-0000-0000680B0000}"/>
    <cellStyle name="Accent1 19" xfId="42635" xr:uid="{00000000-0005-0000-0000-0000690B0000}"/>
    <cellStyle name="Accent1 2" xfId="1027" xr:uid="{00000000-0005-0000-0000-00006A0B0000}"/>
    <cellStyle name="Accent1 2 10" xfId="1028" xr:uid="{00000000-0005-0000-0000-00006B0B0000}"/>
    <cellStyle name="Accent1 2 10 2" xfId="7830" xr:uid="{00000000-0005-0000-0000-00006C0B0000}"/>
    <cellStyle name="Accent1 2 11" xfId="1029" xr:uid="{00000000-0005-0000-0000-00006D0B0000}"/>
    <cellStyle name="Accent1 2 2" xfId="1030" xr:uid="{00000000-0005-0000-0000-00006E0B0000}"/>
    <cellStyle name="Accent1 2 2 2" xfId="7831" xr:uid="{00000000-0005-0000-0000-00006F0B0000}"/>
    <cellStyle name="Accent1 2 3" xfId="1031" xr:uid="{00000000-0005-0000-0000-0000700B0000}"/>
    <cellStyle name="Accent1 2 3 2" xfId="7832" xr:uid="{00000000-0005-0000-0000-0000710B0000}"/>
    <cellStyle name="Accent1 2 4" xfId="1032" xr:uid="{00000000-0005-0000-0000-0000720B0000}"/>
    <cellStyle name="Accent1 2 4 2" xfId="7833" xr:uid="{00000000-0005-0000-0000-0000730B0000}"/>
    <cellStyle name="Accent1 2 5" xfId="1033" xr:uid="{00000000-0005-0000-0000-0000740B0000}"/>
    <cellStyle name="Accent1 2 5 2" xfId="7834" xr:uid="{00000000-0005-0000-0000-0000750B0000}"/>
    <cellStyle name="Accent1 2 6" xfId="1034" xr:uid="{00000000-0005-0000-0000-0000760B0000}"/>
    <cellStyle name="Accent1 2 6 2" xfId="7835" xr:uid="{00000000-0005-0000-0000-0000770B0000}"/>
    <cellStyle name="Accent1 2 7" xfId="1035" xr:uid="{00000000-0005-0000-0000-0000780B0000}"/>
    <cellStyle name="Accent1 2 7 2" xfId="7836" xr:uid="{00000000-0005-0000-0000-0000790B0000}"/>
    <cellStyle name="Accent1 2 8" xfId="1036" xr:uid="{00000000-0005-0000-0000-00007A0B0000}"/>
    <cellStyle name="Accent1 2 8 2" xfId="7837" xr:uid="{00000000-0005-0000-0000-00007B0B0000}"/>
    <cellStyle name="Accent1 2 9" xfId="1037" xr:uid="{00000000-0005-0000-0000-00007C0B0000}"/>
    <cellStyle name="Accent1 2 9 2" xfId="7838" xr:uid="{00000000-0005-0000-0000-00007D0B0000}"/>
    <cellStyle name="Accent1 20" xfId="42636" xr:uid="{00000000-0005-0000-0000-00007E0B0000}"/>
    <cellStyle name="Accent1 21" xfId="42637" xr:uid="{00000000-0005-0000-0000-00007F0B0000}"/>
    <cellStyle name="Accent1 22" xfId="42638" xr:uid="{00000000-0005-0000-0000-0000800B0000}"/>
    <cellStyle name="Accent1 23" xfId="42639" xr:uid="{00000000-0005-0000-0000-0000810B0000}"/>
    <cellStyle name="Accent1 24" xfId="42640" xr:uid="{00000000-0005-0000-0000-0000820B0000}"/>
    <cellStyle name="Accent1 25" xfId="42641" xr:uid="{00000000-0005-0000-0000-0000830B0000}"/>
    <cellStyle name="Accent1 26" xfId="42642" xr:uid="{00000000-0005-0000-0000-0000840B0000}"/>
    <cellStyle name="Accent1 27" xfId="42643" xr:uid="{00000000-0005-0000-0000-0000850B0000}"/>
    <cellStyle name="Accent1 28" xfId="42644" xr:uid="{00000000-0005-0000-0000-0000860B0000}"/>
    <cellStyle name="Accent1 29" xfId="42645" xr:uid="{00000000-0005-0000-0000-0000870B0000}"/>
    <cellStyle name="Accent1 3" xfId="1038" xr:uid="{00000000-0005-0000-0000-0000880B0000}"/>
    <cellStyle name="Accent1 3 10" xfId="1039" xr:uid="{00000000-0005-0000-0000-0000890B0000}"/>
    <cellStyle name="Accent1 3 11" xfId="1040" xr:uid="{00000000-0005-0000-0000-00008A0B0000}"/>
    <cellStyle name="Accent1 3 12" xfId="7839" xr:uid="{00000000-0005-0000-0000-00008B0B0000}"/>
    <cellStyle name="Accent1 3 2" xfId="1041" xr:uid="{00000000-0005-0000-0000-00008C0B0000}"/>
    <cellStyle name="Accent1 3 2 2" xfId="42646" xr:uid="{00000000-0005-0000-0000-00008D0B0000}"/>
    <cellStyle name="Accent1 3 3" xfId="1042" xr:uid="{00000000-0005-0000-0000-00008E0B0000}"/>
    <cellStyle name="Accent1 3 4" xfId="1043" xr:uid="{00000000-0005-0000-0000-00008F0B0000}"/>
    <cellStyle name="Accent1 3 5" xfId="1044" xr:uid="{00000000-0005-0000-0000-0000900B0000}"/>
    <cellStyle name="Accent1 3 6" xfId="1045" xr:uid="{00000000-0005-0000-0000-0000910B0000}"/>
    <cellStyle name="Accent1 3 7" xfId="1046" xr:uid="{00000000-0005-0000-0000-0000920B0000}"/>
    <cellStyle name="Accent1 3 8" xfId="1047" xr:uid="{00000000-0005-0000-0000-0000930B0000}"/>
    <cellStyle name="Accent1 3 9" xfId="1048" xr:uid="{00000000-0005-0000-0000-0000940B0000}"/>
    <cellStyle name="Accent1 30" xfId="42647" xr:uid="{00000000-0005-0000-0000-0000950B0000}"/>
    <cellStyle name="Accent1 31" xfId="42648" xr:uid="{00000000-0005-0000-0000-0000960B0000}"/>
    <cellStyle name="Accent1 32" xfId="42649" xr:uid="{00000000-0005-0000-0000-0000970B0000}"/>
    <cellStyle name="Accent1 33" xfId="42650" xr:uid="{00000000-0005-0000-0000-0000980B0000}"/>
    <cellStyle name="Accent1 34" xfId="42651" xr:uid="{00000000-0005-0000-0000-0000990B0000}"/>
    <cellStyle name="Accent1 35" xfId="42652" xr:uid="{00000000-0005-0000-0000-00009A0B0000}"/>
    <cellStyle name="Accent1 36" xfId="42653" xr:uid="{00000000-0005-0000-0000-00009B0B0000}"/>
    <cellStyle name="Accent1 37" xfId="42654" xr:uid="{00000000-0005-0000-0000-00009C0B0000}"/>
    <cellStyle name="Accent1 38" xfId="42655" xr:uid="{00000000-0005-0000-0000-00009D0B0000}"/>
    <cellStyle name="Accent1 39" xfId="42656" xr:uid="{00000000-0005-0000-0000-00009E0B0000}"/>
    <cellStyle name="Accent1 4" xfId="1049" xr:uid="{00000000-0005-0000-0000-00009F0B0000}"/>
    <cellStyle name="Accent1 4 10" xfId="1050" xr:uid="{00000000-0005-0000-0000-0000A00B0000}"/>
    <cellStyle name="Accent1 4 11" xfId="1051" xr:uid="{00000000-0005-0000-0000-0000A10B0000}"/>
    <cellStyle name="Accent1 4 2" xfId="1052" xr:uid="{00000000-0005-0000-0000-0000A20B0000}"/>
    <cellStyle name="Accent1 4 3" xfId="1053" xr:uid="{00000000-0005-0000-0000-0000A30B0000}"/>
    <cellStyle name="Accent1 4 4" xfId="1054" xr:uid="{00000000-0005-0000-0000-0000A40B0000}"/>
    <cellStyle name="Accent1 4 5" xfId="1055" xr:uid="{00000000-0005-0000-0000-0000A50B0000}"/>
    <cellStyle name="Accent1 4 6" xfId="1056" xr:uid="{00000000-0005-0000-0000-0000A60B0000}"/>
    <cellStyle name="Accent1 4 7" xfId="1057" xr:uid="{00000000-0005-0000-0000-0000A70B0000}"/>
    <cellStyle name="Accent1 4 8" xfId="1058" xr:uid="{00000000-0005-0000-0000-0000A80B0000}"/>
    <cellStyle name="Accent1 4 9" xfId="1059" xr:uid="{00000000-0005-0000-0000-0000A90B0000}"/>
    <cellStyle name="Accent1 40" xfId="42657" xr:uid="{00000000-0005-0000-0000-0000AA0B0000}"/>
    <cellStyle name="Accent1 41" xfId="42658" xr:uid="{00000000-0005-0000-0000-0000AB0B0000}"/>
    <cellStyle name="Accent1 42" xfId="42659" xr:uid="{00000000-0005-0000-0000-0000AC0B0000}"/>
    <cellStyle name="Accent1 43" xfId="42660" xr:uid="{00000000-0005-0000-0000-0000AD0B0000}"/>
    <cellStyle name="Accent1 5" xfId="1060" xr:uid="{00000000-0005-0000-0000-0000AE0B0000}"/>
    <cellStyle name="Accent1 5 10" xfId="1061" xr:uid="{00000000-0005-0000-0000-0000AF0B0000}"/>
    <cellStyle name="Accent1 5 11" xfId="1062" xr:uid="{00000000-0005-0000-0000-0000B00B0000}"/>
    <cellStyle name="Accent1 5 2" xfId="1063" xr:uid="{00000000-0005-0000-0000-0000B10B0000}"/>
    <cellStyle name="Accent1 5 3" xfId="1064" xr:uid="{00000000-0005-0000-0000-0000B20B0000}"/>
    <cellStyle name="Accent1 5 4" xfId="1065" xr:uid="{00000000-0005-0000-0000-0000B30B0000}"/>
    <cellStyle name="Accent1 5 5" xfId="1066" xr:uid="{00000000-0005-0000-0000-0000B40B0000}"/>
    <cellStyle name="Accent1 5 6" xfId="1067" xr:uid="{00000000-0005-0000-0000-0000B50B0000}"/>
    <cellStyle name="Accent1 5 7" xfId="1068" xr:uid="{00000000-0005-0000-0000-0000B60B0000}"/>
    <cellStyle name="Accent1 5 8" xfId="1069" xr:uid="{00000000-0005-0000-0000-0000B70B0000}"/>
    <cellStyle name="Accent1 5 9" xfId="1070" xr:uid="{00000000-0005-0000-0000-0000B80B0000}"/>
    <cellStyle name="Accent1 6" xfId="1071" xr:uid="{00000000-0005-0000-0000-0000B90B0000}"/>
    <cellStyle name="Accent1 6 10" xfId="1072" xr:uid="{00000000-0005-0000-0000-0000BA0B0000}"/>
    <cellStyle name="Accent1 6 11" xfId="1073" xr:uid="{00000000-0005-0000-0000-0000BB0B0000}"/>
    <cellStyle name="Accent1 6 2" xfId="1074" xr:uid="{00000000-0005-0000-0000-0000BC0B0000}"/>
    <cellStyle name="Accent1 6 3" xfId="1075" xr:uid="{00000000-0005-0000-0000-0000BD0B0000}"/>
    <cellStyle name="Accent1 6 4" xfId="1076" xr:uid="{00000000-0005-0000-0000-0000BE0B0000}"/>
    <cellStyle name="Accent1 6 5" xfId="1077" xr:uid="{00000000-0005-0000-0000-0000BF0B0000}"/>
    <cellStyle name="Accent1 6 6" xfId="1078" xr:uid="{00000000-0005-0000-0000-0000C00B0000}"/>
    <cellStyle name="Accent1 6 7" xfId="1079" xr:uid="{00000000-0005-0000-0000-0000C10B0000}"/>
    <cellStyle name="Accent1 6 8" xfId="1080" xr:uid="{00000000-0005-0000-0000-0000C20B0000}"/>
    <cellStyle name="Accent1 6 9" xfId="1081" xr:uid="{00000000-0005-0000-0000-0000C30B0000}"/>
    <cellStyle name="Accent1 7" xfId="1082" xr:uid="{00000000-0005-0000-0000-0000C40B0000}"/>
    <cellStyle name="Accent1 8" xfId="1083" xr:uid="{00000000-0005-0000-0000-0000C50B0000}"/>
    <cellStyle name="Accent1 9" xfId="3187" xr:uid="{00000000-0005-0000-0000-0000C60B0000}"/>
    <cellStyle name="Accent2 10" xfId="3188" xr:uid="{00000000-0005-0000-0000-0000C70B0000}"/>
    <cellStyle name="Accent2 11" xfId="42661" xr:uid="{00000000-0005-0000-0000-0000C80B0000}"/>
    <cellStyle name="Accent2 12" xfId="42662" xr:uid="{00000000-0005-0000-0000-0000C90B0000}"/>
    <cellStyle name="Accent2 13" xfId="42663" xr:uid="{00000000-0005-0000-0000-0000CA0B0000}"/>
    <cellStyle name="Accent2 14" xfId="42664" xr:uid="{00000000-0005-0000-0000-0000CB0B0000}"/>
    <cellStyle name="Accent2 15" xfId="42665" xr:uid="{00000000-0005-0000-0000-0000CC0B0000}"/>
    <cellStyle name="Accent2 16" xfId="42666" xr:uid="{00000000-0005-0000-0000-0000CD0B0000}"/>
    <cellStyle name="Accent2 17" xfId="42667" xr:uid="{00000000-0005-0000-0000-0000CE0B0000}"/>
    <cellStyle name="Accent2 18" xfId="42668" xr:uid="{00000000-0005-0000-0000-0000CF0B0000}"/>
    <cellStyle name="Accent2 19" xfId="42669" xr:uid="{00000000-0005-0000-0000-0000D00B0000}"/>
    <cellStyle name="Accent2 2" xfId="1084" xr:uid="{00000000-0005-0000-0000-0000D10B0000}"/>
    <cellStyle name="Accent2 2 10" xfId="1085" xr:uid="{00000000-0005-0000-0000-0000D20B0000}"/>
    <cellStyle name="Accent2 2 10 2" xfId="7840" xr:uid="{00000000-0005-0000-0000-0000D30B0000}"/>
    <cellStyle name="Accent2 2 11" xfId="1086" xr:uid="{00000000-0005-0000-0000-0000D40B0000}"/>
    <cellStyle name="Accent2 2 2" xfId="1087" xr:uid="{00000000-0005-0000-0000-0000D50B0000}"/>
    <cellStyle name="Accent2 2 2 2" xfId="7841" xr:uid="{00000000-0005-0000-0000-0000D60B0000}"/>
    <cellStyle name="Accent2 2 3" xfId="1088" xr:uid="{00000000-0005-0000-0000-0000D70B0000}"/>
    <cellStyle name="Accent2 2 3 2" xfId="7842" xr:uid="{00000000-0005-0000-0000-0000D80B0000}"/>
    <cellStyle name="Accent2 2 4" xfId="1089" xr:uid="{00000000-0005-0000-0000-0000D90B0000}"/>
    <cellStyle name="Accent2 2 4 2" xfId="7843" xr:uid="{00000000-0005-0000-0000-0000DA0B0000}"/>
    <cellStyle name="Accent2 2 5" xfId="1090" xr:uid="{00000000-0005-0000-0000-0000DB0B0000}"/>
    <cellStyle name="Accent2 2 5 2" xfId="7844" xr:uid="{00000000-0005-0000-0000-0000DC0B0000}"/>
    <cellStyle name="Accent2 2 6" xfId="1091" xr:uid="{00000000-0005-0000-0000-0000DD0B0000}"/>
    <cellStyle name="Accent2 2 6 2" xfId="7845" xr:uid="{00000000-0005-0000-0000-0000DE0B0000}"/>
    <cellStyle name="Accent2 2 7" xfId="1092" xr:uid="{00000000-0005-0000-0000-0000DF0B0000}"/>
    <cellStyle name="Accent2 2 7 2" xfId="7846" xr:uid="{00000000-0005-0000-0000-0000E00B0000}"/>
    <cellStyle name="Accent2 2 8" xfId="1093" xr:uid="{00000000-0005-0000-0000-0000E10B0000}"/>
    <cellStyle name="Accent2 2 8 2" xfId="7847" xr:uid="{00000000-0005-0000-0000-0000E20B0000}"/>
    <cellStyle name="Accent2 2 9" xfId="1094" xr:uid="{00000000-0005-0000-0000-0000E30B0000}"/>
    <cellStyle name="Accent2 2 9 2" xfId="7848" xr:uid="{00000000-0005-0000-0000-0000E40B0000}"/>
    <cellStyle name="Accent2 20" xfId="42670" xr:uid="{00000000-0005-0000-0000-0000E50B0000}"/>
    <cellStyle name="Accent2 21" xfId="42671" xr:uid="{00000000-0005-0000-0000-0000E60B0000}"/>
    <cellStyle name="Accent2 22" xfId="42672" xr:uid="{00000000-0005-0000-0000-0000E70B0000}"/>
    <cellStyle name="Accent2 23" xfId="42673" xr:uid="{00000000-0005-0000-0000-0000E80B0000}"/>
    <cellStyle name="Accent2 24" xfId="42674" xr:uid="{00000000-0005-0000-0000-0000E90B0000}"/>
    <cellStyle name="Accent2 25" xfId="42675" xr:uid="{00000000-0005-0000-0000-0000EA0B0000}"/>
    <cellStyle name="Accent2 26" xfId="42676" xr:uid="{00000000-0005-0000-0000-0000EB0B0000}"/>
    <cellStyle name="Accent2 27" xfId="42677" xr:uid="{00000000-0005-0000-0000-0000EC0B0000}"/>
    <cellStyle name="Accent2 28" xfId="42678" xr:uid="{00000000-0005-0000-0000-0000ED0B0000}"/>
    <cellStyle name="Accent2 29" xfId="42679" xr:uid="{00000000-0005-0000-0000-0000EE0B0000}"/>
    <cellStyle name="Accent2 3" xfId="1095" xr:uid="{00000000-0005-0000-0000-0000EF0B0000}"/>
    <cellStyle name="Accent2 3 10" xfId="1096" xr:uid="{00000000-0005-0000-0000-0000F00B0000}"/>
    <cellStyle name="Accent2 3 11" xfId="1097" xr:uid="{00000000-0005-0000-0000-0000F10B0000}"/>
    <cellStyle name="Accent2 3 12" xfId="7849" xr:uid="{00000000-0005-0000-0000-0000F20B0000}"/>
    <cellStyle name="Accent2 3 2" xfId="1098" xr:uid="{00000000-0005-0000-0000-0000F30B0000}"/>
    <cellStyle name="Accent2 3 2 2" xfId="42680" xr:uid="{00000000-0005-0000-0000-0000F40B0000}"/>
    <cellStyle name="Accent2 3 3" xfId="1099" xr:uid="{00000000-0005-0000-0000-0000F50B0000}"/>
    <cellStyle name="Accent2 3 4" xfId="1100" xr:uid="{00000000-0005-0000-0000-0000F60B0000}"/>
    <cellStyle name="Accent2 3 5" xfId="1101" xr:uid="{00000000-0005-0000-0000-0000F70B0000}"/>
    <cellStyle name="Accent2 3 6" xfId="1102" xr:uid="{00000000-0005-0000-0000-0000F80B0000}"/>
    <cellStyle name="Accent2 3 7" xfId="1103" xr:uid="{00000000-0005-0000-0000-0000F90B0000}"/>
    <cellStyle name="Accent2 3 8" xfId="1104" xr:uid="{00000000-0005-0000-0000-0000FA0B0000}"/>
    <cellStyle name="Accent2 3 9" xfId="1105" xr:uid="{00000000-0005-0000-0000-0000FB0B0000}"/>
    <cellStyle name="Accent2 30" xfId="42681" xr:uid="{00000000-0005-0000-0000-0000FC0B0000}"/>
    <cellStyle name="Accent2 31" xfId="42682" xr:uid="{00000000-0005-0000-0000-0000FD0B0000}"/>
    <cellStyle name="Accent2 32" xfId="42683" xr:uid="{00000000-0005-0000-0000-0000FE0B0000}"/>
    <cellStyle name="Accent2 33" xfId="42684" xr:uid="{00000000-0005-0000-0000-0000FF0B0000}"/>
    <cellStyle name="Accent2 34" xfId="42685" xr:uid="{00000000-0005-0000-0000-0000000C0000}"/>
    <cellStyle name="Accent2 35" xfId="42686" xr:uid="{00000000-0005-0000-0000-0000010C0000}"/>
    <cellStyle name="Accent2 36" xfId="42687" xr:uid="{00000000-0005-0000-0000-0000020C0000}"/>
    <cellStyle name="Accent2 37" xfId="42688" xr:uid="{00000000-0005-0000-0000-0000030C0000}"/>
    <cellStyle name="Accent2 38" xfId="42689" xr:uid="{00000000-0005-0000-0000-0000040C0000}"/>
    <cellStyle name="Accent2 39" xfId="42690" xr:uid="{00000000-0005-0000-0000-0000050C0000}"/>
    <cellStyle name="Accent2 4" xfId="1106" xr:uid="{00000000-0005-0000-0000-0000060C0000}"/>
    <cellStyle name="Accent2 4 10" xfId="1107" xr:uid="{00000000-0005-0000-0000-0000070C0000}"/>
    <cellStyle name="Accent2 4 11" xfId="1108" xr:uid="{00000000-0005-0000-0000-0000080C0000}"/>
    <cellStyle name="Accent2 4 2" xfId="1109" xr:uid="{00000000-0005-0000-0000-0000090C0000}"/>
    <cellStyle name="Accent2 4 3" xfId="1110" xr:uid="{00000000-0005-0000-0000-00000A0C0000}"/>
    <cellStyle name="Accent2 4 4" xfId="1111" xr:uid="{00000000-0005-0000-0000-00000B0C0000}"/>
    <cellStyle name="Accent2 4 5" xfId="1112" xr:uid="{00000000-0005-0000-0000-00000C0C0000}"/>
    <cellStyle name="Accent2 4 6" xfId="1113" xr:uid="{00000000-0005-0000-0000-00000D0C0000}"/>
    <cellStyle name="Accent2 4 7" xfId="1114" xr:uid="{00000000-0005-0000-0000-00000E0C0000}"/>
    <cellStyle name="Accent2 4 8" xfId="1115" xr:uid="{00000000-0005-0000-0000-00000F0C0000}"/>
    <cellStyle name="Accent2 4 9" xfId="1116" xr:uid="{00000000-0005-0000-0000-0000100C0000}"/>
    <cellStyle name="Accent2 40" xfId="42691" xr:uid="{00000000-0005-0000-0000-0000110C0000}"/>
    <cellStyle name="Accent2 41" xfId="42692" xr:uid="{00000000-0005-0000-0000-0000120C0000}"/>
    <cellStyle name="Accent2 42" xfId="42693" xr:uid="{00000000-0005-0000-0000-0000130C0000}"/>
    <cellStyle name="Accent2 43" xfId="42694" xr:uid="{00000000-0005-0000-0000-0000140C0000}"/>
    <cellStyle name="Accent2 5" xfId="1117" xr:uid="{00000000-0005-0000-0000-0000150C0000}"/>
    <cellStyle name="Accent2 5 10" xfId="1118" xr:uid="{00000000-0005-0000-0000-0000160C0000}"/>
    <cellStyle name="Accent2 5 11" xfId="1119" xr:uid="{00000000-0005-0000-0000-0000170C0000}"/>
    <cellStyle name="Accent2 5 2" xfId="1120" xr:uid="{00000000-0005-0000-0000-0000180C0000}"/>
    <cellStyle name="Accent2 5 3" xfId="1121" xr:uid="{00000000-0005-0000-0000-0000190C0000}"/>
    <cellStyle name="Accent2 5 4" xfId="1122" xr:uid="{00000000-0005-0000-0000-00001A0C0000}"/>
    <cellStyle name="Accent2 5 5" xfId="1123" xr:uid="{00000000-0005-0000-0000-00001B0C0000}"/>
    <cellStyle name="Accent2 5 6" xfId="1124" xr:uid="{00000000-0005-0000-0000-00001C0C0000}"/>
    <cellStyle name="Accent2 5 7" xfId="1125" xr:uid="{00000000-0005-0000-0000-00001D0C0000}"/>
    <cellStyle name="Accent2 5 8" xfId="1126" xr:uid="{00000000-0005-0000-0000-00001E0C0000}"/>
    <cellStyle name="Accent2 5 9" xfId="1127" xr:uid="{00000000-0005-0000-0000-00001F0C0000}"/>
    <cellStyle name="Accent2 6" xfId="1128" xr:uid="{00000000-0005-0000-0000-0000200C0000}"/>
    <cellStyle name="Accent2 6 10" xfId="1129" xr:uid="{00000000-0005-0000-0000-0000210C0000}"/>
    <cellStyle name="Accent2 6 11" xfId="1130" xr:uid="{00000000-0005-0000-0000-0000220C0000}"/>
    <cellStyle name="Accent2 6 2" xfId="1131" xr:uid="{00000000-0005-0000-0000-0000230C0000}"/>
    <cellStyle name="Accent2 6 3" xfId="1132" xr:uid="{00000000-0005-0000-0000-0000240C0000}"/>
    <cellStyle name="Accent2 6 4" xfId="1133" xr:uid="{00000000-0005-0000-0000-0000250C0000}"/>
    <cellStyle name="Accent2 6 5" xfId="1134" xr:uid="{00000000-0005-0000-0000-0000260C0000}"/>
    <cellStyle name="Accent2 6 6" xfId="1135" xr:uid="{00000000-0005-0000-0000-0000270C0000}"/>
    <cellStyle name="Accent2 6 7" xfId="1136" xr:uid="{00000000-0005-0000-0000-0000280C0000}"/>
    <cellStyle name="Accent2 6 8" xfId="1137" xr:uid="{00000000-0005-0000-0000-0000290C0000}"/>
    <cellStyle name="Accent2 6 9" xfId="1138" xr:uid="{00000000-0005-0000-0000-00002A0C0000}"/>
    <cellStyle name="Accent2 7" xfId="1139" xr:uid="{00000000-0005-0000-0000-00002B0C0000}"/>
    <cellStyle name="Accent2 8" xfId="1140" xr:uid="{00000000-0005-0000-0000-00002C0C0000}"/>
    <cellStyle name="Accent2 9" xfId="3189" xr:uid="{00000000-0005-0000-0000-00002D0C0000}"/>
    <cellStyle name="Accent3 10" xfId="3190" xr:uid="{00000000-0005-0000-0000-00002E0C0000}"/>
    <cellStyle name="Accent3 11" xfId="42695" xr:uid="{00000000-0005-0000-0000-00002F0C0000}"/>
    <cellStyle name="Accent3 12" xfId="42696" xr:uid="{00000000-0005-0000-0000-0000300C0000}"/>
    <cellStyle name="Accent3 13" xfId="42697" xr:uid="{00000000-0005-0000-0000-0000310C0000}"/>
    <cellStyle name="Accent3 14" xfId="42698" xr:uid="{00000000-0005-0000-0000-0000320C0000}"/>
    <cellStyle name="Accent3 15" xfId="42699" xr:uid="{00000000-0005-0000-0000-0000330C0000}"/>
    <cellStyle name="Accent3 16" xfId="42700" xr:uid="{00000000-0005-0000-0000-0000340C0000}"/>
    <cellStyle name="Accent3 17" xfId="42701" xr:uid="{00000000-0005-0000-0000-0000350C0000}"/>
    <cellStyle name="Accent3 18" xfId="42702" xr:uid="{00000000-0005-0000-0000-0000360C0000}"/>
    <cellStyle name="Accent3 19" xfId="42703" xr:uid="{00000000-0005-0000-0000-0000370C0000}"/>
    <cellStyle name="Accent3 2" xfId="1141" xr:uid="{00000000-0005-0000-0000-0000380C0000}"/>
    <cellStyle name="Accent3 2 10" xfId="1142" xr:uid="{00000000-0005-0000-0000-0000390C0000}"/>
    <cellStyle name="Accent3 2 10 2" xfId="7850" xr:uid="{00000000-0005-0000-0000-00003A0C0000}"/>
    <cellStyle name="Accent3 2 11" xfId="1143" xr:uid="{00000000-0005-0000-0000-00003B0C0000}"/>
    <cellStyle name="Accent3 2 2" xfId="1144" xr:uid="{00000000-0005-0000-0000-00003C0C0000}"/>
    <cellStyle name="Accent3 2 2 2" xfId="7851" xr:uid="{00000000-0005-0000-0000-00003D0C0000}"/>
    <cellStyle name="Accent3 2 3" xfId="1145" xr:uid="{00000000-0005-0000-0000-00003E0C0000}"/>
    <cellStyle name="Accent3 2 3 2" xfId="7852" xr:uid="{00000000-0005-0000-0000-00003F0C0000}"/>
    <cellStyle name="Accent3 2 4" xfId="1146" xr:uid="{00000000-0005-0000-0000-0000400C0000}"/>
    <cellStyle name="Accent3 2 4 2" xfId="7853" xr:uid="{00000000-0005-0000-0000-0000410C0000}"/>
    <cellStyle name="Accent3 2 5" xfId="1147" xr:uid="{00000000-0005-0000-0000-0000420C0000}"/>
    <cellStyle name="Accent3 2 5 2" xfId="7854" xr:uid="{00000000-0005-0000-0000-0000430C0000}"/>
    <cellStyle name="Accent3 2 6" xfId="1148" xr:uid="{00000000-0005-0000-0000-0000440C0000}"/>
    <cellStyle name="Accent3 2 6 2" xfId="7855" xr:uid="{00000000-0005-0000-0000-0000450C0000}"/>
    <cellStyle name="Accent3 2 7" xfId="1149" xr:uid="{00000000-0005-0000-0000-0000460C0000}"/>
    <cellStyle name="Accent3 2 7 2" xfId="7856" xr:uid="{00000000-0005-0000-0000-0000470C0000}"/>
    <cellStyle name="Accent3 2 8" xfId="1150" xr:uid="{00000000-0005-0000-0000-0000480C0000}"/>
    <cellStyle name="Accent3 2 8 2" xfId="7857" xr:uid="{00000000-0005-0000-0000-0000490C0000}"/>
    <cellStyle name="Accent3 2 9" xfId="1151" xr:uid="{00000000-0005-0000-0000-00004A0C0000}"/>
    <cellStyle name="Accent3 2 9 2" xfId="7858" xr:uid="{00000000-0005-0000-0000-00004B0C0000}"/>
    <cellStyle name="Accent3 20" xfId="42704" xr:uid="{00000000-0005-0000-0000-00004C0C0000}"/>
    <cellStyle name="Accent3 21" xfId="42705" xr:uid="{00000000-0005-0000-0000-00004D0C0000}"/>
    <cellStyle name="Accent3 22" xfId="42706" xr:uid="{00000000-0005-0000-0000-00004E0C0000}"/>
    <cellStyle name="Accent3 23" xfId="42707" xr:uid="{00000000-0005-0000-0000-00004F0C0000}"/>
    <cellStyle name="Accent3 24" xfId="42708" xr:uid="{00000000-0005-0000-0000-0000500C0000}"/>
    <cellStyle name="Accent3 25" xfId="42709" xr:uid="{00000000-0005-0000-0000-0000510C0000}"/>
    <cellStyle name="Accent3 26" xfId="42710" xr:uid="{00000000-0005-0000-0000-0000520C0000}"/>
    <cellStyle name="Accent3 27" xfId="42711" xr:uid="{00000000-0005-0000-0000-0000530C0000}"/>
    <cellStyle name="Accent3 28" xfId="42712" xr:uid="{00000000-0005-0000-0000-0000540C0000}"/>
    <cellStyle name="Accent3 29" xfId="42713" xr:uid="{00000000-0005-0000-0000-0000550C0000}"/>
    <cellStyle name="Accent3 3" xfId="1152" xr:uid="{00000000-0005-0000-0000-0000560C0000}"/>
    <cellStyle name="Accent3 3 10" xfId="1153" xr:uid="{00000000-0005-0000-0000-0000570C0000}"/>
    <cellStyle name="Accent3 3 11" xfId="1154" xr:uid="{00000000-0005-0000-0000-0000580C0000}"/>
    <cellStyle name="Accent3 3 12" xfId="7859" xr:uid="{00000000-0005-0000-0000-0000590C0000}"/>
    <cellStyle name="Accent3 3 2" xfId="1155" xr:uid="{00000000-0005-0000-0000-00005A0C0000}"/>
    <cellStyle name="Accent3 3 2 2" xfId="42714" xr:uid="{00000000-0005-0000-0000-00005B0C0000}"/>
    <cellStyle name="Accent3 3 3" xfId="1156" xr:uid="{00000000-0005-0000-0000-00005C0C0000}"/>
    <cellStyle name="Accent3 3 4" xfId="1157" xr:uid="{00000000-0005-0000-0000-00005D0C0000}"/>
    <cellStyle name="Accent3 3 5" xfId="1158" xr:uid="{00000000-0005-0000-0000-00005E0C0000}"/>
    <cellStyle name="Accent3 3 6" xfId="1159" xr:uid="{00000000-0005-0000-0000-00005F0C0000}"/>
    <cellStyle name="Accent3 3 7" xfId="1160" xr:uid="{00000000-0005-0000-0000-0000600C0000}"/>
    <cellStyle name="Accent3 3 8" xfId="1161" xr:uid="{00000000-0005-0000-0000-0000610C0000}"/>
    <cellStyle name="Accent3 3 9" xfId="1162" xr:uid="{00000000-0005-0000-0000-0000620C0000}"/>
    <cellStyle name="Accent3 30" xfId="42715" xr:uid="{00000000-0005-0000-0000-0000630C0000}"/>
    <cellStyle name="Accent3 31" xfId="42716" xr:uid="{00000000-0005-0000-0000-0000640C0000}"/>
    <cellStyle name="Accent3 32" xfId="42717" xr:uid="{00000000-0005-0000-0000-0000650C0000}"/>
    <cellStyle name="Accent3 33" xfId="42718" xr:uid="{00000000-0005-0000-0000-0000660C0000}"/>
    <cellStyle name="Accent3 34" xfId="42719" xr:uid="{00000000-0005-0000-0000-0000670C0000}"/>
    <cellStyle name="Accent3 35" xfId="42720" xr:uid="{00000000-0005-0000-0000-0000680C0000}"/>
    <cellStyle name="Accent3 36" xfId="42721" xr:uid="{00000000-0005-0000-0000-0000690C0000}"/>
    <cellStyle name="Accent3 37" xfId="42722" xr:uid="{00000000-0005-0000-0000-00006A0C0000}"/>
    <cellStyle name="Accent3 38" xfId="42723" xr:uid="{00000000-0005-0000-0000-00006B0C0000}"/>
    <cellStyle name="Accent3 39" xfId="42724" xr:uid="{00000000-0005-0000-0000-00006C0C0000}"/>
    <cellStyle name="Accent3 4" xfId="1163" xr:uid="{00000000-0005-0000-0000-00006D0C0000}"/>
    <cellStyle name="Accent3 4 10" xfId="1164" xr:uid="{00000000-0005-0000-0000-00006E0C0000}"/>
    <cellStyle name="Accent3 4 11" xfId="1165" xr:uid="{00000000-0005-0000-0000-00006F0C0000}"/>
    <cellStyle name="Accent3 4 2" xfId="1166" xr:uid="{00000000-0005-0000-0000-0000700C0000}"/>
    <cellStyle name="Accent3 4 3" xfId="1167" xr:uid="{00000000-0005-0000-0000-0000710C0000}"/>
    <cellStyle name="Accent3 4 4" xfId="1168" xr:uid="{00000000-0005-0000-0000-0000720C0000}"/>
    <cellStyle name="Accent3 4 5" xfId="1169" xr:uid="{00000000-0005-0000-0000-0000730C0000}"/>
    <cellStyle name="Accent3 4 6" xfId="1170" xr:uid="{00000000-0005-0000-0000-0000740C0000}"/>
    <cellStyle name="Accent3 4 7" xfId="1171" xr:uid="{00000000-0005-0000-0000-0000750C0000}"/>
    <cellStyle name="Accent3 4 8" xfId="1172" xr:uid="{00000000-0005-0000-0000-0000760C0000}"/>
    <cellStyle name="Accent3 4 9" xfId="1173" xr:uid="{00000000-0005-0000-0000-0000770C0000}"/>
    <cellStyle name="Accent3 40" xfId="42725" xr:uid="{00000000-0005-0000-0000-0000780C0000}"/>
    <cellStyle name="Accent3 41" xfId="42726" xr:uid="{00000000-0005-0000-0000-0000790C0000}"/>
    <cellStyle name="Accent3 42" xfId="42727" xr:uid="{00000000-0005-0000-0000-00007A0C0000}"/>
    <cellStyle name="Accent3 43" xfId="42728" xr:uid="{00000000-0005-0000-0000-00007B0C0000}"/>
    <cellStyle name="Accent3 5" xfId="1174" xr:uid="{00000000-0005-0000-0000-00007C0C0000}"/>
    <cellStyle name="Accent3 5 10" xfId="1175" xr:uid="{00000000-0005-0000-0000-00007D0C0000}"/>
    <cellStyle name="Accent3 5 11" xfId="1176" xr:uid="{00000000-0005-0000-0000-00007E0C0000}"/>
    <cellStyle name="Accent3 5 2" xfId="1177" xr:uid="{00000000-0005-0000-0000-00007F0C0000}"/>
    <cellStyle name="Accent3 5 3" xfId="1178" xr:uid="{00000000-0005-0000-0000-0000800C0000}"/>
    <cellStyle name="Accent3 5 4" xfId="1179" xr:uid="{00000000-0005-0000-0000-0000810C0000}"/>
    <cellStyle name="Accent3 5 5" xfId="1180" xr:uid="{00000000-0005-0000-0000-0000820C0000}"/>
    <cellStyle name="Accent3 5 6" xfId="1181" xr:uid="{00000000-0005-0000-0000-0000830C0000}"/>
    <cellStyle name="Accent3 5 7" xfId="1182" xr:uid="{00000000-0005-0000-0000-0000840C0000}"/>
    <cellStyle name="Accent3 5 8" xfId="1183" xr:uid="{00000000-0005-0000-0000-0000850C0000}"/>
    <cellStyle name="Accent3 5 9" xfId="1184" xr:uid="{00000000-0005-0000-0000-0000860C0000}"/>
    <cellStyle name="Accent3 6" xfId="1185" xr:uid="{00000000-0005-0000-0000-0000870C0000}"/>
    <cellStyle name="Accent3 6 10" xfId="1186" xr:uid="{00000000-0005-0000-0000-0000880C0000}"/>
    <cellStyle name="Accent3 6 11" xfId="1187" xr:uid="{00000000-0005-0000-0000-0000890C0000}"/>
    <cellStyle name="Accent3 6 2" xfId="1188" xr:uid="{00000000-0005-0000-0000-00008A0C0000}"/>
    <cellStyle name="Accent3 6 3" xfId="1189" xr:uid="{00000000-0005-0000-0000-00008B0C0000}"/>
    <cellStyle name="Accent3 6 4" xfId="1190" xr:uid="{00000000-0005-0000-0000-00008C0C0000}"/>
    <cellStyle name="Accent3 6 5" xfId="1191" xr:uid="{00000000-0005-0000-0000-00008D0C0000}"/>
    <cellStyle name="Accent3 6 6" xfId="1192" xr:uid="{00000000-0005-0000-0000-00008E0C0000}"/>
    <cellStyle name="Accent3 6 7" xfId="1193" xr:uid="{00000000-0005-0000-0000-00008F0C0000}"/>
    <cellStyle name="Accent3 6 8" xfId="1194" xr:uid="{00000000-0005-0000-0000-0000900C0000}"/>
    <cellStyle name="Accent3 6 9" xfId="1195" xr:uid="{00000000-0005-0000-0000-0000910C0000}"/>
    <cellStyle name="Accent3 7" xfId="1196" xr:uid="{00000000-0005-0000-0000-0000920C0000}"/>
    <cellStyle name="Accent3 8" xfId="1197" xr:uid="{00000000-0005-0000-0000-0000930C0000}"/>
    <cellStyle name="Accent3 9" xfId="3191" xr:uid="{00000000-0005-0000-0000-0000940C0000}"/>
    <cellStyle name="Accent4 10" xfId="3192" xr:uid="{00000000-0005-0000-0000-0000950C0000}"/>
    <cellStyle name="Accent4 11" xfId="42729" xr:uid="{00000000-0005-0000-0000-0000960C0000}"/>
    <cellStyle name="Accent4 12" xfId="42730" xr:uid="{00000000-0005-0000-0000-0000970C0000}"/>
    <cellStyle name="Accent4 13" xfId="42731" xr:uid="{00000000-0005-0000-0000-0000980C0000}"/>
    <cellStyle name="Accent4 14" xfId="42732" xr:uid="{00000000-0005-0000-0000-0000990C0000}"/>
    <cellStyle name="Accent4 15" xfId="42733" xr:uid="{00000000-0005-0000-0000-00009A0C0000}"/>
    <cellStyle name="Accent4 16" xfId="42734" xr:uid="{00000000-0005-0000-0000-00009B0C0000}"/>
    <cellStyle name="Accent4 17" xfId="42735" xr:uid="{00000000-0005-0000-0000-00009C0C0000}"/>
    <cellStyle name="Accent4 18" xfId="42736" xr:uid="{00000000-0005-0000-0000-00009D0C0000}"/>
    <cellStyle name="Accent4 19" xfId="42737" xr:uid="{00000000-0005-0000-0000-00009E0C0000}"/>
    <cellStyle name="Accent4 2" xfId="1198" xr:uid="{00000000-0005-0000-0000-00009F0C0000}"/>
    <cellStyle name="Accent4 2 10" xfId="1199" xr:uid="{00000000-0005-0000-0000-0000A00C0000}"/>
    <cellStyle name="Accent4 2 10 2" xfId="7860" xr:uid="{00000000-0005-0000-0000-0000A10C0000}"/>
    <cellStyle name="Accent4 2 11" xfId="1200" xr:uid="{00000000-0005-0000-0000-0000A20C0000}"/>
    <cellStyle name="Accent4 2 2" xfId="1201" xr:uid="{00000000-0005-0000-0000-0000A30C0000}"/>
    <cellStyle name="Accent4 2 2 2" xfId="7861" xr:uid="{00000000-0005-0000-0000-0000A40C0000}"/>
    <cellStyle name="Accent4 2 3" xfId="1202" xr:uid="{00000000-0005-0000-0000-0000A50C0000}"/>
    <cellStyle name="Accent4 2 3 2" xfId="7862" xr:uid="{00000000-0005-0000-0000-0000A60C0000}"/>
    <cellStyle name="Accent4 2 4" xfId="1203" xr:uid="{00000000-0005-0000-0000-0000A70C0000}"/>
    <cellStyle name="Accent4 2 4 2" xfId="7863" xr:uid="{00000000-0005-0000-0000-0000A80C0000}"/>
    <cellStyle name="Accent4 2 5" xfId="1204" xr:uid="{00000000-0005-0000-0000-0000A90C0000}"/>
    <cellStyle name="Accent4 2 5 2" xfId="7864" xr:uid="{00000000-0005-0000-0000-0000AA0C0000}"/>
    <cellStyle name="Accent4 2 6" xfId="1205" xr:uid="{00000000-0005-0000-0000-0000AB0C0000}"/>
    <cellStyle name="Accent4 2 6 2" xfId="7865" xr:uid="{00000000-0005-0000-0000-0000AC0C0000}"/>
    <cellStyle name="Accent4 2 7" xfId="1206" xr:uid="{00000000-0005-0000-0000-0000AD0C0000}"/>
    <cellStyle name="Accent4 2 7 2" xfId="7866" xr:uid="{00000000-0005-0000-0000-0000AE0C0000}"/>
    <cellStyle name="Accent4 2 8" xfId="1207" xr:uid="{00000000-0005-0000-0000-0000AF0C0000}"/>
    <cellStyle name="Accent4 2 8 2" xfId="7867" xr:uid="{00000000-0005-0000-0000-0000B00C0000}"/>
    <cellStyle name="Accent4 2 9" xfId="1208" xr:uid="{00000000-0005-0000-0000-0000B10C0000}"/>
    <cellStyle name="Accent4 2 9 2" xfId="7868" xr:uid="{00000000-0005-0000-0000-0000B20C0000}"/>
    <cellStyle name="Accent4 20" xfId="42738" xr:uid="{00000000-0005-0000-0000-0000B30C0000}"/>
    <cellStyle name="Accent4 21" xfId="42739" xr:uid="{00000000-0005-0000-0000-0000B40C0000}"/>
    <cellStyle name="Accent4 22" xfId="42740" xr:uid="{00000000-0005-0000-0000-0000B50C0000}"/>
    <cellStyle name="Accent4 23" xfId="42741" xr:uid="{00000000-0005-0000-0000-0000B60C0000}"/>
    <cellStyle name="Accent4 24" xfId="42742" xr:uid="{00000000-0005-0000-0000-0000B70C0000}"/>
    <cellStyle name="Accent4 25" xfId="42743" xr:uid="{00000000-0005-0000-0000-0000B80C0000}"/>
    <cellStyle name="Accent4 26" xfId="42744" xr:uid="{00000000-0005-0000-0000-0000B90C0000}"/>
    <cellStyle name="Accent4 27" xfId="42745" xr:uid="{00000000-0005-0000-0000-0000BA0C0000}"/>
    <cellStyle name="Accent4 28" xfId="42746" xr:uid="{00000000-0005-0000-0000-0000BB0C0000}"/>
    <cellStyle name="Accent4 29" xfId="42747" xr:uid="{00000000-0005-0000-0000-0000BC0C0000}"/>
    <cellStyle name="Accent4 3" xfId="1209" xr:uid="{00000000-0005-0000-0000-0000BD0C0000}"/>
    <cellStyle name="Accent4 3 10" xfId="1210" xr:uid="{00000000-0005-0000-0000-0000BE0C0000}"/>
    <cellStyle name="Accent4 3 11" xfId="1211" xr:uid="{00000000-0005-0000-0000-0000BF0C0000}"/>
    <cellStyle name="Accent4 3 12" xfId="7869" xr:uid="{00000000-0005-0000-0000-0000C00C0000}"/>
    <cellStyle name="Accent4 3 2" xfId="1212" xr:uid="{00000000-0005-0000-0000-0000C10C0000}"/>
    <cellStyle name="Accent4 3 2 2" xfId="42748" xr:uid="{00000000-0005-0000-0000-0000C20C0000}"/>
    <cellStyle name="Accent4 3 3" xfId="1213" xr:uid="{00000000-0005-0000-0000-0000C30C0000}"/>
    <cellStyle name="Accent4 3 4" xfId="1214" xr:uid="{00000000-0005-0000-0000-0000C40C0000}"/>
    <cellStyle name="Accent4 3 5" xfId="1215" xr:uid="{00000000-0005-0000-0000-0000C50C0000}"/>
    <cellStyle name="Accent4 3 6" xfId="1216" xr:uid="{00000000-0005-0000-0000-0000C60C0000}"/>
    <cellStyle name="Accent4 3 7" xfId="1217" xr:uid="{00000000-0005-0000-0000-0000C70C0000}"/>
    <cellStyle name="Accent4 3 8" xfId="1218" xr:uid="{00000000-0005-0000-0000-0000C80C0000}"/>
    <cellStyle name="Accent4 3 9" xfId="1219" xr:uid="{00000000-0005-0000-0000-0000C90C0000}"/>
    <cellStyle name="Accent4 30" xfId="42749" xr:uid="{00000000-0005-0000-0000-0000CA0C0000}"/>
    <cellStyle name="Accent4 31" xfId="42750" xr:uid="{00000000-0005-0000-0000-0000CB0C0000}"/>
    <cellStyle name="Accent4 32" xfId="42751" xr:uid="{00000000-0005-0000-0000-0000CC0C0000}"/>
    <cellStyle name="Accent4 33" xfId="42752" xr:uid="{00000000-0005-0000-0000-0000CD0C0000}"/>
    <cellStyle name="Accent4 34" xfId="42753" xr:uid="{00000000-0005-0000-0000-0000CE0C0000}"/>
    <cellStyle name="Accent4 35" xfId="42754" xr:uid="{00000000-0005-0000-0000-0000CF0C0000}"/>
    <cellStyle name="Accent4 36" xfId="42755" xr:uid="{00000000-0005-0000-0000-0000D00C0000}"/>
    <cellStyle name="Accent4 37" xfId="42756" xr:uid="{00000000-0005-0000-0000-0000D10C0000}"/>
    <cellStyle name="Accent4 38" xfId="42757" xr:uid="{00000000-0005-0000-0000-0000D20C0000}"/>
    <cellStyle name="Accent4 39" xfId="42758" xr:uid="{00000000-0005-0000-0000-0000D30C0000}"/>
    <cellStyle name="Accent4 4" xfId="1220" xr:uid="{00000000-0005-0000-0000-0000D40C0000}"/>
    <cellStyle name="Accent4 4 10" xfId="1221" xr:uid="{00000000-0005-0000-0000-0000D50C0000}"/>
    <cellStyle name="Accent4 4 11" xfId="1222" xr:uid="{00000000-0005-0000-0000-0000D60C0000}"/>
    <cellStyle name="Accent4 4 2" xfId="1223" xr:uid="{00000000-0005-0000-0000-0000D70C0000}"/>
    <cellStyle name="Accent4 4 3" xfId="1224" xr:uid="{00000000-0005-0000-0000-0000D80C0000}"/>
    <cellStyle name="Accent4 4 4" xfId="1225" xr:uid="{00000000-0005-0000-0000-0000D90C0000}"/>
    <cellStyle name="Accent4 4 5" xfId="1226" xr:uid="{00000000-0005-0000-0000-0000DA0C0000}"/>
    <cellStyle name="Accent4 4 6" xfId="1227" xr:uid="{00000000-0005-0000-0000-0000DB0C0000}"/>
    <cellStyle name="Accent4 4 7" xfId="1228" xr:uid="{00000000-0005-0000-0000-0000DC0C0000}"/>
    <cellStyle name="Accent4 4 8" xfId="1229" xr:uid="{00000000-0005-0000-0000-0000DD0C0000}"/>
    <cellStyle name="Accent4 4 9" xfId="1230" xr:uid="{00000000-0005-0000-0000-0000DE0C0000}"/>
    <cellStyle name="Accent4 40" xfId="42759" xr:uid="{00000000-0005-0000-0000-0000DF0C0000}"/>
    <cellStyle name="Accent4 41" xfId="42760" xr:uid="{00000000-0005-0000-0000-0000E00C0000}"/>
    <cellStyle name="Accent4 42" xfId="42761" xr:uid="{00000000-0005-0000-0000-0000E10C0000}"/>
    <cellStyle name="Accent4 43" xfId="42762" xr:uid="{00000000-0005-0000-0000-0000E20C0000}"/>
    <cellStyle name="Accent4 5" xfId="1231" xr:uid="{00000000-0005-0000-0000-0000E30C0000}"/>
    <cellStyle name="Accent4 5 10" xfId="1232" xr:uid="{00000000-0005-0000-0000-0000E40C0000}"/>
    <cellStyle name="Accent4 5 11" xfId="1233" xr:uid="{00000000-0005-0000-0000-0000E50C0000}"/>
    <cellStyle name="Accent4 5 2" xfId="1234" xr:uid="{00000000-0005-0000-0000-0000E60C0000}"/>
    <cellStyle name="Accent4 5 3" xfId="1235" xr:uid="{00000000-0005-0000-0000-0000E70C0000}"/>
    <cellStyle name="Accent4 5 4" xfId="1236" xr:uid="{00000000-0005-0000-0000-0000E80C0000}"/>
    <cellStyle name="Accent4 5 5" xfId="1237" xr:uid="{00000000-0005-0000-0000-0000E90C0000}"/>
    <cellStyle name="Accent4 5 6" xfId="1238" xr:uid="{00000000-0005-0000-0000-0000EA0C0000}"/>
    <cellStyle name="Accent4 5 7" xfId="1239" xr:uid="{00000000-0005-0000-0000-0000EB0C0000}"/>
    <cellStyle name="Accent4 5 8" xfId="1240" xr:uid="{00000000-0005-0000-0000-0000EC0C0000}"/>
    <cellStyle name="Accent4 5 9" xfId="1241" xr:uid="{00000000-0005-0000-0000-0000ED0C0000}"/>
    <cellStyle name="Accent4 6" xfId="1242" xr:uid="{00000000-0005-0000-0000-0000EE0C0000}"/>
    <cellStyle name="Accent4 6 10" xfId="1243" xr:uid="{00000000-0005-0000-0000-0000EF0C0000}"/>
    <cellStyle name="Accent4 6 11" xfId="1244" xr:uid="{00000000-0005-0000-0000-0000F00C0000}"/>
    <cellStyle name="Accent4 6 2" xfId="1245" xr:uid="{00000000-0005-0000-0000-0000F10C0000}"/>
    <cellStyle name="Accent4 6 3" xfId="1246" xr:uid="{00000000-0005-0000-0000-0000F20C0000}"/>
    <cellStyle name="Accent4 6 4" xfId="1247" xr:uid="{00000000-0005-0000-0000-0000F30C0000}"/>
    <cellStyle name="Accent4 6 5" xfId="1248" xr:uid="{00000000-0005-0000-0000-0000F40C0000}"/>
    <cellStyle name="Accent4 6 6" xfId="1249" xr:uid="{00000000-0005-0000-0000-0000F50C0000}"/>
    <cellStyle name="Accent4 6 7" xfId="1250" xr:uid="{00000000-0005-0000-0000-0000F60C0000}"/>
    <cellStyle name="Accent4 6 8" xfId="1251" xr:uid="{00000000-0005-0000-0000-0000F70C0000}"/>
    <cellStyle name="Accent4 6 9" xfId="1252" xr:uid="{00000000-0005-0000-0000-0000F80C0000}"/>
    <cellStyle name="Accent4 7" xfId="1253" xr:uid="{00000000-0005-0000-0000-0000F90C0000}"/>
    <cellStyle name="Accent4 8" xfId="1254" xr:uid="{00000000-0005-0000-0000-0000FA0C0000}"/>
    <cellStyle name="Accent4 9" xfId="3193" xr:uid="{00000000-0005-0000-0000-0000FB0C0000}"/>
    <cellStyle name="Accent5 10" xfId="3194" xr:uid="{00000000-0005-0000-0000-0000FC0C0000}"/>
    <cellStyle name="Accent5 11" xfId="42763" xr:uid="{00000000-0005-0000-0000-0000FD0C0000}"/>
    <cellStyle name="Accent5 12" xfId="42764" xr:uid="{00000000-0005-0000-0000-0000FE0C0000}"/>
    <cellStyle name="Accent5 13" xfId="42765" xr:uid="{00000000-0005-0000-0000-0000FF0C0000}"/>
    <cellStyle name="Accent5 14" xfId="42766" xr:uid="{00000000-0005-0000-0000-0000000D0000}"/>
    <cellStyle name="Accent5 15" xfId="42767" xr:uid="{00000000-0005-0000-0000-0000010D0000}"/>
    <cellStyle name="Accent5 16" xfId="42768" xr:uid="{00000000-0005-0000-0000-0000020D0000}"/>
    <cellStyle name="Accent5 17" xfId="42769" xr:uid="{00000000-0005-0000-0000-0000030D0000}"/>
    <cellStyle name="Accent5 18" xfId="42770" xr:uid="{00000000-0005-0000-0000-0000040D0000}"/>
    <cellStyle name="Accent5 19" xfId="42771" xr:uid="{00000000-0005-0000-0000-0000050D0000}"/>
    <cellStyle name="Accent5 2" xfId="1255" xr:uid="{00000000-0005-0000-0000-0000060D0000}"/>
    <cellStyle name="Accent5 2 10" xfId="1256" xr:uid="{00000000-0005-0000-0000-0000070D0000}"/>
    <cellStyle name="Accent5 2 11" xfId="1257" xr:uid="{00000000-0005-0000-0000-0000080D0000}"/>
    <cellStyle name="Accent5 2 2" xfId="1258" xr:uid="{00000000-0005-0000-0000-0000090D0000}"/>
    <cellStyle name="Accent5 2 3" xfId="1259" xr:uid="{00000000-0005-0000-0000-00000A0D0000}"/>
    <cellStyle name="Accent5 2 4" xfId="1260" xr:uid="{00000000-0005-0000-0000-00000B0D0000}"/>
    <cellStyle name="Accent5 2 5" xfId="1261" xr:uid="{00000000-0005-0000-0000-00000C0D0000}"/>
    <cellStyle name="Accent5 2 6" xfId="1262" xr:uid="{00000000-0005-0000-0000-00000D0D0000}"/>
    <cellStyle name="Accent5 2 7" xfId="1263" xr:uid="{00000000-0005-0000-0000-00000E0D0000}"/>
    <cellStyle name="Accent5 2 8" xfId="1264" xr:uid="{00000000-0005-0000-0000-00000F0D0000}"/>
    <cellStyle name="Accent5 2 9" xfId="1265" xr:uid="{00000000-0005-0000-0000-0000100D0000}"/>
    <cellStyle name="Accent5 20" xfId="42772" xr:uid="{00000000-0005-0000-0000-0000110D0000}"/>
    <cellStyle name="Accent5 21" xfId="42773" xr:uid="{00000000-0005-0000-0000-0000120D0000}"/>
    <cellStyle name="Accent5 22" xfId="42774" xr:uid="{00000000-0005-0000-0000-0000130D0000}"/>
    <cellStyle name="Accent5 23" xfId="42775" xr:uid="{00000000-0005-0000-0000-0000140D0000}"/>
    <cellStyle name="Accent5 24" xfId="42776" xr:uid="{00000000-0005-0000-0000-0000150D0000}"/>
    <cellStyle name="Accent5 25" xfId="42777" xr:uid="{00000000-0005-0000-0000-0000160D0000}"/>
    <cellStyle name="Accent5 26" xfId="42778" xr:uid="{00000000-0005-0000-0000-0000170D0000}"/>
    <cellStyle name="Accent5 27" xfId="42779" xr:uid="{00000000-0005-0000-0000-0000180D0000}"/>
    <cellStyle name="Accent5 28" xfId="42780" xr:uid="{00000000-0005-0000-0000-0000190D0000}"/>
    <cellStyle name="Accent5 29" xfId="42781" xr:uid="{00000000-0005-0000-0000-00001A0D0000}"/>
    <cellStyle name="Accent5 3" xfId="1266" xr:uid="{00000000-0005-0000-0000-00001B0D0000}"/>
    <cellStyle name="Accent5 3 10" xfId="1267" xr:uid="{00000000-0005-0000-0000-00001C0D0000}"/>
    <cellStyle name="Accent5 3 11" xfId="1268" xr:uid="{00000000-0005-0000-0000-00001D0D0000}"/>
    <cellStyle name="Accent5 3 2" xfId="1269" xr:uid="{00000000-0005-0000-0000-00001E0D0000}"/>
    <cellStyle name="Accent5 3 3" xfId="1270" xr:uid="{00000000-0005-0000-0000-00001F0D0000}"/>
    <cellStyle name="Accent5 3 4" xfId="1271" xr:uid="{00000000-0005-0000-0000-0000200D0000}"/>
    <cellStyle name="Accent5 3 5" xfId="1272" xr:uid="{00000000-0005-0000-0000-0000210D0000}"/>
    <cellStyle name="Accent5 3 6" xfId="1273" xr:uid="{00000000-0005-0000-0000-0000220D0000}"/>
    <cellStyle name="Accent5 3 7" xfId="1274" xr:uid="{00000000-0005-0000-0000-0000230D0000}"/>
    <cellStyle name="Accent5 3 8" xfId="1275" xr:uid="{00000000-0005-0000-0000-0000240D0000}"/>
    <cellStyle name="Accent5 3 9" xfId="1276" xr:uid="{00000000-0005-0000-0000-0000250D0000}"/>
    <cellStyle name="Accent5 30" xfId="42782" xr:uid="{00000000-0005-0000-0000-0000260D0000}"/>
    <cellStyle name="Accent5 31" xfId="42783" xr:uid="{00000000-0005-0000-0000-0000270D0000}"/>
    <cellStyle name="Accent5 32" xfId="42784" xr:uid="{00000000-0005-0000-0000-0000280D0000}"/>
    <cellStyle name="Accent5 33" xfId="42785" xr:uid="{00000000-0005-0000-0000-0000290D0000}"/>
    <cellStyle name="Accent5 34" xfId="42786" xr:uid="{00000000-0005-0000-0000-00002A0D0000}"/>
    <cellStyle name="Accent5 35" xfId="42787" xr:uid="{00000000-0005-0000-0000-00002B0D0000}"/>
    <cellStyle name="Accent5 36" xfId="42788" xr:uid="{00000000-0005-0000-0000-00002C0D0000}"/>
    <cellStyle name="Accent5 37" xfId="42789" xr:uid="{00000000-0005-0000-0000-00002D0D0000}"/>
    <cellStyle name="Accent5 38" xfId="42790" xr:uid="{00000000-0005-0000-0000-00002E0D0000}"/>
    <cellStyle name="Accent5 39" xfId="42791" xr:uid="{00000000-0005-0000-0000-00002F0D0000}"/>
    <cellStyle name="Accent5 4" xfId="1277" xr:uid="{00000000-0005-0000-0000-0000300D0000}"/>
    <cellStyle name="Accent5 4 10" xfId="1278" xr:uid="{00000000-0005-0000-0000-0000310D0000}"/>
    <cellStyle name="Accent5 4 11" xfId="1279" xr:uid="{00000000-0005-0000-0000-0000320D0000}"/>
    <cellStyle name="Accent5 4 2" xfId="1280" xr:uid="{00000000-0005-0000-0000-0000330D0000}"/>
    <cellStyle name="Accent5 4 3" xfId="1281" xr:uid="{00000000-0005-0000-0000-0000340D0000}"/>
    <cellStyle name="Accent5 4 4" xfId="1282" xr:uid="{00000000-0005-0000-0000-0000350D0000}"/>
    <cellStyle name="Accent5 4 5" xfId="1283" xr:uid="{00000000-0005-0000-0000-0000360D0000}"/>
    <cellStyle name="Accent5 4 6" xfId="1284" xr:uid="{00000000-0005-0000-0000-0000370D0000}"/>
    <cellStyle name="Accent5 4 7" xfId="1285" xr:uid="{00000000-0005-0000-0000-0000380D0000}"/>
    <cellStyle name="Accent5 4 8" xfId="1286" xr:uid="{00000000-0005-0000-0000-0000390D0000}"/>
    <cellStyle name="Accent5 4 9" xfId="1287" xr:uid="{00000000-0005-0000-0000-00003A0D0000}"/>
    <cellStyle name="Accent5 40" xfId="42792" xr:uid="{00000000-0005-0000-0000-00003B0D0000}"/>
    <cellStyle name="Accent5 41" xfId="42793" xr:uid="{00000000-0005-0000-0000-00003C0D0000}"/>
    <cellStyle name="Accent5 42" xfId="42794" xr:uid="{00000000-0005-0000-0000-00003D0D0000}"/>
    <cellStyle name="Accent5 43" xfId="42795" xr:uid="{00000000-0005-0000-0000-00003E0D0000}"/>
    <cellStyle name="Accent5 5" xfId="1288" xr:uid="{00000000-0005-0000-0000-00003F0D0000}"/>
    <cellStyle name="Accent5 5 10" xfId="1289" xr:uid="{00000000-0005-0000-0000-0000400D0000}"/>
    <cellStyle name="Accent5 5 11" xfId="1290" xr:uid="{00000000-0005-0000-0000-0000410D0000}"/>
    <cellStyle name="Accent5 5 2" xfId="1291" xr:uid="{00000000-0005-0000-0000-0000420D0000}"/>
    <cellStyle name="Accent5 5 3" xfId="1292" xr:uid="{00000000-0005-0000-0000-0000430D0000}"/>
    <cellStyle name="Accent5 5 4" xfId="1293" xr:uid="{00000000-0005-0000-0000-0000440D0000}"/>
    <cellStyle name="Accent5 5 5" xfId="1294" xr:uid="{00000000-0005-0000-0000-0000450D0000}"/>
    <cellStyle name="Accent5 5 6" xfId="1295" xr:uid="{00000000-0005-0000-0000-0000460D0000}"/>
    <cellStyle name="Accent5 5 7" xfId="1296" xr:uid="{00000000-0005-0000-0000-0000470D0000}"/>
    <cellStyle name="Accent5 5 8" xfId="1297" xr:uid="{00000000-0005-0000-0000-0000480D0000}"/>
    <cellStyle name="Accent5 5 9" xfId="1298" xr:uid="{00000000-0005-0000-0000-0000490D0000}"/>
    <cellStyle name="Accent5 6" xfId="1299" xr:uid="{00000000-0005-0000-0000-00004A0D0000}"/>
    <cellStyle name="Accent5 6 10" xfId="1300" xr:uid="{00000000-0005-0000-0000-00004B0D0000}"/>
    <cellStyle name="Accent5 6 11" xfId="1301" xr:uid="{00000000-0005-0000-0000-00004C0D0000}"/>
    <cellStyle name="Accent5 6 2" xfId="1302" xr:uid="{00000000-0005-0000-0000-00004D0D0000}"/>
    <cellStyle name="Accent5 6 3" xfId="1303" xr:uid="{00000000-0005-0000-0000-00004E0D0000}"/>
    <cellStyle name="Accent5 6 4" xfId="1304" xr:uid="{00000000-0005-0000-0000-00004F0D0000}"/>
    <cellStyle name="Accent5 6 5" xfId="1305" xr:uid="{00000000-0005-0000-0000-0000500D0000}"/>
    <cellStyle name="Accent5 6 6" xfId="1306" xr:uid="{00000000-0005-0000-0000-0000510D0000}"/>
    <cellStyle name="Accent5 6 7" xfId="1307" xr:uid="{00000000-0005-0000-0000-0000520D0000}"/>
    <cellStyle name="Accent5 6 8" xfId="1308" xr:uid="{00000000-0005-0000-0000-0000530D0000}"/>
    <cellStyle name="Accent5 6 9" xfId="1309" xr:uid="{00000000-0005-0000-0000-0000540D0000}"/>
    <cellStyle name="Accent5 7" xfId="1310" xr:uid="{00000000-0005-0000-0000-0000550D0000}"/>
    <cellStyle name="Accent5 8" xfId="1311" xr:uid="{00000000-0005-0000-0000-0000560D0000}"/>
    <cellStyle name="Accent5 9" xfId="3195" xr:uid="{00000000-0005-0000-0000-0000570D0000}"/>
    <cellStyle name="Accent6 10" xfId="3196" xr:uid="{00000000-0005-0000-0000-0000580D0000}"/>
    <cellStyle name="Accent6 11" xfId="42796" xr:uid="{00000000-0005-0000-0000-0000590D0000}"/>
    <cellStyle name="Accent6 12" xfId="42797" xr:uid="{00000000-0005-0000-0000-00005A0D0000}"/>
    <cellStyle name="Accent6 13" xfId="42798" xr:uid="{00000000-0005-0000-0000-00005B0D0000}"/>
    <cellStyle name="Accent6 14" xfId="42799" xr:uid="{00000000-0005-0000-0000-00005C0D0000}"/>
    <cellStyle name="Accent6 15" xfId="42800" xr:uid="{00000000-0005-0000-0000-00005D0D0000}"/>
    <cellStyle name="Accent6 16" xfId="42801" xr:uid="{00000000-0005-0000-0000-00005E0D0000}"/>
    <cellStyle name="Accent6 17" xfId="42802" xr:uid="{00000000-0005-0000-0000-00005F0D0000}"/>
    <cellStyle name="Accent6 18" xfId="42803" xr:uid="{00000000-0005-0000-0000-0000600D0000}"/>
    <cellStyle name="Accent6 19" xfId="42804" xr:uid="{00000000-0005-0000-0000-0000610D0000}"/>
    <cellStyle name="Accent6 2" xfId="1312" xr:uid="{00000000-0005-0000-0000-0000620D0000}"/>
    <cellStyle name="Accent6 2 10" xfId="1313" xr:uid="{00000000-0005-0000-0000-0000630D0000}"/>
    <cellStyle name="Accent6 2 10 2" xfId="7870" xr:uid="{00000000-0005-0000-0000-0000640D0000}"/>
    <cellStyle name="Accent6 2 11" xfId="1314" xr:uid="{00000000-0005-0000-0000-0000650D0000}"/>
    <cellStyle name="Accent6 2 2" xfId="1315" xr:uid="{00000000-0005-0000-0000-0000660D0000}"/>
    <cellStyle name="Accent6 2 2 2" xfId="7871" xr:uid="{00000000-0005-0000-0000-0000670D0000}"/>
    <cellStyle name="Accent6 2 3" xfId="1316" xr:uid="{00000000-0005-0000-0000-0000680D0000}"/>
    <cellStyle name="Accent6 2 3 2" xfId="7872" xr:uid="{00000000-0005-0000-0000-0000690D0000}"/>
    <cellStyle name="Accent6 2 4" xfId="1317" xr:uid="{00000000-0005-0000-0000-00006A0D0000}"/>
    <cellStyle name="Accent6 2 4 2" xfId="7873" xr:uid="{00000000-0005-0000-0000-00006B0D0000}"/>
    <cellStyle name="Accent6 2 5" xfId="1318" xr:uid="{00000000-0005-0000-0000-00006C0D0000}"/>
    <cellStyle name="Accent6 2 5 2" xfId="7874" xr:uid="{00000000-0005-0000-0000-00006D0D0000}"/>
    <cellStyle name="Accent6 2 6" xfId="1319" xr:uid="{00000000-0005-0000-0000-00006E0D0000}"/>
    <cellStyle name="Accent6 2 6 2" xfId="7875" xr:uid="{00000000-0005-0000-0000-00006F0D0000}"/>
    <cellStyle name="Accent6 2 7" xfId="1320" xr:uid="{00000000-0005-0000-0000-0000700D0000}"/>
    <cellStyle name="Accent6 2 7 2" xfId="7876" xr:uid="{00000000-0005-0000-0000-0000710D0000}"/>
    <cellStyle name="Accent6 2 8" xfId="1321" xr:uid="{00000000-0005-0000-0000-0000720D0000}"/>
    <cellStyle name="Accent6 2 8 2" xfId="7877" xr:uid="{00000000-0005-0000-0000-0000730D0000}"/>
    <cellStyle name="Accent6 2 9" xfId="1322" xr:uid="{00000000-0005-0000-0000-0000740D0000}"/>
    <cellStyle name="Accent6 2 9 2" xfId="7878" xr:uid="{00000000-0005-0000-0000-0000750D0000}"/>
    <cellStyle name="Accent6 20" xfId="42805" xr:uid="{00000000-0005-0000-0000-0000760D0000}"/>
    <cellStyle name="Accent6 21" xfId="42806" xr:uid="{00000000-0005-0000-0000-0000770D0000}"/>
    <cellStyle name="Accent6 22" xfId="42807" xr:uid="{00000000-0005-0000-0000-0000780D0000}"/>
    <cellStyle name="Accent6 23" xfId="42808" xr:uid="{00000000-0005-0000-0000-0000790D0000}"/>
    <cellStyle name="Accent6 24" xfId="42809" xr:uid="{00000000-0005-0000-0000-00007A0D0000}"/>
    <cellStyle name="Accent6 25" xfId="42810" xr:uid="{00000000-0005-0000-0000-00007B0D0000}"/>
    <cellStyle name="Accent6 26" xfId="42811" xr:uid="{00000000-0005-0000-0000-00007C0D0000}"/>
    <cellStyle name="Accent6 27" xfId="42812" xr:uid="{00000000-0005-0000-0000-00007D0D0000}"/>
    <cellStyle name="Accent6 28" xfId="42813" xr:uid="{00000000-0005-0000-0000-00007E0D0000}"/>
    <cellStyle name="Accent6 29" xfId="42814" xr:uid="{00000000-0005-0000-0000-00007F0D0000}"/>
    <cellStyle name="Accent6 3" xfId="1323" xr:uid="{00000000-0005-0000-0000-0000800D0000}"/>
    <cellStyle name="Accent6 3 10" xfId="1324" xr:uid="{00000000-0005-0000-0000-0000810D0000}"/>
    <cellStyle name="Accent6 3 11" xfId="1325" xr:uid="{00000000-0005-0000-0000-0000820D0000}"/>
    <cellStyle name="Accent6 3 12" xfId="7879" xr:uid="{00000000-0005-0000-0000-0000830D0000}"/>
    <cellStyle name="Accent6 3 2" xfId="1326" xr:uid="{00000000-0005-0000-0000-0000840D0000}"/>
    <cellStyle name="Accent6 3 2 2" xfId="42815" xr:uid="{00000000-0005-0000-0000-0000850D0000}"/>
    <cellStyle name="Accent6 3 3" xfId="1327" xr:uid="{00000000-0005-0000-0000-0000860D0000}"/>
    <cellStyle name="Accent6 3 4" xfId="1328" xr:uid="{00000000-0005-0000-0000-0000870D0000}"/>
    <cellStyle name="Accent6 3 5" xfId="1329" xr:uid="{00000000-0005-0000-0000-0000880D0000}"/>
    <cellStyle name="Accent6 3 6" xfId="1330" xr:uid="{00000000-0005-0000-0000-0000890D0000}"/>
    <cellStyle name="Accent6 3 7" xfId="1331" xr:uid="{00000000-0005-0000-0000-00008A0D0000}"/>
    <cellStyle name="Accent6 3 8" xfId="1332" xr:uid="{00000000-0005-0000-0000-00008B0D0000}"/>
    <cellStyle name="Accent6 3 9" xfId="1333" xr:uid="{00000000-0005-0000-0000-00008C0D0000}"/>
    <cellStyle name="Accent6 30" xfId="42816" xr:uid="{00000000-0005-0000-0000-00008D0D0000}"/>
    <cellStyle name="Accent6 31" xfId="42817" xr:uid="{00000000-0005-0000-0000-00008E0D0000}"/>
    <cellStyle name="Accent6 32" xfId="42818" xr:uid="{00000000-0005-0000-0000-00008F0D0000}"/>
    <cellStyle name="Accent6 33" xfId="42819" xr:uid="{00000000-0005-0000-0000-0000900D0000}"/>
    <cellStyle name="Accent6 34" xfId="42820" xr:uid="{00000000-0005-0000-0000-0000910D0000}"/>
    <cellStyle name="Accent6 35" xfId="42821" xr:uid="{00000000-0005-0000-0000-0000920D0000}"/>
    <cellStyle name="Accent6 36" xfId="42822" xr:uid="{00000000-0005-0000-0000-0000930D0000}"/>
    <cellStyle name="Accent6 37" xfId="42823" xr:uid="{00000000-0005-0000-0000-0000940D0000}"/>
    <cellStyle name="Accent6 38" xfId="42824" xr:uid="{00000000-0005-0000-0000-0000950D0000}"/>
    <cellStyle name="Accent6 39" xfId="42825" xr:uid="{00000000-0005-0000-0000-0000960D0000}"/>
    <cellStyle name="Accent6 4" xfId="1334" xr:uid="{00000000-0005-0000-0000-0000970D0000}"/>
    <cellStyle name="Accent6 4 10" xfId="1335" xr:uid="{00000000-0005-0000-0000-0000980D0000}"/>
    <cellStyle name="Accent6 4 11" xfId="1336" xr:uid="{00000000-0005-0000-0000-0000990D0000}"/>
    <cellStyle name="Accent6 4 2" xfId="1337" xr:uid="{00000000-0005-0000-0000-00009A0D0000}"/>
    <cellStyle name="Accent6 4 3" xfId="1338" xr:uid="{00000000-0005-0000-0000-00009B0D0000}"/>
    <cellStyle name="Accent6 4 4" xfId="1339" xr:uid="{00000000-0005-0000-0000-00009C0D0000}"/>
    <cellStyle name="Accent6 4 5" xfId="1340" xr:uid="{00000000-0005-0000-0000-00009D0D0000}"/>
    <cellStyle name="Accent6 4 6" xfId="1341" xr:uid="{00000000-0005-0000-0000-00009E0D0000}"/>
    <cellStyle name="Accent6 4 7" xfId="1342" xr:uid="{00000000-0005-0000-0000-00009F0D0000}"/>
    <cellStyle name="Accent6 4 8" xfId="1343" xr:uid="{00000000-0005-0000-0000-0000A00D0000}"/>
    <cellStyle name="Accent6 4 9" xfId="1344" xr:uid="{00000000-0005-0000-0000-0000A10D0000}"/>
    <cellStyle name="Accent6 40" xfId="42826" xr:uid="{00000000-0005-0000-0000-0000A20D0000}"/>
    <cellStyle name="Accent6 41" xfId="42827" xr:uid="{00000000-0005-0000-0000-0000A30D0000}"/>
    <cellStyle name="Accent6 42" xfId="42828" xr:uid="{00000000-0005-0000-0000-0000A40D0000}"/>
    <cellStyle name="Accent6 43" xfId="42829" xr:uid="{00000000-0005-0000-0000-0000A50D0000}"/>
    <cellStyle name="Accent6 5" xfId="1345" xr:uid="{00000000-0005-0000-0000-0000A60D0000}"/>
    <cellStyle name="Accent6 5 10" xfId="1346" xr:uid="{00000000-0005-0000-0000-0000A70D0000}"/>
    <cellStyle name="Accent6 5 11" xfId="1347" xr:uid="{00000000-0005-0000-0000-0000A80D0000}"/>
    <cellStyle name="Accent6 5 2" xfId="1348" xr:uid="{00000000-0005-0000-0000-0000A90D0000}"/>
    <cellStyle name="Accent6 5 3" xfId="1349" xr:uid="{00000000-0005-0000-0000-0000AA0D0000}"/>
    <cellStyle name="Accent6 5 4" xfId="1350" xr:uid="{00000000-0005-0000-0000-0000AB0D0000}"/>
    <cellStyle name="Accent6 5 5" xfId="1351" xr:uid="{00000000-0005-0000-0000-0000AC0D0000}"/>
    <cellStyle name="Accent6 5 6" xfId="1352" xr:uid="{00000000-0005-0000-0000-0000AD0D0000}"/>
    <cellStyle name="Accent6 5 7" xfId="1353" xr:uid="{00000000-0005-0000-0000-0000AE0D0000}"/>
    <cellStyle name="Accent6 5 8" xfId="1354" xr:uid="{00000000-0005-0000-0000-0000AF0D0000}"/>
    <cellStyle name="Accent6 5 9" xfId="1355" xr:uid="{00000000-0005-0000-0000-0000B00D0000}"/>
    <cellStyle name="Accent6 6" xfId="1356" xr:uid="{00000000-0005-0000-0000-0000B10D0000}"/>
    <cellStyle name="Accent6 6 10" xfId="1357" xr:uid="{00000000-0005-0000-0000-0000B20D0000}"/>
    <cellStyle name="Accent6 6 11" xfId="1358" xr:uid="{00000000-0005-0000-0000-0000B30D0000}"/>
    <cellStyle name="Accent6 6 2" xfId="1359" xr:uid="{00000000-0005-0000-0000-0000B40D0000}"/>
    <cellStyle name="Accent6 6 3" xfId="1360" xr:uid="{00000000-0005-0000-0000-0000B50D0000}"/>
    <cellStyle name="Accent6 6 4" xfId="1361" xr:uid="{00000000-0005-0000-0000-0000B60D0000}"/>
    <cellStyle name="Accent6 6 5" xfId="1362" xr:uid="{00000000-0005-0000-0000-0000B70D0000}"/>
    <cellStyle name="Accent6 6 6" xfId="1363" xr:uid="{00000000-0005-0000-0000-0000B80D0000}"/>
    <cellStyle name="Accent6 6 7" xfId="1364" xr:uid="{00000000-0005-0000-0000-0000B90D0000}"/>
    <cellStyle name="Accent6 6 8" xfId="1365" xr:uid="{00000000-0005-0000-0000-0000BA0D0000}"/>
    <cellStyle name="Accent6 6 9" xfId="1366" xr:uid="{00000000-0005-0000-0000-0000BB0D0000}"/>
    <cellStyle name="Accent6 7" xfId="1367" xr:uid="{00000000-0005-0000-0000-0000BC0D0000}"/>
    <cellStyle name="Accent6 8" xfId="1368" xr:uid="{00000000-0005-0000-0000-0000BD0D0000}"/>
    <cellStyle name="Accent6 9" xfId="3197" xr:uid="{00000000-0005-0000-0000-0000BE0D0000}"/>
    <cellStyle name="AggblueBoldCels" xfId="7051" xr:uid="{00000000-0005-0000-0000-0000BF0D0000}"/>
    <cellStyle name="AggblueCels" xfId="7052" xr:uid="{00000000-0005-0000-0000-0000C00D0000}"/>
    <cellStyle name="AggBoldCells" xfId="7053" xr:uid="{00000000-0005-0000-0000-0000C10D0000}"/>
    <cellStyle name="AggBoldCells 2" xfId="42830" xr:uid="{00000000-0005-0000-0000-0000C20D0000}"/>
    <cellStyle name="AggCels" xfId="7013" xr:uid="{00000000-0005-0000-0000-0000C30D0000}"/>
    <cellStyle name="AggCels 2" xfId="42831" xr:uid="{00000000-0005-0000-0000-0000C40D0000}"/>
    <cellStyle name="AggGreen" xfId="7054" xr:uid="{00000000-0005-0000-0000-0000C50D0000}"/>
    <cellStyle name="AggGreen 2" xfId="9727" xr:uid="{00000000-0005-0000-0000-0000C60D0000}"/>
    <cellStyle name="AggGreen 2 2" xfId="45106" xr:uid="{00000000-0005-0000-0000-0000C70D0000}"/>
    <cellStyle name="AggGreen 3" xfId="11817" xr:uid="{00000000-0005-0000-0000-0000C80D0000}"/>
    <cellStyle name="AggGreen 3 2" xfId="46183" xr:uid="{00000000-0005-0000-0000-0000C90D0000}"/>
    <cellStyle name="AggGreen 4" xfId="10999" xr:uid="{00000000-0005-0000-0000-0000CA0D0000}"/>
    <cellStyle name="AggGreen 4 2" xfId="45756" xr:uid="{00000000-0005-0000-0000-0000CB0D0000}"/>
    <cellStyle name="AggGreen 5" xfId="42832" xr:uid="{00000000-0005-0000-0000-0000CC0D0000}"/>
    <cellStyle name="AggGreen 6" xfId="44917" xr:uid="{00000000-0005-0000-0000-0000CD0D0000}"/>
    <cellStyle name="AggGreen12" xfId="7055" xr:uid="{00000000-0005-0000-0000-0000CE0D0000}"/>
    <cellStyle name="AggGreen12 2" xfId="9728" xr:uid="{00000000-0005-0000-0000-0000CF0D0000}"/>
    <cellStyle name="AggGreen12 2 2" xfId="45107" xr:uid="{00000000-0005-0000-0000-0000D00D0000}"/>
    <cellStyle name="AggGreen12 3" xfId="11818" xr:uid="{00000000-0005-0000-0000-0000D10D0000}"/>
    <cellStyle name="AggGreen12 3 2" xfId="46184" xr:uid="{00000000-0005-0000-0000-0000D20D0000}"/>
    <cellStyle name="AggGreen12 4" xfId="10998" xr:uid="{00000000-0005-0000-0000-0000D30D0000}"/>
    <cellStyle name="AggGreen12 4 2" xfId="45755" xr:uid="{00000000-0005-0000-0000-0000D40D0000}"/>
    <cellStyle name="AggGreen12 5" xfId="42833" xr:uid="{00000000-0005-0000-0000-0000D50D0000}"/>
    <cellStyle name="AggGreen12 6" xfId="44918" xr:uid="{00000000-0005-0000-0000-0000D60D0000}"/>
    <cellStyle name="AggOrange" xfId="7056" xr:uid="{00000000-0005-0000-0000-0000D70D0000}"/>
    <cellStyle name="AggOrange 2" xfId="9729" xr:uid="{00000000-0005-0000-0000-0000D80D0000}"/>
    <cellStyle name="AggOrange 2 2" xfId="45108" xr:uid="{00000000-0005-0000-0000-0000D90D0000}"/>
    <cellStyle name="AggOrange 3" xfId="11819" xr:uid="{00000000-0005-0000-0000-0000DA0D0000}"/>
    <cellStyle name="AggOrange 3 2" xfId="46185" xr:uid="{00000000-0005-0000-0000-0000DB0D0000}"/>
    <cellStyle name="AggOrange 4" xfId="11882" xr:uid="{00000000-0005-0000-0000-0000DC0D0000}"/>
    <cellStyle name="AggOrange 4 2" xfId="46212" xr:uid="{00000000-0005-0000-0000-0000DD0D0000}"/>
    <cellStyle name="AggOrange 5" xfId="42834" xr:uid="{00000000-0005-0000-0000-0000DE0D0000}"/>
    <cellStyle name="AggOrange 6" xfId="44919" xr:uid="{00000000-0005-0000-0000-0000DF0D0000}"/>
    <cellStyle name="AggOrange_CRFReport-template" xfId="9626" xr:uid="{00000000-0005-0000-0000-0000E00D0000}"/>
    <cellStyle name="AggOrange9" xfId="7057" xr:uid="{00000000-0005-0000-0000-0000E10D0000}"/>
    <cellStyle name="AggOrange9 2" xfId="9730" xr:uid="{00000000-0005-0000-0000-0000E20D0000}"/>
    <cellStyle name="AggOrange9 2 2" xfId="45109" xr:uid="{00000000-0005-0000-0000-0000E30D0000}"/>
    <cellStyle name="AggOrange9 3" xfId="11820" xr:uid="{00000000-0005-0000-0000-0000E40D0000}"/>
    <cellStyle name="AggOrange9 3 2" xfId="46186" xr:uid="{00000000-0005-0000-0000-0000E50D0000}"/>
    <cellStyle name="AggOrange9 4" xfId="11283" xr:uid="{00000000-0005-0000-0000-0000E60D0000}"/>
    <cellStyle name="AggOrange9 4 2" xfId="45778" xr:uid="{00000000-0005-0000-0000-0000E70D0000}"/>
    <cellStyle name="AggOrange9 5" xfId="42835" xr:uid="{00000000-0005-0000-0000-0000E80D0000}"/>
    <cellStyle name="AggOrange9 6" xfId="44920" xr:uid="{00000000-0005-0000-0000-0000E90D0000}"/>
    <cellStyle name="AggOrange9_CRFReport-template" xfId="9627" xr:uid="{00000000-0005-0000-0000-0000EA0D0000}"/>
    <cellStyle name="AggOrangeLB_2x" xfId="7058" xr:uid="{00000000-0005-0000-0000-0000EB0D0000}"/>
    <cellStyle name="AggOrangeLBorder" xfId="7059" xr:uid="{00000000-0005-0000-0000-0000EC0D0000}"/>
    <cellStyle name="AggOrangeRBorder" xfId="7060" xr:uid="{00000000-0005-0000-0000-0000ED0D0000}"/>
    <cellStyle name="AggOrangeRBorder 2" xfId="9731" xr:uid="{00000000-0005-0000-0000-0000EE0D0000}"/>
    <cellStyle name="AggOrangeRBorder 2 2" xfId="45110" xr:uid="{00000000-0005-0000-0000-0000EF0D0000}"/>
    <cellStyle name="AggOrangeRBorder 3" xfId="11823" xr:uid="{00000000-0005-0000-0000-0000F00D0000}"/>
    <cellStyle name="AggOrangeRBorder 3 2" xfId="46187" xr:uid="{00000000-0005-0000-0000-0000F10D0000}"/>
    <cellStyle name="AggOrangeRBorder 4" xfId="10594" xr:uid="{00000000-0005-0000-0000-0000F20D0000}"/>
    <cellStyle name="AggOrangeRBorder 4 2" xfId="45475" xr:uid="{00000000-0005-0000-0000-0000F30D0000}"/>
    <cellStyle name="AggOrangeRBorder 5" xfId="44921" xr:uid="{00000000-0005-0000-0000-0000F40D0000}"/>
    <cellStyle name="Akzent1" xfId="10148" xr:uid="{00000000-0005-0000-0000-0000F50D0000}"/>
    <cellStyle name="Akzent2" xfId="10149" xr:uid="{00000000-0005-0000-0000-0000F60D0000}"/>
    <cellStyle name="Akzent3" xfId="10150" xr:uid="{00000000-0005-0000-0000-0000F70D0000}"/>
    <cellStyle name="Akzent4" xfId="10151" xr:uid="{00000000-0005-0000-0000-0000F80D0000}"/>
    <cellStyle name="Akzent5" xfId="10152" xr:uid="{00000000-0005-0000-0000-0000F90D0000}"/>
    <cellStyle name="Akzent6" xfId="10153" xr:uid="{00000000-0005-0000-0000-0000FA0D0000}"/>
    <cellStyle name="Assumptions" xfId="24810" xr:uid="{00000000-0005-0000-0000-0000FB0D0000}"/>
    <cellStyle name="Attrib" xfId="24344" xr:uid="{00000000-0005-0000-0000-0000FC0D0000}"/>
    <cellStyle name="Attrib 2" xfId="24804" xr:uid="{00000000-0005-0000-0000-0000FD0D0000}"/>
    <cellStyle name="Ausgabe" xfId="10154" xr:uid="{00000000-0005-0000-0000-0000FE0D0000}"/>
    <cellStyle name="Ausgabe 2" xfId="42836" xr:uid="{00000000-0005-0000-0000-0000FF0D0000}"/>
    <cellStyle name="Ausgabe 3" xfId="45260" xr:uid="{00000000-0005-0000-0000-0000000E0000}"/>
    <cellStyle name="Avertissement" xfId="12319" xr:uid="{00000000-0005-0000-0000-0000010E0000}"/>
    <cellStyle name="Bad 10" xfId="3198" xr:uid="{00000000-0005-0000-0000-0000020E0000}"/>
    <cellStyle name="Bad 11" xfId="42837" xr:uid="{00000000-0005-0000-0000-0000030E0000}"/>
    <cellStyle name="Bad 12" xfId="42838" xr:uid="{00000000-0005-0000-0000-0000040E0000}"/>
    <cellStyle name="Bad 13" xfId="42839" xr:uid="{00000000-0005-0000-0000-0000050E0000}"/>
    <cellStyle name="Bad 14" xfId="42840" xr:uid="{00000000-0005-0000-0000-0000060E0000}"/>
    <cellStyle name="Bad 15" xfId="42841" xr:uid="{00000000-0005-0000-0000-0000070E0000}"/>
    <cellStyle name="Bad 16" xfId="42842" xr:uid="{00000000-0005-0000-0000-0000080E0000}"/>
    <cellStyle name="Bad 17" xfId="42843" xr:uid="{00000000-0005-0000-0000-0000090E0000}"/>
    <cellStyle name="Bad 18" xfId="42844" xr:uid="{00000000-0005-0000-0000-00000A0E0000}"/>
    <cellStyle name="Bad 19" xfId="42845" xr:uid="{00000000-0005-0000-0000-00000B0E0000}"/>
    <cellStyle name="Bad 2" xfId="1369" xr:uid="{00000000-0005-0000-0000-00000C0E0000}"/>
    <cellStyle name="Bad 2 10" xfId="1370" xr:uid="{00000000-0005-0000-0000-00000D0E0000}"/>
    <cellStyle name="Bad 2 10 2" xfId="7880" xr:uid="{00000000-0005-0000-0000-00000E0E0000}"/>
    <cellStyle name="Bad 2 11" xfId="1371" xr:uid="{00000000-0005-0000-0000-00000F0E0000}"/>
    <cellStyle name="Bad 2 2" xfId="1372" xr:uid="{00000000-0005-0000-0000-0000100E0000}"/>
    <cellStyle name="Bad 2 2 2" xfId="7881" xr:uid="{00000000-0005-0000-0000-0000110E0000}"/>
    <cellStyle name="Bad 2 3" xfId="1373" xr:uid="{00000000-0005-0000-0000-0000120E0000}"/>
    <cellStyle name="Bad 2 3 2" xfId="7882" xr:uid="{00000000-0005-0000-0000-0000130E0000}"/>
    <cellStyle name="Bad 2 4" xfId="1374" xr:uid="{00000000-0005-0000-0000-0000140E0000}"/>
    <cellStyle name="Bad 2 4 2" xfId="7883" xr:uid="{00000000-0005-0000-0000-0000150E0000}"/>
    <cellStyle name="Bad 2 5" xfId="1375" xr:uid="{00000000-0005-0000-0000-0000160E0000}"/>
    <cellStyle name="Bad 2 5 2" xfId="7884" xr:uid="{00000000-0005-0000-0000-0000170E0000}"/>
    <cellStyle name="Bad 2 6" xfId="1376" xr:uid="{00000000-0005-0000-0000-0000180E0000}"/>
    <cellStyle name="Bad 2 6 2" xfId="7885" xr:uid="{00000000-0005-0000-0000-0000190E0000}"/>
    <cellStyle name="Bad 2 7" xfId="1377" xr:uid="{00000000-0005-0000-0000-00001A0E0000}"/>
    <cellStyle name="Bad 2 7 2" xfId="7886" xr:uid="{00000000-0005-0000-0000-00001B0E0000}"/>
    <cellStyle name="Bad 2 8" xfId="1378" xr:uid="{00000000-0005-0000-0000-00001C0E0000}"/>
    <cellStyle name="Bad 2 8 2" xfId="7887" xr:uid="{00000000-0005-0000-0000-00001D0E0000}"/>
    <cellStyle name="Bad 2 9" xfId="1379" xr:uid="{00000000-0005-0000-0000-00001E0E0000}"/>
    <cellStyle name="Bad 2 9 2" xfId="7888" xr:uid="{00000000-0005-0000-0000-00001F0E0000}"/>
    <cellStyle name="Bad 20" xfId="42846" xr:uid="{00000000-0005-0000-0000-0000200E0000}"/>
    <cellStyle name="Bad 21" xfId="42847" xr:uid="{00000000-0005-0000-0000-0000210E0000}"/>
    <cellStyle name="Bad 22" xfId="42848" xr:uid="{00000000-0005-0000-0000-0000220E0000}"/>
    <cellStyle name="Bad 23" xfId="42849" xr:uid="{00000000-0005-0000-0000-0000230E0000}"/>
    <cellStyle name="Bad 24" xfId="42850" xr:uid="{00000000-0005-0000-0000-0000240E0000}"/>
    <cellStyle name="Bad 25" xfId="42851" xr:uid="{00000000-0005-0000-0000-0000250E0000}"/>
    <cellStyle name="Bad 26" xfId="42852" xr:uid="{00000000-0005-0000-0000-0000260E0000}"/>
    <cellStyle name="Bad 27" xfId="42853" xr:uid="{00000000-0005-0000-0000-0000270E0000}"/>
    <cellStyle name="Bad 28" xfId="42854" xr:uid="{00000000-0005-0000-0000-0000280E0000}"/>
    <cellStyle name="Bad 29" xfId="42855" xr:uid="{00000000-0005-0000-0000-0000290E0000}"/>
    <cellStyle name="Bad 3" xfId="1380" xr:uid="{00000000-0005-0000-0000-00002A0E0000}"/>
    <cellStyle name="Bad 3 10" xfId="1381" xr:uid="{00000000-0005-0000-0000-00002B0E0000}"/>
    <cellStyle name="Bad 3 11" xfId="1382" xr:uid="{00000000-0005-0000-0000-00002C0E0000}"/>
    <cellStyle name="Bad 3 12" xfId="7889" xr:uid="{00000000-0005-0000-0000-00002D0E0000}"/>
    <cellStyle name="Bad 3 2" xfId="1383" xr:uid="{00000000-0005-0000-0000-00002E0E0000}"/>
    <cellStyle name="Bad 3 2 2" xfId="42856" xr:uid="{00000000-0005-0000-0000-00002F0E0000}"/>
    <cellStyle name="Bad 3 3" xfId="1384" xr:uid="{00000000-0005-0000-0000-0000300E0000}"/>
    <cellStyle name="Bad 3 4" xfId="1385" xr:uid="{00000000-0005-0000-0000-0000310E0000}"/>
    <cellStyle name="Bad 3 5" xfId="1386" xr:uid="{00000000-0005-0000-0000-0000320E0000}"/>
    <cellStyle name="Bad 3 6" xfId="1387" xr:uid="{00000000-0005-0000-0000-0000330E0000}"/>
    <cellStyle name="Bad 3 7" xfId="1388" xr:uid="{00000000-0005-0000-0000-0000340E0000}"/>
    <cellStyle name="Bad 3 8" xfId="1389" xr:uid="{00000000-0005-0000-0000-0000350E0000}"/>
    <cellStyle name="Bad 3 9" xfId="1390" xr:uid="{00000000-0005-0000-0000-0000360E0000}"/>
    <cellStyle name="Bad 30" xfId="42857" xr:uid="{00000000-0005-0000-0000-0000370E0000}"/>
    <cellStyle name="Bad 31" xfId="42858" xr:uid="{00000000-0005-0000-0000-0000380E0000}"/>
    <cellStyle name="Bad 32" xfId="42859" xr:uid="{00000000-0005-0000-0000-0000390E0000}"/>
    <cellStyle name="Bad 33" xfId="42860" xr:uid="{00000000-0005-0000-0000-00003A0E0000}"/>
    <cellStyle name="Bad 34" xfId="42861" xr:uid="{00000000-0005-0000-0000-00003B0E0000}"/>
    <cellStyle name="Bad 35" xfId="42862" xr:uid="{00000000-0005-0000-0000-00003C0E0000}"/>
    <cellStyle name="Bad 36" xfId="42863" xr:uid="{00000000-0005-0000-0000-00003D0E0000}"/>
    <cellStyle name="Bad 37" xfId="42864" xr:uid="{00000000-0005-0000-0000-00003E0E0000}"/>
    <cellStyle name="Bad 38" xfId="42865" xr:uid="{00000000-0005-0000-0000-00003F0E0000}"/>
    <cellStyle name="Bad 39" xfId="42866" xr:uid="{00000000-0005-0000-0000-0000400E0000}"/>
    <cellStyle name="Bad 4" xfId="1391" xr:uid="{00000000-0005-0000-0000-0000410E0000}"/>
    <cellStyle name="Bad 4 10" xfId="1392" xr:uid="{00000000-0005-0000-0000-0000420E0000}"/>
    <cellStyle name="Bad 4 11" xfId="1393" xr:uid="{00000000-0005-0000-0000-0000430E0000}"/>
    <cellStyle name="Bad 4 2" xfId="1394" xr:uid="{00000000-0005-0000-0000-0000440E0000}"/>
    <cellStyle name="Bad 4 3" xfId="1395" xr:uid="{00000000-0005-0000-0000-0000450E0000}"/>
    <cellStyle name="Bad 4 4" xfId="1396" xr:uid="{00000000-0005-0000-0000-0000460E0000}"/>
    <cellStyle name="Bad 4 5" xfId="1397" xr:uid="{00000000-0005-0000-0000-0000470E0000}"/>
    <cellStyle name="Bad 4 6" xfId="1398" xr:uid="{00000000-0005-0000-0000-0000480E0000}"/>
    <cellStyle name="Bad 4 7" xfId="1399" xr:uid="{00000000-0005-0000-0000-0000490E0000}"/>
    <cellStyle name="Bad 4 8" xfId="1400" xr:uid="{00000000-0005-0000-0000-00004A0E0000}"/>
    <cellStyle name="Bad 4 9" xfId="1401" xr:uid="{00000000-0005-0000-0000-00004B0E0000}"/>
    <cellStyle name="Bad 40" xfId="42867" xr:uid="{00000000-0005-0000-0000-00004C0E0000}"/>
    <cellStyle name="Bad 41" xfId="42868" xr:uid="{00000000-0005-0000-0000-00004D0E0000}"/>
    <cellStyle name="Bad 42" xfId="42869" xr:uid="{00000000-0005-0000-0000-00004E0E0000}"/>
    <cellStyle name="Bad 43" xfId="42870" xr:uid="{00000000-0005-0000-0000-00004F0E0000}"/>
    <cellStyle name="Bad 5" xfId="1402" xr:uid="{00000000-0005-0000-0000-0000500E0000}"/>
    <cellStyle name="Bad 5 10" xfId="1403" xr:uid="{00000000-0005-0000-0000-0000510E0000}"/>
    <cellStyle name="Bad 5 11" xfId="1404" xr:uid="{00000000-0005-0000-0000-0000520E0000}"/>
    <cellStyle name="Bad 5 2" xfId="1405" xr:uid="{00000000-0005-0000-0000-0000530E0000}"/>
    <cellStyle name="Bad 5 3" xfId="1406" xr:uid="{00000000-0005-0000-0000-0000540E0000}"/>
    <cellStyle name="Bad 5 4" xfId="1407" xr:uid="{00000000-0005-0000-0000-0000550E0000}"/>
    <cellStyle name="Bad 5 5" xfId="1408" xr:uid="{00000000-0005-0000-0000-0000560E0000}"/>
    <cellStyle name="Bad 5 6" xfId="1409" xr:uid="{00000000-0005-0000-0000-0000570E0000}"/>
    <cellStyle name="Bad 5 7" xfId="1410" xr:uid="{00000000-0005-0000-0000-0000580E0000}"/>
    <cellStyle name="Bad 5 8" xfId="1411" xr:uid="{00000000-0005-0000-0000-0000590E0000}"/>
    <cellStyle name="Bad 5 9" xfId="1412" xr:uid="{00000000-0005-0000-0000-00005A0E0000}"/>
    <cellStyle name="Bad 6" xfId="1413" xr:uid="{00000000-0005-0000-0000-00005B0E0000}"/>
    <cellStyle name="Bad 6 10" xfId="1414" xr:uid="{00000000-0005-0000-0000-00005C0E0000}"/>
    <cellStyle name="Bad 6 11" xfId="1415" xr:uid="{00000000-0005-0000-0000-00005D0E0000}"/>
    <cellStyle name="Bad 6 2" xfId="1416" xr:uid="{00000000-0005-0000-0000-00005E0E0000}"/>
    <cellStyle name="Bad 6 3" xfId="1417" xr:uid="{00000000-0005-0000-0000-00005F0E0000}"/>
    <cellStyle name="Bad 6 4" xfId="1418" xr:uid="{00000000-0005-0000-0000-0000600E0000}"/>
    <cellStyle name="Bad 6 5" xfId="1419" xr:uid="{00000000-0005-0000-0000-0000610E0000}"/>
    <cellStyle name="Bad 6 6" xfId="1420" xr:uid="{00000000-0005-0000-0000-0000620E0000}"/>
    <cellStyle name="Bad 6 7" xfId="1421" xr:uid="{00000000-0005-0000-0000-0000630E0000}"/>
    <cellStyle name="Bad 6 8" xfId="1422" xr:uid="{00000000-0005-0000-0000-0000640E0000}"/>
    <cellStyle name="Bad 6 9" xfId="1423" xr:uid="{00000000-0005-0000-0000-0000650E0000}"/>
    <cellStyle name="Bad 7" xfId="1424" xr:uid="{00000000-0005-0000-0000-0000660E0000}"/>
    <cellStyle name="Bad 8" xfId="1425" xr:uid="{00000000-0005-0000-0000-0000670E0000}"/>
    <cellStyle name="Bad 9" xfId="3199" xr:uid="{00000000-0005-0000-0000-0000680E0000}"/>
    <cellStyle name="Berechnung" xfId="10155" xr:uid="{00000000-0005-0000-0000-0000690E0000}"/>
    <cellStyle name="Berechnung 2" xfId="42871" xr:uid="{00000000-0005-0000-0000-00006A0E0000}"/>
    <cellStyle name="Bevitel" xfId="3114" xr:uid="{00000000-0005-0000-0000-00006B0E0000}"/>
    <cellStyle name="Bevitel 10" xfId="12907" xr:uid="{00000000-0005-0000-0000-00006C0E0000}"/>
    <cellStyle name="Bevitel 2" xfId="13999" xr:uid="{00000000-0005-0000-0000-00006D0E0000}"/>
    <cellStyle name="Bevitel 2 2" xfId="18979" xr:uid="{00000000-0005-0000-0000-00006E0E0000}"/>
    <cellStyle name="Bevitel 2 3" xfId="24325" xr:uid="{00000000-0005-0000-0000-00006F0E0000}"/>
    <cellStyle name="Bevitel 2 4" xfId="23504" xr:uid="{00000000-0005-0000-0000-0000700E0000}"/>
    <cellStyle name="Bevitel 3" xfId="15052" xr:uid="{00000000-0005-0000-0000-0000710E0000}"/>
    <cellStyle name="Bevitel 3 2" xfId="20420" xr:uid="{00000000-0005-0000-0000-0000720E0000}"/>
    <cellStyle name="Bevitel 4" xfId="16049" xr:uid="{00000000-0005-0000-0000-0000730E0000}"/>
    <cellStyle name="Bevitel 4 2" xfId="21551" xr:uid="{00000000-0005-0000-0000-0000740E0000}"/>
    <cellStyle name="Bevitel 5" xfId="15314" xr:uid="{00000000-0005-0000-0000-0000750E0000}"/>
    <cellStyle name="Bevitel 5 2" xfId="20745" xr:uid="{00000000-0005-0000-0000-0000760E0000}"/>
    <cellStyle name="Bevitel 6" xfId="16362" xr:uid="{00000000-0005-0000-0000-0000770E0000}"/>
    <cellStyle name="Bevitel 6 2" xfId="21945" xr:uid="{00000000-0005-0000-0000-0000780E0000}"/>
    <cellStyle name="Bevitel 7" xfId="17078" xr:uid="{00000000-0005-0000-0000-0000790E0000}"/>
    <cellStyle name="Bevitel 7 2" xfId="22724" xr:uid="{00000000-0005-0000-0000-00007A0E0000}"/>
    <cellStyle name="Bevitel 8" xfId="13338" xr:uid="{00000000-0005-0000-0000-00007B0E0000}"/>
    <cellStyle name="Bevitel 8 2" xfId="18317" xr:uid="{00000000-0005-0000-0000-00007C0E0000}"/>
    <cellStyle name="Bevitel 9" xfId="12346" xr:uid="{00000000-0005-0000-0000-00007D0E0000}"/>
    <cellStyle name="Bold GHG Numbers (0.00)" xfId="42872" xr:uid="{00000000-0005-0000-0000-00007E0E0000}"/>
    <cellStyle name="Calcolo" xfId="9594" xr:uid="{00000000-0005-0000-0000-00007F0E0000}"/>
    <cellStyle name="Calcolo 10" xfId="18300" xr:uid="{00000000-0005-0000-0000-0000800E0000}"/>
    <cellStyle name="Calcolo 11" xfId="24149" xr:uid="{00000000-0005-0000-0000-0000810E0000}"/>
    <cellStyle name="Calcolo 2" xfId="5204" xr:uid="{00000000-0005-0000-0000-0000820E0000}"/>
    <cellStyle name="Calcolo 2 2" xfId="10874" xr:uid="{00000000-0005-0000-0000-0000830E0000}"/>
    <cellStyle name="Calcolo 3" xfId="15057" xr:uid="{00000000-0005-0000-0000-0000840E0000}"/>
    <cellStyle name="Calcolo 3 2" xfId="20438" xr:uid="{00000000-0005-0000-0000-0000850E0000}"/>
    <cellStyle name="Calcolo 3 3" xfId="24801" xr:uid="{00000000-0005-0000-0000-0000860E0000}"/>
    <cellStyle name="Calcolo 4" xfId="16250" xr:uid="{00000000-0005-0000-0000-0000870E0000}"/>
    <cellStyle name="Calcolo 4 2" xfId="21803" xr:uid="{00000000-0005-0000-0000-0000880E0000}"/>
    <cellStyle name="Calcolo 5" xfId="16680" xr:uid="{00000000-0005-0000-0000-0000890E0000}"/>
    <cellStyle name="Calcolo 5 2" xfId="22321" xr:uid="{00000000-0005-0000-0000-00008A0E0000}"/>
    <cellStyle name="Calcolo 6" xfId="17058" xr:uid="{00000000-0005-0000-0000-00008B0E0000}"/>
    <cellStyle name="Calcolo 6 2" xfId="22709" xr:uid="{00000000-0005-0000-0000-00008C0E0000}"/>
    <cellStyle name="Calcolo 7" xfId="17779" xr:uid="{00000000-0005-0000-0000-00008D0E0000}"/>
    <cellStyle name="Calcolo 7 2" xfId="23423" xr:uid="{00000000-0005-0000-0000-00008E0E0000}"/>
    <cellStyle name="Calcolo 8" xfId="13983" xr:uid="{00000000-0005-0000-0000-00008F0E0000}"/>
    <cellStyle name="Calcolo 8 2" xfId="18956" xr:uid="{00000000-0005-0000-0000-0000900E0000}"/>
    <cellStyle name="Calcolo 9" xfId="13312" xr:uid="{00000000-0005-0000-0000-0000910E0000}"/>
    <cellStyle name="Calc-Some-Ext" xfId="24345" xr:uid="{00000000-0005-0000-0000-0000920E0000}"/>
    <cellStyle name="Calc-Some-Ext 2" xfId="24805" xr:uid="{00000000-0005-0000-0000-0000930E0000}"/>
    <cellStyle name="Calc-Some-Int" xfId="24818" xr:uid="{00000000-0005-0000-0000-0000940E0000}"/>
    <cellStyle name="Calcul" xfId="12320" xr:uid="{00000000-0005-0000-0000-0000950E0000}"/>
    <cellStyle name="Calcul 10" xfId="13324" xr:uid="{00000000-0005-0000-0000-0000960E0000}"/>
    <cellStyle name="Calcul 10 2" xfId="18306" xr:uid="{00000000-0005-0000-0000-0000970E0000}"/>
    <cellStyle name="Calcul 11" xfId="12976" xr:uid="{00000000-0005-0000-0000-0000980E0000}"/>
    <cellStyle name="Calcul 2" xfId="12341" xr:uid="{00000000-0005-0000-0000-0000990E0000}"/>
    <cellStyle name="Calcul 2 10" xfId="12970" xr:uid="{00000000-0005-0000-0000-00009A0E0000}"/>
    <cellStyle name="Calcul 2 2" xfId="13994" xr:uid="{00000000-0005-0000-0000-00009B0E0000}"/>
    <cellStyle name="Calcul 2 2 2" xfId="18969" xr:uid="{00000000-0005-0000-0000-00009C0E0000}"/>
    <cellStyle name="Calcul 2 3" xfId="15006" xr:uid="{00000000-0005-0000-0000-00009D0E0000}"/>
    <cellStyle name="Calcul 2 3 2" xfId="20367" xr:uid="{00000000-0005-0000-0000-00009E0E0000}"/>
    <cellStyle name="Calcul 2 4" xfId="15077" xr:uid="{00000000-0005-0000-0000-00009F0E0000}"/>
    <cellStyle name="Calcul 2 4 2" xfId="20461" xr:uid="{00000000-0005-0000-0000-0000A00E0000}"/>
    <cellStyle name="Calcul 2 5" xfId="16058" xr:uid="{00000000-0005-0000-0000-0000A10E0000}"/>
    <cellStyle name="Calcul 2 5 2" xfId="21560" xr:uid="{00000000-0005-0000-0000-0000A20E0000}"/>
    <cellStyle name="Calcul 2 6" xfId="15310" xr:uid="{00000000-0005-0000-0000-0000A30E0000}"/>
    <cellStyle name="Calcul 2 6 2" xfId="20699" xr:uid="{00000000-0005-0000-0000-0000A40E0000}"/>
    <cellStyle name="Calcul 2 7" xfId="16366" xr:uid="{00000000-0005-0000-0000-0000A50E0000}"/>
    <cellStyle name="Calcul 2 7 2" xfId="22008" xr:uid="{00000000-0005-0000-0000-0000A60E0000}"/>
    <cellStyle name="Calcul 2 8" xfId="17073" xr:uid="{00000000-0005-0000-0000-0000A70E0000}"/>
    <cellStyle name="Calcul 2 8 2" xfId="22720" xr:uid="{00000000-0005-0000-0000-0000A80E0000}"/>
    <cellStyle name="Calcul 2 9" xfId="13333" xr:uid="{00000000-0005-0000-0000-0000A90E0000}"/>
    <cellStyle name="Calcul 2 9 2" xfId="18312" xr:uid="{00000000-0005-0000-0000-0000AA0E0000}"/>
    <cellStyle name="Calcul 3" xfId="13988" xr:uid="{00000000-0005-0000-0000-0000AB0E0000}"/>
    <cellStyle name="Calcul 3 2" xfId="18960" xr:uid="{00000000-0005-0000-0000-0000AC0E0000}"/>
    <cellStyle name="Calcul 4" xfId="15013" xr:uid="{00000000-0005-0000-0000-0000AD0E0000}"/>
    <cellStyle name="Calcul 4 2" xfId="20374" xr:uid="{00000000-0005-0000-0000-0000AE0E0000}"/>
    <cellStyle name="Calcul 5" xfId="15068" xr:uid="{00000000-0005-0000-0000-0000AF0E0000}"/>
    <cellStyle name="Calcul 5 2" xfId="20455" xr:uid="{00000000-0005-0000-0000-0000B00E0000}"/>
    <cellStyle name="Calcul 6" xfId="16066" xr:uid="{00000000-0005-0000-0000-0000B10E0000}"/>
    <cellStyle name="Calcul 6 2" xfId="21574" xr:uid="{00000000-0005-0000-0000-0000B20E0000}"/>
    <cellStyle name="Calcul 7" xfId="15305" xr:uid="{00000000-0005-0000-0000-0000B30E0000}"/>
    <cellStyle name="Calcul 7 2" xfId="20694" xr:uid="{00000000-0005-0000-0000-0000B40E0000}"/>
    <cellStyle name="Calcul 8" xfId="16371" xr:uid="{00000000-0005-0000-0000-0000B50E0000}"/>
    <cellStyle name="Calcul 8 2" xfId="22013" xr:uid="{00000000-0005-0000-0000-0000B60E0000}"/>
    <cellStyle name="Calcul 9" xfId="17064" xr:uid="{00000000-0005-0000-0000-0000B70E0000}"/>
    <cellStyle name="Calcul 9 2" xfId="22714" xr:uid="{00000000-0005-0000-0000-0000B80E0000}"/>
    <cellStyle name="Calculation 10" xfId="3200" xr:uid="{00000000-0005-0000-0000-0000B90E0000}"/>
    <cellStyle name="Calculation 10 10" xfId="12589" xr:uid="{00000000-0005-0000-0000-0000BA0E0000}"/>
    <cellStyle name="Calculation 10 11" xfId="12588" xr:uid="{00000000-0005-0000-0000-0000BB0E0000}"/>
    <cellStyle name="Calculation 10 2" xfId="3201" xr:uid="{00000000-0005-0000-0000-0000BC0E0000}"/>
    <cellStyle name="Calculation 10 2 10" xfId="17985" xr:uid="{00000000-0005-0000-0000-0000BD0E0000}"/>
    <cellStyle name="Calculation 10 2 2" xfId="14684" xr:uid="{00000000-0005-0000-0000-0000BE0E0000}"/>
    <cellStyle name="Calculation 10 2 2 2" xfId="20005" xr:uid="{00000000-0005-0000-0000-0000BF0E0000}"/>
    <cellStyle name="Calculation 10 2 2 3" xfId="24500" xr:uid="{00000000-0005-0000-0000-0000C00E0000}"/>
    <cellStyle name="Calculation 10 2 2 4" xfId="23830" xr:uid="{00000000-0005-0000-0000-0000C10E0000}"/>
    <cellStyle name="Calculation 10 2 3" xfId="14672" xr:uid="{00000000-0005-0000-0000-0000C20E0000}"/>
    <cellStyle name="Calculation 10 2 3 2" xfId="19980" xr:uid="{00000000-0005-0000-0000-0000C30E0000}"/>
    <cellStyle name="Calculation 10 2 4" xfId="15285" xr:uid="{00000000-0005-0000-0000-0000C40E0000}"/>
    <cellStyle name="Calculation 10 2 4 2" xfId="20673" xr:uid="{00000000-0005-0000-0000-0000C50E0000}"/>
    <cellStyle name="Calculation 10 2 5" xfId="16380" xr:uid="{00000000-0005-0000-0000-0000C60E0000}"/>
    <cellStyle name="Calculation 10 2 5 2" xfId="22021" xr:uid="{00000000-0005-0000-0000-0000C70E0000}"/>
    <cellStyle name="Calculation 10 2 6" xfId="16743" xr:uid="{00000000-0005-0000-0000-0000C80E0000}"/>
    <cellStyle name="Calculation 10 2 6 2" xfId="22394" xr:uid="{00000000-0005-0000-0000-0000C90E0000}"/>
    <cellStyle name="Calculation 10 2 7" xfId="17461" xr:uid="{00000000-0005-0000-0000-0000CA0E0000}"/>
    <cellStyle name="Calculation 10 2 7 2" xfId="23108" xr:uid="{00000000-0005-0000-0000-0000CB0E0000}"/>
    <cellStyle name="Calculation 10 2 8" xfId="13665" xr:uid="{00000000-0005-0000-0000-0000CC0E0000}"/>
    <cellStyle name="Calculation 10 2 8 2" xfId="18641" xr:uid="{00000000-0005-0000-0000-0000CD0E0000}"/>
    <cellStyle name="Calculation 10 2 9" xfId="12992" xr:uid="{00000000-0005-0000-0000-0000CE0E0000}"/>
    <cellStyle name="Calculation 10 3" xfId="10873" xr:uid="{00000000-0005-0000-0000-0000CF0E0000}"/>
    <cellStyle name="Calculation 10 3 2" xfId="19135" xr:uid="{00000000-0005-0000-0000-0000D00E0000}"/>
    <cellStyle name="Calculation 10 3 3" xfId="24320" xr:uid="{00000000-0005-0000-0000-0000D10E0000}"/>
    <cellStyle name="Calculation 10 3 4" xfId="23509" xr:uid="{00000000-0005-0000-0000-0000D20E0000}"/>
    <cellStyle name="Calculation 10 4" xfId="14004" xr:uid="{00000000-0005-0000-0000-0000D30E0000}"/>
    <cellStyle name="Calculation 10 4 2" xfId="18991" xr:uid="{00000000-0005-0000-0000-0000D40E0000}"/>
    <cellStyle name="Calculation 10 5" xfId="15813" xr:uid="{00000000-0005-0000-0000-0000D50E0000}"/>
    <cellStyle name="Calculation 10 5 2" xfId="21307" xr:uid="{00000000-0005-0000-0000-0000D60E0000}"/>
    <cellStyle name="Calculation 10 6" xfId="15951" xr:uid="{00000000-0005-0000-0000-0000D70E0000}"/>
    <cellStyle name="Calculation 10 6 2" xfId="21445" xr:uid="{00000000-0005-0000-0000-0000D80E0000}"/>
    <cellStyle name="Calculation 10 7" xfId="15950" xr:uid="{00000000-0005-0000-0000-0000D90E0000}"/>
    <cellStyle name="Calculation 10 7 2" xfId="21444" xr:uid="{00000000-0005-0000-0000-0000DA0E0000}"/>
    <cellStyle name="Calculation 10 8" xfId="17084" xr:uid="{00000000-0005-0000-0000-0000DB0E0000}"/>
    <cellStyle name="Calculation 10 8 2" xfId="22730" xr:uid="{00000000-0005-0000-0000-0000DC0E0000}"/>
    <cellStyle name="Calculation 10 9" xfId="13343" xr:uid="{00000000-0005-0000-0000-0000DD0E0000}"/>
    <cellStyle name="Calculation 10 9 2" xfId="18322" xr:uid="{00000000-0005-0000-0000-0000DE0E0000}"/>
    <cellStyle name="Calculation 11" xfId="42873" xr:uid="{00000000-0005-0000-0000-0000DF0E0000}"/>
    <cellStyle name="Calculation 12" xfId="42874" xr:uid="{00000000-0005-0000-0000-0000E00E0000}"/>
    <cellStyle name="Calculation 13" xfId="42875" xr:uid="{00000000-0005-0000-0000-0000E10E0000}"/>
    <cellStyle name="Calculation 14" xfId="42876" xr:uid="{00000000-0005-0000-0000-0000E20E0000}"/>
    <cellStyle name="Calculation 15" xfId="42877" xr:uid="{00000000-0005-0000-0000-0000E30E0000}"/>
    <cellStyle name="Calculation 16" xfId="42878" xr:uid="{00000000-0005-0000-0000-0000E40E0000}"/>
    <cellStyle name="Calculation 17" xfId="42879" xr:uid="{00000000-0005-0000-0000-0000E50E0000}"/>
    <cellStyle name="Calculation 18" xfId="42880" xr:uid="{00000000-0005-0000-0000-0000E60E0000}"/>
    <cellStyle name="Calculation 19" xfId="42881" xr:uid="{00000000-0005-0000-0000-0000E70E0000}"/>
    <cellStyle name="Calculation 2" xfId="1426" xr:uid="{00000000-0005-0000-0000-0000E80E0000}"/>
    <cellStyle name="Calculation 2 10" xfId="1427" xr:uid="{00000000-0005-0000-0000-0000E90E0000}"/>
    <cellStyle name="Calculation 2 10 10" xfId="12591" xr:uid="{00000000-0005-0000-0000-0000EA0E0000}"/>
    <cellStyle name="Calculation 2 10 11" xfId="12586" xr:uid="{00000000-0005-0000-0000-0000EB0E0000}"/>
    <cellStyle name="Calculation 2 10 2" xfId="3202" xr:uid="{00000000-0005-0000-0000-0000EC0E0000}"/>
    <cellStyle name="Calculation 2 10 2 10" xfId="17987" xr:uid="{00000000-0005-0000-0000-0000ED0E0000}"/>
    <cellStyle name="Calculation 2 10 2 2" xfId="7890" xr:uid="{00000000-0005-0000-0000-0000EE0E0000}"/>
    <cellStyle name="Calculation 2 10 2 2 2" xfId="20007" xr:uid="{00000000-0005-0000-0000-0000EF0E0000}"/>
    <cellStyle name="Calculation 2 10 2 2 2 2" xfId="44943" xr:uid="{00000000-0005-0000-0000-0000F00E0000}"/>
    <cellStyle name="Calculation 2 10 2 2 3" xfId="14686" xr:uid="{00000000-0005-0000-0000-0000F10E0000}"/>
    <cellStyle name="Calculation 2 10 2 2 3 2" xfId="24502" xr:uid="{00000000-0005-0000-0000-0000F20E0000}"/>
    <cellStyle name="Calculation 2 10 2 2 4" xfId="23832" xr:uid="{00000000-0005-0000-0000-0000F30E0000}"/>
    <cellStyle name="Calculation 2 10 2 3" xfId="11008" xr:uid="{00000000-0005-0000-0000-0000F40E0000}"/>
    <cellStyle name="Calculation 2 10 2 3 2" xfId="19982" xr:uid="{00000000-0005-0000-0000-0000F50E0000}"/>
    <cellStyle name="Calculation 2 10 2 4" xfId="15283" xr:uid="{00000000-0005-0000-0000-0000F60E0000}"/>
    <cellStyle name="Calculation 2 10 2 4 2" xfId="20671" xr:uid="{00000000-0005-0000-0000-0000F70E0000}"/>
    <cellStyle name="Calculation 2 10 2 5" xfId="16382" xr:uid="{00000000-0005-0000-0000-0000F80E0000}"/>
    <cellStyle name="Calculation 2 10 2 5 2" xfId="22023" xr:uid="{00000000-0005-0000-0000-0000F90E0000}"/>
    <cellStyle name="Calculation 2 10 2 6" xfId="16745" xr:uid="{00000000-0005-0000-0000-0000FA0E0000}"/>
    <cellStyle name="Calculation 2 10 2 6 2" xfId="22396" xr:uid="{00000000-0005-0000-0000-0000FB0E0000}"/>
    <cellStyle name="Calculation 2 10 2 7" xfId="17463" xr:uid="{00000000-0005-0000-0000-0000FC0E0000}"/>
    <cellStyle name="Calculation 2 10 2 7 2" xfId="23110" xr:uid="{00000000-0005-0000-0000-0000FD0E0000}"/>
    <cellStyle name="Calculation 2 10 2 8" xfId="13667" xr:uid="{00000000-0005-0000-0000-0000FE0E0000}"/>
    <cellStyle name="Calculation 2 10 2 8 2" xfId="18643" xr:uid="{00000000-0005-0000-0000-0000FF0E0000}"/>
    <cellStyle name="Calculation 2 10 2 9" xfId="12994" xr:uid="{00000000-0005-0000-0000-0000000F0000}"/>
    <cellStyle name="Calculation 2 10 3" xfId="10522" xr:uid="{00000000-0005-0000-0000-0000010F0000}"/>
    <cellStyle name="Calculation 2 10 3 2" xfId="19137" xr:uid="{00000000-0005-0000-0000-0000020F0000}"/>
    <cellStyle name="Calculation 2 10 3 3" xfId="24318" xr:uid="{00000000-0005-0000-0000-0000030F0000}"/>
    <cellStyle name="Calculation 2 10 3 4" xfId="23511" xr:uid="{00000000-0005-0000-0000-0000040F0000}"/>
    <cellStyle name="Calculation 2 10 4" xfId="14006" xr:uid="{00000000-0005-0000-0000-0000050F0000}"/>
    <cellStyle name="Calculation 2 10 4 2" xfId="18993" xr:uid="{00000000-0005-0000-0000-0000060F0000}"/>
    <cellStyle name="Calculation 2 10 4 3" xfId="41425" xr:uid="{00000000-0005-0000-0000-0000070F0000}"/>
    <cellStyle name="Calculation 2 10 5" xfId="15811" xr:uid="{00000000-0005-0000-0000-0000080F0000}"/>
    <cellStyle name="Calculation 2 10 5 2" xfId="21305" xr:uid="{00000000-0005-0000-0000-0000090F0000}"/>
    <cellStyle name="Calculation 2 10 6" xfId="15952" xr:uid="{00000000-0005-0000-0000-00000A0F0000}"/>
    <cellStyle name="Calculation 2 10 6 2" xfId="21446" xr:uid="{00000000-0005-0000-0000-00000B0F0000}"/>
    <cellStyle name="Calculation 2 10 7" xfId="15949" xr:uid="{00000000-0005-0000-0000-00000C0F0000}"/>
    <cellStyle name="Calculation 2 10 7 2" xfId="21443" xr:uid="{00000000-0005-0000-0000-00000D0F0000}"/>
    <cellStyle name="Calculation 2 10 8" xfId="17086" xr:uid="{00000000-0005-0000-0000-00000E0F0000}"/>
    <cellStyle name="Calculation 2 10 8 2" xfId="22732" xr:uid="{00000000-0005-0000-0000-00000F0F0000}"/>
    <cellStyle name="Calculation 2 10 9" xfId="13345" xr:uid="{00000000-0005-0000-0000-0000100F0000}"/>
    <cellStyle name="Calculation 2 10 9 2" xfId="18324" xr:uid="{00000000-0005-0000-0000-0000110F0000}"/>
    <cellStyle name="Calculation 2 11" xfId="1428" xr:uid="{00000000-0005-0000-0000-0000120F0000}"/>
    <cellStyle name="Calculation 2 11 10" xfId="12592" xr:uid="{00000000-0005-0000-0000-0000130F0000}"/>
    <cellStyle name="Calculation 2 11 11" xfId="12585" xr:uid="{00000000-0005-0000-0000-0000140F0000}"/>
    <cellStyle name="Calculation 2 11 2" xfId="3203" xr:uid="{00000000-0005-0000-0000-0000150F0000}"/>
    <cellStyle name="Calculation 2 11 2 10" xfId="17988" xr:uid="{00000000-0005-0000-0000-0000160F0000}"/>
    <cellStyle name="Calculation 2 11 2 2" xfId="14687" xr:uid="{00000000-0005-0000-0000-0000170F0000}"/>
    <cellStyle name="Calculation 2 11 2 2 2" xfId="20008" xr:uid="{00000000-0005-0000-0000-0000180F0000}"/>
    <cellStyle name="Calculation 2 11 2 2 3" xfId="24503" xr:uid="{00000000-0005-0000-0000-0000190F0000}"/>
    <cellStyle name="Calculation 2 11 2 2 4" xfId="23833" xr:uid="{00000000-0005-0000-0000-00001A0F0000}"/>
    <cellStyle name="Calculation 2 11 2 3" xfId="14674" xr:uid="{00000000-0005-0000-0000-00001B0F0000}"/>
    <cellStyle name="Calculation 2 11 2 3 2" xfId="19983" xr:uid="{00000000-0005-0000-0000-00001C0F0000}"/>
    <cellStyle name="Calculation 2 11 2 4" xfId="15282" xr:uid="{00000000-0005-0000-0000-00001D0F0000}"/>
    <cellStyle name="Calculation 2 11 2 4 2" xfId="20670" xr:uid="{00000000-0005-0000-0000-00001E0F0000}"/>
    <cellStyle name="Calculation 2 11 2 5" xfId="16383" xr:uid="{00000000-0005-0000-0000-00001F0F0000}"/>
    <cellStyle name="Calculation 2 11 2 5 2" xfId="22024" xr:uid="{00000000-0005-0000-0000-0000200F0000}"/>
    <cellStyle name="Calculation 2 11 2 6" xfId="16746" xr:uid="{00000000-0005-0000-0000-0000210F0000}"/>
    <cellStyle name="Calculation 2 11 2 6 2" xfId="22397" xr:uid="{00000000-0005-0000-0000-0000220F0000}"/>
    <cellStyle name="Calculation 2 11 2 7" xfId="17464" xr:uid="{00000000-0005-0000-0000-0000230F0000}"/>
    <cellStyle name="Calculation 2 11 2 7 2" xfId="23111" xr:uid="{00000000-0005-0000-0000-0000240F0000}"/>
    <cellStyle name="Calculation 2 11 2 8" xfId="13668" xr:uid="{00000000-0005-0000-0000-0000250F0000}"/>
    <cellStyle name="Calculation 2 11 2 8 2" xfId="18644" xr:uid="{00000000-0005-0000-0000-0000260F0000}"/>
    <cellStyle name="Calculation 2 11 2 9" xfId="12995" xr:uid="{00000000-0005-0000-0000-0000270F0000}"/>
    <cellStyle name="Calculation 2 11 3" xfId="10592" xr:uid="{00000000-0005-0000-0000-0000280F0000}"/>
    <cellStyle name="Calculation 2 11 3 2" xfId="19138" xr:uid="{00000000-0005-0000-0000-0000290F0000}"/>
    <cellStyle name="Calculation 2 11 3 3" xfId="24317" xr:uid="{00000000-0005-0000-0000-00002A0F0000}"/>
    <cellStyle name="Calculation 2 11 3 4" xfId="23512" xr:uid="{00000000-0005-0000-0000-00002B0F0000}"/>
    <cellStyle name="Calculation 2 11 4" xfId="14007" xr:uid="{00000000-0005-0000-0000-00002C0F0000}"/>
    <cellStyle name="Calculation 2 11 4 2" xfId="18994" xr:uid="{00000000-0005-0000-0000-00002D0F0000}"/>
    <cellStyle name="Calculation 2 11 5" xfId="15810" xr:uid="{00000000-0005-0000-0000-00002E0F0000}"/>
    <cellStyle name="Calculation 2 11 5 2" xfId="21304" xr:uid="{00000000-0005-0000-0000-00002F0F0000}"/>
    <cellStyle name="Calculation 2 11 6" xfId="16123" xr:uid="{00000000-0005-0000-0000-0000300F0000}"/>
    <cellStyle name="Calculation 2 11 6 2" xfId="21627" xr:uid="{00000000-0005-0000-0000-0000310F0000}"/>
    <cellStyle name="Calculation 2 11 7" xfId="16118" xr:uid="{00000000-0005-0000-0000-0000320F0000}"/>
    <cellStyle name="Calculation 2 11 7 2" xfId="21622" xr:uid="{00000000-0005-0000-0000-0000330F0000}"/>
    <cellStyle name="Calculation 2 11 8" xfId="17087" xr:uid="{00000000-0005-0000-0000-0000340F0000}"/>
    <cellStyle name="Calculation 2 11 8 2" xfId="22733" xr:uid="{00000000-0005-0000-0000-0000350F0000}"/>
    <cellStyle name="Calculation 2 11 9" xfId="13346" xr:uid="{00000000-0005-0000-0000-0000360F0000}"/>
    <cellStyle name="Calculation 2 11 9 2" xfId="18325" xr:uid="{00000000-0005-0000-0000-0000370F0000}"/>
    <cellStyle name="Calculation 2 12" xfId="3204" xr:uid="{00000000-0005-0000-0000-0000380F0000}"/>
    <cellStyle name="Calculation 2 12 10" xfId="17986" xr:uid="{00000000-0005-0000-0000-0000390F0000}"/>
    <cellStyle name="Calculation 2 12 2" xfId="14685" xr:uid="{00000000-0005-0000-0000-00003A0F0000}"/>
    <cellStyle name="Calculation 2 12 2 2" xfId="20006" xr:uid="{00000000-0005-0000-0000-00003B0F0000}"/>
    <cellStyle name="Calculation 2 12 2 3" xfId="24501" xr:uid="{00000000-0005-0000-0000-00003C0F0000}"/>
    <cellStyle name="Calculation 2 12 2 4" xfId="23831" xr:uid="{00000000-0005-0000-0000-00003D0F0000}"/>
    <cellStyle name="Calculation 2 12 3" xfId="14673" xr:uid="{00000000-0005-0000-0000-00003E0F0000}"/>
    <cellStyle name="Calculation 2 12 3 2" xfId="19981" xr:uid="{00000000-0005-0000-0000-00003F0F0000}"/>
    <cellStyle name="Calculation 2 12 4" xfId="15284" xr:uid="{00000000-0005-0000-0000-0000400F0000}"/>
    <cellStyle name="Calculation 2 12 4 2" xfId="20672" xr:uid="{00000000-0005-0000-0000-0000410F0000}"/>
    <cellStyle name="Calculation 2 12 5" xfId="16381" xr:uid="{00000000-0005-0000-0000-0000420F0000}"/>
    <cellStyle name="Calculation 2 12 5 2" xfId="22022" xr:uid="{00000000-0005-0000-0000-0000430F0000}"/>
    <cellStyle name="Calculation 2 12 6" xfId="16744" xr:uid="{00000000-0005-0000-0000-0000440F0000}"/>
    <cellStyle name="Calculation 2 12 6 2" xfId="22395" xr:uid="{00000000-0005-0000-0000-0000450F0000}"/>
    <cellStyle name="Calculation 2 12 7" xfId="17462" xr:uid="{00000000-0005-0000-0000-0000460F0000}"/>
    <cellStyle name="Calculation 2 12 7 2" xfId="23109" xr:uid="{00000000-0005-0000-0000-0000470F0000}"/>
    <cellStyle name="Calculation 2 12 8" xfId="13666" xr:uid="{00000000-0005-0000-0000-0000480F0000}"/>
    <cellStyle name="Calculation 2 12 8 2" xfId="18642" xr:uid="{00000000-0005-0000-0000-0000490F0000}"/>
    <cellStyle name="Calculation 2 12 9" xfId="12993" xr:uid="{00000000-0005-0000-0000-00004A0F0000}"/>
    <cellStyle name="Calculation 2 13" xfId="10872" xr:uid="{00000000-0005-0000-0000-00004B0F0000}"/>
    <cellStyle name="Calculation 2 13 2" xfId="19136" xr:uid="{00000000-0005-0000-0000-00004C0F0000}"/>
    <cellStyle name="Calculation 2 13 3" xfId="24319" xr:uid="{00000000-0005-0000-0000-00004D0F0000}"/>
    <cellStyle name="Calculation 2 13 4" xfId="23510" xr:uid="{00000000-0005-0000-0000-00004E0F0000}"/>
    <cellStyle name="Calculation 2 14" xfId="14005" xr:uid="{00000000-0005-0000-0000-00004F0F0000}"/>
    <cellStyle name="Calculation 2 14 2" xfId="18992" xr:uid="{00000000-0005-0000-0000-0000500F0000}"/>
    <cellStyle name="Calculation 2 15" xfId="15812" xr:uid="{00000000-0005-0000-0000-0000510F0000}"/>
    <cellStyle name="Calculation 2 15 2" xfId="21306" xr:uid="{00000000-0005-0000-0000-0000520F0000}"/>
    <cellStyle name="Calculation 2 16" xfId="16122" xr:uid="{00000000-0005-0000-0000-0000530F0000}"/>
    <cellStyle name="Calculation 2 16 2" xfId="21626" xr:uid="{00000000-0005-0000-0000-0000540F0000}"/>
    <cellStyle name="Calculation 2 17" xfId="16121" xr:uid="{00000000-0005-0000-0000-0000550F0000}"/>
    <cellStyle name="Calculation 2 17 2" xfId="21625" xr:uid="{00000000-0005-0000-0000-0000560F0000}"/>
    <cellStyle name="Calculation 2 18" xfId="17085" xr:uid="{00000000-0005-0000-0000-0000570F0000}"/>
    <cellStyle name="Calculation 2 18 2" xfId="22731" xr:uid="{00000000-0005-0000-0000-0000580F0000}"/>
    <cellStyle name="Calculation 2 19" xfId="13344" xr:uid="{00000000-0005-0000-0000-0000590F0000}"/>
    <cellStyle name="Calculation 2 19 2" xfId="18323" xr:uid="{00000000-0005-0000-0000-00005A0F0000}"/>
    <cellStyle name="Calculation 2 2" xfId="1429" xr:uid="{00000000-0005-0000-0000-00005B0F0000}"/>
    <cellStyle name="Calculation 2 2 10" xfId="12593" xr:uid="{00000000-0005-0000-0000-00005C0F0000}"/>
    <cellStyle name="Calculation 2 2 11" xfId="12584" xr:uid="{00000000-0005-0000-0000-00005D0F0000}"/>
    <cellStyle name="Calculation 2 2 2" xfId="3205" xr:uid="{00000000-0005-0000-0000-00005E0F0000}"/>
    <cellStyle name="Calculation 2 2 2 10" xfId="17989" xr:uid="{00000000-0005-0000-0000-00005F0F0000}"/>
    <cellStyle name="Calculation 2 2 2 2" xfId="7891" xr:uid="{00000000-0005-0000-0000-0000600F0000}"/>
    <cellStyle name="Calculation 2 2 2 2 2" xfId="20009" xr:uid="{00000000-0005-0000-0000-0000610F0000}"/>
    <cellStyle name="Calculation 2 2 2 2 2 2" xfId="44944" xr:uid="{00000000-0005-0000-0000-0000620F0000}"/>
    <cellStyle name="Calculation 2 2 2 2 3" xfId="14688" xr:uid="{00000000-0005-0000-0000-0000630F0000}"/>
    <cellStyle name="Calculation 2 2 2 2 3 2" xfId="24504" xr:uid="{00000000-0005-0000-0000-0000640F0000}"/>
    <cellStyle name="Calculation 2 2 2 2 4" xfId="23834" xr:uid="{00000000-0005-0000-0000-0000650F0000}"/>
    <cellStyle name="Calculation 2 2 2 3" xfId="11009" xr:uid="{00000000-0005-0000-0000-0000660F0000}"/>
    <cellStyle name="Calculation 2 2 2 3 2" xfId="19984" xr:uid="{00000000-0005-0000-0000-0000670F0000}"/>
    <cellStyle name="Calculation 2 2 2 4" xfId="15281" xr:uid="{00000000-0005-0000-0000-0000680F0000}"/>
    <cellStyle name="Calculation 2 2 2 4 2" xfId="20669" xr:uid="{00000000-0005-0000-0000-0000690F0000}"/>
    <cellStyle name="Calculation 2 2 2 5" xfId="16384" xr:uid="{00000000-0005-0000-0000-00006A0F0000}"/>
    <cellStyle name="Calculation 2 2 2 5 2" xfId="22025" xr:uid="{00000000-0005-0000-0000-00006B0F0000}"/>
    <cellStyle name="Calculation 2 2 2 6" xfId="16747" xr:uid="{00000000-0005-0000-0000-00006C0F0000}"/>
    <cellStyle name="Calculation 2 2 2 6 2" xfId="22398" xr:uid="{00000000-0005-0000-0000-00006D0F0000}"/>
    <cellStyle name="Calculation 2 2 2 7" xfId="17465" xr:uid="{00000000-0005-0000-0000-00006E0F0000}"/>
    <cellStyle name="Calculation 2 2 2 7 2" xfId="23112" xr:uid="{00000000-0005-0000-0000-00006F0F0000}"/>
    <cellStyle name="Calculation 2 2 2 8" xfId="13669" xr:uid="{00000000-0005-0000-0000-0000700F0000}"/>
    <cellStyle name="Calculation 2 2 2 8 2" xfId="18645" xr:uid="{00000000-0005-0000-0000-0000710F0000}"/>
    <cellStyle name="Calculation 2 2 2 9" xfId="12996" xr:uid="{00000000-0005-0000-0000-0000720F0000}"/>
    <cellStyle name="Calculation 2 2 3" xfId="10523" xr:uid="{00000000-0005-0000-0000-0000730F0000}"/>
    <cellStyle name="Calculation 2 2 3 2" xfId="19139" xr:uid="{00000000-0005-0000-0000-0000740F0000}"/>
    <cellStyle name="Calculation 2 2 3 3" xfId="24316" xr:uid="{00000000-0005-0000-0000-0000750F0000}"/>
    <cellStyle name="Calculation 2 2 3 4" xfId="23513" xr:uid="{00000000-0005-0000-0000-0000760F0000}"/>
    <cellStyle name="Calculation 2 2 4" xfId="14008" xr:uid="{00000000-0005-0000-0000-0000770F0000}"/>
    <cellStyle name="Calculation 2 2 4 2" xfId="18995" xr:uid="{00000000-0005-0000-0000-0000780F0000}"/>
    <cellStyle name="Calculation 2 2 4 3" xfId="41426" xr:uid="{00000000-0005-0000-0000-0000790F0000}"/>
    <cellStyle name="Calculation 2 2 5" xfId="15809" xr:uid="{00000000-0005-0000-0000-00007A0F0000}"/>
    <cellStyle name="Calculation 2 2 5 2" xfId="21303" xr:uid="{00000000-0005-0000-0000-00007B0F0000}"/>
    <cellStyle name="Calculation 2 2 6" xfId="15953" xr:uid="{00000000-0005-0000-0000-00007C0F0000}"/>
    <cellStyle name="Calculation 2 2 6 2" xfId="21447" xr:uid="{00000000-0005-0000-0000-00007D0F0000}"/>
    <cellStyle name="Calculation 2 2 7" xfId="16120" xr:uid="{00000000-0005-0000-0000-00007E0F0000}"/>
    <cellStyle name="Calculation 2 2 7 2" xfId="21624" xr:uid="{00000000-0005-0000-0000-00007F0F0000}"/>
    <cellStyle name="Calculation 2 2 8" xfId="17088" xr:uid="{00000000-0005-0000-0000-0000800F0000}"/>
    <cellStyle name="Calculation 2 2 8 2" xfId="22734" xr:uid="{00000000-0005-0000-0000-0000810F0000}"/>
    <cellStyle name="Calculation 2 2 9" xfId="13347" xr:uid="{00000000-0005-0000-0000-0000820F0000}"/>
    <cellStyle name="Calculation 2 2 9 2" xfId="18326" xr:uid="{00000000-0005-0000-0000-0000830F0000}"/>
    <cellStyle name="Calculation 2 20" xfId="12590" xr:uid="{00000000-0005-0000-0000-0000840F0000}"/>
    <cellStyle name="Calculation 2 21" xfId="12587" xr:uid="{00000000-0005-0000-0000-0000850F0000}"/>
    <cellStyle name="Calculation 2 3" xfId="1430" xr:uid="{00000000-0005-0000-0000-0000860F0000}"/>
    <cellStyle name="Calculation 2 3 10" xfId="12594" xr:uid="{00000000-0005-0000-0000-0000870F0000}"/>
    <cellStyle name="Calculation 2 3 11" xfId="12583" xr:uid="{00000000-0005-0000-0000-0000880F0000}"/>
    <cellStyle name="Calculation 2 3 2" xfId="3206" xr:uid="{00000000-0005-0000-0000-0000890F0000}"/>
    <cellStyle name="Calculation 2 3 2 10" xfId="17990" xr:uid="{00000000-0005-0000-0000-00008A0F0000}"/>
    <cellStyle name="Calculation 2 3 2 2" xfId="7892" xr:uid="{00000000-0005-0000-0000-00008B0F0000}"/>
    <cellStyle name="Calculation 2 3 2 2 2" xfId="20010" xr:uid="{00000000-0005-0000-0000-00008C0F0000}"/>
    <cellStyle name="Calculation 2 3 2 2 2 2" xfId="44945" xr:uid="{00000000-0005-0000-0000-00008D0F0000}"/>
    <cellStyle name="Calculation 2 3 2 2 3" xfId="14689" xr:uid="{00000000-0005-0000-0000-00008E0F0000}"/>
    <cellStyle name="Calculation 2 3 2 2 3 2" xfId="24505" xr:uid="{00000000-0005-0000-0000-00008F0F0000}"/>
    <cellStyle name="Calculation 2 3 2 2 4" xfId="23835" xr:uid="{00000000-0005-0000-0000-0000900F0000}"/>
    <cellStyle name="Calculation 2 3 2 3" xfId="11010" xr:uid="{00000000-0005-0000-0000-0000910F0000}"/>
    <cellStyle name="Calculation 2 3 2 3 2" xfId="19985" xr:uid="{00000000-0005-0000-0000-0000920F0000}"/>
    <cellStyle name="Calculation 2 3 2 4" xfId="15280" xr:uid="{00000000-0005-0000-0000-0000930F0000}"/>
    <cellStyle name="Calculation 2 3 2 4 2" xfId="20668" xr:uid="{00000000-0005-0000-0000-0000940F0000}"/>
    <cellStyle name="Calculation 2 3 2 5" xfId="16385" xr:uid="{00000000-0005-0000-0000-0000950F0000}"/>
    <cellStyle name="Calculation 2 3 2 5 2" xfId="22026" xr:uid="{00000000-0005-0000-0000-0000960F0000}"/>
    <cellStyle name="Calculation 2 3 2 6" xfId="16748" xr:uid="{00000000-0005-0000-0000-0000970F0000}"/>
    <cellStyle name="Calculation 2 3 2 6 2" xfId="22399" xr:uid="{00000000-0005-0000-0000-0000980F0000}"/>
    <cellStyle name="Calculation 2 3 2 7" xfId="17466" xr:uid="{00000000-0005-0000-0000-0000990F0000}"/>
    <cellStyle name="Calculation 2 3 2 7 2" xfId="23113" xr:uid="{00000000-0005-0000-0000-00009A0F0000}"/>
    <cellStyle name="Calculation 2 3 2 8" xfId="13670" xr:uid="{00000000-0005-0000-0000-00009B0F0000}"/>
    <cellStyle name="Calculation 2 3 2 8 2" xfId="18646" xr:uid="{00000000-0005-0000-0000-00009C0F0000}"/>
    <cellStyle name="Calculation 2 3 2 9" xfId="12997" xr:uid="{00000000-0005-0000-0000-00009D0F0000}"/>
    <cellStyle name="Calculation 2 3 3" xfId="10411" xr:uid="{00000000-0005-0000-0000-00009E0F0000}"/>
    <cellStyle name="Calculation 2 3 3 2" xfId="19140" xr:uid="{00000000-0005-0000-0000-00009F0F0000}"/>
    <cellStyle name="Calculation 2 3 3 3" xfId="24315" xr:uid="{00000000-0005-0000-0000-0000A00F0000}"/>
    <cellStyle name="Calculation 2 3 3 4" xfId="23514" xr:uid="{00000000-0005-0000-0000-0000A10F0000}"/>
    <cellStyle name="Calculation 2 3 4" xfId="14009" xr:uid="{00000000-0005-0000-0000-0000A20F0000}"/>
    <cellStyle name="Calculation 2 3 4 2" xfId="18996" xr:uid="{00000000-0005-0000-0000-0000A30F0000}"/>
    <cellStyle name="Calculation 2 3 4 3" xfId="41427" xr:uid="{00000000-0005-0000-0000-0000A40F0000}"/>
    <cellStyle name="Calculation 2 3 5" xfId="15808" xr:uid="{00000000-0005-0000-0000-0000A50F0000}"/>
    <cellStyle name="Calculation 2 3 5 2" xfId="21302" xr:uid="{00000000-0005-0000-0000-0000A60F0000}"/>
    <cellStyle name="Calculation 2 3 6" xfId="16124" xr:uid="{00000000-0005-0000-0000-0000A70F0000}"/>
    <cellStyle name="Calculation 2 3 6 2" xfId="21628" xr:uid="{00000000-0005-0000-0000-0000A80F0000}"/>
    <cellStyle name="Calculation 2 3 7" xfId="15948" xr:uid="{00000000-0005-0000-0000-0000A90F0000}"/>
    <cellStyle name="Calculation 2 3 7 2" xfId="21442" xr:uid="{00000000-0005-0000-0000-0000AA0F0000}"/>
    <cellStyle name="Calculation 2 3 8" xfId="17089" xr:uid="{00000000-0005-0000-0000-0000AB0F0000}"/>
    <cellStyle name="Calculation 2 3 8 2" xfId="22735" xr:uid="{00000000-0005-0000-0000-0000AC0F0000}"/>
    <cellStyle name="Calculation 2 3 9" xfId="13348" xr:uid="{00000000-0005-0000-0000-0000AD0F0000}"/>
    <cellStyle name="Calculation 2 3 9 2" xfId="18327" xr:uid="{00000000-0005-0000-0000-0000AE0F0000}"/>
    <cellStyle name="Calculation 2 4" xfId="1431" xr:uid="{00000000-0005-0000-0000-0000AF0F0000}"/>
    <cellStyle name="Calculation 2 4 10" xfId="12595" xr:uid="{00000000-0005-0000-0000-0000B00F0000}"/>
    <cellStyle name="Calculation 2 4 11" xfId="12582" xr:uid="{00000000-0005-0000-0000-0000B10F0000}"/>
    <cellStyle name="Calculation 2 4 2" xfId="3207" xr:uid="{00000000-0005-0000-0000-0000B20F0000}"/>
    <cellStyle name="Calculation 2 4 2 10" xfId="17991" xr:uid="{00000000-0005-0000-0000-0000B30F0000}"/>
    <cellStyle name="Calculation 2 4 2 2" xfId="7893" xr:uid="{00000000-0005-0000-0000-0000B40F0000}"/>
    <cellStyle name="Calculation 2 4 2 2 2" xfId="20011" xr:uid="{00000000-0005-0000-0000-0000B50F0000}"/>
    <cellStyle name="Calculation 2 4 2 2 2 2" xfId="44946" xr:uid="{00000000-0005-0000-0000-0000B60F0000}"/>
    <cellStyle name="Calculation 2 4 2 2 3" xfId="14690" xr:uid="{00000000-0005-0000-0000-0000B70F0000}"/>
    <cellStyle name="Calculation 2 4 2 2 3 2" xfId="24506" xr:uid="{00000000-0005-0000-0000-0000B80F0000}"/>
    <cellStyle name="Calculation 2 4 2 2 4" xfId="23836" xr:uid="{00000000-0005-0000-0000-0000B90F0000}"/>
    <cellStyle name="Calculation 2 4 2 3" xfId="11011" xr:uid="{00000000-0005-0000-0000-0000BA0F0000}"/>
    <cellStyle name="Calculation 2 4 2 3 2" xfId="20434" xr:uid="{00000000-0005-0000-0000-0000BB0F0000}"/>
    <cellStyle name="Calculation 2 4 2 4" xfId="15279" xr:uid="{00000000-0005-0000-0000-0000BC0F0000}"/>
    <cellStyle name="Calculation 2 4 2 4 2" xfId="20667" xr:uid="{00000000-0005-0000-0000-0000BD0F0000}"/>
    <cellStyle name="Calculation 2 4 2 5" xfId="16386" xr:uid="{00000000-0005-0000-0000-0000BE0F0000}"/>
    <cellStyle name="Calculation 2 4 2 5 2" xfId="22027" xr:uid="{00000000-0005-0000-0000-0000BF0F0000}"/>
    <cellStyle name="Calculation 2 4 2 6" xfId="16749" xr:uid="{00000000-0005-0000-0000-0000C00F0000}"/>
    <cellStyle name="Calculation 2 4 2 6 2" xfId="22400" xr:uid="{00000000-0005-0000-0000-0000C10F0000}"/>
    <cellStyle name="Calculation 2 4 2 7" xfId="17467" xr:uid="{00000000-0005-0000-0000-0000C20F0000}"/>
    <cellStyle name="Calculation 2 4 2 7 2" xfId="23114" xr:uid="{00000000-0005-0000-0000-0000C30F0000}"/>
    <cellStyle name="Calculation 2 4 2 8" xfId="13671" xr:uid="{00000000-0005-0000-0000-0000C40F0000}"/>
    <cellStyle name="Calculation 2 4 2 8 2" xfId="18647" xr:uid="{00000000-0005-0000-0000-0000C50F0000}"/>
    <cellStyle name="Calculation 2 4 2 9" xfId="12998" xr:uid="{00000000-0005-0000-0000-0000C60F0000}"/>
    <cellStyle name="Calculation 2 4 3" xfId="10395" xr:uid="{00000000-0005-0000-0000-0000C70F0000}"/>
    <cellStyle name="Calculation 2 4 3 2" xfId="19141" xr:uid="{00000000-0005-0000-0000-0000C80F0000}"/>
    <cellStyle name="Calculation 2 4 3 3" xfId="24314" xr:uid="{00000000-0005-0000-0000-0000C90F0000}"/>
    <cellStyle name="Calculation 2 4 3 4" xfId="23515" xr:uid="{00000000-0005-0000-0000-0000CA0F0000}"/>
    <cellStyle name="Calculation 2 4 4" xfId="14010" xr:uid="{00000000-0005-0000-0000-0000CB0F0000}"/>
    <cellStyle name="Calculation 2 4 4 2" xfId="18997" xr:uid="{00000000-0005-0000-0000-0000CC0F0000}"/>
    <cellStyle name="Calculation 2 4 4 3" xfId="41428" xr:uid="{00000000-0005-0000-0000-0000CD0F0000}"/>
    <cellStyle name="Calculation 2 4 5" xfId="15807" xr:uid="{00000000-0005-0000-0000-0000CE0F0000}"/>
    <cellStyle name="Calculation 2 4 5 2" xfId="21301" xr:uid="{00000000-0005-0000-0000-0000CF0F0000}"/>
    <cellStyle name="Calculation 2 4 6" xfId="15954" xr:uid="{00000000-0005-0000-0000-0000D00F0000}"/>
    <cellStyle name="Calculation 2 4 6 2" xfId="21448" xr:uid="{00000000-0005-0000-0000-0000D10F0000}"/>
    <cellStyle name="Calculation 2 4 7" xfId="16119" xr:uid="{00000000-0005-0000-0000-0000D20F0000}"/>
    <cellStyle name="Calculation 2 4 7 2" xfId="21623" xr:uid="{00000000-0005-0000-0000-0000D30F0000}"/>
    <cellStyle name="Calculation 2 4 8" xfId="17090" xr:uid="{00000000-0005-0000-0000-0000D40F0000}"/>
    <cellStyle name="Calculation 2 4 8 2" xfId="22736" xr:uid="{00000000-0005-0000-0000-0000D50F0000}"/>
    <cellStyle name="Calculation 2 4 9" xfId="13349" xr:uid="{00000000-0005-0000-0000-0000D60F0000}"/>
    <cellStyle name="Calculation 2 4 9 2" xfId="18328" xr:uid="{00000000-0005-0000-0000-0000D70F0000}"/>
    <cellStyle name="Calculation 2 5" xfId="1432" xr:uid="{00000000-0005-0000-0000-0000D80F0000}"/>
    <cellStyle name="Calculation 2 5 10" xfId="12596" xr:uid="{00000000-0005-0000-0000-0000D90F0000}"/>
    <cellStyle name="Calculation 2 5 11" xfId="12581" xr:uid="{00000000-0005-0000-0000-0000DA0F0000}"/>
    <cellStyle name="Calculation 2 5 2" xfId="3208" xr:uid="{00000000-0005-0000-0000-0000DB0F0000}"/>
    <cellStyle name="Calculation 2 5 2 10" xfId="17992" xr:uid="{00000000-0005-0000-0000-0000DC0F0000}"/>
    <cellStyle name="Calculation 2 5 2 2" xfId="7894" xr:uid="{00000000-0005-0000-0000-0000DD0F0000}"/>
    <cellStyle name="Calculation 2 5 2 2 2" xfId="20012" xr:uid="{00000000-0005-0000-0000-0000DE0F0000}"/>
    <cellStyle name="Calculation 2 5 2 2 2 2" xfId="44947" xr:uid="{00000000-0005-0000-0000-0000DF0F0000}"/>
    <cellStyle name="Calculation 2 5 2 2 3" xfId="14691" xr:uid="{00000000-0005-0000-0000-0000E00F0000}"/>
    <cellStyle name="Calculation 2 5 2 2 3 2" xfId="24507" xr:uid="{00000000-0005-0000-0000-0000E10F0000}"/>
    <cellStyle name="Calculation 2 5 2 2 4" xfId="23837" xr:uid="{00000000-0005-0000-0000-0000E20F0000}"/>
    <cellStyle name="Calculation 2 5 2 3" xfId="11012" xr:uid="{00000000-0005-0000-0000-0000E30F0000}"/>
    <cellStyle name="Calculation 2 5 2 3 2" xfId="20433" xr:uid="{00000000-0005-0000-0000-0000E40F0000}"/>
    <cellStyle name="Calculation 2 5 2 4" xfId="15278" xr:uid="{00000000-0005-0000-0000-0000E50F0000}"/>
    <cellStyle name="Calculation 2 5 2 4 2" xfId="20666" xr:uid="{00000000-0005-0000-0000-0000E60F0000}"/>
    <cellStyle name="Calculation 2 5 2 5" xfId="16387" xr:uid="{00000000-0005-0000-0000-0000E70F0000}"/>
    <cellStyle name="Calculation 2 5 2 5 2" xfId="22028" xr:uid="{00000000-0005-0000-0000-0000E80F0000}"/>
    <cellStyle name="Calculation 2 5 2 6" xfId="16750" xr:uid="{00000000-0005-0000-0000-0000E90F0000}"/>
    <cellStyle name="Calculation 2 5 2 6 2" xfId="22401" xr:uid="{00000000-0005-0000-0000-0000EA0F0000}"/>
    <cellStyle name="Calculation 2 5 2 7" xfId="17468" xr:uid="{00000000-0005-0000-0000-0000EB0F0000}"/>
    <cellStyle name="Calculation 2 5 2 7 2" xfId="23115" xr:uid="{00000000-0005-0000-0000-0000EC0F0000}"/>
    <cellStyle name="Calculation 2 5 2 8" xfId="13672" xr:uid="{00000000-0005-0000-0000-0000ED0F0000}"/>
    <cellStyle name="Calculation 2 5 2 8 2" xfId="18648" xr:uid="{00000000-0005-0000-0000-0000EE0F0000}"/>
    <cellStyle name="Calculation 2 5 2 9" xfId="12999" xr:uid="{00000000-0005-0000-0000-0000EF0F0000}"/>
    <cellStyle name="Calculation 2 5 3" xfId="10520" xr:uid="{00000000-0005-0000-0000-0000F00F0000}"/>
    <cellStyle name="Calculation 2 5 3 2" xfId="19142" xr:uid="{00000000-0005-0000-0000-0000F10F0000}"/>
    <cellStyle name="Calculation 2 5 3 3" xfId="24313" xr:uid="{00000000-0005-0000-0000-0000F20F0000}"/>
    <cellStyle name="Calculation 2 5 3 4" xfId="23516" xr:uid="{00000000-0005-0000-0000-0000F30F0000}"/>
    <cellStyle name="Calculation 2 5 4" xfId="14011" xr:uid="{00000000-0005-0000-0000-0000F40F0000}"/>
    <cellStyle name="Calculation 2 5 4 2" xfId="18998" xr:uid="{00000000-0005-0000-0000-0000F50F0000}"/>
    <cellStyle name="Calculation 2 5 4 3" xfId="41429" xr:uid="{00000000-0005-0000-0000-0000F60F0000}"/>
    <cellStyle name="Calculation 2 5 5" xfId="15806" xr:uid="{00000000-0005-0000-0000-0000F70F0000}"/>
    <cellStyle name="Calculation 2 5 5 2" xfId="21300" xr:uid="{00000000-0005-0000-0000-0000F80F0000}"/>
    <cellStyle name="Calculation 2 5 6" xfId="16125" xr:uid="{00000000-0005-0000-0000-0000F90F0000}"/>
    <cellStyle name="Calculation 2 5 6 2" xfId="21629" xr:uid="{00000000-0005-0000-0000-0000FA0F0000}"/>
    <cellStyle name="Calculation 2 5 7" xfId="15947" xr:uid="{00000000-0005-0000-0000-0000FB0F0000}"/>
    <cellStyle name="Calculation 2 5 7 2" xfId="21441" xr:uid="{00000000-0005-0000-0000-0000FC0F0000}"/>
    <cellStyle name="Calculation 2 5 8" xfId="17091" xr:uid="{00000000-0005-0000-0000-0000FD0F0000}"/>
    <cellStyle name="Calculation 2 5 8 2" xfId="22737" xr:uid="{00000000-0005-0000-0000-0000FE0F0000}"/>
    <cellStyle name="Calculation 2 5 9" xfId="13350" xr:uid="{00000000-0005-0000-0000-0000FF0F0000}"/>
    <cellStyle name="Calculation 2 5 9 2" xfId="18329" xr:uid="{00000000-0005-0000-0000-000000100000}"/>
    <cellStyle name="Calculation 2 6" xfId="1433" xr:uid="{00000000-0005-0000-0000-000001100000}"/>
    <cellStyle name="Calculation 2 6 10" xfId="12597" xr:uid="{00000000-0005-0000-0000-000002100000}"/>
    <cellStyle name="Calculation 2 6 11" xfId="12580" xr:uid="{00000000-0005-0000-0000-000003100000}"/>
    <cellStyle name="Calculation 2 6 2" xfId="3209" xr:uid="{00000000-0005-0000-0000-000004100000}"/>
    <cellStyle name="Calculation 2 6 2 10" xfId="17993" xr:uid="{00000000-0005-0000-0000-000005100000}"/>
    <cellStyle name="Calculation 2 6 2 2" xfId="7895" xr:uid="{00000000-0005-0000-0000-000006100000}"/>
    <cellStyle name="Calculation 2 6 2 2 2" xfId="20013" xr:uid="{00000000-0005-0000-0000-000007100000}"/>
    <cellStyle name="Calculation 2 6 2 2 2 2" xfId="44948" xr:uid="{00000000-0005-0000-0000-000008100000}"/>
    <cellStyle name="Calculation 2 6 2 2 3" xfId="14692" xr:uid="{00000000-0005-0000-0000-000009100000}"/>
    <cellStyle name="Calculation 2 6 2 2 3 2" xfId="24508" xr:uid="{00000000-0005-0000-0000-00000A100000}"/>
    <cellStyle name="Calculation 2 6 2 2 4" xfId="23838" xr:uid="{00000000-0005-0000-0000-00000B100000}"/>
    <cellStyle name="Calculation 2 6 2 3" xfId="11013" xr:uid="{00000000-0005-0000-0000-00000C100000}"/>
    <cellStyle name="Calculation 2 6 2 3 2" xfId="20432" xr:uid="{00000000-0005-0000-0000-00000D100000}"/>
    <cellStyle name="Calculation 2 6 2 4" xfId="15277" xr:uid="{00000000-0005-0000-0000-00000E100000}"/>
    <cellStyle name="Calculation 2 6 2 4 2" xfId="20665" xr:uid="{00000000-0005-0000-0000-00000F100000}"/>
    <cellStyle name="Calculation 2 6 2 5" xfId="16388" xr:uid="{00000000-0005-0000-0000-000010100000}"/>
    <cellStyle name="Calculation 2 6 2 5 2" xfId="22029" xr:uid="{00000000-0005-0000-0000-000011100000}"/>
    <cellStyle name="Calculation 2 6 2 6" xfId="16751" xr:uid="{00000000-0005-0000-0000-000012100000}"/>
    <cellStyle name="Calculation 2 6 2 6 2" xfId="22402" xr:uid="{00000000-0005-0000-0000-000013100000}"/>
    <cellStyle name="Calculation 2 6 2 7" xfId="17469" xr:uid="{00000000-0005-0000-0000-000014100000}"/>
    <cellStyle name="Calculation 2 6 2 7 2" xfId="23116" xr:uid="{00000000-0005-0000-0000-000015100000}"/>
    <cellStyle name="Calculation 2 6 2 8" xfId="13673" xr:uid="{00000000-0005-0000-0000-000016100000}"/>
    <cellStyle name="Calculation 2 6 2 8 2" xfId="18649" xr:uid="{00000000-0005-0000-0000-000017100000}"/>
    <cellStyle name="Calculation 2 6 2 9" xfId="13000" xr:uid="{00000000-0005-0000-0000-000018100000}"/>
    <cellStyle name="Calculation 2 6 3" xfId="10591" xr:uid="{00000000-0005-0000-0000-000019100000}"/>
    <cellStyle name="Calculation 2 6 3 2" xfId="19143" xr:uid="{00000000-0005-0000-0000-00001A100000}"/>
    <cellStyle name="Calculation 2 6 3 3" xfId="24312" xr:uid="{00000000-0005-0000-0000-00001B100000}"/>
    <cellStyle name="Calculation 2 6 3 4" xfId="23517" xr:uid="{00000000-0005-0000-0000-00001C100000}"/>
    <cellStyle name="Calculation 2 6 4" xfId="14012" xr:uid="{00000000-0005-0000-0000-00001D100000}"/>
    <cellStyle name="Calculation 2 6 4 2" xfId="18999" xr:uid="{00000000-0005-0000-0000-00001E100000}"/>
    <cellStyle name="Calculation 2 6 4 3" xfId="41430" xr:uid="{00000000-0005-0000-0000-00001F100000}"/>
    <cellStyle name="Calculation 2 6 5" xfId="15805" xr:uid="{00000000-0005-0000-0000-000020100000}"/>
    <cellStyle name="Calculation 2 6 5 2" xfId="21299" xr:uid="{00000000-0005-0000-0000-000021100000}"/>
    <cellStyle name="Calculation 2 6 6" xfId="15955" xr:uid="{00000000-0005-0000-0000-000022100000}"/>
    <cellStyle name="Calculation 2 6 6 2" xfId="21449" xr:uid="{00000000-0005-0000-0000-000023100000}"/>
    <cellStyle name="Calculation 2 6 7" xfId="15946" xr:uid="{00000000-0005-0000-0000-000024100000}"/>
    <cellStyle name="Calculation 2 6 7 2" xfId="21440" xr:uid="{00000000-0005-0000-0000-000025100000}"/>
    <cellStyle name="Calculation 2 6 8" xfId="17092" xr:uid="{00000000-0005-0000-0000-000026100000}"/>
    <cellStyle name="Calculation 2 6 8 2" xfId="22738" xr:uid="{00000000-0005-0000-0000-000027100000}"/>
    <cellStyle name="Calculation 2 6 9" xfId="13351" xr:uid="{00000000-0005-0000-0000-000028100000}"/>
    <cellStyle name="Calculation 2 6 9 2" xfId="18330" xr:uid="{00000000-0005-0000-0000-000029100000}"/>
    <cellStyle name="Calculation 2 7" xfId="1434" xr:uid="{00000000-0005-0000-0000-00002A100000}"/>
    <cellStyle name="Calculation 2 7 10" xfId="12598" xr:uid="{00000000-0005-0000-0000-00002B100000}"/>
    <cellStyle name="Calculation 2 7 11" xfId="12579" xr:uid="{00000000-0005-0000-0000-00002C100000}"/>
    <cellStyle name="Calculation 2 7 2" xfId="3210" xr:uid="{00000000-0005-0000-0000-00002D100000}"/>
    <cellStyle name="Calculation 2 7 2 10" xfId="17994" xr:uid="{00000000-0005-0000-0000-00002E100000}"/>
    <cellStyle name="Calculation 2 7 2 2" xfId="7896" xr:uid="{00000000-0005-0000-0000-00002F100000}"/>
    <cellStyle name="Calculation 2 7 2 2 2" xfId="20014" xr:uid="{00000000-0005-0000-0000-000030100000}"/>
    <cellStyle name="Calculation 2 7 2 2 2 2" xfId="44949" xr:uid="{00000000-0005-0000-0000-000031100000}"/>
    <cellStyle name="Calculation 2 7 2 2 3" xfId="14693" xr:uid="{00000000-0005-0000-0000-000032100000}"/>
    <cellStyle name="Calculation 2 7 2 2 3 2" xfId="24509" xr:uid="{00000000-0005-0000-0000-000033100000}"/>
    <cellStyle name="Calculation 2 7 2 2 4" xfId="23839" xr:uid="{00000000-0005-0000-0000-000034100000}"/>
    <cellStyle name="Calculation 2 7 2 3" xfId="11014" xr:uid="{00000000-0005-0000-0000-000035100000}"/>
    <cellStyle name="Calculation 2 7 2 3 2" xfId="20431" xr:uid="{00000000-0005-0000-0000-000036100000}"/>
    <cellStyle name="Calculation 2 7 2 4" xfId="15276" xr:uid="{00000000-0005-0000-0000-000037100000}"/>
    <cellStyle name="Calculation 2 7 2 4 2" xfId="20664" xr:uid="{00000000-0005-0000-0000-000038100000}"/>
    <cellStyle name="Calculation 2 7 2 5" xfId="16389" xr:uid="{00000000-0005-0000-0000-000039100000}"/>
    <cellStyle name="Calculation 2 7 2 5 2" xfId="22030" xr:uid="{00000000-0005-0000-0000-00003A100000}"/>
    <cellStyle name="Calculation 2 7 2 6" xfId="16752" xr:uid="{00000000-0005-0000-0000-00003B100000}"/>
    <cellStyle name="Calculation 2 7 2 6 2" xfId="22403" xr:uid="{00000000-0005-0000-0000-00003C100000}"/>
    <cellStyle name="Calculation 2 7 2 7" xfId="17470" xr:uid="{00000000-0005-0000-0000-00003D100000}"/>
    <cellStyle name="Calculation 2 7 2 7 2" xfId="23117" xr:uid="{00000000-0005-0000-0000-00003E100000}"/>
    <cellStyle name="Calculation 2 7 2 8" xfId="13674" xr:uid="{00000000-0005-0000-0000-00003F100000}"/>
    <cellStyle name="Calculation 2 7 2 8 2" xfId="18650" xr:uid="{00000000-0005-0000-0000-000040100000}"/>
    <cellStyle name="Calculation 2 7 2 9" xfId="13001" xr:uid="{00000000-0005-0000-0000-000041100000}"/>
    <cellStyle name="Calculation 2 7 3" xfId="10521" xr:uid="{00000000-0005-0000-0000-000042100000}"/>
    <cellStyle name="Calculation 2 7 3 2" xfId="19144" xr:uid="{00000000-0005-0000-0000-000043100000}"/>
    <cellStyle name="Calculation 2 7 3 3" xfId="24311" xr:uid="{00000000-0005-0000-0000-000044100000}"/>
    <cellStyle name="Calculation 2 7 3 4" xfId="23518" xr:uid="{00000000-0005-0000-0000-000045100000}"/>
    <cellStyle name="Calculation 2 7 4" xfId="14013" xr:uid="{00000000-0005-0000-0000-000046100000}"/>
    <cellStyle name="Calculation 2 7 4 2" xfId="19000" xr:uid="{00000000-0005-0000-0000-000047100000}"/>
    <cellStyle name="Calculation 2 7 4 3" xfId="41431" xr:uid="{00000000-0005-0000-0000-000048100000}"/>
    <cellStyle name="Calculation 2 7 5" xfId="15804" xr:uid="{00000000-0005-0000-0000-000049100000}"/>
    <cellStyle name="Calculation 2 7 5 2" xfId="21298" xr:uid="{00000000-0005-0000-0000-00004A100000}"/>
    <cellStyle name="Calculation 2 7 6" xfId="15956" xr:uid="{00000000-0005-0000-0000-00004B100000}"/>
    <cellStyle name="Calculation 2 7 6 2" xfId="21450" xr:uid="{00000000-0005-0000-0000-00004C100000}"/>
    <cellStyle name="Calculation 2 7 7" xfId="16117" xr:uid="{00000000-0005-0000-0000-00004D100000}"/>
    <cellStyle name="Calculation 2 7 7 2" xfId="21621" xr:uid="{00000000-0005-0000-0000-00004E100000}"/>
    <cellStyle name="Calculation 2 7 8" xfId="17093" xr:uid="{00000000-0005-0000-0000-00004F100000}"/>
    <cellStyle name="Calculation 2 7 8 2" xfId="22739" xr:uid="{00000000-0005-0000-0000-000050100000}"/>
    <cellStyle name="Calculation 2 7 9" xfId="13352" xr:uid="{00000000-0005-0000-0000-000051100000}"/>
    <cellStyle name="Calculation 2 7 9 2" xfId="18331" xr:uid="{00000000-0005-0000-0000-000052100000}"/>
    <cellStyle name="Calculation 2 8" xfId="1435" xr:uid="{00000000-0005-0000-0000-000053100000}"/>
    <cellStyle name="Calculation 2 8 10" xfId="12599" xr:uid="{00000000-0005-0000-0000-000054100000}"/>
    <cellStyle name="Calculation 2 8 11" xfId="12578" xr:uid="{00000000-0005-0000-0000-000055100000}"/>
    <cellStyle name="Calculation 2 8 2" xfId="3211" xr:uid="{00000000-0005-0000-0000-000056100000}"/>
    <cellStyle name="Calculation 2 8 2 10" xfId="17995" xr:uid="{00000000-0005-0000-0000-000057100000}"/>
    <cellStyle name="Calculation 2 8 2 2" xfId="7897" xr:uid="{00000000-0005-0000-0000-000058100000}"/>
    <cellStyle name="Calculation 2 8 2 2 2" xfId="20015" xr:uid="{00000000-0005-0000-0000-000059100000}"/>
    <cellStyle name="Calculation 2 8 2 2 2 2" xfId="44950" xr:uid="{00000000-0005-0000-0000-00005A100000}"/>
    <cellStyle name="Calculation 2 8 2 2 3" xfId="14694" xr:uid="{00000000-0005-0000-0000-00005B100000}"/>
    <cellStyle name="Calculation 2 8 2 2 3 2" xfId="24510" xr:uid="{00000000-0005-0000-0000-00005C100000}"/>
    <cellStyle name="Calculation 2 8 2 2 4" xfId="23840" xr:uid="{00000000-0005-0000-0000-00005D100000}"/>
    <cellStyle name="Calculation 2 8 2 3" xfId="11015" xr:uid="{00000000-0005-0000-0000-00005E100000}"/>
    <cellStyle name="Calculation 2 8 2 3 2" xfId="20430" xr:uid="{00000000-0005-0000-0000-00005F100000}"/>
    <cellStyle name="Calculation 2 8 2 4" xfId="15275" xr:uid="{00000000-0005-0000-0000-000060100000}"/>
    <cellStyle name="Calculation 2 8 2 4 2" xfId="20663" xr:uid="{00000000-0005-0000-0000-000061100000}"/>
    <cellStyle name="Calculation 2 8 2 5" xfId="16390" xr:uid="{00000000-0005-0000-0000-000062100000}"/>
    <cellStyle name="Calculation 2 8 2 5 2" xfId="22031" xr:uid="{00000000-0005-0000-0000-000063100000}"/>
    <cellStyle name="Calculation 2 8 2 6" xfId="16753" xr:uid="{00000000-0005-0000-0000-000064100000}"/>
    <cellStyle name="Calculation 2 8 2 6 2" xfId="22404" xr:uid="{00000000-0005-0000-0000-000065100000}"/>
    <cellStyle name="Calculation 2 8 2 7" xfId="17471" xr:uid="{00000000-0005-0000-0000-000066100000}"/>
    <cellStyle name="Calculation 2 8 2 7 2" xfId="23118" xr:uid="{00000000-0005-0000-0000-000067100000}"/>
    <cellStyle name="Calculation 2 8 2 8" xfId="13675" xr:uid="{00000000-0005-0000-0000-000068100000}"/>
    <cellStyle name="Calculation 2 8 2 8 2" xfId="18651" xr:uid="{00000000-0005-0000-0000-000069100000}"/>
    <cellStyle name="Calculation 2 8 2 9" xfId="13002" xr:uid="{00000000-0005-0000-0000-00006A100000}"/>
    <cellStyle name="Calculation 2 8 3" xfId="10410" xr:uid="{00000000-0005-0000-0000-00006B100000}"/>
    <cellStyle name="Calculation 2 8 3 2" xfId="19145" xr:uid="{00000000-0005-0000-0000-00006C100000}"/>
    <cellStyle name="Calculation 2 8 3 3" xfId="24310" xr:uid="{00000000-0005-0000-0000-00006D100000}"/>
    <cellStyle name="Calculation 2 8 3 4" xfId="23519" xr:uid="{00000000-0005-0000-0000-00006E100000}"/>
    <cellStyle name="Calculation 2 8 4" xfId="14014" xr:uid="{00000000-0005-0000-0000-00006F100000}"/>
    <cellStyle name="Calculation 2 8 4 2" xfId="19001" xr:uid="{00000000-0005-0000-0000-000070100000}"/>
    <cellStyle name="Calculation 2 8 4 3" xfId="41432" xr:uid="{00000000-0005-0000-0000-000071100000}"/>
    <cellStyle name="Calculation 2 8 5" xfId="15803" xr:uid="{00000000-0005-0000-0000-000072100000}"/>
    <cellStyle name="Calculation 2 8 5 2" xfId="21297" xr:uid="{00000000-0005-0000-0000-000073100000}"/>
    <cellStyle name="Calculation 2 8 6" xfId="16127" xr:uid="{00000000-0005-0000-0000-000074100000}"/>
    <cellStyle name="Calculation 2 8 6 2" xfId="21631" xr:uid="{00000000-0005-0000-0000-000075100000}"/>
    <cellStyle name="Calculation 2 8 7" xfId="15945" xr:uid="{00000000-0005-0000-0000-000076100000}"/>
    <cellStyle name="Calculation 2 8 7 2" xfId="21439" xr:uid="{00000000-0005-0000-0000-000077100000}"/>
    <cellStyle name="Calculation 2 8 8" xfId="17094" xr:uid="{00000000-0005-0000-0000-000078100000}"/>
    <cellStyle name="Calculation 2 8 8 2" xfId="22740" xr:uid="{00000000-0005-0000-0000-000079100000}"/>
    <cellStyle name="Calculation 2 8 9" xfId="13353" xr:uid="{00000000-0005-0000-0000-00007A100000}"/>
    <cellStyle name="Calculation 2 8 9 2" xfId="18332" xr:uid="{00000000-0005-0000-0000-00007B100000}"/>
    <cellStyle name="Calculation 2 9" xfId="1436" xr:uid="{00000000-0005-0000-0000-00007C100000}"/>
    <cellStyle name="Calculation 2 9 10" xfId="12600" xr:uid="{00000000-0005-0000-0000-00007D100000}"/>
    <cellStyle name="Calculation 2 9 11" xfId="12577" xr:uid="{00000000-0005-0000-0000-00007E100000}"/>
    <cellStyle name="Calculation 2 9 2" xfId="3212" xr:uid="{00000000-0005-0000-0000-00007F100000}"/>
    <cellStyle name="Calculation 2 9 2 10" xfId="17996" xr:uid="{00000000-0005-0000-0000-000080100000}"/>
    <cellStyle name="Calculation 2 9 2 2" xfId="7898" xr:uid="{00000000-0005-0000-0000-000081100000}"/>
    <cellStyle name="Calculation 2 9 2 2 2" xfId="20016" xr:uid="{00000000-0005-0000-0000-000082100000}"/>
    <cellStyle name="Calculation 2 9 2 2 2 2" xfId="44951" xr:uid="{00000000-0005-0000-0000-000083100000}"/>
    <cellStyle name="Calculation 2 9 2 2 3" xfId="14695" xr:uid="{00000000-0005-0000-0000-000084100000}"/>
    <cellStyle name="Calculation 2 9 2 2 3 2" xfId="24511" xr:uid="{00000000-0005-0000-0000-000085100000}"/>
    <cellStyle name="Calculation 2 9 2 2 4" xfId="23841" xr:uid="{00000000-0005-0000-0000-000086100000}"/>
    <cellStyle name="Calculation 2 9 2 3" xfId="11016" xr:uid="{00000000-0005-0000-0000-000087100000}"/>
    <cellStyle name="Calculation 2 9 2 3 2" xfId="20429" xr:uid="{00000000-0005-0000-0000-000088100000}"/>
    <cellStyle name="Calculation 2 9 2 4" xfId="15274" xr:uid="{00000000-0005-0000-0000-000089100000}"/>
    <cellStyle name="Calculation 2 9 2 4 2" xfId="20662" xr:uid="{00000000-0005-0000-0000-00008A100000}"/>
    <cellStyle name="Calculation 2 9 2 5" xfId="16391" xr:uid="{00000000-0005-0000-0000-00008B100000}"/>
    <cellStyle name="Calculation 2 9 2 5 2" xfId="22032" xr:uid="{00000000-0005-0000-0000-00008C100000}"/>
    <cellStyle name="Calculation 2 9 2 6" xfId="16754" xr:uid="{00000000-0005-0000-0000-00008D100000}"/>
    <cellStyle name="Calculation 2 9 2 6 2" xfId="22405" xr:uid="{00000000-0005-0000-0000-00008E100000}"/>
    <cellStyle name="Calculation 2 9 2 7" xfId="17472" xr:uid="{00000000-0005-0000-0000-00008F100000}"/>
    <cellStyle name="Calculation 2 9 2 7 2" xfId="23119" xr:uid="{00000000-0005-0000-0000-000090100000}"/>
    <cellStyle name="Calculation 2 9 2 8" xfId="13676" xr:uid="{00000000-0005-0000-0000-000091100000}"/>
    <cellStyle name="Calculation 2 9 2 8 2" xfId="18652" xr:uid="{00000000-0005-0000-0000-000092100000}"/>
    <cellStyle name="Calculation 2 9 2 9" xfId="13003" xr:uid="{00000000-0005-0000-0000-000093100000}"/>
    <cellStyle name="Calculation 2 9 3" xfId="10394" xr:uid="{00000000-0005-0000-0000-000094100000}"/>
    <cellStyle name="Calculation 2 9 3 2" xfId="19146" xr:uid="{00000000-0005-0000-0000-000095100000}"/>
    <cellStyle name="Calculation 2 9 3 3" xfId="24309" xr:uid="{00000000-0005-0000-0000-000096100000}"/>
    <cellStyle name="Calculation 2 9 3 4" xfId="23520" xr:uid="{00000000-0005-0000-0000-000097100000}"/>
    <cellStyle name="Calculation 2 9 4" xfId="14015" xr:uid="{00000000-0005-0000-0000-000098100000}"/>
    <cellStyle name="Calculation 2 9 4 2" xfId="19002" xr:uid="{00000000-0005-0000-0000-000099100000}"/>
    <cellStyle name="Calculation 2 9 4 3" xfId="41433" xr:uid="{00000000-0005-0000-0000-00009A100000}"/>
    <cellStyle name="Calculation 2 9 5" xfId="15802" xr:uid="{00000000-0005-0000-0000-00009B100000}"/>
    <cellStyle name="Calculation 2 9 5 2" xfId="21296" xr:uid="{00000000-0005-0000-0000-00009C100000}"/>
    <cellStyle name="Calculation 2 9 6" xfId="15957" xr:uid="{00000000-0005-0000-0000-00009D100000}"/>
    <cellStyle name="Calculation 2 9 6 2" xfId="21451" xr:uid="{00000000-0005-0000-0000-00009E100000}"/>
    <cellStyle name="Calculation 2 9 7" xfId="16116" xr:uid="{00000000-0005-0000-0000-00009F100000}"/>
    <cellStyle name="Calculation 2 9 7 2" xfId="21620" xr:uid="{00000000-0005-0000-0000-0000A0100000}"/>
    <cellStyle name="Calculation 2 9 8" xfId="17095" xr:uid="{00000000-0005-0000-0000-0000A1100000}"/>
    <cellStyle name="Calculation 2 9 8 2" xfId="22741" xr:uid="{00000000-0005-0000-0000-0000A2100000}"/>
    <cellStyle name="Calculation 2 9 9" xfId="13354" xr:uid="{00000000-0005-0000-0000-0000A3100000}"/>
    <cellStyle name="Calculation 2 9 9 2" xfId="18333" xr:uid="{00000000-0005-0000-0000-0000A4100000}"/>
    <cellStyle name="Calculation 20" xfId="42882" xr:uid="{00000000-0005-0000-0000-0000A5100000}"/>
    <cellStyle name="Calculation 21" xfId="42883" xr:uid="{00000000-0005-0000-0000-0000A6100000}"/>
    <cellStyle name="Calculation 22" xfId="42884" xr:uid="{00000000-0005-0000-0000-0000A7100000}"/>
    <cellStyle name="Calculation 23" xfId="42885" xr:uid="{00000000-0005-0000-0000-0000A8100000}"/>
    <cellStyle name="Calculation 24" xfId="42886" xr:uid="{00000000-0005-0000-0000-0000A9100000}"/>
    <cellStyle name="Calculation 25" xfId="42887" xr:uid="{00000000-0005-0000-0000-0000AA100000}"/>
    <cellStyle name="Calculation 26" xfId="42888" xr:uid="{00000000-0005-0000-0000-0000AB100000}"/>
    <cellStyle name="Calculation 27" xfId="42889" xr:uid="{00000000-0005-0000-0000-0000AC100000}"/>
    <cellStyle name="Calculation 28" xfId="42890" xr:uid="{00000000-0005-0000-0000-0000AD100000}"/>
    <cellStyle name="Calculation 29" xfId="42891" xr:uid="{00000000-0005-0000-0000-0000AE100000}"/>
    <cellStyle name="Calculation 3" xfId="1437" xr:uid="{00000000-0005-0000-0000-0000AF100000}"/>
    <cellStyle name="Calculation 3 10" xfId="1438" xr:uid="{00000000-0005-0000-0000-0000B0100000}"/>
    <cellStyle name="Calculation 3 10 10" xfId="12602" xr:uid="{00000000-0005-0000-0000-0000B1100000}"/>
    <cellStyle name="Calculation 3 10 11" xfId="12575" xr:uid="{00000000-0005-0000-0000-0000B2100000}"/>
    <cellStyle name="Calculation 3 10 2" xfId="3213" xr:uid="{00000000-0005-0000-0000-0000B3100000}"/>
    <cellStyle name="Calculation 3 10 2 10" xfId="17998" xr:uid="{00000000-0005-0000-0000-0000B4100000}"/>
    <cellStyle name="Calculation 3 10 2 2" xfId="14697" xr:uid="{00000000-0005-0000-0000-0000B5100000}"/>
    <cellStyle name="Calculation 3 10 2 2 2" xfId="20018" xr:uid="{00000000-0005-0000-0000-0000B6100000}"/>
    <cellStyle name="Calculation 3 10 2 2 3" xfId="24513" xr:uid="{00000000-0005-0000-0000-0000B7100000}"/>
    <cellStyle name="Calculation 3 10 2 2 4" xfId="23843" xr:uid="{00000000-0005-0000-0000-0000B8100000}"/>
    <cellStyle name="Calculation 3 10 2 3" xfId="14408" xr:uid="{00000000-0005-0000-0000-0000B9100000}"/>
    <cellStyle name="Calculation 3 10 2 3 2" xfId="19547" xr:uid="{00000000-0005-0000-0000-0000BA100000}"/>
    <cellStyle name="Calculation 3 10 2 4" xfId="15272" xr:uid="{00000000-0005-0000-0000-0000BB100000}"/>
    <cellStyle name="Calculation 3 10 2 4 2" xfId="20660" xr:uid="{00000000-0005-0000-0000-0000BC100000}"/>
    <cellStyle name="Calculation 3 10 2 5" xfId="16393" xr:uid="{00000000-0005-0000-0000-0000BD100000}"/>
    <cellStyle name="Calculation 3 10 2 5 2" xfId="22034" xr:uid="{00000000-0005-0000-0000-0000BE100000}"/>
    <cellStyle name="Calculation 3 10 2 6" xfId="16756" xr:uid="{00000000-0005-0000-0000-0000BF100000}"/>
    <cellStyle name="Calculation 3 10 2 6 2" xfId="22407" xr:uid="{00000000-0005-0000-0000-0000C0100000}"/>
    <cellStyle name="Calculation 3 10 2 7" xfId="17474" xr:uid="{00000000-0005-0000-0000-0000C1100000}"/>
    <cellStyle name="Calculation 3 10 2 7 2" xfId="23121" xr:uid="{00000000-0005-0000-0000-0000C2100000}"/>
    <cellStyle name="Calculation 3 10 2 8" xfId="13678" xr:uid="{00000000-0005-0000-0000-0000C3100000}"/>
    <cellStyle name="Calculation 3 10 2 8 2" xfId="18654" xr:uid="{00000000-0005-0000-0000-0000C4100000}"/>
    <cellStyle name="Calculation 3 10 2 9" xfId="13005" xr:uid="{00000000-0005-0000-0000-0000C5100000}"/>
    <cellStyle name="Calculation 3 10 3" xfId="10590" xr:uid="{00000000-0005-0000-0000-0000C6100000}"/>
    <cellStyle name="Calculation 3 10 3 2" xfId="19148" xr:uid="{00000000-0005-0000-0000-0000C7100000}"/>
    <cellStyle name="Calculation 3 10 3 3" xfId="24307" xr:uid="{00000000-0005-0000-0000-0000C8100000}"/>
    <cellStyle name="Calculation 3 10 3 4" xfId="23522" xr:uid="{00000000-0005-0000-0000-0000C9100000}"/>
    <cellStyle name="Calculation 3 10 4" xfId="14017" xr:uid="{00000000-0005-0000-0000-0000CA100000}"/>
    <cellStyle name="Calculation 3 10 4 2" xfId="19004" xr:uid="{00000000-0005-0000-0000-0000CB100000}"/>
    <cellStyle name="Calculation 3 10 5" xfId="15800" xr:uid="{00000000-0005-0000-0000-0000CC100000}"/>
    <cellStyle name="Calculation 3 10 5 2" xfId="21294" xr:uid="{00000000-0005-0000-0000-0000CD100000}"/>
    <cellStyle name="Calculation 3 10 6" xfId="16126" xr:uid="{00000000-0005-0000-0000-0000CE100000}"/>
    <cellStyle name="Calculation 3 10 6 2" xfId="21630" xr:uid="{00000000-0005-0000-0000-0000CF100000}"/>
    <cellStyle name="Calculation 3 10 7" xfId="16115" xr:uid="{00000000-0005-0000-0000-0000D0100000}"/>
    <cellStyle name="Calculation 3 10 7 2" xfId="21619" xr:uid="{00000000-0005-0000-0000-0000D1100000}"/>
    <cellStyle name="Calculation 3 10 8" xfId="17097" xr:uid="{00000000-0005-0000-0000-0000D2100000}"/>
    <cellStyle name="Calculation 3 10 8 2" xfId="22743" xr:uid="{00000000-0005-0000-0000-0000D3100000}"/>
    <cellStyle name="Calculation 3 10 9" xfId="13356" xr:uid="{00000000-0005-0000-0000-0000D4100000}"/>
    <cellStyle name="Calculation 3 10 9 2" xfId="18335" xr:uid="{00000000-0005-0000-0000-0000D5100000}"/>
    <cellStyle name="Calculation 3 11" xfId="1439" xr:uid="{00000000-0005-0000-0000-0000D6100000}"/>
    <cellStyle name="Calculation 3 11 10" xfId="12603" xr:uid="{00000000-0005-0000-0000-0000D7100000}"/>
    <cellStyle name="Calculation 3 11 11" xfId="12574" xr:uid="{00000000-0005-0000-0000-0000D8100000}"/>
    <cellStyle name="Calculation 3 11 2" xfId="3214" xr:uid="{00000000-0005-0000-0000-0000D9100000}"/>
    <cellStyle name="Calculation 3 11 2 10" xfId="17999" xr:uid="{00000000-0005-0000-0000-0000DA100000}"/>
    <cellStyle name="Calculation 3 11 2 2" xfId="14698" xr:uid="{00000000-0005-0000-0000-0000DB100000}"/>
    <cellStyle name="Calculation 3 11 2 2 2" xfId="20019" xr:uid="{00000000-0005-0000-0000-0000DC100000}"/>
    <cellStyle name="Calculation 3 11 2 2 3" xfId="24514" xr:uid="{00000000-0005-0000-0000-0000DD100000}"/>
    <cellStyle name="Calculation 3 11 2 2 4" xfId="23844" xr:uid="{00000000-0005-0000-0000-0000DE100000}"/>
    <cellStyle name="Calculation 3 11 2 3" xfId="14409" xr:uid="{00000000-0005-0000-0000-0000DF100000}"/>
    <cellStyle name="Calculation 3 11 2 3 2" xfId="19548" xr:uid="{00000000-0005-0000-0000-0000E0100000}"/>
    <cellStyle name="Calculation 3 11 2 4" xfId="15271" xr:uid="{00000000-0005-0000-0000-0000E1100000}"/>
    <cellStyle name="Calculation 3 11 2 4 2" xfId="20659" xr:uid="{00000000-0005-0000-0000-0000E2100000}"/>
    <cellStyle name="Calculation 3 11 2 5" xfId="16394" xr:uid="{00000000-0005-0000-0000-0000E3100000}"/>
    <cellStyle name="Calculation 3 11 2 5 2" xfId="22035" xr:uid="{00000000-0005-0000-0000-0000E4100000}"/>
    <cellStyle name="Calculation 3 11 2 6" xfId="16757" xr:uid="{00000000-0005-0000-0000-0000E5100000}"/>
    <cellStyle name="Calculation 3 11 2 6 2" xfId="22408" xr:uid="{00000000-0005-0000-0000-0000E6100000}"/>
    <cellStyle name="Calculation 3 11 2 7" xfId="17475" xr:uid="{00000000-0005-0000-0000-0000E7100000}"/>
    <cellStyle name="Calculation 3 11 2 7 2" xfId="23122" xr:uid="{00000000-0005-0000-0000-0000E8100000}"/>
    <cellStyle name="Calculation 3 11 2 8" xfId="13679" xr:uid="{00000000-0005-0000-0000-0000E9100000}"/>
    <cellStyle name="Calculation 3 11 2 8 2" xfId="18655" xr:uid="{00000000-0005-0000-0000-0000EA100000}"/>
    <cellStyle name="Calculation 3 11 2 9" xfId="13006" xr:uid="{00000000-0005-0000-0000-0000EB100000}"/>
    <cellStyle name="Calculation 3 11 3" xfId="10519" xr:uid="{00000000-0005-0000-0000-0000EC100000}"/>
    <cellStyle name="Calculation 3 11 3 2" xfId="19149" xr:uid="{00000000-0005-0000-0000-0000ED100000}"/>
    <cellStyle name="Calculation 3 11 3 3" xfId="24306" xr:uid="{00000000-0005-0000-0000-0000EE100000}"/>
    <cellStyle name="Calculation 3 11 3 4" xfId="23523" xr:uid="{00000000-0005-0000-0000-0000EF100000}"/>
    <cellStyle name="Calculation 3 11 4" xfId="14018" xr:uid="{00000000-0005-0000-0000-0000F0100000}"/>
    <cellStyle name="Calculation 3 11 4 2" xfId="19005" xr:uid="{00000000-0005-0000-0000-0000F1100000}"/>
    <cellStyle name="Calculation 3 11 5" xfId="15799" xr:uid="{00000000-0005-0000-0000-0000F2100000}"/>
    <cellStyle name="Calculation 3 11 5 2" xfId="21293" xr:uid="{00000000-0005-0000-0000-0000F3100000}"/>
    <cellStyle name="Calculation 3 11 6" xfId="15958" xr:uid="{00000000-0005-0000-0000-0000F4100000}"/>
    <cellStyle name="Calculation 3 11 6 2" xfId="21452" xr:uid="{00000000-0005-0000-0000-0000F5100000}"/>
    <cellStyle name="Calculation 3 11 7" xfId="15943" xr:uid="{00000000-0005-0000-0000-0000F6100000}"/>
    <cellStyle name="Calculation 3 11 7 2" xfId="21437" xr:uid="{00000000-0005-0000-0000-0000F7100000}"/>
    <cellStyle name="Calculation 3 11 8" xfId="17098" xr:uid="{00000000-0005-0000-0000-0000F8100000}"/>
    <cellStyle name="Calculation 3 11 8 2" xfId="22744" xr:uid="{00000000-0005-0000-0000-0000F9100000}"/>
    <cellStyle name="Calculation 3 11 9" xfId="13357" xr:uid="{00000000-0005-0000-0000-0000FA100000}"/>
    <cellStyle name="Calculation 3 11 9 2" xfId="18336" xr:uid="{00000000-0005-0000-0000-0000FB100000}"/>
    <cellStyle name="Calculation 3 12" xfId="3215" xr:uid="{00000000-0005-0000-0000-0000FC100000}"/>
    <cellStyle name="Calculation 3 12 10" xfId="17997" xr:uid="{00000000-0005-0000-0000-0000FD100000}"/>
    <cellStyle name="Calculation 3 12 2" xfId="7899" xr:uid="{00000000-0005-0000-0000-0000FE100000}"/>
    <cellStyle name="Calculation 3 12 2 2" xfId="20017" xr:uid="{00000000-0005-0000-0000-0000FF100000}"/>
    <cellStyle name="Calculation 3 12 2 2 2" xfId="44952" xr:uid="{00000000-0005-0000-0000-000000110000}"/>
    <cellStyle name="Calculation 3 12 2 3" xfId="14696" xr:uid="{00000000-0005-0000-0000-000001110000}"/>
    <cellStyle name="Calculation 3 12 2 3 2" xfId="24512" xr:uid="{00000000-0005-0000-0000-000002110000}"/>
    <cellStyle name="Calculation 3 12 2 4" xfId="23842" xr:uid="{00000000-0005-0000-0000-000003110000}"/>
    <cellStyle name="Calculation 3 12 3" xfId="11017" xr:uid="{00000000-0005-0000-0000-000004110000}"/>
    <cellStyle name="Calculation 3 12 3 2" xfId="19546" xr:uid="{00000000-0005-0000-0000-000005110000}"/>
    <cellStyle name="Calculation 3 12 4" xfId="15273" xr:uid="{00000000-0005-0000-0000-000006110000}"/>
    <cellStyle name="Calculation 3 12 4 2" xfId="20661" xr:uid="{00000000-0005-0000-0000-000007110000}"/>
    <cellStyle name="Calculation 3 12 5" xfId="16392" xr:uid="{00000000-0005-0000-0000-000008110000}"/>
    <cellStyle name="Calculation 3 12 5 2" xfId="22033" xr:uid="{00000000-0005-0000-0000-000009110000}"/>
    <cellStyle name="Calculation 3 12 6" xfId="16755" xr:uid="{00000000-0005-0000-0000-00000A110000}"/>
    <cellStyle name="Calculation 3 12 6 2" xfId="22406" xr:uid="{00000000-0005-0000-0000-00000B110000}"/>
    <cellStyle name="Calculation 3 12 7" xfId="17473" xr:uid="{00000000-0005-0000-0000-00000C110000}"/>
    <cellStyle name="Calculation 3 12 7 2" xfId="23120" xr:uid="{00000000-0005-0000-0000-00000D110000}"/>
    <cellStyle name="Calculation 3 12 8" xfId="13677" xr:uid="{00000000-0005-0000-0000-00000E110000}"/>
    <cellStyle name="Calculation 3 12 8 2" xfId="18653" xr:uid="{00000000-0005-0000-0000-00000F110000}"/>
    <cellStyle name="Calculation 3 12 9" xfId="13004" xr:uid="{00000000-0005-0000-0000-000010110000}"/>
    <cellStyle name="Calculation 3 13" xfId="10518" xr:uid="{00000000-0005-0000-0000-000011110000}"/>
    <cellStyle name="Calculation 3 13 2" xfId="19147" xr:uid="{00000000-0005-0000-0000-000012110000}"/>
    <cellStyle name="Calculation 3 13 3" xfId="24308" xr:uid="{00000000-0005-0000-0000-000013110000}"/>
    <cellStyle name="Calculation 3 13 4" xfId="23521" xr:uid="{00000000-0005-0000-0000-000014110000}"/>
    <cellStyle name="Calculation 3 14" xfId="14016" xr:uid="{00000000-0005-0000-0000-000015110000}"/>
    <cellStyle name="Calculation 3 14 2" xfId="19003" xr:uid="{00000000-0005-0000-0000-000016110000}"/>
    <cellStyle name="Calculation 3 14 3" xfId="41434" xr:uid="{00000000-0005-0000-0000-000017110000}"/>
    <cellStyle name="Calculation 3 15" xfId="15801" xr:uid="{00000000-0005-0000-0000-000018110000}"/>
    <cellStyle name="Calculation 3 15 2" xfId="21295" xr:uid="{00000000-0005-0000-0000-000019110000}"/>
    <cellStyle name="Calculation 3 16" xfId="16128" xr:uid="{00000000-0005-0000-0000-00001A110000}"/>
    <cellStyle name="Calculation 3 16 2" xfId="21632" xr:uid="{00000000-0005-0000-0000-00001B110000}"/>
    <cellStyle name="Calculation 3 17" xfId="15944" xr:uid="{00000000-0005-0000-0000-00001C110000}"/>
    <cellStyle name="Calculation 3 17 2" xfId="21438" xr:uid="{00000000-0005-0000-0000-00001D110000}"/>
    <cellStyle name="Calculation 3 18" xfId="17096" xr:uid="{00000000-0005-0000-0000-00001E110000}"/>
    <cellStyle name="Calculation 3 18 2" xfId="22742" xr:uid="{00000000-0005-0000-0000-00001F110000}"/>
    <cellStyle name="Calculation 3 19" xfId="13355" xr:uid="{00000000-0005-0000-0000-000020110000}"/>
    <cellStyle name="Calculation 3 19 2" xfId="18334" xr:uid="{00000000-0005-0000-0000-000021110000}"/>
    <cellStyle name="Calculation 3 2" xfId="1440" xr:uid="{00000000-0005-0000-0000-000022110000}"/>
    <cellStyle name="Calculation 3 2 10" xfId="12604" xr:uid="{00000000-0005-0000-0000-000023110000}"/>
    <cellStyle name="Calculation 3 2 11" xfId="12573" xr:uid="{00000000-0005-0000-0000-000024110000}"/>
    <cellStyle name="Calculation 3 2 2" xfId="3216" xr:uid="{00000000-0005-0000-0000-000025110000}"/>
    <cellStyle name="Calculation 3 2 2 10" xfId="18000" xr:uid="{00000000-0005-0000-0000-000026110000}"/>
    <cellStyle name="Calculation 3 2 2 2" xfId="14699" xr:uid="{00000000-0005-0000-0000-000027110000}"/>
    <cellStyle name="Calculation 3 2 2 2 2" xfId="20020" xr:uid="{00000000-0005-0000-0000-000028110000}"/>
    <cellStyle name="Calculation 3 2 2 2 3" xfId="24515" xr:uid="{00000000-0005-0000-0000-000029110000}"/>
    <cellStyle name="Calculation 3 2 2 2 4" xfId="23845" xr:uid="{00000000-0005-0000-0000-00002A110000}"/>
    <cellStyle name="Calculation 3 2 2 3" xfId="14410" xr:uid="{00000000-0005-0000-0000-00002B110000}"/>
    <cellStyle name="Calculation 3 2 2 3 2" xfId="19549" xr:uid="{00000000-0005-0000-0000-00002C110000}"/>
    <cellStyle name="Calculation 3 2 2 4" xfId="15270" xr:uid="{00000000-0005-0000-0000-00002D110000}"/>
    <cellStyle name="Calculation 3 2 2 4 2" xfId="20658" xr:uid="{00000000-0005-0000-0000-00002E110000}"/>
    <cellStyle name="Calculation 3 2 2 5" xfId="16395" xr:uid="{00000000-0005-0000-0000-00002F110000}"/>
    <cellStyle name="Calculation 3 2 2 5 2" xfId="22036" xr:uid="{00000000-0005-0000-0000-000030110000}"/>
    <cellStyle name="Calculation 3 2 2 6" xfId="16758" xr:uid="{00000000-0005-0000-0000-000031110000}"/>
    <cellStyle name="Calculation 3 2 2 6 2" xfId="22409" xr:uid="{00000000-0005-0000-0000-000032110000}"/>
    <cellStyle name="Calculation 3 2 2 7" xfId="17476" xr:uid="{00000000-0005-0000-0000-000033110000}"/>
    <cellStyle name="Calculation 3 2 2 7 2" xfId="23123" xr:uid="{00000000-0005-0000-0000-000034110000}"/>
    <cellStyle name="Calculation 3 2 2 8" xfId="13680" xr:uid="{00000000-0005-0000-0000-000035110000}"/>
    <cellStyle name="Calculation 3 2 2 8 2" xfId="18656" xr:uid="{00000000-0005-0000-0000-000036110000}"/>
    <cellStyle name="Calculation 3 2 2 9" xfId="13007" xr:uid="{00000000-0005-0000-0000-000037110000}"/>
    <cellStyle name="Calculation 3 2 3" xfId="10409" xr:uid="{00000000-0005-0000-0000-000038110000}"/>
    <cellStyle name="Calculation 3 2 3 2" xfId="19150" xr:uid="{00000000-0005-0000-0000-000039110000}"/>
    <cellStyle name="Calculation 3 2 3 3" xfId="24305" xr:uid="{00000000-0005-0000-0000-00003A110000}"/>
    <cellStyle name="Calculation 3 2 3 4" xfId="23524" xr:uid="{00000000-0005-0000-0000-00003B110000}"/>
    <cellStyle name="Calculation 3 2 4" xfId="14019" xr:uid="{00000000-0005-0000-0000-00003C110000}"/>
    <cellStyle name="Calculation 3 2 4 2" xfId="19006" xr:uid="{00000000-0005-0000-0000-00003D110000}"/>
    <cellStyle name="Calculation 3 2 4 3" xfId="42892" xr:uid="{00000000-0005-0000-0000-00003E110000}"/>
    <cellStyle name="Calculation 3 2 5" xfId="15798" xr:uid="{00000000-0005-0000-0000-00003F110000}"/>
    <cellStyle name="Calculation 3 2 5 2" xfId="21292" xr:uid="{00000000-0005-0000-0000-000040110000}"/>
    <cellStyle name="Calculation 3 2 6" xfId="16129" xr:uid="{00000000-0005-0000-0000-000041110000}"/>
    <cellStyle name="Calculation 3 2 6 2" xfId="21633" xr:uid="{00000000-0005-0000-0000-000042110000}"/>
    <cellStyle name="Calculation 3 2 7" xfId="16114" xr:uid="{00000000-0005-0000-0000-000043110000}"/>
    <cellStyle name="Calculation 3 2 7 2" xfId="21618" xr:uid="{00000000-0005-0000-0000-000044110000}"/>
    <cellStyle name="Calculation 3 2 8" xfId="17099" xr:uid="{00000000-0005-0000-0000-000045110000}"/>
    <cellStyle name="Calculation 3 2 8 2" xfId="22745" xr:uid="{00000000-0005-0000-0000-000046110000}"/>
    <cellStyle name="Calculation 3 2 9" xfId="13358" xr:uid="{00000000-0005-0000-0000-000047110000}"/>
    <cellStyle name="Calculation 3 2 9 2" xfId="18337" xr:uid="{00000000-0005-0000-0000-000048110000}"/>
    <cellStyle name="Calculation 3 20" xfId="12601" xr:uid="{00000000-0005-0000-0000-000049110000}"/>
    <cellStyle name="Calculation 3 21" xfId="12576" xr:uid="{00000000-0005-0000-0000-00004A110000}"/>
    <cellStyle name="Calculation 3 3" xfId="1441" xr:uid="{00000000-0005-0000-0000-00004B110000}"/>
    <cellStyle name="Calculation 3 3 10" xfId="12605" xr:uid="{00000000-0005-0000-0000-00004C110000}"/>
    <cellStyle name="Calculation 3 3 11" xfId="12572" xr:uid="{00000000-0005-0000-0000-00004D110000}"/>
    <cellStyle name="Calculation 3 3 2" xfId="3217" xr:uid="{00000000-0005-0000-0000-00004E110000}"/>
    <cellStyle name="Calculation 3 3 2 10" xfId="18001" xr:uid="{00000000-0005-0000-0000-00004F110000}"/>
    <cellStyle name="Calculation 3 3 2 2" xfId="14700" xr:uid="{00000000-0005-0000-0000-000050110000}"/>
    <cellStyle name="Calculation 3 3 2 2 2" xfId="20021" xr:uid="{00000000-0005-0000-0000-000051110000}"/>
    <cellStyle name="Calculation 3 3 2 2 3" xfId="24516" xr:uid="{00000000-0005-0000-0000-000052110000}"/>
    <cellStyle name="Calculation 3 3 2 2 4" xfId="23846" xr:uid="{00000000-0005-0000-0000-000053110000}"/>
    <cellStyle name="Calculation 3 3 2 3" xfId="14411" xr:uid="{00000000-0005-0000-0000-000054110000}"/>
    <cellStyle name="Calculation 3 3 2 3 2" xfId="19550" xr:uid="{00000000-0005-0000-0000-000055110000}"/>
    <cellStyle name="Calculation 3 3 2 4" xfId="15269" xr:uid="{00000000-0005-0000-0000-000056110000}"/>
    <cellStyle name="Calculation 3 3 2 4 2" xfId="20657" xr:uid="{00000000-0005-0000-0000-000057110000}"/>
    <cellStyle name="Calculation 3 3 2 5" xfId="16396" xr:uid="{00000000-0005-0000-0000-000058110000}"/>
    <cellStyle name="Calculation 3 3 2 5 2" xfId="22037" xr:uid="{00000000-0005-0000-0000-000059110000}"/>
    <cellStyle name="Calculation 3 3 2 6" xfId="16759" xr:uid="{00000000-0005-0000-0000-00005A110000}"/>
    <cellStyle name="Calculation 3 3 2 6 2" xfId="22410" xr:uid="{00000000-0005-0000-0000-00005B110000}"/>
    <cellStyle name="Calculation 3 3 2 7" xfId="17477" xr:uid="{00000000-0005-0000-0000-00005C110000}"/>
    <cellStyle name="Calculation 3 3 2 7 2" xfId="23124" xr:uid="{00000000-0005-0000-0000-00005D110000}"/>
    <cellStyle name="Calculation 3 3 2 8" xfId="13681" xr:uid="{00000000-0005-0000-0000-00005E110000}"/>
    <cellStyle name="Calculation 3 3 2 8 2" xfId="18657" xr:uid="{00000000-0005-0000-0000-00005F110000}"/>
    <cellStyle name="Calculation 3 3 2 9" xfId="13008" xr:uid="{00000000-0005-0000-0000-000060110000}"/>
    <cellStyle name="Calculation 3 3 3" xfId="10393" xr:uid="{00000000-0005-0000-0000-000061110000}"/>
    <cellStyle name="Calculation 3 3 3 2" xfId="19151" xr:uid="{00000000-0005-0000-0000-000062110000}"/>
    <cellStyle name="Calculation 3 3 3 3" xfId="24304" xr:uid="{00000000-0005-0000-0000-000063110000}"/>
    <cellStyle name="Calculation 3 3 3 4" xfId="23525" xr:uid="{00000000-0005-0000-0000-000064110000}"/>
    <cellStyle name="Calculation 3 3 4" xfId="14020" xr:uid="{00000000-0005-0000-0000-000065110000}"/>
    <cellStyle name="Calculation 3 3 4 2" xfId="19007" xr:uid="{00000000-0005-0000-0000-000066110000}"/>
    <cellStyle name="Calculation 3 3 5" xfId="15797" xr:uid="{00000000-0005-0000-0000-000067110000}"/>
    <cellStyle name="Calculation 3 3 5 2" xfId="21291" xr:uid="{00000000-0005-0000-0000-000068110000}"/>
    <cellStyle name="Calculation 3 3 6" xfId="15959" xr:uid="{00000000-0005-0000-0000-000069110000}"/>
    <cellStyle name="Calculation 3 3 6 2" xfId="21453" xr:uid="{00000000-0005-0000-0000-00006A110000}"/>
    <cellStyle name="Calculation 3 3 7" xfId="15942" xr:uid="{00000000-0005-0000-0000-00006B110000}"/>
    <cellStyle name="Calculation 3 3 7 2" xfId="21436" xr:uid="{00000000-0005-0000-0000-00006C110000}"/>
    <cellStyle name="Calculation 3 3 8" xfId="17100" xr:uid="{00000000-0005-0000-0000-00006D110000}"/>
    <cellStyle name="Calculation 3 3 8 2" xfId="22746" xr:uid="{00000000-0005-0000-0000-00006E110000}"/>
    <cellStyle name="Calculation 3 3 9" xfId="13359" xr:uid="{00000000-0005-0000-0000-00006F110000}"/>
    <cellStyle name="Calculation 3 3 9 2" xfId="18338" xr:uid="{00000000-0005-0000-0000-000070110000}"/>
    <cellStyle name="Calculation 3 4" xfId="1442" xr:uid="{00000000-0005-0000-0000-000071110000}"/>
    <cellStyle name="Calculation 3 4 10" xfId="12606" xr:uid="{00000000-0005-0000-0000-000072110000}"/>
    <cellStyle name="Calculation 3 4 11" xfId="12571" xr:uid="{00000000-0005-0000-0000-000073110000}"/>
    <cellStyle name="Calculation 3 4 2" xfId="3218" xr:uid="{00000000-0005-0000-0000-000074110000}"/>
    <cellStyle name="Calculation 3 4 2 10" xfId="18002" xr:uid="{00000000-0005-0000-0000-000075110000}"/>
    <cellStyle name="Calculation 3 4 2 2" xfId="14701" xr:uid="{00000000-0005-0000-0000-000076110000}"/>
    <cellStyle name="Calculation 3 4 2 2 2" xfId="20022" xr:uid="{00000000-0005-0000-0000-000077110000}"/>
    <cellStyle name="Calculation 3 4 2 2 3" xfId="24517" xr:uid="{00000000-0005-0000-0000-000078110000}"/>
    <cellStyle name="Calculation 3 4 2 2 4" xfId="23847" xr:uid="{00000000-0005-0000-0000-000079110000}"/>
    <cellStyle name="Calculation 3 4 2 3" xfId="14412" xr:uid="{00000000-0005-0000-0000-00007A110000}"/>
    <cellStyle name="Calculation 3 4 2 3 2" xfId="19551" xr:uid="{00000000-0005-0000-0000-00007B110000}"/>
    <cellStyle name="Calculation 3 4 2 4" xfId="15268" xr:uid="{00000000-0005-0000-0000-00007C110000}"/>
    <cellStyle name="Calculation 3 4 2 4 2" xfId="20656" xr:uid="{00000000-0005-0000-0000-00007D110000}"/>
    <cellStyle name="Calculation 3 4 2 5" xfId="16397" xr:uid="{00000000-0005-0000-0000-00007E110000}"/>
    <cellStyle name="Calculation 3 4 2 5 2" xfId="22038" xr:uid="{00000000-0005-0000-0000-00007F110000}"/>
    <cellStyle name="Calculation 3 4 2 6" xfId="16760" xr:uid="{00000000-0005-0000-0000-000080110000}"/>
    <cellStyle name="Calculation 3 4 2 6 2" xfId="22411" xr:uid="{00000000-0005-0000-0000-000081110000}"/>
    <cellStyle name="Calculation 3 4 2 7" xfId="17478" xr:uid="{00000000-0005-0000-0000-000082110000}"/>
    <cellStyle name="Calculation 3 4 2 7 2" xfId="23125" xr:uid="{00000000-0005-0000-0000-000083110000}"/>
    <cellStyle name="Calculation 3 4 2 8" xfId="13682" xr:uid="{00000000-0005-0000-0000-000084110000}"/>
    <cellStyle name="Calculation 3 4 2 8 2" xfId="18658" xr:uid="{00000000-0005-0000-0000-000085110000}"/>
    <cellStyle name="Calculation 3 4 2 9" xfId="13009" xr:uid="{00000000-0005-0000-0000-000086110000}"/>
    <cellStyle name="Calculation 3 4 3" xfId="10516" xr:uid="{00000000-0005-0000-0000-000087110000}"/>
    <cellStyle name="Calculation 3 4 3 2" xfId="19152" xr:uid="{00000000-0005-0000-0000-000088110000}"/>
    <cellStyle name="Calculation 3 4 3 3" xfId="24303" xr:uid="{00000000-0005-0000-0000-000089110000}"/>
    <cellStyle name="Calculation 3 4 3 4" xfId="23526" xr:uid="{00000000-0005-0000-0000-00008A110000}"/>
    <cellStyle name="Calculation 3 4 4" xfId="14021" xr:uid="{00000000-0005-0000-0000-00008B110000}"/>
    <cellStyle name="Calculation 3 4 4 2" xfId="19008" xr:uid="{00000000-0005-0000-0000-00008C110000}"/>
    <cellStyle name="Calculation 3 4 5" xfId="15796" xr:uid="{00000000-0005-0000-0000-00008D110000}"/>
    <cellStyle name="Calculation 3 4 5 2" xfId="21290" xr:uid="{00000000-0005-0000-0000-00008E110000}"/>
    <cellStyle name="Calculation 3 4 6" xfId="16130" xr:uid="{00000000-0005-0000-0000-00008F110000}"/>
    <cellStyle name="Calculation 3 4 6 2" xfId="21634" xr:uid="{00000000-0005-0000-0000-000090110000}"/>
    <cellStyle name="Calculation 3 4 7" xfId="16113" xr:uid="{00000000-0005-0000-0000-000091110000}"/>
    <cellStyle name="Calculation 3 4 7 2" xfId="21617" xr:uid="{00000000-0005-0000-0000-000092110000}"/>
    <cellStyle name="Calculation 3 4 8" xfId="17101" xr:uid="{00000000-0005-0000-0000-000093110000}"/>
    <cellStyle name="Calculation 3 4 8 2" xfId="22747" xr:uid="{00000000-0005-0000-0000-000094110000}"/>
    <cellStyle name="Calculation 3 4 9" xfId="13360" xr:uid="{00000000-0005-0000-0000-000095110000}"/>
    <cellStyle name="Calculation 3 4 9 2" xfId="18339" xr:uid="{00000000-0005-0000-0000-000096110000}"/>
    <cellStyle name="Calculation 3 5" xfId="1443" xr:uid="{00000000-0005-0000-0000-000097110000}"/>
    <cellStyle name="Calculation 3 5 10" xfId="12607" xr:uid="{00000000-0005-0000-0000-000098110000}"/>
    <cellStyle name="Calculation 3 5 11" xfId="12570" xr:uid="{00000000-0005-0000-0000-000099110000}"/>
    <cellStyle name="Calculation 3 5 2" xfId="3219" xr:uid="{00000000-0005-0000-0000-00009A110000}"/>
    <cellStyle name="Calculation 3 5 2 10" xfId="18003" xr:uid="{00000000-0005-0000-0000-00009B110000}"/>
    <cellStyle name="Calculation 3 5 2 2" xfId="14702" xr:uid="{00000000-0005-0000-0000-00009C110000}"/>
    <cellStyle name="Calculation 3 5 2 2 2" xfId="20023" xr:uid="{00000000-0005-0000-0000-00009D110000}"/>
    <cellStyle name="Calculation 3 5 2 2 3" xfId="24518" xr:uid="{00000000-0005-0000-0000-00009E110000}"/>
    <cellStyle name="Calculation 3 5 2 2 4" xfId="23848" xr:uid="{00000000-0005-0000-0000-00009F110000}"/>
    <cellStyle name="Calculation 3 5 2 3" xfId="14413" xr:uid="{00000000-0005-0000-0000-0000A0110000}"/>
    <cellStyle name="Calculation 3 5 2 3 2" xfId="19552" xr:uid="{00000000-0005-0000-0000-0000A1110000}"/>
    <cellStyle name="Calculation 3 5 2 4" xfId="15267" xr:uid="{00000000-0005-0000-0000-0000A2110000}"/>
    <cellStyle name="Calculation 3 5 2 4 2" xfId="20655" xr:uid="{00000000-0005-0000-0000-0000A3110000}"/>
    <cellStyle name="Calculation 3 5 2 5" xfId="16398" xr:uid="{00000000-0005-0000-0000-0000A4110000}"/>
    <cellStyle name="Calculation 3 5 2 5 2" xfId="22039" xr:uid="{00000000-0005-0000-0000-0000A5110000}"/>
    <cellStyle name="Calculation 3 5 2 6" xfId="16761" xr:uid="{00000000-0005-0000-0000-0000A6110000}"/>
    <cellStyle name="Calculation 3 5 2 6 2" xfId="22412" xr:uid="{00000000-0005-0000-0000-0000A7110000}"/>
    <cellStyle name="Calculation 3 5 2 7" xfId="17479" xr:uid="{00000000-0005-0000-0000-0000A8110000}"/>
    <cellStyle name="Calculation 3 5 2 7 2" xfId="23126" xr:uid="{00000000-0005-0000-0000-0000A9110000}"/>
    <cellStyle name="Calculation 3 5 2 8" xfId="13683" xr:uid="{00000000-0005-0000-0000-0000AA110000}"/>
    <cellStyle name="Calculation 3 5 2 8 2" xfId="18659" xr:uid="{00000000-0005-0000-0000-0000AB110000}"/>
    <cellStyle name="Calculation 3 5 2 9" xfId="13010" xr:uid="{00000000-0005-0000-0000-0000AC110000}"/>
    <cellStyle name="Calculation 3 5 3" xfId="10589" xr:uid="{00000000-0005-0000-0000-0000AD110000}"/>
    <cellStyle name="Calculation 3 5 3 2" xfId="19153" xr:uid="{00000000-0005-0000-0000-0000AE110000}"/>
    <cellStyle name="Calculation 3 5 3 3" xfId="24302" xr:uid="{00000000-0005-0000-0000-0000AF110000}"/>
    <cellStyle name="Calculation 3 5 3 4" xfId="23527" xr:uid="{00000000-0005-0000-0000-0000B0110000}"/>
    <cellStyle name="Calculation 3 5 4" xfId="14022" xr:uid="{00000000-0005-0000-0000-0000B1110000}"/>
    <cellStyle name="Calculation 3 5 4 2" xfId="19009" xr:uid="{00000000-0005-0000-0000-0000B2110000}"/>
    <cellStyle name="Calculation 3 5 5" xfId="15795" xr:uid="{00000000-0005-0000-0000-0000B3110000}"/>
    <cellStyle name="Calculation 3 5 5 2" xfId="21289" xr:uid="{00000000-0005-0000-0000-0000B4110000}"/>
    <cellStyle name="Calculation 3 5 6" xfId="15960" xr:uid="{00000000-0005-0000-0000-0000B5110000}"/>
    <cellStyle name="Calculation 3 5 6 2" xfId="21454" xr:uid="{00000000-0005-0000-0000-0000B6110000}"/>
    <cellStyle name="Calculation 3 5 7" xfId="15941" xr:uid="{00000000-0005-0000-0000-0000B7110000}"/>
    <cellStyle name="Calculation 3 5 7 2" xfId="21435" xr:uid="{00000000-0005-0000-0000-0000B8110000}"/>
    <cellStyle name="Calculation 3 5 8" xfId="17102" xr:uid="{00000000-0005-0000-0000-0000B9110000}"/>
    <cellStyle name="Calculation 3 5 8 2" xfId="22748" xr:uid="{00000000-0005-0000-0000-0000BA110000}"/>
    <cellStyle name="Calculation 3 5 9" xfId="13361" xr:uid="{00000000-0005-0000-0000-0000BB110000}"/>
    <cellStyle name="Calculation 3 5 9 2" xfId="18340" xr:uid="{00000000-0005-0000-0000-0000BC110000}"/>
    <cellStyle name="Calculation 3 6" xfId="1444" xr:uid="{00000000-0005-0000-0000-0000BD110000}"/>
    <cellStyle name="Calculation 3 6 10" xfId="12608" xr:uid="{00000000-0005-0000-0000-0000BE110000}"/>
    <cellStyle name="Calculation 3 6 11" xfId="12569" xr:uid="{00000000-0005-0000-0000-0000BF110000}"/>
    <cellStyle name="Calculation 3 6 2" xfId="3220" xr:uid="{00000000-0005-0000-0000-0000C0110000}"/>
    <cellStyle name="Calculation 3 6 2 10" xfId="18004" xr:uid="{00000000-0005-0000-0000-0000C1110000}"/>
    <cellStyle name="Calculation 3 6 2 2" xfId="14703" xr:uid="{00000000-0005-0000-0000-0000C2110000}"/>
    <cellStyle name="Calculation 3 6 2 2 2" xfId="20024" xr:uid="{00000000-0005-0000-0000-0000C3110000}"/>
    <cellStyle name="Calculation 3 6 2 2 3" xfId="24519" xr:uid="{00000000-0005-0000-0000-0000C4110000}"/>
    <cellStyle name="Calculation 3 6 2 2 4" xfId="23849" xr:uid="{00000000-0005-0000-0000-0000C5110000}"/>
    <cellStyle name="Calculation 3 6 2 3" xfId="14414" xr:uid="{00000000-0005-0000-0000-0000C6110000}"/>
    <cellStyle name="Calculation 3 6 2 3 2" xfId="19553" xr:uid="{00000000-0005-0000-0000-0000C7110000}"/>
    <cellStyle name="Calculation 3 6 2 4" xfId="15266" xr:uid="{00000000-0005-0000-0000-0000C8110000}"/>
    <cellStyle name="Calculation 3 6 2 4 2" xfId="20654" xr:uid="{00000000-0005-0000-0000-0000C9110000}"/>
    <cellStyle name="Calculation 3 6 2 5" xfId="16399" xr:uid="{00000000-0005-0000-0000-0000CA110000}"/>
    <cellStyle name="Calculation 3 6 2 5 2" xfId="22040" xr:uid="{00000000-0005-0000-0000-0000CB110000}"/>
    <cellStyle name="Calculation 3 6 2 6" xfId="16762" xr:uid="{00000000-0005-0000-0000-0000CC110000}"/>
    <cellStyle name="Calculation 3 6 2 6 2" xfId="22413" xr:uid="{00000000-0005-0000-0000-0000CD110000}"/>
    <cellStyle name="Calculation 3 6 2 7" xfId="17480" xr:uid="{00000000-0005-0000-0000-0000CE110000}"/>
    <cellStyle name="Calculation 3 6 2 7 2" xfId="23127" xr:uid="{00000000-0005-0000-0000-0000CF110000}"/>
    <cellStyle name="Calculation 3 6 2 8" xfId="13684" xr:uid="{00000000-0005-0000-0000-0000D0110000}"/>
    <cellStyle name="Calculation 3 6 2 8 2" xfId="18660" xr:uid="{00000000-0005-0000-0000-0000D1110000}"/>
    <cellStyle name="Calculation 3 6 2 9" xfId="13011" xr:uid="{00000000-0005-0000-0000-0000D2110000}"/>
    <cellStyle name="Calculation 3 6 3" xfId="10517" xr:uid="{00000000-0005-0000-0000-0000D3110000}"/>
    <cellStyle name="Calculation 3 6 3 2" xfId="19154" xr:uid="{00000000-0005-0000-0000-0000D4110000}"/>
    <cellStyle name="Calculation 3 6 3 3" xfId="24301" xr:uid="{00000000-0005-0000-0000-0000D5110000}"/>
    <cellStyle name="Calculation 3 6 3 4" xfId="23528" xr:uid="{00000000-0005-0000-0000-0000D6110000}"/>
    <cellStyle name="Calculation 3 6 4" xfId="14023" xr:uid="{00000000-0005-0000-0000-0000D7110000}"/>
    <cellStyle name="Calculation 3 6 4 2" xfId="19010" xr:uid="{00000000-0005-0000-0000-0000D8110000}"/>
    <cellStyle name="Calculation 3 6 5" xfId="15794" xr:uid="{00000000-0005-0000-0000-0000D9110000}"/>
    <cellStyle name="Calculation 3 6 5 2" xfId="21288" xr:uid="{00000000-0005-0000-0000-0000DA110000}"/>
    <cellStyle name="Calculation 3 6 6" xfId="16131" xr:uid="{00000000-0005-0000-0000-0000DB110000}"/>
    <cellStyle name="Calculation 3 6 6 2" xfId="21635" xr:uid="{00000000-0005-0000-0000-0000DC110000}"/>
    <cellStyle name="Calculation 3 6 7" xfId="16112" xr:uid="{00000000-0005-0000-0000-0000DD110000}"/>
    <cellStyle name="Calculation 3 6 7 2" xfId="21616" xr:uid="{00000000-0005-0000-0000-0000DE110000}"/>
    <cellStyle name="Calculation 3 6 8" xfId="17103" xr:uid="{00000000-0005-0000-0000-0000DF110000}"/>
    <cellStyle name="Calculation 3 6 8 2" xfId="22749" xr:uid="{00000000-0005-0000-0000-0000E0110000}"/>
    <cellStyle name="Calculation 3 6 9" xfId="13362" xr:uid="{00000000-0005-0000-0000-0000E1110000}"/>
    <cellStyle name="Calculation 3 6 9 2" xfId="18341" xr:uid="{00000000-0005-0000-0000-0000E2110000}"/>
    <cellStyle name="Calculation 3 7" xfId="1445" xr:uid="{00000000-0005-0000-0000-0000E3110000}"/>
    <cellStyle name="Calculation 3 7 10" xfId="12609" xr:uid="{00000000-0005-0000-0000-0000E4110000}"/>
    <cellStyle name="Calculation 3 7 11" xfId="12568" xr:uid="{00000000-0005-0000-0000-0000E5110000}"/>
    <cellStyle name="Calculation 3 7 2" xfId="3221" xr:uid="{00000000-0005-0000-0000-0000E6110000}"/>
    <cellStyle name="Calculation 3 7 2 10" xfId="18005" xr:uid="{00000000-0005-0000-0000-0000E7110000}"/>
    <cellStyle name="Calculation 3 7 2 2" xfId="14704" xr:uid="{00000000-0005-0000-0000-0000E8110000}"/>
    <cellStyle name="Calculation 3 7 2 2 2" xfId="20025" xr:uid="{00000000-0005-0000-0000-0000E9110000}"/>
    <cellStyle name="Calculation 3 7 2 2 3" xfId="24520" xr:uid="{00000000-0005-0000-0000-0000EA110000}"/>
    <cellStyle name="Calculation 3 7 2 2 4" xfId="23850" xr:uid="{00000000-0005-0000-0000-0000EB110000}"/>
    <cellStyle name="Calculation 3 7 2 3" xfId="14415" xr:uid="{00000000-0005-0000-0000-0000EC110000}"/>
    <cellStyle name="Calculation 3 7 2 3 2" xfId="19554" xr:uid="{00000000-0005-0000-0000-0000ED110000}"/>
    <cellStyle name="Calculation 3 7 2 4" xfId="15265" xr:uid="{00000000-0005-0000-0000-0000EE110000}"/>
    <cellStyle name="Calculation 3 7 2 4 2" xfId="20653" xr:uid="{00000000-0005-0000-0000-0000EF110000}"/>
    <cellStyle name="Calculation 3 7 2 5" xfId="16400" xr:uid="{00000000-0005-0000-0000-0000F0110000}"/>
    <cellStyle name="Calculation 3 7 2 5 2" xfId="22041" xr:uid="{00000000-0005-0000-0000-0000F1110000}"/>
    <cellStyle name="Calculation 3 7 2 6" xfId="16763" xr:uid="{00000000-0005-0000-0000-0000F2110000}"/>
    <cellStyle name="Calculation 3 7 2 6 2" xfId="22414" xr:uid="{00000000-0005-0000-0000-0000F3110000}"/>
    <cellStyle name="Calculation 3 7 2 7" xfId="17481" xr:uid="{00000000-0005-0000-0000-0000F4110000}"/>
    <cellStyle name="Calculation 3 7 2 7 2" xfId="23128" xr:uid="{00000000-0005-0000-0000-0000F5110000}"/>
    <cellStyle name="Calculation 3 7 2 8" xfId="13685" xr:uid="{00000000-0005-0000-0000-0000F6110000}"/>
    <cellStyle name="Calculation 3 7 2 8 2" xfId="18661" xr:uid="{00000000-0005-0000-0000-0000F7110000}"/>
    <cellStyle name="Calculation 3 7 2 9" xfId="13012" xr:uid="{00000000-0005-0000-0000-0000F8110000}"/>
    <cellStyle name="Calculation 3 7 3" xfId="10408" xr:uid="{00000000-0005-0000-0000-0000F9110000}"/>
    <cellStyle name="Calculation 3 7 3 2" xfId="19155" xr:uid="{00000000-0005-0000-0000-0000FA110000}"/>
    <cellStyle name="Calculation 3 7 3 3" xfId="24300" xr:uid="{00000000-0005-0000-0000-0000FB110000}"/>
    <cellStyle name="Calculation 3 7 3 4" xfId="23529" xr:uid="{00000000-0005-0000-0000-0000FC110000}"/>
    <cellStyle name="Calculation 3 7 4" xfId="14024" xr:uid="{00000000-0005-0000-0000-0000FD110000}"/>
    <cellStyle name="Calculation 3 7 4 2" xfId="19011" xr:uid="{00000000-0005-0000-0000-0000FE110000}"/>
    <cellStyle name="Calculation 3 7 5" xfId="15793" xr:uid="{00000000-0005-0000-0000-0000FF110000}"/>
    <cellStyle name="Calculation 3 7 5 2" xfId="21287" xr:uid="{00000000-0005-0000-0000-000000120000}"/>
    <cellStyle name="Calculation 3 7 6" xfId="15961" xr:uid="{00000000-0005-0000-0000-000001120000}"/>
    <cellStyle name="Calculation 3 7 6 2" xfId="21455" xr:uid="{00000000-0005-0000-0000-000002120000}"/>
    <cellStyle name="Calculation 3 7 7" xfId="15940" xr:uid="{00000000-0005-0000-0000-000003120000}"/>
    <cellStyle name="Calculation 3 7 7 2" xfId="21434" xr:uid="{00000000-0005-0000-0000-000004120000}"/>
    <cellStyle name="Calculation 3 7 8" xfId="17104" xr:uid="{00000000-0005-0000-0000-000005120000}"/>
    <cellStyle name="Calculation 3 7 8 2" xfId="22750" xr:uid="{00000000-0005-0000-0000-000006120000}"/>
    <cellStyle name="Calculation 3 7 9" xfId="13363" xr:uid="{00000000-0005-0000-0000-000007120000}"/>
    <cellStyle name="Calculation 3 7 9 2" xfId="18342" xr:uid="{00000000-0005-0000-0000-000008120000}"/>
    <cellStyle name="Calculation 3 8" xfId="1446" xr:uid="{00000000-0005-0000-0000-000009120000}"/>
    <cellStyle name="Calculation 3 8 10" xfId="12610" xr:uid="{00000000-0005-0000-0000-00000A120000}"/>
    <cellStyle name="Calculation 3 8 11" xfId="12567" xr:uid="{00000000-0005-0000-0000-00000B120000}"/>
    <cellStyle name="Calculation 3 8 2" xfId="3222" xr:uid="{00000000-0005-0000-0000-00000C120000}"/>
    <cellStyle name="Calculation 3 8 2 10" xfId="18006" xr:uid="{00000000-0005-0000-0000-00000D120000}"/>
    <cellStyle name="Calculation 3 8 2 2" xfId="14705" xr:uid="{00000000-0005-0000-0000-00000E120000}"/>
    <cellStyle name="Calculation 3 8 2 2 2" xfId="20026" xr:uid="{00000000-0005-0000-0000-00000F120000}"/>
    <cellStyle name="Calculation 3 8 2 2 3" xfId="24521" xr:uid="{00000000-0005-0000-0000-000010120000}"/>
    <cellStyle name="Calculation 3 8 2 2 4" xfId="23851" xr:uid="{00000000-0005-0000-0000-000011120000}"/>
    <cellStyle name="Calculation 3 8 2 3" xfId="14416" xr:uid="{00000000-0005-0000-0000-000012120000}"/>
    <cellStyle name="Calculation 3 8 2 3 2" xfId="19555" xr:uid="{00000000-0005-0000-0000-000013120000}"/>
    <cellStyle name="Calculation 3 8 2 4" xfId="15264" xr:uid="{00000000-0005-0000-0000-000014120000}"/>
    <cellStyle name="Calculation 3 8 2 4 2" xfId="20652" xr:uid="{00000000-0005-0000-0000-000015120000}"/>
    <cellStyle name="Calculation 3 8 2 5" xfId="16401" xr:uid="{00000000-0005-0000-0000-000016120000}"/>
    <cellStyle name="Calculation 3 8 2 5 2" xfId="22042" xr:uid="{00000000-0005-0000-0000-000017120000}"/>
    <cellStyle name="Calculation 3 8 2 6" xfId="16764" xr:uid="{00000000-0005-0000-0000-000018120000}"/>
    <cellStyle name="Calculation 3 8 2 6 2" xfId="22415" xr:uid="{00000000-0005-0000-0000-000019120000}"/>
    <cellStyle name="Calculation 3 8 2 7" xfId="17482" xr:uid="{00000000-0005-0000-0000-00001A120000}"/>
    <cellStyle name="Calculation 3 8 2 7 2" xfId="23129" xr:uid="{00000000-0005-0000-0000-00001B120000}"/>
    <cellStyle name="Calculation 3 8 2 8" xfId="13686" xr:uid="{00000000-0005-0000-0000-00001C120000}"/>
    <cellStyle name="Calculation 3 8 2 8 2" xfId="18662" xr:uid="{00000000-0005-0000-0000-00001D120000}"/>
    <cellStyle name="Calculation 3 8 2 9" xfId="13013" xr:uid="{00000000-0005-0000-0000-00001E120000}"/>
    <cellStyle name="Calculation 3 8 3" xfId="10392" xr:uid="{00000000-0005-0000-0000-00001F120000}"/>
    <cellStyle name="Calculation 3 8 3 2" xfId="19156" xr:uid="{00000000-0005-0000-0000-000020120000}"/>
    <cellStyle name="Calculation 3 8 3 3" xfId="24299" xr:uid="{00000000-0005-0000-0000-000021120000}"/>
    <cellStyle name="Calculation 3 8 3 4" xfId="23530" xr:uid="{00000000-0005-0000-0000-000022120000}"/>
    <cellStyle name="Calculation 3 8 4" xfId="14025" xr:uid="{00000000-0005-0000-0000-000023120000}"/>
    <cellStyle name="Calculation 3 8 4 2" xfId="19012" xr:uid="{00000000-0005-0000-0000-000024120000}"/>
    <cellStyle name="Calculation 3 8 5" xfId="15792" xr:uid="{00000000-0005-0000-0000-000025120000}"/>
    <cellStyle name="Calculation 3 8 5 2" xfId="21286" xr:uid="{00000000-0005-0000-0000-000026120000}"/>
    <cellStyle name="Calculation 3 8 6" xfId="16132" xr:uid="{00000000-0005-0000-0000-000027120000}"/>
    <cellStyle name="Calculation 3 8 6 2" xfId="21636" xr:uid="{00000000-0005-0000-0000-000028120000}"/>
    <cellStyle name="Calculation 3 8 7" xfId="16111" xr:uid="{00000000-0005-0000-0000-000029120000}"/>
    <cellStyle name="Calculation 3 8 7 2" xfId="21615" xr:uid="{00000000-0005-0000-0000-00002A120000}"/>
    <cellStyle name="Calculation 3 8 8" xfId="17105" xr:uid="{00000000-0005-0000-0000-00002B120000}"/>
    <cellStyle name="Calculation 3 8 8 2" xfId="22751" xr:uid="{00000000-0005-0000-0000-00002C120000}"/>
    <cellStyle name="Calculation 3 8 9" xfId="13364" xr:uid="{00000000-0005-0000-0000-00002D120000}"/>
    <cellStyle name="Calculation 3 8 9 2" xfId="18343" xr:uid="{00000000-0005-0000-0000-00002E120000}"/>
    <cellStyle name="Calculation 3 9" xfId="1447" xr:uid="{00000000-0005-0000-0000-00002F120000}"/>
    <cellStyle name="Calculation 3 9 10" xfId="12611" xr:uid="{00000000-0005-0000-0000-000030120000}"/>
    <cellStyle name="Calculation 3 9 11" xfId="12566" xr:uid="{00000000-0005-0000-0000-000031120000}"/>
    <cellStyle name="Calculation 3 9 2" xfId="3223" xr:uid="{00000000-0005-0000-0000-000032120000}"/>
    <cellStyle name="Calculation 3 9 2 10" xfId="18007" xr:uid="{00000000-0005-0000-0000-000033120000}"/>
    <cellStyle name="Calculation 3 9 2 2" xfId="14706" xr:uid="{00000000-0005-0000-0000-000034120000}"/>
    <cellStyle name="Calculation 3 9 2 2 2" xfId="20027" xr:uid="{00000000-0005-0000-0000-000035120000}"/>
    <cellStyle name="Calculation 3 9 2 2 3" xfId="24522" xr:uid="{00000000-0005-0000-0000-000036120000}"/>
    <cellStyle name="Calculation 3 9 2 2 4" xfId="23852" xr:uid="{00000000-0005-0000-0000-000037120000}"/>
    <cellStyle name="Calculation 3 9 2 3" xfId="14417" xr:uid="{00000000-0005-0000-0000-000038120000}"/>
    <cellStyle name="Calculation 3 9 2 3 2" xfId="19556" xr:uid="{00000000-0005-0000-0000-000039120000}"/>
    <cellStyle name="Calculation 3 9 2 4" xfId="15263" xr:uid="{00000000-0005-0000-0000-00003A120000}"/>
    <cellStyle name="Calculation 3 9 2 4 2" xfId="20651" xr:uid="{00000000-0005-0000-0000-00003B120000}"/>
    <cellStyle name="Calculation 3 9 2 5" xfId="16402" xr:uid="{00000000-0005-0000-0000-00003C120000}"/>
    <cellStyle name="Calculation 3 9 2 5 2" xfId="22043" xr:uid="{00000000-0005-0000-0000-00003D120000}"/>
    <cellStyle name="Calculation 3 9 2 6" xfId="16765" xr:uid="{00000000-0005-0000-0000-00003E120000}"/>
    <cellStyle name="Calculation 3 9 2 6 2" xfId="22416" xr:uid="{00000000-0005-0000-0000-00003F120000}"/>
    <cellStyle name="Calculation 3 9 2 7" xfId="17483" xr:uid="{00000000-0005-0000-0000-000040120000}"/>
    <cellStyle name="Calculation 3 9 2 7 2" xfId="23130" xr:uid="{00000000-0005-0000-0000-000041120000}"/>
    <cellStyle name="Calculation 3 9 2 8" xfId="13687" xr:uid="{00000000-0005-0000-0000-000042120000}"/>
    <cellStyle name="Calculation 3 9 2 8 2" xfId="18663" xr:uid="{00000000-0005-0000-0000-000043120000}"/>
    <cellStyle name="Calculation 3 9 2 9" xfId="13014" xr:uid="{00000000-0005-0000-0000-000044120000}"/>
    <cellStyle name="Calculation 3 9 3" xfId="10514" xr:uid="{00000000-0005-0000-0000-000045120000}"/>
    <cellStyle name="Calculation 3 9 3 2" xfId="19157" xr:uid="{00000000-0005-0000-0000-000046120000}"/>
    <cellStyle name="Calculation 3 9 3 3" xfId="24298" xr:uid="{00000000-0005-0000-0000-000047120000}"/>
    <cellStyle name="Calculation 3 9 3 4" xfId="23531" xr:uid="{00000000-0005-0000-0000-000048120000}"/>
    <cellStyle name="Calculation 3 9 4" xfId="14026" xr:uid="{00000000-0005-0000-0000-000049120000}"/>
    <cellStyle name="Calculation 3 9 4 2" xfId="19013" xr:uid="{00000000-0005-0000-0000-00004A120000}"/>
    <cellStyle name="Calculation 3 9 5" xfId="15791" xr:uid="{00000000-0005-0000-0000-00004B120000}"/>
    <cellStyle name="Calculation 3 9 5 2" xfId="21285" xr:uid="{00000000-0005-0000-0000-00004C120000}"/>
    <cellStyle name="Calculation 3 9 6" xfId="15962" xr:uid="{00000000-0005-0000-0000-00004D120000}"/>
    <cellStyle name="Calculation 3 9 6 2" xfId="21456" xr:uid="{00000000-0005-0000-0000-00004E120000}"/>
    <cellStyle name="Calculation 3 9 7" xfId="15939" xr:uid="{00000000-0005-0000-0000-00004F120000}"/>
    <cellStyle name="Calculation 3 9 7 2" xfId="21433" xr:uid="{00000000-0005-0000-0000-000050120000}"/>
    <cellStyle name="Calculation 3 9 8" xfId="17106" xr:uid="{00000000-0005-0000-0000-000051120000}"/>
    <cellStyle name="Calculation 3 9 8 2" xfId="22752" xr:uid="{00000000-0005-0000-0000-000052120000}"/>
    <cellStyle name="Calculation 3 9 9" xfId="13365" xr:uid="{00000000-0005-0000-0000-000053120000}"/>
    <cellStyle name="Calculation 3 9 9 2" xfId="18344" xr:uid="{00000000-0005-0000-0000-000054120000}"/>
    <cellStyle name="Calculation 30" xfId="42893" xr:uid="{00000000-0005-0000-0000-000055120000}"/>
    <cellStyle name="Calculation 31" xfId="42894" xr:uid="{00000000-0005-0000-0000-000056120000}"/>
    <cellStyle name="Calculation 32" xfId="42895" xr:uid="{00000000-0005-0000-0000-000057120000}"/>
    <cellStyle name="Calculation 33" xfId="42896" xr:uid="{00000000-0005-0000-0000-000058120000}"/>
    <cellStyle name="Calculation 34" xfId="42897" xr:uid="{00000000-0005-0000-0000-000059120000}"/>
    <cellStyle name="Calculation 35" xfId="42898" xr:uid="{00000000-0005-0000-0000-00005A120000}"/>
    <cellStyle name="Calculation 36" xfId="42899" xr:uid="{00000000-0005-0000-0000-00005B120000}"/>
    <cellStyle name="Calculation 37" xfId="42900" xr:uid="{00000000-0005-0000-0000-00005C120000}"/>
    <cellStyle name="Calculation 38" xfId="42901" xr:uid="{00000000-0005-0000-0000-00005D120000}"/>
    <cellStyle name="Calculation 39" xfId="42902" xr:uid="{00000000-0005-0000-0000-00005E120000}"/>
    <cellStyle name="Calculation 4" xfId="1448" xr:uid="{00000000-0005-0000-0000-00005F120000}"/>
    <cellStyle name="Calculation 4 10" xfId="1449" xr:uid="{00000000-0005-0000-0000-000060120000}"/>
    <cellStyle name="Calculation 4 10 10" xfId="12613" xr:uid="{00000000-0005-0000-0000-000061120000}"/>
    <cellStyle name="Calculation 4 10 11" xfId="12564" xr:uid="{00000000-0005-0000-0000-000062120000}"/>
    <cellStyle name="Calculation 4 10 2" xfId="3224" xr:uid="{00000000-0005-0000-0000-000063120000}"/>
    <cellStyle name="Calculation 4 10 2 10" xfId="18009" xr:uid="{00000000-0005-0000-0000-000064120000}"/>
    <cellStyle name="Calculation 4 10 2 2" xfId="14708" xr:uid="{00000000-0005-0000-0000-000065120000}"/>
    <cellStyle name="Calculation 4 10 2 2 2" xfId="20029" xr:uid="{00000000-0005-0000-0000-000066120000}"/>
    <cellStyle name="Calculation 4 10 2 2 3" xfId="24524" xr:uid="{00000000-0005-0000-0000-000067120000}"/>
    <cellStyle name="Calculation 4 10 2 2 4" xfId="23854" xr:uid="{00000000-0005-0000-0000-000068120000}"/>
    <cellStyle name="Calculation 4 10 2 3" xfId="14419" xr:uid="{00000000-0005-0000-0000-000069120000}"/>
    <cellStyle name="Calculation 4 10 2 3 2" xfId="19558" xr:uid="{00000000-0005-0000-0000-00006A120000}"/>
    <cellStyle name="Calculation 4 10 2 4" xfId="15261" xr:uid="{00000000-0005-0000-0000-00006B120000}"/>
    <cellStyle name="Calculation 4 10 2 4 2" xfId="20649" xr:uid="{00000000-0005-0000-0000-00006C120000}"/>
    <cellStyle name="Calculation 4 10 2 5" xfId="16404" xr:uid="{00000000-0005-0000-0000-00006D120000}"/>
    <cellStyle name="Calculation 4 10 2 5 2" xfId="22045" xr:uid="{00000000-0005-0000-0000-00006E120000}"/>
    <cellStyle name="Calculation 4 10 2 6" xfId="16767" xr:uid="{00000000-0005-0000-0000-00006F120000}"/>
    <cellStyle name="Calculation 4 10 2 6 2" xfId="22418" xr:uid="{00000000-0005-0000-0000-000070120000}"/>
    <cellStyle name="Calculation 4 10 2 7" xfId="17485" xr:uid="{00000000-0005-0000-0000-000071120000}"/>
    <cellStyle name="Calculation 4 10 2 7 2" xfId="23132" xr:uid="{00000000-0005-0000-0000-000072120000}"/>
    <cellStyle name="Calculation 4 10 2 8" xfId="13689" xr:uid="{00000000-0005-0000-0000-000073120000}"/>
    <cellStyle name="Calculation 4 10 2 8 2" xfId="18665" xr:uid="{00000000-0005-0000-0000-000074120000}"/>
    <cellStyle name="Calculation 4 10 2 9" xfId="13016" xr:uid="{00000000-0005-0000-0000-000075120000}"/>
    <cellStyle name="Calculation 4 10 3" xfId="10515" xr:uid="{00000000-0005-0000-0000-000076120000}"/>
    <cellStyle name="Calculation 4 10 3 2" xfId="19159" xr:uid="{00000000-0005-0000-0000-000077120000}"/>
    <cellStyle name="Calculation 4 10 3 3" xfId="24296" xr:uid="{00000000-0005-0000-0000-000078120000}"/>
    <cellStyle name="Calculation 4 10 3 4" xfId="23533" xr:uid="{00000000-0005-0000-0000-000079120000}"/>
    <cellStyle name="Calculation 4 10 4" xfId="14028" xr:uid="{00000000-0005-0000-0000-00007A120000}"/>
    <cellStyle name="Calculation 4 10 4 2" xfId="19015" xr:uid="{00000000-0005-0000-0000-00007B120000}"/>
    <cellStyle name="Calculation 4 10 5" xfId="15789" xr:uid="{00000000-0005-0000-0000-00007C120000}"/>
    <cellStyle name="Calculation 4 10 5 2" xfId="21283" xr:uid="{00000000-0005-0000-0000-00007D120000}"/>
    <cellStyle name="Calculation 4 10 6" xfId="15963" xr:uid="{00000000-0005-0000-0000-00007E120000}"/>
    <cellStyle name="Calculation 4 10 6 2" xfId="21457" xr:uid="{00000000-0005-0000-0000-00007F120000}"/>
    <cellStyle name="Calculation 4 10 7" xfId="15938" xr:uid="{00000000-0005-0000-0000-000080120000}"/>
    <cellStyle name="Calculation 4 10 7 2" xfId="21432" xr:uid="{00000000-0005-0000-0000-000081120000}"/>
    <cellStyle name="Calculation 4 10 8" xfId="17108" xr:uid="{00000000-0005-0000-0000-000082120000}"/>
    <cellStyle name="Calculation 4 10 8 2" xfId="22754" xr:uid="{00000000-0005-0000-0000-000083120000}"/>
    <cellStyle name="Calculation 4 10 9" xfId="13367" xr:uid="{00000000-0005-0000-0000-000084120000}"/>
    <cellStyle name="Calculation 4 10 9 2" xfId="18346" xr:uid="{00000000-0005-0000-0000-000085120000}"/>
    <cellStyle name="Calculation 4 11" xfId="1450" xr:uid="{00000000-0005-0000-0000-000086120000}"/>
    <cellStyle name="Calculation 4 11 10" xfId="12614" xr:uid="{00000000-0005-0000-0000-000087120000}"/>
    <cellStyle name="Calculation 4 11 11" xfId="12563" xr:uid="{00000000-0005-0000-0000-000088120000}"/>
    <cellStyle name="Calculation 4 11 2" xfId="3225" xr:uid="{00000000-0005-0000-0000-000089120000}"/>
    <cellStyle name="Calculation 4 11 2 10" xfId="18010" xr:uid="{00000000-0005-0000-0000-00008A120000}"/>
    <cellStyle name="Calculation 4 11 2 2" xfId="14709" xr:uid="{00000000-0005-0000-0000-00008B120000}"/>
    <cellStyle name="Calculation 4 11 2 2 2" xfId="20030" xr:uid="{00000000-0005-0000-0000-00008C120000}"/>
    <cellStyle name="Calculation 4 11 2 2 3" xfId="24525" xr:uid="{00000000-0005-0000-0000-00008D120000}"/>
    <cellStyle name="Calculation 4 11 2 2 4" xfId="23855" xr:uid="{00000000-0005-0000-0000-00008E120000}"/>
    <cellStyle name="Calculation 4 11 2 3" xfId="14420" xr:uid="{00000000-0005-0000-0000-00008F120000}"/>
    <cellStyle name="Calculation 4 11 2 3 2" xfId="19559" xr:uid="{00000000-0005-0000-0000-000090120000}"/>
    <cellStyle name="Calculation 4 11 2 4" xfId="15260" xr:uid="{00000000-0005-0000-0000-000091120000}"/>
    <cellStyle name="Calculation 4 11 2 4 2" xfId="20648" xr:uid="{00000000-0005-0000-0000-000092120000}"/>
    <cellStyle name="Calculation 4 11 2 5" xfId="16405" xr:uid="{00000000-0005-0000-0000-000093120000}"/>
    <cellStyle name="Calculation 4 11 2 5 2" xfId="22046" xr:uid="{00000000-0005-0000-0000-000094120000}"/>
    <cellStyle name="Calculation 4 11 2 6" xfId="16768" xr:uid="{00000000-0005-0000-0000-000095120000}"/>
    <cellStyle name="Calculation 4 11 2 6 2" xfId="22419" xr:uid="{00000000-0005-0000-0000-000096120000}"/>
    <cellStyle name="Calculation 4 11 2 7" xfId="17486" xr:uid="{00000000-0005-0000-0000-000097120000}"/>
    <cellStyle name="Calculation 4 11 2 7 2" xfId="23133" xr:uid="{00000000-0005-0000-0000-000098120000}"/>
    <cellStyle name="Calculation 4 11 2 8" xfId="13690" xr:uid="{00000000-0005-0000-0000-000099120000}"/>
    <cellStyle name="Calculation 4 11 2 8 2" xfId="18666" xr:uid="{00000000-0005-0000-0000-00009A120000}"/>
    <cellStyle name="Calculation 4 11 2 9" xfId="13017" xr:uid="{00000000-0005-0000-0000-00009B120000}"/>
    <cellStyle name="Calculation 4 11 3" xfId="10407" xr:uid="{00000000-0005-0000-0000-00009C120000}"/>
    <cellStyle name="Calculation 4 11 3 2" xfId="19160" xr:uid="{00000000-0005-0000-0000-00009D120000}"/>
    <cellStyle name="Calculation 4 11 3 3" xfId="24295" xr:uid="{00000000-0005-0000-0000-00009E120000}"/>
    <cellStyle name="Calculation 4 11 3 4" xfId="23534" xr:uid="{00000000-0005-0000-0000-00009F120000}"/>
    <cellStyle name="Calculation 4 11 4" xfId="14029" xr:uid="{00000000-0005-0000-0000-0000A0120000}"/>
    <cellStyle name="Calculation 4 11 4 2" xfId="19016" xr:uid="{00000000-0005-0000-0000-0000A1120000}"/>
    <cellStyle name="Calculation 4 11 5" xfId="15788" xr:uid="{00000000-0005-0000-0000-0000A2120000}"/>
    <cellStyle name="Calculation 4 11 5 2" xfId="21282" xr:uid="{00000000-0005-0000-0000-0000A3120000}"/>
    <cellStyle name="Calculation 4 11 6" xfId="16134" xr:uid="{00000000-0005-0000-0000-0000A4120000}"/>
    <cellStyle name="Calculation 4 11 6 2" xfId="21638" xr:uid="{00000000-0005-0000-0000-0000A5120000}"/>
    <cellStyle name="Calculation 4 11 7" xfId="16107" xr:uid="{00000000-0005-0000-0000-0000A6120000}"/>
    <cellStyle name="Calculation 4 11 7 2" xfId="21611" xr:uid="{00000000-0005-0000-0000-0000A7120000}"/>
    <cellStyle name="Calculation 4 11 8" xfId="17109" xr:uid="{00000000-0005-0000-0000-0000A8120000}"/>
    <cellStyle name="Calculation 4 11 8 2" xfId="22755" xr:uid="{00000000-0005-0000-0000-0000A9120000}"/>
    <cellStyle name="Calculation 4 11 9" xfId="13368" xr:uid="{00000000-0005-0000-0000-0000AA120000}"/>
    <cellStyle name="Calculation 4 11 9 2" xfId="18347" xr:uid="{00000000-0005-0000-0000-0000AB120000}"/>
    <cellStyle name="Calculation 4 12" xfId="3226" xr:uid="{00000000-0005-0000-0000-0000AC120000}"/>
    <cellStyle name="Calculation 4 12 10" xfId="18008" xr:uid="{00000000-0005-0000-0000-0000AD120000}"/>
    <cellStyle name="Calculation 4 12 2" xfId="14707" xr:uid="{00000000-0005-0000-0000-0000AE120000}"/>
    <cellStyle name="Calculation 4 12 2 2" xfId="20028" xr:uid="{00000000-0005-0000-0000-0000AF120000}"/>
    <cellStyle name="Calculation 4 12 2 3" xfId="24523" xr:uid="{00000000-0005-0000-0000-0000B0120000}"/>
    <cellStyle name="Calculation 4 12 2 4" xfId="23853" xr:uid="{00000000-0005-0000-0000-0000B1120000}"/>
    <cellStyle name="Calculation 4 12 3" xfId="14418" xr:uid="{00000000-0005-0000-0000-0000B2120000}"/>
    <cellStyle name="Calculation 4 12 3 2" xfId="19557" xr:uid="{00000000-0005-0000-0000-0000B3120000}"/>
    <cellStyle name="Calculation 4 12 4" xfId="15262" xr:uid="{00000000-0005-0000-0000-0000B4120000}"/>
    <cellStyle name="Calculation 4 12 4 2" xfId="20650" xr:uid="{00000000-0005-0000-0000-0000B5120000}"/>
    <cellStyle name="Calculation 4 12 5" xfId="16403" xr:uid="{00000000-0005-0000-0000-0000B6120000}"/>
    <cellStyle name="Calculation 4 12 5 2" xfId="22044" xr:uid="{00000000-0005-0000-0000-0000B7120000}"/>
    <cellStyle name="Calculation 4 12 6" xfId="16766" xr:uid="{00000000-0005-0000-0000-0000B8120000}"/>
    <cellStyle name="Calculation 4 12 6 2" xfId="22417" xr:uid="{00000000-0005-0000-0000-0000B9120000}"/>
    <cellStyle name="Calculation 4 12 7" xfId="17484" xr:uid="{00000000-0005-0000-0000-0000BA120000}"/>
    <cellStyle name="Calculation 4 12 7 2" xfId="23131" xr:uid="{00000000-0005-0000-0000-0000BB120000}"/>
    <cellStyle name="Calculation 4 12 8" xfId="13688" xr:uid="{00000000-0005-0000-0000-0000BC120000}"/>
    <cellStyle name="Calculation 4 12 8 2" xfId="18664" xr:uid="{00000000-0005-0000-0000-0000BD120000}"/>
    <cellStyle name="Calculation 4 12 9" xfId="13015" xr:uid="{00000000-0005-0000-0000-0000BE120000}"/>
    <cellStyle name="Calculation 4 13" xfId="10588" xr:uid="{00000000-0005-0000-0000-0000BF120000}"/>
    <cellStyle name="Calculation 4 13 2" xfId="19158" xr:uid="{00000000-0005-0000-0000-0000C0120000}"/>
    <cellStyle name="Calculation 4 13 3" xfId="24297" xr:uid="{00000000-0005-0000-0000-0000C1120000}"/>
    <cellStyle name="Calculation 4 13 4" xfId="23532" xr:uid="{00000000-0005-0000-0000-0000C2120000}"/>
    <cellStyle name="Calculation 4 14" xfId="14027" xr:uid="{00000000-0005-0000-0000-0000C3120000}"/>
    <cellStyle name="Calculation 4 14 2" xfId="19014" xr:uid="{00000000-0005-0000-0000-0000C4120000}"/>
    <cellStyle name="Calculation 4 15" xfId="15790" xr:uid="{00000000-0005-0000-0000-0000C5120000}"/>
    <cellStyle name="Calculation 4 15 2" xfId="21284" xr:uid="{00000000-0005-0000-0000-0000C6120000}"/>
    <cellStyle name="Calculation 4 16" xfId="16133" xr:uid="{00000000-0005-0000-0000-0000C7120000}"/>
    <cellStyle name="Calculation 4 16 2" xfId="21637" xr:uid="{00000000-0005-0000-0000-0000C8120000}"/>
    <cellStyle name="Calculation 4 17" xfId="16110" xr:uid="{00000000-0005-0000-0000-0000C9120000}"/>
    <cellStyle name="Calculation 4 17 2" xfId="21614" xr:uid="{00000000-0005-0000-0000-0000CA120000}"/>
    <cellStyle name="Calculation 4 18" xfId="17107" xr:uid="{00000000-0005-0000-0000-0000CB120000}"/>
    <cellStyle name="Calculation 4 18 2" xfId="22753" xr:uid="{00000000-0005-0000-0000-0000CC120000}"/>
    <cellStyle name="Calculation 4 19" xfId="13366" xr:uid="{00000000-0005-0000-0000-0000CD120000}"/>
    <cellStyle name="Calculation 4 19 2" xfId="18345" xr:uid="{00000000-0005-0000-0000-0000CE120000}"/>
    <cellStyle name="Calculation 4 2" xfId="1451" xr:uid="{00000000-0005-0000-0000-0000CF120000}"/>
    <cellStyle name="Calculation 4 2 10" xfId="12615" xr:uid="{00000000-0005-0000-0000-0000D0120000}"/>
    <cellStyle name="Calculation 4 2 11" xfId="12562" xr:uid="{00000000-0005-0000-0000-0000D1120000}"/>
    <cellStyle name="Calculation 4 2 2" xfId="3227" xr:uid="{00000000-0005-0000-0000-0000D2120000}"/>
    <cellStyle name="Calculation 4 2 2 10" xfId="18011" xr:uid="{00000000-0005-0000-0000-0000D3120000}"/>
    <cellStyle name="Calculation 4 2 2 2" xfId="14710" xr:uid="{00000000-0005-0000-0000-0000D4120000}"/>
    <cellStyle name="Calculation 4 2 2 2 2" xfId="20031" xr:uid="{00000000-0005-0000-0000-0000D5120000}"/>
    <cellStyle name="Calculation 4 2 2 2 3" xfId="24526" xr:uid="{00000000-0005-0000-0000-0000D6120000}"/>
    <cellStyle name="Calculation 4 2 2 2 4" xfId="23856" xr:uid="{00000000-0005-0000-0000-0000D7120000}"/>
    <cellStyle name="Calculation 4 2 2 3" xfId="14421" xr:uid="{00000000-0005-0000-0000-0000D8120000}"/>
    <cellStyle name="Calculation 4 2 2 3 2" xfId="19560" xr:uid="{00000000-0005-0000-0000-0000D9120000}"/>
    <cellStyle name="Calculation 4 2 2 4" xfId="15259" xr:uid="{00000000-0005-0000-0000-0000DA120000}"/>
    <cellStyle name="Calculation 4 2 2 4 2" xfId="20647" xr:uid="{00000000-0005-0000-0000-0000DB120000}"/>
    <cellStyle name="Calculation 4 2 2 5" xfId="16406" xr:uid="{00000000-0005-0000-0000-0000DC120000}"/>
    <cellStyle name="Calculation 4 2 2 5 2" xfId="22047" xr:uid="{00000000-0005-0000-0000-0000DD120000}"/>
    <cellStyle name="Calculation 4 2 2 6" xfId="16769" xr:uid="{00000000-0005-0000-0000-0000DE120000}"/>
    <cellStyle name="Calculation 4 2 2 6 2" xfId="22420" xr:uid="{00000000-0005-0000-0000-0000DF120000}"/>
    <cellStyle name="Calculation 4 2 2 7" xfId="17487" xr:uid="{00000000-0005-0000-0000-0000E0120000}"/>
    <cellStyle name="Calculation 4 2 2 7 2" xfId="23134" xr:uid="{00000000-0005-0000-0000-0000E1120000}"/>
    <cellStyle name="Calculation 4 2 2 8" xfId="13691" xr:uid="{00000000-0005-0000-0000-0000E2120000}"/>
    <cellStyle name="Calculation 4 2 2 8 2" xfId="18667" xr:uid="{00000000-0005-0000-0000-0000E3120000}"/>
    <cellStyle name="Calculation 4 2 2 9" xfId="13018" xr:uid="{00000000-0005-0000-0000-0000E4120000}"/>
    <cellStyle name="Calculation 4 2 3" xfId="10391" xr:uid="{00000000-0005-0000-0000-0000E5120000}"/>
    <cellStyle name="Calculation 4 2 3 2" xfId="19161" xr:uid="{00000000-0005-0000-0000-0000E6120000}"/>
    <cellStyle name="Calculation 4 2 3 3" xfId="24294" xr:uid="{00000000-0005-0000-0000-0000E7120000}"/>
    <cellStyle name="Calculation 4 2 3 4" xfId="23535" xr:uid="{00000000-0005-0000-0000-0000E8120000}"/>
    <cellStyle name="Calculation 4 2 4" xfId="14030" xr:uid="{00000000-0005-0000-0000-0000E9120000}"/>
    <cellStyle name="Calculation 4 2 4 2" xfId="19017" xr:uid="{00000000-0005-0000-0000-0000EA120000}"/>
    <cellStyle name="Calculation 4 2 5" xfId="15787" xr:uid="{00000000-0005-0000-0000-0000EB120000}"/>
    <cellStyle name="Calculation 4 2 5 2" xfId="21281" xr:uid="{00000000-0005-0000-0000-0000EC120000}"/>
    <cellStyle name="Calculation 4 2 6" xfId="15964" xr:uid="{00000000-0005-0000-0000-0000ED120000}"/>
    <cellStyle name="Calculation 4 2 6 2" xfId="21458" xr:uid="{00000000-0005-0000-0000-0000EE120000}"/>
    <cellStyle name="Calculation 4 2 7" xfId="16109" xr:uid="{00000000-0005-0000-0000-0000EF120000}"/>
    <cellStyle name="Calculation 4 2 7 2" xfId="21613" xr:uid="{00000000-0005-0000-0000-0000F0120000}"/>
    <cellStyle name="Calculation 4 2 8" xfId="17110" xr:uid="{00000000-0005-0000-0000-0000F1120000}"/>
    <cellStyle name="Calculation 4 2 8 2" xfId="22756" xr:uid="{00000000-0005-0000-0000-0000F2120000}"/>
    <cellStyle name="Calculation 4 2 9" xfId="13369" xr:uid="{00000000-0005-0000-0000-0000F3120000}"/>
    <cellStyle name="Calculation 4 2 9 2" xfId="18348" xr:uid="{00000000-0005-0000-0000-0000F4120000}"/>
    <cellStyle name="Calculation 4 20" xfId="12612" xr:uid="{00000000-0005-0000-0000-0000F5120000}"/>
    <cellStyle name="Calculation 4 21" xfId="12565" xr:uid="{00000000-0005-0000-0000-0000F6120000}"/>
    <cellStyle name="Calculation 4 3" xfId="1452" xr:uid="{00000000-0005-0000-0000-0000F7120000}"/>
    <cellStyle name="Calculation 4 3 10" xfId="12616" xr:uid="{00000000-0005-0000-0000-0000F8120000}"/>
    <cellStyle name="Calculation 4 3 11" xfId="12561" xr:uid="{00000000-0005-0000-0000-0000F9120000}"/>
    <cellStyle name="Calculation 4 3 2" xfId="3228" xr:uid="{00000000-0005-0000-0000-0000FA120000}"/>
    <cellStyle name="Calculation 4 3 2 10" xfId="18012" xr:uid="{00000000-0005-0000-0000-0000FB120000}"/>
    <cellStyle name="Calculation 4 3 2 2" xfId="14711" xr:uid="{00000000-0005-0000-0000-0000FC120000}"/>
    <cellStyle name="Calculation 4 3 2 2 2" xfId="20032" xr:uid="{00000000-0005-0000-0000-0000FD120000}"/>
    <cellStyle name="Calculation 4 3 2 2 3" xfId="24527" xr:uid="{00000000-0005-0000-0000-0000FE120000}"/>
    <cellStyle name="Calculation 4 3 2 2 4" xfId="23857" xr:uid="{00000000-0005-0000-0000-0000FF120000}"/>
    <cellStyle name="Calculation 4 3 2 3" xfId="14422" xr:uid="{00000000-0005-0000-0000-000000130000}"/>
    <cellStyle name="Calculation 4 3 2 3 2" xfId="19561" xr:uid="{00000000-0005-0000-0000-000001130000}"/>
    <cellStyle name="Calculation 4 3 2 4" xfId="15258" xr:uid="{00000000-0005-0000-0000-000002130000}"/>
    <cellStyle name="Calculation 4 3 2 4 2" xfId="20646" xr:uid="{00000000-0005-0000-0000-000003130000}"/>
    <cellStyle name="Calculation 4 3 2 5" xfId="16407" xr:uid="{00000000-0005-0000-0000-000004130000}"/>
    <cellStyle name="Calculation 4 3 2 5 2" xfId="22048" xr:uid="{00000000-0005-0000-0000-000005130000}"/>
    <cellStyle name="Calculation 4 3 2 6" xfId="16770" xr:uid="{00000000-0005-0000-0000-000006130000}"/>
    <cellStyle name="Calculation 4 3 2 6 2" xfId="22421" xr:uid="{00000000-0005-0000-0000-000007130000}"/>
    <cellStyle name="Calculation 4 3 2 7" xfId="17488" xr:uid="{00000000-0005-0000-0000-000008130000}"/>
    <cellStyle name="Calculation 4 3 2 7 2" xfId="23135" xr:uid="{00000000-0005-0000-0000-000009130000}"/>
    <cellStyle name="Calculation 4 3 2 8" xfId="13692" xr:uid="{00000000-0005-0000-0000-00000A130000}"/>
    <cellStyle name="Calculation 4 3 2 8 2" xfId="18668" xr:uid="{00000000-0005-0000-0000-00000B130000}"/>
    <cellStyle name="Calculation 4 3 2 9" xfId="13019" xr:uid="{00000000-0005-0000-0000-00000C130000}"/>
    <cellStyle name="Calculation 4 3 3" xfId="10512" xr:uid="{00000000-0005-0000-0000-00000D130000}"/>
    <cellStyle name="Calculation 4 3 3 2" xfId="19162" xr:uid="{00000000-0005-0000-0000-00000E130000}"/>
    <cellStyle name="Calculation 4 3 3 3" xfId="24293" xr:uid="{00000000-0005-0000-0000-00000F130000}"/>
    <cellStyle name="Calculation 4 3 3 4" xfId="23536" xr:uid="{00000000-0005-0000-0000-000010130000}"/>
    <cellStyle name="Calculation 4 3 4" xfId="14031" xr:uid="{00000000-0005-0000-0000-000011130000}"/>
    <cellStyle name="Calculation 4 3 4 2" xfId="19018" xr:uid="{00000000-0005-0000-0000-000012130000}"/>
    <cellStyle name="Calculation 4 3 5" xfId="15786" xr:uid="{00000000-0005-0000-0000-000013130000}"/>
    <cellStyle name="Calculation 4 3 5 2" xfId="21280" xr:uid="{00000000-0005-0000-0000-000014130000}"/>
    <cellStyle name="Calculation 4 3 6" xfId="16135" xr:uid="{00000000-0005-0000-0000-000015130000}"/>
    <cellStyle name="Calculation 4 3 6 2" xfId="21639" xr:uid="{00000000-0005-0000-0000-000016130000}"/>
    <cellStyle name="Calculation 4 3 7" xfId="15937" xr:uid="{00000000-0005-0000-0000-000017130000}"/>
    <cellStyle name="Calculation 4 3 7 2" xfId="21431" xr:uid="{00000000-0005-0000-0000-000018130000}"/>
    <cellStyle name="Calculation 4 3 8" xfId="17111" xr:uid="{00000000-0005-0000-0000-000019130000}"/>
    <cellStyle name="Calculation 4 3 8 2" xfId="22757" xr:uid="{00000000-0005-0000-0000-00001A130000}"/>
    <cellStyle name="Calculation 4 3 9" xfId="13370" xr:uid="{00000000-0005-0000-0000-00001B130000}"/>
    <cellStyle name="Calculation 4 3 9 2" xfId="18349" xr:uid="{00000000-0005-0000-0000-00001C130000}"/>
    <cellStyle name="Calculation 4 4" xfId="1453" xr:uid="{00000000-0005-0000-0000-00001D130000}"/>
    <cellStyle name="Calculation 4 4 10" xfId="12617" xr:uid="{00000000-0005-0000-0000-00001E130000}"/>
    <cellStyle name="Calculation 4 4 11" xfId="12560" xr:uid="{00000000-0005-0000-0000-00001F130000}"/>
    <cellStyle name="Calculation 4 4 2" xfId="3229" xr:uid="{00000000-0005-0000-0000-000020130000}"/>
    <cellStyle name="Calculation 4 4 2 10" xfId="18013" xr:uid="{00000000-0005-0000-0000-000021130000}"/>
    <cellStyle name="Calculation 4 4 2 2" xfId="14712" xr:uid="{00000000-0005-0000-0000-000022130000}"/>
    <cellStyle name="Calculation 4 4 2 2 2" xfId="20033" xr:uid="{00000000-0005-0000-0000-000023130000}"/>
    <cellStyle name="Calculation 4 4 2 2 3" xfId="24528" xr:uid="{00000000-0005-0000-0000-000024130000}"/>
    <cellStyle name="Calculation 4 4 2 2 4" xfId="23858" xr:uid="{00000000-0005-0000-0000-000025130000}"/>
    <cellStyle name="Calculation 4 4 2 3" xfId="14423" xr:uid="{00000000-0005-0000-0000-000026130000}"/>
    <cellStyle name="Calculation 4 4 2 3 2" xfId="19562" xr:uid="{00000000-0005-0000-0000-000027130000}"/>
    <cellStyle name="Calculation 4 4 2 4" xfId="15257" xr:uid="{00000000-0005-0000-0000-000028130000}"/>
    <cellStyle name="Calculation 4 4 2 4 2" xfId="20645" xr:uid="{00000000-0005-0000-0000-000029130000}"/>
    <cellStyle name="Calculation 4 4 2 5" xfId="16408" xr:uid="{00000000-0005-0000-0000-00002A130000}"/>
    <cellStyle name="Calculation 4 4 2 5 2" xfId="22049" xr:uid="{00000000-0005-0000-0000-00002B130000}"/>
    <cellStyle name="Calculation 4 4 2 6" xfId="16771" xr:uid="{00000000-0005-0000-0000-00002C130000}"/>
    <cellStyle name="Calculation 4 4 2 6 2" xfId="22422" xr:uid="{00000000-0005-0000-0000-00002D130000}"/>
    <cellStyle name="Calculation 4 4 2 7" xfId="17489" xr:uid="{00000000-0005-0000-0000-00002E130000}"/>
    <cellStyle name="Calculation 4 4 2 7 2" xfId="23136" xr:uid="{00000000-0005-0000-0000-00002F130000}"/>
    <cellStyle name="Calculation 4 4 2 8" xfId="13693" xr:uid="{00000000-0005-0000-0000-000030130000}"/>
    <cellStyle name="Calculation 4 4 2 8 2" xfId="18669" xr:uid="{00000000-0005-0000-0000-000031130000}"/>
    <cellStyle name="Calculation 4 4 2 9" xfId="13020" xr:uid="{00000000-0005-0000-0000-000032130000}"/>
    <cellStyle name="Calculation 4 4 3" xfId="10587" xr:uid="{00000000-0005-0000-0000-000033130000}"/>
    <cellStyle name="Calculation 4 4 3 2" xfId="19163" xr:uid="{00000000-0005-0000-0000-000034130000}"/>
    <cellStyle name="Calculation 4 4 3 3" xfId="24292" xr:uid="{00000000-0005-0000-0000-000035130000}"/>
    <cellStyle name="Calculation 4 4 3 4" xfId="23537" xr:uid="{00000000-0005-0000-0000-000036130000}"/>
    <cellStyle name="Calculation 4 4 4" xfId="14032" xr:uid="{00000000-0005-0000-0000-000037130000}"/>
    <cellStyle name="Calculation 4 4 4 2" xfId="19019" xr:uid="{00000000-0005-0000-0000-000038130000}"/>
    <cellStyle name="Calculation 4 4 5" xfId="15785" xr:uid="{00000000-0005-0000-0000-000039130000}"/>
    <cellStyle name="Calculation 4 4 5 2" xfId="21279" xr:uid="{00000000-0005-0000-0000-00003A130000}"/>
    <cellStyle name="Calculation 4 4 6" xfId="15965" xr:uid="{00000000-0005-0000-0000-00003B130000}"/>
    <cellStyle name="Calculation 4 4 6 2" xfId="21459" xr:uid="{00000000-0005-0000-0000-00003C130000}"/>
    <cellStyle name="Calculation 4 4 7" xfId="16108" xr:uid="{00000000-0005-0000-0000-00003D130000}"/>
    <cellStyle name="Calculation 4 4 7 2" xfId="21612" xr:uid="{00000000-0005-0000-0000-00003E130000}"/>
    <cellStyle name="Calculation 4 4 8" xfId="17112" xr:uid="{00000000-0005-0000-0000-00003F130000}"/>
    <cellStyle name="Calculation 4 4 8 2" xfId="22758" xr:uid="{00000000-0005-0000-0000-000040130000}"/>
    <cellStyle name="Calculation 4 4 9" xfId="13371" xr:uid="{00000000-0005-0000-0000-000041130000}"/>
    <cellStyle name="Calculation 4 4 9 2" xfId="18350" xr:uid="{00000000-0005-0000-0000-000042130000}"/>
    <cellStyle name="Calculation 4 5" xfId="1454" xr:uid="{00000000-0005-0000-0000-000043130000}"/>
    <cellStyle name="Calculation 4 5 10" xfId="12618" xr:uid="{00000000-0005-0000-0000-000044130000}"/>
    <cellStyle name="Calculation 4 5 11" xfId="12559" xr:uid="{00000000-0005-0000-0000-000045130000}"/>
    <cellStyle name="Calculation 4 5 2" xfId="3230" xr:uid="{00000000-0005-0000-0000-000046130000}"/>
    <cellStyle name="Calculation 4 5 2 10" xfId="18014" xr:uid="{00000000-0005-0000-0000-000047130000}"/>
    <cellStyle name="Calculation 4 5 2 2" xfId="14713" xr:uid="{00000000-0005-0000-0000-000048130000}"/>
    <cellStyle name="Calculation 4 5 2 2 2" xfId="20034" xr:uid="{00000000-0005-0000-0000-000049130000}"/>
    <cellStyle name="Calculation 4 5 2 2 3" xfId="24529" xr:uid="{00000000-0005-0000-0000-00004A130000}"/>
    <cellStyle name="Calculation 4 5 2 2 4" xfId="23859" xr:uid="{00000000-0005-0000-0000-00004B130000}"/>
    <cellStyle name="Calculation 4 5 2 3" xfId="14424" xr:uid="{00000000-0005-0000-0000-00004C130000}"/>
    <cellStyle name="Calculation 4 5 2 3 2" xfId="19563" xr:uid="{00000000-0005-0000-0000-00004D130000}"/>
    <cellStyle name="Calculation 4 5 2 4" xfId="15256" xr:uid="{00000000-0005-0000-0000-00004E130000}"/>
    <cellStyle name="Calculation 4 5 2 4 2" xfId="20644" xr:uid="{00000000-0005-0000-0000-00004F130000}"/>
    <cellStyle name="Calculation 4 5 2 5" xfId="16409" xr:uid="{00000000-0005-0000-0000-000050130000}"/>
    <cellStyle name="Calculation 4 5 2 5 2" xfId="22050" xr:uid="{00000000-0005-0000-0000-000051130000}"/>
    <cellStyle name="Calculation 4 5 2 6" xfId="16772" xr:uid="{00000000-0005-0000-0000-000052130000}"/>
    <cellStyle name="Calculation 4 5 2 6 2" xfId="22423" xr:uid="{00000000-0005-0000-0000-000053130000}"/>
    <cellStyle name="Calculation 4 5 2 7" xfId="17490" xr:uid="{00000000-0005-0000-0000-000054130000}"/>
    <cellStyle name="Calculation 4 5 2 7 2" xfId="23137" xr:uid="{00000000-0005-0000-0000-000055130000}"/>
    <cellStyle name="Calculation 4 5 2 8" xfId="13694" xr:uid="{00000000-0005-0000-0000-000056130000}"/>
    <cellStyle name="Calculation 4 5 2 8 2" xfId="18670" xr:uid="{00000000-0005-0000-0000-000057130000}"/>
    <cellStyle name="Calculation 4 5 2 9" xfId="13021" xr:uid="{00000000-0005-0000-0000-000058130000}"/>
    <cellStyle name="Calculation 4 5 3" xfId="10513" xr:uid="{00000000-0005-0000-0000-000059130000}"/>
    <cellStyle name="Calculation 4 5 3 2" xfId="19164" xr:uid="{00000000-0005-0000-0000-00005A130000}"/>
    <cellStyle name="Calculation 4 5 3 3" xfId="24291" xr:uid="{00000000-0005-0000-0000-00005B130000}"/>
    <cellStyle name="Calculation 4 5 3 4" xfId="23538" xr:uid="{00000000-0005-0000-0000-00005C130000}"/>
    <cellStyle name="Calculation 4 5 4" xfId="14033" xr:uid="{00000000-0005-0000-0000-00005D130000}"/>
    <cellStyle name="Calculation 4 5 4 2" xfId="19020" xr:uid="{00000000-0005-0000-0000-00005E130000}"/>
    <cellStyle name="Calculation 4 5 5" xfId="15784" xr:uid="{00000000-0005-0000-0000-00005F130000}"/>
    <cellStyle name="Calculation 4 5 5 2" xfId="21278" xr:uid="{00000000-0005-0000-0000-000060130000}"/>
    <cellStyle name="Calculation 4 5 6" xfId="16136" xr:uid="{00000000-0005-0000-0000-000061130000}"/>
    <cellStyle name="Calculation 4 5 6 2" xfId="21640" xr:uid="{00000000-0005-0000-0000-000062130000}"/>
    <cellStyle name="Calculation 4 5 7" xfId="15936" xr:uid="{00000000-0005-0000-0000-000063130000}"/>
    <cellStyle name="Calculation 4 5 7 2" xfId="21430" xr:uid="{00000000-0005-0000-0000-000064130000}"/>
    <cellStyle name="Calculation 4 5 8" xfId="17113" xr:uid="{00000000-0005-0000-0000-000065130000}"/>
    <cellStyle name="Calculation 4 5 8 2" xfId="22759" xr:uid="{00000000-0005-0000-0000-000066130000}"/>
    <cellStyle name="Calculation 4 5 9" xfId="13372" xr:uid="{00000000-0005-0000-0000-000067130000}"/>
    <cellStyle name="Calculation 4 5 9 2" xfId="18351" xr:uid="{00000000-0005-0000-0000-000068130000}"/>
    <cellStyle name="Calculation 4 6" xfId="1455" xr:uid="{00000000-0005-0000-0000-000069130000}"/>
    <cellStyle name="Calculation 4 6 10" xfId="12619" xr:uid="{00000000-0005-0000-0000-00006A130000}"/>
    <cellStyle name="Calculation 4 6 11" xfId="12558" xr:uid="{00000000-0005-0000-0000-00006B130000}"/>
    <cellStyle name="Calculation 4 6 2" xfId="3231" xr:uid="{00000000-0005-0000-0000-00006C130000}"/>
    <cellStyle name="Calculation 4 6 2 10" xfId="18015" xr:uid="{00000000-0005-0000-0000-00006D130000}"/>
    <cellStyle name="Calculation 4 6 2 2" xfId="14714" xr:uid="{00000000-0005-0000-0000-00006E130000}"/>
    <cellStyle name="Calculation 4 6 2 2 2" xfId="20035" xr:uid="{00000000-0005-0000-0000-00006F130000}"/>
    <cellStyle name="Calculation 4 6 2 2 3" xfId="24530" xr:uid="{00000000-0005-0000-0000-000070130000}"/>
    <cellStyle name="Calculation 4 6 2 2 4" xfId="23860" xr:uid="{00000000-0005-0000-0000-000071130000}"/>
    <cellStyle name="Calculation 4 6 2 3" xfId="14425" xr:uid="{00000000-0005-0000-0000-000072130000}"/>
    <cellStyle name="Calculation 4 6 2 3 2" xfId="19564" xr:uid="{00000000-0005-0000-0000-000073130000}"/>
    <cellStyle name="Calculation 4 6 2 4" xfId="15255" xr:uid="{00000000-0005-0000-0000-000074130000}"/>
    <cellStyle name="Calculation 4 6 2 4 2" xfId="20643" xr:uid="{00000000-0005-0000-0000-000075130000}"/>
    <cellStyle name="Calculation 4 6 2 5" xfId="16410" xr:uid="{00000000-0005-0000-0000-000076130000}"/>
    <cellStyle name="Calculation 4 6 2 5 2" xfId="22051" xr:uid="{00000000-0005-0000-0000-000077130000}"/>
    <cellStyle name="Calculation 4 6 2 6" xfId="16773" xr:uid="{00000000-0005-0000-0000-000078130000}"/>
    <cellStyle name="Calculation 4 6 2 6 2" xfId="22424" xr:uid="{00000000-0005-0000-0000-000079130000}"/>
    <cellStyle name="Calculation 4 6 2 7" xfId="17491" xr:uid="{00000000-0005-0000-0000-00007A130000}"/>
    <cellStyle name="Calculation 4 6 2 7 2" xfId="23138" xr:uid="{00000000-0005-0000-0000-00007B130000}"/>
    <cellStyle name="Calculation 4 6 2 8" xfId="13695" xr:uid="{00000000-0005-0000-0000-00007C130000}"/>
    <cellStyle name="Calculation 4 6 2 8 2" xfId="18671" xr:uid="{00000000-0005-0000-0000-00007D130000}"/>
    <cellStyle name="Calculation 4 6 2 9" xfId="13022" xr:uid="{00000000-0005-0000-0000-00007E130000}"/>
    <cellStyle name="Calculation 4 6 3" xfId="10406" xr:uid="{00000000-0005-0000-0000-00007F130000}"/>
    <cellStyle name="Calculation 4 6 3 2" xfId="19165" xr:uid="{00000000-0005-0000-0000-000080130000}"/>
    <cellStyle name="Calculation 4 6 3 3" xfId="24290" xr:uid="{00000000-0005-0000-0000-000081130000}"/>
    <cellStyle name="Calculation 4 6 3 4" xfId="23539" xr:uid="{00000000-0005-0000-0000-000082130000}"/>
    <cellStyle name="Calculation 4 6 4" xfId="14034" xr:uid="{00000000-0005-0000-0000-000083130000}"/>
    <cellStyle name="Calculation 4 6 4 2" xfId="19021" xr:uid="{00000000-0005-0000-0000-000084130000}"/>
    <cellStyle name="Calculation 4 6 5" xfId="15783" xr:uid="{00000000-0005-0000-0000-000085130000}"/>
    <cellStyle name="Calculation 4 6 5 2" xfId="21277" xr:uid="{00000000-0005-0000-0000-000086130000}"/>
    <cellStyle name="Calculation 4 6 6" xfId="15966" xr:uid="{00000000-0005-0000-0000-000087130000}"/>
    <cellStyle name="Calculation 4 6 6 2" xfId="21460" xr:uid="{00000000-0005-0000-0000-000088130000}"/>
    <cellStyle name="Calculation 4 6 7" xfId="15935" xr:uid="{00000000-0005-0000-0000-000089130000}"/>
    <cellStyle name="Calculation 4 6 7 2" xfId="21429" xr:uid="{00000000-0005-0000-0000-00008A130000}"/>
    <cellStyle name="Calculation 4 6 8" xfId="17114" xr:uid="{00000000-0005-0000-0000-00008B130000}"/>
    <cellStyle name="Calculation 4 6 8 2" xfId="22760" xr:uid="{00000000-0005-0000-0000-00008C130000}"/>
    <cellStyle name="Calculation 4 6 9" xfId="13373" xr:uid="{00000000-0005-0000-0000-00008D130000}"/>
    <cellStyle name="Calculation 4 6 9 2" xfId="18352" xr:uid="{00000000-0005-0000-0000-00008E130000}"/>
    <cellStyle name="Calculation 4 7" xfId="1456" xr:uid="{00000000-0005-0000-0000-00008F130000}"/>
    <cellStyle name="Calculation 4 7 10" xfId="12620" xr:uid="{00000000-0005-0000-0000-000090130000}"/>
    <cellStyle name="Calculation 4 7 11" xfId="12557" xr:uid="{00000000-0005-0000-0000-000091130000}"/>
    <cellStyle name="Calculation 4 7 2" xfId="3232" xr:uid="{00000000-0005-0000-0000-000092130000}"/>
    <cellStyle name="Calculation 4 7 2 10" xfId="18016" xr:uid="{00000000-0005-0000-0000-000093130000}"/>
    <cellStyle name="Calculation 4 7 2 2" xfId="14715" xr:uid="{00000000-0005-0000-0000-000094130000}"/>
    <cellStyle name="Calculation 4 7 2 2 2" xfId="20036" xr:uid="{00000000-0005-0000-0000-000095130000}"/>
    <cellStyle name="Calculation 4 7 2 2 3" xfId="24531" xr:uid="{00000000-0005-0000-0000-000096130000}"/>
    <cellStyle name="Calculation 4 7 2 2 4" xfId="23861" xr:uid="{00000000-0005-0000-0000-000097130000}"/>
    <cellStyle name="Calculation 4 7 2 3" xfId="14426" xr:uid="{00000000-0005-0000-0000-000098130000}"/>
    <cellStyle name="Calculation 4 7 2 3 2" xfId="19565" xr:uid="{00000000-0005-0000-0000-000099130000}"/>
    <cellStyle name="Calculation 4 7 2 4" xfId="15254" xr:uid="{00000000-0005-0000-0000-00009A130000}"/>
    <cellStyle name="Calculation 4 7 2 4 2" xfId="20642" xr:uid="{00000000-0005-0000-0000-00009B130000}"/>
    <cellStyle name="Calculation 4 7 2 5" xfId="16411" xr:uid="{00000000-0005-0000-0000-00009C130000}"/>
    <cellStyle name="Calculation 4 7 2 5 2" xfId="22052" xr:uid="{00000000-0005-0000-0000-00009D130000}"/>
    <cellStyle name="Calculation 4 7 2 6" xfId="16774" xr:uid="{00000000-0005-0000-0000-00009E130000}"/>
    <cellStyle name="Calculation 4 7 2 6 2" xfId="22425" xr:uid="{00000000-0005-0000-0000-00009F130000}"/>
    <cellStyle name="Calculation 4 7 2 7" xfId="17492" xr:uid="{00000000-0005-0000-0000-0000A0130000}"/>
    <cellStyle name="Calculation 4 7 2 7 2" xfId="23139" xr:uid="{00000000-0005-0000-0000-0000A1130000}"/>
    <cellStyle name="Calculation 4 7 2 8" xfId="13696" xr:uid="{00000000-0005-0000-0000-0000A2130000}"/>
    <cellStyle name="Calculation 4 7 2 8 2" xfId="18672" xr:uid="{00000000-0005-0000-0000-0000A3130000}"/>
    <cellStyle name="Calculation 4 7 2 9" xfId="13023" xr:uid="{00000000-0005-0000-0000-0000A4130000}"/>
    <cellStyle name="Calculation 4 7 3" xfId="10390" xr:uid="{00000000-0005-0000-0000-0000A5130000}"/>
    <cellStyle name="Calculation 4 7 3 2" xfId="19166" xr:uid="{00000000-0005-0000-0000-0000A6130000}"/>
    <cellStyle name="Calculation 4 7 3 3" xfId="24289" xr:uid="{00000000-0005-0000-0000-0000A7130000}"/>
    <cellStyle name="Calculation 4 7 3 4" xfId="23540" xr:uid="{00000000-0005-0000-0000-0000A8130000}"/>
    <cellStyle name="Calculation 4 7 4" xfId="14035" xr:uid="{00000000-0005-0000-0000-0000A9130000}"/>
    <cellStyle name="Calculation 4 7 4 2" xfId="19022" xr:uid="{00000000-0005-0000-0000-0000AA130000}"/>
    <cellStyle name="Calculation 4 7 5" xfId="15782" xr:uid="{00000000-0005-0000-0000-0000AB130000}"/>
    <cellStyle name="Calculation 4 7 5 2" xfId="21276" xr:uid="{00000000-0005-0000-0000-0000AC130000}"/>
    <cellStyle name="Calculation 4 7 6" xfId="16137" xr:uid="{00000000-0005-0000-0000-0000AD130000}"/>
    <cellStyle name="Calculation 4 7 6 2" xfId="21641" xr:uid="{00000000-0005-0000-0000-0000AE130000}"/>
    <cellStyle name="Calculation 4 7 7" xfId="16106" xr:uid="{00000000-0005-0000-0000-0000AF130000}"/>
    <cellStyle name="Calculation 4 7 7 2" xfId="21610" xr:uid="{00000000-0005-0000-0000-0000B0130000}"/>
    <cellStyle name="Calculation 4 7 8" xfId="17115" xr:uid="{00000000-0005-0000-0000-0000B1130000}"/>
    <cellStyle name="Calculation 4 7 8 2" xfId="22761" xr:uid="{00000000-0005-0000-0000-0000B2130000}"/>
    <cellStyle name="Calculation 4 7 9" xfId="13374" xr:uid="{00000000-0005-0000-0000-0000B3130000}"/>
    <cellStyle name="Calculation 4 7 9 2" xfId="18353" xr:uid="{00000000-0005-0000-0000-0000B4130000}"/>
    <cellStyle name="Calculation 4 8" xfId="1457" xr:uid="{00000000-0005-0000-0000-0000B5130000}"/>
    <cellStyle name="Calculation 4 8 10" xfId="12621" xr:uid="{00000000-0005-0000-0000-0000B6130000}"/>
    <cellStyle name="Calculation 4 8 11" xfId="12556" xr:uid="{00000000-0005-0000-0000-0000B7130000}"/>
    <cellStyle name="Calculation 4 8 2" xfId="3233" xr:uid="{00000000-0005-0000-0000-0000B8130000}"/>
    <cellStyle name="Calculation 4 8 2 10" xfId="18017" xr:uid="{00000000-0005-0000-0000-0000B9130000}"/>
    <cellStyle name="Calculation 4 8 2 2" xfId="14716" xr:uid="{00000000-0005-0000-0000-0000BA130000}"/>
    <cellStyle name="Calculation 4 8 2 2 2" xfId="20037" xr:uid="{00000000-0005-0000-0000-0000BB130000}"/>
    <cellStyle name="Calculation 4 8 2 2 3" xfId="24532" xr:uid="{00000000-0005-0000-0000-0000BC130000}"/>
    <cellStyle name="Calculation 4 8 2 2 4" xfId="23862" xr:uid="{00000000-0005-0000-0000-0000BD130000}"/>
    <cellStyle name="Calculation 4 8 2 3" xfId="14427" xr:uid="{00000000-0005-0000-0000-0000BE130000}"/>
    <cellStyle name="Calculation 4 8 2 3 2" xfId="19566" xr:uid="{00000000-0005-0000-0000-0000BF130000}"/>
    <cellStyle name="Calculation 4 8 2 4" xfId="15253" xr:uid="{00000000-0005-0000-0000-0000C0130000}"/>
    <cellStyle name="Calculation 4 8 2 4 2" xfId="20641" xr:uid="{00000000-0005-0000-0000-0000C1130000}"/>
    <cellStyle name="Calculation 4 8 2 5" xfId="16412" xr:uid="{00000000-0005-0000-0000-0000C2130000}"/>
    <cellStyle name="Calculation 4 8 2 5 2" xfId="22053" xr:uid="{00000000-0005-0000-0000-0000C3130000}"/>
    <cellStyle name="Calculation 4 8 2 6" xfId="16775" xr:uid="{00000000-0005-0000-0000-0000C4130000}"/>
    <cellStyle name="Calculation 4 8 2 6 2" xfId="22426" xr:uid="{00000000-0005-0000-0000-0000C5130000}"/>
    <cellStyle name="Calculation 4 8 2 7" xfId="17493" xr:uid="{00000000-0005-0000-0000-0000C6130000}"/>
    <cellStyle name="Calculation 4 8 2 7 2" xfId="23140" xr:uid="{00000000-0005-0000-0000-0000C7130000}"/>
    <cellStyle name="Calculation 4 8 2 8" xfId="13697" xr:uid="{00000000-0005-0000-0000-0000C8130000}"/>
    <cellStyle name="Calculation 4 8 2 8 2" xfId="18673" xr:uid="{00000000-0005-0000-0000-0000C9130000}"/>
    <cellStyle name="Calculation 4 8 2 9" xfId="13024" xr:uid="{00000000-0005-0000-0000-0000CA130000}"/>
    <cellStyle name="Calculation 4 8 3" xfId="10510" xr:uid="{00000000-0005-0000-0000-0000CB130000}"/>
    <cellStyle name="Calculation 4 8 3 2" xfId="19167" xr:uid="{00000000-0005-0000-0000-0000CC130000}"/>
    <cellStyle name="Calculation 4 8 3 3" xfId="24288" xr:uid="{00000000-0005-0000-0000-0000CD130000}"/>
    <cellStyle name="Calculation 4 8 3 4" xfId="23541" xr:uid="{00000000-0005-0000-0000-0000CE130000}"/>
    <cellStyle name="Calculation 4 8 4" xfId="14036" xr:uid="{00000000-0005-0000-0000-0000CF130000}"/>
    <cellStyle name="Calculation 4 8 4 2" xfId="19023" xr:uid="{00000000-0005-0000-0000-0000D0130000}"/>
    <cellStyle name="Calculation 4 8 5" xfId="15781" xr:uid="{00000000-0005-0000-0000-0000D1130000}"/>
    <cellStyle name="Calculation 4 8 5 2" xfId="21275" xr:uid="{00000000-0005-0000-0000-0000D2130000}"/>
    <cellStyle name="Calculation 4 8 6" xfId="15967" xr:uid="{00000000-0005-0000-0000-0000D3130000}"/>
    <cellStyle name="Calculation 4 8 6 2" xfId="21461" xr:uid="{00000000-0005-0000-0000-0000D4130000}"/>
    <cellStyle name="Calculation 4 8 7" xfId="15934" xr:uid="{00000000-0005-0000-0000-0000D5130000}"/>
    <cellStyle name="Calculation 4 8 7 2" xfId="21428" xr:uid="{00000000-0005-0000-0000-0000D6130000}"/>
    <cellStyle name="Calculation 4 8 8" xfId="17116" xr:uid="{00000000-0005-0000-0000-0000D7130000}"/>
    <cellStyle name="Calculation 4 8 8 2" xfId="22762" xr:uid="{00000000-0005-0000-0000-0000D8130000}"/>
    <cellStyle name="Calculation 4 8 9" xfId="13375" xr:uid="{00000000-0005-0000-0000-0000D9130000}"/>
    <cellStyle name="Calculation 4 8 9 2" xfId="18354" xr:uid="{00000000-0005-0000-0000-0000DA130000}"/>
    <cellStyle name="Calculation 4 9" xfId="1458" xr:uid="{00000000-0005-0000-0000-0000DB130000}"/>
    <cellStyle name="Calculation 4 9 10" xfId="12622" xr:uid="{00000000-0005-0000-0000-0000DC130000}"/>
    <cellStyle name="Calculation 4 9 11" xfId="12555" xr:uid="{00000000-0005-0000-0000-0000DD130000}"/>
    <cellStyle name="Calculation 4 9 2" xfId="3234" xr:uid="{00000000-0005-0000-0000-0000DE130000}"/>
    <cellStyle name="Calculation 4 9 2 10" xfId="18018" xr:uid="{00000000-0005-0000-0000-0000DF130000}"/>
    <cellStyle name="Calculation 4 9 2 2" xfId="14717" xr:uid="{00000000-0005-0000-0000-0000E0130000}"/>
    <cellStyle name="Calculation 4 9 2 2 2" xfId="20038" xr:uid="{00000000-0005-0000-0000-0000E1130000}"/>
    <cellStyle name="Calculation 4 9 2 2 3" xfId="24533" xr:uid="{00000000-0005-0000-0000-0000E2130000}"/>
    <cellStyle name="Calculation 4 9 2 2 4" xfId="23863" xr:uid="{00000000-0005-0000-0000-0000E3130000}"/>
    <cellStyle name="Calculation 4 9 2 3" xfId="14428" xr:uid="{00000000-0005-0000-0000-0000E4130000}"/>
    <cellStyle name="Calculation 4 9 2 3 2" xfId="19567" xr:uid="{00000000-0005-0000-0000-0000E5130000}"/>
    <cellStyle name="Calculation 4 9 2 4" xfId="15252" xr:uid="{00000000-0005-0000-0000-0000E6130000}"/>
    <cellStyle name="Calculation 4 9 2 4 2" xfId="20640" xr:uid="{00000000-0005-0000-0000-0000E7130000}"/>
    <cellStyle name="Calculation 4 9 2 5" xfId="16413" xr:uid="{00000000-0005-0000-0000-0000E8130000}"/>
    <cellStyle name="Calculation 4 9 2 5 2" xfId="22054" xr:uid="{00000000-0005-0000-0000-0000E9130000}"/>
    <cellStyle name="Calculation 4 9 2 6" xfId="16776" xr:uid="{00000000-0005-0000-0000-0000EA130000}"/>
    <cellStyle name="Calculation 4 9 2 6 2" xfId="22427" xr:uid="{00000000-0005-0000-0000-0000EB130000}"/>
    <cellStyle name="Calculation 4 9 2 7" xfId="17494" xr:uid="{00000000-0005-0000-0000-0000EC130000}"/>
    <cellStyle name="Calculation 4 9 2 7 2" xfId="23141" xr:uid="{00000000-0005-0000-0000-0000ED130000}"/>
    <cellStyle name="Calculation 4 9 2 8" xfId="13698" xr:uid="{00000000-0005-0000-0000-0000EE130000}"/>
    <cellStyle name="Calculation 4 9 2 8 2" xfId="18674" xr:uid="{00000000-0005-0000-0000-0000EF130000}"/>
    <cellStyle name="Calculation 4 9 2 9" xfId="13025" xr:uid="{00000000-0005-0000-0000-0000F0130000}"/>
    <cellStyle name="Calculation 4 9 3" xfId="10586" xr:uid="{00000000-0005-0000-0000-0000F1130000}"/>
    <cellStyle name="Calculation 4 9 3 2" xfId="19168" xr:uid="{00000000-0005-0000-0000-0000F2130000}"/>
    <cellStyle name="Calculation 4 9 3 3" xfId="24287" xr:uid="{00000000-0005-0000-0000-0000F3130000}"/>
    <cellStyle name="Calculation 4 9 3 4" xfId="23542" xr:uid="{00000000-0005-0000-0000-0000F4130000}"/>
    <cellStyle name="Calculation 4 9 4" xfId="14037" xr:uid="{00000000-0005-0000-0000-0000F5130000}"/>
    <cellStyle name="Calculation 4 9 4 2" xfId="19024" xr:uid="{00000000-0005-0000-0000-0000F6130000}"/>
    <cellStyle name="Calculation 4 9 5" xfId="15780" xr:uid="{00000000-0005-0000-0000-0000F7130000}"/>
    <cellStyle name="Calculation 4 9 5 2" xfId="21274" xr:uid="{00000000-0005-0000-0000-0000F8130000}"/>
    <cellStyle name="Calculation 4 9 6" xfId="16138" xr:uid="{00000000-0005-0000-0000-0000F9130000}"/>
    <cellStyle name="Calculation 4 9 6 2" xfId="21642" xr:uid="{00000000-0005-0000-0000-0000FA130000}"/>
    <cellStyle name="Calculation 4 9 7" xfId="16105" xr:uid="{00000000-0005-0000-0000-0000FB130000}"/>
    <cellStyle name="Calculation 4 9 7 2" xfId="21609" xr:uid="{00000000-0005-0000-0000-0000FC130000}"/>
    <cellStyle name="Calculation 4 9 8" xfId="17117" xr:uid="{00000000-0005-0000-0000-0000FD130000}"/>
    <cellStyle name="Calculation 4 9 8 2" xfId="22763" xr:uid="{00000000-0005-0000-0000-0000FE130000}"/>
    <cellStyle name="Calculation 4 9 9" xfId="13376" xr:uid="{00000000-0005-0000-0000-0000FF130000}"/>
    <cellStyle name="Calculation 4 9 9 2" xfId="18355" xr:uid="{00000000-0005-0000-0000-000000140000}"/>
    <cellStyle name="Calculation 40" xfId="42903" xr:uid="{00000000-0005-0000-0000-000001140000}"/>
    <cellStyle name="Calculation 41" xfId="42904" xr:uid="{00000000-0005-0000-0000-000002140000}"/>
    <cellStyle name="Calculation 42" xfId="42905" xr:uid="{00000000-0005-0000-0000-000003140000}"/>
    <cellStyle name="Calculation 43" xfId="42906" xr:uid="{00000000-0005-0000-0000-000004140000}"/>
    <cellStyle name="Calculation 5" xfId="1459" xr:uid="{00000000-0005-0000-0000-000005140000}"/>
    <cellStyle name="Calculation 5 10" xfId="1460" xr:uid="{00000000-0005-0000-0000-000006140000}"/>
    <cellStyle name="Calculation 5 10 10" xfId="12624" xr:uid="{00000000-0005-0000-0000-000007140000}"/>
    <cellStyle name="Calculation 5 10 11" xfId="12553" xr:uid="{00000000-0005-0000-0000-000008140000}"/>
    <cellStyle name="Calculation 5 10 2" xfId="3235" xr:uid="{00000000-0005-0000-0000-000009140000}"/>
    <cellStyle name="Calculation 5 10 2 10" xfId="18020" xr:uid="{00000000-0005-0000-0000-00000A140000}"/>
    <cellStyle name="Calculation 5 10 2 2" xfId="14719" xr:uid="{00000000-0005-0000-0000-00000B140000}"/>
    <cellStyle name="Calculation 5 10 2 2 2" xfId="20040" xr:uid="{00000000-0005-0000-0000-00000C140000}"/>
    <cellStyle name="Calculation 5 10 2 2 3" xfId="24535" xr:uid="{00000000-0005-0000-0000-00000D140000}"/>
    <cellStyle name="Calculation 5 10 2 2 4" xfId="23865" xr:uid="{00000000-0005-0000-0000-00000E140000}"/>
    <cellStyle name="Calculation 5 10 2 3" xfId="14430" xr:uid="{00000000-0005-0000-0000-00000F140000}"/>
    <cellStyle name="Calculation 5 10 2 3 2" xfId="19569" xr:uid="{00000000-0005-0000-0000-000010140000}"/>
    <cellStyle name="Calculation 5 10 2 4" xfId="15250" xr:uid="{00000000-0005-0000-0000-000011140000}"/>
    <cellStyle name="Calculation 5 10 2 4 2" xfId="20638" xr:uid="{00000000-0005-0000-0000-000012140000}"/>
    <cellStyle name="Calculation 5 10 2 5" xfId="16415" xr:uid="{00000000-0005-0000-0000-000013140000}"/>
    <cellStyle name="Calculation 5 10 2 5 2" xfId="22056" xr:uid="{00000000-0005-0000-0000-000014140000}"/>
    <cellStyle name="Calculation 5 10 2 6" xfId="16778" xr:uid="{00000000-0005-0000-0000-000015140000}"/>
    <cellStyle name="Calculation 5 10 2 6 2" xfId="22429" xr:uid="{00000000-0005-0000-0000-000016140000}"/>
    <cellStyle name="Calculation 5 10 2 7" xfId="17496" xr:uid="{00000000-0005-0000-0000-000017140000}"/>
    <cellStyle name="Calculation 5 10 2 7 2" xfId="23143" xr:uid="{00000000-0005-0000-0000-000018140000}"/>
    <cellStyle name="Calculation 5 10 2 8" xfId="13700" xr:uid="{00000000-0005-0000-0000-000019140000}"/>
    <cellStyle name="Calculation 5 10 2 8 2" xfId="18676" xr:uid="{00000000-0005-0000-0000-00001A140000}"/>
    <cellStyle name="Calculation 5 10 2 9" xfId="13027" xr:uid="{00000000-0005-0000-0000-00001B140000}"/>
    <cellStyle name="Calculation 5 10 3" xfId="10405" xr:uid="{00000000-0005-0000-0000-00001C140000}"/>
    <cellStyle name="Calculation 5 10 3 2" xfId="19170" xr:uid="{00000000-0005-0000-0000-00001D140000}"/>
    <cellStyle name="Calculation 5 10 3 3" xfId="24285" xr:uid="{00000000-0005-0000-0000-00001E140000}"/>
    <cellStyle name="Calculation 5 10 3 4" xfId="23544" xr:uid="{00000000-0005-0000-0000-00001F140000}"/>
    <cellStyle name="Calculation 5 10 4" xfId="14039" xr:uid="{00000000-0005-0000-0000-000020140000}"/>
    <cellStyle name="Calculation 5 10 4 2" xfId="19026" xr:uid="{00000000-0005-0000-0000-000021140000}"/>
    <cellStyle name="Calculation 5 10 5" xfId="15778" xr:uid="{00000000-0005-0000-0000-000022140000}"/>
    <cellStyle name="Calculation 5 10 5 2" xfId="21272" xr:uid="{00000000-0005-0000-0000-000023140000}"/>
    <cellStyle name="Calculation 5 10 6" xfId="16139" xr:uid="{00000000-0005-0000-0000-000024140000}"/>
    <cellStyle name="Calculation 5 10 6 2" xfId="21643" xr:uid="{00000000-0005-0000-0000-000025140000}"/>
    <cellStyle name="Calculation 5 10 7" xfId="16104" xr:uid="{00000000-0005-0000-0000-000026140000}"/>
    <cellStyle name="Calculation 5 10 7 2" xfId="21608" xr:uid="{00000000-0005-0000-0000-000027140000}"/>
    <cellStyle name="Calculation 5 10 8" xfId="17119" xr:uid="{00000000-0005-0000-0000-000028140000}"/>
    <cellStyle name="Calculation 5 10 8 2" xfId="22765" xr:uid="{00000000-0005-0000-0000-000029140000}"/>
    <cellStyle name="Calculation 5 10 9" xfId="13378" xr:uid="{00000000-0005-0000-0000-00002A140000}"/>
    <cellStyle name="Calculation 5 10 9 2" xfId="18357" xr:uid="{00000000-0005-0000-0000-00002B140000}"/>
    <cellStyle name="Calculation 5 11" xfId="1461" xr:uid="{00000000-0005-0000-0000-00002C140000}"/>
    <cellStyle name="Calculation 5 11 10" xfId="12625" xr:uid="{00000000-0005-0000-0000-00002D140000}"/>
    <cellStyle name="Calculation 5 11 11" xfId="12552" xr:uid="{00000000-0005-0000-0000-00002E140000}"/>
    <cellStyle name="Calculation 5 11 2" xfId="3236" xr:uid="{00000000-0005-0000-0000-00002F140000}"/>
    <cellStyle name="Calculation 5 11 2 10" xfId="18021" xr:uid="{00000000-0005-0000-0000-000030140000}"/>
    <cellStyle name="Calculation 5 11 2 2" xfId="14720" xr:uid="{00000000-0005-0000-0000-000031140000}"/>
    <cellStyle name="Calculation 5 11 2 2 2" xfId="20041" xr:uid="{00000000-0005-0000-0000-000032140000}"/>
    <cellStyle name="Calculation 5 11 2 2 3" xfId="24536" xr:uid="{00000000-0005-0000-0000-000033140000}"/>
    <cellStyle name="Calculation 5 11 2 2 4" xfId="23866" xr:uid="{00000000-0005-0000-0000-000034140000}"/>
    <cellStyle name="Calculation 5 11 2 3" xfId="14431" xr:uid="{00000000-0005-0000-0000-000035140000}"/>
    <cellStyle name="Calculation 5 11 2 3 2" xfId="19570" xr:uid="{00000000-0005-0000-0000-000036140000}"/>
    <cellStyle name="Calculation 5 11 2 4" xfId="15249" xr:uid="{00000000-0005-0000-0000-000037140000}"/>
    <cellStyle name="Calculation 5 11 2 4 2" xfId="20637" xr:uid="{00000000-0005-0000-0000-000038140000}"/>
    <cellStyle name="Calculation 5 11 2 5" xfId="16416" xr:uid="{00000000-0005-0000-0000-000039140000}"/>
    <cellStyle name="Calculation 5 11 2 5 2" xfId="22057" xr:uid="{00000000-0005-0000-0000-00003A140000}"/>
    <cellStyle name="Calculation 5 11 2 6" xfId="16779" xr:uid="{00000000-0005-0000-0000-00003B140000}"/>
    <cellStyle name="Calculation 5 11 2 6 2" xfId="22430" xr:uid="{00000000-0005-0000-0000-00003C140000}"/>
    <cellStyle name="Calculation 5 11 2 7" xfId="17497" xr:uid="{00000000-0005-0000-0000-00003D140000}"/>
    <cellStyle name="Calculation 5 11 2 7 2" xfId="23144" xr:uid="{00000000-0005-0000-0000-00003E140000}"/>
    <cellStyle name="Calculation 5 11 2 8" xfId="13701" xr:uid="{00000000-0005-0000-0000-00003F140000}"/>
    <cellStyle name="Calculation 5 11 2 8 2" xfId="18677" xr:uid="{00000000-0005-0000-0000-000040140000}"/>
    <cellStyle name="Calculation 5 11 2 9" xfId="13028" xr:uid="{00000000-0005-0000-0000-000041140000}"/>
    <cellStyle name="Calculation 5 11 3" xfId="10389" xr:uid="{00000000-0005-0000-0000-000042140000}"/>
    <cellStyle name="Calculation 5 11 3 2" xfId="19171" xr:uid="{00000000-0005-0000-0000-000043140000}"/>
    <cellStyle name="Calculation 5 11 3 3" xfId="24284" xr:uid="{00000000-0005-0000-0000-000044140000}"/>
    <cellStyle name="Calculation 5 11 3 4" xfId="23545" xr:uid="{00000000-0005-0000-0000-000045140000}"/>
    <cellStyle name="Calculation 5 11 4" xfId="14040" xr:uid="{00000000-0005-0000-0000-000046140000}"/>
    <cellStyle name="Calculation 5 11 4 2" xfId="19027" xr:uid="{00000000-0005-0000-0000-000047140000}"/>
    <cellStyle name="Calculation 5 11 5" xfId="15777" xr:uid="{00000000-0005-0000-0000-000048140000}"/>
    <cellStyle name="Calculation 5 11 5 2" xfId="21271" xr:uid="{00000000-0005-0000-0000-000049140000}"/>
    <cellStyle name="Calculation 5 11 6" xfId="15969" xr:uid="{00000000-0005-0000-0000-00004A140000}"/>
    <cellStyle name="Calculation 5 11 6 2" xfId="21463" xr:uid="{00000000-0005-0000-0000-00004B140000}"/>
    <cellStyle name="Calculation 5 11 7" xfId="15932" xr:uid="{00000000-0005-0000-0000-00004C140000}"/>
    <cellStyle name="Calculation 5 11 7 2" xfId="21426" xr:uid="{00000000-0005-0000-0000-00004D140000}"/>
    <cellStyle name="Calculation 5 11 8" xfId="17120" xr:uid="{00000000-0005-0000-0000-00004E140000}"/>
    <cellStyle name="Calculation 5 11 8 2" xfId="22766" xr:uid="{00000000-0005-0000-0000-00004F140000}"/>
    <cellStyle name="Calculation 5 11 9" xfId="13379" xr:uid="{00000000-0005-0000-0000-000050140000}"/>
    <cellStyle name="Calculation 5 11 9 2" xfId="18358" xr:uid="{00000000-0005-0000-0000-000051140000}"/>
    <cellStyle name="Calculation 5 12" xfId="3237" xr:uid="{00000000-0005-0000-0000-000052140000}"/>
    <cellStyle name="Calculation 5 12 10" xfId="18019" xr:uid="{00000000-0005-0000-0000-000053140000}"/>
    <cellStyle name="Calculation 5 12 2" xfId="14718" xr:uid="{00000000-0005-0000-0000-000054140000}"/>
    <cellStyle name="Calculation 5 12 2 2" xfId="20039" xr:uid="{00000000-0005-0000-0000-000055140000}"/>
    <cellStyle name="Calculation 5 12 2 3" xfId="24534" xr:uid="{00000000-0005-0000-0000-000056140000}"/>
    <cellStyle name="Calculation 5 12 2 4" xfId="23864" xr:uid="{00000000-0005-0000-0000-000057140000}"/>
    <cellStyle name="Calculation 5 12 3" xfId="14429" xr:uid="{00000000-0005-0000-0000-000058140000}"/>
    <cellStyle name="Calculation 5 12 3 2" xfId="19568" xr:uid="{00000000-0005-0000-0000-000059140000}"/>
    <cellStyle name="Calculation 5 12 4" xfId="15251" xr:uid="{00000000-0005-0000-0000-00005A140000}"/>
    <cellStyle name="Calculation 5 12 4 2" xfId="20639" xr:uid="{00000000-0005-0000-0000-00005B140000}"/>
    <cellStyle name="Calculation 5 12 5" xfId="16414" xr:uid="{00000000-0005-0000-0000-00005C140000}"/>
    <cellStyle name="Calculation 5 12 5 2" xfId="22055" xr:uid="{00000000-0005-0000-0000-00005D140000}"/>
    <cellStyle name="Calculation 5 12 6" xfId="16777" xr:uid="{00000000-0005-0000-0000-00005E140000}"/>
    <cellStyle name="Calculation 5 12 6 2" xfId="22428" xr:uid="{00000000-0005-0000-0000-00005F140000}"/>
    <cellStyle name="Calculation 5 12 7" xfId="17495" xr:uid="{00000000-0005-0000-0000-000060140000}"/>
    <cellStyle name="Calculation 5 12 7 2" xfId="23142" xr:uid="{00000000-0005-0000-0000-000061140000}"/>
    <cellStyle name="Calculation 5 12 8" xfId="13699" xr:uid="{00000000-0005-0000-0000-000062140000}"/>
    <cellStyle name="Calculation 5 12 8 2" xfId="18675" xr:uid="{00000000-0005-0000-0000-000063140000}"/>
    <cellStyle name="Calculation 5 12 9" xfId="13026" xr:uid="{00000000-0005-0000-0000-000064140000}"/>
    <cellStyle name="Calculation 5 13" xfId="10511" xr:uid="{00000000-0005-0000-0000-000065140000}"/>
    <cellStyle name="Calculation 5 13 2" xfId="19169" xr:uid="{00000000-0005-0000-0000-000066140000}"/>
    <cellStyle name="Calculation 5 13 3" xfId="24286" xr:uid="{00000000-0005-0000-0000-000067140000}"/>
    <cellStyle name="Calculation 5 13 4" xfId="23543" xr:uid="{00000000-0005-0000-0000-000068140000}"/>
    <cellStyle name="Calculation 5 14" xfId="14038" xr:uid="{00000000-0005-0000-0000-000069140000}"/>
    <cellStyle name="Calculation 5 14 2" xfId="19025" xr:uid="{00000000-0005-0000-0000-00006A140000}"/>
    <cellStyle name="Calculation 5 15" xfId="15779" xr:uid="{00000000-0005-0000-0000-00006B140000}"/>
    <cellStyle name="Calculation 5 15 2" xfId="21273" xr:uid="{00000000-0005-0000-0000-00006C140000}"/>
    <cellStyle name="Calculation 5 16" xfId="15968" xr:uid="{00000000-0005-0000-0000-00006D140000}"/>
    <cellStyle name="Calculation 5 16 2" xfId="21462" xr:uid="{00000000-0005-0000-0000-00006E140000}"/>
    <cellStyle name="Calculation 5 17" xfId="15933" xr:uid="{00000000-0005-0000-0000-00006F140000}"/>
    <cellStyle name="Calculation 5 17 2" xfId="21427" xr:uid="{00000000-0005-0000-0000-000070140000}"/>
    <cellStyle name="Calculation 5 18" xfId="17118" xr:uid="{00000000-0005-0000-0000-000071140000}"/>
    <cellStyle name="Calculation 5 18 2" xfId="22764" xr:uid="{00000000-0005-0000-0000-000072140000}"/>
    <cellStyle name="Calculation 5 19" xfId="13377" xr:uid="{00000000-0005-0000-0000-000073140000}"/>
    <cellStyle name="Calculation 5 19 2" xfId="18356" xr:uid="{00000000-0005-0000-0000-000074140000}"/>
    <cellStyle name="Calculation 5 2" xfId="1462" xr:uid="{00000000-0005-0000-0000-000075140000}"/>
    <cellStyle name="Calculation 5 2 10" xfId="12626" xr:uid="{00000000-0005-0000-0000-000076140000}"/>
    <cellStyle name="Calculation 5 2 11" xfId="12551" xr:uid="{00000000-0005-0000-0000-000077140000}"/>
    <cellStyle name="Calculation 5 2 2" xfId="3238" xr:uid="{00000000-0005-0000-0000-000078140000}"/>
    <cellStyle name="Calculation 5 2 2 10" xfId="18022" xr:uid="{00000000-0005-0000-0000-000079140000}"/>
    <cellStyle name="Calculation 5 2 2 2" xfId="14721" xr:uid="{00000000-0005-0000-0000-00007A140000}"/>
    <cellStyle name="Calculation 5 2 2 2 2" xfId="20042" xr:uid="{00000000-0005-0000-0000-00007B140000}"/>
    <cellStyle name="Calculation 5 2 2 2 3" xfId="24537" xr:uid="{00000000-0005-0000-0000-00007C140000}"/>
    <cellStyle name="Calculation 5 2 2 2 4" xfId="23867" xr:uid="{00000000-0005-0000-0000-00007D140000}"/>
    <cellStyle name="Calculation 5 2 2 3" xfId="14432" xr:uid="{00000000-0005-0000-0000-00007E140000}"/>
    <cellStyle name="Calculation 5 2 2 3 2" xfId="19571" xr:uid="{00000000-0005-0000-0000-00007F140000}"/>
    <cellStyle name="Calculation 5 2 2 4" xfId="15248" xr:uid="{00000000-0005-0000-0000-000080140000}"/>
    <cellStyle name="Calculation 5 2 2 4 2" xfId="20636" xr:uid="{00000000-0005-0000-0000-000081140000}"/>
    <cellStyle name="Calculation 5 2 2 5" xfId="16417" xr:uid="{00000000-0005-0000-0000-000082140000}"/>
    <cellStyle name="Calculation 5 2 2 5 2" xfId="22058" xr:uid="{00000000-0005-0000-0000-000083140000}"/>
    <cellStyle name="Calculation 5 2 2 6" xfId="16780" xr:uid="{00000000-0005-0000-0000-000084140000}"/>
    <cellStyle name="Calculation 5 2 2 6 2" xfId="22431" xr:uid="{00000000-0005-0000-0000-000085140000}"/>
    <cellStyle name="Calculation 5 2 2 7" xfId="17498" xr:uid="{00000000-0005-0000-0000-000086140000}"/>
    <cellStyle name="Calculation 5 2 2 7 2" xfId="23145" xr:uid="{00000000-0005-0000-0000-000087140000}"/>
    <cellStyle name="Calculation 5 2 2 8" xfId="13702" xr:uid="{00000000-0005-0000-0000-000088140000}"/>
    <cellStyle name="Calculation 5 2 2 8 2" xfId="18678" xr:uid="{00000000-0005-0000-0000-000089140000}"/>
    <cellStyle name="Calculation 5 2 2 9" xfId="13029" xr:uid="{00000000-0005-0000-0000-00008A140000}"/>
    <cellStyle name="Calculation 5 2 3" xfId="10508" xr:uid="{00000000-0005-0000-0000-00008B140000}"/>
    <cellStyle name="Calculation 5 2 3 2" xfId="19172" xr:uid="{00000000-0005-0000-0000-00008C140000}"/>
    <cellStyle name="Calculation 5 2 3 3" xfId="24283" xr:uid="{00000000-0005-0000-0000-00008D140000}"/>
    <cellStyle name="Calculation 5 2 3 4" xfId="23546" xr:uid="{00000000-0005-0000-0000-00008E140000}"/>
    <cellStyle name="Calculation 5 2 4" xfId="14041" xr:uid="{00000000-0005-0000-0000-00008F140000}"/>
    <cellStyle name="Calculation 5 2 4 2" xfId="19028" xr:uid="{00000000-0005-0000-0000-000090140000}"/>
    <cellStyle name="Calculation 5 2 5" xfId="15776" xr:uid="{00000000-0005-0000-0000-000091140000}"/>
    <cellStyle name="Calculation 5 2 5 2" xfId="21270" xr:uid="{00000000-0005-0000-0000-000092140000}"/>
    <cellStyle name="Calculation 5 2 6" xfId="15074" xr:uid="{00000000-0005-0000-0000-000093140000}"/>
    <cellStyle name="Calculation 5 2 6 2" xfId="20458" xr:uid="{00000000-0005-0000-0000-000094140000}"/>
    <cellStyle name="Calculation 5 2 7" xfId="16103" xr:uid="{00000000-0005-0000-0000-000095140000}"/>
    <cellStyle name="Calculation 5 2 7 2" xfId="21607" xr:uid="{00000000-0005-0000-0000-000096140000}"/>
    <cellStyle name="Calculation 5 2 8" xfId="17121" xr:uid="{00000000-0005-0000-0000-000097140000}"/>
    <cellStyle name="Calculation 5 2 8 2" xfId="22767" xr:uid="{00000000-0005-0000-0000-000098140000}"/>
    <cellStyle name="Calculation 5 2 9" xfId="13380" xr:uid="{00000000-0005-0000-0000-000099140000}"/>
    <cellStyle name="Calculation 5 2 9 2" xfId="18359" xr:uid="{00000000-0005-0000-0000-00009A140000}"/>
    <cellStyle name="Calculation 5 20" xfId="12623" xr:uid="{00000000-0005-0000-0000-00009B140000}"/>
    <cellStyle name="Calculation 5 21" xfId="12554" xr:uid="{00000000-0005-0000-0000-00009C140000}"/>
    <cellStyle name="Calculation 5 3" xfId="1463" xr:uid="{00000000-0005-0000-0000-00009D140000}"/>
    <cellStyle name="Calculation 5 3 10" xfId="12627" xr:uid="{00000000-0005-0000-0000-00009E140000}"/>
    <cellStyle name="Calculation 5 3 11" xfId="12550" xr:uid="{00000000-0005-0000-0000-00009F140000}"/>
    <cellStyle name="Calculation 5 3 2" xfId="3239" xr:uid="{00000000-0005-0000-0000-0000A0140000}"/>
    <cellStyle name="Calculation 5 3 2 10" xfId="18023" xr:uid="{00000000-0005-0000-0000-0000A1140000}"/>
    <cellStyle name="Calculation 5 3 2 2" xfId="14722" xr:uid="{00000000-0005-0000-0000-0000A2140000}"/>
    <cellStyle name="Calculation 5 3 2 2 2" xfId="20043" xr:uid="{00000000-0005-0000-0000-0000A3140000}"/>
    <cellStyle name="Calculation 5 3 2 2 3" xfId="24538" xr:uid="{00000000-0005-0000-0000-0000A4140000}"/>
    <cellStyle name="Calculation 5 3 2 2 4" xfId="23868" xr:uid="{00000000-0005-0000-0000-0000A5140000}"/>
    <cellStyle name="Calculation 5 3 2 3" xfId="14433" xr:uid="{00000000-0005-0000-0000-0000A6140000}"/>
    <cellStyle name="Calculation 5 3 2 3 2" xfId="19572" xr:uid="{00000000-0005-0000-0000-0000A7140000}"/>
    <cellStyle name="Calculation 5 3 2 4" xfId="15247" xr:uid="{00000000-0005-0000-0000-0000A8140000}"/>
    <cellStyle name="Calculation 5 3 2 4 2" xfId="20635" xr:uid="{00000000-0005-0000-0000-0000A9140000}"/>
    <cellStyle name="Calculation 5 3 2 5" xfId="16418" xr:uid="{00000000-0005-0000-0000-0000AA140000}"/>
    <cellStyle name="Calculation 5 3 2 5 2" xfId="22059" xr:uid="{00000000-0005-0000-0000-0000AB140000}"/>
    <cellStyle name="Calculation 5 3 2 6" xfId="16781" xr:uid="{00000000-0005-0000-0000-0000AC140000}"/>
    <cellStyle name="Calculation 5 3 2 6 2" xfId="22432" xr:uid="{00000000-0005-0000-0000-0000AD140000}"/>
    <cellStyle name="Calculation 5 3 2 7" xfId="17499" xr:uid="{00000000-0005-0000-0000-0000AE140000}"/>
    <cellStyle name="Calculation 5 3 2 7 2" xfId="23146" xr:uid="{00000000-0005-0000-0000-0000AF140000}"/>
    <cellStyle name="Calculation 5 3 2 8" xfId="13703" xr:uid="{00000000-0005-0000-0000-0000B0140000}"/>
    <cellStyle name="Calculation 5 3 2 8 2" xfId="18679" xr:uid="{00000000-0005-0000-0000-0000B1140000}"/>
    <cellStyle name="Calculation 5 3 2 9" xfId="13030" xr:uid="{00000000-0005-0000-0000-0000B2140000}"/>
    <cellStyle name="Calculation 5 3 3" xfId="10585" xr:uid="{00000000-0005-0000-0000-0000B3140000}"/>
    <cellStyle name="Calculation 5 3 3 2" xfId="19173" xr:uid="{00000000-0005-0000-0000-0000B4140000}"/>
    <cellStyle name="Calculation 5 3 3 3" xfId="24282" xr:uid="{00000000-0005-0000-0000-0000B5140000}"/>
    <cellStyle name="Calculation 5 3 3 4" xfId="23547" xr:uid="{00000000-0005-0000-0000-0000B6140000}"/>
    <cellStyle name="Calculation 5 3 4" xfId="14042" xr:uid="{00000000-0005-0000-0000-0000B7140000}"/>
    <cellStyle name="Calculation 5 3 4 2" xfId="19029" xr:uid="{00000000-0005-0000-0000-0000B8140000}"/>
    <cellStyle name="Calculation 5 3 5" xfId="15775" xr:uid="{00000000-0005-0000-0000-0000B9140000}"/>
    <cellStyle name="Calculation 5 3 5 2" xfId="21269" xr:uid="{00000000-0005-0000-0000-0000BA140000}"/>
    <cellStyle name="Calculation 5 3 6" xfId="15095" xr:uid="{00000000-0005-0000-0000-0000BB140000}"/>
    <cellStyle name="Calculation 5 3 6 2" xfId="20481" xr:uid="{00000000-0005-0000-0000-0000BC140000}"/>
    <cellStyle name="Calculation 5 3 7" xfId="15931" xr:uid="{00000000-0005-0000-0000-0000BD140000}"/>
    <cellStyle name="Calculation 5 3 7 2" xfId="21425" xr:uid="{00000000-0005-0000-0000-0000BE140000}"/>
    <cellStyle name="Calculation 5 3 8" xfId="17122" xr:uid="{00000000-0005-0000-0000-0000BF140000}"/>
    <cellStyle name="Calculation 5 3 8 2" xfId="22768" xr:uid="{00000000-0005-0000-0000-0000C0140000}"/>
    <cellStyle name="Calculation 5 3 9" xfId="13381" xr:uid="{00000000-0005-0000-0000-0000C1140000}"/>
    <cellStyle name="Calculation 5 3 9 2" xfId="18360" xr:uid="{00000000-0005-0000-0000-0000C2140000}"/>
    <cellStyle name="Calculation 5 4" xfId="1464" xr:uid="{00000000-0005-0000-0000-0000C3140000}"/>
    <cellStyle name="Calculation 5 4 10" xfId="12628" xr:uid="{00000000-0005-0000-0000-0000C4140000}"/>
    <cellStyle name="Calculation 5 4 11" xfId="12549" xr:uid="{00000000-0005-0000-0000-0000C5140000}"/>
    <cellStyle name="Calculation 5 4 2" xfId="3240" xr:uid="{00000000-0005-0000-0000-0000C6140000}"/>
    <cellStyle name="Calculation 5 4 2 10" xfId="18024" xr:uid="{00000000-0005-0000-0000-0000C7140000}"/>
    <cellStyle name="Calculation 5 4 2 2" xfId="14723" xr:uid="{00000000-0005-0000-0000-0000C8140000}"/>
    <cellStyle name="Calculation 5 4 2 2 2" xfId="20044" xr:uid="{00000000-0005-0000-0000-0000C9140000}"/>
    <cellStyle name="Calculation 5 4 2 2 3" xfId="24539" xr:uid="{00000000-0005-0000-0000-0000CA140000}"/>
    <cellStyle name="Calculation 5 4 2 2 4" xfId="23869" xr:uid="{00000000-0005-0000-0000-0000CB140000}"/>
    <cellStyle name="Calculation 5 4 2 3" xfId="14434" xr:uid="{00000000-0005-0000-0000-0000CC140000}"/>
    <cellStyle name="Calculation 5 4 2 3 2" xfId="19573" xr:uid="{00000000-0005-0000-0000-0000CD140000}"/>
    <cellStyle name="Calculation 5 4 2 4" xfId="15246" xr:uid="{00000000-0005-0000-0000-0000CE140000}"/>
    <cellStyle name="Calculation 5 4 2 4 2" xfId="20634" xr:uid="{00000000-0005-0000-0000-0000CF140000}"/>
    <cellStyle name="Calculation 5 4 2 5" xfId="16419" xr:uid="{00000000-0005-0000-0000-0000D0140000}"/>
    <cellStyle name="Calculation 5 4 2 5 2" xfId="22060" xr:uid="{00000000-0005-0000-0000-0000D1140000}"/>
    <cellStyle name="Calculation 5 4 2 6" xfId="16782" xr:uid="{00000000-0005-0000-0000-0000D2140000}"/>
    <cellStyle name="Calculation 5 4 2 6 2" xfId="22433" xr:uid="{00000000-0005-0000-0000-0000D3140000}"/>
    <cellStyle name="Calculation 5 4 2 7" xfId="17500" xr:uid="{00000000-0005-0000-0000-0000D4140000}"/>
    <cellStyle name="Calculation 5 4 2 7 2" xfId="23147" xr:uid="{00000000-0005-0000-0000-0000D5140000}"/>
    <cellStyle name="Calculation 5 4 2 8" xfId="13704" xr:uid="{00000000-0005-0000-0000-0000D6140000}"/>
    <cellStyle name="Calculation 5 4 2 8 2" xfId="18680" xr:uid="{00000000-0005-0000-0000-0000D7140000}"/>
    <cellStyle name="Calculation 5 4 2 9" xfId="13031" xr:uid="{00000000-0005-0000-0000-0000D8140000}"/>
    <cellStyle name="Calculation 5 4 3" xfId="10509" xr:uid="{00000000-0005-0000-0000-0000D9140000}"/>
    <cellStyle name="Calculation 5 4 3 2" xfId="19174" xr:uid="{00000000-0005-0000-0000-0000DA140000}"/>
    <cellStyle name="Calculation 5 4 3 3" xfId="24281" xr:uid="{00000000-0005-0000-0000-0000DB140000}"/>
    <cellStyle name="Calculation 5 4 3 4" xfId="23548" xr:uid="{00000000-0005-0000-0000-0000DC140000}"/>
    <cellStyle name="Calculation 5 4 4" xfId="14043" xr:uid="{00000000-0005-0000-0000-0000DD140000}"/>
    <cellStyle name="Calculation 5 4 4 2" xfId="19030" xr:uid="{00000000-0005-0000-0000-0000DE140000}"/>
    <cellStyle name="Calculation 5 4 5" xfId="15774" xr:uid="{00000000-0005-0000-0000-0000DF140000}"/>
    <cellStyle name="Calculation 5 4 5 2" xfId="21268" xr:uid="{00000000-0005-0000-0000-0000E0140000}"/>
    <cellStyle name="Calculation 5 4 6" xfId="15096" xr:uid="{00000000-0005-0000-0000-0000E1140000}"/>
    <cellStyle name="Calculation 5 4 6 2" xfId="20482" xr:uid="{00000000-0005-0000-0000-0000E2140000}"/>
    <cellStyle name="Calculation 5 4 7" xfId="16102" xr:uid="{00000000-0005-0000-0000-0000E3140000}"/>
    <cellStyle name="Calculation 5 4 7 2" xfId="21606" xr:uid="{00000000-0005-0000-0000-0000E4140000}"/>
    <cellStyle name="Calculation 5 4 8" xfId="17123" xr:uid="{00000000-0005-0000-0000-0000E5140000}"/>
    <cellStyle name="Calculation 5 4 8 2" xfId="22769" xr:uid="{00000000-0005-0000-0000-0000E6140000}"/>
    <cellStyle name="Calculation 5 4 9" xfId="13382" xr:uid="{00000000-0005-0000-0000-0000E7140000}"/>
    <cellStyle name="Calculation 5 4 9 2" xfId="18361" xr:uid="{00000000-0005-0000-0000-0000E8140000}"/>
    <cellStyle name="Calculation 5 5" xfId="1465" xr:uid="{00000000-0005-0000-0000-0000E9140000}"/>
    <cellStyle name="Calculation 5 5 10" xfId="12629" xr:uid="{00000000-0005-0000-0000-0000EA140000}"/>
    <cellStyle name="Calculation 5 5 11" xfId="12548" xr:uid="{00000000-0005-0000-0000-0000EB140000}"/>
    <cellStyle name="Calculation 5 5 2" xfId="3241" xr:uid="{00000000-0005-0000-0000-0000EC140000}"/>
    <cellStyle name="Calculation 5 5 2 10" xfId="18025" xr:uid="{00000000-0005-0000-0000-0000ED140000}"/>
    <cellStyle name="Calculation 5 5 2 2" xfId="14724" xr:uid="{00000000-0005-0000-0000-0000EE140000}"/>
    <cellStyle name="Calculation 5 5 2 2 2" xfId="20045" xr:uid="{00000000-0005-0000-0000-0000EF140000}"/>
    <cellStyle name="Calculation 5 5 2 2 3" xfId="24540" xr:uid="{00000000-0005-0000-0000-0000F0140000}"/>
    <cellStyle name="Calculation 5 5 2 2 4" xfId="23870" xr:uid="{00000000-0005-0000-0000-0000F1140000}"/>
    <cellStyle name="Calculation 5 5 2 3" xfId="14435" xr:uid="{00000000-0005-0000-0000-0000F2140000}"/>
    <cellStyle name="Calculation 5 5 2 3 2" xfId="19574" xr:uid="{00000000-0005-0000-0000-0000F3140000}"/>
    <cellStyle name="Calculation 5 5 2 4" xfId="15245" xr:uid="{00000000-0005-0000-0000-0000F4140000}"/>
    <cellStyle name="Calculation 5 5 2 4 2" xfId="20633" xr:uid="{00000000-0005-0000-0000-0000F5140000}"/>
    <cellStyle name="Calculation 5 5 2 5" xfId="16420" xr:uid="{00000000-0005-0000-0000-0000F6140000}"/>
    <cellStyle name="Calculation 5 5 2 5 2" xfId="22061" xr:uid="{00000000-0005-0000-0000-0000F7140000}"/>
    <cellStyle name="Calculation 5 5 2 6" xfId="16783" xr:uid="{00000000-0005-0000-0000-0000F8140000}"/>
    <cellStyle name="Calculation 5 5 2 6 2" xfId="22434" xr:uid="{00000000-0005-0000-0000-0000F9140000}"/>
    <cellStyle name="Calculation 5 5 2 7" xfId="17501" xr:uid="{00000000-0005-0000-0000-0000FA140000}"/>
    <cellStyle name="Calculation 5 5 2 7 2" xfId="23148" xr:uid="{00000000-0005-0000-0000-0000FB140000}"/>
    <cellStyle name="Calculation 5 5 2 8" xfId="13705" xr:uid="{00000000-0005-0000-0000-0000FC140000}"/>
    <cellStyle name="Calculation 5 5 2 8 2" xfId="18681" xr:uid="{00000000-0005-0000-0000-0000FD140000}"/>
    <cellStyle name="Calculation 5 5 2 9" xfId="13032" xr:uid="{00000000-0005-0000-0000-0000FE140000}"/>
    <cellStyle name="Calculation 5 5 3" xfId="10404" xr:uid="{00000000-0005-0000-0000-0000FF140000}"/>
    <cellStyle name="Calculation 5 5 3 2" xfId="19175" xr:uid="{00000000-0005-0000-0000-000000150000}"/>
    <cellStyle name="Calculation 5 5 3 3" xfId="24280" xr:uid="{00000000-0005-0000-0000-000001150000}"/>
    <cellStyle name="Calculation 5 5 3 4" xfId="23549" xr:uid="{00000000-0005-0000-0000-000002150000}"/>
    <cellStyle name="Calculation 5 5 4" xfId="14044" xr:uid="{00000000-0005-0000-0000-000003150000}"/>
    <cellStyle name="Calculation 5 5 4 2" xfId="19031" xr:uid="{00000000-0005-0000-0000-000004150000}"/>
    <cellStyle name="Calculation 5 5 5" xfId="15773" xr:uid="{00000000-0005-0000-0000-000005150000}"/>
    <cellStyle name="Calculation 5 5 5 2" xfId="21267" xr:uid="{00000000-0005-0000-0000-000006150000}"/>
    <cellStyle name="Calculation 5 5 6" xfId="15097" xr:uid="{00000000-0005-0000-0000-000007150000}"/>
    <cellStyle name="Calculation 5 5 6 2" xfId="20483" xr:uid="{00000000-0005-0000-0000-000008150000}"/>
    <cellStyle name="Calculation 5 5 7" xfId="15930" xr:uid="{00000000-0005-0000-0000-000009150000}"/>
    <cellStyle name="Calculation 5 5 7 2" xfId="21424" xr:uid="{00000000-0005-0000-0000-00000A150000}"/>
    <cellStyle name="Calculation 5 5 8" xfId="17124" xr:uid="{00000000-0005-0000-0000-00000B150000}"/>
    <cellStyle name="Calculation 5 5 8 2" xfId="22770" xr:uid="{00000000-0005-0000-0000-00000C150000}"/>
    <cellStyle name="Calculation 5 5 9" xfId="13383" xr:uid="{00000000-0005-0000-0000-00000D150000}"/>
    <cellStyle name="Calculation 5 5 9 2" xfId="18362" xr:uid="{00000000-0005-0000-0000-00000E150000}"/>
    <cellStyle name="Calculation 5 6" xfId="1466" xr:uid="{00000000-0005-0000-0000-00000F150000}"/>
    <cellStyle name="Calculation 5 6 10" xfId="12630" xr:uid="{00000000-0005-0000-0000-000010150000}"/>
    <cellStyle name="Calculation 5 6 11" xfId="12547" xr:uid="{00000000-0005-0000-0000-000011150000}"/>
    <cellStyle name="Calculation 5 6 2" xfId="3242" xr:uid="{00000000-0005-0000-0000-000012150000}"/>
    <cellStyle name="Calculation 5 6 2 10" xfId="18026" xr:uid="{00000000-0005-0000-0000-000013150000}"/>
    <cellStyle name="Calculation 5 6 2 2" xfId="14725" xr:uid="{00000000-0005-0000-0000-000014150000}"/>
    <cellStyle name="Calculation 5 6 2 2 2" xfId="20046" xr:uid="{00000000-0005-0000-0000-000015150000}"/>
    <cellStyle name="Calculation 5 6 2 2 3" xfId="24541" xr:uid="{00000000-0005-0000-0000-000016150000}"/>
    <cellStyle name="Calculation 5 6 2 2 4" xfId="23871" xr:uid="{00000000-0005-0000-0000-000017150000}"/>
    <cellStyle name="Calculation 5 6 2 3" xfId="14436" xr:uid="{00000000-0005-0000-0000-000018150000}"/>
    <cellStyle name="Calculation 5 6 2 3 2" xfId="19575" xr:uid="{00000000-0005-0000-0000-000019150000}"/>
    <cellStyle name="Calculation 5 6 2 4" xfId="15244" xr:uid="{00000000-0005-0000-0000-00001A150000}"/>
    <cellStyle name="Calculation 5 6 2 4 2" xfId="20632" xr:uid="{00000000-0005-0000-0000-00001B150000}"/>
    <cellStyle name="Calculation 5 6 2 5" xfId="16421" xr:uid="{00000000-0005-0000-0000-00001C150000}"/>
    <cellStyle name="Calculation 5 6 2 5 2" xfId="22062" xr:uid="{00000000-0005-0000-0000-00001D150000}"/>
    <cellStyle name="Calculation 5 6 2 6" xfId="16784" xr:uid="{00000000-0005-0000-0000-00001E150000}"/>
    <cellStyle name="Calculation 5 6 2 6 2" xfId="22435" xr:uid="{00000000-0005-0000-0000-00001F150000}"/>
    <cellStyle name="Calculation 5 6 2 7" xfId="17502" xr:uid="{00000000-0005-0000-0000-000020150000}"/>
    <cellStyle name="Calculation 5 6 2 7 2" xfId="23149" xr:uid="{00000000-0005-0000-0000-000021150000}"/>
    <cellStyle name="Calculation 5 6 2 8" xfId="13706" xr:uid="{00000000-0005-0000-0000-000022150000}"/>
    <cellStyle name="Calculation 5 6 2 8 2" xfId="18682" xr:uid="{00000000-0005-0000-0000-000023150000}"/>
    <cellStyle name="Calculation 5 6 2 9" xfId="13033" xr:uid="{00000000-0005-0000-0000-000024150000}"/>
    <cellStyle name="Calculation 5 6 3" xfId="10388" xr:uid="{00000000-0005-0000-0000-000025150000}"/>
    <cellStyle name="Calculation 5 6 3 2" xfId="19176" xr:uid="{00000000-0005-0000-0000-000026150000}"/>
    <cellStyle name="Calculation 5 6 3 3" xfId="24279" xr:uid="{00000000-0005-0000-0000-000027150000}"/>
    <cellStyle name="Calculation 5 6 3 4" xfId="23550" xr:uid="{00000000-0005-0000-0000-000028150000}"/>
    <cellStyle name="Calculation 5 6 4" xfId="14045" xr:uid="{00000000-0005-0000-0000-000029150000}"/>
    <cellStyle name="Calculation 5 6 4 2" xfId="19032" xr:uid="{00000000-0005-0000-0000-00002A150000}"/>
    <cellStyle name="Calculation 5 6 5" xfId="15772" xr:uid="{00000000-0005-0000-0000-00002B150000}"/>
    <cellStyle name="Calculation 5 6 5 2" xfId="21266" xr:uid="{00000000-0005-0000-0000-00002C150000}"/>
    <cellStyle name="Calculation 5 6 6" xfId="15098" xr:uid="{00000000-0005-0000-0000-00002D150000}"/>
    <cellStyle name="Calculation 5 6 6 2" xfId="20484" xr:uid="{00000000-0005-0000-0000-00002E150000}"/>
    <cellStyle name="Calculation 5 6 7" xfId="16101" xr:uid="{00000000-0005-0000-0000-00002F150000}"/>
    <cellStyle name="Calculation 5 6 7 2" xfId="21605" xr:uid="{00000000-0005-0000-0000-000030150000}"/>
    <cellStyle name="Calculation 5 6 8" xfId="17125" xr:uid="{00000000-0005-0000-0000-000031150000}"/>
    <cellStyle name="Calculation 5 6 8 2" xfId="22771" xr:uid="{00000000-0005-0000-0000-000032150000}"/>
    <cellStyle name="Calculation 5 6 9" xfId="13384" xr:uid="{00000000-0005-0000-0000-000033150000}"/>
    <cellStyle name="Calculation 5 6 9 2" xfId="18363" xr:uid="{00000000-0005-0000-0000-000034150000}"/>
    <cellStyle name="Calculation 5 7" xfId="1467" xr:uid="{00000000-0005-0000-0000-000035150000}"/>
    <cellStyle name="Calculation 5 7 10" xfId="12631" xr:uid="{00000000-0005-0000-0000-000036150000}"/>
    <cellStyle name="Calculation 5 7 11" xfId="12546" xr:uid="{00000000-0005-0000-0000-000037150000}"/>
    <cellStyle name="Calculation 5 7 2" xfId="3243" xr:uid="{00000000-0005-0000-0000-000038150000}"/>
    <cellStyle name="Calculation 5 7 2 10" xfId="18027" xr:uid="{00000000-0005-0000-0000-000039150000}"/>
    <cellStyle name="Calculation 5 7 2 2" xfId="14726" xr:uid="{00000000-0005-0000-0000-00003A150000}"/>
    <cellStyle name="Calculation 5 7 2 2 2" xfId="20047" xr:uid="{00000000-0005-0000-0000-00003B150000}"/>
    <cellStyle name="Calculation 5 7 2 2 3" xfId="24542" xr:uid="{00000000-0005-0000-0000-00003C150000}"/>
    <cellStyle name="Calculation 5 7 2 2 4" xfId="23872" xr:uid="{00000000-0005-0000-0000-00003D150000}"/>
    <cellStyle name="Calculation 5 7 2 3" xfId="14437" xr:uid="{00000000-0005-0000-0000-00003E150000}"/>
    <cellStyle name="Calculation 5 7 2 3 2" xfId="19576" xr:uid="{00000000-0005-0000-0000-00003F150000}"/>
    <cellStyle name="Calculation 5 7 2 4" xfId="15243" xr:uid="{00000000-0005-0000-0000-000040150000}"/>
    <cellStyle name="Calculation 5 7 2 4 2" xfId="20631" xr:uid="{00000000-0005-0000-0000-000041150000}"/>
    <cellStyle name="Calculation 5 7 2 5" xfId="16422" xr:uid="{00000000-0005-0000-0000-000042150000}"/>
    <cellStyle name="Calculation 5 7 2 5 2" xfId="22063" xr:uid="{00000000-0005-0000-0000-000043150000}"/>
    <cellStyle name="Calculation 5 7 2 6" xfId="16785" xr:uid="{00000000-0005-0000-0000-000044150000}"/>
    <cellStyle name="Calculation 5 7 2 6 2" xfId="22436" xr:uid="{00000000-0005-0000-0000-000045150000}"/>
    <cellStyle name="Calculation 5 7 2 7" xfId="17503" xr:uid="{00000000-0005-0000-0000-000046150000}"/>
    <cellStyle name="Calculation 5 7 2 7 2" xfId="23150" xr:uid="{00000000-0005-0000-0000-000047150000}"/>
    <cellStyle name="Calculation 5 7 2 8" xfId="13707" xr:uid="{00000000-0005-0000-0000-000048150000}"/>
    <cellStyle name="Calculation 5 7 2 8 2" xfId="18683" xr:uid="{00000000-0005-0000-0000-000049150000}"/>
    <cellStyle name="Calculation 5 7 2 9" xfId="13034" xr:uid="{00000000-0005-0000-0000-00004A150000}"/>
    <cellStyle name="Calculation 5 7 3" xfId="10506" xr:uid="{00000000-0005-0000-0000-00004B150000}"/>
    <cellStyle name="Calculation 5 7 3 2" xfId="19177" xr:uid="{00000000-0005-0000-0000-00004C150000}"/>
    <cellStyle name="Calculation 5 7 3 3" xfId="24278" xr:uid="{00000000-0005-0000-0000-00004D150000}"/>
    <cellStyle name="Calculation 5 7 3 4" xfId="23551" xr:uid="{00000000-0005-0000-0000-00004E150000}"/>
    <cellStyle name="Calculation 5 7 4" xfId="14046" xr:uid="{00000000-0005-0000-0000-00004F150000}"/>
    <cellStyle name="Calculation 5 7 4 2" xfId="19033" xr:uid="{00000000-0005-0000-0000-000050150000}"/>
    <cellStyle name="Calculation 5 7 5" xfId="15771" xr:uid="{00000000-0005-0000-0000-000051150000}"/>
    <cellStyle name="Calculation 5 7 5 2" xfId="21265" xr:uid="{00000000-0005-0000-0000-000052150000}"/>
    <cellStyle name="Calculation 5 7 6" xfId="15099" xr:uid="{00000000-0005-0000-0000-000053150000}"/>
    <cellStyle name="Calculation 5 7 6 2" xfId="20485" xr:uid="{00000000-0005-0000-0000-000054150000}"/>
    <cellStyle name="Calculation 5 7 7" xfId="15929" xr:uid="{00000000-0005-0000-0000-000055150000}"/>
    <cellStyle name="Calculation 5 7 7 2" xfId="21423" xr:uid="{00000000-0005-0000-0000-000056150000}"/>
    <cellStyle name="Calculation 5 7 8" xfId="17126" xr:uid="{00000000-0005-0000-0000-000057150000}"/>
    <cellStyle name="Calculation 5 7 8 2" xfId="22772" xr:uid="{00000000-0005-0000-0000-000058150000}"/>
    <cellStyle name="Calculation 5 7 9" xfId="13385" xr:uid="{00000000-0005-0000-0000-000059150000}"/>
    <cellStyle name="Calculation 5 7 9 2" xfId="18364" xr:uid="{00000000-0005-0000-0000-00005A150000}"/>
    <cellStyle name="Calculation 5 8" xfId="1468" xr:uid="{00000000-0005-0000-0000-00005B150000}"/>
    <cellStyle name="Calculation 5 8 10" xfId="12632" xr:uid="{00000000-0005-0000-0000-00005C150000}"/>
    <cellStyle name="Calculation 5 8 11" xfId="12545" xr:uid="{00000000-0005-0000-0000-00005D150000}"/>
    <cellStyle name="Calculation 5 8 2" xfId="3244" xr:uid="{00000000-0005-0000-0000-00005E150000}"/>
    <cellStyle name="Calculation 5 8 2 10" xfId="18028" xr:uid="{00000000-0005-0000-0000-00005F150000}"/>
    <cellStyle name="Calculation 5 8 2 2" xfId="14727" xr:uid="{00000000-0005-0000-0000-000060150000}"/>
    <cellStyle name="Calculation 5 8 2 2 2" xfId="20048" xr:uid="{00000000-0005-0000-0000-000061150000}"/>
    <cellStyle name="Calculation 5 8 2 2 3" xfId="24543" xr:uid="{00000000-0005-0000-0000-000062150000}"/>
    <cellStyle name="Calculation 5 8 2 2 4" xfId="23873" xr:uid="{00000000-0005-0000-0000-000063150000}"/>
    <cellStyle name="Calculation 5 8 2 3" xfId="14438" xr:uid="{00000000-0005-0000-0000-000064150000}"/>
    <cellStyle name="Calculation 5 8 2 3 2" xfId="19577" xr:uid="{00000000-0005-0000-0000-000065150000}"/>
    <cellStyle name="Calculation 5 8 2 4" xfId="15242" xr:uid="{00000000-0005-0000-0000-000066150000}"/>
    <cellStyle name="Calculation 5 8 2 4 2" xfId="20630" xr:uid="{00000000-0005-0000-0000-000067150000}"/>
    <cellStyle name="Calculation 5 8 2 5" xfId="16423" xr:uid="{00000000-0005-0000-0000-000068150000}"/>
    <cellStyle name="Calculation 5 8 2 5 2" xfId="22064" xr:uid="{00000000-0005-0000-0000-000069150000}"/>
    <cellStyle name="Calculation 5 8 2 6" xfId="16786" xr:uid="{00000000-0005-0000-0000-00006A150000}"/>
    <cellStyle name="Calculation 5 8 2 6 2" xfId="22437" xr:uid="{00000000-0005-0000-0000-00006B150000}"/>
    <cellStyle name="Calculation 5 8 2 7" xfId="17504" xr:uid="{00000000-0005-0000-0000-00006C150000}"/>
    <cellStyle name="Calculation 5 8 2 7 2" xfId="23151" xr:uid="{00000000-0005-0000-0000-00006D150000}"/>
    <cellStyle name="Calculation 5 8 2 8" xfId="13708" xr:uid="{00000000-0005-0000-0000-00006E150000}"/>
    <cellStyle name="Calculation 5 8 2 8 2" xfId="18684" xr:uid="{00000000-0005-0000-0000-00006F150000}"/>
    <cellStyle name="Calculation 5 8 2 9" xfId="13035" xr:uid="{00000000-0005-0000-0000-000070150000}"/>
    <cellStyle name="Calculation 5 8 3" xfId="10584" xr:uid="{00000000-0005-0000-0000-000071150000}"/>
    <cellStyle name="Calculation 5 8 3 2" xfId="19178" xr:uid="{00000000-0005-0000-0000-000072150000}"/>
    <cellStyle name="Calculation 5 8 3 3" xfId="24277" xr:uid="{00000000-0005-0000-0000-000073150000}"/>
    <cellStyle name="Calculation 5 8 3 4" xfId="23552" xr:uid="{00000000-0005-0000-0000-000074150000}"/>
    <cellStyle name="Calculation 5 8 4" xfId="14047" xr:uid="{00000000-0005-0000-0000-000075150000}"/>
    <cellStyle name="Calculation 5 8 4 2" xfId="19034" xr:uid="{00000000-0005-0000-0000-000076150000}"/>
    <cellStyle name="Calculation 5 8 5" xfId="15770" xr:uid="{00000000-0005-0000-0000-000077150000}"/>
    <cellStyle name="Calculation 5 8 5 2" xfId="21264" xr:uid="{00000000-0005-0000-0000-000078150000}"/>
    <cellStyle name="Calculation 5 8 6" xfId="15100" xr:uid="{00000000-0005-0000-0000-000079150000}"/>
    <cellStyle name="Calculation 5 8 6 2" xfId="20486" xr:uid="{00000000-0005-0000-0000-00007A150000}"/>
    <cellStyle name="Calculation 5 8 7" xfId="16100" xr:uid="{00000000-0005-0000-0000-00007B150000}"/>
    <cellStyle name="Calculation 5 8 7 2" xfId="21604" xr:uid="{00000000-0005-0000-0000-00007C150000}"/>
    <cellStyle name="Calculation 5 8 8" xfId="17127" xr:uid="{00000000-0005-0000-0000-00007D150000}"/>
    <cellStyle name="Calculation 5 8 8 2" xfId="22773" xr:uid="{00000000-0005-0000-0000-00007E150000}"/>
    <cellStyle name="Calculation 5 8 9" xfId="13386" xr:uid="{00000000-0005-0000-0000-00007F150000}"/>
    <cellStyle name="Calculation 5 8 9 2" xfId="18365" xr:uid="{00000000-0005-0000-0000-000080150000}"/>
    <cellStyle name="Calculation 5 9" xfId="1469" xr:uid="{00000000-0005-0000-0000-000081150000}"/>
    <cellStyle name="Calculation 5 9 10" xfId="12633" xr:uid="{00000000-0005-0000-0000-000082150000}"/>
    <cellStyle name="Calculation 5 9 11" xfId="12544" xr:uid="{00000000-0005-0000-0000-000083150000}"/>
    <cellStyle name="Calculation 5 9 2" xfId="3245" xr:uid="{00000000-0005-0000-0000-000084150000}"/>
    <cellStyle name="Calculation 5 9 2 10" xfId="18029" xr:uid="{00000000-0005-0000-0000-000085150000}"/>
    <cellStyle name="Calculation 5 9 2 2" xfId="14728" xr:uid="{00000000-0005-0000-0000-000086150000}"/>
    <cellStyle name="Calculation 5 9 2 2 2" xfId="20049" xr:uid="{00000000-0005-0000-0000-000087150000}"/>
    <cellStyle name="Calculation 5 9 2 2 3" xfId="24544" xr:uid="{00000000-0005-0000-0000-000088150000}"/>
    <cellStyle name="Calculation 5 9 2 2 4" xfId="23874" xr:uid="{00000000-0005-0000-0000-000089150000}"/>
    <cellStyle name="Calculation 5 9 2 3" xfId="14439" xr:uid="{00000000-0005-0000-0000-00008A150000}"/>
    <cellStyle name="Calculation 5 9 2 3 2" xfId="19578" xr:uid="{00000000-0005-0000-0000-00008B150000}"/>
    <cellStyle name="Calculation 5 9 2 4" xfId="15241" xr:uid="{00000000-0005-0000-0000-00008C150000}"/>
    <cellStyle name="Calculation 5 9 2 4 2" xfId="20629" xr:uid="{00000000-0005-0000-0000-00008D150000}"/>
    <cellStyle name="Calculation 5 9 2 5" xfId="16424" xr:uid="{00000000-0005-0000-0000-00008E150000}"/>
    <cellStyle name="Calculation 5 9 2 5 2" xfId="22065" xr:uid="{00000000-0005-0000-0000-00008F150000}"/>
    <cellStyle name="Calculation 5 9 2 6" xfId="16787" xr:uid="{00000000-0005-0000-0000-000090150000}"/>
    <cellStyle name="Calculation 5 9 2 6 2" xfId="22438" xr:uid="{00000000-0005-0000-0000-000091150000}"/>
    <cellStyle name="Calculation 5 9 2 7" xfId="17505" xr:uid="{00000000-0005-0000-0000-000092150000}"/>
    <cellStyle name="Calculation 5 9 2 7 2" xfId="23152" xr:uid="{00000000-0005-0000-0000-000093150000}"/>
    <cellStyle name="Calculation 5 9 2 8" xfId="13709" xr:uid="{00000000-0005-0000-0000-000094150000}"/>
    <cellStyle name="Calculation 5 9 2 8 2" xfId="18685" xr:uid="{00000000-0005-0000-0000-000095150000}"/>
    <cellStyle name="Calculation 5 9 2 9" xfId="13036" xr:uid="{00000000-0005-0000-0000-000096150000}"/>
    <cellStyle name="Calculation 5 9 3" xfId="10507" xr:uid="{00000000-0005-0000-0000-000097150000}"/>
    <cellStyle name="Calculation 5 9 3 2" xfId="19179" xr:uid="{00000000-0005-0000-0000-000098150000}"/>
    <cellStyle name="Calculation 5 9 3 3" xfId="24276" xr:uid="{00000000-0005-0000-0000-000099150000}"/>
    <cellStyle name="Calculation 5 9 3 4" xfId="23553" xr:uid="{00000000-0005-0000-0000-00009A150000}"/>
    <cellStyle name="Calculation 5 9 4" xfId="14048" xr:uid="{00000000-0005-0000-0000-00009B150000}"/>
    <cellStyle name="Calculation 5 9 4 2" xfId="19035" xr:uid="{00000000-0005-0000-0000-00009C150000}"/>
    <cellStyle name="Calculation 5 9 5" xfId="15769" xr:uid="{00000000-0005-0000-0000-00009D150000}"/>
    <cellStyle name="Calculation 5 9 5 2" xfId="21263" xr:uid="{00000000-0005-0000-0000-00009E150000}"/>
    <cellStyle name="Calculation 5 9 6" xfId="15101" xr:uid="{00000000-0005-0000-0000-00009F150000}"/>
    <cellStyle name="Calculation 5 9 6 2" xfId="20487" xr:uid="{00000000-0005-0000-0000-0000A0150000}"/>
    <cellStyle name="Calculation 5 9 7" xfId="15928" xr:uid="{00000000-0005-0000-0000-0000A1150000}"/>
    <cellStyle name="Calculation 5 9 7 2" xfId="21422" xr:uid="{00000000-0005-0000-0000-0000A2150000}"/>
    <cellStyle name="Calculation 5 9 8" xfId="17128" xr:uid="{00000000-0005-0000-0000-0000A3150000}"/>
    <cellStyle name="Calculation 5 9 8 2" xfId="22774" xr:uid="{00000000-0005-0000-0000-0000A4150000}"/>
    <cellStyle name="Calculation 5 9 9" xfId="13387" xr:uid="{00000000-0005-0000-0000-0000A5150000}"/>
    <cellStyle name="Calculation 5 9 9 2" xfId="18366" xr:uid="{00000000-0005-0000-0000-0000A6150000}"/>
    <cellStyle name="Calculation 6" xfId="1470" xr:uid="{00000000-0005-0000-0000-0000A7150000}"/>
    <cellStyle name="Calculation 6 10" xfId="1471" xr:uid="{00000000-0005-0000-0000-0000A8150000}"/>
    <cellStyle name="Calculation 6 10 10" xfId="12635" xr:uid="{00000000-0005-0000-0000-0000A9150000}"/>
    <cellStyle name="Calculation 6 10 11" xfId="12542" xr:uid="{00000000-0005-0000-0000-0000AA150000}"/>
    <cellStyle name="Calculation 6 10 2" xfId="3246" xr:uid="{00000000-0005-0000-0000-0000AB150000}"/>
    <cellStyle name="Calculation 6 10 2 10" xfId="18031" xr:uid="{00000000-0005-0000-0000-0000AC150000}"/>
    <cellStyle name="Calculation 6 10 2 2" xfId="14730" xr:uid="{00000000-0005-0000-0000-0000AD150000}"/>
    <cellStyle name="Calculation 6 10 2 2 2" xfId="20051" xr:uid="{00000000-0005-0000-0000-0000AE150000}"/>
    <cellStyle name="Calculation 6 10 2 2 3" xfId="24546" xr:uid="{00000000-0005-0000-0000-0000AF150000}"/>
    <cellStyle name="Calculation 6 10 2 2 4" xfId="23876" xr:uid="{00000000-0005-0000-0000-0000B0150000}"/>
    <cellStyle name="Calculation 6 10 2 3" xfId="14441" xr:uid="{00000000-0005-0000-0000-0000B1150000}"/>
    <cellStyle name="Calculation 6 10 2 3 2" xfId="19580" xr:uid="{00000000-0005-0000-0000-0000B2150000}"/>
    <cellStyle name="Calculation 6 10 2 4" xfId="15239" xr:uid="{00000000-0005-0000-0000-0000B3150000}"/>
    <cellStyle name="Calculation 6 10 2 4 2" xfId="20627" xr:uid="{00000000-0005-0000-0000-0000B4150000}"/>
    <cellStyle name="Calculation 6 10 2 5" xfId="16426" xr:uid="{00000000-0005-0000-0000-0000B5150000}"/>
    <cellStyle name="Calculation 6 10 2 5 2" xfId="22067" xr:uid="{00000000-0005-0000-0000-0000B6150000}"/>
    <cellStyle name="Calculation 6 10 2 6" xfId="16789" xr:uid="{00000000-0005-0000-0000-0000B7150000}"/>
    <cellStyle name="Calculation 6 10 2 6 2" xfId="22440" xr:uid="{00000000-0005-0000-0000-0000B8150000}"/>
    <cellStyle name="Calculation 6 10 2 7" xfId="17507" xr:uid="{00000000-0005-0000-0000-0000B9150000}"/>
    <cellStyle name="Calculation 6 10 2 7 2" xfId="23154" xr:uid="{00000000-0005-0000-0000-0000BA150000}"/>
    <cellStyle name="Calculation 6 10 2 8" xfId="13711" xr:uid="{00000000-0005-0000-0000-0000BB150000}"/>
    <cellStyle name="Calculation 6 10 2 8 2" xfId="18687" xr:uid="{00000000-0005-0000-0000-0000BC150000}"/>
    <cellStyle name="Calculation 6 10 2 9" xfId="13038" xr:uid="{00000000-0005-0000-0000-0000BD150000}"/>
    <cellStyle name="Calculation 6 10 3" xfId="10387" xr:uid="{00000000-0005-0000-0000-0000BE150000}"/>
    <cellStyle name="Calculation 6 10 3 2" xfId="19181" xr:uid="{00000000-0005-0000-0000-0000BF150000}"/>
    <cellStyle name="Calculation 6 10 3 3" xfId="24274" xr:uid="{00000000-0005-0000-0000-0000C0150000}"/>
    <cellStyle name="Calculation 6 10 3 4" xfId="23555" xr:uid="{00000000-0005-0000-0000-0000C1150000}"/>
    <cellStyle name="Calculation 6 10 4" xfId="14050" xr:uid="{00000000-0005-0000-0000-0000C2150000}"/>
    <cellStyle name="Calculation 6 10 4 2" xfId="19037" xr:uid="{00000000-0005-0000-0000-0000C3150000}"/>
    <cellStyle name="Calculation 6 10 5" xfId="15767" xr:uid="{00000000-0005-0000-0000-0000C4150000}"/>
    <cellStyle name="Calculation 6 10 5 2" xfId="21261" xr:uid="{00000000-0005-0000-0000-0000C5150000}"/>
    <cellStyle name="Calculation 6 10 6" xfId="15103" xr:uid="{00000000-0005-0000-0000-0000C6150000}"/>
    <cellStyle name="Calculation 6 10 6 2" xfId="20489" xr:uid="{00000000-0005-0000-0000-0000C7150000}"/>
    <cellStyle name="Calculation 6 10 7" xfId="15927" xr:uid="{00000000-0005-0000-0000-0000C8150000}"/>
    <cellStyle name="Calculation 6 10 7 2" xfId="21421" xr:uid="{00000000-0005-0000-0000-0000C9150000}"/>
    <cellStyle name="Calculation 6 10 8" xfId="17130" xr:uid="{00000000-0005-0000-0000-0000CA150000}"/>
    <cellStyle name="Calculation 6 10 8 2" xfId="22776" xr:uid="{00000000-0005-0000-0000-0000CB150000}"/>
    <cellStyle name="Calculation 6 10 9" xfId="13389" xr:uid="{00000000-0005-0000-0000-0000CC150000}"/>
    <cellStyle name="Calculation 6 10 9 2" xfId="18368" xr:uid="{00000000-0005-0000-0000-0000CD150000}"/>
    <cellStyle name="Calculation 6 11" xfId="1472" xr:uid="{00000000-0005-0000-0000-0000CE150000}"/>
    <cellStyle name="Calculation 6 11 10" xfId="12636" xr:uid="{00000000-0005-0000-0000-0000CF150000}"/>
    <cellStyle name="Calculation 6 11 11" xfId="12541" xr:uid="{00000000-0005-0000-0000-0000D0150000}"/>
    <cellStyle name="Calculation 6 11 2" xfId="3247" xr:uid="{00000000-0005-0000-0000-0000D1150000}"/>
    <cellStyle name="Calculation 6 11 2 10" xfId="18032" xr:uid="{00000000-0005-0000-0000-0000D2150000}"/>
    <cellStyle name="Calculation 6 11 2 2" xfId="14731" xr:uid="{00000000-0005-0000-0000-0000D3150000}"/>
    <cellStyle name="Calculation 6 11 2 2 2" xfId="20052" xr:uid="{00000000-0005-0000-0000-0000D4150000}"/>
    <cellStyle name="Calculation 6 11 2 2 3" xfId="24547" xr:uid="{00000000-0005-0000-0000-0000D5150000}"/>
    <cellStyle name="Calculation 6 11 2 2 4" xfId="23877" xr:uid="{00000000-0005-0000-0000-0000D6150000}"/>
    <cellStyle name="Calculation 6 11 2 3" xfId="14442" xr:uid="{00000000-0005-0000-0000-0000D7150000}"/>
    <cellStyle name="Calculation 6 11 2 3 2" xfId="19581" xr:uid="{00000000-0005-0000-0000-0000D8150000}"/>
    <cellStyle name="Calculation 6 11 2 4" xfId="15238" xr:uid="{00000000-0005-0000-0000-0000D9150000}"/>
    <cellStyle name="Calculation 6 11 2 4 2" xfId="20626" xr:uid="{00000000-0005-0000-0000-0000DA150000}"/>
    <cellStyle name="Calculation 6 11 2 5" xfId="16427" xr:uid="{00000000-0005-0000-0000-0000DB150000}"/>
    <cellStyle name="Calculation 6 11 2 5 2" xfId="22068" xr:uid="{00000000-0005-0000-0000-0000DC150000}"/>
    <cellStyle name="Calculation 6 11 2 6" xfId="16790" xr:uid="{00000000-0005-0000-0000-0000DD150000}"/>
    <cellStyle name="Calculation 6 11 2 6 2" xfId="22441" xr:uid="{00000000-0005-0000-0000-0000DE150000}"/>
    <cellStyle name="Calculation 6 11 2 7" xfId="17508" xr:uid="{00000000-0005-0000-0000-0000DF150000}"/>
    <cellStyle name="Calculation 6 11 2 7 2" xfId="23155" xr:uid="{00000000-0005-0000-0000-0000E0150000}"/>
    <cellStyle name="Calculation 6 11 2 8" xfId="13712" xr:uid="{00000000-0005-0000-0000-0000E1150000}"/>
    <cellStyle name="Calculation 6 11 2 8 2" xfId="18688" xr:uid="{00000000-0005-0000-0000-0000E2150000}"/>
    <cellStyle name="Calculation 6 11 2 9" xfId="13039" xr:uid="{00000000-0005-0000-0000-0000E3150000}"/>
    <cellStyle name="Calculation 6 11 3" xfId="10504" xr:uid="{00000000-0005-0000-0000-0000E4150000}"/>
    <cellStyle name="Calculation 6 11 3 2" xfId="19182" xr:uid="{00000000-0005-0000-0000-0000E5150000}"/>
    <cellStyle name="Calculation 6 11 3 3" xfId="24273" xr:uid="{00000000-0005-0000-0000-0000E6150000}"/>
    <cellStyle name="Calculation 6 11 3 4" xfId="23556" xr:uid="{00000000-0005-0000-0000-0000E7150000}"/>
    <cellStyle name="Calculation 6 11 4" xfId="14051" xr:uid="{00000000-0005-0000-0000-0000E8150000}"/>
    <cellStyle name="Calculation 6 11 4 2" xfId="19038" xr:uid="{00000000-0005-0000-0000-0000E9150000}"/>
    <cellStyle name="Calculation 6 11 5" xfId="15766" xr:uid="{00000000-0005-0000-0000-0000EA150000}"/>
    <cellStyle name="Calculation 6 11 5 2" xfId="21260" xr:uid="{00000000-0005-0000-0000-0000EB150000}"/>
    <cellStyle name="Calculation 6 11 6" xfId="16070" xr:uid="{00000000-0005-0000-0000-0000EC150000}"/>
    <cellStyle name="Calculation 6 11 6 2" xfId="21577" xr:uid="{00000000-0005-0000-0000-0000ED150000}"/>
    <cellStyle name="Calculation 6 11 7" xfId="16096" xr:uid="{00000000-0005-0000-0000-0000EE150000}"/>
    <cellStyle name="Calculation 6 11 7 2" xfId="21600" xr:uid="{00000000-0005-0000-0000-0000EF150000}"/>
    <cellStyle name="Calculation 6 11 8" xfId="17131" xr:uid="{00000000-0005-0000-0000-0000F0150000}"/>
    <cellStyle name="Calculation 6 11 8 2" xfId="22777" xr:uid="{00000000-0005-0000-0000-0000F1150000}"/>
    <cellStyle name="Calculation 6 11 9" xfId="13390" xr:uid="{00000000-0005-0000-0000-0000F2150000}"/>
    <cellStyle name="Calculation 6 11 9 2" xfId="18369" xr:uid="{00000000-0005-0000-0000-0000F3150000}"/>
    <cellStyle name="Calculation 6 12" xfId="3248" xr:uid="{00000000-0005-0000-0000-0000F4150000}"/>
    <cellStyle name="Calculation 6 12 10" xfId="18030" xr:uid="{00000000-0005-0000-0000-0000F5150000}"/>
    <cellStyle name="Calculation 6 12 2" xfId="14729" xr:uid="{00000000-0005-0000-0000-0000F6150000}"/>
    <cellStyle name="Calculation 6 12 2 2" xfId="20050" xr:uid="{00000000-0005-0000-0000-0000F7150000}"/>
    <cellStyle name="Calculation 6 12 2 3" xfId="24545" xr:uid="{00000000-0005-0000-0000-0000F8150000}"/>
    <cellStyle name="Calculation 6 12 2 4" xfId="23875" xr:uid="{00000000-0005-0000-0000-0000F9150000}"/>
    <cellStyle name="Calculation 6 12 3" xfId="14440" xr:uid="{00000000-0005-0000-0000-0000FA150000}"/>
    <cellStyle name="Calculation 6 12 3 2" xfId="19579" xr:uid="{00000000-0005-0000-0000-0000FB150000}"/>
    <cellStyle name="Calculation 6 12 4" xfId="15240" xr:uid="{00000000-0005-0000-0000-0000FC150000}"/>
    <cellStyle name="Calculation 6 12 4 2" xfId="20628" xr:uid="{00000000-0005-0000-0000-0000FD150000}"/>
    <cellStyle name="Calculation 6 12 5" xfId="16425" xr:uid="{00000000-0005-0000-0000-0000FE150000}"/>
    <cellStyle name="Calculation 6 12 5 2" xfId="22066" xr:uid="{00000000-0005-0000-0000-0000FF150000}"/>
    <cellStyle name="Calculation 6 12 6" xfId="16788" xr:uid="{00000000-0005-0000-0000-000000160000}"/>
    <cellStyle name="Calculation 6 12 6 2" xfId="22439" xr:uid="{00000000-0005-0000-0000-000001160000}"/>
    <cellStyle name="Calculation 6 12 7" xfId="17506" xr:uid="{00000000-0005-0000-0000-000002160000}"/>
    <cellStyle name="Calculation 6 12 7 2" xfId="23153" xr:uid="{00000000-0005-0000-0000-000003160000}"/>
    <cellStyle name="Calculation 6 12 8" xfId="13710" xr:uid="{00000000-0005-0000-0000-000004160000}"/>
    <cellStyle name="Calculation 6 12 8 2" xfId="18686" xr:uid="{00000000-0005-0000-0000-000005160000}"/>
    <cellStyle name="Calculation 6 12 9" xfId="13037" xr:uid="{00000000-0005-0000-0000-000006160000}"/>
    <cellStyle name="Calculation 6 13" xfId="10403" xr:uid="{00000000-0005-0000-0000-000007160000}"/>
    <cellStyle name="Calculation 6 13 2" xfId="19180" xr:uid="{00000000-0005-0000-0000-000008160000}"/>
    <cellStyle name="Calculation 6 13 3" xfId="24275" xr:uid="{00000000-0005-0000-0000-000009160000}"/>
    <cellStyle name="Calculation 6 13 4" xfId="23554" xr:uid="{00000000-0005-0000-0000-00000A160000}"/>
    <cellStyle name="Calculation 6 14" xfId="14049" xr:uid="{00000000-0005-0000-0000-00000B160000}"/>
    <cellStyle name="Calculation 6 14 2" xfId="19036" xr:uid="{00000000-0005-0000-0000-00000C160000}"/>
    <cellStyle name="Calculation 6 15" xfId="15768" xr:uid="{00000000-0005-0000-0000-00000D160000}"/>
    <cellStyle name="Calculation 6 15 2" xfId="21262" xr:uid="{00000000-0005-0000-0000-00000E160000}"/>
    <cellStyle name="Calculation 6 16" xfId="15102" xr:uid="{00000000-0005-0000-0000-00000F160000}"/>
    <cellStyle name="Calculation 6 16 2" xfId="20488" xr:uid="{00000000-0005-0000-0000-000010160000}"/>
    <cellStyle name="Calculation 6 17" xfId="16099" xr:uid="{00000000-0005-0000-0000-000011160000}"/>
    <cellStyle name="Calculation 6 17 2" xfId="21603" xr:uid="{00000000-0005-0000-0000-000012160000}"/>
    <cellStyle name="Calculation 6 18" xfId="17129" xr:uid="{00000000-0005-0000-0000-000013160000}"/>
    <cellStyle name="Calculation 6 18 2" xfId="22775" xr:uid="{00000000-0005-0000-0000-000014160000}"/>
    <cellStyle name="Calculation 6 19" xfId="13388" xr:uid="{00000000-0005-0000-0000-000015160000}"/>
    <cellStyle name="Calculation 6 19 2" xfId="18367" xr:uid="{00000000-0005-0000-0000-000016160000}"/>
    <cellStyle name="Calculation 6 2" xfId="1473" xr:uid="{00000000-0005-0000-0000-000017160000}"/>
    <cellStyle name="Calculation 6 2 10" xfId="12637" xr:uid="{00000000-0005-0000-0000-000018160000}"/>
    <cellStyle name="Calculation 6 2 11" xfId="12540" xr:uid="{00000000-0005-0000-0000-000019160000}"/>
    <cellStyle name="Calculation 6 2 2" xfId="3249" xr:uid="{00000000-0005-0000-0000-00001A160000}"/>
    <cellStyle name="Calculation 6 2 2 10" xfId="18033" xr:uid="{00000000-0005-0000-0000-00001B160000}"/>
    <cellStyle name="Calculation 6 2 2 2" xfId="14732" xr:uid="{00000000-0005-0000-0000-00001C160000}"/>
    <cellStyle name="Calculation 6 2 2 2 2" xfId="20053" xr:uid="{00000000-0005-0000-0000-00001D160000}"/>
    <cellStyle name="Calculation 6 2 2 2 3" xfId="24548" xr:uid="{00000000-0005-0000-0000-00001E160000}"/>
    <cellStyle name="Calculation 6 2 2 2 4" xfId="23878" xr:uid="{00000000-0005-0000-0000-00001F160000}"/>
    <cellStyle name="Calculation 6 2 2 3" xfId="14443" xr:uid="{00000000-0005-0000-0000-000020160000}"/>
    <cellStyle name="Calculation 6 2 2 3 2" xfId="19582" xr:uid="{00000000-0005-0000-0000-000021160000}"/>
    <cellStyle name="Calculation 6 2 2 4" xfId="15237" xr:uid="{00000000-0005-0000-0000-000022160000}"/>
    <cellStyle name="Calculation 6 2 2 4 2" xfId="20625" xr:uid="{00000000-0005-0000-0000-000023160000}"/>
    <cellStyle name="Calculation 6 2 2 5" xfId="16428" xr:uid="{00000000-0005-0000-0000-000024160000}"/>
    <cellStyle name="Calculation 6 2 2 5 2" xfId="22069" xr:uid="{00000000-0005-0000-0000-000025160000}"/>
    <cellStyle name="Calculation 6 2 2 6" xfId="16791" xr:uid="{00000000-0005-0000-0000-000026160000}"/>
    <cellStyle name="Calculation 6 2 2 6 2" xfId="22442" xr:uid="{00000000-0005-0000-0000-000027160000}"/>
    <cellStyle name="Calculation 6 2 2 7" xfId="17509" xr:uid="{00000000-0005-0000-0000-000028160000}"/>
    <cellStyle name="Calculation 6 2 2 7 2" xfId="23156" xr:uid="{00000000-0005-0000-0000-000029160000}"/>
    <cellStyle name="Calculation 6 2 2 8" xfId="13713" xr:uid="{00000000-0005-0000-0000-00002A160000}"/>
    <cellStyle name="Calculation 6 2 2 8 2" xfId="18689" xr:uid="{00000000-0005-0000-0000-00002B160000}"/>
    <cellStyle name="Calculation 6 2 2 9" xfId="13040" xr:uid="{00000000-0005-0000-0000-00002C160000}"/>
    <cellStyle name="Calculation 6 2 3" xfId="10583" xr:uid="{00000000-0005-0000-0000-00002D160000}"/>
    <cellStyle name="Calculation 6 2 3 2" xfId="19183" xr:uid="{00000000-0005-0000-0000-00002E160000}"/>
    <cellStyle name="Calculation 6 2 3 3" xfId="24272" xr:uid="{00000000-0005-0000-0000-00002F160000}"/>
    <cellStyle name="Calculation 6 2 3 4" xfId="23557" xr:uid="{00000000-0005-0000-0000-000030160000}"/>
    <cellStyle name="Calculation 6 2 4" xfId="14052" xr:uid="{00000000-0005-0000-0000-000031160000}"/>
    <cellStyle name="Calculation 6 2 4 2" xfId="19039" xr:uid="{00000000-0005-0000-0000-000032160000}"/>
    <cellStyle name="Calculation 6 2 5" xfId="15765" xr:uid="{00000000-0005-0000-0000-000033160000}"/>
    <cellStyle name="Calculation 6 2 5 2" xfId="21259" xr:uid="{00000000-0005-0000-0000-000034160000}"/>
    <cellStyle name="Calculation 6 2 6" xfId="15970" xr:uid="{00000000-0005-0000-0000-000035160000}"/>
    <cellStyle name="Calculation 6 2 6 2" xfId="21464" xr:uid="{00000000-0005-0000-0000-000036160000}"/>
    <cellStyle name="Calculation 6 2 7" xfId="16098" xr:uid="{00000000-0005-0000-0000-000037160000}"/>
    <cellStyle name="Calculation 6 2 7 2" xfId="21602" xr:uid="{00000000-0005-0000-0000-000038160000}"/>
    <cellStyle name="Calculation 6 2 8" xfId="17132" xr:uid="{00000000-0005-0000-0000-000039160000}"/>
    <cellStyle name="Calculation 6 2 8 2" xfId="22778" xr:uid="{00000000-0005-0000-0000-00003A160000}"/>
    <cellStyle name="Calculation 6 2 9" xfId="13391" xr:uid="{00000000-0005-0000-0000-00003B160000}"/>
    <cellStyle name="Calculation 6 2 9 2" xfId="18370" xr:uid="{00000000-0005-0000-0000-00003C160000}"/>
    <cellStyle name="Calculation 6 20" xfId="12634" xr:uid="{00000000-0005-0000-0000-00003D160000}"/>
    <cellStyle name="Calculation 6 21" xfId="12543" xr:uid="{00000000-0005-0000-0000-00003E160000}"/>
    <cellStyle name="Calculation 6 3" xfId="1474" xr:uid="{00000000-0005-0000-0000-00003F160000}"/>
    <cellStyle name="Calculation 6 3 10" xfId="12638" xr:uid="{00000000-0005-0000-0000-000040160000}"/>
    <cellStyle name="Calculation 6 3 11" xfId="12539" xr:uid="{00000000-0005-0000-0000-000041160000}"/>
    <cellStyle name="Calculation 6 3 2" xfId="3250" xr:uid="{00000000-0005-0000-0000-000042160000}"/>
    <cellStyle name="Calculation 6 3 2 10" xfId="18034" xr:uid="{00000000-0005-0000-0000-000043160000}"/>
    <cellStyle name="Calculation 6 3 2 2" xfId="14733" xr:uid="{00000000-0005-0000-0000-000044160000}"/>
    <cellStyle name="Calculation 6 3 2 2 2" xfId="20054" xr:uid="{00000000-0005-0000-0000-000045160000}"/>
    <cellStyle name="Calculation 6 3 2 2 3" xfId="24549" xr:uid="{00000000-0005-0000-0000-000046160000}"/>
    <cellStyle name="Calculation 6 3 2 2 4" xfId="23879" xr:uid="{00000000-0005-0000-0000-000047160000}"/>
    <cellStyle name="Calculation 6 3 2 3" xfId="14444" xr:uid="{00000000-0005-0000-0000-000048160000}"/>
    <cellStyle name="Calculation 6 3 2 3 2" xfId="19583" xr:uid="{00000000-0005-0000-0000-000049160000}"/>
    <cellStyle name="Calculation 6 3 2 4" xfId="15236" xr:uid="{00000000-0005-0000-0000-00004A160000}"/>
    <cellStyle name="Calculation 6 3 2 4 2" xfId="20624" xr:uid="{00000000-0005-0000-0000-00004B160000}"/>
    <cellStyle name="Calculation 6 3 2 5" xfId="16429" xr:uid="{00000000-0005-0000-0000-00004C160000}"/>
    <cellStyle name="Calculation 6 3 2 5 2" xfId="22070" xr:uid="{00000000-0005-0000-0000-00004D160000}"/>
    <cellStyle name="Calculation 6 3 2 6" xfId="16792" xr:uid="{00000000-0005-0000-0000-00004E160000}"/>
    <cellStyle name="Calculation 6 3 2 6 2" xfId="22443" xr:uid="{00000000-0005-0000-0000-00004F160000}"/>
    <cellStyle name="Calculation 6 3 2 7" xfId="17510" xr:uid="{00000000-0005-0000-0000-000050160000}"/>
    <cellStyle name="Calculation 6 3 2 7 2" xfId="23157" xr:uid="{00000000-0005-0000-0000-000051160000}"/>
    <cellStyle name="Calculation 6 3 2 8" xfId="13714" xr:uid="{00000000-0005-0000-0000-000052160000}"/>
    <cellStyle name="Calculation 6 3 2 8 2" xfId="18690" xr:uid="{00000000-0005-0000-0000-000053160000}"/>
    <cellStyle name="Calculation 6 3 2 9" xfId="13041" xr:uid="{00000000-0005-0000-0000-000054160000}"/>
    <cellStyle name="Calculation 6 3 3" xfId="10505" xr:uid="{00000000-0005-0000-0000-000055160000}"/>
    <cellStyle name="Calculation 6 3 3 2" xfId="19184" xr:uid="{00000000-0005-0000-0000-000056160000}"/>
    <cellStyle name="Calculation 6 3 3 3" xfId="24271" xr:uid="{00000000-0005-0000-0000-000057160000}"/>
    <cellStyle name="Calculation 6 3 3 4" xfId="23558" xr:uid="{00000000-0005-0000-0000-000058160000}"/>
    <cellStyle name="Calculation 6 3 4" xfId="14053" xr:uid="{00000000-0005-0000-0000-000059160000}"/>
    <cellStyle name="Calculation 6 3 4 2" xfId="19040" xr:uid="{00000000-0005-0000-0000-00005A160000}"/>
    <cellStyle name="Calculation 6 3 5" xfId="15764" xr:uid="{00000000-0005-0000-0000-00005B160000}"/>
    <cellStyle name="Calculation 6 3 5 2" xfId="21258" xr:uid="{00000000-0005-0000-0000-00005C160000}"/>
    <cellStyle name="Calculation 6 3 6" xfId="15971" xr:uid="{00000000-0005-0000-0000-00005D160000}"/>
    <cellStyle name="Calculation 6 3 6 2" xfId="21465" xr:uid="{00000000-0005-0000-0000-00005E160000}"/>
    <cellStyle name="Calculation 6 3 7" xfId="15926" xr:uid="{00000000-0005-0000-0000-00005F160000}"/>
    <cellStyle name="Calculation 6 3 7 2" xfId="21420" xr:uid="{00000000-0005-0000-0000-000060160000}"/>
    <cellStyle name="Calculation 6 3 8" xfId="17133" xr:uid="{00000000-0005-0000-0000-000061160000}"/>
    <cellStyle name="Calculation 6 3 8 2" xfId="22779" xr:uid="{00000000-0005-0000-0000-000062160000}"/>
    <cellStyle name="Calculation 6 3 9" xfId="13392" xr:uid="{00000000-0005-0000-0000-000063160000}"/>
    <cellStyle name="Calculation 6 3 9 2" xfId="18371" xr:uid="{00000000-0005-0000-0000-000064160000}"/>
    <cellStyle name="Calculation 6 4" xfId="1475" xr:uid="{00000000-0005-0000-0000-000065160000}"/>
    <cellStyle name="Calculation 6 4 10" xfId="12639" xr:uid="{00000000-0005-0000-0000-000066160000}"/>
    <cellStyle name="Calculation 6 4 11" xfId="12538" xr:uid="{00000000-0005-0000-0000-000067160000}"/>
    <cellStyle name="Calculation 6 4 2" xfId="3251" xr:uid="{00000000-0005-0000-0000-000068160000}"/>
    <cellStyle name="Calculation 6 4 2 10" xfId="18035" xr:uid="{00000000-0005-0000-0000-000069160000}"/>
    <cellStyle name="Calculation 6 4 2 2" xfId="14734" xr:uid="{00000000-0005-0000-0000-00006A160000}"/>
    <cellStyle name="Calculation 6 4 2 2 2" xfId="20055" xr:uid="{00000000-0005-0000-0000-00006B160000}"/>
    <cellStyle name="Calculation 6 4 2 2 3" xfId="24550" xr:uid="{00000000-0005-0000-0000-00006C160000}"/>
    <cellStyle name="Calculation 6 4 2 2 4" xfId="23880" xr:uid="{00000000-0005-0000-0000-00006D160000}"/>
    <cellStyle name="Calculation 6 4 2 3" xfId="14445" xr:uid="{00000000-0005-0000-0000-00006E160000}"/>
    <cellStyle name="Calculation 6 4 2 3 2" xfId="19584" xr:uid="{00000000-0005-0000-0000-00006F160000}"/>
    <cellStyle name="Calculation 6 4 2 4" xfId="15235" xr:uid="{00000000-0005-0000-0000-000070160000}"/>
    <cellStyle name="Calculation 6 4 2 4 2" xfId="20623" xr:uid="{00000000-0005-0000-0000-000071160000}"/>
    <cellStyle name="Calculation 6 4 2 5" xfId="16430" xr:uid="{00000000-0005-0000-0000-000072160000}"/>
    <cellStyle name="Calculation 6 4 2 5 2" xfId="22071" xr:uid="{00000000-0005-0000-0000-000073160000}"/>
    <cellStyle name="Calculation 6 4 2 6" xfId="16793" xr:uid="{00000000-0005-0000-0000-000074160000}"/>
    <cellStyle name="Calculation 6 4 2 6 2" xfId="22444" xr:uid="{00000000-0005-0000-0000-000075160000}"/>
    <cellStyle name="Calculation 6 4 2 7" xfId="17511" xr:uid="{00000000-0005-0000-0000-000076160000}"/>
    <cellStyle name="Calculation 6 4 2 7 2" xfId="23158" xr:uid="{00000000-0005-0000-0000-000077160000}"/>
    <cellStyle name="Calculation 6 4 2 8" xfId="13715" xr:uid="{00000000-0005-0000-0000-000078160000}"/>
    <cellStyle name="Calculation 6 4 2 8 2" xfId="18691" xr:uid="{00000000-0005-0000-0000-000079160000}"/>
    <cellStyle name="Calculation 6 4 2 9" xfId="13042" xr:uid="{00000000-0005-0000-0000-00007A160000}"/>
    <cellStyle name="Calculation 6 4 3" xfId="10402" xr:uid="{00000000-0005-0000-0000-00007B160000}"/>
    <cellStyle name="Calculation 6 4 3 2" xfId="19185" xr:uid="{00000000-0005-0000-0000-00007C160000}"/>
    <cellStyle name="Calculation 6 4 3 3" xfId="24270" xr:uid="{00000000-0005-0000-0000-00007D160000}"/>
    <cellStyle name="Calculation 6 4 3 4" xfId="23559" xr:uid="{00000000-0005-0000-0000-00007E160000}"/>
    <cellStyle name="Calculation 6 4 4" xfId="14054" xr:uid="{00000000-0005-0000-0000-00007F160000}"/>
    <cellStyle name="Calculation 6 4 4 2" xfId="19041" xr:uid="{00000000-0005-0000-0000-000080160000}"/>
    <cellStyle name="Calculation 6 4 5" xfId="15763" xr:uid="{00000000-0005-0000-0000-000081160000}"/>
    <cellStyle name="Calculation 6 4 5 2" xfId="21257" xr:uid="{00000000-0005-0000-0000-000082160000}"/>
    <cellStyle name="Calculation 6 4 6" xfId="15972" xr:uid="{00000000-0005-0000-0000-000083160000}"/>
    <cellStyle name="Calculation 6 4 6 2" xfId="21466" xr:uid="{00000000-0005-0000-0000-000084160000}"/>
    <cellStyle name="Calculation 6 4 7" xfId="16097" xr:uid="{00000000-0005-0000-0000-000085160000}"/>
    <cellStyle name="Calculation 6 4 7 2" xfId="21601" xr:uid="{00000000-0005-0000-0000-000086160000}"/>
    <cellStyle name="Calculation 6 4 8" xfId="17134" xr:uid="{00000000-0005-0000-0000-000087160000}"/>
    <cellStyle name="Calculation 6 4 8 2" xfId="22780" xr:uid="{00000000-0005-0000-0000-000088160000}"/>
    <cellStyle name="Calculation 6 4 9" xfId="13393" xr:uid="{00000000-0005-0000-0000-000089160000}"/>
    <cellStyle name="Calculation 6 4 9 2" xfId="18372" xr:uid="{00000000-0005-0000-0000-00008A160000}"/>
    <cellStyle name="Calculation 6 5" xfId="1476" xr:uid="{00000000-0005-0000-0000-00008B160000}"/>
    <cellStyle name="Calculation 6 5 10" xfId="12640" xr:uid="{00000000-0005-0000-0000-00008C160000}"/>
    <cellStyle name="Calculation 6 5 11" xfId="12537" xr:uid="{00000000-0005-0000-0000-00008D160000}"/>
    <cellStyle name="Calculation 6 5 2" xfId="3252" xr:uid="{00000000-0005-0000-0000-00008E160000}"/>
    <cellStyle name="Calculation 6 5 2 10" xfId="18036" xr:uid="{00000000-0005-0000-0000-00008F160000}"/>
    <cellStyle name="Calculation 6 5 2 2" xfId="14735" xr:uid="{00000000-0005-0000-0000-000090160000}"/>
    <cellStyle name="Calculation 6 5 2 2 2" xfId="20056" xr:uid="{00000000-0005-0000-0000-000091160000}"/>
    <cellStyle name="Calculation 6 5 2 2 3" xfId="24551" xr:uid="{00000000-0005-0000-0000-000092160000}"/>
    <cellStyle name="Calculation 6 5 2 2 4" xfId="23881" xr:uid="{00000000-0005-0000-0000-000093160000}"/>
    <cellStyle name="Calculation 6 5 2 3" xfId="14446" xr:uid="{00000000-0005-0000-0000-000094160000}"/>
    <cellStyle name="Calculation 6 5 2 3 2" xfId="19585" xr:uid="{00000000-0005-0000-0000-000095160000}"/>
    <cellStyle name="Calculation 6 5 2 4" xfId="15234" xr:uid="{00000000-0005-0000-0000-000096160000}"/>
    <cellStyle name="Calculation 6 5 2 4 2" xfId="20622" xr:uid="{00000000-0005-0000-0000-000097160000}"/>
    <cellStyle name="Calculation 6 5 2 5" xfId="16431" xr:uid="{00000000-0005-0000-0000-000098160000}"/>
    <cellStyle name="Calculation 6 5 2 5 2" xfId="22072" xr:uid="{00000000-0005-0000-0000-000099160000}"/>
    <cellStyle name="Calculation 6 5 2 6" xfId="16794" xr:uid="{00000000-0005-0000-0000-00009A160000}"/>
    <cellStyle name="Calculation 6 5 2 6 2" xfId="22445" xr:uid="{00000000-0005-0000-0000-00009B160000}"/>
    <cellStyle name="Calculation 6 5 2 7" xfId="17512" xr:uid="{00000000-0005-0000-0000-00009C160000}"/>
    <cellStyle name="Calculation 6 5 2 7 2" xfId="23159" xr:uid="{00000000-0005-0000-0000-00009D160000}"/>
    <cellStyle name="Calculation 6 5 2 8" xfId="13716" xr:uid="{00000000-0005-0000-0000-00009E160000}"/>
    <cellStyle name="Calculation 6 5 2 8 2" xfId="18692" xr:uid="{00000000-0005-0000-0000-00009F160000}"/>
    <cellStyle name="Calculation 6 5 2 9" xfId="13043" xr:uid="{00000000-0005-0000-0000-0000A0160000}"/>
    <cellStyle name="Calculation 6 5 3" xfId="10386" xr:uid="{00000000-0005-0000-0000-0000A1160000}"/>
    <cellStyle name="Calculation 6 5 3 2" xfId="19186" xr:uid="{00000000-0005-0000-0000-0000A2160000}"/>
    <cellStyle name="Calculation 6 5 3 3" xfId="24269" xr:uid="{00000000-0005-0000-0000-0000A3160000}"/>
    <cellStyle name="Calculation 6 5 3 4" xfId="23560" xr:uid="{00000000-0005-0000-0000-0000A4160000}"/>
    <cellStyle name="Calculation 6 5 4" xfId="14055" xr:uid="{00000000-0005-0000-0000-0000A5160000}"/>
    <cellStyle name="Calculation 6 5 4 2" xfId="19042" xr:uid="{00000000-0005-0000-0000-0000A6160000}"/>
    <cellStyle name="Calculation 6 5 5" xfId="15762" xr:uid="{00000000-0005-0000-0000-0000A7160000}"/>
    <cellStyle name="Calculation 6 5 5 2" xfId="21256" xr:uid="{00000000-0005-0000-0000-0000A8160000}"/>
    <cellStyle name="Calculation 6 5 6" xfId="15973" xr:uid="{00000000-0005-0000-0000-0000A9160000}"/>
    <cellStyle name="Calculation 6 5 6 2" xfId="21467" xr:uid="{00000000-0005-0000-0000-0000AA160000}"/>
    <cellStyle name="Calculation 6 5 7" xfId="15925" xr:uid="{00000000-0005-0000-0000-0000AB160000}"/>
    <cellStyle name="Calculation 6 5 7 2" xfId="21419" xr:uid="{00000000-0005-0000-0000-0000AC160000}"/>
    <cellStyle name="Calculation 6 5 8" xfId="17135" xr:uid="{00000000-0005-0000-0000-0000AD160000}"/>
    <cellStyle name="Calculation 6 5 8 2" xfId="22781" xr:uid="{00000000-0005-0000-0000-0000AE160000}"/>
    <cellStyle name="Calculation 6 5 9" xfId="13394" xr:uid="{00000000-0005-0000-0000-0000AF160000}"/>
    <cellStyle name="Calculation 6 5 9 2" xfId="18373" xr:uid="{00000000-0005-0000-0000-0000B0160000}"/>
    <cellStyle name="Calculation 6 6" xfId="1477" xr:uid="{00000000-0005-0000-0000-0000B1160000}"/>
    <cellStyle name="Calculation 6 6 10" xfId="12641" xr:uid="{00000000-0005-0000-0000-0000B2160000}"/>
    <cellStyle name="Calculation 6 6 11" xfId="12536" xr:uid="{00000000-0005-0000-0000-0000B3160000}"/>
    <cellStyle name="Calculation 6 6 2" xfId="3253" xr:uid="{00000000-0005-0000-0000-0000B4160000}"/>
    <cellStyle name="Calculation 6 6 2 10" xfId="18037" xr:uid="{00000000-0005-0000-0000-0000B5160000}"/>
    <cellStyle name="Calculation 6 6 2 2" xfId="14736" xr:uid="{00000000-0005-0000-0000-0000B6160000}"/>
    <cellStyle name="Calculation 6 6 2 2 2" xfId="20057" xr:uid="{00000000-0005-0000-0000-0000B7160000}"/>
    <cellStyle name="Calculation 6 6 2 2 3" xfId="24552" xr:uid="{00000000-0005-0000-0000-0000B8160000}"/>
    <cellStyle name="Calculation 6 6 2 2 4" xfId="23882" xr:uid="{00000000-0005-0000-0000-0000B9160000}"/>
    <cellStyle name="Calculation 6 6 2 3" xfId="14447" xr:uid="{00000000-0005-0000-0000-0000BA160000}"/>
    <cellStyle name="Calculation 6 6 2 3 2" xfId="19586" xr:uid="{00000000-0005-0000-0000-0000BB160000}"/>
    <cellStyle name="Calculation 6 6 2 4" xfId="15233" xr:uid="{00000000-0005-0000-0000-0000BC160000}"/>
    <cellStyle name="Calculation 6 6 2 4 2" xfId="20621" xr:uid="{00000000-0005-0000-0000-0000BD160000}"/>
    <cellStyle name="Calculation 6 6 2 5" xfId="16432" xr:uid="{00000000-0005-0000-0000-0000BE160000}"/>
    <cellStyle name="Calculation 6 6 2 5 2" xfId="22073" xr:uid="{00000000-0005-0000-0000-0000BF160000}"/>
    <cellStyle name="Calculation 6 6 2 6" xfId="16795" xr:uid="{00000000-0005-0000-0000-0000C0160000}"/>
    <cellStyle name="Calculation 6 6 2 6 2" xfId="22446" xr:uid="{00000000-0005-0000-0000-0000C1160000}"/>
    <cellStyle name="Calculation 6 6 2 7" xfId="17513" xr:uid="{00000000-0005-0000-0000-0000C2160000}"/>
    <cellStyle name="Calculation 6 6 2 7 2" xfId="23160" xr:uid="{00000000-0005-0000-0000-0000C3160000}"/>
    <cellStyle name="Calculation 6 6 2 8" xfId="13717" xr:uid="{00000000-0005-0000-0000-0000C4160000}"/>
    <cellStyle name="Calculation 6 6 2 8 2" xfId="18693" xr:uid="{00000000-0005-0000-0000-0000C5160000}"/>
    <cellStyle name="Calculation 6 6 2 9" xfId="13044" xr:uid="{00000000-0005-0000-0000-0000C6160000}"/>
    <cellStyle name="Calculation 6 6 3" xfId="10502" xr:uid="{00000000-0005-0000-0000-0000C7160000}"/>
    <cellStyle name="Calculation 6 6 3 2" xfId="19187" xr:uid="{00000000-0005-0000-0000-0000C8160000}"/>
    <cellStyle name="Calculation 6 6 3 3" xfId="24268" xr:uid="{00000000-0005-0000-0000-0000C9160000}"/>
    <cellStyle name="Calculation 6 6 3 4" xfId="23561" xr:uid="{00000000-0005-0000-0000-0000CA160000}"/>
    <cellStyle name="Calculation 6 6 4" xfId="14056" xr:uid="{00000000-0005-0000-0000-0000CB160000}"/>
    <cellStyle name="Calculation 6 6 4 2" xfId="19043" xr:uid="{00000000-0005-0000-0000-0000CC160000}"/>
    <cellStyle name="Calculation 6 6 5" xfId="15761" xr:uid="{00000000-0005-0000-0000-0000CD160000}"/>
    <cellStyle name="Calculation 6 6 5 2" xfId="21255" xr:uid="{00000000-0005-0000-0000-0000CE160000}"/>
    <cellStyle name="Calculation 6 6 6" xfId="15974" xr:uid="{00000000-0005-0000-0000-0000CF160000}"/>
    <cellStyle name="Calculation 6 6 6 2" xfId="21468" xr:uid="{00000000-0005-0000-0000-0000D0160000}"/>
    <cellStyle name="Calculation 6 6 7" xfId="15924" xr:uid="{00000000-0005-0000-0000-0000D1160000}"/>
    <cellStyle name="Calculation 6 6 7 2" xfId="21418" xr:uid="{00000000-0005-0000-0000-0000D2160000}"/>
    <cellStyle name="Calculation 6 6 8" xfId="17136" xr:uid="{00000000-0005-0000-0000-0000D3160000}"/>
    <cellStyle name="Calculation 6 6 8 2" xfId="22782" xr:uid="{00000000-0005-0000-0000-0000D4160000}"/>
    <cellStyle name="Calculation 6 6 9" xfId="13395" xr:uid="{00000000-0005-0000-0000-0000D5160000}"/>
    <cellStyle name="Calculation 6 6 9 2" xfId="18374" xr:uid="{00000000-0005-0000-0000-0000D6160000}"/>
    <cellStyle name="Calculation 6 7" xfId="1478" xr:uid="{00000000-0005-0000-0000-0000D7160000}"/>
    <cellStyle name="Calculation 6 7 10" xfId="12642" xr:uid="{00000000-0005-0000-0000-0000D8160000}"/>
    <cellStyle name="Calculation 6 7 11" xfId="12535" xr:uid="{00000000-0005-0000-0000-0000D9160000}"/>
    <cellStyle name="Calculation 6 7 2" xfId="3254" xr:uid="{00000000-0005-0000-0000-0000DA160000}"/>
    <cellStyle name="Calculation 6 7 2 10" xfId="18038" xr:uid="{00000000-0005-0000-0000-0000DB160000}"/>
    <cellStyle name="Calculation 6 7 2 2" xfId="14737" xr:uid="{00000000-0005-0000-0000-0000DC160000}"/>
    <cellStyle name="Calculation 6 7 2 2 2" xfId="20058" xr:uid="{00000000-0005-0000-0000-0000DD160000}"/>
    <cellStyle name="Calculation 6 7 2 2 3" xfId="24553" xr:uid="{00000000-0005-0000-0000-0000DE160000}"/>
    <cellStyle name="Calculation 6 7 2 2 4" xfId="23883" xr:uid="{00000000-0005-0000-0000-0000DF160000}"/>
    <cellStyle name="Calculation 6 7 2 3" xfId="14448" xr:uid="{00000000-0005-0000-0000-0000E0160000}"/>
    <cellStyle name="Calculation 6 7 2 3 2" xfId="19587" xr:uid="{00000000-0005-0000-0000-0000E1160000}"/>
    <cellStyle name="Calculation 6 7 2 4" xfId="15232" xr:uid="{00000000-0005-0000-0000-0000E2160000}"/>
    <cellStyle name="Calculation 6 7 2 4 2" xfId="20620" xr:uid="{00000000-0005-0000-0000-0000E3160000}"/>
    <cellStyle name="Calculation 6 7 2 5" xfId="16433" xr:uid="{00000000-0005-0000-0000-0000E4160000}"/>
    <cellStyle name="Calculation 6 7 2 5 2" xfId="22074" xr:uid="{00000000-0005-0000-0000-0000E5160000}"/>
    <cellStyle name="Calculation 6 7 2 6" xfId="16796" xr:uid="{00000000-0005-0000-0000-0000E6160000}"/>
    <cellStyle name="Calculation 6 7 2 6 2" xfId="22447" xr:uid="{00000000-0005-0000-0000-0000E7160000}"/>
    <cellStyle name="Calculation 6 7 2 7" xfId="17514" xr:uid="{00000000-0005-0000-0000-0000E8160000}"/>
    <cellStyle name="Calculation 6 7 2 7 2" xfId="23161" xr:uid="{00000000-0005-0000-0000-0000E9160000}"/>
    <cellStyle name="Calculation 6 7 2 8" xfId="13718" xr:uid="{00000000-0005-0000-0000-0000EA160000}"/>
    <cellStyle name="Calculation 6 7 2 8 2" xfId="18694" xr:uid="{00000000-0005-0000-0000-0000EB160000}"/>
    <cellStyle name="Calculation 6 7 2 9" xfId="13045" xr:uid="{00000000-0005-0000-0000-0000EC160000}"/>
    <cellStyle name="Calculation 6 7 3" xfId="10582" xr:uid="{00000000-0005-0000-0000-0000ED160000}"/>
    <cellStyle name="Calculation 6 7 3 2" xfId="19188" xr:uid="{00000000-0005-0000-0000-0000EE160000}"/>
    <cellStyle name="Calculation 6 7 3 3" xfId="24267" xr:uid="{00000000-0005-0000-0000-0000EF160000}"/>
    <cellStyle name="Calculation 6 7 3 4" xfId="23562" xr:uid="{00000000-0005-0000-0000-0000F0160000}"/>
    <cellStyle name="Calculation 6 7 4" xfId="14057" xr:uid="{00000000-0005-0000-0000-0000F1160000}"/>
    <cellStyle name="Calculation 6 7 4 2" xfId="19044" xr:uid="{00000000-0005-0000-0000-0000F2160000}"/>
    <cellStyle name="Calculation 6 7 5" xfId="15760" xr:uid="{00000000-0005-0000-0000-0000F3160000}"/>
    <cellStyle name="Calculation 6 7 5 2" xfId="21254" xr:uid="{00000000-0005-0000-0000-0000F4160000}"/>
    <cellStyle name="Calculation 6 7 6" xfId="15975" xr:uid="{00000000-0005-0000-0000-0000F5160000}"/>
    <cellStyle name="Calculation 6 7 6 2" xfId="21469" xr:uid="{00000000-0005-0000-0000-0000F6160000}"/>
    <cellStyle name="Calculation 6 7 7" xfId="16095" xr:uid="{00000000-0005-0000-0000-0000F7160000}"/>
    <cellStyle name="Calculation 6 7 7 2" xfId="21599" xr:uid="{00000000-0005-0000-0000-0000F8160000}"/>
    <cellStyle name="Calculation 6 7 8" xfId="17137" xr:uid="{00000000-0005-0000-0000-0000F9160000}"/>
    <cellStyle name="Calculation 6 7 8 2" xfId="22783" xr:uid="{00000000-0005-0000-0000-0000FA160000}"/>
    <cellStyle name="Calculation 6 7 9" xfId="13396" xr:uid="{00000000-0005-0000-0000-0000FB160000}"/>
    <cellStyle name="Calculation 6 7 9 2" xfId="18375" xr:uid="{00000000-0005-0000-0000-0000FC160000}"/>
    <cellStyle name="Calculation 6 8" xfId="1479" xr:uid="{00000000-0005-0000-0000-0000FD160000}"/>
    <cellStyle name="Calculation 6 8 10" xfId="12643" xr:uid="{00000000-0005-0000-0000-0000FE160000}"/>
    <cellStyle name="Calculation 6 8 11" xfId="12534" xr:uid="{00000000-0005-0000-0000-0000FF160000}"/>
    <cellStyle name="Calculation 6 8 2" xfId="3255" xr:uid="{00000000-0005-0000-0000-000000170000}"/>
    <cellStyle name="Calculation 6 8 2 10" xfId="18039" xr:uid="{00000000-0005-0000-0000-000001170000}"/>
    <cellStyle name="Calculation 6 8 2 2" xfId="14738" xr:uid="{00000000-0005-0000-0000-000002170000}"/>
    <cellStyle name="Calculation 6 8 2 2 2" xfId="20059" xr:uid="{00000000-0005-0000-0000-000003170000}"/>
    <cellStyle name="Calculation 6 8 2 2 3" xfId="24554" xr:uid="{00000000-0005-0000-0000-000004170000}"/>
    <cellStyle name="Calculation 6 8 2 2 4" xfId="23884" xr:uid="{00000000-0005-0000-0000-000005170000}"/>
    <cellStyle name="Calculation 6 8 2 3" xfId="14449" xr:uid="{00000000-0005-0000-0000-000006170000}"/>
    <cellStyle name="Calculation 6 8 2 3 2" xfId="19588" xr:uid="{00000000-0005-0000-0000-000007170000}"/>
    <cellStyle name="Calculation 6 8 2 4" xfId="15231" xr:uid="{00000000-0005-0000-0000-000008170000}"/>
    <cellStyle name="Calculation 6 8 2 4 2" xfId="20619" xr:uid="{00000000-0005-0000-0000-000009170000}"/>
    <cellStyle name="Calculation 6 8 2 5" xfId="16434" xr:uid="{00000000-0005-0000-0000-00000A170000}"/>
    <cellStyle name="Calculation 6 8 2 5 2" xfId="22075" xr:uid="{00000000-0005-0000-0000-00000B170000}"/>
    <cellStyle name="Calculation 6 8 2 6" xfId="16797" xr:uid="{00000000-0005-0000-0000-00000C170000}"/>
    <cellStyle name="Calculation 6 8 2 6 2" xfId="22448" xr:uid="{00000000-0005-0000-0000-00000D170000}"/>
    <cellStyle name="Calculation 6 8 2 7" xfId="17515" xr:uid="{00000000-0005-0000-0000-00000E170000}"/>
    <cellStyle name="Calculation 6 8 2 7 2" xfId="23162" xr:uid="{00000000-0005-0000-0000-00000F170000}"/>
    <cellStyle name="Calculation 6 8 2 8" xfId="13719" xr:uid="{00000000-0005-0000-0000-000010170000}"/>
    <cellStyle name="Calculation 6 8 2 8 2" xfId="18695" xr:uid="{00000000-0005-0000-0000-000011170000}"/>
    <cellStyle name="Calculation 6 8 2 9" xfId="13046" xr:uid="{00000000-0005-0000-0000-000012170000}"/>
    <cellStyle name="Calculation 6 8 3" xfId="10503" xr:uid="{00000000-0005-0000-0000-000013170000}"/>
    <cellStyle name="Calculation 6 8 3 2" xfId="19189" xr:uid="{00000000-0005-0000-0000-000014170000}"/>
    <cellStyle name="Calculation 6 8 3 3" xfId="24266" xr:uid="{00000000-0005-0000-0000-000015170000}"/>
    <cellStyle name="Calculation 6 8 3 4" xfId="23563" xr:uid="{00000000-0005-0000-0000-000016170000}"/>
    <cellStyle name="Calculation 6 8 4" xfId="14058" xr:uid="{00000000-0005-0000-0000-000017170000}"/>
    <cellStyle name="Calculation 6 8 4 2" xfId="19045" xr:uid="{00000000-0005-0000-0000-000018170000}"/>
    <cellStyle name="Calculation 6 8 5" xfId="15759" xr:uid="{00000000-0005-0000-0000-000019170000}"/>
    <cellStyle name="Calculation 6 8 5 2" xfId="21253" xr:uid="{00000000-0005-0000-0000-00001A170000}"/>
    <cellStyle name="Calculation 6 8 6" xfId="15976" xr:uid="{00000000-0005-0000-0000-00001B170000}"/>
    <cellStyle name="Calculation 6 8 6 2" xfId="21470" xr:uid="{00000000-0005-0000-0000-00001C170000}"/>
    <cellStyle name="Calculation 6 8 7" xfId="15304" xr:uid="{00000000-0005-0000-0000-00001D170000}"/>
    <cellStyle name="Calculation 6 8 7 2" xfId="20693" xr:uid="{00000000-0005-0000-0000-00001E170000}"/>
    <cellStyle name="Calculation 6 8 8" xfId="17138" xr:uid="{00000000-0005-0000-0000-00001F170000}"/>
    <cellStyle name="Calculation 6 8 8 2" xfId="22784" xr:uid="{00000000-0005-0000-0000-000020170000}"/>
    <cellStyle name="Calculation 6 8 9" xfId="13397" xr:uid="{00000000-0005-0000-0000-000021170000}"/>
    <cellStyle name="Calculation 6 8 9 2" xfId="18376" xr:uid="{00000000-0005-0000-0000-000022170000}"/>
    <cellStyle name="Calculation 6 9" xfId="1480" xr:uid="{00000000-0005-0000-0000-000023170000}"/>
    <cellStyle name="Calculation 6 9 10" xfId="12644" xr:uid="{00000000-0005-0000-0000-000024170000}"/>
    <cellStyle name="Calculation 6 9 11" xfId="12533" xr:uid="{00000000-0005-0000-0000-000025170000}"/>
    <cellStyle name="Calculation 6 9 2" xfId="3256" xr:uid="{00000000-0005-0000-0000-000026170000}"/>
    <cellStyle name="Calculation 6 9 2 10" xfId="18040" xr:uid="{00000000-0005-0000-0000-000027170000}"/>
    <cellStyle name="Calculation 6 9 2 2" xfId="14739" xr:uid="{00000000-0005-0000-0000-000028170000}"/>
    <cellStyle name="Calculation 6 9 2 2 2" xfId="20060" xr:uid="{00000000-0005-0000-0000-000029170000}"/>
    <cellStyle name="Calculation 6 9 2 2 3" xfId="24555" xr:uid="{00000000-0005-0000-0000-00002A170000}"/>
    <cellStyle name="Calculation 6 9 2 2 4" xfId="23885" xr:uid="{00000000-0005-0000-0000-00002B170000}"/>
    <cellStyle name="Calculation 6 9 2 3" xfId="14450" xr:uid="{00000000-0005-0000-0000-00002C170000}"/>
    <cellStyle name="Calculation 6 9 2 3 2" xfId="19589" xr:uid="{00000000-0005-0000-0000-00002D170000}"/>
    <cellStyle name="Calculation 6 9 2 4" xfId="15230" xr:uid="{00000000-0005-0000-0000-00002E170000}"/>
    <cellStyle name="Calculation 6 9 2 4 2" xfId="20618" xr:uid="{00000000-0005-0000-0000-00002F170000}"/>
    <cellStyle name="Calculation 6 9 2 5" xfId="16435" xr:uid="{00000000-0005-0000-0000-000030170000}"/>
    <cellStyle name="Calculation 6 9 2 5 2" xfId="22076" xr:uid="{00000000-0005-0000-0000-000031170000}"/>
    <cellStyle name="Calculation 6 9 2 6" xfId="16798" xr:uid="{00000000-0005-0000-0000-000032170000}"/>
    <cellStyle name="Calculation 6 9 2 6 2" xfId="22449" xr:uid="{00000000-0005-0000-0000-000033170000}"/>
    <cellStyle name="Calculation 6 9 2 7" xfId="17516" xr:uid="{00000000-0005-0000-0000-000034170000}"/>
    <cellStyle name="Calculation 6 9 2 7 2" xfId="23163" xr:uid="{00000000-0005-0000-0000-000035170000}"/>
    <cellStyle name="Calculation 6 9 2 8" xfId="13720" xr:uid="{00000000-0005-0000-0000-000036170000}"/>
    <cellStyle name="Calculation 6 9 2 8 2" xfId="18696" xr:uid="{00000000-0005-0000-0000-000037170000}"/>
    <cellStyle name="Calculation 6 9 2 9" xfId="13047" xr:uid="{00000000-0005-0000-0000-000038170000}"/>
    <cellStyle name="Calculation 6 9 3" xfId="10401" xr:uid="{00000000-0005-0000-0000-000039170000}"/>
    <cellStyle name="Calculation 6 9 3 2" xfId="19190" xr:uid="{00000000-0005-0000-0000-00003A170000}"/>
    <cellStyle name="Calculation 6 9 3 3" xfId="24265" xr:uid="{00000000-0005-0000-0000-00003B170000}"/>
    <cellStyle name="Calculation 6 9 3 4" xfId="23564" xr:uid="{00000000-0005-0000-0000-00003C170000}"/>
    <cellStyle name="Calculation 6 9 4" xfId="14059" xr:uid="{00000000-0005-0000-0000-00003D170000}"/>
    <cellStyle name="Calculation 6 9 4 2" xfId="19046" xr:uid="{00000000-0005-0000-0000-00003E170000}"/>
    <cellStyle name="Calculation 6 9 5" xfId="15758" xr:uid="{00000000-0005-0000-0000-00003F170000}"/>
    <cellStyle name="Calculation 6 9 5 2" xfId="21252" xr:uid="{00000000-0005-0000-0000-000040170000}"/>
    <cellStyle name="Calculation 6 9 6" xfId="15977" xr:uid="{00000000-0005-0000-0000-000041170000}"/>
    <cellStyle name="Calculation 6 9 6 2" xfId="21471" xr:uid="{00000000-0005-0000-0000-000042170000}"/>
    <cellStyle name="Calculation 6 9 7" xfId="15923" xr:uid="{00000000-0005-0000-0000-000043170000}"/>
    <cellStyle name="Calculation 6 9 7 2" xfId="21417" xr:uid="{00000000-0005-0000-0000-000044170000}"/>
    <cellStyle name="Calculation 6 9 8" xfId="17139" xr:uid="{00000000-0005-0000-0000-000045170000}"/>
    <cellStyle name="Calculation 6 9 8 2" xfId="22785" xr:uid="{00000000-0005-0000-0000-000046170000}"/>
    <cellStyle name="Calculation 6 9 9" xfId="13398" xr:uid="{00000000-0005-0000-0000-000047170000}"/>
    <cellStyle name="Calculation 6 9 9 2" xfId="18377" xr:uid="{00000000-0005-0000-0000-000048170000}"/>
    <cellStyle name="Calculation 7" xfId="1481" xr:uid="{00000000-0005-0000-0000-000049170000}"/>
    <cellStyle name="Calculation 7 10" xfId="12645" xr:uid="{00000000-0005-0000-0000-00004A170000}"/>
    <cellStyle name="Calculation 7 11" xfId="12532" xr:uid="{00000000-0005-0000-0000-00004B170000}"/>
    <cellStyle name="Calculation 7 2" xfId="3257" xr:uid="{00000000-0005-0000-0000-00004C170000}"/>
    <cellStyle name="Calculation 7 2 10" xfId="18041" xr:uid="{00000000-0005-0000-0000-00004D170000}"/>
    <cellStyle name="Calculation 7 2 2" xfId="14740" xr:uid="{00000000-0005-0000-0000-00004E170000}"/>
    <cellStyle name="Calculation 7 2 2 2" xfId="20061" xr:uid="{00000000-0005-0000-0000-00004F170000}"/>
    <cellStyle name="Calculation 7 2 2 3" xfId="24556" xr:uid="{00000000-0005-0000-0000-000050170000}"/>
    <cellStyle name="Calculation 7 2 2 4" xfId="23886" xr:uid="{00000000-0005-0000-0000-000051170000}"/>
    <cellStyle name="Calculation 7 2 3" xfId="14451" xr:uid="{00000000-0005-0000-0000-000052170000}"/>
    <cellStyle name="Calculation 7 2 3 2" xfId="19590" xr:uid="{00000000-0005-0000-0000-000053170000}"/>
    <cellStyle name="Calculation 7 2 4" xfId="15229" xr:uid="{00000000-0005-0000-0000-000054170000}"/>
    <cellStyle name="Calculation 7 2 4 2" xfId="20617" xr:uid="{00000000-0005-0000-0000-000055170000}"/>
    <cellStyle name="Calculation 7 2 5" xfId="16436" xr:uid="{00000000-0005-0000-0000-000056170000}"/>
    <cellStyle name="Calculation 7 2 5 2" xfId="22077" xr:uid="{00000000-0005-0000-0000-000057170000}"/>
    <cellStyle name="Calculation 7 2 6" xfId="16799" xr:uid="{00000000-0005-0000-0000-000058170000}"/>
    <cellStyle name="Calculation 7 2 6 2" xfId="22450" xr:uid="{00000000-0005-0000-0000-000059170000}"/>
    <cellStyle name="Calculation 7 2 7" xfId="17517" xr:uid="{00000000-0005-0000-0000-00005A170000}"/>
    <cellStyle name="Calculation 7 2 7 2" xfId="23164" xr:uid="{00000000-0005-0000-0000-00005B170000}"/>
    <cellStyle name="Calculation 7 2 8" xfId="13721" xr:uid="{00000000-0005-0000-0000-00005C170000}"/>
    <cellStyle name="Calculation 7 2 8 2" xfId="18697" xr:uid="{00000000-0005-0000-0000-00005D170000}"/>
    <cellStyle name="Calculation 7 2 9" xfId="13048" xr:uid="{00000000-0005-0000-0000-00005E170000}"/>
    <cellStyle name="Calculation 7 3" xfId="10385" xr:uid="{00000000-0005-0000-0000-00005F170000}"/>
    <cellStyle name="Calculation 7 3 2" xfId="19191" xr:uid="{00000000-0005-0000-0000-000060170000}"/>
    <cellStyle name="Calculation 7 3 3" xfId="24264" xr:uid="{00000000-0005-0000-0000-000061170000}"/>
    <cellStyle name="Calculation 7 3 4" xfId="23565" xr:uid="{00000000-0005-0000-0000-000062170000}"/>
    <cellStyle name="Calculation 7 4" xfId="14060" xr:uid="{00000000-0005-0000-0000-000063170000}"/>
    <cellStyle name="Calculation 7 4 2" xfId="19047" xr:uid="{00000000-0005-0000-0000-000064170000}"/>
    <cellStyle name="Calculation 7 5" xfId="15757" xr:uid="{00000000-0005-0000-0000-000065170000}"/>
    <cellStyle name="Calculation 7 5 2" xfId="21251" xr:uid="{00000000-0005-0000-0000-000066170000}"/>
    <cellStyle name="Calculation 7 6" xfId="15978" xr:uid="{00000000-0005-0000-0000-000067170000}"/>
    <cellStyle name="Calculation 7 6 2" xfId="21472" xr:uid="{00000000-0005-0000-0000-000068170000}"/>
    <cellStyle name="Calculation 7 7" xfId="16094" xr:uid="{00000000-0005-0000-0000-000069170000}"/>
    <cellStyle name="Calculation 7 7 2" xfId="21598" xr:uid="{00000000-0005-0000-0000-00006A170000}"/>
    <cellStyle name="Calculation 7 8" xfId="17140" xr:uid="{00000000-0005-0000-0000-00006B170000}"/>
    <cellStyle name="Calculation 7 8 2" xfId="22786" xr:uid="{00000000-0005-0000-0000-00006C170000}"/>
    <cellStyle name="Calculation 7 9" xfId="13399" xr:uid="{00000000-0005-0000-0000-00006D170000}"/>
    <cellStyle name="Calculation 7 9 2" xfId="18378" xr:uid="{00000000-0005-0000-0000-00006E170000}"/>
    <cellStyle name="Calculation 8" xfId="1482" xr:uid="{00000000-0005-0000-0000-00006F170000}"/>
    <cellStyle name="Calculation 8 10" xfId="12646" xr:uid="{00000000-0005-0000-0000-000070170000}"/>
    <cellStyle name="Calculation 8 11" xfId="12531" xr:uid="{00000000-0005-0000-0000-000071170000}"/>
    <cellStyle name="Calculation 8 2" xfId="3258" xr:uid="{00000000-0005-0000-0000-000072170000}"/>
    <cellStyle name="Calculation 8 2 10" xfId="18042" xr:uid="{00000000-0005-0000-0000-000073170000}"/>
    <cellStyle name="Calculation 8 2 2" xfId="14741" xr:uid="{00000000-0005-0000-0000-000074170000}"/>
    <cellStyle name="Calculation 8 2 2 2" xfId="20062" xr:uid="{00000000-0005-0000-0000-000075170000}"/>
    <cellStyle name="Calculation 8 2 2 3" xfId="24557" xr:uid="{00000000-0005-0000-0000-000076170000}"/>
    <cellStyle name="Calculation 8 2 2 4" xfId="23887" xr:uid="{00000000-0005-0000-0000-000077170000}"/>
    <cellStyle name="Calculation 8 2 3" xfId="14452" xr:uid="{00000000-0005-0000-0000-000078170000}"/>
    <cellStyle name="Calculation 8 2 3 2" xfId="19591" xr:uid="{00000000-0005-0000-0000-000079170000}"/>
    <cellStyle name="Calculation 8 2 4" xfId="15228" xr:uid="{00000000-0005-0000-0000-00007A170000}"/>
    <cellStyle name="Calculation 8 2 4 2" xfId="20616" xr:uid="{00000000-0005-0000-0000-00007B170000}"/>
    <cellStyle name="Calculation 8 2 5" xfId="16437" xr:uid="{00000000-0005-0000-0000-00007C170000}"/>
    <cellStyle name="Calculation 8 2 5 2" xfId="22078" xr:uid="{00000000-0005-0000-0000-00007D170000}"/>
    <cellStyle name="Calculation 8 2 6" xfId="16800" xr:uid="{00000000-0005-0000-0000-00007E170000}"/>
    <cellStyle name="Calculation 8 2 6 2" xfId="22451" xr:uid="{00000000-0005-0000-0000-00007F170000}"/>
    <cellStyle name="Calculation 8 2 7" xfId="17518" xr:uid="{00000000-0005-0000-0000-000080170000}"/>
    <cellStyle name="Calculation 8 2 7 2" xfId="23165" xr:uid="{00000000-0005-0000-0000-000081170000}"/>
    <cellStyle name="Calculation 8 2 8" xfId="13722" xr:uid="{00000000-0005-0000-0000-000082170000}"/>
    <cellStyle name="Calculation 8 2 8 2" xfId="18698" xr:uid="{00000000-0005-0000-0000-000083170000}"/>
    <cellStyle name="Calculation 8 2 9" xfId="13049" xr:uid="{00000000-0005-0000-0000-000084170000}"/>
    <cellStyle name="Calculation 8 3" xfId="10501" xr:uid="{00000000-0005-0000-0000-000085170000}"/>
    <cellStyle name="Calculation 8 3 2" xfId="19192" xr:uid="{00000000-0005-0000-0000-000086170000}"/>
    <cellStyle name="Calculation 8 3 3" xfId="24263" xr:uid="{00000000-0005-0000-0000-000087170000}"/>
    <cellStyle name="Calculation 8 3 4" xfId="23566" xr:uid="{00000000-0005-0000-0000-000088170000}"/>
    <cellStyle name="Calculation 8 4" xfId="14061" xr:uid="{00000000-0005-0000-0000-000089170000}"/>
    <cellStyle name="Calculation 8 4 2" xfId="19048" xr:uid="{00000000-0005-0000-0000-00008A170000}"/>
    <cellStyle name="Calculation 8 5" xfId="15756" xr:uid="{00000000-0005-0000-0000-00008B170000}"/>
    <cellStyle name="Calculation 8 5 2" xfId="21250" xr:uid="{00000000-0005-0000-0000-00008C170000}"/>
    <cellStyle name="Calculation 8 6" xfId="15979" xr:uid="{00000000-0005-0000-0000-00008D170000}"/>
    <cellStyle name="Calculation 8 6 2" xfId="21473" xr:uid="{00000000-0005-0000-0000-00008E170000}"/>
    <cellStyle name="Calculation 8 7" xfId="15922" xr:uid="{00000000-0005-0000-0000-00008F170000}"/>
    <cellStyle name="Calculation 8 7 2" xfId="21416" xr:uid="{00000000-0005-0000-0000-000090170000}"/>
    <cellStyle name="Calculation 8 8" xfId="17141" xr:uid="{00000000-0005-0000-0000-000091170000}"/>
    <cellStyle name="Calculation 8 8 2" xfId="22787" xr:uid="{00000000-0005-0000-0000-000092170000}"/>
    <cellStyle name="Calculation 8 9" xfId="13400" xr:uid="{00000000-0005-0000-0000-000093170000}"/>
    <cellStyle name="Calculation 8 9 2" xfId="18379" xr:uid="{00000000-0005-0000-0000-000094170000}"/>
    <cellStyle name="Calculation 9" xfId="3259" xr:uid="{00000000-0005-0000-0000-000095170000}"/>
    <cellStyle name="Calculation 9 10" xfId="12647" xr:uid="{00000000-0005-0000-0000-000096170000}"/>
    <cellStyle name="Calculation 9 11" xfId="12530" xr:uid="{00000000-0005-0000-0000-000097170000}"/>
    <cellStyle name="Calculation 9 2" xfId="3260" xr:uid="{00000000-0005-0000-0000-000098170000}"/>
    <cellStyle name="Calculation 9 2 10" xfId="18043" xr:uid="{00000000-0005-0000-0000-000099170000}"/>
    <cellStyle name="Calculation 9 2 2" xfId="14742" xr:uid="{00000000-0005-0000-0000-00009A170000}"/>
    <cellStyle name="Calculation 9 2 2 2" xfId="20063" xr:uid="{00000000-0005-0000-0000-00009B170000}"/>
    <cellStyle name="Calculation 9 2 2 3" xfId="24558" xr:uid="{00000000-0005-0000-0000-00009C170000}"/>
    <cellStyle name="Calculation 9 2 2 4" xfId="23888" xr:uid="{00000000-0005-0000-0000-00009D170000}"/>
    <cellStyle name="Calculation 9 2 3" xfId="14453" xr:uid="{00000000-0005-0000-0000-00009E170000}"/>
    <cellStyle name="Calculation 9 2 3 2" xfId="19592" xr:uid="{00000000-0005-0000-0000-00009F170000}"/>
    <cellStyle name="Calculation 9 2 4" xfId="15227" xr:uid="{00000000-0005-0000-0000-0000A0170000}"/>
    <cellStyle name="Calculation 9 2 4 2" xfId="20615" xr:uid="{00000000-0005-0000-0000-0000A1170000}"/>
    <cellStyle name="Calculation 9 2 5" xfId="16438" xr:uid="{00000000-0005-0000-0000-0000A2170000}"/>
    <cellStyle name="Calculation 9 2 5 2" xfId="22079" xr:uid="{00000000-0005-0000-0000-0000A3170000}"/>
    <cellStyle name="Calculation 9 2 6" xfId="16801" xr:uid="{00000000-0005-0000-0000-0000A4170000}"/>
    <cellStyle name="Calculation 9 2 6 2" xfId="22452" xr:uid="{00000000-0005-0000-0000-0000A5170000}"/>
    <cellStyle name="Calculation 9 2 7" xfId="17519" xr:uid="{00000000-0005-0000-0000-0000A6170000}"/>
    <cellStyle name="Calculation 9 2 7 2" xfId="23166" xr:uid="{00000000-0005-0000-0000-0000A7170000}"/>
    <cellStyle name="Calculation 9 2 8" xfId="13723" xr:uid="{00000000-0005-0000-0000-0000A8170000}"/>
    <cellStyle name="Calculation 9 2 8 2" xfId="18699" xr:uid="{00000000-0005-0000-0000-0000A9170000}"/>
    <cellStyle name="Calculation 9 2 9" xfId="13050" xr:uid="{00000000-0005-0000-0000-0000AA170000}"/>
    <cellStyle name="Calculation 9 3" xfId="10581" xr:uid="{00000000-0005-0000-0000-0000AB170000}"/>
    <cellStyle name="Calculation 9 3 2" xfId="19193" xr:uid="{00000000-0005-0000-0000-0000AC170000}"/>
    <cellStyle name="Calculation 9 3 3" xfId="24262" xr:uid="{00000000-0005-0000-0000-0000AD170000}"/>
    <cellStyle name="Calculation 9 3 4" xfId="23567" xr:uid="{00000000-0005-0000-0000-0000AE170000}"/>
    <cellStyle name="Calculation 9 4" xfId="14062" xr:uid="{00000000-0005-0000-0000-0000AF170000}"/>
    <cellStyle name="Calculation 9 4 2" xfId="19049" xr:uid="{00000000-0005-0000-0000-0000B0170000}"/>
    <cellStyle name="Calculation 9 5" xfId="15755" xr:uid="{00000000-0005-0000-0000-0000B1170000}"/>
    <cellStyle name="Calculation 9 5 2" xfId="21249" xr:uid="{00000000-0005-0000-0000-0000B2170000}"/>
    <cellStyle name="Calculation 9 6" xfId="15980" xr:uid="{00000000-0005-0000-0000-0000B3170000}"/>
    <cellStyle name="Calculation 9 6 2" xfId="21474" xr:uid="{00000000-0005-0000-0000-0000B4170000}"/>
    <cellStyle name="Calculation 9 7" xfId="16093" xr:uid="{00000000-0005-0000-0000-0000B5170000}"/>
    <cellStyle name="Calculation 9 7 2" xfId="21597" xr:uid="{00000000-0005-0000-0000-0000B6170000}"/>
    <cellStyle name="Calculation 9 8" xfId="17142" xr:uid="{00000000-0005-0000-0000-0000B7170000}"/>
    <cellStyle name="Calculation 9 8 2" xfId="22788" xr:uid="{00000000-0005-0000-0000-0000B8170000}"/>
    <cellStyle name="Calculation 9 9" xfId="13401" xr:uid="{00000000-0005-0000-0000-0000B9170000}"/>
    <cellStyle name="Calculation 9 9 2" xfId="18380" xr:uid="{00000000-0005-0000-0000-0000BA170000}"/>
    <cellStyle name="Cella collegata" xfId="9595" xr:uid="{00000000-0005-0000-0000-0000BB170000}"/>
    <cellStyle name="Cella da controllare" xfId="9596" xr:uid="{00000000-0005-0000-0000-0000BC170000}"/>
    <cellStyle name="Cella da controllare 2" xfId="5205" xr:uid="{00000000-0005-0000-0000-0000BD170000}"/>
    <cellStyle name="Cella da controllare 2 2" xfId="20345" xr:uid="{00000000-0005-0000-0000-0000BE170000}"/>
    <cellStyle name="Cella da controllare 3" xfId="16152" xr:uid="{00000000-0005-0000-0000-0000BF170000}"/>
    <cellStyle name="Cella da controllare 3 2" xfId="21675" xr:uid="{00000000-0005-0000-0000-0000C0170000}"/>
    <cellStyle name="Cella da controllare 4" xfId="16251" xr:uid="{00000000-0005-0000-0000-0000C1170000}"/>
    <cellStyle name="Cella da controllare 4 2" xfId="21804" xr:uid="{00000000-0005-0000-0000-0000C2170000}"/>
    <cellStyle name="Cella da controllare 5" xfId="17059" xr:uid="{00000000-0005-0000-0000-0000C3170000}"/>
    <cellStyle name="Cella da controllare 5 2" xfId="22710" xr:uid="{00000000-0005-0000-0000-0000C4170000}"/>
    <cellStyle name="Cella da controllare 6" xfId="17780" xr:uid="{00000000-0005-0000-0000-0000C5170000}"/>
    <cellStyle name="Cella da controllare 6 2" xfId="23424" xr:uid="{00000000-0005-0000-0000-0000C6170000}"/>
    <cellStyle name="Cella da controllare 7" xfId="18301" xr:uid="{00000000-0005-0000-0000-0000C7170000}"/>
    <cellStyle name="Cellule liée" xfId="12321" xr:uid="{00000000-0005-0000-0000-0000C8170000}"/>
    <cellStyle name="Char" xfId="24814" xr:uid="{00000000-0005-0000-0000-0000C9170000}"/>
    <cellStyle name="Char 2" xfId="29030" xr:uid="{00000000-0005-0000-0000-0000CA170000}"/>
    <cellStyle name="Char 3" xfId="33247" xr:uid="{00000000-0005-0000-0000-0000CB170000}"/>
    <cellStyle name="Char 4" xfId="37458" xr:uid="{00000000-0005-0000-0000-0000CC170000}"/>
    <cellStyle name="Char 5" xfId="41706" xr:uid="{00000000-0005-0000-0000-0000CD170000}"/>
    <cellStyle name="Check Cell 10" xfId="3261" xr:uid="{00000000-0005-0000-0000-0000CE170000}"/>
    <cellStyle name="Check Cell 10 2" xfId="14148" xr:uid="{00000000-0005-0000-0000-0000CF170000}"/>
    <cellStyle name="Check Cell 10 2 2" xfId="19194" xr:uid="{00000000-0005-0000-0000-0000D0170000}"/>
    <cellStyle name="Check Cell 10 3" xfId="15634" xr:uid="{00000000-0005-0000-0000-0000D1170000}"/>
    <cellStyle name="Check Cell 10 3 2" xfId="21130" xr:uid="{00000000-0005-0000-0000-0000D2170000}"/>
    <cellStyle name="Check Cell 10 4" xfId="15754" xr:uid="{00000000-0005-0000-0000-0000D3170000}"/>
    <cellStyle name="Check Cell 10 4 2" xfId="21248" xr:uid="{00000000-0005-0000-0000-0000D4170000}"/>
    <cellStyle name="Check Cell 10 5" xfId="15921" xr:uid="{00000000-0005-0000-0000-0000D5170000}"/>
    <cellStyle name="Check Cell 10 5 2" xfId="21415" xr:uid="{00000000-0005-0000-0000-0000D6170000}"/>
    <cellStyle name="Check Cell 10 6" xfId="17143" xr:uid="{00000000-0005-0000-0000-0000D7170000}"/>
    <cellStyle name="Check Cell 10 6 2" xfId="22789" xr:uid="{00000000-0005-0000-0000-0000D8170000}"/>
    <cellStyle name="Check Cell 10 7" xfId="12529" xr:uid="{00000000-0005-0000-0000-0000D9170000}"/>
    <cellStyle name="Check Cell 11" xfId="42907" xr:uid="{00000000-0005-0000-0000-0000DA170000}"/>
    <cellStyle name="Check Cell 12" xfId="42908" xr:uid="{00000000-0005-0000-0000-0000DB170000}"/>
    <cellStyle name="Check Cell 13" xfId="42909" xr:uid="{00000000-0005-0000-0000-0000DC170000}"/>
    <cellStyle name="Check Cell 14" xfId="42910" xr:uid="{00000000-0005-0000-0000-0000DD170000}"/>
    <cellStyle name="Check Cell 15" xfId="42911" xr:uid="{00000000-0005-0000-0000-0000DE170000}"/>
    <cellStyle name="Check Cell 16" xfId="42912" xr:uid="{00000000-0005-0000-0000-0000DF170000}"/>
    <cellStyle name="Check Cell 17" xfId="42913" xr:uid="{00000000-0005-0000-0000-0000E0170000}"/>
    <cellStyle name="Check Cell 18" xfId="42914" xr:uid="{00000000-0005-0000-0000-0000E1170000}"/>
    <cellStyle name="Check Cell 19" xfId="42915" xr:uid="{00000000-0005-0000-0000-0000E2170000}"/>
    <cellStyle name="Check Cell 2" xfId="1483" xr:uid="{00000000-0005-0000-0000-0000E3170000}"/>
    <cellStyle name="Check Cell 2 10" xfId="1484" xr:uid="{00000000-0005-0000-0000-0000E4170000}"/>
    <cellStyle name="Check Cell 2 10 2" xfId="14150" xr:uid="{00000000-0005-0000-0000-0000E5170000}"/>
    <cellStyle name="Check Cell 2 10 2 2" xfId="19196" xr:uid="{00000000-0005-0000-0000-0000E6170000}"/>
    <cellStyle name="Check Cell 2 10 3" xfId="15636" xr:uid="{00000000-0005-0000-0000-0000E7170000}"/>
    <cellStyle name="Check Cell 2 10 3 2" xfId="21132" xr:uid="{00000000-0005-0000-0000-0000E8170000}"/>
    <cellStyle name="Check Cell 2 10 4" xfId="15752" xr:uid="{00000000-0005-0000-0000-0000E9170000}"/>
    <cellStyle name="Check Cell 2 10 4 2" xfId="21246" xr:uid="{00000000-0005-0000-0000-0000EA170000}"/>
    <cellStyle name="Check Cell 2 10 5" xfId="15920" xr:uid="{00000000-0005-0000-0000-0000EB170000}"/>
    <cellStyle name="Check Cell 2 10 5 2" xfId="21414" xr:uid="{00000000-0005-0000-0000-0000EC170000}"/>
    <cellStyle name="Check Cell 2 10 6" xfId="17145" xr:uid="{00000000-0005-0000-0000-0000ED170000}"/>
    <cellStyle name="Check Cell 2 10 6 2" xfId="22791" xr:uid="{00000000-0005-0000-0000-0000EE170000}"/>
    <cellStyle name="Check Cell 2 10 7" xfId="12527" xr:uid="{00000000-0005-0000-0000-0000EF170000}"/>
    <cellStyle name="Check Cell 2 11" xfId="1485" xr:uid="{00000000-0005-0000-0000-0000F0170000}"/>
    <cellStyle name="Check Cell 2 11 2" xfId="14151" xr:uid="{00000000-0005-0000-0000-0000F1170000}"/>
    <cellStyle name="Check Cell 2 11 2 2" xfId="19197" xr:uid="{00000000-0005-0000-0000-0000F2170000}"/>
    <cellStyle name="Check Cell 2 11 3" xfId="15637" xr:uid="{00000000-0005-0000-0000-0000F3170000}"/>
    <cellStyle name="Check Cell 2 11 3 2" xfId="21133" xr:uid="{00000000-0005-0000-0000-0000F4170000}"/>
    <cellStyle name="Check Cell 2 11 4" xfId="15751" xr:uid="{00000000-0005-0000-0000-0000F5170000}"/>
    <cellStyle name="Check Cell 2 11 4 2" xfId="21245" xr:uid="{00000000-0005-0000-0000-0000F6170000}"/>
    <cellStyle name="Check Cell 2 11 5" xfId="16091" xr:uid="{00000000-0005-0000-0000-0000F7170000}"/>
    <cellStyle name="Check Cell 2 11 5 2" xfId="21595" xr:uid="{00000000-0005-0000-0000-0000F8170000}"/>
    <cellStyle name="Check Cell 2 11 6" xfId="17146" xr:uid="{00000000-0005-0000-0000-0000F9170000}"/>
    <cellStyle name="Check Cell 2 11 6 2" xfId="22792" xr:uid="{00000000-0005-0000-0000-0000FA170000}"/>
    <cellStyle name="Check Cell 2 11 7" xfId="12526" xr:uid="{00000000-0005-0000-0000-0000FB170000}"/>
    <cellStyle name="Check Cell 2 12" xfId="14149" xr:uid="{00000000-0005-0000-0000-0000FC170000}"/>
    <cellStyle name="Check Cell 2 12 2" xfId="19195" xr:uid="{00000000-0005-0000-0000-0000FD170000}"/>
    <cellStyle name="Check Cell 2 13" xfId="15635" xr:uid="{00000000-0005-0000-0000-0000FE170000}"/>
    <cellStyle name="Check Cell 2 13 2" xfId="21131" xr:uid="{00000000-0005-0000-0000-0000FF170000}"/>
    <cellStyle name="Check Cell 2 14" xfId="15753" xr:uid="{00000000-0005-0000-0000-000000180000}"/>
    <cellStyle name="Check Cell 2 14 2" xfId="21247" xr:uid="{00000000-0005-0000-0000-000001180000}"/>
    <cellStyle name="Check Cell 2 15" xfId="16092" xr:uid="{00000000-0005-0000-0000-000002180000}"/>
    <cellStyle name="Check Cell 2 15 2" xfId="21596" xr:uid="{00000000-0005-0000-0000-000003180000}"/>
    <cellStyle name="Check Cell 2 16" xfId="17144" xr:uid="{00000000-0005-0000-0000-000004180000}"/>
    <cellStyle name="Check Cell 2 16 2" xfId="22790" xr:uid="{00000000-0005-0000-0000-000005180000}"/>
    <cellStyle name="Check Cell 2 17" xfId="12528" xr:uid="{00000000-0005-0000-0000-000006180000}"/>
    <cellStyle name="Check Cell 2 2" xfId="1486" xr:uid="{00000000-0005-0000-0000-000007180000}"/>
    <cellStyle name="Check Cell 2 2 2" xfId="14152" xr:uid="{00000000-0005-0000-0000-000008180000}"/>
    <cellStyle name="Check Cell 2 2 2 2" xfId="19198" xr:uid="{00000000-0005-0000-0000-000009180000}"/>
    <cellStyle name="Check Cell 2 2 3" xfId="15638" xr:uid="{00000000-0005-0000-0000-00000A180000}"/>
    <cellStyle name="Check Cell 2 2 3 2" xfId="21134" xr:uid="{00000000-0005-0000-0000-00000B180000}"/>
    <cellStyle name="Check Cell 2 2 4" xfId="15750" xr:uid="{00000000-0005-0000-0000-00000C180000}"/>
    <cellStyle name="Check Cell 2 2 4 2" xfId="21244" xr:uid="{00000000-0005-0000-0000-00000D180000}"/>
    <cellStyle name="Check Cell 2 2 5" xfId="15919" xr:uid="{00000000-0005-0000-0000-00000E180000}"/>
    <cellStyle name="Check Cell 2 2 5 2" xfId="21413" xr:uid="{00000000-0005-0000-0000-00000F180000}"/>
    <cellStyle name="Check Cell 2 2 6" xfId="17147" xr:uid="{00000000-0005-0000-0000-000010180000}"/>
    <cellStyle name="Check Cell 2 2 6 2" xfId="22793" xr:uid="{00000000-0005-0000-0000-000011180000}"/>
    <cellStyle name="Check Cell 2 2 7" xfId="12525" xr:uid="{00000000-0005-0000-0000-000012180000}"/>
    <cellStyle name="Check Cell 2 3" xfId="1487" xr:uid="{00000000-0005-0000-0000-000013180000}"/>
    <cellStyle name="Check Cell 2 3 2" xfId="14153" xr:uid="{00000000-0005-0000-0000-000014180000}"/>
    <cellStyle name="Check Cell 2 3 2 2" xfId="19199" xr:uid="{00000000-0005-0000-0000-000015180000}"/>
    <cellStyle name="Check Cell 2 3 3" xfId="15639" xr:uid="{00000000-0005-0000-0000-000016180000}"/>
    <cellStyle name="Check Cell 2 3 3 2" xfId="21135" xr:uid="{00000000-0005-0000-0000-000017180000}"/>
    <cellStyle name="Check Cell 2 3 4" xfId="15749" xr:uid="{00000000-0005-0000-0000-000018180000}"/>
    <cellStyle name="Check Cell 2 3 4 2" xfId="21243" xr:uid="{00000000-0005-0000-0000-000019180000}"/>
    <cellStyle name="Check Cell 2 3 5" xfId="16090" xr:uid="{00000000-0005-0000-0000-00001A180000}"/>
    <cellStyle name="Check Cell 2 3 5 2" xfId="21594" xr:uid="{00000000-0005-0000-0000-00001B180000}"/>
    <cellStyle name="Check Cell 2 3 6" xfId="17148" xr:uid="{00000000-0005-0000-0000-00001C180000}"/>
    <cellStyle name="Check Cell 2 3 6 2" xfId="22794" xr:uid="{00000000-0005-0000-0000-00001D180000}"/>
    <cellStyle name="Check Cell 2 3 7" xfId="12524" xr:uid="{00000000-0005-0000-0000-00001E180000}"/>
    <cellStyle name="Check Cell 2 4" xfId="1488" xr:uid="{00000000-0005-0000-0000-00001F180000}"/>
    <cellStyle name="Check Cell 2 4 2" xfId="14154" xr:uid="{00000000-0005-0000-0000-000020180000}"/>
    <cellStyle name="Check Cell 2 4 2 2" xfId="19200" xr:uid="{00000000-0005-0000-0000-000021180000}"/>
    <cellStyle name="Check Cell 2 4 3" xfId="15640" xr:uid="{00000000-0005-0000-0000-000022180000}"/>
    <cellStyle name="Check Cell 2 4 3 2" xfId="21136" xr:uid="{00000000-0005-0000-0000-000023180000}"/>
    <cellStyle name="Check Cell 2 4 4" xfId="15748" xr:uid="{00000000-0005-0000-0000-000024180000}"/>
    <cellStyle name="Check Cell 2 4 4 2" xfId="21242" xr:uid="{00000000-0005-0000-0000-000025180000}"/>
    <cellStyle name="Check Cell 2 4 5" xfId="15918" xr:uid="{00000000-0005-0000-0000-000026180000}"/>
    <cellStyle name="Check Cell 2 4 5 2" xfId="21412" xr:uid="{00000000-0005-0000-0000-000027180000}"/>
    <cellStyle name="Check Cell 2 4 6" xfId="17149" xr:uid="{00000000-0005-0000-0000-000028180000}"/>
    <cellStyle name="Check Cell 2 4 6 2" xfId="22795" xr:uid="{00000000-0005-0000-0000-000029180000}"/>
    <cellStyle name="Check Cell 2 4 7" xfId="12523" xr:uid="{00000000-0005-0000-0000-00002A180000}"/>
    <cellStyle name="Check Cell 2 5" xfId="1489" xr:uid="{00000000-0005-0000-0000-00002B180000}"/>
    <cellStyle name="Check Cell 2 5 2" xfId="14155" xr:uid="{00000000-0005-0000-0000-00002C180000}"/>
    <cellStyle name="Check Cell 2 5 2 2" xfId="19201" xr:uid="{00000000-0005-0000-0000-00002D180000}"/>
    <cellStyle name="Check Cell 2 5 3" xfId="15641" xr:uid="{00000000-0005-0000-0000-00002E180000}"/>
    <cellStyle name="Check Cell 2 5 3 2" xfId="21137" xr:uid="{00000000-0005-0000-0000-00002F180000}"/>
    <cellStyle name="Check Cell 2 5 4" xfId="15747" xr:uid="{00000000-0005-0000-0000-000030180000}"/>
    <cellStyle name="Check Cell 2 5 4 2" xfId="21241" xr:uid="{00000000-0005-0000-0000-000031180000}"/>
    <cellStyle name="Check Cell 2 5 5" xfId="16089" xr:uid="{00000000-0005-0000-0000-000032180000}"/>
    <cellStyle name="Check Cell 2 5 5 2" xfId="21593" xr:uid="{00000000-0005-0000-0000-000033180000}"/>
    <cellStyle name="Check Cell 2 5 6" xfId="17150" xr:uid="{00000000-0005-0000-0000-000034180000}"/>
    <cellStyle name="Check Cell 2 5 6 2" xfId="22796" xr:uid="{00000000-0005-0000-0000-000035180000}"/>
    <cellStyle name="Check Cell 2 5 7" xfId="12522" xr:uid="{00000000-0005-0000-0000-000036180000}"/>
    <cellStyle name="Check Cell 2 6" xfId="1490" xr:uid="{00000000-0005-0000-0000-000037180000}"/>
    <cellStyle name="Check Cell 2 6 2" xfId="14156" xr:uid="{00000000-0005-0000-0000-000038180000}"/>
    <cellStyle name="Check Cell 2 6 2 2" xfId="19202" xr:uid="{00000000-0005-0000-0000-000039180000}"/>
    <cellStyle name="Check Cell 2 6 3" xfId="15642" xr:uid="{00000000-0005-0000-0000-00003A180000}"/>
    <cellStyle name="Check Cell 2 6 3 2" xfId="21138" xr:uid="{00000000-0005-0000-0000-00003B180000}"/>
    <cellStyle name="Check Cell 2 6 4" xfId="15746" xr:uid="{00000000-0005-0000-0000-00003C180000}"/>
    <cellStyle name="Check Cell 2 6 4 2" xfId="21240" xr:uid="{00000000-0005-0000-0000-00003D180000}"/>
    <cellStyle name="Check Cell 2 6 5" xfId="15917" xr:uid="{00000000-0005-0000-0000-00003E180000}"/>
    <cellStyle name="Check Cell 2 6 5 2" xfId="21411" xr:uid="{00000000-0005-0000-0000-00003F180000}"/>
    <cellStyle name="Check Cell 2 6 6" xfId="17151" xr:uid="{00000000-0005-0000-0000-000040180000}"/>
    <cellStyle name="Check Cell 2 6 6 2" xfId="22797" xr:uid="{00000000-0005-0000-0000-000041180000}"/>
    <cellStyle name="Check Cell 2 6 7" xfId="12521" xr:uid="{00000000-0005-0000-0000-000042180000}"/>
    <cellStyle name="Check Cell 2 7" xfId="1491" xr:uid="{00000000-0005-0000-0000-000043180000}"/>
    <cellStyle name="Check Cell 2 7 2" xfId="14157" xr:uid="{00000000-0005-0000-0000-000044180000}"/>
    <cellStyle name="Check Cell 2 7 2 2" xfId="19203" xr:uid="{00000000-0005-0000-0000-000045180000}"/>
    <cellStyle name="Check Cell 2 7 3" xfId="15643" xr:uid="{00000000-0005-0000-0000-000046180000}"/>
    <cellStyle name="Check Cell 2 7 3 2" xfId="21139" xr:uid="{00000000-0005-0000-0000-000047180000}"/>
    <cellStyle name="Check Cell 2 7 4" xfId="15745" xr:uid="{00000000-0005-0000-0000-000048180000}"/>
    <cellStyle name="Check Cell 2 7 4 2" xfId="21239" xr:uid="{00000000-0005-0000-0000-000049180000}"/>
    <cellStyle name="Check Cell 2 7 5" xfId="16088" xr:uid="{00000000-0005-0000-0000-00004A180000}"/>
    <cellStyle name="Check Cell 2 7 5 2" xfId="21592" xr:uid="{00000000-0005-0000-0000-00004B180000}"/>
    <cellStyle name="Check Cell 2 7 6" xfId="17152" xr:uid="{00000000-0005-0000-0000-00004C180000}"/>
    <cellStyle name="Check Cell 2 7 6 2" xfId="22798" xr:uid="{00000000-0005-0000-0000-00004D180000}"/>
    <cellStyle name="Check Cell 2 7 7" xfId="12520" xr:uid="{00000000-0005-0000-0000-00004E180000}"/>
    <cellStyle name="Check Cell 2 8" xfId="1492" xr:uid="{00000000-0005-0000-0000-00004F180000}"/>
    <cellStyle name="Check Cell 2 8 2" xfId="14158" xr:uid="{00000000-0005-0000-0000-000050180000}"/>
    <cellStyle name="Check Cell 2 8 2 2" xfId="19204" xr:uid="{00000000-0005-0000-0000-000051180000}"/>
    <cellStyle name="Check Cell 2 8 3" xfId="15644" xr:uid="{00000000-0005-0000-0000-000052180000}"/>
    <cellStyle name="Check Cell 2 8 3 2" xfId="21140" xr:uid="{00000000-0005-0000-0000-000053180000}"/>
    <cellStyle name="Check Cell 2 8 4" xfId="15744" xr:uid="{00000000-0005-0000-0000-000054180000}"/>
    <cellStyle name="Check Cell 2 8 4 2" xfId="21238" xr:uid="{00000000-0005-0000-0000-000055180000}"/>
    <cellStyle name="Check Cell 2 8 5" xfId="15916" xr:uid="{00000000-0005-0000-0000-000056180000}"/>
    <cellStyle name="Check Cell 2 8 5 2" xfId="21410" xr:uid="{00000000-0005-0000-0000-000057180000}"/>
    <cellStyle name="Check Cell 2 8 6" xfId="17153" xr:uid="{00000000-0005-0000-0000-000058180000}"/>
    <cellStyle name="Check Cell 2 8 6 2" xfId="22799" xr:uid="{00000000-0005-0000-0000-000059180000}"/>
    <cellStyle name="Check Cell 2 8 7" xfId="12519" xr:uid="{00000000-0005-0000-0000-00005A180000}"/>
    <cellStyle name="Check Cell 2 9" xfId="1493" xr:uid="{00000000-0005-0000-0000-00005B180000}"/>
    <cellStyle name="Check Cell 2 9 2" xfId="14159" xr:uid="{00000000-0005-0000-0000-00005C180000}"/>
    <cellStyle name="Check Cell 2 9 2 2" xfId="19205" xr:uid="{00000000-0005-0000-0000-00005D180000}"/>
    <cellStyle name="Check Cell 2 9 3" xfId="15645" xr:uid="{00000000-0005-0000-0000-00005E180000}"/>
    <cellStyle name="Check Cell 2 9 3 2" xfId="21141" xr:uid="{00000000-0005-0000-0000-00005F180000}"/>
    <cellStyle name="Check Cell 2 9 4" xfId="15743" xr:uid="{00000000-0005-0000-0000-000060180000}"/>
    <cellStyle name="Check Cell 2 9 4 2" xfId="21237" xr:uid="{00000000-0005-0000-0000-000061180000}"/>
    <cellStyle name="Check Cell 2 9 5" xfId="16085" xr:uid="{00000000-0005-0000-0000-000062180000}"/>
    <cellStyle name="Check Cell 2 9 5 2" xfId="21589" xr:uid="{00000000-0005-0000-0000-000063180000}"/>
    <cellStyle name="Check Cell 2 9 6" xfId="17154" xr:uid="{00000000-0005-0000-0000-000064180000}"/>
    <cellStyle name="Check Cell 2 9 6 2" xfId="22800" xr:uid="{00000000-0005-0000-0000-000065180000}"/>
    <cellStyle name="Check Cell 2 9 7" xfId="12518" xr:uid="{00000000-0005-0000-0000-000066180000}"/>
    <cellStyle name="Check Cell 20" xfId="42916" xr:uid="{00000000-0005-0000-0000-000067180000}"/>
    <cellStyle name="Check Cell 21" xfId="42917" xr:uid="{00000000-0005-0000-0000-000068180000}"/>
    <cellStyle name="Check Cell 22" xfId="42918" xr:uid="{00000000-0005-0000-0000-000069180000}"/>
    <cellStyle name="Check Cell 23" xfId="42919" xr:uid="{00000000-0005-0000-0000-00006A180000}"/>
    <cellStyle name="Check Cell 24" xfId="42920" xr:uid="{00000000-0005-0000-0000-00006B180000}"/>
    <cellStyle name="Check Cell 25" xfId="42921" xr:uid="{00000000-0005-0000-0000-00006C180000}"/>
    <cellStyle name="Check Cell 26" xfId="42922" xr:uid="{00000000-0005-0000-0000-00006D180000}"/>
    <cellStyle name="Check Cell 27" xfId="42923" xr:uid="{00000000-0005-0000-0000-00006E180000}"/>
    <cellStyle name="Check Cell 28" xfId="42924" xr:uid="{00000000-0005-0000-0000-00006F180000}"/>
    <cellStyle name="Check Cell 29" xfId="42925" xr:uid="{00000000-0005-0000-0000-000070180000}"/>
    <cellStyle name="Check Cell 3" xfId="1494" xr:uid="{00000000-0005-0000-0000-000071180000}"/>
    <cellStyle name="Check Cell 3 10" xfId="1495" xr:uid="{00000000-0005-0000-0000-000072180000}"/>
    <cellStyle name="Check Cell 3 10 2" xfId="14161" xr:uid="{00000000-0005-0000-0000-000073180000}"/>
    <cellStyle name="Check Cell 3 10 2 2" xfId="19207" xr:uid="{00000000-0005-0000-0000-000074180000}"/>
    <cellStyle name="Check Cell 3 10 3" xfId="15647" xr:uid="{00000000-0005-0000-0000-000075180000}"/>
    <cellStyle name="Check Cell 3 10 3 2" xfId="21143" xr:uid="{00000000-0005-0000-0000-000076180000}"/>
    <cellStyle name="Check Cell 3 10 4" xfId="15741" xr:uid="{00000000-0005-0000-0000-000077180000}"/>
    <cellStyle name="Check Cell 3 10 4 2" xfId="21235" xr:uid="{00000000-0005-0000-0000-000078180000}"/>
    <cellStyle name="Check Cell 3 10 5" xfId="15915" xr:uid="{00000000-0005-0000-0000-000079180000}"/>
    <cellStyle name="Check Cell 3 10 5 2" xfId="21409" xr:uid="{00000000-0005-0000-0000-00007A180000}"/>
    <cellStyle name="Check Cell 3 10 6" xfId="17156" xr:uid="{00000000-0005-0000-0000-00007B180000}"/>
    <cellStyle name="Check Cell 3 10 6 2" xfId="22802" xr:uid="{00000000-0005-0000-0000-00007C180000}"/>
    <cellStyle name="Check Cell 3 10 7" xfId="12516" xr:uid="{00000000-0005-0000-0000-00007D180000}"/>
    <cellStyle name="Check Cell 3 11" xfId="1496" xr:uid="{00000000-0005-0000-0000-00007E180000}"/>
    <cellStyle name="Check Cell 3 11 2" xfId="14162" xr:uid="{00000000-0005-0000-0000-00007F180000}"/>
    <cellStyle name="Check Cell 3 11 2 2" xfId="19208" xr:uid="{00000000-0005-0000-0000-000080180000}"/>
    <cellStyle name="Check Cell 3 11 3" xfId="15648" xr:uid="{00000000-0005-0000-0000-000081180000}"/>
    <cellStyle name="Check Cell 3 11 3 2" xfId="21144" xr:uid="{00000000-0005-0000-0000-000082180000}"/>
    <cellStyle name="Check Cell 3 11 4" xfId="15740" xr:uid="{00000000-0005-0000-0000-000083180000}"/>
    <cellStyle name="Check Cell 3 11 4 2" xfId="21234" xr:uid="{00000000-0005-0000-0000-000084180000}"/>
    <cellStyle name="Check Cell 3 11 5" xfId="16086" xr:uid="{00000000-0005-0000-0000-000085180000}"/>
    <cellStyle name="Check Cell 3 11 5 2" xfId="21590" xr:uid="{00000000-0005-0000-0000-000086180000}"/>
    <cellStyle name="Check Cell 3 11 6" xfId="17157" xr:uid="{00000000-0005-0000-0000-000087180000}"/>
    <cellStyle name="Check Cell 3 11 6 2" xfId="22803" xr:uid="{00000000-0005-0000-0000-000088180000}"/>
    <cellStyle name="Check Cell 3 11 7" xfId="12515" xr:uid="{00000000-0005-0000-0000-000089180000}"/>
    <cellStyle name="Check Cell 3 12" xfId="14160" xr:uid="{00000000-0005-0000-0000-00008A180000}"/>
    <cellStyle name="Check Cell 3 12 2" xfId="19206" xr:uid="{00000000-0005-0000-0000-00008B180000}"/>
    <cellStyle name="Check Cell 3 13" xfId="15646" xr:uid="{00000000-0005-0000-0000-00008C180000}"/>
    <cellStyle name="Check Cell 3 13 2" xfId="21142" xr:uid="{00000000-0005-0000-0000-00008D180000}"/>
    <cellStyle name="Check Cell 3 14" xfId="15742" xr:uid="{00000000-0005-0000-0000-00008E180000}"/>
    <cellStyle name="Check Cell 3 14 2" xfId="21236" xr:uid="{00000000-0005-0000-0000-00008F180000}"/>
    <cellStyle name="Check Cell 3 15" xfId="16087" xr:uid="{00000000-0005-0000-0000-000090180000}"/>
    <cellStyle name="Check Cell 3 15 2" xfId="21591" xr:uid="{00000000-0005-0000-0000-000091180000}"/>
    <cellStyle name="Check Cell 3 16" xfId="17155" xr:uid="{00000000-0005-0000-0000-000092180000}"/>
    <cellStyle name="Check Cell 3 16 2" xfId="22801" xr:uid="{00000000-0005-0000-0000-000093180000}"/>
    <cellStyle name="Check Cell 3 17" xfId="12517" xr:uid="{00000000-0005-0000-0000-000094180000}"/>
    <cellStyle name="Check Cell 3 2" xfId="1497" xr:uid="{00000000-0005-0000-0000-000095180000}"/>
    <cellStyle name="Check Cell 3 2 2" xfId="14163" xr:uid="{00000000-0005-0000-0000-000096180000}"/>
    <cellStyle name="Check Cell 3 2 2 2" xfId="19209" xr:uid="{00000000-0005-0000-0000-000097180000}"/>
    <cellStyle name="Check Cell 3 2 3" xfId="15649" xr:uid="{00000000-0005-0000-0000-000098180000}"/>
    <cellStyle name="Check Cell 3 2 3 2" xfId="21145" xr:uid="{00000000-0005-0000-0000-000099180000}"/>
    <cellStyle name="Check Cell 3 2 4" xfId="15739" xr:uid="{00000000-0005-0000-0000-00009A180000}"/>
    <cellStyle name="Check Cell 3 2 4 2" xfId="21233" xr:uid="{00000000-0005-0000-0000-00009B180000}"/>
    <cellStyle name="Check Cell 3 2 5" xfId="15914" xr:uid="{00000000-0005-0000-0000-00009C180000}"/>
    <cellStyle name="Check Cell 3 2 5 2" xfId="21408" xr:uid="{00000000-0005-0000-0000-00009D180000}"/>
    <cellStyle name="Check Cell 3 2 6" xfId="17158" xr:uid="{00000000-0005-0000-0000-00009E180000}"/>
    <cellStyle name="Check Cell 3 2 6 2" xfId="22804" xr:uid="{00000000-0005-0000-0000-00009F180000}"/>
    <cellStyle name="Check Cell 3 2 7" xfId="12514" xr:uid="{00000000-0005-0000-0000-0000A0180000}"/>
    <cellStyle name="Check Cell 3 3" xfId="1498" xr:uid="{00000000-0005-0000-0000-0000A1180000}"/>
    <cellStyle name="Check Cell 3 3 2" xfId="14164" xr:uid="{00000000-0005-0000-0000-0000A2180000}"/>
    <cellStyle name="Check Cell 3 3 2 2" xfId="19210" xr:uid="{00000000-0005-0000-0000-0000A3180000}"/>
    <cellStyle name="Check Cell 3 3 3" xfId="15650" xr:uid="{00000000-0005-0000-0000-0000A4180000}"/>
    <cellStyle name="Check Cell 3 3 3 2" xfId="21146" xr:uid="{00000000-0005-0000-0000-0000A5180000}"/>
    <cellStyle name="Check Cell 3 3 4" xfId="15738" xr:uid="{00000000-0005-0000-0000-0000A6180000}"/>
    <cellStyle name="Check Cell 3 3 4 2" xfId="21232" xr:uid="{00000000-0005-0000-0000-0000A7180000}"/>
    <cellStyle name="Check Cell 3 3 5" xfId="15913" xr:uid="{00000000-0005-0000-0000-0000A8180000}"/>
    <cellStyle name="Check Cell 3 3 5 2" xfId="21407" xr:uid="{00000000-0005-0000-0000-0000A9180000}"/>
    <cellStyle name="Check Cell 3 3 6" xfId="17159" xr:uid="{00000000-0005-0000-0000-0000AA180000}"/>
    <cellStyle name="Check Cell 3 3 6 2" xfId="22805" xr:uid="{00000000-0005-0000-0000-0000AB180000}"/>
    <cellStyle name="Check Cell 3 3 7" xfId="12513" xr:uid="{00000000-0005-0000-0000-0000AC180000}"/>
    <cellStyle name="Check Cell 3 4" xfId="1499" xr:uid="{00000000-0005-0000-0000-0000AD180000}"/>
    <cellStyle name="Check Cell 3 4 2" xfId="14165" xr:uid="{00000000-0005-0000-0000-0000AE180000}"/>
    <cellStyle name="Check Cell 3 4 2 2" xfId="19211" xr:uid="{00000000-0005-0000-0000-0000AF180000}"/>
    <cellStyle name="Check Cell 3 4 3" xfId="15651" xr:uid="{00000000-0005-0000-0000-0000B0180000}"/>
    <cellStyle name="Check Cell 3 4 3 2" xfId="21147" xr:uid="{00000000-0005-0000-0000-0000B1180000}"/>
    <cellStyle name="Check Cell 3 4 4" xfId="15737" xr:uid="{00000000-0005-0000-0000-0000B2180000}"/>
    <cellStyle name="Check Cell 3 4 4 2" xfId="21231" xr:uid="{00000000-0005-0000-0000-0000B3180000}"/>
    <cellStyle name="Check Cell 3 4 5" xfId="16084" xr:uid="{00000000-0005-0000-0000-0000B4180000}"/>
    <cellStyle name="Check Cell 3 4 5 2" xfId="21588" xr:uid="{00000000-0005-0000-0000-0000B5180000}"/>
    <cellStyle name="Check Cell 3 4 6" xfId="17160" xr:uid="{00000000-0005-0000-0000-0000B6180000}"/>
    <cellStyle name="Check Cell 3 4 6 2" xfId="22806" xr:uid="{00000000-0005-0000-0000-0000B7180000}"/>
    <cellStyle name="Check Cell 3 4 7" xfId="12512" xr:uid="{00000000-0005-0000-0000-0000B8180000}"/>
    <cellStyle name="Check Cell 3 5" xfId="1500" xr:uid="{00000000-0005-0000-0000-0000B9180000}"/>
    <cellStyle name="Check Cell 3 5 2" xfId="14166" xr:uid="{00000000-0005-0000-0000-0000BA180000}"/>
    <cellStyle name="Check Cell 3 5 2 2" xfId="19212" xr:uid="{00000000-0005-0000-0000-0000BB180000}"/>
    <cellStyle name="Check Cell 3 5 3" xfId="15652" xr:uid="{00000000-0005-0000-0000-0000BC180000}"/>
    <cellStyle name="Check Cell 3 5 3 2" xfId="21148" xr:uid="{00000000-0005-0000-0000-0000BD180000}"/>
    <cellStyle name="Check Cell 3 5 4" xfId="15736" xr:uid="{00000000-0005-0000-0000-0000BE180000}"/>
    <cellStyle name="Check Cell 3 5 4 2" xfId="21230" xr:uid="{00000000-0005-0000-0000-0000BF180000}"/>
    <cellStyle name="Check Cell 3 5 5" xfId="15912" xr:uid="{00000000-0005-0000-0000-0000C0180000}"/>
    <cellStyle name="Check Cell 3 5 5 2" xfId="21406" xr:uid="{00000000-0005-0000-0000-0000C1180000}"/>
    <cellStyle name="Check Cell 3 5 6" xfId="17161" xr:uid="{00000000-0005-0000-0000-0000C2180000}"/>
    <cellStyle name="Check Cell 3 5 6 2" xfId="22807" xr:uid="{00000000-0005-0000-0000-0000C3180000}"/>
    <cellStyle name="Check Cell 3 5 7" xfId="12511" xr:uid="{00000000-0005-0000-0000-0000C4180000}"/>
    <cellStyle name="Check Cell 3 6" xfId="1501" xr:uid="{00000000-0005-0000-0000-0000C5180000}"/>
    <cellStyle name="Check Cell 3 6 2" xfId="14167" xr:uid="{00000000-0005-0000-0000-0000C6180000}"/>
    <cellStyle name="Check Cell 3 6 2 2" xfId="19213" xr:uid="{00000000-0005-0000-0000-0000C7180000}"/>
    <cellStyle name="Check Cell 3 6 3" xfId="15653" xr:uid="{00000000-0005-0000-0000-0000C8180000}"/>
    <cellStyle name="Check Cell 3 6 3 2" xfId="21149" xr:uid="{00000000-0005-0000-0000-0000C9180000}"/>
    <cellStyle name="Check Cell 3 6 4" xfId="15735" xr:uid="{00000000-0005-0000-0000-0000CA180000}"/>
    <cellStyle name="Check Cell 3 6 4 2" xfId="21229" xr:uid="{00000000-0005-0000-0000-0000CB180000}"/>
    <cellStyle name="Check Cell 3 6 5" xfId="15911" xr:uid="{00000000-0005-0000-0000-0000CC180000}"/>
    <cellStyle name="Check Cell 3 6 5 2" xfId="21405" xr:uid="{00000000-0005-0000-0000-0000CD180000}"/>
    <cellStyle name="Check Cell 3 6 6" xfId="17162" xr:uid="{00000000-0005-0000-0000-0000CE180000}"/>
    <cellStyle name="Check Cell 3 6 6 2" xfId="22808" xr:uid="{00000000-0005-0000-0000-0000CF180000}"/>
    <cellStyle name="Check Cell 3 6 7" xfId="12510" xr:uid="{00000000-0005-0000-0000-0000D0180000}"/>
    <cellStyle name="Check Cell 3 7" xfId="1502" xr:uid="{00000000-0005-0000-0000-0000D1180000}"/>
    <cellStyle name="Check Cell 3 7 2" xfId="14168" xr:uid="{00000000-0005-0000-0000-0000D2180000}"/>
    <cellStyle name="Check Cell 3 7 2 2" xfId="19214" xr:uid="{00000000-0005-0000-0000-0000D3180000}"/>
    <cellStyle name="Check Cell 3 7 3" xfId="15654" xr:uid="{00000000-0005-0000-0000-0000D4180000}"/>
    <cellStyle name="Check Cell 3 7 3 2" xfId="21150" xr:uid="{00000000-0005-0000-0000-0000D5180000}"/>
    <cellStyle name="Check Cell 3 7 4" xfId="15734" xr:uid="{00000000-0005-0000-0000-0000D6180000}"/>
    <cellStyle name="Check Cell 3 7 4 2" xfId="21228" xr:uid="{00000000-0005-0000-0000-0000D7180000}"/>
    <cellStyle name="Check Cell 3 7 5" xfId="15910" xr:uid="{00000000-0005-0000-0000-0000D8180000}"/>
    <cellStyle name="Check Cell 3 7 5 2" xfId="21404" xr:uid="{00000000-0005-0000-0000-0000D9180000}"/>
    <cellStyle name="Check Cell 3 7 6" xfId="17163" xr:uid="{00000000-0005-0000-0000-0000DA180000}"/>
    <cellStyle name="Check Cell 3 7 6 2" xfId="22809" xr:uid="{00000000-0005-0000-0000-0000DB180000}"/>
    <cellStyle name="Check Cell 3 7 7" xfId="12509" xr:uid="{00000000-0005-0000-0000-0000DC180000}"/>
    <cellStyle name="Check Cell 3 8" xfId="1503" xr:uid="{00000000-0005-0000-0000-0000DD180000}"/>
    <cellStyle name="Check Cell 3 8 2" xfId="14169" xr:uid="{00000000-0005-0000-0000-0000DE180000}"/>
    <cellStyle name="Check Cell 3 8 2 2" xfId="19215" xr:uid="{00000000-0005-0000-0000-0000DF180000}"/>
    <cellStyle name="Check Cell 3 8 3" xfId="15655" xr:uid="{00000000-0005-0000-0000-0000E0180000}"/>
    <cellStyle name="Check Cell 3 8 3 2" xfId="21151" xr:uid="{00000000-0005-0000-0000-0000E1180000}"/>
    <cellStyle name="Check Cell 3 8 4" xfId="15733" xr:uid="{00000000-0005-0000-0000-0000E2180000}"/>
    <cellStyle name="Check Cell 3 8 4 2" xfId="21227" xr:uid="{00000000-0005-0000-0000-0000E3180000}"/>
    <cellStyle name="Check Cell 3 8 5" xfId="15094" xr:uid="{00000000-0005-0000-0000-0000E4180000}"/>
    <cellStyle name="Check Cell 3 8 5 2" xfId="20480" xr:uid="{00000000-0005-0000-0000-0000E5180000}"/>
    <cellStyle name="Check Cell 3 8 6" xfId="17164" xr:uid="{00000000-0005-0000-0000-0000E6180000}"/>
    <cellStyle name="Check Cell 3 8 6 2" xfId="22810" xr:uid="{00000000-0005-0000-0000-0000E7180000}"/>
    <cellStyle name="Check Cell 3 8 7" xfId="12508" xr:uid="{00000000-0005-0000-0000-0000E8180000}"/>
    <cellStyle name="Check Cell 3 9" xfId="1504" xr:uid="{00000000-0005-0000-0000-0000E9180000}"/>
    <cellStyle name="Check Cell 3 9 2" xfId="14170" xr:uid="{00000000-0005-0000-0000-0000EA180000}"/>
    <cellStyle name="Check Cell 3 9 2 2" xfId="19216" xr:uid="{00000000-0005-0000-0000-0000EB180000}"/>
    <cellStyle name="Check Cell 3 9 3" xfId="15656" xr:uid="{00000000-0005-0000-0000-0000EC180000}"/>
    <cellStyle name="Check Cell 3 9 3 2" xfId="21152" xr:uid="{00000000-0005-0000-0000-0000ED180000}"/>
    <cellStyle name="Check Cell 3 9 4" xfId="15732" xr:uid="{00000000-0005-0000-0000-0000EE180000}"/>
    <cellStyle name="Check Cell 3 9 4 2" xfId="21226" xr:uid="{00000000-0005-0000-0000-0000EF180000}"/>
    <cellStyle name="Check Cell 3 9 5" xfId="15909" xr:uid="{00000000-0005-0000-0000-0000F0180000}"/>
    <cellStyle name="Check Cell 3 9 5 2" xfId="21403" xr:uid="{00000000-0005-0000-0000-0000F1180000}"/>
    <cellStyle name="Check Cell 3 9 6" xfId="17165" xr:uid="{00000000-0005-0000-0000-0000F2180000}"/>
    <cellStyle name="Check Cell 3 9 6 2" xfId="22811" xr:uid="{00000000-0005-0000-0000-0000F3180000}"/>
    <cellStyle name="Check Cell 3 9 7" xfId="12507" xr:uid="{00000000-0005-0000-0000-0000F4180000}"/>
    <cellStyle name="Check Cell 30" xfId="42926" xr:uid="{00000000-0005-0000-0000-0000F5180000}"/>
    <cellStyle name="Check Cell 31" xfId="42927" xr:uid="{00000000-0005-0000-0000-0000F6180000}"/>
    <cellStyle name="Check Cell 32" xfId="42928" xr:uid="{00000000-0005-0000-0000-0000F7180000}"/>
    <cellStyle name="Check Cell 33" xfId="42929" xr:uid="{00000000-0005-0000-0000-0000F8180000}"/>
    <cellStyle name="Check Cell 34" xfId="42930" xr:uid="{00000000-0005-0000-0000-0000F9180000}"/>
    <cellStyle name="Check Cell 35" xfId="42931" xr:uid="{00000000-0005-0000-0000-0000FA180000}"/>
    <cellStyle name="Check Cell 36" xfId="42932" xr:uid="{00000000-0005-0000-0000-0000FB180000}"/>
    <cellStyle name="Check Cell 37" xfId="42933" xr:uid="{00000000-0005-0000-0000-0000FC180000}"/>
    <cellStyle name="Check Cell 38" xfId="42934" xr:uid="{00000000-0005-0000-0000-0000FD180000}"/>
    <cellStyle name="Check Cell 39" xfId="42935" xr:uid="{00000000-0005-0000-0000-0000FE180000}"/>
    <cellStyle name="Check Cell 4" xfId="1505" xr:uid="{00000000-0005-0000-0000-0000FF180000}"/>
    <cellStyle name="Check Cell 4 10" xfId="1506" xr:uid="{00000000-0005-0000-0000-000000190000}"/>
    <cellStyle name="Check Cell 4 10 2" xfId="14172" xr:uid="{00000000-0005-0000-0000-000001190000}"/>
    <cellStyle name="Check Cell 4 10 2 2" xfId="19218" xr:uid="{00000000-0005-0000-0000-000002190000}"/>
    <cellStyle name="Check Cell 4 10 3" xfId="15658" xr:uid="{00000000-0005-0000-0000-000003190000}"/>
    <cellStyle name="Check Cell 4 10 3 2" xfId="21154" xr:uid="{00000000-0005-0000-0000-000004190000}"/>
    <cellStyle name="Check Cell 4 10 4" xfId="15730" xr:uid="{00000000-0005-0000-0000-000005190000}"/>
    <cellStyle name="Check Cell 4 10 4 2" xfId="21224" xr:uid="{00000000-0005-0000-0000-000006190000}"/>
    <cellStyle name="Check Cell 4 10 5" xfId="15907" xr:uid="{00000000-0005-0000-0000-000007190000}"/>
    <cellStyle name="Check Cell 4 10 5 2" xfId="21401" xr:uid="{00000000-0005-0000-0000-000008190000}"/>
    <cellStyle name="Check Cell 4 10 6" xfId="17167" xr:uid="{00000000-0005-0000-0000-000009190000}"/>
    <cellStyle name="Check Cell 4 10 6 2" xfId="22813" xr:uid="{00000000-0005-0000-0000-00000A190000}"/>
    <cellStyle name="Check Cell 4 10 7" xfId="12505" xr:uid="{00000000-0005-0000-0000-00000B190000}"/>
    <cellStyle name="Check Cell 4 11" xfId="1507" xr:uid="{00000000-0005-0000-0000-00000C190000}"/>
    <cellStyle name="Check Cell 4 11 2" xfId="14173" xr:uid="{00000000-0005-0000-0000-00000D190000}"/>
    <cellStyle name="Check Cell 4 11 2 2" xfId="19219" xr:uid="{00000000-0005-0000-0000-00000E190000}"/>
    <cellStyle name="Check Cell 4 11 3" xfId="15659" xr:uid="{00000000-0005-0000-0000-00000F190000}"/>
    <cellStyle name="Check Cell 4 11 3 2" xfId="21155" xr:uid="{00000000-0005-0000-0000-000010190000}"/>
    <cellStyle name="Check Cell 4 11 4" xfId="15729" xr:uid="{00000000-0005-0000-0000-000011190000}"/>
    <cellStyle name="Check Cell 4 11 4 2" xfId="21223" xr:uid="{00000000-0005-0000-0000-000012190000}"/>
    <cellStyle name="Check Cell 4 11 5" xfId="15906" xr:uid="{00000000-0005-0000-0000-000013190000}"/>
    <cellStyle name="Check Cell 4 11 5 2" xfId="21400" xr:uid="{00000000-0005-0000-0000-000014190000}"/>
    <cellStyle name="Check Cell 4 11 6" xfId="17168" xr:uid="{00000000-0005-0000-0000-000015190000}"/>
    <cellStyle name="Check Cell 4 11 6 2" xfId="22814" xr:uid="{00000000-0005-0000-0000-000016190000}"/>
    <cellStyle name="Check Cell 4 11 7" xfId="12504" xr:uid="{00000000-0005-0000-0000-000017190000}"/>
    <cellStyle name="Check Cell 4 12" xfId="14171" xr:uid="{00000000-0005-0000-0000-000018190000}"/>
    <cellStyle name="Check Cell 4 12 2" xfId="19217" xr:uid="{00000000-0005-0000-0000-000019190000}"/>
    <cellStyle name="Check Cell 4 13" xfId="15657" xr:uid="{00000000-0005-0000-0000-00001A190000}"/>
    <cellStyle name="Check Cell 4 13 2" xfId="21153" xr:uid="{00000000-0005-0000-0000-00001B190000}"/>
    <cellStyle name="Check Cell 4 14" xfId="15731" xr:uid="{00000000-0005-0000-0000-00001C190000}"/>
    <cellStyle name="Check Cell 4 14 2" xfId="21225" xr:uid="{00000000-0005-0000-0000-00001D190000}"/>
    <cellStyle name="Check Cell 4 15" xfId="15908" xr:uid="{00000000-0005-0000-0000-00001E190000}"/>
    <cellStyle name="Check Cell 4 15 2" xfId="21402" xr:uid="{00000000-0005-0000-0000-00001F190000}"/>
    <cellStyle name="Check Cell 4 16" xfId="17166" xr:uid="{00000000-0005-0000-0000-000020190000}"/>
    <cellStyle name="Check Cell 4 16 2" xfId="22812" xr:uid="{00000000-0005-0000-0000-000021190000}"/>
    <cellStyle name="Check Cell 4 17" xfId="12506" xr:uid="{00000000-0005-0000-0000-000022190000}"/>
    <cellStyle name="Check Cell 4 2" xfId="1508" xr:uid="{00000000-0005-0000-0000-000023190000}"/>
    <cellStyle name="Check Cell 4 2 2" xfId="14174" xr:uid="{00000000-0005-0000-0000-000024190000}"/>
    <cellStyle name="Check Cell 4 2 2 2" xfId="19220" xr:uid="{00000000-0005-0000-0000-000025190000}"/>
    <cellStyle name="Check Cell 4 2 3" xfId="15660" xr:uid="{00000000-0005-0000-0000-000026190000}"/>
    <cellStyle name="Check Cell 4 2 3 2" xfId="21156" xr:uid="{00000000-0005-0000-0000-000027190000}"/>
    <cellStyle name="Check Cell 4 2 4" xfId="15728" xr:uid="{00000000-0005-0000-0000-000028190000}"/>
    <cellStyle name="Check Cell 4 2 4 2" xfId="21222" xr:uid="{00000000-0005-0000-0000-000029190000}"/>
    <cellStyle name="Check Cell 4 2 5" xfId="15905" xr:uid="{00000000-0005-0000-0000-00002A190000}"/>
    <cellStyle name="Check Cell 4 2 5 2" xfId="21399" xr:uid="{00000000-0005-0000-0000-00002B190000}"/>
    <cellStyle name="Check Cell 4 2 6" xfId="17169" xr:uid="{00000000-0005-0000-0000-00002C190000}"/>
    <cellStyle name="Check Cell 4 2 6 2" xfId="22815" xr:uid="{00000000-0005-0000-0000-00002D190000}"/>
    <cellStyle name="Check Cell 4 2 7" xfId="12503" xr:uid="{00000000-0005-0000-0000-00002E190000}"/>
    <cellStyle name="Check Cell 4 3" xfId="1509" xr:uid="{00000000-0005-0000-0000-00002F190000}"/>
    <cellStyle name="Check Cell 4 3 2" xfId="14175" xr:uid="{00000000-0005-0000-0000-000030190000}"/>
    <cellStyle name="Check Cell 4 3 2 2" xfId="19221" xr:uid="{00000000-0005-0000-0000-000031190000}"/>
    <cellStyle name="Check Cell 4 3 3" xfId="15661" xr:uid="{00000000-0005-0000-0000-000032190000}"/>
    <cellStyle name="Check Cell 4 3 3 2" xfId="21157" xr:uid="{00000000-0005-0000-0000-000033190000}"/>
    <cellStyle name="Check Cell 4 3 4" xfId="15727" xr:uid="{00000000-0005-0000-0000-000034190000}"/>
    <cellStyle name="Check Cell 4 3 4 2" xfId="21221" xr:uid="{00000000-0005-0000-0000-000035190000}"/>
    <cellStyle name="Check Cell 4 3 5" xfId="15904" xr:uid="{00000000-0005-0000-0000-000036190000}"/>
    <cellStyle name="Check Cell 4 3 5 2" xfId="21398" xr:uid="{00000000-0005-0000-0000-000037190000}"/>
    <cellStyle name="Check Cell 4 3 6" xfId="17170" xr:uid="{00000000-0005-0000-0000-000038190000}"/>
    <cellStyle name="Check Cell 4 3 6 2" xfId="22816" xr:uid="{00000000-0005-0000-0000-000039190000}"/>
    <cellStyle name="Check Cell 4 3 7" xfId="12502" xr:uid="{00000000-0005-0000-0000-00003A190000}"/>
    <cellStyle name="Check Cell 4 4" xfId="1510" xr:uid="{00000000-0005-0000-0000-00003B190000}"/>
    <cellStyle name="Check Cell 4 4 2" xfId="14176" xr:uid="{00000000-0005-0000-0000-00003C190000}"/>
    <cellStyle name="Check Cell 4 4 2 2" xfId="19222" xr:uid="{00000000-0005-0000-0000-00003D190000}"/>
    <cellStyle name="Check Cell 4 4 3" xfId="15662" xr:uid="{00000000-0005-0000-0000-00003E190000}"/>
    <cellStyle name="Check Cell 4 4 3 2" xfId="21158" xr:uid="{00000000-0005-0000-0000-00003F190000}"/>
    <cellStyle name="Check Cell 4 4 4" xfId="15726" xr:uid="{00000000-0005-0000-0000-000040190000}"/>
    <cellStyle name="Check Cell 4 4 4 2" xfId="21220" xr:uid="{00000000-0005-0000-0000-000041190000}"/>
    <cellStyle name="Check Cell 4 4 5" xfId="15903" xr:uid="{00000000-0005-0000-0000-000042190000}"/>
    <cellStyle name="Check Cell 4 4 5 2" xfId="21397" xr:uid="{00000000-0005-0000-0000-000043190000}"/>
    <cellStyle name="Check Cell 4 4 6" xfId="17171" xr:uid="{00000000-0005-0000-0000-000044190000}"/>
    <cellStyle name="Check Cell 4 4 6 2" xfId="22817" xr:uid="{00000000-0005-0000-0000-000045190000}"/>
    <cellStyle name="Check Cell 4 4 7" xfId="12501" xr:uid="{00000000-0005-0000-0000-000046190000}"/>
    <cellStyle name="Check Cell 4 5" xfId="1511" xr:uid="{00000000-0005-0000-0000-000047190000}"/>
    <cellStyle name="Check Cell 4 5 2" xfId="14177" xr:uid="{00000000-0005-0000-0000-000048190000}"/>
    <cellStyle name="Check Cell 4 5 2 2" xfId="19223" xr:uid="{00000000-0005-0000-0000-000049190000}"/>
    <cellStyle name="Check Cell 4 5 3" xfId="15663" xr:uid="{00000000-0005-0000-0000-00004A190000}"/>
    <cellStyle name="Check Cell 4 5 3 2" xfId="21159" xr:uid="{00000000-0005-0000-0000-00004B190000}"/>
    <cellStyle name="Check Cell 4 5 4" xfId="15725" xr:uid="{00000000-0005-0000-0000-00004C190000}"/>
    <cellStyle name="Check Cell 4 5 4 2" xfId="21219" xr:uid="{00000000-0005-0000-0000-00004D190000}"/>
    <cellStyle name="Check Cell 4 5 5" xfId="15902" xr:uid="{00000000-0005-0000-0000-00004E190000}"/>
    <cellStyle name="Check Cell 4 5 5 2" xfId="21396" xr:uid="{00000000-0005-0000-0000-00004F190000}"/>
    <cellStyle name="Check Cell 4 5 6" xfId="17172" xr:uid="{00000000-0005-0000-0000-000050190000}"/>
    <cellStyle name="Check Cell 4 5 6 2" xfId="22818" xr:uid="{00000000-0005-0000-0000-000051190000}"/>
    <cellStyle name="Check Cell 4 5 7" xfId="12500" xr:uid="{00000000-0005-0000-0000-000052190000}"/>
    <cellStyle name="Check Cell 4 6" xfId="1512" xr:uid="{00000000-0005-0000-0000-000053190000}"/>
    <cellStyle name="Check Cell 4 6 2" xfId="14178" xr:uid="{00000000-0005-0000-0000-000054190000}"/>
    <cellStyle name="Check Cell 4 6 2 2" xfId="19224" xr:uid="{00000000-0005-0000-0000-000055190000}"/>
    <cellStyle name="Check Cell 4 6 3" xfId="15664" xr:uid="{00000000-0005-0000-0000-000056190000}"/>
    <cellStyle name="Check Cell 4 6 3 2" xfId="21160" xr:uid="{00000000-0005-0000-0000-000057190000}"/>
    <cellStyle name="Check Cell 4 6 4" xfId="15724" xr:uid="{00000000-0005-0000-0000-000058190000}"/>
    <cellStyle name="Check Cell 4 6 4 2" xfId="21218" xr:uid="{00000000-0005-0000-0000-000059190000}"/>
    <cellStyle name="Check Cell 4 6 5" xfId="15901" xr:uid="{00000000-0005-0000-0000-00005A190000}"/>
    <cellStyle name="Check Cell 4 6 5 2" xfId="21395" xr:uid="{00000000-0005-0000-0000-00005B190000}"/>
    <cellStyle name="Check Cell 4 6 6" xfId="17173" xr:uid="{00000000-0005-0000-0000-00005C190000}"/>
    <cellStyle name="Check Cell 4 6 6 2" xfId="22819" xr:uid="{00000000-0005-0000-0000-00005D190000}"/>
    <cellStyle name="Check Cell 4 6 7" xfId="12499" xr:uid="{00000000-0005-0000-0000-00005E190000}"/>
    <cellStyle name="Check Cell 4 7" xfId="1513" xr:uid="{00000000-0005-0000-0000-00005F190000}"/>
    <cellStyle name="Check Cell 4 7 2" xfId="14179" xr:uid="{00000000-0005-0000-0000-000060190000}"/>
    <cellStyle name="Check Cell 4 7 2 2" xfId="19225" xr:uid="{00000000-0005-0000-0000-000061190000}"/>
    <cellStyle name="Check Cell 4 7 3" xfId="15665" xr:uid="{00000000-0005-0000-0000-000062190000}"/>
    <cellStyle name="Check Cell 4 7 3 2" xfId="21161" xr:uid="{00000000-0005-0000-0000-000063190000}"/>
    <cellStyle name="Check Cell 4 7 4" xfId="15723" xr:uid="{00000000-0005-0000-0000-000064190000}"/>
    <cellStyle name="Check Cell 4 7 4 2" xfId="21217" xr:uid="{00000000-0005-0000-0000-000065190000}"/>
    <cellStyle name="Check Cell 4 7 5" xfId="16067" xr:uid="{00000000-0005-0000-0000-000066190000}"/>
    <cellStyle name="Check Cell 4 7 5 2" xfId="21575" xr:uid="{00000000-0005-0000-0000-000067190000}"/>
    <cellStyle name="Check Cell 4 7 6" xfId="17174" xr:uid="{00000000-0005-0000-0000-000068190000}"/>
    <cellStyle name="Check Cell 4 7 6 2" xfId="22820" xr:uid="{00000000-0005-0000-0000-000069190000}"/>
    <cellStyle name="Check Cell 4 7 7" xfId="12498" xr:uid="{00000000-0005-0000-0000-00006A190000}"/>
    <cellStyle name="Check Cell 4 8" xfId="1514" xr:uid="{00000000-0005-0000-0000-00006B190000}"/>
    <cellStyle name="Check Cell 4 8 2" xfId="14180" xr:uid="{00000000-0005-0000-0000-00006C190000}"/>
    <cellStyle name="Check Cell 4 8 2 2" xfId="19226" xr:uid="{00000000-0005-0000-0000-00006D190000}"/>
    <cellStyle name="Check Cell 4 8 3" xfId="15666" xr:uid="{00000000-0005-0000-0000-00006E190000}"/>
    <cellStyle name="Check Cell 4 8 3 2" xfId="21162" xr:uid="{00000000-0005-0000-0000-00006F190000}"/>
    <cellStyle name="Check Cell 4 8 4" xfId="15722" xr:uid="{00000000-0005-0000-0000-000070190000}"/>
    <cellStyle name="Check Cell 4 8 4 2" xfId="21216" xr:uid="{00000000-0005-0000-0000-000071190000}"/>
    <cellStyle name="Check Cell 4 8 5" xfId="15900" xr:uid="{00000000-0005-0000-0000-000072190000}"/>
    <cellStyle name="Check Cell 4 8 5 2" xfId="21394" xr:uid="{00000000-0005-0000-0000-000073190000}"/>
    <cellStyle name="Check Cell 4 8 6" xfId="17175" xr:uid="{00000000-0005-0000-0000-000074190000}"/>
    <cellStyle name="Check Cell 4 8 6 2" xfId="22821" xr:uid="{00000000-0005-0000-0000-000075190000}"/>
    <cellStyle name="Check Cell 4 8 7" xfId="12497" xr:uid="{00000000-0005-0000-0000-000076190000}"/>
    <cellStyle name="Check Cell 4 9" xfId="1515" xr:uid="{00000000-0005-0000-0000-000077190000}"/>
    <cellStyle name="Check Cell 4 9 2" xfId="14181" xr:uid="{00000000-0005-0000-0000-000078190000}"/>
    <cellStyle name="Check Cell 4 9 2 2" xfId="19227" xr:uid="{00000000-0005-0000-0000-000079190000}"/>
    <cellStyle name="Check Cell 4 9 3" xfId="15667" xr:uid="{00000000-0005-0000-0000-00007A190000}"/>
    <cellStyle name="Check Cell 4 9 3 2" xfId="21163" xr:uid="{00000000-0005-0000-0000-00007B190000}"/>
    <cellStyle name="Check Cell 4 9 4" xfId="15721" xr:uid="{00000000-0005-0000-0000-00007C190000}"/>
    <cellStyle name="Check Cell 4 9 4 2" xfId="21215" xr:uid="{00000000-0005-0000-0000-00007D190000}"/>
    <cellStyle name="Check Cell 4 9 5" xfId="15899" xr:uid="{00000000-0005-0000-0000-00007E190000}"/>
    <cellStyle name="Check Cell 4 9 5 2" xfId="21393" xr:uid="{00000000-0005-0000-0000-00007F190000}"/>
    <cellStyle name="Check Cell 4 9 6" xfId="17176" xr:uid="{00000000-0005-0000-0000-000080190000}"/>
    <cellStyle name="Check Cell 4 9 6 2" xfId="22822" xr:uid="{00000000-0005-0000-0000-000081190000}"/>
    <cellStyle name="Check Cell 4 9 7" xfId="12496" xr:uid="{00000000-0005-0000-0000-000082190000}"/>
    <cellStyle name="Check Cell 40" xfId="42936" xr:uid="{00000000-0005-0000-0000-000083190000}"/>
    <cellStyle name="Check Cell 41" xfId="42937" xr:uid="{00000000-0005-0000-0000-000084190000}"/>
    <cellStyle name="Check Cell 42" xfId="42938" xr:uid="{00000000-0005-0000-0000-000085190000}"/>
    <cellStyle name="Check Cell 43" xfId="42939" xr:uid="{00000000-0005-0000-0000-000086190000}"/>
    <cellStyle name="Check Cell 5" xfId="1516" xr:uid="{00000000-0005-0000-0000-000087190000}"/>
    <cellStyle name="Check Cell 5 10" xfId="1517" xr:uid="{00000000-0005-0000-0000-000088190000}"/>
    <cellStyle name="Check Cell 5 10 2" xfId="14183" xr:uid="{00000000-0005-0000-0000-000089190000}"/>
    <cellStyle name="Check Cell 5 10 2 2" xfId="19229" xr:uid="{00000000-0005-0000-0000-00008A190000}"/>
    <cellStyle name="Check Cell 5 10 3" xfId="15669" xr:uid="{00000000-0005-0000-0000-00008B190000}"/>
    <cellStyle name="Check Cell 5 10 3 2" xfId="21165" xr:uid="{00000000-0005-0000-0000-00008C190000}"/>
    <cellStyle name="Check Cell 5 10 4" xfId="15719" xr:uid="{00000000-0005-0000-0000-00008D190000}"/>
    <cellStyle name="Check Cell 5 10 4 2" xfId="21213" xr:uid="{00000000-0005-0000-0000-00008E190000}"/>
    <cellStyle name="Check Cell 5 10 5" xfId="15897" xr:uid="{00000000-0005-0000-0000-00008F190000}"/>
    <cellStyle name="Check Cell 5 10 5 2" xfId="21391" xr:uid="{00000000-0005-0000-0000-000090190000}"/>
    <cellStyle name="Check Cell 5 10 6" xfId="17178" xr:uid="{00000000-0005-0000-0000-000091190000}"/>
    <cellStyle name="Check Cell 5 10 6 2" xfId="22824" xr:uid="{00000000-0005-0000-0000-000092190000}"/>
    <cellStyle name="Check Cell 5 10 7" xfId="12494" xr:uid="{00000000-0005-0000-0000-000093190000}"/>
    <cellStyle name="Check Cell 5 11" xfId="1518" xr:uid="{00000000-0005-0000-0000-000094190000}"/>
    <cellStyle name="Check Cell 5 11 2" xfId="14184" xr:uid="{00000000-0005-0000-0000-000095190000}"/>
    <cellStyle name="Check Cell 5 11 2 2" xfId="19230" xr:uid="{00000000-0005-0000-0000-000096190000}"/>
    <cellStyle name="Check Cell 5 11 3" xfId="15670" xr:uid="{00000000-0005-0000-0000-000097190000}"/>
    <cellStyle name="Check Cell 5 11 3 2" xfId="21166" xr:uid="{00000000-0005-0000-0000-000098190000}"/>
    <cellStyle name="Check Cell 5 11 4" xfId="15718" xr:uid="{00000000-0005-0000-0000-000099190000}"/>
    <cellStyle name="Check Cell 5 11 4 2" xfId="21212" xr:uid="{00000000-0005-0000-0000-00009A190000}"/>
    <cellStyle name="Check Cell 5 11 5" xfId="15896" xr:uid="{00000000-0005-0000-0000-00009B190000}"/>
    <cellStyle name="Check Cell 5 11 5 2" xfId="21390" xr:uid="{00000000-0005-0000-0000-00009C190000}"/>
    <cellStyle name="Check Cell 5 11 6" xfId="17179" xr:uid="{00000000-0005-0000-0000-00009D190000}"/>
    <cellStyle name="Check Cell 5 11 6 2" xfId="22825" xr:uid="{00000000-0005-0000-0000-00009E190000}"/>
    <cellStyle name="Check Cell 5 11 7" xfId="12493" xr:uid="{00000000-0005-0000-0000-00009F190000}"/>
    <cellStyle name="Check Cell 5 12" xfId="14182" xr:uid="{00000000-0005-0000-0000-0000A0190000}"/>
    <cellStyle name="Check Cell 5 12 2" xfId="19228" xr:uid="{00000000-0005-0000-0000-0000A1190000}"/>
    <cellStyle name="Check Cell 5 13" xfId="15668" xr:uid="{00000000-0005-0000-0000-0000A2190000}"/>
    <cellStyle name="Check Cell 5 13 2" xfId="21164" xr:uid="{00000000-0005-0000-0000-0000A3190000}"/>
    <cellStyle name="Check Cell 5 14" xfId="15720" xr:uid="{00000000-0005-0000-0000-0000A4190000}"/>
    <cellStyle name="Check Cell 5 14 2" xfId="21214" xr:uid="{00000000-0005-0000-0000-0000A5190000}"/>
    <cellStyle name="Check Cell 5 15" xfId="15898" xr:uid="{00000000-0005-0000-0000-0000A6190000}"/>
    <cellStyle name="Check Cell 5 15 2" xfId="21392" xr:uid="{00000000-0005-0000-0000-0000A7190000}"/>
    <cellStyle name="Check Cell 5 16" xfId="17177" xr:uid="{00000000-0005-0000-0000-0000A8190000}"/>
    <cellStyle name="Check Cell 5 16 2" xfId="22823" xr:uid="{00000000-0005-0000-0000-0000A9190000}"/>
    <cellStyle name="Check Cell 5 17" xfId="12495" xr:uid="{00000000-0005-0000-0000-0000AA190000}"/>
    <cellStyle name="Check Cell 5 2" xfId="1519" xr:uid="{00000000-0005-0000-0000-0000AB190000}"/>
    <cellStyle name="Check Cell 5 2 2" xfId="14185" xr:uid="{00000000-0005-0000-0000-0000AC190000}"/>
    <cellStyle name="Check Cell 5 2 2 2" xfId="19231" xr:uid="{00000000-0005-0000-0000-0000AD190000}"/>
    <cellStyle name="Check Cell 5 2 3" xfId="15671" xr:uid="{00000000-0005-0000-0000-0000AE190000}"/>
    <cellStyle name="Check Cell 5 2 3 2" xfId="21167" xr:uid="{00000000-0005-0000-0000-0000AF190000}"/>
    <cellStyle name="Check Cell 5 2 4" xfId="15717" xr:uid="{00000000-0005-0000-0000-0000B0190000}"/>
    <cellStyle name="Check Cell 5 2 4 2" xfId="21211" xr:uid="{00000000-0005-0000-0000-0000B1190000}"/>
    <cellStyle name="Check Cell 5 2 5" xfId="15895" xr:uid="{00000000-0005-0000-0000-0000B2190000}"/>
    <cellStyle name="Check Cell 5 2 5 2" xfId="21389" xr:uid="{00000000-0005-0000-0000-0000B3190000}"/>
    <cellStyle name="Check Cell 5 2 6" xfId="17180" xr:uid="{00000000-0005-0000-0000-0000B4190000}"/>
    <cellStyle name="Check Cell 5 2 6 2" xfId="22826" xr:uid="{00000000-0005-0000-0000-0000B5190000}"/>
    <cellStyle name="Check Cell 5 2 7" xfId="12492" xr:uid="{00000000-0005-0000-0000-0000B6190000}"/>
    <cellStyle name="Check Cell 5 3" xfId="1520" xr:uid="{00000000-0005-0000-0000-0000B7190000}"/>
    <cellStyle name="Check Cell 5 3 2" xfId="14186" xr:uid="{00000000-0005-0000-0000-0000B8190000}"/>
    <cellStyle name="Check Cell 5 3 2 2" xfId="19232" xr:uid="{00000000-0005-0000-0000-0000B9190000}"/>
    <cellStyle name="Check Cell 5 3 3" xfId="15672" xr:uid="{00000000-0005-0000-0000-0000BA190000}"/>
    <cellStyle name="Check Cell 5 3 3 2" xfId="21168" xr:uid="{00000000-0005-0000-0000-0000BB190000}"/>
    <cellStyle name="Check Cell 5 3 4" xfId="15716" xr:uid="{00000000-0005-0000-0000-0000BC190000}"/>
    <cellStyle name="Check Cell 5 3 4 2" xfId="21210" xr:uid="{00000000-0005-0000-0000-0000BD190000}"/>
    <cellStyle name="Check Cell 5 3 5" xfId="15894" xr:uid="{00000000-0005-0000-0000-0000BE190000}"/>
    <cellStyle name="Check Cell 5 3 5 2" xfId="21388" xr:uid="{00000000-0005-0000-0000-0000BF190000}"/>
    <cellStyle name="Check Cell 5 3 6" xfId="17181" xr:uid="{00000000-0005-0000-0000-0000C0190000}"/>
    <cellStyle name="Check Cell 5 3 6 2" xfId="22827" xr:uid="{00000000-0005-0000-0000-0000C1190000}"/>
    <cellStyle name="Check Cell 5 3 7" xfId="12491" xr:uid="{00000000-0005-0000-0000-0000C2190000}"/>
    <cellStyle name="Check Cell 5 4" xfId="1521" xr:uid="{00000000-0005-0000-0000-0000C3190000}"/>
    <cellStyle name="Check Cell 5 4 2" xfId="14187" xr:uid="{00000000-0005-0000-0000-0000C4190000}"/>
    <cellStyle name="Check Cell 5 4 2 2" xfId="19233" xr:uid="{00000000-0005-0000-0000-0000C5190000}"/>
    <cellStyle name="Check Cell 5 4 3" xfId="15673" xr:uid="{00000000-0005-0000-0000-0000C6190000}"/>
    <cellStyle name="Check Cell 5 4 3 2" xfId="21169" xr:uid="{00000000-0005-0000-0000-0000C7190000}"/>
    <cellStyle name="Check Cell 5 4 4" xfId="15715" xr:uid="{00000000-0005-0000-0000-0000C8190000}"/>
    <cellStyle name="Check Cell 5 4 4 2" xfId="21209" xr:uid="{00000000-0005-0000-0000-0000C9190000}"/>
    <cellStyle name="Check Cell 5 4 5" xfId="15893" xr:uid="{00000000-0005-0000-0000-0000CA190000}"/>
    <cellStyle name="Check Cell 5 4 5 2" xfId="21387" xr:uid="{00000000-0005-0000-0000-0000CB190000}"/>
    <cellStyle name="Check Cell 5 4 6" xfId="17182" xr:uid="{00000000-0005-0000-0000-0000CC190000}"/>
    <cellStyle name="Check Cell 5 4 6 2" xfId="22828" xr:uid="{00000000-0005-0000-0000-0000CD190000}"/>
    <cellStyle name="Check Cell 5 4 7" xfId="12490" xr:uid="{00000000-0005-0000-0000-0000CE190000}"/>
    <cellStyle name="Check Cell 5 5" xfId="1522" xr:uid="{00000000-0005-0000-0000-0000CF190000}"/>
    <cellStyle name="Check Cell 5 5 2" xfId="14188" xr:uid="{00000000-0005-0000-0000-0000D0190000}"/>
    <cellStyle name="Check Cell 5 5 2 2" xfId="19234" xr:uid="{00000000-0005-0000-0000-0000D1190000}"/>
    <cellStyle name="Check Cell 5 5 3" xfId="15674" xr:uid="{00000000-0005-0000-0000-0000D2190000}"/>
    <cellStyle name="Check Cell 5 5 3 2" xfId="21170" xr:uid="{00000000-0005-0000-0000-0000D3190000}"/>
    <cellStyle name="Check Cell 5 5 4" xfId="15714" xr:uid="{00000000-0005-0000-0000-0000D4190000}"/>
    <cellStyle name="Check Cell 5 5 4 2" xfId="21208" xr:uid="{00000000-0005-0000-0000-0000D5190000}"/>
    <cellStyle name="Check Cell 5 5 5" xfId="15892" xr:uid="{00000000-0005-0000-0000-0000D6190000}"/>
    <cellStyle name="Check Cell 5 5 5 2" xfId="21386" xr:uid="{00000000-0005-0000-0000-0000D7190000}"/>
    <cellStyle name="Check Cell 5 5 6" xfId="17183" xr:uid="{00000000-0005-0000-0000-0000D8190000}"/>
    <cellStyle name="Check Cell 5 5 6 2" xfId="22829" xr:uid="{00000000-0005-0000-0000-0000D9190000}"/>
    <cellStyle name="Check Cell 5 5 7" xfId="12489" xr:uid="{00000000-0005-0000-0000-0000DA190000}"/>
    <cellStyle name="Check Cell 5 6" xfId="1523" xr:uid="{00000000-0005-0000-0000-0000DB190000}"/>
    <cellStyle name="Check Cell 5 6 2" xfId="14189" xr:uid="{00000000-0005-0000-0000-0000DC190000}"/>
    <cellStyle name="Check Cell 5 6 2 2" xfId="19235" xr:uid="{00000000-0005-0000-0000-0000DD190000}"/>
    <cellStyle name="Check Cell 5 6 3" xfId="15675" xr:uid="{00000000-0005-0000-0000-0000DE190000}"/>
    <cellStyle name="Check Cell 5 6 3 2" xfId="21171" xr:uid="{00000000-0005-0000-0000-0000DF190000}"/>
    <cellStyle name="Check Cell 5 6 4" xfId="15713" xr:uid="{00000000-0005-0000-0000-0000E0190000}"/>
    <cellStyle name="Check Cell 5 6 4 2" xfId="21207" xr:uid="{00000000-0005-0000-0000-0000E1190000}"/>
    <cellStyle name="Check Cell 5 6 5" xfId="15891" xr:uid="{00000000-0005-0000-0000-0000E2190000}"/>
    <cellStyle name="Check Cell 5 6 5 2" xfId="21385" xr:uid="{00000000-0005-0000-0000-0000E3190000}"/>
    <cellStyle name="Check Cell 5 6 6" xfId="17184" xr:uid="{00000000-0005-0000-0000-0000E4190000}"/>
    <cellStyle name="Check Cell 5 6 6 2" xfId="22830" xr:uid="{00000000-0005-0000-0000-0000E5190000}"/>
    <cellStyle name="Check Cell 5 6 7" xfId="12488" xr:uid="{00000000-0005-0000-0000-0000E6190000}"/>
    <cellStyle name="Check Cell 5 7" xfId="1524" xr:uid="{00000000-0005-0000-0000-0000E7190000}"/>
    <cellStyle name="Check Cell 5 7 2" xfId="14190" xr:uid="{00000000-0005-0000-0000-0000E8190000}"/>
    <cellStyle name="Check Cell 5 7 2 2" xfId="19236" xr:uid="{00000000-0005-0000-0000-0000E9190000}"/>
    <cellStyle name="Check Cell 5 7 3" xfId="15676" xr:uid="{00000000-0005-0000-0000-0000EA190000}"/>
    <cellStyle name="Check Cell 5 7 3 2" xfId="21172" xr:uid="{00000000-0005-0000-0000-0000EB190000}"/>
    <cellStyle name="Check Cell 5 7 4" xfId="15712" xr:uid="{00000000-0005-0000-0000-0000EC190000}"/>
    <cellStyle name="Check Cell 5 7 4 2" xfId="21206" xr:uid="{00000000-0005-0000-0000-0000ED190000}"/>
    <cellStyle name="Check Cell 5 7 5" xfId="15890" xr:uid="{00000000-0005-0000-0000-0000EE190000}"/>
    <cellStyle name="Check Cell 5 7 5 2" xfId="21384" xr:uid="{00000000-0005-0000-0000-0000EF190000}"/>
    <cellStyle name="Check Cell 5 7 6" xfId="17185" xr:uid="{00000000-0005-0000-0000-0000F0190000}"/>
    <cellStyle name="Check Cell 5 7 6 2" xfId="22831" xr:uid="{00000000-0005-0000-0000-0000F1190000}"/>
    <cellStyle name="Check Cell 5 7 7" xfId="12487" xr:uid="{00000000-0005-0000-0000-0000F2190000}"/>
    <cellStyle name="Check Cell 5 8" xfId="1525" xr:uid="{00000000-0005-0000-0000-0000F3190000}"/>
    <cellStyle name="Check Cell 5 8 2" xfId="14191" xr:uid="{00000000-0005-0000-0000-0000F4190000}"/>
    <cellStyle name="Check Cell 5 8 2 2" xfId="19237" xr:uid="{00000000-0005-0000-0000-0000F5190000}"/>
    <cellStyle name="Check Cell 5 8 3" xfId="15677" xr:uid="{00000000-0005-0000-0000-0000F6190000}"/>
    <cellStyle name="Check Cell 5 8 3 2" xfId="21173" xr:uid="{00000000-0005-0000-0000-0000F7190000}"/>
    <cellStyle name="Check Cell 5 8 4" xfId="15711" xr:uid="{00000000-0005-0000-0000-0000F8190000}"/>
    <cellStyle name="Check Cell 5 8 4 2" xfId="21205" xr:uid="{00000000-0005-0000-0000-0000F9190000}"/>
    <cellStyle name="Check Cell 5 8 5" xfId="15889" xr:uid="{00000000-0005-0000-0000-0000FA190000}"/>
    <cellStyle name="Check Cell 5 8 5 2" xfId="21383" xr:uid="{00000000-0005-0000-0000-0000FB190000}"/>
    <cellStyle name="Check Cell 5 8 6" xfId="17186" xr:uid="{00000000-0005-0000-0000-0000FC190000}"/>
    <cellStyle name="Check Cell 5 8 6 2" xfId="22832" xr:uid="{00000000-0005-0000-0000-0000FD190000}"/>
    <cellStyle name="Check Cell 5 8 7" xfId="12486" xr:uid="{00000000-0005-0000-0000-0000FE190000}"/>
    <cellStyle name="Check Cell 5 9" xfId="1526" xr:uid="{00000000-0005-0000-0000-0000FF190000}"/>
    <cellStyle name="Check Cell 5 9 2" xfId="14192" xr:uid="{00000000-0005-0000-0000-0000001A0000}"/>
    <cellStyle name="Check Cell 5 9 2 2" xfId="19238" xr:uid="{00000000-0005-0000-0000-0000011A0000}"/>
    <cellStyle name="Check Cell 5 9 3" xfId="15678" xr:uid="{00000000-0005-0000-0000-0000021A0000}"/>
    <cellStyle name="Check Cell 5 9 3 2" xfId="21174" xr:uid="{00000000-0005-0000-0000-0000031A0000}"/>
    <cellStyle name="Check Cell 5 9 4" xfId="15710" xr:uid="{00000000-0005-0000-0000-0000041A0000}"/>
    <cellStyle name="Check Cell 5 9 4 2" xfId="21204" xr:uid="{00000000-0005-0000-0000-0000051A0000}"/>
    <cellStyle name="Check Cell 5 9 5" xfId="15888" xr:uid="{00000000-0005-0000-0000-0000061A0000}"/>
    <cellStyle name="Check Cell 5 9 5 2" xfId="21382" xr:uid="{00000000-0005-0000-0000-0000071A0000}"/>
    <cellStyle name="Check Cell 5 9 6" xfId="17187" xr:uid="{00000000-0005-0000-0000-0000081A0000}"/>
    <cellStyle name="Check Cell 5 9 6 2" xfId="22833" xr:uid="{00000000-0005-0000-0000-0000091A0000}"/>
    <cellStyle name="Check Cell 5 9 7" xfId="12485" xr:uid="{00000000-0005-0000-0000-00000A1A0000}"/>
    <cellStyle name="Check Cell 6" xfId="1527" xr:uid="{00000000-0005-0000-0000-00000B1A0000}"/>
    <cellStyle name="Check Cell 6 10" xfId="1528" xr:uid="{00000000-0005-0000-0000-00000C1A0000}"/>
    <cellStyle name="Check Cell 6 10 2" xfId="14194" xr:uid="{00000000-0005-0000-0000-00000D1A0000}"/>
    <cellStyle name="Check Cell 6 10 2 2" xfId="19240" xr:uid="{00000000-0005-0000-0000-00000E1A0000}"/>
    <cellStyle name="Check Cell 6 10 3" xfId="15680" xr:uid="{00000000-0005-0000-0000-00000F1A0000}"/>
    <cellStyle name="Check Cell 6 10 3 2" xfId="21176" xr:uid="{00000000-0005-0000-0000-0000101A0000}"/>
    <cellStyle name="Check Cell 6 10 4" xfId="15708" xr:uid="{00000000-0005-0000-0000-0000111A0000}"/>
    <cellStyle name="Check Cell 6 10 4 2" xfId="21202" xr:uid="{00000000-0005-0000-0000-0000121A0000}"/>
    <cellStyle name="Check Cell 6 10 5" xfId="15886" xr:uid="{00000000-0005-0000-0000-0000131A0000}"/>
    <cellStyle name="Check Cell 6 10 5 2" xfId="21380" xr:uid="{00000000-0005-0000-0000-0000141A0000}"/>
    <cellStyle name="Check Cell 6 10 6" xfId="17189" xr:uid="{00000000-0005-0000-0000-0000151A0000}"/>
    <cellStyle name="Check Cell 6 10 6 2" xfId="22835" xr:uid="{00000000-0005-0000-0000-0000161A0000}"/>
    <cellStyle name="Check Cell 6 10 7" xfId="12483" xr:uid="{00000000-0005-0000-0000-0000171A0000}"/>
    <cellStyle name="Check Cell 6 11" xfId="1529" xr:uid="{00000000-0005-0000-0000-0000181A0000}"/>
    <cellStyle name="Check Cell 6 11 2" xfId="14195" xr:uid="{00000000-0005-0000-0000-0000191A0000}"/>
    <cellStyle name="Check Cell 6 11 2 2" xfId="19241" xr:uid="{00000000-0005-0000-0000-00001A1A0000}"/>
    <cellStyle name="Check Cell 6 11 3" xfId="15681" xr:uid="{00000000-0005-0000-0000-00001B1A0000}"/>
    <cellStyle name="Check Cell 6 11 3 2" xfId="21177" xr:uid="{00000000-0005-0000-0000-00001C1A0000}"/>
    <cellStyle name="Check Cell 6 11 4" xfId="15707" xr:uid="{00000000-0005-0000-0000-00001D1A0000}"/>
    <cellStyle name="Check Cell 6 11 4 2" xfId="21201" xr:uid="{00000000-0005-0000-0000-00001E1A0000}"/>
    <cellStyle name="Check Cell 6 11 5" xfId="15885" xr:uid="{00000000-0005-0000-0000-00001F1A0000}"/>
    <cellStyle name="Check Cell 6 11 5 2" xfId="21379" xr:uid="{00000000-0005-0000-0000-0000201A0000}"/>
    <cellStyle name="Check Cell 6 11 6" xfId="17190" xr:uid="{00000000-0005-0000-0000-0000211A0000}"/>
    <cellStyle name="Check Cell 6 11 6 2" xfId="22836" xr:uid="{00000000-0005-0000-0000-0000221A0000}"/>
    <cellStyle name="Check Cell 6 11 7" xfId="12482" xr:uid="{00000000-0005-0000-0000-0000231A0000}"/>
    <cellStyle name="Check Cell 6 12" xfId="14193" xr:uid="{00000000-0005-0000-0000-0000241A0000}"/>
    <cellStyle name="Check Cell 6 12 2" xfId="19239" xr:uid="{00000000-0005-0000-0000-0000251A0000}"/>
    <cellStyle name="Check Cell 6 13" xfId="15679" xr:uid="{00000000-0005-0000-0000-0000261A0000}"/>
    <cellStyle name="Check Cell 6 13 2" xfId="21175" xr:uid="{00000000-0005-0000-0000-0000271A0000}"/>
    <cellStyle name="Check Cell 6 14" xfId="15709" xr:uid="{00000000-0005-0000-0000-0000281A0000}"/>
    <cellStyle name="Check Cell 6 14 2" xfId="21203" xr:uid="{00000000-0005-0000-0000-0000291A0000}"/>
    <cellStyle name="Check Cell 6 15" xfId="15887" xr:uid="{00000000-0005-0000-0000-00002A1A0000}"/>
    <cellStyle name="Check Cell 6 15 2" xfId="21381" xr:uid="{00000000-0005-0000-0000-00002B1A0000}"/>
    <cellStyle name="Check Cell 6 16" xfId="17188" xr:uid="{00000000-0005-0000-0000-00002C1A0000}"/>
    <cellStyle name="Check Cell 6 16 2" xfId="22834" xr:uid="{00000000-0005-0000-0000-00002D1A0000}"/>
    <cellStyle name="Check Cell 6 17" xfId="12484" xr:uid="{00000000-0005-0000-0000-00002E1A0000}"/>
    <cellStyle name="Check Cell 6 2" xfId="1530" xr:uid="{00000000-0005-0000-0000-00002F1A0000}"/>
    <cellStyle name="Check Cell 6 2 2" xfId="14196" xr:uid="{00000000-0005-0000-0000-0000301A0000}"/>
    <cellStyle name="Check Cell 6 2 2 2" xfId="19242" xr:uid="{00000000-0005-0000-0000-0000311A0000}"/>
    <cellStyle name="Check Cell 6 2 3" xfId="15682" xr:uid="{00000000-0005-0000-0000-0000321A0000}"/>
    <cellStyle name="Check Cell 6 2 3 2" xfId="21178" xr:uid="{00000000-0005-0000-0000-0000331A0000}"/>
    <cellStyle name="Check Cell 6 2 4" xfId="15104" xr:uid="{00000000-0005-0000-0000-0000341A0000}"/>
    <cellStyle name="Check Cell 6 2 4 2" xfId="20490" xr:uid="{00000000-0005-0000-0000-0000351A0000}"/>
    <cellStyle name="Check Cell 6 2 5" xfId="15884" xr:uid="{00000000-0005-0000-0000-0000361A0000}"/>
    <cellStyle name="Check Cell 6 2 5 2" xfId="21378" xr:uid="{00000000-0005-0000-0000-0000371A0000}"/>
    <cellStyle name="Check Cell 6 2 6" xfId="17191" xr:uid="{00000000-0005-0000-0000-0000381A0000}"/>
    <cellStyle name="Check Cell 6 2 6 2" xfId="22837" xr:uid="{00000000-0005-0000-0000-0000391A0000}"/>
    <cellStyle name="Check Cell 6 2 7" xfId="12481" xr:uid="{00000000-0005-0000-0000-00003A1A0000}"/>
    <cellStyle name="Check Cell 6 3" xfId="1531" xr:uid="{00000000-0005-0000-0000-00003B1A0000}"/>
    <cellStyle name="Check Cell 6 3 2" xfId="14197" xr:uid="{00000000-0005-0000-0000-00003C1A0000}"/>
    <cellStyle name="Check Cell 6 3 2 2" xfId="19243" xr:uid="{00000000-0005-0000-0000-00003D1A0000}"/>
    <cellStyle name="Check Cell 6 3 3" xfId="15683" xr:uid="{00000000-0005-0000-0000-00003E1A0000}"/>
    <cellStyle name="Check Cell 6 3 3 2" xfId="21179" xr:uid="{00000000-0005-0000-0000-00003F1A0000}"/>
    <cellStyle name="Check Cell 6 3 4" xfId="15706" xr:uid="{00000000-0005-0000-0000-0000401A0000}"/>
    <cellStyle name="Check Cell 6 3 4 2" xfId="21200" xr:uid="{00000000-0005-0000-0000-0000411A0000}"/>
    <cellStyle name="Check Cell 6 3 5" xfId="15883" xr:uid="{00000000-0005-0000-0000-0000421A0000}"/>
    <cellStyle name="Check Cell 6 3 5 2" xfId="21377" xr:uid="{00000000-0005-0000-0000-0000431A0000}"/>
    <cellStyle name="Check Cell 6 3 6" xfId="17192" xr:uid="{00000000-0005-0000-0000-0000441A0000}"/>
    <cellStyle name="Check Cell 6 3 6 2" xfId="22838" xr:uid="{00000000-0005-0000-0000-0000451A0000}"/>
    <cellStyle name="Check Cell 6 3 7" xfId="12480" xr:uid="{00000000-0005-0000-0000-0000461A0000}"/>
    <cellStyle name="Check Cell 6 4" xfId="1532" xr:uid="{00000000-0005-0000-0000-0000471A0000}"/>
    <cellStyle name="Check Cell 6 4 2" xfId="14198" xr:uid="{00000000-0005-0000-0000-0000481A0000}"/>
    <cellStyle name="Check Cell 6 4 2 2" xfId="19244" xr:uid="{00000000-0005-0000-0000-0000491A0000}"/>
    <cellStyle name="Check Cell 6 4 3" xfId="15684" xr:uid="{00000000-0005-0000-0000-00004A1A0000}"/>
    <cellStyle name="Check Cell 6 4 3 2" xfId="21180" xr:uid="{00000000-0005-0000-0000-00004B1A0000}"/>
    <cellStyle name="Check Cell 6 4 4" xfId="15705" xr:uid="{00000000-0005-0000-0000-00004C1A0000}"/>
    <cellStyle name="Check Cell 6 4 4 2" xfId="21199" xr:uid="{00000000-0005-0000-0000-00004D1A0000}"/>
    <cellStyle name="Check Cell 6 4 5" xfId="15882" xr:uid="{00000000-0005-0000-0000-00004E1A0000}"/>
    <cellStyle name="Check Cell 6 4 5 2" xfId="21376" xr:uid="{00000000-0005-0000-0000-00004F1A0000}"/>
    <cellStyle name="Check Cell 6 4 6" xfId="17193" xr:uid="{00000000-0005-0000-0000-0000501A0000}"/>
    <cellStyle name="Check Cell 6 4 6 2" xfId="22839" xr:uid="{00000000-0005-0000-0000-0000511A0000}"/>
    <cellStyle name="Check Cell 6 4 7" xfId="12479" xr:uid="{00000000-0005-0000-0000-0000521A0000}"/>
    <cellStyle name="Check Cell 6 5" xfId="1533" xr:uid="{00000000-0005-0000-0000-0000531A0000}"/>
    <cellStyle name="Check Cell 6 5 2" xfId="14199" xr:uid="{00000000-0005-0000-0000-0000541A0000}"/>
    <cellStyle name="Check Cell 6 5 2 2" xfId="19245" xr:uid="{00000000-0005-0000-0000-0000551A0000}"/>
    <cellStyle name="Check Cell 6 5 3" xfId="15685" xr:uid="{00000000-0005-0000-0000-0000561A0000}"/>
    <cellStyle name="Check Cell 6 5 3 2" xfId="21181" xr:uid="{00000000-0005-0000-0000-0000571A0000}"/>
    <cellStyle name="Check Cell 6 5 4" xfId="15704" xr:uid="{00000000-0005-0000-0000-0000581A0000}"/>
    <cellStyle name="Check Cell 6 5 4 2" xfId="21198" xr:uid="{00000000-0005-0000-0000-0000591A0000}"/>
    <cellStyle name="Check Cell 6 5 5" xfId="15881" xr:uid="{00000000-0005-0000-0000-00005A1A0000}"/>
    <cellStyle name="Check Cell 6 5 5 2" xfId="21375" xr:uid="{00000000-0005-0000-0000-00005B1A0000}"/>
    <cellStyle name="Check Cell 6 5 6" xfId="17194" xr:uid="{00000000-0005-0000-0000-00005C1A0000}"/>
    <cellStyle name="Check Cell 6 5 6 2" xfId="22840" xr:uid="{00000000-0005-0000-0000-00005D1A0000}"/>
    <cellStyle name="Check Cell 6 5 7" xfId="12478" xr:uid="{00000000-0005-0000-0000-00005E1A0000}"/>
    <cellStyle name="Check Cell 6 6" xfId="1534" xr:uid="{00000000-0005-0000-0000-00005F1A0000}"/>
    <cellStyle name="Check Cell 6 6 2" xfId="14200" xr:uid="{00000000-0005-0000-0000-0000601A0000}"/>
    <cellStyle name="Check Cell 6 6 2 2" xfId="19246" xr:uid="{00000000-0005-0000-0000-0000611A0000}"/>
    <cellStyle name="Check Cell 6 6 3" xfId="15686" xr:uid="{00000000-0005-0000-0000-0000621A0000}"/>
    <cellStyle name="Check Cell 6 6 3 2" xfId="21182" xr:uid="{00000000-0005-0000-0000-0000631A0000}"/>
    <cellStyle name="Check Cell 6 6 4" xfId="15703" xr:uid="{00000000-0005-0000-0000-0000641A0000}"/>
    <cellStyle name="Check Cell 6 6 4 2" xfId="21197" xr:uid="{00000000-0005-0000-0000-0000651A0000}"/>
    <cellStyle name="Check Cell 6 6 5" xfId="15880" xr:uid="{00000000-0005-0000-0000-0000661A0000}"/>
    <cellStyle name="Check Cell 6 6 5 2" xfId="21374" xr:uid="{00000000-0005-0000-0000-0000671A0000}"/>
    <cellStyle name="Check Cell 6 6 6" xfId="17195" xr:uid="{00000000-0005-0000-0000-0000681A0000}"/>
    <cellStyle name="Check Cell 6 6 6 2" xfId="22841" xr:uid="{00000000-0005-0000-0000-0000691A0000}"/>
    <cellStyle name="Check Cell 6 6 7" xfId="12477" xr:uid="{00000000-0005-0000-0000-00006A1A0000}"/>
    <cellStyle name="Check Cell 6 7" xfId="1535" xr:uid="{00000000-0005-0000-0000-00006B1A0000}"/>
    <cellStyle name="Check Cell 6 7 2" xfId="14201" xr:uid="{00000000-0005-0000-0000-00006C1A0000}"/>
    <cellStyle name="Check Cell 6 7 2 2" xfId="19247" xr:uid="{00000000-0005-0000-0000-00006D1A0000}"/>
    <cellStyle name="Check Cell 6 7 3" xfId="15687" xr:uid="{00000000-0005-0000-0000-00006E1A0000}"/>
    <cellStyle name="Check Cell 6 7 3 2" xfId="21183" xr:uid="{00000000-0005-0000-0000-00006F1A0000}"/>
    <cellStyle name="Check Cell 6 7 4" xfId="15702" xr:uid="{00000000-0005-0000-0000-0000701A0000}"/>
    <cellStyle name="Check Cell 6 7 4 2" xfId="21196" xr:uid="{00000000-0005-0000-0000-0000711A0000}"/>
    <cellStyle name="Check Cell 6 7 5" xfId="15879" xr:uid="{00000000-0005-0000-0000-0000721A0000}"/>
    <cellStyle name="Check Cell 6 7 5 2" xfId="21373" xr:uid="{00000000-0005-0000-0000-0000731A0000}"/>
    <cellStyle name="Check Cell 6 7 6" xfId="17196" xr:uid="{00000000-0005-0000-0000-0000741A0000}"/>
    <cellStyle name="Check Cell 6 7 6 2" xfId="22842" xr:uid="{00000000-0005-0000-0000-0000751A0000}"/>
    <cellStyle name="Check Cell 6 7 7" xfId="12476" xr:uid="{00000000-0005-0000-0000-0000761A0000}"/>
    <cellStyle name="Check Cell 6 8" xfId="1536" xr:uid="{00000000-0005-0000-0000-0000771A0000}"/>
    <cellStyle name="Check Cell 6 8 2" xfId="14202" xr:uid="{00000000-0005-0000-0000-0000781A0000}"/>
    <cellStyle name="Check Cell 6 8 2 2" xfId="19248" xr:uid="{00000000-0005-0000-0000-0000791A0000}"/>
    <cellStyle name="Check Cell 6 8 3" xfId="15688" xr:uid="{00000000-0005-0000-0000-00007A1A0000}"/>
    <cellStyle name="Check Cell 6 8 3 2" xfId="21184" xr:uid="{00000000-0005-0000-0000-00007B1A0000}"/>
    <cellStyle name="Check Cell 6 8 4" xfId="15701" xr:uid="{00000000-0005-0000-0000-00007C1A0000}"/>
    <cellStyle name="Check Cell 6 8 4 2" xfId="21195" xr:uid="{00000000-0005-0000-0000-00007D1A0000}"/>
    <cellStyle name="Check Cell 6 8 5" xfId="15878" xr:uid="{00000000-0005-0000-0000-00007E1A0000}"/>
    <cellStyle name="Check Cell 6 8 5 2" xfId="21372" xr:uid="{00000000-0005-0000-0000-00007F1A0000}"/>
    <cellStyle name="Check Cell 6 8 6" xfId="17197" xr:uid="{00000000-0005-0000-0000-0000801A0000}"/>
    <cellStyle name="Check Cell 6 8 6 2" xfId="22843" xr:uid="{00000000-0005-0000-0000-0000811A0000}"/>
    <cellStyle name="Check Cell 6 8 7" xfId="12475" xr:uid="{00000000-0005-0000-0000-0000821A0000}"/>
    <cellStyle name="Check Cell 6 9" xfId="1537" xr:uid="{00000000-0005-0000-0000-0000831A0000}"/>
    <cellStyle name="Check Cell 6 9 2" xfId="14203" xr:uid="{00000000-0005-0000-0000-0000841A0000}"/>
    <cellStyle name="Check Cell 6 9 2 2" xfId="19249" xr:uid="{00000000-0005-0000-0000-0000851A0000}"/>
    <cellStyle name="Check Cell 6 9 3" xfId="15689" xr:uid="{00000000-0005-0000-0000-0000861A0000}"/>
    <cellStyle name="Check Cell 6 9 3 2" xfId="21185" xr:uid="{00000000-0005-0000-0000-0000871A0000}"/>
    <cellStyle name="Check Cell 6 9 4" xfId="15700" xr:uid="{00000000-0005-0000-0000-0000881A0000}"/>
    <cellStyle name="Check Cell 6 9 4 2" xfId="21194" xr:uid="{00000000-0005-0000-0000-0000891A0000}"/>
    <cellStyle name="Check Cell 6 9 5" xfId="15877" xr:uid="{00000000-0005-0000-0000-00008A1A0000}"/>
    <cellStyle name="Check Cell 6 9 5 2" xfId="21371" xr:uid="{00000000-0005-0000-0000-00008B1A0000}"/>
    <cellStyle name="Check Cell 6 9 6" xfId="17198" xr:uid="{00000000-0005-0000-0000-00008C1A0000}"/>
    <cellStyle name="Check Cell 6 9 6 2" xfId="22844" xr:uid="{00000000-0005-0000-0000-00008D1A0000}"/>
    <cellStyle name="Check Cell 6 9 7" xfId="12474" xr:uid="{00000000-0005-0000-0000-00008E1A0000}"/>
    <cellStyle name="Check Cell 7" xfId="1538" xr:uid="{00000000-0005-0000-0000-00008F1A0000}"/>
    <cellStyle name="Check Cell 7 2" xfId="14204" xr:uid="{00000000-0005-0000-0000-0000901A0000}"/>
    <cellStyle name="Check Cell 7 2 2" xfId="19250" xr:uid="{00000000-0005-0000-0000-0000911A0000}"/>
    <cellStyle name="Check Cell 7 3" xfId="15690" xr:uid="{00000000-0005-0000-0000-0000921A0000}"/>
    <cellStyle name="Check Cell 7 3 2" xfId="21186" xr:uid="{00000000-0005-0000-0000-0000931A0000}"/>
    <cellStyle name="Check Cell 7 4" xfId="15699" xr:uid="{00000000-0005-0000-0000-0000941A0000}"/>
    <cellStyle name="Check Cell 7 4 2" xfId="21193" xr:uid="{00000000-0005-0000-0000-0000951A0000}"/>
    <cellStyle name="Check Cell 7 5" xfId="15876" xr:uid="{00000000-0005-0000-0000-0000961A0000}"/>
    <cellStyle name="Check Cell 7 5 2" xfId="21370" xr:uid="{00000000-0005-0000-0000-0000971A0000}"/>
    <cellStyle name="Check Cell 7 6" xfId="17199" xr:uid="{00000000-0005-0000-0000-0000981A0000}"/>
    <cellStyle name="Check Cell 7 6 2" xfId="22845" xr:uid="{00000000-0005-0000-0000-0000991A0000}"/>
    <cellStyle name="Check Cell 7 7" xfId="12473" xr:uid="{00000000-0005-0000-0000-00009A1A0000}"/>
    <cellStyle name="Check Cell 8" xfId="1539" xr:uid="{00000000-0005-0000-0000-00009B1A0000}"/>
    <cellStyle name="Check Cell 8 2" xfId="14205" xr:uid="{00000000-0005-0000-0000-00009C1A0000}"/>
    <cellStyle name="Check Cell 8 2 2" xfId="19251" xr:uid="{00000000-0005-0000-0000-00009D1A0000}"/>
    <cellStyle name="Check Cell 8 3" xfId="15691" xr:uid="{00000000-0005-0000-0000-00009E1A0000}"/>
    <cellStyle name="Check Cell 8 3 2" xfId="21187" xr:uid="{00000000-0005-0000-0000-00009F1A0000}"/>
    <cellStyle name="Check Cell 8 4" xfId="15698" xr:uid="{00000000-0005-0000-0000-0000A01A0000}"/>
    <cellStyle name="Check Cell 8 4 2" xfId="21192" xr:uid="{00000000-0005-0000-0000-0000A11A0000}"/>
    <cellStyle name="Check Cell 8 5" xfId="15875" xr:uid="{00000000-0005-0000-0000-0000A21A0000}"/>
    <cellStyle name="Check Cell 8 5 2" xfId="21369" xr:uid="{00000000-0005-0000-0000-0000A31A0000}"/>
    <cellStyle name="Check Cell 8 6" xfId="17200" xr:uid="{00000000-0005-0000-0000-0000A41A0000}"/>
    <cellStyle name="Check Cell 8 6 2" xfId="22846" xr:uid="{00000000-0005-0000-0000-0000A51A0000}"/>
    <cellStyle name="Check Cell 8 7" xfId="12472" xr:uid="{00000000-0005-0000-0000-0000A61A0000}"/>
    <cellStyle name="Check Cell 9" xfId="3262" xr:uid="{00000000-0005-0000-0000-0000A71A0000}"/>
    <cellStyle name="Check Cell 9 2" xfId="14206" xr:uid="{00000000-0005-0000-0000-0000A81A0000}"/>
    <cellStyle name="Check Cell 9 2 2" xfId="19252" xr:uid="{00000000-0005-0000-0000-0000A91A0000}"/>
    <cellStyle name="Check Cell 9 3" xfId="15692" xr:uid="{00000000-0005-0000-0000-0000AA1A0000}"/>
    <cellStyle name="Check Cell 9 3 2" xfId="21188" xr:uid="{00000000-0005-0000-0000-0000AB1A0000}"/>
    <cellStyle name="Check Cell 9 4" xfId="15697" xr:uid="{00000000-0005-0000-0000-0000AC1A0000}"/>
    <cellStyle name="Check Cell 9 4 2" xfId="21191" xr:uid="{00000000-0005-0000-0000-0000AD1A0000}"/>
    <cellStyle name="Check Cell 9 5" xfId="15874" xr:uid="{00000000-0005-0000-0000-0000AE1A0000}"/>
    <cellStyle name="Check Cell 9 5 2" xfId="21368" xr:uid="{00000000-0005-0000-0000-0000AF1A0000}"/>
    <cellStyle name="Check Cell 9 6" xfId="17201" xr:uid="{00000000-0005-0000-0000-0000B01A0000}"/>
    <cellStyle name="Check Cell 9 6 2" xfId="22847" xr:uid="{00000000-0005-0000-0000-0000B11A0000}"/>
    <cellStyle name="Check Cell 9 7" xfId="12471" xr:uid="{00000000-0005-0000-0000-0000B21A0000}"/>
    <cellStyle name="Cím" xfId="3115" xr:uid="{00000000-0005-0000-0000-0000B31A0000}"/>
    <cellStyle name="Címsor 1" xfId="3116" xr:uid="{00000000-0005-0000-0000-0000B41A0000}"/>
    <cellStyle name="Címsor 2" xfId="3117" xr:uid="{00000000-0005-0000-0000-0000B51A0000}"/>
    <cellStyle name="Címsor 3" xfId="3118" xr:uid="{00000000-0005-0000-0000-0000B61A0000}"/>
    <cellStyle name="Címsor 3 2" xfId="14000" xr:uid="{00000000-0005-0000-0000-0000B71A0000}"/>
    <cellStyle name="Címsor 3 2 2" xfId="18980" xr:uid="{00000000-0005-0000-0000-0000B81A0000}"/>
    <cellStyle name="Címsor 3 3" xfId="15051" xr:uid="{00000000-0005-0000-0000-0000B91A0000}"/>
    <cellStyle name="Címsor 3 3 2" xfId="20419" xr:uid="{00000000-0005-0000-0000-0000BA1A0000}"/>
    <cellStyle name="Címsor 3 4" xfId="15092" xr:uid="{00000000-0005-0000-0000-0000BB1A0000}"/>
    <cellStyle name="Címsor 3 4 2" xfId="20478" xr:uid="{00000000-0005-0000-0000-0000BC1A0000}"/>
    <cellStyle name="Címsor 3 5" xfId="16048" xr:uid="{00000000-0005-0000-0000-0000BD1A0000}"/>
    <cellStyle name="Címsor 3 5 2" xfId="21550" xr:uid="{00000000-0005-0000-0000-0000BE1A0000}"/>
    <cellStyle name="Címsor 3 6" xfId="12347" xr:uid="{00000000-0005-0000-0000-0000BF1A0000}"/>
    <cellStyle name="Címsor 3 7" xfId="12906" xr:uid="{00000000-0005-0000-0000-0000C01A0000}"/>
    <cellStyle name="Címsor 4" xfId="3119" xr:uid="{00000000-0005-0000-0000-0000C11A0000}"/>
    <cellStyle name="coin" xfId="3263" xr:uid="{00000000-0005-0000-0000-0000C21A0000}"/>
    <cellStyle name="coin 10" xfId="17974" xr:uid="{00000000-0005-0000-0000-0000C31A0000}"/>
    <cellStyle name="coin 2" xfId="14677" xr:uid="{00000000-0005-0000-0000-0000C41A0000}"/>
    <cellStyle name="coin 2 2" xfId="19987" xr:uid="{00000000-0005-0000-0000-0000C51A0000}"/>
    <cellStyle name="coin 2 3" xfId="24489" xr:uid="{00000000-0005-0000-0000-0000C61A0000}"/>
    <cellStyle name="coin 2 4" xfId="23818" xr:uid="{00000000-0005-0000-0000-0000C71A0000}"/>
    <cellStyle name="coin 3" xfId="14403" xr:uid="{00000000-0005-0000-0000-0000C81A0000}"/>
    <cellStyle name="coin 3 2" xfId="19541" xr:uid="{00000000-0005-0000-0000-0000C91A0000}"/>
    <cellStyle name="coin 4" xfId="15301" xr:uid="{00000000-0005-0000-0000-0000CA1A0000}"/>
    <cellStyle name="coin 4 2" xfId="20690" xr:uid="{00000000-0005-0000-0000-0000CB1A0000}"/>
    <cellStyle name="coin 5" xfId="16374" xr:uid="{00000000-0005-0000-0000-0000CC1A0000}"/>
    <cellStyle name="coin 5 2" xfId="22015" xr:uid="{00000000-0005-0000-0000-0000CD1A0000}"/>
    <cellStyle name="coin 6" xfId="16732" xr:uid="{00000000-0005-0000-0000-0000CE1A0000}"/>
    <cellStyle name="coin 6 2" xfId="22383" xr:uid="{00000000-0005-0000-0000-0000CF1A0000}"/>
    <cellStyle name="coin 7" xfId="17449" xr:uid="{00000000-0005-0000-0000-0000D01A0000}"/>
    <cellStyle name="coin 7 2" xfId="23097" xr:uid="{00000000-0005-0000-0000-0000D11A0000}"/>
    <cellStyle name="coin 8" xfId="13653" xr:uid="{00000000-0005-0000-0000-0000D21A0000}"/>
    <cellStyle name="coin 8 2" xfId="18630" xr:uid="{00000000-0005-0000-0000-0000D31A0000}"/>
    <cellStyle name="coin 9" xfId="12980" xr:uid="{00000000-0005-0000-0000-0000D41A0000}"/>
    <cellStyle name="Colore 1" xfId="9597" xr:uid="{00000000-0005-0000-0000-0000D51A0000}"/>
    <cellStyle name="Colore 2" xfId="9598" xr:uid="{00000000-0005-0000-0000-0000D61A0000}"/>
    <cellStyle name="Colore 3" xfId="9599" xr:uid="{00000000-0005-0000-0000-0000D71A0000}"/>
    <cellStyle name="Colore 4" xfId="9600" xr:uid="{00000000-0005-0000-0000-0000D81A0000}"/>
    <cellStyle name="Colore 5" xfId="9601" xr:uid="{00000000-0005-0000-0000-0000D91A0000}"/>
    <cellStyle name="Colore 6" xfId="9602" xr:uid="{00000000-0005-0000-0000-0000DA1A0000}"/>
    <cellStyle name="Comma [0] 2" xfId="9604" xr:uid="{00000000-0005-0000-0000-0000DB1A0000}"/>
    <cellStyle name="Comma [0] 2 10" xfId="7900" xr:uid="{00000000-0005-0000-0000-0000DC1A0000}"/>
    <cellStyle name="Comma [0] 2 10 2" xfId="9857" xr:uid="{00000000-0005-0000-0000-0000DD1A0000}"/>
    <cellStyle name="Comma [0] 2 10 2 2" xfId="11883" xr:uid="{00000000-0005-0000-0000-0000DE1A0000}"/>
    <cellStyle name="Comma [0] 2 10 2 2 2" xfId="28544" xr:uid="{00000000-0005-0000-0000-0000DF1A0000}"/>
    <cellStyle name="Comma [0] 2 10 2 2 2 2" xfId="46213" xr:uid="{00000000-0005-0000-0000-0000E01A0000}"/>
    <cellStyle name="Comma [0] 2 10 2 2 3" xfId="32757" xr:uid="{00000000-0005-0000-0000-0000E11A0000}"/>
    <cellStyle name="Comma [0] 2 10 2 2 4" xfId="36972" xr:uid="{00000000-0005-0000-0000-0000E21A0000}"/>
    <cellStyle name="Comma [0] 2 10 2 2 5" xfId="41176" xr:uid="{00000000-0005-0000-0000-0000E31A0000}"/>
    <cellStyle name="Comma [0] 2 10 2 3" xfId="27344" xr:uid="{00000000-0005-0000-0000-0000E41A0000}"/>
    <cellStyle name="Comma [0] 2 10 2 3 2" xfId="42940" xr:uid="{00000000-0005-0000-0000-0000E51A0000}"/>
    <cellStyle name="Comma [0] 2 10 2 4" xfId="31557" xr:uid="{00000000-0005-0000-0000-0000E61A0000}"/>
    <cellStyle name="Comma [0] 2 10 2 5" xfId="35772" xr:uid="{00000000-0005-0000-0000-0000E71A0000}"/>
    <cellStyle name="Comma [0] 2 10 2 6" xfId="39976" xr:uid="{00000000-0005-0000-0000-0000E81A0000}"/>
    <cellStyle name="Comma [0] 2 10 3" xfId="10648" xr:uid="{00000000-0005-0000-0000-0000E91A0000}"/>
    <cellStyle name="Comma [0] 2 10 3 2" xfId="27809" xr:uid="{00000000-0005-0000-0000-0000EA1A0000}"/>
    <cellStyle name="Comma [0] 2 10 3 2 2" xfId="45488" xr:uid="{00000000-0005-0000-0000-0000EB1A0000}"/>
    <cellStyle name="Comma [0] 2 10 3 3" xfId="32022" xr:uid="{00000000-0005-0000-0000-0000EC1A0000}"/>
    <cellStyle name="Comma [0] 2 10 3 4" xfId="36237" xr:uid="{00000000-0005-0000-0000-0000ED1A0000}"/>
    <cellStyle name="Comma [0] 2 10 3 5" xfId="40441" xr:uid="{00000000-0005-0000-0000-0000EE1A0000}"/>
    <cellStyle name="Comma [0] 2 10 4" xfId="26198" xr:uid="{00000000-0005-0000-0000-0000EF1A0000}"/>
    <cellStyle name="Comma [0] 2 10 4 2" xfId="41435" xr:uid="{00000000-0005-0000-0000-0000F01A0000}"/>
    <cellStyle name="Comma [0] 2 10 5" xfId="30411" xr:uid="{00000000-0005-0000-0000-0000F11A0000}"/>
    <cellStyle name="Comma [0] 2 10 5 2" xfId="41709" xr:uid="{00000000-0005-0000-0000-0000F21A0000}"/>
    <cellStyle name="Comma [0] 2 10 6" xfId="34626" xr:uid="{00000000-0005-0000-0000-0000F31A0000}"/>
    <cellStyle name="Comma [0] 2 10 7" xfId="38830" xr:uid="{00000000-0005-0000-0000-0000F41A0000}"/>
    <cellStyle name="Comma [0] 2 11" xfId="12180" xr:uid="{00000000-0005-0000-0000-0000F51A0000}"/>
    <cellStyle name="Comma [0] 2 11 2" xfId="28791" xr:uid="{00000000-0005-0000-0000-0000F61A0000}"/>
    <cellStyle name="Comma [0] 2 11 2 2" xfId="46462" xr:uid="{00000000-0005-0000-0000-0000F71A0000}"/>
    <cellStyle name="Comma [0] 2 11 3" xfId="33004" xr:uid="{00000000-0005-0000-0000-0000F81A0000}"/>
    <cellStyle name="Comma [0] 2 11 4" xfId="37219" xr:uid="{00000000-0005-0000-0000-0000F91A0000}"/>
    <cellStyle name="Comma [0] 2 11 5" xfId="41423" xr:uid="{00000000-0005-0000-0000-0000FA1A0000}"/>
    <cellStyle name="Comma [0] 2 12" xfId="12296" xr:uid="{00000000-0005-0000-0000-0000FB1A0000}"/>
    <cellStyle name="Comma [0] 2 12 2" xfId="28863" xr:uid="{00000000-0005-0000-0000-0000FC1A0000}"/>
    <cellStyle name="Comma [0] 2 12 3" xfId="33076" xr:uid="{00000000-0005-0000-0000-0000FD1A0000}"/>
    <cellStyle name="Comma [0] 2 12 4" xfId="37291" xr:uid="{00000000-0005-0000-0000-0000FE1A0000}"/>
    <cellStyle name="Comma [0] 2 13" xfId="24151" xr:uid="{00000000-0005-0000-0000-0000FF1A0000}"/>
    <cellStyle name="Comma [0] 2 13 2" xfId="29010" xr:uid="{00000000-0005-0000-0000-0000001B0000}"/>
    <cellStyle name="Comma [0] 2 13 3" xfId="33227" xr:uid="{00000000-0005-0000-0000-0000011B0000}"/>
    <cellStyle name="Comma [0] 2 13 4" xfId="37438" xr:uid="{00000000-0005-0000-0000-0000021B0000}"/>
    <cellStyle name="Comma [0] 2 14" xfId="27141" xr:uid="{00000000-0005-0000-0000-0000031B0000}"/>
    <cellStyle name="Comma [0] 2 15" xfId="31354" xr:uid="{00000000-0005-0000-0000-0000041B0000}"/>
    <cellStyle name="Comma [0] 2 16" xfId="35569" xr:uid="{00000000-0005-0000-0000-0000051B0000}"/>
    <cellStyle name="Comma [0] 2 17" xfId="39773" xr:uid="{00000000-0005-0000-0000-0000061B0000}"/>
    <cellStyle name="Comma [0] 2 2" xfId="7901" xr:uid="{00000000-0005-0000-0000-0000071B0000}"/>
    <cellStyle name="Comma [0] 2 2 2" xfId="9858" xr:uid="{00000000-0005-0000-0000-0000081B0000}"/>
    <cellStyle name="Comma [0] 2 2 2 2" xfId="11884" xr:uid="{00000000-0005-0000-0000-0000091B0000}"/>
    <cellStyle name="Comma [0] 2 2 2 2 2" xfId="28545" xr:uid="{00000000-0005-0000-0000-00000A1B0000}"/>
    <cellStyle name="Comma [0] 2 2 2 2 2 2" xfId="46214" xr:uid="{00000000-0005-0000-0000-00000B1B0000}"/>
    <cellStyle name="Comma [0] 2 2 2 2 3" xfId="32758" xr:uid="{00000000-0005-0000-0000-00000C1B0000}"/>
    <cellStyle name="Comma [0] 2 2 2 2 4" xfId="36973" xr:uid="{00000000-0005-0000-0000-00000D1B0000}"/>
    <cellStyle name="Comma [0] 2 2 2 2 5" xfId="41177" xr:uid="{00000000-0005-0000-0000-00000E1B0000}"/>
    <cellStyle name="Comma [0] 2 2 2 3" xfId="27345" xr:uid="{00000000-0005-0000-0000-00000F1B0000}"/>
    <cellStyle name="Comma [0] 2 2 2 3 2" xfId="42941" xr:uid="{00000000-0005-0000-0000-0000101B0000}"/>
    <cellStyle name="Comma [0] 2 2 2 4" xfId="31558" xr:uid="{00000000-0005-0000-0000-0000111B0000}"/>
    <cellStyle name="Comma [0] 2 2 2 5" xfId="35773" xr:uid="{00000000-0005-0000-0000-0000121B0000}"/>
    <cellStyle name="Comma [0] 2 2 2 6" xfId="39977" xr:uid="{00000000-0005-0000-0000-0000131B0000}"/>
    <cellStyle name="Comma [0] 2 2 3" xfId="10649" xr:uid="{00000000-0005-0000-0000-0000141B0000}"/>
    <cellStyle name="Comma [0] 2 2 3 2" xfId="27810" xr:uid="{00000000-0005-0000-0000-0000151B0000}"/>
    <cellStyle name="Comma [0] 2 2 3 2 2" xfId="45489" xr:uid="{00000000-0005-0000-0000-0000161B0000}"/>
    <cellStyle name="Comma [0] 2 2 3 3" xfId="32023" xr:uid="{00000000-0005-0000-0000-0000171B0000}"/>
    <cellStyle name="Comma [0] 2 2 3 4" xfId="36238" xr:uid="{00000000-0005-0000-0000-0000181B0000}"/>
    <cellStyle name="Comma [0] 2 2 3 5" xfId="40442" xr:uid="{00000000-0005-0000-0000-0000191B0000}"/>
    <cellStyle name="Comma [0] 2 2 4" xfId="16153" xr:uid="{00000000-0005-0000-0000-00001A1B0000}"/>
    <cellStyle name="Comma [0] 2 2 4 2" xfId="28912" xr:uid="{00000000-0005-0000-0000-00001B1B0000}"/>
    <cellStyle name="Comma [0] 2 2 4 3" xfId="33127" xr:uid="{00000000-0005-0000-0000-00001C1B0000}"/>
    <cellStyle name="Comma [0] 2 2 4 4" xfId="37340" xr:uid="{00000000-0005-0000-0000-00001D1B0000}"/>
    <cellStyle name="Comma [0] 2 2 4 5" xfId="41436" xr:uid="{00000000-0005-0000-0000-00001E1B0000}"/>
    <cellStyle name="Comma [0] 2 2 5" xfId="24342" xr:uid="{00000000-0005-0000-0000-00001F1B0000}"/>
    <cellStyle name="Comma [0] 2 2 5 2" xfId="29027" xr:uid="{00000000-0005-0000-0000-0000201B0000}"/>
    <cellStyle name="Comma [0] 2 2 5 3" xfId="33244" xr:uid="{00000000-0005-0000-0000-0000211B0000}"/>
    <cellStyle name="Comma [0] 2 2 5 4" xfId="37455" xr:uid="{00000000-0005-0000-0000-0000221B0000}"/>
    <cellStyle name="Comma [0] 2 2 5 5" xfId="41710" xr:uid="{00000000-0005-0000-0000-0000231B0000}"/>
    <cellStyle name="Comma [0] 2 2 6" xfId="26199" xr:uid="{00000000-0005-0000-0000-0000241B0000}"/>
    <cellStyle name="Comma [0] 2 2 7" xfId="30412" xr:uid="{00000000-0005-0000-0000-0000251B0000}"/>
    <cellStyle name="Comma [0] 2 2 8" xfId="34627" xr:uid="{00000000-0005-0000-0000-0000261B0000}"/>
    <cellStyle name="Comma [0] 2 2 9" xfId="38831" xr:uid="{00000000-0005-0000-0000-0000271B0000}"/>
    <cellStyle name="Comma [0] 2 3" xfId="7902" xr:uid="{00000000-0005-0000-0000-0000281B0000}"/>
    <cellStyle name="Comma [0] 2 3 2" xfId="9859" xr:uid="{00000000-0005-0000-0000-0000291B0000}"/>
    <cellStyle name="Comma [0] 2 3 2 2" xfId="11885" xr:uid="{00000000-0005-0000-0000-00002A1B0000}"/>
    <cellStyle name="Comma [0] 2 3 2 2 2" xfId="28546" xr:uid="{00000000-0005-0000-0000-00002B1B0000}"/>
    <cellStyle name="Comma [0] 2 3 2 2 2 2" xfId="46215" xr:uid="{00000000-0005-0000-0000-00002C1B0000}"/>
    <cellStyle name="Comma [0] 2 3 2 2 3" xfId="32759" xr:uid="{00000000-0005-0000-0000-00002D1B0000}"/>
    <cellStyle name="Comma [0] 2 3 2 2 4" xfId="36974" xr:uid="{00000000-0005-0000-0000-00002E1B0000}"/>
    <cellStyle name="Comma [0] 2 3 2 2 5" xfId="41178" xr:uid="{00000000-0005-0000-0000-00002F1B0000}"/>
    <cellStyle name="Comma [0] 2 3 2 3" xfId="27346" xr:uid="{00000000-0005-0000-0000-0000301B0000}"/>
    <cellStyle name="Comma [0] 2 3 2 3 2" xfId="42942" xr:uid="{00000000-0005-0000-0000-0000311B0000}"/>
    <cellStyle name="Comma [0] 2 3 2 4" xfId="31559" xr:uid="{00000000-0005-0000-0000-0000321B0000}"/>
    <cellStyle name="Comma [0] 2 3 2 5" xfId="35774" xr:uid="{00000000-0005-0000-0000-0000331B0000}"/>
    <cellStyle name="Comma [0] 2 3 2 6" xfId="39978" xr:uid="{00000000-0005-0000-0000-0000341B0000}"/>
    <cellStyle name="Comma [0] 2 3 3" xfId="10650" xr:uid="{00000000-0005-0000-0000-0000351B0000}"/>
    <cellStyle name="Comma [0] 2 3 3 2" xfId="27811" xr:uid="{00000000-0005-0000-0000-0000361B0000}"/>
    <cellStyle name="Comma [0] 2 3 3 2 2" xfId="45490" xr:uid="{00000000-0005-0000-0000-0000371B0000}"/>
    <cellStyle name="Comma [0] 2 3 3 3" xfId="32024" xr:uid="{00000000-0005-0000-0000-0000381B0000}"/>
    <cellStyle name="Comma [0] 2 3 3 4" xfId="36239" xr:uid="{00000000-0005-0000-0000-0000391B0000}"/>
    <cellStyle name="Comma [0] 2 3 3 5" xfId="40443" xr:uid="{00000000-0005-0000-0000-00003A1B0000}"/>
    <cellStyle name="Comma [0] 2 3 4" xfId="17781" xr:uid="{00000000-0005-0000-0000-00003B1B0000}"/>
    <cellStyle name="Comma [0] 2 3 4 2" xfId="28926" xr:uid="{00000000-0005-0000-0000-00003C1B0000}"/>
    <cellStyle name="Comma [0] 2 3 4 3" xfId="33141" xr:uid="{00000000-0005-0000-0000-00003D1B0000}"/>
    <cellStyle name="Comma [0] 2 3 4 4" xfId="37354" xr:uid="{00000000-0005-0000-0000-00003E1B0000}"/>
    <cellStyle name="Comma [0] 2 3 4 5" xfId="41437" xr:uid="{00000000-0005-0000-0000-00003F1B0000}"/>
    <cellStyle name="Comma [0] 2 3 5" xfId="26200" xr:uid="{00000000-0005-0000-0000-0000401B0000}"/>
    <cellStyle name="Comma [0] 2 3 5 2" xfId="41711" xr:uid="{00000000-0005-0000-0000-0000411B0000}"/>
    <cellStyle name="Comma [0] 2 3 6" xfId="30413" xr:uid="{00000000-0005-0000-0000-0000421B0000}"/>
    <cellStyle name="Comma [0] 2 3 7" xfId="34628" xr:uid="{00000000-0005-0000-0000-0000431B0000}"/>
    <cellStyle name="Comma [0] 2 3 8" xfId="38832" xr:uid="{00000000-0005-0000-0000-0000441B0000}"/>
    <cellStyle name="Comma [0] 2 4" xfId="7903" xr:uid="{00000000-0005-0000-0000-0000451B0000}"/>
    <cellStyle name="Comma [0] 2 4 2" xfId="9860" xr:uid="{00000000-0005-0000-0000-0000461B0000}"/>
    <cellStyle name="Comma [0] 2 4 2 2" xfId="11886" xr:uid="{00000000-0005-0000-0000-0000471B0000}"/>
    <cellStyle name="Comma [0] 2 4 2 2 2" xfId="28547" xr:uid="{00000000-0005-0000-0000-0000481B0000}"/>
    <cellStyle name="Comma [0] 2 4 2 2 2 2" xfId="46216" xr:uid="{00000000-0005-0000-0000-0000491B0000}"/>
    <cellStyle name="Comma [0] 2 4 2 2 3" xfId="32760" xr:uid="{00000000-0005-0000-0000-00004A1B0000}"/>
    <cellStyle name="Comma [0] 2 4 2 2 4" xfId="36975" xr:uid="{00000000-0005-0000-0000-00004B1B0000}"/>
    <cellStyle name="Comma [0] 2 4 2 2 5" xfId="41179" xr:uid="{00000000-0005-0000-0000-00004C1B0000}"/>
    <cellStyle name="Comma [0] 2 4 2 3" xfId="27347" xr:uid="{00000000-0005-0000-0000-00004D1B0000}"/>
    <cellStyle name="Comma [0] 2 4 2 3 2" xfId="42943" xr:uid="{00000000-0005-0000-0000-00004E1B0000}"/>
    <cellStyle name="Comma [0] 2 4 2 4" xfId="31560" xr:uid="{00000000-0005-0000-0000-00004F1B0000}"/>
    <cellStyle name="Comma [0] 2 4 2 5" xfId="35775" xr:uid="{00000000-0005-0000-0000-0000501B0000}"/>
    <cellStyle name="Comma [0] 2 4 2 6" xfId="39979" xr:uid="{00000000-0005-0000-0000-0000511B0000}"/>
    <cellStyle name="Comma [0] 2 4 3" xfId="10651" xr:uid="{00000000-0005-0000-0000-0000521B0000}"/>
    <cellStyle name="Comma [0] 2 4 3 2" xfId="27812" xr:uid="{00000000-0005-0000-0000-0000531B0000}"/>
    <cellStyle name="Comma [0] 2 4 3 2 2" xfId="45491" xr:uid="{00000000-0005-0000-0000-0000541B0000}"/>
    <cellStyle name="Comma [0] 2 4 3 3" xfId="32025" xr:uid="{00000000-0005-0000-0000-0000551B0000}"/>
    <cellStyle name="Comma [0] 2 4 3 4" xfId="36240" xr:uid="{00000000-0005-0000-0000-0000561B0000}"/>
    <cellStyle name="Comma [0] 2 4 3 5" xfId="40444" xr:uid="{00000000-0005-0000-0000-0000571B0000}"/>
    <cellStyle name="Comma [0] 2 4 4" xfId="13984" xr:uid="{00000000-0005-0000-0000-0000581B0000}"/>
    <cellStyle name="Comma [0] 2 4 4 2" xfId="28895" xr:uid="{00000000-0005-0000-0000-0000591B0000}"/>
    <cellStyle name="Comma [0] 2 4 4 3" xfId="33108" xr:uid="{00000000-0005-0000-0000-00005A1B0000}"/>
    <cellStyle name="Comma [0] 2 4 4 4" xfId="37323" xr:uid="{00000000-0005-0000-0000-00005B1B0000}"/>
    <cellStyle name="Comma [0] 2 4 4 5" xfId="41438" xr:uid="{00000000-0005-0000-0000-00005C1B0000}"/>
    <cellStyle name="Comma [0] 2 4 5" xfId="26201" xr:uid="{00000000-0005-0000-0000-00005D1B0000}"/>
    <cellStyle name="Comma [0] 2 4 5 2" xfId="41712" xr:uid="{00000000-0005-0000-0000-00005E1B0000}"/>
    <cellStyle name="Comma [0] 2 4 6" xfId="30414" xr:uid="{00000000-0005-0000-0000-00005F1B0000}"/>
    <cellStyle name="Comma [0] 2 4 7" xfId="34629" xr:uid="{00000000-0005-0000-0000-0000601B0000}"/>
    <cellStyle name="Comma [0] 2 4 8" xfId="38833" xr:uid="{00000000-0005-0000-0000-0000611B0000}"/>
    <cellStyle name="Comma [0] 2 5" xfId="7904" xr:uid="{00000000-0005-0000-0000-0000621B0000}"/>
    <cellStyle name="Comma [0] 2 5 2" xfId="9861" xr:uid="{00000000-0005-0000-0000-0000631B0000}"/>
    <cellStyle name="Comma [0] 2 5 2 2" xfId="11887" xr:uid="{00000000-0005-0000-0000-0000641B0000}"/>
    <cellStyle name="Comma [0] 2 5 2 2 2" xfId="28548" xr:uid="{00000000-0005-0000-0000-0000651B0000}"/>
    <cellStyle name="Comma [0] 2 5 2 2 2 2" xfId="46217" xr:uid="{00000000-0005-0000-0000-0000661B0000}"/>
    <cellStyle name="Comma [0] 2 5 2 2 3" xfId="32761" xr:uid="{00000000-0005-0000-0000-0000671B0000}"/>
    <cellStyle name="Comma [0] 2 5 2 2 4" xfId="36976" xr:uid="{00000000-0005-0000-0000-0000681B0000}"/>
    <cellStyle name="Comma [0] 2 5 2 2 5" xfId="41180" xr:uid="{00000000-0005-0000-0000-0000691B0000}"/>
    <cellStyle name="Comma [0] 2 5 2 3" xfId="27348" xr:uid="{00000000-0005-0000-0000-00006A1B0000}"/>
    <cellStyle name="Comma [0] 2 5 2 3 2" xfId="42944" xr:uid="{00000000-0005-0000-0000-00006B1B0000}"/>
    <cellStyle name="Comma [0] 2 5 2 4" xfId="31561" xr:uid="{00000000-0005-0000-0000-00006C1B0000}"/>
    <cellStyle name="Comma [0] 2 5 2 5" xfId="35776" xr:uid="{00000000-0005-0000-0000-00006D1B0000}"/>
    <cellStyle name="Comma [0] 2 5 2 6" xfId="39980" xr:uid="{00000000-0005-0000-0000-00006E1B0000}"/>
    <cellStyle name="Comma [0] 2 5 3" xfId="10652" xr:uid="{00000000-0005-0000-0000-00006F1B0000}"/>
    <cellStyle name="Comma [0] 2 5 3 2" xfId="27813" xr:uid="{00000000-0005-0000-0000-0000701B0000}"/>
    <cellStyle name="Comma [0] 2 5 3 2 2" xfId="45492" xr:uid="{00000000-0005-0000-0000-0000711B0000}"/>
    <cellStyle name="Comma [0] 2 5 3 3" xfId="32026" xr:uid="{00000000-0005-0000-0000-0000721B0000}"/>
    <cellStyle name="Comma [0] 2 5 3 4" xfId="36241" xr:uid="{00000000-0005-0000-0000-0000731B0000}"/>
    <cellStyle name="Comma [0] 2 5 3 5" xfId="40445" xr:uid="{00000000-0005-0000-0000-0000741B0000}"/>
    <cellStyle name="Comma [0] 2 5 4" xfId="13313" xr:uid="{00000000-0005-0000-0000-0000751B0000}"/>
    <cellStyle name="Comma [0] 2 5 4 2" xfId="28880" xr:uid="{00000000-0005-0000-0000-0000761B0000}"/>
    <cellStyle name="Comma [0] 2 5 4 3" xfId="33093" xr:uid="{00000000-0005-0000-0000-0000771B0000}"/>
    <cellStyle name="Comma [0] 2 5 4 4" xfId="37308" xr:uid="{00000000-0005-0000-0000-0000781B0000}"/>
    <cellStyle name="Comma [0] 2 5 4 5" xfId="41439" xr:uid="{00000000-0005-0000-0000-0000791B0000}"/>
    <cellStyle name="Comma [0] 2 5 5" xfId="26202" xr:uid="{00000000-0005-0000-0000-00007A1B0000}"/>
    <cellStyle name="Comma [0] 2 5 5 2" xfId="41713" xr:uid="{00000000-0005-0000-0000-00007B1B0000}"/>
    <cellStyle name="Comma [0] 2 5 6" xfId="30415" xr:uid="{00000000-0005-0000-0000-00007C1B0000}"/>
    <cellStyle name="Comma [0] 2 5 7" xfId="34630" xr:uid="{00000000-0005-0000-0000-00007D1B0000}"/>
    <cellStyle name="Comma [0] 2 5 8" xfId="38834" xr:uid="{00000000-0005-0000-0000-00007E1B0000}"/>
    <cellStyle name="Comma [0] 2 6" xfId="7905" xr:uid="{00000000-0005-0000-0000-00007F1B0000}"/>
    <cellStyle name="Comma [0] 2 6 2" xfId="9862" xr:uid="{00000000-0005-0000-0000-0000801B0000}"/>
    <cellStyle name="Comma [0] 2 6 2 2" xfId="11888" xr:uid="{00000000-0005-0000-0000-0000811B0000}"/>
    <cellStyle name="Comma [0] 2 6 2 2 2" xfId="28549" xr:uid="{00000000-0005-0000-0000-0000821B0000}"/>
    <cellStyle name="Comma [0] 2 6 2 2 2 2" xfId="46218" xr:uid="{00000000-0005-0000-0000-0000831B0000}"/>
    <cellStyle name="Comma [0] 2 6 2 2 3" xfId="32762" xr:uid="{00000000-0005-0000-0000-0000841B0000}"/>
    <cellStyle name="Comma [0] 2 6 2 2 4" xfId="36977" xr:uid="{00000000-0005-0000-0000-0000851B0000}"/>
    <cellStyle name="Comma [0] 2 6 2 2 5" xfId="41181" xr:uid="{00000000-0005-0000-0000-0000861B0000}"/>
    <cellStyle name="Comma [0] 2 6 2 3" xfId="27349" xr:uid="{00000000-0005-0000-0000-0000871B0000}"/>
    <cellStyle name="Comma [0] 2 6 2 3 2" xfId="42945" xr:uid="{00000000-0005-0000-0000-0000881B0000}"/>
    <cellStyle name="Comma [0] 2 6 2 4" xfId="31562" xr:uid="{00000000-0005-0000-0000-0000891B0000}"/>
    <cellStyle name="Comma [0] 2 6 2 5" xfId="35777" xr:uid="{00000000-0005-0000-0000-00008A1B0000}"/>
    <cellStyle name="Comma [0] 2 6 2 6" xfId="39981" xr:uid="{00000000-0005-0000-0000-00008B1B0000}"/>
    <cellStyle name="Comma [0] 2 6 3" xfId="10653" xr:uid="{00000000-0005-0000-0000-00008C1B0000}"/>
    <cellStyle name="Comma [0] 2 6 3 2" xfId="27814" xr:uid="{00000000-0005-0000-0000-00008D1B0000}"/>
    <cellStyle name="Comma [0] 2 6 3 2 2" xfId="45493" xr:uid="{00000000-0005-0000-0000-00008E1B0000}"/>
    <cellStyle name="Comma [0] 2 6 3 3" xfId="32027" xr:uid="{00000000-0005-0000-0000-00008F1B0000}"/>
    <cellStyle name="Comma [0] 2 6 3 4" xfId="36242" xr:uid="{00000000-0005-0000-0000-0000901B0000}"/>
    <cellStyle name="Comma [0] 2 6 3 5" xfId="40446" xr:uid="{00000000-0005-0000-0000-0000911B0000}"/>
    <cellStyle name="Comma [0] 2 6 4" xfId="26203" xr:uid="{00000000-0005-0000-0000-0000921B0000}"/>
    <cellStyle name="Comma [0] 2 6 4 2" xfId="41440" xr:uid="{00000000-0005-0000-0000-0000931B0000}"/>
    <cellStyle name="Comma [0] 2 6 5" xfId="30416" xr:uid="{00000000-0005-0000-0000-0000941B0000}"/>
    <cellStyle name="Comma [0] 2 6 5 2" xfId="41714" xr:uid="{00000000-0005-0000-0000-0000951B0000}"/>
    <cellStyle name="Comma [0] 2 6 6" xfId="34631" xr:uid="{00000000-0005-0000-0000-0000961B0000}"/>
    <cellStyle name="Comma [0] 2 6 7" xfId="38835" xr:uid="{00000000-0005-0000-0000-0000971B0000}"/>
    <cellStyle name="Comma [0] 2 7" xfId="7906" xr:uid="{00000000-0005-0000-0000-0000981B0000}"/>
    <cellStyle name="Comma [0] 2 7 2" xfId="9863" xr:uid="{00000000-0005-0000-0000-0000991B0000}"/>
    <cellStyle name="Comma [0] 2 7 2 2" xfId="11889" xr:uid="{00000000-0005-0000-0000-00009A1B0000}"/>
    <cellStyle name="Comma [0] 2 7 2 2 2" xfId="28550" xr:uid="{00000000-0005-0000-0000-00009B1B0000}"/>
    <cellStyle name="Comma [0] 2 7 2 2 2 2" xfId="46219" xr:uid="{00000000-0005-0000-0000-00009C1B0000}"/>
    <cellStyle name="Comma [0] 2 7 2 2 3" xfId="32763" xr:uid="{00000000-0005-0000-0000-00009D1B0000}"/>
    <cellStyle name="Comma [0] 2 7 2 2 4" xfId="36978" xr:uid="{00000000-0005-0000-0000-00009E1B0000}"/>
    <cellStyle name="Comma [0] 2 7 2 2 5" xfId="41182" xr:uid="{00000000-0005-0000-0000-00009F1B0000}"/>
    <cellStyle name="Comma [0] 2 7 2 3" xfId="27350" xr:uid="{00000000-0005-0000-0000-0000A01B0000}"/>
    <cellStyle name="Comma [0] 2 7 2 3 2" xfId="42946" xr:uid="{00000000-0005-0000-0000-0000A11B0000}"/>
    <cellStyle name="Comma [0] 2 7 2 4" xfId="31563" xr:uid="{00000000-0005-0000-0000-0000A21B0000}"/>
    <cellStyle name="Comma [0] 2 7 2 5" xfId="35778" xr:uid="{00000000-0005-0000-0000-0000A31B0000}"/>
    <cellStyle name="Comma [0] 2 7 2 6" xfId="39982" xr:uid="{00000000-0005-0000-0000-0000A41B0000}"/>
    <cellStyle name="Comma [0] 2 7 3" xfId="10654" xr:uid="{00000000-0005-0000-0000-0000A51B0000}"/>
    <cellStyle name="Comma [0] 2 7 3 2" xfId="27815" xr:uid="{00000000-0005-0000-0000-0000A61B0000}"/>
    <cellStyle name="Comma [0] 2 7 3 2 2" xfId="45494" xr:uid="{00000000-0005-0000-0000-0000A71B0000}"/>
    <cellStyle name="Comma [0] 2 7 3 3" xfId="32028" xr:uid="{00000000-0005-0000-0000-0000A81B0000}"/>
    <cellStyle name="Comma [0] 2 7 3 4" xfId="36243" xr:uid="{00000000-0005-0000-0000-0000A91B0000}"/>
    <cellStyle name="Comma [0] 2 7 3 5" xfId="40447" xr:uid="{00000000-0005-0000-0000-0000AA1B0000}"/>
    <cellStyle name="Comma [0] 2 7 4" xfId="26204" xr:uid="{00000000-0005-0000-0000-0000AB1B0000}"/>
    <cellStyle name="Comma [0] 2 7 4 2" xfId="41441" xr:uid="{00000000-0005-0000-0000-0000AC1B0000}"/>
    <cellStyle name="Comma [0] 2 7 5" xfId="30417" xr:uid="{00000000-0005-0000-0000-0000AD1B0000}"/>
    <cellStyle name="Comma [0] 2 7 5 2" xfId="41715" xr:uid="{00000000-0005-0000-0000-0000AE1B0000}"/>
    <cellStyle name="Comma [0] 2 7 6" xfId="34632" xr:uid="{00000000-0005-0000-0000-0000AF1B0000}"/>
    <cellStyle name="Comma [0] 2 7 7" xfId="38836" xr:uid="{00000000-0005-0000-0000-0000B01B0000}"/>
    <cellStyle name="Comma [0] 2 8" xfId="7907" xr:uid="{00000000-0005-0000-0000-0000B11B0000}"/>
    <cellStyle name="Comma [0] 2 8 2" xfId="9864" xr:uid="{00000000-0005-0000-0000-0000B21B0000}"/>
    <cellStyle name="Comma [0] 2 8 2 2" xfId="11890" xr:uid="{00000000-0005-0000-0000-0000B31B0000}"/>
    <cellStyle name="Comma [0] 2 8 2 2 2" xfId="28551" xr:uid="{00000000-0005-0000-0000-0000B41B0000}"/>
    <cellStyle name="Comma [0] 2 8 2 2 2 2" xfId="46220" xr:uid="{00000000-0005-0000-0000-0000B51B0000}"/>
    <cellStyle name="Comma [0] 2 8 2 2 3" xfId="32764" xr:uid="{00000000-0005-0000-0000-0000B61B0000}"/>
    <cellStyle name="Comma [0] 2 8 2 2 4" xfId="36979" xr:uid="{00000000-0005-0000-0000-0000B71B0000}"/>
    <cellStyle name="Comma [0] 2 8 2 2 5" xfId="41183" xr:uid="{00000000-0005-0000-0000-0000B81B0000}"/>
    <cellStyle name="Comma [0] 2 8 2 3" xfId="27351" xr:uid="{00000000-0005-0000-0000-0000B91B0000}"/>
    <cellStyle name="Comma [0] 2 8 2 3 2" xfId="42947" xr:uid="{00000000-0005-0000-0000-0000BA1B0000}"/>
    <cellStyle name="Comma [0] 2 8 2 4" xfId="31564" xr:uid="{00000000-0005-0000-0000-0000BB1B0000}"/>
    <cellStyle name="Comma [0] 2 8 2 5" xfId="35779" xr:uid="{00000000-0005-0000-0000-0000BC1B0000}"/>
    <cellStyle name="Comma [0] 2 8 2 6" xfId="39983" xr:uid="{00000000-0005-0000-0000-0000BD1B0000}"/>
    <cellStyle name="Comma [0] 2 8 3" xfId="10655" xr:uid="{00000000-0005-0000-0000-0000BE1B0000}"/>
    <cellStyle name="Comma [0] 2 8 3 2" xfId="27816" xr:uid="{00000000-0005-0000-0000-0000BF1B0000}"/>
    <cellStyle name="Comma [0] 2 8 3 2 2" xfId="45495" xr:uid="{00000000-0005-0000-0000-0000C01B0000}"/>
    <cellStyle name="Comma [0] 2 8 3 3" xfId="32029" xr:uid="{00000000-0005-0000-0000-0000C11B0000}"/>
    <cellStyle name="Comma [0] 2 8 3 4" xfId="36244" xr:uid="{00000000-0005-0000-0000-0000C21B0000}"/>
    <cellStyle name="Comma [0] 2 8 3 5" xfId="40448" xr:uid="{00000000-0005-0000-0000-0000C31B0000}"/>
    <cellStyle name="Comma [0] 2 8 4" xfId="26205" xr:uid="{00000000-0005-0000-0000-0000C41B0000}"/>
    <cellStyle name="Comma [0] 2 8 4 2" xfId="41442" xr:uid="{00000000-0005-0000-0000-0000C51B0000}"/>
    <cellStyle name="Comma [0] 2 8 5" xfId="30418" xr:uid="{00000000-0005-0000-0000-0000C61B0000}"/>
    <cellStyle name="Comma [0] 2 8 5 2" xfId="41716" xr:uid="{00000000-0005-0000-0000-0000C71B0000}"/>
    <cellStyle name="Comma [0] 2 8 6" xfId="34633" xr:uid="{00000000-0005-0000-0000-0000C81B0000}"/>
    <cellStyle name="Comma [0] 2 8 7" xfId="38837" xr:uid="{00000000-0005-0000-0000-0000C91B0000}"/>
    <cellStyle name="Comma [0] 2 9" xfId="7908" xr:uid="{00000000-0005-0000-0000-0000CA1B0000}"/>
    <cellStyle name="Comma [0] 2 9 2" xfId="9865" xr:uid="{00000000-0005-0000-0000-0000CB1B0000}"/>
    <cellStyle name="Comma [0] 2 9 2 2" xfId="11891" xr:uid="{00000000-0005-0000-0000-0000CC1B0000}"/>
    <cellStyle name="Comma [0] 2 9 2 2 2" xfId="28552" xr:uid="{00000000-0005-0000-0000-0000CD1B0000}"/>
    <cellStyle name="Comma [0] 2 9 2 2 2 2" xfId="46221" xr:uid="{00000000-0005-0000-0000-0000CE1B0000}"/>
    <cellStyle name="Comma [0] 2 9 2 2 3" xfId="32765" xr:uid="{00000000-0005-0000-0000-0000CF1B0000}"/>
    <cellStyle name="Comma [0] 2 9 2 2 4" xfId="36980" xr:uid="{00000000-0005-0000-0000-0000D01B0000}"/>
    <cellStyle name="Comma [0] 2 9 2 2 5" xfId="41184" xr:uid="{00000000-0005-0000-0000-0000D11B0000}"/>
    <cellStyle name="Comma [0] 2 9 2 3" xfId="27352" xr:uid="{00000000-0005-0000-0000-0000D21B0000}"/>
    <cellStyle name="Comma [0] 2 9 2 3 2" xfId="42948" xr:uid="{00000000-0005-0000-0000-0000D31B0000}"/>
    <cellStyle name="Comma [0] 2 9 2 4" xfId="31565" xr:uid="{00000000-0005-0000-0000-0000D41B0000}"/>
    <cellStyle name="Comma [0] 2 9 2 5" xfId="35780" xr:uid="{00000000-0005-0000-0000-0000D51B0000}"/>
    <cellStyle name="Comma [0] 2 9 2 6" xfId="39984" xr:uid="{00000000-0005-0000-0000-0000D61B0000}"/>
    <cellStyle name="Comma [0] 2 9 3" xfId="10656" xr:uid="{00000000-0005-0000-0000-0000D71B0000}"/>
    <cellStyle name="Comma [0] 2 9 3 2" xfId="27817" xr:uid="{00000000-0005-0000-0000-0000D81B0000}"/>
    <cellStyle name="Comma [0] 2 9 3 2 2" xfId="45496" xr:uid="{00000000-0005-0000-0000-0000D91B0000}"/>
    <cellStyle name="Comma [0] 2 9 3 3" xfId="32030" xr:uid="{00000000-0005-0000-0000-0000DA1B0000}"/>
    <cellStyle name="Comma [0] 2 9 3 4" xfId="36245" xr:uid="{00000000-0005-0000-0000-0000DB1B0000}"/>
    <cellStyle name="Comma [0] 2 9 3 5" xfId="40449" xr:uid="{00000000-0005-0000-0000-0000DC1B0000}"/>
    <cellStyle name="Comma [0] 2 9 4" xfId="26206" xr:uid="{00000000-0005-0000-0000-0000DD1B0000}"/>
    <cellStyle name="Comma [0] 2 9 4 2" xfId="41443" xr:uid="{00000000-0005-0000-0000-0000DE1B0000}"/>
    <cellStyle name="Comma [0] 2 9 5" xfId="30419" xr:uid="{00000000-0005-0000-0000-0000DF1B0000}"/>
    <cellStyle name="Comma [0] 2 9 5 2" xfId="41717" xr:uid="{00000000-0005-0000-0000-0000E01B0000}"/>
    <cellStyle name="Comma [0] 2 9 6" xfId="34634" xr:uid="{00000000-0005-0000-0000-0000E11B0000}"/>
    <cellStyle name="Comma [0] 2 9 7" xfId="38838" xr:uid="{00000000-0005-0000-0000-0000E21B0000}"/>
    <cellStyle name="Comma 10" xfId="9059" xr:uid="{00000000-0005-0000-0000-0000E31B0000}"/>
    <cellStyle name="Comma 10 10" xfId="10888" xr:uid="{00000000-0005-0000-0000-0000E41B0000}"/>
    <cellStyle name="Comma 10 10 2" xfId="28022" xr:uid="{00000000-0005-0000-0000-0000E51B0000}"/>
    <cellStyle name="Comma 10 10 2 2" xfId="45699" xr:uid="{00000000-0005-0000-0000-0000E61B0000}"/>
    <cellStyle name="Comma 10 10 3" xfId="32235" xr:uid="{00000000-0005-0000-0000-0000E71B0000}"/>
    <cellStyle name="Comma 10 10 4" xfId="36450" xr:uid="{00000000-0005-0000-0000-0000E81B0000}"/>
    <cellStyle name="Comma 10 10 5" xfId="40654" xr:uid="{00000000-0005-0000-0000-0000E91B0000}"/>
    <cellStyle name="Comma 10 11" xfId="14676" xr:uid="{00000000-0005-0000-0000-0000EA1B0000}"/>
    <cellStyle name="Comma 10 11 2" xfId="28897" xr:uid="{00000000-0005-0000-0000-0000EB1B0000}"/>
    <cellStyle name="Comma 10 11 3" xfId="33110" xr:uid="{00000000-0005-0000-0000-0000EC1B0000}"/>
    <cellStyle name="Comma 10 11 4" xfId="37325" xr:uid="{00000000-0005-0000-0000-0000ED1B0000}"/>
    <cellStyle name="Comma 10 11 5" xfId="42949" xr:uid="{00000000-0005-0000-0000-0000EE1B0000}"/>
    <cellStyle name="Comma 10 12" xfId="26630" xr:uid="{00000000-0005-0000-0000-0000EF1B0000}"/>
    <cellStyle name="Comma 10 13" xfId="30843" xr:uid="{00000000-0005-0000-0000-0000F01B0000}"/>
    <cellStyle name="Comma 10 14" xfId="35058" xr:uid="{00000000-0005-0000-0000-0000F11B0000}"/>
    <cellStyle name="Comma 10 15" xfId="39262" xr:uid="{00000000-0005-0000-0000-0000F21B0000}"/>
    <cellStyle name="Comma 10 2" xfId="7909" xr:uid="{00000000-0005-0000-0000-0000F31B0000}"/>
    <cellStyle name="Comma 10 2 10" xfId="7910" xr:uid="{00000000-0005-0000-0000-0000F41B0000}"/>
    <cellStyle name="Comma 10 2 10 2" xfId="9867" xr:uid="{00000000-0005-0000-0000-0000F51B0000}"/>
    <cellStyle name="Comma 10 2 10 2 2" xfId="11893" xr:uid="{00000000-0005-0000-0000-0000F61B0000}"/>
    <cellStyle name="Comma 10 2 10 2 2 2" xfId="28554" xr:uid="{00000000-0005-0000-0000-0000F71B0000}"/>
    <cellStyle name="Comma 10 2 10 2 2 2 2" xfId="46223" xr:uid="{00000000-0005-0000-0000-0000F81B0000}"/>
    <cellStyle name="Comma 10 2 10 2 2 3" xfId="32767" xr:uid="{00000000-0005-0000-0000-0000F91B0000}"/>
    <cellStyle name="Comma 10 2 10 2 2 4" xfId="36982" xr:uid="{00000000-0005-0000-0000-0000FA1B0000}"/>
    <cellStyle name="Comma 10 2 10 2 2 5" xfId="41186" xr:uid="{00000000-0005-0000-0000-0000FB1B0000}"/>
    <cellStyle name="Comma 10 2 10 2 3" xfId="27354" xr:uid="{00000000-0005-0000-0000-0000FC1B0000}"/>
    <cellStyle name="Comma 10 2 10 2 3 2" xfId="42951" xr:uid="{00000000-0005-0000-0000-0000FD1B0000}"/>
    <cellStyle name="Comma 10 2 10 2 4" xfId="31567" xr:uid="{00000000-0005-0000-0000-0000FE1B0000}"/>
    <cellStyle name="Comma 10 2 10 2 5" xfId="35782" xr:uid="{00000000-0005-0000-0000-0000FF1B0000}"/>
    <cellStyle name="Comma 10 2 10 2 6" xfId="39986" xr:uid="{00000000-0005-0000-0000-0000001C0000}"/>
    <cellStyle name="Comma 10 2 10 3" xfId="10658" xr:uid="{00000000-0005-0000-0000-0000011C0000}"/>
    <cellStyle name="Comma 10 2 10 3 2" xfId="27819" xr:uid="{00000000-0005-0000-0000-0000021C0000}"/>
    <cellStyle name="Comma 10 2 10 3 2 2" xfId="45498" xr:uid="{00000000-0005-0000-0000-0000031C0000}"/>
    <cellStyle name="Comma 10 2 10 3 3" xfId="32032" xr:uid="{00000000-0005-0000-0000-0000041C0000}"/>
    <cellStyle name="Comma 10 2 10 3 4" xfId="36247" xr:uid="{00000000-0005-0000-0000-0000051C0000}"/>
    <cellStyle name="Comma 10 2 10 3 5" xfId="40451" xr:uid="{00000000-0005-0000-0000-0000061C0000}"/>
    <cellStyle name="Comma 10 2 10 4" xfId="26208" xr:uid="{00000000-0005-0000-0000-0000071C0000}"/>
    <cellStyle name="Comma 10 2 10 4 2" xfId="41445" xr:uid="{00000000-0005-0000-0000-0000081C0000}"/>
    <cellStyle name="Comma 10 2 10 5" xfId="30421" xr:uid="{00000000-0005-0000-0000-0000091C0000}"/>
    <cellStyle name="Comma 10 2 10 5 2" xfId="41719" xr:uid="{00000000-0005-0000-0000-00000A1C0000}"/>
    <cellStyle name="Comma 10 2 10 6" xfId="34636" xr:uid="{00000000-0005-0000-0000-00000B1C0000}"/>
    <cellStyle name="Comma 10 2 10 7" xfId="38840" xr:uid="{00000000-0005-0000-0000-00000C1C0000}"/>
    <cellStyle name="Comma 10 2 11" xfId="7911" xr:uid="{00000000-0005-0000-0000-00000D1C0000}"/>
    <cellStyle name="Comma 10 2 11 2" xfId="9868" xr:uid="{00000000-0005-0000-0000-00000E1C0000}"/>
    <cellStyle name="Comma 10 2 11 2 2" xfId="11894" xr:uid="{00000000-0005-0000-0000-00000F1C0000}"/>
    <cellStyle name="Comma 10 2 11 2 2 2" xfId="28555" xr:uid="{00000000-0005-0000-0000-0000101C0000}"/>
    <cellStyle name="Comma 10 2 11 2 2 2 2" xfId="46224" xr:uid="{00000000-0005-0000-0000-0000111C0000}"/>
    <cellStyle name="Comma 10 2 11 2 2 3" xfId="32768" xr:uid="{00000000-0005-0000-0000-0000121C0000}"/>
    <cellStyle name="Comma 10 2 11 2 2 4" xfId="36983" xr:uid="{00000000-0005-0000-0000-0000131C0000}"/>
    <cellStyle name="Comma 10 2 11 2 2 5" xfId="41187" xr:uid="{00000000-0005-0000-0000-0000141C0000}"/>
    <cellStyle name="Comma 10 2 11 2 3" xfId="27355" xr:uid="{00000000-0005-0000-0000-0000151C0000}"/>
    <cellStyle name="Comma 10 2 11 2 3 2" xfId="42952" xr:uid="{00000000-0005-0000-0000-0000161C0000}"/>
    <cellStyle name="Comma 10 2 11 2 4" xfId="31568" xr:uid="{00000000-0005-0000-0000-0000171C0000}"/>
    <cellStyle name="Comma 10 2 11 2 5" xfId="35783" xr:uid="{00000000-0005-0000-0000-0000181C0000}"/>
    <cellStyle name="Comma 10 2 11 2 6" xfId="39987" xr:uid="{00000000-0005-0000-0000-0000191C0000}"/>
    <cellStyle name="Comma 10 2 11 3" xfId="10659" xr:uid="{00000000-0005-0000-0000-00001A1C0000}"/>
    <cellStyle name="Comma 10 2 11 3 2" xfId="27820" xr:uid="{00000000-0005-0000-0000-00001B1C0000}"/>
    <cellStyle name="Comma 10 2 11 3 2 2" xfId="45499" xr:uid="{00000000-0005-0000-0000-00001C1C0000}"/>
    <cellStyle name="Comma 10 2 11 3 3" xfId="32033" xr:uid="{00000000-0005-0000-0000-00001D1C0000}"/>
    <cellStyle name="Comma 10 2 11 3 4" xfId="36248" xr:uid="{00000000-0005-0000-0000-00001E1C0000}"/>
    <cellStyle name="Comma 10 2 11 3 5" xfId="40452" xr:uid="{00000000-0005-0000-0000-00001F1C0000}"/>
    <cellStyle name="Comma 10 2 11 4" xfId="26209" xr:uid="{00000000-0005-0000-0000-0000201C0000}"/>
    <cellStyle name="Comma 10 2 11 4 2" xfId="41446" xr:uid="{00000000-0005-0000-0000-0000211C0000}"/>
    <cellStyle name="Comma 10 2 11 5" xfId="30422" xr:uid="{00000000-0005-0000-0000-0000221C0000}"/>
    <cellStyle name="Comma 10 2 11 5 2" xfId="41720" xr:uid="{00000000-0005-0000-0000-0000231C0000}"/>
    <cellStyle name="Comma 10 2 11 6" xfId="34637" xr:uid="{00000000-0005-0000-0000-0000241C0000}"/>
    <cellStyle name="Comma 10 2 11 7" xfId="38841" xr:uid="{00000000-0005-0000-0000-0000251C0000}"/>
    <cellStyle name="Comma 10 2 12" xfId="7912" xr:uid="{00000000-0005-0000-0000-0000261C0000}"/>
    <cellStyle name="Comma 10 2 12 2" xfId="9869" xr:uid="{00000000-0005-0000-0000-0000271C0000}"/>
    <cellStyle name="Comma 10 2 12 2 2" xfId="11895" xr:uid="{00000000-0005-0000-0000-0000281C0000}"/>
    <cellStyle name="Comma 10 2 12 2 2 2" xfId="28556" xr:uid="{00000000-0005-0000-0000-0000291C0000}"/>
    <cellStyle name="Comma 10 2 12 2 2 2 2" xfId="46225" xr:uid="{00000000-0005-0000-0000-00002A1C0000}"/>
    <cellStyle name="Comma 10 2 12 2 2 3" xfId="32769" xr:uid="{00000000-0005-0000-0000-00002B1C0000}"/>
    <cellStyle name="Comma 10 2 12 2 2 4" xfId="36984" xr:uid="{00000000-0005-0000-0000-00002C1C0000}"/>
    <cellStyle name="Comma 10 2 12 2 2 5" xfId="41188" xr:uid="{00000000-0005-0000-0000-00002D1C0000}"/>
    <cellStyle name="Comma 10 2 12 2 3" xfId="27356" xr:uid="{00000000-0005-0000-0000-00002E1C0000}"/>
    <cellStyle name="Comma 10 2 12 2 3 2" xfId="42953" xr:uid="{00000000-0005-0000-0000-00002F1C0000}"/>
    <cellStyle name="Comma 10 2 12 2 4" xfId="31569" xr:uid="{00000000-0005-0000-0000-0000301C0000}"/>
    <cellStyle name="Comma 10 2 12 2 5" xfId="35784" xr:uid="{00000000-0005-0000-0000-0000311C0000}"/>
    <cellStyle name="Comma 10 2 12 2 6" xfId="39988" xr:uid="{00000000-0005-0000-0000-0000321C0000}"/>
    <cellStyle name="Comma 10 2 12 3" xfId="10660" xr:uid="{00000000-0005-0000-0000-0000331C0000}"/>
    <cellStyle name="Comma 10 2 12 3 2" xfId="27821" xr:uid="{00000000-0005-0000-0000-0000341C0000}"/>
    <cellStyle name="Comma 10 2 12 3 2 2" xfId="45500" xr:uid="{00000000-0005-0000-0000-0000351C0000}"/>
    <cellStyle name="Comma 10 2 12 3 3" xfId="32034" xr:uid="{00000000-0005-0000-0000-0000361C0000}"/>
    <cellStyle name="Comma 10 2 12 3 4" xfId="36249" xr:uid="{00000000-0005-0000-0000-0000371C0000}"/>
    <cellStyle name="Comma 10 2 12 3 5" xfId="40453" xr:uid="{00000000-0005-0000-0000-0000381C0000}"/>
    <cellStyle name="Comma 10 2 12 4" xfId="26210" xr:uid="{00000000-0005-0000-0000-0000391C0000}"/>
    <cellStyle name="Comma 10 2 12 4 2" xfId="41447" xr:uid="{00000000-0005-0000-0000-00003A1C0000}"/>
    <cellStyle name="Comma 10 2 12 5" xfId="30423" xr:uid="{00000000-0005-0000-0000-00003B1C0000}"/>
    <cellStyle name="Comma 10 2 12 5 2" xfId="41721" xr:uid="{00000000-0005-0000-0000-00003C1C0000}"/>
    <cellStyle name="Comma 10 2 12 6" xfId="34638" xr:uid="{00000000-0005-0000-0000-00003D1C0000}"/>
    <cellStyle name="Comma 10 2 12 7" xfId="38842" xr:uid="{00000000-0005-0000-0000-00003E1C0000}"/>
    <cellStyle name="Comma 10 2 13" xfId="7913" xr:uid="{00000000-0005-0000-0000-00003F1C0000}"/>
    <cellStyle name="Comma 10 2 13 2" xfId="9870" xr:uid="{00000000-0005-0000-0000-0000401C0000}"/>
    <cellStyle name="Comma 10 2 13 2 2" xfId="11896" xr:uid="{00000000-0005-0000-0000-0000411C0000}"/>
    <cellStyle name="Comma 10 2 13 2 2 2" xfId="28557" xr:uid="{00000000-0005-0000-0000-0000421C0000}"/>
    <cellStyle name="Comma 10 2 13 2 2 2 2" xfId="46226" xr:uid="{00000000-0005-0000-0000-0000431C0000}"/>
    <cellStyle name="Comma 10 2 13 2 2 3" xfId="32770" xr:uid="{00000000-0005-0000-0000-0000441C0000}"/>
    <cellStyle name="Comma 10 2 13 2 2 4" xfId="36985" xr:uid="{00000000-0005-0000-0000-0000451C0000}"/>
    <cellStyle name="Comma 10 2 13 2 2 5" xfId="41189" xr:uid="{00000000-0005-0000-0000-0000461C0000}"/>
    <cellStyle name="Comma 10 2 13 2 3" xfId="27357" xr:uid="{00000000-0005-0000-0000-0000471C0000}"/>
    <cellStyle name="Comma 10 2 13 2 3 2" xfId="42954" xr:uid="{00000000-0005-0000-0000-0000481C0000}"/>
    <cellStyle name="Comma 10 2 13 2 4" xfId="31570" xr:uid="{00000000-0005-0000-0000-0000491C0000}"/>
    <cellStyle name="Comma 10 2 13 2 5" xfId="35785" xr:uid="{00000000-0005-0000-0000-00004A1C0000}"/>
    <cellStyle name="Comma 10 2 13 2 6" xfId="39989" xr:uid="{00000000-0005-0000-0000-00004B1C0000}"/>
    <cellStyle name="Comma 10 2 13 3" xfId="10661" xr:uid="{00000000-0005-0000-0000-00004C1C0000}"/>
    <cellStyle name="Comma 10 2 13 3 2" xfId="27822" xr:uid="{00000000-0005-0000-0000-00004D1C0000}"/>
    <cellStyle name="Comma 10 2 13 3 2 2" xfId="45501" xr:uid="{00000000-0005-0000-0000-00004E1C0000}"/>
    <cellStyle name="Comma 10 2 13 3 3" xfId="32035" xr:uid="{00000000-0005-0000-0000-00004F1C0000}"/>
    <cellStyle name="Comma 10 2 13 3 4" xfId="36250" xr:uid="{00000000-0005-0000-0000-0000501C0000}"/>
    <cellStyle name="Comma 10 2 13 3 5" xfId="40454" xr:uid="{00000000-0005-0000-0000-0000511C0000}"/>
    <cellStyle name="Comma 10 2 13 4" xfId="26211" xr:uid="{00000000-0005-0000-0000-0000521C0000}"/>
    <cellStyle name="Comma 10 2 13 4 2" xfId="41448" xr:uid="{00000000-0005-0000-0000-0000531C0000}"/>
    <cellStyle name="Comma 10 2 13 5" xfId="30424" xr:uid="{00000000-0005-0000-0000-0000541C0000}"/>
    <cellStyle name="Comma 10 2 13 5 2" xfId="41722" xr:uid="{00000000-0005-0000-0000-0000551C0000}"/>
    <cellStyle name="Comma 10 2 13 6" xfId="34639" xr:uid="{00000000-0005-0000-0000-0000561C0000}"/>
    <cellStyle name="Comma 10 2 13 7" xfId="38843" xr:uid="{00000000-0005-0000-0000-0000571C0000}"/>
    <cellStyle name="Comma 10 2 14" xfId="7914" xr:uid="{00000000-0005-0000-0000-0000581C0000}"/>
    <cellStyle name="Comma 10 2 14 2" xfId="9871" xr:uid="{00000000-0005-0000-0000-0000591C0000}"/>
    <cellStyle name="Comma 10 2 14 2 2" xfId="11897" xr:uid="{00000000-0005-0000-0000-00005A1C0000}"/>
    <cellStyle name="Comma 10 2 14 2 2 2" xfId="28558" xr:uid="{00000000-0005-0000-0000-00005B1C0000}"/>
    <cellStyle name="Comma 10 2 14 2 2 2 2" xfId="46227" xr:uid="{00000000-0005-0000-0000-00005C1C0000}"/>
    <cellStyle name="Comma 10 2 14 2 2 3" xfId="32771" xr:uid="{00000000-0005-0000-0000-00005D1C0000}"/>
    <cellStyle name="Comma 10 2 14 2 2 4" xfId="36986" xr:uid="{00000000-0005-0000-0000-00005E1C0000}"/>
    <cellStyle name="Comma 10 2 14 2 2 5" xfId="41190" xr:uid="{00000000-0005-0000-0000-00005F1C0000}"/>
    <cellStyle name="Comma 10 2 14 2 3" xfId="27358" xr:uid="{00000000-0005-0000-0000-0000601C0000}"/>
    <cellStyle name="Comma 10 2 14 2 3 2" xfId="42955" xr:uid="{00000000-0005-0000-0000-0000611C0000}"/>
    <cellStyle name="Comma 10 2 14 2 4" xfId="31571" xr:uid="{00000000-0005-0000-0000-0000621C0000}"/>
    <cellStyle name="Comma 10 2 14 2 5" xfId="35786" xr:uid="{00000000-0005-0000-0000-0000631C0000}"/>
    <cellStyle name="Comma 10 2 14 2 6" xfId="39990" xr:uid="{00000000-0005-0000-0000-0000641C0000}"/>
    <cellStyle name="Comma 10 2 14 3" xfId="10662" xr:uid="{00000000-0005-0000-0000-0000651C0000}"/>
    <cellStyle name="Comma 10 2 14 3 2" xfId="27823" xr:uid="{00000000-0005-0000-0000-0000661C0000}"/>
    <cellStyle name="Comma 10 2 14 3 2 2" xfId="45502" xr:uid="{00000000-0005-0000-0000-0000671C0000}"/>
    <cellStyle name="Comma 10 2 14 3 3" xfId="32036" xr:uid="{00000000-0005-0000-0000-0000681C0000}"/>
    <cellStyle name="Comma 10 2 14 3 4" xfId="36251" xr:uid="{00000000-0005-0000-0000-0000691C0000}"/>
    <cellStyle name="Comma 10 2 14 3 5" xfId="40455" xr:uid="{00000000-0005-0000-0000-00006A1C0000}"/>
    <cellStyle name="Comma 10 2 14 4" xfId="26212" xr:uid="{00000000-0005-0000-0000-00006B1C0000}"/>
    <cellStyle name="Comma 10 2 14 4 2" xfId="41449" xr:uid="{00000000-0005-0000-0000-00006C1C0000}"/>
    <cellStyle name="Comma 10 2 14 5" xfId="30425" xr:uid="{00000000-0005-0000-0000-00006D1C0000}"/>
    <cellStyle name="Comma 10 2 14 5 2" xfId="41723" xr:uid="{00000000-0005-0000-0000-00006E1C0000}"/>
    <cellStyle name="Comma 10 2 14 6" xfId="34640" xr:uid="{00000000-0005-0000-0000-00006F1C0000}"/>
    <cellStyle name="Comma 10 2 14 7" xfId="38844" xr:uid="{00000000-0005-0000-0000-0000701C0000}"/>
    <cellStyle name="Comma 10 2 15" xfId="7915" xr:uid="{00000000-0005-0000-0000-0000711C0000}"/>
    <cellStyle name="Comma 10 2 15 2" xfId="9872" xr:uid="{00000000-0005-0000-0000-0000721C0000}"/>
    <cellStyle name="Comma 10 2 15 2 2" xfId="11898" xr:uid="{00000000-0005-0000-0000-0000731C0000}"/>
    <cellStyle name="Comma 10 2 15 2 2 2" xfId="28559" xr:uid="{00000000-0005-0000-0000-0000741C0000}"/>
    <cellStyle name="Comma 10 2 15 2 2 2 2" xfId="46228" xr:uid="{00000000-0005-0000-0000-0000751C0000}"/>
    <cellStyle name="Comma 10 2 15 2 2 3" xfId="32772" xr:uid="{00000000-0005-0000-0000-0000761C0000}"/>
    <cellStyle name="Comma 10 2 15 2 2 4" xfId="36987" xr:uid="{00000000-0005-0000-0000-0000771C0000}"/>
    <cellStyle name="Comma 10 2 15 2 2 5" xfId="41191" xr:uid="{00000000-0005-0000-0000-0000781C0000}"/>
    <cellStyle name="Comma 10 2 15 2 3" xfId="27359" xr:uid="{00000000-0005-0000-0000-0000791C0000}"/>
    <cellStyle name="Comma 10 2 15 2 3 2" xfId="42956" xr:uid="{00000000-0005-0000-0000-00007A1C0000}"/>
    <cellStyle name="Comma 10 2 15 2 4" xfId="31572" xr:uid="{00000000-0005-0000-0000-00007B1C0000}"/>
    <cellStyle name="Comma 10 2 15 2 5" xfId="35787" xr:uid="{00000000-0005-0000-0000-00007C1C0000}"/>
    <cellStyle name="Comma 10 2 15 2 6" xfId="39991" xr:uid="{00000000-0005-0000-0000-00007D1C0000}"/>
    <cellStyle name="Comma 10 2 15 3" xfId="10663" xr:uid="{00000000-0005-0000-0000-00007E1C0000}"/>
    <cellStyle name="Comma 10 2 15 3 2" xfId="27824" xr:uid="{00000000-0005-0000-0000-00007F1C0000}"/>
    <cellStyle name="Comma 10 2 15 3 2 2" xfId="45503" xr:uid="{00000000-0005-0000-0000-0000801C0000}"/>
    <cellStyle name="Comma 10 2 15 3 3" xfId="32037" xr:uid="{00000000-0005-0000-0000-0000811C0000}"/>
    <cellStyle name="Comma 10 2 15 3 4" xfId="36252" xr:uid="{00000000-0005-0000-0000-0000821C0000}"/>
    <cellStyle name="Comma 10 2 15 3 5" xfId="40456" xr:uid="{00000000-0005-0000-0000-0000831C0000}"/>
    <cellStyle name="Comma 10 2 15 4" xfId="26213" xr:uid="{00000000-0005-0000-0000-0000841C0000}"/>
    <cellStyle name="Comma 10 2 15 4 2" xfId="41450" xr:uid="{00000000-0005-0000-0000-0000851C0000}"/>
    <cellStyle name="Comma 10 2 15 5" xfId="30426" xr:uid="{00000000-0005-0000-0000-0000861C0000}"/>
    <cellStyle name="Comma 10 2 15 5 2" xfId="41724" xr:uid="{00000000-0005-0000-0000-0000871C0000}"/>
    <cellStyle name="Comma 10 2 15 6" xfId="34641" xr:uid="{00000000-0005-0000-0000-0000881C0000}"/>
    <cellStyle name="Comma 10 2 15 7" xfId="38845" xr:uid="{00000000-0005-0000-0000-0000891C0000}"/>
    <cellStyle name="Comma 10 2 16" xfId="7916" xr:uid="{00000000-0005-0000-0000-00008A1C0000}"/>
    <cellStyle name="Comma 10 2 16 2" xfId="9873" xr:uid="{00000000-0005-0000-0000-00008B1C0000}"/>
    <cellStyle name="Comma 10 2 16 2 2" xfId="11899" xr:uid="{00000000-0005-0000-0000-00008C1C0000}"/>
    <cellStyle name="Comma 10 2 16 2 2 2" xfId="28560" xr:uid="{00000000-0005-0000-0000-00008D1C0000}"/>
    <cellStyle name="Comma 10 2 16 2 2 2 2" xfId="46229" xr:uid="{00000000-0005-0000-0000-00008E1C0000}"/>
    <cellStyle name="Comma 10 2 16 2 2 3" xfId="32773" xr:uid="{00000000-0005-0000-0000-00008F1C0000}"/>
    <cellStyle name="Comma 10 2 16 2 2 4" xfId="36988" xr:uid="{00000000-0005-0000-0000-0000901C0000}"/>
    <cellStyle name="Comma 10 2 16 2 2 5" xfId="41192" xr:uid="{00000000-0005-0000-0000-0000911C0000}"/>
    <cellStyle name="Comma 10 2 16 2 3" xfId="27360" xr:uid="{00000000-0005-0000-0000-0000921C0000}"/>
    <cellStyle name="Comma 10 2 16 2 3 2" xfId="42957" xr:uid="{00000000-0005-0000-0000-0000931C0000}"/>
    <cellStyle name="Comma 10 2 16 2 4" xfId="31573" xr:uid="{00000000-0005-0000-0000-0000941C0000}"/>
    <cellStyle name="Comma 10 2 16 2 5" xfId="35788" xr:uid="{00000000-0005-0000-0000-0000951C0000}"/>
    <cellStyle name="Comma 10 2 16 2 6" xfId="39992" xr:uid="{00000000-0005-0000-0000-0000961C0000}"/>
    <cellStyle name="Comma 10 2 16 3" xfId="10664" xr:uid="{00000000-0005-0000-0000-0000971C0000}"/>
    <cellStyle name="Comma 10 2 16 3 2" xfId="27825" xr:uid="{00000000-0005-0000-0000-0000981C0000}"/>
    <cellStyle name="Comma 10 2 16 3 2 2" xfId="45504" xr:uid="{00000000-0005-0000-0000-0000991C0000}"/>
    <cellStyle name="Comma 10 2 16 3 3" xfId="32038" xr:uid="{00000000-0005-0000-0000-00009A1C0000}"/>
    <cellStyle name="Comma 10 2 16 3 4" xfId="36253" xr:uid="{00000000-0005-0000-0000-00009B1C0000}"/>
    <cellStyle name="Comma 10 2 16 3 5" xfId="40457" xr:uid="{00000000-0005-0000-0000-00009C1C0000}"/>
    <cellStyle name="Comma 10 2 16 4" xfId="26214" xr:uid="{00000000-0005-0000-0000-00009D1C0000}"/>
    <cellStyle name="Comma 10 2 16 4 2" xfId="41451" xr:uid="{00000000-0005-0000-0000-00009E1C0000}"/>
    <cellStyle name="Comma 10 2 16 5" xfId="30427" xr:uid="{00000000-0005-0000-0000-00009F1C0000}"/>
    <cellStyle name="Comma 10 2 16 5 2" xfId="41725" xr:uid="{00000000-0005-0000-0000-0000A01C0000}"/>
    <cellStyle name="Comma 10 2 16 6" xfId="34642" xr:uid="{00000000-0005-0000-0000-0000A11C0000}"/>
    <cellStyle name="Comma 10 2 16 7" xfId="38846" xr:uid="{00000000-0005-0000-0000-0000A21C0000}"/>
    <cellStyle name="Comma 10 2 17" xfId="7917" xr:uid="{00000000-0005-0000-0000-0000A31C0000}"/>
    <cellStyle name="Comma 10 2 17 2" xfId="9874" xr:uid="{00000000-0005-0000-0000-0000A41C0000}"/>
    <cellStyle name="Comma 10 2 17 2 2" xfId="11900" xr:uid="{00000000-0005-0000-0000-0000A51C0000}"/>
    <cellStyle name="Comma 10 2 17 2 2 2" xfId="28561" xr:uid="{00000000-0005-0000-0000-0000A61C0000}"/>
    <cellStyle name="Comma 10 2 17 2 2 2 2" xfId="46230" xr:uid="{00000000-0005-0000-0000-0000A71C0000}"/>
    <cellStyle name="Comma 10 2 17 2 2 3" xfId="32774" xr:uid="{00000000-0005-0000-0000-0000A81C0000}"/>
    <cellStyle name="Comma 10 2 17 2 2 4" xfId="36989" xr:uid="{00000000-0005-0000-0000-0000A91C0000}"/>
    <cellStyle name="Comma 10 2 17 2 2 5" xfId="41193" xr:uid="{00000000-0005-0000-0000-0000AA1C0000}"/>
    <cellStyle name="Comma 10 2 17 2 3" xfId="27361" xr:uid="{00000000-0005-0000-0000-0000AB1C0000}"/>
    <cellStyle name="Comma 10 2 17 2 3 2" xfId="42958" xr:uid="{00000000-0005-0000-0000-0000AC1C0000}"/>
    <cellStyle name="Comma 10 2 17 2 4" xfId="31574" xr:uid="{00000000-0005-0000-0000-0000AD1C0000}"/>
    <cellStyle name="Comma 10 2 17 2 5" xfId="35789" xr:uid="{00000000-0005-0000-0000-0000AE1C0000}"/>
    <cellStyle name="Comma 10 2 17 2 6" xfId="39993" xr:uid="{00000000-0005-0000-0000-0000AF1C0000}"/>
    <cellStyle name="Comma 10 2 17 3" xfId="10665" xr:uid="{00000000-0005-0000-0000-0000B01C0000}"/>
    <cellStyle name="Comma 10 2 17 3 2" xfId="27826" xr:uid="{00000000-0005-0000-0000-0000B11C0000}"/>
    <cellStyle name="Comma 10 2 17 3 2 2" xfId="45505" xr:uid="{00000000-0005-0000-0000-0000B21C0000}"/>
    <cellStyle name="Comma 10 2 17 3 3" xfId="32039" xr:uid="{00000000-0005-0000-0000-0000B31C0000}"/>
    <cellStyle name="Comma 10 2 17 3 4" xfId="36254" xr:uid="{00000000-0005-0000-0000-0000B41C0000}"/>
    <cellStyle name="Comma 10 2 17 3 5" xfId="40458" xr:uid="{00000000-0005-0000-0000-0000B51C0000}"/>
    <cellStyle name="Comma 10 2 17 4" xfId="26215" xr:uid="{00000000-0005-0000-0000-0000B61C0000}"/>
    <cellStyle name="Comma 10 2 17 4 2" xfId="41452" xr:uid="{00000000-0005-0000-0000-0000B71C0000}"/>
    <cellStyle name="Comma 10 2 17 5" xfId="30428" xr:uid="{00000000-0005-0000-0000-0000B81C0000}"/>
    <cellStyle name="Comma 10 2 17 5 2" xfId="41726" xr:uid="{00000000-0005-0000-0000-0000B91C0000}"/>
    <cellStyle name="Comma 10 2 17 6" xfId="34643" xr:uid="{00000000-0005-0000-0000-0000BA1C0000}"/>
    <cellStyle name="Comma 10 2 17 7" xfId="38847" xr:uid="{00000000-0005-0000-0000-0000BB1C0000}"/>
    <cellStyle name="Comma 10 2 18" xfId="9866" xr:uid="{00000000-0005-0000-0000-0000BC1C0000}"/>
    <cellStyle name="Comma 10 2 18 2" xfId="11892" xr:uid="{00000000-0005-0000-0000-0000BD1C0000}"/>
    <cellStyle name="Comma 10 2 18 2 2" xfId="28553" xr:uid="{00000000-0005-0000-0000-0000BE1C0000}"/>
    <cellStyle name="Comma 10 2 18 2 2 2" xfId="46222" xr:uid="{00000000-0005-0000-0000-0000BF1C0000}"/>
    <cellStyle name="Comma 10 2 18 2 3" xfId="32766" xr:uid="{00000000-0005-0000-0000-0000C01C0000}"/>
    <cellStyle name="Comma 10 2 18 2 4" xfId="36981" xr:uid="{00000000-0005-0000-0000-0000C11C0000}"/>
    <cellStyle name="Comma 10 2 18 2 5" xfId="41185" xr:uid="{00000000-0005-0000-0000-0000C21C0000}"/>
    <cellStyle name="Comma 10 2 18 3" xfId="27353" xr:uid="{00000000-0005-0000-0000-0000C31C0000}"/>
    <cellStyle name="Comma 10 2 18 3 2" xfId="42950" xr:uid="{00000000-0005-0000-0000-0000C41C0000}"/>
    <cellStyle name="Comma 10 2 18 4" xfId="31566" xr:uid="{00000000-0005-0000-0000-0000C51C0000}"/>
    <cellStyle name="Comma 10 2 18 5" xfId="35781" xr:uid="{00000000-0005-0000-0000-0000C61C0000}"/>
    <cellStyle name="Comma 10 2 18 6" xfId="39985" xr:uid="{00000000-0005-0000-0000-0000C71C0000}"/>
    <cellStyle name="Comma 10 2 19" xfId="10657" xr:uid="{00000000-0005-0000-0000-0000C81C0000}"/>
    <cellStyle name="Comma 10 2 19 2" xfId="27818" xr:uid="{00000000-0005-0000-0000-0000C91C0000}"/>
    <cellStyle name="Comma 10 2 19 2 2" xfId="45497" xr:uid="{00000000-0005-0000-0000-0000CA1C0000}"/>
    <cellStyle name="Comma 10 2 19 3" xfId="32031" xr:uid="{00000000-0005-0000-0000-0000CB1C0000}"/>
    <cellStyle name="Comma 10 2 19 4" xfId="36246" xr:uid="{00000000-0005-0000-0000-0000CC1C0000}"/>
    <cellStyle name="Comma 10 2 19 5" xfId="40450" xr:uid="{00000000-0005-0000-0000-0000CD1C0000}"/>
    <cellStyle name="Comma 10 2 2" xfId="7918" xr:uid="{00000000-0005-0000-0000-0000CE1C0000}"/>
    <cellStyle name="Comma 10 2 2 2" xfId="9875" xr:uid="{00000000-0005-0000-0000-0000CF1C0000}"/>
    <cellStyle name="Comma 10 2 2 2 2" xfId="11901" xr:uid="{00000000-0005-0000-0000-0000D01C0000}"/>
    <cellStyle name="Comma 10 2 2 2 2 2" xfId="28562" xr:uid="{00000000-0005-0000-0000-0000D11C0000}"/>
    <cellStyle name="Comma 10 2 2 2 2 2 2" xfId="46231" xr:uid="{00000000-0005-0000-0000-0000D21C0000}"/>
    <cellStyle name="Comma 10 2 2 2 2 3" xfId="32775" xr:uid="{00000000-0005-0000-0000-0000D31C0000}"/>
    <cellStyle name="Comma 10 2 2 2 2 4" xfId="36990" xr:uid="{00000000-0005-0000-0000-0000D41C0000}"/>
    <cellStyle name="Comma 10 2 2 2 2 5" xfId="41194" xr:uid="{00000000-0005-0000-0000-0000D51C0000}"/>
    <cellStyle name="Comma 10 2 2 2 3" xfId="27362" xr:uid="{00000000-0005-0000-0000-0000D61C0000}"/>
    <cellStyle name="Comma 10 2 2 2 3 2" xfId="42959" xr:uid="{00000000-0005-0000-0000-0000D71C0000}"/>
    <cellStyle name="Comma 10 2 2 2 4" xfId="31575" xr:uid="{00000000-0005-0000-0000-0000D81C0000}"/>
    <cellStyle name="Comma 10 2 2 2 5" xfId="35790" xr:uid="{00000000-0005-0000-0000-0000D91C0000}"/>
    <cellStyle name="Comma 10 2 2 2 6" xfId="39994" xr:uid="{00000000-0005-0000-0000-0000DA1C0000}"/>
    <cellStyle name="Comma 10 2 2 3" xfId="10666" xr:uid="{00000000-0005-0000-0000-0000DB1C0000}"/>
    <cellStyle name="Comma 10 2 2 3 2" xfId="27827" xr:uid="{00000000-0005-0000-0000-0000DC1C0000}"/>
    <cellStyle name="Comma 10 2 2 3 2 2" xfId="45506" xr:uid="{00000000-0005-0000-0000-0000DD1C0000}"/>
    <cellStyle name="Comma 10 2 2 3 3" xfId="32040" xr:uid="{00000000-0005-0000-0000-0000DE1C0000}"/>
    <cellStyle name="Comma 10 2 2 3 4" xfId="36255" xr:uid="{00000000-0005-0000-0000-0000DF1C0000}"/>
    <cellStyle name="Comma 10 2 2 3 5" xfId="40459" xr:uid="{00000000-0005-0000-0000-0000E01C0000}"/>
    <cellStyle name="Comma 10 2 2 4" xfId="26216" xr:uid="{00000000-0005-0000-0000-0000E11C0000}"/>
    <cellStyle name="Comma 10 2 2 4 2" xfId="41453" xr:uid="{00000000-0005-0000-0000-0000E21C0000}"/>
    <cellStyle name="Comma 10 2 2 5" xfId="30429" xr:uid="{00000000-0005-0000-0000-0000E31C0000}"/>
    <cellStyle name="Comma 10 2 2 5 2" xfId="41727" xr:uid="{00000000-0005-0000-0000-0000E41C0000}"/>
    <cellStyle name="Comma 10 2 2 6" xfId="34644" xr:uid="{00000000-0005-0000-0000-0000E51C0000}"/>
    <cellStyle name="Comma 10 2 2 7" xfId="38848" xr:uid="{00000000-0005-0000-0000-0000E61C0000}"/>
    <cellStyle name="Comma 10 2 20" xfId="26207" xr:uid="{00000000-0005-0000-0000-0000E71C0000}"/>
    <cellStyle name="Comma 10 2 20 2" xfId="41444" xr:uid="{00000000-0005-0000-0000-0000E81C0000}"/>
    <cellStyle name="Comma 10 2 21" xfId="30420" xr:uid="{00000000-0005-0000-0000-0000E91C0000}"/>
    <cellStyle name="Comma 10 2 21 2" xfId="41718" xr:uid="{00000000-0005-0000-0000-0000EA1C0000}"/>
    <cellStyle name="Comma 10 2 22" xfId="34635" xr:uid="{00000000-0005-0000-0000-0000EB1C0000}"/>
    <cellStyle name="Comma 10 2 23" xfId="38839" xr:uid="{00000000-0005-0000-0000-0000EC1C0000}"/>
    <cellStyle name="Comma 10 2 3" xfId="7919" xr:uid="{00000000-0005-0000-0000-0000ED1C0000}"/>
    <cellStyle name="Comma 10 2 3 2" xfId="9876" xr:uid="{00000000-0005-0000-0000-0000EE1C0000}"/>
    <cellStyle name="Comma 10 2 3 2 2" xfId="11902" xr:uid="{00000000-0005-0000-0000-0000EF1C0000}"/>
    <cellStyle name="Comma 10 2 3 2 2 2" xfId="28563" xr:uid="{00000000-0005-0000-0000-0000F01C0000}"/>
    <cellStyle name="Comma 10 2 3 2 2 2 2" xfId="46232" xr:uid="{00000000-0005-0000-0000-0000F11C0000}"/>
    <cellStyle name="Comma 10 2 3 2 2 3" xfId="32776" xr:uid="{00000000-0005-0000-0000-0000F21C0000}"/>
    <cellStyle name="Comma 10 2 3 2 2 4" xfId="36991" xr:uid="{00000000-0005-0000-0000-0000F31C0000}"/>
    <cellStyle name="Comma 10 2 3 2 2 5" xfId="41195" xr:uid="{00000000-0005-0000-0000-0000F41C0000}"/>
    <cellStyle name="Comma 10 2 3 2 3" xfId="27363" xr:uid="{00000000-0005-0000-0000-0000F51C0000}"/>
    <cellStyle name="Comma 10 2 3 2 3 2" xfId="42960" xr:uid="{00000000-0005-0000-0000-0000F61C0000}"/>
    <cellStyle name="Comma 10 2 3 2 4" xfId="31576" xr:uid="{00000000-0005-0000-0000-0000F71C0000}"/>
    <cellStyle name="Comma 10 2 3 2 5" xfId="35791" xr:uid="{00000000-0005-0000-0000-0000F81C0000}"/>
    <cellStyle name="Comma 10 2 3 2 6" xfId="39995" xr:uid="{00000000-0005-0000-0000-0000F91C0000}"/>
    <cellStyle name="Comma 10 2 3 3" xfId="10667" xr:uid="{00000000-0005-0000-0000-0000FA1C0000}"/>
    <cellStyle name="Comma 10 2 3 3 2" xfId="27828" xr:uid="{00000000-0005-0000-0000-0000FB1C0000}"/>
    <cellStyle name="Comma 10 2 3 3 2 2" xfId="45507" xr:uid="{00000000-0005-0000-0000-0000FC1C0000}"/>
    <cellStyle name="Comma 10 2 3 3 3" xfId="32041" xr:uid="{00000000-0005-0000-0000-0000FD1C0000}"/>
    <cellStyle name="Comma 10 2 3 3 4" xfId="36256" xr:uid="{00000000-0005-0000-0000-0000FE1C0000}"/>
    <cellStyle name="Comma 10 2 3 3 5" xfId="40460" xr:uid="{00000000-0005-0000-0000-0000FF1C0000}"/>
    <cellStyle name="Comma 10 2 3 4" xfId="26217" xr:uid="{00000000-0005-0000-0000-0000001D0000}"/>
    <cellStyle name="Comma 10 2 3 4 2" xfId="41454" xr:uid="{00000000-0005-0000-0000-0000011D0000}"/>
    <cellStyle name="Comma 10 2 3 5" xfId="30430" xr:uid="{00000000-0005-0000-0000-0000021D0000}"/>
    <cellStyle name="Comma 10 2 3 5 2" xfId="41728" xr:uid="{00000000-0005-0000-0000-0000031D0000}"/>
    <cellStyle name="Comma 10 2 3 6" xfId="34645" xr:uid="{00000000-0005-0000-0000-0000041D0000}"/>
    <cellStyle name="Comma 10 2 3 7" xfId="38849" xr:uid="{00000000-0005-0000-0000-0000051D0000}"/>
    <cellStyle name="Comma 10 2 4" xfId="7920" xr:uid="{00000000-0005-0000-0000-0000061D0000}"/>
    <cellStyle name="Comma 10 2 4 2" xfId="9877" xr:uid="{00000000-0005-0000-0000-0000071D0000}"/>
    <cellStyle name="Comma 10 2 4 2 2" xfId="11903" xr:uid="{00000000-0005-0000-0000-0000081D0000}"/>
    <cellStyle name="Comma 10 2 4 2 2 2" xfId="28564" xr:uid="{00000000-0005-0000-0000-0000091D0000}"/>
    <cellStyle name="Comma 10 2 4 2 2 2 2" xfId="46233" xr:uid="{00000000-0005-0000-0000-00000A1D0000}"/>
    <cellStyle name="Comma 10 2 4 2 2 3" xfId="32777" xr:uid="{00000000-0005-0000-0000-00000B1D0000}"/>
    <cellStyle name="Comma 10 2 4 2 2 4" xfId="36992" xr:uid="{00000000-0005-0000-0000-00000C1D0000}"/>
    <cellStyle name="Comma 10 2 4 2 2 5" xfId="41196" xr:uid="{00000000-0005-0000-0000-00000D1D0000}"/>
    <cellStyle name="Comma 10 2 4 2 3" xfId="27364" xr:uid="{00000000-0005-0000-0000-00000E1D0000}"/>
    <cellStyle name="Comma 10 2 4 2 3 2" xfId="42961" xr:uid="{00000000-0005-0000-0000-00000F1D0000}"/>
    <cellStyle name="Comma 10 2 4 2 4" xfId="31577" xr:uid="{00000000-0005-0000-0000-0000101D0000}"/>
    <cellStyle name="Comma 10 2 4 2 5" xfId="35792" xr:uid="{00000000-0005-0000-0000-0000111D0000}"/>
    <cellStyle name="Comma 10 2 4 2 6" xfId="39996" xr:uid="{00000000-0005-0000-0000-0000121D0000}"/>
    <cellStyle name="Comma 10 2 4 3" xfId="10668" xr:uid="{00000000-0005-0000-0000-0000131D0000}"/>
    <cellStyle name="Comma 10 2 4 3 2" xfId="27829" xr:uid="{00000000-0005-0000-0000-0000141D0000}"/>
    <cellStyle name="Comma 10 2 4 3 2 2" xfId="45508" xr:uid="{00000000-0005-0000-0000-0000151D0000}"/>
    <cellStyle name="Comma 10 2 4 3 3" xfId="32042" xr:uid="{00000000-0005-0000-0000-0000161D0000}"/>
    <cellStyle name="Comma 10 2 4 3 4" xfId="36257" xr:uid="{00000000-0005-0000-0000-0000171D0000}"/>
    <cellStyle name="Comma 10 2 4 3 5" xfId="40461" xr:uid="{00000000-0005-0000-0000-0000181D0000}"/>
    <cellStyle name="Comma 10 2 4 4" xfId="26218" xr:uid="{00000000-0005-0000-0000-0000191D0000}"/>
    <cellStyle name="Comma 10 2 4 4 2" xfId="41455" xr:uid="{00000000-0005-0000-0000-00001A1D0000}"/>
    <cellStyle name="Comma 10 2 4 5" xfId="30431" xr:uid="{00000000-0005-0000-0000-00001B1D0000}"/>
    <cellStyle name="Comma 10 2 4 5 2" xfId="41729" xr:uid="{00000000-0005-0000-0000-00001C1D0000}"/>
    <cellStyle name="Comma 10 2 4 6" xfId="34646" xr:uid="{00000000-0005-0000-0000-00001D1D0000}"/>
    <cellStyle name="Comma 10 2 4 7" xfId="38850" xr:uid="{00000000-0005-0000-0000-00001E1D0000}"/>
    <cellStyle name="Comma 10 2 5" xfId="7921" xr:uid="{00000000-0005-0000-0000-00001F1D0000}"/>
    <cellStyle name="Comma 10 2 5 2" xfId="9878" xr:uid="{00000000-0005-0000-0000-0000201D0000}"/>
    <cellStyle name="Comma 10 2 5 2 2" xfId="11904" xr:uid="{00000000-0005-0000-0000-0000211D0000}"/>
    <cellStyle name="Comma 10 2 5 2 2 2" xfId="28565" xr:uid="{00000000-0005-0000-0000-0000221D0000}"/>
    <cellStyle name="Comma 10 2 5 2 2 2 2" xfId="46234" xr:uid="{00000000-0005-0000-0000-0000231D0000}"/>
    <cellStyle name="Comma 10 2 5 2 2 3" xfId="32778" xr:uid="{00000000-0005-0000-0000-0000241D0000}"/>
    <cellStyle name="Comma 10 2 5 2 2 4" xfId="36993" xr:uid="{00000000-0005-0000-0000-0000251D0000}"/>
    <cellStyle name="Comma 10 2 5 2 2 5" xfId="41197" xr:uid="{00000000-0005-0000-0000-0000261D0000}"/>
    <cellStyle name="Comma 10 2 5 2 3" xfId="27365" xr:uid="{00000000-0005-0000-0000-0000271D0000}"/>
    <cellStyle name="Comma 10 2 5 2 3 2" xfId="42962" xr:uid="{00000000-0005-0000-0000-0000281D0000}"/>
    <cellStyle name="Comma 10 2 5 2 4" xfId="31578" xr:uid="{00000000-0005-0000-0000-0000291D0000}"/>
    <cellStyle name="Comma 10 2 5 2 5" xfId="35793" xr:uid="{00000000-0005-0000-0000-00002A1D0000}"/>
    <cellStyle name="Comma 10 2 5 2 6" xfId="39997" xr:uid="{00000000-0005-0000-0000-00002B1D0000}"/>
    <cellStyle name="Comma 10 2 5 3" xfId="10669" xr:uid="{00000000-0005-0000-0000-00002C1D0000}"/>
    <cellStyle name="Comma 10 2 5 3 2" xfId="27830" xr:uid="{00000000-0005-0000-0000-00002D1D0000}"/>
    <cellStyle name="Comma 10 2 5 3 2 2" xfId="45509" xr:uid="{00000000-0005-0000-0000-00002E1D0000}"/>
    <cellStyle name="Comma 10 2 5 3 3" xfId="32043" xr:uid="{00000000-0005-0000-0000-00002F1D0000}"/>
    <cellStyle name="Comma 10 2 5 3 4" xfId="36258" xr:uid="{00000000-0005-0000-0000-0000301D0000}"/>
    <cellStyle name="Comma 10 2 5 3 5" xfId="40462" xr:uid="{00000000-0005-0000-0000-0000311D0000}"/>
    <cellStyle name="Comma 10 2 5 4" xfId="26219" xr:uid="{00000000-0005-0000-0000-0000321D0000}"/>
    <cellStyle name="Comma 10 2 5 4 2" xfId="41456" xr:uid="{00000000-0005-0000-0000-0000331D0000}"/>
    <cellStyle name="Comma 10 2 5 5" xfId="30432" xr:uid="{00000000-0005-0000-0000-0000341D0000}"/>
    <cellStyle name="Comma 10 2 5 5 2" xfId="41730" xr:uid="{00000000-0005-0000-0000-0000351D0000}"/>
    <cellStyle name="Comma 10 2 5 6" xfId="34647" xr:uid="{00000000-0005-0000-0000-0000361D0000}"/>
    <cellStyle name="Comma 10 2 5 7" xfId="38851" xr:uid="{00000000-0005-0000-0000-0000371D0000}"/>
    <cellStyle name="Comma 10 2 6" xfId="7922" xr:uid="{00000000-0005-0000-0000-0000381D0000}"/>
    <cellStyle name="Comma 10 2 6 2" xfId="9879" xr:uid="{00000000-0005-0000-0000-0000391D0000}"/>
    <cellStyle name="Comma 10 2 6 2 2" xfId="11905" xr:uid="{00000000-0005-0000-0000-00003A1D0000}"/>
    <cellStyle name="Comma 10 2 6 2 2 2" xfId="28566" xr:uid="{00000000-0005-0000-0000-00003B1D0000}"/>
    <cellStyle name="Comma 10 2 6 2 2 2 2" xfId="46235" xr:uid="{00000000-0005-0000-0000-00003C1D0000}"/>
    <cellStyle name="Comma 10 2 6 2 2 3" xfId="32779" xr:uid="{00000000-0005-0000-0000-00003D1D0000}"/>
    <cellStyle name="Comma 10 2 6 2 2 4" xfId="36994" xr:uid="{00000000-0005-0000-0000-00003E1D0000}"/>
    <cellStyle name="Comma 10 2 6 2 2 5" xfId="41198" xr:uid="{00000000-0005-0000-0000-00003F1D0000}"/>
    <cellStyle name="Comma 10 2 6 2 3" xfId="27366" xr:uid="{00000000-0005-0000-0000-0000401D0000}"/>
    <cellStyle name="Comma 10 2 6 2 3 2" xfId="42963" xr:uid="{00000000-0005-0000-0000-0000411D0000}"/>
    <cellStyle name="Comma 10 2 6 2 4" xfId="31579" xr:uid="{00000000-0005-0000-0000-0000421D0000}"/>
    <cellStyle name="Comma 10 2 6 2 5" xfId="35794" xr:uid="{00000000-0005-0000-0000-0000431D0000}"/>
    <cellStyle name="Comma 10 2 6 2 6" xfId="39998" xr:uid="{00000000-0005-0000-0000-0000441D0000}"/>
    <cellStyle name="Comma 10 2 6 3" xfId="10670" xr:uid="{00000000-0005-0000-0000-0000451D0000}"/>
    <cellStyle name="Comma 10 2 6 3 2" xfId="27831" xr:uid="{00000000-0005-0000-0000-0000461D0000}"/>
    <cellStyle name="Comma 10 2 6 3 2 2" xfId="45510" xr:uid="{00000000-0005-0000-0000-0000471D0000}"/>
    <cellStyle name="Comma 10 2 6 3 3" xfId="32044" xr:uid="{00000000-0005-0000-0000-0000481D0000}"/>
    <cellStyle name="Comma 10 2 6 3 4" xfId="36259" xr:uid="{00000000-0005-0000-0000-0000491D0000}"/>
    <cellStyle name="Comma 10 2 6 3 5" xfId="40463" xr:uid="{00000000-0005-0000-0000-00004A1D0000}"/>
    <cellStyle name="Comma 10 2 6 4" xfId="26220" xr:uid="{00000000-0005-0000-0000-00004B1D0000}"/>
    <cellStyle name="Comma 10 2 6 4 2" xfId="41457" xr:uid="{00000000-0005-0000-0000-00004C1D0000}"/>
    <cellStyle name="Comma 10 2 6 5" xfId="30433" xr:uid="{00000000-0005-0000-0000-00004D1D0000}"/>
    <cellStyle name="Comma 10 2 6 5 2" xfId="41731" xr:uid="{00000000-0005-0000-0000-00004E1D0000}"/>
    <cellStyle name="Comma 10 2 6 6" xfId="34648" xr:uid="{00000000-0005-0000-0000-00004F1D0000}"/>
    <cellStyle name="Comma 10 2 6 7" xfId="38852" xr:uid="{00000000-0005-0000-0000-0000501D0000}"/>
    <cellStyle name="Comma 10 2 7" xfId="7923" xr:uid="{00000000-0005-0000-0000-0000511D0000}"/>
    <cellStyle name="Comma 10 2 7 2" xfId="9880" xr:uid="{00000000-0005-0000-0000-0000521D0000}"/>
    <cellStyle name="Comma 10 2 7 2 2" xfId="11906" xr:uid="{00000000-0005-0000-0000-0000531D0000}"/>
    <cellStyle name="Comma 10 2 7 2 2 2" xfId="28567" xr:uid="{00000000-0005-0000-0000-0000541D0000}"/>
    <cellStyle name="Comma 10 2 7 2 2 2 2" xfId="46236" xr:uid="{00000000-0005-0000-0000-0000551D0000}"/>
    <cellStyle name="Comma 10 2 7 2 2 3" xfId="32780" xr:uid="{00000000-0005-0000-0000-0000561D0000}"/>
    <cellStyle name="Comma 10 2 7 2 2 4" xfId="36995" xr:uid="{00000000-0005-0000-0000-0000571D0000}"/>
    <cellStyle name="Comma 10 2 7 2 2 5" xfId="41199" xr:uid="{00000000-0005-0000-0000-0000581D0000}"/>
    <cellStyle name="Comma 10 2 7 2 3" xfId="27367" xr:uid="{00000000-0005-0000-0000-0000591D0000}"/>
    <cellStyle name="Comma 10 2 7 2 3 2" xfId="42964" xr:uid="{00000000-0005-0000-0000-00005A1D0000}"/>
    <cellStyle name="Comma 10 2 7 2 4" xfId="31580" xr:uid="{00000000-0005-0000-0000-00005B1D0000}"/>
    <cellStyle name="Comma 10 2 7 2 5" xfId="35795" xr:uid="{00000000-0005-0000-0000-00005C1D0000}"/>
    <cellStyle name="Comma 10 2 7 2 6" xfId="39999" xr:uid="{00000000-0005-0000-0000-00005D1D0000}"/>
    <cellStyle name="Comma 10 2 7 3" xfId="10671" xr:uid="{00000000-0005-0000-0000-00005E1D0000}"/>
    <cellStyle name="Comma 10 2 7 3 2" xfId="27832" xr:uid="{00000000-0005-0000-0000-00005F1D0000}"/>
    <cellStyle name="Comma 10 2 7 3 2 2" xfId="45511" xr:uid="{00000000-0005-0000-0000-0000601D0000}"/>
    <cellStyle name="Comma 10 2 7 3 3" xfId="32045" xr:uid="{00000000-0005-0000-0000-0000611D0000}"/>
    <cellStyle name="Comma 10 2 7 3 4" xfId="36260" xr:uid="{00000000-0005-0000-0000-0000621D0000}"/>
    <cellStyle name="Comma 10 2 7 3 5" xfId="40464" xr:uid="{00000000-0005-0000-0000-0000631D0000}"/>
    <cellStyle name="Comma 10 2 7 4" xfId="26221" xr:uid="{00000000-0005-0000-0000-0000641D0000}"/>
    <cellStyle name="Comma 10 2 7 4 2" xfId="41458" xr:uid="{00000000-0005-0000-0000-0000651D0000}"/>
    <cellStyle name="Comma 10 2 7 5" xfId="30434" xr:uid="{00000000-0005-0000-0000-0000661D0000}"/>
    <cellStyle name="Comma 10 2 7 5 2" xfId="41732" xr:uid="{00000000-0005-0000-0000-0000671D0000}"/>
    <cellStyle name="Comma 10 2 7 6" xfId="34649" xr:uid="{00000000-0005-0000-0000-0000681D0000}"/>
    <cellStyle name="Comma 10 2 7 7" xfId="38853" xr:uid="{00000000-0005-0000-0000-0000691D0000}"/>
    <cellStyle name="Comma 10 2 8" xfId="7924" xr:uid="{00000000-0005-0000-0000-00006A1D0000}"/>
    <cellStyle name="Comma 10 2 8 2" xfId="9881" xr:uid="{00000000-0005-0000-0000-00006B1D0000}"/>
    <cellStyle name="Comma 10 2 8 2 2" xfId="11907" xr:uid="{00000000-0005-0000-0000-00006C1D0000}"/>
    <cellStyle name="Comma 10 2 8 2 2 2" xfId="28568" xr:uid="{00000000-0005-0000-0000-00006D1D0000}"/>
    <cellStyle name="Comma 10 2 8 2 2 2 2" xfId="46237" xr:uid="{00000000-0005-0000-0000-00006E1D0000}"/>
    <cellStyle name="Comma 10 2 8 2 2 3" xfId="32781" xr:uid="{00000000-0005-0000-0000-00006F1D0000}"/>
    <cellStyle name="Comma 10 2 8 2 2 4" xfId="36996" xr:uid="{00000000-0005-0000-0000-0000701D0000}"/>
    <cellStyle name="Comma 10 2 8 2 2 5" xfId="41200" xr:uid="{00000000-0005-0000-0000-0000711D0000}"/>
    <cellStyle name="Comma 10 2 8 2 3" xfId="27368" xr:uid="{00000000-0005-0000-0000-0000721D0000}"/>
    <cellStyle name="Comma 10 2 8 2 3 2" xfId="42965" xr:uid="{00000000-0005-0000-0000-0000731D0000}"/>
    <cellStyle name="Comma 10 2 8 2 4" xfId="31581" xr:uid="{00000000-0005-0000-0000-0000741D0000}"/>
    <cellStyle name="Comma 10 2 8 2 5" xfId="35796" xr:uid="{00000000-0005-0000-0000-0000751D0000}"/>
    <cellStyle name="Comma 10 2 8 2 6" xfId="40000" xr:uid="{00000000-0005-0000-0000-0000761D0000}"/>
    <cellStyle name="Comma 10 2 8 3" xfId="10672" xr:uid="{00000000-0005-0000-0000-0000771D0000}"/>
    <cellStyle name="Comma 10 2 8 3 2" xfId="27833" xr:uid="{00000000-0005-0000-0000-0000781D0000}"/>
    <cellStyle name="Comma 10 2 8 3 2 2" xfId="45512" xr:uid="{00000000-0005-0000-0000-0000791D0000}"/>
    <cellStyle name="Comma 10 2 8 3 3" xfId="32046" xr:uid="{00000000-0005-0000-0000-00007A1D0000}"/>
    <cellStyle name="Comma 10 2 8 3 4" xfId="36261" xr:uid="{00000000-0005-0000-0000-00007B1D0000}"/>
    <cellStyle name="Comma 10 2 8 3 5" xfId="40465" xr:uid="{00000000-0005-0000-0000-00007C1D0000}"/>
    <cellStyle name="Comma 10 2 8 4" xfId="26222" xr:uid="{00000000-0005-0000-0000-00007D1D0000}"/>
    <cellStyle name="Comma 10 2 8 4 2" xfId="41459" xr:uid="{00000000-0005-0000-0000-00007E1D0000}"/>
    <cellStyle name="Comma 10 2 8 5" xfId="30435" xr:uid="{00000000-0005-0000-0000-00007F1D0000}"/>
    <cellStyle name="Comma 10 2 8 5 2" xfId="41733" xr:uid="{00000000-0005-0000-0000-0000801D0000}"/>
    <cellStyle name="Comma 10 2 8 6" xfId="34650" xr:uid="{00000000-0005-0000-0000-0000811D0000}"/>
    <cellStyle name="Comma 10 2 8 7" xfId="38854" xr:uid="{00000000-0005-0000-0000-0000821D0000}"/>
    <cellStyle name="Comma 10 2 9" xfId="7925" xr:uid="{00000000-0005-0000-0000-0000831D0000}"/>
    <cellStyle name="Comma 10 2 9 2" xfId="9882" xr:uid="{00000000-0005-0000-0000-0000841D0000}"/>
    <cellStyle name="Comma 10 2 9 2 2" xfId="11908" xr:uid="{00000000-0005-0000-0000-0000851D0000}"/>
    <cellStyle name="Comma 10 2 9 2 2 2" xfId="28569" xr:uid="{00000000-0005-0000-0000-0000861D0000}"/>
    <cellStyle name="Comma 10 2 9 2 2 2 2" xfId="46238" xr:uid="{00000000-0005-0000-0000-0000871D0000}"/>
    <cellStyle name="Comma 10 2 9 2 2 3" xfId="32782" xr:uid="{00000000-0005-0000-0000-0000881D0000}"/>
    <cellStyle name="Comma 10 2 9 2 2 4" xfId="36997" xr:uid="{00000000-0005-0000-0000-0000891D0000}"/>
    <cellStyle name="Comma 10 2 9 2 2 5" xfId="41201" xr:uid="{00000000-0005-0000-0000-00008A1D0000}"/>
    <cellStyle name="Comma 10 2 9 2 3" xfId="27369" xr:uid="{00000000-0005-0000-0000-00008B1D0000}"/>
    <cellStyle name="Comma 10 2 9 2 3 2" xfId="42966" xr:uid="{00000000-0005-0000-0000-00008C1D0000}"/>
    <cellStyle name="Comma 10 2 9 2 4" xfId="31582" xr:uid="{00000000-0005-0000-0000-00008D1D0000}"/>
    <cellStyle name="Comma 10 2 9 2 5" xfId="35797" xr:uid="{00000000-0005-0000-0000-00008E1D0000}"/>
    <cellStyle name="Comma 10 2 9 2 6" xfId="40001" xr:uid="{00000000-0005-0000-0000-00008F1D0000}"/>
    <cellStyle name="Comma 10 2 9 3" xfId="10673" xr:uid="{00000000-0005-0000-0000-0000901D0000}"/>
    <cellStyle name="Comma 10 2 9 3 2" xfId="27834" xr:uid="{00000000-0005-0000-0000-0000911D0000}"/>
    <cellStyle name="Comma 10 2 9 3 2 2" xfId="45513" xr:uid="{00000000-0005-0000-0000-0000921D0000}"/>
    <cellStyle name="Comma 10 2 9 3 3" xfId="32047" xr:uid="{00000000-0005-0000-0000-0000931D0000}"/>
    <cellStyle name="Comma 10 2 9 3 4" xfId="36262" xr:uid="{00000000-0005-0000-0000-0000941D0000}"/>
    <cellStyle name="Comma 10 2 9 3 5" xfId="40466" xr:uid="{00000000-0005-0000-0000-0000951D0000}"/>
    <cellStyle name="Comma 10 2 9 4" xfId="26223" xr:uid="{00000000-0005-0000-0000-0000961D0000}"/>
    <cellStyle name="Comma 10 2 9 4 2" xfId="41460" xr:uid="{00000000-0005-0000-0000-0000971D0000}"/>
    <cellStyle name="Comma 10 2 9 5" xfId="30436" xr:uid="{00000000-0005-0000-0000-0000981D0000}"/>
    <cellStyle name="Comma 10 2 9 5 2" xfId="41734" xr:uid="{00000000-0005-0000-0000-0000991D0000}"/>
    <cellStyle name="Comma 10 2 9 6" xfId="34651" xr:uid="{00000000-0005-0000-0000-00009A1D0000}"/>
    <cellStyle name="Comma 10 2 9 7" xfId="38855" xr:uid="{00000000-0005-0000-0000-00009B1D0000}"/>
    <cellStyle name="Comma 10 3" xfId="7926" xr:uid="{00000000-0005-0000-0000-00009C1D0000}"/>
    <cellStyle name="Comma 10 3 10" xfId="7927" xr:uid="{00000000-0005-0000-0000-00009D1D0000}"/>
    <cellStyle name="Comma 10 3 10 2" xfId="9884" xr:uid="{00000000-0005-0000-0000-00009E1D0000}"/>
    <cellStyle name="Comma 10 3 10 2 2" xfId="11910" xr:uid="{00000000-0005-0000-0000-00009F1D0000}"/>
    <cellStyle name="Comma 10 3 10 2 2 2" xfId="28571" xr:uid="{00000000-0005-0000-0000-0000A01D0000}"/>
    <cellStyle name="Comma 10 3 10 2 2 2 2" xfId="46240" xr:uid="{00000000-0005-0000-0000-0000A11D0000}"/>
    <cellStyle name="Comma 10 3 10 2 2 3" xfId="32784" xr:uid="{00000000-0005-0000-0000-0000A21D0000}"/>
    <cellStyle name="Comma 10 3 10 2 2 4" xfId="36999" xr:uid="{00000000-0005-0000-0000-0000A31D0000}"/>
    <cellStyle name="Comma 10 3 10 2 2 5" xfId="41203" xr:uid="{00000000-0005-0000-0000-0000A41D0000}"/>
    <cellStyle name="Comma 10 3 10 2 3" xfId="27371" xr:uid="{00000000-0005-0000-0000-0000A51D0000}"/>
    <cellStyle name="Comma 10 3 10 2 3 2" xfId="42968" xr:uid="{00000000-0005-0000-0000-0000A61D0000}"/>
    <cellStyle name="Comma 10 3 10 2 4" xfId="31584" xr:uid="{00000000-0005-0000-0000-0000A71D0000}"/>
    <cellStyle name="Comma 10 3 10 2 5" xfId="35799" xr:uid="{00000000-0005-0000-0000-0000A81D0000}"/>
    <cellStyle name="Comma 10 3 10 2 6" xfId="40003" xr:uid="{00000000-0005-0000-0000-0000A91D0000}"/>
    <cellStyle name="Comma 10 3 10 3" xfId="10675" xr:uid="{00000000-0005-0000-0000-0000AA1D0000}"/>
    <cellStyle name="Comma 10 3 10 3 2" xfId="27836" xr:uid="{00000000-0005-0000-0000-0000AB1D0000}"/>
    <cellStyle name="Comma 10 3 10 3 2 2" xfId="45515" xr:uid="{00000000-0005-0000-0000-0000AC1D0000}"/>
    <cellStyle name="Comma 10 3 10 3 3" xfId="32049" xr:uid="{00000000-0005-0000-0000-0000AD1D0000}"/>
    <cellStyle name="Comma 10 3 10 3 4" xfId="36264" xr:uid="{00000000-0005-0000-0000-0000AE1D0000}"/>
    <cellStyle name="Comma 10 3 10 3 5" xfId="40468" xr:uid="{00000000-0005-0000-0000-0000AF1D0000}"/>
    <cellStyle name="Comma 10 3 10 4" xfId="26225" xr:uid="{00000000-0005-0000-0000-0000B01D0000}"/>
    <cellStyle name="Comma 10 3 10 4 2" xfId="41462" xr:uid="{00000000-0005-0000-0000-0000B11D0000}"/>
    <cellStyle name="Comma 10 3 10 5" xfId="30438" xr:uid="{00000000-0005-0000-0000-0000B21D0000}"/>
    <cellStyle name="Comma 10 3 10 5 2" xfId="41736" xr:uid="{00000000-0005-0000-0000-0000B31D0000}"/>
    <cellStyle name="Comma 10 3 10 6" xfId="34653" xr:uid="{00000000-0005-0000-0000-0000B41D0000}"/>
    <cellStyle name="Comma 10 3 10 7" xfId="38857" xr:uid="{00000000-0005-0000-0000-0000B51D0000}"/>
    <cellStyle name="Comma 10 3 11" xfId="7928" xr:uid="{00000000-0005-0000-0000-0000B61D0000}"/>
    <cellStyle name="Comma 10 3 11 2" xfId="9885" xr:uid="{00000000-0005-0000-0000-0000B71D0000}"/>
    <cellStyle name="Comma 10 3 11 2 2" xfId="11911" xr:uid="{00000000-0005-0000-0000-0000B81D0000}"/>
    <cellStyle name="Comma 10 3 11 2 2 2" xfId="28572" xr:uid="{00000000-0005-0000-0000-0000B91D0000}"/>
    <cellStyle name="Comma 10 3 11 2 2 2 2" xfId="46241" xr:uid="{00000000-0005-0000-0000-0000BA1D0000}"/>
    <cellStyle name="Comma 10 3 11 2 2 3" xfId="32785" xr:uid="{00000000-0005-0000-0000-0000BB1D0000}"/>
    <cellStyle name="Comma 10 3 11 2 2 4" xfId="37000" xr:uid="{00000000-0005-0000-0000-0000BC1D0000}"/>
    <cellStyle name="Comma 10 3 11 2 2 5" xfId="41204" xr:uid="{00000000-0005-0000-0000-0000BD1D0000}"/>
    <cellStyle name="Comma 10 3 11 2 3" xfId="27372" xr:uid="{00000000-0005-0000-0000-0000BE1D0000}"/>
    <cellStyle name="Comma 10 3 11 2 3 2" xfId="42969" xr:uid="{00000000-0005-0000-0000-0000BF1D0000}"/>
    <cellStyle name="Comma 10 3 11 2 4" xfId="31585" xr:uid="{00000000-0005-0000-0000-0000C01D0000}"/>
    <cellStyle name="Comma 10 3 11 2 5" xfId="35800" xr:uid="{00000000-0005-0000-0000-0000C11D0000}"/>
    <cellStyle name="Comma 10 3 11 2 6" xfId="40004" xr:uid="{00000000-0005-0000-0000-0000C21D0000}"/>
    <cellStyle name="Comma 10 3 11 3" xfId="10676" xr:uid="{00000000-0005-0000-0000-0000C31D0000}"/>
    <cellStyle name="Comma 10 3 11 3 2" xfId="27837" xr:uid="{00000000-0005-0000-0000-0000C41D0000}"/>
    <cellStyle name="Comma 10 3 11 3 2 2" xfId="45516" xr:uid="{00000000-0005-0000-0000-0000C51D0000}"/>
    <cellStyle name="Comma 10 3 11 3 3" xfId="32050" xr:uid="{00000000-0005-0000-0000-0000C61D0000}"/>
    <cellStyle name="Comma 10 3 11 3 4" xfId="36265" xr:uid="{00000000-0005-0000-0000-0000C71D0000}"/>
    <cellStyle name="Comma 10 3 11 3 5" xfId="40469" xr:uid="{00000000-0005-0000-0000-0000C81D0000}"/>
    <cellStyle name="Comma 10 3 11 4" xfId="26226" xr:uid="{00000000-0005-0000-0000-0000C91D0000}"/>
    <cellStyle name="Comma 10 3 11 4 2" xfId="41463" xr:uid="{00000000-0005-0000-0000-0000CA1D0000}"/>
    <cellStyle name="Comma 10 3 11 5" xfId="30439" xr:uid="{00000000-0005-0000-0000-0000CB1D0000}"/>
    <cellStyle name="Comma 10 3 11 5 2" xfId="41737" xr:uid="{00000000-0005-0000-0000-0000CC1D0000}"/>
    <cellStyle name="Comma 10 3 11 6" xfId="34654" xr:uid="{00000000-0005-0000-0000-0000CD1D0000}"/>
    <cellStyle name="Comma 10 3 11 7" xfId="38858" xr:uid="{00000000-0005-0000-0000-0000CE1D0000}"/>
    <cellStyle name="Comma 10 3 12" xfId="7929" xr:uid="{00000000-0005-0000-0000-0000CF1D0000}"/>
    <cellStyle name="Comma 10 3 12 2" xfId="9886" xr:uid="{00000000-0005-0000-0000-0000D01D0000}"/>
    <cellStyle name="Comma 10 3 12 2 2" xfId="11912" xr:uid="{00000000-0005-0000-0000-0000D11D0000}"/>
    <cellStyle name="Comma 10 3 12 2 2 2" xfId="28573" xr:uid="{00000000-0005-0000-0000-0000D21D0000}"/>
    <cellStyle name="Comma 10 3 12 2 2 2 2" xfId="46242" xr:uid="{00000000-0005-0000-0000-0000D31D0000}"/>
    <cellStyle name="Comma 10 3 12 2 2 3" xfId="32786" xr:uid="{00000000-0005-0000-0000-0000D41D0000}"/>
    <cellStyle name="Comma 10 3 12 2 2 4" xfId="37001" xr:uid="{00000000-0005-0000-0000-0000D51D0000}"/>
    <cellStyle name="Comma 10 3 12 2 2 5" xfId="41205" xr:uid="{00000000-0005-0000-0000-0000D61D0000}"/>
    <cellStyle name="Comma 10 3 12 2 3" xfId="27373" xr:uid="{00000000-0005-0000-0000-0000D71D0000}"/>
    <cellStyle name="Comma 10 3 12 2 3 2" xfId="42970" xr:uid="{00000000-0005-0000-0000-0000D81D0000}"/>
    <cellStyle name="Comma 10 3 12 2 4" xfId="31586" xr:uid="{00000000-0005-0000-0000-0000D91D0000}"/>
    <cellStyle name="Comma 10 3 12 2 5" xfId="35801" xr:uid="{00000000-0005-0000-0000-0000DA1D0000}"/>
    <cellStyle name="Comma 10 3 12 2 6" xfId="40005" xr:uid="{00000000-0005-0000-0000-0000DB1D0000}"/>
    <cellStyle name="Comma 10 3 12 3" xfId="10677" xr:uid="{00000000-0005-0000-0000-0000DC1D0000}"/>
    <cellStyle name="Comma 10 3 12 3 2" xfId="27838" xr:uid="{00000000-0005-0000-0000-0000DD1D0000}"/>
    <cellStyle name="Comma 10 3 12 3 2 2" xfId="45517" xr:uid="{00000000-0005-0000-0000-0000DE1D0000}"/>
    <cellStyle name="Comma 10 3 12 3 3" xfId="32051" xr:uid="{00000000-0005-0000-0000-0000DF1D0000}"/>
    <cellStyle name="Comma 10 3 12 3 4" xfId="36266" xr:uid="{00000000-0005-0000-0000-0000E01D0000}"/>
    <cellStyle name="Comma 10 3 12 3 5" xfId="40470" xr:uid="{00000000-0005-0000-0000-0000E11D0000}"/>
    <cellStyle name="Comma 10 3 12 4" xfId="26227" xr:uid="{00000000-0005-0000-0000-0000E21D0000}"/>
    <cellStyle name="Comma 10 3 12 4 2" xfId="41464" xr:uid="{00000000-0005-0000-0000-0000E31D0000}"/>
    <cellStyle name="Comma 10 3 12 5" xfId="30440" xr:uid="{00000000-0005-0000-0000-0000E41D0000}"/>
    <cellStyle name="Comma 10 3 12 5 2" xfId="41738" xr:uid="{00000000-0005-0000-0000-0000E51D0000}"/>
    <cellStyle name="Comma 10 3 12 6" xfId="34655" xr:uid="{00000000-0005-0000-0000-0000E61D0000}"/>
    <cellStyle name="Comma 10 3 12 7" xfId="38859" xr:uid="{00000000-0005-0000-0000-0000E71D0000}"/>
    <cellStyle name="Comma 10 3 13" xfId="7930" xr:uid="{00000000-0005-0000-0000-0000E81D0000}"/>
    <cellStyle name="Comma 10 3 13 2" xfId="9887" xr:uid="{00000000-0005-0000-0000-0000E91D0000}"/>
    <cellStyle name="Comma 10 3 13 2 2" xfId="11913" xr:uid="{00000000-0005-0000-0000-0000EA1D0000}"/>
    <cellStyle name="Comma 10 3 13 2 2 2" xfId="28574" xr:uid="{00000000-0005-0000-0000-0000EB1D0000}"/>
    <cellStyle name="Comma 10 3 13 2 2 2 2" xfId="46243" xr:uid="{00000000-0005-0000-0000-0000EC1D0000}"/>
    <cellStyle name="Comma 10 3 13 2 2 3" xfId="32787" xr:uid="{00000000-0005-0000-0000-0000ED1D0000}"/>
    <cellStyle name="Comma 10 3 13 2 2 4" xfId="37002" xr:uid="{00000000-0005-0000-0000-0000EE1D0000}"/>
    <cellStyle name="Comma 10 3 13 2 2 5" xfId="41206" xr:uid="{00000000-0005-0000-0000-0000EF1D0000}"/>
    <cellStyle name="Comma 10 3 13 2 3" xfId="27374" xr:uid="{00000000-0005-0000-0000-0000F01D0000}"/>
    <cellStyle name="Comma 10 3 13 2 3 2" xfId="42971" xr:uid="{00000000-0005-0000-0000-0000F11D0000}"/>
    <cellStyle name="Comma 10 3 13 2 4" xfId="31587" xr:uid="{00000000-0005-0000-0000-0000F21D0000}"/>
    <cellStyle name="Comma 10 3 13 2 5" xfId="35802" xr:uid="{00000000-0005-0000-0000-0000F31D0000}"/>
    <cellStyle name="Comma 10 3 13 2 6" xfId="40006" xr:uid="{00000000-0005-0000-0000-0000F41D0000}"/>
    <cellStyle name="Comma 10 3 13 3" xfId="10678" xr:uid="{00000000-0005-0000-0000-0000F51D0000}"/>
    <cellStyle name="Comma 10 3 13 3 2" xfId="27839" xr:uid="{00000000-0005-0000-0000-0000F61D0000}"/>
    <cellStyle name="Comma 10 3 13 3 2 2" xfId="45518" xr:uid="{00000000-0005-0000-0000-0000F71D0000}"/>
    <cellStyle name="Comma 10 3 13 3 3" xfId="32052" xr:uid="{00000000-0005-0000-0000-0000F81D0000}"/>
    <cellStyle name="Comma 10 3 13 3 4" xfId="36267" xr:uid="{00000000-0005-0000-0000-0000F91D0000}"/>
    <cellStyle name="Comma 10 3 13 3 5" xfId="40471" xr:uid="{00000000-0005-0000-0000-0000FA1D0000}"/>
    <cellStyle name="Comma 10 3 13 4" xfId="26228" xr:uid="{00000000-0005-0000-0000-0000FB1D0000}"/>
    <cellStyle name="Comma 10 3 13 4 2" xfId="41465" xr:uid="{00000000-0005-0000-0000-0000FC1D0000}"/>
    <cellStyle name="Comma 10 3 13 5" xfId="30441" xr:uid="{00000000-0005-0000-0000-0000FD1D0000}"/>
    <cellStyle name="Comma 10 3 13 5 2" xfId="41739" xr:uid="{00000000-0005-0000-0000-0000FE1D0000}"/>
    <cellStyle name="Comma 10 3 13 6" xfId="34656" xr:uid="{00000000-0005-0000-0000-0000FF1D0000}"/>
    <cellStyle name="Comma 10 3 13 7" xfId="38860" xr:uid="{00000000-0005-0000-0000-0000001E0000}"/>
    <cellStyle name="Comma 10 3 14" xfId="7931" xr:uid="{00000000-0005-0000-0000-0000011E0000}"/>
    <cellStyle name="Comma 10 3 14 2" xfId="9888" xr:uid="{00000000-0005-0000-0000-0000021E0000}"/>
    <cellStyle name="Comma 10 3 14 2 2" xfId="11914" xr:uid="{00000000-0005-0000-0000-0000031E0000}"/>
    <cellStyle name="Comma 10 3 14 2 2 2" xfId="28575" xr:uid="{00000000-0005-0000-0000-0000041E0000}"/>
    <cellStyle name="Comma 10 3 14 2 2 2 2" xfId="46244" xr:uid="{00000000-0005-0000-0000-0000051E0000}"/>
    <cellStyle name="Comma 10 3 14 2 2 3" xfId="32788" xr:uid="{00000000-0005-0000-0000-0000061E0000}"/>
    <cellStyle name="Comma 10 3 14 2 2 4" xfId="37003" xr:uid="{00000000-0005-0000-0000-0000071E0000}"/>
    <cellStyle name="Comma 10 3 14 2 2 5" xfId="41207" xr:uid="{00000000-0005-0000-0000-0000081E0000}"/>
    <cellStyle name="Comma 10 3 14 2 3" xfId="27375" xr:uid="{00000000-0005-0000-0000-0000091E0000}"/>
    <cellStyle name="Comma 10 3 14 2 3 2" xfId="42972" xr:uid="{00000000-0005-0000-0000-00000A1E0000}"/>
    <cellStyle name="Comma 10 3 14 2 4" xfId="31588" xr:uid="{00000000-0005-0000-0000-00000B1E0000}"/>
    <cellStyle name="Comma 10 3 14 2 5" xfId="35803" xr:uid="{00000000-0005-0000-0000-00000C1E0000}"/>
    <cellStyle name="Comma 10 3 14 2 6" xfId="40007" xr:uid="{00000000-0005-0000-0000-00000D1E0000}"/>
    <cellStyle name="Comma 10 3 14 3" xfId="10679" xr:uid="{00000000-0005-0000-0000-00000E1E0000}"/>
    <cellStyle name="Comma 10 3 14 3 2" xfId="27840" xr:uid="{00000000-0005-0000-0000-00000F1E0000}"/>
    <cellStyle name="Comma 10 3 14 3 2 2" xfId="45519" xr:uid="{00000000-0005-0000-0000-0000101E0000}"/>
    <cellStyle name="Comma 10 3 14 3 3" xfId="32053" xr:uid="{00000000-0005-0000-0000-0000111E0000}"/>
    <cellStyle name="Comma 10 3 14 3 4" xfId="36268" xr:uid="{00000000-0005-0000-0000-0000121E0000}"/>
    <cellStyle name="Comma 10 3 14 3 5" xfId="40472" xr:uid="{00000000-0005-0000-0000-0000131E0000}"/>
    <cellStyle name="Comma 10 3 14 4" xfId="26229" xr:uid="{00000000-0005-0000-0000-0000141E0000}"/>
    <cellStyle name="Comma 10 3 14 4 2" xfId="41466" xr:uid="{00000000-0005-0000-0000-0000151E0000}"/>
    <cellStyle name="Comma 10 3 14 5" xfId="30442" xr:uid="{00000000-0005-0000-0000-0000161E0000}"/>
    <cellStyle name="Comma 10 3 14 5 2" xfId="41740" xr:uid="{00000000-0005-0000-0000-0000171E0000}"/>
    <cellStyle name="Comma 10 3 14 6" xfId="34657" xr:uid="{00000000-0005-0000-0000-0000181E0000}"/>
    <cellStyle name="Comma 10 3 14 7" xfId="38861" xr:uid="{00000000-0005-0000-0000-0000191E0000}"/>
    <cellStyle name="Comma 10 3 15" xfId="7932" xr:uid="{00000000-0005-0000-0000-00001A1E0000}"/>
    <cellStyle name="Comma 10 3 15 2" xfId="9889" xr:uid="{00000000-0005-0000-0000-00001B1E0000}"/>
    <cellStyle name="Comma 10 3 15 2 2" xfId="11915" xr:uid="{00000000-0005-0000-0000-00001C1E0000}"/>
    <cellStyle name="Comma 10 3 15 2 2 2" xfId="28576" xr:uid="{00000000-0005-0000-0000-00001D1E0000}"/>
    <cellStyle name="Comma 10 3 15 2 2 2 2" xfId="46245" xr:uid="{00000000-0005-0000-0000-00001E1E0000}"/>
    <cellStyle name="Comma 10 3 15 2 2 3" xfId="32789" xr:uid="{00000000-0005-0000-0000-00001F1E0000}"/>
    <cellStyle name="Comma 10 3 15 2 2 4" xfId="37004" xr:uid="{00000000-0005-0000-0000-0000201E0000}"/>
    <cellStyle name="Comma 10 3 15 2 2 5" xfId="41208" xr:uid="{00000000-0005-0000-0000-0000211E0000}"/>
    <cellStyle name="Comma 10 3 15 2 3" xfId="27376" xr:uid="{00000000-0005-0000-0000-0000221E0000}"/>
    <cellStyle name="Comma 10 3 15 2 3 2" xfId="42973" xr:uid="{00000000-0005-0000-0000-0000231E0000}"/>
    <cellStyle name="Comma 10 3 15 2 4" xfId="31589" xr:uid="{00000000-0005-0000-0000-0000241E0000}"/>
    <cellStyle name="Comma 10 3 15 2 5" xfId="35804" xr:uid="{00000000-0005-0000-0000-0000251E0000}"/>
    <cellStyle name="Comma 10 3 15 2 6" xfId="40008" xr:uid="{00000000-0005-0000-0000-0000261E0000}"/>
    <cellStyle name="Comma 10 3 15 3" xfId="10680" xr:uid="{00000000-0005-0000-0000-0000271E0000}"/>
    <cellStyle name="Comma 10 3 15 3 2" xfId="27841" xr:uid="{00000000-0005-0000-0000-0000281E0000}"/>
    <cellStyle name="Comma 10 3 15 3 2 2" xfId="45520" xr:uid="{00000000-0005-0000-0000-0000291E0000}"/>
    <cellStyle name="Comma 10 3 15 3 3" xfId="32054" xr:uid="{00000000-0005-0000-0000-00002A1E0000}"/>
    <cellStyle name="Comma 10 3 15 3 4" xfId="36269" xr:uid="{00000000-0005-0000-0000-00002B1E0000}"/>
    <cellStyle name="Comma 10 3 15 3 5" xfId="40473" xr:uid="{00000000-0005-0000-0000-00002C1E0000}"/>
    <cellStyle name="Comma 10 3 15 4" xfId="26230" xr:uid="{00000000-0005-0000-0000-00002D1E0000}"/>
    <cellStyle name="Comma 10 3 15 4 2" xfId="41467" xr:uid="{00000000-0005-0000-0000-00002E1E0000}"/>
    <cellStyle name="Comma 10 3 15 5" xfId="30443" xr:uid="{00000000-0005-0000-0000-00002F1E0000}"/>
    <cellStyle name="Comma 10 3 15 5 2" xfId="41741" xr:uid="{00000000-0005-0000-0000-0000301E0000}"/>
    <cellStyle name="Comma 10 3 15 6" xfId="34658" xr:uid="{00000000-0005-0000-0000-0000311E0000}"/>
    <cellStyle name="Comma 10 3 15 7" xfId="38862" xr:uid="{00000000-0005-0000-0000-0000321E0000}"/>
    <cellStyle name="Comma 10 3 16" xfId="7933" xr:uid="{00000000-0005-0000-0000-0000331E0000}"/>
    <cellStyle name="Comma 10 3 16 2" xfId="9890" xr:uid="{00000000-0005-0000-0000-0000341E0000}"/>
    <cellStyle name="Comma 10 3 16 2 2" xfId="11916" xr:uid="{00000000-0005-0000-0000-0000351E0000}"/>
    <cellStyle name="Comma 10 3 16 2 2 2" xfId="28577" xr:uid="{00000000-0005-0000-0000-0000361E0000}"/>
    <cellStyle name="Comma 10 3 16 2 2 2 2" xfId="46246" xr:uid="{00000000-0005-0000-0000-0000371E0000}"/>
    <cellStyle name="Comma 10 3 16 2 2 3" xfId="32790" xr:uid="{00000000-0005-0000-0000-0000381E0000}"/>
    <cellStyle name="Comma 10 3 16 2 2 4" xfId="37005" xr:uid="{00000000-0005-0000-0000-0000391E0000}"/>
    <cellStyle name="Comma 10 3 16 2 2 5" xfId="41209" xr:uid="{00000000-0005-0000-0000-00003A1E0000}"/>
    <cellStyle name="Comma 10 3 16 2 3" xfId="27377" xr:uid="{00000000-0005-0000-0000-00003B1E0000}"/>
    <cellStyle name="Comma 10 3 16 2 3 2" xfId="42974" xr:uid="{00000000-0005-0000-0000-00003C1E0000}"/>
    <cellStyle name="Comma 10 3 16 2 4" xfId="31590" xr:uid="{00000000-0005-0000-0000-00003D1E0000}"/>
    <cellStyle name="Comma 10 3 16 2 5" xfId="35805" xr:uid="{00000000-0005-0000-0000-00003E1E0000}"/>
    <cellStyle name="Comma 10 3 16 2 6" xfId="40009" xr:uid="{00000000-0005-0000-0000-00003F1E0000}"/>
    <cellStyle name="Comma 10 3 16 3" xfId="10681" xr:uid="{00000000-0005-0000-0000-0000401E0000}"/>
    <cellStyle name="Comma 10 3 16 3 2" xfId="27842" xr:uid="{00000000-0005-0000-0000-0000411E0000}"/>
    <cellStyle name="Comma 10 3 16 3 2 2" xfId="45521" xr:uid="{00000000-0005-0000-0000-0000421E0000}"/>
    <cellStyle name="Comma 10 3 16 3 3" xfId="32055" xr:uid="{00000000-0005-0000-0000-0000431E0000}"/>
    <cellStyle name="Comma 10 3 16 3 4" xfId="36270" xr:uid="{00000000-0005-0000-0000-0000441E0000}"/>
    <cellStyle name="Comma 10 3 16 3 5" xfId="40474" xr:uid="{00000000-0005-0000-0000-0000451E0000}"/>
    <cellStyle name="Comma 10 3 16 4" xfId="26231" xr:uid="{00000000-0005-0000-0000-0000461E0000}"/>
    <cellStyle name="Comma 10 3 16 4 2" xfId="41468" xr:uid="{00000000-0005-0000-0000-0000471E0000}"/>
    <cellStyle name="Comma 10 3 16 5" xfId="30444" xr:uid="{00000000-0005-0000-0000-0000481E0000}"/>
    <cellStyle name="Comma 10 3 16 5 2" xfId="41742" xr:uid="{00000000-0005-0000-0000-0000491E0000}"/>
    <cellStyle name="Comma 10 3 16 6" xfId="34659" xr:uid="{00000000-0005-0000-0000-00004A1E0000}"/>
    <cellStyle name="Comma 10 3 16 7" xfId="38863" xr:uid="{00000000-0005-0000-0000-00004B1E0000}"/>
    <cellStyle name="Comma 10 3 17" xfId="7934" xr:uid="{00000000-0005-0000-0000-00004C1E0000}"/>
    <cellStyle name="Comma 10 3 17 2" xfId="9891" xr:uid="{00000000-0005-0000-0000-00004D1E0000}"/>
    <cellStyle name="Comma 10 3 17 2 2" xfId="11917" xr:uid="{00000000-0005-0000-0000-00004E1E0000}"/>
    <cellStyle name="Comma 10 3 17 2 2 2" xfId="28578" xr:uid="{00000000-0005-0000-0000-00004F1E0000}"/>
    <cellStyle name="Comma 10 3 17 2 2 2 2" xfId="46247" xr:uid="{00000000-0005-0000-0000-0000501E0000}"/>
    <cellStyle name="Comma 10 3 17 2 2 3" xfId="32791" xr:uid="{00000000-0005-0000-0000-0000511E0000}"/>
    <cellStyle name="Comma 10 3 17 2 2 4" xfId="37006" xr:uid="{00000000-0005-0000-0000-0000521E0000}"/>
    <cellStyle name="Comma 10 3 17 2 2 5" xfId="41210" xr:uid="{00000000-0005-0000-0000-0000531E0000}"/>
    <cellStyle name="Comma 10 3 17 2 3" xfId="27378" xr:uid="{00000000-0005-0000-0000-0000541E0000}"/>
    <cellStyle name="Comma 10 3 17 2 3 2" xfId="42975" xr:uid="{00000000-0005-0000-0000-0000551E0000}"/>
    <cellStyle name="Comma 10 3 17 2 4" xfId="31591" xr:uid="{00000000-0005-0000-0000-0000561E0000}"/>
    <cellStyle name="Comma 10 3 17 2 5" xfId="35806" xr:uid="{00000000-0005-0000-0000-0000571E0000}"/>
    <cellStyle name="Comma 10 3 17 2 6" xfId="40010" xr:uid="{00000000-0005-0000-0000-0000581E0000}"/>
    <cellStyle name="Comma 10 3 17 3" xfId="10682" xr:uid="{00000000-0005-0000-0000-0000591E0000}"/>
    <cellStyle name="Comma 10 3 17 3 2" xfId="27843" xr:uid="{00000000-0005-0000-0000-00005A1E0000}"/>
    <cellStyle name="Comma 10 3 17 3 2 2" xfId="45522" xr:uid="{00000000-0005-0000-0000-00005B1E0000}"/>
    <cellStyle name="Comma 10 3 17 3 3" xfId="32056" xr:uid="{00000000-0005-0000-0000-00005C1E0000}"/>
    <cellStyle name="Comma 10 3 17 3 4" xfId="36271" xr:uid="{00000000-0005-0000-0000-00005D1E0000}"/>
    <cellStyle name="Comma 10 3 17 3 5" xfId="40475" xr:uid="{00000000-0005-0000-0000-00005E1E0000}"/>
    <cellStyle name="Comma 10 3 17 4" xfId="26232" xr:uid="{00000000-0005-0000-0000-00005F1E0000}"/>
    <cellStyle name="Comma 10 3 17 4 2" xfId="41469" xr:uid="{00000000-0005-0000-0000-0000601E0000}"/>
    <cellStyle name="Comma 10 3 17 5" xfId="30445" xr:uid="{00000000-0005-0000-0000-0000611E0000}"/>
    <cellStyle name="Comma 10 3 17 5 2" xfId="41743" xr:uid="{00000000-0005-0000-0000-0000621E0000}"/>
    <cellStyle name="Comma 10 3 17 6" xfId="34660" xr:uid="{00000000-0005-0000-0000-0000631E0000}"/>
    <cellStyle name="Comma 10 3 17 7" xfId="38864" xr:uid="{00000000-0005-0000-0000-0000641E0000}"/>
    <cellStyle name="Comma 10 3 18" xfId="9883" xr:uid="{00000000-0005-0000-0000-0000651E0000}"/>
    <cellStyle name="Comma 10 3 18 2" xfId="11909" xr:uid="{00000000-0005-0000-0000-0000661E0000}"/>
    <cellStyle name="Comma 10 3 18 2 2" xfId="28570" xr:uid="{00000000-0005-0000-0000-0000671E0000}"/>
    <cellStyle name="Comma 10 3 18 2 2 2" xfId="46239" xr:uid="{00000000-0005-0000-0000-0000681E0000}"/>
    <cellStyle name="Comma 10 3 18 2 3" xfId="32783" xr:uid="{00000000-0005-0000-0000-0000691E0000}"/>
    <cellStyle name="Comma 10 3 18 2 4" xfId="36998" xr:uid="{00000000-0005-0000-0000-00006A1E0000}"/>
    <cellStyle name="Comma 10 3 18 2 5" xfId="41202" xr:uid="{00000000-0005-0000-0000-00006B1E0000}"/>
    <cellStyle name="Comma 10 3 18 3" xfId="27370" xr:uid="{00000000-0005-0000-0000-00006C1E0000}"/>
    <cellStyle name="Comma 10 3 18 3 2" xfId="42967" xr:uid="{00000000-0005-0000-0000-00006D1E0000}"/>
    <cellStyle name="Comma 10 3 18 4" xfId="31583" xr:uid="{00000000-0005-0000-0000-00006E1E0000}"/>
    <cellStyle name="Comma 10 3 18 5" xfId="35798" xr:uid="{00000000-0005-0000-0000-00006F1E0000}"/>
    <cellStyle name="Comma 10 3 18 6" xfId="40002" xr:uid="{00000000-0005-0000-0000-0000701E0000}"/>
    <cellStyle name="Comma 10 3 19" xfId="10674" xr:uid="{00000000-0005-0000-0000-0000711E0000}"/>
    <cellStyle name="Comma 10 3 19 2" xfId="27835" xr:uid="{00000000-0005-0000-0000-0000721E0000}"/>
    <cellStyle name="Comma 10 3 19 2 2" xfId="45514" xr:uid="{00000000-0005-0000-0000-0000731E0000}"/>
    <cellStyle name="Comma 10 3 19 3" xfId="32048" xr:uid="{00000000-0005-0000-0000-0000741E0000}"/>
    <cellStyle name="Comma 10 3 19 4" xfId="36263" xr:uid="{00000000-0005-0000-0000-0000751E0000}"/>
    <cellStyle name="Comma 10 3 19 5" xfId="40467" xr:uid="{00000000-0005-0000-0000-0000761E0000}"/>
    <cellStyle name="Comma 10 3 2" xfId="7935" xr:uid="{00000000-0005-0000-0000-0000771E0000}"/>
    <cellStyle name="Comma 10 3 2 2" xfId="9892" xr:uid="{00000000-0005-0000-0000-0000781E0000}"/>
    <cellStyle name="Comma 10 3 2 2 2" xfId="11918" xr:uid="{00000000-0005-0000-0000-0000791E0000}"/>
    <cellStyle name="Comma 10 3 2 2 2 2" xfId="28579" xr:uid="{00000000-0005-0000-0000-00007A1E0000}"/>
    <cellStyle name="Comma 10 3 2 2 2 2 2" xfId="46248" xr:uid="{00000000-0005-0000-0000-00007B1E0000}"/>
    <cellStyle name="Comma 10 3 2 2 2 3" xfId="32792" xr:uid="{00000000-0005-0000-0000-00007C1E0000}"/>
    <cellStyle name="Comma 10 3 2 2 2 4" xfId="37007" xr:uid="{00000000-0005-0000-0000-00007D1E0000}"/>
    <cellStyle name="Comma 10 3 2 2 2 5" xfId="41211" xr:uid="{00000000-0005-0000-0000-00007E1E0000}"/>
    <cellStyle name="Comma 10 3 2 2 3" xfId="27379" xr:uid="{00000000-0005-0000-0000-00007F1E0000}"/>
    <cellStyle name="Comma 10 3 2 2 3 2" xfId="42976" xr:uid="{00000000-0005-0000-0000-0000801E0000}"/>
    <cellStyle name="Comma 10 3 2 2 4" xfId="31592" xr:uid="{00000000-0005-0000-0000-0000811E0000}"/>
    <cellStyle name="Comma 10 3 2 2 5" xfId="35807" xr:uid="{00000000-0005-0000-0000-0000821E0000}"/>
    <cellStyle name="Comma 10 3 2 2 6" xfId="40011" xr:uid="{00000000-0005-0000-0000-0000831E0000}"/>
    <cellStyle name="Comma 10 3 2 3" xfId="10683" xr:uid="{00000000-0005-0000-0000-0000841E0000}"/>
    <cellStyle name="Comma 10 3 2 3 2" xfId="27844" xr:uid="{00000000-0005-0000-0000-0000851E0000}"/>
    <cellStyle name="Comma 10 3 2 3 2 2" xfId="45523" xr:uid="{00000000-0005-0000-0000-0000861E0000}"/>
    <cellStyle name="Comma 10 3 2 3 3" xfId="32057" xr:uid="{00000000-0005-0000-0000-0000871E0000}"/>
    <cellStyle name="Comma 10 3 2 3 4" xfId="36272" xr:uid="{00000000-0005-0000-0000-0000881E0000}"/>
    <cellStyle name="Comma 10 3 2 3 5" xfId="40476" xr:uid="{00000000-0005-0000-0000-0000891E0000}"/>
    <cellStyle name="Comma 10 3 2 4" xfId="26233" xr:uid="{00000000-0005-0000-0000-00008A1E0000}"/>
    <cellStyle name="Comma 10 3 2 4 2" xfId="41470" xr:uid="{00000000-0005-0000-0000-00008B1E0000}"/>
    <cellStyle name="Comma 10 3 2 5" xfId="30446" xr:uid="{00000000-0005-0000-0000-00008C1E0000}"/>
    <cellStyle name="Comma 10 3 2 5 2" xfId="41744" xr:uid="{00000000-0005-0000-0000-00008D1E0000}"/>
    <cellStyle name="Comma 10 3 2 6" xfId="34661" xr:uid="{00000000-0005-0000-0000-00008E1E0000}"/>
    <cellStyle name="Comma 10 3 2 7" xfId="38865" xr:uid="{00000000-0005-0000-0000-00008F1E0000}"/>
    <cellStyle name="Comma 10 3 20" xfId="26224" xr:uid="{00000000-0005-0000-0000-0000901E0000}"/>
    <cellStyle name="Comma 10 3 20 2" xfId="41461" xr:uid="{00000000-0005-0000-0000-0000911E0000}"/>
    <cellStyle name="Comma 10 3 21" xfId="30437" xr:uid="{00000000-0005-0000-0000-0000921E0000}"/>
    <cellStyle name="Comma 10 3 21 2" xfId="41735" xr:uid="{00000000-0005-0000-0000-0000931E0000}"/>
    <cellStyle name="Comma 10 3 22" xfId="34652" xr:uid="{00000000-0005-0000-0000-0000941E0000}"/>
    <cellStyle name="Comma 10 3 23" xfId="38856" xr:uid="{00000000-0005-0000-0000-0000951E0000}"/>
    <cellStyle name="Comma 10 3 3" xfId="7936" xr:uid="{00000000-0005-0000-0000-0000961E0000}"/>
    <cellStyle name="Comma 10 3 3 2" xfId="9893" xr:uid="{00000000-0005-0000-0000-0000971E0000}"/>
    <cellStyle name="Comma 10 3 3 2 2" xfId="11919" xr:uid="{00000000-0005-0000-0000-0000981E0000}"/>
    <cellStyle name="Comma 10 3 3 2 2 2" xfId="28580" xr:uid="{00000000-0005-0000-0000-0000991E0000}"/>
    <cellStyle name="Comma 10 3 3 2 2 2 2" xfId="46249" xr:uid="{00000000-0005-0000-0000-00009A1E0000}"/>
    <cellStyle name="Comma 10 3 3 2 2 3" xfId="32793" xr:uid="{00000000-0005-0000-0000-00009B1E0000}"/>
    <cellStyle name="Comma 10 3 3 2 2 4" xfId="37008" xr:uid="{00000000-0005-0000-0000-00009C1E0000}"/>
    <cellStyle name="Comma 10 3 3 2 2 5" xfId="41212" xr:uid="{00000000-0005-0000-0000-00009D1E0000}"/>
    <cellStyle name="Comma 10 3 3 2 3" xfId="27380" xr:uid="{00000000-0005-0000-0000-00009E1E0000}"/>
    <cellStyle name="Comma 10 3 3 2 3 2" xfId="42977" xr:uid="{00000000-0005-0000-0000-00009F1E0000}"/>
    <cellStyle name="Comma 10 3 3 2 4" xfId="31593" xr:uid="{00000000-0005-0000-0000-0000A01E0000}"/>
    <cellStyle name="Comma 10 3 3 2 5" xfId="35808" xr:uid="{00000000-0005-0000-0000-0000A11E0000}"/>
    <cellStyle name="Comma 10 3 3 2 6" xfId="40012" xr:uid="{00000000-0005-0000-0000-0000A21E0000}"/>
    <cellStyle name="Comma 10 3 3 3" xfId="10684" xr:uid="{00000000-0005-0000-0000-0000A31E0000}"/>
    <cellStyle name="Comma 10 3 3 3 2" xfId="27845" xr:uid="{00000000-0005-0000-0000-0000A41E0000}"/>
    <cellStyle name="Comma 10 3 3 3 2 2" xfId="45524" xr:uid="{00000000-0005-0000-0000-0000A51E0000}"/>
    <cellStyle name="Comma 10 3 3 3 3" xfId="32058" xr:uid="{00000000-0005-0000-0000-0000A61E0000}"/>
    <cellStyle name="Comma 10 3 3 3 4" xfId="36273" xr:uid="{00000000-0005-0000-0000-0000A71E0000}"/>
    <cellStyle name="Comma 10 3 3 3 5" xfId="40477" xr:uid="{00000000-0005-0000-0000-0000A81E0000}"/>
    <cellStyle name="Comma 10 3 3 4" xfId="26234" xr:uid="{00000000-0005-0000-0000-0000A91E0000}"/>
    <cellStyle name="Comma 10 3 3 4 2" xfId="41471" xr:uid="{00000000-0005-0000-0000-0000AA1E0000}"/>
    <cellStyle name="Comma 10 3 3 5" xfId="30447" xr:uid="{00000000-0005-0000-0000-0000AB1E0000}"/>
    <cellStyle name="Comma 10 3 3 5 2" xfId="41745" xr:uid="{00000000-0005-0000-0000-0000AC1E0000}"/>
    <cellStyle name="Comma 10 3 3 6" xfId="34662" xr:uid="{00000000-0005-0000-0000-0000AD1E0000}"/>
    <cellStyle name="Comma 10 3 3 7" xfId="38866" xr:uid="{00000000-0005-0000-0000-0000AE1E0000}"/>
    <cellStyle name="Comma 10 3 4" xfId="7937" xr:uid="{00000000-0005-0000-0000-0000AF1E0000}"/>
    <cellStyle name="Comma 10 3 4 2" xfId="9894" xr:uid="{00000000-0005-0000-0000-0000B01E0000}"/>
    <cellStyle name="Comma 10 3 4 2 2" xfId="11920" xr:uid="{00000000-0005-0000-0000-0000B11E0000}"/>
    <cellStyle name="Comma 10 3 4 2 2 2" xfId="28581" xr:uid="{00000000-0005-0000-0000-0000B21E0000}"/>
    <cellStyle name="Comma 10 3 4 2 2 2 2" xfId="46250" xr:uid="{00000000-0005-0000-0000-0000B31E0000}"/>
    <cellStyle name="Comma 10 3 4 2 2 3" xfId="32794" xr:uid="{00000000-0005-0000-0000-0000B41E0000}"/>
    <cellStyle name="Comma 10 3 4 2 2 4" xfId="37009" xr:uid="{00000000-0005-0000-0000-0000B51E0000}"/>
    <cellStyle name="Comma 10 3 4 2 2 5" xfId="41213" xr:uid="{00000000-0005-0000-0000-0000B61E0000}"/>
    <cellStyle name="Comma 10 3 4 2 3" xfId="27381" xr:uid="{00000000-0005-0000-0000-0000B71E0000}"/>
    <cellStyle name="Comma 10 3 4 2 3 2" xfId="42978" xr:uid="{00000000-0005-0000-0000-0000B81E0000}"/>
    <cellStyle name="Comma 10 3 4 2 4" xfId="31594" xr:uid="{00000000-0005-0000-0000-0000B91E0000}"/>
    <cellStyle name="Comma 10 3 4 2 5" xfId="35809" xr:uid="{00000000-0005-0000-0000-0000BA1E0000}"/>
    <cellStyle name="Comma 10 3 4 2 6" xfId="40013" xr:uid="{00000000-0005-0000-0000-0000BB1E0000}"/>
    <cellStyle name="Comma 10 3 4 3" xfId="10685" xr:uid="{00000000-0005-0000-0000-0000BC1E0000}"/>
    <cellStyle name="Comma 10 3 4 3 2" xfId="27846" xr:uid="{00000000-0005-0000-0000-0000BD1E0000}"/>
    <cellStyle name="Comma 10 3 4 3 2 2" xfId="45525" xr:uid="{00000000-0005-0000-0000-0000BE1E0000}"/>
    <cellStyle name="Comma 10 3 4 3 3" xfId="32059" xr:uid="{00000000-0005-0000-0000-0000BF1E0000}"/>
    <cellStyle name="Comma 10 3 4 3 4" xfId="36274" xr:uid="{00000000-0005-0000-0000-0000C01E0000}"/>
    <cellStyle name="Comma 10 3 4 3 5" xfId="40478" xr:uid="{00000000-0005-0000-0000-0000C11E0000}"/>
    <cellStyle name="Comma 10 3 4 4" xfId="26235" xr:uid="{00000000-0005-0000-0000-0000C21E0000}"/>
    <cellStyle name="Comma 10 3 4 4 2" xfId="41472" xr:uid="{00000000-0005-0000-0000-0000C31E0000}"/>
    <cellStyle name="Comma 10 3 4 5" xfId="30448" xr:uid="{00000000-0005-0000-0000-0000C41E0000}"/>
    <cellStyle name="Comma 10 3 4 5 2" xfId="41746" xr:uid="{00000000-0005-0000-0000-0000C51E0000}"/>
    <cellStyle name="Comma 10 3 4 6" xfId="34663" xr:uid="{00000000-0005-0000-0000-0000C61E0000}"/>
    <cellStyle name="Comma 10 3 4 7" xfId="38867" xr:uid="{00000000-0005-0000-0000-0000C71E0000}"/>
    <cellStyle name="Comma 10 3 5" xfId="7938" xr:uid="{00000000-0005-0000-0000-0000C81E0000}"/>
    <cellStyle name="Comma 10 3 5 2" xfId="9895" xr:uid="{00000000-0005-0000-0000-0000C91E0000}"/>
    <cellStyle name="Comma 10 3 5 2 2" xfId="11921" xr:uid="{00000000-0005-0000-0000-0000CA1E0000}"/>
    <cellStyle name="Comma 10 3 5 2 2 2" xfId="28582" xr:uid="{00000000-0005-0000-0000-0000CB1E0000}"/>
    <cellStyle name="Comma 10 3 5 2 2 2 2" xfId="46251" xr:uid="{00000000-0005-0000-0000-0000CC1E0000}"/>
    <cellStyle name="Comma 10 3 5 2 2 3" xfId="32795" xr:uid="{00000000-0005-0000-0000-0000CD1E0000}"/>
    <cellStyle name="Comma 10 3 5 2 2 4" xfId="37010" xr:uid="{00000000-0005-0000-0000-0000CE1E0000}"/>
    <cellStyle name="Comma 10 3 5 2 2 5" xfId="41214" xr:uid="{00000000-0005-0000-0000-0000CF1E0000}"/>
    <cellStyle name="Comma 10 3 5 2 3" xfId="27382" xr:uid="{00000000-0005-0000-0000-0000D01E0000}"/>
    <cellStyle name="Comma 10 3 5 2 3 2" xfId="42979" xr:uid="{00000000-0005-0000-0000-0000D11E0000}"/>
    <cellStyle name="Comma 10 3 5 2 4" xfId="31595" xr:uid="{00000000-0005-0000-0000-0000D21E0000}"/>
    <cellStyle name="Comma 10 3 5 2 5" xfId="35810" xr:uid="{00000000-0005-0000-0000-0000D31E0000}"/>
    <cellStyle name="Comma 10 3 5 2 6" xfId="40014" xr:uid="{00000000-0005-0000-0000-0000D41E0000}"/>
    <cellStyle name="Comma 10 3 5 3" xfId="10686" xr:uid="{00000000-0005-0000-0000-0000D51E0000}"/>
    <cellStyle name="Comma 10 3 5 3 2" xfId="27847" xr:uid="{00000000-0005-0000-0000-0000D61E0000}"/>
    <cellStyle name="Comma 10 3 5 3 2 2" xfId="45526" xr:uid="{00000000-0005-0000-0000-0000D71E0000}"/>
    <cellStyle name="Comma 10 3 5 3 3" xfId="32060" xr:uid="{00000000-0005-0000-0000-0000D81E0000}"/>
    <cellStyle name="Comma 10 3 5 3 4" xfId="36275" xr:uid="{00000000-0005-0000-0000-0000D91E0000}"/>
    <cellStyle name="Comma 10 3 5 3 5" xfId="40479" xr:uid="{00000000-0005-0000-0000-0000DA1E0000}"/>
    <cellStyle name="Comma 10 3 5 4" xfId="26236" xr:uid="{00000000-0005-0000-0000-0000DB1E0000}"/>
    <cellStyle name="Comma 10 3 5 4 2" xfId="41473" xr:uid="{00000000-0005-0000-0000-0000DC1E0000}"/>
    <cellStyle name="Comma 10 3 5 5" xfId="30449" xr:uid="{00000000-0005-0000-0000-0000DD1E0000}"/>
    <cellStyle name="Comma 10 3 5 5 2" xfId="41747" xr:uid="{00000000-0005-0000-0000-0000DE1E0000}"/>
    <cellStyle name="Comma 10 3 5 6" xfId="34664" xr:uid="{00000000-0005-0000-0000-0000DF1E0000}"/>
    <cellStyle name="Comma 10 3 5 7" xfId="38868" xr:uid="{00000000-0005-0000-0000-0000E01E0000}"/>
    <cellStyle name="Comma 10 3 6" xfId="7939" xr:uid="{00000000-0005-0000-0000-0000E11E0000}"/>
    <cellStyle name="Comma 10 3 6 2" xfId="9896" xr:uid="{00000000-0005-0000-0000-0000E21E0000}"/>
    <cellStyle name="Comma 10 3 6 2 2" xfId="11922" xr:uid="{00000000-0005-0000-0000-0000E31E0000}"/>
    <cellStyle name="Comma 10 3 6 2 2 2" xfId="28583" xr:uid="{00000000-0005-0000-0000-0000E41E0000}"/>
    <cellStyle name="Comma 10 3 6 2 2 2 2" xfId="46252" xr:uid="{00000000-0005-0000-0000-0000E51E0000}"/>
    <cellStyle name="Comma 10 3 6 2 2 3" xfId="32796" xr:uid="{00000000-0005-0000-0000-0000E61E0000}"/>
    <cellStyle name="Comma 10 3 6 2 2 4" xfId="37011" xr:uid="{00000000-0005-0000-0000-0000E71E0000}"/>
    <cellStyle name="Comma 10 3 6 2 2 5" xfId="41215" xr:uid="{00000000-0005-0000-0000-0000E81E0000}"/>
    <cellStyle name="Comma 10 3 6 2 3" xfId="27383" xr:uid="{00000000-0005-0000-0000-0000E91E0000}"/>
    <cellStyle name="Comma 10 3 6 2 3 2" xfId="42980" xr:uid="{00000000-0005-0000-0000-0000EA1E0000}"/>
    <cellStyle name="Comma 10 3 6 2 4" xfId="31596" xr:uid="{00000000-0005-0000-0000-0000EB1E0000}"/>
    <cellStyle name="Comma 10 3 6 2 5" xfId="35811" xr:uid="{00000000-0005-0000-0000-0000EC1E0000}"/>
    <cellStyle name="Comma 10 3 6 2 6" xfId="40015" xr:uid="{00000000-0005-0000-0000-0000ED1E0000}"/>
    <cellStyle name="Comma 10 3 6 3" xfId="10687" xr:uid="{00000000-0005-0000-0000-0000EE1E0000}"/>
    <cellStyle name="Comma 10 3 6 3 2" xfId="27848" xr:uid="{00000000-0005-0000-0000-0000EF1E0000}"/>
    <cellStyle name="Comma 10 3 6 3 2 2" xfId="45527" xr:uid="{00000000-0005-0000-0000-0000F01E0000}"/>
    <cellStyle name="Comma 10 3 6 3 3" xfId="32061" xr:uid="{00000000-0005-0000-0000-0000F11E0000}"/>
    <cellStyle name="Comma 10 3 6 3 4" xfId="36276" xr:uid="{00000000-0005-0000-0000-0000F21E0000}"/>
    <cellStyle name="Comma 10 3 6 3 5" xfId="40480" xr:uid="{00000000-0005-0000-0000-0000F31E0000}"/>
    <cellStyle name="Comma 10 3 6 4" xfId="26237" xr:uid="{00000000-0005-0000-0000-0000F41E0000}"/>
    <cellStyle name="Comma 10 3 6 4 2" xfId="41474" xr:uid="{00000000-0005-0000-0000-0000F51E0000}"/>
    <cellStyle name="Comma 10 3 6 5" xfId="30450" xr:uid="{00000000-0005-0000-0000-0000F61E0000}"/>
    <cellStyle name="Comma 10 3 6 5 2" xfId="41748" xr:uid="{00000000-0005-0000-0000-0000F71E0000}"/>
    <cellStyle name="Comma 10 3 6 6" xfId="34665" xr:uid="{00000000-0005-0000-0000-0000F81E0000}"/>
    <cellStyle name="Comma 10 3 6 7" xfId="38869" xr:uid="{00000000-0005-0000-0000-0000F91E0000}"/>
    <cellStyle name="Comma 10 3 7" xfId="7940" xr:uid="{00000000-0005-0000-0000-0000FA1E0000}"/>
    <cellStyle name="Comma 10 3 7 2" xfId="9897" xr:uid="{00000000-0005-0000-0000-0000FB1E0000}"/>
    <cellStyle name="Comma 10 3 7 2 2" xfId="11923" xr:uid="{00000000-0005-0000-0000-0000FC1E0000}"/>
    <cellStyle name="Comma 10 3 7 2 2 2" xfId="28584" xr:uid="{00000000-0005-0000-0000-0000FD1E0000}"/>
    <cellStyle name="Comma 10 3 7 2 2 2 2" xfId="46253" xr:uid="{00000000-0005-0000-0000-0000FE1E0000}"/>
    <cellStyle name="Comma 10 3 7 2 2 3" xfId="32797" xr:uid="{00000000-0005-0000-0000-0000FF1E0000}"/>
    <cellStyle name="Comma 10 3 7 2 2 4" xfId="37012" xr:uid="{00000000-0005-0000-0000-0000001F0000}"/>
    <cellStyle name="Comma 10 3 7 2 2 5" xfId="41216" xr:uid="{00000000-0005-0000-0000-0000011F0000}"/>
    <cellStyle name="Comma 10 3 7 2 3" xfId="27384" xr:uid="{00000000-0005-0000-0000-0000021F0000}"/>
    <cellStyle name="Comma 10 3 7 2 3 2" xfId="42981" xr:uid="{00000000-0005-0000-0000-0000031F0000}"/>
    <cellStyle name="Comma 10 3 7 2 4" xfId="31597" xr:uid="{00000000-0005-0000-0000-0000041F0000}"/>
    <cellStyle name="Comma 10 3 7 2 5" xfId="35812" xr:uid="{00000000-0005-0000-0000-0000051F0000}"/>
    <cellStyle name="Comma 10 3 7 2 6" xfId="40016" xr:uid="{00000000-0005-0000-0000-0000061F0000}"/>
    <cellStyle name="Comma 10 3 7 3" xfId="10688" xr:uid="{00000000-0005-0000-0000-0000071F0000}"/>
    <cellStyle name="Comma 10 3 7 3 2" xfId="27849" xr:uid="{00000000-0005-0000-0000-0000081F0000}"/>
    <cellStyle name="Comma 10 3 7 3 2 2" xfId="45528" xr:uid="{00000000-0005-0000-0000-0000091F0000}"/>
    <cellStyle name="Comma 10 3 7 3 3" xfId="32062" xr:uid="{00000000-0005-0000-0000-00000A1F0000}"/>
    <cellStyle name="Comma 10 3 7 3 4" xfId="36277" xr:uid="{00000000-0005-0000-0000-00000B1F0000}"/>
    <cellStyle name="Comma 10 3 7 3 5" xfId="40481" xr:uid="{00000000-0005-0000-0000-00000C1F0000}"/>
    <cellStyle name="Comma 10 3 7 4" xfId="26238" xr:uid="{00000000-0005-0000-0000-00000D1F0000}"/>
    <cellStyle name="Comma 10 3 7 4 2" xfId="41475" xr:uid="{00000000-0005-0000-0000-00000E1F0000}"/>
    <cellStyle name="Comma 10 3 7 5" xfId="30451" xr:uid="{00000000-0005-0000-0000-00000F1F0000}"/>
    <cellStyle name="Comma 10 3 7 5 2" xfId="41749" xr:uid="{00000000-0005-0000-0000-0000101F0000}"/>
    <cellStyle name="Comma 10 3 7 6" xfId="34666" xr:uid="{00000000-0005-0000-0000-0000111F0000}"/>
    <cellStyle name="Comma 10 3 7 7" xfId="38870" xr:uid="{00000000-0005-0000-0000-0000121F0000}"/>
    <cellStyle name="Comma 10 3 8" xfId="7941" xr:uid="{00000000-0005-0000-0000-0000131F0000}"/>
    <cellStyle name="Comma 10 3 8 2" xfId="9898" xr:uid="{00000000-0005-0000-0000-0000141F0000}"/>
    <cellStyle name="Comma 10 3 8 2 2" xfId="11924" xr:uid="{00000000-0005-0000-0000-0000151F0000}"/>
    <cellStyle name="Comma 10 3 8 2 2 2" xfId="28585" xr:uid="{00000000-0005-0000-0000-0000161F0000}"/>
    <cellStyle name="Comma 10 3 8 2 2 2 2" xfId="46254" xr:uid="{00000000-0005-0000-0000-0000171F0000}"/>
    <cellStyle name="Comma 10 3 8 2 2 3" xfId="32798" xr:uid="{00000000-0005-0000-0000-0000181F0000}"/>
    <cellStyle name="Comma 10 3 8 2 2 4" xfId="37013" xr:uid="{00000000-0005-0000-0000-0000191F0000}"/>
    <cellStyle name="Comma 10 3 8 2 2 5" xfId="41217" xr:uid="{00000000-0005-0000-0000-00001A1F0000}"/>
    <cellStyle name="Comma 10 3 8 2 3" xfId="27385" xr:uid="{00000000-0005-0000-0000-00001B1F0000}"/>
    <cellStyle name="Comma 10 3 8 2 3 2" xfId="42982" xr:uid="{00000000-0005-0000-0000-00001C1F0000}"/>
    <cellStyle name="Comma 10 3 8 2 4" xfId="31598" xr:uid="{00000000-0005-0000-0000-00001D1F0000}"/>
    <cellStyle name="Comma 10 3 8 2 5" xfId="35813" xr:uid="{00000000-0005-0000-0000-00001E1F0000}"/>
    <cellStyle name="Comma 10 3 8 2 6" xfId="40017" xr:uid="{00000000-0005-0000-0000-00001F1F0000}"/>
    <cellStyle name="Comma 10 3 8 3" xfId="10689" xr:uid="{00000000-0005-0000-0000-0000201F0000}"/>
    <cellStyle name="Comma 10 3 8 3 2" xfId="27850" xr:uid="{00000000-0005-0000-0000-0000211F0000}"/>
    <cellStyle name="Comma 10 3 8 3 2 2" xfId="45529" xr:uid="{00000000-0005-0000-0000-0000221F0000}"/>
    <cellStyle name="Comma 10 3 8 3 3" xfId="32063" xr:uid="{00000000-0005-0000-0000-0000231F0000}"/>
    <cellStyle name="Comma 10 3 8 3 4" xfId="36278" xr:uid="{00000000-0005-0000-0000-0000241F0000}"/>
    <cellStyle name="Comma 10 3 8 3 5" xfId="40482" xr:uid="{00000000-0005-0000-0000-0000251F0000}"/>
    <cellStyle name="Comma 10 3 8 4" xfId="26239" xr:uid="{00000000-0005-0000-0000-0000261F0000}"/>
    <cellStyle name="Comma 10 3 8 4 2" xfId="41476" xr:uid="{00000000-0005-0000-0000-0000271F0000}"/>
    <cellStyle name="Comma 10 3 8 5" xfId="30452" xr:uid="{00000000-0005-0000-0000-0000281F0000}"/>
    <cellStyle name="Comma 10 3 8 5 2" xfId="41750" xr:uid="{00000000-0005-0000-0000-0000291F0000}"/>
    <cellStyle name="Comma 10 3 8 6" xfId="34667" xr:uid="{00000000-0005-0000-0000-00002A1F0000}"/>
    <cellStyle name="Comma 10 3 8 7" xfId="38871" xr:uid="{00000000-0005-0000-0000-00002B1F0000}"/>
    <cellStyle name="Comma 10 3 9" xfId="7942" xr:uid="{00000000-0005-0000-0000-00002C1F0000}"/>
    <cellStyle name="Comma 10 3 9 2" xfId="9899" xr:uid="{00000000-0005-0000-0000-00002D1F0000}"/>
    <cellStyle name="Comma 10 3 9 2 2" xfId="11925" xr:uid="{00000000-0005-0000-0000-00002E1F0000}"/>
    <cellStyle name="Comma 10 3 9 2 2 2" xfId="28586" xr:uid="{00000000-0005-0000-0000-00002F1F0000}"/>
    <cellStyle name="Comma 10 3 9 2 2 2 2" xfId="46255" xr:uid="{00000000-0005-0000-0000-0000301F0000}"/>
    <cellStyle name="Comma 10 3 9 2 2 3" xfId="32799" xr:uid="{00000000-0005-0000-0000-0000311F0000}"/>
    <cellStyle name="Comma 10 3 9 2 2 4" xfId="37014" xr:uid="{00000000-0005-0000-0000-0000321F0000}"/>
    <cellStyle name="Comma 10 3 9 2 2 5" xfId="41218" xr:uid="{00000000-0005-0000-0000-0000331F0000}"/>
    <cellStyle name="Comma 10 3 9 2 3" xfId="27386" xr:uid="{00000000-0005-0000-0000-0000341F0000}"/>
    <cellStyle name="Comma 10 3 9 2 3 2" xfId="42983" xr:uid="{00000000-0005-0000-0000-0000351F0000}"/>
    <cellStyle name="Comma 10 3 9 2 4" xfId="31599" xr:uid="{00000000-0005-0000-0000-0000361F0000}"/>
    <cellStyle name="Comma 10 3 9 2 5" xfId="35814" xr:uid="{00000000-0005-0000-0000-0000371F0000}"/>
    <cellStyle name="Comma 10 3 9 2 6" xfId="40018" xr:uid="{00000000-0005-0000-0000-0000381F0000}"/>
    <cellStyle name="Comma 10 3 9 3" xfId="10690" xr:uid="{00000000-0005-0000-0000-0000391F0000}"/>
    <cellStyle name="Comma 10 3 9 3 2" xfId="27851" xr:uid="{00000000-0005-0000-0000-00003A1F0000}"/>
    <cellStyle name="Comma 10 3 9 3 2 2" xfId="45530" xr:uid="{00000000-0005-0000-0000-00003B1F0000}"/>
    <cellStyle name="Comma 10 3 9 3 3" xfId="32064" xr:uid="{00000000-0005-0000-0000-00003C1F0000}"/>
    <cellStyle name="Comma 10 3 9 3 4" xfId="36279" xr:uid="{00000000-0005-0000-0000-00003D1F0000}"/>
    <cellStyle name="Comma 10 3 9 3 5" xfId="40483" xr:uid="{00000000-0005-0000-0000-00003E1F0000}"/>
    <cellStyle name="Comma 10 3 9 4" xfId="26240" xr:uid="{00000000-0005-0000-0000-00003F1F0000}"/>
    <cellStyle name="Comma 10 3 9 4 2" xfId="41477" xr:uid="{00000000-0005-0000-0000-0000401F0000}"/>
    <cellStyle name="Comma 10 3 9 5" xfId="30453" xr:uid="{00000000-0005-0000-0000-0000411F0000}"/>
    <cellStyle name="Comma 10 3 9 5 2" xfId="41751" xr:uid="{00000000-0005-0000-0000-0000421F0000}"/>
    <cellStyle name="Comma 10 3 9 6" xfId="34668" xr:uid="{00000000-0005-0000-0000-0000431F0000}"/>
    <cellStyle name="Comma 10 3 9 7" xfId="38872" xr:uid="{00000000-0005-0000-0000-0000441F0000}"/>
    <cellStyle name="Comma 10 4" xfId="7943" xr:uid="{00000000-0005-0000-0000-0000451F0000}"/>
    <cellStyle name="Comma 10 4 10" xfId="7944" xr:uid="{00000000-0005-0000-0000-0000461F0000}"/>
    <cellStyle name="Comma 10 4 10 2" xfId="9901" xr:uid="{00000000-0005-0000-0000-0000471F0000}"/>
    <cellStyle name="Comma 10 4 10 2 2" xfId="11927" xr:uid="{00000000-0005-0000-0000-0000481F0000}"/>
    <cellStyle name="Comma 10 4 10 2 2 2" xfId="28588" xr:uid="{00000000-0005-0000-0000-0000491F0000}"/>
    <cellStyle name="Comma 10 4 10 2 2 2 2" xfId="46257" xr:uid="{00000000-0005-0000-0000-00004A1F0000}"/>
    <cellStyle name="Comma 10 4 10 2 2 3" xfId="32801" xr:uid="{00000000-0005-0000-0000-00004B1F0000}"/>
    <cellStyle name="Comma 10 4 10 2 2 4" xfId="37016" xr:uid="{00000000-0005-0000-0000-00004C1F0000}"/>
    <cellStyle name="Comma 10 4 10 2 2 5" xfId="41220" xr:uid="{00000000-0005-0000-0000-00004D1F0000}"/>
    <cellStyle name="Comma 10 4 10 2 3" xfId="27388" xr:uid="{00000000-0005-0000-0000-00004E1F0000}"/>
    <cellStyle name="Comma 10 4 10 2 3 2" xfId="42985" xr:uid="{00000000-0005-0000-0000-00004F1F0000}"/>
    <cellStyle name="Comma 10 4 10 2 4" xfId="31601" xr:uid="{00000000-0005-0000-0000-0000501F0000}"/>
    <cellStyle name="Comma 10 4 10 2 5" xfId="35816" xr:uid="{00000000-0005-0000-0000-0000511F0000}"/>
    <cellStyle name="Comma 10 4 10 2 6" xfId="40020" xr:uid="{00000000-0005-0000-0000-0000521F0000}"/>
    <cellStyle name="Comma 10 4 10 3" xfId="10692" xr:uid="{00000000-0005-0000-0000-0000531F0000}"/>
    <cellStyle name="Comma 10 4 10 3 2" xfId="27853" xr:uid="{00000000-0005-0000-0000-0000541F0000}"/>
    <cellStyle name="Comma 10 4 10 3 2 2" xfId="45532" xr:uid="{00000000-0005-0000-0000-0000551F0000}"/>
    <cellStyle name="Comma 10 4 10 3 3" xfId="32066" xr:uid="{00000000-0005-0000-0000-0000561F0000}"/>
    <cellStyle name="Comma 10 4 10 3 4" xfId="36281" xr:uid="{00000000-0005-0000-0000-0000571F0000}"/>
    <cellStyle name="Comma 10 4 10 3 5" xfId="40485" xr:uid="{00000000-0005-0000-0000-0000581F0000}"/>
    <cellStyle name="Comma 10 4 10 4" xfId="26242" xr:uid="{00000000-0005-0000-0000-0000591F0000}"/>
    <cellStyle name="Comma 10 4 10 4 2" xfId="41479" xr:uid="{00000000-0005-0000-0000-00005A1F0000}"/>
    <cellStyle name="Comma 10 4 10 5" xfId="30455" xr:uid="{00000000-0005-0000-0000-00005B1F0000}"/>
    <cellStyle name="Comma 10 4 10 5 2" xfId="41753" xr:uid="{00000000-0005-0000-0000-00005C1F0000}"/>
    <cellStyle name="Comma 10 4 10 6" xfId="34670" xr:uid="{00000000-0005-0000-0000-00005D1F0000}"/>
    <cellStyle name="Comma 10 4 10 7" xfId="38874" xr:uid="{00000000-0005-0000-0000-00005E1F0000}"/>
    <cellStyle name="Comma 10 4 11" xfId="7945" xr:uid="{00000000-0005-0000-0000-00005F1F0000}"/>
    <cellStyle name="Comma 10 4 11 2" xfId="9902" xr:uid="{00000000-0005-0000-0000-0000601F0000}"/>
    <cellStyle name="Comma 10 4 11 2 2" xfId="11928" xr:uid="{00000000-0005-0000-0000-0000611F0000}"/>
    <cellStyle name="Comma 10 4 11 2 2 2" xfId="28589" xr:uid="{00000000-0005-0000-0000-0000621F0000}"/>
    <cellStyle name="Comma 10 4 11 2 2 2 2" xfId="46258" xr:uid="{00000000-0005-0000-0000-0000631F0000}"/>
    <cellStyle name="Comma 10 4 11 2 2 3" xfId="32802" xr:uid="{00000000-0005-0000-0000-0000641F0000}"/>
    <cellStyle name="Comma 10 4 11 2 2 4" xfId="37017" xr:uid="{00000000-0005-0000-0000-0000651F0000}"/>
    <cellStyle name="Comma 10 4 11 2 2 5" xfId="41221" xr:uid="{00000000-0005-0000-0000-0000661F0000}"/>
    <cellStyle name="Comma 10 4 11 2 3" xfId="27389" xr:uid="{00000000-0005-0000-0000-0000671F0000}"/>
    <cellStyle name="Comma 10 4 11 2 3 2" xfId="42986" xr:uid="{00000000-0005-0000-0000-0000681F0000}"/>
    <cellStyle name="Comma 10 4 11 2 4" xfId="31602" xr:uid="{00000000-0005-0000-0000-0000691F0000}"/>
    <cellStyle name="Comma 10 4 11 2 5" xfId="35817" xr:uid="{00000000-0005-0000-0000-00006A1F0000}"/>
    <cellStyle name="Comma 10 4 11 2 6" xfId="40021" xr:uid="{00000000-0005-0000-0000-00006B1F0000}"/>
    <cellStyle name="Comma 10 4 11 3" xfId="10693" xr:uid="{00000000-0005-0000-0000-00006C1F0000}"/>
    <cellStyle name="Comma 10 4 11 3 2" xfId="27854" xr:uid="{00000000-0005-0000-0000-00006D1F0000}"/>
    <cellStyle name="Comma 10 4 11 3 2 2" xfId="45533" xr:uid="{00000000-0005-0000-0000-00006E1F0000}"/>
    <cellStyle name="Comma 10 4 11 3 3" xfId="32067" xr:uid="{00000000-0005-0000-0000-00006F1F0000}"/>
    <cellStyle name="Comma 10 4 11 3 4" xfId="36282" xr:uid="{00000000-0005-0000-0000-0000701F0000}"/>
    <cellStyle name="Comma 10 4 11 3 5" xfId="40486" xr:uid="{00000000-0005-0000-0000-0000711F0000}"/>
    <cellStyle name="Comma 10 4 11 4" xfId="26243" xr:uid="{00000000-0005-0000-0000-0000721F0000}"/>
    <cellStyle name="Comma 10 4 11 4 2" xfId="41480" xr:uid="{00000000-0005-0000-0000-0000731F0000}"/>
    <cellStyle name="Comma 10 4 11 5" xfId="30456" xr:uid="{00000000-0005-0000-0000-0000741F0000}"/>
    <cellStyle name="Comma 10 4 11 5 2" xfId="41754" xr:uid="{00000000-0005-0000-0000-0000751F0000}"/>
    <cellStyle name="Comma 10 4 11 6" xfId="34671" xr:uid="{00000000-0005-0000-0000-0000761F0000}"/>
    <cellStyle name="Comma 10 4 11 7" xfId="38875" xr:uid="{00000000-0005-0000-0000-0000771F0000}"/>
    <cellStyle name="Comma 10 4 12" xfId="7946" xr:uid="{00000000-0005-0000-0000-0000781F0000}"/>
    <cellStyle name="Comma 10 4 12 2" xfId="9903" xr:uid="{00000000-0005-0000-0000-0000791F0000}"/>
    <cellStyle name="Comma 10 4 12 2 2" xfId="11929" xr:uid="{00000000-0005-0000-0000-00007A1F0000}"/>
    <cellStyle name="Comma 10 4 12 2 2 2" xfId="28590" xr:uid="{00000000-0005-0000-0000-00007B1F0000}"/>
    <cellStyle name="Comma 10 4 12 2 2 2 2" xfId="46259" xr:uid="{00000000-0005-0000-0000-00007C1F0000}"/>
    <cellStyle name="Comma 10 4 12 2 2 3" xfId="32803" xr:uid="{00000000-0005-0000-0000-00007D1F0000}"/>
    <cellStyle name="Comma 10 4 12 2 2 4" xfId="37018" xr:uid="{00000000-0005-0000-0000-00007E1F0000}"/>
    <cellStyle name="Comma 10 4 12 2 2 5" xfId="41222" xr:uid="{00000000-0005-0000-0000-00007F1F0000}"/>
    <cellStyle name="Comma 10 4 12 2 3" xfId="27390" xr:uid="{00000000-0005-0000-0000-0000801F0000}"/>
    <cellStyle name="Comma 10 4 12 2 3 2" xfId="42987" xr:uid="{00000000-0005-0000-0000-0000811F0000}"/>
    <cellStyle name="Comma 10 4 12 2 4" xfId="31603" xr:uid="{00000000-0005-0000-0000-0000821F0000}"/>
    <cellStyle name="Comma 10 4 12 2 5" xfId="35818" xr:uid="{00000000-0005-0000-0000-0000831F0000}"/>
    <cellStyle name="Comma 10 4 12 2 6" xfId="40022" xr:uid="{00000000-0005-0000-0000-0000841F0000}"/>
    <cellStyle name="Comma 10 4 12 3" xfId="10694" xr:uid="{00000000-0005-0000-0000-0000851F0000}"/>
    <cellStyle name="Comma 10 4 12 3 2" xfId="27855" xr:uid="{00000000-0005-0000-0000-0000861F0000}"/>
    <cellStyle name="Comma 10 4 12 3 2 2" xfId="45534" xr:uid="{00000000-0005-0000-0000-0000871F0000}"/>
    <cellStyle name="Comma 10 4 12 3 3" xfId="32068" xr:uid="{00000000-0005-0000-0000-0000881F0000}"/>
    <cellStyle name="Comma 10 4 12 3 4" xfId="36283" xr:uid="{00000000-0005-0000-0000-0000891F0000}"/>
    <cellStyle name="Comma 10 4 12 3 5" xfId="40487" xr:uid="{00000000-0005-0000-0000-00008A1F0000}"/>
    <cellStyle name="Comma 10 4 12 4" xfId="26244" xr:uid="{00000000-0005-0000-0000-00008B1F0000}"/>
    <cellStyle name="Comma 10 4 12 4 2" xfId="41481" xr:uid="{00000000-0005-0000-0000-00008C1F0000}"/>
    <cellStyle name="Comma 10 4 12 5" xfId="30457" xr:uid="{00000000-0005-0000-0000-00008D1F0000}"/>
    <cellStyle name="Comma 10 4 12 5 2" xfId="41755" xr:uid="{00000000-0005-0000-0000-00008E1F0000}"/>
    <cellStyle name="Comma 10 4 12 6" xfId="34672" xr:uid="{00000000-0005-0000-0000-00008F1F0000}"/>
    <cellStyle name="Comma 10 4 12 7" xfId="38876" xr:uid="{00000000-0005-0000-0000-0000901F0000}"/>
    <cellStyle name="Comma 10 4 13" xfId="7947" xr:uid="{00000000-0005-0000-0000-0000911F0000}"/>
    <cellStyle name="Comma 10 4 13 2" xfId="9904" xr:uid="{00000000-0005-0000-0000-0000921F0000}"/>
    <cellStyle name="Comma 10 4 13 2 2" xfId="11930" xr:uid="{00000000-0005-0000-0000-0000931F0000}"/>
    <cellStyle name="Comma 10 4 13 2 2 2" xfId="28591" xr:uid="{00000000-0005-0000-0000-0000941F0000}"/>
    <cellStyle name="Comma 10 4 13 2 2 2 2" xfId="46260" xr:uid="{00000000-0005-0000-0000-0000951F0000}"/>
    <cellStyle name="Comma 10 4 13 2 2 3" xfId="32804" xr:uid="{00000000-0005-0000-0000-0000961F0000}"/>
    <cellStyle name="Comma 10 4 13 2 2 4" xfId="37019" xr:uid="{00000000-0005-0000-0000-0000971F0000}"/>
    <cellStyle name="Comma 10 4 13 2 2 5" xfId="41223" xr:uid="{00000000-0005-0000-0000-0000981F0000}"/>
    <cellStyle name="Comma 10 4 13 2 3" xfId="27391" xr:uid="{00000000-0005-0000-0000-0000991F0000}"/>
    <cellStyle name="Comma 10 4 13 2 3 2" xfId="42988" xr:uid="{00000000-0005-0000-0000-00009A1F0000}"/>
    <cellStyle name="Comma 10 4 13 2 4" xfId="31604" xr:uid="{00000000-0005-0000-0000-00009B1F0000}"/>
    <cellStyle name="Comma 10 4 13 2 5" xfId="35819" xr:uid="{00000000-0005-0000-0000-00009C1F0000}"/>
    <cellStyle name="Comma 10 4 13 2 6" xfId="40023" xr:uid="{00000000-0005-0000-0000-00009D1F0000}"/>
    <cellStyle name="Comma 10 4 13 3" xfId="10695" xr:uid="{00000000-0005-0000-0000-00009E1F0000}"/>
    <cellStyle name="Comma 10 4 13 3 2" xfId="27856" xr:uid="{00000000-0005-0000-0000-00009F1F0000}"/>
    <cellStyle name="Comma 10 4 13 3 2 2" xfId="45535" xr:uid="{00000000-0005-0000-0000-0000A01F0000}"/>
    <cellStyle name="Comma 10 4 13 3 3" xfId="32069" xr:uid="{00000000-0005-0000-0000-0000A11F0000}"/>
    <cellStyle name="Comma 10 4 13 3 4" xfId="36284" xr:uid="{00000000-0005-0000-0000-0000A21F0000}"/>
    <cellStyle name="Comma 10 4 13 3 5" xfId="40488" xr:uid="{00000000-0005-0000-0000-0000A31F0000}"/>
    <cellStyle name="Comma 10 4 13 4" xfId="26245" xr:uid="{00000000-0005-0000-0000-0000A41F0000}"/>
    <cellStyle name="Comma 10 4 13 4 2" xfId="41482" xr:uid="{00000000-0005-0000-0000-0000A51F0000}"/>
    <cellStyle name="Comma 10 4 13 5" xfId="30458" xr:uid="{00000000-0005-0000-0000-0000A61F0000}"/>
    <cellStyle name="Comma 10 4 13 5 2" xfId="41756" xr:uid="{00000000-0005-0000-0000-0000A71F0000}"/>
    <cellStyle name="Comma 10 4 13 6" xfId="34673" xr:uid="{00000000-0005-0000-0000-0000A81F0000}"/>
    <cellStyle name="Comma 10 4 13 7" xfId="38877" xr:uid="{00000000-0005-0000-0000-0000A91F0000}"/>
    <cellStyle name="Comma 10 4 14" xfId="7948" xr:uid="{00000000-0005-0000-0000-0000AA1F0000}"/>
    <cellStyle name="Comma 10 4 14 2" xfId="9905" xr:uid="{00000000-0005-0000-0000-0000AB1F0000}"/>
    <cellStyle name="Comma 10 4 14 2 2" xfId="11931" xr:uid="{00000000-0005-0000-0000-0000AC1F0000}"/>
    <cellStyle name="Comma 10 4 14 2 2 2" xfId="28592" xr:uid="{00000000-0005-0000-0000-0000AD1F0000}"/>
    <cellStyle name="Comma 10 4 14 2 2 2 2" xfId="46261" xr:uid="{00000000-0005-0000-0000-0000AE1F0000}"/>
    <cellStyle name="Comma 10 4 14 2 2 3" xfId="32805" xr:uid="{00000000-0005-0000-0000-0000AF1F0000}"/>
    <cellStyle name="Comma 10 4 14 2 2 4" xfId="37020" xr:uid="{00000000-0005-0000-0000-0000B01F0000}"/>
    <cellStyle name="Comma 10 4 14 2 2 5" xfId="41224" xr:uid="{00000000-0005-0000-0000-0000B11F0000}"/>
    <cellStyle name="Comma 10 4 14 2 3" xfId="27392" xr:uid="{00000000-0005-0000-0000-0000B21F0000}"/>
    <cellStyle name="Comma 10 4 14 2 3 2" xfId="42989" xr:uid="{00000000-0005-0000-0000-0000B31F0000}"/>
    <cellStyle name="Comma 10 4 14 2 4" xfId="31605" xr:uid="{00000000-0005-0000-0000-0000B41F0000}"/>
    <cellStyle name="Comma 10 4 14 2 5" xfId="35820" xr:uid="{00000000-0005-0000-0000-0000B51F0000}"/>
    <cellStyle name="Comma 10 4 14 2 6" xfId="40024" xr:uid="{00000000-0005-0000-0000-0000B61F0000}"/>
    <cellStyle name="Comma 10 4 14 3" xfId="10696" xr:uid="{00000000-0005-0000-0000-0000B71F0000}"/>
    <cellStyle name="Comma 10 4 14 3 2" xfId="27857" xr:uid="{00000000-0005-0000-0000-0000B81F0000}"/>
    <cellStyle name="Comma 10 4 14 3 2 2" xfId="45536" xr:uid="{00000000-0005-0000-0000-0000B91F0000}"/>
    <cellStyle name="Comma 10 4 14 3 3" xfId="32070" xr:uid="{00000000-0005-0000-0000-0000BA1F0000}"/>
    <cellStyle name="Comma 10 4 14 3 4" xfId="36285" xr:uid="{00000000-0005-0000-0000-0000BB1F0000}"/>
    <cellStyle name="Comma 10 4 14 3 5" xfId="40489" xr:uid="{00000000-0005-0000-0000-0000BC1F0000}"/>
    <cellStyle name="Comma 10 4 14 4" xfId="26246" xr:uid="{00000000-0005-0000-0000-0000BD1F0000}"/>
    <cellStyle name="Comma 10 4 14 4 2" xfId="41483" xr:uid="{00000000-0005-0000-0000-0000BE1F0000}"/>
    <cellStyle name="Comma 10 4 14 5" xfId="30459" xr:uid="{00000000-0005-0000-0000-0000BF1F0000}"/>
    <cellStyle name="Comma 10 4 14 5 2" xfId="41757" xr:uid="{00000000-0005-0000-0000-0000C01F0000}"/>
    <cellStyle name="Comma 10 4 14 6" xfId="34674" xr:uid="{00000000-0005-0000-0000-0000C11F0000}"/>
    <cellStyle name="Comma 10 4 14 7" xfId="38878" xr:uid="{00000000-0005-0000-0000-0000C21F0000}"/>
    <cellStyle name="Comma 10 4 15" xfId="7949" xr:uid="{00000000-0005-0000-0000-0000C31F0000}"/>
    <cellStyle name="Comma 10 4 15 2" xfId="9906" xr:uid="{00000000-0005-0000-0000-0000C41F0000}"/>
    <cellStyle name="Comma 10 4 15 2 2" xfId="11932" xr:uid="{00000000-0005-0000-0000-0000C51F0000}"/>
    <cellStyle name="Comma 10 4 15 2 2 2" xfId="28593" xr:uid="{00000000-0005-0000-0000-0000C61F0000}"/>
    <cellStyle name="Comma 10 4 15 2 2 2 2" xfId="46262" xr:uid="{00000000-0005-0000-0000-0000C71F0000}"/>
    <cellStyle name="Comma 10 4 15 2 2 3" xfId="32806" xr:uid="{00000000-0005-0000-0000-0000C81F0000}"/>
    <cellStyle name="Comma 10 4 15 2 2 4" xfId="37021" xr:uid="{00000000-0005-0000-0000-0000C91F0000}"/>
    <cellStyle name="Comma 10 4 15 2 2 5" xfId="41225" xr:uid="{00000000-0005-0000-0000-0000CA1F0000}"/>
    <cellStyle name="Comma 10 4 15 2 3" xfId="27393" xr:uid="{00000000-0005-0000-0000-0000CB1F0000}"/>
    <cellStyle name="Comma 10 4 15 2 3 2" xfId="42990" xr:uid="{00000000-0005-0000-0000-0000CC1F0000}"/>
    <cellStyle name="Comma 10 4 15 2 4" xfId="31606" xr:uid="{00000000-0005-0000-0000-0000CD1F0000}"/>
    <cellStyle name="Comma 10 4 15 2 5" xfId="35821" xr:uid="{00000000-0005-0000-0000-0000CE1F0000}"/>
    <cellStyle name="Comma 10 4 15 2 6" xfId="40025" xr:uid="{00000000-0005-0000-0000-0000CF1F0000}"/>
    <cellStyle name="Comma 10 4 15 3" xfId="10697" xr:uid="{00000000-0005-0000-0000-0000D01F0000}"/>
    <cellStyle name="Comma 10 4 15 3 2" xfId="27858" xr:uid="{00000000-0005-0000-0000-0000D11F0000}"/>
    <cellStyle name="Comma 10 4 15 3 2 2" xfId="45537" xr:uid="{00000000-0005-0000-0000-0000D21F0000}"/>
    <cellStyle name="Comma 10 4 15 3 3" xfId="32071" xr:uid="{00000000-0005-0000-0000-0000D31F0000}"/>
    <cellStyle name="Comma 10 4 15 3 4" xfId="36286" xr:uid="{00000000-0005-0000-0000-0000D41F0000}"/>
    <cellStyle name="Comma 10 4 15 3 5" xfId="40490" xr:uid="{00000000-0005-0000-0000-0000D51F0000}"/>
    <cellStyle name="Comma 10 4 15 4" xfId="26247" xr:uid="{00000000-0005-0000-0000-0000D61F0000}"/>
    <cellStyle name="Comma 10 4 15 4 2" xfId="41484" xr:uid="{00000000-0005-0000-0000-0000D71F0000}"/>
    <cellStyle name="Comma 10 4 15 5" xfId="30460" xr:uid="{00000000-0005-0000-0000-0000D81F0000}"/>
    <cellStyle name="Comma 10 4 15 5 2" xfId="41758" xr:uid="{00000000-0005-0000-0000-0000D91F0000}"/>
    <cellStyle name="Comma 10 4 15 6" xfId="34675" xr:uid="{00000000-0005-0000-0000-0000DA1F0000}"/>
    <cellStyle name="Comma 10 4 15 7" xfId="38879" xr:uid="{00000000-0005-0000-0000-0000DB1F0000}"/>
    <cellStyle name="Comma 10 4 16" xfId="7950" xr:uid="{00000000-0005-0000-0000-0000DC1F0000}"/>
    <cellStyle name="Comma 10 4 16 2" xfId="9907" xr:uid="{00000000-0005-0000-0000-0000DD1F0000}"/>
    <cellStyle name="Comma 10 4 16 2 2" xfId="11933" xr:uid="{00000000-0005-0000-0000-0000DE1F0000}"/>
    <cellStyle name="Comma 10 4 16 2 2 2" xfId="28594" xr:uid="{00000000-0005-0000-0000-0000DF1F0000}"/>
    <cellStyle name="Comma 10 4 16 2 2 2 2" xfId="46263" xr:uid="{00000000-0005-0000-0000-0000E01F0000}"/>
    <cellStyle name="Comma 10 4 16 2 2 3" xfId="32807" xr:uid="{00000000-0005-0000-0000-0000E11F0000}"/>
    <cellStyle name="Comma 10 4 16 2 2 4" xfId="37022" xr:uid="{00000000-0005-0000-0000-0000E21F0000}"/>
    <cellStyle name="Comma 10 4 16 2 2 5" xfId="41226" xr:uid="{00000000-0005-0000-0000-0000E31F0000}"/>
    <cellStyle name="Comma 10 4 16 2 3" xfId="27394" xr:uid="{00000000-0005-0000-0000-0000E41F0000}"/>
    <cellStyle name="Comma 10 4 16 2 3 2" xfId="42991" xr:uid="{00000000-0005-0000-0000-0000E51F0000}"/>
    <cellStyle name="Comma 10 4 16 2 4" xfId="31607" xr:uid="{00000000-0005-0000-0000-0000E61F0000}"/>
    <cellStyle name="Comma 10 4 16 2 5" xfId="35822" xr:uid="{00000000-0005-0000-0000-0000E71F0000}"/>
    <cellStyle name="Comma 10 4 16 2 6" xfId="40026" xr:uid="{00000000-0005-0000-0000-0000E81F0000}"/>
    <cellStyle name="Comma 10 4 16 3" xfId="10698" xr:uid="{00000000-0005-0000-0000-0000E91F0000}"/>
    <cellStyle name="Comma 10 4 16 3 2" xfId="27859" xr:uid="{00000000-0005-0000-0000-0000EA1F0000}"/>
    <cellStyle name="Comma 10 4 16 3 2 2" xfId="45538" xr:uid="{00000000-0005-0000-0000-0000EB1F0000}"/>
    <cellStyle name="Comma 10 4 16 3 3" xfId="32072" xr:uid="{00000000-0005-0000-0000-0000EC1F0000}"/>
    <cellStyle name="Comma 10 4 16 3 4" xfId="36287" xr:uid="{00000000-0005-0000-0000-0000ED1F0000}"/>
    <cellStyle name="Comma 10 4 16 3 5" xfId="40491" xr:uid="{00000000-0005-0000-0000-0000EE1F0000}"/>
    <cellStyle name="Comma 10 4 16 4" xfId="26248" xr:uid="{00000000-0005-0000-0000-0000EF1F0000}"/>
    <cellStyle name="Comma 10 4 16 4 2" xfId="41485" xr:uid="{00000000-0005-0000-0000-0000F01F0000}"/>
    <cellStyle name="Comma 10 4 16 5" xfId="30461" xr:uid="{00000000-0005-0000-0000-0000F11F0000}"/>
    <cellStyle name="Comma 10 4 16 5 2" xfId="41759" xr:uid="{00000000-0005-0000-0000-0000F21F0000}"/>
    <cellStyle name="Comma 10 4 16 6" xfId="34676" xr:uid="{00000000-0005-0000-0000-0000F31F0000}"/>
    <cellStyle name="Comma 10 4 16 7" xfId="38880" xr:uid="{00000000-0005-0000-0000-0000F41F0000}"/>
    <cellStyle name="Comma 10 4 17" xfId="7951" xr:uid="{00000000-0005-0000-0000-0000F51F0000}"/>
    <cellStyle name="Comma 10 4 17 2" xfId="9908" xr:uid="{00000000-0005-0000-0000-0000F61F0000}"/>
    <cellStyle name="Comma 10 4 17 2 2" xfId="11934" xr:uid="{00000000-0005-0000-0000-0000F71F0000}"/>
    <cellStyle name="Comma 10 4 17 2 2 2" xfId="28595" xr:uid="{00000000-0005-0000-0000-0000F81F0000}"/>
    <cellStyle name="Comma 10 4 17 2 2 2 2" xfId="46264" xr:uid="{00000000-0005-0000-0000-0000F91F0000}"/>
    <cellStyle name="Comma 10 4 17 2 2 3" xfId="32808" xr:uid="{00000000-0005-0000-0000-0000FA1F0000}"/>
    <cellStyle name="Comma 10 4 17 2 2 4" xfId="37023" xr:uid="{00000000-0005-0000-0000-0000FB1F0000}"/>
    <cellStyle name="Comma 10 4 17 2 2 5" xfId="41227" xr:uid="{00000000-0005-0000-0000-0000FC1F0000}"/>
    <cellStyle name="Comma 10 4 17 2 3" xfId="27395" xr:uid="{00000000-0005-0000-0000-0000FD1F0000}"/>
    <cellStyle name="Comma 10 4 17 2 3 2" xfId="42992" xr:uid="{00000000-0005-0000-0000-0000FE1F0000}"/>
    <cellStyle name="Comma 10 4 17 2 4" xfId="31608" xr:uid="{00000000-0005-0000-0000-0000FF1F0000}"/>
    <cellStyle name="Comma 10 4 17 2 5" xfId="35823" xr:uid="{00000000-0005-0000-0000-000000200000}"/>
    <cellStyle name="Comma 10 4 17 2 6" xfId="40027" xr:uid="{00000000-0005-0000-0000-000001200000}"/>
    <cellStyle name="Comma 10 4 17 3" xfId="10699" xr:uid="{00000000-0005-0000-0000-000002200000}"/>
    <cellStyle name="Comma 10 4 17 3 2" xfId="27860" xr:uid="{00000000-0005-0000-0000-000003200000}"/>
    <cellStyle name="Comma 10 4 17 3 2 2" xfId="45539" xr:uid="{00000000-0005-0000-0000-000004200000}"/>
    <cellStyle name="Comma 10 4 17 3 3" xfId="32073" xr:uid="{00000000-0005-0000-0000-000005200000}"/>
    <cellStyle name="Comma 10 4 17 3 4" xfId="36288" xr:uid="{00000000-0005-0000-0000-000006200000}"/>
    <cellStyle name="Comma 10 4 17 3 5" xfId="40492" xr:uid="{00000000-0005-0000-0000-000007200000}"/>
    <cellStyle name="Comma 10 4 17 4" xfId="26249" xr:uid="{00000000-0005-0000-0000-000008200000}"/>
    <cellStyle name="Comma 10 4 17 4 2" xfId="41486" xr:uid="{00000000-0005-0000-0000-000009200000}"/>
    <cellStyle name="Comma 10 4 17 5" xfId="30462" xr:uid="{00000000-0005-0000-0000-00000A200000}"/>
    <cellStyle name="Comma 10 4 17 5 2" xfId="41760" xr:uid="{00000000-0005-0000-0000-00000B200000}"/>
    <cellStyle name="Comma 10 4 17 6" xfId="34677" xr:uid="{00000000-0005-0000-0000-00000C200000}"/>
    <cellStyle name="Comma 10 4 17 7" xfId="38881" xr:uid="{00000000-0005-0000-0000-00000D200000}"/>
    <cellStyle name="Comma 10 4 18" xfId="9900" xr:uid="{00000000-0005-0000-0000-00000E200000}"/>
    <cellStyle name="Comma 10 4 18 2" xfId="11926" xr:uid="{00000000-0005-0000-0000-00000F200000}"/>
    <cellStyle name="Comma 10 4 18 2 2" xfId="28587" xr:uid="{00000000-0005-0000-0000-000010200000}"/>
    <cellStyle name="Comma 10 4 18 2 2 2" xfId="46256" xr:uid="{00000000-0005-0000-0000-000011200000}"/>
    <cellStyle name="Comma 10 4 18 2 3" xfId="32800" xr:uid="{00000000-0005-0000-0000-000012200000}"/>
    <cellStyle name="Comma 10 4 18 2 4" xfId="37015" xr:uid="{00000000-0005-0000-0000-000013200000}"/>
    <cellStyle name="Comma 10 4 18 2 5" xfId="41219" xr:uid="{00000000-0005-0000-0000-000014200000}"/>
    <cellStyle name="Comma 10 4 18 3" xfId="27387" xr:uid="{00000000-0005-0000-0000-000015200000}"/>
    <cellStyle name="Comma 10 4 18 3 2" xfId="42984" xr:uid="{00000000-0005-0000-0000-000016200000}"/>
    <cellStyle name="Comma 10 4 18 4" xfId="31600" xr:uid="{00000000-0005-0000-0000-000017200000}"/>
    <cellStyle name="Comma 10 4 18 5" xfId="35815" xr:uid="{00000000-0005-0000-0000-000018200000}"/>
    <cellStyle name="Comma 10 4 18 6" xfId="40019" xr:uid="{00000000-0005-0000-0000-000019200000}"/>
    <cellStyle name="Comma 10 4 19" xfId="10691" xr:uid="{00000000-0005-0000-0000-00001A200000}"/>
    <cellStyle name="Comma 10 4 19 2" xfId="27852" xr:uid="{00000000-0005-0000-0000-00001B200000}"/>
    <cellStyle name="Comma 10 4 19 2 2" xfId="45531" xr:uid="{00000000-0005-0000-0000-00001C200000}"/>
    <cellStyle name="Comma 10 4 19 3" xfId="32065" xr:uid="{00000000-0005-0000-0000-00001D200000}"/>
    <cellStyle name="Comma 10 4 19 4" xfId="36280" xr:uid="{00000000-0005-0000-0000-00001E200000}"/>
    <cellStyle name="Comma 10 4 19 5" xfId="40484" xr:uid="{00000000-0005-0000-0000-00001F200000}"/>
    <cellStyle name="Comma 10 4 2" xfId="7952" xr:uid="{00000000-0005-0000-0000-000020200000}"/>
    <cellStyle name="Comma 10 4 2 2" xfId="9909" xr:uid="{00000000-0005-0000-0000-000021200000}"/>
    <cellStyle name="Comma 10 4 2 2 2" xfId="11935" xr:uid="{00000000-0005-0000-0000-000022200000}"/>
    <cellStyle name="Comma 10 4 2 2 2 2" xfId="28596" xr:uid="{00000000-0005-0000-0000-000023200000}"/>
    <cellStyle name="Comma 10 4 2 2 2 2 2" xfId="46265" xr:uid="{00000000-0005-0000-0000-000024200000}"/>
    <cellStyle name="Comma 10 4 2 2 2 3" xfId="32809" xr:uid="{00000000-0005-0000-0000-000025200000}"/>
    <cellStyle name="Comma 10 4 2 2 2 4" xfId="37024" xr:uid="{00000000-0005-0000-0000-000026200000}"/>
    <cellStyle name="Comma 10 4 2 2 2 5" xfId="41228" xr:uid="{00000000-0005-0000-0000-000027200000}"/>
    <cellStyle name="Comma 10 4 2 2 3" xfId="27396" xr:uid="{00000000-0005-0000-0000-000028200000}"/>
    <cellStyle name="Comma 10 4 2 2 3 2" xfId="42993" xr:uid="{00000000-0005-0000-0000-000029200000}"/>
    <cellStyle name="Comma 10 4 2 2 4" xfId="31609" xr:uid="{00000000-0005-0000-0000-00002A200000}"/>
    <cellStyle name="Comma 10 4 2 2 5" xfId="35824" xr:uid="{00000000-0005-0000-0000-00002B200000}"/>
    <cellStyle name="Comma 10 4 2 2 6" xfId="40028" xr:uid="{00000000-0005-0000-0000-00002C200000}"/>
    <cellStyle name="Comma 10 4 2 3" xfId="10700" xr:uid="{00000000-0005-0000-0000-00002D200000}"/>
    <cellStyle name="Comma 10 4 2 3 2" xfId="27861" xr:uid="{00000000-0005-0000-0000-00002E200000}"/>
    <cellStyle name="Comma 10 4 2 3 2 2" xfId="45540" xr:uid="{00000000-0005-0000-0000-00002F200000}"/>
    <cellStyle name="Comma 10 4 2 3 3" xfId="32074" xr:uid="{00000000-0005-0000-0000-000030200000}"/>
    <cellStyle name="Comma 10 4 2 3 4" xfId="36289" xr:uid="{00000000-0005-0000-0000-000031200000}"/>
    <cellStyle name="Comma 10 4 2 3 5" xfId="40493" xr:uid="{00000000-0005-0000-0000-000032200000}"/>
    <cellStyle name="Comma 10 4 2 4" xfId="26250" xr:uid="{00000000-0005-0000-0000-000033200000}"/>
    <cellStyle name="Comma 10 4 2 4 2" xfId="41487" xr:uid="{00000000-0005-0000-0000-000034200000}"/>
    <cellStyle name="Comma 10 4 2 5" xfId="30463" xr:uid="{00000000-0005-0000-0000-000035200000}"/>
    <cellStyle name="Comma 10 4 2 5 2" xfId="41761" xr:uid="{00000000-0005-0000-0000-000036200000}"/>
    <cellStyle name="Comma 10 4 2 6" xfId="34678" xr:uid="{00000000-0005-0000-0000-000037200000}"/>
    <cellStyle name="Comma 10 4 2 7" xfId="38882" xr:uid="{00000000-0005-0000-0000-000038200000}"/>
    <cellStyle name="Comma 10 4 20" xfId="26241" xr:uid="{00000000-0005-0000-0000-000039200000}"/>
    <cellStyle name="Comma 10 4 20 2" xfId="41478" xr:uid="{00000000-0005-0000-0000-00003A200000}"/>
    <cellStyle name="Comma 10 4 21" xfId="30454" xr:uid="{00000000-0005-0000-0000-00003B200000}"/>
    <cellStyle name="Comma 10 4 21 2" xfId="41752" xr:uid="{00000000-0005-0000-0000-00003C200000}"/>
    <cellStyle name="Comma 10 4 22" xfId="34669" xr:uid="{00000000-0005-0000-0000-00003D200000}"/>
    <cellStyle name="Comma 10 4 23" xfId="38873" xr:uid="{00000000-0005-0000-0000-00003E200000}"/>
    <cellStyle name="Comma 10 4 3" xfId="7953" xr:uid="{00000000-0005-0000-0000-00003F200000}"/>
    <cellStyle name="Comma 10 4 3 2" xfId="9910" xr:uid="{00000000-0005-0000-0000-000040200000}"/>
    <cellStyle name="Comma 10 4 3 2 2" xfId="11936" xr:uid="{00000000-0005-0000-0000-000041200000}"/>
    <cellStyle name="Comma 10 4 3 2 2 2" xfId="28597" xr:uid="{00000000-0005-0000-0000-000042200000}"/>
    <cellStyle name="Comma 10 4 3 2 2 2 2" xfId="46266" xr:uid="{00000000-0005-0000-0000-000043200000}"/>
    <cellStyle name="Comma 10 4 3 2 2 3" xfId="32810" xr:uid="{00000000-0005-0000-0000-000044200000}"/>
    <cellStyle name="Comma 10 4 3 2 2 4" xfId="37025" xr:uid="{00000000-0005-0000-0000-000045200000}"/>
    <cellStyle name="Comma 10 4 3 2 2 5" xfId="41229" xr:uid="{00000000-0005-0000-0000-000046200000}"/>
    <cellStyle name="Comma 10 4 3 2 3" xfId="27397" xr:uid="{00000000-0005-0000-0000-000047200000}"/>
    <cellStyle name="Comma 10 4 3 2 3 2" xfId="42994" xr:uid="{00000000-0005-0000-0000-000048200000}"/>
    <cellStyle name="Comma 10 4 3 2 4" xfId="31610" xr:uid="{00000000-0005-0000-0000-000049200000}"/>
    <cellStyle name="Comma 10 4 3 2 5" xfId="35825" xr:uid="{00000000-0005-0000-0000-00004A200000}"/>
    <cellStyle name="Comma 10 4 3 2 6" xfId="40029" xr:uid="{00000000-0005-0000-0000-00004B200000}"/>
    <cellStyle name="Comma 10 4 3 3" xfId="10701" xr:uid="{00000000-0005-0000-0000-00004C200000}"/>
    <cellStyle name="Comma 10 4 3 3 2" xfId="27862" xr:uid="{00000000-0005-0000-0000-00004D200000}"/>
    <cellStyle name="Comma 10 4 3 3 2 2" xfId="45541" xr:uid="{00000000-0005-0000-0000-00004E200000}"/>
    <cellStyle name="Comma 10 4 3 3 3" xfId="32075" xr:uid="{00000000-0005-0000-0000-00004F200000}"/>
    <cellStyle name="Comma 10 4 3 3 4" xfId="36290" xr:uid="{00000000-0005-0000-0000-000050200000}"/>
    <cellStyle name="Comma 10 4 3 3 5" xfId="40494" xr:uid="{00000000-0005-0000-0000-000051200000}"/>
    <cellStyle name="Comma 10 4 3 4" xfId="26251" xr:uid="{00000000-0005-0000-0000-000052200000}"/>
    <cellStyle name="Comma 10 4 3 4 2" xfId="41488" xr:uid="{00000000-0005-0000-0000-000053200000}"/>
    <cellStyle name="Comma 10 4 3 5" xfId="30464" xr:uid="{00000000-0005-0000-0000-000054200000}"/>
    <cellStyle name="Comma 10 4 3 5 2" xfId="41762" xr:uid="{00000000-0005-0000-0000-000055200000}"/>
    <cellStyle name="Comma 10 4 3 6" xfId="34679" xr:uid="{00000000-0005-0000-0000-000056200000}"/>
    <cellStyle name="Comma 10 4 3 7" xfId="38883" xr:uid="{00000000-0005-0000-0000-000057200000}"/>
    <cellStyle name="Comma 10 4 4" xfId="7954" xr:uid="{00000000-0005-0000-0000-000058200000}"/>
    <cellStyle name="Comma 10 4 4 2" xfId="9911" xr:uid="{00000000-0005-0000-0000-000059200000}"/>
    <cellStyle name="Comma 10 4 4 2 2" xfId="11937" xr:uid="{00000000-0005-0000-0000-00005A200000}"/>
    <cellStyle name="Comma 10 4 4 2 2 2" xfId="28598" xr:uid="{00000000-0005-0000-0000-00005B200000}"/>
    <cellStyle name="Comma 10 4 4 2 2 2 2" xfId="46267" xr:uid="{00000000-0005-0000-0000-00005C200000}"/>
    <cellStyle name="Comma 10 4 4 2 2 3" xfId="32811" xr:uid="{00000000-0005-0000-0000-00005D200000}"/>
    <cellStyle name="Comma 10 4 4 2 2 4" xfId="37026" xr:uid="{00000000-0005-0000-0000-00005E200000}"/>
    <cellStyle name="Comma 10 4 4 2 2 5" xfId="41230" xr:uid="{00000000-0005-0000-0000-00005F200000}"/>
    <cellStyle name="Comma 10 4 4 2 3" xfId="27398" xr:uid="{00000000-0005-0000-0000-000060200000}"/>
    <cellStyle name="Comma 10 4 4 2 3 2" xfId="42995" xr:uid="{00000000-0005-0000-0000-000061200000}"/>
    <cellStyle name="Comma 10 4 4 2 4" xfId="31611" xr:uid="{00000000-0005-0000-0000-000062200000}"/>
    <cellStyle name="Comma 10 4 4 2 5" xfId="35826" xr:uid="{00000000-0005-0000-0000-000063200000}"/>
    <cellStyle name="Comma 10 4 4 2 6" xfId="40030" xr:uid="{00000000-0005-0000-0000-000064200000}"/>
    <cellStyle name="Comma 10 4 4 3" xfId="10702" xr:uid="{00000000-0005-0000-0000-000065200000}"/>
    <cellStyle name="Comma 10 4 4 3 2" xfId="27863" xr:uid="{00000000-0005-0000-0000-000066200000}"/>
    <cellStyle name="Comma 10 4 4 3 2 2" xfId="45542" xr:uid="{00000000-0005-0000-0000-000067200000}"/>
    <cellStyle name="Comma 10 4 4 3 3" xfId="32076" xr:uid="{00000000-0005-0000-0000-000068200000}"/>
    <cellStyle name="Comma 10 4 4 3 4" xfId="36291" xr:uid="{00000000-0005-0000-0000-000069200000}"/>
    <cellStyle name="Comma 10 4 4 3 5" xfId="40495" xr:uid="{00000000-0005-0000-0000-00006A200000}"/>
    <cellStyle name="Comma 10 4 4 4" xfId="26252" xr:uid="{00000000-0005-0000-0000-00006B200000}"/>
    <cellStyle name="Comma 10 4 4 4 2" xfId="41489" xr:uid="{00000000-0005-0000-0000-00006C200000}"/>
    <cellStyle name="Comma 10 4 4 5" xfId="30465" xr:uid="{00000000-0005-0000-0000-00006D200000}"/>
    <cellStyle name="Comma 10 4 4 5 2" xfId="41763" xr:uid="{00000000-0005-0000-0000-00006E200000}"/>
    <cellStyle name="Comma 10 4 4 6" xfId="34680" xr:uid="{00000000-0005-0000-0000-00006F200000}"/>
    <cellStyle name="Comma 10 4 4 7" xfId="38884" xr:uid="{00000000-0005-0000-0000-000070200000}"/>
    <cellStyle name="Comma 10 4 5" xfId="7955" xr:uid="{00000000-0005-0000-0000-000071200000}"/>
    <cellStyle name="Comma 10 4 5 2" xfId="9912" xr:uid="{00000000-0005-0000-0000-000072200000}"/>
    <cellStyle name="Comma 10 4 5 2 2" xfId="11938" xr:uid="{00000000-0005-0000-0000-000073200000}"/>
    <cellStyle name="Comma 10 4 5 2 2 2" xfId="28599" xr:uid="{00000000-0005-0000-0000-000074200000}"/>
    <cellStyle name="Comma 10 4 5 2 2 2 2" xfId="46268" xr:uid="{00000000-0005-0000-0000-000075200000}"/>
    <cellStyle name="Comma 10 4 5 2 2 3" xfId="32812" xr:uid="{00000000-0005-0000-0000-000076200000}"/>
    <cellStyle name="Comma 10 4 5 2 2 4" xfId="37027" xr:uid="{00000000-0005-0000-0000-000077200000}"/>
    <cellStyle name="Comma 10 4 5 2 2 5" xfId="41231" xr:uid="{00000000-0005-0000-0000-000078200000}"/>
    <cellStyle name="Comma 10 4 5 2 3" xfId="27399" xr:uid="{00000000-0005-0000-0000-000079200000}"/>
    <cellStyle name="Comma 10 4 5 2 3 2" xfId="42996" xr:uid="{00000000-0005-0000-0000-00007A200000}"/>
    <cellStyle name="Comma 10 4 5 2 4" xfId="31612" xr:uid="{00000000-0005-0000-0000-00007B200000}"/>
    <cellStyle name="Comma 10 4 5 2 5" xfId="35827" xr:uid="{00000000-0005-0000-0000-00007C200000}"/>
    <cellStyle name="Comma 10 4 5 2 6" xfId="40031" xr:uid="{00000000-0005-0000-0000-00007D200000}"/>
    <cellStyle name="Comma 10 4 5 3" xfId="10703" xr:uid="{00000000-0005-0000-0000-00007E200000}"/>
    <cellStyle name="Comma 10 4 5 3 2" xfId="27864" xr:uid="{00000000-0005-0000-0000-00007F200000}"/>
    <cellStyle name="Comma 10 4 5 3 2 2" xfId="45543" xr:uid="{00000000-0005-0000-0000-000080200000}"/>
    <cellStyle name="Comma 10 4 5 3 3" xfId="32077" xr:uid="{00000000-0005-0000-0000-000081200000}"/>
    <cellStyle name="Comma 10 4 5 3 4" xfId="36292" xr:uid="{00000000-0005-0000-0000-000082200000}"/>
    <cellStyle name="Comma 10 4 5 3 5" xfId="40496" xr:uid="{00000000-0005-0000-0000-000083200000}"/>
    <cellStyle name="Comma 10 4 5 4" xfId="26253" xr:uid="{00000000-0005-0000-0000-000084200000}"/>
    <cellStyle name="Comma 10 4 5 4 2" xfId="41490" xr:uid="{00000000-0005-0000-0000-000085200000}"/>
    <cellStyle name="Comma 10 4 5 5" xfId="30466" xr:uid="{00000000-0005-0000-0000-000086200000}"/>
    <cellStyle name="Comma 10 4 5 5 2" xfId="41764" xr:uid="{00000000-0005-0000-0000-000087200000}"/>
    <cellStyle name="Comma 10 4 5 6" xfId="34681" xr:uid="{00000000-0005-0000-0000-000088200000}"/>
    <cellStyle name="Comma 10 4 5 7" xfId="38885" xr:uid="{00000000-0005-0000-0000-000089200000}"/>
    <cellStyle name="Comma 10 4 6" xfId="7956" xr:uid="{00000000-0005-0000-0000-00008A200000}"/>
    <cellStyle name="Comma 10 4 6 2" xfId="9913" xr:uid="{00000000-0005-0000-0000-00008B200000}"/>
    <cellStyle name="Comma 10 4 6 2 2" xfId="11939" xr:uid="{00000000-0005-0000-0000-00008C200000}"/>
    <cellStyle name="Comma 10 4 6 2 2 2" xfId="28600" xr:uid="{00000000-0005-0000-0000-00008D200000}"/>
    <cellStyle name="Comma 10 4 6 2 2 2 2" xfId="46269" xr:uid="{00000000-0005-0000-0000-00008E200000}"/>
    <cellStyle name="Comma 10 4 6 2 2 3" xfId="32813" xr:uid="{00000000-0005-0000-0000-00008F200000}"/>
    <cellStyle name="Comma 10 4 6 2 2 4" xfId="37028" xr:uid="{00000000-0005-0000-0000-000090200000}"/>
    <cellStyle name="Comma 10 4 6 2 2 5" xfId="41232" xr:uid="{00000000-0005-0000-0000-000091200000}"/>
    <cellStyle name="Comma 10 4 6 2 3" xfId="27400" xr:uid="{00000000-0005-0000-0000-000092200000}"/>
    <cellStyle name="Comma 10 4 6 2 3 2" xfId="42997" xr:uid="{00000000-0005-0000-0000-000093200000}"/>
    <cellStyle name="Comma 10 4 6 2 4" xfId="31613" xr:uid="{00000000-0005-0000-0000-000094200000}"/>
    <cellStyle name="Comma 10 4 6 2 5" xfId="35828" xr:uid="{00000000-0005-0000-0000-000095200000}"/>
    <cellStyle name="Comma 10 4 6 2 6" xfId="40032" xr:uid="{00000000-0005-0000-0000-000096200000}"/>
    <cellStyle name="Comma 10 4 6 3" xfId="10704" xr:uid="{00000000-0005-0000-0000-000097200000}"/>
    <cellStyle name="Comma 10 4 6 3 2" xfId="27865" xr:uid="{00000000-0005-0000-0000-000098200000}"/>
    <cellStyle name="Comma 10 4 6 3 2 2" xfId="45544" xr:uid="{00000000-0005-0000-0000-000099200000}"/>
    <cellStyle name="Comma 10 4 6 3 3" xfId="32078" xr:uid="{00000000-0005-0000-0000-00009A200000}"/>
    <cellStyle name="Comma 10 4 6 3 4" xfId="36293" xr:uid="{00000000-0005-0000-0000-00009B200000}"/>
    <cellStyle name="Comma 10 4 6 3 5" xfId="40497" xr:uid="{00000000-0005-0000-0000-00009C200000}"/>
    <cellStyle name="Comma 10 4 6 4" xfId="26254" xr:uid="{00000000-0005-0000-0000-00009D200000}"/>
    <cellStyle name="Comma 10 4 6 4 2" xfId="41491" xr:uid="{00000000-0005-0000-0000-00009E200000}"/>
    <cellStyle name="Comma 10 4 6 5" xfId="30467" xr:uid="{00000000-0005-0000-0000-00009F200000}"/>
    <cellStyle name="Comma 10 4 6 5 2" xfId="41765" xr:uid="{00000000-0005-0000-0000-0000A0200000}"/>
    <cellStyle name="Comma 10 4 6 6" xfId="34682" xr:uid="{00000000-0005-0000-0000-0000A1200000}"/>
    <cellStyle name="Comma 10 4 6 7" xfId="38886" xr:uid="{00000000-0005-0000-0000-0000A2200000}"/>
    <cellStyle name="Comma 10 4 7" xfId="7957" xr:uid="{00000000-0005-0000-0000-0000A3200000}"/>
    <cellStyle name="Comma 10 4 7 2" xfId="9914" xr:uid="{00000000-0005-0000-0000-0000A4200000}"/>
    <cellStyle name="Comma 10 4 7 2 2" xfId="11940" xr:uid="{00000000-0005-0000-0000-0000A5200000}"/>
    <cellStyle name="Comma 10 4 7 2 2 2" xfId="28601" xr:uid="{00000000-0005-0000-0000-0000A6200000}"/>
    <cellStyle name="Comma 10 4 7 2 2 2 2" xfId="46270" xr:uid="{00000000-0005-0000-0000-0000A7200000}"/>
    <cellStyle name="Comma 10 4 7 2 2 3" xfId="32814" xr:uid="{00000000-0005-0000-0000-0000A8200000}"/>
    <cellStyle name="Comma 10 4 7 2 2 4" xfId="37029" xr:uid="{00000000-0005-0000-0000-0000A9200000}"/>
    <cellStyle name="Comma 10 4 7 2 2 5" xfId="41233" xr:uid="{00000000-0005-0000-0000-0000AA200000}"/>
    <cellStyle name="Comma 10 4 7 2 3" xfId="27401" xr:uid="{00000000-0005-0000-0000-0000AB200000}"/>
    <cellStyle name="Comma 10 4 7 2 3 2" xfId="42998" xr:uid="{00000000-0005-0000-0000-0000AC200000}"/>
    <cellStyle name="Comma 10 4 7 2 4" xfId="31614" xr:uid="{00000000-0005-0000-0000-0000AD200000}"/>
    <cellStyle name="Comma 10 4 7 2 5" xfId="35829" xr:uid="{00000000-0005-0000-0000-0000AE200000}"/>
    <cellStyle name="Comma 10 4 7 2 6" xfId="40033" xr:uid="{00000000-0005-0000-0000-0000AF200000}"/>
    <cellStyle name="Comma 10 4 7 3" xfId="10705" xr:uid="{00000000-0005-0000-0000-0000B0200000}"/>
    <cellStyle name="Comma 10 4 7 3 2" xfId="27866" xr:uid="{00000000-0005-0000-0000-0000B1200000}"/>
    <cellStyle name="Comma 10 4 7 3 2 2" xfId="45545" xr:uid="{00000000-0005-0000-0000-0000B2200000}"/>
    <cellStyle name="Comma 10 4 7 3 3" xfId="32079" xr:uid="{00000000-0005-0000-0000-0000B3200000}"/>
    <cellStyle name="Comma 10 4 7 3 4" xfId="36294" xr:uid="{00000000-0005-0000-0000-0000B4200000}"/>
    <cellStyle name="Comma 10 4 7 3 5" xfId="40498" xr:uid="{00000000-0005-0000-0000-0000B5200000}"/>
    <cellStyle name="Comma 10 4 7 4" xfId="26255" xr:uid="{00000000-0005-0000-0000-0000B6200000}"/>
    <cellStyle name="Comma 10 4 7 4 2" xfId="41492" xr:uid="{00000000-0005-0000-0000-0000B7200000}"/>
    <cellStyle name="Comma 10 4 7 5" xfId="30468" xr:uid="{00000000-0005-0000-0000-0000B8200000}"/>
    <cellStyle name="Comma 10 4 7 5 2" xfId="41766" xr:uid="{00000000-0005-0000-0000-0000B9200000}"/>
    <cellStyle name="Comma 10 4 7 6" xfId="34683" xr:uid="{00000000-0005-0000-0000-0000BA200000}"/>
    <cellStyle name="Comma 10 4 7 7" xfId="38887" xr:uid="{00000000-0005-0000-0000-0000BB200000}"/>
    <cellStyle name="Comma 10 4 8" xfId="7958" xr:uid="{00000000-0005-0000-0000-0000BC200000}"/>
    <cellStyle name="Comma 10 4 8 2" xfId="9915" xr:uid="{00000000-0005-0000-0000-0000BD200000}"/>
    <cellStyle name="Comma 10 4 8 2 2" xfId="11941" xr:uid="{00000000-0005-0000-0000-0000BE200000}"/>
    <cellStyle name="Comma 10 4 8 2 2 2" xfId="28602" xr:uid="{00000000-0005-0000-0000-0000BF200000}"/>
    <cellStyle name="Comma 10 4 8 2 2 2 2" xfId="46271" xr:uid="{00000000-0005-0000-0000-0000C0200000}"/>
    <cellStyle name="Comma 10 4 8 2 2 3" xfId="32815" xr:uid="{00000000-0005-0000-0000-0000C1200000}"/>
    <cellStyle name="Comma 10 4 8 2 2 4" xfId="37030" xr:uid="{00000000-0005-0000-0000-0000C2200000}"/>
    <cellStyle name="Comma 10 4 8 2 2 5" xfId="41234" xr:uid="{00000000-0005-0000-0000-0000C3200000}"/>
    <cellStyle name="Comma 10 4 8 2 3" xfId="27402" xr:uid="{00000000-0005-0000-0000-0000C4200000}"/>
    <cellStyle name="Comma 10 4 8 2 3 2" xfId="42999" xr:uid="{00000000-0005-0000-0000-0000C5200000}"/>
    <cellStyle name="Comma 10 4 8 2 4" xfId="31615" xr:uid="{00000000-0005-0000-0000-0000C6200000}"/>
    <cellStyle name="Comma 10 4 8 2 5" xfId="35830" xr:uid="{00000000-0005-0000-0000-0000C7200000}"/>
    <cellStyle name="Comma 10 4 8 2 6" xfId="40034" xr:uid="{00000000-0005-0000-0000-0000C8200000}"/>
    <cellStyle name="Comma 10 4 8 3" xfId="10706" xr:uid="{00000000-0005-0000-0000-0000C9200000}"/>
    <cellStyle name="Comma 10 4 8 3 2" xfId="27867" xr:uid="{00000000-0005-0000-0000-0000CA200000}"/>
    <cellStyle name="Comma 10 4 8 3 2 2" xfId="45546" xr:uid="{00000000-0005-0000-0000-0000CB200000}"/>
    <cellStyle name="Comma 10 4 8 3 3" xfId="32080" xr:uid="{00000000-0005-0000-0000-0000CC200000}"/>
    <cellStyle name="Comma 10 4 8 3 4" xfId="36295" xr:uid="{00000000-0005-0000-0000-0000CD200000}"/>
    <cellStyle name="Comma 10 4 8 3 5" xfId="40499" xr:uid="{00000000-0005-0000-0000-0000CE200000}"/>
    <cellStyle name="Comma 10 4 8 4" xfId="26256" xr:uid="{00000000-0005-0000-0000-0000CF200000}"/>
    <cellStyle name="Comma 10 4 8 4 2" xfId="41493" xr:uid="{00000000-0005-0000-0000-0000D0200000}"/>
    <cellStyle name="Comma 10 4 8 5" xfId="30469" xr:uid="{00000000-0005-0000-0000-0000D1200000}"/>
    <cellStyle name="Comma 10 4 8 5 2" xfId="41767" xr:uid="{00000000-0005-0000-0000-0000D2200000}"/>
    <cellStyle name="Comma 10 4 8 6" xfId="34684" xr:uid="{00000000-0005-0000-0000-0000D3200000}"/>
    <cellStyle name="Comma 10 4 8 7" xfId="38888" xr:uid="{00000000-0005-0000-0000-0000D4200000}"/>
    <cellStyle name="Comma 10 4 9" xfId="7959" xr:uid="{00000000-0005-0000-0000-0000D5200000}"/>
    <cellStyle name="Comma 10 4 9 2" xfId="9916" xr:uid="{00000000-0005-0000-0000-0000D6200000}"/>
    <cellStyle name="Comma 10 4 9 2 2" xfId="11942" xr:uid="{00000000-0005-0000-0000-0000D7200000}"/>
    <cellStyle name="Comma 10 4 9 2 2 2" xfId="28603" xr:uid="{00000000-0005-0000-0000-0000D8200000}"/>
    <cellStyle name="Comma 10 4 9 2 2 2 2" xfId="46272" xr:uid="{00000000-0005-0000-0000-0000D9200000}"/>
    <cellStyle name="Comma 10 4 9 2 2 3" xfId="32816" xr:uid="{00000000-0005-0000-0000-0000DA200000}"/>
    <cellStyle name="Comma 10 4 9 2 2 4" xfId="37031" xr:uid="{00000000-0005-0000-0000-0000DB200000}"/>
    <cellStyle name="Comma 10 4 9 2 2 5" xfId="41235" xr:uid="{00000000-0005-0000-0000-0000DC200000}"/>
    <cellStyle name="Comma 10 4 9 2 3" xfId="27403" xr:uid="{00000000-0005-0000-0000-0000DD200000}"/>
    <cellStyle name="Comma 10 4 9 2 3 2" xfId="43000" xr:uid="{00000000-0005-0000-0000-0000DE200000}"/>
    <cellStyle name="Comma 10 4 9 2 4" xfId="31616" xr:uid="{00000000-0005-0000-0000-0000DF200000}"/>
    <cellStyle name="Comma 10 4 9 2 5" xfId="35831" xr:uid="{00000000-0005-0000-0000-0000E0200000}"/>
    <cellStyle name="Comma 10 4 9 2 6" xfId="40035" xr:uid="{00000000-0005-0000-0000-0000E1200000}"/>
    <cellStyle name="Comma 10 4 9 3" xfId="10707" xr:uid="{00000000-0005-0000-0000-0000E2200000}"/>
    <cellStyle name="Comma 10 4 9 3 2" xfId="27868" xr:uid="{00000000-0005-0000-0000-0000E3200000}"/>
    <cellStyle name="Comma 10 4 9 3 2 2" xfId="45547" xr:uid="{00000000-0005-0000-0000-0000E4200000}"/>
    <cellStyle name="Comma 10 4 9 3 3" xfId="32081" xr:uid="{00000000-0005-0000-0000-0000E5200000}"/>
    <cellStyle name="Comma 10 4 9 3 4" xfId="36296" xr:uid="{00000000-0005-0000-0000-0000E6200000}"/>
    <cellStyle name="Comma 10 4 9 3 5" xfId="40500" xr:uid="{00000000-0005-0000-0000-0000E7200000}"/>
    <cellStyle name="Comma 10 4 9 4" xfId="26257" xr:uid="{00000000-0005-0000-0000-0000E8200000}"/>
    <cellStyle name="Comma 10 4 9 4 2" xfId="41494" xr:uid="{00000000-0005-0000-0000-0000E9200000}"/>
    <cellStyle name="Comma 10 4 9 5" xfId="30470" xr:uid="{00000000-0005-0000-0000-0000EA200000}"/>
    <cellStyle name="Comma 10 4 9 5 2" xfId="41768" xr:uid="{00000000-0005-0000-0000-0000EB200000}"/>
    <cellStyle name="Comma 10 4 9 6" xfId="34685" xr:uid="{00000000-0005-0000-0000-0000EC200000}"/>
    <cellStyle name="Comma 10 4 9 7" xfId="38889" xr:uid="{00000000-0005-0000-0000-0000ED200000}"/>
    <cellStyle name="Comma 10 5" xfId="7960" xr:uid="{00000000-0005-0000-0000-0000EE200000}"/>
    <cellStyle name="Comma 10 5 10" xfId="7961" xr:uid="{00000000-0005-0000-0000-0000EF200000}"/>
    <cellStyle name="Comma 10 5 10 2" xfId="9918" xr:uid="{00000000-0005-0000-0000-0000F0200000}"/>
    <cellStyle name="Comma 10 5 10 2 2" xfId="11944" xr:uid="{00000000-0005-0000-0000-0000F1200000}"/>
    <cellStyle name="Comma 10 5 10 2 2 2" xfId="28605" xr:uid="{00000000-0005-0000-0000-0000F2200000}"/>
    <cellStyle name="Comma 10 5 10 2 2 2 2" xfId="46274" xr:uid="{00000000-0005-0000-0000-0000F3200000}"/>
    <cellStyle name="Comma 10 5 10 2 2 3" xfId="32818" xr:uid="{00000000-0005-0000-0000-0000F4200000}"/>
    <cellStyle name="Comma 10 5 10 2 2 4" xfId="37033" xr:uid="{00000000-0005-0000-0000-0000F5200000}"/>
    <cellStyle name="Comma 10 5 10 2 2 5" xfId="41237" xr:uid="{00000000-0005-0000-0000-0000F6200000}"/>
    <cellStyle name="Comma 10 5 10 2 3" xfId="27405" xr:uid="{00000000-0005-0000-0000-0000F7200000}"/>
    <cellStyle name="Comma 10 5 10 2 3 2" xfId="43002" xr:uid="{00000000-0005-0000-0000-0000F8200000}"/>
    <cellStyle name="Comma 10 5 10 2 4" xfId="31618" xr:uid="{00000000-0005-0000-0000-0000F9200000}"/>
    <cellStyle name="Comma 10 5 10 2 5" xfId="35833" xr:uid="{00000000-0005-0000-0000-0000FA200000}"/>
    <cellStyle name="Comma 10 5 10 2 6" xfId="40037" xr:uid="{00000000-0005-0000-0000-0000FB200000}"/>
    <cellStyle name="Comma 10 5 10 3" xfId="10709" xr:uid="{00000000-0005-0000-0000-0000FC200000}"/>
    <cellStyle name="Comma 10 5 10 3 2" xfId="27870" xr:uid="{00000000-0005-0000-0000-0000FD200000}"/>
    <cellStyle name="Comma 10 5 10 3 2 2" xfId="45549" xr:uid="{00000000-0005-0000-0000-0000FE200000}"/>
    <cellStyle name="Comma 10 5 10 3 3" xfId="32083" xr:uid="{00000000-0005-0000-0000-0000FF200000}"/>
    <cellStyle name="Comma 10 5 10 3 4" xfId="36298" xr:uid="{00000000-0005-0000-0000-000000210000}"/>
    <cellStyle name="Comma 10 5 10 3 5" xfId="40502" xr:uid="{00000000-0005-0000-0000-000001210000}"/>
    <cellStyle name="Comma 10 5 10 4" xfId="26259" xr:uid="{00000000-0005-0000-0000-000002210000}"/>
    <cellStyle name="Comma 10 5 10 4 2" xfId="41496" xr:uid="{00000000-0005-0000-0000-000003210000}"/>
    <cellStyle name="Comma 10 5 10 5" xfId="30472" xr:uid="{00000000-0005-0000-0000-000004210000}"/>
    <cellStyle name="Comma 10 5 10 5 2" xfId="41770" xr:uid="{00000000-0005-0000-0000-000005210000}"/>
    <cellStyle name="Comma 10 5 10 6" xfId="34687" xr:uid="{00000000-0005-0000-0000-000006210000}"/>
    <cellStyle name="Comma 10 5 10 7" xfId="38891" xr:uid="{00000000-0005-0000-0000-000007210000}"/>
    <cellStyle name="Comma 10 5 11" xfId="7962" xr:uid="{00000000-0005-0000-0000-000008210000}"/>
    <cellStyle name="Comma 10 5 11 2" xfId="9919" xr:uid="{00000000-0005-0000-0000-000009210000}"/>
    <cellStyle name="Comma 10 5 11 2 2" xfId="11945" xr:uid="{00000000-0005-0000-0000-00000A210000}"/>
    <cellStyle name="Comma 10 5 11 2 2 2" xfId="28606" xr:uid="{00000000-0005-0000-0000-00000B210000}"/>
    <cellStyle name="Comma 10 5 11 2 2 2 2" xfId="46275" xr:uid="{00000000-0005-0000-0000-00000C210000}"/>
    <cellStyle name="Comma 10 5 11 2 2 3" xfId="32819" xr:uid="{00000000-0005-0000-0000-00000D210000}"/>
    <cellStyle name="Comma 10 5 11 2 2 4" xfId="37034" xr:uid="{00000000-0005-0000-0000-00000E210000}"/>
    <cellStyle name="Comma 10 5 11 2 2 5" xfId="41238" xr:uid="{00000000-0005-0000-0000-00000F210000}"/>
    <cellStyle name="Comma 10 5 11 2 3" xfId="27406" xr:uid="{00000000-0005-0000-0000-000010210000}"/>
    <cellStyle name="Comma 10 5 11 2 3 2" xfId="43003" xr:uid="{00000000-0005-0000-0000-000011210000}"/>
    <cellStyle name="Comma 10 5 11 2 4" xfId="31619" xr:uid="{00000000-0005-0000-0000-000012210000}"/>
    <cellStyle name="Comma 10 5 11 2 5" xfId="35834" xr:uid="{00000000-0005-0000-0000-000013210000}"/>
    <cellStyle name="Comma 10 5 11 2 6" xfId="40038" xr:uid="{00000000-0005-0000-0000-000014210000}"/>
    <cellStyle name="Comma 10 5 11 3" xfId="10710" xr:uid="{00000000-0005-0000-0000-000015210000}"/>
    <cellStyle name="Comma 10 5 11 3 2" xfId="27871" xr:uid="{00000000-0005-0000-0000-000016210000}"/>
    <cellStyle name="Comma 10 5 11 3 2 2" xfId="45550" xr:uid="{00000000-0005-0000-0000-000017210000}"/>
    <cellStyle name="Comma 10 5 11 3 3" xfId="32084" xr:uid="{00000000-0005-0000-0000-000018210000}"/>
    <cellStyle name="Comma 10 5 11 3 4" xfId="36299" xr:uid="{00000000-0005-0000-0000-000019210000}"/>
    <cellStyle name="Comma 10 5 11 3 5" xfId="40503" xr:uid="{00000000-0005-0000-0000-00001A210000}"/>
    <cellStyle name="Comma 10 5 11 4" xfId="26260" xr:uid="{00000000-0005-0000-0000-00001B210000}"/>
    <cellStyle name="Comma 10 5 11 4 2" xfId="41497" xr:uid="{00000000-0005-0000-0000-00001C210000}"/>
    <cellStyle name="Comma 10 5 11 5" xfId="30473" xr:uid="{00000000-0005-0000-0000-00001D210000}"/>
    <cellStyle name="Comma 10 5 11 5 2" xfId="41771" xr:uid="{00000000-0005-0000-0000-00001E210000}"/>
    <cellStyle name="Comma 10 5 11 6" xfId="34688" xr:uid="{00000000-0005-0000-0000-00001F210000}"/>
    <cellStyle name="Comma 10 5 11 7" xfId="38892" xr:uid="{00000000-0005-0000-0000-000020210000}"/>
    <cellStyle name="Comma 10 5 12" xfId="7963" xr:uid="{00000000-0005-0000-0000-000021210000}"/>
    <cellStyle name="Comma 10 5 12 2" xfId="9920" xr:uid="{00000000-0005-0000-0000-000022210000}"/>
    <cellStyle name="Comma 10 5 12 2 2" xfId="11946" xr:uid="{00000000-0005-0000-0000-000023210000}"/>
    <cellStyle name="Comma 10 5 12 2 2 2" xfId="28607" xr:uid="{00000000-0005-0000-0000-000024210000}"/>
    <cellStyle name="Comma 10 5 12 2 2 2 2" xfId="46276" xr:uid="{00000000-0005-0000-0000-000025210000}"/>
    <cellStyle name="Comma 10 5 12 2 2 3" xfId="32820" xr:uid="{00000000-0005-0000-0000-000026210000}"/>
    <cellStyle name="Comma 10 5 12 2 2 4" xfId="37035" xr:uid="{00000000-0005-0000-0000-000027210000}"/>
    <cellStyle name="Comma 10 5 12 2 2 5" xfId="41239" xr:uid="{00000000-0005-0000-0000-000028210000}"/>
    <cellStyle name="Comma 10 5 12 2 3" xfId="27407" xr:uid="{00000000-0005-0000-0000-000029210000}"/>
    <cellStyle name="Comma 10 5 12 2 3 2" xfId="43004" xr:uid="{00000000-0005-0000-0000-00002A210000}"/>
    <cellStyle name="Comma 10 5 12 2 4" xfId="31620" xr:uid="{00000000-0005-0000-0000-00002B210000}"/>
    <cellStyle name="Comma 10 5 12 2 5" xfId="35835" xr:uid="{00000000-0005-0000-0000-00002C210000}"/>
    <cellStyle name="Comma 10 5 12 2 6" xfId="40039" xr:uid="{00000000-0005-0000-0000-00002D210000}"/>
    <cellStyle name="Comma 10 5 12 3" xfId="10711" xr:uid="{00000000-0005-0000-0000-00002E210000}"/>
    <cellStyle name="Comma 10 5 12 3 2" xfId="27872" xr:uid="{00000000-0005-0000-0000-00002F210000}"/>
    <cellStyle name="Comma 10 5 12 3 2 2" xfId="45551" xr:uid="{00000000-0005-0000-0000-000030210000}"/>
    <cellStyle name="Comma 10 5 12 3 3" xfId="32085" xr:uid="{00000000-0005-0000-0000-000031210000}"/>
    <cellStyle name="Comma 10 5 12 3 4" xfId="36300" xr:uid="{00000000-0005-0000-0000-000032210000}"/>
    <cellStyle name="Comma 10 5 12 3 5" xfId="40504" xr:uid="{00000000-0005-0000-0000-000033210000}"/>
    <cellStyle name="Comma 10 5 12 4" xfId="26261" xr:uid="{00000000-0005-0000-0000-000034210000}"/>
    <cellStyle name="Comma 10 5 12 4 2" xfId="41498" xr:uid="{00000000-0005-0000-0000-000035210000}"/>
    <cellStyle name="Comma 10 5 12 5" xfId="30474" xr:uid="{00000000-0005-0000-0000-000036210000}"/>
    <cellStyle name="Comma 10 5 12 5 2" xfId="41772" xr:uid="{00000000-0005-0000-0000-000037210000}"/>
    <cellStyle name="Comma 10 5 12 6" xfId="34689" xr:uid="{00000000-0005-0000-0000-000038210000}"/>
    <cellStyle name="Comma 10 5 12 7" xfId="38893" xr:uid="{00000000-0005-0000-0000-000039210000}"/>
    <cellStyle name="Comma 10 5 13" xfId="7964" xr:uid="{00000000-0005-0000-0000-00003A210000}"/>
    <cellStyle name="Comma 10 5 13 2" xfId="9921" xr:uid="{00000000-0005-0000-0000-00003B210000}"/>
    <cellStyle name="Comma 10 5 13 2 2" xfId="11947" xr:uid="{00000000-0005-0000-0000-00003C210000}"/>
    <cellStyle name="Comma 10 5 13 2 2 2" xfId="28608" xr:uid="{00000000-0005-0000-0000-00003D210000}"/>
    <cellStyle name="Comma 10 5 13 2 2 2 2" xfId="46277" xr:uid="{00000000-0005-0000-0000-00003E210000}"/>
    <cellStyle name="Comma 10 5 13 2 2 3" xfId="32821" xr:uid="{00000000-0005-0000-0000-00003F210000}"/>
    <cellStyle name="Comma 10 5 13 2 2 4" xfId="37036" xr:uid="{00000000-0005-0000-0000-000040210000}"/>
    <cellStyle name="Comma 10 5 13 2 2 5" xfId="41240" xr:uid="{00000000-0005-0000-0000-000041210000}"/>
    <cellStyle name="Comma 10 5 13 2 3" xfId="27408" xr:uid="{00000000-0005-0000-0000-000042210000}"/>
    <cellStyle name="Comma 10 5 13 2 3 2" xfId="43005" xr:uid="{00000000-0005-0000-0000-000043210000}"/>
    <cellStyle name="Comma 10 5 13 2 4" xfId="31621" xr:uid="{00000000-0005-0000-0000-000044210000}"/>
    <cellStyle name="Comma 10 5 13 2 5" xfId="35836" xr:uid="{00000000-0005-0000-0000-000045210000}"/>
    <cellStyle name="Comma 10 5 13 2 6" xfId="40040" xr:uid="{00000000-0005-0000-0000-000046210000}"/>
    <cellStyle name="Comma 10 5 13 3" xfId="10712" xr:uid="{00000000-0005-0000-0000-000047210000}"/>
    <cellStyle name="Comma 10 5 13 3 2" xfId="27873" xr:uid="{00000000-0005-0000-0000-000048210000}"/>
    <cellStyle name="Comma 10 5 13 3 2 2" xfId="45552" xr:uid="{00000000-0005-0000-0000-000049210000}"/>
    <cellStyle name="Comma 10 5 13 3 3" xfId="32086" xr:uid="{00000000-0005-0000-0000-00004A210000}"/>
    <cellStyle name="Comma 10 5 13 3 4" xfId="36301" xr:uid="{00000000-0005-0000-0000-00004B210000}"/>
    <cellStyle name="Comma 10 5 13 3 5" xfId="40505" xr:uid="{00000000-0005-0000-0000-00004C210000}"/>
    <cellStyle name="Comma 10 5 13 4" xfId="26262" xr:uid="{00000000-0005-0000-0000-00004D210000}"/>
    <cellStyle name="Comma 10 5 13 4 2" xfId="41499" xr:uid="{00000000-0005-0000-0000-00004E210000}"/>
    <cellStyle name="Comma 10 5 13 5" xfId="30475" xr:uid="{00000000-0005-0000-0000-00004F210000}"/>
    <cellStyle name="Comma 10 5 13 5 2" xfId="41773" xr:uid="{00000000-0005-0000-0000-000050210000}"/>
    <cellStyle name="Comma 10 5 13 6" xfId="34690" xr:uid="{00000000-0005-0000-0000-000051210000}"/>
    <cellStyle name="Comma 10 5 13 7" xfId="38894" xr:uid="{00000000-0005-0000-0000-000052210000}"/>
    <cellStyle name="Comma 10 5 14" xfId="7965" xr:uid="{00000000-0005-0000-0000-000053210000}"/>
    <cellStyle name="Comma 10 5 14 2" xfId="9922" xr:uid="{00000000-0005-0000-0000-000054210000}"/>
    <cellStyle name="Comma 10 5 14 2 2" xfId="11948" xr:uid="{00000000-0005-0000-0000-000055210000}"/>
    <cellStyle name="Comma 10 5 14 2 2 2" xfId="28609" xr:uid="{00000000-0005-0000-0000-000056210000}"/>
    <cellStyle name="Comma 10 5 14 2 2 2 2" xfId="46278" xr:uid="{00000000-0005-0000-0000-000057210000}"/>
    <cellStyle name="Comma 10 5 14 2 2 3" xfId="32822" xr:uid="{00000000-0005-0000-0000-000058210000}"/>
    <cellStyle name="Comma 10 5 14 2 2 4" xfId="37037" xr:uid="{00000000-0005-0000-0000-000059210000}"/>
    <cellStyle name="Comma 10 5 14 2 2 5" xfId="41241" xr:uid="{00000000-0005-0000-0000-00005A210000}"/>
    <cellStyle name="Comma 10 5 14 2 3" xfId="27409" xr:uid="{00000000-0005-0000-0000-00005B210000}"/>
    <cellStyle name="Comma 10 5 14 2 3 2" xfId="43006" xr:uid="{00000000-0005-0000-0000-00005C210000}"/>
    <cellStyle name="Comma 10 5 14 2 4" xfId="31622" xr:uid="{00000000-0005-0000-0000-00005D210000}"/>
    <cellStyle name="Comma 10 5 14 2 5" xfId="35837" xr:uid="{00000000-0005-0000-0000-00005E210000}"/>
    <cellStyle name="Comma 10 5 14 2 6" xfId="40041" xr:uid="{00000000-0005-0000-0000-00005F210000}"/>
    <cellStyle name="Comma 10 5 14 3" xfId="10713" xr:uid="{00000000-0005-0000-0000-000060210000}"/>
    <cellStyle name="Comma 10 5 14 3 2" xfId="27874" xr:uid="{00000000-0005-0000-0000-000061210000}"/>
    <cellStyle name="Comma 10 5 14 3 2 2" xfId="45553" xr:uid="{00000000-0005-0000-0000-000062210000}"/>
    <cellStyle name="Comma 10 5 14 3 3" xfId="32087" xr:uid="{00000000-0005-0000-0000-000063210000}"/>
    <cellStyle name="Comma 10 5 14 3 4" xfId="36302" xr:uid="{00000000-0005-0000-0000-000064210000}"/>
    <cellStyle name="Comma 10 5 14 3 5" xfId="40506" xr:uid="{00000000-0005-0000-0000-000065210000}"/>
    <cellStyle name="Comma 10 5 14 4" xfId="26263" xr:uid="{00000000-0005-0000-0000-000066210000}"/>
    <cellStyle name="Comma 10 5 14 4 2" xfId="41500" xr:uid="{00000000-0005-0000-0000-000067210000}"/>
    <cellStyle name="Comma 10 5 14 5" xfId="30476" xr:uid="{00000000-0005-0000-0000-000068210000}"/>
    <cellStyle name="Comma 10 5 14 5 2" xfId="41774" xr:uid="{00000000-0005-0000-0000-000069210000}"/>
    <cellStyle name="Comma 10 5 14 6" xfId="34691" xr:uid="{00000000-0005-0000-0000-00006A210000}"/>
    <cellStyle name="Comma 10 5 14 7" xfId="38895" xr:uid="{00000000-0005-0000-0000-00006B210000}"/>
    <cellStyle name="Comma 10 5 15" xfId="7966" xr:uid="{00000000-0005-0000-0000-00006C210000}"/>
    <cellStyle name="Comma 10 5 15 2" xfId="9923" xr:uid="{00000000-0005-0000-0000-00006D210000}"/>
    <cellStyle name="Comma 10 5 15 2 2" xfId="11949" xr:uid="{00000000-0005-0000-0000-00006E210000}"/>
    <cellStyle name="Comma 10 5 15 2 2 2" xfId="28610" xr:uid="{00000000-0005-0000-0000-00006F210000}"/>
    <cellStyle name="Comma 10 5 15 2 2 2 2" xfId="46279" xr:uid="{00000000-0005-0000-0000-000070210000}"/>
    <cellStyle name="Comma 10 5 15 2 2 3" xfId="32823" xr:uid="{00000000-0005-0000-0000-000071210000}"/>
    <cellStyle name="Comma 10 5 15 2 2 4" xfId="37038" xr:uid="{00000000-0005-0000-0000-000072210000}"/>
    <cellStyle name="Comma 10 5 15 2 2 5" xfId="41242" xr:uid="{00000000-0005-0000-0000-000073210000}"/>
    <cellStyle name="Comma 10 5 15 2 3" xfId="27410" xr:uid="{00000000-0005-0000-0000-000074210000}"/>
    <cellStyle name="Comma 10 5 15 2 3 2" xfId="43007" xr:uid="{00000000-0005-0000-0000-000075210000}"/>
    <cellStyle name="Comma 10 5 15 2 4" xfId="31623" xr:uid="{00000000-0005-0000-0000-000076210000}"/>
    <cellStyle name="Comma 10 5 15 2 5" xfId="35838" xr:uid="{00000000-0005-0000-0000-000077210000}"/>
    <cellStyle name="Comma 10 5 15 2 6" xfId="40042" xr:uid="{00000000-0005-0000-0000-000078210000}"/>
    <cellStyle name="Comma 10 5 15 3" xfId="10714" xr:uid="{00000000-0005-0000-0000-000079210000}"/>
    <cellStyle name="Comma 10 5 15 3 2" xfId="27875" xr:uid="{00000000-0005-0000-0000-00007A210000}"/>
    <cellStyle name="Comma 10 5 15 3 2 2" xfId="45554" xr:uid="{00000000-0005-0000-0000-00007B210000}"/>
    <cellStyle name="Comma 10 5 15 3 3" xfId="32088" xr:uid="{00000000-0005-0000-0000-00007C210000}"/>
    <cellStyle name="Comma 10 5 15 3 4" xfId="36303" xr:uid="{00000000-0005-0000-0000-00007D210000}"/>
    <cellStyle name="Comma 10 5 15 3 5" xfId="40507" xr:uid="{00000000-0005-0000-0000-00007E210000}"/>
    <cellStyle name="Comma 10 5 15 4" xfId="26264" xr:uid="{00000000-0005-0000-0000-00007F210000}"/>
    <cellStyle name="Comma 10 5 15 4 2" xfId="41501" xr:uid="{00000000-0005-0000-0000-000080210000}"/>
    <cellStyle name="Comma 10 5 15 5" xfId="30477" xr:uid="{00000000-0005-0000-0000-000081210000}"/>
    <cellStyle name="Comma 10 5 15 5 2" xfId="41775" xr:uid="{00000000-0005-0000-0000-000082210000}"/>
    <cellStyle name="Comma 10 5 15 6" xfId="34692" xr:uid="{00000000-0005-0000-0000-000083210000}"/>
    <cellStyle name="Comma 10 5 15 7" xfId="38896" xr:uid="{00000000-0005-0000-0000-000084210000}"/>
    <cellStyle name="Comma 10 5 16" xfId="7967" xr:uid="{00000000-0005-0000-0000-000085210000}"/>
    <cellStyle name="Comma 10 5 16 2" xfId="9924" xr:uid="{00000000-0005-0000-0000-000086210000}"/>
    <cellStyle name="Comma 10 5 16 2 2" xfId="11950" xr:uid="{00000000-0005-0000-0000-000087210000}"/>
    <cellStyle name="Comma 10 5 16 2 2 2" xfId="28611" xr:uid="{00000000-0005-0000-0000-000088210000}"/>
    <cellStyle name="Comma 10 5 16 2 2 2 2" xfId="46280" xr:uid="{00000000-0005-0000-0000-000089210000}"/>
    <cellStyle name="Comma 10 5 16 2 2 3" xfId="32824" xr:uid="{00000000-0005-0000-0000-00008A210000}"/>
    <cellStyle name="Comma 10 5 16 2 2 4" xfId="37039" xr:uid="{00000000-0005-0000-0000-00008B210000}"/>
    <cellStyle name="Comma 10 5 16 2 2 5" xfId="41243" xr:uid="{00000000-0005-0000-0000-00008C210000}"/>
    <cellStyle name="Comma 10 5 16 2 3" xfId="27411" xr:uid="{00000000-0005-0000-0000-00008D210000}"/>
    <cellStyle name="Comma 10 5 16 2 3 2" xfId="43008" xr:uid="{00000000-0005-0000-0000-00008E210000}"/>
    <cellStyle name="Comma 10 5 16 2 4" xfId="31624" xr:uid="{00000000-0005-0000-0000-00008F210000}"/>
    <cellStyle name="Comma 10 5 16 2 5" xfId="35839" xr:uid="{00000000-0005-0000-0000-000090210000}"/>
    <cellStyle name="Comma 10 5 16 2 6" xfId="40043" xr:uid="{00000000-0005-0000-0000-000091210000}"/>
    <cellStyle name="Comma 10 5 16 3" xfId="10715" xr:uid="{00000000-0005-0000-0000-000092210000}"/>
    <cellStyle name="Comma 10 5 16 3 2" xfId="27876" xr:uid="{00000000-0005-0000-0000-000093210000}"/>
    <cellStyle name="Comma 10 5 16 3 2 2" xfId="45555" xr:uid="{00000000-0005-0000-0000-000094210000}"/>
    <cellStyle name="Comma 10 5 16 3 3" xfId="32089" xr:uid="{00000000-0005-0000-0000-000095210000}"/>
    <cellStyle name="Comma 10 5 16 3 4" xfId="36304" xr:uid="{00000000-0005-0000-0000-000096210000}"/>
    <cellStyle name="Comma 10 5 16 3 5" xfId="40508" xr:uid="{00000000-0005-0000-0000-000097210000}"/>
    <cellStyle name="Comma 10 5 16 4" xfId="26265" xr:uid="{00000000-0005-0000-0000-000098210000}"/>
    <cellStyle name="Comma 10 5 16 4 2" xfId="41502" xr:uid="{00000000-0005-0000-0000-000099210000}"/>
    <cellStyle name="Comma 10 5 16 5" xfId="30478" xr:uid="{00000000-0005-0000-0000-00009A210000}"/>
    <cellStyle name="Comma 10 5 16 5 2" xfId="41776" xr:uid="{00000000-0005-0000-0000-00009B210000}"/>
    <cellStyle name="Comma 10 5 16 6" xfId="34693" xr:uid="{00000000-0005-0000-0000-00009C210000}"/>
    <cellStyle name="Comma 10 5 16 7" xfId="38897" xr:uid="{00000000-0005-0000-0000-00009D210000}"/>
    <cellStyle name="Comma 10 5 17" xfId="7968" xr:uid="{00000000-0005-0000-0000-00009E210000}"/>
    <cellStyle name="Comma 10 5 17 2" xfId="9925" xr:uid="{00000000-0005-0000-0000-00009F210000}"/>
    <cellStyle name="Comma 10 5 17 2 2" xfId="11951" xr:uid="{00000000-0005-0000-0000-0000A0210000}"/>
    <cellStyle name="Comma 10 5 17 2 2 2" xfId="28612" xr:uid="{00000000-0005-0000-0000-0000A1210000}"/>
    <cellStyle name="Comma 10 5 17 2 2 2 2" xfId="46281" xr:uid="{00000000-0005-0000-0000-0000A2210000}"/>
    <cellStyle name="Comma 10 5 17 2 2 3" xfId="32825" xr:uid="{00000000-0005-0000-0000-0000A3210000}"/>
    <cellStyle name="Comma 10 5 17 2 2 4" xfId="37040" xr:uid="{00000000-0005-0000-0000-0000A4210000}"/>
    <cellStyle name="Comma 10 5 17 2 2 5" xfId="41244" xr:uid="{00000000-0005-0000-0000-0000A5210000}"/>
    <cellStyle name="Comma 10 5 17 2 3" xfId="27412" xr:uid="{00000000-0005-0000-0000-0000A6210000}"/>
    <cellStyle name="Comma 10 5 17 2 3 2" xfId="43009" xr:uid="{00000000-0005-0000-0000-0000A7210000}"/>
    <cellStyle name="Comma 10 5 17 2 4" xfId="31625" xr:uid="{00000000-0005-0000-0000-0000A8210000}"/>
    <cellStyle name="Comma 10 5 17 2 5" xfId="35840" xr:uid="{00000000-0005-0000-0000-0000A9210000}"/>
    <cellStyle name="Comma 10 5 17 2 6" xfId="40044" xr:uid="{00000000-0005-0000-0000-0000AA210000}"/>
    <cellStyle name="Comma 10 5 17 3" xfId="10716" xr:uid="{00000000-0005-0000-0000-0000AB210000}"/>
    <cellStyle name="Comma 10 5 17 3 2" xfId="27877" xr:uid="{00000000-0005-0000-0000-0000AC210000}"/>
    <cellStyle name="Comma 10 5 17 3 2 2" xfId="45556" xr:uid="{00000000-0005-0000-0000-0000AD210000}"/>
    <cellStyle name="Comma 10 5 17 3 3" xfId="32090" xr:uid="{00000000-0005-0000-0000-0000AE210000}"/>
    <cellStyle name="Comma 10 5 17 3 4" xfId="36305" xr:uid="{00000000-0005-0000-0000-0000AF210000}"/>
    <cellStyle name="Comma 10 5 17 3 5" xfId="40509" xr:uid="{00000000-0005-0000-0000-0000B0210000}"/>
    <cellStyle name="Comma 10 5 17 4" xfId="26266" xr:uid="{00000000-0005-0000-0000-0000B1210000}"/>
    <cellStyle name="Comma 10 5 17 4 2" xfId="41503" xr:uid="{00000000-0005-0000-0000-0000B2210000}"/>
    <cellStyle name="Comma 10 5 17 5" xfId="30479" xr:uid="{00000000-0005-0000-0000-0000B3210000}"/>
    <cellStyle name="Comma 10 5 17 5 2" xfId="41777" xr:uid="{00000000-0005-0000-0000-0000B4210000}"/>
    <cellStyle name="Comma 10 5 17 6" xfId="34694" xr:uid="{00000000-0005-0000-0000-0000B5210000}"/>
    <cellStyle name="Comma 10 5 17 7" xfId="38898" xr:uid="{00000000-0005-0000-0000-0000B6210000}"/>
    <cellStyle name="Comma 10 5 18" xfId="9917" xr:uid="{00000000-0005-0000-0000-0000B7210000}"/>
    <cellStyle name="Comma 10 5 18 2" xfId="11943" xr:uid="{00000000-0005-0000-0000-0000B8210000}"/>
    <cellStyle name="Comma 10 5 18 2 2" xfId="28604" xr:uid="{00000000-0005-0000-0000-0000B9210000}"/>
    <cellStyle name="Comma 10 5 18 2 2 2" xfId="46273" xr:uid="{00000000-0005-0000-0000-0000BA210000}"/>
    <cellStyle name="Comma 10 5 18 2 3" xfId="32817" xr:uid="{00000000-0005-0000-0000-0000BB210000}"/>
    <cellStyle name="Comma 10 5 18 2 4" xfId="37032" xr:uid="{00000000-0005-0000-0000-0000BC210000}"/>
    <cellStyle name="Comma 10 5 18 2 5" xfId="41236" xr:uid="{00000000-0005-0000-0000-0000BD210000}"/>
    <cellStyle name="Comma 10 5 18 3" xfId="27404" xr:uid="{00000000-0005-0000-0000-0000BE210000}"/>
    <cellStyle name="Comma 10 5 18 3 2" xfId="43001" xr:uid="{00000000-0005-0000-0000-0000BF210000}"/>
    <cellStyle name="Comma 10 5 18 4" xfId="31617" xr:uid="{00000000-0005-0000-0000-0000C0210000}"/>
    <cellStyle name="Comma 10 5 18 5" xfId="35832" xr:uid="{00000000-0005-0000-0000-0000C1210000}"/>
    <cellStyle name="Comma 10 5 18 6" xfId="40036" xr:uid="{00000000-0005-0000-0000-0000C2210000}"/>
    <cellStyle name="Comma 10 5 19" xfId="10708" xr:uid="{00000000-0005-0000-0000-0000C3210000}"/>
    <cellStyle name="Comma 10 5 19 2" xfId="27869" xr:uid="{00000000-0005-0000-0000-0000C4210000}"/>
    <cellStyle name="Comma 10 5 19 2 2" xfId="45548" xr:uid="{00000000-0005-0000-0000-0000C5210000}"/>
    <cellStyle name="Comma 10 5 19 3" xfId="32082" xr:uid="{00000000-0005-0000-0000-0000C6210000}"/>
    <cellStyle name="Comma 10 5 19 4" xfId="36297" xr:uid="{00000000-0005-0000-0000-0000C7210000}"/>
    <cellStyle name="Comma 10 5 19 5" xfId="40501" xr:uid="{00000000-0005-0000-0000-0000C8210000}"/>
    <cellStyle name="Comma 10 5 2" xfId="7969" xr:uid="{00000000-0005-0000-0000-0000C9210000}"/>
    <cellStyle name="Comma 10 5 2 2" xfId="9926" xr:uid="{00000000-0005-0000-0000-0000CA210000}"/>
    <cellStyle name="Comma 10 5 2 2 2" xfId="11952" xr:uid="{00000000-0005-0000-0000-0000CB210000}"/>
    <cellStyle name="Comma 10 5 2 2 2 2" xfId="28613" xr:uid="{00000000-0005-0000-0000-0000CC210000}"/>
    <cellStyle name="Comma 10 5 2 2 2 2 2" xfId="46282" xr:uid="{00000000-0005-0000-0000-0000CD210000}"/>
    <cellStyle name="Comma 10 5 2 2 2 3" xfId="32826" xr:uid="{00000000-0005-0000-0000-0000CE210000}"/>
    <cellStyle name="Comma 10 5 2 2 2 4" xfId="37041" xr:uid="{00000000-0005-0000-0000-0000CF210000}"/>
    <cellStyle name="Comma 10 5 2 2 2 5" xfId="41245" xr:uid="{00000000-0005-0000-0000-0000D0210000}"/>
    <cellStyle name="Comma 10 5 2 2 3" xfId="27413" xr:uid="{00000000-0005-0000-0000-0000D1210000}"/>
    <cellStyle name="Comma 10 5 2 2 3 2" xfId="43010" xr:uid="{00000000-0005-0000-0000-0000D2210000}"/>
    <cellStyle name="Comma 10 5 2 2 4" xfId="31626" xr:uid="{00000000-0005-0000-0000-0000D3210000}"/>
    <cellStyle name="Comma 10 5 2 2 5" xfId="35841" xr:uid="{00000000-0005-0000-0000-0000D4210000}"/>
    <cellStyle name="Comma 10 5 2 2 6" xfId="40045" xr:uid="{00000000-0005-0000-0000-0000D5210000}"/>
    <cellStyle name="Comma 10 5 2 3" xfId="10717" xr:uid="{00000000-0005-0000-0000-0000D6210000}"/>
    <cellStyle name="Comma 10 5 2 3 2" xfId="27878" xr:uid="{00000000-0005-0000-0000-0000D7210000}"/>
    <cellStyle name="Comma 10 5 2 3 2 2" xfId="45557" xr:uid="{00000000-0005-0000-0000-0000D8210000}"/>
    <cellStyle name="Comma 10 5 2 3 3" xfId="32091" xr:uid="{00000000-0005-0000-0000-0000D9210000}"/>
    <cellStyle name="Comma 10 5 2 3 4" xfId="36306" xr:uid="{00000000-0005-0000-0000-0000DA210000}"/>
    <cellStyle name="Comma 10 5 2 3 5" xfId="40510" xr:uid="{00000000-0005-0000-0000-0000DB210000}"/>
    <cellStyle name="Comma 10 5 2 4" xfId="26267" xr:uid="{00000000-0005-0000-0000-0000DC210000}"/>
    <cellStyle name="Comma 10 5 2 4 2" xfId="41504" xr:uid="{00000000-0005-0000-0000-0000DD210000}"/>
    <cellStyle name="Comma 10 5 2 5" xfId="30480" xr:uid="{00000000-0005-0000-0000-0000DE210000}"/>
    <cellStyle name="Comma 10 5 2 5 2" xfId="41778" xr:uid="{00000000-0005-0000-0000-0000DF210000}"/>
    <cellStyle name="Comma 10 5 2 6" xfId="34695" xr:uid="{00000000-0005-0000-0000-0000E0210000}"/>
    <cellStyle name="Comma 10 5 2 7" xfId="38899" xr:uid="{00000000-0005-0000-0000-0000E1210000}"/>
    <cellStyle name="Comma 10 5 20" xfId="26258" xr:uid="{00000000-0005-0000-0000-0000E2210000}"/>
    <cellStyle name="Comma 10 5 20 2" xfId="41495" xr:uid="{00000000-0005-0000-0000-0000E3210000}"/>
    <cellStyle name="Comma 10 5 21" xfId="30471" xr:uid="{00000000-0005-0000-0000-0000E4210000}"/>
    <cellStyle name="Comma 10 5 21 2" xfId="41769" xr:uid="{00000000-0005-0000-0000-0000E5210000}"/>
    <cellStyle name="Comma 10 5 22" xfId="34686" xr:uid="{00000000-0005-0000-0000-0000E6210000}"/>
    <cellStyle name="Comma 10 5 23" xfId="38890" xr:uid="{00000000-0005-0000-0000-0000E7210000}"/>
    <cellStyle name="Comma 10 5 3" xfId="7970" xr:uid="{00000000-0005-0000-0000-0000E8210000}"/>
    <cellStyle name="Comma 10 5 3 2" xfId="9927" xr:uid="{00000000-0005-0000-0000-0000E9210000}"/>
    <cellStyle name="Comma 10 5 3 2 2" xfId="11953" xr:uid="{00000000-0005-0000-0000-0000EA210000}"/>
    <cellStyle name="Comma 10 5 3 2 2 2" xfId="28614" xr:uid="{00000000-0005-0000-0000-0000EB210000}"/>
    <cellStyle name="Comma 10 5 3 2 2 2 2" xfId="46283" xr:uid="{00000000-0005-0000-0000-0000EC210000}"/>
    <cellStyle name="Comma 10 5 3 2 2 3" xfId="32827" xr:uid="{00000000-0005-0000-0000-0000ED210000}"/>
    <cellStyle name="Comma 10 5 3 2 2 4" xfId="37042" xr:uid="{00000000-0005-0000-0000-0000EE210000}"/>
    <cellStyle name="Comma 10 5 3 2 2 5" xfId="41246" xr:uid="{00000000-0005-0000-0000-0000EF210000}"/>
    <cellStyle name="Comma 10 5 3 2 3" xfId="27414" xr:uid="{00000000-0005-0000-0000-0000F0210000}"/>
    <cellStyle name="Comma 10 5 3 2 3 2" xfId="43011" xr:uid="{00000000-0005-0000-0000-0000F1210000}"/>
    <cellStyle name="Comma 10 5 3 2 4" xfId="31627" xr:uid="{00000000-0005-0000-0000-0000F2210000}"/>
    <cellStyle name="Comma 10 5 3 2 5" xfId="35842" xr:uid="{00000000-0005-0000-0000-0000F3210000}"/>
    <cellStyle name="Comma 10 5 3 2 6" xfId="40046" xr:uid="{00000000-0005-0000-0000-0000F4210000}"/>
    <cellStyle name="Comma 10 5 3 3" xfId="10718" xr:uid="{00000000-0005-0000-0000-0000F5210000}"/>
    <cellStyle name="Comma 10 5 3 3 2" xfId="27879" xr:uid="{00000000-0005-0000-0000-0000F6210000}"/>
    <cellStyle name="Comma 10 5 3 3 2 2" xfId="45558" xr:uid="{00000000-0005-0000-0000-0000F7210000}"/>
    <cellStyle name="Comma 10 5 3 3 3" xfId="32092" xr:uid="{00000000-0005-0000-0000-0000F8210000}"/>
    <cellStyle name="Comma 10 5 3 3 4" xfId="36307" xr:uid="{00000000-0005-0000-0000-0000F9210000}"/>
    <cellStyle name="Comma 10 5 3 3 5" xfId="40511" xr:uid="{00000000-0005-0000-0000-0000FA210000}"/>
    <cellStyle name="Comma 10 5 3 4" xfId="26268" xr:uid="{00000000-0005-0000-0000-0000FB210000}"/>
    <cellStyle name="Comma 10 5 3 4 2" xfId="41505" xr:uid="{00000000-0005-0000-0000-0000FC210000}"/>
    <cellStyle name="Comma 10 5 3 5" xfId="30481" xr:uid="{00000000-0005-0000-0000-0000FD210000}"/>
    <cellStyle name="Comma 10 5 3 5 2" xfId="41779" xr:uid="{00000000-0005-0000-0000-0000FE210000}"/>
    <cellStyle name="Comma 10 5 3 6" xfId="34696" xr:uid="{00000000-0005-0000-0000-0000FF210000}"/>
    <cellStyle name="Comma 10 5 3 7" xfId="38900" xr:uid="{00000000-0005-0000-0000-000000220000}"/>
    <cellStyle name="Comma 10 5 4" xfId="7971" xr:uid="{00000000-0005-0000-0000-000001220000}"/>
    <cellStyle name="Comma 10 5 4 2" xfId="9928" xr:uid="{00000000-0005-0000-0000-000002220000}"/>
    <cellStyle name="Comma 10 5 4 2 2" xfId="11954" xr:uid="{00000000-0005-0000-0000-000003220000}"/>
    <cellStyle name="Comma 10 5 4 2 2 2" xfId="28615" xr:uid="{00000000-0005-0000-0000-000004220000}"/>
    <cellStyle name="Comma 10 5 4 2 2 2 2" xfId="46284" xr:uid="{00000000-0005-0000-0000-000005220000}"/>
    <cellStyle name="Comma 10 5 4 2 2 3" xfId="32828" xr:uid="{00000000-0005-0000-0000-000006220000}"/>
    <cellStyle name="Comma 10 5 4 2 2 4" xfId="37043" xr:uid="{00000000-0005-0000-0000-000007220000}"/>
    <cellStyle name="Comma 10 5 4 2 2 5" xfId="41247" xr:uid="{00000000-0005-0000-0000-000008220000}"/>
    <cellStyle name="Comma 10 5 4 2 3" xfId="27415" xr:uid="{00000000-0005-0000-0000-000009220000}"/>
    <cellStyle name="Comma 10 5 4 2 3 2" xfId="43012" xr:uid="{00000000-0005-0000-0000-00000A220000}"/>
    <cellStyle name="Comma 10 5 4 2 4" xfId="31628" xr:uid="{00000000-0005-0000-0000-00000B220000}"/>
    <cellStyle name="Comma 10 5 4 2 5" xfId="35843" xr:uid="{00000000-0005-0000-0000-00000C220000}"/>
    <cellStyle name="Comma 10 5 4 2 6" xfId="40047" xr:uid="{00000000-0005-0000-0000-00000D220000}"/>
    <cellStyle name="Comma 10 5 4 3" xfId="10719" xr:uid="{00000000-0005-0000-0000-00000E220000}"/>
    <cellStyle name="Comma 10 5 4 3 2" xfId="27880" xr:uid="{00000000-0005-0000-0000-00000F220000}"/>
    <cellStyle name="Comma 10 5 4 3 2 2" xfId="45559" xr:uid="{00000000-0005-0000-0000-000010220000}"/>
    <cellStyle name="Comma 10 5 4 3 3" xfId="32093" xr:uid="{00000000-0005-0000-0000-000011220000}"/>
    <cellStyle name="Comma 10 5 4 3 4" xfId="36308" xr:uid="{00000000-0005-0000-0000-000012220000}"/>
    <cellStyle name="Comma 10 5 4 3 5" xfId="40512" xr:uid="{00000000-0005-0000-0000-000013220000}"/>
    <cellStyle name="Comma 10 5 4 4" xfId="26269" xr:uid="{00000000-0005-0000-0000-000014220000}"/>
    <cellStyle name="Comma 10 5 4 4 2" xfId="41506" xr:uid="{00000000-0005-0000-0000-000015220000}"/>
    <cellStyle name="Comma 10 5 4 5" xfId="30482" xr:uid="{00000000-0005-0000-0000-000016220000}"/>
    <cellStyle name="Comma 10 5 4 5 2" xfId="41780" xr:uid="{00000000-0005-0000-0000-000017220000}"/>
    <cellStyle name="Comma 10 5 4 6" xfId="34697" xr:uid="{00000000-0005-0000-0000-000018220000}"/>
    <cellStyle name="Comma 10 5 4 7" xfId="38901" xr:uid="{00000000-0005-0000-0000-000019220000}"/>
    <cellStyle name="Comma 10 5 5" xfId="7972" xr:uid="{00000000-0005-0000-0000-00001A220000}"/>
    <cellStyle name="Comma 10 5 5 2" xfId="9929" xr:uid="{00000000-0005-0000-0000-00001B220000}"/>
    <cellStyle name="Comma 10 5 5 2 2" xfId="11955" xr:uid="{00000000-0005-0000-0000-00001C220000}"/>
    <cellStyle name="Comma 10 5 5 2 2 2" xfId="28616" xr:uid="{00000000-0005-0000-0000-00001D220000}"/>
    <cellStyle name="Comma 10 5 5 2 2 2 2" xfId="46285" xr:uid="{00000000-0005-0000-0000-00001E220000}"/>
    <cellStyle name="Comma 10 5 5 2 2 3" xfId="32829" xr:uid="{00000000-0005-0000-0000-00001F220000}"/>
    <cellStyle name="Comma 10 5 5 2 2 4" xfId="37044" xr:uid="{00000000-0005-0000-0000-000020220000}"/>
    <cellStyle name="Comma 10 5 5 2 2 5" xfId="41248" xr:uid="{00000000-0005-0000-0000-000021220000}"/>
    <cellStyle name="Comma 10 5 5 2 3" xfId="27416" xr:uid="{00000000-0005-0000-0000-000022220000}"/>
    <cellStyle name="Comma 10 5 5 2 3 2" xfId="43013" xr:uid="{00000000-0005-0000-0000-000023220000}"/>
    <cellStyle name="Comma 10 5 5 2 4" xfId="31629" xr:uid="{00000000-0005-0000-0000-000024220000}"/>
    <cellStyle name="Comma 10 5 5 2 5" xfId="35844" xr:uid="{00000000-0005-0000-0000-000025220000}"/>
    <cellStyle name="Comma 10 5 5 2 6" xfId="40048" xr:uid="{00000000-0005-0000-0000-000026220000}"/>
    <cellStyle name="Comma 10 5 5 3" xfId="10720" xr:uid="{00000000-0005-0000-0000-000027220000}"/>
    <cellStyle name="Comma 10 5 5 3 2" xfId="27881" xr:uid="{00000000-0005-0000-0000-000028220000}"/>
    <cellStyle name="Comma 10 5 5 3 2 2" xfId="45560" xr:uid="{00000000-0005-0000-0000-000029220000}"/>
    <cellStyle name="Comma 10 5 5 3 3" xfId="32094" xr:uid="{00000000-0005-0000-0000-00002A220000}"/>
    <cellStyle name="Comma 10 5 5 3 4" xfId="36309" xr:uid="{00000000-0005-0000-0000-00002B220000}"/>
    <cellStyle name="Comma 10 5 5 3 5" xfId="40513" xr:uid="{00000000-0005-0000-0000-00002C220000}"/>
    <cellStyle name="Comma 10 5 5 4" xfId="26270" xr:uid="{00000000-0005-0000-0000-00002D220000}"/>
    <cellStyle name="Comma 10 5 5 4 2" xfId="41507" xr:uid="{00000000-0005-0000-0000-00002E220000}"/>
    <cellStyle name="Comma 10 5 5 5" xfId="30483" xr:uid="{00000000-0005-0000-0000-00002F220000}"/>
    <cellStyle name="Comma 10 5 5 5 2" xfId="41781" xr:uid="{00000000-0005-0000-0000-000030220000}"/>
    <cellStyle name="Comma 10 5 5 6" xfId="34698" xr:uid="{00000000-0005-0000-0000-000031220000}"/>
    <cellStyle name="Comma 10 5 5 7" xfId="38902" xr:uid="{00000000-0005-0000-0000-000032220000}"/>
    <cellStyle name="Comma 10 5 6" xfId="7973" xr:uid="{00000000-0005-0000-0000-000033220000}"/>
    <cellStyle name="Comma 10 5 6 2" xfId="9930" xr:uid="{00000000-0005-0000-0000-000034220000}"/>
    <cellStyle name="Comma 10 5 6 2 2" xfId="11956" xr:uid="{00000000-0005-0000-0000-000035220000}"/>
    <cellStyle name="Comma 10 5 6 2 2 2" xfId="28617" xr:uid="{00000000-0005-0000-0000-000036220000}"/>
    <cellStyle name="Comma 10 5 6 2 2 2 2" xfId="46286" xr:uid="{00000000-0005-0000-0000-000037220000}"/>
    <cellStyle name="Comma 10 5 6 2 2 3" xfId="32830" xr:uid="{00000000-0005-0000-0000-000038220000}"/>
    <cellStyle name="Comma 10 5 6 2 2 4" xfId="37045" xr:uid="{00000000-0005-0000-0000-000039220000}"/>
    <cellStyle name="Comma 10 5 6 2 2 5" xfId="41249" xr:uid="{00000000-0005-0000-0000-00003A220000}"/>
    <cellStyle name="Comma 10 5 6 2 3" xfId="27417" xr:uid="{00000000-0005-0000-0000-00003B220000}"/>
    <cellStyle name="Comma 10 5 6 2 3 2" xfId="43014" xr:uid="{00000000-0005-0000-0000-00003C220000}"/>
    <cellStyle name="Comma 10 5 6 2 4" xfId="31630" xr:uid="{00000000-0005-0000-0000-00003D220000}"/>
    <cellStyle name="Comma 10 5 6 2 5" xfId="35845" xr:uid="{00000000-0005-0000-0000-00003E220000}"/>
    <cellStyle name="Comma 10 5 6 2 6" xfId="40049" xr:uid="{00000000-0005-0000-0000-00003F220000}"/>
    <cellStyle name="Comma 10 5 6 3" xfId="10721" xr:uid="{00000000-0005-0000-0000-000040220000}"/>
    <cellStyle name="Comma 10 5 6 3 2" xfId="27882" xr:uid="{00000000-0005-0000-0000-000041220000}"/>
    <cellStyle name="Comma 10 5 6 3 2 2" xfId="45561" xr:uid="{00000000-0005-0000-0000-000042220000}"/>
    <cellStyle name="Comma 10 5 6 3 3" xfId="32095" xr:uid="{00000000-0005-0000-0000-000043220000}"/>
    <cellStyle name="Comma 10 5 6 3 4" xfId="36310" xr:uid="{00000000-0005-0000-0000-000044220000}"/>
    <cellStyle name="Comma 10 5 6 3 5" xfId="40514" xr:uid="{00000000-0005-0000-0000-000045220000}"/>
    <cellStyle name="Comma 10 5 6 4" xfId="26271" xr:uid="{00000000-0005-0000-0000-000046220000}"/>
    <cellStyle name="Comma 10 5 6 4 2" xfId="41508" xr:uid="{00000000-0005-0000-0000-000047220000}"/>
    <cellStyle name="Comma 10 5 6 5" xfId="30484" xr:uid="{00000000-0005-0000-0000-000048220000}"/>
    <cellStyle name="Comma 10 5 6 5 2" xfId="41782" xr:uid="{00000000-0005-0000-0000-000049220000}"/>
    <cellStyle name="Comma 10 5 6 6" xfId="34699" xr:uid="{00000000-0005-0000-0000-00004A220000}"/>
    <cellStyle name="Comma 10 5 6 7" xfId="38903" xr:uid="{00000000-0005-0000-0000-00004B220000}"/>
    <cellStyle name="Comma 10 5 7" xfId="7974" xr:uid="{00000000-0005-0000-0000-00004C220000}"/>
    <cellStyle name="Comma 10 5 7 2" xfId="9931" xr:uid="{00000000-0005-0000-0000-00004D220000}"/>
    <cellStyle name="Comma 10 5 7 2 2" xfId="11957" xr:uid="{00000000-0005-0000-0000-00004E220000}"/>
    <cellStyle name="Comma 10 5 7 2 2 2" xfId="28618" xr:uid="{00000000-0005-0000-0000-00004F220000}"/>
    <cellStyle name="Comma 10 5 7 2 2 2 2" xfId="46287" xr:uid="{00000000-0005-0000-0000-000050220000}"/>
    <cellStyle name="Comma 10 5 7 2 2 3" xfId="32831" xr:uid="{00000000-0005-0000-0000-000051220000}"/>
    <cellStyle name="Comma 10 5 7 2 2 4" xfId="37046" xr:uid="{00000000-0005-0000-0000-000052220000}"/>
    <cellStyle name="Comma 10 5 7 2 2 5" xfId="41250" xr:uid="{00000000-0005-0000-0000-000053220000}"/>
    <cellStyle name="Comma 10 5 7 2 3" xfId="27418" xr:uid="{00000000-0005-0000-0000-000054220000}"/>
    <cellStyle name="Comma 10 5 7 2 3 2" xfId="43015" xr:uid="{00000000-0005-0000-0000-000055220000}"/>
    <cellStyle name="Comma 10 5 7 2 4" xfId="31631" xr:uid="{00000000-0005-0000-0000-000056220000}"/>
    <cellStyle name="Comma 10 5 7 2 5" xfId="35846" xr:uid="{00000000-0005-0000-0000-000057220000}"/>
    <cellStyle name="Comma 10 5 7 2 6" xfId="40050" xr:uid="{00000000-0005-0000-0000-000058220000}"/>
    <cellStyle name="Comma 10 5 7 3" xfId="10722" xr:uid="{00000000-0005-0000-0000-000059220000}"/>
    <cellStyle name="Comma 10 5 7 3 2" xfId="27883" xr:uid="{00000000-0005-0000-0000-00005A220000}"/>
    <cellStyle name="Comma 10 5 7 3 2 2" xfId="45562" xr:uid="{00000000-0005-0000-0000-00005B220000}"/>
    <cellStyle name="Comma 10 5 7 3 3" xfId="32096" xr:uid="{00000000-0005-0000-0000-00005C220000}"/>
    <cellStyle name="Comma 10 5 7 3 4" xfId="36311" xr:uid="{00000000-0005-0000-0000-00005D220000}"/>
    <cellStyle name="Comma 10 5 7 3 5" xfId="40515" xr:uid="{00000000-0005-0000-0000-00005E220000}"/>
    <cellStyle name="Comma 10 5 7 4" xfId="26272" xr:uid="{00000000-0005-0000-0000-00005F220000}"/>
    <cellStyle name="Comma 10 5 7 4 2" xfId="41509" xr:uid="{00000000-0005-0000-0000-000060220000}"/>
    <cellStyle name="Comma 10 5 7 5" xfId="30485" xr:uid="{00000000-0005-0000-0000-000061220000}"/>
    <cellStyle name="Comma 10 5 7 5 2" xfId="41783" xr:uid="{00000000-0005-0000-0000-000062220000}"/>
    <cellStyle name="Comma 10 5 7 6" xfId="34700" xr:uid="{00000000-0005-0000-0000-000063220000}"/>
    <cellStyle name="Comma 10 5 7 7" xfId="38904" xr:uid="{00000000-0005-0000-0000-000064220000}"/>
    <cellStyle name="Comma 10 5 8" xfId="7975" xr:uid="{00000000-0005-0000-0000-000065220000}"/>
    <cellStyle name="Comma 10 5 8 2" xfId="9932" xr:uid="{00000000-0005-0000-0000-000066220000}"/>
    <cellStyle name="Comma 10 5 8 2 2" xfId="11958" xr:uid="{00000000-0005-0000-0000-000067220000}"/>
    <cellStyle name="Comma 10 5 8 2 2 2" xfId="28619" xr:uid="{00000000-0005-0000-0000-000068220000}"/>
    <cellStyle name="Comma 10 5 8 2 2 2 2" xfId="46288" xr:uid="{00000000-0005-0000-0000-000069220000}"/>
    <cellStyle name="Comma 10 5 8 2 2 3" xfId="32832" xr:uid="{00000000-0005-0000-0000-00006A220000}"/>
    <cellStyle name="Comma 10 5 8 2 2 4" xfId="37047" xr:uid="{00000000-0005-0000-0000-00006B220000}"/>
    <cellStyle name="Comma 10 5 8 2 2 5" xfId="41251" xr:uid="{00000000-0005-0000-0000-00006C220000}"/>
    <cellStyle name="Comma 10 5 8 2 3" xfId="27419" xr:uid="{00000000-0005-0000-0000-00006D220000}"/>
    <cellStyle name="Comma 10 5 8 2 3 2" xfId="43016" xr:uid="{00000000-0005-0000-0000-00006E220000}"/>
    <cellStyle name="Comma 10 5 8 2 4" xfId="31632" xr:uid="{00000000-0005-0000-0000-00006F220000}"/>
    <cellStyle name="Comma 10 5 8 2 5" xfId="35847" xr:uid="{00000000-0005-0000-0000-000070220000}"/>
    <cellStyle name="Comma 10 5 8 2 6" xfId="40051" xr:uid="{00000000-0005-0000-0000-000071220000}"/>
    <cellStyle name="Comma 10 5 8 3" xfId="10723" xr:uid="{00000000-0005-0000-0000-000072220000}"/>
    <cellStyle name="Comma 10 5 8 3 2" xfId="27884" xr:uid="{00000000-0005-0000-0000-000073220000}"/>
    <cellStyle name="Comma 10 5 8 3 2 2" xfId="45563" xr:uid="{00000000-0005-0000-0000-000074220000}"/>
    <cellStyle name="Comma 10 5 8 3 3" xfId="32097" xr:uid="{00000000-0005-0000-0000-000075220000}"/>
    <cellStyle name="Comma 10 5 8 3 4" xfId="36312" xr:uid="{00000000-0005-0000-0000-000076220000}"/>
    <cellStyle name="Comma 10 5 8 3 5" xfId="40516" xr:uid="{00000000-0005-0000-0000-000077220000}"/>
    <cellStyle name="Comma 10 5 8 4" xfId="26273" xr:uid="{00000000-0005-0000-0000-000078220000}"/>
    <cellStyle name="Comma 10 5 8 4 2" xfId="41510" xr:uid="{00000000-0005-0000-0000-000079220000}"/>
    <cellStyle name="Comma 10 5 8 5" xfId="30486" xr:uid="{00000000-0005-0000-0000-00007A220000}"/>
    <cellStyle name="Comma 10 5 8 5 2" xfId="41784" xr:uid="{00000000-0005-0000-0000-00007B220000}"/>
    <cellStyle name="Comma 10 5 8 6" xfId="34701" xr:uid="{00000000-0005-0000-0000-00007C220000}"/>
    <cellStyle name="Comma 10 5 8 7" xfId="38905" xr:uid="{00000000-0005-0000-0000-00007D220000}"/>
    <cellStyle name="Comma 10 5 9" xfId="7976" xr:uid="{00000000-0005-0000-0000-00007E220000}"/>
    <cellStyle name="Comma 10 5 9 2" xfId="9933" xr:uid="{00000000-0005-0000-0000-00007F220000}"/>
    <cellStyle name="Comma 10 5 9 2 2" xfId="11959" xr:uid="{00000000-0005-0000-0000-000080220000}"/>
    <cellStyle name="Comma 10 5 9 2 2 2" xfId="28620" xr:uid="{00000000-0005-0000-0000-000081220000}"/>
    <cellStyle name="Comma 10 5 9 2 2 2 2" xfId="46289" xr:uid="{00000000-0005-0000-0000-000082220000}"/>
    <cellStyle name="Comma 10 5 9 2 2 3" xfId="32833" xr:uid="{00000000-0005-0000-0000-000083220000}"/>
    <cellStyle name="Comma 10 5 9 2 2 4" xfId="37048" xr:uid="{00000000-0005-0000-0000-000084220000}"/>
    <cellStyle name="Comma 10 5 9 2 2 5" xfId="41252" xr:uid="{00000000-0005-0000-0000-000085220000}"/>
    <cellStyle name="Comma 10 5 9 2 3" xfId="27420" xr:uid="{00000000-0005-0000-0000-000086220000}"/>
    <cellStyle name="Comma 10 5 9 2 3 2" xfId="43017" xr:uid="{00000000-0005-0000-0000-000087220000}"/>
    <cellStyle name="Comma 10 5 9 2 4" xfId="31633" xr:uid="{00000000-0005-0000-0000-000088220000}"/>
    <cellStyle name="Comma 10 5 9 2 5" xfId="35848" xr:uid="{00000000-0005-0000-0000-000089220000}"/>
    <cellStyle name="Comma 10 5 9 2 6" xfId="40052" xr:uid="{00000000-0005-0000-0000-00008A220000}"/>
    <cellStyle name="Comma 10 5 9 3" xfId="10724" xr:uid="{00000000-0005-0000-0000-00008B220000}"/>
    <cellStyle name="Comma 10 5 9 3 2" xfId="27885" xr:uid="{00000000-0005-0000-0000-00008C220000}"/>
    <cellStyle name="Comma 10 5 9 3 2 2" xfId="45564" xr:uid="{00000000-0005-0000-0000-00008D220000}"/>
    <cellStyle name="Comma 10 5 9 3 3" xfId="32098" xr:uid="{00000000-0005-0000-0000-00008E220000}"/>
    <cellStyle name="Comma 10 5 9 3 4" xfId="36313" xr:uid="{00000000-0005-0000-0000-00008F220000}"/>
    <cellStyle name="Comma 10 5 9 3 5" xfId="40517" xr:uid="{00000000-0005-0000-0000-000090220000}"/>
    <cellStyle name="Comma 10 5 9 4" xfId="26274" xr:uid="{00000000-0005-0000-0000-000091220000}"/>
    <cellStyle name="Comma 10 5 9 4 2" xfId="41511" xr:uid="{00000000-0005-0000-0000-000092220000}"/>
    <cellStyle name="Comma 10 5 9 5" xfId="30487" xr:uid="{00000000-0005-0000-0000-000093220000}"/>
    <cellStyle name="Comma 10 5 9 5 2" xfId="41785" xr:uid="{00000000-0005-0000-0000-000094220000}"/>
    <cellStyle name="Comma 10 5 9 6" xfId="34702" xr:uid="{00000000-0005-0000-0000-000095220000}"/>
    <cellStyle name="Comma 10 5 9 7" xfId="38906" xr:uid="{00000000-0005-0000-0000-000096220000}"/>
    <cellStyle name="Comma 10 6" xfId="7977" xr:uid="{00000000-0005-0000-0000-000097220000}"/>
    <cellStyle name="Comma 10 6 10" xfId="7978" xr:uid="{00000000-0005-0000-0000-000098220000}"/>
    <cellStyle name="Comma 10 6 10 2" xfId="9935" xr:uid="{00000000-0005-0000-0000-000099220000}"/>
    <cellStyle name="Comma 10 6 10 2 2" xfId="11961" xr:uid="{00000000-0005-0000-0000-00009A220000}"/>
    <cellStyle name="Comma 10 6 10 2 2 2" xfId="28622" xr:uid="{00000000-0005-0000-0000-00009B220000}"/>
    <cellStyle name="Comma 10 6 10 2 2 2 2" xfId="46291" xr:uid="{00000000-0005-0000-0000-00009C220000}"/>
    <cellStyle name="Comma 10 6 10 2 2 3" xfId="32835" xr:uid="{00000000-0005-0000-0000-00009D220000}"/>
    <cellStyle name="Comma 10 6 10 2 2 4" xfId="37050" xr:uid="{00000000-0005-0000-0000-00009E220000}"/>
    <cellStyle name="Comma 10 6 10 2 2 5" xfId="41254" xr:uid="{00000000-0005-0000-0000-00009F220000}"/>
    <cellStyle name="Comma 10 6 10 2 3" xfId="27422" xr:uid="{00000000-0005-0000-0000-0000A0220000}"/>
    <cellStyle name="Comma 10 6 10 2 3 2" xfId="43019" xr:uid="{00000000-0005-0000-0000-0000A1220000}"/>
    <cellStyle name="Comma 10 6 10 2 4" xfId="31635" xr:uid="{00000000-0005-0000-0000-0000A2220000}"/>
    <cellStyle name="Comma 10 6 10 2 5" xfId="35850" xr:uid="{00000000-0005-0000-0000-0000A3220000}"/>
    <cellStyle name="Comma 10 6 10 2 6" xfId="40054" xr:uid="{00000000-0005-0000-0000-0000A4220000}"/>
    <cellStyle name="Comma 10 6 10 3" xfId="10726" xr:uid="{00000000-0005-0000-0000-0000A5220000}"/>
    <cellStyle name="Comma 10 6 10 3 2" xfId="27887" xr:uid="{00000000-0005-0000-0000-0000A6220000}"/>
    <cellStyle name="Comma 10 6 10 3 2 2" xfId="45566" xr:uid="{00000000-0005-0000-0000-0000A7220000}"/>
    <cellStyle name="Comma 10 6 10 3 3" xfId="32100" xr:uid="{00000000-0005-0000-0000-0000A8220000}"/>
    <cellStyle name="Comma 10 6 10 3 4" xfId="36315" xr:uid="{00000000-0005-0000-0000-0000A9220000}"/>
    <cellStyle name="Comma 10 6 10 3 5" xfId="40519" xr:uid="{00000000-0005-0000-0000-0000AA220000}"/>
    <cellStyle name="Comma 10 6 10 4" xfId="26276" xr:uid="{00000000-0005-0000-0000-0000AB220000}"/>
    <cellStyle name="Comma 10 6 10 4 2" xfId="41513" xr:uid="{00000000-0005-0000-0000-0000AC220000}"/>
    <cellStyle name="Comma 10 6 10 5" xfId="30489" xr:uid="{00000000-0005-0000-0000-0000AD220000}"/>
    <cellStyle name="Comma 10 6 10 5 2" xfId="41787" xr:uid="{00000000-0005-0000-0000-0000AE220000}"/>
    <cellStyle name="Comma 10 6 10 6" xfId="34704" xr:uid="{00000000-0005-0000-0000-0000AF220000}"/>
    <cellStyle name="Comma 10 6 10 7" xfId="38908" xr:uid="{00000000-0005-0000-0000-0000B0220000}"/>
    <cellStyle name="Comma 10 6 11" xfId="7979" xr:uid="{00000000-0005-0000-0000-0000B1220000}"/>
    <cellStyle name="Comma 10 6 11 2" xfId="9936" xr:uid="{00000000-0005-0000-0000-0000B2220000}"/>
    <cellStyle name="Comma 10 6 11 2 2" xfId="11962" xr:uid="{00000000-0005-0000-0000-0000B3220000}"/>
    <cellStyle name="Comma 10 6 11 2 2 2" xfId="28623" xr:uid="{00000000-0005-0000-0000-0000B4220000}"/>
    <cellStyle name="Comma 10 6 11 2 2 2 2" xfId="46292" xr:uid="{00000000-0005-0000-0000-0000B5220000}"/>
    <cellStyle name="Comma 10 6 11 2 2 3" xfId="32836" xr:uid="{00000000-0005-0000-0000-0000B6220000}"/>
    <cellStyle name="Comma 10 6 11 2 2 4" xfId="37051" xr:uid="{00000000-0005-0000-0000-0000B7220000}"/>
    <cellStyle name="Comma 10 6 11 2 2 5" xfId="41255" xr:uid="{00000000-0005-0000-0000-0000B8220000}"/>
    <cellStyle name="Comma 10 6 11 2 3" xfId="27423" xr:uid="{00000000-0005-0000-0000-0000B9220000}"/>
    <cellStyle name="Comma 10 6 11 2 3 2" xfId="43020" xr:uid="{00000000-0005-0000-0000-0000BA220000}"/>
    <cellStyle name="Comma 10 6 11 2 4" xfId="31636" xr:uid="{00000000-0005-0000-0000-0000BB220000}"/>
    <cellStyle name="Comma 10 6 11 2 5" xfId="35851" xr:uid="{00000000-0005-0000-0000-0000BC220000}"/>
    <cellStyle name="Comma 10 6 11 2 6" xfId="40055" xr:uid="{00000000-0005-0000-0000-0000BD220000}"/>
    <cellStyle name="Comma 10 6 11 3" xfId="10727" xr:uid="{00000000-0005-0000-0000-0000BE220000}"/>
    <cellStyle name="Comma 10 6 11 3 2" xfId="27888" xr:uid="{00000000-0005-0000-0000-0000BF220000}"/>
    <cellStyle name="Comma 10 6 11 3 2 2" xfId="45567" xr:uid="{00000000-0005-0000-0000-0000C0220000}"/>
    <cellStyle name="Comma 10 6 11 3 3" xfId="32101" xr:uid="{00000000-0005-0000-0000-0000C1220000}"/>
    <cellStyle name="Comma 10 6 11 3 4" xfId="36316" xr:uid="{00000000-0005-0000-0000-0000C2220000}"/>
    <cellStyle name="Comma 10 6 11 3 5" xfId="40520" xr:uid="{00000000-0005-0000-0000-0000C3220000}"/>
    <cellStyle name="Comma 10 6 11 4" xfId="26277" xr:uid="{00000000-0005-0000-0000-0000C4220000}"/>
    <cellStyle name="Comma 10 6 11 4 2" xfId="41514" xr:uid="{00000000-0005-0000-0000-0000C5220000}"/>
    <cellStyle name="Comma 10 6 11 5" xfId="30490" xr:uid="{00000000-0005-0000-0000-0000C6220000}"/>
    <cellStyle name="Comma 10 6 11 5 2" xfId="41788" xr:uid="{00000000-0005-0000-0000-0000C7220000}"/>
    <cellStyle name="Comma 10 6 11 6" xfId="34705" xr:uid="{00000000-0005-0000-0000-0000C8220000}"/>
    <cellStyle name="Comma 10 6 11 7" xfId="38909" xr:uid="{00000000-0005-0000-0000-0000C9220000}"/>
    <cellStyle name="Comma 10 6 12" xfId="7980" xr:uid="{00000000-0005-0000-0000-0000CA220000}"/>
    <cellStyle name="Comma 10 6 12 2" xfId="9937" xr:uid="{00000000-0005-0000-0000-0000CB220000}"/>
    <cellStyle name="Comma 10 6 12 2 2" xfId="11963" xr:uid="{00000000-0005-0000-0000-0000CC220000}"/>
    <cellStyle name="Comma 10 6 12 2 2 2" xfId="28624" xr:uid="{00000000-0005-0000-0000-0000CD220000}"/>
    <cellStyle name="Comma 10 6 12 2 2 2 2" xfId="46293" xr:uid="{00000000-0005-0000-0000-0000CE220000}"/>
    <cellStyle name="Comma 10 6 12 2 2 3" xfId="32837" xr:uid="{00000000-0005-0000-0000-0000CF220000}"/>
    <cellStyle name="Comma 10 6 12 2 2 4" xfId="37052" xr:uid="{00000000-0005-0000-0000-0000D0220000}"/>
    <cellStyle name="Comma 10 6 12 2 2 5" xfId="41256" xr:uid="{00000000-0005-0000-0000-0000D1220000}"/>
    <cellStyle name="Comma 10 6 12 2 3" xfId="27424" xr:uid="{00000000-0005-0000-0000-0000D2220000}"/>
    <cellStyle name="Comma 10 6 12 2 3 2" xfId="43021" xr:uid="{00000000-0005-0000-0000-0000D3220000}"/>
    <cellStyle name="Comma 10 6 12 2 4" xfId="31637" xr:uid="{00000000-0005-0000-0000-0000D4220000}"/>
    <cellStyle name="Comma 10 6 12 2 5" xfId="35852" xr:uid="{00000000-0005-0000-0000-0000D5220000}"/>
    <cellStyle name="Comma 10 6 12 2 6" xfId="40056" xr:uid="{00000000-0005-0000-0000-0000D6220000}"/>
    <cellStyle name="Comma 10 6 12 3" xfId="10728" xr:uid="{00000000-0005-0000-0000-0000D7220000}"/>
    <cellStyle name="Comma 10 6 12 3 2" xfId="27889" xr:uid="{00000000-0005-0000-0000-0000D8220000}"/>
    <cellStyle name="Comma 10 6 12 3 2 2" xfId="45568" xr:uid="{00000000-0005-0000-0000-0000D9220000}"/>
    <cellStyle name="Comma 10 6 12 3 3" xfId="32102" xr:uid="{00000000-0005-0000-0000-0000DA220000}"/>
    <cellStyle name="Comma 10 6 12 3 4" xfId="36317" xr:uid="{00000000-0005-0000-0000-0000DB220000}"/>
    <cellStyle name="Comma 10 6 12 3 5" xfId="40521" xr:uid="{00000000-0005-0000-0000-0000DC220000}"/>
    <cellStyle name="Comma 10 6 12 4" xfId="26278" xr:uid="{00000000-0005-0000-0000-0000DD220000}"/>
    <cellStyle name="Comma 10 6 12 4 2" xfId="41515" xr:uid="{00000000-0005-0000-0000-0000DE220000}"/>
    <cellStyle name="Comma 10 6 12 5" xfId="30491" xr:uid="{00000000-0005-0000-0000-0000DF220000}"/>
    <cellStyle name="Comma 10 6 12 5 2" xfId="41789" xr:uid="{00000000-0005-0000-0000-0000E0220000}"/>
    <cellStyle name="Comma 10 6 12 6" xfId="34706" xr:uid="{00000000-0005-0000-0000-0000E1220000}"/>
    <cellStyle name="Comma 10 6 12 7" xfId="38910" xr:uid="{00000000-0005-0000-0000-0000E2220000}"/>
    <cellStyle name="Comma 10 6 13" xfId="7981" xr:uid="{00000000-0005-0000-0000-0000E3220000}"/>
    <cellStyle name="Comma 10 6 13 2" xfId="9938" xr:uid="{00000000-0005-0000-0000-0000E4220000}"/>
    <cellStyle name="Comma 10 6 13 2 2" xfId="11964" xr:uid="{00000000-0005-0000-0000-0000E5220000}"/>
    <cellStyle name="Comma 10 6 13 2 2 2" xfId="28625" xr:uid="{00000000-0005-0000-0000-0000E6220000}"/>
    <cellStyle name="Comma 10 6 13 2 2 2 2" xfId="46294" xr:uid="{00000000-0005-0000-0000-0000E7220000}"/>
    <cellStyle name="Comma 10 6 13 2 2 3" xfId="32838" xr:uid="{00000000-0005-0000-0000-0000E8220000}"/>
    <cellStyle name="Comma 10 6 13 2 2 4" xfId="37053" xr:uid="{00000000-0005-0000-0000-0000E9220000}"/>
    <cellStyle name="Comma 10 6 13 2 2 5" xfId="41257" xr:uid="{00000000-0005-0000-0000-0000EA220000}"/>
    <cellStyle name="Comma 10 6 13 2 3" xfId="27425" xr:uid="{00000000-0005-0000-0000-0000EB220000}"/>
    <cellStyle name="Comma 10 6 13 2 3 2" xfId="43022" xr:uid="{00000000-0005-0000-0000-0000EC220000}"/>
    <cellStyle name="Comma 10 6 13 2 4" xfId="31638" xr:uid="{00000000-0005-0000-0000-0000ED220000}"/>
    <cellStyle name="Comma 10 6 13 2 5" xfId="35853" xr:uid="{00000000-0005-0000-0000-0000EE220000}"/>
    <cellStyle name="Comma 10 6 13 2 6" xfId="40057" xr:uid="{00000000-0005-0000-0000-0000EF220000}"/>
    <cellStyle name="Comma 10 6 13 3" xfId="10729" xr:uid="{00000000-0005-0000-0000-0000F0220000}"/>
    <cellStyle name="Comma 10 6 13 3 2" xfId="27890" xr:uid="{00000000-0005-0000-0000-0000F1220000}"/>
    <cellStyle name="Comma 10 6 13 3 2 2" xfId="45569" xr:uid="{00000000-0005-0000-0000-0000F2220000}"/>
    <cellStyle name="Comma 10 6 13 3 3" xfId="32103" xr:uid="{00000000-0005-0000-0000-0000F3220000}"/>
    <cellStyle name="Comma 10 6 13 3 4" xfId="36318" xr:uid="{00000000-0005-0000-0000-0000F4220000}"/>
    <cellStyle name="Comma 10 6 13 3 5" xfId="40522" xr:uid="{00000000-0005-0000-0000-0000F5220000}"/>
    <cellStyle name="Comma 10 6 13 4" xfId="26279" xr:uid="{00000000-0005-0000-0000-0000F6220000}"/>
    <cellStyle name="Comma 10 6 13 4 2" xfId="41516" xr:uid="{00000000-0005-0000-0000-0000F7220000}"/>
    <cellStyle name="Comma 10 6 13 5" xfId="30492" xr:uid="{00000000-0005-0000-0000-0000F8220000}"/>
    <cellStyle name="Comma 10 6 13 5 2" xfId="41790" xr:uid="{00000000-0005-0000-0000-0000F9220000}"/>
    <cellStyle name="Comma 10 6 13 6" xfId="34707" xr:uid="{00000000-0005-0000-0000-0000FA220000}"/>
    <cellStyle name="Comma 10 6 13 7" xfId="38911" xr:uid="{00000000-0005-0000-0000-0000FB220000}"/>
    <cellStyle name="Comma 10 6 14" xfId="7982" xr:uid="{00000000-0005-0000-0000-0000FC220000}"/>
    <cellStyle name="Comma 10 6 14 2" xfId="9939" xr:uid="{00000000-0005-0000-0000-0000FD220000}"/>
    <cellStyle name="Comma 10 6 14 2 2" xfId="11965" xr:uid="{00000000-0005-0000-0000-0000FE220000}"/>
    <cellStyle name="Comma 10 6 14 2 2 2" xfId="28626" xr:uid="{00000000-0005-0000-0000-0000FF220000}"/>
    <cellStyle name="Comma 10 6 14 2 2 2 2" xfId="46295" xr:uid="{00000000-0005-0000-0000-000000230000}"/>
    <cellStyle name="Comma 10 6 14 2 2 3" xfId="32839" xr:uid="{00000000-0005-0000-0000-000001230000}"/>
    <cellStyle name="Comma 10 6 14 2 2 4" xfId="37054" xr:uid="{00000000-0005-0000-0000-000002230000}"/>
    <cellStyle name="Comma 10 6 14 2 2 5" xfId="41258" xr:uid="{00000000-0005-0000-0000-000003230000}"/>
    <cellStyle name="Comma 10 6 14 2 3" xfId="27426" xr:uid="{00000000-0005-0000-0000-000004230000}"/>
    <cellStyle name="Comma 10 6 14 2 3 2" xfId="43023" xr:uid="{00000000-0005-0000-0000-000005230000}"/>
    <cellStyle name="Comma 10 6 14 2 4" xfId="31639" xr:uid="{00000000-0005-0000-0000-000006230000}"/>
    <cellStyle name="Comma 10 6 14 2 5" xfId="35854" xr:uid="{00000000-0005-0000-0000-000007230000}"/>
    <cellStyle name="Comma 10 6 14 2 6" xfId="40058" xr:uid="{00000000-0005-0000-0000-000008230000}"/>
    <cellStyle name="Comma 10 6 14 3" xfId="10730" xr:uid="{00000000-0005-0000-0000-000009230000}"/>
    <cellStyle name="Comma 10 6 14 3 2" xfId="27891" xr:uid="{00000000-0005-0000-0000-00000A230000}"/>
    <cellStyle name="Comma 10 6 14 3 2 2" xfId="45570" xr:uid="{00000000-0005-0000-0000-00000B230000}"/>
    <cellStyle name="Comma 10 6 14 3 3" xfId="32104" xr:uid="{00000000-0005-0000-0000-00000C230000}"/>
    <cellStyle name="Comma 10 6 14 3 4" xfId="36319" xr:uid="{00000000-0005-0000-0000-00000D230000}"/>
    <cellStyle name="Comma 10 6 14 3 5" xfId="40523" xr:uid="{00000000-0005-0000-0000-00000E230000}"/>
    <cellStyle name="Comma 10 6 14 4" xfId="26280" xr:uid="{00000000-0005-0000-0000-00000F230000}"/>
    <cellStyle name="Comma 10 6 14 4 2" xfId="41517" xr:uid="{00000000-0005-0000-0000-000010230000}"/>
    <cellStyle name="Comma 10 6 14 5" xfId="30493" xr:uid="{00000000-0005-0000-0000-000011230000}"/>
    <cellStyle name="Comma 10 6 14 5 2" xfId="41791" xr:uid="{00000000-0005-0000-0000-000012230000}"/>
    <cellStyle name="Comma 10 6 14 6" xfId="34708" xr:uid="{00000000-0005-0000-0000-000013230000}"/>
    <cellStyle name="Comma 10 6 14 7" xfId="38912" xr:uid="{00000000-0005-0000-0000-000014230000}"/>
    <cellStyle name="Comma 10 6 15" xfId="7983" xr:uid="{00000000-0005-0000-0000-000015230000}"/>
    <cellStyle name="Comma 10 6 15 2" xfId="9940" xr:uid="{00000000-0005-0000-0000-000016230000}"/>
    <cellStyle name="Comma 10 6 15 2 2" xfId="11966" xr:uid="{00000000-0005-0000-0000-000017230000}"/>
    <cellStyle name="Comma 10 6 15 2 2 2" xfId="28627" xr:uid="{00000000-0005-0000-0000-000018230000}"/>
    <cellStyle name="Comma 10 6 15 2 2 2 2" xfId="46296" xr:uid="{00000000-0005-0000-0000-000019230000}"/>
    <cellStyle name="Comma 10 6 15 2 2 3" xfId="32840" xr:uid="{00000000-0005-0000-0000-00001A230000}"/>
    <cellStyle name="Comma 10 6 15 2 2 4" xfId="37055" xr:uid="{00000000-0005-0000-0000-00001B230000}"/>
    <cellStyle name="Comma 10 6 15 2 2 5" xfId="41259" xr:uid="{00000000-0005-0000-0000-00001C230000}"/>
    <cellStyle name="Comma 10 6 15 2 3" xfId="27427" xr:uid="{00000000-0005-0000-0000-00001D230000}"/>
    <cellStyle name="Comma 10 6 15 2 3 2" xfId="43024" xr:uid="{00000000-0005-0000-0000-00001E230000}"/>
    <cellStyle name="Comma 10 6 15 2 4" xfId="31640" xr:uid="{00000000-0005-0000-0000-00001F230000}"/>
    <cellStyle name="Comma 10 6 15 2 5" xfId="35855" xr:uid="{00000000-0005-0000-0000-000020230000}"/>
    <cellStyle name="Comma 10 6 15 2 6" xfId="40059" xr:uid="{00000000-0005-0000-0000-000021230000}"/>
    <cellStyle name="Comma 10 6 15 3" xfId="10731" xr:uid="{00000000-0005-0000-0000-000022230000}"/>
    <cellStyle name="Comma 10 6 15 3 2" xfId="27892" xr:uid="{00000000-0005-0000-0000-000023230000}"/>
    <cellStyle name="Comma 10 6 15 3 2 2" xfId="45571" xr:uid="{00000000-0005-0000-0000-000024230000}"/>
    <cellStyle name="Comma 10 6 15 3 3" xfId="32105" xr:uid="{00000000-0005-0000-0000-000025230000}"/>
    <cellStyle name="Comma 10 6 15 3 4" xfId="36320" xr:uid="{00000000-0005-0000-0000-000026230000}"/>
    <cellStyle name="Comma 10 6 15 3 5" xfId="40524" xr:uid="{00000000-0005-0000-0000-000027230000}"/>
    <cellStyle name="Comma 10 6 15 4" xfId="26281" xr:uid="{00000000-0005-0000-0000-000028230000}"/>
    <cellStyle name="Comma 10 6 15 4 2" xfId="41518" xr:uid="{00000000-0005-0000-0000-000029230000}"/>
    <cellStyle name="Comma 10 6 15 5" xfId="30494" xr:uid="{00000000-0005-0000-0000-00002A230000}"/>
    <cellStyle name="Comma 10 6 15 5 2" xfId="41792" xr:uid="{00000000-0005-0000-0000-00002B230000}"/>
    <cellStyle name="Comma 10 6 15 6" xfId="34709" xr:uid="{00000000-0005-0000-0000-00002C230000}"/>
    <cellStyle name="Comma 10 6 15 7" xfId="38913" xr:uid="{00000000-0005-0000-0000-00002D230000}"/>
    <cellStyle name="Comma 10 6 16" xfId="7984" xr:uid="{00000000-0005-0000-0000-00002E230000}"/>
    <cellStyle name="Comma 10 6 16 2" xfId="9941" xr:uid="{00000000-0005-0000-0000-00002F230000}"/>
    <cellStyle name="Comma 10 6 16 2 2" xfId="11967" xr:uid="{00000000-0005-0000-0000-000030230000}"/>
    <cellStyle name="Comma 10 6 16 2 2 2" xfId="28628" xr:uid="{00000000-0005-0000-0000-000031230000}"/>
    <cellStyle name="Comma 10 6 16 2 2 2 2" xfId="46297" xr:uid="{00000000-0005-0000-0000-000032230000}"/>
    <cellStyle name="Comma 10 6 16 2 2 3" xfId="32841" xr:uid="{00000000-0005-0000-0000-000033230000}"/>
    <cellStyle name="Comma 10 6 16 2 2 4" xfId="37056" xr:uid="{00000000-0005-0000-0000-000034230000}"/>
    <cellStyle name="Comma 10 6 16 2 2 5" xfId="41260" xr:uid="{00000000-0005-0000-0000-000035230000}"/>
    <cellStyle name="Comma 10 6 16 2 3" xfId="27428" xr:uid="{00000000-0005-0000-0000-000036230000}"/>
    <cellStyle name="Comma 10 6 16 2 3 2" xfId="43025" xr:uid="{00000000-0005-0000-0000-000037230000}"/>
    <cellStyle name="Comma 10 6 16 2 4" xfId="31641" xr:uid="{00000000-0005-0000-0000-000038230000}"/>
    <cellStyle name="Comma 10 6 16 2 5" xfId="35856" xr:uid="{00000000-0005-0000-0000-000039230000}"/>
    <cellStyle name="Comma 10 6 16 2 6" xfId="40060" xr:uid="{00000000-0005-0000-0000-00003A230000}"/>
    <cellStyle name="Comma 10 6 16 3" xfId="10732" xr:uid="{00000000-0005-0000-0000-00003B230000}"/>
    <cellStyle name="Comma 10 6 16 3 2" xfId="27893" xr:uid="{00000000-0005-0000-0000-00003C230000}"/>
    <cellStyle name="Comma 10 6 16 3 2 2" xfId="45572" xr:uid="{00000000-0005-0000-0000-00003D230000}"/>
    <cellStyle name="Comma 10 6 16 3 3" xfId="32106" xr:uid="{00000000-0005-0000-0000-00003E230000}"/>
    <cellStyle name="Comma 10 6 16 3 4" xfId="36321" xr:uid="{00000000-0005-0000-0000-00003F230000}"/>
    <cellStyle name="Comma 10 6 16 3 5" xfId="40525" xr:uid="{00000000-0005-0000-0000-000040230000}"/>
    <cellStyle name="Comma 10 6 16 4" xfId="26282" xr:uid="{00000000-0005-0000-0000-000041230000}"/>
    <cellStyle name="Comma 10 6 16 4 2" xfId="41519" xr:uid="{00000000-0005-0000-0000-000042230000}"/>
    <cellStyle name="Comma 10 6 16 5" xfId="30495" xr:uid="{00000000-0005-0000-0000-000043230000}"/>
    <cellStyle name="Comma 10 6 16 5 2" xfId="41793" xr:uid="{00000000-0005-0000-0000-000044230000}"/>
    <cellStyle name="Comma 10 6 16 6" xfId="34710" xr:uid="{00000000-0005-0000-0000-000045230000}"/>
    <cellStyle name="Comma 10 6 16 7" xfId="38914" xr:uid="{00000000-0005-0000-0000-000046230000}"/>
    <cellStyle name="Comma 10 6 17" xfId="7985" xr:uid="{00000000-0005-0000-0000-000047230000}"/>
    <cellStyle name="Comma 10 6 17 2" xfId="9942" xr:uid="{00000000-0005-0000-0000-000048230000}"/>
    <cellStyle name="Comma 10 6 17 2 2" xfId="11968" xr:uid="{00000000-0005-0000-0000-000049230000}"/>
    <cellStyle name="Comma 10 6 17 2 2 2" xfId="28629" xr:uid="{00000000-0005-0000-0000-00004A230000}"/>
    <cellStyle name="Comma 10 6 17 2 2 2 2" xfId="46298" xr:uid="{00000000-0005-0000-0000-00004B230000}"/>
    <cellStyle name="Comma 10 6 17 2 2 3" xfId="32842" xr:uid="{00000000-0005-0000-0000-00004C230000}"/>
    <cellStyle name="Comma 10 6 17 2 2 4" xfId="37057" xr:uid="{00000000-0005-0000-0000-00004D230000}"/>
    <cellStyle name="Comma 10 6 17 2 2 5" xfId="41261" xr:uid="{00000000-0005-0000-0000-00004E230000}"/>
    <cellStyle name="Comma 10 6 17 2 3" xfId="27429" xr:uid="{00000000-0005-0000-0000-00004F230000}"/>
    <cellStyle name="Comma 10 6 17 2 3 2" xfId="43026" xr:uid="{00000000-0005-0000-0000-000050230000}"/>
    <cellStyle name="Comma 10 6 17 2 4" xfId="31642" xr:uid="{00000000-0005-0000-0000-000051230000}"/>
    <cellStyle name="Comma 10 6 17 2 5" xfId="35857" xr:uid="{00000000-0005-0000-0000-000052230000}"/>
    <cellStyle name="Comma 10 6 17 2 6" xfId="40061" xr:uid="{00000000-0005-0000-0000-000053230000}"/>
    <cellStyle name="Comma 10 6 17 3" xfId="10733" xr:uid="{00000000-0005-0000-0000-000054230000}"/>
    <cellStyle name="Comma 10 6 17 3 2" xfId="27894" xr:uid="{00000000-0005-0000-0000-000055230000}"/>
    <cellStyle name="Comma 10 6 17 3 2 2" xfId="45573" xr:uid="{00000000-0005-0000-0000-000056230000}"/>
    <cellStyle name="Comma 10 6 17 3 3" xfId="32107" xr:uid="{00000000-0005-0000-0000-000057230000}"/>
    <cellStyle name="Comma 10 6 17 3 4" xfId="36322" xr:uid="{00000000-0005-0000-0000-000058230000}"/>
    <cellStyle name="Comma 10 6 17 3 5" xfId="40526" xr:uid="{00000000-0005-0000-0000-000059230000}"/>
    <cellStyle name="Comma 10 6 17 4" xfId="26283" xr:uid="{00000000-0005-0000-0000-00005A230000}"/>
    <cellStyle name="Comma 10 6 17 4 2" xfId="41520" xr:uid="{00000000-0005-0000-0000-00005B230000}"/>
    <cellStyle name="Comma 10 6 17 5" xfId="30496" xr:uid="{00000000-0005-0000-0000-00005C230000}"/>
    <cellStyle name="Comma 10 6 17 5 2" xfId="41794" xr:uid="{00000000-0005-0000-0000-00005D230000}"/>
    <cellStyle name="Comma 10 6 17 6" xfId="34711" xr:uid="{00000000-0005-0000-0000-00005E230000}"/>
    <cellStyle name="Comma 10 6 17 7" xfId="38915" xr:uid="{00000000-0005-0000-0000-00005F230000}"/>
    <cellStyle name="Comma 10 6 18" xfId="9934" xr:uid="{00000000-0005-0000-0000-000060230000}"/>
    <cellStyle name="Comma 10 6 18 2" xfId="11960" xr:uid="{00000000-0005-0000-0000-000061230000}"/>
    <cellStyle name="Comma 10 6 18 2 2" xfId="28621" xr:uid="{00000000-0005-0000-0000-000062230000}"/>
    <cellStyle name="Comma 10 6 18 2 2 2" xfId="46290" xr:uid="{00000000-0005-0000-0000-000063230000}"/>
    <cellStyle name="Comma 10 6 18 2 3" xfId="32834" xr:uid="{00000000-0005-0000-0000-000064230000}"/>
    <cellStyle name="Comma 10 6 18 2 4" xfId="37049" xr:uid="{00000000-0005-0000-0000-000065230000}"/>
    <cellStyle name="Comma 10 6 18 2 5" xfId="41253" xr:uid="{00000000-0005-0000-0000-000066230000}"/>
    <cellStyle name="Comma 10 6 18 3" xfId="27421" xr:uid="{00000000-0005-0000-0000-000067230000}"/>
    <cellStyle name="Comma 10 6 18 3 2" xfId="43018" xr:uid="{00000000-0005-0000-0000-000068230000}"/>
    <cellStyle name="Comma 10 6 18 4" xfId="31634" xr:uid="{00000000-0005-0000-0000-000069230000}"/>
    <cellStyle name="Comma 10 6 18 5" xfId="35849" xr:uid="{00000000-0005-0000-0000-00006A230000}"/>
    <cellStyle name="Comma 10 6 18 6" xfId="40053" xr:uid="{00000000-0005-0000-0000-00006B230000}"/>
    <cellStyle name="Comma 10 6 19" xfId="10725" xr:uid="{00000000-0005-0000-0000-00006C230000}"/>
    <cellStyle name="Comma 10 6 19 2" xfId="27886" xr:uid="{00000000-0005-0000-0000-00006D230000}"/>
    <cellStyle name="Comma 10 6 19 2 2" xfId="45565" xr:uid="{00000000-0005-0000-0000-00006E230000}"/>
    <cellStyle name="Comma 10 6 19 3" xfId="32099" xr:uid="{00000000-0005-0000-0000-00006F230000}"/>
    <cellStyle name="Comma 10 6 19 4" xfId="36314" xr:uid="{00000000-0005-0000-0000-000070230000}"/>
    <cellStyle name="Comma 10 6 19 5" xfId="40518" xr:uid="{00000000-0005-0000-0000-000071230000}"/>
    <cellStyle name="Comma 10 6 2" xfId="7986" xr:uid="{00000000-0005-0000-0000-000072230000}"/>
    <cellStyle name="Comma 10 6 2 2" xfId="9943" xr:uid="{00000000-0005-0000-0000-000073230000}"/>
    <cellStyle name="Comma 10 6 2 2 2" xfId="11969" xr:uid="{00000000-0005-0000-0000-000074230000}"/>
    <cellStyle name="Comma 10 6 2 2 2 2" xfId="28630" xr:uid="{00000000-0005-0000-0000-000075230000}"/>
    <cellStyle name="Comma 10 6 2 2 2 2 2" xfId="46299" xr:uid="{00000000-0005-0000-0000-000076230000}"/>
    <cellStyle name="Comma 10 6 2 2 2 3" xfId="32843" xr:uid="{00000000-0005-0000-0000-000077230000}"/>
    <cellStyle name="Comma 10 6 2 2 2 4" xfId="37058" xr:uid="{00000000-0005-0000-0000-000078230000}"/>
    <cellStyle name="Comma 10 6 2 2 2 5" xfId="41262" xr:uid="{00000000-0005-0000-0000-000079230000}"/>
    <cellStyle name="Comma 10 6 2 2 3" xfId="27430" xr:uid="{00000000-0005-0000-0000-00007A230000}"/>
    <cellStyle name="Comma 10 6 2 2 3 2" xfId="43027" xr:uid="{00000000-0005-0000-0000-00007B230000}"/>
    <cellStyle name="Comma 10 6 2 2 4" xfId="31643" xr:uid="{00000000-0005-0000-0000-00007C230000}"/>
    <cellStyle name="Comma 10 6 2 2 5" xfId="35858" xr:uid="{00000000-0005-0000-0000-00007D230000}"/>
    <cellStyle name="Comma 10 6 2 2 6" xfId="40062" xr:uid="{00000000-0005-0000-0000-00007E230000}"/>
    <cellStyle name="Comma 10 6 2 3" xfId="10734" xr:uid="{00000000-0005-0000-0000-00007F230000}"/>
    <cellStyle name="Comma 10 6 2 3 2" xfId="27895" xr:uid="{00000000-0005-0000-0000-000080230000}"/>
    <cellStyle name="Comma 10 6 2 3 2 2" xfId="45574" xr:uid="{00000000-0005-0000-0000-000081230000}"/>
    <cellStyle name="Comma 10 6 2 3 3" xfId="32108" xr:uid="{00000000-0005-0000-0000-000082230000}"/>
    <cellStyle name="Comma 10 6 2 3 4" xfId="36323" xr:uid="{00000000-0005-0000-0000-000083230000}"/>
    <cellStyle name="Comma 10 6 2 3 5" xfId="40527" xr:uid="{00000000-0005-0000-0000-000084230000}"/>
    <cellStyle name="Comma 10 6 2 4" xfId="26284" xr:uid="{00000000-0005-0000-0000-000085230000}"/>
    <cellStyle name="Comma 10 6 2 4 2" xfId="41521" xr:uid="{00000000-0005-0000-0000-000086230000}"/>
    <cellStyle name="Comma 10 6 2 5" xfId="30497" xr:uid="{00000000-0005-0000-0000-000087230000}"/>
    <cellStyle name="Comma 10 6 2 5 2" xfId="41795" xr:uid="{00000000-0005-0000-0000-000088230000}"/>
    <cellStyle name="Comma 10 6 2 6" xfId="34712" xr:uid="{00000000-0005-0000-0000-000089230000}"/>
    <cellStyle name="Comma 10 6 2 7" xfId="38916" xr:uid="{00000000-0005-0000-0000-00008A230000}"/>
    <cellStyle name="Comma 10 6 20" xfId="26275" xr:uid="{00000000-0005-0000-0000-00008B230000}"/>
    <cellStyle name="Comma 10 6 20 2" xfId="41512" xr:uid="{00000000-0005-0000-0000-00008C230000}"/>
    <cellStyle name="Comma 10 6 21" xfId="30488" xr:uid="{00000000-0005-0000-0000-00008D230000}"/>
    <cellStyle name="Comma 10 6 21 2" xfId="41786" xr:uid="{00000000-0005-0000-0000-00008E230000}"/>
    <cellStyle name="Comma 10 6 22" xfId="34703" xr:uid="{00000000-0005-0000-0000-00008F230000}"/>
    <cellStyle name="Comma 10 6 23" xfId="38907" xr:uid="{00000000-0005-0000-0000-000090230000}"/>
    <cellStyle name="Comma 10 6 3" xfId="7987" xr:uid="{00000000-0005-0000-0000-000091230000}"/>
    <cellStyle name="Comma 10 6 3 2" xfId="9944" xr:uid="{00000000-0005-0000-0000-000092230000}"/>
    <cellStyle name="Comma 10 6 3 2 2" xfId="11970" xr:uid="{00000000-0005-0000-0000-000093230000}"/>
    <cellStyle name="Comma 10 6 3 2 2 2" xfId="28631" xr:uid="{00000000-0005-0000-0000-000094230000}"/>
    <cellStyle name="Comma 10 6 3 2 2 2 2" xfId="46300" xr:uid="{00000000-0005-0000-0000-000095230000}"/>
    <cellStyle name="Comma 10 6 3 2 2 3" xfId="32844" xr:uid="{00000000-0005-0000-0000-000096230000}"/>
    <cellStyle name="Comma 10 6 3 2 2 4" xfId="37059" xr:uid="{00000000-0005-0000-0000-000097230000}"/>
    <cellStyle name="Comma 10 6 3 2 2 5" xfId="41263" xr:uid="{00000000-0005-0000-0000-000098230000}"/>
    <cellStyle name="Comma 10 6 3 2 3" xfId="27431" xr:uid="{00000000-0005-0000-0000-000099230000}"/>
    <cellStyle name="Comma 10 6 3 2 3 2" xfId="43028" xr:uid="{00000000-0005-0000-0000-00009A230000}"/>
    <cellStyle name="Comma 10 6 3 2 4" xfId="31644" xr:uid="{00000000-0005-0000-0000-00009B230000}"/>
    <cellStyle name="Comma 10 6 3 2 5" xfId="35859" xr:uid="{00000000-0005-0000-0000-00009C230000}"/>
    <cellStyle name="Comma 10 6 3 2 6" xfId="40063" xr:uid="{00000000-0005-0000-0000-00009D230000}"/>
    <cellStyle name="Comma 10 6 3 3" xfId="10735" xr:uid="{00000000-0005-0000-0000-00009E230000}"/>
    <cellStyle name="Comma 10 6 3 3 2" xfId="27896" xr:uid="{00000000-0005-0000-0000-00009F230000}"/>
    <cellStyle name="Comma 10 6 3 3 2 2" xfId="45575" xr:uid="{00000000-0005-0000-0000-0000A0230000}"/>
    <cellStyle name="Comma 10 6 3 3 3" xfId="32109" xr:uid="{00000000-0005-0000-0000-0000A1230000}"/>
    <cellStyle name="Comma 10 6 3 3 4" xfId="36324" xr:uid="{00000000-0005-0000-0000-0000A2230000}"/>
    <cellStyle name="Comma 10 6 3 3 5" xfId="40528" xr:uid="{00000000-0005-0000-0000-0000A3230000}"/>
    <cellStyle name="Comma 10 6 3 4" xfId="26285" xr:uid="{00000000-0005-0000-0000-0000A4230000}"/>
    <cellStyle name="Comma 10 6 3 4 2" xfId="41522" xr:uid="{00000000-0005-0000-0000-0000A5230000}"/>
    <cellStyle name="Comma 10 6 3 5" xfId="30498" xr:uid="{00000000-0005-0000-0000-0000A6230000}"/>
    <cellStyle name="Comma 10 6 3 5 2" xfId="41796" xr:uid="{00000000-0005-0000-0000-0000A7230000}"/>
    <cellStyle name="Comma 10 6 3 6" xfId="34713" xr:uid="{00000000-0005-0000-0000-0000A8230000}"/>
    <cellStyle name="Comma 10 6 3 7" xfId="38917" xr:uid="{00000000-0005-0000-0000-0000A9230000}"/>
    <cellStyle name="Comma 10 6 4" xfId="7988" xr:uid="{00000000-0005-0000-0000-0000AA230000}"/>
    <cellStyle name="Comma 10 6 4 2" xfId="9945" xr:uid="{00000000-0005-0000-0000-0000AB230000}"/>
    <cellStyle name="Comma 10 6 4 2 2" xfId="11971" xr:uid="{00000000-0005-0000-0000-0000AC230000}"/>
    <cellStyle name="Comma 10 6 4 2 2 2" xfId="28632" xr:uid="{00000000-0005-0000-0000-0000AD230000}"/>
    <cellStyle name="Comma 10 6 4 2 2 2 2" xfId="46301" xr:uid="{00000000-0005-0000-0000-0000AE230000}"/>
    <cellStyle name="Comma 10 6 4 2 2 3" xfId="32845" xr:uid="{00000000-0005-0000-0000-0000AF230000}"/>
    <cellStyle name="Comma 10 6 4 2 2 4" xfId="37060" xr:uid="{00000000-0005-0000-0000-0000B0230000}"/>
    <cellStyle name="Comma 10 6 4 2 2 5" xfId="41264" xr:uid="{00000000-0005-0000-0000-0000B1230000}"/>
    <cellStyle name="Comma 10 6 4 2 3" xfId="27432" xr:uid="{00000000-0005-0000-0000-0000B2230000}"/>
    <cellStyle name="Comma 10 6 4 2 3 2" xfId="43029" xr:uid="{00000000-0005-0000-0000-0000B3230000}"/>
    <cellStyle name="Comma 10 6 4 2 4" xfId="31645" xr:uid="{00000000-0005-0000-0000-0000B4230000}"/>
    <cellStyle name="Comma 10 6 4 2 5" xfId="35860" xr:uid="{00000000-0005-0000-0000-0000B5230000}"/>
    <cellStyle name="Comma 10 6 4 2 6" xfId="40064" xr:uid="{00000000-0005-0000-0000-0000B6230000}"/>
    <cellStyle name="Comma 10 6 4 3" xfId="10736" xr:uid="{00000000-0005-0000-0000-0000B7230000}"/>
    <cellStyle name="Comma 10 6 4 3 2" xfId="27897" xr:uid="{00000000-0005-0000-0000-0000B8230000}"/>
    <cellStyle name="Comma 10 6 4 3 2 2" xfId="45576" xr:uid="{00000000-0005-0000-0000-0000B9230000}"/>
    <cellStyle name="Comma 10 6 4 3 3" xfId="32110" xr:uid="{00000000-0005-0000-0000-0000BA230000}"/>
    <cellStyle name="Comma 10 6 4 3 4" xfId="36325" xr:uid="{00000000-0005-0000-0000-0000BB230000}"/>
    <cellStyle name="Comma 10 6 4 3 5" xfId="40529" xr:uid="{00000000-0005-0000-0000-0000BC230000}"/>
    <cellStyle name="Comma 10 6 4 4" xfId="26286" xr:uid="{00000000-0005-0000-0000-0000BD230000}"/>
    <cellStyle name="Comma 10 6 4 4 2" xfId="41523" xr:uid="{00000000-0005-0000-0000-0000BE230000}"/>
    <cellStyle name="Comma 10 6 4 5" xfId="30499" xr:uid="{00000000-0005-0000-0000-0000BF230000}"/>
    <cellStyle name="Comma 10 6 4 5 2" xfId="41797" xr:uid="{00000000-0005-0000-0000-0000C0230000}"/>
    <cellStyle name="Comma 10 6 4 6" xfId="34714" xr:uid="{00000000-0005-0000-0000-0000C1230000}"/>
    <cellStyle name="Comma 10 6 4 7" xfId="38918" xr:uid="{00000000-0005-0000-0000-0000C2230000}"/>
    <cellStyle name="Comma 10 6 5" xfId="7989" xr:uid="{00000000-0005-0000-0000-0000C3230000}"/>
    <cellStyle name="Comma 10 6 5 2" xfId="9946" xr:uid="{00000000-0005-0000-0000-0000C4230000}"/>
    <cellStyle name="Comma 10 6 5 2 2" xfId="11972" xr:uid="{00000000-0005-0000-0000-0000C5230000}"/>
    <cellStyle name="Comma 10 6 5 2 2 2" xfId="28633" xr:uid="{00000000-0005-0000-0000-0000C6230000}"/>
    <cellStyle name="Comma 10 6 5 2 2 2 2" xfId="46302" xr:uid="{00000000-0005-0000-0000-0000C7230000}"/>
    <cellStyle name="Comma 10 6 5 2 2 3" xfId="32846" xr:uid="{00000000-0005-0000-0000-0000C8230000}"/>
    <cellStyle name="Comma 10 6 5 2 2 4" xfId="37061" xr:uid="{00000000-0005-0000-0000-0000C9230000}"/>
    <cellStyle name="Comma 10 6 5 2 2 5" xfId="41265" xr:uid="{00000000-0005-0000-0000-0000CA230000}"/>
    <cellStyle name="Comma 10 6 5 2 3" xfId="27433" xr:uid="{00000000-0005-0000-0000-0000CB230000}"/>
    <cellStyle name="Comma 10 6 5 2 3 2" xfId="43030" xr:uid="{00000000-0005-0000-0000-0000CC230000}"/>
    <cellStyle name="Comma 10 6 5 2 4" xfId="31646" xr:uid="{00000000-0005-0000-0000-0000CD230000}"/>
    <cellStyle name="Comma 10 6 5 2 5" xfId="35861" xr:uid="{00000000-0005-0000-0000-0000CE230000}"/>
    <cellStyle name="Comma 10 6 5 2 6" xfId="40065" xr:uid="{00000000-0005-0000-0000-0000CF230000}"/>
    <cellStyle name="Comma 10 6 5 3" xfId="10737" xr:uid="{00000000-0005-0000-0000-0000D0230000}"/>
    <cellStyle name="Comma 10 6 5 3 2" xfId="27898" xr:uid="{00000000-0005-0000-0000-0000D1230000}"/>
    <cellStyle name="Comma 10 6 5 3 2 2" xfId="45577" xr:uid="{00000000-0005-0000-0000-0000D2230000}"/>
    <cellStyle name="Comma 10 6 5 3 3" xfId="32111" xr:uid="{00000000-0005-0000-0000-0000D3230000}"/>
    <cellStyle name="Comma 10 6 5 3 4" xfId="36326" xr:uid="{00000000-0005-0000-0000-0000D4230000}"/>
    <cellStyle name="Comma 10 6 5 3 5" xfId="40530" xr:uid="{00000000-0005-0000-0000-0000D5230000}"/>
    <cellStyle name="Comma 10 6 5 4" xfId="26287" xr:uid="{00000000-0005-0000-0000-0000D6230000}"/>
    <cellStyle name="Comma 10 6 5 4 2" xfId="41524" xr:uid="{00000000-0005-0000-0000-0000D7230000}"/>
    <cellStyle name="Comma 10 6 5 5" xfId="30500" xr:uid="{00000000-0005-0000-0000-0000D8230000}"/>
    <cellStyle name="Comma 10 6 5 5 2" xfId="41798" xr:uid="{00000000-0005-0000-0000-0000D9230000}"/>
    <cellStyle name="Comma 10 6 5 6" xfId="34715" xr:uid="{00000000-0005-0000-0000-0000DA230000}"/>
    <cellStyle name="Comma 10 6 5 7" xfId="38919" xr:uid="{00000000-0005-0000-0000-0000DB230000}"/>
    <cellStyle name="Comma 10 6 6" xfId="7990" xr:uid="{00000000-0005-0000-0000-0000DC230000}"/>
    <cellStyle name="Comma 10 6 6 2" xfId="9947" xr:uid="{00000000-0005-0000-0000-0000DD230000}"/>
    <cellStyle name="Comma 10 6 6 2 2" xfId="11973" xr:uid="{00000000-0005-0000-0000-0000DE230000}"/>
    <cellStyle name="Comma 10 6 6 2 2 2" xfId="28634" xr:uid="{00000000-0005-0000-0000-0000DF230000}"/>
    <cellStyle name="Comma 10 6 6 2 2 2 2" xfId="46303" xr:uid="{00000000-0005-0000-0000-0000E0230000}"/>
    <cellStyle name="Comma 10 6 6 2 2 3" xfId="32847" xr:uid="{00000000-0005-0000-0000-0000E1230000}"/>
    <cellStyle name="Comma 10 6 6 2 2 4" xfId="37062" xr:uid="{00000000-0005-0000-0000-0000E2230000}"/>
    <cellStyle name="Comma 10 6 6 2 2 5" xfId="41266" xr:uid="{00000000-0005-0000-0000-0000E3230000}"/>
    <cellStyle name="Comma 10 6 6 2 3" xfId="27434" xr:uid="{00000000-0005-0000-0000-0000E4230000}"/>
    <cellStyle name="Comma 10 6 6 2 3 2" xfId="43031" xr:uid="{00000000-0005-0000-0000-0000E5230000}"/>
    <cellStyle name="Comma 10 6 6 2 4" xfId="31647" xr:uid="{00000000-0005-0000-0000-0000E6230000}"/>
    <cellStyle name="Comma 10 6 6 2 5" xfId="35862" xr:uid="{00000000-0005-0000-0000-0000E7230000}"/>
    <cellStyle name="Comma 10 6 6 2 6" xfId="40066" xr:uid="{00000000-0005-0000-0000-0000E8230000}"/>
    <cellStyle name="Comma 10 6 6 3" xfId="10738" xr:uid="{00000000-0005-0000-0000-0000E9230000}"/>
    <cellStyle name="Comma 10 6 6 3 2" xfId="27899" xr:uid="{00000000-0005-0000-0000-0000EA230000}"/>
    <cellStyle name="Comma 10 6 6 3 2 2" xfId="45578" xr:uid="{00000000-0005-0000-0000-0000EB230000}"/>
    <cellStyle name="Comma 10 6 6 3 3" xfId="32112" xr:uid="{00000000-0005-0000-0000-0000EC230000}"/>
    <cellStyle name="Comma 10 6 6 3 4" xfId="36327" xr:uid="{00000000-0005-0000-0000-0000ED230000}"/>
    <cellStyle name="Comma 10 6 6 3 5" xfId="40531" xr:uid="{00000000-0005-0000-0000-0000EE230000}"/>
    <cellStyle name="Comma 10 6 6 4" xfId="26288" xr:uid="{00000000-0005-0000-0000-0000EF230000}"/>
    <cellStyle name="Comma 10 6 6 4 2" xfId="41525" xr:uid="{00000000-0005-0000-0000-0000F0230000}"/>
    <cellStyle name="Comma 10 6 6 5" xfId="30501" xr:uid="{00000000-0005-0000-0000-0000F1230000}"/>
    <cellStyle name="Comma 10 6 6 5 2" xfId="41799" xr:uid="{00000000-0005-0000-0000-0000F2230000}"/>
    <cellStyle name="Comma 10 6 6 6" xfId="34716" xr:uid="{00000000-0005-0000-0000-0000F3230000}"/>
    <cellStyle name="Comma 10 6 6 7" xfId="38920" xr:uid="{00000000-0005-0000-0000-0000F4230000}"/>
    <cellStyle name="Comma 10 6 7" xfId="7991" xr:uid="{00000000-0005-0000-0000-0000F5230000}"/>
    <cellStyle name="Comma 10 6 7 2" xfId="9948" xr:uid="{00000000-0005-0000-0000-0000F6230000}"/>
    <cellStyle name="Comma 10 6 7 2 2" xfId="11974" xr:uid="{00000000-0005-0000-0000-0000F7230000}"/>
    <cellStyle name="Comma 10 6 7 2 2 2" xfId="28635" xr:uid="{00000000-0005-0000-0000-0000F8230000}"/>
    <cellStyle name="Comma 10 6 7 2 2 2 2" xfId="46304" xr:uid="{00000000-0005-0000-0000-0000F9230000}"/>
    <cellStyle name="Comma 10 6 7 2 2 3" xfId="32848" xr:uid="{00000000-0005-0000-0000-0000FA230000}"/>
    <cellStyle name="Comma 10 6 7 2 2 4" xfId="37063" xr:uid="{00000000-0005-0000-0000-0000FB230000}"/>
    <cellStyle name="Comma 10 6 7 2 2 5" xfId="41267" xr:uid="{00000000-0005-0000-0000-0000FC230000}"/>
    <cellStyle name="Comma 10 6 7 2 3" xfId="27435" xr:uid="{00000000-0005-0000-0000-0000FD230000}"/>
    <cellStyle name="Comma 10 6 7 2 3 2" xfId="43032" xr:uid="{00000000-0005-0000-0000-0000FE230000}"/>
    <cellStyle name="Comma 10 6 7 2 4" xfId="31648" xr:uid="{00000000-0005-0000-0000-0000FF230000}"/>
    <cellStyle name="Comma 10 6 7 2 5" xfId="35863" xr:uid="{00000000-0005-0000-0000-000000240000}"/>
    <cellStyle name="Comma 10 6 7 2 6" xfId="40067" xr:uid="{00000000-0005-0000-0000-000001240000}"/>
    <cellStyle name="Comma 10 6 7 3" xfId="10739" xr:uid="{00000000-0005-0000-0000-000002240000}"/>
    <cellStyle name="Comma 10 6 7 3 2" xfId="27900" xr:uid="{00000000-0005-0000-0000-000003240000}"/>
    <cellStyle name="Comma 10 6 7 3 2 2" xfId="45579" xr:uid="{00000000-0005-0000-0000-000004240000}"/>
    <cellStyle name="Comma 10 6 7 3 3" xfId="32113" xr:uid="{00000000-0005-0000-0000-000005240000}"/>
    <cellStyle name="Comma 10 6 7 3 4" xfId="36328" xr:uid="{00000000-0005-0000-0000-000006240000}"/>
    <cellStyle name="Comma 10 6 7 3 5" xfId="40532" xr:uid="{00000000-0005-0000-0000-000007240000}"/>
    <cellStyle name="Comma 10 6 7 4" xfId="26289" xr:uid="{00000000-0005-0000-0000-000008240000}"/>
    <cellStyle name="Comma 10 6 7 4 2" xfId="41526" xr:uid="{00000000-0005-0000-0000-000009240000}"/>
    <cellStyle name="Comma 10 6 7 5" xfId="30502" xr:uid="{00000000-0005-0000-0000-00000A240000}"/>
    <cellStyle name="Comma 10 6 7 5 2" xfId="41800" xr:uid="{00000000-0005-0000-0000-00000B240000}"/>
    <cellStyle name="Comma 10 6 7 6" xfId="34717" xr:uid="{00000000-0005-0000-0000-00000C240000}"/>
    <cellStyle name="Comma 10 6 7 7" xfId="38921" xr:uid="{00000000-0005-0000-0000-00000D240000}"/>
    <cellStyle name="Comma 10 6 8" xfId="7992" xr:uid="{00000000-0005-0000-0000-00000E240000}"/>
    <cellStyle name="Comma 10 6 8 2" xfId="9949" xr:uid="{00000000-0005-0000-0000-00000F240000}"/>
    <cellStyle name="Comma 10 6 8 2 2" xfId="11975" xr:uid="{00000000-0005-0000-0000-000010240000}"/>
    <cellStyle name="Comma 10 6 8 2 2 2" xfId="28636" xr:uid="{00000000-0005-0000-0000-000011240000}"/>
    <cellStyle name="Comma 10 6 8 2 2 2 2" xfId="46305" xr:uid="{00000000-0005-0000-0000-000012240000}"/>
    <cellStyle name="Comma 10 6 8 2 2 3" xfId="32849" xr:uid="{00000000-0005-0000-0000-000013240000}"/>
    <cellStyle name="Comma 10 6 8 2 2 4" xfId="37064" xr:uid="{00000000-0005-0000-0000-000014240000}"/>
    <cellStyle name="Comma 10 6 8 2 2 5" xfId="41268" xr:uid="{00000000-0005-0000-0000-000015240000}"/>
    <cellStyle name="Comma 10 6 8 2 3" xfId="27436" xr:uid="{00000000-0005-0000-0000-000016240000}"/>
    <cellStyle name="Comma 10 6 8 2 3 2" xfId="43033" xr:uid="{00000000-0005-0000-0000-000017240000}"/>
    <cellStyle name="Comma 10 6 8 2 4" xfId="31649" xr:uid="{00000000-0005-0000-0000-000018240000}"/>
    <cellStyle name="Comma 10 6 8 2 5" xfId="35864" xr:uid="{00000000-0005-0000-0000-000019240000}"/>
    <cellStyle name="Comma 10 6 8 2 6" xfId="40068" xr:uid="{00000000-0005-0000-0000-00001A240000}"/>
    <cellStyle name="Comma 10 6 8 3" xfId="10740" xr:uid="{00000000-0005-0000-0000-00001B240000}"/>
    <cellStyle name="Comma 10 6 8 3 2" xfId="27901" xr:uid="{00000000-0005-0000-0000-00001C240000}"/>
    <cellStyle name="Comma 10 6 8 3 2 2" xfId="45580" xr:uid="{00000000-0005-0000-0000-00001D240000}"/>
    <cellStyle name="Comma 10 6 8 3 3" xfId="32114" xr:uid="{00000000-0005-0000-0000-00001E240000}"/>
    <cellStyle name="Comma 10 6 8 3 4" xfId="36329" xr:uid="{00000000-0005-0000-0000-00001F240000}"/>
    <cellStyle name="Comma 10 6 8 3 5" xfId="40533" xr:uid="{00000000-0005-0000-0000-000020240000}"/>
    <cellStyle name="Comma 10 6 8 4" xfId="26290" xr:uid="{00000000-0005-0000-0000-000021240000}"/>
    <cellStyle name="Comma 10 6 8 4 2" xfId="41527" xr:uid="{00000000-0005-0000-0000-000022240000}"/>
    <cellStyle name="Comma 10 6 8 5" xfId="30503" xr:uid="{00000000-0005-0000-0000-000023240000}"/>
    <cellStyle name="Comma 10 6 8 5 2" xfId="41801" xr:uid="{00000000-0005-0000-0000-000024240000}"/>
    <cellStyle name="Comma 10 6 8 6" xfId="34718" xr:uid="{00000000-0005-0000-0000-000025240000}"/>
    <cellStyle name="Comma 10 6 8 7" xfId="38922" xr:uid="{00000000-0005-0000-0000-000026240000}"/>
    <cellStyle name="Comma 10 6 9" xfId="7993" xr:uid="{00000000-0005-0000-0000-000027240000}"/>
    <cellStyle name="Comma 10 6 9 2" xfId="9950" xr:uid="{00000000-0005-0000-0000-000028240000}"/>
    <cellStyle name="Comma 10 6 9 2 2" xfId="11976" xr:uid="{00000000-0005-0000-0000-000029240000}"/>
    <cellStyle name="Comma 10 6 9 2 2 2" xfId="28637" xr:uid="{00000000-0005-0000-0000-00002A240000}"/>
    <cellStyle name="Comma 10 6 9 2 2 2 2" xfId="46306" xr:uid="{00000000-0005-0000-0000-00002B240000}"/>
    <cellStyle name="Comma 10 6 9 2 2 3" xfId="32850" xr:uid="{00000000-0005-0000-0000-00002C240000}"/>
    <cellStyle name="Comma 10 6 9 2 2 4" xfId="37065" xr:uid="{00000000-0005-0000-0000-00002D240000}"/>
    <cellStyle name="Comma 10 6 9 2 2 5" xfId="41269" xr:uid="{00000000-0005-0000-0000-00002E240000}"/>
    <cellStyle name="Comma 10 6 9 2 3" xfId="27437" xr:uid="{00000000-0005-0000-0000-00002F240000}"/>
    <cellStyle name="Comma 10 6 9 2 3 2" xfId="43034" xr:uid="{00000000-0005-0000-0000-000030240000}"/>
    <cellStyle name="Comma 10 6 9 2 4" xfId="31650" xr:uid="{00000000-0005-0000-0000-000031240000}"/>
    <cellStyle name="Comma 10 6 9 2 5" xfId="35865" xr:uid="{00000000-0005-0000-0000-000032240000}"/>
    <cellStyle name="Comma 10 6 9 2 6" xfId="40069" xr:uid="{00000000-0005-0000-0000-000033240000}"/>
    <cellStyle name="Comma 10 6 9 3" xfId="10741" xr:uid="{00000000-0005-0000-0000-000034240000}"/>
    <cellStyle name="Comma 10 6 9 3 2" xfId="27902" xr:uid="{00000000-0005-0000-0000-000035240000}"/>
    <cellStyle name="Comma 10 6 9 3 2 2" xfId="45581" xr:uid="{00000000-0005-0000-0000-000036240000}"/>
    <cellStyle name="Comma 10 6 9 3 3" xfId="32115" xr:uid="{00000000-0005-0000-0000-000037240000}"/>
    <cellStyle name="Comma 10 6 9 3 4" xfId="36330" xr:uid="{00000000-0005-0000-0000-000038240000}"/>
    <cellStyle name="Comma 10 6 9 3 5" xfId="40534" xr:uid="{00000000-0005-0000-0000-000039240000}"/>
    <cellStyle name="Comma 10 6 9 4" xfId="26291" xr:uid="{00000000-0005-0000-0000-00003A240000}"/>
    <cellStyle name="Comma 10 6 9 4 2" xfId="41528" xr:uid="{00000000-0005-0000-0000-00003B240000}"/>
    <cellStyle name="Comma 10 6 9 5" xfId="30504" xr:uid="{00000000-0005-0000-0000-00003C240000}"/>
    <cellStyle name="Comma 10 6 9 5 2" xfId="41802" xr:uid="{00000000-0005-0000-0000-00003D240000}"/>
    <cellStyle name="Comma 10 6 9 6" xfId="34719" xr:uid="{00000000-0005-0000-0000-00003E240000}"/>
    <cellStyle name="Comma 10 6 9 7" xfId="38923" xr:uid="{00000000-0005-0000-0000-00003F240000}"/>
    <cellStyle name="Comma 10 7" xfId="7994" xr:uid="{00000000-0005-0000-0000-000040240000}"/>
    <cellStyle name="Comma 10 7 10" xfId="7995" xr:uid="{00000000-0005-0000-0000-000041240000}"/>
    <cellStyle name="Comma 10 7 10 2" xfId="9952" xr:uid="{00000000-0005-0000-0000-000042240000}"/>
    <cellStyle name="Comma 10 7 10 2 2" xfId="11978" xr:uid="{00000000-0005-0000-0000-000043240000}"/>
    <cellStyle name="Comma 10 7 10 2 2 2" xfId="28639" xr:uid="{00000000-0005-0000-0000-000044240000}"/>
    <cellStyle name="Comma 10 7 10 2 2 2 2" xfId="46308" xr:uid="{00000000-0005-0000-0000-000045240000}"/>
    <cellStyle name="Comma 10 7 10 2 2 3" xfId="32852" xr:uid="{00000000-0005-0000-0000-000046240000}"/>
    <cellStyle name="Comma 10 7 10 2 2 4" xfId="37067" xr:uid="{00000000-0005-0000-0000-000047240000}"/>
    <cellStyle name="Comma 10 7 10 2 2 5" xfId="41271" xr:uid="{00000000-0005-0000-0000-000048240000}"/>
    <cellStyle name="Comma 10 7 10 2 3" xfId="27439" xr:uid="{00000000-0005-0000-0000-000049240000}"/>
    <cellStyle name="Comma 10 7 10 2 3 2" xfId="43036" xr:uid="{00000000-0005-0000-0000-00004A240000}"/>
    <cellStyle name="Comma 10 7 10 2 4" xfId="31652" xr:uid="{00000000-0005-0000-0000-00004B240000}"/>
    <cellStyle name="Comma 10 7 10 2 5" xfId="35867" xr:uid="{00000000-0005-0000-0000-00004C240000}"/>
    <cellStyle name="Comma 10 7 10 2 6" xfId="40071" xr:uid="{00000000-0005-0000-0000-00004D240000}"/>
    <cellStyle name="Comma 10 7 10 3" xfId="10743" xr:uid="{00000000-0005-0000-0000-00004E240000}"/>
    <cellStyle name="Comma 10 7 10 3 2" xfId="27904" xr:uid="{00000000-0005-0000-0000-00004F240000}"/>
    <cellStyle name="Comma 10 7 10 3 2 2" xfId="45583" xr:uid="{00000000-0005-0000-0000-000050240000}"/>
    <cellStyle name="Comma 10 7 10 3 3" xfId="32117" xr:uid="{00000000-0005-0000-0000-000051240000}"/>
    <cellStyle name="Comma 10 7 10 3 4" xfId="36332" xr:uid="{00000000-0005-0000-0000-000052240000}"/>
    <cellStyle name="Comma 10 7 10 3 5" xfId="40536" xr:uid="{00000000-0005-0000-0000-000053240000}"/>
    <cellStyle name="Comma 10 7 10 4" xfId="26293" xr:uid="{00000000-0005-0000-0000-000054240000}"/>
    <cellStyle name="Comma 10 7 10 4 2" xfId="41530" xr:uid="{00000000-0005-0000-0000-000055240000}"/>
    <cellStyle name="Comma 10 7 10 5" xfId="30506" xr:uid="{00000000-0005-0000-0000-000056240000}"/>
    <cellStyle name="Comma 10 7 10 5 2" xfId="41804" xr:uid="{00000000-0005-0000-0000-000057240000}"/>
    <cellStyle name="Comma 10 7 10 6" xfId="34721" xr:uid="{00000000-0005-0000-0000-000058240000}"/>
    <cellStyle name="Comma 10 7 10 7" xfId="38925" xr:uid="{00000000-0005-0000-0000-000059240000}"/>
    <cellStyle name="Comma 10 7 11" xfId="7996" xr:uid="{00000000-0005-0000-0000-00005A240000}"/>
    <cellStyle name="Comma 10 7 11 2" xfId="9953" xr:uid="{00000000-0005-0000-0000-00005B240000}"/>
    <cellStyle name="Comma 10 7 11 2 2" xfId="11979" xr:uid="{00000000-0005-0000-0000-00005C240000}"/>
    <cellStyle name="Comma 10 7 11 2 2 2" xfId="28640" xr:uid="{00000000-0005-0000-0000-00005D240000}"/>
    <cellStyle name="Comma 10 7 11 2 2 2 2" xfId="46309" xr:uid="{00000000-0005-0000-0000-00005E240000}"/>
    <cellStyle name="Comma 10 7 11 2 2 3" xfId="32853" xr:uid="{00000000-0005-0000-0000-00005F240000}"/>
    <cellStyle name="Comma 10 7 11 2 2 4" xfId="37068" xr:uid="{00000000-0005-0000-0000-000060240000}"/>
    <cellStyle name="Comma 10 7 11 2 2 5" xfId="41272" xr:uid="{00000000-0005-0000-0000-000061240000}"/>
    <cellStyle name="Comma 10 7 11 2 3" xfId="27440" xr:uid="{00000000-0005-0000-0000-000062240000}"/>
    <cellStyle name="Comma 10 7 11 2 3 2" xfId="43037" xr:uid="{00000000-0005-0000-0000-000063240000}"/>
    <cellStyle name="Comma 10 7 11 2 4" xfId="31653" xr:uid="{00000000-0005-0000-0000-000064240000}"/>
    <cellStyle name="Comma 10 7 11 2 5" xfId="35868" xr:uid="{00000000-0005-0000-0000-000065240000}"/>
    <cellStyle name="Comma 10 7 11 2 6" xfId="40072" xr:uid="{00000000-0005-0000-0000-000066240000}"/>
    <cellStyle name="Comma 10 7 11 3" xfId="10744" xr:uid="{00000000-0005-0000-0000-000067240000}"/>
    <cellStyle name="Comma 10 7 11 3 2" xfId="27905" xr:uid="{00000000-0005-0000-0000-000068240000}"/>
    <cellStyle name="Comma 10 7 11 3 2 2" xfId="45584" xr:uid="{00000000-0005-0000-0000-000069240000}"/>
    <cellStyle name="Comma 10 7 11 3 3" xfId="32118" xr:uid="{00000000-0005-0000-0000-00006A240000}"/>
    <cellStyle name="Comma 10 7 11 3 4" xfId="36333" xr:uid="{00000000-0005-0000-0000-00006B240000}"/>
    <cellStyle name="Comma 10 7 11 3 5" xfId="40537" xr:uid="{00000000-0005-0000-0000-00006C240000}"/>
    <cellStyle name="Comma 10 7 11 4" xfId="26294" xr:uid="{00000000-0005-0000-0000-00006D240000}"/>
    <cellStyle name="Comma 10 7 11 4 2" xfId="41531" xr:uid="{00000000-0005-0000-0000-00006E240000}"/>
    <cellStyle name="Comma 10 7 11 5" xfId="30507" xr:uid="{00000000-0005-0000-0000-00006F240000}"/>
    <cellStyle name="Comma 10 7 11 5 2" xfId="41805" xr:uid="{00000000-0005-0000-0000-000070240000}"/>
    <cellStyle name="Comma 10 7 11 6" xfId="34722" xr:uid="{00000000-0005-0000-0000-000071240000}"/>
    <cellStyle name="Comma 10 7 11 7" xfId="38926" xr:uid="{00000000-0005-0000-0000-000072240000}"/>
    <cellStyle name="Comma 10 7 12" xfId="7997" xr:uid="{00000000-0005-0000-0000-000073240000}"/>
    <cellStyle name="Comma 10 7 12 2" xfId="9954" xr:uid="{00000000-0005-0000-0000-000074240000}"/>
    <cellStyle name="Comma 10 7 12 2 2" xfId="11980" xr:uid="{00000000-0005-0000-0000-000075240000}"/>
    <cellStyle name="Comma 10 7 12 2 2 2" xfId="28641" xr:uid="{00000000-0005-0000-0000-000076240000}"/>
    <cellStyle name="Comma 10 7 12 2 2 2 2" xfId="46310" xr:uid="{00000000-0005-0000-0000-000077240000}"/>
    <cellStyle name="Comma 10 7 12 2 2 3" xfId="32854" xr:uid="{00000000-0005-0000-0000-000078240000}"/>
    <cellStyle name="Comma 10 7 12 2 2 4" xfId="37069" xr:uid="{00000000-0005-0000-0000-000079240000}"/>
    <cellStyle name="Comma 10 7 12 2 2 5" xfId="41273" xr:uid="{00000000-0005-0000-0000-00007A240000}"/>
    <cellStyle name="Comma 10 7 12 2 3" xfId="27441" xr:uid="{00000000-0005-0000-0000-00007B240000}"/>
    <cellStyle name="Comma 10 7 12 2 3 2" xfId="43038" xr:uid="{00000000-0005-0000-0000-00007C240000}"/>
    <cellStyle name="Comma 10 7 12 2 4" xfId="31654" xr:uid="{00000000-0005-0000-0000-00007D240000}"/>
    <cellStyle name="Comma 10 7 12 2 5" xfId="35869" xr:uid="{00000000-0005-0000-0000-00007E240000}"/>
    <cellStyle name="Comma 10 7 12 2 6" xfId="40073" xr:uid="{00000000-0005-0000-0000-00007F240000}"/>
    <cellStyle name="Comma 10 7 12 3" xfId="10745" xr:uid="{00000000-0005-0000-0000-000080240000}"/>
    <cellStyle name="Comma 10 7 12 3 2" xfId="27906" xr:uid="{00000000-0005-0000-0000-000081240000}"/>
    <cellStyle name="Comma 10 7 12 3 2 2" xfId="45585" xr:uid="{00000000-0005-0000-0000-000082240000}"/>
    <cellStyle name="Comma 10 7 12 3 3" xfId="32119" xr:uid="{00000000-0005-0000-0000-000083240000}"/>
    <cellStyle name="Comma 10 7 12 3 4" xfId="36334" xr:uid="{00000000-0005-0000-0000-000084240000}"/>
    <cellStyle name="Comma 10 7 12 3 5" xfId="40538" xr:uid="{00000000-0005-0000-0000-000085240000}"/>
    <cellStyle name="Comma 10 7 12 4" xfId="26295" xr:uid="{00000000-0005-0000-0000-000086240000}"/>
    <cellStyle name="Comma 10 7 12 4 2" xfId="41532" xr:uid="{00000000-0005-0000-0000-000087240000}"/>
    <cellStyle name="Comma 10 7 12 5" xfId="30508" xr:uid="{00000000-0005-0000-0000-000088240000}"/>
    <cellStyle name="Comma 10 7 12 5 2" xfId="41806" xr:uid="{00000000-0005-0000-0000-000089240000}"/>
    <cellStyle name="Comma 10 7 12 6" xfId="34723" xr:uid="{00000000-0005-0000-0000-00008A240000}"/>
    <cellStyle name="Comma 10 7 12 7" xfId="38927" xr:uid="{00000000-0005-0000-0000-00008B240000}"/>
    <cellStyle name="Comma 10 7 13" xfId="7998" xr:uid="{00000000-0005-0000-0000-00008C240000}"/>
    <cellStyle name="Comma 10 7 13 2" xfId="9955" xr:uid="{00000000-0005-0000-0000-00008D240000}"/>
    <cellStyle name="Comma 10 7 13 2 2" xfId="11981" xr:uid="{00000000-0005-0000-0000-00008E240000}"/>
    <cellStyle name="Comma 10 7 13 2 2 2" xfId="28642" xr:uid="{00000000-0005-0000-0000-00008F240000}"/>
    <cellStyle name="Comma 10 7 13 2 2 2 2" xfId="46311" xr:uid="{00000000-0005-0000-0000-000090240000}"/>
    <cellStyle name="Comma 10 7 13 2 2 3" xfId="32855" xr:uid="{00000000-0005-0000-0000-000091240000}"/>
    <cellStyle name="Comma 10 7 13 2 2 4" xfId="37070" xr:uid="{00000000-0005-0000-0000-000092240000}"/>
    <cellStyle name="Comma 10 7 13 2 2 5" xfId="41274" xr:uid="{00000000-0005-0000-0000-000093240000}"/>
    <cellStyle name="Comma 10 7 13 2 3" xfId="27442" xr:uid="{00000000-0005-0000-0000-000094240000}"/>
    <cellStyle name="Comma 10 7 13 2 3 2" xfId="43039" xr:uid="{00000000-0005-0000-0000-000095240000}"/>
    <cellStyle name="Comma 10 7 13 2 4" xfId="31655" xr:uid="{00000000-0005-0000-0000-000096240000}"/>
    <cellStyle name="Comma 10 7 13 2 5" xfId="35870" xr:uid="{00000000-0005-0000-0000-000097240000}"/>
    <cellStyle name="Comma 10 7 13 2 6" xfId="40074" xr:uid="{00000000-0005-0000-0000-000098240000}"/>
    <cellStyle name="Comma 10 7 13 3" xfId="10746" xr:uid="{00000000-0005-0000-0000-000099240000}"/>
    <cellStyle name="Comma 10 7 13 3 2" xfId="27907" xr:uid="{00000000-0005-0000-0000-00009A240000}"/>
    <cellStyle name="Comma 10 7 13 3 2 2" xfId="45586" xr:uid="{00000000-0005-0000-0000-00009B240000}"/>
    <cellStyle name="Comma 10 7 13 3 3" xfId="32120" xr:uid="{00000000-0005-0000-0000-00009C240000}"/>
    <cellStyle name="Comma 10 7 13 3 4" xfId="36335" xr:uid="{00000000-0005-0000-0000-00009D240000}"/>
    <cellStyle name="Comma 10 7 13 3 5" xfId="40539" xr:uid="{00000000-0005-0000-0000-00009E240000}"/>
    <cellStyle name="Comma 10 7 13 4" xfId="26296" xr:uid="{00000000-0005-0000-0000-00009F240000}"/>
    <cellStyle name="Comma 10 7 13 4 2" xfId="41533" xr:uid="{00000000-0005-0000-0000-0000A0240000}"/>
    <cellStyle name="Comma 10 7 13 5" xfId="30509" xr:uid="{00000000-0005-0000-0000-0000A1240000}"/>
    <cellStyle name="Comma 10 7 13 5 2" xfId="41807" xr:uid="{00000000-0005-0000-0000-0000A2240000}"/>
    <cellStyle name="Comma 10 7 13 6" xfId="34724" xr:uid="{00000000-0005-0000-0000-0000A3240000}"/>
    <cellStyle name="Comma 10 7 13 7" xfId="38928" xr:uid="{00000000-0005-0000-0000-0000A4240000}"/>
    <cellStyle name="Comma 10 7 14" xfId="7999" xr:uid="{00000000-0005-0000-0000-0000A5240000}"/>
    <cellStyle name="Comma 10 7 14 2" xfId="9956" xr:uid="{00000000-0005-0000-0000-0000A6240000}"/>
    <cellStyle name="Comma 10 7 14 2 2" xfId="11982" xr:uid="{00000000-0005-0000-0000-0000A7240000}"/>
    <cellStyle name="Comma 10 7 14 2 2 2" xfId="28643" xr:uid="{00000000-0005-0000-0000-0000A8240000}"/>
    <cellStyle name="Comma 10 7 14 2 2 2 2" xfId="46312" xr:uid="{00000000-0005-0000-0000-0000A9240000}"/>
    <cellStyle name="Comma 10 7 14 2 2 3" xfId="32856" xr:uid="{00000000-0005-0000-0000-0000AA240000}"/>
    <cellStyle name="Comma 10 7 14 2 2 4" xfId="37071" xr:uid="{00000000-0005-0000-0000-0000AB240000}"/>
    <cellStyle name="Comma 10 7 14 2 2 5" xfId="41275" xr:uid="{00000000-0005-0000-0000-0000AC240000}"/>
    <cellStyle name="Comma 10 7 14 2 3" xfId="27443" xr:uid="{00000000-0005-0000-0000-0000AD240000}"/>
    <cellStyle name="Comma 10 7 14 2 3 2" xfId="43040" xr:uid="{00000000-0005-0000-0000-0000AE240000}"/>
    <cellStyle name="Comma 10 7 14 2 4" xfId="31656" xr:uid="{00000000-0005-0000-0000-0000AF240000}"/>
    <cellStyle name="Comma 10 7 14 2 5" xfId="35871" xr:uid="{00000000-0005-0000-0000-0000B0240000}"/>
    <cellStyle name="Comma 10 7 14 2 6" xfId="40075" xr:uid="{00000000-0005-0000-0000-0000B1240000}"/>
    <cellStyle name="Comma 10 7 14 3" xfId="10747" xr:uid="{00000000-0005-0000-0000-0000B2240000}"/>
    <cellStyle name="Comma 10 7 14 3 2" xfId="27908" xr:uid="{00000000-0005-0000-0000-0000B3240000}"/>
    <cellStyle name="Comma 10 7 14 3 2 2" xfId="45587" xr:uid="{00000000-0005-0000-0000-0000B4240000}"/>
    <cellStyle name="Comma 10 7 14 3 3" xfId="32121" xr:uid="{00000000-0005-0000-0000-0000B5240000}"/>
    <cellStyle name="Comma 10 7 14 3 4" xfId="36336" xr:uid="{00000000-0005-0000-0000-0000B6240000}"/>
    <cellStyle name="Comma 10 7 14 3 5" xfId="40540" xr:uid="{00000000-0005-0000-0000-0000B7240000}"/>
    <cellStyle name="Comma 10 7 14 4" xfId="26297" xr:uid="{00000000-0005-0000-0000-0000B8240000}"/>
    <cellStyle name="Comma 10 7 14 4 2" xfId="41534" xr:uid="{00000000-0005-0000-0000-0000B9240000}"/>
    <cellStyle name="Comma 10 7 14 5" xfId="30510" xr:uid="{00000000-0005-0000-0000-0000BA240000}"/>
    <cellStyle name="Comma 10 7 14 5 2" xfId="41808" xr:uid="{00000000-0005-0000-0000-0000BB240000}"/>
    <cellStyle name="Comma 10 7 14 6" xfId="34725" xr:uid="{00000000-0005-0000-0000-0000BC240000}"/>
    <cellStyle name="Comma 10 7 14 7" xfId="38929" xr:uid="{00000000-0005-0000-0000-0000BD240000}"/>
    <cellStyle name="Comma 10 7 15" xfId="8000" xr:uid="{00000000-0005-0000-0000-0000BE240000}"/>
    <cellStyle name="Comma 10 7 15 2" xfId="9957" xr:uid="{00000000-0005-0000-0000-0000BF240000}"/>
    <cellStyle name="Comma 10 7 15 2 2" xfId="11983" xr:uid="{00000000-0005-0000-0000-0000C0240000}"/>
    <cellStyle name="Comma 10 7 15 2 2 2" xfId="28644" xr:uid="{00000000-0005-0000-0000-0000C1240000}"/>
    <cellStyle name="Comma 10 7 15 2 2 2 2" xfId="46313" xr:uid="{00000000-0005-0000-0000-0000C2240000}"/>
    <cellStyle name="Comma 10 7 15 2 2 3" xfId="32857" xr:uid="{00000000-0005-0000-0000-0000C3240000}"/>
    <cellStyle name="Comma 10 7 15 2 2 4" xfId="37072" xr:uid="{00000000-0005-0000-0000-0000C4240000}"/>
    <cellStyle name="Comma 10 7 15 2 2 5" xfId="41276" xr:uid="{00000000-0005-0000-0000-0000C5240000}"/>
    <cellStyle name="Comma 10 7 15 2 3" xfId="27444" xr:uid="{00000000-0005-0000-0000-0000C6240000}"/>
    <cellStyle name="Comma 10 7 15 2 3 2" xfId="43041" xr:uid="{00000000-0005-0000-0000-0000C7240000}"/>
    <cellStyle name="Comma 10 7 15 2 4" xfId="31657" xr:uid="{00000000-0005-0000-0000-0000C8240000}"/>
    <cellStyle name="Comma 10 7 15 2 5" xfId="35872" xr:uid="{00000000-0005-0000-0000-0000C9240000}"/>
    <cellStyle name="Comma 10 7 15 2 6" xfId="40076" xr:uid="{00000000-0005-0000-0000-0000CA240000}"/>
    <cellStyle name="Comma 10 7 15 3" xfId="10748" xr:uid="{00000000-0005-0000-0000-0000CB240000}"/>
    <cellStyle name="Comma 10 7 15 3 2" xfId="27909" xr:uid="{00000000-0005-0000-0000-0000CC240000}"/>
    <cellStyle name="Comma 10 7 15 3 2 2" xfId="45588" xr:uid="{00000000-0005-0000-0000-0000CD240000}"/>
    <cellStyle name="Comma 10 7 15 3 3" xfId="32122" xr:uid="{00000000-0005-0000-0000-0000CE240000}"/>
    <cellStyle name="Comma 10 7 15 3 4" xfId="36337" xr:uid="{00000000-0005-0000-0000-0000CF240000}"/>
    <cellStyle name="Comma 10 7 15 3 5" xfId="40541" xr:uid="{00000000-0005-0000-0000-0000D0240000}"/>
    <cellStyle name="Comma 10 7 15 4" xfId="26298" xr:uid="{00000000-0005-0000-0000-0000D1240000}"/>
    <cellStyle name="Comma 10 7 15 4 2" xfId="41535" xr:uid="{00000000-0005-0000-0000-0000D2240000}"/>
    <cellStyle name="Comma 10 7 15 5" xfId="30511" xr:uid="{00000000-0005-0000-0000-0000D3240000}"/>
    <cellStyle name="Comma 10 7 15 5 2" xfId="41809" xr:uid="{00000000-0005-0000-0000-0000D4240000}"/>
    <cellStyle name="Comma 10 7 15 6" xfId="34726" xr:uid="{00000000-0005-0000-0000-0000D5240000}"/>
    <cellStyle name="Comma 10 7 15 7" xfId="38930" xr:uid="{00000000-0005-0000-0000-0000D6240000}"/>
    <cellStyle name="Comma 10 7 16" xfId="8001" xr:uid="{00000000-0005-0000-0000-0000D7240000}"/>
    <cellStyle name="Comma 10 7 16 2" xfId="9958" xr:uid="{00000000-0005-0000-0000-0000D8240000}"/>
    <cellStyle name="Comma 10 7 16 2 2" xfId="11984" xr:uid="{00000000-0005-0000-0000-0000D9240000}"/>
    <cellStyle name="Comma 10 7 16 2 2 2" xfId="28645" xr:uid="{00000000-0005-0000-0000-0000DA240000}"/>
    <cellStyle name="Comma 10 7 16 2 2 2 2" xfId="46314" xr:uid="{00000000-0005-0000-0000-0000DB240000}"/>
    <cellStyle name="Comma 10 7 16 2 2 3" xfId="32858" xr:uid="{00000000-0005-0000-0000-0000DC240000}"/>
    <cellStyle name="Comma 10 7 16 2 2 4" xfId="37073" xr:uid="{00000000-0005-0000-0000-0000DD240000}"/>
    <cellStyle name="Comma 10 7 16 2 2 5" xfId="41277" xr:uid="{00000000-0005-0000-0000-0000DE240000}"/>
    <cellStyle name="Comma 10 7 16 2 3" xfId="27445" xr:uid="{00000000-0005-0000-0000-0000DF240000}"/>
    <cellStyle name="Comma 10 7 16 2 3 2" xfId="43042" xr:uid="{00000000-0005-0000-0000-0000E0240000}"/>
    <cellStyle name="Comma 10 7 16 2 4" xfId="31658" xr:uid="{00000000-0005-0000-0000-0000E1240000}"/>
    <cellStyle name="Comma 10 7 16 2 5" xfId="35873" xr:uid="{00000000-0005-0000-0000-0000E2240000}"/>
    <cellStyle name="Comma 10 7 16 2 6" xfId="40077" xr:uid="{00000000-0005-0000-0000-0000E3240000}"/>
    <cellStyle name="Comma 10 7 16 3" xfId="10749" xr:uid="{00000000-0005-0000-0000-0000E4240000}"/>
    <cellStyle name="Comma 10 7 16 3 2" xfId="27910" xr:uid="{00000000-0005-0000-0000-0000E5240000}"/>
    <cellStyle name="Comma 10 7 16 3 2 2" xfId="45589" xr:uid="{00000000-0005-0000-0000-0000E6240000}"/>
    <cellStyle name="Comma 10 7 16 3 3" xfId="32123" xr:uid="{00000000-0005-0000-0000-0000E7240000}"/>
    <cellStyle name="Comma 10 7 16 3 4" xfId="36338" xr:uid="{00000000-0005-0000-0000-0000E8240000}"/>
    <cellStyle name="Comma 10 7 16 3 5" xfId="40542" xr:uid="{00000000-0005-0000-0000-0000E9240000}"/>
    <cellStyle name="Comma 10 7 16 4" xfId="26299" xr:uid="{00000000-0005-0000-0000-0000EA240000}"/>
    <cellStyle name="Comma 10 7 16 4 2" xfId="41536" xr:uid="{00000000-0005-0000-0000-0000EB240000}"/>
    <cellStyle name="Comma 10 7 16 5" xfId="30512" xr:uid="{00000000-0005-0000-0000-0000EC240000}"/>
    <cellStyle name="Comma 10 7 16 5 2" xfId="41810" xr:uid="{00000000-0005-0000-0000-0000ED240000}"/>
    <cellStyle name="Comma 10 7 16 6" xfId="34727" xr:uid="{00000000-0005-0000-0000-0000EE240000}"/>
    <cellStyle name="Comma 10 7 16 7" xfId="38931" xr:uid="{00000000-0005-0000-0000-0000EF240000}"/>
    <cellStyle name="Comma 10 7 17" xfId="8002" xr:uid="{00000000-0005-0000-0000-0000F0240000}"/>
    <cellStyle name="Comma 10 7 17 2" xfId="9959" xr:uid="{00000000-0005-0000-0000-0000F1240000}"/>
    <cellStyle name="Comma 10 7 17 2 2" xfId="11985" xr:uid="{00000000-0005-0000-0000-0000F2240000}"/>
    <cellStyle name="Comma 10 7 17 2 2 2" xfId="28646" xr:uid="{00000000-0005-0000-0000-0000F3240000}"/>
    <cellStyle name="Comma 10 7 17 2 2 2 2" xfId="46315" xr:uid="{00000000-0005-0000-0000-0000F4240000}"/>
    <cellStyle name="Comma 10 7 17 2 2 3" xfId="32859" xr:uid="{00000000-0005-0000-0000-0000F5240000}"/>
    <cellStyle name="Comma 10 7 17 2 2 4" xfId="37074" xr:uid="{00000000-0005-0000-0000-0000F6240000}"/>
    <cellStyle name="Comma 10 7 17 2 2 5" xfId="41278" xr:uid="{00000000-0005-0000-0000-0000F7240000}"/>
    <cellStyle name="Comma 10 7 17 2 3" xfId="27446" xr:uid="{00000000-0005-0000-0000-0000F8240000}"/>
    <cellStyle name="Comma 10 7 17 2 3 2" xfId="43043" xr:uid="{00000000-0005-0000-0000-0000F9240000}"/>
    <cellStyle name="Comma 10 7 17 2 4" xfId="31659" xr:uid="{00000000-0005-0000-0000-0000FA240000}"/>
    <cellStyle name="Comma 10 7 17 2 5" xfId="35874" xr:uid="{00000000-0005-0000-0000-0000FB240000}"/>
    <cellStyle name="Comma 10 7 17 2 6" xfId="40078" xr:uid="{00000000-0005-0000-0000-0000FC240000}"/>
    <cellStyle name="Comma 10 7 17 3" xfId="10750" xr:uid="{00000000-0005-0000-0000-0000FD240000}"/>
    <cellStyle name="Comma 10 7 17 3 2" xfId="27911" xr:uid="{00000000-0005-0000-0000-0000FE240000}"/>
    <cellStyle name="Comma 10 7 17 3 2 2" xfId="45590" xr:uid="{00000000-0005-0000-0000-0000FF240000}"/>
    <cellStyle name="Comma 10 7 17 3 3" xfId="32124" xr:uid="{00000000-0005-0000-0000-000000250000}"/>
    <cellStyle name="Comma 10 7 17 3 4" xfId="36339" xr:uid="{00000000-0005-0000-0000-000001250000}"/>
    <cellStyle name="Comma 10 7 17 3 5" xfId="40543" xr:uid="{00000000-0005-0000-0000-000002250000}"/>
    <cellStyle name="Comma 10 7 17 4" xfId="26300" xr:uid="{00000000-0005-0000-0000-000003250000}"/>
    <cellStyle name="Comma 10 7 17 4 2" xfId="41537" xr:uid="{00000000-0005-0000-0000-000004250000}"/>
    <cellStyle name="Comma 10 7 17 5" xfId="30513" xr:uid="{00000000-0005-0000-0000-000005250000}"/>
    <cellStyle name="Comma 10 7 17 5 2" xfId="41811" xr:uid="{00000000-0005-0000-0000-000006250000}"/>
    <cellStyle name="Comma 10 7 17 6" xfId="34728" xr:uid="{00000000-0005-0000-0000-000007250000}"/>
    <cellStyle name="Comma 10 7 17 7" xfId="38932" xr:uid="{00000000-0005-0000-0000-000008250000}"/>
    <cellStyle name="Comma 10 7 18" xfId="9951" xr:uid="{00000000-0005-0000-0000-000009250000}"/>
    <cellStyle name="Comma 10 7 18 2" xfId="11977" xr:uid="{00000000-0005-0000-0000-00000A250000}"/>
    <cellStyle name="Comma 10 7 18 2 2" xfId="28638" xr:uid="{00000000-0005-0000-0000-00000B250000}"/>
    <cellStyle name="Comma 10 7 18 2 2 2" xfId="46307" xr:uid="{00000000-0005-0000-0000-00000C250000}"/>
    <cellStyle name="Comma 10 7 18 2 3" xfId="32851" xr:uid="{00000000-0005-0000-0000-00000D250000}"/>
    <cellStyle name="Comma 10 7 18 2 4" xfId="37066" xr:uid="{00000000-0005-0000-0000-00000E250000}"/>
    <cellStyle name="Comma 10 7 18 2 5" xfId="41270" xr:uid="{00000000-0005-0000-0000-00000F250000}"/>
    <cellStyle name="Comma 10 7 18 3" xfId="27438" xr:uid="{00000000-0005-0000-0000-000010250000}"/>
    <cellStyle name="Comma 10 7 18 3 2" xfId="43035" xr:uid="{00000000-0005-0000-0000-000011250000}"/>
    <cellStyle name="Comma 10 7 18 4" xfId="31651" xr:uid="{00000000-0005-0000-0000-000012250000}"/>
    <cellStyle name="Comma 10 7 18 5" xfId="35866" xr:uid="{00000000-0005-0000-0000-000013250000}"/>
    <cellStyle name="Comma 10 7 18 6" xfId="40070" xr:uid="{00000000-0005-0000-0000-000014250000}"/>
    <cellStyle name="Comma 10 7 19" xfId="10742" xr:uid="{00000000-0005-0000-0000-000015250000}"/>
    <cellStyle name="Comma 10 7 19 2" xfId="27903" xr:uid="{00000000-0005-0000-0000-000016250000}"/>
    <cellStyle name="Comma 10 7 19 2 2" xfId="45582" xr:uid="{00000000-0005-0000-0000-000017250000}"/>
    <cellStyle name="Comma 10 7 19 3" xfId="32116" xr:uid="{00000000-0005-0000-0000-000018250000}"/>
    <cellStyle name="Comma 10 7 19 4" xfId="36331" xr:uid="{00000000-0005-0000-0000-000019250000}"/>
    <cellStyle name="Comma 10 7 19 5" xfId="40535" xr:uid="{00000000-0005-0000-0000-00001A250000}"/>
    <cellStyle name="Comma 10 7 2" xfId="8003" xr:uid="{00000000-0005-0000-0000-00001B250000}"/>
    <cellStyle name="Comma 10 7 2 2" xfId="9960" xr:uid="{00000000-0005-0000-0000-00001C250000}"/>
    <cellStyle name="Comma 10 7 2 2 2" xfId="11986" xr:uid="{00000000-0005-0000-0000-00001D250000}"/>
    <cellStyle name="Comma 10 7 2 2 2 2" xfId="28647" xr:uid="{00000000-0005-0000-0000-00001E250000}"/>
    <cellStyle name="Comma 10 7 2 2 2 2 2" xfId="46316" xr:uid="{00000000-0005-0000-0000-00001F250000}"/>
    <cellStyle name="Comma 10 7 2 2 2 3" xfId="32860" xr:uid="{00000000-0005-0000-0000-000020250000}"/>
    <cellStyle name="Comma 10 7 2 2 2 4" xfId="37075" xr:uid="{00000000-0005-0000-0000-000021250000}"/>
    <cellStyle name="Comma 10 7 2 2 2 5" xfId="41279" xr:uid="{00000000-0005-0000-0000-000022250000}"/>
    <cellStyle name="Comma 10 7 2 2 3" xfId="27447" xr:uid="{00000000-0005-0000-0000-000023250000}"/>
    <cellStyle name="Comma 10 7 2 2 3 2" xfId="43044" xr:uid="{00000000-0005-0000-0000-000024250000}"/>
    <cellStyle name="Comma 10 7 2 2 4" xfId="31660" xr:uid="{00000000-0005-0000-0000-000025250000}"/>
    <cellStyle name="Comma 10 7 2 2 5" xfId="35875" xr:uid="{00000000-0005-0000-0000-000026250000}"/>
    <cellStyle name="Comma 10 7 2 2 6" xfId="40079" xr:uid="{00000000-0005-0000-0000-000027250000}"/>
    <cellStyle name="Comma 10 7 2 3" xfId="10751" xr:uid="{00000000-0005-0000-0000-000028250000}"/>
    <cellStyle name="Comma 10 7 2 3 2" xfId="27912" xr:uid="{00000000-0005-0000-0000-000029250000}"/>
    <cellStyle name="Comma 10 7 2 3 2 2" xfId="45591" xr:uid="{00000000-0005-0000-0000-00002A250000}"/>
    <cellStyle name="Comma 10 7 2 3 3" xfId="32125" xr:uid="{00000000-0005-0000-0000-00002B250000}"/>
    <cellStyle name="Comma 10 7 2 3 4" xfId="36340" xr:uid="{00000000-0005-0000-0000-00002C250000}"/>
    <cellStyle name="Comma 10 7 2 3 5" xfId="40544" xr:uid="{00000000-0005-0000-0000-00002D250000}"/>
    <cellStyle name="Comma 10 7 2 4" xfId="26301" xr:uid="{00000000-0005-0000-0000-00002E250000}"/>
    <cellStyle name="Comma 10 7 2 4 2" xfId="41538" xr:uid="{00000000-0005-0000-0000-00002F250000}"/>
    <cellStyle name="Comma 10 7 2 5" xfId="30514" xr:uid="{00000000-0005-0000-0000-000030250000}"/>
    <cellStyle name="Comma 10 7 2 5 2" xfId="41812" xr:uid="{00000000-0005-0000-0000-000031250000}"/>
    <cellStyle name="Comma 10 7 2 6" xfId="34729" xr:uid="{00000000-0005-0000-0000-000032250000}"/>
    <cellStyle name="Comma 10 7 2 7" xfId="38933" xr:uid="{00000000-0005-0000-0000-000033250000}"/>
    <cellStyle name="Comma 10 7 20" xfId="26292" xr:uid="{00000000-0005-0000-0000-000034250000}"/>
    <cellStyle name="Comma 10 7 20 2" xfId="41529" xr:uid="{00000000-0005-0000-0000-000035250000}"/>
    <cellStyle name="Comma 10 7 21" xfId="30505" xr:uid="{00000000-0005-0000-0000-000036250000}"/>
    <cellStyle name="Comma 10 7 21 2" xfId="41803" xr:uid="{00000000-0005-0000-0000-000037250000}"/>
    <cellStyle name="Comma 10 7 22" xfId="34720" xr:uid="{00000000-0005-0000-0000-000038250000}"/>
    <cellStyle name="Comma 10 7 23" xfId="38924" xr:uid="{00000000-0005-0000-0000-000039250000}"/>
    <cellStyle name="Comma 10 7 3" xfId="8004" xr:uid="{00000000-0005-0000-0000-00003A250000}"/>
    <cellStyle name="Comma 10 7 3 2" xfId="9961" xr:uid="{00000000-0005-0000-0000-00003B250000}"/>
    <cellStyle name="Comma 10 7 3 2 2" xfId="11987" xr:uid="{00000000-0005-0000-0000-00003C250000}"/>
    <cellStyle name="Comma 10 7 3 2 2 2" xfId="28648" xr:uid="{00000000-0005-0000-0000-00003D250000}"/>
    <cellStyle name="Comma 10 7 3 2 2 2 2" xfId="46317" xr:uid="{00000000-0005-0000-0000-00003E250000}"/>
    <cellStyle name="Comma 10 7 3 2 2 3" xfId="32861" xr:uid="{00000000-0005-0000-0000-00003F250000}"/>
    <cellStyle name="Comma 10 7 3 2 2 4" xfId="37076" xr:uid="{00000000-0005-0000-0000-000040250000}"/>
    <cellStyle name="Comma 10 7 3 2 2 5" xfId="41280" xr:uid="{00000000-0005-0000-0000-000041250000}"/>
    <cellStyle name="Comma 10 7 3 2 3" xfId="27448" xr:uid="{00000000-0005-0000-0000-000042250000}"/>
    <cellStyle name="Comma 10 7 3 2 3 2" xfId="43045" xr:uid="{00000000-0005-0000-0000-000043250000}"/>
    <cellStyle name="Comma 10 7 3 2 4" xfId="31661" xr:uid="{00000000-0005-0000-0000-000044250000}"/>
    <cellStyle name="Comma 10 7 3 2 5" xfId="35876" xr:uid="{00000000-0005-0000-0000-000045250000}"/>
    <cellStyle name="Comma 10 7 3 2 6" xfId="40080" xr:uid="{00000000-0005-0000-0000-000046250000}"/>
    <cellStyle name="Comma 10 7 3 3" xfId="10752" xr:uid="{00000000-0005-0000-0000-000047250000}"/>
    <cellStyle name="Comma 10 7 3 3 2" xfId="27913" xr:uid="{00000000-0005-0000-0000-000048250000}"/>
    <cellStyle name="Comma 10 7 3 3 2 2" xfId="45592" xr:uid="{00000000-0005-0000-0000-000049250000}"/>
    <cellStyle name="Comma 10 7 3 3 3" xfId="32126" xr:uid="{00000000-0005-0000-0000-00004A250000}"/>
    <cellStyle name="Comma 10 7 3 3 4" xfId="36341" xr:uid="{00000000-0005-0000-0000-00004B250000}"/>
    <cellStyle name="Comma 10 7 3 3 5" xfId="40545" xr:uid="{00000000-0005-0000-0000-00004C250000}"/>
    <cellStyle name="Comma 10 7 3 4" xfId="26302" xr:uid="{00000000-0005-0000-0000-00004D250000}"/>
    <cellStyle name="Comma 10 7 3 4 2" xfId="41539" xr:uid="{00000000-0005-0000-0000-00004E250000}"/>
    <cellStyle name="Comma 10 7 3 5" xfId="30515" xr:uid="{00000000-0005-0000-0000-00004F250000}"/>
    <cellStyle name="Comma 10 7 3 5 2" xfId="41813" xr:uid="{00000000-0005-0000-0000-000050250000}"/>
    <cellStyle name="Comma 10 7 3 6" xfId="34730" xr:uid="{00000000-0005-0000-0000-000051250000}"/>
    <cellStyle name="Comma 10 7 3 7" xfId="38934" xr:uid="{00000000-0005-0000-0000-000052250000}"/>
    <cellStyle name="Comma 10 7 4" xfId="8005" xr:uid="{00000000-0005-0000-0000-000053250000}"/>
    <cellStyle name="Comma 10 7 4 2" xfId="9962" xr:uid="{00000000-0005-0000-0000-000054250000}"/>
    <cellStyle name="Comma 10 7 4 2 2" xfId="11988" xr:uid="{00000000-0005-0000-0000-000055250000}"/>
    <cellStyle name="Comma 10 7 4 2 2 2" xfId="28649" xr:uid="{00000000-0005-0000-0000-000056250000}"/>
    <cellStyle name="Comma 10 7 4 2 2 2 2" xfId="46318" xr:uid="{00000000-0005-0000-0000-000057250000}"/>
    <cellStyle name="Comma 10 7 4 2 2 3" xfId="32862" xr:uid="{00000000-0005-0000-0000-000058250000}"/>
    <cellStyle name="Comma 10 7 4 2 2 4" xfId="37077" xr:uid="{00000000-0005-0000-0000-000059250000}"/>
    <cellStyle name="Comma 10 7 4 2 2 5" xfId="41281" xr:uid="{00000000-0005-0000-0000-00005A250000}"/>
    <cellStyle name="Comma 10 7 4 2 3" xfId="27449" xr:uid="{00000000-0005-0000-0000-00005B250000}"/>
    <cellStyle name="Comma 10 7 4 2 3 2" xfId="43046" xr:uid="{00000000-0005-0000-0000-00005C250000}"/>
    <cellStyle name="Comma 10 7 4 2 4" xfId="31662" xr:uid="{00000000-0005-0000-0000-00005D250000}"/>
    <cellStyle name="Comma 10 7 4 2 5" xfId="35877" xr:uid="{00000000-0005-0000-0000-00005E250000}"/>
    <cellStyle name="Comma 10 7 4 2 6" xfId="40081" xr:uid="{00000000-0005-0000-0000-00005F250000}"/>
    <cellStyle name="Comma 10 7 4 3" xfId="10753" xr:uid="{00000000-0005-0000-0000-000060250000}"/>
    <cellStyle name="Comma 10 7 4 3 2" xfId="27914" xr:uid="{00000000-0005-0000-0000-000061250000}"/>
    <cellStyle name="Comma 10 7 4 3 2 2" xfId="45593" xr:uid="{00000000-0005-0000-0000-000062250000}"/>
    <cellStyle name="Comma 10 7 4 3 3" xfId="32127" xr:uid="{00000000-0005-0000-0000-000063250000}"/>
    <cellStyle name="Comma 10 7 4 3 4" xfId="36342" xr:uid="{00000000-0005-0000-0000-000064250000}"/>
    <cellStyle name="Comma 10 7 4 3 5" xfId="40546" xr:uid="{00000000-0005-0000-0000-000065250000}"/>
    <cellStyle name="Comma 10 7 4 4" xfId="26303" xr:uid="{00000000-0005-0000-0000-000066250000}"/>
    <cellStyle name="Comma 10 7 4 4 2" xfId="41540" xr:uid="{00000000-0005-0000-0000-000067250000}"/>
    <cellStyle name="Comma 10 7 4 5" xfId="30516" xr:uid="{00000000-0005-0000-0000-000068250000}"/>
    <cellStyle name="Comma 10 7 4 5 2" xfId="41814" xr:uid="{00000000-0005-0000-0000-000069250000}"/>
    <cellStyle name="Comma 10 7 4 6" xfId="34731" xr:uid="{00000000-0005-0000-0000-00006A250000}"/>
    <cellStyle name="Comma 10 7 4 7" xfId="38935" xr:uid="{00000000-0005-0000-0000-00006B250000}"/>
    <cellStyle name="Comma 10 7 5" xfId="8006" xr:uid="{00000000-0005-0000-0000-00006C250000}"/>
    <cellStyle name="Comma 10 7 5 2" xfId="9963" xr:uid="{00000000-0005-0000-0000-00006D250000}"/>
    <cellStyle name="Comma 10 7 5 2 2" xfId="11989" xr:uid="{00000000-0005-0000-0000-00006E250000}"/>
    <cellStyle name="Comma 10 7 5 2 2 2" xfId="28650" xr:uid="{00000000-0005-0000-0000-00006F250000}"/>
    <cellStyle name="Comma 10 7 5 2 2 2 2" xfId="46319" xr:uid="{00000000-0005-0000-0000-000070250000}"/>
    <cellStyle name="Comma 10 7 5 2 2 3" xfId="32863" xr:uid="{00000000-0005-0000-0000-000071250000}"/>
    <cellStyle name="Comma 10 7 5 2 2 4" xfId="37078" xr:uid="{00000000-0005-0000-0000-000072250000}"/>
    <cellStyle name="Comma 10 7 5 2 2 5" xfId="41282" xr:uid="{00000000-0005-0000-0000-000073250000}"/>
    <cellStyle name="Comma 10 7 5 2 3" xfId="27450" xr:uid="{00000000-0005-0000-0000-000074250000}"/>
    <cellStyle name="Comma 10 7 5 2 3 2" xfId="43047" xr:uid="{00000000-0005-0000-0000-000075250000}"/>
    <cellStyle name="Comma 10 7 5 2 4" xfId="31663" xr:uid="{00000000-0005-0000-0000-000076250000}"/>
    <cellStyle name="Comma 10 7 5 2 5" xfId="35878" xr:uid="{00000000-0005-0000-0000-000077250000}"/>
    <cellStyle name="Comma 10 7 5 2 6" xfId="40082" xr:uid="{00000000-0005-0000-0000-000078250000}"/>
    <cellStyle name="Comma 10 7 5 3" xfId="10754" xr:uid="{00000000-0005-0000-0000-000079250000}"/>
    <cellStyle name="Comma 10 7 5 3 2" xfId="27915" xr:uid="{00000000-0005-0000-0000-00007A250000}"/>
    <cellStyle name="Comma 10 7 5 3 2 2" xfId="45594" xr:uid="{00000000-0005-0000-0000-00007B250000}"/>
    <cellStyle name="Comma 10 7 5 3 3" xfId="32128" xr:uid="{00000000-0005-0000-0000-00007C250000}"/>
    <cellStyle name="Comma 10 7 5 3 4" xfId="36343" xr:uid="{00000000-0005-0000-0000-00007D250000}"/>
    <cellStyle name="Comma 10 7 5 3 5" xfId="40547" xr:uid="{00000000-0005-0000-0000-00007E250000}"/>
    <cellStyle name="Comma 10 7 5 4" xfId="26304" xr:uid="{00000000-0005-0000-0000-00007F250000}"/>
    <cellStyle name="Comma 10 7 5 4 2" xfId="41541" xr:uid="{00000000-0005-0000-0000-000080250000}"/>
    <cellStyle name="Comma 10 7 5 5" xfId="30517" xr:uid="{00000000-0005-0000-0000-000081250000}"/>
    <cellStyle name="Comma 10 7 5 5 2" xfId="41815" xr:uid="{00000000-0005-0000-0000-000082250000}"/>
    <cellStyle name="Comma 10 7 5 6" xfId="34732" xr:uid="{00000000-0005-0000-0000-000083250000}"/>
    <cellStyle name="Comma 10 7 5 7" xfId="38936" xr:uid="{00000000-0005-0000-0000-000084250000}"/>
    <cellStyle name="Comma 10 7 6" xfId="8007" xr:uid="{00000000-0005-0000-0000-000085250000}"/>
    <cellStyle name="Comma 10 7 6 2" xfId="9964" xr:uid="{00000000-0005-0000-0000-000086250000}"/>
    <cellStyle name="Comma 10 7 6 2 2" xfId="11990" xr:uid="{00000000-0005-0000-0000-000087250000}"/>
    <cellStyle name="Comma 10 7 6 2 2 2" xfId="28651" xr:uid="{00000000-0005-0000-0000-000088250000}"/>
    <cellStyle name="Comma 10 7 6 2 2 2 2" xfId="46320" xr:uid="{00000000-0005-0000-0000-000089250000}"/>
    <cellStyle name="Comma 10 7 6 2 2 3" xfId="32864" xr:uid="{00000000-0005-0000-0000-00008A250000}"/>
    <cellStyle name="Comma 10 7 6 2 2 4" xfId="37079" xr:uid="{00000000-0005-0000-0000-00008B250000}"/>
    <cellStyle name="Comma 10 7 6 2 2 5" xfId="41283" xr:uid="{00000000-0005-0000-0000-00008C250000}"/>
    <cellStyle name="Comma 10 7 6 2 3" xfId="27451" xr:uid="{00000000-0005-0000-0000-00008D250000}"/>
    <cellStyle name="Comma 10 7 6 2 3 2" xfId="43048" xr:uid="{00000000-0005-0000-0000-00008E250000}"/>
    <cellStyle name="Comma 10 7 6 2 4" xfId="31664" xr:uid="{00000000-0005-0000-0000-00008F250000}"/>
    <cellStyle name="Comma 10 7 6 2 5" xfId="35879" xr:uid="{00000000-0005-0000-0000-000090250000}"/>
    <cellStyle name="Comma 10 7 6 2 6" xfId="40083" xr:uid="{00000000-0005-0000-0000-000091250000}"/>
    <cellStyle name="Comma 10 7 6 3" xfId="10755" xr:uid="{00000000-0005-0000-0000-000092250000}"/>
    <cellStyle name="Comma 10 7 6 3 2" xfId="27916" xr:uid="{00000000-0005-0000-0000-000093250000}"/>
    <cellStyle name="Comma 10 7 6 3 2 2" xfId="45595" xr:uid="{00000000-0005-0000-0000-000094250000}"/>
    <cellStyle name="Comma 10 7 6 3 3" xfId="32129" xr:uid="{00000000-0005-0000-0000-000095250000}"/>
    <cellStyle name="Comma 10 7 6 3 4" xfId="36344" xr:uid="{00000000-0005-0000-0000-000096250000}"/>
    <cellStyle name="Comma 10 7 6 3 5" xfId="40548" xr:uid="{00000000-0005-0000-0000-000097250000}"/>
    <cellStyle name="Comma 10 7 6 4" xfId="26305" xr:uid="{00000000-0005-0000-0000-000098250000}"/>
    <cellStyle name="Comma 10 7 6 4 2" xfId="41542" xr:uid="{00000000-0005-0000-0000-000099250000}"/>
    <cellStyle name="Comma 10 7 6 5" xfId="30518" xr:uid="{00000000-0005-0000-0000-00009A250000}"/>
    <cellStyle name="Comma 10 7 6 5 2" xfId="41816" xr:uid="{00000000-0005-0000-0000-00009B250000}"/>
    <cellStyle name="Comma 10 7 6 6" xfId="34733" xr:uid="{00000000-0005-0000-0000-00009C250000}"/>
    <cellStyle name="Comma 10 7 6 7" xfId="38937" xr:uid="{00000000-0005-0000-0000-00009D250000}"/>
    <cellStyle name="Comma 10 7 7" xfId="8008" xr:uid="{00000000-0005-0000-0000-00009E250000}"/>
    <cellStyle name="Comma 10 7 7 2" xfId="9965" xr:uid="{00000000-0005-0000-0000-00009F250000}"/>
    <cellStyle name="Comma 10 7 7 2 2" xfId="11991" xr:uid="{00000000-0005-0000-0000-0000A0250000}"/>
    <cellStyle name="Comma 10 7 7 2 2 2" xfId="28652" xr:uid="{00000000-0005-0000-0000-0000A1250000}"/>
    <cellStyle name="Comma 10 7 7 2 2 2 2" xfId="46321" xr:uid="{00000000-0005-0000-0000-0000A2250000}"/>
    <cellStyle name="Comma 10 7 7 2 2 3" xfId="32865" xr:uid="{00000000-0005-0000-0000-0000A3250000}"/>
    <cellStyle name="Comma 10 7 7 2 2 4" xfId="37080" xr:uid="{00000000-0005-0000-0000-0000A4250000}"/>
    <cellStyle name="Comma 10 7 7 2 2 5" xfId="41284" xr:uid="{00000000-0005-0000-0000-0000A5250000}"/>
    <cellStyle name="Comma 10 7 7 2 3" xfId="27452" xr:uid="{00000000-0005-0000-0000-0000A6250000}"/>
    <cellStyle name="Comma 10 7 7 2 3 2" xfId="43049" xr:uid="{00000000-0005-0000-0000-0000A7250000}"/>
    <cellStyle name="Comma 10 7 7 2 4" xfId="31665" xr:uid="{00000000-0005-0000-0000-0000A8250000}"/>
    <cellStyle name="Comma 10 7 7 2 5" xfId="35880" xr:uid="{00000000-0005-0000-0000-0000A9250000}"/>
    <cellStyle name="Comma 10 7 7 2 6" xfId="40084" xr:uid="{00000000-0005-0000-0000-0000AA250000}"/>
    <cellStyle name="Comma 10 7 7 3" xfId="10756" xr:uid="{00000000-0005-0000-0000-0000AB250000}"/>
    <cellStyle name="Comma 10 7 7 3 2" xfId="27917" xr:uid="{00000000-0005-0000-0000-0000AC250000}"/>
    <cellStyle name="Comma 10 7 7 3 2 2" xfId="45596" xr:uid="{00000000-0005-0000-0000-0000AD250000}"/>
    <cellStyle name="Comma 10 7 7 3 3" xfId="32130" xr:uid="{00000000-0005-0000-0000-0000AE250000}"/>
    <cellStyle name="Comma 10 7 7 3 4" xfId="36345" xr:uid="{00000000-0005-0000-0000-0000AF250000}"/>
    <cellStyle name="Comma 10 7 7 3 5" xfId="40549" xr:uid="{00000000-0005-0000-0000-0000B0250000}"/>
    <cellStyle name="Comma 10 7 7 4" xfId="26306" xr:uid="{00000000-0005-0000-0000-0000B1250000}"/>
    <cellStyle name="Comma 10 7 7 4 2" xfId="41543" xr:uid="{00000000-0005-0000-0000-0000B2250000}"/>
    <cellStyle name="Comma 10 7 7 5" xfId="30519" xr:uid="{00000000-0005-0000-0000-0000B3250000}"/>
    <cellStyle name="Comma 10 7 7 5 2" xfId="41817" xr:uid="{00000000-0005-0000-0000-0000B4250000}"/>
    <cellStyle name="Comma 10 7 7 6" xfId="34734" xr:uid="{00000000-0005-0000-0000-0000B5250000}"/>
    <cellStyle name="Comma 10 7 7 7" xfId="38938" xr:uid="{00000000-0005-0000-0000-0000B6250000}"/>
    <cellStyle name="Comma 10 7 8" xfId="8009" xr:uid="{00000000-0005-0000-0000-0000B7250000}"/>
    <cellStyle name="Comma 10 7 8 2" xfId="9966" xr:uid="{00000000-0005-0000-0000-0000B8250000}"/>
    <cellStyle name="Comma 10 7 8 2 2" xfId="11992" xr:uid="{00000000-0005-0000-0000-0000B9250000}"/>
    <cellStyle name="Comma 10 7 8 2 2 2" xfId="28653" xr:uid="{00000000-0005-0000-0000-0000BA250000}"/>
    <cellStyle name="Comma 10 7 8 2 2 2 2" xfId="46322" xr:uid="{00000000-0005-0000-0000-0000BB250000}"/>
    <cellStyle name="Comma 10 7 8 2 2 3" xfId="32866" xr:uid="{00000000-0005-0000-0000-0000BC250000}"/>
    <cellStyle name="Comma 10 7 8 2 2 4" xfId="37081" xr:uid="{00000000-0005-0000-0000-0000BD250000}"/>
    <cellStyle name="Comma 10 7 8 2 2 5" xfId="41285" xr:uid="{00000000-0005-0000-0000-0000BE250000}"/>
    <cellStyle name="Comma 10 7 8 2 3" xfId="27453" xr:uid="{00000000-0005-0000-0000-0000BF250000}"/>
    <cellStyle name="Comma 10 7 8 2 3 2" xfId="43050" xr:uid="{00000000-0005-0000-0000-0000C0250000}"/>
    <cellStyle name="Comma 10 7 8 2 4" xfId="31666" xr:uid="{00000000-0005-0000-0000-0000C1250000}"/>
    <cellStyle name="Comma 10 7 8 2 5" xfId="35881" xr:uid="{00000000-0005-0000-0000-0000C2250000}"/>
    <cellStyle name="Comma 10 7 8 2 6" xfId="40085" xr:uid="{00000000-0005-0000-0000-0000C3250000}"/>
    <cellStyle name="Comma 10 7 8 3" xfId="10757" xr:uid="{00000000-0005-0000-0000-0000C4250000}"/>
    <cellStyle name="Comma 10 7 8 3 2" xfId="27918" xr:uid="{00000000-0005-0000-0000-0000C5250000}"/>
    <cellStyle name="Comma 10 7 8 3 2 2" xfId="45597" xr:uid="{00000000-0005-0000-0000-0000C6250000}"/>
    <cellStyle name="Comma 10 7 8 3 3" xfId="32131" xr:uid="{00000000-0005-0000-0000-0000C7250000}"/>
    <cellStyle name="Comma 10 7 8 3 4" xfId="36346" xr:uid="{00000000-0005-0000-0000-0000C8250000}"/>
    <cellStyle name="Comma 10 7 8 3 5" xfId="40550" xr:uid="{00000000-0005-0000-0000-0000C9250000}"/>
    <cellStyle name="Comma 10 7 8 4" xfId="26307" xr:uid="{00000000-0005-0000-0000-0000CA250000}"/>
    <cellStyle name="Comma 10 7 8 4 2" xfId="41544" xr:uid="{00000000-0005-0000-0000-0000CB250000}"/>
    <cellStyle name="Comma 10 7 8 5" xfId="30520" xr:uid="{00000000-0005-0000-0000-0000CC250000}"/>
    <cellStyle name="Comma 10 7 8 5 2" xfId="41818" xr:uid="{00000000-0005-0000-0000-0000CD250000}"/>
    <cellStyle name="Comma 10 7 8 6" xfId="34735" xr:uid="{00000000-0005-0000-0000-0000CE250000}"/>
    <cellStyle name="Comma 10 7 8 7" xfId="38939" xr:uid="{00000000-0005-0000-0000-0000CF250000}"/>
    <cellStyle name="Comma 10 7 9" xfId="8010" xr:uid="{00000000-0005-0000-0000-0000D0250000}"/>
    <cellStyle name="Comma 10 7 9 2" xfId="9967" xr:uid="{00000000-0005-0000-0000-0000D1250000}"/>
    <cellStyle name="Comma 10 7 9 2 2" xfId="11993" xr:uid="{00000000-0005-0000-0000-0000D2250000}"/>
    <cellStyle name="Comma 10 7 9 2 2 2" xfId="28654" xr:uid="{00000000-0005-0000-0000-0000D3250000}"/>
    <cellStyle name="Comma 10 7 9 2 2 2 2" xfId="46323" xr:uid="{00000000-0005-0000-0000-0000D4250000}"/>
    <cellStyle name="Comma 10 7 9 2 2 3" xfId="32867" xr:uid="{00000000-0005-0000-0000-0000D5250000}"/>
    <cellStyle name="Comma 10 7 9 2 2 4" xfId="37082" xr:uid="{00000000-0005-0000-0000-0000D6250000}"/>
    <cellStyle name="Comma 10 7 9 2 2 5" xfId="41286" xr:uid="{00000000-0005-0000-0000-0000D7250000}"/>
    <cellStyle name="Comma 10 7 9 2 3" xfId="27454" xr:uid="{00000000-0005-0000-0000-0000D8250000}"/>
    <cellStyle name="Comma 10 7 9 2 3 2" xfId="43051" xr:uid="{00000000-0005-0000-0000-0000D9250000}"/>
    <cellStyle name="Comma 10 7 9 2 4" xfId="31667" xr:uid="{00000000-0005-0000-0000-0000DA250000}"/>
    <cellStyle name="Comma 10 7 9 2 5" xfId="35882" xr:uid="{00000000-0005-0000-0000-0000DB250000}"/>
    <cellStyle name="Comma 10 7 9 2 6" xfId="40086" xr:uid="{00000000-0005-0000-0000-0000DC250000}"/>
    <cellStyle name="Comma 10 7 9 3" xfId="10758" xr:uid="{00000000-0005-0000-0000-0000DD250000}"/>
    <cellStyle name="Comma 10 7 9 3 2" xfId="27919" xr:uid="{00000000-0005-0000-0000-0000DE250000}"/>
    <cellStyle name="Comma 10 7 9 3 2 2" xfId="45598" xr:uid="{00000000-0005-0000-0000-0000DF250000}"/>
    <cellStyle name="Comma 10 7 9 3 3" xfId="32132" xr:uid="{00000000-0005-0000-0000-0000E0250000}"/>
    <cellStyle name="Comma 10 7 9 3 4" xfId="36347" xr:uid="{00000000-0005-0000-0000-0000E1250000}"/>
    <cellStyle name="Comma 10 7 9 3 5" xfId="40551" xr:uid="{00000000-0005-0000-0000-0000E2250000}"/>
    <cellStyle name="Comma 10 7 9 4" xfId="26308" xr:uid="{00000000-0005-0000-0000-0000E3250000}"/>
    <cellStyle name="Comma 10 7 9 4 2" xfId="41545" xr:uid="{00000000-0005-0000-0000-0000E4250000}"/>
    <cellStyle name="Comma 10 7 9 5" xfId="30521" xr:uid="{00000000-0005-0000-0000-0000E5250000}"/>
    <cellStyle name="Comma 10 7 9 5 2" xfId="41819" xr:uid="{00000000-0005-0000-0000-0000E6250000}"/>
    <cellStyle name="Comma 10 7 9 6" xfId="34736" xr:uid="{00000000-0005-0000-0000-0000E7250000}"/>
    <cellStyle name="Comma 10 7 9 7" xfId="38940" xr:uid="{00000000-0005-0000-0000-0000E8250000}"/>
    <cellStyle name="Comma 10 8" xfId="8011" xr:uid="{00000000-0005-0000-0000-0000E9250000}"/>
    <cellStyle name="Comma 10 8 10" xfId="8012" xr:uid="{00000000-0005-0000-0000-0000EA250000}"/>
    <cellStyle name="Comma 10 8 10 2" xfId="9969" xr:uid="{00000000-0005-0000-0000-0000EB250000}"/>
    <cellStyle name="Comma 10 8 10 2 2" xfId="11995" xr:uid="{00000000-0005-0000-0000-0000EC250000}"/>
    <cellStyle name="Comma 10 8 10 2 2 2" xfId="28656" xr:uid="{00000000-0005-0000-0000-0000ED250000}"/>
    <cellStyle name="Comma 10 8 10 2 2 2 2" xfId="46325" xr:uid="{00000000-0005-0000-0000-0000EE250000}"/>
    <cellStyle name="Comma 10 8 10 2 2 3" xfId="32869" xr:uid="{00000000-0005-0000-0000-0000EF250000}"/>
    <cellStyle name="Comma 10 8 10 2 2 4" xfId="37084" xr:uid="{00000000-0005-0000-0000-0000F0250000}"/>
    <cellStyle name="Comma 10 8 10 2 2 5" xfId="41288" xr:uid="{00000000-0005-0000-0000-0000F1250000}"/>
    <cellStyle name="Comma 10 8 10 2 3" xfId="27456" xr:uid="{00000000-0005-0000-0000-0000F2250000}"/>
    <cellStyle name="Comma 10 8 10 2 3 2" xfId="43053" xr:uid="{00000000-0005-0000-0000-0000F3250000}"/>
    <cellStyle name="Comma 10 8 10 2 4" xfId="31669" xr:uid="{00000000-0005-0000-0000-0000F4250000}"/>
    <cellStyle name="Comma 10 8 10 2 5" xfId="35884" xr:uid="{00000000-0005-0000-0000-0000F5250000}"/>
    <cellStyle name="Comma 10 8 10 2 6" xfId="40088" xr:uid="{00000000-0005-0000-0000-0000F6250000}"/>
    <cellStyle name="Comma 10 8 10 3" xfId="10760" xr:uid="{00000000-0005-0000-0000-0000F7250000}"/>
    <cellStyle name="Comma 10 8 10 3 2" xfId="27921" xr:uid="{00000000-0005-0000-0000-0000F8250000}"/>
    <cellStyle name="Comma 10 8 10 3 2 2" xfId="45600" xr:uid="{00000000-0005-0000-0000-0000F9250000}"/>
    <cellStyle name="Comma 10 8 10 3 3" xfId="32134" xr:uid="{00000000-0005-0000-0000-0000FA250000}"/>
    <cellStyle name="Comma 10 8 10 3 4" xfId="36349" xr:uid="{00000000-0005-0000-0000-0000FB250000}"/>
    <cellStyle name="Comma 10 8 10 3 5" xfId="40553" xr:uid="{00000000-0005-0000-0000-0000FC250000}"/>
    <cellStyle name="Comma 10 8 10 4" xfId="26310" xr:uid="{00000000-0005-0000-0000-0000FD250000}"/>
    <cellStyle name="Comma 10 8 10 4 2" xfId="41547" xr:uid="{00000000-0005-0000-0000-0000FE250000}"/>
    <cellStyle name="Comma 10 8 10 5" xfId="30523" xr:uid="{00000000-0005-0000-0000-0000FF250000}"/>
    <cellStyle name="Comma 10 8 10 5 2" xfId="41821" xr:uid="{00000000-0005-0000-0000-000000260000}"/>
    <cellStyle name="Comma 10 8 10 6" xfId="34738" xr:uid="{00000000-0005-0000-0000-000001260000}"/>
    <cellStyle name="Comma 10 8 10 7" xfId="38942" xr:uid="{00000000-0005-0000-0000-000002260000}"/>
    <cellStyle name="Comma 10 8 11" xfId="8013" xr:uid="{00000000-0005-0000-0000-000003260000}"/>
    <cellStyle name="Comma 10 8 11 2" xfId="9970" xr:uid="{00000000-0005-0000-0000-000004260000}"/>
    <cellStyle name="Comma 10 8 11 2 2" xfId="11996" xr:uid="{00000000-0005-0000-0000-000005260000}"/>
    <cellStyle name="Comma 10 8 11 2 2 2" xfId="28657" xr:uid="{00000000-0005-0000-0000-000006260000}"/>
    <cellStyle name="Comma 10 8 11 2 2 2 2" xfId="46326" xr:uid="{00000000-0005-0000-0000-000007260000}"/>
    <cellStyle name="Comma 10 8 11 2 2 3" xfId="32870" xr:uid="{00000000-0005-0000-0000-000008260000}"/>
    <cellStyle name="Comma 10 8 11 2 2 4" xfId="37085" xr:uid="{00000000-0005-0000-0000-000009260000}"/>
    <cellStyle name="Comma 10 8 11 2 2 5" xfId="41289" xr:uid="{00000000-0005-0000-0000-00000A260000}"/>
    <cellStyle name="Comma 10 8 11 2 3" xfId="27457" xr:uid="{00000000-0005-0000-0000-00000B260000}"/>
    <cellStyle name="Comma 10 8 11 2 3 2" xfId="43054" xr:uid="{00000000-0005-0000-0000-00000C260000}"/>
    <cellStyle name="Comma 10 8 11 2 4" xfId="31670" xr:uid="{00000000-0005-0000-0000-00000D260000}"/>
    <cellStyle name="Comma 10 8 11 2 5" xfId="35885" xr:uid="{00000000-0005-0000-0000-00000E260000}"/>
    <cellStyle name="Comma 10 8 11 2 6" xfId="40089" xr:uid="{00000000-0005-0000-0000-00000F260000}"/>
    <cellStyle name="Comma 10 8 11 3" xfId="10761" xr:uid="{00000000-0005-0000-0000-000010260000}"/>
    <cellStyle name="Comma 10 8 11 3 2" xfId="27922" xr:uid="{00000000-0005-0000-0000-000011260000}"/>
    <cellStyle name="Comma 10 8 11 3 2 2" xfId="45601" xr:uid="{00000000-0005-0000-0000-000012260000}"/>
    <cellStyle name="Comma 10 8 11 3 3" xfId="32135" xr:uid="{00000000-0005-0000-0000-000013260000}"/>
    <cellStyle name="Comma 10 8 11 3 4" xfId="36350" xr:uid="{00000000-0005-0000-0000-000014260000}"/>
    <cellStyle name="Comma 10 8 11 3 5" xfId="40554" xr:uid="{00000000-0005-0000-0000-000015260000}"/>
    <cellStyle name="Comma 10 8 11 4" xfId="26311" xr:uid="{00000000-0005-0000-0000-000016260000}"/>
    <cellStyle name="Comma 10 8 11 4 2" xfId="41548" xr:uid="{00000000-0005-0000-0000-000017260000}"/>
    <cellStyle name="Comma 10 8 11 5" xfId="30524" xr:uid="{00000000-0005-0000-0000-000018260000}"/>
    <cellStyle name="Comma 10 8 11 5 2" xfId="41822" xr:uid="{00000000-0005-0000-0000-000019260000}"/>
    <cellStyle name="Comma 10 8 11 6" xfId="34739" xr:uid="{00000000-0005-0000-0000-00001A260000}"/>
    <cellStyle name="Comma 10 8 11 7" xfId="38943" xr:uid="{00000000-0005-0000-0000-00001B260000}"/>
    <cellStyle name="Comma 10 8 12" xfId="8014" xr:uid="{00000000-0005-0000-0000-00001C260000}"/>
    <cellStyle name="Comma 10 8 12 2" xfId="9971" xr:uid="{00000000-0005-0000-0000-00001D260000}"/>
    <cellStyle name="Comma 10 8 12 2 2" xfId="11997" xr:uid="{00000000-0005-0000-0000-00001E260000}"/>
    <cellStyle name="Comma 10 8 12 2 2 2" xfId="28658" xr:uid="{00000000-0005-0000-0000-00001F260000}"/>
    <cellStyle name="Comma 10 8 12 2 2 2 2" xfId="46327" xr:uid="{00000000-0005-0000-0000-000020260000}"/>
    <cellStyle name="Comma 10 8 12 2 2 3" xfId="32871" xr:uid="{00000000-0005-0000-0000-000021260000}"/>
    <cellStyle name="Comma 10 8 12 2 2 4" xfId="37086" xr:uid="{00000000-0005-0000-0000-000022260000}"/>
    <cellStyle name="Comma 10 8 12 2 2 5" xfId="41290" xr:uid="{00000000-0005-0000-0000-000023260000}"/>
    <cellStyle name="Comma 10 8 12 2 3" xfId="27458" xr:uid="{00000000-0005-0000-0000-000024260000}"/>
    <cellStyle name="Comma 10 8 12 2 3 2" xfId="43055" xr:uid="{00000000-0005-0000-0000-000025260000}"/>
    <cellStyle name="Comma 10 8 12 2 4" xfId="31671" xr:uid="{00000000-0005-0000-0000-000026260000}"/>
    <cellStyle name="Comma 10 8 12 2 5" xfId="35886" xr:uid="{00000000-0005-0000-0000-000027260000}"/>
    <cellStyle name="Comma 10 8 12 2 6" xfId="40090" xr:uid="{00000000-0005-0000-0000-000028260000}"/>
    <cellStyle name="Comma 10 8 12 3" xfId="10762" xr:uid="{00000000-0005-0000-0000-000029260000}"/>
    <cellStyle name="Comma 10 8 12 3 2" xfId="27923" xr:uid="{00000000-0005-0000-0000-00002A260000}"/>
    <cellStyle name="Comma 10 8 12 3 2 2" xfId="45602" xr:uid="{00000000-0005-0000-0000-00002B260000}"/>
    <cellStyle name="Comma 10 8 12 3 3" xfId="32136" xr:uid="{00000000-0005-0000-0000-00002C260000}"/>
    <cellStyle name="Comma 10 8 12 3 4" xfId="36351" xr:uid="{00000000-0005-0000-0000-00002D260000}"/>
    <cellStyle name="Comma 10 8 12 3 5" xfId="40555" xr:uid="{00000000-0005-0000-0000-00002E260000}"/>
    <cellStyle name="Comma 10 8 12 4" xfId="26312" xr:uid="{00000000-0005-0000-0000-00002F260000}"/>
    <cellStyle name="Comma 10 8 12 4 2" xfId="41549" xr:uid="{00000000-0005-0000-0000-000030260000}"/>
    <cellStyle name="Comma 10 8 12 5" xfId="30525" xr:uid="{00000000-0005-0000-0000-000031260000}"/>
    <cellStyle name="Comma 10 8 12 5 2" xfId="41823" xr:uid="{00000000-0005-0000-0000-000032260000}"/>
    <cellStyle name="Comma 10 8 12 6" xfId="34740" xr:uid="{00000000-0005-0000-0000-000033260000}"/>
    <cellStyle name="Comma 10 8 12 7" xfId="38944" xr:uid="{00000000-0005-0000-0000-000034260000}"/>
    <cellStyle name="Comma 10 8 13" xfId="8015" xr:uid="{00000000-0005-0000-0000-000035260000}"/>
    <cellStyle name="Comma 10 8 13 2" xfId="9972" xr:uid="{00000000-0005-0000-0000-000036260000}"/>
    <cellStyle name="Comma 10 8 13 2 2" xfId="11998" xr:uid="{00000000-0005-0000-0000-000037260000}"/>
    <cellStyle name="Comma 10 8 13 2 2 2" xfId="28659" xr:uid="{00000000-0005-0000-0000-000038260000}"/>
    <cellStyle name="Comma 10 8 13 2 2 2 2" xfId="46328" xr:uid="{00000000-0005-0000-0000-000039260000}"/>
    <cellStyle name="Comma 10 8 13 2 2 3" xfId="32872" xr:uid="{00000000-0005-0000-0000-00003A260000}"/>
    <cellStyle name="Comma 10 8 13 2 2 4" xfId="37087" xr:uid="{00000000-0005-0000-0000-00003B260000}"/>
    <cellStyle name="Comma 10 8 13 2 2 5" xfId="41291" xr:uid="{00000000-0005-0000-0000-00003C260000}"/>
    <cellStyle name="Comma 10 8 13 2 3" xfId="27459" xr:uid="{00000000-0005-0000-0000-00003D260000}"/>
    <cellStyle name="Comma 10 8 13 2 3 2" xfId="43056" xr:uid="{00000000-0005-0000-0000-00003E260000}"/>
    <cellStyle name="Comma 10 8 13 2 4" xfId="31672" xr:uid="{00000000-0005-0000-0000-00003F260000}"/>
    <cellStyle name="Comma 10 8 13 2 5" xfId="35887" xr:uid="{00000000-0005-0000-0000-000040260000}"/>
    <cellStyle name="Comma 10 8 13 2 6" xfId="40091" xr:uid="{00000000-0005-0000-0000-000041260000}"/>
    <cellStyle name="Comma 10 8 13 3" xfId="10763" xr:uid="{00000000-0005-0000-0000-000042260000}"/>
    <cellStyle name="Comma 10 8 13 3 2" xfId="27924" xr:uid="{00000000-0005-0000-0000-000043260000}"/>
    <cellStyle name="Comma 10 8 13 3 2 2" xfId="45603" xr:uid="{00000000-0005-0000-0000-000044260000}"/>
    <cellStyle name="Comma 10 8 13 3 3" xfId="32137" xr:uid="{00000000-0005-0000-0000-000045260000}"/>
    <cellStyle name="Comma 10 8 13 3 4" xfId="36352" xr:uid="{00000000-0005-0000-0000-000046260000}"/>
    <cellStyle name="Comma 10 8 13 3 5" xfId="40556" xr:uid="{00000000-0005-0000-0000-000047260000}"/>
    <cellStyle name="Comma 10 8 13 4" xfId="26313" xr:uid="{00000000-0005-0000-0000-000048260000}"/>
    <cellStyle name="Comma 10 8 13 4 2" xfId="41550" xr:uid="{00000000-0005-0000-0000-000049260000}"/>
    <cellStyle name="Comma 10 8 13 5" xfId="30526" xr:uid="{00000000-0005-0000-0000-00004A260000}"/>
    <cellStyle name="Comma 10 8 13 5 2" xfId="41824" xr:uid="{00000000-0005-0000-0000-00004B260000}"/>
    <cellStyle name="Comma 10 8 13 6" xfId="34741" xr:uid="{00000000-0005-0000-0000-00004C260000}"/>
    <cellStyle name="Comma 10 8 13 7" xfId="38945" xr:uid="{00000000-0005-0000-0000-00004D260000}"/>
    <cellStyle name="Comma 10 8 14" xfId="8016" xr:uid="{00000000-0005-0000-0000-00004E260000}"/>
    <cellStyle name="Comma 10 8 14 2" xfId="9973" xr:uid="{00000000-0005-0000-0000-00004F260000}"/>
    <cellStyle name="Comma 10 8 14 2 2" xfId="11999" xr:uid="{00000000-0005-0000-0000-000050260000}"/>
    <cellStyle name="Comma 10 8 14 2 2 2" xfId="28660" xr:uid="{00000000-0005-0000-0000-000051260000}"/>
    <cellStyle name="Comma 10 8 14 2 2 2 2" xfId="46329" xr:uid="{00000000-0005-0000-0000-000052260000}"/>
    <cellStyle name="Comma 10 8 14 2 2 3" xfId="32873" xr:uid="{00000000-0005-0000-0000-000053260000}"/>
    <cellStyle name="Comma 10 8 14 2 2 4" xfId="37088" xr:uid="{00000000-0005-0000-0000-000054260000}"/>
    <cellStyle name="Comma 10 8 14 2 2 5" xfId="41292" xr:uid="{00000000-0005-0000-0000-000055260000}"/>
    <cellStyle name="Comma 10 8 14 2 3" xfId="27460" xr:uid="{00000000-0005-0000-0000-000056260000}"/>
    <cellStyle name="Comma 10 8 14 2 3 2" xfId="43057" xr:uid="{00000000-0005-0000-0000-000057260000}"/>
    <cellStyle name="Comma 10 8 14 2 4" xfId="31673" xr:uid="{00000000-0005-0000-0000-000058260000}"/>
    <cellStyle name="Comma 10 8 14 2 5" xfId="35888" xr:uid="{00000000-0005-0000-0000-000059260000}"/>
    <cellStyle name="Comma 10 8 14 2 6" xfId="40092" xr:uid="{00000000-0005-0000-0000-00005A260000}"/>
    <cellStyle name="Comma 10 8 14 3" xfId="10764" xr:uid="{00000000-0005-0000-0000-00005B260000}"/>
    <cellStyle name="Comma 10 8 14 3 2" xfId="27925" xr:uid="{00000000-0005-0000-0000-00005C260000}"/>
    <cellStyle name="Comma 10 8 14 3 2 2" xfId="45604" xr:uid="{00000000-0005-0000-0000-00005D260000}"/>
    <cellStyle name="Comma 10 8 14 3 3" xfId="32138" xr:uid="{00000000-0005-0000-0000-00005E260000}"/>
    <cellStyle name="Comma 10 8 14 3 4" xfId="36353" xr:uid="{00000000-0005-0000-0000-00005F260000}"/>
    <cellStyle name="Comma 10 8 14 3 5" xfId="40557" xr:uid="{00000000-0005-0000-0000-000060260000}"/>
    <cellStyle name="Comma 10 8 14 4" xfId="26314" xr:uid="{00000000-0005-0000-0000-000061260000}"/>
    <cellStyle name="Comma 10 8 14 4 2" xfId="41551" xr:uid="{00000000-0005-0000-0000-000062260000}"/>
    <cellStyle name="Comma 10 8 14 5" xfId="30527" xr:uid="{00000000-0005-0000-0000-000063260000}"/>
    <cellStyle name="Comma 10 8 14 5 2" xfId="41825" xr:uid="{00000000-0005-0000-0000-000064260000}"/>
    <cellStyle name="Comma 10 8 14 6" xfId="34742" xr:uid="{00000000-0005-0000-0000-000065260000}"/>
    <cellStyle name="Comma 10 8 14 7" xfId="38946" xr:uid="{00000000-0005-0000-0000-000066260000}"/>
    <cellStyle name="Comma 10 8 15" xfId="8017" xr:uid="{00000000-0005-0000-0000-000067260000}"/>
    <cellStyle name="Comma 10 8 15 2" xfId="9974" xr:uid="{00000000-0005-0000-0000-000068260000}"/>
    <cellStyle name="Comma 10 8 15 2 2" xfId="12000" xr:uid="{00000000-0005-0000-0000-000069260000}"/>
    <cellStyle name="Comma 10 8 15 2 2 2" xfId="28661" xr:uid="{00000000-0005-0000-0000-00006A260000}"/>
    <cellStyle name="Comma 10 8 15 2 2 2 2" xfId="46330" xr:uid="{00000000-0005-0000-0000-00006B260000}"/>
    <cellStyle name="Comma 10 8 15 2 2 3" xfId="32874" xr:uid="{00000000-0005-0000-0000-00006C260000}"/>
    <cellStyle name="Comma 10 8 15 2 2 4" xfId="37089" xr:uid="{00000000-0005-0000-0000-00006D260000}"/>
    <cellStyle name="Comma 10 8 15 2 2 5" xfId="41293" xr:uid="{00000000-0005-0000-0000-00006E260000}"/>
    <cellStyle name="Comma 10 8 15 2 3" xfId="27461" xr:uid="{00000000-0005-0000-0000-00006F260000}"/>
    <cellStyle name="Comma 10 8 15 2 3 2" xfId="43058" xr:uid="{00000000-0005-0000-0000-000070260000}"/>
    <cellStyle name="Comma 10 8 15 2 4" xfId="31674" xr:uid="{00000000-0005-0000-0000-000071260000}"/>
    <cellStyle name="Comma 10 8 15 2 5" xfId="35889" xr:uid="{00000000-0005-0000-0000-000072260000}"/>
    <cellStyle name="Comma 10 8 15 2 6" xfId="40093" xr:uid="{00000000-0005-0000-0000-000073260000}"/>
    <cellStyle name="Comma 10 8 15 3" xfId="10765" xr:uid="{00000000-0005-0000-0000-000074260000}"/>
    <cellStyle name="Comma 10 8 15 3 2" xfId="27926" xr:uid="{00000000-0005-0000-0000-000075260000}"/>
    <cellStyle name="Comma 10 8 15 3 2 2" xfId="45605" xr:uid="{00000000-0005-0000-0000-000076260000}"/>
    <cellStyle name="Comma 10 8 15 3 3" xfId="32139" xr:uid="{00000000-0005-0000-0000-000077260000}"/>
    <cellStyle name="Comma 10 8 15 3 4" xfId="36354" xr:uid="{00000000-0005-0000-0000-000078260000}"/>
    <cellStyle name="Comma 10 8 15 3 5" xfId="40558" xr:uid="{00000000-0005-0000-0000-000079260000}"/>
    <cellStyle name="Comma 10 8 15 4" xfId="26315" xr:uid="{00000000-0005-0000-0000-00007A260000}"/>
    <cellStyle name="Comma 10 8 15 4 2" xfId="41552" xr:uid="{00000000-0005-0000-0000-00007B260000}"/>
    <cellStyle name="Comma 10 8 15 5" xfId="30528" xr:uid="{00000000-0005-0000-0000-00007C260000}"/>
    <cellStyle name="Comma 10 8 15 5 2" xfId="41826" xr:uid="{00000000-0005-0000-0000-00007D260000}"/>
    <cellStyle name="Comma 10 8 15 6" xfId="34743" xr:uid="{00000000-0005-0000-0000-00007E260000}"/>
    <cellStyle name="Comma 10 8 15 7" xfId="38947" xr:uid="{00000000-0005-0000-0000-00007F260000}"/>
    <cellStyle name="Comma 10 8 16" xfId="8018" xr:uid="{00000000-0005-0000-0000-000080260000}"/>
    <cellStyle name="Comma 10 8 16 2" xfId="9975" xr:uid="{00000000-0005-0000-0000-000081260000}"/>
    <cellStyle name="Comma 10 8 16 2 2" xfId="12001" xr:uid="{00000000-0005-0000-0000-000082260000}"/>
    <cellStyle name="Comma 10 8 16 2 2 2" xfId="28662" xr:uid="{00000000-0005-0000-0000-000083260000}"/>
    <cellStyle name="Comma 10 8 16 2 2 2 2" xfId="46331" xr:uid="{00000000-0005-0000-0000-000084260000}"/>
    <cellStyle name="Comma 10 8 16 2 2 3" xfId="32875" xr:uid="{00000000-0005-0000-0000-000085260000}"/>
    <cellStyle name="Comma 10 8 16 2 2 4" xfId="37090" xr:uid="{00000000-0005-0000-0000-000086260000}"/>
    <cellStyle name="Comma 10 8 16 2 2 5" xfId="41294" xr:uid="{00000000-0005-0000-0000-000087260000}"/>
    <cellStyle name="Comma 10 8 16 2 3" xfId="27462" xr:uid="{00000000-0005-0000-0000-000088260000}"/>
    <cellStyle name="Comma 10 8 16 2 3 2" xfId="43059" xr:uid="{00000000-0005-0000-0000-000089260000}"/>
    <cellStyle name="Comma 10 8 16 2 4" xfId="31675" xr:uid="{00000000-0005-0000-0000-00008A260000}"/>
    <cellStyle name="Comma 10 8 16 2 5" xfId="35890" xr:uid="{00000000-0005-0000-0000-00008B260000}"/>
    <cellStyle name="Comma 10 8 16 2 6" xfId="40094" xr:uid="{00000000-0005-0000-0000-00008C260000}"/>
    <cellStyle name="Comma 10 8 16 3" xfId="10766" xr:uid="{00000000-0005-0000-0000-00008D260000}"/>
    <cellStyle name="Comma 10 8 16 3 2" xfId="27927" xr:uid="{00000000-0005-0000-0000-00008E260000}"/>
    <cellStyle name="Comma 10 8 16 3 2 2" xfId="45606" xr:uid="{00000000-0005-0000-0000-00008F260000}"/>
    <cellStyle name="Comma 10 8 16 3 3" xfId="32140" xr:uid="{00000000-0005-0000-0000-000090260000}"/>
    <cellStyle name="Comma 10 8 16 3 4" xfId="36355" xr:uid="{00000000-0005-0000-0000-000091260000}"/>
    <cellStyle name="Comma 10 8 16 3 5" xfId="40559" xr:uid="{00000000-0005-0000-0000-000092260000}"/>
    <cellStyle name="Comma 10 8 16 4" xfId="26316" xr:uid="{00000000-0005-0000-0000-000093260000}"/>
    <cellStyle name="Comma 10 8 16 4 2" xfId="41553" xr:uid="{00000000-0005-0000-0000-000094260000}"/>
    <cellStyle name="Comma 10 8 16 5" xfId="30529" xr:uid="{00000000-0005-0000-0000-000095260000}"/>
    <cellStyle name="Comma 10 8 16 5 2" xfId="41827" xr:uid="{00000000-0005-0000-0000-000096260000}"/>
    <cellStyle name="Comma 10 8 16 6" xfId="34744" xr:uid="{00000000-0005-0000-0000-000097260000}"/>
    <cellStyle name="Comma 10 8 16 7" xfId="38948" xr:uid="{00000000-0005-0000-0000-000098260000}"/>
    <cellStyle name="Comma 10 8 17" xfId="8019" xr:uid="{00000000-0005-0000-0000-000099260000}"/>
    <cellStyle name="Comma 10 8 17 2" xfId="9976" xr:uid="{00000000-0005-0000-0000-00009A260000}"/>
    <cellStyle name="Comma 10 8 17 2 2" xfId="12002" xr:uid="{00000000-0005-0000-0000-00009B260000}"/>
    <cellStyle name="Comma 10 8 17 2 2 2" xfId="28663" xr:uid="{00000000-0005-0000-0000-00009C260000}"/>
    <cellStyle name="Comma 10 8 17 2 2 2 2" xfId="46332" xr:uid="{00000000-0005-0000-0000-00009D260000}"/>
    <cellStyle name="Comma 10 8 17 2 2 3" xfId="32876" xr:uid="{00000000-0005-0000-0000-00009E260000}"/>
    <cellStyle name="Comma 10 8 17 2 2 4" xfId="37091" xr:uid="{00000000-0005-0000-0000-00009F260000}"/>
    <cellStyle name="Comma 10 8 17 2 2 5" xfId="41295" xr:uid="{00000000-0005-0000-0000-0000A0260000}"/>
    <cellStyle name="Comma 10 8 17 2 3" xfId="27463" xr:uid="{00000000-0005-0000-0000-0000A1260000}"/>
    <cellStyle name="Comma 10 8 17 2 3 2" xfId="43060" xr:uid="{00000000-0005-0000-0000-0000A2260000}"/>
    <cellStyle name="Comma 10 8 17 2 4" xfId="31676" xr:uid="{00000000-0005-0000-0000-0000A3260000}"/>
    <cellStyle name="Comma 10 8 17 2 5" xfId="35891" xr:uid="{00000000-0005-0000-0000-0000A4260000}"/>
    <cellStyle name="Comma 10 8 17 2 6" xfId="40095" xr:uid="{00000000-0005-0000-0000-0000A5260000}"/>
    <cellStyle name="Comma 10 8 17 3" xfId="10767" xr:uid="{00000000-0005-0000-0000-0000A6260000}"/>
    <cellStyle name="Comma 10 8 17 3 2" xfId="27928" xr:uid="{00000000-0005-0000-0000-0000A7260000}"/>
    <cellStyle name="Comma 10 8 17 3 2 2" xfId="45607" xr:uid="{00000000-0005-0000-0000-0000A8260000}"/>
    <cellStyle name="Comma 10 8 17 3 3" xfId="32141" xr:uid="{00000000-0005-0000-0000-0000A9260000}"/>
    <cellStyle name="Comma 10 8 17 3 4" xfId="36356" xr:uid="{00000000-0005-0000-0000-0000AA260000}"/>
    <cellStyle name="Comma 10 8 17 3 5" xfId="40560" xr:uid="{00000000-0005-0000-0000-0000AB260000}"/>
    <cellStyle name="Comma 10 8 17 4" xfId="26317" xr:uid="{00000000-0005-0000-0000-0000AC260000}"/>
    <cellStyle name="Comma 10 8 17 4 2" xfId="41554" xr:uid="{00000000-0005-0000-0000-0000AD260000}"/>
    <cellStyle name="Comma 10 8 17 5" xfId="30530" xr:uid="{00000000-0005-0000-0000-0000AE260000}"/>
    <cellStyle name="Comma 10 8 17 5 2" xfId="41828" xr:uid="{00000000-0005-0000-0000-0000AF260000}"/>
    <cellStyle name="Comma 10 8 17 6" xfId="34745" xr:uid="{00000000-0005-0000-0000-0000B0260000}"/>
    <cellStyle name="Comma 10 8 17 7" xfId="38949" xr:uid="{00000000-0005-0000-0000-0000B1260000}"/>
    <cellStyle name="Comma 10 8 18" xfId="9968" xr:uid="{00000000-0005-0000-0000-0000B2260000}"/>
    <cellStyle name="Comma 10 8 18 2" xfId="11994" xr:uid="{00000000-0005-0000-0000-0000B3260000}"/>
    <cellStyle name="Comma 10 8 18 2 2" xfId="28655" xr:uid="{00000000-0005-0000-0000-0000B4260000}"/>
    <cellStyle name="Comma 10 8 18 2 2 2" xfId="46324" xr:uid="{00000000-0005-0000-0000-0000B5260000}"/>
    <cellStyle name="Comma 10 8 18 2 3" xfId="32868" xr:uid="{00000000-0005-0000-0000-0000B6260000}"/>
    <cellStyle name="Comma 10 8 18 2 4" xfId="37083" xr:uid="{00000000-0005-0000-0000-0000B7260000}"/>
    <cellStyle name="Comma 10 8 18 2 5" xfId="41287" xr:uid="{00000000-0005-0000-0000-0000B8260000}"/>
    <cellStyle name="Comma 10 8 18 3" xfId="27455" xr:uid="{00000000-0005-0000-0000-0000B9260000}"/>
    <cellStyle name="Comma 10 8 18 3 2" xfId="43052" xr:uid="{00000000-0005-0000-0000-0000BA260000}"/>
    <cellStyle name="Comma 10 8 18 4" xfId="31668" xr:uid="{00000000-0005-0000-0000-0000BB260000}"/>
    <cellStyle name="Comma 10 8 18 5" xfId="35883" xr:uid="{00000000-0005-0000-0000-0000BC260000}"/>
    <cellStyle name="Comma 10 8 18 6" xfId="40087" xr:uid="{00000000-0005-0000-0000-0000BD260000}"/>
    <cellStyle name="Comma 10 8 19" xfId="10759" xr:uid="{00000000-0005-0000-0000-0000BE260000}"/>
    <cellStyle name="Comma 10 8 19 2" xfId="27920" xr:uid="{00000000-0005-0000-0000-0000BF260000}"/>
    <cellStyle name="Comma 10 8 19 2 2" xfId="45599" xr:uid="{00000000-0005-0000-0000-0000C0260000}"/>
    <cellStyle name="Comma 10 8 19 3" xfId="32133" xr:uid="{00000000-0005-0000-0000-0000C1260000}"/>
    <cellStyle name="Comma 10 8 19 4" xfId="36348" xr:uid="{00000000-0005-0000-0000-0000C2260000}"/>
    <cellStyle name="Comma 10 8 19 5" xfId="40552" xr:uid="{00000000-0005-0000-0000-0000C3260000}"/>
    <cellStyle name="Comma 10 8 2" xfId="8020" xr:uid="{00000000-0005-0000-0000-0000C4260000}"/>
    <cellStyle name="Comma 10 8 2 2" xfId="9977" xr:uid="{00000000-0005-0000-0000-0000C5260000}"/>
    <cellStyle name="Comma 10 8 2 2 2" xfId="12003" xr:uid="{00000000-0005-0000-0000-0000C6260000}"/>
    <cellStyle name="Comma 10 8 2 2 2 2" xfId="28664" xr:uid="{00000000-0005-0000-0000-0000C7260000}"/>
    <cellStyle name="Comma 10 8 2 2 2 2 2" xfId="46333" xr:uid="{00000000-0005-0000-0000-0000C8260000}"/>
    <cellStyle name="Comma 10 8 2 2 2 3" xfId="32877" xr:uid="{00000000-0005-0000-0000-0000C9260000}"/>
    <cellStyle name="Comma 10 8 2 2 2 4" xfId="37092" xr:uid="{00000000-0005-0000-0000-0000CA260000}"/>
    <cellStyle name="Comma 10 8 2 2 2 5" xfId="41296" xr:uid="{00000000-0005-0000-0000-0000CB260000}"/>
    <cellStyle name="Comma 10 8 2 2 3" xfId="27464" xr:uid="{00000000-0005-0000-0000-0000CC260000}"/>
    <cellStyle name="Comma 10 8 2 2 3 2" xfId="43061" xr:uid="{00000000-0005-0000-0000-0000CD260000}"/>
    <cellStyle name="Comma 10 8 2 2 4" xfId="31677" xr:uid="{00000000-0005-0000-0000-0000CE260000}"/>
    <cellStyle name="Comma 10 8 2 2 5" xfId="35892" xr:uid="{00000000-0005-0000-0000-0000CF260000}"/>
    <cellStyle name="Comma 10 8 2 2 6" xfId="40096" xr:uid="{00000000-0005-0000-0000-0000D0260000}"/>
    <cellStyle name="Comma 10 8 2 3" xfId="10768" xr:uid="{00000000-0005-0000-0000-0000D1260000}"/>
    <cellStyle name="Comma 10 8 2 3 2" xfId="27929" xr:uid="{00000000-0005-0000-0000-0000D2260000}"/>
    <cellStyle name="Comma 10 8 2 3 2 2" xfId="45608" xr:uid="{00000000-0005-0000-0000-0000D3260000}"/>
    <cellStyle name="Comma 10 8 2 3 3" xfId="32142" xr:uid="{00000000-0005-0000-0000-0000D4260000}"/>
    <cellStyle name="Comma 10 8 2 3 4" xfId="36357" xr:uid="{00000000-0005-0000-0000-0000D5260000}"/>
    <cellStyle name="Comma 10 8 2 3 5" xfId="40561" xr:uid="{00000000-0005-0000-0000-0000D6260000}"/>
    <cellStyle name="Comma 10 8 2 4" xfId="26318" xr:uid="{00000000-0005-0000-0000-0000D7260000}"/>
    <cellStyle name="Comma 10 8 2 4 2" xfId="41555" xr:uid="{00000000-0005-0000-0000-0000D8260000}"/>
    <cellStyle name="Comma 10 8 2 5" xfId="30531" xr:uid="{00000000-0005-0000-0000-0000D9260000}"/>
    <cellStyle name="Comma 10 8 2 5 2" xfId="41829" xr:uid="{00000000-0005-0000-0000-0000DA260000}"/>
    <cellStyle name="Comma 10 8 2 6" xfId="34746" xr:uid="{00000000-0005-0000-0000-0000DB260000}"/>
    <cellStyle name="Comma 10 8 2 7" xfId="38950" xr:uid="{00000000-0005-0000-0000-0000DC260000}"/>
    <cellStyle name="Comma 10 8 20" xfId="26309" xr:uid="{00000000-0005-0000-0000-0000DD260000}"/>
    <cellStyle name="Comma 10 8 20 2" xfId="41546" xr:uid="{00000000-0005-0000-0000-0000DE260000}"/>
    <cellStyle name="Comma 10 8 21" xfId="30522" xr:uid="{00000000-0005-0000-0000-0000DF260000}"/>
    <cellStyle name="Comma 10 8 21 2" xfId="41820" xr:uid="{00000000-0005-0000-0000-0000E0260000}"/>
    <cellStyle name="Comma 10 8 22" xfId="34737" xr:uid="{00000000-0005-0000-0000-0000E1260000}"/>
    <cellStyle name="Comma 10 8 23" xfId="38941" xr:uid="{00000000-0005-0000-0000-0000E2260000}"/>
    <cellStyle name="Comma 10 8 3" xfId="8021" xr:uid="{00000000-0005-0000-0000-0000E3260000}"/>
    <cellStyle name="Comma 10 8 3 2" xfId="9978" xr:uid="{00000000-0005-0000-0000-0000E4260000}"/>
    <cellStyle name="Comma 10 8 3 2 2" xfId="12004" xr:uid="{00000000-0005-0000-0000-0000E5260000}"/>
    <cellStyle name="Comma 10 8 3 2 2 2" xfId="28665" xr:uid="{00000000-0005-0000-0000-0000E6260000}"/>
    <cellStyle name="Comma 10 8 3 2 2 2 2" xfId="46334" xr:uid="{00000000-0005-0000-0000-0000E7260000}"/>
    <cellStyle name="Comma 10 8 3 2 2 3" xfId="32878" xr:uid="{00000000-0005-0000-0000-0000E8260000}"/>
    <cellStyle name="Comma 10 8 3 2 2 4" xfId="37093" xr:uid="{00000000-0005-0000-0000-0000E9260000}"/>
    <cellStyle name="Comma 10 8 3 2 2 5" xfId="41297" xr:uid="{00000000-0005-0000-0000-0000EA260000}"/>
    <cellStyle name="Comma 10 8 3 2 3" xfId="27465" xr:uid="{00000000-0005-0000-0000-0000EB260000}"/>
    <cellStyle name="Comma 10 8 3 2 3 2" xfId="43062" xr:uid="{00000000-0005-0000-0000-0000EC260000}"/>
    <cellStyle name="Comma 10 8 3 2 4" xfId="31678" xr:uid="{00000000-0005-0000-0000-0000ED260000}"/>
    <cellStyle name="Comma 10 8 3 2 5" xfId="35893" xr:uid="{00000000-0005-0000-0000-0000EE260000}"/>
    <cellStyle name="Comma 10 8 3 2 6" xfId="40097" xr:uid="{00000000-0005-0000-0000-0000EF260000}"/>
    <cellStyle name="Comma 10 8 3 3" xfId="10769" xr:uid="{00000000-0005-0000-0000-0000F0260000}"/>
    <cellStyle name="Comma 10 8 3 3 2" xfId="27930" xr:uid="{00000000-0005-0000-0000-0000F1260000}"/>
    <cellStyle name="Comma 10 8 3 3 2 2" xfId="45609" xr:uid="{00000000-0005-0000-0000-0000F2260000}"/>
    <cellStyle name="Comma 10 8 3 3 3" xfId="32143" xr:uid="{00000000-0005-0000-0000-0000F3260000}"/>
    <cellStyle name="Comma 10 8 3 3 4" xfId="36358" xr:uid="{00000000-0005-0000-0000-0000F4260000}"/>
    <cellStyle name="Comma 10 8 3 3 5" xfId="40562" xr:uid="{00000000-0005-0000-0000-0000F5260000}"/>
    <cellStyle name="Comma 10 8 3 4" xfId="26319" xr:uid="{00000000-0005-0000-0000-0000F6260000}"/>
    <cellStyle name="Comma 10 8 3 4 2" xfId="41556" xr:uid="{00000000-0005-0000-0000-0000F7260000}"/>
    <cellStyle name="Comma 10 8 3 5" xfId="30532" xr:uid="{00000000-0005-0000-0000-0000F8260000}"/>
    <cellStyle name="Comma 10 8 3 5 2" xfId="41830" xr:uid="{00000000-0005-0000-0000-0000F9260000}"/>
    <cellStyle name="Comma 10 8 3 6" xfId="34747" xr:uid="{00000000-0005-0000-0000-0000FA260000}"/>
    <cellStyle name="Comma 10 8 3 7" xfId="38951" xr:uid="{00000000-0005-0000-0000-0000FB260000}"/>
    <cellStyle name="Comma 10 8 4" xfId="8022" xr:uid="{00000000-0005-0000-0000-0000FC260000}"/>
    <cellStyle name="Comma 10 8 4 2" xfId="9979" xr:uid="{00000000-0005-0000-0000-0000FD260000}"/>
    <cellStyle name="Comma 10 8 4 2 2" xfId="12005" xr:uid="{00000000-0005-0000-0000-0000FE260000}"/>
    <cellStyle name="Comma 10 8 4 2 2 2" xfId="28666" xr:uid="{00000000-0005-0000-0000-0000FF260000}"/>
    <cellStyle name="Comma 10 8 4 2 2 2 2" xfId="46335" xr:uid="{00000000-0005-0000-0000-000000270000}"/>
    <cellStyle name="Comma 10 8 4 2 2 3" xfId="32879" xr:uid="{00000000-0005-0000-0000-000001270000}"/>
    <cellStyle name="Comma 10 8 4 2 2 4" xfId="37094" xr:uid="{00000000-0005-0000-0000-000002270000}"/>
    <cellStyle name="Comma 10 8 4 2 2 5" xfId="41298" xr:uid="{00000000-0005-0000-0000-000003270000}"/>
    <cellStyle name="Comma 10 8 4 2 3" xfId="27466" xr:uid="{00000000-0005-0000-0000-000004270000}"/>
    <cellStyle name="Comma 10 8 4 2 3 2" xfId="43063" xr:uid="{00000000-0005-0000-0000-000005270000}"/>
    <cellStyle name="Comma 10 8 4 2 4" xfId="31679" xr:uid="{00000000-0005-0000-0000-000006270000}"/>
    <cellStyle name="Comma 10 8 4 2 5" xfId="35894" xr:uid="{00000000-0005-0000-0000-000007270000}"/>
    <cellStyle name="Comma 10 8 4 2 6" xfId="40098" xr:uid="{00000000-0005-0000-0000-000008270000}"/>
    <cellStyle name="Comma 10 8 4 3" xfId="10770" xr:uid="{00000000-0005-0000-0000-000009270000}"/>
    <cellStyle name="Comma 10 8 4 3 2" xfId="27931" xr:uid="{00000000-0005-0000-0000-00000A270000}"/>
    <cellStyle name="Comma 10 8 4 3 2 2" xfId="45610" xr:uid="{00000000-0005-0000-0000-00000B270000}"/>
    <cellStyle name="Comma 10 8 4 3 3" xfId="32144" xr:uid="{00000000-0005-0000-0000-00000C270000}"/>
    <cellStyle name="Comma 10 8 4 3 4" xfId="36359" xr:uid="{00000000-0005-0000-0000-00000D270000}"/>
    <cellStyle name="Comma 10 8 4 3 5" xfId="40563" xr:uid="{00000000-0005-0000-0000-00000E270000}"/>
    <cellStyle name="Comma 10 8 4 4" xfId="26320" xr:uid="{00000000-0005-0000-0000-00000F270000}"/>
    <cellStyle name="Comma 10 8 4 4 2" xfId="41557" xr:uid="{00000000-0005-0000-0000-000010270000}"/>
    <cellStyle name="Comma 10 8 4 5" xfId="30533" xr:uid="{00000000-0005-0000-0000-000011270000}"/>
    <cellStyle name="Comma 10 8 4 5 2" xfId="41831" xr:uid="{00000000-0005-0000-0000-000012270000}"/>
    <cellStyle name="Comma 10 8 4 6" xfId="34748" xr:uid="{00000000-0005-0000-0000-000013270000}"/>
    <cellStyle name="Comma 10 8 4 7" xfId="38952" xr:uid="{00000000-0005-0000-0000-000014270000}"/>
    <cellStyle name="Comma 10 8 5" xfId="8023" xr:uid="{00000000-0005-0000-0000-000015270000}"/>
    <cellStyle name="Comma 10 8 5 2" xfId="9980" xr:uid="{00000000-0005-0000-0000-000016270000}"/>
    <cellStyle name="Comma 10 8 5 2 2" xfId="12006" xr:uid="{00000000-0005-0000-0000-000017270000}"/>
    <cellStyle name="Comma 10 8 5 2 2 2" xfId="28667" xr:uid="{00000000-0005-0000-0000-000018270000}"/>
    <cellStyle name="Comma 10 8 5 2 2 2 2" xfId="46336" xr:uid="{00000000-0005-0000-0000-000019270000}"/>
    <cellStyle name="Comma 10 8 5 2 2 3" xfId="32880" xr:uid="{00000000-0005-0000-0000-00001A270000}"/>
    <cellStyle name="Comma 10 8 5 2 2 4" xfId="37095" xr:uid="{00000000-0005-0000-0000-00001B270000}"/>
    <cellStyle name="Comma 10 8 5 2 2 5" xfId="41299" xr:uid="{00000000-0005-0000-0000-00001C270000}"/>
    <cellStyle name="Comma 10 8 5 2 3" xfId="27467" xr:uid="{00000000-0005-0000-0000-00001D270000}"/>
    <cellStyle name="Comma 10 8 5 2 3 2" xfId="43064" xr:uid="{00000000-0005-0000-0000-00001E270000}"/>
    <cellStyle name="Comma 10 8 5 2 4" xfId="31680" xr:uid="{00000000-0005-0000-0000-00001F270000}"/>
    <cellStyle name="Comma 10 8 5 2 5" xfId="35895" xr:uid="{00000000-0005-0000-0000-000020270000}"/>
    <cellStyle name="Comma 10 8 5 2 6" xfId="40099" xr:uid="{00000000-0005-0000-0000-000021270000}"/>
    <cellStyle name="Comma 10 8 5 3" xfId="10771" xr:uid="{00000000-0005-0000-0000-000022270000}"/>
    <cellStyle name="Comma 10 8 5 3 2" xfId="27932" xr:uid="{00000000-0005-0000-0000-000023270000}"/>
    <cellStyle name="Comma 10 8 5 3 2 2" xfId="45611" xr:uid="{00000000-0005-0000-0000-000024270000}"/>
    <cellStyle name="Comma 10 8 5 3 3" xfId="32145" xr:uid="{00000000-0005-0000-0000-000025270000}"/>
    <cellStyle name="Comma 10 8 5 3 4" xfId="36360" xr:uid="{00000000-0005-0000-0000-000026270000}"/>
    <cellStyle name="Comma 10 8 5 3 5" xfId="40564" xr:uid="{00000000-0005-0000-0000-000027270000}"/>
    <cellStyle name="Comma 10 8 5 4" xfId="26321" xr:uid="{00000000-0005-0000-0000-000028270000}"/>
    <cellStyle name="Comma 10 8 5 4 2" xfId="41558" xr:uid="{00000000-0005-0000-0000-000029270000}"/>
    <cellStyle name="Comma 10 8 5 5" xfId="30534" xr:uid="{00000000-0005-0000-0000-00002A270000}"/>
    <cellStyle name="Comma 10 8 5 5 2" xfId="41832" xr:uid="{00000000-0005-0000-0000-00002B270000}"/>
    <cellStyle name="Comma 10 8 5 6" xfId="34749" xr:uid="{00000000-0005-0000-0000-00002C270000}"/>
    <cellStyle name="Comma 10 8 5 7" xfId="38953" xr:uid="{00000000-0005-0000-0000-00002D270000}"/>
    <cellStyle name="Comma 10 8 6" xfId="8024" xr:uid="{00000000-0005-0000-0000-00002E270000}"/>
    <cellStyle name="Comma 10 8 6 2" xfId="9981" xr:uid="{00000000-0005-0000-0000-00002F270000}"/>
    <cellStyle name="Comma 10 8 6 2 2" xfId="12007" xr:uid="{00000000-0005-0000-0000-000030270000}"/>
    <cellStyle name="Comma 10 8 6 2 2 2" xfId="28668" xr:uid="{00000000-0005-0000-0000-000031270000}"/>
    <cellStyle name="Comma 10 8 6 2 2 2 2" xfId="46337" xr:uid="{00000000-0005-0000-0000-000032270000}"/>
    <cellStyle name="Comma 10 8 6 2 2 3" xfId="32881" xr:uid="{00000000-0005-0000-0000-000033270000}"/>
    <cellStyle name="Comma 10 8 6 2 2 4" xfId="37096" xr:uid="{00000000-0005-0000-0000-000034270000}"/>
    <cellStyle name="Comma 10 8 6 2 2 5" xfId="41300" xr:uid="{00000000-0005-0000-0000-000035270000}"/>
    <cellStyle name="Comma 10 8 6 2 3" xfId="27468" xr:uid="{00000000-0005-0000-0000-000036270000}"/>
    <cellStyle name="Comma 10 8 6 2 3 2" xfId="43065" xr:uid="{00000000-0005-0000-0000-000037270000}"/>
    <cellStyle name="Comma 10 8 6 2 4" xfId="31681" xr:uid="{00000000-0005-0000-0000-000038270000}"/>
    <cellStyle name="Comma 10 8 6 2 5" xfId="35896" xr:uid="{00000000-0005-0000-0000-000039270000}"/>
    <cellStyle name="Comma 10 8 6 2 6" xfId="40100" xr:uid="{00000000-0005-0000-0000-00003A270000}"/>
    <cellStyle name="Comma 10 8 6 3" xfId="10772" xr:uid="{00000000-0005-0000-0000-00003B270000}"/>
    <cellStyle name="Comma 10 8 6 3 2" xfId="27933" xr:uid="{00000000-0005-0000-0000-00003C270000}"/>
    <cellStyle name="Comma 10 8 6 3 2 2" xfId="45612" xr:uid="{00000000-0005-0000-0000-00003D270000}"/>
    <cellStyle name="Comma 10 8 6 3 3" xfId="32146" xr:uid="{00000000-0005-0000-0000-00003E270000}"/>
    <cellStyle name="Comma 10 8 6 3 4" xfId="36361" xr:uid="{00000000-0005-0000-0000-00003F270000}"/>
    <cellStyle name="Comma 10 8 6 3 5" xfId="40565" xr:uid="{00000000-0005-0000-0000-000040270000}"/>
    <cellStyle name="Comma 10 8 6 4" xfId="26322" xr:uid="{00000000-0005-0000-0000-000041270000}"/>
    <cellStyle name="Comma 10 8 6 4 2" xfId="41559" xr:uid="{00000000-0005-0000-0000-000042270000}"/>
    <cellStyle name="Comma 10 8 6 5" xfId="30535" xr:uid="{00000000-0005-0000-0000-000043270000}"/>
    <cellStyle name="Comma 10 8 6 5 2" xfId="41833" xr:uid="{00000000-0005-0000-0000-000044270000}"/>
    <cellStyle name="Comma 10 8 6 6" xfId="34750" xr:uid="{00000000-0005-0000-0000-000045270000}"/>
    <cellStyle name="Comma 10 8 6 7" xfId="38954" xr:uid="{00000000-0005-0000-0000-000046270000}"/>
    <cellStyle name="Comma 10 8 7" xfId="8025" xr:uid="{00000000-0005-0000-0000-000047270000}"/>
    <cellStyle name="Comma 10 8 7 2" xfId="9982" xr:uid="{00000000-0005-0000-0000-000048270000}"/>
    <cellStyle name="Comma 10 8 7 2 2" xfId="12008" xr:uid="{00000000-0005-0000-0000-000049270000}"/>
    <cellStyle name="Comma 10 8 7 2 2 2" xfId="28669" xr:uid="{00000000-0005-0000-0000-00004A270000}"/>
    <cellStyle name="Comma 10 8 7 2 2 2 2" xfId="46338" xr:uid="{00000000-0005-0000-0000-00004B270000}"/>
    <cellStyle name="Comma 10 8 7 2 2 3" xfId="32882" xr:uid="{00000000-0005-0000-0000-00004C270000}"/>
    <cellStyle name="Comma 10 8 7 2 2 4" xfId="37097" xr:uid="{00000000-0005-0000-0000-00004D270000}"/>
    <cellStyle name="Comma 10 8 7 2 2 5" xfId="41301" xr:uid="{00000000-0005-0000-0000-00004E270000}"/>
    <cellStyle name="Comma 10 8 7 2 3" xfId="27469" xr:uid="{00000000-0005-0000-0000-00004F270000}"/>
    <cellStyle name="Comma 10 8 7 2 3 2" xfId="43066" xr:uid="{00000000-0005-0000-0000-000050270000}"/>
    <cellStyle name="Comma 10 8 7 2 4" xfId="31682" xr:uid="{00000000-0005-0000-0000-000051270000}"/>
    <cellStyle name="Comma 10 8 7 2 5" xfId="35897" xr:uid="{00000000-0005-0000-0000-000052270000}"/>
    <cellStyle name="Comma 10 8 7 2 6" xfId="40101" xr:uid="{00000000-0005-0000-0000-000053270000}"/>
    <cellStyle name="Comma 10 8 7 3" xfId="10773" xr:uid="{00000000-0005-0000-0000-000054270000}"/>
    <cellStyle name="Comma 10 8 7 3 2" xfId="27934" xr:uid="{00000000-0005-0000-0000-000055270000}"/>
    <cellStyle name="Comma 10 8 7 3 2 2" xfId="45613" xr:uid="{00000000-0005-0000-0000-000056270000}"/>
    <cellStyle name="Comma 10 8 7 3 3" xfId="32147" xr:uid="{00000000-0005-0000-0000-000057270000}"/>
    <cellStyle name="Comma 10 8 7 3 4" xfId="36362" xr:uid="{00000000-0005-0000-0000-000058270000}"/>
    <cellStyle name="Comma 10 8 7 3 5" xfId="40566" xr:uid="{00000000-0005-0000-0000-000059270000}"/>
    <cellStyle name="Comma 10 8 7 4" xfId="26323" xr:uid="{00000000-0005-0000-0000-00005A270000}"/>
    <cellStyle name="Comma 10 8 7 4 2" xfId="41560" xr:uid="{00000000-0005-0000-0000-00005B270000}"/>
    <cellStyle name="Comma 10 8 7 5" xfId="30536" xr:uid="{00000000-0005-0000-0000-00005C270000}"/>
    <cellStyle name="Comma 10 8 7 5 2" xfId="41834" xr:uid="{00000000-0005-0000-0000-00005D270000}"/>
    <cellStyle name="Comma 10 8 7 6" xfId="34751" xr:uid="{00000000-0005-0000-0000-00005E270000}"/>
    <cellStyle name="Comma 10 8 7 7" xfId="38955" xr:uid="{00000000-0005-0000-0000-00005F270000}"/>
    <cellStyle name="Comma 10 8 8" xfId="8026" xr:uid="{00000000-0005-0000-0000-000060270000}"/>
    <cellStyle name="Comma 10 8 8 2" xfId="9983" xr:uid="{00000000-0005-0000-0000-000061270000}"/>
    <cellStyle name="Comma 10 8 8 2 2" xfId="12009" xr:uid="{00000000-0005-0000-0000-000062270000}"/>
    <cellStyle name="Comma 10 8 8 2 2 2" xfId="28670" xr:uid="{00000000-0005-0000-0000-000063270000}"/>
    <cellStyle name="Comma 10 8 8 2 2 2 2" xfId="46339" xr:uid="{00000000-0005-0000-0000-000064270000}"/>
    <cellStyle name="Comma 10 8 8 2 2 3" xfId="32883" xr:uid="{00000000-0005-0000-0000-000065270000}"/>
    <cellStyle name="Comma 10 8 8 2 2 4" xfId="37098" xr:uid="{00000000-0005-0000-0000-000066270000}"/>
    <cellStyle name="Comma 10 8 8 2 2 5" xfId="41302" xr:uid="{00000000-0005-0000-0000-000067270000}"/>
    <cellStyle name="Comma 10 8 8 2 3" xfId="27470" xr:uid="{00000000-0005-0000-0000-000068270000}"/>
    <cellStyle name="Comma 10 8 8 2 3 2" xfId="43067" xr:uid="{00000000-0005-0000-0000-000069270000}"/>
    <cellStyle name="Comma 10 8 8 2 4" xfId="31683" xr:uid="{00000000-0005-0000-0000-00006A270000}"/>
    <cellStyle name="Comma 10 8 8 2 5" xfId="35898" xr:uid="{00000000-0005-0000-0000-00006B270000}"/>
    <cellStyle name="Comma 10 8 8 2 6" xfId="40102" xr:uid="{00000000-0005-0000-0000-00006C270000}"/>
    <cellStyle name="Comma 10 8 8 3" xfId="10774" xr:uid="{00000000-0005-0000-0000-00006D270000}"/>
    <cellStyle name="Comma 10 8 8 3 2" xfId="27935" xr:uid="{00000000-0005-0000-0000-00006E270000}"/>
    <cellStyle name="Comma 10 8 8 3 2 2" xfId="45614" xr:uid="{00000000-0005-0000-0000-00006F270000}"/>
    <cellStyle name="Comma 10 8 8 3 3" xfId="32148" xr:uid="{00000000-0005-0000-0000-000070270000}"/>
    <cellStyle name="Comma 10 8 8 3 4" xfId="36363" xr:uid="{00000000-0005-0000-0000-000071270000}"/>
    <cellStyle name="Comma 10 8 8 3 5" xfId="40567" xr:uid="{00000000-0005-0000-0000-000072270000}"/>
    <cellStyle name="Comma 10 8 8 4" xfId="26324" xr:uid="{00000000-0005-0000-0000-000073270000}"/>
    <cellStyle name="Comma 10 8 8 4 2" xfId="41561" xr:uid="{00000000-0005-0000-0000-000074270000}"/>
    <cellStyle name="Comma 10 8 8 5" xfId="30537" xr:uid="{00000000-0005-0000-0000-000075270000}"/>
    <cellStyle name="Comma 10 8 8 5 2" xfId="41835" xr:uid="{00000000-0005-0000-0000-000076270000}"/>
    <cellStyle name="Comma 10 8 8 6" xfId="34752" xr:uid="{00000000-0005-0000-0000-000077270000}"/>
    <cellStyle name="Comma 10 8 8 7" xfId="38956" xr:uid="{00000000-0005-0000-0000-000078270000}"/>
    <cellStyle name="Comma 10 8 9" xfId="8027" xr:uid="{00000000-0005-0000-0000-000079270000}"/>
    <cellStyle name="Comma 10 8 9 2" xfId="9984" xr:uid="{00000000-0005-0000-0000-00007A270000}"/>
    <cellStyle name="Comma 10 8 9 2 2" xfId="12010" xr:uid="{00000000-0005-0000-0000-00007B270000}"/>
    <cellStyle name="Comma 10 8 9 2 2 2" xfId="28671" xr:uid="{00000000-0005-0000-0000-00007C270000}"/>
    <cellStyle name="Comma 10 8 9 2 2 2 2" xfId="46340" xr:uid="{00000000-0005-0000-0000-00007D270000}"/>
    <cellStyle name="Comma 10 8 9 2 2 3" xfId="32884" xr:uid="{00000000-0005-0000-0000-00007E270000}"/>
    <cellStyle name="Comma 10 8 9 2 2 4" xfId="37099" xr:uid="{00000000-0005-0000-0000-00007F270000}"/>
    <cellStyle name="Comma 10 8 9 2 2 5" xfId="41303" xr:uid="{00000000-0005-0000-0000-000080270000}"/>
    <cellStyle name="Comma 10 8 9 2 3" xfId="27471" xr:uid="{00000000-0005-0000-0000-000081270000}"/>
    <cellStyle name="Comma 10 8 9 2 3 2" xfId="43068" xr:uid="{00000000-0005-0000-0000-000082270000}"/>
    <cellStyle name="Comma 10 8 9 2 4" xfId="31684" xr:uid="{00000000-0005-0000-0000-000083270000}"/>
    <cellStyle name="Comma 10 8 9 2 5" xfId="35899" xr:uid="{00000000-0005-0000-0000-000084270000}"/>
    <cellStyle name="Comma 10 8 9 2 6" xfId="40103" xr:uid="{00000000-0005-0000-0000-000085270000}"/>
    <cellStyle name="Comma 10 8 9 3" xfId="10775" xr:uid="{00000000-0005-0000-0000-000086270000}"/>
    <cellStyle name="Comma 10 8 9 3 2" xfId="27936" xr:uid="{00000000-0005-0000-0000-000087270000}"/>
    <cellStyle name="Comma 10 8 9 3 2 2" xfId="45615" xr:uid="{00000000-0005-0000-0000-000088270000}"/>
    <cellStyle name="Comma 10 8 9 3 3" xfId="32149" xr:uid="{00000000-0005-0000-0000-000089270000}"/>
    <cellStyle name="Comma 10 8 9 3 4" xfId="36364" xr:uid="{00000000-0005-0000-0000-00008A270000}"/>
    <cellStyle name="Comma 10 8 9 3 5" xfId="40568" xr:uid="{00000000-0005-0000-0000-00008B270000}"/>
    <cellStyle name="Comma 10 8 9 4" xfId="26325" xr:uid="{00000000-0005-0000-0000-00008C270000}"/>
    <cellStyle name="Comma 10 8 9 4 2" xfId="41562" xr:uid="{00000000-0005-0000-0000-00008D270000}"/>
    <cellStyle name="Comma 10 8 9 5" xfId="30538" xr:uid="{00000000-0005-0000-0000-00008E270000}"/>
    <cellStyle name="Comma 10 8 9 5 2" xfId="41836" xr:uid="{00000000-0005-0000-0000-00008F270000}"/>
    <cellStyle name="Comma 10 8 9 6" xfId="34753" xr:uid="{00000000-0005-0000-0000-000090270000}"/>
    <cellStyle name="Comma 10 8 9 7" xfId="38957" xr:uid="{00000000-0005-0000-0000-000091270000}"/>
    <cellStyle name="Comma 10 9" xfId="10077" xr:uid="{00000000-0005-0000-0000-000092270000}"/>
    <cellStyle name="Comma 10 9 2" xfId="12113" xr:uid="{00000000-0005-0000-0000-000093270000}"/>
    <cellStyle name="Comma 10 9 2 2" xfId="28757" xr:uid="{00000000-0005-0000-0000-000094270000}"/>
    <cellStyle name="Comma 10 9 2 2 2" xfId="46428" xr:uid="{00000000-0005-0000-0000-000095270000}"/>
    <cellStyle name="Comma 10 9 2 3" xfId="32970" xr:uid="{00000000-0005-0000-0000-000096270000}"/>
    <cellStyle name="Comma 10 9 2 4" xfId="37185" xr:uid="{00000000-0005-0000-0000-000097270000}"/>
    <cellStyle name="Comma 10 9 2 5" xfId="41389" xr:uid="{00000000-0005-0000-0000-000098270000}"/>
    <cellStyle name="Comma 10 9 3" xfId="27557" xr:uid="{00000000-0005-0000-0000-000099270000}"/>
    <cellStyle name="Comma 10 9 3 2" xfId="45233" xr:uid="{00000000-0005-0000-0000-00009A270000}"/>
    <cellStyle name="Comma 10 9 4" xfId="31770" xr:uid="{00000000-0005-0000-0000-00009B270000}"/>
    <cellStyle name="Comma 10 9 5" xfId="35985" xr:uid="{00000000-0005-0000-0000-00009C270000}"/>
    <cellStyle name="Comma 10 9 6" xfId="40189" xr:uid="{00000000-0005-0000-0000-00009D270000}"/>
    <cellStyle name="Comma 11" xfId="9066" xr:uid="{00000000-0005-0000-0000-00009E270000}"/>
    <cellStyle name="Comma 11 2" xfId="10079" xr:uid="{00000000-0005-0000-0000-00009F270000}"/>
    <cellStyle name="Comma 11 2 2" xfId="12115" xr:uid="{00000000-0005-0000-0000-0000A0270000}"/>
    <cellStyle name="Comma 11 2 2 2" xfId="28759" xr:uid="{00000000-0005-0000-0000-0000A1270000}"/>
    <cellStyle name="Comma 11 2 2 2 2" xfId="46430" xr:uid="{00000000-0005-0000-0000-0000A2270000}"/>
    <cellStyle name="Comma 11 2 2 3" xfId="32972" xr:uid="{00000000-0005-0000-0000-0000A3270000}"/>
    <cellStyle name="Comma 11 2 2 4" xfId="37187" xr:uid="{00000000-0005-0000-0000-0000A4270000}"/>
    <cellStyle name="Comma 11 2 2 5" xfId="41391" xr:uid="{00000000-0005-0000-0000-0000A5270000}"/>
    <cellStyle name="Comma 11 2 3" xfId="27559" xr:uid="{00000000-0005-0000-0000-0000A6270000}"/>
    <cellStyle name="Comma 11 2 3 2" xfId="45235" xr:uid="{00000000-0005-0000-0000-0000A7270000}"/>
    <cellStyle name="Comma 11 2 4" xfId="31772" xr:uid="{00000000-0005-0000-0000-0000A8270000}"/>
    <cellStyle name="Comma 11 2 5" xfId="35987" xr:uid="{00000000-0005-0000-0000-0000A9270000}"/>
    <cellStyle name="Comma 11 2 6" xfId="40191" xr:uid="{00000000-0005-0000-0000-0000AA270000}"/>
    <cellStyle name="Comma 11 3" xfId="10890" xr:uid="{00000000-0005-0000-0000-0000AB270000}"/>
    <cellStyle name="Comma 11 3 2" xfId="28024" xr:uid="{00000000-0005-0000-0000-0000AC270000}"/>
    <cellStyle name="Comma 11 3 2 2" xfId="45701" xr:uid="{00000000-0005-0000-0000-0000AD270000}"/>
    <cellStyle name="Comma 11 3 3" xfId="32237" xr:uid="{00000000-0005-0000-0000-0000AE270000}"/>
    <cellStyle name="Comma 11 3 4" xfId="36452" xr:uid="{00000000-0005-0000-0000-0000AF270000}"/>
    <cellStyle name="Comma 11 3 5" xfId="40656" xr:uid="{00000000-0005-0000-0000-0000B0270000}"/>
    <cellStyle name="Comma 11 4" xfId="15014" xr:uid="{00000000-0005-0000-0000-0000B1270000}"/>
    <cellStyle name="Comma 11 4 2" xfId="28898" xr:uid="{00000000-0005-0000-0000-0000B2270000}"/>
    <cellStyle name="Comma 11 4 3" xfId="33111" xr:uid="{00000000-0005-0000-0000-0000B3270000}"/>
    <cellStyle name="Comma 11 4 4" xfId="37326" xr:uid="{00000000-0005-0000-0000-0000B4270000}"/>
    <cellStyle name="Comma 11 4 5" xfId="44977" xr:uid="{00000000-0005-0000-0000-0000B5270000}"/>
    <cellStyle name="Comma 11 5" xfId="26637" xr:uid="{00000000-0005-0000-0000-0000B6270000}"/>
    <cellStyle name="Comma 11 6" xfId="30850" xr:uid="{00000000-0005-0000-0000-0000B7270000}"/>
    <cellStyle name="Comma 11 7" xfId="35065" xr:uid="{00000000-0005-0000-0000-0000B8270000}"/>
    <cellStyle name="Comma 11 8" xfId="39269" xr:uid="{00000000-0005-0000-0000-0000B9270000}"/>
    <cellStyle name="Comma 12" xfId="9065" xr:uid="{00000000-0005-0000-0000-0000BA270000}"/>
    <cellStyle name="Comma 12 2" xfId="10078" xr:uid="{00000000-0005-0000-0000-0000BB270000}"/>
    <cellStyle name="Comma 12 2 2" xfId="12114" xr:uid="{00000000-0005-0000-0000-0000BC270000}"/>
    <cellStyle name="Comma 12 2 2 2" xfId="28758" xr:uid="{00000000-0005-0000-0000-0000BD270000}"/>
    <cellStyle name="Comma 12 2 2 2 2" xfId="46429" xr:uid="{00000000-0005-0000-0000-0000BE270000}"/>
    <cellStyle name="Comma 12 2 2 3" xfId="32971" xr:uid="{00000000-0005-0000-0000-0000BF270000}"/>
    <cellStyle name="Comma 12 2 2 4" xfId="37186" xr:uid="{00000000-0005-0000-0000-0000C0270000}"/>
    <cellStyle name="Comma 12 2 2 5" xfId="41390" xr:uid="{00000000-0005-0000-0000-0000C1270000}"/>
    <cellStyle name="Comma 12 2 3" xfId="27558" xr:uid="{00000000-0005-0000-0000-0000C2270000}"/>
    <cellStyle name="Comma 12 2 3 2" xfId="45234" xr:uid="{00000000-0005-0000-0000-0000C3270000}"/>
    <cellStyle name="Comma 12 2 4" xfId="31771" xr:uid="{00000000-0005-0000-0000-0000C4270000}"/>
    <cellStyle name="Comma 12 2 5" xfId="35986" xr:uid="{00000000-0005-0000-0000-0000C5270000}"/>
    <cellStyle name="Comma 12 2 6" xfId="40190" xr:uid="{00000000-0005-0000-0000-0000C6270000}"/>
    <cellStyle name="Comma 12 3" xfId="10889" xr:uid="{00000000-0005-0000-0000-0000C7270000}"/>
    <cellStyle name="Comma 12 3 2" xfId="28023" xr:uid="{00000000-0005-0000-0000-0000C8270000}"/>
    <cellStyle name="Comma 12 3 2 2" xfId="45700" xr:uid="{00000000-0005-0000-0000-0000C9270000}"/>
    <cellStyle name="Comma 12 3 3" xfId="32236" xr:uid="{00000000-0005-0000-0000-0000CA270000}"/>
    <cellStyle name="Comma 12 3 4" xfId="36451" xr:uid="{00000000-0005-0000-0000-0000CB270000}"/>
    <cellStyle name="Comma 12 3 5" xfId="40655" xr:uid="{00000000-0005-0000-0000-0000CC270000}"/>
    <cellStyle name="Comma 12 4" xfId="15061" xr:uid="{00000000-0005-0000-0000-0000CD270000}"/>
    <cellStyle name="Comma 12 4 2" xfId="28899" xr:uid="{00000000-0005-0000-0000-0000CE270000}"/>
    <cellStyle name="Comma 12 4 3" xfId="33112" xr:uid="{00000000-0005-0000-0000-0000CF270000}"/>
    <cellStyle name="Comma 12 4 4" xfId="37327" xr:uid="{00000000-0005-0000-0000-0000D0270000}"/>
    <cellStyle name="Comma 12 4 5" xfId="44976" xr:uid="{00000000-0005-0000-0000-0000D1270000}"/>
    <cellStyle name="Comma 12 5" xfId="26636" xr:uid="{00000000-0005-0000-0000-0000D2270000}"/>
    <cellStyle name="Comma 12 6" xfId="30849" xr:uid="{00000000-0005-0000-0000-0000D3270000}"/>
    <cellStyle name="Comma 12 7" xfId="35064" xr:uid="{00000000-0005-0000-0000-0000D4270000}"/>
    <cellStyle name="Comma 12 8" xfId="39268" xr:uid="{00000000-0005-0000-0000-0000D5270000}"/>
    <cellStyle name="Comma 13" xfId="9067" xr:uid="{00000000-0005-0000-0000-0000D6270000}"/>
    <cellStyle name="Comma 13 2" xfId="10080" xr:uid="{00000000-0005-0000-0000-0000D7270000}"/>
    <cellStyle name="Comma 13 2 2" xfId="12116" xr:uid="{00000000-0005-0000-0000-0000D8270000}"/>
    <cellStyle name="Comma 13 2 2 2" xfId="28760" xr:uid="{00000000-0005-0000-0000-0000D9270000}"/>
    <cellStyle name="Comma 13 2 2 2 2" xfId="46431" xr:uid="{00000000-0005-0000-0000-0000DA270000}"/>
    <cellStyle name="Comma 13 2 2 3" xfId="32973" xr:uid="{00000000-0005-0000-0000-0000DB270000}"/>
    <cellStyle name="Comma 13 2 2 4" xfId="37188" xr:uid="{00000000-0005-0000-0000-0000DC270000}"/>
    <cellStyle name="Comma 13 2 2 5" xfId="41392" xr:uid="{00000000-0005-0000-0000-0000DD270000}"/>
    <cellStyle name="Comma 13 2 3" xfId="27560" xr:uid="{00000000-0005-0000-0000-0000DE270000}"/>
    <cellStyle name="Comma 13 2 3 2" xfId="45236" xr:uid="{00000000-0005-0000-0000-0000DF270000}"/>
    <cellStyle name="Comma 13 2 4" xfId="31773" xr:uid="{00000000-0005-0000-0000-0000E0270000}"/>
    <cellStyle name="Comma 13 2 5" xfId="35988" xr:uid="{00000000-0005-0000-0000-0000E1270000}"/>
    <cellStyle name="Comma 13 2 6" xfId="40192" xr:uid="{00000000-0005-0000-0000-0000E2270000}"/>
    <cellStyle name="Comma 13 3" xfId="10891" xr:uid="{00000000-0005-0000-0000-0000E3270000}"/>
    <cellStyle name="Comma 13 3 2" xfId="28025" xr:uid="{00000000-0005-0000-0000-0000E4270000}"/>
    <cellStyle name="Comma 13 3 2 2" xfId="45702" xr:uid="{00000000-0005-0000-0000-0000E5270000}"/>
    <cellStyle name="Comma 13 3 3" xfId="32238" xr:uid="{00000000-0005-0000-0000-0000E6270000}"/>
    <cellStyle name="Comma 13 3 4" xfId="36453" xr:uid="{00000000-0005-0000-0000-0000E7270000}"/>
    <cellStyle name="Comma 13 3 5" xfId="40657" xr:uid="{00000000-0005-0000-0000-0000E8270000}"/>
    <cellStyle name="Comma 13 4" xfId="16069" xr:uid="{00000000-0005-0000-0000-0000E9270000}"/>
    <cellStyle name="Comma 13 4 2" xfId="28907" xr:uid="{00000000-0005-0000-0000-0000EA270000}"/>
    <cellStyle name="Comma 13 4 3" xfId="33122" xr:uid="{00000000-0005-0000-0000-0000EB270000}"/>
    <cellStyle name="Comma 13 4 4" xfId="37335" xr:uid="{00000000-0005-0000-0000-0000EC270000}"/>
    <cellStyle name="Comma 13 4 5" xfId="44978" xr:uid="{00000000-0005-0000-0000-0000ED270000}"/>
    <cellStyle name="Comma 13 5" xfId="26638" xr:uid="{00000000-0005-0000-0000-0000EE270000}"/>
    <cellStyle name="Comma 13 6" xfId="30851" xr:uid="{00000000-0005-0000-0000-0000EF270000}"/>
    <cellStyle name="Comma 13 7" xfId="35066" xr:uid="{00000000-0005-0000-0000-0000F0270000}"/>
    <cellStyle name="Comma 13 8" xfId="39270" xr:uid="{00000000-0005-0000-0000-0000F1270000}"/>
    <cellStyle name="Comma 14" xfId="9181" xr:uid="{00000000-0005-0000-0000-0000F2270000}"/>
    <cellStyle name="Comma 14 2" xfId="10083" xr:uid="{00000000-0005-0000-0000-0000F3270000}"/>
    <cellStyle name="Comma 14 2 2" xfId="12125" xr:uid="{00000000-0005-0000-0000-0000F4270000}"/>
    <cellStyle name="Comma 14 2 2 2" xfId="28763" xr:uid="{00000000-0005-0000-0000-0000F5270000}"/>
    <cellStyle name="Comma 14 2 2 2 2" xfId="46434" xr:uid="{00000000-0005-0000-0000-0000F6270000}"/>
    <cellStyle name="Comma 14 2 2 3" xfId="32976" xr:uid="{00000000-0005-0000-0000-0000F7270000}"/>
    <cellStyle name="Comma 14 2 2 4" xfId="37191" xr:uid="{00000000-0005-0000-0000-0000F8270000}"/>
    <cellStyle name="Comma 14 2 2 5" xfId="41395" xr:uid="{00000000-0005-0000-0000-0000F9270000}"/>
    <cellStyle name="Comma 14 2 3" xfId="27563" xr:uid="{00000000-0005-0000-0000-0000FA270000}"/>
    <cellStyle name="Comma 14 2 3 2" xfId="45239" xr:uid="{00000000-0005-0000-0000-0000FB270000}"/>
    <cellStyle name="Comma 14 2 4" xfId="31776" xr:uid="{00000000-0005-0000-0000-0000FC270000}"/>
    <cellStyle name="Comma 14 2 5" xfId="35991" xr:uid="{00000000-0005-0000-0000-0000FD270000}"/>
    <cellStyle name="Comma 14 2 6" xfId="40195" xr:uid="{00000000-0005-0000-0000-0000FE270000}"/>
    <cellStyle name="Comma 14 3" xfId="10904" xr:uid="{00000000-0005-0000-0000-0000FF270000}"/>
    <cellStyle name="Comma 14 3 2" xfId="28028" xr:uid="{00000000-0005-0000-0000-000000280000}"/>
    <cellStyle name="Comma 14 3 2 2" xfId="45705" xr:uid="{00000000-0005-0000-0000-000001280000}"/>
    <cellStyle name="Comma 14 3 3" xfId="32241" xr:uid="{00000000-0005-0000-0000-000002280000}"/>
    <cellStyle name="Comma 14 3 4" xfId="36456" xr:uid="{00000000-0005-0000-0000-000003280000}"/>
    <cellStyle name="Comma 14 3 5" xfId="40660" xr:uid="{00000000-0005-0000-0000-000004280000}"/>
    <cellStyle name="Comma 14 4" xfId="15302" xr:uid="{00000000-0005-0000-0000-000005280000}"/>
    <cellStyle name="Comma 14 4 2" xfId="28904" xr:uid="{00000000-0005-0000-0000-000006280000}"/>
    <cellStyle name="Comma 14 4 3" xfId="33117" xr:uid="{00000000-0005-0000-0000-000007280000}"/>
    <cellStyle name="Comma 14 4 4" xfId="37332" xr:uid="{00000000-0005-0000-0000-000008280000}"/>
    <cellStyle name="Comma 14 4 5" xfId="43069" xr:uid="{00000000-0005-0000-0000-000009280000}"/>
    <cellStyle name="Comma 14 5" xfId="26752" xr:uid="{00000000-0005-0000-0000-00000A280000}"/>
    <cellStyle name="Comma 14 5 2" xfId="44980" xr:uid="{00000000-0005-0000-0000-00000B280000}"/>
    <cellStyle name="Comma 14 6" xfId="30965" xr:uid="{00000000-0005-0000-0000-00000C280000}"/>
    <cellStyle name="Comma 14 7" xfId="35180" xr:uid="{00000000-0005-0000-0000-00000D280000}"/>
    <cellStyle name="Comma 14 8" xfId="39384" xr:uid="{00000000-0005-0000-0000-00000E280000}"/>
    <cellStyle name="Comma 15" xfId="9187" xr:uid="{00000000-0005-0000-0000-00000F280000}"/>
    <cellStyle name="Comma 15 2" xfId="10084" xr:uid="{00000000-0005-0000-0000-000010280000}"/>
    <cellStyle name="Comma 15 2 2" xfId="12126" xr:uid="{00000000-0005-0000-0000-000011280000}"/>
    <cellStyle name="Comma 15 2 2 2" xfId="28764" xr:uid="{00000000-0005-0000-0000-000012280000}"/>
    <cellStyle name="Comma 15 2 2 2 2" xfId="46435" xr:uid="{00000000-0005-0000-0000-000013280000}"/>
    <cellStyle name="Comma 15 2 2 3" xfId="32977" xr:uid="{00000000-0005-0000-0000-000014280000}"/>
    <cellStyle name="Comma 15 2 2 4" xfId="37192" xr:uid="{00000000-0005-0000-0000-000015280000}"/>
    <cellStyle name="Comma 15 2 2 5" xfId="41396" xr:uid="{00000000-0005-0000-0000-000016280000}"/>
    <cellStyle name="Comma 15 2 3" xfId="27564" xr:uid="{00000000-0005-0000-0000-000017280000}"/>
    <cellStyle name="Comma 15 2 3 2" xfId="45240" xr:uid="{00000000-0005-0000-0000-000018280000}"/>
    <cellStyle name="Comma 15 2 4" xfId="31777" xr:uid="{00000000-0005-0000-0000-000019280000}"/>
    <cellStyle name="Comma 15 2 5" xfId="35992" xr:uid="{00000000-0005-0000-0000-00001A280000}"/>
    <cellStyle name="Comma 15 2 6" xfId="40196" xr:uid="{00000000-0005-0000-0000-00001B280000}"/>
    <cellStyle name="Comma 15 3" xfId="10905" xr:uid="{00000000-0005-0000-0000-00001C280000}"/>
    <cellStyle name="Comma 15 3 2" xfId="28029" xr:uid="{00000000-0005-0000-0000-00001D280000}"/>
    <cellStyle name="Comma 15 3 2 2" xfId="45706" xr:uid="{00000000-0005-0000-0000-00001E280000}"/>
    <cellStyle name="Comma 15 3 3" xfId="32242" xr:uid="{00000000-0005-0000-0000-00001F280000}"/>
    <cellStyle name="Comma 15 3 4" xfId="36457" xr:uid="{00000000-0005-0000-0000-000020280000}"/>
    <cellStyle name="Comma 15 3 5" xfId="40661" xr:uid="{00000000-0005-0000-0000-000021280000}"/>
    <cellStyle name="Comma 15 4" xfId="16373" xr:uid="{00000000-0005-0000-0000-000022280000}"/>
    <cellStyle name="Comma 15 4 2" xfId="28914" xr:uid="{00000000-0005-0000-0000-000023280000}"/>
    <cellStyle name="Comma 15 4 3" xfId="33129" xr:uid="{00000000-0005-0000-0000-000024280000}"/>
    <cellStyle name="Comma 15 4 4" xfId="37342" xr:uid="{00000000-0005-0000-0000-000025280000}"/>
    <cellStyle name="Comma 15 4 5" xfId="41563" xr:uid="{00000000-0005-0000-0000-000026280000}"/>
    <cellStyle name="Comma 15 5" xfId="26758" xr:uid="{00000000-0005-0000-0000-000027280000}"/>
    <cellStyle name="Comma 15 5 2" xfId="44981" xr:uid="{00000000-0005-0000-0000-000028280000}"/>
    <cellStyle name="Comma 15 6" xfId="30971" xr:uid="{00000000-0005-0000-0000-000029280000}"/>
    <cellStyle name="Comma 15 7" xfId="35186" xr:uid="{00000000-0005-0000-0000-00002A280000}"/>
    <cellStyle name="Comma 15 8" xfId="39390" xr:uid="{00000000-0005-0000-0000-00002B280000}"/>
    <cellStyle name="Comma 16" xfId="9301" xr:uid="{00000000-0005-0000-0000-00002C280000}"/>
    <cellStyle name="Comma 16 2" xfId="10087" xr:uid="{00000000-0005-0000-0000-00002D280000}"/>
    <cellStyle name="Comma 16 2 2" xfId="12136" xr:uid="{00000000-0005-0000-0000-00002E280000}"/>
    <cellStyle name="Comma 16 2 2 2" xfId="28767" xr:uid="{00000000-0005-0000-0000-00002F280000}"/>
    <cellStyle name="Comma 16 2 2 2 2" xfId="46438" xr:uid="{00000000-0005-0000-0000-000030280000}"/>
    <cellStyle name="Comma 16 2 2 3" xfId="32980" xr:uid="{00000000-0005-0000-0000-000031280000}"/>
    <cellStyle name="Comma 16 2 2 4" xfId="37195" xr:uid="{00000000-0005-0000-0000-000032280000}"/>
    <cellStyle name="Comma 16 2 2 5" xfId="41399" xr:uid="{00000000-0005-0000-0000-000033280000}"/>
    <cellStyle name="Comma 16 2 3" xfId="27567" xr:uid="{00000000-0005-0000-0000-000034280000}"/>
    <cellStyle name="Comma 16 2 3 2" xfId="45243" xr:uid="{00000000-0005-0000-0000-000035280000}"/>
    <cellStyle name="Comma 16 2 4" xfId="31780" xr:uid="{00000000-0005-0000-0000-000036280000}"/>
    <cellStyle name="Comma 16 2 5" xfId="35995" xr:uid="{00000000-0005-0000-0000-000037280000}"/>
    <cellStyle name="Comma 16 2 6" xfId="40199" xr:uid="{00000000-0005-0000-0000-000038280000}"/>
    <cellStyle name="Comma 16 3" xfId="10918" xr:uid="{00000000-0005-0000-0000-000039280000}"/>
    <cellStyle name="Comma 16 3 2" xfId="28032" xr:uid="{00000000-0005-0000-0000-00003A280000}"/>
    <cellStyle name="Comma 16 3 2 2" xfId="45709" xr:uid="{00000000-0005-0000-0000-00003B280000}"/>
    <cellStyle name="Comma 16 3 3" xfId="32245" xr:uid="{00000000-0005-0000-0000-00003C280000}"/>
    <cellStyle name="Comma 16 3 4" xfId="36460" xr:uid="{00000000-0005-0000-0000-00003D280000}"/>
    <cellStyle name="Comma 16 3 5" xfId="40664" xr:uid="{00000000-0005-0000-0000-00003E280000}"/>
    <cellStyle name="Comma 16 4" xfId="17062" xr:uid="{00000000-0005-0000-0000-00003F280000}"/>
    <cellStyle name="Comma 16 4 2" xfId="28915" xr:uid="{00000000-0005-0000-0000-000040280000}"/>
    <cellStyle name="Comma 16 4 3" xfId="33130" xr:uid="{00000000-0005-0000-0000-000041280000}"/>
    <cellStyle name="Comma 16 4 4" xfId="37343" xr:uid="{00000000-0005-0000-0000-000042280000}"/>
    <cellStyle name="Comma 16 4 5" xfId="41564" xr:uid="{00000000-0005-0000-0000-000043280000}"/>
    <cellStyle name="Comma 16 5" xfId="26872" xr:uid="{00000000-0005-0000-0000-000044280000}"/>
    <cellStyle name="Comma 16 5 2" xfId="44984" xr:uid="{00000000-0005-0000-0000-000045280000}"/>
    <cellStyle name="Comma 16 6" xfId="31085" xr:uid="{00000000-0005-0000-0000-000046280000}"/>
    <cellStyle name="Comma 16 7" xfId="35300" xr:uid="{00000000-0005-0000-0000-000047280000}"/>
    <cellStyle name="Comma 16 8" xfId="39504" xr:uid="{00000000-0005-0000-0000-000048280000}"/>
    <cellStyle name="Comma 17" xfId="9307" xr:uid="{00000000-0005-0000-0000-000049280000}"/>
    <cellStyle name="Comma 17 2" xfId="10088" xr:uid="{00000000-0005-0000-0000-00004A280000}"/>
    <cellStyle name="Comma 17 2 2" xfId="12137" xr:uid="{00000000-0005-0000-0000-00004B280000}"/>
    <cellStyle name="Comma 17 2 2 2" xfId="28768" xr:uid="{00000000-0005-0000-0000-00004C280000}"/>
    <cellStyle name="Comma 17 2 2 2 2" xfId="46439" xr:uid="{00000000-0005-0000-0000-00004D280000}"/>
    <cellStyle name="Comma 17 2 2 3" xfId="32981" xr:uid="{00000000-0005-0000-0000-00004E280000}"/>
    <cellStyle name="Comma 17 2 2 4" xfId="37196" xr:uid="{00000000-0005-0000-0000-00004F280000}"/>
    <cellStyle name="Comma 17 2 2 5" xfId="41400" xr:uid="{00000000-0005-0000-0000-000050280000}"/>
    <cellStyle name="Comma 17 2 3" xfId="27568" xr:uid="{00000000-0005-0000-0000-000051280000}"/>
    <cellStyle name="Comma 17 2 3 2" xfId="45244" xr:uid="{00000000-0005-0000-0000-000052280000}"/>
    <cellStyle name="Comma 17 2 4" xfId="31781" xr:uid="{00000000-0005-0000-0000-000053280000}"/>
    <cellStyle name="Comma 17 2 5" xfId="35996" xr:uid="{00000000-0005-0000-0000-000054280000}"/>
    <cellStyle name="Comma 17 2 6" xfId="40200" xr:uid="{00000000-0005-0000-0000-000055280000}"/>
    <cellStyle name="Comma 17 3" xfId="10919" xr:uid="{00000000-0005-0000-0000-000056280000}"/>
    <cellStyle name="Comma 17 3 2" xfId="28033" xr:uid="{00000000-0005-0000-0000-000057280000}"/>
    <cellStyle name="Comma 17 3 2 2" xfId="45710" xr:uid="{00000000-0005-0000-0000-000058280000}"/>
    <cellStyle name="Comma 17 3 3" xfId="32246" xr:uid="{00000000-0005-0000-0000-000059280000}"/>
    <cellStyle name="Comma 17 3 4" xfId="36461" xr:uid="{00000000-0005-0000-0000-00005A280000}"/>
    <cellStyle name="Comma 17 3 5" xfId="40665" xr:uid="{00000000-0005-0000-0000-00005B280000}"/>
    <cellStyle name="Comma 17 4" xfId="13319" xr:uid="{00000000-0005-0000-0000-00005C280000}"/>
    <cellStyle name="Comma 17 4 2" xfId="28882" xr:uid="{00000000-0005-0000-0000-00005D280000}"/>
    <cellStyle name="Comma 17 4 3" xfId="33095" xr:uid="{00000000-0005-0000-0000-00005E280000}"/>
    <cellStyle name="Comma 17 4 4" xfId="37310" xr:uid="{00000000-0005-0000-0000-00005F280000}"/>
    <cellStyle name="Comma 17 4 5" xfId="41565" xr:uid="{00000000-0005-0000-0000-000060280000}"/>
    <cellStyle name="Comma 17 5" xfId="26878" xr:uid="{00000000-0005-0000-0000-000061280000}"/>
    <cellStyle name="Comma 17 5 2" xfId="44985" xr:uid="{00000000-0005-0000-0000-000062280000}"/>
    <cellStyle name="Comma 17 6" xfId="31091" xr:uid="{00000000-0005-0000-0000-000063280000}"/>
    <cellStyle name="Comma 17 7" xfId="35306" xr:uid="{00000000-0005-0000-0000-000064280000}"/>
    <cellStyle name="Comma 17 8" xfId="39510" xr:uid="{00000000-0005-0000-0000-000065280000}"/>
    <cellStyle name="Comma 18" xfId="9308" xr:uid="{00000000-0005-0000-0000-000066280000}"/>
    <cellStyle name="Comma 18 2" xfId="10089" xr:uid="{00000000-0005-0000-0000-000067280000}"/>
    <cellStyle name="Comma 18 2 2" xfId="12138" xr:uid="{00000000-0005-0000-0000-000068280000}"/>
    <cellStyle name="Comma 18 2 2 2" xfId="28769" xr:uid="{00000000-0005-0000-0000-000069280000}"/>
    <cellStyle name="Comma 18 2 2 2 2" xfId="46440" xr:uid="{00000000-0005-0000-0000-00006A280000}"/>
    <cellStyle name="Comma 18 2 2 3" xfId="32982" xr:uid="{00000000-0005-0000-0000-00006B280000}"/>
    <cellStyle name="Comma 18 2 2 4" xfId="37197" xr:uid="{00000000-0005-0000-0000-00006C280000}"/>
    <cellStyle name="Comma 18 2 2 5" xfId="41401" xr:uid="{00000000-0005-0000-0000-00006D280000}"/>
    <cellStyle name="Comma 18 2 3" xfId="27569" xr:uid="{00000000-0005-0000-0000-00006E280000}"/>
    <cellStyle name="Comma 18 2 3 2" xfId="45245" xr:uid="{00000000-0005-0000-0000-00006F280000}"/>
    <cellStyle name="Comma 18 2 4" xfId="31782" xr:uid="{00000000-0005-0000-0000-000070280000}"/>
    <cellStyle name="Comma 18 2 5" xfId="35997" xr:uid="{00000000-0005-0000-0000-000071280000}"/>
    <cellStyle name="Comma 18 2 6" xfId="40201" xr:uid="{00000000-0005-0000-0000-000072280000}"/>
    <cellStyle name="Comma 18 3" xfId="10920" xr:uid="{00000000-0005-0000-0000-000073280000}"/>
    <cellStyle name="Comma 18 3 2" xfId="28034" xr:uid="{00000000-0005-0000-0000-000074280000}"/>
    <cellStyle name="Comma 18 3 2 2" xfId="45711" xr:uid="{00000000-0005-0000-0000-000075280000}"/>
    <cellStyle name="Comma 18 3 3" xfId="32247" xr:uid="{00000000-0005-0000-0000-000076280000}"/>
    <cellStyle name="Comma 18 3 4" xfId="36462" xr:uid="{00000000-0005-0000-0000-000077280000}"/>
    <cellStyle name="Comma 18 3 5" xfId="40666" xr:uid="{00000000-0005-0000-0000-000078280000}"/>
    <cellStyle name="Comma 18 4" xfId="12298" xr:uid="{00000000-0005-0000-0000-000079280000}"/>
    <cellStyle name="Comma 18 4 2" xfId="28865" xr:uid="{00000000-0005-0000-0000-00007A280000}"/>
    <cellStyle name="Comma 18 4 3" xfId="33078" xr:uid="{00000000-0005-0000-0000-00007B280000}"/>
    <cellStyle name="Comma 18 4 4" xfId="37293" xr:uid="{00000000-0005-0000-0000-00007C280000}"/>
    <cellStyle name="Comma 18 4 5" xfId="41566" xr:uid="{00000000-0005-0000-0000-00007D280000}"/>
    <cellStyle name="Comma 18 5" xfId="26879" xr:uid="{00000000-0005-0000-0000-00007E280000}"/>
    <cellStyle name="Comma 18 5 2" xfId="44986" xr:uid="{00000000-0005-0000-0000-00007F280000}"/>
    <cellStyle name="Comma 18 6" xfId="31092" xr:uid="{00000000-0005-0000-0000-000080280000}"/>
    <cellStyle name="Comma 18 7" xfId="35307" xr:uid="{00000000-0005-0000-0000-000081280000}"/>
    <cellStyle name="Comma 18 8" xfId="39511" xr:uid="{00000000-0005-0000-0000-000082280000}"/>
    <cellStyle name="Comma 19" xfId="9427" xr:uid="{00000000-0005-0000-0000-000083280000}"/>
    <cellStyle name="Comma 19 2" xfId="10092" xr:uid="{00000000-0005-0000-0000-000084280000}"/>
    <cellStyle name="Comma 19 2 2" xfId="12149" xr:uid="{00000000-0005-0000-0000-000085280000}"/>
    <cellStyle name="Comma 19 2 2 2" xfId="28772" xr:uid="{00000000-0005-0000-0000-000086280000}"/>
    <cellStyle name="Comma 19 2 2 2 2" xfId="46443" xr:uid="{00000000-0005-0000-0000-000087280000}"/>
    <cellStyle name="Comma 19 2 2 3" xfId="32985" xr:uid="{00000000-0005-0000-0000-000088280000}"/>
    <cellStyle name="Comma 19 2 2 4" xfId="37200" xr:uid="{00000000-0005-0000-0000-000089280000}"/>
    <cellStyle name="Comma 19 2 2 5" xfId="41404" xr:uid="{00000000-0005-0000-0000-00008A280000}"/>
    <cellStyle name="Comma 19 2 3" xfId="27572" xr:uid="{00000000-0005-0000-0000-00008B280000}"/>
    <cellStyle name="Comma 19 2 3 2" xfId="45248" xr:uid="{00000000-0005-0000-0000-00008C280000}"/>
    <cellStyle name="Comma 19 2 4" xfId="31785" xr:uid="{00000000-0005-0000-0000-00008D280000}"/>
    <cellStyle name="Comma 19 2 5" xfId="36000" xr:uid="{00000000-0005-0000-0000-00008E280000}"/>
    <cellStyle name="Comma 19 2 6" xfId="40204" xr:uid="{00000000-0005-0000-0000-00008F280000}"/>
    <cellStyle name="Comma 19 3" xfId="10932" xr:uid="{00000000-0005-0000-0000-000090280000}"/>
    <cellStyle name="Comma 19 3 2" xfId="28037" xr:uid="{00000000-0005-0000-0000-000091280000}"/>
    <cellStyle name="Comma 19 3 2 2" xfId="45714" xr:uid="{00000000-0005-0000-0000-000092280000}"/>
    <cellStyle name="Comma 19 3 3" xfId="32250" xr:uid="{00000000-0005-0000-0000-000093280000}"/>
    <cellStyle name="Comma 19 3 4" xfId="36465" xr:uid="{00000000-0005-0000-0000-000094280000}"/>
    <cellStyle name="Comma 19 3 5" xfId="40669" xr:uid="{00000000-0005-0000-0000-000095280000}"/>
    <cellStyle name="Comma 19 4" xfId="12979" xr:uid="{00000000-0005-0000-0000-000096280000}"/>
    <cellStyle name="Comma 19 4 2" xfId="28875" xr:uid="{00000000-0005-0000-0000-000097280000}"/>
    <cellStyle name="Comma 19 4 3" xfId="33088" xr:uid="{00000000-0005-0000-0000-000098280000}"/>
    <cellStyle name="Comma 19 4 4" xfId="37303" xr:uid="{00000000-0005-0000-0000-000099280000}"/>
    <cellStyle name="Comma 19 4 5" xfId="41567" xr:uid="{00000000-0005-0000-0000-00009A280000}"/>
    <cellStyle name="Comma 19 5" xfId="26998" xr:uid="{00000000-0005-0000-0000-00009B280000}"/>
    <cellStyle name="Comma 19 5 2" xfId="44989" xr:uid="{00000000-0005-0000-0000-00009C280000}"/>
    <cellStyle name="Comma 19 6" xfId="31211" xr:uid="{00000000-0005-0000-0000-00009D280000}"/>
    <cellStyle name="Comma 19 7" xfId="35426" xr:uid="{00000000-0005-0000-0000-00009E280000}"/>
    <cellStyle name="Comma 19 8" xfId="39630" xr:uid="{00000000-0005-0000-0000-00009F280000}"/>
    <cellStyle name="Comma 2" xfId="3060" xr:uid="{00000000-0005-0000-0000-0000A0280000}"/>
    <cellStyle name="Comma 2 10" xfId="5909" xr:uid="{00000000-0005-0000-0000-0000A1280000}"/>
    <cellStyle name="Comma 2 10 10" xfId="37856" xr:uid="{00000000-0005-0000-0000-0000A2280000}"/>
    <cellStyle name="Comma 2 10 2" xfId="6104" xr:uid="{00000000-0005-0000-0000-0000A3280000}"/>
    <cellStyle name="Comma 2 10 2 2" xfId="8029" xr:uid="{00000000-0005-0000-0000-0000A4280000}"/>
    <cellStyle name="Comma 2 10 2 2 2" xfId="9834" xr:uid="{00000000-0005-0000-0000-0000A5280000}"/>
    <cellStyle name="Comma 2 10 2 2 2 2" xfId="12012" xr:uid="{00000000-0005-0000-0000-0000A6280000}"/>
    <cellStyle name="Comma 2 10 2 2 2 3" xfId="27321" xr:uid="{00000000-0005-0000-0000-0000A7280000}"/>
    <cellStyle name="Comma 2 10 2 2 2 3 2" xfId="45199" xr:uid="{00000000-0005-0000-0000-0000A8280000}"/>
    <cellStyle name="Comma 2 10 2 2 2 4" xfId="31534" xr:uid="{00000000-0005-0000-0000-0000A9280000}"/>
    <cellStyle name="Comma 2 10 2 2 2 5" xfId="35749" xr:uid="{00000000-0005-0000-0000-0000AA280000}"/>
    <cellStyle name="Comma 2 10 2 2 2 6" xfId="39953" xr:uid="{00000000-0005-0000-0000-0000AB280000}"/>
    <cellStyle name="Comma 2 10 2 2 3" xfId="10571" xr:uid="{00000000-0005-0000-0000-0000AC280000}"/>
    <cellStyle name="Comma 2 10 2 2 3 2" xfId="27786" xr:uid="{00000000-0005-0000-0000-0000AD280000}"/>
    <cellStyle name="Comma 2 10 2 2 3 2 2" xfId="45464" xr:uid="{00000000-0005-0000-0000-0000AE280000}"/>
    <cellStyle name="Comma 2 10 2 2 3 3" xfId="31999" xr:uid="{00000000-0005-0000-0000-0000AF280000}"/>
    <cellStyle name="Comma 2 10 2 2 3 4" xfId="36214" xr:uid="{00000000-0005-0000-0000-0000B0280000}"/>
    <cellStyle name="Comma 2 10 2 2 3 5" xfId="40418" xr:uid="{00000000-0005-0000-0000-0000B1280000}"/>
    <cellStyle name="Comma 2 10 2 3" xfId="9986" xr:uid="{00000000-0005-0000-0000-0000B2280000}"/>
    <cellStyle name="Comma 2 10 2 4" xfId="9716" xr:uid="{00000000-0005-0000-0000-0000B3280000}"/>
    <cellStyle name="Comma 2 10 2 4 2" xfId="11612" xr:uid="{00000000-0005-0000-0000-0000B4280000}"/>
    <cellStyle name="Comma 2 10 2 4 2 2" xfId="28368" xr:uid="{00000000-0005-0000-0000-0000B5280000}"/>
    <cellStyle name="Comma 2 10 2 4 2 2 2" xfId="46017" xr:uid="{00000000-0005-0000-0000-0000B6280000}"/>
    <cellStyle name="Comma 2 10 2 4 2 3" xfId="32581" xr:uid="{00000000-0005-0000-0000-0000B7280000}"/>
    <cellStyle name="Comma 2 10 2 4 2 4" xfId="36796" xr:uid="{00000000-0005-0000-0000-0000B8280000}"/>
    <cellStyle name="Comma 2 10 2 4 2 5" xfId="41000" xr:uid="{00000000-0005-0000-0000-0000B9280000}"/>
    <cellStyle name="Comma 2 10 2 4 3" xfId="27227" xr:uid="{00000000-0005-0000-0000-0000BA280000}"/>
    <cellStyle name="Comma 2 10 2 4 3 2" xfId="45096" xr:uid="{00000000-0005-0000-0000-0000BB280000}"/>
    <cellStyle name="Comma 2 10 2 4 4" xfId="31440" xr:uid="{00000000-0005-0000-0000-0000BC280000}"/>
    <cellStyle name="Comma 2 10 2 4 5" xfId="35655" xr:uid="{00000000-0005-0000-0000-0000BD280000}"/>
    <cellStyle name="Comma 2 10 2 4 6" xfId="39859" xr:uid="{00000000-0005-0000-0000-0000BE280000}"/>
    <cellStyle name="Comma 2 10 2 5" xfId="10454" xr:uid="{00000000-0005-0000-0000-0000BF280000}"/>
    <cellStyle name="Comma 2 10 2 5 2" xfId="27692" xr:uid="{00000000-0005-0000-0000-0000C0280000}"/>
    <cellStyle name="Comma 2 10 2 5 2 2" xfId="45370" xr:uid="{00000000-0005-0000-0000-0000C1280000}"/>
    <cellStyle name="Comma 2 10 2 5 3" xfId="31905" xr:uid="{00000000-0005-0000-0000-0000C2280000}"/>
    <cellStyle name="Comma 2 10 2 5 4" xfId="36120" xr:uid="{00000000-0005-0000-0000-0000C3280000}"/>
    <cellStyle name="Comma 2 10 2 5 5" xfId="40324" xr:uid="{00000000-0005-0000-0000-0000C4280000}"/>
    <cellStyle name="Comma 2 10 2 6" xfId="25414" xr:uid="{00000000-0005-0000-0000-0000C5280000}"/>
    <cellStyle name="Comma 2 10 2 6 2" xfId="44753" xr:uid="{00000000-0005-0000-0000-0000C6280000}"/>
    <cellStyle name="Comma 2 10 2 7" xfId="29626" xr:uid="{00000000-0005-0000-0000-0000C7280000}"/>
    <cellStyle name="Comma 2 10 2 8" xfId="33842" xr:uid="{00000000-0005-0000-0000-0000C8280000}"/>
    <cellStyle name="Comma 2 10 2 9" xfId="38046" xr:uid="{00000000-0005-0000-0000-0000C9280000}"/>
    <cellStyle name="Comma 2 10 3" xfId="6006" xr:uid="{00000000-0005-0000-0000-0000CA280000}"/>
    <cellStyle name="Comma 2 10 3 2" xfId="9787" xr:uid="{00000000-0005-0000-0000-0000CB280000}"/>
    <cellStyle name="Comma 2 10 3 2 2" xfId="11514" xr:uid="{00000000-0005-0000-0000-0000CC280000}"/>
    <cellStyle name="Comma 2 10 3 2 2 2" xfId="28273" xr:uid="{00000000-0005-0000-0000-0000CD280000}"/>
    <cellStyle name="Comma 2 10 3 2 2 2 2" xfId="45922" xr:uid="{00000000-0005-0000-0000-0000CE280000}"/>
    <cellStyle name="Comma 2 10 3 2 2 3" xfId="32486" xr:uid="{00000000-0005-0000-0000-0000CF280000}"/>
    <cellStyle name="Comma 2 10 3 2 2 4" xfId="36701" xr:uid="{00000000-0005-0000-0000-0000D0280000}"/>
    <cellStyle name="Comma 2 10 3 2 2 5" xfId="40905" xr:uid="{00000000-0005-0000-0000-0000D1280000}"/>
    <cellStyle name="Comma 2 10 3 2 3" xfId="27274" xr:uid="{00000000-0005-0000-0000-0000D2280000}"/>
    <cellStyle name="Comma 2 10 3 2 3 2" xfId="45152" xr:uid="{00000000-0005-0000-0000-0000D3280000}"/>
    <cellStyle name="Comma 2 10 3 2 4" xfId="31487" xr:uid="{00000000-0005-0000-0000-0000D4280000}"/>
    <cellStyle name="Comma 2 10 3 2 5" xfId="35702" xr:uid="{00000000-0005-0000-0000-0000D5280000}"/>
    <cellStyle name="Comma 2 10 3 2 6" xfId="39906" xr:uid="{00000000-0005-0000-0000-0000D6280000}"/>
    <cellStyle name="Comma 2 10 3 3" xfId="10524" xr:uid="{00000000-0005-0000-0000-0000D7280000}"/>
    <cellStyle name="Comma 2 10 3 3 2" xfId="27739" xr:uid="{00000000-0005-0000-0000-0000D8280000}"/>
    <cellStyle name="Comma 2 10 3 3 2 2" xfId="45417" xr:uid="{00000000-0005-0000-0000-0000D9280000}"/>
    <cellStyle name="Comma 2 10 3 3 3" xfId="31952" xr:uid="{00000000-0005-0000-0000-0000DA280000}"/>
    <cellStyle name="Comma 2 10 3 3 4" xfId="36167" xr:uid="{00000000-0005-0000-0000-0000DB280000}"/>
    <cellStyle name="Comma 2 10 3 3 5" xfId="40371" xr:uid="{00000000-0005-0000-0000-0000DC280000}"/>
    <cellStyle name="Comma 2 10 3 4" xfId="25319" xr:uid="{00000000-0005-0000-0000-0000DD280000}"/>
    <cellStyle name="Comma 2 10 3 4 2" xfId="44658" xr:uid="{00000000-0005-0000-0000-0000DE280000}"/>
    <cellStyle name="Comma 2 10 3 5" xfId="29531" xr:uid="{00000000-0005-0000-0000-0000DF280000}"/>
    <cellStyle name="Comma 2 10 3 6" xfId="33747" xr:uid="{00000000-0005-0000-0000-0000E0280000}"/>
    <cellStyle name="Comma 2 10 3 7" xfId="37951" xr:uid="{00000000-0005-0000-0000-0000E1280000}"/>
    <cellStyle name="Comma 2 10 4" xfId="6863" xr:uid="{00000000-0005-0000-0000-0000E2280000}"/>
    <cellStyle name="Comma 2 10 4 2" xfId="11774" xr:uid="{00000000-0005-0000-0000-0000E3280000}"/>
    <cellStyle name="Comma 2 10 4 2 2" xfId="28494" xr:uid="{00000000-0005-0000-0000-0000E4280000}"/>
    <cellStyle name="Comma 2 10 4 2 2 2" xfId="46145" xr:uid="{00000000-0005-0000-0000-0000E5280000}"/>
    <cellStyle name="Comma 2 10 4 2 3" xfId="32707" xr:uid="{00000000-0005-0000-0000-0000E6280000}"/>
    <cellStyle name="Comma 2 10 4 2 4" xfId="36922" xr:uid="{00000000-0005-0000-0000-0000E7280000}"/>
    <cellStyle name="Comma 2 10 4 2 5" xfId="41126" xr:uid="{00000000-0005-0000-0000-0000E8280000}"/>
    <cellStyle name="Comma 2 10 4 3" xfId="25551" xr:uid="{00000000-0005-0000-0000-0000E9280000}"/>
    <cellStyle name="Comma 2 10 4 3 2" xfId="44879" xr:uid="{00000000-0005-0000-0000-0000EA280000}"/>
    <cellStyle name="Comma 2 10 4 4" xfId="29764" xr:uid="{00000000-0005-0000-0000-0000EB280000}"/>
    <cellStyle name="Comma 2 10 4 5" xfId="33979" xr:uid="{00000000-0005-0000-0000-0000EC280000}"/>
    <cellStyle name="Comma 2 10 4 6" xfId="38183" xr:uid="{00000000-0005-0000-0000-0000ED280000}"/>
    <cellStyle name="Comma 2 10 5" xfId="9666" xr:uid="{00000000-0005-0000-0000-0000EE280000}"/>
    <cellStyle name="Comma 2 10 5 2" xfId="11418" xr:uid="{00000000-0005-0000-0000-0000EF280000}"/>
    <cellStyle name="Comma 2 10 5 2 2" xfId="28178" xr:uid="{00000000-0005-0000-0000-0000F0280000}"/>
    <cellStyle name="Comma 2 10 5 2 2 2" xfId="45827" xr:uid="{00000000-0005-0000-0000-0000F1280000}"/>
    <cellStyle name="Comma 2 10 5 2 3" xfId="32391" xr:uid="{00000000-0005-0000-0000-0000F2280000}"/>
    <cellStyle name="Comma 2 10 5 2 4" xfId="36606" xr:uid="{00000000-0005-0000-0000-0000F3280000}"/>
    <cellStyle name="Comma 2 10 5 2 5" xfId="40810" xr:uid="{00000000-0005-0000-0000-0000F4280000}"/>
    <cellStyle name="Comma 2 10 5 3" xfId="27180" xr:uid="{00000000-0005-0000-0000-0000F5280000}"/>
    <cellStyle name="Comma 2 10 5 3 2" xfId="45049" xr:uid="{00000000-0005-0000-0000-0000F6280000}"/>
    <cellStyle name="Comma 2 10 5 4" xfId="31393" xr:uid="{00000000-0005-0000-0000-0000F7280000}"/>
    <cellStyle name="Comma 2 10 5 5" xfId="35608" xr:uid="{00000000-0005-0000-0000-0000F8280000}"/>
    <cellStyle name="Comma 2 10 5 6" xfId="39812" xr:uid="{00000000-0005-0000-0000-0000F9280000}"/>
    <cellStyle name="Comma 2 10 6" xfId="10396" xr:uid="{00000000-0005-0000-0000-0000FA280000}"/>
    <cellStyle name="Comma 2 10 6 2" xfId="27645" xr:uid="{00000000-0005-0000-0000-0000FB280000}"/>
    <cellStyle name="Comma 2 10 6 2 2" xfId="45323" xr:uid="{00000000-0005-0000-0000-0000FC280000}"/>
    <cellStyle name="Comma 2 10 6 3" xfId="31858" xr:uid="{00000000-0005-0000-0000-0000FD280000}"/>
    <cellStyle name="Comma 2 10 6 4" xfId="36073" xr:uid="{00000000-0005-0000-0000-0000FE280000}"/>
    <cellStyle name="Comma 2 10 6 5" xfId="40277" xr:uid="{00000000-0005-0000-0000-0000FF280000}"/>
    <cellStyle name="Comma 2 10 7" xfId="25224" xr:uid="{00000000-0005-0000-0000-000000290000}"/>
    <cellStyle name="Comma 2 10 7 2" xfId="44563" xr:uid="{00000000-0005-0000-0000-000001290000}"/>
    <cellStyle name="Comma 2 10 8" xfId="29436" xr:uid="{00000000-0005-0000-0000-000002290000}"/>
    <cellStyle name="Comma 2 10 9" xfId="33652" xr:uid="{00000000-0005-0000-0000-000003290000}"/>
    <cellStyle name="Comma 2 11" xfId="5958" xr:uid="{00000000-0005-0000-0000-000004290000}"/>
    <cellStyle name="Comma 2 11 10" xfId="37903" xr:uid="{00000000-0005-0000-0000-000005290000}"/>
    <cellStyle name="Comma 2 11 2" xfId="6151" xr:uid="{00000000-0005-0000-0000-000006290000}"/>
    <cellStyle name="Comma 2 11 2 2" xfId="8030" xr:uid="{00000000-0005-0000-0000-000007290000}"/>
    <cellStyle name="Comma 2 11 2 2 2" xfId="9839" xr:uid="{00000000-0005-0000-0000-000008290000}"/>
    <cellStyle name="Comma 2 11 2 2 2 2" xfId="12013" xr:uid="{00000000-0005-0000-0000-000009290000}"/>
    <cellStyle name="Comma 2 11 2 2 2 3" xfId="27326" xr:uid="{00000000-0005-0000-0000-00000A290000}"/>
    <cellStyle name="Comma 2 11 2 2 2 3 2" xfId="45204" xr:uid="{00000000-0005-0000-0000-00000B290000}"/>
    <cellStyle name="Comma 2 11 2 2 2 4" xfId="31539" xr:uid="{00000000-0005-0000-0000-00000C290000}"/>
    <cellStyle name="Comma 2 11 2 2 2 5" xfId="35754" xr:uid="{00000000-0005-0000-0000-00000D290000}"/>
    <cellStyle name="Comma 2 11 2 2 2 6" xfId="39958" xr:uid="{00000000-0005-0000-0000-00000E290000}"/>
    <cellStyle name="Comma 2 11 2 2 3" xfId="10576" xr:uid="{00000000-0005-0000-0000-00000F290000}"/>
    <cellStyle name="Comma 2 11 2 2 3 2" xfId="27791" xr:uid="{00000000-0005-0000-0000-000010290000}"/>
    <cellStyle name="Comma 2 11 2 2 3 2 2" xfId="45469" xr:uid="{00000000-0005-0000-0000-000011290000}"/>
    <cellStyle name="Comma 2 11 2 2 3 3" xfId="32004" xr:uid="{00000000-0005-0000-0000-000012290000}"/>
    <cellStyle name="Comma 2 11 2 2 3 4" xfId="36219" xr:uid="{00000000-0005-0000-0000-000013290000}"/>
    <cellStyle name="Comma 2 11 2 2 3 5" xfId="40423" xr:uid="{00000000-0005-0000-0000-000014290000}"/>
    <cellStyle name="Comma 2 11 2 3" xfId="9987" xr:uid="{00000000-0005-0000-0000-000015290000}"/>
    <cellStyle name="Comma 2 11 2 4" xfId="9721" xr:uid="{00000000-0005-0000-0000-000016290000}"/>
    <cellStyle name="Comma 2 11 2 4 2" xfId="11659" xr:uid="{00000000-0005-0000-0000-000017290000}"/>
    <cellStyle name="Comma 2 11 2 4 2 2" xfId="28415" xr:uid="{00000000-0005-0000-0000-000018290000}"/>
    <cellStyle name="Comma 2 11 2 4 2 2 2" xfId="46064" xr:uid="{00000000-0005-0000-0000-000019290000}"/>
    <cellStyle name="Comma 2 11 2 4 2 3" xfId="32628" xr:uid="{00000000-0005-0000-0000-00001A290000}"/>
    <cellStyle name="Comma 2 11 2 4 2 4" xfId="36843" xr:uid="{00000000-0005-0000-0000-00001B290000}"/>
    <cellStyle name="Comma 2 11 2 4 2 5" xfId="41047" xr:uid="{00000000-0005-0000-0000-00001C290000}"/>
    <cellStyle name="Comma 2 11 2 4 3" xfId="27232" xr:uid="{00000000-0005-0000-0000-00001D290000}"/>
    <cellStyle name="Comma 2 11 2 4 3 2" xfId="45101" xr:uid="{00000000-0005-0000-0000-00001E290000}"/>
    <cellStyle name="Comma 2 11 2 4 4" xfId="31445" xr:uid="{00000000-0005-0000-0000-00001F290000}"/>
    <cellStyle name="Comma 2 11 2 4 5" xfId="35660" xr:uid="{00000000-0005-0000-0000-000020290000}"/>
    <cellStyle name="Comma 2 11 2 4 6" xfId="39864" xr:uid="{00000000-0005-0000-0000-000021290000}"/>
    <cellStyle name="Comma 2 11 2 5" xfId="10459" xr:uid="{00000000-0005-0000-0000-000022290000}"/>
    <cellStyle name="Comma 2 11 2 5 2" xfId="27697" xr:uid="{00000000-0005-0000-0000-000023290000}"/>
    <cellStyle name="Comma 2 11 2 5 2 2" xfId="45375" xr:uid="{00000000-0005-0000-0000-000024290000}"/>
    <cellStyle name="Comma 2 11 2 5 3" xfId="31910" xr:uid="{00000000-0005-0000-0000-000025290000}"/>
    <cellStyle name="Comma 2 11 2 5 4" xfId="36125" xr:uid="{00000000-0005-0000-0000-000026290000}"/>
    <cellStyle name="Comma 2 11 2 5 5" xfId="40329" xr:uid="{00000000-0005-0000-0000-000027290000}"/>
    <cellStyle name="Comma 2 11 2 6" xfId="25461" xr:uid="{00000000-0005-0000-0000-000028290000}"/>
    <cellStyle name="Comma 2 11 2 6 2" xfId="44800" xr:uid="{00000000-0005-0000-0000-000029290000}"/>
    <cellStyle name="Comma 2 11 2 7" xfId="29673" xr:uid="{00000000-0005-0000-0000-00002A290000}"/>
    <cellStyle name="Comma 2 11 2 8" xfId="33889" xr:uid="{00000000-0005-0000-0000-00002B290000}"/>
    <cellStyle name="Comma 2 11 2 9" xfId="38093" xr:uid="{00000000-0005-0000-0000-00002C290000}"/>
    <cellStyle name="Comma 2 11 3" xfId="6056" xr:uid="{00000000-0005-0000-0000-00002D290000}"/>
    <cellStyle name="Comma 2 11 3 2" xfId="9792" xr:uid="{00000000-0005-0000-0000-00002E290000}"/>
    <cellStyle name="Comma 2 11 3 2 2" xfId="11564" xr:uid="{00000000-0005-0000-0000-00002F290000}"/>
    <cellStyle name="Comma 2 11 3 2 2 2" xfId="28320" xr:uid="{00000000-0005-0000-0000-000030290000}"/>
    <cellStyle name="Comma 2 11 3 2 2 2 2" xfId="45969" xr:uid="{00000000-0005-0000-0000-000031290000}"/>
    <cellStyle name="Comma 2 11 3 2 2 3" xfId="32533" xr:uid="{00000000-0005-0000-0000-000032290000}"/>
    <cellStyle name="Comma 2 11 3 2 2 4" xfId="36748" xr:uid="{00000000-0005-0000-0000-000033290000}"/>
    <cellStyle name="Comma 2 11 3 2 2 5" xfId="40952" xr:uid="{00000000-0005-0000-0000-000034290000}"/>
    <cellStyle name="Comma 2 11 3 2 3" xfId="27279" xr:uid="{00000000-0005-0000-0000-000035290000}"/>
    <cellStyle name="Comma 2 11 3 2 3 2" xfId="45157" xr:uid="{00000000-0005-0000-0000-000036290000}"/>
    <cellStyle name="Comma 2 11 3 2 4" xfId="31492" xr:uid="{00000000-0005-0000-0000-000037290000}"/>
    <cellStyle name="Comma 2 11 3 2 5" xfId="35707" xr:uid="{00000000-0005-0000-0000-000038290000}"/>
    <cellStyle name="Comma 2 11 3 2 6" xfId="39911" xr:uid="{00000000-0005-0000-0000-000039290000}"/>
    <cellStyle name="Comma 2 11 3 3" xfId="10529" xr:uid="{00000000-0005-0000-0000-00003A290000}"/>
    <cellStyle name="Comma 2 11 3 3 2" xfId="27744" xr:uid="{00000000-0005-0000-0000-00003B290000}"/>
    <cellStyle name="Comma 2 11 3 3 2 2" xfId="45422" xr:uid="{00000000-0005-0000-0000-00003C290000}"/>
    <cellStyle name="Comma 2 11 3 3 3" xfId="31957" xr:uid="{00000000-0005-0000-0000-00003D290000}"/>
    <cellStyle name="Comma 2 11 3 3 4" xfId="36172" xr:uid="{00000000-0005-0000-0000-00003E290000}"/>
    <cellStyle name="Comma 2 11 3 3 5" xfId="40376" xr:uid="{00000000-0005-0000-0000-00003F290000}"/>
    <cellStyle name="Comma 2 11 3 4" xfId="25366" xr:uid="{00000000-0005-0000-0000-000040290000}"/>
    <cellStyle name="Comma 2 11 3 4 2" xfId="44705" xr:uid="{00000000-0005-0000-0000-000041290000}"/>
    <cellStyle name="Comma 2 11 3 5" xfId="29578" xr:uid="{00000000-0005-0000-0000-000042290000}"/>
    <cellStyle name="Comma 2 11 3 6" xfId="33794" xr:uid="{00000000-0005-0000-0000-000043290000}"/>
    <cellStyle name="Comma 2 11 3 7" xfId="37998" xr:uid="{00000000-0005-0000-0000-000044290000}"/>
    <cellStyle name="Comma 2 11 4" xfId="7077" xr:uid="{00000000-0005-0000-0000-000045290000}"/>
    <cellStyle name="Comma 2 11 4 2" xfId="9846" xr:uid="{00000000-0005-0000-0000-000046290000}"/>
    <cellStyle name="Comma 2 11 4 2 2" xfId="11828" xr:uid="{00000000-0005-0000-0000-000047290000}"/>
    <cellStyle name="Comma 2 11 4 2 2 2" xfId="28533" xr:uid="{00000000-0005-0000-0000-000048290000}"/>
    <cellStyle name="Comma 2 11 4 2 2 2 2" xfId="46192" xr:uid="{00000000-0005-0000-0000-000049290000}"/>
    <cellStyle name="Comma 2 11 4 2 2 3" xfId="32746" xr:uid="{00000000-0005-0000-0000-00004A290000}"/>
    <cellStyle name="Comma 2 11 4 2 2 4" xfId="36961" xr:uid="{00000000-0005-0000-0000-00004B290000}"/>
    <cellStyle name="Comma 2 11 4 2 2 5" xfId="41165" xr:uid="{00000000-0005-0000-0000-00004C290000}"/>
    <cellStyle name="Comma 2 11 4 2 3" xfId="27333" xr:uid="{00000000-0005-0000-0000-00004D290000}"/>
    <cellStyle name="Comma 2 11 4 2 3 2" xfId="45211" xr:uid="{00000000-0005-0000-0000-00004E290000}"/>
    <cellStyle name="Comma 2 11 4 2 4" xfId="31546" xr:uid="{00000000-0005-0000-0000-00004F290000}"/>
    <cellStyle name="Comma 2 11 4 2 5" xfId="35761" xr:uid="{00000000-0005-0000-0000-000050290000}"/>
    <cellStyle name="Comma 2 11 4 2 6" xfId="39965" xr:uid="{00000000-0005-0000-0000-000051290000}"/>
    <cellStyle name="Comma 2 11 4 3" xfId="10596" xr:uid="{00000000-0005-0000-0000-000052290000}"/>
    <cellStyle name="Comma 2 11 4 3 2" xfId="27798" xr:uid="{00000000-0005-0000-0000-000053290000}"/>
    <cellStyle name="Comma 2 11 4 3 2 2" xfId="45477" xr:uid="{00000000-0005-0000-0000-000054290000}"/>
    <cellStyle name="Comma 2 11 4 3 3" xfId="32011" xr:uid="{00000000-0005-0000-0000-000055290000}"/>
    <cellStyle name="Comma 2 11 4 3 4" xfId="36226" xr:uid="{00000000-0005-0000-0000-000056290000}"/>
    <cellStyle name="Comma 2 11 4 3 5" xfId="40430" xr:uid="{00000000-0005-0000-0000-000057290000}"/>
    <cellStyle name="Comma 2 11 4 4" xfId="25731" xr:uid="{00000000-0005-0000-0000-000058290000}"/>
    <cellStyle name="Comma 2 11 4 4 2" xfId="44926" xr:uid="{00000000-0005-0000-0000-000059290000}"/>
    <cellStyle name="Comma 2 11 4 5" xfId="29944" xr:uid="{00000000-0005-0000-0000-00005A290000}"/>
    <cellStyle name="Comma 2 11 4 6" xfId="34159" xr:uid="{00000000-0005-0000-0000-00005B290000}"/>
    <cellStyle name="Comma 2 11 4 7" xfId="38363" xr:uid="{00000000-0005-0000-0000-00005C290000}"/>
    <cellStyle name="Comma 2 11 5" xfId="9674" xr:uid="{00000000-0005-0000-0000-00005D290000}"/>
    <cellStyle name="Comma 2 11 5 2" xfId="11466" xr:uid="{00000000-0005-0000-0000-00005E290000}"/>
    <cellStyle name="Comma 2 11 5 2 2" xfId="28225" xr:uid="{00000000-0005-0000-0000-00005F290000}"/>
    <cellStyle name="Comma 2 11 5 2 2 2" xfId="45874" xr:uid="{00000000-0005-0000-0000-000060290000}"/>
    <cellStyle name="Comma 2 11 5 2 3" xfId="32438" xr:uid="{00000000-0005-0000-0000-000061290000}"/>
    <cellStyle name="Comma 2 11 5 2 4" xfId="36653" xr:uid="{00000000-0005-0000-0000-000062290000}"/>
    <cellStyle name="Comma 2 11 5 2 5" xfId="40857" xr:uid="{00000000-0005-0000-0000-000063290000}"/>
    <cellStyle name="Comma 2 11 5 3" xfId="27185" xr:uid="{00000000-0005-0000-0000-000064290000}"/>
    <cellStyle name="Comma 2 11 5 3 2" xfId="45054" xr:uid="{00000000-0005-0000-0000-000065290000}"/>
    <cellStyle name="Comma 2 11 5 4" xfId="31398" xr:uid="{00000000-0005-0000-0000-000066290000}"/>
    <cellStyle name="Comma 2 11 5 5" xfId="35613" xr:uid="{00000000-0005-0000-0000-000067290000}"/>
    <cellStyle name="Comma 2 11 5 6" xfId="39817" xr:uid="{00000000-0005-0000-0000-000068290000}"/>
    <cellStyle name="Comma 2 11 6" xfId="10412" xr:uid="{00000000-0005-0000-0000-000069290000}"/>
    <cellStyle name="Comma 2 11 6 2" xfId="27650" xr:uid="{00000000-0005-0000-0000-00006A290000}"/>
    <cellStyle name="Comma 2 11 6 2 2" xfId="45328" xr:uid="{00000000-0005-0000-0000-00006B290000}"/>
    <cellStyle name="Comma 2 11 6 3" xfId="31863" xr:uid="{00000000-0005-0000-0000-00006C290000}"/>
    <cellStyle name="Comma 2 11 6 4" xfId="36078" xr:uid="{00000000-0005-0000-0000-00006D290000}"/>
    <cellStyle name="Comma 2 11 6 5" xfId="40282" xr:uid="{00000000-0005-0000-0000-00006E290000}"/>
    <cellStyle name="Comma 2 11 7" xfId="25271" xr:uid="{00000000-0005-0000-0000-00006F290000}"/>
    <cellStyle name="Comma 2 11 7 2" xfId="44610" xr:uid="{00000000-0005-0000-0000-000070290000}"/>
    <cellStyle name="Comma 2 11 8" xfId="29483" xr:uid="{00000000-0005-0000-0000-000071290000}"/>
    <cellStyle name="Comma 2 11 9" xfId="33699" xr:uid="{00000000-0005-0000-0000-000072290000}"/>
    <cellStyle name="Comma 2 12" xfId="6057" xr:uid="{00000000-0005-0000-0000-000073290000}"/>
    <cellStyle name="Comma 2 12 2" xfId="8031" xr:uid="{00000000-0005-0000-0000-000074290000}"/>
    <cellStyle name="Comma 2 12 2 2" xfId="9988" xr:uid="{00000000-0005-0000-0000-000075290000}"/>
    <cellStyle name="Comma 2 12 2 3" xfId="9797" xr:uid="{00000000-0005-0000-0000-000076290000}"/>
    <cellStyle name="Comma 2 12 2 3 2" xfId="27284" xr:uid="{00000000-0005-0000-0000-000077290000}"/>
    <cellStyle name="Comma 2 12 2 3 2 2" xfId="45162" xr:uid="{00000000-0005-0000-0000-000078290000}"/>
    <cellStyle name="Comma 2 12 2 3 3" xfId="31497" xr:uid="{00000000-0005-0000-0000-000079290000}"/>
    <cellStyle name="Comma 2 12 2 3 4" xfId="35712" xr:uid="{00000000-0005-0000-0000-00007A290000}"/>
    <cellStyle name="Comma 2 12 2 3 5" xfId="39916" xr:uid="{00000000-0005-0000-0000-00007B290000}"/>
    <cellStyle name="Comma 2 12 2 4" xfId="10534" xr:uid="{00000000-0005-0000-0000-00007C290000}"/>
    <cellStyle name="Comma 2 12 2 4 2" xfId="27749" xr:uid="{00000000-0005-0000-0000-00007D290000}"/>
    <cellStyle name="Comma 2 12 2 4 2 2" xfId="45427" xr:uid="{00000000-0005-0000-0000-00007E290000}"/>
    <cellStyle name="Comma 2 12 2 4 3" xfId="31962" xr:uid="{00000000-0005-0000-0000-00007F290000}"/>
    <cellStyle name="Comma 2 12 2 4 4" xfId="36177" xr:uid="{00000000-0005-0000-0000-000080290000}"/>
    <cellStyle name="Comma 2 12 2 4 5" xfId="40381" xr:uid="{00000000-0005-0000-0000-000081290000}"/>
    <cellStyle name="Comma 2 12 3" xfId="7208" xr:uid="{00000000-0005-0000-0000-000082290000}"/>
    <cellStyle name="Comma 2 12 3 2" xfId="9849" xr:uid="{00000000-0005-0000-0000-000083290000}"/>
    <cellStyle name="Comma 2 12 3 2 2" xfId="11846" xr:uid="{00000000-0005-0000-0000-000084290000}"/>
    <cellStyle name="Comma 2 12 3 2 2 2" xfId="28536" xr:uid="{00000000-0005-0000-0000-000085290000}"/>
    <cellStyle name="Comma 2 12 3 2 2 2 2" xfId="46202" xr:uid="{00000000-0005-0000-0000-000086290000}"/>
    <cellStyle name="Comma 2 12 3 2 2 3" xfId="32749" xr:uid="{00000000-0005-0000-0000-000087290000}"/>
    <cellStyle name="Comma 2 12 3 2 2 4" xfId="36964" xr:uid="{00000000-0005-0000-0000-000088290000}"/>
    <cellStyle name="Comma 2 12 3 2 2 5" xfId="41168" xr:uid="{00000000-0005-0000-0000-000089290000}"/>
    <cellStyle name="Comma 2 12 3 2 3" xfId="27336" xr:uid="{00000000-0005-0000-0000-00008A290000}"/>
    <cellStyle name="Comma 2 12 3 2 3 2" xfId="45214" xr:uid="{00000000-0005-0000-0000-00008B290000}"/>
    <cellStyle name="Comma 2 12 3 2 4" xfId="31549" xr:uid="{00000000-0005-0000-0000-00008C290000}"/>
    <cellStyle name="Comma 2 12 3 2 5" xfId="35764" xr:uid="{00000000-0005-0000-0000-00008D290000}"/>
    <cellStyle name="Comma 2 12 3 2 6" xfId="39968" xr:uid="{00000000-0005-0000-0000-00008E290000}"/>
    <cellStyle name="Comma 2 12 3 3" xfId="10609" xr:uid="{00000000-0005-0000-0000-00008F290000}"/>
    <cellStyle name="Comma 2 12 3 3 2" xfId="27801" xr:uid="{00000000-0005-0000-0000-000090290000}"/>
    <cellStyle name="Comma 2 12 3 3 2 2" xfId="45480" xr:uid="{00000000-0005-0000-0000-000091290000}"/>
    <cellStyle name="Comma 2 12 3 3 3" xfId="32014" xr:uid="{00000000-0005-0000-0000-000092290000}"/>
    <cellStyle name="Comma 2 12 3 3 4" xfId="36229" xr:uid="{00000000-0005-0000-0000-000093290000}"/>
    <cellStyle name="Comma 2 12 3 3 5" xfId="40433" xr:uid="{00000000-0005-0000-0000-000094290000}"/>
    <cellStyle name="Comma 2 12 3 4" xfId="25841" xr:uid="{00000000-0005-0000-0000-000095290000}"/>
    <cellStyle name="Comma 2 12 3 4 2" xfId="44936" xr:uid="{00000000-0005-0000-0000-000096290000}"/>
    <cellStyle name="Comma 2 12 3 5" xfId="30054" xr:uid="{00000000-0005-0000-0000-000097290000}"/>
    <cellStyle name="Comma 2 12 3 6" xfId="34269" xr:uid="{00000000-0005-0000-0000-000098290000}"/>
    <cellStyle name="Comma 2 12 3 7" xfId="38473" xr:uid="{00000000-0005-0000-0000-000099290000}"/>
    <cellStyle name="Comma 2 12 4" xfId="9679" xr:uid="{00000000-0005-0000-0000-00009A290000}"/>
    <cellStyle name="Comma 2 12 4 2" xfId="11565" xr:uid="{00000000-0005-0000-0000-00009B290000}"/>
    <cellStyle name="Comma 2 12 4 2 2" xfId="28321" xr:uid="{00000000-0005-0000-0000-00009C290000}"/>
    <cellStyle name="Comma 2 12 4 2 2 2" xfId="45970" xr:uid="{00000000-0005-0000-0000-00009D290000}"/>
    <cellStyle name="Comma 2 12 4 2 3" xfId="32534" xr:uid="{00000000-0005-0000-0000-00009E290000}"/>
    <cellStyle name="Comma 2 12 4 2 4" xfId="36749" xr:uid="{00000000-0005-0000-0000-00009F290000}"/>
    <cellStyle name="Comma 2 12 4 2 5" xfId="40953" xr:uid="{00000000-0005-0000-0000-0000A0290000}"/>
    <cellStyle name="Comma 2 12 4 3" xfId="27190" xr:uid="{00000000-0005-0000-0000-0000A1290000}"/>
    <cellStyle name="Comma 2 12 4 3 2" xfId="45059" xr:uid="{00000000-0005-0000-0000-0000A2290000}"/>
    <cellStyle name="Comma 2 12 4 4" xfId="31403" xr:uid="{00000000-0005-0000-0000-0000A3290000}"/>
    <cellStyle name="Comma 2 12 4 5" xfId="35618" xr:uid="{00000000-0005-0000-0000-0000A4290000}"/>
    <cellStyle name="Comma 2 12 4 6" xfId="39822" xr:uid="{00000000-0005-0000-0000-0000A5290000}"/>
    <cellStyle name="Comma 2 12 5" xfId="10417" xr:uid="{00000000-0005-0000-0000-0000A6290000}"/>
    <cellStyle name="Comma 2 12 5 2" xfId="27655" xr:uid="{00000000-0005-0000-0000-0000A7290000}"/>
    <cellStyle name="Comma 2 12 5 2 2" xfId="45333" xr:uid="{00000000-0005-0000-0000-0000A8290000}"/>
    <cellStyle name="Comma 2 12 5 3" xfId="31868" xr:uid="{00000000-0005-0000-0000-0000A9290000}"/>
    <cellStyle name="Comma 2 12 5 4" xfId="36083" xr:uid="{00000000-0005-0000-0000-0000AA290000}"/>
    <cellStyle name="Comma 2 12 5 5" xfId="40287" xr:uid="{00000000-0005-0000-0000-0000AB290000}"/>
    <cellStyle name="Comma 2 12 6" xfId="25367" xr:uid="{00000000-0005-0000-0000-0000AC290000}"/>
    <cellStyle name="Comma 2 12 6 2" xfId="44706" xr:uid="{00000000-0005-0000-0000-0000AD290000}"/>
    <cellStyle name="Comma 2 12 7" xfId="29579" xr:uid="{00000000-0005-0000-0000-0000AE290000}"/>
    <cellStyle name="Comma 2 12 8" xfId="33795" xr:uid="{00000000-0005-0000-0000-0000AF290000}"/>
    <cellStyle name="Comma 2 12 9" xfId="37999" xr:uid="{00000000-0005-0000-0000-0000B0290000}"/>
    <cellStyle name="Comma 2 13" xfId="5959" xr:uid="{00000000-0005-0000-0000-0000B1290000}"/>
    <cellStyle name="Comma 2 13 2" xfId="8032" xr:uid="{00000000-0005-0000-0000-0000B2290000}"/>
    <cellStyle name="Comma 2 13 3" xfId="7327" xr:uid="{00000000-0005-0000-0000-0000B3290000}"/>
    <cellStyle name="Comma 2 13 3 2" xfId="9852" xr:uid="{00000000-0005-0000-0000-0000B4290000}"/>
    <cellStyle name="Comma 2 13 3 2 2" xfId="11856" xr:uid="{00000000-0005-0000-0000-0000B5290000}"/>
    <cellStyle name="Comma 2 13 3 2 2 2" xfId="28539" xr:uid="{00000000-0005-0000-0000-0000B6290000}"/>
    <cellStyle name="Comma 2 13 3 2 2 2 2" xfId="46205" xr:uid="{00000000-0005-0000-0000-0000B7290000}"/>
    <cellStyle name="Comma 2 13 3 2 2 3" xfId="32752" xr:uid="{00000000-0005-0000-0000-0000B8290000}"/>
    <cellStyle name="Comma 2 13 3 2 2 4" xfId="36967" xr:uid="{00000000-0005-0000-0000-0000B9290000}"/>
    <cellStyle name="Comma 2 13 3 2 2 5" xfId="41171" xr:uid="{00000000-0005-0000-0000-0000BA290000}"/>
    <cellStyle name="Comma 2 13 3 2 3" xfId="27339" xr:uid="{00000000-0005-0000-0000-0000BB290000}"/>
    <cellStyle name="Comma 2 13 3 2 3 2" xfId="45217" xr:uid="{00000000-0005-0000-0000-0000BC290000}"/>
    <cellStyle name="Comma 2 13 3 2 4" xfId="31552" xr:uid="{00000000-0005-0000-0000-0000BD290000}"/>
    <cellStyle name="Comma 2 13 3 2 5" xfId="35767" xr:uid="{00000000-0005-0000-0000-0000BE290000}"/>
    <cellStyle name="Comma 2 13 3 2 6" xfId="39971" xr:uid="{00000000-0005-0000-0000-0000BF290000}"/>
    <cellStyle name="Comma 2 13 3 3" xfId="10622" xr:uid="{00000000-0005-0000-0000-0000C0290000}"/>
    <cellStyle name="Comma 2 13 3 3 2" xfId="27804" xr:uid="{00000000-0005-0000-0000-0000C1290000}"/>
    <cellStyle name="Comma 2 13 3 3 2 2" xfId="45483" xr:uid="{00000000-0005-0000-0000-0000C2290000}"/>
    <cellStyle name="Comma 2 13 3 3 3" xfId="32017" xr:uid="{00000000-0005-0000-0000-0000C3290000}"/>
    <cellStyle name="Comma 2 13 3 3 4" xfId="36232" xr:uid="{00000000-0005-0000-0000-0000C4290000}"/>
    <cellStyle name="Comma 2 13 3 3 5" xfId="40436" xr:uid="{00000000-0005-0000-0000-0000C5290000}"/>
    <cellStyle name="Comma 2 13 3 4" xfId="25960" xr:uid="{00000000-0005-0000-0000-0000C6290000}"/>
    <cellStyle name="Comma 2 13 3 4 2" xfId="44938" xr:uid="{00000000-0005-0000-0000-0000C7290000}"/>
    <cellStyle name="Comma 2 13 3 5" xfId="30173" xr:uid="{00000000-0005-0000-0000-0000C8290000}"/>
    <cellStyle name="Comma 2 13 3 6" xfId="34388" xr:uid="{00000000-0005-0000-0000-0000C9290000}"/>
    <cellStyle name="Comma 2 13 3 7" xfId="38592" xr:uid="{00000000-0005-0000-0000-0000CA290000}"/>
    <cellStyle name="Comma 2 13 4" xfId="9737" xr:uid="{00000000-0005-0000-0000-0000CB290000}"/>
    <cellStyle name="Comma 2 13 4 2" xfId="11467" xr:uid="{00000000-0005-0000-0000-0000CC290000}"/>
    <cellStyle name="Comma 2 13 4 2 2" xfId="28226" xr:uid="{00000000-0005-0000-0000-0000CD290000}"/>
    <cellStyle name="Comma 2 13 4 2 2 2" xfId="45875" xr:uid="{00000000-0005-0000-0000-0000CE290000}"/>
    <cellStyle name="Comma 2 13 4 2 3" xfId="32439" xr:uid="{00000000-0005-0000-0000-0000CF290000}"/>
    <cellStyle name="Comma 2 13 4 2 4" xfId="36654" xr:uid="{00000000-0005-0000-0000-0000D0290000}"/>
    <cellStyle name="Comma 2 13 4 2 5" xfId="40858" xr:uid="{00000000-0005-0000-0000-0000D1290000}"/>
    <cellStyle name="Comma 2 13 4 3" xfId="27237" xr:uid="{00000000-0005-0000-0000-0000D2290000}"/>
    <cellStyle name="Comma 2 13 4 3 2" xfId="45115" xr:uid="{00000000-0005-0000-0000-0000D3290000}"/>
    <cellStyle name="Comma 2 13 4 4" xfId="31450" xr:uid="{00000000-0005-0000-0000-0000D4290000}"/>
    <cellStyle name="Comma 2 13 4 5" xfId="35665" xr:uid="{00000000-0005-0000-0000-0000D5290000}"/>
    <cellStyle name="Comma 2 13 4 6" xfId="39869" xr:uid="{00000000-0005-0000-0000-0000D6290000}"/>
    <cellStyle name="Comma 2 13 5" xfId="10464" xr:uid="{00000000-0005-0000-0000-0000D7290000}"/>
    <cellStyle name="Comma 2 13 5 2" xfId="27702" xr:uid="{00000000-0005-0000-0000-0000D8290000}"/>
    <cellStyle name="Comma 2 13 5 2 2" xfId="45380" xr:uid="{00000000-0005-0000-0000-0000D9290000}"/>
    <cellStyle name="Comma 2 13 5 3" xfId="31915" xr:uid="{00000000-0005-0000-0000-0000DA290000}"/>
    <cellStyle name="Comma 2 13 5 4" xfId="36130" xr:uid="{00000000-0005-0000-0000-0000DB290000}"/>
    <cellStyle name="Comma 2 13 5 5" xfId="40334" xr:uid="{00000000-0005-0000-0000-0000DC290000}"/>
    <cellStyle name="Comma 2 13 6" xfId="25272" xr:uid="{00000000-0005-0000-0000-0000DD290000}"/>
    <cellStyle name="Comma 2 13 6 2" xfId="44611" xr:uid="{00000000-0005-0000-0000-0000DE290000}"/>
    <cellStyle name="Comma 2 13 7" xfId="29484" xr:uid="{00000000-0005-0000-0000-0000DF290000}"/>
    <cellStyle name="Comma 2 13 8" xfId="33700" xr:uid="{00000000-0005-0000-0000-0000E0290000}"/>
    <cellStyle name="Comma 2 13 9" xfId="37904" xr:uid="{00000000-0005-0000-0000-0000E1290000}"/>
    <cellStyle name="Comma 2 14" xfId="6152" xr:uid="{00000000-0005-0000-0000-0000E2290000}"/>
    <cellStyle name="Comma 2 14 2" xfId="8033" xr:uid="{00000000-0005-0000-0000-0000E3290000}"/>
    <cellStyle name="Comma 2 14 3" xfId="7445" xr:uid="{00000000-0005-0000-0000-0000E4290000}"/>
    <cellStyle name="Comma 2 14 3 2" xfId="11866" xr:uid="{00000000-0005-0000-0000-0000E5290000}"/>
    <cellStyle name="Comma 2 14 3 2 2" xfId="28542" xr:uid="{00000000-0005-0000-0000-0000E6290000}"/>
    <cellStyle name="Comma 2 14 3 2 2 2" xfId="46208" xr:uid="{00000000-0005-0000-0000-0000E7290000}"/>
    <cellStyle name="Comma 2 14 3 2 3" xfId="32755" xr:uid="{00000000-0005-0000-0000-0000E8290000}"/>
    <cellStyle name="Comma 2 14 3 2 4" xfId="36970" xr:uid="{00000000-0005-0000-0000-0000E9290000}"/>
    <cellStyle name="Comma 2 14 3 2 5" xfId="41174" xr:uid="{00000000-0005-0000-0000-0000EA290000}"/>
    <cellStyle name="Comma 2 14 3 3" xfId="26078" xr:uid="{00000000-0005-0000-0000-0000EB290000}"/>
    <cellStyle name="Comma 2 14 3 3 2" xfId="44940" xr:uid="{00000000-0005-0000-0000-0000EC290000}"/>
    <cellStyle name="Comma 2 14 3 4" xfId="30291" xr:uid="{00000000-0005-0000-0000-0000ED290000}"/>
    <cellStyle name="Comma 2 14 3 5" xfId="34506" xr:uid="{00000000-0005-0000-0000-0000EE290000}"/>
    <cellStyle name="Comma 2 14 3 6" xfId="38710" xr:uid="{00000000-0005-0000-0000-0000EF290000}"/>
    <cellStyle name="Comma 2 14 4" xfId="9855" xr:uid="{00000000-0005-0000-0000-0000F0290000}"/>
    <cellStyle name="Comma 2 14 4 2" xfId="11660" xr:uid="{00000000-0005-0000-0000-0000F1290000}"/>
    <cellStyle name="Comma 2 14 4 2 2" xfId="28416" xr:uid="{00000000-0005-0000-0000-0000F2290000}"/>
    <cellStyle name="Comma 2 14 4 2 2 2" xfId="46065" xr:uid="{00000000-0005-0000-0000-0000F3290000}"/>
    <cellStyle name="Comma 2 14 4 2 3" xfId="32629" xr:uid="{00000000-0005-0000-0000-0000F4290000}"/>
    <cellStyle name="Comma 2 14 4 2 4" xfId="36844" xr:uid="{00000000-0005-0000-0000-0000F5290000}"/>
    <cellStyle name="Comma 2 14 4 2 5" xfId="41048" xr:uid="{00000000-0005-0000-0000-0000F6290000}"/>
    <cellStyle name="Comma 2 14 4 3" xfId="27342" xr:uid="{00000000-0005-0000-0000-0000F7290000}"/>
    <cellStyle name="Comma 2 14 4 3 2" xfId="45220" xr:uid="{00000000-0005-0000-0000-0000F8290000}"/>
    <cellStyle name="Comma 2 14 4 4" xfId="31555" xr:uid="{00000000-0005-0000-0000-0000F9290000}"/>
    <cellStyle name="Comma 2 14 4 5" xfId="35770" xr:uid="{00000000-0005-0000-0000-0000FA290000}"/>
    <cellStyle name="Comma 2 14 4 6" xfId="39974" xr:uid="{00000000-0005-0000-0000-0000FB290000}"/>
    <cellStyle name="Comma 2 14 5" xfId="10635" xr:uid="{00000000-0005-0000-0000-0000FC290000}"/>
    <cellStyle name="Comma 2 14 5 2" xfId="27807" xr:uid="{00000000-0005-0000-0000-0000FD290000}"/>
    <cellStyle name="Comma 2 14 5 2 2" xfId="45486" xr:uid="{00000000-0005-0000-0000-0000FE290000}"/>
    <cellStyle name="Comma 2 14 5 3" xfId="32020" xr:uid="{00000000-0005-0000-0000-0000FF290000}"/>
    <cellStyle name="Comma 2 14 5 4" xfId="36235" xr:uid="{00000000-0005-0000-0000-0000002A0000}"/>
    <cellStyle name="Comma 2 14 5 5" xfId="40439" xr:uid="{00000000-0005-0000-0000-0000012A0000}"/>
    <cellStyle name="Comma 2 14 6" xfId="25462" xr:uid="{00000000-0005-0000-0000-0000022A0000}"/>
    <cellStyle name="Comma 2 14 6 2" xfId="44801" xr:uid="{00000000-0005-0000-0000-0000032A0000}"/>
    <cellStyle name="Comma 2 14 7" xfId="29674" xr:uid="{00000000-0005-0000-0000-0000042A0000}"/>
    <cellStyle name="Comma 2 14 8" xfId="33890" xr:uid="{00000000-0005-0000-0000-0000052A0000}"/>
    <cellStyle name="Comma 2 14 9" xfId="38094" xr:uid="{00000000-0005-0000-0000-0000062A0000}"/>
    <cellStyle name="Comma 2 15" xfId="6272" xr:uid="{00000000-0005-0000-0000-0000072A0000}"/>
    <cellStyle name="Comma 2 15 2" xfId="8034" xr:uid="{00000000-0005-0000-0000-0000082A0000}"/>
    <cellStyle name="Comma 2 15 3" xfId="11719" xr:uid="{00000000-0005-0000-0000-0000092A0000}"/>
    <cellStyle name="Comma 2 15 3 2" xfId="28448" xr:uid="{00000000-0005-0000-0000-00000A2A0000}"/>
    <cellStyle name="Comma 2 15 3 2 2" xfId="46097" xr:uid="{00000000-0005-0000-0000-00000B2A0000}"/>
    <cellStyle name="Comma 2 15 3 3" xfId="32661" xr:uid="{00000000-0005-0000-0000-00000C2A0000}"/>
    <cellStyle name="Comma 2 15 3 4" xfId="36876" xr:uid="{00000000-0005-0000-0000-00000D2A0000}"/>
    <cellStyle name="Comma 2 15 3 5" xfId="41080" xr:uid="{00000000-0005-0000-0000-00000E2A0000}"/>
    <cellStyle name="Comma 2 15 4" xfId="25503" xr:uid="{00000000-0005-0000-0000-00000F2A0000}"/>
    <cellStyle name="Comma 2 15 4 2" xfId="44833" xr:uid="{00000000-0005-0000-0000-0000102A0000}"/>
    <cellStyle name="Comma 2 15 5" xfId="29715" xr:uid="{00000000-0005-0000-0000-0000112A0000}"/>
    <cellStyle name="Comma 2 15 6" xfId="33931" xr:uid="{00000000-0005-0000-0000-0000122A0000}"/>
    <cellStyle name="Comma 2 15 7" xfId="38135" xr:uid="{00000000-0005-0000-0000-0000132A0000}"/>
    <cellStyle name="Comma 2 16" xfId="5206" xr:uid="{00000000-0005-0000-0000-0000142A0000}"/>
    <cellStyle name="Comma 2 16 2" xfId="8035" xr:uid="{00000000-0005-0000-0000-0000152A0000}"/>
    <cellStyle name="Comma 2 16 3" xfId="11285" xr:uid="{00000000-0005-0000-0000-0000162A0000}"/>
    <cellStyle name="Comma 2 16 3 2" xfId="28115" xr:uid="{00000000-0005-0000-0000-0000172A0000}"/>
    <cellStyle name="Comma 2 16 3 2 2" xfId="45779" xr:uid="{00000000-0005-0000-0000-0000182A0000}"/>
    <cellStyle name="Comma 2 16 3 3" xfId="32328" xr:uid="{00000000-0005-0000-0000-0000192A0000}"/>
    <cellStyle name="Comma 2 16 3 4" xfId="36543" xr:uid="{00000000-0005-0000-0000-00001A2A0000}"/>
    <cellStyle name="Comma 2 16 3 5" xfId="40747" xr:uid="{00000000-0005-0000-0000-00001B2A0000}"/>
    <cellStyle name="Comma 2 16 4" xfId="24965" xr:uid="{00000000-0005-0000-0000-00001C2A0000}"/>
    <cellStyle name="Comma 2 16 4 2" xfId="44514" xr:uid="{00000000-0005-0000-0000-00001D2A0000}"/>
    <cellStyle name="Comma 2 16 5" xfId="29177" xr:uid="{00000000-0005-0000-0000-00001E2A0000}"/>
    <cellStyle name="Comma 2 16 6" xfId="33393" xr:uid="{00000000-0005-0000-0000-00001F2A0000}"/>
    <cellStyle name="Comma 2 16 7" xfId="37597" xr:uid="{00000000-0005-0000-0000-0000202A0000}"/>
    <cellStyle name="Comma 2 17" xfId="8028" xr:uid="{00000000-0005-0000-0000-0000212A0000}"/>
    <cellStyle name="Comma 2 17 2" xfId="9985" xr:uid="{00000000-0005-0000-0000-0000222A0000}"/>
    <cellStyle name="Comma 2 17 2 2" xfId="12011" xr:uid="{00000000-0005-0000-0000-0000232A0000}"/>
    <cellStyle name="Comma 2 17 2 2 2" xfId="28672" xr:uid="{00000000-0005-0000-0000-0000242A0000}"/>
    <cellStyle name="Comma 2 17 2 2 2 2" xfId="46341" xr:uid="{00000000-0005-0000-0000-0000252A0000}"/>
    <cellStyle name="Comma 2 17 2 2 3" xfId="32885" xr:uid="{00000000-0005-0000-0000-0000262A0000}"/>
    <cellStyle name="Comma 2 17 2 2 4" xfId="37100" xr:uid="{00000000-0005-0000-0000-0000272A0000}"/>
    <cellStyle name="Comma 2 17 2 2 5" xfId="41304" xr:uid="{00000000-0005-0000-0000-0000282A0000}"/>
    <cellStyle name="Comma 2 17 2 3" xfId="27472" xr:uid="{00000000-0005-0000-0000-0000292A0000}"/>
    <cellStyle name="Comma 2 17 2 3 2" xfId="45222" xr:uid="{00000000-0005-0000-0000-00002A2A0000}"/>
    <cellStyle name="Comma 2 17 2 4" xfId="31685" xr:uid="{00000000-0005-0000-0000-00002B2A0000}"/>
    <cellStyle name="Comma 2 17 2 5" xfId="35900" xr:uid="{00000000-0005-0000-0000-00002C2A0000}"/>
    <cellStyle name="Comma 2 17 2 6" xfId="40104" xr:uid="{00000000-0005-0000-0000-00002D2A0000}"/>
    <cellStyle name="Comma 2 17 3" xfId="10776" xr:uid="{00000000-0005-0000-0000-00002E2A0000}"/>
    <cellStyle name="Comma 2 17 3 2" xfId="27937" xr:uid="{00000000-0005-0000-0000-00002F2A0000}"/>
    <cellStyle name="Comma 2 17 3 2 2" xfId="45616" xr:uid="{00000000-0005-0000-0000-0000302A0000}"/>
    <cellStyle name="Comma 2 17 3 3" xfId="32150" xr:uid="{00000000-0005-0000-0000-0000312A0000}"/>
    <cellStyle name="Comma 2 17 3 4" xfId="36365" xr:uid="{00000000-0005-0000-0000-0000322A0000}"/>
    <cellStyle name="Comma 2 17 3 5" xfId="40569" xr:uid="{00000000-0005-0000-0000-0000332A0000}"/>
    <cellStyle name="Comma 2 17 4" xfId="26326" xr:uid="{00000000-0005-0000-0000-0000342A0000}"/>
    <cellStyle name="Comma 2 17 4 2" xfId="43071" xr:uid="{00000000-0005-0000-0000-0000352A0000}"/>
    <cellStyle name="Comma 2 17 5" xfId="30539" xr:uid="{00000000-0005-0000-0000-0000362A0000}"/>
    <cellStyle name="Comma 2 17 6" xfId="34754" xr:uid="{00000000-0005-0000-0000-0000372A0000}"/>
    <cellStyle name="Comma 2 17 7" xfId="38958" xr:uid="{00000000-0005-0000-0000-0000382A0000}"/>
    <cellStyle name="Comma 2 18" xfId="8946" xr:uid="{00000000-0005-0000-0000-0000392A0000}"/>
    <cellStyle name="Comma 2 18 2" xfId="10075" xr:uid="{00000000-0005-0000-0000-00003A2A0000}"/>
    <cellStyle name="Comma 2 18 2 2" xfId="12105" xr:uid="{00000000-0005-0000-0000-00003B2A0000}"/>
    <cellStyle name="Comma 2 18 2 2 2" xfId="28755" xr:uid="{00000000-0005-0000-0000-00003C2A0000}"/>
    <cellStyle name="Comma 2 18 2 2 2 2" xfId="46426" xr:uid="{00000000-0005-0000-0000-00003D2A0000}"/>
    <cellStyle name="Comma 2 18 2 2 3" xfId="32968" xr:uid="{00000000-0005-0000-0000-00003E2A0000}"/>
    <cellStyle name="Comma 2 18 2 2 4" xfId="37183" xr:uid="{00000000-0005-0000-0000-00003F2A0000}"/>
    <cellStyle name="Comma 2 18 2 2 5" xfId="41387" xr:uid="{00000000-0005-0000-0000-0000402A0000}"/>
    <cellStyle name="Comma 2 18 2 3" xfId="27555" xr:uid="{00000000-0005-0000-0000-0000412A0000}"/>
    <cellStyle name="Comma 2 18 2 3 2" xfId="45231" xr:uid="{00000000-0005-0000-0000-0000422A0000}"/>
    <cellStyle name="Comma 2 18 2 4" xfId="31768" xr:uid="{00000000-0005-0000-0000-0000432A0000}"/>
    <cellStyle name="Comma 2 18 2 5" xfId="35983" xr:uid="{00000000-0005-0000-0000-0000442A0000}"/>
    <cellStyle name="Comma 2 18 2 6" xfId="40187" xr:uid="{00000000-0005-0000-0000-0000452A0000}"/>
    <cellStyle name="Comma 2 18 3" xfId="10876" xr:uid="{00000000-0005-0000-0000-0000462A0000}"/>
    <cellStyle name="Comma 2 18 3 2" xfId="28020" xr:uid="{00000000-0005-0000-0000-0000472A0000}"/>
    <cellStyle name="Comma 2 18 3 2 2" xfId="45697" xr:uid="{00000000-0005-0000-0000-0000482A0000}"/>
    <cellStyle name="Comma 2 18 3 3" xfId="32233" xr:uid="{00000000-0005-0000-0000-0000492A0000}"/>
    <cellStyle name="Comma 2 18 3 4" xfId="36448" xr:uid="{00000000-0005-0000-0000-00004A2A0000}"/>
    <cellStyle name="Comma 2 18 3 5" xfId="40652" xr:uid="{00000000-0005-0000-0000-00004B2A0000}"/>
    <cellStyle name="Comma 2 18 4" xfId="26517" xr:uid="{00000000-0005-0000-0000-00004C2A0000}"/>
    <cellStyle name="Comma 2 18 4 2" xfId="43072" xr:uid="{00000000-0005-0000-0000-00004D2A0000}"/>
    <cellStyle name="Comma 2 18 5" xfId="30730" xr:uid="{00000000-0005-0000-0000-00004E2A0000}"/>
    <cellStyle name="Comma 2 18 6" xfId="34945" xr:uid="{00000000-0005-0000-0000-00004F2A0000}"/>
    <cellStyle name="Comma 2 18 7" xfId="39149" xr:uid="{00000000-0005-0000-0000-0000502A0000}"/>
    <cellStyle name="Comma 2 19" xfId="9068" xr:uid="{00000000-0005-0000-0000-0000512A0000}"/>
    <cellStyle name="Comma 2 19 2" xfId="10081" xr:uid="{00000000-0005-0000-0000-0000522A0000}"/>
    <cellStyle name="Comma 2 19 2 2" xfId="12117" xr:uid="{00000000-0005-0000-0000-0000532A0000}"/>
    <cellStyle name="Comma 2 19 2 2 2" xfId="28761" xr:uid="{00000000-0005-0000-0000-0000542A0000}"/>
    <cellStyle name="Comma 2 19 2 2 2 2" xfId="46432" xr:uid="{00000000-0005-0000-0000-0000552A0000}"/>
    <cellStyle name="Comma 2 19 2 2 3" xfId="32974" xr:uid="{00000000-0005-0000-0000-0000562A0000}"/>
    <cellStyle name="Comma 2 19 2 2 4" xfId="37189" xr:uid="{00000000-0005-0000-0000-0000572A0000}"/>
    <cellStyle name="Comma 2 19 2 2 5" xfId="41393" xr:uid="{00000000-0005-0000-0000-0000582A0000}"/>
    <cellStyle name="Comma 2 19 2 3" xfId="27561" xr:uid="{00000000-0005-0000-0000-0000592A0000}"/>
    <cellStyle name="Comma 2 19 2 3 2" xfId="45237" xr:uid="{00000000-0005-0000-0000-00005A2A0000}"/>
    <cellStyle name="Comma 2 19 2 4" xfId="31774" xr:uid="{00000000-0005-0000-0000-00005B2A0000}"/>
    <cellStyle name="Comma 2 19 2 5" xfId="35989" xr:uid="{00000000-0005-0000-0000-00005C2A0000}"/>
    <cellStyle name="Comma 2 19 2 6" xfId="40193" xr:uid="{00000000-0005-0000-0000-00005D2A0000}"/>
    <cellStyle name="Comma 2 19 3" xfId="10892" xr:uid="{00000000-0005-0000-0000-00005E2A0000}"/>
    <cellStyle name="Comma 2 19 3 2" xfId="28026" xr:uid="{00000000-0005-0000-0000-00005F2A0000}"/>
    <cellStyle name="Comma 2 19 3 2 2" xfId="45703" xr:uid="{00000000-0005-0000-0000-0000602A0000}"/>
    <cellStyle name="Comma 2 19 3 3" xfId="32239" xr:uid="{00000000-0005-0000-0000-0000612A0000}"/>
    <cellStyle name="Comma 2 19 3 4" xfId="36454" xr:uid="{00000000-0005-0000-0000-0000622A0000}"/>
    <cellStyle name="Comma 2 19 3 5" xfId="40658" xr:uid="{00000000-0005-0000-0000-0000632A0000}"/>
    <cellStyle name="Comma 2 19 4" xfId="26639" xr:uid="{00000000-0005-0000-0000-0000642A0000}"/>
    <cellStyle name="Comma 2 19 4 2" xfId="43073" xr:uid="{00000000-0005-0000-0000-0000652A0000}"/>
    <cellStyle name="Comma 2 19 5" xfId="30852" xr:uid="{00000000-0005-0000-0000-0000662A0000}"/>
    <cellStyle name="Comma 2 19 6" xfId="35067" xr:uid="{00000000-0005-0000-0000-0000672A0000}"/>
    <cellStyle name="Comma 2 19 7" xfId="39271" xr:uid="{00000000-0005-0000-0000-0000682A0000}"/>
    <cellStyle name="Comma 2 2" xfId="3265" xr:uid="{00000000-0005-0000-0000-0000692A0000}"/>
    <cellStyle name="Comma 2 2 10" xfId="5960" xr:uid="{00000000-0005-0000-0000-00006A2A0000}"/>
    <cellStyle name="Comma 2 2 10 2" xfId="9798" xr:uid="{00000000-0005-0000-0000-00006B2A0000}"/>
    <cellStyle name="Comma 2 2 10 2 2" xfId="10535" xr:uid="{00000000-0005-0000-0000-00006C2A0000}"/>
    <cellStyle name="Comma 2 2 10 2 2 2" xfId="27750" xr:uid="{00000000-0005-0000-0000-00006D2A0000}"/>
    <cellStyle name="Comma 2 2 10 2 2 2 2" xfId="45428" xr:uid="{00000000-0005-0000-0000-00006E2A0000}"/>
    <cellStyle name="Comma 2 2 10 2 2 3" xfId="31963" xr:uid="{00000000-0005-0000-0000-00006F2A0000}"/>
    <cellStyle name="Comma 2 2 10 2 2 4" xfId="36178" xr:uid="{00000000-0005-0000-0000-0000702A0000}"/>
    <cellStyle name="Comma 2 2 10 2 2 5" xfId="40382" xr:uid="{00000000-0005-0000-0000-0000712A0000}"/>
    <cellStyle name="Comma 2 2 10 2 3" xfId="27285" xr:uid="{00000000-0005-0000-0000-0000722A0000}"/>
    <cellStyle name="Comma 2 2 10 2 3 2" xfId="45163" xr:uid="{00000000-0005-0000-0000-0000732A0000}"/>
    <cellStyle name="Comma 2 2 10 2 4" xfId="31498" xr:uid="{00000000-0005-0000-0000-0000742A0000}"/>
    <cellStyle name="Comma 2 2 10 2 5" xfId="35713" xr:uid="{00000000-0005-0000-0000-0000752A0000}"/>
    <cellStyle name="Comma 2 2 10 2 6" xfId="39917" xr:uid="{00000000-0005-0000-0000-0000762A0000}"/>
    <cellStyle name="Comma 2 2 10 3" xfId="9680" xr:uid="{00000000-0005-0000-0000-0000772A0000}"/>
    <cellStyle name="Comma 2 2 10 3 2" xfId="11468" xr:uid="{00000000-0005-0000-0000-0000782A0000}"/>
    <cellStyle name="Comma 2 2 10 3 2 2" xfId="28227" xr:uid="{00000000-0005-0000-0000-0000792A0000}"/>
    <cellStyle name="Comma 2 2 10 3 2 2 2" xfId="45876" xr:uid="{00000000-0005-0000-0000-00007A2A0000}"/>
    <cellStyle name="Comma 2 2 10 3 2 3" xfId="32440" xr:uid="{00000000-0005-0000-0000-00007B2A0000}"/>
    <cellStyle name="Comma 2 2 10 3 2 4" xfId="36655" xr:uid="{00000000-0005-0000-0000-00007C2A0000}"/>
    <cellStyle name="Comma 2 2 10 3 2 5" xfId="40859" xr:uid="{00000000-0005-0000-0000-00007D2A0000}"/>
    <cellStyle name="Comma 2 2 10 3 3" xfId="27191" xr:uid="{00000000-0005-0000-0000-00007E2A0000}"/>
    <cellStyle name="Comma 2 2 10 3 3 2" xfId="45060" xr:uid="{00000000-0005-0000-0000-00007F2A0000}"/>
    <cellStyle name="Comma 2 2 10 3 4" xfId="31404" xr:uid="{00000000-0005-0000-0000-0000802A0000}"/>
    <cellStyle name="Comma 2 2 10 3 5" xfId="35619" xr:uid="{00000000-0005-0000-0000-0000812A0000}"/>
    <cellStyle name="Comma 2 2 10 3 6" xfId="39823" xr:uid="{00000000-0005-0000-0000-0000822A0000}"/>
    <cellStyle name="Comma 2 2 10 4" xfId="10418" xr:uid="{00000000-0005-0000-0000-0000832A0000}"/>
    <cellStyle name="Comma 2 2 10 4 2" xfId="27656" xr:uid="{00000000-0005-0000-0000-0000842A0000}"/>
    <cellStyle name="Comma 2 2 10 4 2 2" xfId="45334" xr:uid="{00000000-0005-0000-0000-0000852A0000}"/>
    <cellStyle name="Comma 2 2 10 4 3" xfId="31869" xr:uid="{00000000-0005-0000-0000-0000862A0000}"/>
    <cellStyle name="Comma 2 2 10 4 4" xfId="36084" xr:uid="{00000000-0005-0000-0000-0000872A0000}"/>
    <cellStyle name="Comma 2 2 10 4 5" xfId="40288" xr:uid="{00000000-0005-0000-0000-0000882A0000}"/>
    <cellStyle name="Comma 2 2 10 5" xfId="25273" xr:uid="{00000000-0005-0000-0000-0000892A0000}"/>
    <cellStyle name="Comma 2 2 10 5 2" xfId="44612" xr:uid="{00000000-0005-0000-0000-00008A2A0000}"/>
    <cellStyle name="Comma 2 2 10 6" xfId="29485" xr:uid="{00000000-0005-0000-0000-00008B2A0000}"/>
    <cellStyle name="Comma 2 2 10 7" xfId="33701" xr:uid="{00000000-0005-0000-0000-00008C2A0000}"/>
    <cellStyle name="Comma 2 2 10 8" xfId="37905" xr:uid="{00000000-0005-0000-0000-00008D2A0000}"/>
    <cellStyle name="Comma 2 2 11" xfId="6153" xr:uid="{00000000-0005-0000-0000-00008E2A0000}"/>
    <cellStyle name="Comma 2 2 11 2" xfId="9738" xr:uid="{00000000-0005-0000-0000-00008F2A0000}"/>
    <cellStyle name="Comma 2 2 11 2 2" xfId="11661" xr:uid="{00000000-0005-0000-0000-0000902A0000}"/>
    <cellStyle name="Comma 2 2 11 2 2 2" xfId="28417" xr:uid="{00000000-0005-0000-0000-0000912A0000}"/>
    <cellStyle name="Comma 2 2 11 2 2 2 2" xfId="46066" xr:uid="{00000000-0005-0000-0000-0000922A0000}"/>
    <cellStyle name="Comma 2 2 11 2 2 3" xfId="32630" xr:uid="{00000000-0005-0000-0000-0000932A0000}"/>
    <cellStyle name="Comma 2 2 11 2 2 4" xfId="36845" xr:uid="{00000000-0005-0000-0000-0000942A0000}"/>
    <cellStyle name="Comma 2 2 11 2 2 5" xfId="41049" xr:uid="{00000000-0005-0000-0000-0000952A0000}"/>
    <cellStyle name="Comma 2 2 11 2 3" xfId="27238" xr:uid="{00000000-0005-0000-0000-0000962A0000}"/>
    <cellStyle name="Comma 2 2 11 2 3 2" xfId="45116" xr:uid="{00000000-0005-0000-0000-0000972A0000}"/>
    <cellStyle name="Comma 2 2 11 2 4" xfId="31451" xr:uid="{00000000-0005-0000-0000-0000982A0000}"/>
    <cellStyle name="Comma 2 2 11 2 5" xfId="35666" xr:uid="{00000000-0005-0000-0000-0000992A0000}"/>
    <cellStyle name="Comma 2 2 11 2 6" xfId="39870" xr:uid="{00000000-0005-0000-0000-00009A2A0000}"/>
    <cellStyle name="Comma 2 2 11 3" xfId="10465" xr:uid="{00000000-0005-0000-0000-00009B2A0000}"/>
    <cellStyle name="Comma 2 2 11 3 2" xfId="27703" xr:uid="{00000000-0005-0000-0000-00009C2A0000}"/>
    <cellStyle name="Comma 2 2 11 3 2 2" xfId="45381" xr:uid="{00000000-0005-0000-0000-00009D2A0000}"/>
    <cellStyle name="Comma 2 2 11 3 3" xfId="31916" xr:uid="{00000000-0005-0000-0000-00009E2A0000}"/>
    <cellStyle name="Comma 2 2 11 3 4" xfId="36131" xr:uid="{00000000-0005-0000-0000-00009F2A0000}"/>
    <cellStyle name="Comma 2 2 11 3 5" xfId="40335" xr:uid="{00000000-0005-0000-0000-0000A02A0000}"/>
    <cellStyle name="Comma 2 2 11 4" xfId="25463" xr:uid="{00000000-0005-0000-0000-0000A12A0000}"/>
    <cellStyle name="Comma 2 2 11 4 2" xfId="44802" xr:uid="{00000000-0005-0000-0000-0000A22A0000}"/>
    <cellStyle name="Comma 2 2 11 5" xfId="29675" xr:uid="{00000000-0005-0000-0000-0000A32A0000}"/>
    <cellStyle name="Comma 2 2 11 6" xfId="33891" xr:uid="{00000000-0005-0000-0000-0000A42A0000}"/>
    <cellStyle name="Comma 2 2 11 7" xfId="38095" xr:uid="{00000000-0005-0000-0000-0000A52A0000}"/>
    <cellStyle name="Comma 2 2 12" xfId="6273" xr:uid="{00000000-0005-0000-0000-0000A62A0000}"/>
    <cellStyle name="Comma 2 2 12 2" xfId="10157" xr:uid="{00000000-0005-0000-0000-0000A72A0000}"/>
    <cellStyle name="Comma 2 2 12 2 2" xfId="11720" xr:uid="{00000000-0005-0000-0000-0000A82A0000}"/>
    <cellStyle name="Comma 2 2 12 2 2 2" xfId="28449" xr:uid="{00000000-0005-0000-0000-0000A92A0000}"/>
    <cellStyle name="Comma 2 2 12 2 2 2 2" xfId="46098" xr:uid="{00000000-0005-0000-0000-0000AA2A0000}"/>
    <cellStyle name="Comma 2 2 12 2 2 3" xfId="32662" xr:uid="{00000000-0005-0000-0000-0000AB2A0000}"/>
    <cellStyle name="Comma 2 2 12 2 2 4" xfId="36877" xr:uid="{00000000-0005-0000-0000-0000AC2A0000}"/>
    <cellStyle name="Comma 2 2 12 2 2 5" xfId="41081" xr:uid="{00000000-0005-0000-0000-0000AD2A0000}"/>
    <cellStyle name="Comma 2 2 12 2 3" xfId="27585" xr:uid="{00000000-0005-0000-0000-0000AE2A0000}"/>
    <cellStyle name="Comma 2 2 12 2 3 2" xfId="45262" xr:uid="{00000000-0005-0000-0000-0000AF2A0000}"/>
    <cellStyle name="Comma 2 2 12 2 4" xfId="31798" xr:uid="{00000000-0005-0000-0000-0000B02A0000}"/>
    <cellStyle name="Comma 2 2 12 2 5" xfId="36013" xr:uid="{00000000-0005-0000-0000-0000B12A0000}"/>
    <cellStyle name="Comma 2 2 12 2 6" xfId="40217" xr:uid="{00000000-0005-0000-0000-0000B22A0000}"/>
    <cellStyle name="Comma 2 2 12 3" xfId="10953" xr:uid="{00000000-0005-0000-0000-0000B32A0000}"/>
    <cellStyle name="Comma 2 2 12 3 2" xfId="28050" xr:uid="{00000000-0005-0000-0000-0000B42A0000}"/>
    <cellStyle name="Comma 2 2 12 3 2 2" xfId="45727" xr:uid="{00000000-0005-0000-0000-0000B52A0000}"/>
    <cellStyle name="Comma 2 2 12 3 3" xfId="32263" xr:uid="{00000000-0005-0000-0000-0000B62A0000}"/>
    <cellStyle name="Comma 2 2 12 3 4" xfId="36478" xr:uid="{00000000-0005-0000-0000-0000B72A0000}"/>
    <cellStyle name="Comma 2 2 12 3 5" xfId="40682" xr:uid="{00000000-0005-0000-0000-0000B82A0000}"/>
    <cellStyle name="Comma 2 2 12 4" xfId="25504" xr:uid="{00000000-0005-0000-0000-0000B92A0000}"/>
    <cellStyle name="Comma 2 2 12 4 2" xfId="44834" xr:uid="{00000000-0005-0000-0000-0000BA2A0000}"/>
    <cellStyle name="Comma 2 2 12 5" xfId="29716" xr:uid="{00000000-0005-0000-0000-0000BB2A0000}"/>
    <cellStyle name="Comma 2 2 12 6" xfId="33932" xr:uid="{00000000-0005-0000-0000-0000BC2A0000}"/>
    <cellStyle name="Comma 2 2 12 7" xfId="38136" xr:uid="{00000000-0005-0000-0000-0000BD2A0000}"/>
    <cellStyle name="Comma 2 2 13" xfId="5207" xr:uid="{00000000-0005-0000-0000-0000BE2A0000}"/>
    <cellStyle name="Comma 2 2 13 2" xfId="10205" xr:uid="{00000000-0005-0000-0000-0000BF2A0000}"/>
    <cellStyle name="Comma 2 2 13 2 2" xfId="11286" xr:uid="{00000000-0005-0000-0000-0000C02A0000}"/>
    <cellStyle name="Comma 2 2 13 2 2 2" xfId="28116" xr:uid="{00000000-0005-0000-0000-0000C12A0000}"/>
    <cellStyle name="Comma 2 2 13 2 2 2 2" xfId="45780" xr:uid="{00000000-0005-0000-0000-0000C22A0000}"/>
    <cellStyle name="Comma 2 2 13 2 2 3" xfId="32329" xr:uid="{00000000-0005-0000-0000-0000C32A0000}"/>
    <cellStyle name="Comma 2 2 13 2 2 4" xfId="36544" xr:uid="{00000000-0005-0000-0000-0000C42A0000}"/>
    <cellStyle name="Comma 2 2 13 2 2 5" xfId="40748" xr:uid="{00000000-0005-0000-0000-0000C52A0000}"/>
    <cellStyle name="Comma 2 2 13 2 3" xfId="27596" xr:uid="{00000000-0005-0000-0000-0000C62A0000}"/>
    <cellStyle name="Comma 2 2 13 2 3 2" xfId="45274" xr:uid="{00000000-0005-0000-0000-0000C72A0000}"/>
    <cellStyle name="Comma 2 2 13 2 4" xfId="31809" xr:uid="{00000000-0005-0000-0000-0000C82A0000}"/>
    <cellStyle name="Comma 2 2 13 2 5" xfId="36024" xr:uid="{00000000-0005-0000-0000-0000C92A0000}"/>
    <cellStyle name="Comma 2 2 13 2 6" xfId="40228" xr:uid="{00000000-0005-0000-0000-0000CA2A0000}"/>
    <cellStyle name="Comma 2 2 13 3" xfId="10963" xr:uid="{00000000-0005-0000-0000-0000CB2A0000}"/>
    <cellStyle name="Comma 2 2 13 3 2" xfId="28060" xr:uid="{00000000-0005-0000-0000-0000CC2A0000}"/>
    <cellStyle name="Comma 2 2 13 3 2 2" xfId="45737" xr:uid="{00000000-0005-0000-0000-0000CD2A0000}"/>
    <cellStyle name="Comma 2 2 13 3 3" xfId="32273" xr:uid="{00000000-0005-0000-0000-0000CE2A0000}"/>
    <cellStyle name="Comma 2 2 13 3 4" xfId="36488" xr:uid="{00000000-0005-0000-0000-0000CF2A0000}"/>
    <cellStyle name="Comma 2 2 13 3 5" xfId="40692" xr:uid="{00000000-0005-0000-0000-0000D02A0000}"/>
    <cellStyle name="Comma 2 2 13 4" xfId="24966" xr:uid="{00000000-0005-0000-0000-0000D12A0000}"/>
    <cellStyle name="Comma 2 2 13 4 2" xfId="44515" xr:uid="{00000000-0005-0000-0000-0000D22A0000}"/>
    <cellStyle name="Comma 2 2 13 5" xfId="29178" xr:uid="{00000000-0005-0000-0000-0000D32A0000}"/>
    <cellStyle name="Comma 2 2 13 6" xfId="33394" xr:uid="{00000000-0005-0000-0000-0000D42A0000}"/>
    <cellStyle name="Comma 2 2 13 7" xfId="37598" xr:uid="{00000000-0005-0000-0000-0000D52A0000}"/>
    <cellStyle name="Comma 2 2 14" xfId="6324" xr:uid="{00000000-0005-0000-0000-0000D62A0000}"/>
    <cellStyle name="Comma 2 2 14 2" xfId="10212" xr:uid="{00000000-0005-0000-0000-0000D72A0000}"/>
    <cellStyle name="Comma 2 2 14 2 2" xfId="11736" xr:uid="{00000000-0005-0000-0000-0000D82A0000}"/>
    <cellStyle name="Comma 2 2 14 2 2 2" xfId="28458" xr:uid="{00000000-0005-0000-0000-0000D92A0000}"/>
    <cellStyle name="Comma 2 2 14 2 2 2 2" xfId="46107" xr:uid="{00000000-0005-0000-0000-0000DA2A0000}"/>
    <cellStyle name="Comma 2 2 14 2 2 3" xfId="32671" xr:uid="{00000000-0005-0000-0000-0000DB2A0000}"/>
    <cellStyle name="Comma 2 2 14 2 2 4" xfId="36886" xr:uid="{00000000-0005-0000-0000-0000DC2A0000}"/>
    <cellStyle name="Comma 2 2 14 2 2 5" xfId="41090" xr:uid="{00000000-0005-0000-0000-0000DD2A0000}"/>
    <cellStyle name="Comma 2 2 14 2 3" xfId="27603" xr:uid="{00000000-0005-0000-0000-0000DE2A0000}"/>
    <cellStyle name="Comma 2 2 14 2 3 2" xfId="45281" xr:uid="{00000000-0005-0000-0000-0000DF2A0000}"/>
    <cellStyle name="Comma 2 2 14 2 4" xfId="31816" xr:uid="{00000000-0005-0000-0000-0000E02A0000}"/>
    <cellStyle name="Comma 2 2 14 2 5" xfId="36031" xr:uid="{00000000-0005-0000-0000-0000E12A0000}"/>
    <cellStyle name="Comma 2 2 14 2 6" xfId="40235" xr:uid="{00000000-0005-0000-0000-0000E22A0000}"/>
    <cellStyle name="Comma 2 2 14 3" xfId="10970" xr:uid="{00000000-0005-0000-0000-0000E32A0000}"/>
    <cellStyle name="Comma 2 2 14 3 2" xfId="28067" xr:uid="{00000000-0005-0000-0000-0000E42A0000}"/>
    <cellStyle name="Comma 2 2 14 3 2 2" xfId="45744" xr:uid="{00000000-0005-0000-0000-0000E52A0000}"/>
    <cellStyle name="Comma 2 2 14 3 3" xfId="32280" xr:uid="{00000000-0005-0000-0000-0000E62A0000}"/>
    <cellStyle name="Comma 2 2 14 3 4" xfId="36495" xr:uid="{00000000-0005-0000-0000-0000E72A0000}"/>
    <cellStyle name="Comma 2 2 14 3 5" xfId="40699" xr:uid="{00000000-0005-0000-0000-0000E82A0000}"/>
    <cellStyle name="Comma 2 2 14 4" xfId="25514" xr:uid="{00000000-0005-0000-0000-0000E92A0000}"/>
    <cellStyle name="Comma 2 2 14 4 2" xfId="44843" xr:uid="{00000000-0005-0000-0000-0000EA2A0000}"/>
    <cellStyle name="Comma 2 2 14 5" xfId="29726" xr:uid="{00000000-0005-0000-0000-0000EB2A0000}"/>
    <cellStyle name="Comma 2 2 14 6" xfId="33942" xr:uid="{00000000-0005-0000-0000-0000EC2A0000}"/>
    <cellStyle name="Comma 2 2 14 7" xfId="38146" xr:uid="{00000000-0005-0000-0000-0000ED2A0000}"/>
    <cellStyle name="Comma 2 2 15" xfId="9570" xr:uid="{00000000-0005-0000-0000-0000EE2A0000}"/>
    <cellStyle name="Comma 2 2 15 2" xfId="12173" xr:uid="{00000000-0005-0000-0000-0000EF2A0000}"/>
    <cellStyle name="Comma 2 2 15 2 2" xfId="28784" xr:uid="{00000000-0005-0000-0000-0000F02A0000}"/>
    <cellStyle name="Comma 2 2 15 2 2 2" xfId="46455" xr:uid="{00000000-0005-0000-0000-0000F12A0000}"/>
    <cellStyle name="Comma 2 2 15 2 3" xfId="32997" xr:uid="{00000000-0005-0000-0000-0000F22A0000}"/>
    <cellStyle name="Comma 2 2 15 2 4" xfId="37212" xr:uid="{00000000-0005-0000-0000-0000F32A0000}"/>
    <cellStyle name="Comma 2 2 15 2 5" xfId="41416" xr:uid="{00000000-0005-0000-0000-0000F42A0000}"/>
    <cellStyle name="Comma 2 2 15 3" xfId="27134" xr:uid="{00000000-0005-0000-0000-0000F52A0000}"/>
    <cellStyle name="Comma 2 2 15 3 2" xfId="45004" xr:uid="{00000000-0005-0000-0000-0000F62A0000}"/>
    <cellStyle name="Comma 2 2 15 4" xfId="31347" xr:uid="{00000000-0005-0000-0000-0000F72A0000}"/>
    <cellStyle name="Comma 2 2 15 5" xfId="35562" xr:uid="{00000000-0005-0000-0000-0000F82A0000}"/>
    <cellStyle name="Comma 2 2 15 6" xfId="39766" xr:uid="{00000000-0005-0000-0000-0000F92A0000}"/>
    <cellStyle name="Comma 2 2 16" xfId="9629" xr:uid="{00000000-0005-0000-0000-0000FA2A0000}"/>
    <cellStyle name="Comma 2 2 16 2" xfId="11019" xr:uid="{00000000-0005-0000-0000-0000FB2A0000}"/>
    <cellStyle name="Comma 2 2 16 2 2" xfId="28074" xr:uid="{00000000-0005-0000-0000-0000FC2A0000}"/>
    <cellStyle name="Comma 2 2 16 2 2 2" xfId="45758" xr:uid="{00000000-0005-0000-0000-0000FD2A0000}"/>
    <cellStyle name="Comma 2 2 16 2 3" xfId="32287" xr:uid="{00000000-0005-0000-0000-0000FE2A0000}"/>
    <cellStyle name="Comma 2 2 16 2 4" xfId="36502" xr:uid="{00000000-0005-0000-0000-0000FF2A0000}"/>
    <cellStyle name="Comma 2 2 16 2 5" xfId="40706" xr:uid="{00000000-0005-0000-0000-0000002B0000}"/>
    <cellStyle name="Comma 2 2 16 3" xfId="27144" xr:uid="{00000000-0005-0000-0000-0000012B0000}"/>
    <cellStyle name="Comma 2 2 16 3 2" xfId="45013" xr:uid="{00000000-0005-0000-0000-0000022B0000}"/>
    <cellStyle name="Comma 2 2 16 4" xfId="31357" xr:uid="{00000000-0005-0000-0000-0000032B0000}"/>
    <cellStyle name="Comma 2 2 16 5" xfId="35572" xr:uid="{00000000-0005-0000-0000-0000042B0000}"/>
    <cellStyle name="Comma 2 2 16 6" xfId="39776" xr:uid="{00000000-0005-0000-0000-0000052B0000}"/>
    <cellStyle name="Comma 2 2 17" xfId="10218" xr:uid="{00000000-0005-0000-0000-0000062B0000}"/>
    <cellStyle name="Comma 2 2 17 2" xfId="27609" xr:uid="{00000000-0005-0000-0000-0000072B0000}"/>
    <cellStyle name="Comma 2 2 17 2 2" xfId="45287" xr:uid="{00000000-0005-0000-0000-0000082B0000}"/>
    <cellStyle name="Comma 2 2 17 3" xfId="31822" xr:uid="{00000000-0005-0000-0000-0000092B0000}"/>
    <cellStyle name="Comma 2 2 17 4" xfId="36037" xr:uid="{00000000-0005-0000-0000-00000A2B0000}"/>
    <cellStyle name="Comma 2 2 17 5" xfId="40241" xr:uid="{00000000-0005-0000-0000-00000B2B0000}"/>
    <cellStyle name="Comma 2 2 18" xfId="12230" xr:uid="{00000000-0005-0000-0000-00000C2B0000}"/>
    <cellStyle name="Comma 2 2 18 2" xfId="28798" xr:uid="{00000000-0005-0000-0000-00000D2B0000}"/>
    <cellStyle name="Comma 2 2 18 3" xfId="33011" xr:uid="{00000000-0005-0000-0000-00000E2B0000}"/>
    <cellStyle name="Comma 2 2 18 4" xfId="37226" xr:uid="{00000000-0005-0000-0000-00000F2B0000}"/>
    <cellStyle name="Comma 2 2 18 5" xfId="42455" xr:uid="{00000000-0005-0000-0000-0000102B0000}"/>
    <cellStyle name="Comma 2 2 19" xfId="23439" xr:uid="{00000000-0005-0000-0000-0000112B0000}"/>
    <cellStyle name="Comma 2 2 19 2" xfId="28939" xr:uid="{00000000-0005-0000-0000-0000122B0000}"/>
    <cellStyle name="Comma 2 2 19 3" xfId="33156" xr:uid="{00000000-0005-0000-0000-0000132B0000}"/>
    <cellStyle name="Comma 2 2 19 4" xfId="37367" xr:uid="{00000000-0005-0000-0000-0000142B0000}"/>
    <cellStyle name="Comma 2 2 2" xfId="3266" xr:uid="{00000000-0005-0000-0000-0000152B0000}"/>
    <cellStyle name="Comma 2 2 2 10" xfId="6154" xr:uid="{00000000-0005-0000-0000-0000162B0000}"/>
    <cellStyle name="Comma 2 2 2 10 2" xfId="11662" xr:uid="{00000000-0005-0000-0000-0000172B0000}"/>
    <cellStyle name="Comma 2 2 2 10 2 2" xfId="28418" xr:uid="{00000000-0005-0000-0000-0000182B0000}"/>
    <cellStyle name="Comma 2 2 2 10 2 2 2" xfId="46067" xr:uid="{00000000-0005-0000-0000-0000192B0000}"/>
    <cellStyle name="Comma 2 2 2 10 2 3" xfId="32631" xr:uid="{00000000-0005-0000-0000-00001A2B0000}"/>
    <cellStyle name="Comma 2 2 2 10 2 4" xfId="36846" xr:uid="{00000000-0005-0000-0000-00001B2B0000}"/>
    <cellStyle name="Comma 2 2 2 10 2 5" xfId="41050" xr:uid="{00000000-0005-0000-0000-00001C2B0000}"/>
    <cellStyle name="Comma 2 2 2 10 3" xfId="25464" xr:uid="{00000000-0005-0000-0000-00001D2B0000}"/>
    <cellStyle name="Comma 2 2 2 10 3 2" xfId="44803" xr:uid="{00000000-0005-0000-0000-00001E2B0000}"/>
    <cellStyle name="Comma 2 2 2 10 4" xfId="29676" xr:uid="{00000000-0005-0000-0000-00001F2B0000}"/>
    <cellStyle name="Comma 2 2 2 10 5" xfId="33892" xr:uid="{00000000-0005-0000-0000-0000202B0000}"/>
    <cellStyle name="Comma 2 2 2 10 6" xfId="38096" xr:uid="{00000000-0005-0000-0000-0000212B0000}"/>
    <cellStyle name="Comma 2 2 2 11" xfId="6274" xr:uid="{00000000-0005-0000-0000-0000222B0000}"/>
    <cellStyle name="Comma 2 2 2 11 2" xfId="11721" xr:uid="{00000000-0005-0000-0000-0000232B0000}"/>
    <cellStyle name="Comma 2 2 2 11 2 2" xfId="28450" xr:uid="{00000000-0005-0000-0000-0000242B0000}"/>
    <cellStyle name="Comma 2 2 2 11 2 2 2" xfId="46099" xr:uid="{00000000-0005-0000-0000-0000252B0000}"/>
    <cellStyle name="Comma 2 2 2 11 2 3" xfId="32663" xr:uid="{00000000-0005-0000-0000-0000262B0000}"/>
    <cellStyle name="Comma 2 2 2 11 2 4" xfId="36878" xr:uid="{00000000-0005-0000-0000-0000272B0000}"/>
    <cellStyle name="Comma 2 2 2 11 2 5" xfId="41082" xr:uid="{00000000-0005-0000-0000-0000282B0000}"/>
    <cellStyle name="Comma 2 2 2 11 3" xfId="25505" xr:uid="{00000000-0005-0000-0000-0000292B0000}"/>
    <cellStyle name="Comma 2 2 2 11 3 2" xfId="44835" xr:uid="{00000000-0005-0000-0000-00002A2B0000}"/>
    <cellStyle name="Comma 2 2 2 11 4" xfId="29717" xr:uid="{00000000-0005-0000-0000-00002B2B0000}"/>
    <cellStyle name="Comma 2 2 2 11 5" xfId="33933" xr:uid="{00000000-0005-0000-0000-00002C2B0000}"/>
    <cellStyle name="Comma 2 2 2 11 6" xfId="38137" xr:uid="{00000000-0005-0000-0000-00002D2B0000}"/>
    <cellStyle name="Comma 2 2 2 12" xfId="5208" xr:uid="{00000000-0005-0000-0000-00002E2B0000}"/>
    <cellStyle name="Comma 2 2 2 12 2" xfId="11287" xr:uid="{00000000-0005-0000-0000-00002F2B0000}"/>
    <cellStyle name="Comma 2 2 2 12 2 2" xfId="28117" xr:uid="{00000000-0005-0000-0000-0000302B0000}"/>
    <cellStyle name="Comma 2 2 2 12 2 2 2" xfId="45781" xr:uid="{00000000-0005-0000-0000-0000312B0000}"/>
    <cellStyle name="Comma 2 2 2 12 2 3" xfId="32330" xr:uid="{00000000-0005-0000-0000-0000322B0000}"/>
    <cellStyle name="Comma 2 2 2 12 2 4" xfId="36545" xr:uid="{00000000-0005-0000-0000-0000332B0000}"/>
    <cellStyle name="Comma 2 2 2 12 2 5" xfId="40749" xr:uid="{00000000-0005-0000-0000-0000342B0000}"/>
    <cellStyle name="Comma 2 2 2 12 3" xfId="24967" xr:uid="{00000000-0005-0000-0000-0000352B0000}"/>
    <cellStyle name="Comma 2 2 2 12 3 2" xfId="44516" xr:uid="{00000000-0005-0000-0000-0000362B0000}"/>
    <cellStyle name="Comma 2 2 2 12 4" xfId="29179" xr:uid="{00000000-0005-0000-0000-0000372B0000}"/>
    <cellStyle name="Comma 2 2 2 12 5" xfId="33395" xr:uid="{00000000-0005-0000-0000-0000382B0000}"/>
    <cellStyle name="Comma 2 2 2 12 6" xfId="37599" xr:uid="{00000000-0005-0000-0000-0000392B0000}"/>
    <cellStyle name="Comma 2 2 2 13" xfId="6325" xr:uid="{00000000-0005-0000-0000-00003A2B0000}"/>
    <cellStyle name="Comma 2 2 2 13 2" xfId="11737" xr:uid="{00000000-0005-0000-0000-00003B2B0000}"/>
    <cellStyle name="Comma 2 2 2 13 2 2" xfId="28459" xr:uid="{00000000-0005-0000-0000-00003C2B0000}"/>
    <cellStyle name="Comma 2 2 2 13 2 2 2" xfId="46108" xr:uid="{00000000-0005-0000-0000-00003D2B0000}"/>
    <cellStyle name="Comma 2 2 2 13 2 3" xfId="32672" xr:uid="{00000000-0005-0000-0000-00003E2B0000}"/>
    <cellStyle name="Comma 2 2 2 13 2 4" xfId="36887" xr:uid="{00000000-0005-0000-0000-00003F2B0000}"/>
    <cellStyle name="Comma 2 2 2 13 2 5" xfId="41091" xr:uid="{00000000-0005-0000-0000-0000402B0000}"/>
    <cellStyle name="Comma 2 2 2 13 3" xfId="25515" xr:uid="{00000000-0005-0000-0000-0000412B0000}"/>
    <cellStyle name="Comma 2 2 2 13 3 2" xfId="44844" xr:uid="{00000000-0005-0000-0000-0000422B0000}"/>
    <cellStyle name="Comma 2 2 2 13 4" xfId="29727" xr:uid="{00000000-0005-0000-0000-0000432B0000}"/>
    <cellStyle name="Comma 2 2 2 13 5" xfId="33943" xr:uid="{00000000-0005-0000-0000-0000442B0000}"/>
    <cellStyle name="Comma 2 2 2 13 6" xfId="38147" xr:uid="{00000000-0005-0000-0000-0000452B0000}"/>
    <cellStyle name="Comma 2 2 2 14" xfId="9573" xr:uid="{00000000-0005-0000-0000-0000462B0000}"/>
    <cellStyle name="Comma 2 2 2 14 2" xfId="12176" xr:uid="{00000000-0005-0000-0000-0000472B0000}"/>
    <cellStyle name="Comma 2 2 2 14 2 2" xfId="28787" xr:uid="{00000000-0005-0000-0000-0000482B0000}"/>
    <cellStyle name="Comma 2 2 2 14 2 2 2" xfId="46458" xr:uid="{00000000-0005-0000-0000-0000492B0000}"/>
    <cellStyle name="Comma 2 2 2 14 2 3" xfId="33000" xr:uid="{00000000-0005-0000-0000-00004A2B0000}"/>
    <cellStyle name="Comma 2 2 2 14 2 4" xfId="37215" xr:uid="{00000000-0005-0000-0000-00004B2B0000}"/>
    <cellStyle name="Comma 2 2 2 14 2 5" xfId="41419" xr:uid="{00000000-0005-0000-0000-00004C2B0000}"/>
    <cellStyle name="Comma 2 2 2 14 3" xfId="27137" xr:uid="{00000000-0005-0000-0000-00004D2B0000}"/>
    <cellStyle name="Comma 2 2 2 14 3 2" xfId="45007" xr:uid="{00000000-0005-0000-0000-00004E2B0000}"/>
    <cellStyle name="Comma 2 2 2 14 4" xfId="31350" xr:uid="{00000000-0005-0000-0000-00004F2B0000}"/>
    <cellStyle name="Comma 2 2 2 14 5" xfId="35565" xr:uid="{00000000-0005-0000-0000-0000502B0000}"/>
    <cellStyle name="Comma 2 2 2 14 6" xfId="39769" xr:uid="{00000000-0005-0000-0000-0000512B0000}"/>
    <cellStyle name="Comma 2 2 2 15" xfId="9630" xr:uid="{00000000-0005-0000-0000-0000522B0000}"/>
    <cellStyle name="Comma 2 2 2 15 2" xfId="11020" xr:uid="{00000000-0005-0000-0000-0000532B0000}"/>
    <cellStyle name="Comma 2 2 2 15 2 2" xfId="28075" xr:uid="{00000000-0005-0000-0000-0000542B0000}"/>
    <cellStyle name="Comma 2 2 2 15 2 2 2" xfId="45759" xr:uid="{00000000-0005-0000-0000-0000552B0000}"/>
    <cellStyle name="Comma 2 2 2 15 2 3" xfId="32288" xr:uid="{00000000-0005-0000-0000-0000562B0000}"/>
    <cellStyle name="Comma 2 2 2 15 2 4" xfId="36503" xr:uid="{00000000-0005-0000-0000-0000572B0000}"/>
    <cellStyle name="Comma 2 2 2 15 2 5" xfId="40707" xr:uid="{00000000-0005-0000-0000-0000582B0000}"/>
    <cellStyle name="Comma 2 2 2 15 3" xfId="27145" xr:uid="{00000000-0005-0000-0000-0000592B0000}"/>
    <cellStyle name="Comma 2 2 2 15 3 2" xfId="45014" xr:uid="{00000000-0005-0000-0000-00005A2B0000}"/>
    <cellStyle name="Comma 2 2 2 15 4" xfId="31358" xr:uid="{00000000-0005-0000-0000-00005B2B0000}"/>
    <cellStyle name="Comma 2 2 2 15 5" xfId="35573" xr:uid="{00000000-0005-0000-0000-00005C2B0000}"/>
    <cellStyle name="Comma 2 2 2 15 6" xfId="39777" xr:uid="{00000000-0005-0000-0000-00005D2B0000}"/>
    <cellStyle name="Comma 2 2 2 16" xfId="10219" xr:uid="{00000000-0005-0000-0000-00005E2B0000}"/>
    <cellStyle name="Comma 2 2 2 16 2" xfId="27610" xr:uid="{00000000-0005-0000-0000-00005F2B0000}"/>
    <cellStyle name="Comma 2 2 2 16 2 2" xfId="45288" xr:uid="{00000000-0005-0000-0000-0000602B0000}"/>
    <cellStyle name="Comma 2 2 2 16 3" xfId="31823" xr:uid="{00000000-0005-0000-0000-0000612B0000}"/>
    <cellStyle name="Comma 2 2 2 16 4" xfId="36038" xr:uid="{00000000-0005-0000-0000-0000622B0000}"/>
    <cellStyle name="Comma 2 2 2 16 5" xfId="40242" xr:uid="{00000000-0005-0000-0000-0000632B0000}"/>
    <cellStyle name="Comma 2 2 2 17" xfId="12266" xr:uid="{00000000-0005-0000-0000-0000642B0000}"/>
    <cellStyle name="Comma 2 2 2 17 2" xfId="28833" xr:uid="{00000000-0005-0000-0000-0000652B0000}"/>
    <cellStyle name="Comma 2 2 2 17 3" xfId="33046" xr:uid="{00000000-0005-0000-0000-0000662B0000}"/>
    <cellStyle name="Comma 2 2 2 17 4" xfId="37261" xr:uid="{00000000-0005-0000-0000-0000672B0000}"/>
    <cellStyle name="Comma 2 2 2 17 5" xfId="41568" xr:uid="{00000000-0005-0000-0000-0000682B0000}"/>
    <cellStyle name="Comma 2 2 2 18" xfId="23475" xr:uid="{00000000-0005-0000-0000-0000692B0000}"/>
    <cellStyle name="Comma 2 2 2 18 2" xfId="28974" xr:uid="{00000000-0005-0000-0000-00006A2B0000}"/>
    <cellStyle name="Comma 2 2 2 18 3" xfId="33191" xr:uid="{00000000-0005-0000-0000-00006B2B0000}"/>
    <cellStyle name="Comma 2 2 2 18 4" xfId="37402" xr:uid="{00000000-0005-0000-0000-00006C2B0000}"/>
    <cellStyle name="Comma 2 2 2 18 5" xfId="42454" xr:uid="{00000000-0005-0000-0000-00006D2B0000}"/>
    <cellStyle name="Comma 2 2 2 19" xfId="24837" xr:uid="{00000000-0005-0000-0000-00006E2B0000}"/>
    <cellStyle name="Comma 2 2 2 2" xfId="4467" xr:uid="{00000000-0005-0000-0000-00006F2B0000}"/>
    <cellStyle name="Comma 2 2 2 2 10" xfId="6326" xr:uid="{00000000-0005-0000-0000-0000702B0000}"/>
    <cellStyle name="Comma 2 2 2 2 10 2" xfId="11738" xr:uid="{00000000-0005-0000-0000-0000712B0000}"/>
    <cellStyle name="Comma 2 2 2 2 10 2 2" xfId="28460" xr:uid="{00000000-0005-0000-0000-0000722B0000}"/>
    <cellStyle name="Comma 2 2 2 2 10 2 2 2" xfId="46109" xr:uid="{00000000-0005-0000-0000-0000732B0000}"/>
    <cellStyle name="Comma 2 2 2 2 10 2 3" xfId="32673" xr:uid="{00000000-0005-0000-0000-0000742B0000}"/>
    <cellStyle name="Comma 2 2 2 2 10 2 4" xfId="36888" xr:uid="{00000000-0005-0000-0000-0000752B0000}"/>
    <cellStyle name="Comma 2 2 2 2 10 2 5" xfId="41092" xr:uid="{00000000-0005-0000-0000-0000762B0000}"/>
    <cellStyle name="Comma 2 2 2 2 10 3" xfId="25516" xr:uid="{00000000-0005-0000-0000-0000772B0000}"/>
    <cellStyle name="Comma 2 2 2 2 10 3 2" xfId="44845" xr:uid="{00000000-0005-0000-0000-0000782B0000}"/>
    <cellStyle name="Comma 2 2 2 2 10 4" xfId="29728" xr:uid="{00000000-0005-0000-0000-0000792B0000}"/>
    <cellStyle name="Comma 2 2 2 2 10 5" xfId="33944" xr:uid="{00000000-0005-0000-0000-00007A2B0000}"/>
    <cellStyle name="Comma 2 2 2 2 10 6" xfId="38148" xr:uid="{00000000-0005-0000-0000-00007B2B0000}"/>
    <cellStyle name="Comma 2 2 2 2 11" xfId="9631" xr:uid="{00000000-0005-0000-0000-00007C2B0000}"/>
    <cellStyle name="Comma 2 2 2 2 11 2" xfId="11262" xr:uid="{00000000-0005-0000-0000-00007D2B0000}"/>
    <cellStyle name="Comma 2 2 2 2 11 2 2" xfId="28108" xr:uid="{00000000-0005-0000-0000-00007E2B0000}"/>
    <cellStyle name="Comma 2 2 2 2 11 2 2 2" xfId="45773" xr:uid="{00000000-0005-0000-0000-00007F2B0000}"/>
    <cellStyle name="Comma 2 2 2 2 11 2 3" xfId="32321" xr:uid="{00000000-0005-0000-0000-0000802B0000}"/>
    <cellStyle name="Comma 2 2 2 2 11 2 4" xfId="36536" xr:uid="{00000000-0005-0000-0000-0000812B0000}"/>
    <cellStyle name="Comma 2 2 2 2 11 2 5" xfId="40740" xr:uid="{00000000-0005-0000-0000-0000822B0000}"/>
    <cellStyle name="Comma 2 2 2 2 11 3" xfId="27146" xr:uid="{00000000-0005-0000-0000-0000832B0000}"/>
    <cellStyle name="Comma 2 2 2 2 11 3 2" xfId="45015" xr:uid="{00000000-0005-0000-0000-0000842B0000}"/>
    <cellStyle name="Comma 2 2 2 2 11 4" xfId="31359" xr:uid="{00000000-0005-0000-0000-0000852B0000}"/>
    <cellStyle name="Comma 2 2 2 2 11 5" xfId="35574" xr:uid="{00000000-0005-0000-0000-0000862B0000}"/>
    <cellStyle name="Comma 2 2 2 2 11 6" xfId="39778" xr:uid="{00000000-0005-0000-0000-0000872B0000}"/>
    <cellStyle name="Comma 2 2 2 2 12" xfId="10220" xr:uid="{00000000-0005-0000-0000-0000882B0000}"/>
    <cellStyle name="Comma 2 2 2 2 12 2" xfId="27611" xr:uid="{00000000-0005-0000-0000-0000892B0000}"/>
    <cellStyle name="Comma 2 2 2 2 12 2 2" xfId="45289" xr:uid="{00000000-0005-0000-0000-00008A2B0000}"/>
    <cellStyle name="Comma 2 2 2 2 12 3" xfId="31824" xr:uid="{00000000-0005-0000-0000-00008B2B0000}"/>
    <cellStyle name="Comma 2 2 2 2 12 4" xfId="36039" xr:uid="{00000000-0005-0000-0000-00008C2B0000}"/>
    <cellStyle name="Comma 2 2 2 2 12 5" xfId="40243" xr:uid="{00000000-0005-0000-0000-00008D2B0000}"/>
    <cellStyle name="Comma 2 2 2 2 13" xfId="16083" xr:uid="{00000000-0005-0000-0000-00008E2B0000}"/>
    <cellStyle name="Comma 2 2 2 2 13 2" xfId="28910" xr:uid="{00000000-0005-0000-0000-00008F2B0000}"/>
    <cellStyle name="Comma 2 2 2 2 13 3" xfId="33125" xr:uid="{00000000-0005-0000-0000-0000902B0000}"/>
    <cellStyle name="Comma 2 2 2 2 13 4" xfId="37338" xr:uid="{00000000-0005-0000-0000-0000912B0000}"/>
    <cellStyle name="Comma 2 2 2 2 13 5" xfId="44513" xr:uid="{00000000-0005-0000-0000-0000922B0000}"/>
    <cellStyle name="Comma 2 2 2 2 14" xfId="23890" xr:uid="{00000000-0005-0000-0000-0000932B0000}"/>
    <cellStyle name="Comma 2 2 2 2 14 2" xfId="29006" xr:uid="{00000000-0005-0000-0000-0000942B0000}"/>
    <cellStyle name="Comma 2 2 2 2 14 3" xfId="33223" xr:uid="{00000000-0005-0000-0000-0000952B0000}"/>
    <cellStyle name="Comma 2 2 2 2 14 4" xfId="37434" xr:uid="{00000000-0005-0000-0000-0000962B0000}"/>
    <cellStyle name="Comma 2 2 2 2 15" xfId="24938" xr:uid="{00000000-0005-0000-0000-0000972B0000}"/>
    <cellStyle name="Comma 2 2 2 2 16" xfId="29150" xr:uid="{00000000-0005-0000-0000-0000982B0000}"/>
    <cellStyle name="Comma 2 2 2 2 17" xfId="33366" xr:uid="{00000000-0005-0000-0000-0000992B0000}"/>
    <cellStyle name="Comma 2 2 2 2 18" xfId="37570" xr:uid="{00000000-0005-0000-0000-00009A2B0000}"/>
    <cellStyle name="Comma 2 2 2 2 2" xfId="5861" xr:uid="{00000000-0005-0000-0000-00009B2B0000}"/>
    <cellStyle name="Comma 2 2 2 2 2 10" xfId="29400" xr:uid="{00000000-0005-0000-0000-00009C2B0000}"/>
    <cellStyle name="Comma 2 2 2 2 2 11" xfId="33616" xr:uid="{00000000-0005-0000-0000-00009D2B0000}"/>
    <cellStyle name="Comma 2 2 2 2 2 12" xfId="37820" xr:uid="{00000000-0005-0000-0000-00009E2B0000}"/>
    <cellStyle name="Comma 2 2 2 2 2 2" xfId="5922" xr:uid="{00000000-0005-0000-0000-00009F2B0000}"/>
    <cellStyle name="Comma 2 2 2 2 2 2 2" xfId="6117" xr:uid="{00000000-0005-0000-0000-0000A02B0000}"/>
    <cellStyle name="Comma 2 2 2 2 2 2 2 2" xfId="11625" xr:uid="{00000000-0005-0000-0000-0000A12B0000}"/>
    <cellStyle name="Comma 2 2 2 2 2 2 2 2 2" xfId="28381" xr:uid="{00000000-0005-0000-0000-0000A22B0000}"/>
    <cellStyle name="Comma 2 2 2 2 2 2 2 2 2 2" xfId="46030" xr:uid="{00000000-0005-0000-0000-0000A32B0000}"/>
    <cellStyle name="Comma 2 2 2 2 2 2 2 2 3" xfId="32594" xr:uid="{00000000-0005-0000-0000-0000A42B0000}"/>
    <cellStyle name="Comma 2 2 2 2 2 2 2 2 4" xfId="36809" xr:uid="{00000000-0005-0000-0000-0000A52B0000}"/>
    <cellStyle name="Comma 2 2 2 2 2 2 2 2 5" xfId="41013" xr:uid="{00000000-0005-0000-0000-0000A62B0000}"/>
    <cellStyle name="Comma 2 2 2 2 2 2 2 3" xfId="25427" xr:uid="{00000000-0005-0000-0000-0000A72B0000}"/>
    <cellStyle name="Comma 2 2 2 2 2 2 2 3 2" xfId="44766" xr:uid="{00000000-0005-0000-0000-0000A82B0000}"/>
    <cellStyle name="Comma 2 2 2 2 2 2 2 4" xfId="29639" xr:uid="{00000000-0005-0000-0000-0000A92B0000}"/>
    <cellStyle name="Comma 2 2 2 2 2 2 2 5" xfId="33855" xr:uid="{00000000-0005-0000-0000-0000AA2B0000}"/>
    <cellStyle name="Comma 2 2 2 2 2 2 2 6" xfId="38059" xr:uid="{00000000-0005-0000-0000-0000AB2B0000}"/>
    <cellStyle name="Comma 2 2 2 2 2 2 3" xfId="6019" xr:uid="{00000000-0005-0000-0000-0000AC2B0000}"/>
    <cellStyle name="Comma 2 2 2 2 2 2 3 2" xfId="11527" xr:uid="{00000000-0005-0000-0000-0000AD2B0000}"/>
    <cellStyle name="Comma 2 2 2 2 2 2 3 2 2" xfId="28286" xr:uid="{00000000-0005-0000-0000-0000AE2B0000}"/>
    <cellStyle name="Comma 2 2 2 2 2 2 3 2 2 2" xfId="45935" xr:uid="{00000000-0005-0000-0000-0000AF2B0000}"/>
    <cellStyle name="Comma 2 2 2 2 2 2 3 2 3" xfId="32499" xr:uid="{00000000-0005-0000-0000-0000B02B0000}"/>
    <cellStyle name="Comma 2 2 2 2 2 2 3 2 4" xfId="36714" xr:uid="{00000000-0005-0000-0000-0000B12B0000}"/>
    <cellStyle name="Comma 2 2 2 2 2 2 3 2 5" xfId="40918" xr:uid="{00000000-0005-0000-0000-0000B22B0000}"/>
    <cellStyle name="Comma 2 2 2 2 2 2 3 3" xfId="25332" xr:uid="{00000000-0005-0000-0000-0000B32B0000}"/>
    <cellStyle name="Comma 2 2 2 2 2 2 3 3 2" xfId="44671" xr:uid="{00000000-0005-0000-0000-0000B42B0000}"/>
    <cellStyle name="Comma 2 2 2 2 2 2 3 4" xfId="29544" xr:uid="{00000000-0005-0000-0000-0000B52B0000}"/>
    <cellStyle name="Comma 2 2 2 2 2 2 3 5" xfId="33760" xr:uid="{00000000-0005-0000-0000-0000B62B0000}"/>
    <cellStyle name="Comma 2 2 2 2 2 2 3 6" xfId="37964" xr:uid="{00000000-0005-0000-0000-0000B72B0000}"/>
    <cellStyle name="Comma 2 2 2 2 2 2 4" xfId="9800" xr:uid="{00000000-0005-0000-0000-0000B82B0000}"/>
    <cellStyle name="Comma 2 2 2 2 2 2 4 2" xfId="11431" xr:uid="{00000000-0005-0000-0000-0000B92B0000}"/>
    <cellStyle name="Comma 2 2 2 2 2 2 4 2 2" xfId="28191" xr:uid="{00000000-0005-0000-0000-0000BA2B0000}"/>
    <cellStyle name="Comma 2 2 2 2 2 2 4 2 2 2" xfId="45840" xr:uid="{00000000-0005-0000-0000-0000BB2B0000}"/>
    <cellStyle name="Comma 2 2 2 2 2 2 4 2 3" xfId="32404" xr:uid="{00000000-0005-0000-0000-0000BC2B0000}"/>
    <cellStyle name="Comma 2 2 2 2 2 2 4 2 4" xfId="36619" xr:uid="{00000000-0005-0000-0000-0000BD2B0000}"/>
    <cellStyle name="Comma 2 2 2 2 2 2 4 2 5" xfId="40823" xr:uid="{00000000-0005-0000-0000-0000BE2B0000}"/>
    <cellStyle name="Comma 2 2 2 2 2 2 4 3" xfId="27287" xr:uid="{00000000-0005-0000-0000-0000BF2B0000}"/>
    <cellStyle name="Comma 2 2 2 2 2 2 4 3 2" xfId="45165" xr:uid="{00000000-0005-0000-0000-0000C02B0000}"/>
    <cellStyle name="Comma 2 2 2 2 2 2 4 4" xfId="31500" xr:uid="{00000000-0005-0000-0000-0000C12B0000}"/>
    <cellStyle name="Comma 2 2 2 2 2 2 4 5" xfId="35715" xr:uid="{00000000-0005-0000-0000-0000C22B0000}"/>
    <cellStyle name="Comma 2 2 2 2 2 2 4 6" xfId="39919" xr:uid="{00000000-0005-0000-0000-0000C32B0000}"/>
    <cellStyle name="Comma 2 2 2 2 2 2 5" xfId="10537" xr:uid="{00000000-0005-0000-0000-0000C42B0000}"/>
    <cellStyle name="Comma 2 2 2 2 2 2 5 2" xfId="27752" xr:uid="{00000000-0005-0000-0000-0000C52B0000}"/>
    <cellStyle name="Comma 2 2 2 2 2 2 5 2 2" xfId="45430" xr:uid="{00000000-0005-0000-0000-0000C62B0000}"/>
    <cellStyle name="Comma 2 2 2 2 2 2 5 3" xfId="31965" xr:uid="{00000000-0005-0000-0000-0000C72B0000}"/>
    <cellStyle name="Comma 2 2 2 2 2 2 5 4" xfId="36180" xr:uid="{00000000-0005-0000-0000-0000C82B0000}"/>
    <cellStyle name="Comma 2 2 2 2 2 2 5 5" xfId="40384" xr:uid="{00000000-0005-0000-0000-0000C92B0000}"/>
    <cellStyle name="Comma 2 2 2 2 2 2 6" xfId="25237" xr:uid="{00000000-0005-0000-0000-0000CA2B0000}"/>
    <cellStyle name="Comma 2 2 2 2 2 2 6 2" xfId="44576" xr:uid="{00000000-0005-0000-0000-0000CB2B0000}"/>
    <cellStyle name="Comma 2 2 2 2 2 2 7" xfId="29449" xr:uid="{00000000-0005-0000-0000-0000CC2B0000}"/>
    <cellStyle name="Comma 2 2 2 2 2 2 8" xfId="33665" xr:uid="{00000000-0005-0000-0000-0000CD2B0000}"/>
    <cellStyle name="Comma 2 2 2 2 2 2 9" xfId="37869" xr:uid="{00000000-0005-0000-0000-0000CE2B0000}"/>
    <cellStyle name="Comma 2 2 2 2 2 3" xfId="6070" xr:uid="{00000000-0005-0000-0000-0000CF2B0000}"/>
    <cellStyle name="Comma 2 2 2 2 2 3 2" xfId="11578" xr:uid="{00000000-0005-0000-0000-0000D02B0000}"/>
    <cellStyle name="Comma 2 2 2 2 2 3 2 2" xfId="28334" xr:uid="{00000000-0005-0000-0000-0000D12B0000}"/>
    <cellStyle name="Comma 2 2 2 2 2 3 2 2 2" xfId="45983" xr:uid="{00000000-0005-0000-0000-0000D22B0000}"/>
    <cellStyle name="Comma 2 2 2 2 2 3 2 3" xfId="32547" xr:uid="{00000000-0005-0000-0000-0000D32B0000}"/>
    <cellStyle name="Comma 2 2 2 2 2 3 2 4" xfId="36762" xr:uid="{00000000-0005-0000-0000-0000D42B0000}"/>
    <cellStyle name="Comma 2 2 2 2 2 3 2 5" xfId="40966" xr:uid="{00000000-0005-0000-0000-0000D52B0000}"/>
    <cellStyle name="Comma 2 2 2 2 2 3 3" xfId="25380" xr:uid="{00000000-0005-0000-0000-0000D62B0000}"/>
    <cellStyle name="Comma 2 2 2 2 2 3 3 2" xfId="44719" xr:uid="{00000000-0005-0000-0000-0000D72B0000}"/>
    <cellStyle name="Comma 2 2 2 2 2 3 4" xfId="29592" xr:uid="{00000000-0005-0000-0000-0000D82B0000}"/>
    <cellStyle name="Comma 2 2 2 2 2 3 5" xfId="33808" xr:uid="{00000000-0005-0000-0000-0000D92B0000}"/>
    <cellStyle name="Comma 2 2 2 2 2 3 6" xfId="38012" xr:uid="{00000000-0005-0000-0000-0000DA2B0000}"/>
    <cellStyle name="Comma 2 2 2 2 2 4" xfId="5972" xr:uid="{00000000-0005-0000-0000-0000DB2B0000}"/>
    <cellStyle name="Comma 2 2 2 2 2 4 2" xfId="11480" xr:uid="{00000000-0005-0000-0000-0000DC2B0000}"/>
    <cellStyle name="Comma 2 2 2 2 2 4 2 2" xfId="28239" xr:uid="{00000000-0005-0000-0000-0000DD2B0000}"/>
    <cellStyle name="Comma 2 2 2 2 2 4 2 2 2" xfId="45888" xr:uid="{00000000-0005-0000-0000-0000DE2B0000}"/>
    <cellStyle name="Comma 2 2 2 2 2 4 2 3" xfId="32452" xr:uid="{00000000-0005-0000-0000-0000DF2B0000}"/>
    <cellStyle name="Comma 2 2 2 2 2 4 2 4" xfId="36667" xr:uid="{00000000-0005-0000-0000-0000E02B0000}"/>
    <cellStyle name="Comma 2 2 2 2 2 4 2 5" xfId="40871" xr:uid="{00000000-0005-0000-0000-0000E12B0000}"/>
    <cellStyle name="Comma 2 2 2 2 2 4 3" xfId="25285" xr:uid="{00000000-0005-0000-0000-0000E22B0000}"/>
    <cellStyle name="Comma 2 2 2 2 2 4 3 2" xfId="44624" xr:uid="{00000000-0005-0000-0000-0000E32B0000}"/>
    <cellStyle name="Comma 2 2 2 2 2 4 4" xfId="29497" xr:uid="{00000000-0005-0000-0000-0000E42B0000}"/>
    <cellStyle name="Comma 2 2 2 2 2 4 5" xfId="33713" xr:uid="{00000000-0005-0000-0000-0000E52B0000}"/>
    <cellStyle name="Comma 2 2 2 2 2 4 6" xfId="37917" xr:uid="{00000000-0005-0000-0000-0000E62B0000}"/>
    <cellStyle name="Comma 2 2 2 2 2 5" xfId="6866" xr:uid="{00000000-0005-0000-0000-0000E72B0000}"/>
    <cellStyle name="Comma 2 2 2 2 2 5 2" xfId="11777" xr:uid="{00000000-0005-0000-0000-0000E82B0000}"/>
    <cellStyle name="Comma 2 2 2 2 2 5 2 2" xfId="28497" xr:uid="{00000000-0005-0000-0000-0000E92B0000}"/>
    <cellStyle name="Comma 2 2 2 2 2 5 2 2 2" xfId="46148" xr:uid="{00000000-0005-0000-0000-0000EA2B0000}"/>
    <cellStyle name="Comma 2 2 2 2 2 5 2 3" xfId="32710" xr:uid="{00000000-0005-0000-0000-0000EB2B0000}"/>
    <cellStyle name="Comma 2 2 2 2 2 5 2 4" xfId="36925" xr:uid="{00000000-0005-0000-0000-0000EC2B0000}"/>
    <cellStyle name="Comma 2 2 2 2 2 5 2 5" xfId="41129" xr:uid="{00000000-0005-0000-0000-0000ED2B0000}"/>
    <cellStyle name="Comma 2 2 2 2 2 5 3" xfId="25554" xr:uid="{00000000-0005-0000-0000-0000EE2B0000}"/>
    <cellStyle name="Comma 2 2 2 2 2 5 3 2" xfId="44882" xr:uid="{00000000-0005-0000-0000-0000EF2B0000}"/>
    <cellStyle name="Comma 2 2 2 2 2 5 4" xfId="29767" xr:uid="{00000000-0005-0000-0000-0000F02B0000}"/>
    <cellStyle name="Comma 2 2 2 2 2 5 5" xfId="33982" xr:uid="{00000000-0005-0000-0000-0000F12B0000}"/>
    <cellStyle name="Comma 2 2 2 2 2 5 6" xfId="38186" xr:uid="{00000000-0005-0000-0000-0000F22B0000}"/>
    <cellStyle name="Comma 2 2 2 2 2 6" xfId="9682" xr:uid="{00000000-0005-0000-0000-0000F32B0000}"/>
    <cellStyle name="Comma 2 2 2 2 2 6 2" xfId="11375" xr:uid="{00000000-0005-0000-0000-0000F42B0000}"/>
    <cellStyle name="Comma 2 2 2 2 2 6 2 2" xfId="28144" xr:uid="{00000000-0005-0000-0000-0000F52B0000}"/>
    <cellStyle name="Comma 2 2 2 2 2 6 2 2 2" xfId="45793" xr:uid="{00000000-0005-0000-0000-0000F62B0000}"/>
    <cellStyle name="Comma 2 2 2 2 2 6 2 3" xfId="32357" xr:uid="{00000000-0005-0000-0000-0000F72B0000}"/>
    <cellStyle name="Comma 2 2 2 2 2 6 2 4" xfId="36572" xr:uid="{00000000-0005-0000-0000-0000F82B0000}"/>
    <cellStyle name="Comma 2 2 2 2 2 6 2 5" xfId="40776" xr:uid="{00000000-0005-0000-0000-0000F92B0000}"/>
    <cellStyle name="Comma 2 2 2 2 2 6 3" xfId="27193" xr:uid="{00000000-0005-0000-0000-0000FA2B0000}"/>
    <cellStyle name="Comma 2 2 2 2 2 6 3 2" xfId="45062" xr:uid="{00000000-0005-0000-0000-0000FB2B0000}"/>
    <cellStyle name="Comma 2 2 2 2 2 6 4" xfId="31406" xr:uid="{00000000-0005-0000-0000-0000FC2B0000}"/>
    <cellStyle name="Comma 2 2 2 2 2 6 5" xfId="35621" xr:uid="{00000000-0005-0000-0000-0000FD2B0000}"/>
    <cellStyle name="Comma 2 2 2 2 2 6 6" xfId="39825" xr:uid="{00000000-0005-0000-0000-0000FE2B0000}"/>
    <cellStyle name="Comma 2 2 2 2 2 7" xfId="10420" xr:uid="{00000000-0005-0000-0000-0000FF2B0000}"/>
    <cellStyle name="Comma 2 2 2 2 2 7 2" xfId="27658" xr:uid="{00000000-0005-0000-0000-0000002C0000}"/>
    <cellStyle name="Comma 2 2 2 2 2 7 2 2" xfId="45336" xr:uid="{00000000-0005-0000-0000-0000012C0000}"/>
    <cellStyle name="Comma 2 2 2 2 2 7 3" xfId="31871" xr:uid="{00000000-0005-0000-0000-0000022C0000}"/>
    <cellStyle name="Comma 2 2 2 2 2 7 4" xfId="36086" xr:uid="{00000000-0005-0000-0000-0000032C0000}"/>
    <cellStyle name="Comma 2 2 2 2 2 7 5" xfId="40290" xr:uid="{00000000-0005-0000-0000-0000042C0000}"/>
    <cellStyle name="Comma 2 2 2 2 2 8" xfId="24338" xr:uid="{00000000-0005-0000-0000-0000052C0000}"/>
    <cellStyle name="Comma 2 2 2 2 2 8 2" xfId="29023" xr:uid="{00000000-0005-0000-0000-0000062C0000}"/>
    <cellStyle name="Comma 2 2 2 2 2 8 3" xfId="33240" xr:uid="{00000000-0005-0000-0000-0000072C0000}"/>
    <cellStyle name="Comma 2 2 2 2 2 8 4" xfId="37451" xr:uid="{00000000-0005-0000-0000-0000082C0000}"/>
    <cellStyle name="Comma 2 2 2 2 2 8 5" xfId="44529" xr:uid="{00000000-0005-0000-0000-0000092C0000}"/>
    <cellStyle name="Comma 2 2 2 2 2 9" xfId="25188" xr:uid="{00000000-0005-0000-0000-00000A2C0000}"/>
    <cellStyle name="Comma 2 2 2 2 3" xfId="5871" xr:uid="{00000000-0005-0000-0000-00000B2C0000}"/>
    <cellStyle name="Comma 2 2 2 2 3 10" xfId="37830" xr:uid="{00000000-0005-0000-0000-00000C2C0000}"/>
    <cellStyle name="Comma 2 2 2 2 3 2" xfId="5932" xr:uid="{00000000-0005-0000-0000-00000D2C0000}"/>
    <cellStyle name="Comma 2 2 2 2 3 2 2" xfId="6127" xr:uid="{00000000-0005-0000-0000-00000E2C0000}"/>
    <cellStyle name="Comma 2 2 2 2 3 2 2 2" xfId="11635" xr:uid="{00000000-0005-0000-0000-00000F2C0000}"/>
    <cellStyle name="Comma 2 2 2 2 3 2 2 2 2" xfId="28391" xr:uid="{00000000-0005-0000-0000-0000102C0000}"/>
    <cellStyle name="Comma 2 2 2 2 3 2 2 2 2 2" xfId="46040" xr:uid="{00000000-0005-0000-0000-0000112C0000}"/>
    <cellStyle name="Comma 2 2 2 2 3 2 2 2 3" xfId="32604" xr:uid="{00000000-0005-0000-0000-0000122C0000}"/>
    <cellStyle name="Comma 2 2 2 2 3 2 2 2 4" xfId="36819" xr:uid="{00000000-0005-0000-0000-0000132C0000}"/>
    <cellStyle name="Comma 2 2 2 2 3 2 2 2 5" xfId="41023" xr:uid="{00000000-0005-0000-0000-0000142C0000}"/>
    <cellStyle name="Comma 2 2 2 2 3 2 2 3" xfId="25437" xr:uid="{00000000-0005-0000-0000-0000152C0000}"/>
    <cellStyle name="Comma 2 2 2 2 3 2 2 3 2" xfId="44776" xr:uid="{00000000-0005-0000-0000-0000162C0000}"/>
    <cellStyle name="Comma 2 2 2 2 3 2 2 4" xfId="29649" xr:uid="{00000000-0005-0000-0000-0000172C0000}"/>
    <cellStyle name="Comma 2 2 2 2 3 2 2 5" xfId="33865" xr:uid="{00000000-0005-0000-0000-0000182C0000}"/>
    <cellStyle name="Comma 2 2 2 2 3 2 2 6" xfId="38069" xr:uid="{00000000-0005-0000-0000-0000192C0000}"/>
    <cellStyle name="Comma 2 2 2 2 3 2 3" xfId="6029" xr:uid="{00000000-0005-0000-0000-00001A2C0000}"/>
    <cellStyle name="Comma 2 2 2 2 3 2 3 2" xfId="11537" xr:uid="{00000000-0005-0000-0000-00001B2C0000}"/>
    <cellStyle name="Comma 2 2 2 2 3 2 3 2 2" xfId="28296" xr:uid="{00000000-0005-0000-0000-00001C2C0000}"/>
    <cellStyle name="Comma 2 2 2 2 3 2 3 2 2 2" xfId="45945" xr:uid="{00000000-0005-0000-0000-00001D2C0000}"/>
    <cellStyle name="Comma 2 2 2 2 3 2 3 2 3" xfId="32509" xr:uid="{00000000-0005-0000-0000-00001E2C0000}"/>
    <cellStyle name="Comma 2 2 2 2 3 2 3 2 4" xfId="36724" xr:uid="{00000000-0005-0000-0000-00001F2C0000}"/>
    <cellStyle name="Comma 2 2 2 2 3 2 3 2 5" xfId="40928" xr:uid="{00000000-0005-0000-0000-0000202C0000}"/>
    <cellStyle name="Comma 2 2 2 2 3 2 3 3" xfId="25342" xr:uid="{00000000-0005-0000-0000-0000212C0000}"/>
    <cellStyle name="Comma 2 2 2 2 3 2 3 3 2" xfId="44681" xr:uid="{00000000-0005-0000-0000-0000222C0000}"/>
    <cellStyle name="Comma 2 2 2 2 3 2 3 4" xfId="29554" xr:uid="{00000000-0005-0000-0000-0000232C0000}"/>
    <cellStyle name="Comma 2 2 2 2 3 2 3 5" xfId="33770" xr:uid="{00000000-0005-0000-0000-0000242C0000}"/>
    <cellStyle name="Comma 2 2 2 2 3 2 3 6" xfId="37974" xr:uid="{00000000-0005-0000-0000-0000252C0000}"/>
    <cellStyle name="Comma 2 2 2 2 3 2 4" xfId="11441" xr:uid="{00000000-0005-0000-0000-0000262C0000}"/>
    <cellStyle name="Comma 2 2 2 2 3 2 4 2" xfId="28201" xr:uid="{00000000-0005-0000-0000-0000272C0000}"/>
    <cellStyle name="Comma 2 2 2 2 3 2 4 2 2" xfId="45850" xr:uid="{00000000-0005-0000-0000-0000282C0000}"/>
    <cellStyle name="Comma 2 2 2 2 3 2 4 3" xfId="32414" xr:uid="{00000000-0005-0000-0000-0000292C0000}"/>
    <cellStyle name="Comma 2 2 2 2 3 2 4 4" xfId="36629" xr:uid="{00000000-0005-0000-0000-00002A2C0000}"/>
    <cellStyle name="Comma 2 2 2 2 3 2 4 5" xfId="40833" xr:uid="{00000000-0005-0000-0000-00002B2C0000}"/>
    <cellStyle name="Comma 2 2 2 2 3 2 5" xfId="25247" xr:uid="{00000000-0005-0000-0000-00002C2C0000}"/>
    <cellStyle name="Comma 2 2 2 2 3 2 5 2" xfId="44586" xr:uid="{00000000-0005-0000-0000-00002D2C0000}"/>
    <cellStyle name="Comma 2 2 2 2 3 2 6" xfId="29459" xr:uid="{00000000-0005-0000-0000-00002E2C0000}"/>
    <cellStyle name="Comma 2 2 2 2 3 2 7" xfId="33675" xr:uid="{00000000-0005-0000-0000-00002F2C0000}"/>
    <cellStyle name="Comma 2 2 2 2 3 2 8" xfId="37879" xr:uid="{00000000-0005-0000-0000-0000302C0000}"/>
    <cellStyle name="Comma 2 2 2 2 3 3" xfId="6080" xr:uid="{00000000-0005-0000-0000-0000312C0000}"/>
    <cellStyle name="Comma 2 2 2 2 3 3 2" xfId="11588" xr:uid="{00000000-0005-0000-0000-0000322C0000}"/>
    <cellStyle name="Comma 2 2 2 2 3 3 2 2" xfId="28344" xr:uid="{00000000-0005-0000-0000-0000332C0000}"/>
    <cellStyle name="Comma 2 2 2 2 3 3 2 2 2" xfId="45993" xr:uid="{00000000-0005-0000-0000-0000342C0000}"/>
    <cellStyle name="Comma 2 2 2 2 3 3 2 3" xfId="32557" xr:uid="{00000000-0005-0000-0000-0000352C0000}"/>
    <cellStyle name="Comma 2 2 2 2 3 3 2 4" xfId="36772" xr:uid="{00000000-0005-0000-0000-0000362C0000}"/>
    <cellStyle name="Comma 2 2 2 2 3 3 2 5" xfId="40976" xr:uid="{00000000-0005-0000-0000-0000372C0000}"/>
    <cellStyle name="Comma 2 2 2 2 3 3 3" xfId="25390" xr:uid="{00000000-0005-0000-0000-0000382C0000}"/>
    <cellStyle name="Comma 2 2 2 2 3 3 3 2" xfId="44729" xr:uid="{00000000-0005-0000-0000-0000392C0000}"/>
    <cellStyle name="Comma 2 2 2 2 3 3 4" xfId="29602" xr:uid="{00000000-0005-0000-0000-00003A2C0000}"/>
    <cellStyle name="Comma 2 2 2 2 3 3 5" xfId="33818" xr:uid="{00000000-0005-0000-0000-00003B2C0000}"/>
    <cellStyle name="Comma 2 2 2 2 3 3 6" xfId="38022" xr:uid="{00000000-0005-0000-0000-00003C2C0000}"/>
    <cellStyle name="Comma 2 2 2 2 3 4" xfId="5982" xr:uid="{00000000-0005-0000-0000-00003D2C0000}"/>
    <cellStyle name="Comma 2 2 2 2 3 4 2" xfId="11490" xr:uid="{00000000-0005-0000-0000-00003E2C0000}"/>
    <cellStyle name="Comma 2 2 2 2 3 4 2 2" xfId="28249" xr:uid="{00000000-0005-0000-0000-00003F2C0000}"/>
    <cellStyle name="Comma 2 2 2 2 3 4 2 2 2" xfId="45898" xr:uid="{00000000-0005-0000-0000-0000402C0000}"/>
    <cellStyle name="Comma 2 2 2 2 3 4 2 3" xfId="32462" xr:uid="{00000000-0005-0000-0000-0000412C0000}"/>
    <cellStyle name="Comma 2 2 2 2 3 4 2 4" xfId="36677" xr:uid="{00000000-0005-0000-0000-0000422C0000}"/>
    <cellStyle name="Comma 2 2 2 2 3 4 2 5" xfId="40881" xr:uid="{00000000-0005-0000-0000-0000432C0000}"/>
    <cellStyle name="Comma 2 2 2 2 3 4 3" xfId="25295" xr:uid="{00000000-0005-0000-0000-0000442C0000}"/>
    <cellStyle name="Comma 2 2 2 2 3 4 3 2" xfId="44634" xr:uid="{00000000-0005-0000-0000-0000452C0000}"/>
    <cellStyle name="Comma 2 2 2 2 3 4 4" xfId="29507" xr:uid="{00000000-0005-0000-0000-0000462C0000}"/>
    <cellStyle name="Comma 2 2 2 2 3 4 5" xfId="33723" xr:uid="{00000000-0005-0000-0000-0000472C0000}"/>
    <cellStyle name="Comma 2 2 2 2 3 4 6" xfId="37927" xr:uid="{00000000-0005-0000-0000-0000482C0000}"/>
    <cellStyle name="Comma 2 2 2 2 3 5" xfId="9740" xr:uid="{00000000-0005-0000-0000-0000492C0000}"/>
    <cellStyle name="Comma 2 2 2 2 3 5 2" xfId="11385" xr:uid="{00000000-0005-0000-0000-00004A2C0000}"/>
    <cellStyle name="Comma 2 2 2 2 3 5 2 2" xfId="28154" xr:uid="{00000000-0005-0000-0000-00004B2C0000}"/>
    <cellStyle name="Comma 2 2 2 2 3 5 2 2 2" xfId="45803" xr:uid="{00000000-0005-0000-0000-00004C2C0000}"/>
    <cellStyle name="Comma 2 2 2 2 3 5 2 3" xfId="32367" xr:uid="{00000000-0005-0000-0000-00004D2C0000}"/>
    <cellStyle name="Comma 2 2 2 2 3 5 2 4" xfId="36582" xr:uid="{00000000-0005-0000-0000-00004E2C0000}"/>
    <cellStyle name="Comma 2 2 2 2 3 5 2 5" xfId="40786" xr:uid="{00000000-0005-0000-0000-00004F2C0000}"/>
    <cellStyle name="Comma 2 2 2 2 3 5 3" xfId="27240" xr:uid="{00000000-0005-0000-0000-0000502C0000}"/>
    <cellStyle name="Comma 2 2 2 2 3 5 3 2" xfId="45118" xr:uid="{00000000-0005-0000-0000-0000512C0000}"/>
    <cellStyle name="Comma 2 2 2 2 3 5 4" xfId="31453" xr:uid="{00000000-0005-0000-0000-0000522C0000}"/>
    <cellStyle name="Comma 2 2 2 2 3 5 5" xfId="35668" xr:uid="{00000000-0005-0000-0000-0000532C0000}"/>
    <cellStyle name="Comma 2 2 2 2 3 5 6" xfId="39872" xr:uid="{00000000-0005-0000-0000-0000542C0000}"/>
    <cellStyle name="Comma 2 2 2 2 3 6" xfId="10467" xr:uid="{00000000-0005-0000-0000-0000552C0000}"/>
    <cellStyle name="Comma 2 2 2 2 3 6 2" xfId="27705" xr:uid="{00000000-0005-0000-0000-0000562C0000}"/>
    <cellStyle name="Comma 2 2 2 2 3 6 2 2" xfId="45383" xr:uid="{00000000-0005-0000-0000-0000572C0000}"/>
    <cellStyle name="Comma 2 2 2 2 3 6 3" xfId="31918" xr:uid="{00000000-0005-0000-0000-0000582C0000}"/>
    <cellStyle name="Comma 2 2 2 2 3 6 4" xfId="36133" xr:uid="{00000000-0005-0000-0000-0000592C0000}"/>
    <cellStyle name="Comma 2 2 2 2 3 6 5" xfId="40337" xr:uid="{00000000-0005-0000-0000-00005A2C0000}"/>
    <cellStyle name="Comma 2 2 2 2 3 7" xfId="25198" xr:uid="{00000000-0005-0000-0000-00005B2C0000}"/>
    <cellStyle name="Comma 2 2 2 2 3 7 2" xfId="44539" xr:uid="{00000000-0005-0000-0000-00005C2C0000}"/>
    <cellStyle name="Comma 2 2 2 2 3 8" xfId="29410" xr:uid="{00000000-0005-0000-0000-00005D2C0000}"/>
    <cellStyle name="Comma 2 2 2 2 3 9" xfId="33626" xr:uid="{00000000-0005-0000-0000-00005E2C0000}"/>
    <cellStyle name="Comma 2 2 2 2 4" xfId="5895" xr:uid="{00000000-0005-0000-0000-00005F2C0000}"/>
    <cellStyle name="Comma 2 2 2 2 4 2" xfId="5947" xr:uid="{00000000-0005-0000-0000-0000602C0000}"/>
    <cellStyle name="Comma 2 2 2 2 4 2 2" xfId="6142" xr:uid="{00000000-0005-0000-0000-0000612C0000}"/>
    <cellStyle name="Comma 2 2 2 2 4 2 2 2" xfId="11650" xr:uid="{00000000-0005-0000-0000-0000622C0000}"/>
    <cellStyle name="Comma 2 2 2 2 4 2 2 2 2" xfId="28406" xr:uid="{00000000-0005-0000-0000-0000632C0000}"/>
    <cellStyle name="Comma 2 2 2 2 4 2 2 2 2 2" xfId="46055" xr:uid="{00000000-0005-0000-0000-0000642C0000}"/>
    <cellStyle name="Comma 2 2 2 2 4 2 2 2 3" xfId="32619" xr:uid="{00000000-0005-0000-0000-0000652C0000}"/>
    <cellStyle name="Comma 2 2 2 2 4 2 2 2 4" xfId="36834" xr:uid="{00000000-0005-0000-0000-0000662C0000}"/>
    <cellStyle name="Comma 2 2 2 2 4 2 2 2 5" xfId="41038" xr:uid="{00000000-0005-0000-0000-0000672C0000}"/>
    <cellStyle name="Comma 2 2 2 2 4 2 2 3" xfId="25452" xr:uid="{00000000-0005-0000-0000-0000682C0000}"/>
    <cellStyle name="Comma 2 2 2 2 4 2 2 3 2" xfId="44791" xr:uid="{00000000-0005-0000-0000-0000692C0000}"/>
    <cellStyle name="Comma 2 2 2 2 4 2 2 4" xfId="29664" xr:uid="{00000000-0005-0000-0000-00006A2C0000}"/>
    <cellStyle name="Comma 2 2 2 2 4 2 2 5" xfId="33880" xr:uid="{00000000-0005-0000-0000-00006B2C0000}"/>
    <cellStyle name="Comma 2 2 2 2 4 2 2 6" xfId="38084" xr:uid="{00000000-0005-0000-0000-00006C2C0000}"/>
    <cellStyle name="Comma 2 2 2 2 4 2 3" xfId="6044" xr:uid="{00000000-0005-0000-0000-00006D2C0000}"/>
    <cellStyle name="Comma 2 2 2 2 4 2 3 2" xfId="11552" xr:uid="{00000000-0005-0000-0000-00006E2C0000}"/>
    <cellStyle name="Comma 2 2 2 2 4 2 3 2 2" xfId="28311" xr:uid="{00000000-0005-0000-0000-00006F2C0000}"/>
    <cellStyle name="Comma 2 2 2 2 4 2 3 2 2 2" xfId="45960" xr:uid="{00000000-0005-0000-0000-0000702C0000}"/>
    <cellStyle name="Comma 2 2 2 2 4 2 3 2 3" xfId="32524" xr:uid="{00000000-0005-0000-0000-0000712C0000}"/>
    <cellStyle name="Comma 2 2 2 2 4 2 3 2 4" xfId="36739" xr:uid="{00000000-0005-0000-0000-0000722C0000}"/>
    <cellStyle name="Comma 2 2 2 2 4 2 3 2 5" xfId="40943" xr:uid="{00000000-0005-0000-0000-0000732C0000}"/>
    <cellStyle name="Comma 2 2 2 2 4 2 3 3" xfId="25357" xr:uid="{00000000-0005-0000-0000-0000742C0000}"/>
    <cellStyle name="Comma 2 2 2 2 4 2 3 3 2" xfId="44696" xr:uid="{00000000-0005-0000-0000-0000752C0000}"/>
    <cellStyle name="Comma 2 2 2 2 4 2 3 4" xfId="29569" xr:uid="{00000000-0005-0000-0000-0000762C0000}"/>
    <cellStyle name="Comma 2 2 2 2 4 2 3 5" xfId="33785" xr:uid="{00000000-0005-0000-0000-0000772C0000}"/>
    <cellStyle name="Comma 2 2 2 2 4 2 3 6" xfId="37989" xr:uid="{00000000-0005-0000-0000-0000782C0000}"/>
    <cellStyle name="Comma 2 2 2 2 4 2 4" xfId="11456" xr:uid="{00000000-0005-0000-0000-0000792C0000}"/>
    <cellStyle name="Comma 2 2 2 2 4 2 4 2" xfId="28216" xr:uid="{00000000-0005-0000-0000-00007A2C0000}"/>
    <cellStyle name="Comma 2 2 2 2 4 2 4 2 2" xfId="45865" xr:uid="{00000000-0005-0000-0000-00007B2C0000}"/>
    <cellStyle name="Comma 2 2 2 2 4 2 4 3" xfId="32429" xr:uid="{00000000-0005-0000-0000-00007C2C0000}"/>
    <cellStyle name="Comma 2 2 2 2 4 2 4 4" xfId="36644" xr:uid="{00000000-0005-0000-0000-00007D2C0000}"/>
    <cellStyle name="Comma 2 2 2 2 4 2 4 5" xfId="40848" xr:uid="{00000000-0005-0000-0000-00007E2C0000}"/>
    <cellStyle name="Comma 2 2 2 2 4 2 5" xfId="25262" xr:uid="{00000000-0005-0000-0000-00007F2C0000}"/>
    <cellStyle name="Comma 2 2 2 2 4 2 5 2" xfId="44601" xr:uid="{00000000-0005-0000-0000-0000802C0000}"/>
    <cellStyle name="Comma 2 2 2 2 4 2 6" xfId="29474" xr:uid="{00000000-0005-0000-0000-0000812C0000}"/>
    <cellStyle name="Comma 2 2 2 2 4 2 7" xfId="33690" xr:uid="{00000000-0005-0000-0000-0000822C0000}"/>
    <cellStyle name="Comma 2 2 2 2 4 2 8" xfId="37894" xr:uid="{00000000-0005-0000-0000-0000832C0000}"/>
    <cellStyle name="Comma 2 2 2 2 4 3" xfId="6095" xr:uid="{00000000-0005-0000-0000-0000842C0000}"/>
    <cellStyle name="Comma 2 2 2 2 4 3 2" xfId="11603" xr:uid="{00000000-0005-0000-0000-0000852C0000}"/>
    <cellStyle name="Comma 2 2 2 2 4 3 2 2" xfId="28359" xr:uid="{00000000-0005-0000-0000-0000862C0000}"/>
    <cellStyle name="Comma 2 2 2 2 4 3 2 2 2" xfId="46008" xr:uid="{00000000-0005-0000-0000-0000872C0000}"/>
    <cellStyle name="Comma 2 2 2 2 4 3 2 3" xfId="32572" xr:uid="{00000000-0005-0000-0000-0000882C0000}"/>
    <cellStyle name="Comma 2 2 2 2 4 3 2 4" xfId="36787" xr:uid="{00000000-0005-0000-0000-0000892C0000}"/>
    <cellStyle name="Comma 2 2 2 2 4 3 2 5" xfId="40991" xr:uid="{00000000-0005-0000-0000-00008A2C0000}"/>
    <cellStyle name="Comma 2 2 2 2 4 3 3" xfId="25405" xr:uid="{00000000-0005-0000-0000-00008B2C0000}"/>
    <cellStyle name="Comma 2 2 2 2 4 3 3 2" xfId="44744" xr:uid="{00000000-0005-0000-0000-00008C2C0000}"/>
    <cellStyle name="Comma 2 2 2 2 4 3 4" xfId="29617" xr:uid="{00000000-0005-0000-0000-00008D2C0000}"/>
    <cellStyle name="Comma 2 2 2 2 4 3 5" xfId="33833" xr:uid="{00000000-0005-0000-0000-00008E2C0000}"/>
    <cellStyle name="Comma 2 2 2 2 4 3 6" xfId="38037" xr:uid="{00000000-0005-0000-0000-00008F2C0000}"/>
    <cellStyle name="Comma 2 2 2 2 4 4" xfId="5997" xr:uid="{00000000-0005-0000-0000-0000902C0000}"/>
    <cellStyle name="Comma 2 2 2 2 4 4 2" xfId="11505" xr:uid="{00000000-0005-0000-0000-0000912C0000}"/>
    <cellStyle name="Comma 2 2 2 2 4 4 2 2" xfId="28264" xr:uid="{00000000-0005-0000-0000-0000922C0000}"/>
    <cellStyle name="Comma 2 2 2 2 4 4 2 2 2" xfId="45913" xr:uid="{00000000-0005-0000-0000-0000932C0000}"/>
    <cellStyle name="Comma 2 2 2 2 4 4 2 3" xfId="32477" xr:uid="{00000000-0005-0000-0000-0000942C0000}"/>
    <cellStyle name="Comma 2 2 2 2 4 4 2 4" xfId="36692" xr:uid="{00000000-0005-0000-0000-0000952C0000}"/>
    <cellStyle name="Comma 2 2 2 2 4 4 2 5" xfId="40896" xr:uid="{00000000-0005-0000-0000-0000962C0000}"/>
    <cellStyle name="Comma 2 2 2 2 4 4 3" xfId="25310" xr:uid="{00000000-0005-0000-0000-0000972C0000}"/>
    <cellStyle name="Comma 2 2 2 2 4 4 3 2" xfId="44649" xr:uid="{00000000-0005-0000-0000-0000982C0000}"/>
    <cellStyle name="Comma 2 2 2 2 4 4 4" xfId="29522" xr:uid="{00000000-0005-0000-0000-0000992C0000}"/>
    <cellStyle name="Comma 2 2 2 2 4 4 5" xfId="33738" xr:uid="{00000000-0005-0000-0000-00009A2C0000}"/>
    <cellStyle name="Comma 2 2 2 2 4 4 6" xfId="37942" xr:uid="{00000000-0005-0000-0000-00009B2C0000}"/>
    <cellStyle name="Comma 2 2 2 2 4 5" xfId="11404" xr:uid="{00000000-0005-0000-0000-00009C2C0000}"/>
    <cellStyle name="Comma 2 2 2 2 4 5 2" xfId="28169" xr:uid="{00000000-0005-0000-0000-00009D2C0000}"/>
    <cellStyle name="Comma 2 2 2 2 4 5 2 2" xfId="45818" xr:uid="{00000000-0005-0000-0000-00009E2C0000}"/>
    <cellStyle name="Comma 2 2 2 2 4 5 3" xfId="32382" xr:uid="{00000000-0005-0000-0000-00009F2C0000}"/>
    <cellStyle name="Comma 2 2 2 2 4 5 4" xfId="36597" xr:uid="{00000000-0005-0000-0000-0000A02C0000}"/>
    <cellStyle name="Comma 2 2 2 2 4 5 5" xfId="40801" xr:uid="{00000000-0005-0000-0000-0000A12C0000}"/>
    <cellStyle name="Comma 2 2 2 2 4 6" xfId="25215" xr:uid="{00000000-0005-0000-0000-0000A22C0000}"/>
    <cellStyle name="Comma 2 2 2 2 4 6 2" xfId="44554" xr:uid="{00000000-0005-0000-0000-0000A32C0000}"/>
    <cellStyle name="Comma 2 2 2 2 4 7" xfId="29427" xr:uid="{00000000-0005-0000-0000-0000A42C0000}"/>
    <cellStyle name="Comma 2 2 2 2 4 8" xfId="33643" xr:uid="{00000000-0005-0000-0000-0000A52C0000}"/>
    <cellStyle name="Comma 2 2 2 2 4 9" xfId="37847" xr:uid="{00000000-0005-0000-0000-0000A62C0000}"/>
    <cellStyle name="Comma 2 2 2 2 5" xfId="5912" xr:uid="{00000000-0005-0000-0000-0000A72C0000}"/>
    <cellStyle name="Comma 2 2 2 2 5 2" xfId="6107" xr:uid="{00000000-0005-0000-0000-0000A82C0000}"/>
    <cellStyle name="Comma 2 2 2 2 5 2 2" xfId="11615" xr:uid="{00000000-0005-0000-0000-0000A92C0000}"/>
    <cellStyle name="Comma 2 2 2 2 5 2 2 2" xfId="28371" xr:uid="{00000000-0005-0000-0000-0000AA2C0000}"/>
    <cellStyle name="Comma 2 2 2 2 5 2 2 2 2" xfId="46020" xr:uid="{00000000-0005-0000-0000-0000AB2C0000}"/>
    <cellStyle name="Comma 2 2 2 2 5 2 2 3" xfId="32584" xr:uid="{00000000-0005-0000-0000-0000AC2C0000}"/>
    <cellStyle name="Comma 2 2 2 2 5 2 2 4" xfId="36799" xr:uid="{00000000-0005-0000-0000-0000AD2C0000}"/>
    <cellStyle name="Comma 2 2 2 2 5 2 2 5" xfId="41003" xr:uid="{00000000-0005-0000-0000-0000AE2C0000}"/>
    <cellStyle name="Comma 2 2 2 2 5 2 3" xfId="25417" xr:uid="{00000000-0005-0000-0000-0000AF2C0000}"/>
    <cellStyle name="Comma 2 2 2 2 5 2 3 2" xfId="44756" xr:uid="{00000000-0005-0000-0000-0000B02C0000}"/>
    <cellStyle name="Comma 2 2 2 2 5 2 4" xfId="29629" xr:uid="{00000000-0005-0000-0000-0000B12C0000}"/>
    <cellStyle name="Comma 2 2 2 2 5 2 5" xfId="33845" xr:uid="{00000000-0005-0000-0000-0000B22C0000}"/>
    <cellStyle name="Comma 2 2 2 2 5 2 6" xfId="38049" xr:uid="{00000000-0005-0000-0000-0000B32C0000}"/>
    <cellStyle name="Comma 2 2 2 2 5 3" xfId="6009" xr:uid="{00000000-0005-0000-0000-0000B42C0000}"/>
    <cellStyle name="Comma 2 2 2 2 5 3 2" xfId="11517" xr:uid="{00000000-0005-0000-0000-0000B52C0000}"/>
    <cellStyle name="Comma 2 2 2 2 5 3 2 2" xfId="28276" xr:uid="{00000000-0005-0000-0000-0000B62C0000}"/>
    <cellStyle name="Comma 2 2 2 2 5 3 2 2 2" xfId="45925" xr:uid="{00000000-0005-0000-0000-0000B72C0000}"/>
    <cellStyle name="Comma 2 2 2 2 5 3 2 3" xfId="32489" xr:uid="{00000000-0005-0000-0000-0000B82C0000}"/>
    <cellStyle name="Comma 2 2 2 2 5 3 2 4" xfId="36704" xr:uid="{00000000-0005-0000-0000-0000B92C0000}"/>
    <cellStyle name="Comma 2 2 2 2 5 3 2 5" xfId="40908" xr:uid="{00000000-0005-0000-0000-0000BA2C0000}"/>
    <cellStyle name="Comma 2 2 2 2 5 3 3" xfId="25322" xr:uid="{00000000-0005-0000-0000-0000BB2C0000}"/>
    <cellStyle name="Comma 2 2 2 2 5 3 3 2" xfId="44661" xr:uid="{00000000-0005-0000-0000-0000BC2C0000}"/>
    <cellStyle name="Comma 2 2 2 2 5 3 4" xfId="29534" xr:uid="{00000000-0005-0000-0000-0000BD2C0000}"/>
    <cellStyle name="Comma 2 2 2 2 5 3 5" xfId="33750" xr:uid="{00000000-0005-0000-0000-0000BE2C0000}"/>
    <cellStyle name="Comma 2 2 2 2 5 3 6" xfId="37954" xr:uid="{00000000-0005-0000-0000-0000BF2C0000}"/>
    <cellStyle name="Comma 2 2 2 2 5 4" xfId="11421" xr:uid="{00000000-0005-0000-0000-0000C02C0000}"/>
    <cellStyle name="Comma 2 2 2 2 5 4 2" xfId="28181" xr:uid="{00000000-0005-0000-0000-0000C12C0000}"/>
    <cellStyle name="Comma 2 2 2 2 5 4 2 2" xfId="45830" xr:uid="{00000000-0005-0000-0000-0000C22C0000}"/>
    <cellStyle name="Comma 2 2 2 2 5 4 3" xfId="32394" xr:uid="{00000000-0005-0000-0000-0000C32C0000}"/>
    <cellStyle name="Comma 2 2 2 2 5 4 4" xfId="36609" xr:uid="{00000000-0005-0000-0000-0000C42C0000}"/>
    <cellStyle name="Comma 2 2 2 2 5 4 5" xfId="40813" xr:uid="{00000000-0005-0000-0000-0000C52C0000}"/>
    <cellStyle name="Comma 2 2 2 2 5 5" xfId="25227" xr:uid="{00000000-0005-0000-0000-0000C62C0000}"/>
    <cellStyle name="Comma 2 2 2 2 5 5 2" xfId="44566" xr:uid="{00000000-0005-0000-0000-0000C72C0000}"/>
    <cellStyle name="Comma 2 2 2 2 5 6" xfId="29439" xr:uid="{00000000-0005-0000-0000-0000C82C0000}"/>
    <cellStyle name="Comma 2 2 2 2 5 7" xfId="33655" xr:uid="{00000000-0005-0000-0000-0000C92C0000}"/>
    <cellStyle name="Comma 2 2 2 2 5 8" xfId="37859" xr:uid="{00000000-0005-0000-0000-0000CA2C0000}"/>
    <cellStyle name="Comma 2 2 2 2 6" xfId="6060" xr:uid="{00000000-0005-0000-0000-0000CB2C0000}"/>
    <cellStyle name="Comma 2 2 2 2 6 2" xfId="11568" xr:uid="{00000000-0005-0000-0000-0000CC2C0000}"/>
    <cellStyle name="Comma 2 2 2 2 6 2 2" xfId="28324" xr:uid="{00000000-0005-0000-0000-0000CD2C0000}"/>
    <cellStyle name="Comma 2 2 2 2 6 2 2 2" xfId="45973" xr:uid="{00000000-0005-0000-0000-0000CE2C0000}"/>
    <cellStyle name="Comma 2 2 2 2 6 2 3" xfId="32537" xr:uid="{00000000-0005-0000-0000-0000CF2C0000}"/>
    <cellStyle name="Comma 2 2 2 2 6 2 4" xfId="36752" xr:uid="{00000000-0005-0000-0000-0000D02C0000}"/>
    <cellStyle name="Comma 2 2 2 2 6 2 5" xfId="40956" xr:uid="{00000000-0005-0000-0000-0000D12C0000}"/>
    <cellStyle name="Comma 2 2 2 2 6 3" xfId="25370" xr:uid="{00000000-0005-0000-0000-0000D22C0000}"/>
    <cellStyle name="Comma 2 2 2 2 6 3 2" xfId="44709" xr:uid="{00000000-0005-0000-0000-0000D32C0000}"/>
    <cellStyle name="Comma 2 2 2 2 6 4" xfId="29582" xr:uid="{00000000-0005-0000-0000-0000D42C0000}"/>
    <cellStyle name="Comma 2 2 2 2 6 5" xfId="33798" xr:uid="{00000000-0005-0000-0000-0000D52C0000}"/>
    <cellStyle name="Comma 2 2 2 2 6 6" xfId="38002" xr:uid="{00000000-0005-0000-0000-0000D62C0000}"/>
    <cellStyle name="Comma 2 2 2 2 7" xfId="5962" xr:uid="{00000000-0005-0000-0000-0000D72C0000}"/>
    <cellStyle name="Comma 2 2 2 2 7 2" xfId="11470" xr:uid="{00000000-0005-0000-0000-0000D82C0000}"/>
    <cellStyle name="Comma 2 2 2 2 7 2 2" xfId="28229" xr:uid="{00000000-0005-0000-0000-0000D92C0000}"/>
    <cellStyle name="Comma 2 2 2 2 7 2 2 2" xfId="45878" xr:uid="{00000000-0005-0000-0000-0000DA2C0000}"/>
    <cellStyle name="Comma 2 2 2 2 7 2 3" xfId="32442" xr:uid="{00000000-0005-0000-0000-0000DB2C0000}"/>
    <cellStyle name="Comma 2 2 2 2 7 2 4" xfId="36657" xr:uid="{00000000-0005-0000-0000-0000DC2C0000}"/>
    <cellStyle name="Comma 2 2 2 2 7 2 5" xfId="40861" xr:uid="{00000000-0005-0000-0000-0000DD2C0000}"/>
    <cellStyle name="Comma 2 2 2 2 7 3" xfId="25275" xr:uid="{00000000-0005-0000-0000-0000DE2C0000}"/>
    <cellStyle name="Comma 2 2 2 2 7 3 2" xfId="44614" xr:uid="{00000000-0005-0000-0000-0000DF2C0000}"/>
    <cellStyle name="Comma 2 2 2 2 7 4" xfId="29487" xr:uid="{00000000-0005-0000-0000-0000E02C0000}"/>
    <cellStyle name="Comma 2 2 2 2 7 5" xfId="33703" xr:uid="{00000000-0005-0000-0000-0000E12C0000}"/>
    <cellStyle name="Comma 2 2 2 2 7 6" xfId="37907" xr:uid="{00000000-0005-0000-0000-0000E22C0000}"/>
    <cellStyle name="Comma 2 2 2 2 8" xfId="6155" xr:uid="{00000000-0005-0000-0000-0000E32C0000}"/>
    <cellStyle name="Comma 2 2 2 2 8 2" xfId="11663" xr:uid="{00000000-0005-0000-0000-0000E42C0000}"/>
    <cellStyle name="Comma 2 2 2 2 8 2 2" xfId="28419" xr:uid="{00000000-0005-0000-0000-0000E52C0000}"/>
    <cellStyle name="Comma 2 2 2 2 8 2 2 2" xfId="46068" xr:uid="{00000000-0005-0000-0000-0000E62C0000}"/>
    <cellStyle name="Comma 2 2 2 2 8 2 3" xfId="32632" xr:uid="{00000000-0005-0000-0000-0000E72C0000}"/>
    <cellStyle name="Comma 2 2 2 2 8 2 4" xfId="36847" xr:uid="{00000000-0005-0000-0000-0000E82C0000}"/>
    <cellStyle name="Comma 2 2 2 2 8 2 5" xfId="41051" xr:uid="{00000000-0005-0000-0000-0000E92C0000}"/>
    <cellStyle name="Comma 2 2 2 2 8 3" xfId="25465" xr:uid="{00000000-0005-0000-0000-0000EA2C0000}"/>
    <cellStyle name="Comma 2 2 2 2 8 3 2" xfId="44804" xr:uid="{00000000-0005-0000-0000-0000EB2C0000}"/>
    <cellStyle name="Comma 2 2 2 2 8 4" xfId="29677" xr:uid="{00000000-0005-0000-0000-0000EC2C0000}"/>
    <cellStyle name="Comma 2 2 2 2 8 5" xfId="33893" xr:uid="{00000000-0005-0000-0000-0000ED2C0000}"/>
    <cellStyle name="Comma 2 2 2 2 8 6" xfId="38097" xr:uid="{00000000-0005-0000-0000-0000EE2C0000}"/>
    <cellStyle name="Comma 2 2 2 2 9" xfId="5209" xr:uid="{00000000-0005-0000-0000-0000EF2C0000}"/>
    <cellStyle name="Comma 2 2 2 2 9 2" xfId="11288" xr:uid="{00000000-0005-0000-0000-0000F02C0000}"/>
    <cellStyle name="Comma 2 2 2 2 9 2 2" xfId="28118" xr:uid="{00000000-0005-0000-0000-0000F12C0000}"/>
    <cellStyle name="Comma 2 2 2 2 9 2 2 2" xfId="45782" xr:uid="{00000000-0005-0000-0000-0000F22C0000}"/>
    <cellStyle name="Comma 2 2 2 2 9 2 3" xfId="32331" xr:uid="{00000000-0005-0000-0000-0000F32C0000}"/>
    <cellStyle name="Comma 2 2 2 2 9 2 4" xfId="36546" xr:uid="{00000000-0005-0000-0000-0000F42C0000}"/>
    <cellStyle name="Comma 2 2 2 2 9 2 5" xfId="40750" xr:uid="{00000000-0005-0000-0000-0000F52C0000}"/>
    <cellStyle name="Comma 2 2 2 2 9 3" xfId="24968" xr:uid="{00000000-0005-0000-0000-0000F62C0000}"/>
    <cellStyle name="Comma 2 2 2 2 9 3 2" xfId="44517" xr:uid="{00000000-0005-0000-0000-0000F72C0000}"/>
    <cellStyle name="Comma 2 2 2 2 9 4" xfId="29180" xr:uid="{00000000-0005-0000-0000-0000F82C0000}"/>
    <cellStyle name="Comma 2 2 2 2 9 5" xfId="33396" xr:uid="{00000000-0005-0000-0000-0000F92C0000}"/>
    <cellStyle name="Comma 2 2 2 2 9 6" xfId="37600" xr:uid="{00000000-0005-0000-0000-0000FA2C0000}"/>
    <cellStyle name="Comma 2 2 2 20" xfId="29048" xr:uid="{00000000-0005-0000-0000-0000FB2C0000}"/>
    <cellStyle name="Comma 2 2 2 21" xfId="33265" xr:uid="{00000000-0005-0000-0000-0000FC2C0000}"/>
    <cellStyle name="Comma 2 2 2 22" xfId="37469" xr:uid="{00000000-0005-0000-0000-0000FD2C0000}"/>
    <cellStyle name="Comma 2 2 2 3" xfId="5860" xr:uid="{00000000-0005-0000-0000-0000FE2C0000}"/>
    <cellStyle name="Comma 2 2 2 3 10" xfId="24330" xr:uid="{00000000-0005-0000-0000-0000FF2C0000}"/>
    <cellStyle name="Comma 2 2 2 3 10 2" xfId="29017" xr:uid="{00000000-0005-0000-0000-0000002D0000}"/>
    <cellStyle name="Comma 2 2 2 3 10 3" xfId="33234" xr:uid="{00000000-0005-0000-0000-0000012D0000}"/>
    <cellStyle name="Comma 2 2 2 3 10 4" xfId="37445" xr:uid="{00000000-0005-0000-0000-0000022D0000}"/>
    <cellStyle name="Comma 2 2 2 3 11" xfId="25187" xr:uid="{00000000-0005-0000-0000-0000032D0000}"/>
    <cellStyle name="Comma 2 2 2 3 12" xfId="29399" xr:uid="{00000000-0005-0000-0000-0000042D0000}"/>
    <cellStyle name="Comma 2 2 2 3 13" xfId="33615" xr:uid="{00000000-0005-0000-0000-0000052D0000}"/>
    <cellStyle name="Comma 2 2 2 3 14" xfId="37819" xr:uid="{00000000-0005-0000-0000-0000062D0000}"/>
    <cellStyle name="Comma 2 2 2 3 2" xfId="5921" xr:uid="{00000000-0005-0000-0000-0000072D0000}"/>
    <cellStyle name="Comma 2 2 2 3 2 10" xfId="37868" xr:uid="{00000000-0005-0000-0000-0000082D0000}"/>
    <cellStyle name="Comma 2 2 2 3 2 2" xfId="6116" xr:uid="{00000000-0005-0000-0000-0000092D0000}"/>
    <cellStyle name="Comma 2 2 2 3 2 2 2" xfId="9801" xr:uid="{00000000-0005-0000-0000-00000A2D0000}"/>
    <cellStyle name="Comma 2 2 2 3 2 2 2 2" xfId="11624" xr:uid="{00000000-0005-0000-0000-00000B2D0000}"/>
    <cellStyle name="Comma 2 2 2 3 2 2 2 2 2" xfId="28380" xr:uid="{00000000-0005-0000-0000-00000C2D0000}"/>
    <cellStyle name="Comma 2 2 2 3 2 2 2 2 2 2" xfId="46029" xr:uid="{00000000-0005-0000-0000-00000D2D0000}"/>
    <cellStyle name="Comma 2 2 2 3 2 2 2 2 3" xfId="32593" xr:uid="{00000000-0005-0000-0000-00000E2D0000}"/>
    <cellStyle name="Comma 2 2 2 3 2 2 2 2 4" xfId="36808" xr:uid="{00000000-0005-0000-0000-00000F2D0000}"/>
    <cellStyle name="Comma 2 2 2 3 2 2 2 2 5" xfId="41012" xr:uid="{00000000-0005-0000-0000-0000102D0000}"/>
    <cellStyle name="Comma 2 2 2 3 2 2 2 3" xfId="27288" xr:uid="{00000000-0005-0000-0000-0000112D0000}"/>
    <cellStyle name="Comma 2 2 2 3 2 2 2 3 2" xfId="45166" xr:uid="{00000000-0005-0000-0000-0000122D0000}"/>
    <cellStyle name="Comma 2 2 2 3 2 2 2 4" xfId="31501" xr:uid="{00000000-0005-0000-0000-0000132D0000}"/>
    <cellStyle name="Comma 2 2 2 3 2 2 2 5" xfId="35716" xr:uid="{00000000-0005-0000-0000-0000142D0000}"/>
    <cellStyle name="Comma 2 2 2 3 2 2 2 6" xfId="39920" xr:uid="{00000000-0005-0000-0000-0000152D0000}"/>
    <cellStyle name="Comma 2 2 2 3 2 2 3" xfId="10538" xr:uid="{00000000-0005-0000-0000-0000162D0000}"/>
    <cellStyle name="Comma 2 2 2 3 2 2 3 2" xfId="27753" xr:uid="{00000000-0005-0000-0000-0000172D0000}"/>
    <cellStyle name="Comma 2 2 2 3 2 2 3 2 2" xfId="45431" xr:uid="{00000000-0005-0000-0000-0000182D0000}"/>
    <cellStyle name="Comma 2 2 2 3 2 2 3 3" xfId="31966" xr:uid="{00000000-0005-0000-0000-0000192D0000}"/>
    <cellStyle name="Comma 2 2 2 3 2 2 3 4" xfId="36181" xr:uid="{00000000-0005-0000-0000-00001A2D0000}"/>
    <cellStyle name="Comma 2 2 2 3 2 2 3 5" xfId="40385" xr:uid="{00000000-0005-0000-0000-00001B2D0000}"/>
    <cellStyle name="Comma 2 2 2 3 2 2 4" xfId="25426" xr:uid="{00000000-0005-0000-0000-00001C2D0000}"/>
    <cellStyle name="Comma 2 2 2 3 2 2 4 2" xfId="44765" xr:uid="{00000000-0005-0000-0000-00001D2D0000}"/>
    <cellStyle name="Comma 2 2 2 3 2 2 5" xfId="29638" xr:uid="{00000000-0005-0000-0000-00001E2D0000}"/>
    <cellStyle name="Comma 2 2 2 3 2 2 6" xfId="33854" xr:uid="{00000000-0005-0000-0000-00001F2D0000}"/>
    <cellStyle name="Comma 2 2 2 3 2 2 7" xfId="38058" xr:uid="{00000000-0005-0000-0000-0000202D0000}"/>
    <cellStyle name="Comma 2 2 2 3 2 3" xfId="6018" xr:uid="{00000000-0005-0000-0000-0000212D0000}"/>
    <cellStyle name="Comma 2 2 2 3 2 3 2" xfId="11526" xr:uid="{00000000-0005-0000-0000-0000222D0000}"/>
    <cellStyle name="Comma 2 2 2 3 2 3 2 2" xfId="28285" xr:uid="{00000000-0005-0000-0000-0000232D0000}"/>
    <cellStyle name="Comma 2 2 2 3 2 3 2 2 2" xfId="45934" xr:uid="{00000000-0005-0000-0000-0000242D0000}"/>
    <cellStyle name="Comma 2 2 2 3 2 3 2 3" xfId="32498" xr:uid="{00000000-0005-0000-0000-0000252D0000}"/>
    <cellStyle name="Comma 2 2 2 3 2 3 2 4" xfId="36713" xr:uid="{00000000-0005-0000-0000-0000262D0000}"/>
    <cellStyle name="Comma 2 2 2 3 2 3 2 5" xfId="40917" xr:uid="{00000000-0005-0000-0000-0000272D0000}"/>
    <cellStyle name="Comma 2 2 2 3 2 3 3" xfId="25331" xr:uid="{00000000-0005-0000-0000-0000282D0000}"/>
    <cellStyle name="Comma 2 2 2 3 2 3 3 2" xfId="44670" xr:uid="{00000000-0005-0000-0000-0000292D0000}"/>
    <cellStyle name="Comma 2 2 2 3 2 3 4" xfId="29543" xr:uid="{00000000-0005-0000-0000-00002A2D0000}"/>
    <cellStyle name="Comma 2 2 2 3 2 3 5" xfId="33759" xr:uid="{00000000-0005-0000-0000-00002B2D0000}"/>
    <cellStyle name="Comma 2 2 2 3 2 3 6" xfId="37963" xr:uid="{00000000-0005-0000-0000-00002C2D0000}"/>
    <cellStyle name="Comma 2 2 2 3 2 4" xfId="6867" xr:uid="{00000000-0005-0000-0000-00002D2D0000}"/>
    <cellStyle name="Comma 2 2 2 3 2 4 2" xfId="11778" xr:uid="{00000000-0005-0000-0000-00002E2D0000}"/>
    <cellStyle name="Comma 2 2 2 3 2 4 2 2" xfId="28498" xr:uid="{00000000-0005-0000-0000-00002F2D0000}"/>
    <cellStyle name="Comma 2 2 2 3 2 4 2 2 2" xfId="46149" xr:uid="{00000000-0005-0000-0000-0000302D0000}"/>
    <cellStyle name="Comma 2 2 2 3 2 4 2 3" xfId="32711" xr:uid="{00000000-0005-0000-0000-0000312D0000}"/>
    <cellStyle name="Comma 2 2 2 3 2 4 2 4" xfId="36926" xr:uid="{00000000-0005-0000-0000-0000322D0000}"/>
    <cellStyle name="Comma 2 2 2 3 2 4 2 5" xfId="41130" xr:uid="{00000000-0005-0000-0000-0000332D0000}"/>
    <cellStyle name="Comma 2 2 2 3 2 4 3" xfId="25555" xr:uid="{00000000-0005-0000-0000-0000342D0000}"/>
    <cellStyle name="Comma 2 2 2 3 2 4 3 2" xfId="44883" xr:uid="{00000000-0005-0000-0000-0000352D0000}"/>
    <cellStyle name="Comma 2 2 2 3 2 4 4" xfId="29768" xr:uid="{00000000-0005-0000-0000-0000362D0000}"/>
    <cellStyle name="Comma 2 2 2 3 2 4 5" xfId="33983" xr:uid="{00000000-0005-0000-0000-0000372D0000}"/>
    <cellStyle name="Comma 2 2 2 3 2 4 6" xfId="38187" xr:uid="{00000000-0005-0000-0000-0000382D0000}"/>
    <cellStyle name="Comma 2 2 2 3 2 5" xfId="9683" xr:uid="{00000000-0005-0000-0000-0000392D0000}"/>
    <cellStyle name="Comma 2 2 2 3 2 5 2" xfId="11430" xr:uid="{00000000-0005-0000-0000-00003A2D0000}"/>
    <cellStyle name="Comma 2 2 2 3 2 5 2 2" xfId="28190" xr:uid="{00000000-0005-0000-0000-00003B2D0000}"/>
    <cellStyle name="Comma 2 2 2 3 2 5 2 2 2" xfId="45839" xr:uid="{00000000-0005-0000-0000-00003C2D0000}"/>
    <cellStyle name="Comma 2 2 2 3 2 5 2 3" xfId="32403" xr:uid="{00000000-0005-0000-0000-00003D2D0000}"/>
    <cellStyle name="Comma 2 2 2 3 2 5 2 4" xfId="36618" xr:uid="{00000000-0005-0000-0000-00003E2D0000}"/>
    <cellStyle name="Comma 2 2 2 3 2 5 2 5" xfId="40822" xr:uid="{00000000-0005-0000-0000-00003F2D0000}"/>
    <cellStyle name="Comma 2 2 2 3 2 5 3" xfId="27194" xr:uid="{00000000-0005-0000-0000-0000402D0000}"/>
    <cellStyle name="Comma 2 2 2 3 2 5 3 2" xfId="45063" xr:uid="{00000000-0005-0000-0000-0000412D0000}"/>
    <cellStyle name="Comma 2 2 2 3 2 5 4" xfId="31407" xr:uid="{00000000-0005-0000-0000-0000422D0000}"/>
    <cellStyle name="Comma 2 2 2 3 2 5 5" xfId="35622" xr:uid="{00000000-0005-0000-0000-0000432D0000}"/>
    <cellStyle name="Comma 2 2 2 3 2 5 6" xfId="39826" xr:uid="{00000000-0005-0000-0000-0000442D0000}"/>
    <cellStyle name="Comma 2 2 2 3 2 6" xfId="10421" xr:uid="{00000000-0005-0000-0000-0000452D0000}"/>
    <cellStyle name="Comma 2 2 2 3 2 6 2" xfId="27659" xr:uid="{00000000-0005-0000-0000-0000462D0000}"/>
    <cellStyle name="Comma 2 2 2 3 2 6 2 2" xfId="45337" xr:uid="{00000000-0005-0000-0000-0000472D0000}"/>
    <cellStyle name="Comma 2 2 2 3 2 6 3" xfId="31872" xr:uid="{00000000-0005-0000-0000-0000482D0000}"/>
    <cellStyle name="Comma 2 2 2 3 2 6 4" xfId="36087" xr:uid="{00000000-0005-0000-0000-0000492D0000}"/>
    <cellStyle name="Comma 2 2 2 3 2 6 5" xfId="40291" xr:uid="{00000000-0005-0000-0000-00004A2D0000}"/>
    <cellStyle name="Comma 2 2 2 3 2 7" xfId="25236" xr:uid="{00000000-0005-0000-0000-00004B2D0000}"/>
    <cellStyle name="Comma 2 2 2 3 2 7 2" xfId="44575" xr:uid="{00000000-0005-0000-0000-00004C2D0000}"/>
    <cellStyle name="Comma 2 2 2 3 2 8" xfId="29448" xr:uid="{00000000-0005-0000-0000-00004D2D0000}"/>
    <cellStyle name="Comma 2 2 2 3 2 9" xfId="33664" xr:uid="{00000000-0005-0000-0000-00004E2D0000}"/>
    <cellStyle name="Comma 2 2 2 3 3" xfId="6069" xr:uid="{00000000-0005-0000-0000-00004F2D0000}"/>
    <cellStyle name="Comma 2 2 2 3 3 2" xfId="9741" xr:uid="{00000000-0005-0000-0000-0000502D0000}"/>
    <cellStyle name="Comma 2 2 2 3 3 2 2" xfId="11577" xr:uid="{00000000-0005-0000-0000-0000512D0000}"/>
    <cellStyle name="Comma 2 2 2 3 3 2 2 2" xfId="28333" xr:uid="{00000000-0005-0000-0000-0000522D0000}"/>
    <cellStyle name="Comma 2 2 2 3 3 2 2 2 2" xfId="45982" xr:uid="{00000000-0005-0000-0000-0000532D0000}"/>
    <cellStyle name="Comma 2 2 2 3 3 2 2 3" xfId="32546" xr:uid="{00000000-0005-0000-0000-0000542D0000}"/>
    <cellStyle name="Comma 2 2 2 3 3 2 2 4" xfId="36761" xr:uid="{00000000-0005-0000-0000-0000552D0000}"/>
    <cellStyle name="Comma 2 2 2 3 3 2 2 5" xfId="40965" xr:uid="{00000000-0005-0000-0000-0000562D0000}"/>
    <cellStyle name="Comma 2 2 2 3 3 2 3" xfId="27241" xr:uid="{00000000-0005-0000-0000-0000572D0000}"/>
    <cellStyle name="Comma 2 2 2 3 3 2 3 2" xfId="45119" xr:uid="{00000000-0005-0000-0000-0000582D0000}"/>
    <cellStyle name="Comma 2 2 2 3 3 2 4" xfId="31454" xr:uid="{00000000-0005-0000-0000-0000592D0000}"/>
    <cellStyle name="Comma 2 2 2 3 3 2 5" xfId="35669" xr:uid="{00000000-0005-0000-0000-00005A2D0000}"/>
    <cellStyle name="Comma 2 2 2 3 3 2 6" xfId="39873" xr:uid="{00000000-0005-0000-0000-00005B2D0000}"/>
    <cellStyle name="Comma 2 2 2 3 3 3" xfId="10468" xr:uid="{00000000-0005-0000-0000-00005C2D0000}"/>
    <cellStyle name="Comma 2 2 2 3 3 3 2" xfId="27706" xr:uid="{00000000-0005-0000-0000-00005D2D0000}"/>
    <cellStyle name="Comma 2 2 2 3 3 3 2 2" xfId="45384" xr:uid="{00000000-0005-0000-0000-00005E2D0000}"/>
    <cellStyle name="Comma 2 2 2 3 3 3 3" xfId="31919" xr:uid="{00000000-0005-0000-0000-00005F2D0000}"/>
    <cellStyle name="Comma 2 2 2 3 3 3 4" xfId="36134" xr:uid="{00000000-0005-0000-0000-0000602D0000}"/>
    <cellStyle name="Comma 2 2 2 3 3 3 5" xfId="40338" xr:uid="{00000000-0005-0000-0000-0000612D0000}"/>
    <cellStyle name="Comma 2 2 2 3 3 4" xfId="25379" xr:uid="{00000000-0005-0000-0000-0000622D0000}"/>
    <cellStyle name="Comma 2 2 2 3 3 4 2" xfId="44718" xr:uid="{00000000-0005-0000-0000-0000632D0000}"/>
    <cellStyle name="Comma 2 2 2 3 3 5" xfId="29591" xr:uid="{00000000-0005-0000-0000-0000642D0000}"/>
    <cellStyle name="Comma 2 2 2 3 3 6" xfId="33807" xr:uid="{00000000-0005-0000-0000-0000652D0000}"/>
    <cellStyle name="Comma 2 2 2 3 3 7" xfId="38011" xr:uid="{00000000-0005-0000-0000-0000662D0000}"/>
    <cellStyle name="Comma 2 2 2 3 4" xfId="5971" xr:uid="{00000000-0005-0000-0000-0000672D0000}"/>
    <cellStyle name="Comma 2 2 2 3 4 2" xfId="11479" xr:uid="{00000000-0005-0000-0000-0000682D0000}"/>
    <cellStyle name="Comma 2 2 2 3 4 2 2" xfId="28238" xr:uid="{00000000-0005-0000-0000-0000692D0000}"/>
    <cellStyle name="Comma 2 2 2 3 4 2 2 2" xfId="45887" xr:uid="{00000000-0005-0000-0000-00006A2D0000}"/>
    <cellStyle name="Comma 2 2 2 3 4 2 3" xfId="32451" xr:uid="{00000000-0005-0000-0000-00006B2D0000}"/>
    <cellStyle name="Comma 2 2 2 3 4 2 4" xfId="36666" xr:uid="{00000000-0005-0000-0000-00006C2D0000}"/>
    <cellStyle name="Comma 2 2 2 3 4 2 5" xfId="40870" xr:uid="{00000000-0005-0000-0000-00006D2D0000}"/>
    <cellStyle name="Comma 2 2 2 3 4 3" xfId="25284" xr:uid="{00000000-0005-0000-0000-00006E2D0000}"/>
    <cellStyle name="Comma 2 2 2 3 4 3 2" xfId="44623" xr:uid="{00000000-0005-0000-0000-00006F2D0000}"/>
    <cellStyle name="Comma 2 2 2 3 4 4" xfId="29496" xr:uid="{00000000-0005-0000-0000-0000702D0000}"/>
    <cellStyle name="Comma 2 2 2 3 4 5" xfId="33712" xr:uid="{00000000-0005-0000-0000-0000712D0000}"/>
    <cellStyle name="Comma 2 2 2 3 4 6" xfId="37916" xr:uid="{00000000-0005-0000-0000-0000722D0000}"/>
    <cellStyle name="Comma 2 2 2 3 5" xfId="6156" xr:uid="{00000000-0005-0000-0000-0000732D0000}"/>
    <cellStyle name="Comma 2 2 2 3 5 2" xfId="11664" xr:uid="{00000000-0005-0000-0000-0000742D0000}"/>
    <cellStyle name="Comma 2 2 2 3 5 2 2" xfId="28420" xr:uid="{00000000-0005-0000-0000-0000752D0000}"/>
    <cellStyle name="Comma 2 2 2 3 5 2 2 2" xfId="46069" xr:uid="{00000000-0005-0000-0000-0000762D0000}"/>
    <cellStyle name="Comma 2 2 2 3 5 2 3" xfId="32633" xr:uid="{00000000-0005-0000-0000-0000772D0000}"/>
    <cellStyle name="Comma 2 2 2 3 5 2 4" xfId="36848" xr:uid="{00000000-0005-0000-0000-0000782D0000}"/>
    <cellStyle name="Comma 2 2 2 3 5 2 5" xfId="41052" xr:uid="{00000000-0005-0000-0000-0000792D0000}"/>
    <cellStyle name="Comma 2 2 2 3 5 3" xfId="25466" xr:uid="{00000000-0005-0000-0000-00007A2D0000}"/>
    <cellStyle name="Comma 2 2 2 3 5 3 2" xfId="44805" xr:uid="{00000000-0005-0000-0000-00007B2D0000}"/>
    <cellStyle name="Comma 2 2 2 3 5 4" xfId="29678" xr:uid="{00000000-0005-0000-0000-00007C2D0000}"/>
    <cellStyle name="Comma 2 2 2 3 5 5" xfId="33894" xr:uid="{00000000-0005-0000-0000-00007D2D0000}"/>
    <cellStyle name="Comma 2 2 2 3 5 6" xfId="38098" xr:uid="{00000000-0005-0000-0000-00007E2D0000}"/>
    <cellStyle name="Comma 2 2 2 3 6" xfId="6327" xr:uid="{00000000-0005-0000-0000-00007F2D0000}"/>
    <cellStyle name="Comma 2 2 2 3 6 2" xfId="11739" xr:uid="{00000000-0005-0000-0000-0000802D0000}"/>
    <cellStyle name="Comma 2 2 2 3 6 2 2" xfId="28461" xr:uid="{00000000-0005-0000-0000-0000812D0000}"/>
    <cellStyle name="Comma 2 2 2 3 6 2 2 2" xfId="46110" xr:uid="{00000000-0005-0000-0000-0000822D0000}"/>
    <cellStyle name="Comma 2 2 2 3 6 2 3" xfId="32674" xr:uid="{00000000-0005-0000-0000-0000832D0000}"/>
    <cellStyle name="Comma 2 2 2 3 6 2 4" xfId="36889" xr:uid="{00000000-0005-0000-0000-0000842D0000}"/>
    <cellStyle name="Comma 2 2 2 3 6 2 5" xfId="41093" xr:uid="{00000000-0005-0000-0000-0000852D0000}"/>
    <cellStyle name="Comma 2 2 2 3 6 3" xfId="25517" xr:uid="{00000000-0005-0000-0000-0000862D0000}"/>
    <cellStyle name="Comma 2 2 2 3 6 3 2" xfId="44846" xr:uid="{00000000-0005-0000-0000-0000872D0000}"/>
    <cellStyle name="Comma 2 2 2 3 6 4" xfId="29729" xr:uid="{00000000-0005-0000-0000-0000882D0000}"/>
    <cellStyle name="Comma 2 2 2 3 6 5" xfId="33945" xr:uid="{00000000-0005-0000-0000-0000892D0000}"/>
    <cellStyle name="Comma 2 2 2 3 6 6" xfId="38149" xr:uid="{00000000-0005-0000-0000-00008A2D0000}"/>
    <cellStyle name="Comma 2 2 2 3 7" xfId="9632" xr:uid="{00000000-0005-0000-0000-00008B2D0000}"/>
    <cellStyle name="Comma 2 2 2 3 7 2" xfId="11374" xr:uid="{00000000-0005-0000-0000-00008C2D0000}"/>
    <cellStyle name="Comma 2 2 2 3 7 2 2" xfId="28143" xr:uid="{00000000-0005-0000-0000-00008D2D0000}"/>
    <cellStyle name="Comma 2 2 2 3 7 2 2 2" xfId="45792" xr:uid="{00000000-0005-0000-0000-00008E2D0000}"/>
    <cellStyle name="Comma 2 2 2 3 7 2 3" xfId="32356" xr:uid="{00000000-0005-0000-0000-00008F2D0000}"/>
    <cellStyle name="Comma 2 2 2 3 7 2 4" xfId="36571" xr:uid="{00000000-0005-0000-0000-0000902D0000}"/>
    <cellStyle name="Comma 2 2 2 3 7 2 5" xfId="40775" xr:uid="{00000000-0005-0000-0000-0000912D0000}"/>
    <cellStyle name="Comma 2 2 2 3 7 3" xfId="27147" xr:uid="{00000000-0005-0000-0000-0000922D0000}"/>
    <cellStyle name="Comma 2 2 2 3 7 3 2" xfId="45016" xr:uid="{00000000-0005-0000-0000-0000932D0000}"/>
    <cellStyle name="Comma 2 2 2 3 7 4" xfId="31360" xr:uid="{00000000-0005-0000-0000-0000942D0000}"/>
    <cellStyle name="Comma 2 2 2 3 7 5" xfId="35575" xr:uid="{00000000-0005-0000-0000-0000952D0000}"/>
    <cellStyle name="Comma 2 2 2 3 7 6" xfId="39779" xr:uid="{00000000-0005-0000-0000-0000962D0000}"/>
    <cellStyle name="Comma 2 2 2 3 8" xfId="10221" xr:uid="{00000000-0005-0000-0000-0000972D0000}"/>
    <cellStyle name="Comma 2 2 2 3 8 2" xfId="27612" xr:uid="{00000000-0005-0000-0000-0000982D0000}"/>
    <cellStyle name="Comma 2 2 2 3 8 2 2" xfId="45290" xr:uid="{00000000-0005-0000-0000-0000992D0000}"/>
    <cellStyle name="Comma 2 2 2 3 8 3" xfId="31825" xr:uid="{00000000-0005-0000-0000-00009A2D0000}"/>
    <cellStyle name="Comma 2 2 2 3 8 4" xfId="36040" xr:uid="{00000000-0005-0000-0000-00009B2D0000}"/>
    <cellStyle name="Comma 2 2 2 3 8 5" xfId="40244" xr:uid="{00000000-0005-0000-0000-00009C2D0000}"/>
    <cellStyle name="Comma 2 2 2 3 9" xfId="17521" xr:uid="{00000000-0005-0000-0000-00009D2D0000}"/>
    <cellStyle name="Comma 2 2 2 3 9 2" xfId="28924" xr:uid="{00000000-0005-0000-0000-00009E2D0000}"/>
    <cellStyle name="Comma 2 2 2 3 9 3" xfId="33139" xr:uid="{00000000-0005-0000-0000-00009F2D0000}"/>
    <cellStyle name="Comma 2 2 2 3 9 4" xfId="37352" xr:uid="{00000000-0005-0000-0000-0000A02D0000}"/>
    <cellStyle name="Comma 2 2 2 3 9 5" xfId="44528" xr:uid="{00000000-0005-0000-0000-0000A12D0000}"/>
    <cellStyle name="Comma 2 2 2 4" xfId="5870" xr:uid="{00000000-0005-0000-0000-0000A22D0000}"/>
    <cellStyle name="Comma 2 2 2 4 10" xfId="25197" xr:uid="{00000000-0005-0000-0000-0000A32D0000}"/>
    <cellStyle name="Comma 2 2 2 4 11" xfId="29409" xr:uid="{00000000-0005-0000-0000-0000A42D0000}"/>
    <cellStyle name="Comma 2 2 2 4 12" xfId="33625" xr:uid="{00000000-0005-0000-0000-0000A52D0000}"/>
    <cellStyle name="Comma 2 2 2 4 13" xfId="37829" xr:uid="{00000000-0005-0000-0000-0000A62D0000}"/>
    <cellStyle name="Comma 2 2 2 4 2" xfId="5931" xr:uid="{00000000-0005-0000-0000-0000A72D0000}"/>
    <cellStyle name="Comma 2 2 2 4 2 10" xfId="37878" xr:uid="{00000000-0005-0000-0000-0000A82D0000}"/>
    <cellStyle name="Comma 2 2 2 4 2 2" xfId="6126" xr:uid="{00000000-0005-0000-0000-0000A92D0000}"/>
    <cellStyle name="Comma 2 2 2 4 2 2 2" xfId="9802" xr:uid="{00000000-0005-0000-0000-0000AA2D0000}"/>
    <cellStyle name="Comma 2 2 2 4 2 2 2 2" xfId="11634" xr:uid="{00000000-0005-0000-0000-0000AB2D0000}"/>
    <cellStyle name="Comma 2 2 2 4 2 2 2 2 2" xfId="28390" xr:uid="{00000000-0005-0000-0000-0000AC2D0000}"/>
    <cellStyle name="Comma 2 2 2 4 2 2 2 2 2 2" xfId="46039" xr:uid="{00000000-0005-0000-0000-0000AD2D0000}"/>
    <cellStyle name="Comma 2 2 2 4 2 2 2 2 3" xfId="32603" xr:uid="{00000000-0005-0000-0000-0000AE2D0000}"/>
    <cellStyle name="Comma 2 2 2 4 2 2 2 2 4" xfId="36818" xr:uid="{00000000-0005-0000-0000-0000AF2D0000}"/>
    <cellStyle name="Comma 2 2 2 4 2 2 2 2 5" xfId="41022" xr:uid="{00000000-0005-0000-0000-0000B02D0000}"/>
    <cellStyle name="Comma 2 2 2 4 2 2 2 3" xfId="27289" xr:uid="{00000000-0005-0000-0000-0000B12D0000}"/>
    <cellStyle name="Comma 2 2 2 4 2 2 2 3 2" xfId="45167" xr:uid="{00000000-0005-0000-0000-0000B22D0000}"/>
    <cellStyle name="Comma 2 2 2 4 2 2 2 4" xfId="31502" xr:uid="{00000000-0005-0000-0000-0000B32D0000}"/>
    <cellStyle name="Comma 2 2 2 4 2 2 2 5" xfId="35717" xr:uid="{00000000-0005-0000-0000-0000B42D0000}"/>
    <cellStyle name="Comma 2 2 2 4 2 2 2 6" xfId="39921" xr:uid="{00000000-0005-0000-0000-0000B52D0000}"/>
    <cellStyle name="Comma 2 2 2 4 2 2 3" xfId="10539" xr:uid="{00000000-0005-0000-0000-0000B62D0000}"/>
    <cellStyle name="Comma 2 2 2 4 2 2 3 2" xfId="27754" xr:uid="{00000000-0005-0000-0000-0000B72D0000}"/>
    <cellStyle name="Comma 2 2 2 4 2 2 3 2 2" xfId="45432" xr:uid="{00000000-0005-0000-0000-0000B82D0000}"/>
    <cellStyle name="Comma 2 2 2 4 2 2 3 3" xfId="31967" xr:uid="{00000000-0005-0000-0000-0000B92D0000}"/>
    <cellStyle name="Comma 2 2 2 4 2 2 3 4" xfId="36182" xr:uid="{00000000-0005-0000-0000-0000BA2D0000}"/>
    <cellStyle name="Comma 2 2 2 4 2 2 3 5" xfId="40386" xr:uid="{00000000-0005-0000-0000-0000BB2D0000}"/>
    <cellStyle name="Comma 2 2 2 4 2 2 4" xfId="25436" xr:uid="{00000000-0005-0000-0000-0000BC2D0000}"/>
    <cellStyle name="Comma 2 2 2 4 2 2 4 2" xfId="44775" xr:uid="{00000000-0005-0000-0000-0000BD2D0000}"/>
    <cellStyle name="Comma 2 2 2 4 2 2 5" xfId="29648" xr:uid="{00000000-0005-0000-0000-0000BE2D0000}"/>
    <cellStyle name="Comma 2 2 2 4 2 2 6" xfId="33864" xr:uid="{00000000-0005-0000-0000-0000BF2D0000}"/>
    <cellStyle name="Comma 2 2 2 4 2 2 7" xfId="38068" xr:uid="{00000000-0005-0000-0000-0000C02D0000}"/>
    <cellStyle name="Comma 2 2 2 4 2 3" xfId="6028" xr:uid="{00000000-0005-0000-0000-0000C12D0000}"/>
    <cellStyle name="Comma 2 2 2 4 2 3 2" xfId="11536" xr:uid="{00000000-0005-0000-0000-0000C22D0000}"/>
    <cellStyle name="Comma 2 2 2 4 2 3 2 2" xfId="28295" xr:uid="{00000000-0005-0000-0000-0000C32D0000}"/>
    <cellStyle name="Comma 2 2 2 4 2 3 2 2 2" xfId="45944" xr:uid="{00000000-0005-0000-0000-0000C42D0000}"/>
    <cellStyle name="Comma 2 2 2 4 2 3 2 3" xfId="32508" xr:uid="{00000000-0005-0000-0000-0000C52D0000}"/>
    <cellStyle name="Comma 2 2 2 4 2 3 2 4" xfId="36723" xr:uid="{00000000-0005-0000-0000-0000C62D0000}"/>
    <cellStyle name="Comma 2 2 2 4 2 3 2 5" xfId="40927" xr:uid="{00000000-0005-0000-0000-0000C72D0000}"/>
    <cellStyle name="Comma 2 2 2 4 2 3 3" xfId="25341" xr:uid="{00000000-0005-0000-0000-0000C82D0000}"/>
    <cellStyle name="Comma 2 2 2 4 2 3 3 2" xfId="44680" xr:uid="{00000000-0005-0000-0000-0000C92D0000}"/>
    <cellStyle name="Comma 2 2 2 4 2 3 4" xfId="29553" xr:uid="{00000000-0005-0000-0000-0000CA2D0000}"/>
    <cellStyle name="Comma 2 2 2 4 2 3 5" xfId="33769" xr:uid="{00000000-0005-0000-0000-0000CB2D0000}"/>
    <cellStyle name="Comma 2 2 2 4 2 3 6" xfId="37973" xr:uid="{00000000-0005-0000-0000-0000CC2D0000}"/>
    <cellStyle name="Comma 2 2 2 4 2 4" xfId="6868" xr:uid="{00000000-0005-0000-0000-0000CD2D0000}"/>
    <cellStyle name="Comma 2 2 2 4 2 4 2" xfId="11779" xr:uid="{00000000-0005-0000-0000-0000CE2D0000}"/>
    <cellStyle name="Comma 2 2 2 4 2 4 2 2" xfId="28499" xr:uid="{00000000-0005-0000-0000-0000CF2D0000}"/>
    <cellStyle name="Comma 2 2 2 4 2 4 2 2 2" xfId="46150" xr:uid="{00000000-0005-0000-0000-0000D02D0000}"/>
    <cellStyle name="Comma 2 2 2 4 2 4 2 3" xfId="32712" xr:uid="{00000000-0005-0000-0000-0000D12D0000}"/>
    <cellStyle name="Comma 2 2 2 4 2 4 2 4" xfId="36927" xr:uid="{00000000-0005-0000-0000-0000D22D0000}"/>
    <cellStyle name="Comma 2 2 2 4 2 4 2 5" xfId="41131" xr:uid="{00000000-0005-0000-0000-0000D32D0000}"/>
    <cellStyle name="Comma 2 2 2 4 2 4 3" xfId="25556" xr:uid="{00000000-0005-0000-0000-0000D42D0000}"/>
    <cellStyle name="Comma 2 2 2 4 2 4 3 2" xfId="44884" xr:uid="{00000000-0005-0000-0000-0000D52D0000}"/>
    <cellStyle name="Comma 2 2 2 4 2 4 4" xfId="29769" xr:uid="{00000000-0005-0000-0000-0000D62D0000}"/>
    <cellStyle name="Comma 2 2 2 4 2 4 5" xfId="33984" xr:uid="{00000000-0005-0000-0000-0000D72D0000}"/>
    <cellStyle name="Comma 2 2 2 4 2 4 6" xfId="38188" xr:uid="{00000000-0005-0000-0000-0000D82D0000}"/>
    <cellStyle name="Comma 2 2 2 4 2 5" xfId="9684" xr:uid="{00000000-0005-0000-0000-0000D92D0000}"/>
    <cellStyle name="Comma 2 2 2 4 2 5 2" xfId="11440" xr:uid="{00000000-0005-0000-0000-0000DA2D0000}"/>
    <cellStyle name="Comma 2 2 2 4 2 5 2 2" xfId="28200" xr:uid="{00000000-0005-0000-0000-0000DB2D0000}"/>
    <cellStyle name="Comma 2 2 2 4 2 5 2 2 2" xfId="45849" xr:uid="{00000000-0005-0000-0000-0000DC2D0000}"/>
    <cellStyle name="Comma 2 2 2 4 2 5 2 3" xfId="32413" xr:uid="{00000000-0005-0000-0000-0000DD2D0000}"/>
    <cellStyle name="Comma 2 2 2 4 2 5 2 4" xfId="36628" xr:uid="{00000000-0005-0000-0000-0000DE2D0000}"/>
    <cellStyle name="Comma 2 2 2 4 2 5 2 5" xfId="40832" xr:uid="{00000000-0005-0000-0000-0000DF2D0000}"/>
    <cellStyle name="Comma 2 2 2 4 2 5 3" xfId="27195" xr:uid="{00000000-0005-0000-0000-0000E02D0000}"/>
    <cellStyle name="Comma 2 2 2 4 2 5 3 2" xfId="45064" xr:uid="{00000000-0005-0000-0000-0000E12D0000}"/>
    <cellStyle name="Comma 2 2 2 4 2 5 4" xfId="31408" xr:uid="{00000000-0005-0000-0000-0000E22D0000}"/>
    <cellStyle name="Comma 2 2 2 4 2 5 5" xfId="35623" xr:uid="{00000000-0005-0000-0000-0000E32D0000}"/>
    <cellStyle name="Comma 2 2 2 4 2 5 6" xfId="39827" xr:uid="{00000000-0005-0000-0000-0000E42D0000}"/>
    <cellStyle name="Comma 2 2 2 4 2 6" xfId="10422" xr:uid="{00000000-0005-0000-0000-0000E52D0000}"/>
    <cellStyle name="Comma 2 2 2 4 2 6 2" xfId="27660" xr:uid="{00000000-0005-0000-0000-0000E62D0000}"/>
    <cellStyle name="Comma 2 2 2 4 2 6 2 2" xfId="45338" xr:uid="{00000000-0005-0000-0000-0000E72D0000}"/>
    <cellStyle name="Comma 2 2 2 4 2 6 3" xfId="31873" xr:uid="{00000000-0005-0000-0000-0000E82D0000}"/>
    <cellStyle name="Comma 2 2 2 4 2 6 4" xfId="36088" xr:uid="{00000000-0005-0000-0000-0000E92D0000}"/>
    <cellStyle name="Comma 2 2 2 4 2 6 5" xfId="40292" xr:uid="{00000000-0005-0000-0000-0000EA2D0000}"/>
    <cellStyle name="Comma 2 2 2 4 2 7" xfId="25246" xr:uid="{00000000-0005-0000-0000-0000EB2D0000}"/>
    <cellStyle name="Comma 2 2 2 4 2 7 2" xfId="44585" xr:uid="{00000000-0005-0000-0000-0000EC2D0000}"/>
    <cellStyle name="Comma 2 2 2 4 2 8" xfId="29458" xr:uid="{00000000-0005-0000-0000-0000ED2D0000}"/>
    <cellStyle name="Comma 2 2 2 4 2 9" xfId="33674" xr:uid="{00000000-0005-0000-0000-0000EE2D0000}"/>
    <cellStyle name="Comma 2 2 2 4 3" xfId="6079" xr:uid="{00000000-0005-0000-0000-0000EF2D0000}"/>
    <cellStyle name="Comma 2 2 2 4 3 2" xfId="9742" xr:uid="{00000000-0005-0000-0000-0000F02D0000}"/>
    <cellStyle name="Comma 2 2 2 4 3 2 2" xfId="11587" xr:uid="{00000000-0005-0000-0000-0000F12D0000}"/>
    <cellStyle name="Comma 2 2 2 4 3 2 2 2" xfId="28343" xr:uid="{00000000-0005-0000-0000-0000F22D0000}"/>
    <cellStyle name="Comma 2 2 2 4 3 2 2 2 2" xfId="45992" xr:uid="{00000000-0005-0000-0000-0000F32D0000}"/>
    <cellStyle name="Comma 2 2 2 4 3 2 2 3" xfId="32556" xr:uid="{00000000-0005-0000-0000-0000F42D0000}"/>
    <cellStyle name="Comma 2 2 2 4 3 2 2 4" xfId="36771" xr:uid="{00000000-0005-0000-0000-0000F52D0000}"/>
    <cellStyle name="Comma 2 2 2 4 3 2 2 5" xfId="40975" xr:uid="{00000000-0005-0000-0000-0000F62D0000}"/>
    <cellStyle name="Comma 2 2 2 4 3 2 3" xfId="27242" xr:uid="{00000000-0005-0000-0000-0000F72D0000}"/>
    <cellStyle name="Comma 2 2 2 4 3 2 3 2" xfId="45120" xr:uid="{00000000-0005-0000-0000-0000F82D0000}"/>
    <cellStyle name="Comma 2 2 2 4 3 2 4" xfId="31455" xr:uid="{00000000-0005-0000-0000-0000F92D0000}"/>
    <cellStyle name="Comma 2 2 2 4 3 2 5" xfId="35670" xr:uid="{00000000-0005-0000-0000-0000FA2D0000}"/>
    <cellStyle name="Comma 2 2 2 4 3 2 6" xfId="39874" xr:uid="{00000000-0005-0000-0000-0000FB2D0000}"/>
    <cellStyle name="Comma 2 2 2 4 3 3" xfId="10469" xr:uid="{00000000-0005-0000-0000-0000FC2D0000}"/>
    <cellStyle name="Comma 2 2 2 4 3 3 2" xfId="27707" xr:uid="{00000000-0005-0000-0000-0000FD2D0000}"/>
    <cellStyle name="Comma 2 2 2 4 3 3 2 2" xfId="45385" xr:uid="{00000000-0005-0000-0000-0000FE2D0000}"/>
    <cellStyle name="Comma 2 2 2 4 3 3 3" xfId="31920" xr:uid="{00000000-0005-0000-0000-0000FF2D0000}"/>
    <cellStyle name="Comma 2 2 2 4 3 3 4" xfId="36135" xr:uid="{00000000-0005-0000-0000-0000002E0000}"/>
    <cellStyle name="Comma 2 2 2 4 3 3 5" xfId="40339" xr:uid="{00000000-0005-0000-0000-0000012E0000}"/>
    <cellStyle name="Comma 2 2 2 4 3 4" xfId="25389" xr:uid="{00000000-0005-0000-0000-0000022E0000}"/>
    <cellStyle name="Comma 2 2 2 4 3 4 2" xfId="44728" xr:uid="{00000000-0005-0000-0000-0000032E0000}"/>
    <cellStyle name="Comma 2 2 2 4 3 5" xfId="29601" xr:uid="{00000000-0005-0000-0000-0000042E0000}"/>
    <cellStyle name="Comma 2 2 2 4 3 6" xfId="33817" xr:uid="{00000000-0005-0000-0000-0000052E0000}"/>
    <cellStyle name="Comma 2 2 2 4 3 7" xfId="38021" xr:uid="{00000000-0005-0000-0000-0000062E0000}"/>
    <cellStyle name="Comma 2 2 2 4 4" xfId="5981" xr:uid="{00000000-0005-0000-0000-0000072E0000}"/>
    <cellStyle name="Comma 2 2 2 4 4 2" xfId="11489" xr:uid="{00000000-0005-0000-0000-0000082E0000}"/>
    <cellStyle name="Comma 2 2 2 4 4 2 2" xfId="28248" xr:uid="{00000000-0005-0000-0000-0000092E0000}"/>
    <cellStyle name="Comma 2 2 2 4 4 2 2 2" xfId="45897" xr:uid="{00000000-0005-0000-0000-00000A2E0000}"/>
    <cellStyle name="Comma 2 2 2 4 4 2 3" xfId="32461" xr:uid="{00000000-0005-0000-0000-00000B2E0000}"/>
    <cellStyle name="Comma 2 2 2 4 4 2 4" xfId="36676" xr:uid="{00000000-0005-0000-0000-00000C2E0000}"/>
    <cellStyle name="Comma 2 2 2 4 4 2 5" xfId="40880" xr:uid="{00000000-0005-0000-0000-00000D2E0000}"/>
    <cellStyle name="Comma 2 2 2 4 4 3" xfId="25294" xr:uid="{00000000-0005-0000-0000-00000E2E0000}"/>
    <cellStyle name="Comma 2 2 2 4 4 3 2" xfId="44633" xr:uid="{00000000-0005-0000-0000-00000F2E0000}"/>
    <cellStyle name="Comma 2 2 2 4 4 4" xfId="29506" xr:uid="{00000000-0005-0000-0000-0000102E0000}"/>
    <cellStyle name="Comma 2 2 2 4 4 5" xfId="33722" xr:uid="{00000000-0005-0000-0000-0000112E0000}"/>
    <cellStyle name="Comma 2 2 2 4 4 6" xfId="37926" xr:uid="{00000000-0005-0000-0000-0000122E0000}"/>
    <cellStyle name="Comma 2 2 2 4 5" xfId="6157" xr:uid="{00000000-0005-0000-0000-0000132E0000}"/>
    <cellStyle name="Comma 2 2 2 4 5 2" xfId="11665" xr:uid="{00000000-0005-0000-0000-0000142E0000}"/>
    <cellStyle name="Comma 2 2 2 4 5 2 2" xfId="28421" xr:uid="{00000000-0005-0000-0000-0000152E0000}"/>
    <cellStyle name="Comma 2 2 2 4 5 2 2 2" xfId="46070" xr:uid="{00000000-0005-0000-0000-0000162E0000}"/>
    <cellStyle name="Comma 2 2 2 4 5 2 3" xfId="32634" xr:uid="{00000000-0005-0000-0000-0000172E0000}"/>
    <cellStyle name="Comma 2 2 2 4 5 2 4" xfId="36849" xr:uid="{00000000-0005-0000-0000-0000182E0000}"/>
    <cellStyle name="Comma 2 2 2 4 5 2 5" xfId="41053" xr:uid="{00000000-0005-0000-0000-0000192E0000}"/>
    <cellStyle name="Comma 2 2 2 4 5 3" xfId="25467" xr:uid="{00000000-0005-0000-0000-00001A2E0000}"/>
    <cellStyle name="Comma 2 2 2 4 5 3 2" xfId="44806" xr:uid="{00000000-0005-0000-0000-00001B2E0000}"/>
    <cellStyle name="Comma 2 2 2 4 5 4" xfId="29679" xr:uid="{00000000-0005-0000-0000-00001C2E0000}"/>
    <cellStyle name="Comma 2 2 2 4 5 5" xfId="33895" xr:uid="{00000000-0005-0000-0000-00001D2E0000}"/>
    <cellStyle name="Comma 2 2 2 4 5 6" xfId="38099" xr:uid="{00000000-0005-0000-0000-00001E2E0000}"/>
    <cellStyle name="Comma 2 2 2 4 6" xfId="6328" xr:uid="{00000000-0005-0000-0000-00001F2E0000}"/>
    <cellStyle name="Comma 2 2 2 4 6 2" xfId="11740" xr:uid="{00000000-0005-0000-0000-0000202E0000}"/>
    <cellStyle name="Comma 2 2 2 4 6 2 2" xfId="28462" xr:uid="{00000000-0005-0000-0000-0000212E0000}"/>
    <cellStyle name="Comma 2 2 2 4 6 2 2 2" xfId="46111" xr:uid="{00000000-0005-0000-0000-0000222E0000}"/>
    <cellStyle name="Comma 2 2 2 4 6 2 3" xfId="32675" xr:uid="{00000000-0005-0000-0000-0000232E0000}"/>
    <cellStyle name="Comma 2 2 2 4 6 2 4" xfId="36890" xr:uid="{00000000-0005-0000-0000-0000242E0000}"/>
    <cellStyle name="Comma 2 2 2 4 6 2 5" xfId="41094" xr:uid="{00000000-0005-0000-0000-0000252E0000}"/>
    <cellStyle name="Comma 2 2 2 4 6 3" xfId="25518" xr:uid="{00000000-0005-0000-0000-0000262E0000}"/>
    <cellStyle name="Comma 2 2 2 4 6 3 2" xfId="44847" xr:uid="{00000000-0005-0000-0000-0000272E0000}"/>
    <cellStyle name="Comma 2 2 2 4 6 4" xfId="29730" xr:uid="{00000000-0005-0000-0000-0000282E0000}"/>
    <cellStyle name="Comma 2 2 2 4 6 5" xfId="33946" xr:uid="{00000000-0005-0000-0000-0000292E0000}"/>
    <cellStyle name="Comma 2 2 2 4 6 6" xfId="38150" xr:uid="{00000000-0005-0000-0000-00002A2E0000}"/>
    <cellStyle name="Comma 2 2 2 4 7" xfId="9633" xr:uid="{00000000-0005-0000-0000-00002B2E0000}"/>
    <cellStyle name="Comma 2 2 2 4 7 2" xfId="11384" xr:uid="{00000000-0005-0000-0000-00002C2E0000}"/>
    <cellStyle name="Comma 2 2 2 4 7 2 2" xfId="28153" xr:uid="{00000000-0005-0000-0000-00002D2E0000}"/>
    <cellStyle name="Comma 2 2 2 4 7 2 2 2" xfId="45802" xr:uid="{00000000-0005-0000-0000-00002E2E0000}"/>
    <cellStyle name="Comma 2 2 2 4 7 2 3" xfId="32366" xr:uid="{00000000-0005-0000-0000-00002F2E0000}"/>
    <cellStyle name="Comma 2 2 2 4 7 2 4" xfId="36581" xr:uid="{00000000-0005-0000-0000-0000302E0000}"/>
    <cellStyle name="Comma 2 2 2 4 7 2 5" xfId="40785" xr:uid="{00000000-0005-0000-0000-0000312E0000}"/>
    <cellStyle name="Comma 2 2 2 4 7 3" xfId="27148" xr:uid="{00000000-0005-0000-0000-0000322E0000}"/>
    <cellStyle name="Comma 2 2 2 4 7 3 2" xfId="45017" xr:uid="{00000000-0005-0000-0000-0000332E0000}"/>
    <cellStyle name="Comma 2 2 2 4 7 4" xfId="31361" xr:uid="{00000000-0005-0000-0000-0000342E0000}"/>
    <cellStyle name="Comma 2 2 2 4 7 5" xfId="35576" xr:uid="{00000000-0005-0000-0000-0000352E0000}"/>
    <cellStyle name="Comma 2 2 2 4 7 6" xfId="39780" xr:uid="{00000000-0005-0000-0000-0000362E0000}"/>
    <cellStyle name="Comma 2 2 2 4 8" xfId="10222" xr:uid="{00000000-0005-0000-0000-0000372E0000}"/>
    <cellStyle name="Comma 2 2 2 4 8 2" xfId="27613" xr:uid="{00000000-0005-0000-0000-0000382E0000}"/>
    <cellStyle name="Comma 2 2 2 4 8 2 2" xfId="45291" xr:uid="{00000000-0005-0000-0000-0000392E0000}"/>
    <cellStyle name="Comma 2 2 2 4 8 3" xfId="31826" xr:uid="{00000000-0005-0000-0000-00003A2E0000}"/>
    <cellStyle name="Comma 2 2 2 4 8 4" xfId="36041" xr:uid="{00000000-0005-0000-0000-00003B2E0000}"/>
    <cellStyle name="Comma 2 2 2 4 8 5" xfId="40245" xr:uid="{00000000-0005-0000-0000-00003C2E0000}"/>
    <cellStyle name="Comma 2 2 2 4 9" xfId="13725" xr:uid="{00000000-0005-0000-0000-00003D2E0000}"/>
    <cellStyle name="Comma 2 2 2 4 9 2" xfId="28893" xr:uid="{00000000-0005-0000-0000-00003E2E0000}"/>
    <cellStyle name="Comma 2 2 2 4 9 3" xfId="33106" xr:uid="{00000000-0005-0000-0000-00003F2E0000}"/>
    <cellStyle name="Comma 2 2 2 4 9 4" xfId="37321" xr:uid="{00000000-0005-0000-0000-0000402E0000}"/>
    <cellStyle name="Comma 2 2 2 4 9 5" xfId="44538" xr:uid="{00000000-0005-0000-0000-0000412E0000}"/>
    <cellStyle name="Comma 2 2 2 5" xfId="5881" xr:uid="{00000000-0005-0000-0000-0000422E0000}"/>
    <cellStyle name="Comma 2 2 2 5 10" xfId="29419" xr:uid="{00000000-0005-0000-0000-0000432E0000}"/>
    <cellStyle name="Comma 2 2 2 5 11" xfId="33635" xr:uid="{00000000-0005-0000-0000-0000442E0000}"/>
    <cellStyle name="Comma 2 2 2 5 12" xfId="37839" xr:uid="{00000000-0005-0000-0000-0000452E0000}"/>
    <cellStyle name="Comma 2 2 2 5 2" xfId="5941" xr:uid="{00000000-0005-0000-0000-0000462E0000}"/>
    <cellStyle name="Comma 2 2 2 5 2 10" xfId="37888" xr:uid="{00000000-0005-0000-0000-0000472E0000}"/>
    <cellStyle name="Comma 2 2 2 5 2 2" xfId="6136" xr:uid="{00000000-0005-0000-0000-0000482E0000}"/>
    <cellStyle name="Comma 2 2 2 5 2 2 2" xfId="9803" xr:uid="{00000000-0005-0000-0000-0000492E0000}"/>
    <cellStyle name="Comma 2 2 2 5 2 2 2 2" xfId="11644" xr:uid="{00000000-0005-0000-0000-00004A2E0000}"/>
    <cellStyle name="Comma 2 2 2 5 2 2 2 2 2" xfId="28400" xr:uid="{00000000-0005-0000-0000-00004B2E0000}"/>
    <cellStyle name="Comma 2 2 2 5 2 2 2 2 2 2" xfId="46049" xr:uid="{00000000-0005-0000-0000-00004C2E0000}"/>
    <cellStyle name="Comma 2 2 2 5 2 2 2 2 3" xfId="32613" xr:uid="{00000000-0005-0000-0000-00004D2E0000}"/>
    <cellStyle name="Comma 2 2 2 5 2 2 2 2 4" xfId="36828" xr:uid="{00000000-0005-0000-0000-00004E2E0000}"/>
    <cellStyle name="Comma 2 2 2 5 2 2 2 2 5" xfId="41032" xr:uid="{00000000-0005-0000-0000-00004F2E0000}"/>
    <cellStyle name="Comma 2 2 2 5 2 2 2 3" xfId="27290" xr:uid="{00000000-0005-0000-0000-0000502E0000}"/>
    <cellStyle name="Comma 2 2 2 5 2 2 2 3 2" xfId="45168" xr:uid="{00000000-0005-0000-0000-0000512E0000}"/>
    <cellStyle name="Comma 2 2 2 5 2 2 2 4" xfId="31503" xr:uid="{00000000-0005-0000-0000-0000522E0000}"/>
    <cellStyle name="Comma 2 2 2 5 2 2 2 5" xfId="35718" xr:uid="{00000000-0005-0000-0000-0000532E0000}"/>
    <cellStyle name="Comma 2 2 2 5 2 2 2 6" xfId="39922" xr:uid="{00000000-0005-0000-0000-0000542E0000}"/>
    <cellStyle name="Comma 2 2 2 5 2 2 3" xfId="10540" xr:uid="{00000000-0005-0000-0000-0000552E0000}"/>
    <cellStyle name="Comma 2 2 2 5 2 2 3 2" xfId="27755" xr:uid="{00000000-0005-0000-0000-0000562E0000}"/>
    <cellStyle name="Comma 2 2 2 5 2 2 3 2 2" xfId="45433" xr:uid="{00000000-0005-0000-0000-0000572E0000}"/>
    <cellStyle name="Comma 2 2 2 5 2 2 3 3" xfId="31968" xr:uid="{00000000-0005-0000-0000-0000582E0000}"/>
    <cellStyle name="Comma 2 2 2 5 2 2 3 4" xfId="36183" xr:uid="{00000000-0005-0000-0000-0000592E0000}"/>
    <cellStyle name="Comma 2 2 2 5 2 2 3 5" xfId="40387" xr:uid="{00000000-0005-0000-0000-00005A2E0000}"/>
    <cellStyle name="Comma 2 2 2 5 2 2 4" xfId="25446" xr:uid="{00000000-0005-0000-0000-00005B2E0000}"/>
    <cellStyle name="Comma 2 2 2 5 2 2 4 2" xfId="44785" xr:uid="{00000000-0005-0000-0000-00005C2E0000}"/>
    <cellStyle name="Comma 2 2 2 5 2 2 5" xfId="29658" xr:uid="{00000000-0005-0000-0000-00005D2E0000}"/>
    <cellStyle name="Comma 2 2 2 5 2 2 6" xfId="33874" xr:uid="{00000000-0005-0000-0000-00005E2E0000}"/>
    <cellStyle name="Comma 2 2 2 5 2 2 7" xfId="38078" xr:uid="{00000000-0005-0000-0000-00005F2E0000}"/>
    <cellStyle name="Comma 2 2 2 5 2 3" xfId="6038" xr:uid="{00000000-0005-0000-0000-0000602E0000}"/>
    <cellStyle name="Comma 2 2 2 5 2 3 2" xfId="11546" xr:uid="{00000000-0005-0000-0000-0000612E0000}"/>
    <cellStyle name="Comma 2 2 2 5 2 3 2 2" xfId="28305" xr:uid="{00000000-0005-0000-0000-0000622E0000}"/>
    <cellStyle name="Comma 2 2 2 5 2 3 2 2 2" xfId="45954" xr:uid="{00000000-0005-0000-0000-0000632E0000}"/>
    <cellStyle name="Comma 2 2 2 5 2 3 2 3" xfId="32518" xr:uid="{00000000-0005-0000-0000-0000642E0000}"/>
    <cellStyle name="Comma 2 2 2 5 2 3 2 4" xfId="36733" xr:uid="{00000000-0005-0000-0000-0000652E0000}"/>
    <cellStyle name="Comma 2 2 2 5 2 3 2 5" xfId="40937" xr:uid="{00000000-0005-0000-0000-0000662E0000}"/>
    <cellStyle name="Comma 2 2 2 5 2 3 3" xfId="25351" xr:uid="{00000000-0005-0000-0000-0000672E0000}"/>
    <cellStyle name="Comma 2 2 2 5 2 3 3 2" xfId="44690" xr:uid="{00000000-0005-0000-0000-0000682E0000}"/>
    <cellStyle name="Comma 2 2 2 5 2 3 4" xfId="29563" xr:uid="{00000000-0005-0000-0000-0000692E0000}"/>
    <cellStyle name="Comma 2 2 2 5 2 3 5" xfId="33779" xr:uid="{00000000-0005-0000-0000-00006A2E0000}"/>
    <cellStyle name="Comma 2 2 2 5 2 3 6" xfId="37983" xr:uid="{00000000-0005-0000-0000-00006B2E0000}"/>
    <cellStyle name="Comma 2 2 2 5 2 4" xfId="6869" xr:uid="{00000000-0005-0000-0000-00006C2E0000}"/>
    <cellStyle name="Comma 2 2 2 5 2 4 2" xfId="11780" xr:uid="{00000000-0005-0000-0000-00006D2E0000}"/>
    <cellStyle name="Comma 2 2 2 5 2 4 2 2" xfId="28500" xr:uid="{00000000-0005-0000-0000-00006E2E0000}"/>
    <cellStyle name="Comma 2 2 2 5 2 4 2 2 2" xfId="46151" xr:uid="{00000000-0005-0000-0000-00006F2E0000}"/>
    <cellStyle name="Comma 2 2 2 5 2 4 2 3" xfId="32713" xr:uid="{00000000-0005-0000-0000-0000702E0000}"/>
    <cellStyle name="Comma 2 2 2 5 2 4 2 4" xfId="36928" xr:uid="{00000000-0005-0000-0000-0000712E0000}"/>
    <cellStyle name="Comma 2 2 2 5 2 4 2 5" xfId="41132" xr:uid="{00000000-0005-0000-0000-0000722E0000}"/>
    <cellStyle name="Comma 2 2 2 5 2 4 3" xfId="25557" xr:uid="{00000000-0005-0000-0000-0000732E0000}"/>
    <cellStyle name="Comma 2 2 2 5 2 4 3 2" xfId="44885" xr:uid="{00000000-0005-0000-0000-0000742E0000}"/>
    <cellStyle name="Comma 2 2 2 5 2 4 4" xfId="29770" xr:uid="{00000000-0005-0000-0000-0000752E0000}"/>
    <cellStyle name="Comma 2 2 2 5 2 4 5" xfId="33985" xr:uid="{00000000-0005-0000-0000-0000762E0000}"/>
    <cellStyle name="Comma 2 2 2 5 2 4 6" xfId="38189" xr:uid="{00000000-0005-0000-0000-0000772E0000}"/>
    <cellStyle name="Comma 2 2 2 5 2 5" xfId="9685" xr:uid="{00000000-0005-0000-0000-0000782E0000}"/>
    <cellStyle name="Comma 2 2 2 5 2 5 2" xfId="11450" xr:uid="{00000000-0005-0000-0000-0000792E0000}"/>
    <cellStyle name="Comma 2 2 2 5 2 5 2 2" xfId="28210" xr:uid="{00000000-0005-0000-0000-00007A2E0000}"/>
    <cellStyle name="Comma 2 2 2 5 2 5 2 2 2" xfId="45859" xr:uid="{00000000-0005-0000-0000-00007B2E0000}"/>
    <cellStyle name="Comma 2 2 2 5 2 5 2 3" xfId="32423" xr:uid="{00000000-0005-0000-0000-00007C2E0000}"/>
    <cellStyle name="Comma 2 2 2 5 2 5 2 4" xfId="36638" xr:uid="{00000000-0005-0000-0000-00007D2E0000}"/>
    <cellStyle name="Comma 2 2 2 5 2 5 2 5" xfId="40842" xr:uid="{00000000-0005-0000-0000-00007E2E0000}"/>
    <cellStyle name="Comma 2 2 2 5 2 5 3" xfId="27196" xr:uid="{00000000-0005-0000-0000-00007F2E0000}"/>
    <cellStyle name="Comma 2 2 2 5 2 5 3 2" xfId="45065" xr:uid="{00000000-0005-0000-0000-0000802E0000}"/>
    <cellStyle name="Comma 2 2 2 5 2 5 4" xfId="31409" xr:uid="{00000000-0005-0000-0000-0000812E0000}"/>
    <cellStyle name="Comma 2 2 2 5 2 5 5" xfId="35624" xr:uid="{00000000-0005-0000-0000-0000822E0000}"/>
    <cellStyle name="Comma 2 2 2 5 2 5 6" xfId="39828" xr:uid="{00000000-0005-0000-0000-0000832E0000}"/>
    <cellStyle name="Comma 2 2 2 5 2 6" xfId="10423" xr:uid="{00000000-0005-0000-0000-0000842E0000}"/>
    <cellStyle name="Comma 2 2 2 5 2 6 2" xfId="27661" xr:uid="{00000000-0005-0000-0000-0000852E0000}"/>
    <cellStyle name="Comma 2 2 2 5 2 6 2 2" xfId="45339" xr:uid="{00000000-0005-0000-0000-0000862E0000}"/>
    <cellStyle name="Comma 2 2 2 5 2 6 3" xfId="31874" xr:uid="{00000000-0005-0000-0000-0000872E0000}"/>
    <cellStyle name="Comma 2 2 2 5 2 6 4" xfId="36089" xr:uid="{00000000-0005-0000-0000-0000882E0000}"/>
    <cellStyle name="Comma 2 2 2 5 2 6 5" xfId="40293" xr:uid="{00000000-0005-0000-0000-0000892E0000}"/>
    <cellStyle name="Comma 2 2 2 5 2 7" xfId="25256" xr:uid="{00000000-0005-0000-0000-00008A2E0000}"/>
    <cellStyle name="Comma 2 2 2 5 2 7 2" xfId="44595" xr:uid="{00000000-0005-0000-0000-00008B2E0000}"/>
    <cellStyle name="Comma 2 2 2 5 2 8" xfId="29468" xr:uid="{00000000-0005-0000-0000-00008C2E0000}"/>
    <cellStyle name="Comma 2 2 2 5 2 9" xfId="33684" xr:uid="{00000000-0005-0000-0000-00008D2E0000}"/>
    <cellStyle name="Comma 2 2 2 5 3" xfId="6089" xr:uid="{00000000-0005-0000-0000-00008E2E0000}"/>
    <cellStyle name="Comma 2 2 2 5 3 2" xfId="9743" xr:uid="{00000000-0005-0000-0000-00008F2E0000}"/>
    <cellStyle name="Comma 2 2 2 5 3 2 2" xfId="11597" xr:uid="{00000000-0005-0000-0000-0000902E0000}"/>
    <cellStyle name="Comma 2 2 2 5 3 2 2 2" xfId="28353" xr:uid="{00000000-0005-0000-0000-0000912E0000}"/>
    <cellStyle name="Comma 2 2 2 5 3 2 2 2 2" xfId="46002" xr:uid="{00000000-0005-0000-0000-0000922E0000}"/>
    <cellStyle name="Comma 2 2 2 5 3 2 2 3" xfId="32566" xr:uid="{00000000-0005-0000-0000-0000932E0000}"/>
    <cellStyle name="Comma 2 2 2 5 3 2 2 4" xfId="36781" xr:uid="{00000000-0005-0000-0000-0000942E0000}"/>
    <cellStyle name="Comma 2 2 2 5 3 2 2 5" xfId="40985" xr:uid="{00000000-0005-0000-0000-0000952E0000}"/>
    <cellStyle name="Comma 2 2 2 5 3 2 3" xfId="27243" xr:uid="{00000000-0005-0000-0000-0000962E0000}"/>
    <cellStyle name="Comma 2 2 2 5 3 2 3 2" xfId="45121" xr:uid="{00000000-0005-0000-0000-0000972E0000}"/>
    <cellStyle name="Comma 2 2 2 5 3 2 4" xfId="31456" xr:uid="{00000000-0005-0000-0000-0000982E0000}"/>
    <cellStyle name="Comma 2 2 2 5 3 2 5" xfId="35671" xr:uid="{00000000-0005-0000-0000-0000992E0000}"/>
    <cellStyle name="Comma 2 2 2 5 3 2 6" xfId="39875" xr:uid="{00000000-0005-0000-0000-00009A2E0000}"/>
    <cellStyle name="Comma 2 2 2 5 3 3" xfId="10470" xr:uid="{00000000-0005-0000-0000-00009B2E0000}"/>
    <cellStyle name="Comma 2 2 2 5 3 3 2" xfId="27708" xr:uid="{00000000-0005-0000-0000-00009C2E0000}"/>
    <cellStyle name="Comma 2 2 2 5 3 3 2 2" xfId="45386" xr:uid="{00000000-0005-0000-0000-00009D2E0000}"/>
    <cellStyle name="Comma 2 2 2 5 3 3 3" xfId="31921" xr:uid="{00000000-0005-0000-0000-00009E2E0000}"/>
    <cellStyle name="Comma 2 2 2 5 3 3 4" xfId="36136" xr:uid="{00000000-0005-0000-0000-00009F2E0000}"/>
    <cellStyle name="Comma 2 2 2 5 3 3 5" xfId="40340" xr:uid="{00000000-0005-0000-0000-0000A02E0000}"/>
    <cellStyle name="Comma 2 2 2 5 3 4" xfId="25399" xr:uid="{00000000-0005-0000-0000-0000A12E0000}"/>
    <cellStyle name="Comma 2 2 2 5 3 4 2" xfId="44738" xr:uid="{00000000-0005-0000-0000-0000A22E0000}"/>
    <cellStyle name="Comma 2 2 2 5 3 5" xfId="29611" xr:uid="{00000000-0005-0000-0000-0000A32E0000}"/>
    <cellStyle name="Comma 2 2 2 5 3 6" xfId="33827" xr:uid="{00000000-0005-0000-0000-0000A42E0000}"/>
    <cellStyle name="Comma 2 2 2 5 3 7" xfId="38031" xr:uid="{00000000-0005-0000-0000-0000A52E0000}"/>
    <cellStyle name="Comma 2 2 2 5 4" xfId="5991" xr:uid="{00000000-0005-0000-0000-0000A62E0000}"/>
    <cellStyle name="Comma 2 2 2 5 4 2" xfId="11499" xr:uid="{00000000-0005-0000-0000-0000A72E0000}"/>
    <cellStyle name="Comma 2 2 2 5 4 2 2" xfId="28258" xr:uid="{00000000-0005-0000-0000-0000A82E0000}"/>
    <cellStyle name="Comma 2 2 2 5 4 2 2 2" xfId="45907" xr:uid="{00000000-0005-0000-0000-0000A92E0000}"/>
    <cellStyle name="Comma 2 2 2 5 4 2 3" xfId="32471" xr:uid="{00000000-0005-0000-0000-0000AA2E0000}"/>
    <cellStyle name="Comma 2 2 2 5 4 2 4" xfId="36686" xr:uid="{00000000-0005-0000-0000-0000AB2E0000}"/>
    <cellStyle name="Comma 2 2 2 5 4 2 5" xfId="40890" xr:uid="{00000000-0005-0000-0000-0000AC2E0000}"/>
    <cellStyle name="Comma 2 2 2 5 4 3" xfId="25304" xr:uid="{00000000-0005-0000-0000-0000AD2E0000}"/>
    <cellStyle name="Comma 2 2 2 5 4 3 2" xfId="44643" xr:uid="{00000000-0005-0000-0000-0000AE2E0000}"/>
    <cellStyle name="Comma 2 2 2 5 4 4" xfId="29516" xr:uid="{00000000-0005-0000-0000-0000AF2E0000}"/>
    <cellStyle name="Comma 2 2 2 5 4 5" xfId="33732" xr:uid="{00000000-0005-0000-0000-0000B02E0000}"/>
    <cellStyle name="Comma 2 2 2 5 4 6" xfId="37936" xr:uid="{00000000-0005-0000-0000-0000B12E0000}"/>
    <cellStyle name="Comma 2 2 2 5 5" xfId="6329" xr:uid="{00000000-0005-0000-0000-0000B22E0000}"/>
    <cellStyle name="Comma 2 2 2 5 5 2" xfId="11741" xr:uid="{00000000-0005-0000-0000-0000B32E0000}"/>
    <cellStyle name="Comma 2 2 2 5 5 2 2" xfId="28463" xr:uid="{00000000-0005-0000-0000-0000B42E0000}"/>
    <cellStyle name="Comma 2 2 2 5 5 2 2 2" xfId="46112" xr:uid="{00000000-0005-0000-0000-0000B52E0000}"/>
    <cellStyle name="Comma 2 2 2 5 5 2 3" xfId="32676" xr:uid="{00000000-0005-0000-0000-0000B62E0000}"/>
    <cellStyle name="Comma 2 2 2 5 5 2 4" xfId="36891" xr:uid="{00000000-0005-0000-0000-0000B72E0000}"/>
    <cellStyle name="Comma 2 2 2 5 5 2 5" xfId="41095" xr:uid="{00000000-0005-0000-0000-0000B82E0000}"/>
    <cellStyle name="Comma 2 2 2 5 5 3" xfId="25519" xr:uid="{00000000-0005-0000-0000-0000B92E0000}"/>
    <cellStyle name="Comma 2 2 2 5 5 3 2" xfId="44848" xr:uid="{00000000-0005-0000-0000-0000BA2E0000}"/>
    <cellStyle name="Comma 2 2 2 5 5 4" xfId="29731" xr:uid="{00000000-0005-0000-0000-0000BB2E0000}"/>
    <cellStyle name="Comma 2 2 2 5 5 5" xfId="33947" xr:uid="{00000000-0005-0000-0000-0000BC2E0000}"/>
    <cellStyle name="Comma 2 2 2 5 5 6" xfId="38151" xr:uid="{00000000-0005-0000-0000-0000BD2E0000}"/>
    <cellStyle name="Comma 2 2 2 5 6" xfId="9634" xr:uid="{00000000-0005-0000-0000-0000BE2E0000}"/>
    <cellStyle name="Comma 2 2 2 5 6 2" xfId="11395" xr:uid="{00000000-0005-0000-0000-0000BF2E0000}"/>
    <cellStyle name="Comma 2 2 2 5 6 2 2" xfId="28163" xr:uid="{00000000-0005-0000-0000-0000C02E0000}"/>
    <cellStyle name="Comma 2 2 2 5 6 2 2 2" xfId="45812" xr:uid="{00000000-0005-0000-0000-0000C12E0000}"/>
    <cellStyle name="Comma 2 2 2 5 6 2 3" xfId="32376" xr:uid="{00000000-0005-0000-0000-0000C22E0000}"/>
    <cellStyle name="Comma 2 2 2 5 6 2 4" xfId="36591" xr:uid="{00000000-0005-0000-0000-0000C32E0000}"/>
    <cellStyle name="Comma 2 2 2 5 6 2 5" xfId="40795" xr:uid="{00000000-0005-0000-0000-0000C42E0000}"/>
    <cellStyle name="Comma 2 2 2 5 6 3" xfId="27149" xr:uid="{00000000-0005-0000-0000-0000C52E0000}"/>
    <cellStyle name="Comma 2 2 2 5 6 3 2" xfId="45018" xr:uid="{00000000-0005-0000-0000-0000C62E0000}"/>
    <cellStyle name="Comma 2 2 2 5 6 4" xfId="31362" xr:uid="{00000000-0005-0000-0000-0000C72E0000}"/>
    <cellStyle name="Comma 2 2 2 5 6 5" xfId="35577" xr:uid="{00000000-0005-0000-0000-0000C82E0000}"/>
    <cellStyle name="Comma 2 2 2 5 6 6" xfId="39781" xr:uid="{00000000-0005-0000-0000-0000C92E0000}"/>
    <cellStyle name="Comma 2 2 2 5 7" xfId="10223" xr:uid="{00000000-0005-0000-0000-0000CA2E0000}"/>
    <cellStyle name="Comma 2 2 2 5 7 2" xfId="27614" xr:uid="{00000000-0005-0000-0000-0000CB2E0000}"/>
    <cellStyle name="Comma 2 2 2 5 7 2 2" xfId="45292" xr:uid="{00000000-0005-0000-0000-0000CC2E0000}"/>
    <cellStyle name="Comma 2 2 2 5 7 3" xfId="31827" xr:uid="{00000000-0005-0000-0000-0000CD2E0000}"/>
    <cellStyle name="Comma 2 2 2 5 7 4" xfId="36042" xr:uid="{00000000-0005-0000-0000-0000CE2E0000}"/>
    <cellStyle name="Comma 2 2 2 5 7 5" xfId="40246" xr:uid="{00000000-0005-0000-0000-0000CF2E0000}"/>
    <cellStyle name="Comma 2 2 2 5 8" xfId="13052" xr:uid="{00000000-0005-0000-0000-0000D02E0000}"/>
    <cellStyle name="Comma 2 2 2 5 8 2" xfId="28878" xr:uid="{00000000-0005-0000-0000-0000D12E0000}"/>
    <cellStyle name="Comma 2 2 2 5 8 3" xfId="33091" xr:uid="{00000000-0005-0000-0000-0000D22E0000}"/>
    <cellStyle name="Comma 2 2 2 5 8 4" xfId="37306" xr:uid="{00000000-0005-0000-0000-0000D32E0000}"/>
    <cellStyle name="Comma 2 2 2 5 8 5" xfId="44548" xr:uid="{00000000-0005-0000-0000-0000D42E0000}"/>
    <cellStyle name="Comma 2 2 2 5 9" xfId="25207" xr:uid="{00000000-0005-0000-0000-0000D52E0000}"/>
    <cellStyle name="Comma 2 2 2 6" xfId="5894" xr:uid="{00000000-0005-0000-0000-0000D62E0000}"/>
    <cellStyle name="Comma 2 2 2 6 10" xfId="33642" xr:uid="{00000000-0005-0000-0000-0000D72E0000}"/>
    <cellStyle name="Comma 2 2 2 6 11" xfId="37846" xr:uid="{00000000-0005-0000-0000-0000D82E0000}"/>
    <cellStyle name="Comma 2 2 2 6 2" xfId="5946" xr:uid="{00000000-0005-0000-0000-0000D92E0000}"/>
    <cellStyle name="Comma 2 2 2 6 2 2" xfId="6141" xr:uid="{00000000-0005-0000-0000-0000DA2E0000}"/>
    <cellStyle name="Comma 2 2 2 6 2 2 2" xfId="9836" xr:uid="{00000000-0005-0000-0000-0000DB2E0000}"/>
    <cellStyle name="Comma 2 2 2 6 2 2 2 2" xfId="11649" xr:uid="{00000000-0005-0000-0000-0000DC2E0000}"/>
    <cellStyle name="Comma 2 2 2 6 2 2 2 2 2" xfId="28405" xr:uid="{00000000-0005-0000-0000-0000DD2E0000}"/>
    <cellStyle name="Comma 2 2 2 6 2 2 2 2 2 2" xfId="46054" xr:uid="{00000000-0005-0000-0000-0000DE2E0000}"/>
    <cellStyle name="Comma 2 2 2 6 2 2 2 2 3" xfId="32618" xr:uid="{00000000-0005-0000-0000-0000DF2E0000}"/>
    <cellStyle name="Comma 2 2 2 6 2 2 2 2 4" xfId="36833" xr:uid="{00000000-0005-0000-0000-0000E02E0000}"/>
    <cellStyle name="Comma 2 2 2 6 2 2 2 2 5" xfId="41037" xr:uid="{00000000-0005-0000-0000-0000E12E0000}"/>
    <cellStyle name="Comma 2 2 2 6 2 2 2 3" xfId="27323" xr:uid="{00000000-0005-0000-0000-0000E22E0000}"/>
    <cellStyle name="Comma 2 2 2 6 2 2 2 3 2" xfId="45201" xr:uid="{00000000-0005-0000-0000-0000E32E0000}"/>
    <cellStyle name="Comma 2 2 2 6 2 2 2 4" xfId="31536" xr:uid="{00000000-0005-0000-0000-0000E42E0000}"/>
    <cellStyle name="Comma 2 2 2 6 2 2 2 5" xfId="35751" xr:uid="{00000000-0005-0000-0000-0000E52E0000}"/>
    <cellStyle name="Comma 2 2 2 6 2 2 2 6" xfId="39955" xr:uid="{00000000-0005-0000-0000-0000E62E0000}"/>
    <cellStyle name="Comma 2 2 2 6 2 2 3" xfId="10573" xr:uid="{00000000-0005-0000-0000-0000E72E0000}"/>
    <cellStyle name="Comma 2 2 2 6 2 2 3 2" xfId="27788" xr:uid="{00000000-0005-0000-0000-0000E82E0000}"/>
    <cellStyle name="Comma 2 2 2 6 2 2 3 2 2" xfId="45466" xr:uid="{00000000-0005-0000-0000-0000E92E0000}"/>
    <cellStyle name="Comma 2 2 2 6 2 2 3 3" xfId="32001" xr:uid="{00000000-0005-0000-0000-0000EA2E0000}"/>
    <cellStyle name="Comma 2 2 2 6 2 2 3 4" xfId="36216" xr:uid="{00000000-0005-0000-0000-0000EB2E0000}"/>
    <cellStyle name="Comma 2 2 2 6 2 2 3 5" xfId="40420" xr:uid="{00000000-0005-0000-0000-0000EC2E0000}"/>
    <cellStyle name="Comma 2 2 2 6 2 2 4" xfId="25451" xr:uid="{00000000-0005-0000-0000-0000ED2E0000}"/>
    <cellStyle name="Comma 2 2 2 6 2 2 4 2" xfId="44790" xr:uid="{00000000-0005-0000-0000-0000EE2E0000}"/>
    <cellStyle name="Comma 2 2 2 6 2 2 5" xfId="29663" xr:uid="{00000000-0005-0000-0000-0000EF2E0000}"/>
    <cellStyle name="Comma 2 2 2 6 2 2 6" xfId="33879" xr:uid="{00000000-0005-0000-0000-0000F02E0000}"/>
    <cellStyle name="Comma 2 2 2 6 2 2 7" xfId="38083" xr:uid="{00000000-0005-0000-0000-0000F12E0000}"/>
    <cellStyle name="Comma 2 2 2 6 2 3" xfId="6043" xr:uid="{00000000-0005-0000-0000-0000F22E0000}"/>
    <cellStyle name="Comma 2 2 2 6 2 3 2" xfId="11551" xr:uid="{00000000-0005-0000-0000-0000F32E0000}"/>
    <cellStyle name="Comma 2 2 2 6 2 3 2 2" xfId="28310" xr:uid="{00000000-0005-0000-0000-0000F42E0000}"/>
    <cellStyle name="Comma 2 2 2 6 2 3 2 2 2" xfId="45959" xr:uid="{00000000-0005-0000-0000-0000F52E0000}"/>
    <cellStyle name="Comma 2 2 2 6 2 3 2 3" xfId="32523" xr:uid="{00000000-0005-0000-0000-0000F62E0000}"/>
    <cellStyle name="Comma 2 2 2 6 2 3 2 4" xfId="36738" xr:uid="{00000000-0005-0000-0000-0000F72E0000}"/>
    <cellStyle name="Comma 2 2 2 6 2 3 2 5" xfId="40942" xr:uid="{00000000-0005-0000-0000-0000F82E0000}"/>
    <cellStyle name="Comma 2 2 2 6 2 3 3" xfId="25356" xr:uid="{00000000-0005-0000-0000-0000F92E0000}"/>
    <cellStyle name="Comma 2 2 2 6 2 3 3 2" xfId="44695" xr:uid="{00000000-0005-0000-0000-0000FA2E0000}"/>
    <cellStyle name="Comma 2 2 2 6 2 3 4" xfId="29568" xr:uid="{00000000-0005-0000-0000-0000FB2E0000}"/>
    <cellStyle name="Comma 2 2 2 6 2 3 5" xfId="33784" xr:uid="{00000000-0005-0000-0000-0000FC2E0000}"/>
    <cellStyle name="Comma 2 2 2 6 2 3 6" xfId="37988" xr:uid="{00000000-0005-0000-0000-0000FD2E0000}"/>
    <cellStyle name="Comma 2 2 2 6 2 4" xfId="9718" xr:uid="{00000000-0005-0000-0000-0000FE2E0000}"/>
    <cellStyle name="Comma 2 2 2 6 2 4 2" xfId="11455" xr:uid="{00000000-0005-0000-0000-0000FF2E0000}"/>
    <cellStyle name="Comma 2 2 2 6 2 4 2 2" xfId="28215" xr:uid="{00000000-0005-0000-0000-0000002F0000}"/>
    <cellStyle name="Comma 2 2 2 6 2 4 2 2 2" xfId="45864" xr:uid="{00000000-0005-0000-0000-0000012F0000}"/>
    <cellStyle name="Comma 2 2 2 6 2 4 2 3" xfId="32428" xr:uid="{00000000-0005-0000-0000-0000022F0000}"/>
    <cellStyle name="Comma 2 2 2 6 2 4 2 4" xfId="36643" xr:uid="{00000000-0005-0000-0000-0000032F0000}"/>
    <cellStyle name="Comma 2 2 2 6 2 4 2 5" xfId="40847" xr:uid="{00000000-0005-0000-0000-0000042F0000}"/>
    <cellStyle name="Comma 2 2 2 6 2 4 3" xfId="27229" xr:uid="{00000000-0005-0000-0000-0000052F0000}"/>
    <cellStyle name="Comma 2 2 2 6 2 4 3 2" xfId="45098" xr:uid="{00000000-0005-0000-0000-0000062F0000}"/>
    <cellStyle name="Comma 2 2 2 6 2 4 4" xfId="31442" xr:uid="{00000000-0005-0000-0000-0000072F0000}"/>
    <cellStyle name="Comma 2 2 2 6 2 4 5" xfId="35657" xr:uid="{00000000-0005-0000-0000-0000082F0000}"/>
    <cellStyle name="Comma 2 2 2 6 2 4 6" xfId="39861" xr:uid="{00000000-0005-0000-0000-0000092F0000}"/>
    <cellStyle name="Comma 2 2 2 6 2 5" xfId="10456" xr:uid="{00000000-0005-0000-0000-00000A2F0000}"/>
    <cellStyle name="Comma 2 2 2 6 2 5 2" xfId="27694" xr:uid="{00000000-0005-0000-0000-00000B2F0000}"/>
    <cellStyle name="Comma 2 2 2 6 2 5 2 2" xfId="45372" xr:uid="{00000000-0005-0000-0000-00000C2F0000}"/>
    <cellStyle name="Comma 2 2 2 6 2 5 3" xfId="31907" xr:uid="{00000000-0005-0000-0000-00000D2F0000}"/>
    <cellStyle name="Comma 2 2 2 6 2 5 4" xfId="36122" xr:uid="{00000000-0005-0000-0000-00000E2F0000}"/>
    <cellStyle name="Comma 2 2 2 6 2 5 5" xfId="40326" xr:uid="{00000000-0005-0000-0000-00000F2F0000}"/>
    <cellStyle name="Comma 2 2 2 6 2 6" xfId="25261" xr:uid="{00000000-0005-0000-0000-0000102F0000}"/>
    <cellStyle name="Comma 2 2 2 6 2 6 2" xfId="44600" xr:uid="{00000000-0005-0000-0000-0000112F0000}"/>
    <cellStyle name="Comma 2 2 2 6 2 7" xfId="29473" xr:uid="{00000000-0005-0000-0000-0000122F0000}"/>
    <cellStyle name="Comma 2 2 2 6 2 8" xfId="33689" xr:uid="{00000000-0005-0000-0000-0000132F0000}"/>
    <cellStyle name="Comma 2 2 2 6 2 9" xfId="37893" xr:uid="{00000000-0005-0000-0000-0000142F0000}"/>
    <cellStyle name="Comma 2 2 2 6 3" xfId="6094" xr:uid="{00000000-0005-0000-0000-0000152F0000}"/>
    <cellStyle name="Comma 2 2 2 6 3 2" xfId="9789" xr:uid="{00000000-0005-0000-0000-0000162F0000}"/>
    <cellStyle name="Comma 2 2 2 6 3 2 2" xfId="11602" xr:uid="{00000000-0005-0000-0000-0000172F0000}"/>
    <cellStyle name="Comma 2 2 2 6 3 2 2 2" xfId="28358" xr:uid="{00000000-0005-0000-0000-0000182F0000}"/>
    <cellStyle name="Comma 2 2 2 6 3 2 2 2 2" xfId="46007" xr:uid="{00000000-0005-0000-0000-0000192F0000}"/>
    <cellStyle name="Comma 2 2 2 6 3 2 2 3" xfId="32571" xr:uid="{00000000-0005-0000-0000-00001A2F0000}"/>
    <cellStyle name="Comma 2 2 2 6 3 2 2 4" xfId="36786" xr:uid="{00000000-0005-0000-0000-00001B2F0000}"/>
    <cellStyle name="Comma 2 2 2 6 3 2 2 5" xfId="40990" xr:uid="{00000000-0005-0000-0000-00001C2F0000}"/>
    <cellStyle name="Comma 2 2 2 6 3 2 3" xfId="27276" xr:uid="{00000000-0005-0000-0000-00001D2F0000}"/>
    <cellStyle name="Comma 2 2 2 6 3 2 3 2" xfId="45154" xr:uid="{00000000-0005-0000-0000-00001E2F0000}"/>
    <cellStyle name="Comma 2 2 2 6 3 2 4" xfId="31489" xr:uid="{00000000-0005-0000-0000-00001F2F0000}"/>
    <cellStyle name="Comma 2 2 2 6 3 2 5" xfId="35704" xr:uid="{00000000-0005-0000-0000-0000202F0000}"/>
    <cellStyle name="Comma 2 2 2 6 3 2 6" xfId="39908" xr:uid="{00000000-0005-0000-0000-0000212F0000}"/>
    <cellStyle name="Comma 2 2 2 6 3 3" xfId="10526" xr:uid="{00000000-0005-0000-0000-0000222F0000}"/>
    <cellStyle name="Comma 2 2 2 6 3 3 2" xfId="27741" xr:uid="{00000000-0005-0000-0000-0000232F0000}"/>
    <cellStyle name="Comma 2 2 2 6 3 3 2 2" xfId="45419" xr:uid="{00000000-0005-0000-0000-0000242F0000}"/>
    <cellStyle name="Comma 2 2 2 6 3 3 3" xfId="31954" xr:uid="{00000000-0005-0000-0000-0000252F0000}"/>
    <cellStyle name="Comma 2 2 2 6 3 3 4" xfId="36169" xr:uid="{00000000-0005-0000-0000-0000262F0000}"/>
    <cellStyle name="Comma 2 2 2 6 3 3 5" xfId="40373" xr:uid="{00000000-0005-0000-0000-0000272F0000}"/>
    <cellStyle name="Comma 2 2 2 6 3 4" xfId="25404" xr:uid="{00000000-0005-0000-0000-0000282F0000}"/>
    <cellStyle name="Comma 2 2 2 6 3 4 2" xfId="44743" xr:uid="{00000000-0005-0000-0000-0000292F0000}"/>
    <cellStyle name="Comma 2 2 2 6 3 5" xfId="29616" xr:uid="{00000000-0005-0000-0000-00002A2F0000}"/>
    <cellStyle name="Comma 2 2 2 6 3 6" xfId="33832" xr:uid="{00000000-0005-0000-0000-00002B2F0000}"/>
    <cellStyle name="Comma 2 2 2 6 3 7" xfId="38036" xr:uid="{00000000-0005-0000-0000-00002C2F0000}"/>
    <cellStyle name="Comma 2 2 2 6 4" xfId="5996" xr:uid="{00000000-0005-0000-0000-00002D2F0000}"/>
    <cellStyle name="Comma 2 2 2 6 4 2" xfId="11504" xr:uid="{00000000-0005-0000-0000-00002E2F0000}"/>
    <cellStyle name="Comma 2 2 2 6 4 2 2" xfId="28263" xr:uid="{00000000-0005-0000-0000-00002F2F0000}"/>
    <cellStyle name="Comma 2 2 2 6 4 2 2 2" xfId="45912" xr:uid="{00000000-0005-0000-0000-0000302F0000}"/>
    <cellStyle name="Comma 2 2 2 6 4 2 3" xfId="32476" xr:uid="{00000000-0005-0000-0000-0000312F0000}"/>
    <cellStyle name="Comma 2 2 2 6 4 2 4" xfId="36691" xr:uid="{00000000-0005-0000-0000-0000322F0000}"/>
    <cellStyle name="Comma 2 2 2 6 4 2 5" xfId="40895" xr:uid="{00000000-0005-0000-0000-0000332F0000}"/>
    <cellStyle name="Comma 2 2 2 6 4 3" xfId="25309" xr:uid="{00000000-0005-0000-0000-0000342F0000}"/>
    <cellStyle name="Comma 2 2 2 6 4 3 2" xfId="44648" xr:uid="{00000000-0005-0000-0000-0000352F0000}"/>
    <cellStyle name="Comma 2 2 2 6 4 4" xfId="29521" xr:uid="{00000000-0005-0000-0000-0000362F0000}"/>
    <cellStyle name="Comma 2 2 2 6 4 5" xfId="33737" xr:uid="{00000000-0005-0000-0000-0000372F0000}"/>
    <cellStyle name="Comma 2 2 2 6 4 6" xfId="37941" xr:uid="{00000000-0005-0000-0000-0000382F0000}"/>
    <cellStyle name="Comma 2 2 2 6 5" xfId="6865" xr:uid="{00000000-0005-0000-0000-0000392F0000}"/>
    <cellStyle name="Comma 2 2 2 6 5 2" xfId="11776" xr:uid="{00000000-0005-0000-0000-00003A2F0000}"/>
    <cellStyle name="Comma 2 2 2 6 5 2 2" xfId="28496" xr:uid="{00000000-0005-0000-0000-00003B2F0000}"/>
    <cellStyle name="Comma 2 2 2 6 5 2 2 2" xfId="46147" xr:uid="{00000000-0005-0000-0000-00003C2F0000}"/>
    <cellStyle name="Comma 2 2 2 6 5 2 3" xfId="32709" xr:uid="{00000000-0005-0000-0000-00003D2F0000}"/>
    <cellStyle name="Comma 2 2 2 6 5 2 4" xfId="36924" xr:uid="{00000000-0005-0000-0000-00003E2F0000}"/>
    <cellStyle name="Comma 2 2 2 6 5 2 5" xfId="41128" xr:uid="{00000000-0005-0000-0000-00003F2F0000}"/>
    <cellStyle name="Comma 2 2 2 6 5 3" xfId="25553" xr:uid="{00000000-0005-0000-0000-0000402F0000}"/>
    <cellStyle name="Comma 2 2 2 6 5 3 2" xfId="44881" xr:uid="{00000000-0005-0000-0000-0000412F0000}"/>
    <cellStyle name="Comma 2 2 2 6 5 4" xfId="29766" xr:uid="{00000000-0005-0000-0000-0000422F0000}"/>
    <cellStyle name="Comma 2 2 2 6 5 5" xfId="33981" xr:uid="{00000000-0005-0000-0000-0000432F0000}"/>
    <cellStyle name="Comma 2 2 2 6 5 6" xfId="38185" xr:uid="{00000000-0005-0000-0000-0000442F0000}"/>
    <cellStyle name="Comma 2 2 2 6 6" xfId="9668" xr:uid="{00000000-0005-0000-0000-0000452F0000}"/>
    <cellStyle name="Comma 2 2 2 6 6 2" xfId="11403" xr:uid="{00000000-0005-0000-0000-0000462F0000}"/>
    <cellStyle name="Comma 2 2 2 6 6 2 2" xfId="28168" xr:uid="{00000000-0005-0000-0000-0000472F0000}"/>
    <cellStyle name="Comma 2 2 2 6 6 2 2 2" xfId="45817" xr:uid="{00000000-0005-0000-0000-0000482F0000}"/>
    <cellStyle name="Comma 2 2 2 6 6 2 3" xfId="32381" xr:uid="{00000000-0005-0000-0000-0000492F0000}"/>
    <cellStyle name="Comma 2 2 2 6 6 2 4" xfId="36596" xr:uid="{00000000-0005-0000-0000-00004A2F0000}"/>
    <cellStyle name="Comma 2 2 2 6 6 2 5" xfId="40800" xr:uid="{00000000-0005-0000-0000-00004B2F0000}"/>
    <cellStyle name="Comma 2 2 2 6 6 3" xfId="27182" xr:uid="{00000000-0005-0000-0000-00004C2F0000}"/>
    <cellStyle name="Comma 2 2 2 6 6 3 2" xfId="45051" xr:uid="{00000000-0005-0000-0000-00004D2F0000}"/>
    <cellStyle name="Comma 2 2 2 6 6 4" xfId="31395" xr:uid="{00000000-0005-0000-0000-00004E2F0000}"/>
    <cellStyle name="Comma 2 2 2 6 6 5" xfId="35610" xr:uid="{00000000-0005-0000-0000-00004F2F0000}"/>
    <cellStyle name="Comma 2 2 2 6 6 6" xfId="39814" xr:uid="{00000000-0005-0000-0000-0000502F0000}"/>
    <cellStyle name="Comma 2 2 2 6 7" xfId="10398" xr:uid="{00000000-0005-0000-0000-0000512F0000}"/>
    <cellStyle name="Comma 2 2 2 6 7 2" xfId="27647" xr:uid="{00000000-0005-0000-0000-0000522F0000}"/>
    <cellStyle name="Comma 2 2 2 6 7 2 2" xfId="45325" xr:uid="{00000000-0005-0000-0000-0000532F0000}"/>
    <cellStyle name="Comma 2 2 2 6 7 3" xfId="31860" xr:uid="{00000000-0005-0000-0000-0000542F0000}"/>
    <cellStyle name="Comma 2 2 2 6 7 4" xfId="36075" xr:uid="{00000000-0005-0000-0000-0000552F0000}"/>
    <cellStyle name="Comma 2 2 2 6 7 5" xfId="40279" xr:uid="{00000000-0005-0000-0000-0000562F0000}"/>
    <cellStyle name="Comma 2 2 2 6 8" xfId="25214" xr:uid="{00000000-0005-0000-0000-0000572F0000}"/>
    <cellStyle name="Comma 2 2 2 6 8 2" xfId="44553" xr:uid="{00000000-0005-0000-0000-0000582F0000}"/>
    <cellStyle name="Comma 2 2 2 6 9" xfId="29426" xr:uid="{00000000-0005-0000-0000-0000592F0000}"/>
    <cellStyle name="Comma 2 2 2 7" xfId="5911" xr:uid="{00000000-0005-0000-0000-00005A2F0000}"/>
    <cellStyle name="Comma 2 2 2 7 10" xfId="37858" xr:uid="{00000000-0005-0000-0000-00005B2F0000}"/>
    <cellStyle name="Comma 2 2 2 7 2" xfId="6106" xr:uid="{00000000-0005-0000-0000-00005C2F0000}"/>
    <cellStyle name="Comma 2 2 2 7 2 2" xfId="9841" xr:uid="{00000000-0005-0000-0000-00005D2F0000}"/>
    <cellStyle name="Comma 2 2 2 7 2 2 2" xfId="10578" xr:uid="{00000000-0005-0000-0000-00005E2F0000}"/>
    <cellStyle name="Comma 2 2 2 7 2 2 2 2" xfId="27793" xr:uid="{00000000-0005-0000-0000-00005F2F0000}"/>
    <cellStyle name="Comma 2 2 2 7 2 2 2 2 2" xfId="45471" xr:uid="{00000000-0005-0000-0000-0000602F0000}"/>
    <cellStyle name="Comma 2 2 2 7 2 2 2 3" xfId="32006" xr:uid="{00000000-0005-0000-0000-0000612F0000}"/>
    <cellStyle name="Comma 2 2 2 7 2 2 2 4" xfId="36221" xr:uid="{00000000-0005-0000-0000-0000622F0000}"/>
    <cellStyle name="Comma 2 2 2 7 2 2 2 5" xfId="40425" xr:uid="{00000000-0005-0000-0000-0000632F0000}"/>
    <cellStyle name="Comma 2 2 2 7 2 2 3" xfId="27328" xr:uid="{00000000-0005-0000-0000-0000642F0000}"/>
    <cellStyle name="Comma 2 2 2 7 2 2 3 2" xfId="45206" xr:uid="{00000000-0005-0000-0000-0000652F0000}"/>
    <cellStyle name="Comma 2 2 2 7 2 2 4" xfId="31541" xr:uid="{00000000-0005-0000-0000-0000662F0000}"/>
    <cellStyle name="Comma 2 2 2 7 2 2 5" xfId="35756" xr:uid="{00000000-0005-0000-0000-0000672F0000}"/>
    <cellStyle name="Comma 2 2 2 7 2 2 6" xfId="39960" xr:uid="{00000000-0005-0000-0000-0000682F0000}"/>
    <cellStyle name="Comma 2 2 2 7 2 3" xfId="9723" xr:uid="{00000000-0005-0000-0000-0000692F0000}"/>
    <cellStyle name="Comma 2 2 2 7 2 3 2" xfId="11614" xr:uid="{00000000-0005-0000-0000-00006A2F0000}"/>
    <cellStyle name="Comma 2 2 2 7 2 3 2 2" xfId="28370" xr:uid="{00000000-0005-0000-0000-00006B2F0000}"/>
    <cellStyle name="Comma 2 2 2 7 2 3 2 2 2" xfId="46019" xr:uid="{00000000-0005-0000-0000-00006C2F0000}"/>
    <cellStyle name="Comma 2 2 2 7 2 3 2 3" xfId="32583" xr:uid="{00000000-0005-0000-0000-00006D2F0000}"/>
    <cellStyle name="Comma 2 2 2 7 2 3 2 4" xfId="36798" xr:uid="{00000000-0005-0000-0000-00006E2F0000}"/>
    <cellStyle name="Comma 2 2 2 7 2 3 2 5" xfId="41002" xr:uid="{00000000-0005-0000-0000-00006F2F0000}"/>
    <cellStyle name="Comma 2 2 2 7 2 3 3" xfId="27234" xr:uid="{00000000-0005-0000-0000-0000702F0000}"/>
    <cellStyle name="Comma 2 2 2 7 2 3 3 2" xfId="45103" xr:uid="{00000000-0005-0000-0000-0000712F0000}"/>
    <cellStyle name="Comma 2 2 2 7 2 3 4" xfId="31447" xr:uid="{00000000-0005-0000-0000-0000722F0000}"/>
    <cellStyle name="Comma 2 2 2 7 2 3 5" xfId="35662" xr:uid="{00000000-0005-0000-0000-0000732F0000}"/>
    <cellStyle name="Comma 2 2 2 7 2 3 6" xfId="39866" xr:uid="{00000000-0005-0000-0000-0000742F0000}"/>
    <cellStyle name="Comma 2 2 2 7 2 4" xfId="10461" xr:uid="{00000000-0005-0000-0000-0000752F0000}"/>
    <cellStyle name="Comma 2 2 2 7 2 4 2" xfId="27699" xr:uid="{00000000-0005-0000-0000-0000762F0000}"/>
    <cellStyle name="Comma 2 2 2 7 2 4 2 2" xfId="45377" xr:uid="{00000000-0005-0000-0000-0000772F0000}"/>
    <cellStyle name="Comma 2 2 2 7 2 4 3" xfId="31912" xr:uid="{00000000-0005-0000-0000-0000782F0000}"/>
    <cellStyle name="Comma 2 2 2 7 2 4 4" xfId="36127" xr:uid="{00000000-0005-0000-0000-0000792F0000}"/>
    <cellStyle name="Comma 2 2 2 7 2 4 5" xfId="40331" xr:uid="{00000000-0005-0000-0000-00007A2F0000}"/>
    <cellStyle name="Comma 2 2 2 7 2 5" xfId="25416" xr:uid="{00000000-0005-0000-0000-00007B2F0000}"/>
    <cellStyle name="Comma 2 2 2 7 2 5 2" xfId="44755" xr:uid="{00000000-0005-0000-0000-00007C2F0000}"/>
    <cellStyle name="Comma 2 2 2 7 2 6" xfId="29628" xr:uid="{00000000-0005-0000-0000-00007D2F0000}"/>
    <cellStyle name="Comma 2 2 2 7 2 7" xfId="33844" xr:uid="{00000000-0005-0000-0000-00007E2F0000}"/>
    <cellStyle name="Comma 2 2 2 7 2 8" xfId="38048" xr:uid="{00000000-0005-0000-0000-00007F2F0000}"/>
    <cellStyle name="Comma 2 2 2 7 3" xfId="6008" xr:uid="{00000000-0005-0000-0000-0000802F0000}"/>
    <cellStyle name="Comma 2 2 2 7 3 2" xfId="9794" xr:uid="{00000000-0005-0000-0000-0000812F0000}"/>
    <cellStyle name="Comma 2 2 2 7 3 2 2" xfId="11516" xr:uid="{00000000-0005-0000-0000-0000822F0000}"/>
    <cellStyle name="Comma 2 2 2 7 3 2 2 2" xfId="28275" xr:uid="{00000000-0005-0000-0000-0000832F0000}"/>
    <cellStyle name="Comma 2 2 2 7 3 2 2 2 2" xfId="45924" xr:uid="{00000000-0005-0000-0000-0000842F0000}"/>
    <cellStyle name="Comma 2 2 2 7 3 2 2 3" xfId="32488" xr:uid="{00000000-0005-0000-0000-0000852F0000}"/>
    <cellStyle name="Comma 2 2 2 7 3 2 2 4" xfId="36703" xr:uid="{00000000-0005-0000-0000-0000862F0000}"/>
    <cellStyle name="Comma 2 2 2 7 3 2 2 5" xfId="40907" xr:uid="{00000000-0005-0000-0000-0000872F0000}"/>
    <cellStyle name="Comma 2 2 2 7 3 2 3" xfId="27281" xr:uid="{00000000-0005-0000-0000-0000882F0000}"/>
    <cellStyle name="Comma 2 2 2 7 3 2 3 2" xfId="45159" xr:uid="{00000000-0005-0000-0000-0000892F0000}"/>
    <cellStyle name="Comma 2 2 2 7 3 2 4" xfId="31494" xr:uid="{00000000-0005-0000-0000-00008A2F0000}"/>
    <cellStyle name="Comma 2 2 2 7 3 2 5" xfId="35709" xr:uid="{00000000-0005-0000-0000-00008B2F0000}"/>
    <cellStyle name="Comma 2 2 2 7 3 2 6" xfId="39913" xr:uid="{00000000-0005-0000-0000-00008C2F0000}"/>
    <cellStyle name="Comma 2 2 2 7 3 3" xfId="10531" xr:uid="{00000000-0005-0000-0000-00008D2F0000}"/>
    <cellStyle name="Comma 2 2 2 7 3 3 2" xfId="27746" xr:uid="{00000000-0005-0000-0000-00008E2F0000}"/>
    <cellStyle name="Comma 2 2 2 7 3 3 2 2" xfId="45424" xr:uid="{00000000-0005-0000-0000-00008F2F0000}"/>
    <cellStyle name="Comma 2 2 2 7 3 3 3" xfId="31959" xr:uid="{00000000-0005-0000-0000-0000902F0000}"/>
    <cellStyle name="Comma 2 2 2 7 3 3 4" xfId="36174" xr:uid="{00000000-0005-0000-0000-0000912F0000}"/>
    <cellStyle name="Comma 2 2 2 7 3 3 5" xfId="40378" xr:uid="{00000000-0005-0000-0000-0000922F0000}"/>
    <cellStyle name="Comma 2 2 2 7 3 4" xfId="25321" xr:uid="{00000000-0005-0000-0000-0000932F0000}"/>
    <cellStyle name="Comma 2 2 2 7 3 4 2" xfId="44660" xr:uid="{00000000-0005-0000-0000-0000942F0000}"/>
    <cellStyle name="Comma 2 2 2 7 3 5" xfId="29533" xr:uid="{00000000-0005-0000-0000-0000952F0000}"/>
    <cellStyle name="Comma 2 2 2 7 3 6" xfId="33749" xr:uid="{00000000-0005-0000-0000-0000962F0000}"/>
    <cellStyle name="Comma 2 2 2 7 3 7" xfId="37953" xr:uid="{00000000-0005-0000-0000-0000972F0000}"/>
    <cellStyle name="Comma 2 2 2 7 4" xfId="9554" xr:uid="{00000000-0005-0000-0000-0000982F0000}"/>
    <cellStyle name="Comma 2 2 2 7 4 2" xfId="12164" xr:uid="{00000000-0005-0000-0000-0000992F0000}"/>
    <cellStyle name="Comma 2 2 2 7 4 2 2" xfId="28778" xr:uid="{00000000-0005-0000-0000-00009A2F0000}"/>
    <cellStyle name="Comma 2 2 2 7 4 2 2 2" xfId="46449" xr:uid="{00000000-0005-0000-0000-00009B2F0000}"/>
    <cellStyle name="Comma 2 2 2 7 4 2 3" xfId="32991" xr:uid="{00000000-0005-0000-0000-00009C2F0000}"/>
    <cellStyle name="Comma 2 2 2 7 4 2 4" xfId="37206" xr:uid="{00000000-0005-0000-0000-00009D2F0000}"/>
    <cellStyle name="Comma 2 2 2 7 4 2 5" xfId="41410" xr:uid="{00000000-0005-0000-0000-00009E2F0000}"/>
    <cellStyle name="Comma 2 2 2 7 4 3" xfId="27123" xr:uid="{00000000-0005-0000-0000-00009F2F0000}"/>
    <cellStyle name="Comma 2 2 2 7 4 3 2" xfId="44995" xr:uid="{00000000-0005-0000-0000-0000A02F0000}"/>
    <cellStyle name="Comma 2 2 2 7 4 4" xfId="31336" xr:uid="{00000000-0005-0000-0000-0000A12F0000}"/>
    <cellStyle name="Comma 2 2 2 7 4 5" xfId="35551" xr:uid="{00000000-0005-0000-0000-0000A22F0000}"/>
    <cellStyle name="Comma 2 2 2 7 4 6" xfId="39755" xr:uid="{00000000-0005-0000-0000-0000A32F0000}"/>
    <cellStyle name="Comma 2 2 2 7 5" xfId="9676" xr:uid="{00000000-0005-0000-0000-0000A42F0000}"/>
    <cellStyle name="Comma 2 2 2 7 5 2" xfId="11420" xr:uid="{00000000-0005-0000-0000-0000A52F0000}"/>
    <cellStyle name="Comma 2 2 2 7 5 2 2" xfId="28180" xr:uid="{00000000-0005-0000-0000-0000A62F0000}"/>
    <cellStyle name="Comma 2 2 2 7 5 2 2 2" xfId="45829" xr:uid="{00000000-0005-0000-0000-0000A72F0000}"/>
    <cellStyle name="Comma 2 2 2 7 5 2 3" xfId="32393" xr:uid="{00000000-0005-0000-0000-0000A82F0000}"/>
    <cellStyle name="Comma 2 2 2 7 5 2 4" xfId="36608" xr:uid="{00000000-0005-0000-0000-0000A92F0000}"/>
    <cellStyle name="Comma 2 2 2 7 5 2 5" xfId="40812" xr:uid="{00000000-0005-0000-0000-0000AA2F0000}"/>
    <cellStyle name="Comma 2 2 2 7 5 3" xfId="27187" xr:uid="{00000000-0005-0000-0000-0000AB2F0000}"/>
    <cellStyle name="Comma 2 2 2 7 5 3 2" xfId="45056" xr:uid="{00000000-0005-0000-0000-0000AC2F0000}"/>
    <cellStyle name="Comma 2 2 2 7 5 4" xfId="31400" xr:uid="{00000000-0005-0000-0000-0000AD2F0000}"/>
    <cellStyle name="Comma 2 2 2 7 5 5" xfId="35615" xr:uid="{00000000-0005-0000-0000-0000AE2F0000}"/>
    <cellStyle name="Comma 2 2 2 7 5 6" xfId="39819" xr:uid="{00000000-0005-0000-0000-0000AF2F0000}"/>
    <cellStyle name="Comma 2 2 2 7 6" xfId="10414" xr:uid="{00000000-0005-0000-0000-0000B02F0000}"/>
    <cellStyle name="Comma 2 2 2 7 6 2" xfId="27652" xr:uid="{00000000-0005-0000-0000-0000B12F0000}"/>
    <cellStyle name="Comma 2 2 2 7 6 2 2" xfId="45330" xr:uid="{00000000-0005-0000-0000-0000B22F0000}"/>
    <cellStyle name="Comma 2 2 2 7 6 3" xfId="31865" xr:uid="{00000000-0005-0000-0000-0000B32F0000}"/>
    <cellStyle name="Comma 2 2 2 7 6 4" xfId="36080" xr:uid="{00000000-0005-0000-0000-0000B42F0000}"/>
    <cellStyle name="Comma 2 2 2 7 6 5" xfId="40284" xr:uid="{00000000-0005-0000-0000-0000B52F0000}"/>
    <cellStyle name="Comma 2 2 2 7 7" xfId="25226" xr:uid="{00000000-0005-0000-0000-0000B62F0000}"/>
    <cellStyle name="Comma 2 2 2 7 7 2" xfId="44565" xr:uid="{00000000-0005-0000-0000-0000B72F0000}"/>
    <cellStyle name="Comma 2 2 2 7 8" xfId="29438" xr:uid="{00000000-0005-0000-0000-0000B82F0000}"/>
    <cellStyle name="Comma 2 2 2 7 9" xfId="33654" xr:uid="{00000000-0005-0000-0000-0000B92F0000}"/>
    <cellStyle name="Comma 2 2 2 8" xfId="6059" xr:uid="{00000000-0005-0000-0000-0000BA2F0000}"/>
    <cellStyle name="Comma 2 2 2 8 2" xfId="9799" xr:uid="{00000000-0005-0000-0000-0000BB2F0000}"/>
    <cellStyle name="Comma 2 2 2 8 2 2" xfId="10536" xr:uid="{00000000-0005-0000-0000-0000BC2F0000}"/>
    <cellStyle name="Comma 2 2 2 8 2 2 2" xfId="27751" xr:uid="{00000000-0005-0000-0000-0000BD2F0000}"/>
    <cellStyle name="Comma 2 2 2 8 2 2 2 2" xfId="45429" xr:uid="{00000000-0005-0000-0000-0000BE2F0000}"/>
    <cellStyle name="Comma 2 2 2 8 2 2 3" xfId="31964" xr:uid="{00000000-0005-0000-0000-0000BF2F0000}"/>
    <cellStyle name="Comma 2 2 2 8 2 2 4" xfId="36179" xr:uid="{00000000-0005-0000-0000-0000C02F0000}"/>
    <cellStyle name="Comma 2 2 2 8 2 2 5" xfId="40383" xr:uid="{00000000-0005-0000-0000-0000C12F0000}"/>
    <cellStyle name="Comma 2 2 2 8 2 3" xfId="27286" xr:uid="{00000000-0005-0000-0000-0000C22F0000}"/>
    <cellStyle name="Comma 2 2 2 8 2 3 2" xfId="45164" xr:uid="{00000000-0005-0000-0000-0000C32F0000}"/>
    <cellStyle name="Comma 2 2 2 8 2 4" xfId="31499" xr:uid="{00000000-0005-0000-0000-0000C42F0000}"/>
    <cellStyle name="Comma 2 2 2 8 2 5" xfId="35714" xr:uid="{00000000-0005-0000-0000-0000C52F0000}"/>
    <cellStyle name="Comma 2 2 2 8 2 6" xfId="39918" xr:uid="{00000000-0005-0000-0000-0000C62F0000}"/>
    <cellStyle name="Comma 2 2 2 8 3" xfId="9681" xr:uid="{00000000-0005-0000-0000-0000C72F0000}"/>
    <cellStyle name="Comma 2 2 2 8 3 2" xfId="11567" xr:uid="{00000000-0005-0000-0000-0000C82F0000}"/>
    <cellStyle name="Comma 2 2 2 8 3 2 2" xfId="28323" xr:uid="{00000000-0005-0000-0000-0000C92F0000}"/>
    <cellStyle name="Comma 2 2 2 8 3 2 2 2" xfId="45972" xr:uid="{00000000-0005-0000-0000-0000CA2F0000}"/>
    <cellStyle name="Comma 2 2 2 8 3 2 3" xfId="32536" xr:uid="{00000000-0005-0000-0000-0000CB2F0000}"/>
    <cellStyle name="Comma 2 2 2 8 3 2 4" xfId="36751" xr:uid="{00000000-0005-0000-0000-0000CC2F0000}"/>
    <cellStyle name="Comma 2 2 2 8 3 2 5" xfId="40955" xr:uid="{00000000-0005-0000-0000-0000CD2F0000}"/>
    <cellStyle name="Comma 2 2 2 8 3 3" xfId="27192" xr:uid="{00000000-0005-0000-0000-0000CE2F0000}"/>
    <cellStyle name="Comma 2 2 2 8 3 3 2" xfId="45061" xr:uid="{00000000-0005-0000-0000-0000CF2F0000}"/>
    <cellStyle name="Comma 2 2 2 8 3 4" xfId="31405" xr:uid="{00000000-0005-0000-0000-0000D02F0000}"/>
    <cellStyle name="Comma 2 2 2 8 3 5" xfId="35620" xr:uid="{00000000-0005-0000-0000-0000D12F0000}"/>
    <cellStyle name="Comma 2 2 2 8 3 6" xfId="39824" xr:uid="{00000000-0005-0000-0000-0000D22F0000}"/>
    <cellStyle name="Comma 2 2 2 8 4" xfId="10419" xr:uid="{00000000-0005-0000-0000-0000D32F0000}"/>
    <cellStyle name="Comma 2 2 2 8 4 2" xfId="27657" xr:uid="{00000000-0005-0000-0000-0000D42F0000}"/>
    <cellStyle name="Comma 2 2 2 8 4 2 2" xfId="45335" xr:uid="{00000000-0005-0000-0000-0000D52F0000}"/>
    <cellStyle name="Comma 2 2 2 8 4 3" xfId="31870" xr:uid="{00000000-0005-0000-0000-0000D62F0000}"/>
    <cellStyle name="Comma 2 2 2 8 4 4" xfId="36085" xr:uid="{00000000-0005-0000-0000-0000D72F0000}"/>
    <cellStyle name="Comma 2 2 2 8 4 5" xfId="40289" xr:uid="{00000000-0005-0000-0000-0000D82F0000}"/>
    <cellStyle name="Comma 2 2 2 8 5" xfId="25369" xr:uid="{00000000-0005-0000-0000-0000D92F0000}"/>
    <cellStyle name="Comma 2 2 2 8 5 2" xfId="44708" xr:uid="{00000000-0005-0000-0000-0000DA2F0000}"/>
    <cellStyle name="Comma 2 2 2 8 6" xfId="29581" xr:uid="{00000000-0005-0000-0000-0000DB2F0000}"/>
    <cellStyle name="Comma 2 2 2 8 7" xfId="33797" xr:uid="{00000000-0005-0000-0000-0000DC2F0000}"/>
    <cellStyle name="Comma 2 2 2 8 8" xfId="38001" xr:uid="{00000000-0005-0000-0000-0000DD2F0000}"/>
    <cellStyle name="Comma 2 2 2 9" xfId="5961" xr:uid="{00000000-0005-0000-0000-0000DE2F0000}"/>
    <cellStyle name="Comma 2 2 2 9 2" xfId="9739" xr:uid="{00000000-0005-0000-0000-0000DF2F0000}"/>
    <cellStyle name="Comma 2 2 2 9 2 2" xfId="11469" xr:uid="{00000000-0005-0000-0000-0000E02F0000}"/>
    <cellStyle name="Comma 2 2 2 9 2 2 2" xfId="28228" xr:uid="{00000000-0005-0000-0000-0000E12F0000}"/>
    <cellStyle name="Comma 2 2 2 9 2 2 2 2" xfId="45877" xr:uid="{00000000-0005-0000-0000-0000E22F0000}"/>
    <cellStyle name="Comma 2 2 2 9 2 2 3" xfId="32441" xr:uid="{00000000-0005-0000-0000-0000E32F0000}"/>
    <cellStyle name="Comma 2 2 2 9 2 2 4" xfId="36656" xr:uid="{00000000-0005-0000-0000-0000E42F0000}"/>
    <cellStyle name="Comma 2 2 2 9 2 2 5" xfId="40860" xr:uid="{00000000-0005-0000-0000-0000E52F0000}"/>
    <cellStyle name="Comma 2 2 2 9 2 3" xfId="27239" xr:uid="{00000000-0005-0000-0000-0000E62F0000}"/>
    <cellStyle name="Comma 2 2 2 9 2 3 2" xfId="45117" xr:uid="{00000000-0005-0000-0000-0000E72F0000}"/>
    <cellStyle name="Comma 2 2 2 9 2 4" xfId="31452" xr:uid="{00000000-0005-0000-0000-0000E82F0000}"/>
    <cellStyle name="Comma 2 2 2 9 2 5" xfId="35667" xr:uid="{00000000-0005-0000-0000-0000E92F0000}"/>
    <cellStyle name="Comma 2 2 2 9 2 6" xfId="39871" xr:uid="{00000000-0005-0000-0000-0000EA2F0000}"/>
    <cellStyle name="Comma 2 2 2 9 3" xfId="10466" xr:uid="{00000000-0005-0000-0000-0000EB2F0000}"/>
    <cellStyle name="Comma 2 2 2 9 3 2" xfId="27704" xr:uid="{00000000-0005-0000-0000-0000EC2F0000}"/>
    <cellStyle name="Comma 2 2 2 9 3 2 2" xfId="45382" xr:uid="{00000000-0005-0000-0000-0000ED2F0000}"/>
    <cellStyle name="Comma 2 2 2 9 3 3" xfId="31917" xr:uid="{00000000-0005-0000-0000-0000EE2F0000}"/>
    <cellStyle name="Comma 2 2 2 9 3 4" xfId="36132" xr:uid="{00000000-0005-0000-0000-0000EF2F0000}"/>
    <cellStyle name="Comma 2 2 2 9 3 5" xfId="40336" xr:uid="{00000000-0005-0000-0000-0000F02F0000}"/>
    <cellStyle name="Comma 2 2 2 9 4" xfId="25274" xr:uid="{00000000-0005-0000-0000-0000F12F0000}"/>
    <cellStyle name="Comma 2 2 2 9 4 2" xfId="44613" xr:uid="{00000000-0005-0000-0000-0000F22F0000}"/>
    <cellStyle name="Comma 2 2 2 9 5" xfId="29486" xr:uid="{00000000-0005-0000-0000-0000F32F0000}"/>
    <cellStyle name="Comma 2 2 2 9 6" xfId="33702" xr:uid="{00000000-0005-0000-0000-0000F42F0000}"/>
    <cellStyle name="Comma 2 2 2 9 7" xfId="37906" xr:uid="{00000000-0005-0000-0000-0000F52F0000}"/>
    <cellStyle name="Comma 2 2 20" xfId="24836" xr:uid="{00000000-0005-0000-0000-0000F62F0000}"/>
    <cellStyle name="Comma 2 2 21" xfId="29047" xr:uid="{00000000-0005-0000-0000-0000F72F0000}"/>
    <cellStyle name="Comma 2 2 22" xfId="33264" xr:uid="{00000000-0005-0000-0000-0000F82F0000}"/>
    <cellStyle name="Comma 2 2 23" xfId="37468" xr:uid="{00000000-0005-0000-0000-0000F92F0000}"/>
    <cellStyle name="Comma 2 2 3" xfId="4430" xr:uid="{00000000-0005-0000-0000-0000FA2F0000}"/>
    <cellStyle name="Comma 2 2 3 10" xfId="6330" xr:uid="{00000000-0005-0000-0000-0000FB2F0000}"/>
    <cellStyle name="Comma 2 2 3 10 2" xfId="11742" xr:uid="{00000000-0005-0000-0000-0000FC2F0000}"/>
    <cellStyle name="Comma 2 2 3 10 2 2" xfId="28464" xr:uid="{00000000-0005-0000-0000-0000FD2F0000}"/>
    <cellStyle name="Comma 2 2 3 10 2 2 2" xfId="46113" xr:uid="{00000000-0005-0000-0000-0000FE2F0000}"/>
    <cellStyle name="Comma 2 2 3 10 2 3" xfId="32677" xr:uid="{00000000-0005-0000-0000-0000FF2F0000}"/>
    <cellStyle name="Comma 2 2 3 10 2 4" xfId="36892" xr:uid="{00000000-0005-0000-0000-000000300000}"/>
    <cellStyle name="Comma 2 2 3 10 2 5" xfId="41096" xr:uid="{00000000-0005-0000-0000-000001300000}"/>
    <cellStyle name="Comma 2 2 3 10 3" xfId="25520" xr:uid="{00000000-0005-0000-0000-000002300000}"/>
    <cellStyle name="Comma 2 2 3 10 3 2" xfId="44849" xr:uid="{00000000-0005-0000-0000-000003300000}"/>
    <cellStyle name="Comma 2 2 3 10 4" xfId="29732" xr:uid="{00000000-0005-0000-0000-000004300000}"/>
    <cellStyle name="Comma 2 2 3 10 5" xfId="33948" xr:uid="{00000000-0005-0000-0000-000005300000}"/>
    <cellStyle name="Comma 2 2 3 10 6" xfId="38152" xr:uid="{00000000-0005-0000-0000-000006300000}"/>
    <cellStyle name="Comma 2 2 3 11" xfId="9635" xr:uid="{00000000-0005-0000-0000-000007300000}"/>
    <cellStyle name="Comma 2 2 3 11 2" xfId="11245" xr:uid="{00000000-0005-0000-0000-000008300000}"/>
    <cellStyle name="Comma 2 2 3 11 2 2" xfId="28092" xr:uid="{00000000-0005-0000-0000-000009300000}"/>
    <cellStyle name="Comma 2 2 3 11 2 2 2" xfId="45769" xr:uid="{00000000-0005-0000-0000-00000A300000}"/>
    <cellStyle name="Comma 2 2 3 11 2 3" xfId="32305" xr:uid="{00000000-0005-0000-0000-00000B300000}"/>
    <cellStyle name="Comma 2 2 3 11 2 4" xfId="36520" xr:uid="{00000000-0005-0000-0000-00000C300000}"/>
    <cellStyle name="Comma 2 2 3 11 2 5" xfId="40724" xr:uid="{00000000-0005-0000-0000-00000D300000}"/>
    <cellStyle name="Comma 2 2 3 11 3" xfId="27150" xr:uid="{00000000-0005-0000-0000-00000E300000}"/>
    <cellStyle name="Comma 2 2 3 11 3 2" xfId="45019" xr:uid="{00000000-0005-0000-0000-00000F300000}"/>
    <cellStyle name="Comma 2 2 3 11 4" xfId="31363" xr:uid="{00000000-0005-0000-0000-000010300000}"/>
    <cellStyle name="Comma 2 2 3 11 5" xfId="35578" xr:uid="{00000000-0005-0000-0000-000011300000}"/>
    <cellStyle name="Comma 2 2 3 11 6" xfId="39782" xr:uid="{00000000-0005-0000-0000-000012300000}"/>
    <cellStyle name="Comma 2 2 3 12" xfId="10224" xr:uid="{00000000-0005-0000-0000-000013300000}"/>
    <cellStyle name="Comma 2 2 3 12 2" xfId="27615" xr:uid="{00000000-0005-0000-0000-000014300000}"/>
    <cellStyle name="Comma 2 2 3 12 2 2" xfId="45293" xr:uid="{00000000-0005-0000-0000-000015300000}"/>
    <cellStyle name="Comma 2 2 3 12 3" xfId="31828" xr:uid="{00000000-0005-0000-0000-000016300000}"/>
    <cellStyle name="Comma 2 2 3 12 4" xfId="36043" xr:uid="{00000000-0005-0000-0000-000017300000}"/>
    <cellStyle name="Comma 2 2 3 12 5" xfId="40247" xr:uid="{00000000-0005-0000-0000-000018300000}"/>
    <cellStyle name="Comma 2 2 3 13" xfId="15694" xr:uid="{00000000-0005-0000-0000-000019300000}"/>
    <cellStyle name="Comma 2 2 3 13 2" xfId="28906" xr:uid="{00000000-0005-0000-0000-00001A300000}"/>
    <cellStyle name="Comma 2 2 3 13 3" xfId="33120" xr:uid="{00000000-0005-0000-0000-00001B300000}"/>
    <cellStyle name="Comma 2 2 3 13 4" xfId="37334" xr:uid="{00000000-0005-0000-0000-00001C300000}"/>
    <cellStyle name="Comma 2 2 3 13 5" xfId="43074" xr:uid="{00000000-0005-0000-0000-00001D300000}"/>
    <cellStyle name="Comma 2 2 3 14" xfId="23569" xr:uid="{00000000-0005-0000-0000-00001E300000}"/>
    <cellStyle name="Comma 2 2 3 14 2" xfId="29003" xr:uid="{00000000-0005-0000-0000-00001F300000}"/>
    <cellStyle name="Comma 2 2 3 14 3" xfId="33220" xr:uid="{00000000-0005-0000-0000-000020300000}"/>
    <cellStyle name="Comma 2 2 3 14 4" xfId="37431" xr:uid="{00000000-0005-0000-0000-000021300000}"/>
    <cellStyle name="Comma 2 2 3 14 5" xfId="44510" xr:uid="{00000000-0005-0000-0000-000022300000}"/>
    <cellStyle name="Comma 2 2 3 15" xfId="24902" xr:uid="{00000000-0005-0000-0000-000023300000}"/>
    <cellStyle name="Comma 2 2 3 16" xfId="29114" xr:uid="{00000000-0005-0000-0000-000024300000}"/>
    <cellStyle name="Comma 2 2 3 17" xfId="33330" xr:uid="{00000000-0005-0000-0000-000025300000}"/>
    <cellStyle name="Comma 2 2 3 18" xfId="37534" xr:uid="{00000000-0005-0000-0000-000026300000}"/>
    <cellStyle name="Comma 2 2 3 2" xfId="5862" xr:uid="{00000000-0005-0000-0000-000027300000}"/>
    <cellStyle name="Comma 2 2 3 2 10" xfId="25189" xr:uid="{00000000-0005-0000-0000-000028300000}"/>
    <cellStyle name="Comma 2 2 3 2 11" xfId="29401" xr:uid="{00000000-0005-0000-0000-000029300000}"/>
    <cellStyle name="Comma 2 2 3 2 12" xfId="33617" xr:uid="{00000000-0005-0000-0000-00002A300000}"/>
    <cellStyle name="Comma 2 2 3 2 13" xfId="37821" xr:uid="{00000000-0005-0000-0000-00002B300000}"/>
    <cellStyle name="Comma 2 2 3 2 2" xfId="5923" xr:uid="{00000000-0005-0000-0000-00002C300000}"/>
    <cellStyle name="Comma 2 2 3 2 2 10" xfId="37870" xr:uid="{00000000-0005-0000-0000-00002D300000}"/>
    <cellStyle name="Comma 2 2 3 2 2 2" xfId="6118" xr:uid="{00000000-0005-0000-0000-00002E300000}"/>
    <cellStyle name="Comma 2 2 3 2 2 2 2" xfId="9805" xr:uid="{00000000-0005-0000-0000-00002F300000}"/>
    <cellStyle name="Comma 2 2 3 2 2 2 2 2" xfId="11626" xr:uid="{00000000-0005-0000-0000-000030300000}"/>
    <cellStyle name="Comma 2 2 3 2 2 2 2 2 2" xfId="28382" xr:uid="{00000000-0005-0000-0000-000031300000}"/>
    <cellStyle name="Comma 2 2 3 2 2 2 2 2 2 2" xfId="46031" xr:uid="{00000000-0005-0000-0000-000032300000}"/>
    <cellStyle name="Comma 2 2 3 2 2 2 2 2 3" xfId="32595" xr:uid="{00000000-0005-0000-0000-000033300000}"/>
    <cellStyle name="Comma 2 2 3 2 2 2 2 2 4" xfId="36810" xr:uid="{00000000-0005-0000-0000-000034300000}"/>
    <cellStyle name="Comma 2 2 3 2 2 2 2 2 5" xfId="41014" xr:uid="{00000000-0005-0000-0000-000035300000}"/>
    <cellStyle name="Comma 2 2 3 2 2 2 2 3" xfId="27292" xr:uid="{00000000-0005-0000-0000-000036300000}"/>
    <cellStyle name="Comma 2 2 3 2 2 2 2 3 2" xfId="45170" xr:uid="{00000000-0005-0000-0000-000037300000}"/>
    <cellStyle name="Comma 2 2 3 2 2 2 2 4" xfId="31505" xr:uid="{00000000-0005-0000-0000-000038300000}"/>
    <cellStyle name="Comma 2 2 3 2 2 2 2 5" xfId="35720" xr:uid="{00000000-0005-0000-0000-000039300000}"/>
    <cellStyle name="Comma 2 2 3 2 2 2 2 6" xfId="39924" xr:uid="{00000000-0005-0000-0000-00003A300000}"/>
    <cellStyle name="Comma 2 2 3 2 2 2 3" xfId="10542" xr:uid="{00000000-0005-0000-0000-00003B300000}"/>
    <cellStyle name="Comma 2 2 3 2 2 2 3 2" xfId="27757" xr:uid="{00000000-0005-0000-0000-00003C300000}"/>
    <cellStyle name="Comma 2 2 3 2 2 2 3 2 2" xfId="45435" xr:uid="{00000000-0005-0000-0000-00003D300000}"/>
    <cellStyle name="Comma 2 2 3 2 2 2 3 3" xfId="31970" xr:uid="{00000000-0005-0000-0000-00003E300000}"/>
    <cellStyle name="Comma 2 2 3 2 2 2 3 4" xfId="36185" xr:uid="{00000000-0005-0000-0000-00003F300000}"/>
    <cellStyle name="Comma 2 2 3 2 2 2 3 5" xfId="40389" xr:uid="{00000000-0005-0000-0000-000040300000}"/>
    <cellStyle name="Comma 2 2 3 2 2 2 4" xfId="25428" xr:uid="{00000000-0005-0000-0000-000041300000}"/>
    <cellStyle name="Comma 2 2 3 2 2 2 4 2" xfId="44767" xr:uid="{00000000-0005-0000-0000-000042300000}"/>
    <cellStyle name="Comma 2 2 3 2 2 2 5" xfId="29640" xr:uid="{00000000-0005-0000-0000-000043300000}"/>
    <cellStyle name="Comma 2 2 3 2 2 2 6" xfId="33856" xr:uid="{00000000-0005-0000-0000-000044300000}"/>
    <cellStyle name="Comma 2 2 3 2 2 2 7" xfId="38060" xr:uid="{00000000-0005-0000-0000-000045300000}"/>
    <cellStyle name="Comma 2 2 3 2 2 3" xfId="6020" xr:uid="{00000000-0005-0000-0000-000046300000}"/>
    <cellStyle name="Comma 2 2 3 2 2 3 2" xfId="11528" xr:uid="{00000000-0005-0000-0000-000047300000}"/>
    <cellStyle name="Comma 2 2 3 2 2 3 2 2" xfId="28287" xr:uid="{00000000-0005-0000-0000-000048300000}"/>
    <cellStyle name="Comma 2 2 3 2 2 3 2 2 2" xfId="45936" xr:uid="{00000000-0005-0000-0000-000049300000}"/>
    <cellStyle name="Comma 2 2 3 2 2 3 2 3" xfId="32500" xr:uid="{00000000-0005-0000-0000-00004A300000}"/>
    <cellStyle name="Comma 2 2 3 2 2 3 2 4" xfId="36715" xr:uid="{00000000-0005-0000-0000-00004B300000}"/>
    <cellStyle name="Comma 2 2 3 2 2 3 2 5" xfId="40919" xr:uid="{00000000-0005-0000-0000-00004C300000}"/>
    <cellStyle name="Comma 2 2 3 2 2 3 3" xfId="25333" xr:uid="{00000000-0005-0000-0000-00004D300000}"/>
    <cellStyle name="Comma 2 2 3 2 2 3 3 2" xfId="44672" xr:uid="{00000000-0005-0000-0000-00004E300000}"/>
    <cellStyle name="Comma 2 2 3 2 2 3 4" xfId="29545" xr:uid="{00000000-0005-0000-0000-00004F300000}"/>
    <cellStyle name="Comma 2 2 3 2 2 3 5" xfId="33761" xr:uid="{00000000-0005-0000-0000-000050300000}"/>
    <cellStyle name="Comma 2 2 3 2 2 3 6" xfId="37965" xr:uid="{00000000-0005-0000-0000-000051300000}"/>
    <cellStyle name="Comma 2 2 3 2 2 4" xfId="6871" xr:uid="{00000000-0005-0000-0000-000052300000}"/>
    <cellStyle name="Comma 2 2 3 2 2 4 2" xfId="11782" xr:uid="{00000000-0005-0000-0000-000053300000}"/>
    <cellStyle name="Comma 2 2 3 2 2 4 2 2" xfId="28502" xr:uid="{00000000-0005-0000-0000-000054300000}"/>
    <cellStyle name="Comma 2 2 3 2 2 4 2 2 2" xfId="46153" xr:uid="{00000000-0005-0000-0000-000055300000}"/>
    <cellStyle name="Comma 2 2 3 2 2 4 2 3" xfId="32715" xr:uid="{00000000-0005-0000-0000-000056300000}"/>
    <cellStyle name="Comma 2 2 3 2 2 4 2 4" xfId="36930" xr:uid="{00000000-0005-0000-0000-000057300000}"/>
    <cellStyle name="Comma 2 2 3 2 2 4 2 5" xfId="41134" xr:uid="{00000000-0005-0000-0000-000058300000}"/>
    <cellStyle name="Comma 2 2 3 2 2 4 3" xfId="25559" xr:uid="{00000000-0005-0000-0000-000059300000}"/>
    <cellStyle name="Comma 2 2 3 2 2 4 3 2" xfId="44887" xr:uid="{00000000-0005-0000-0000-00005A300000}"/>
    <cellStyle name="Comma 2 2 3 2 2 4 4" xfId="29772" xr:uid="{00000000-0005-0000-0000-00005B300000}"/>
    <cellStyle name="Comma 2 2 3 2 2 4 5" xfId="33987" xr:uid="{00000000-0005-0000-0000-00005C300000}"/>
    <cellStyle name="Comma 2 2 3 2 2 4 6" xfId="38191" xr:uid="{00000000-0005-0000-0000-00005D300000}"/>
    <cellStyle name="Comma 2 2 3 2 2 5" xfId="9687" xr:uid="{00000000-0005-0000-0000-00005E300000}"/>
    <cellStyle name="Comma 2 2 3 2 2 5 2" xfId="11432" xr:uid="{00000000-0005-0000-0000-00005F300000}"/>
    <cellStyle name="Comma 2 2 3 2 2 5 2 2" xfId="28192" xr:uid="{00000000-0005-0000-0000-000060300000}"/>
    <cellStyle name="Comma 2 2 3 2 2 5 2 2 2" xfId="45841" xr:uid="{00000000-0005-0000-0000-000061300000}"/>
    <cellStyle name="Comma 2 2 3 2 2 5 2 3" xfId="32405" xr:uid="{00000000-0005-0000-0000-000062300000}"/>
    <cellStyle name="Comma 2 2 3 2 2 5 2 4" xfId="36620" xr:uid="{00000000-0005-0000-0000-000063300000}"/>
    <cellStyle name="Comma 2 2 3 2 2 5 2 5" xfId="40824" xr:uid="{00000000-0005-0000-0000-000064300000}"/>
    <cellStyle name="Comma 2 2 3 2 2 5 3" xfId="27198" xr:uid="{00000000-0005-0000-0000-000065300000}"/>
    <cellStyle name="Comma 2 2 3 2 2 5 3 2" xfId="45067" xr:uid="{00000000-0005-0000-0000-000066300000}"/>
    <cellStyle name="Comma 2 2 3 2 2 5 4" xfId="31411" xr:uid="{00000000-0005-0000-0000-000067300000}"/>
    <cellStyle name="Comma 2 2 3 2 2 5 5" xfId="35626" xr:uid="{00000000-0005-0000-0000-000068300000}"/>
    <cellStyle name="Comma 2 2 3 2 2 5 6" xfId="39830" xr:uid="{00000000-0005-0000-0000-000069300000}"/>
    <cellStyle name="Comma 2 2 3 2 2 6" xfId="10425" xr:uid="{00000000-0005-0000-0000-00006A300000}"/>
    <cellStyle name="Comma 2 2 3 2 2 6 2" xfId="27663" xr:uid="{00000000-0005-0000-0000-00006B300000}"/>
    <cellStyle name="Comma 2 2 3 2 2 6 2 2" xfId="45341" xr:uid="{00000000-0005-0000-0000-00006C300000}"/>
    <cellStyle name="Comma 2 2 3 2 2 6 3" xfId="31876" xr:uid="{00000000-0005-0000-0000-00006D300000}"/>
    <cellStyle name="Comma 2 2 3 2 2 6 4" xfId="36091" xr:uid="{00000000-0005-0000-0000-00006E300000}"/>
    <cellStyle name="Comma 2 2 3 2 2 6 5" xfId="40295" xr:uid="{00000000-0005-0000-0000-00006F300000}"/>
    <cellStyle name="Comma 2 2 3 2 2 7" xfId="25238" xr:uid="{00000000-0005-0000-0000-000070300000}"/>
    <cellStyle name="Comma 2 2 3 2 2 7 2" xfId="44577" xr:uid="{00000000-0005-0000-0000-000071300000}"/>
    <cellStyle name="Comma 2 2 3 2 2 8" xfId="29450" xr:uid="{00000000-0005-0000-0000-000072300000}"/>
    <cellStyle name="Comma 2 2 3 2 2 9" xfId="33666" xr:uid="{00000000-0005-0000-0000-000073300000}"/>
    <cellStyle name="Comma 2 2 3 2 3" xfId="6071" xr:uid="{00000000-0005-0000-0000-000074300000}"/>
    <cellStyle name="Comma 2 2 3 2 3 2" xfId="9745" xr:uid="{00000000-0005-0000-0000-000075300000}"/>
    <cellStyle name="Comma 2 2 3 2 3 2 2" xfId="11579" xr:uid="{00000000-0005-0000-0000-000076300000}"/>
    <cellStyle name="Comma 2 2 3 2 3 2 2 2" xfId="28335" xr:uid="{00000000-0005-0000-0000-000077300000}"/>
    <cellStyle name="Comma 2 2 3 2 3 2 2 2 2" xfId="45984" xr:uid="{00000000-0005-0000-0000-000078300000}"/>
    <cellStyle name="Comma 2 2 3 2 3 2 2 3" xfId="32548" xr:uid="{00000000-0005-0000-0000-000079300000}"/>
    <cellStyle name="Comma 2 2 3 2 3 2 2 4" xfId="36763" xr:uid="{00000000-0005-0000-0000-00007A300000}"/>
    <cellStyle name="Comma 2 2 3 2 3 2 2 5" xfId="40967" xr:uid="{00000000-0005-0000-0000-00007B300000}"/>
    <cellStyle name="Comma 2 2 3 2 3 2 3" xfId="27245" xr:uid="{00000000-0005-0000-0000-00007C300000}"/>
    <cellStyle name="Comma 2 2 3 2 3 2 3 2" xfId="45123" xr:uid="{00000000-0005-0000-0000-00007D300000}"/>
    <cellStyle name="Comma 2 2 3 2 3 2 4" xfId="31458" xr:uid="{00000000-0005-0000-0000-00007E300000}"/>
    <cellStyle name="Comma 2 2 3 2 3 2 5" xfId="35673" xr:uid="{00000000-0005-0000-0000-00007F300000}"/>
    <cellStyle name="Comma 2 2 3 2 3 2 6" xfId="39877" xr:uid="{00000000-0005-0000-0000-000080300000}"/>
    <cellStyle name="Comma 2 2 3 2 3 3" xfId="10472" xr:uid="{00000000-0005-0000-0000-000081300000}"/>
    <cellStyle name="Comma 2 2 3 2 3 3 2" xfId="27710" xr:uid="{00000000-0005-0000-0000-000082300000}"/>
    <cellStyle name="Comma 2 2 3 2 3 3 2 2" xfId="45388" xr:uid="{00000000-0005-0000-0000-000083300000}"/>
    <cellStyle name="Comma 2 2 3 2 3 3 3" xfId="31923" xr:uid="{00000000-0005-0000-0000-000084300000}"/>
    <cellStyle name="Comma 2 2 3 2 3 3 4" xfId="36138" xr:uid="{00000000-0005-0000-0000-000085300000}"/>
    <cellStyle name="Comma 2 2 3 2 3 3 5" xfId="40342" xr:uid="{00000000-0005-0000-0000-000086300000}"/>
    <cellStyle name="Comma 2 2 3 2 3 4" xfId="25381" xr:uid="{00000000-0005-0000-0000-000087300000}"/>
    <cellStyle name="Comma 2 2 3 2 3 4 2" xfId="44720" xr:uid="{00000000-0005-0000-0000-000088300000}"/>
    <cellStyle name="Comma 2 2 3 2 3 5" xfId="29593" xr:uid="{00000000-0005-0000-0000-000089300000}"/>
    <cellStyle name="Comma 2 2 3 2 3 6" xfId="33809" xr:uid="{00000000-0005-0000-0000-00008A300000}"/>
    <cellStyle name="Comma 2 2 3 2 3 7" xfId="38013" xr:uid="{00000000-0005-0000-0000-00008B300000}"/>
    <cellStyle name="Comma 2 2 3 2 4" xfId="5973" xr:uid="{00000000-0005-0000-0000-00008C300000}"/>
    <cellStyle name="Comma 2 2 3 2 4 2" xfId="11481" xr:uid="{00000000-0005-0000-0000-00008D300000}"/>
    <cellStyle name="Comma 2 2 3 2 4 2 2" xfId="28240" xr:uid="{00000000-0005-0000-0000-00008E300000}"/>
    <cellStyle name="Comma 2 2 3 2 4 2 2 2" xfId="45889" xr:uid="{00000000-0005-0000-0000-00008F300000}"/>
    <cellStyle name="Comma 2 2 3 2 4 2 3" xfId="32453" xr:uid="{00000000-0005-0000-0000-000090300000}"/>
    <cellStyle name="Comma 2 2 3 2 4 2 4" xfId="36668" xr:uid="{00000000-0005-0000-0000-000091300000}"/>
    <cellStyle name="Comma 2 2 3 2 4 2 5" xfId="40872" xr:uid="{00000000-0005-0000-0000-000092300000}"/>
    <cellStyle name="Comma 2 2 3 2 4 3" xfId="25286" xr:uid="{00000000-0005-0000-0000-000093300000}"/>
    <cellStyle name="Comma 2 2 3 2 4 3 2" xfId="44625" xr:uid="{00000000-0005-0000-0000-000094300000}"/>
    <cellStyle name="Comma 2 2 3 2 4 4" xfId="29498" xr:uid="{00000000-0005-0000-0000-000095300000}"/>
    <cellStyle name="Comma 2 2 3 2 4 5" xfId="33714" xr:uid="{00000000-0005-0000-0000-000096300000}"/>
    <cellStyle name="Comma 2 2 3 2 4 6" xfId="37918" xr:uid="{00000000-0005-0000-0000-000097300000}"/>
    <cellStyle name="Comma 2 2 3 2 5" xfId="6159" xr:uid="{00000000-0005-0000-0000-000098300000}"/>
    <cellStyle name="Comma 2 2 3 2 5 2" xfId="11667" xr:uid="{00000000-0005-0000-0000-000099300000}"/>
    <cellStyle name="Comma 2 2 3 2 5 2 2" xfId="28423" xr:uid="{00000000-0005-0000-0000-00009A300000}"/>
    <cellStyle name="Comma 2 2 3 2 5 2 2 2" xfId="46072" xr:uid="{00000000-0005-0000-0000-00009B300000}"/>
    <cellStyle name="Comma 2 2 3 2 5 2 3" xfId="32636" xr:uid="{00000000-0005-0000-0000-00009C300000}"/>
    <cellStyle name="Comma 2 2 3 2 5 2 4" xfId="36851" xr:uid="{00000000-0005-0000-0000-00009D300000}"/>
    <cellStyle name="Comma 2 2 3 2 5 2 5" xfId="41055" xr:uid="{00000000-0005-0000-0000-00009E300000}"/>
    <cellStyle name="Comma 2 2 3 2 5 3" xfId="25469" xr:uid="{00000000-0005-0000-0000-00009F300000}"/>
    <cellStyle name="Comma 2 2 3 2 5 3 2" xfId="44808" xr:uid="{00000000-0005-0000-0000-0000A0300000}"/>
    <cellStyle name="Comma 2 2 3 2 5 4" xfId="29681" xr:uid="{00000000-0005-0000-0000-0000A1300000}"/>
    <cellStyle name="Comma 2 2 3 2 5 5" xfId="33897" xr:uid="{00000000-0005-0000-0000-0000A2300000}"/>
    <cellStyle name="Comma 2 2 3 2 5 6" xfId="38101" xr:uid="{00000000-0005-0000-0000-0000A3300000}"/>
    <cellStyle name="Comma 2 2 3 2 6" xfId="6331" xr:uid="{00000000-0005-0000-0000-0000A4300000}"/>
    <cellStyle name="Comma 2 2 3 2 6 2" xfId="11743" xr:uid="{00000000-0005-0000-0000-0000A5300000}"/>
    <cellStyle name="Comma 2 2 3 2 6 2 2" xfId="28465" xr:uid="{00000000-0005-0000-0000-0000A6300000}"/>
    <cellStyle name="Comma 2 2 3 2 6 2 2 2" xfId="46114" xr:uid="{00000000-0005-0000-0000-0000A7300000}"/>
    <cellStyle name="Comma 2 2 3 2 6 2 3" xfId="32678" xr:uid="{00000000-0005-0000-0000-0000A8300000}"/>
    <cellStyle name="Comma 2 2 3 2 6 2 4" xfId="36893" xr:uid="{00000000-0005-0000-0000-0000A9300000}"/>
    <cellStyle name="Comma 2 2 3 2 6 2 5" xfId="41097" xr:uid="{00000000-0005-0000-0000-0000AA300000}"/>
    <cellStyle name="Comma 2 2 3 2 6 3" xfId="25521" xr:uid="{00000000-0005-0000-0000-0000AB300000}"/>
    <cellStyle name="Comma 2 2 3 2 6 3 2" xfId="44850" xr:uid="{00000000-0005-0000-0000-0000AC300000}"/>
    <cellStyle name="Comma 2 2 3 2 6 4" xfId="29733" xr:uid="{00000000-0005-0000-0000-0000AD300000}"/>
    <cellStyle name="Comma 2 2 3 2 6 5" xfId="33949" xr:uid="{00000000-0005-0000-0000-0000AE300000}"/>
    <cellStyle name="Comma 2 2 3 2 6 6" xfId="38153" xr:uid="{00000000-0005-0000-0000-0000AF300000}"/>
    <cellStyle name="Comma 2 2 3 2 7" xfId="9636" xr:uid="{00000000-0005-0000-0000-0000B0300000}"/>
    <cellStyle name="Comma 2 2 3 2 7 2" xfId="11376" xr:uid="{00000000-0005-0000-0000-0000B1300000}"/>
    <cellStyle name="Comma 2 2 3 2 7 2 2" xfId="28145" xr:uid="{00000000-0005-0000-0000-0000B2300000}"/>
    <cellStyle name="Comma 2 2 3 2 7 2 2 2" xfId="45794" xr:uid="{00000000-0005-0000-0000-0000B3300000}"/>
    <cellStyle name="Comma 2 2 3 2 7 2 3" xfId="32358" xr:uid="{00000000-0005-0000-0000-0000B4300000}"/>
    <cellStyle name="Comma 2 2 3 2 7 2 4" xfId="36573" xr:uid="{00000000-0005-0000-0000-0000B5300000}"/>
    <cellStyle name="Comma 2 2 3 2 7 2 5" xfId="40777" xr:uid="{00000000-0005-0000-0000-0000B6300000}"/>
    <cellStyle name="Comma 2 2 3 2 7 3" xfId="27151" xr:uid="{00000000-0005-0000-0000-0000B7300000}"/>
    <cellStyle name="Comma 2 2 3 2 7 3 2" xfId="45020" xr:uid="{00000000-0005-0000-0000-0000B8300000}"/>
    <cellStyle name="Comma 2 2 3 2 7 4" xfId="31364" xr:uid="{00000000-0005-0000-0000-0000B9300000}"/>
    <cellStyle name="Comma 2 2 3 2 7 5" xfId="35579" xr:uid="{00000000-0005-0000-0000-0000BA300000}"/>
    <cellStyle name="Comma 2 2 3 2 7 6" xfId="39783" xr:uid="{00000000-0005-0000-0000-0000BB300000}"/>
    <cellStyle name="Comma 2 2 3 2 8" xfId="10225" xr:uid="{00000000-0005-0000-0000-0000BC300000}"/>
    <cellStyle name="Comma 2 2 3 2 8 2" xfId="27616" xr:uid="{00000000-0005-0000-0000-0000BD300000}"/>
    <cellStyle name="Comma 2 2 3 2 8 2 2" xfId="45294" xr:uid="{00000000-0005-0000-0000-0000BE300000}"/>
    <cellStyle name="Comma 2 2 3 2 8 3" xfId="31829" xr:uid="{00000000-0005-0000-0000-0000BF300000}"/>
    <cellStyle name="Comma 2 2 3 2 8 4" xfId="36044" xr:uid="{00000000-0005-0000-0000-0000C0300000}"/>
    <cellStyle name="Comma 2 2 3 2 8 5" xfId="40248" xr:uid="{00000000-0005-0000-0000-0000C1300000}"/>
    <cellStyle name="Comma 2 2 3 2 9" xfId="24333" xr:uid="{00000000-0005-0000-0000-0000C2300000}"/>
    <cellStyle name="Comma 2 2 3 2 9 2" xfId="29020" xr:uid="{00000000-0005-0000-0000-0000C3300000}"/>
    <cellStyle name="Comma 2 2 3 2 9 3" xfId="33237" xr:uid="{00000000-0005-0000-0000-0000C4300000}"/>
    <cellStyle name="Comma 2 2 3 2 9 4" xfId="37448" xr:uid="{00000000-0005-0000-0000-0000C5300000}"/>
    <cellStyle name="Comma 2 2 3 2 9 5" xfId="44530" xr:uid="{00000000-0005-0000-0000-0000C6300000}"/>
    <cellStyle name="Comma 2 2 3 3" xfId="5872" xr:uid="{00000000-0005-0000-0000-0000C7300000}"/>
    <cellStyle name="Comma 2 2 3 3 10" xfId="29411" xr:uid="{00000000-0005-0000-0000-0000C8300000}"/>
    <cellStyle name="Comma 2 2 3 3 11" xfId="33627" xr:uid="{00000000-0005-0000-0000-0000C9300000}"/>
    <cellStyle name="Comma 2 2 3 3 12" xfId="37831" xr:uid="{00000000-0005-0000-0000-0000CA300000}"/>
    <cellStyle name="Comma 2 2 3 3 2" xfId="5933" xr:uid="{00000000-0005-0000-0000-0000CB300000}"/>
    <cellStyle name="Comma 2 2 3 3 2 10" xfId="37880" xr:uid="{00000000-0005-0000-0000-0000CC300000}"/>
    <cellStyle name="Comma 2 2 3 3 2 2" xfId="6128" xr:uid="{00000000-0005-0000-0000-0000CD300000}"/>
    <cellStyle name="Comma 2 2 3 3 2 2 2" xfId="9806" xr:uid="{00000000-0005-0000-0000-0000CE300000}"/>
    <cellStyle name="Comma 2 2 3 3 2 2 2 2" xfId="11636" xr:uid="{00000000-0005-0000-0000-0000CF300000}"/>
    <cellStyle name="Comma 2 2 3 3 2 2 2 2 2" xfId="28392" xr:uid="{00000000-0005-0000-0000-0000D0300000}"/>
    <cellStyle name="Comma 2 2 3 3 2 2 2 2 2 2" xfId="46041" xr:uid="{00000000-0005-0000-0000-0000D1300000}"/>
    <cellStyle name="Comma 2 2 3 3 2 2 2 2 3" xfId="32605" xr:uid="{00000000-0005-0000-0000-0000D2300000}"/>
    <cellStyle name="Comma 2 2 3 3 2 2 2 2 4" xfId="36820" xr:uid="{00000000-0005-0000-0000-0000D3300000}"/>
    <cellStyle name="Comma 2 2 3 3 2 2 2 2 5" xfId="41024" xr:uid="{00000000-0005-0000-0000-0000D4300000}"/>
    <cellStyle name="Comma 2 2 3 3 2 2 2 3" xfId="27293" xr:uid="{00000000-0005-0000-0000-0000D5300000}"/>
    <cellStyle name="Comma 2 2 3 3 2 2 2 3 2" xfId="45171" xr:uid="{00000000-0005-0000-0000-0000D6300000}"/>
    <cellStyle name="Comma 2 2 3 3 2 2 2 4" xfId="31506" xr:uid="{00000000-0005-0000-0000-0000D7300000}"/>
    <cellStyle name="Comma 2 2 3 3 2 2 2 5" xfId="35721" xr:uid="{00000000-0005-0000-0000-0000D8300000}"/>
    <cellStyle name="Comma 2 2 3 3 2 2 2 6" xfId="39925" xr:uid="{00000000-0005-0000-0000-0000D9300000}"/>
    <cellStyle name="Comma 2 2 3 3 2 2 3" xfId="10543" xr:uid="{00000000-0005-0000-0000-0000DA300000}"/>
    <cellStyle name="Comma 2 2 3 3 2 2 3 2" xfId="27758" xr:uid="{00000000-0005-0000-0000-0000DB300000}"/>
    <cellStyle name="Comma 2 2 3 3 2 2 3 2 2" xfId="45436" xr:uid="{00000000-0005-0000-0000-0000DC300000}"/>
    <cellStyle name="Comma 2 2 3 3 2 2 3 3" xfId="31971" xr:uid="{00000000-0005-0000-0000-0000DD300000}"/>
    <cellStyle name="Comma 2 2 3 3 2 2 3 4" xfId="36186" xr:uid="{00000000-0005-0000-0000-0000DE300000}"/>
    <cellStyle name="Comma 2 2 3 3 2 2 3 5" xfId="40390" xr:uid="{00000000-0005-0000-0000-0000DF300000}"/>
    <cellStyle name="Comma 2 2 3 3 2 2 4" xfId="25438" xr:uid="{00000000-0005-0000-0000-0000E0300000}"/>
    <cellStyle name="Comma 2 2 3 3 2 2 4 2" xfId="44777" xr:uid="{00000000-0005-0000-0000-0000E1300000}"/>
    <cellStyle name="Comma 2 2 3 3 2 2 5" xfId="29650" xr:uid="{00000000-0005-0000-0000-0000E2300000}"/>
    <cellStyle name="Comma 2 2 3 3 2 2 6" xfId="33866" xr:uid="{00000000-0005-0000-0000-0000E3300000}"/>
    <cellStyle name="Comma 2 2 3 3 2 2 7" xfId="38070" xr:uid="{00000000-0005-0000-0000-0000E4300000}"/>
    <cellStyle name="Comma 2 2 3 3 2 3" xfId="6030" xr:uid="{00000000-0005-0000-0000-0000E5300000}"/>
    <cellStyle name="Comma 2 2 3 3 2 3 2" xfId="11538" xr:uid="{00000000-0005-0000-0000-0000E6300000}"/>
    <cellStyle name="Comma 2 2 3 3 2 3 2 2" xfId="28297" xr:uid="{00000000-0005-0000-0000-0000E7300000}"/>
    <cellStyle name="Comma 2 2 3 3 2 3 2 2 2" xfId="45946" xr:uid="{00000000-0005-0000-0000-0000E8300000}"/>
    <cellStyle name="Comma 2 2 3 3 2 3 2 3" xfId="32510" xr:uid="{00000000-0005-0000-0000-0000E9300000}"/>
    <cellStyle name="Comma 2 2 3 3 2 3 2 4" xfId="36725" xr:uid="{00000000-0005-0000-0000-0000EA300000}"/>
    <cellStyle name="Comma 2 2 3 3 2 3 2 5" xfId="40929" xr:uid="{00000000-0005-0000-0000-0000EB300000}"/>
    <cellStyle name="Comma 2 2 3 3 2 3 3" xfId="25343" xr:uid="{00000000-0005-0000-0000-0000EC300000}"/>
    <cellStyle name="Comma 2 2 3 3 2 3 3 2" xfId="44682" xr:uid="{00000000-0005-0000-0000-0000ED300000}"/>
    <cellStyle name="Comma 2 2 3 3 2 3 4" xfId="29555" xr:uid="{00000000-0005-0000-0000-0000EE300000}"/>
    <cellStyle name="Comma 2 2 3 3 2 3 5" xfId="33771" xr:uid="{00000000-0005-0000-0000-0000EF300000}"/>
    <cellStyle name="Comma 2 2 3 3 2 3 6" xfId="37975" xr:uid="{00000000-0005-0000-0000-0000F0300000}"/>
    <cellStyle name="Comma 2 2 3 3 2 4" xfId="6872" xr:uid="{00000000-0005-0000-0000-0000F1300000}"/>
    <cellStyle name="Comma 2 2 3 3 2 4 2" xfId="11783" xr:uid="{00000000-0005-0000-0000-0000F2300000}"/>
    <cellStyle name="Comma 2 2 3 3 2 4 2 2" xfId="28503" xr:uid="{00000000-0005-0000-0000-0000F3300000}"/>
    <cellStyle name="Comma 2 2 3 3 2 4 2 2 2" xfId="46154" xr:uid="{00000000-0005-0000-0000-0000F4300000}"/>
    <cellStyle name="Comma 2 2 3 3 2 4 2 3" xfId="32716" xr:uid="{00000000-0005-0000-0000-0000F5300000}"/>
    <cellStyle name="Comma 2 2 3 3 2 4 2 4" xfId="36931" xr:uid="{00000000-0005-0000-0000-0000F6300000}"/>
    <cellStyle name="Comma 2 2 3 3 2 4 2 5" xfId="41135" xr:uid="{00000000-0005-0000-0000-0000F7300000}"/>
    <cellStyle name="Comma 2 2 3 3 2 4 3" xfId="25560" xr:uid="{00000000-0005-0000-0000-0000F8300000}"/>
    <cellStyle name="Comma 2 2 3 3 2 4 3 2" xfId="44888" xr:uid="{00000000-0005-0000-0000-0000F9300000}"/>
    <cellStyle name="Comma 2 2 3 3 2 4 4" xfId="29773" xr:uid="{00000000-0005-0000-0000-0000FA300000}"/>
    <cellStyle name="Comma 2 2 3 3 2 4 5" xfId="33988" xr:uid="{00000000-0005-0000-0000-0000FB300000}"/>
    <cellStyle name="Comma 2 2 3 3 2 4 6" xfId="38192" xr:uid="{00000000-0005-0000-0000-0000FC300000}"/>
    <cellStyle name="Comma 2 2 3 3 2 5" xfId="9688" xr:uid="{00000000-0005-0000-0000-0000FD300000}"/>
    <cellStyle name="Comma 2 2 3 3 2 5 2" xfId="11442" xr:uid="{00000000-0005-0000-0000-0000FE300000}"/>
    <cellStyle name="Comma 2 2 3 3 2 5 2 2" xfId="28202" xr:uid="{00000000-0005-0000-0000-0000FF300000}"/>
    <cellStyle name="Comma 2 2 3 3 2 5 2 2 2" xfId="45851" xr:uid="{00000000-0005-0000-0000-000000310000}"/>
    <cellStyle name="Comma 2 2 3 3 2 5 2 3" xfId="32415" xr:uid="{00000000-0005-0000-0000-000001310000}"/>
    <cellStyle name="Comma 2 2 3 3 2 5 2 4" xfId="36630" xr:uid="{00000000-0005-0000-0000-000002310000}"/>
    <cellStyle name="Comma 2 2 3 3 2 5 2 5" xfId="40834" xr:uid="{00000000-0005-0000-0000-000003310000}"/>
    <cellStyle name="Comma 2 2 3 3 2 5 3" xfId="27199" xr:uid="{00000000-0005-0000-0000-000004310000}"/>
    <cellStyle name="Comma 2 2 3 3 2 5 3 2" xfId="45068" xr:uid="{00000000-0005-0000-0000-000005310000}"/>
    <cellStyle name="Comma 2 2 3 3 2 5 4" xfId="31412" xr:uid="{00000000-0005-0000-0000-000006310000}"/>
    <cellStyle name="Comma 2 2 3 3 2 5 5" xfId="35627" xr:uid="{00000000-0005-0000-0000-000007310000}"/>
    <cellStyle name="Comma 2 2 3 3 2 5 6" xfId="39831" xr:uid="{00000000-0005-0000-0000-000008310000}"/>
    <cellStyle name="Comma 2 2 3 3 2 6" xfId="10426" xr:uid="{00000000-0005-0000-0000-000009310000}"/>
    <cellStyle name="Comma 2 2 3 3 2 6 2" xfId="27664" xr:uid="{00000000-0005-0000-0000-00000A310000}"/>
    <cellStyle name="Comma 2 2 3 3 2 6 2 2" xfId="45342" xr:uid="{00000000-0005-0000-0000-00000B310000}"/>
    <cellStyle name="Comma 2 2 3 3 2 6 3" xfId="31877" xr:uid="{00000000-0005-0000-0000-00000C310000}"/>
    <cellStyle name="Comma 2 2 3 3 2 6 4" xfId="36092" xr:uid="{00000000-0005-0000-0000-00000D310000}"/>
    <cellStyle name="Comma 2 2 3 3 2 6 5" xfId="40296" xr:uid="{00000000-0005-0000-0000-00000E310000}"/>
    <cellStyle name="Comma 2 2 3 3 2 7" xfId="25248" xr:uid="{00000000-0005-0000-0000-00000F310000}"/>
    <cellStyle name="Comma 2 2 3 3 2 7 2" xfId="44587" xr:uid="{00000000-0005-0000-0000-000010310000}"/>
    <cellStyle name="Comma 2 2 3 3 2 8" xfId="29460" xr:uid="{00000000-0005-0000-0000-000011310000}"/>
    <cellStyle name="Comma 2 2 3 3 2 9" xfId="33676" xr:uid="{00000000-0005-0000-0000-000012310000}"/>
    <cellStyle name="Comma 2 2 3 3 3" xfId="6081" xr:uid="{00000000-0005-0000-0000-000013310000}"/>
    <cellStyle name="Comma 2 2 3 3 3 2" xfId="9746" xr:uid="{00000000-0005-0000-0000-000014310000}"/>
    <cellStyle name="Comma 2 2 3 3 3 2 2" xfId="11589" xr:uid="{00000000-0005-0000-0000-000015310000}"/>
    <cellStyle name="Comma 2 2 3 3 3 2 2 2" xfId="28345" xr:uid="{00000000-0005-0000-0000-000016310000}"/>
    <cellStyle name="Comma 2 2 3 3 3 2 2 2 2" xfId="45994" xr:uid="{00000000-0005-0000-0000-000017310000}"/>
    <cellStyle name="Comma 2 2 3 3 3 2 2 3" xfId="32558" xr:uid="{00000000-0005-0000-0000-000018310000}"/>
    <cellStyle name="Comma 2 2 3 3 3 2 2 4" xfId="36773" xr:uid="{00000000-0005-0000-0000-000019310000}"/>
    <cellStyle name="Comma 2 2 3 3 3 2 2 5" xfId="40977" xr:uid="{00000000-0005-0000-0000-00001A310000}"/>
    <cellStyle name="Comma 2 2 3 3 3 2 3" xfId="27246" xr:uid="{00000000-0005-0000-0000-00001B310000}"/>
    <cellStyle name="Comma 2 2 3 3 3 2 3 2" xfId="45124" xr:uid="{00000000-0005-0000-0000-00001C310000}"/>
    <cellStyle name="Comma 2 2 3 3 3 2 4" xfId="31459" xr:uid="{00000000-0005-0000-0000-00001D310000}"/>
    <cellStyle name="Comma 2 2 3 3 3 2 5" xfId="35674" xr:uid="{00000000-0005-0000-0000-00001E310000}"/>
    <cellStyle name="Comma 2 2 3 3 3 2 6" xfId="39878" xr:uid="{00000000-0005-0000-0000-00001F310000}"/>
    <cellStyle name="Comma 2 2 3 3 3 3" xfId="10473" xr:uid="{00000000-0005-0000-0000-000020310000}"/>
    <cellStyle name="Comma 2 2 3 3 3 3 2" xfId="27711" xr:uid="{00000000-0005-0000-0000-000021310000}"/>
    <cellStyle name="Comma 2 2 3 3 3 3 2 2" xfId="45389" xr:uid="{00000000-0005-0000-0000-000022310000}"/>
    <cellStyle name="Comma 2 2 3 3 3 3 3" xfId="31924" xr:uid="{00000000-0005-0000-0000-000023310000}"/>
    <cellStyle name="Comma 2 2 3 3 3 3 4" xfId="36139" xr:uid="{00000000-0005-0000-0000-000024310000}"/>
    <cellStyle name="Comma 2 2 3 3 3 3 5" xfId="40343" xr:uid="{00000000-0005-0000-0000-000025310000}"/>
    <cellStyle name="Comma 2 2 3 3 3 4" xfId="25391" xr:uid="{00000000-0005-0000-0000-000026310000}"/>
    <cellStyle name="Comma 2 2 3 3 3 4 2" xfId="44730" xr:uid="{00000000-0005-0000-0000-000027310000}"/>
    <cellStyle name="Comma 2 2 3 3 3 5" xfId="29603" xr:uid="{00000000-0005-0000-0000-000028310000}"/>
    <cellStyle name="Comma 2 2 3 3 3 6" xfId="33819" xr:uid="{00000000-0005-0000-0000-000029310000}"/>
    <cellStyle name="Comma 2 2 3 3 3 7" xfId="38023" xr:uid="{00000000-0005-0000-0000-00002A310000}"/>
    <cellStyle name="Comma 2 2 3 3 4" xfId="5983" xr:uid="{00000000-0005-0000-0000-00002B310000}"/>
    <cellStyle name="Comma 2 2 3 3 4 2" xfId="11491" xr:uid="{00000000-0005-0000-0000-00002C310000}"/>
    <cellStyle name="Comma 2 2 3 3 4 2 2" xfId="28250" xr:uid="{00000000-0005-0000-0000-00002D310000}"/>
    <cellStyle name="Comma 2 2 3 3 4 2 2 2" xfId="45899" xr:uid="{00000000-0005-0000-0000-00002E310000}"/>
    <cellStyle name="Comma 2 2 3 3 4 2 3" xfId="32463" xr:uid="{00000000-0005-0000-0000-00002F310000}"/>
    <cellStyle name="Comma 2 2 3 3 4 2 4" xfId="36678" xr:uid="{00000000-0005-0000-0000-000030310000}"/>
    <cellStyle name="Comma 2 2 3 3 4 2 5" xfId="40882" xr:uid="{00000000-0005-0000-0000-000031310000}"/>
    <cellStyle name="Comma 2 2 3 3 4 3" xfId="25296" xr:uid="{00000000-0005-0000-0000-000032310000}"/>
    <cellStyle name="Comma 2 2 3 3 4 3 2" xfId="44635" xr:uid="{00000000-0005-0000-0000-000033310000}"/>
    <cellStyle name="Comma 2 2 3 3 4 4" xfId="29508" xr:uid="{00000000-0005-0000-0000-000034310000}"/>
    <cellStyle name="Comma 2 2 3 3 4 5" xfId="33724" xr:uid="{00000000-0005-0000-0000-000035310000}"/>
    <cellStyle name="Comma 2 2 3 3 4 6" xfId="37928" xr:uid="{00000000-0005-0000-0000-000036310000}"/>
    <cellStyle name="Comma 2 2 3 3 5" xfId="6160" xr:uid="{00000000-0005-0000-0000-000037310000}"/>
    <cellStyle name="Comma 2 2 3 3 5 2" xfId="11668" xr:uid="{00000000-0005-0000-0000-000038310000}"/>
    <cellStyle name="Comma 2 2 3 3 5 2 2" xfId="28424" xr:uid="{00000000-0005-0000-0000-000039310000}"/>
    <cellStyle name="Comma 2 2 3 3 5 2 2 2" xfId="46073" xr:uid="{00000000-0005-0000-0000-00003A310000}"/>
    <cellStyle name="Comma 2 2 3 3 5 2 3" xfId="32637" xr:uid="{00000000-0005-0000-0000-00003B310000}"/>
    <cellStyle name="Comma 2 2 3 3 5 2 4" xfId="36852" xr:uid="{00000000-0005-0000-0000-00003C310000}"/>
    <cellStyle name="Comma 2 2 3 3 5 2 5" xfId="41056" xr:uid="{00000000-0005-0000-0000-00003D310000}"/>
    <cellStyle name="Comma 2 2 3 3 5 3" xfId="25470" xr:uid="{00000000-0005-0000-0000-00003E310000}"/>
    <cellStyle name="Comma 2 2 3 3 5 3 2" xfId="44809" xr:uid="{00000000-0005-0000-0000-00003F310000}"/>
    <cellStyle name="Comma 2 2 3 3 5 4" xfId="29682" xr:uid="{00000000-0005-0000-0000-000040310000}"/>
    <cellStyle name="Comma 2 2 3 3 5 5" xfId="33898" xr:uid="{00000000-0005-0000-0000-000041310000}"/>
    <cellStyle name="Comma 2 2 3 3 5 6" xfId="38102" xr:uid="{00000000-0005-0000-0000-000042310000}"/>
    <cellStyle name="Comma 2 2 3 3 6" xfId="6332" xr:uid="{00000000-0005-0000-0000-000043310000}"/>
    <cellStyle name="Comma 2 2 3 3 6 2" xfId="11744" xr:uid="{00000000-0005-0000-0000-000044310000}"/>
    <cellStyle name="Comma 2 2 3 3 6 2 2" xfId="28466" xr:uid="{00000000-0005-0000-0000-000045310000}"/>
    <cellStyle name="Comma 2 2 3 3 6 2 2 2" xfId="46115" xr:uid="{00000000-0005-0000-0000-000046310000}"/>
    <cellStyle name="Comma 2 2 3 3 6 2 3" xfId="32679" xr:uid="{00000000-0005-0000-0000-000047310000}"/>
    <cellStyle name="Comma 2 2 3 3 6 2 4" xfId="36894" xr:uid="{00000000-0005-0000-0000-000048310000}"/>
    <cellStyle name="Comma 2 2 3 3 6 2 5" xfId="41098" xr:uid="{00000000-0005-0000-0000-000049310000}"/>
    <cellStyle name="Comma 2 2 3 3 6 3" xfId="25522" xr:uid="{00000000-0005-0000-0000-00004A310000}"/>
    <cellStyle name="Comma 2 2 3 3 6 3 2" xfId="44851" xr:uid="{00000000-0005-0000-0000-00004B310000}"/>
    <cellStyle name="Comma 2 2 3 3 6 4" xfId="29734" xr:uid="{00000000-0005-0000-0000-00004C310000}"/>
    <cellStyle name="Comma 2 2 3 3 6 5" xfId="33950" xr:uid="{00000000-0005-0000-0000-00004D310000}"/>
    <cellStyle name="Comma 2 2 3 3 6 6" xfId="38154" xr:uid="{00000000-0005-0000-0000-00004E310000}"/>
    <cellStyle name="Comma 2 2 3 3 7" xfId="9637" xr:uid="{00000000-0005-0000-0000-00004F310000}"/>
    <cellStyle name="Comma 2 2 3 3 7 2" xfId="11386" xr:uid="{00000000-0005-0000-0000-000050310000}"/>
    <cellStyle name="Comma 2 2 3 3 7 2 2" xfId="28155" xr:uid="{00000000-0005-0000-0000-000051310000}"/>
    <cellStyle name="Comma 2 2 3 3 7 2 2 2" xfId="45804" xr:uid="{00000000-0005-0000-0000-000052310000}"/>
    <cellStyle name="Comma 2 2 3 3 7 2 3" xfId="32368" xr:uid="{00000000-0005-0000-0000-000053310000}"/>
    <cellStyle name="Comma 2 2 3 3 7 2 4" xfId="36583" xr:uid="{00000000-0005-0000-0000-000054310000}"/>
    <cellStyle name="Comma 2 2 3 3 7 2 5" xfId="40787" xr:uid="{00000000-0005-0000-0000-000055310000}"/>
    <cellStyle name="Comma 2 2 3 3 7 3" xfId="27152" xr:uid="{00000000-0005-0000-0000-000056310000}"/>
    <cellStyle name="Comma 2 2 3 3 7 3 2" xfId="45021" xr:uid="{00000000-0005-0000-0000-000057310000}"/>
    <cellStyle name="Comma 2 2 3 3 7 4" xfId="31365" xr:uid="{00000000-0005-0000-0000-000058310000}"/>
    <cellStyle name="Comma 2 2 3 3 7 5" xfId="35580" xr:uid="{00000000-0005-0000-0000-000059310000}"/>
    <cellStyle name="Comma 2 2 3 3 7 6" xfId="39784" xr:uid="{00000000-0005-0000-0000-00005A310000}"/>
    <cellStyle name="Comma 2 2 3 3 8" xfId="10226" xr:uid="{00000000-0005-0000-0000-00005B310000}"/>
    <cellStyle name="Comma 2 2 3 3 8 2" xfId="27617" xr:uid="{00000000-0005-0000-0000-00005C310000}"/>
    <cellStyle name="Comma 2 2 3 3 8 2 2" xfId="45295" xr:uid="{00000000-0005-0000-0000-00005D310000}"/>
    <cellStyle name="Comma 2 2 3 3 8 3" xfId="31830" xr:uid="{00000000-0005-0000-0000-00005E310000}"/>
    <cellStyle name="Comma 2 2 3 3 8 4" xfId="36045" xr:uid="{00000000-0005-0000-0000-00005F310000}"/>
    <cellStyle name="Comma 2 2 3 3 8 5" xfId="40249" xr:uid="{00000000-0005-0000-0000-000060310000}"/>
    <cellStyle name="Comma 2 2 3 3 9" xfId="25199" xr:uid="{00000000-0005-0000-0000-000061310000}"/>
    <cellStyle name="Comma 2 2 3 3 9 2" xfId="44540" xr:uid="{00000000-0005-0000-0000-000062310000}"/>
    <cellStyle name="Comma 2 2 3 4" xfId="5896" xr:uid="{00000000-0005-0000-0000-000063310000}"/>
    <cellStyle name="Comma 2 2 3 4 10" xfId="33644" xr:uid="{00000000-0005-0000-0000-000064310000}"/>
    <cellStyle name="Comma 2 2 3 4 11" xfId="37848" xr:uid="{00000000-0005-0000-0000-000065310000}"/>
    <cellStyle name="Comma 2 2 3 4 2" xfId="5948" xr:uid="{00000000-0005-0000-0000-000066310000}"/>
    <cellStyle name="Comma 2 2 3 4 2 2" xfId="6143" xr:uid="{00000000-0005-0000-0000-000067310000}"/>
    <cellStyle name="Comma 2 2 3 4 2 2 2" xfId="11651" xr:uid="{00000000-0005-0000-0000-000068310000}"/>
    <cellStyle name="Comma 2 2 3 4 2 2 2 2" xfId="28407" xr:uid="{00000000-0005-0000-0000-000069310000}"/>
    <cellStyle name="Comma 2 2 3 4 2 2 2 2 2" xfId="46056" xr:uid="{00000000-0005-0000-0000-00006A310000}"/>
    <cellStyle name="Comma 2 2 3 4 2 2 2 3" xfId="32620" xr:uid="{00000000-0005-0000-0000-00006B310000}"/>
    <cellStyle name="Comma 2 2 3 4 2 2 2 4" xfId="36835" xr:uid="{00000000-0005-0000-0000-00006C310000}"/>
    <cellStyle name="Comma 2 2 3 4 2 2 2 5" xfId="41039" xr:uid="{00000000-0005-0000-0000-00006D310000}"/>
    <cellStyle name="Comma 2 2 3 4 2 2 3" xfId="25453" xr:uid="{00000000-0005-0000-0000-00006E310000}"/>
    <cellStyle name="Comma 2 2 3 4 2 2 3 2" xfId="44792" xr:uid="{00000000-0005-0000-0000-00006F310000}"/>
    <cellStyle name="Comma 2 2 3 4 2 2 4" xfId="29665" xr:uid="{00000000-0005-0000-0000-000070310000}"/>
    <cellStyle name="Comma 2 2 3 4 2 2 5" xfId="33881" xr:uid="{00000000-0005-0000-0000-000071310000}"/>
    <cellStyle name="Comma 2 2 3 4 2 2 6" xfId="38085" xr:uid="{00000000-0005-0000-0000-000072310000}"/>
    <cellStyle name="Comma 2 2 3 4 2 3" xfId="6045" xr:uid="{00000000-0005-0000-0000-000073310000}"/>
    <cellStyle name="Comma 2 2 3 4 2 3 2" xfId="11553" xr:uid="{00000000-0005-0000-0000-000074310000}"/>
    <cellStyle name="Comma 2 2 3 4 2 3 2 2" xfId="28312" xr:uid="{00000000-0005-0000-0000-000075310000}"/>
    <cellStyle name="Comma 2 2 3 4 2 3 2 2 2" xfId="45961" xr:uid="{00000000-0005-0000-0000-000076310000}"/>
    <cellStyle name="Comma 2 2 3 4 2 3 2 3" xfId="32525" xr:uid="{00000000-0005-0000-0000-000077310000}"/>
    <cellStyle name="Comma 2 2 3 4 2 3 2 4" xfId="36740" xr:uid="{00000000-0005-0000-0000-000078310000}"/>
    <cellStyle name="Comma 2 2 3 4 2 3 2 5" xfId="40944" xr:uid="{00000000-0005-0000-0000-000079310000}"/>
    <cellStyle name="Comma 2 2 3 4 2 3 3" xfId="25358" xr:uid="{00000000-0005-0000-0000-00007A310000}"/>
    <cellStyle name="Comma 2 2 3 4 2 3 3 2" xfId="44697" xr:uid="{00000000-0005-0000-0000-00007B310000}"/>
    <cellStyle name="Comma 2 2 3 4 2 3 4" xfId="29570" xr:uid="{00000000-0005-0000-0000-00007C310000}"/>
    <cellStyle name="Comma 2 2 3 4 2 3 5" xfId="33786" xr:uid="{00000000-0005-0000-0000-00007D310000}"/>
    <cellStyle name="Comma 2 2 3 4 2 3 6" xfId="37990" xr:uid="{00000000-0005-0000-0000-00007E310000}"/>
    <cellStyle name="Comma 2 2 3 4 2 4" xfId="9804" xr:uid="{00000000-0005-0000-0000-00007F310000}"/>
    <cellStyle name="Comma 2 2 3 4 2 4 2" xfId="11457" xr:uid="{00000000-0005-0000-0000-000080310000}"/>
    <cellStyle name="Comma 2 2 3 4 2 4 2 2" xfId="28217" xr:uid="{00000000-0005-0000-0000-000081310000}"/>
    <cellStyle name="Comma 2 2 3 4 2 4 2 2 2" xfId="45866" xr:uid="{00000000-0005-0000-0000-000082310000}"/>
    <cellStyle name="Comma 2 2 3 4 2 4 2 3" xfId="32430" xr:uid="{00000000-0005-0000-0000-000083310000}"/>
    <cellStyle name="Comma 2 2 3 4 2 4 2 4" xfId="36645" xr:uid="{00000000-0005-0000-0000-000084310000}"/>
    <cellStyle name="Comma 2 2 3 4 2 4 2 5" xfId="40849" xr:uid="{00000000-0005-0000-0000-000085310000}"/>
    <cellStyle name="Comma 2 2 3 4 2 4 3" xfId="27291" xr:uid="{00000000-0005-0000-0000-000086310000}"/>
    <cellStyle name="Comma 2 2 3 4 2 4 3 2" xfId="45169" xr:uid="{00000000-0005-0000-0000-000087310000}"/>
    <cellStyle name="Comma 2 2 3 4 2 4 4" xfId="31504" xr:uid="{00000000-0005-0000-0000-000088310000}"/>
    <cellStyle name="Comma 2 2 3 4 2 4 5" xfId="35719" xr:uid="{00000000-0005-0000-0000-000089310000}"/>
    <cellStyle name="Comma 2 2 3 4 2 4 6" xfId="39923" xr:uid="{00000000-0005-0000-0000-00008A310000}"/>
    <cellStyle name="Comma 2 2 3 4 2 5" xfId="10541" xr:uid="{00000000-0005-0000-0000-00008B310000}"/>
    <cellStyle name="Comma 2 2 3 4 2 5 2" xfId="27756" xr:uid="{00000000-0005-0000-0000-00008C310000}"/>
    <cellStyle name="Comma 2 2 3 4 2 5 2 2" xfId="45434" xr:uid="{00000000-0005-0000-0000-00008D310000}"/>
    <cellStyle name="Comma 2 2 3 4 2 5 3" xfId="31969" xr:uid="{00000000-0005-0000-0000-00008E310000}"/>
    <cellStyle name="Comma 2 2 3 4 2 5 4" xfId="36184" xr:uid="{00000000-0005-0000-0000-00008F310000}"/>
    <cellStyle name="Comma 2 2 3 4 2 5 5" xfId="40388" xr:uid="{00000000-0005-0000-0000-000090310000}"/>
    <cellStyle name="Comma 2 2 3 4 2 6" xfId="25263" xr:uid="{00000000-0005-0000-0000-000091310000}"/>
    <cellStyle name="Comma 2 2 3 4 2 6 2" xfId="44602" xr:uid="{00000000-0005-0000-0000-000092310000}"/>
    <cellStyle name="Comma 2 2 3 4 2 7" xfId="29475" xr:uid="{00000000-0005-0000-0000-000093310000}"/>
    <cellStyle name="Comma 2 2 3 4 2 8" xfId="33691" xr:uid="{00000000-0005-0000-0000-000094310000}"/>
    <cellStyle name="Comma 2 2 3 4 2 9" xfId="37895" xr:uid="{00000000-0005-0000-0000-000095310000}"/>
    <cellStyle name="Comma 2 2 3 4 3" xfId="6096" xr:uid="{00000000-0005-0000-0000-000096310000}"/>
    <cellStyle name="Comma 2 2 3 4 3 2" xfId="11604" xr:uid="{00000000-0005-0000-0000-000097310000}"/>
    <cellStyle name="Comma 2 2 3 4 3 2 2" xfId="28360" xr:uid="{00000000-0005-0000-0000-000098310000}"/>
    <cellStyle name="Comma 2 2 3 4 3 2 2 2" xfId="46009" xr:uid="{00000000-0005-0000-0000-000099310000}"/>
    <cellStyle name="Comma 2 2 3 4 3 2 3" xfId="32573" xr:uid="{00000000-0005-0000-0000-00009A310000}"/>
    <cellStyle name="Comma 2 2 3 4 3 2 4" xfId="36788" xr:uid="{00000000-0005-0000-0000-00009B310000}"/>
    <cellStyle name="Comma 2 2 3 4 3 2 5" xfId="40992" xr:uid="{00000000-0005-0000-0000-00009C310000}"/>
    <cellStyle name="Comma 2 2 3 4 3 3" xfId="25406" xr:uid="{00000000-0005-0000-0000-00009D310000}"/>
    <cellStyle name="Comma 2 2 3 4 3 3 2" xfId="44745" xr:uid="{00000000-0005-0000-0000-00009E310000}"/>
    <cellStyle name="Comma 2 2 3 4 3 4" xfId="29618" xr:uid="{00000000-0005-0000-0000-00009F310000}"/>
    <cellStyle name="Comma 2 2 3 4 3 5" xfId="33834" xr:uid="{00000000-0005-0000-0000-0000A0310000}"/>
    <cellStyle name="Comma 2 2 3 4 3 6" xfId="38038" xr:uid="{00000000-0005-0000-0000-0000A1310000}"/>
    <cellStyle name="Comma 2 2 3 4 4" xfId="5998" xr:uid="{00000000-0005-0000-0000-0000A2310000}"/>
    <cellStyle name="Comma 2 2 3 4 4 2" xfId="11506" xr:uid="{00000000-0005-0000-0000-0000A3310000}"/>
    <cellStyle name="Comma 2 2 3 4 4 2 2" xfId="28265" xr:uid="{00000000-0005-0000-0000-0000A4310000}"/>
    <cellStyle name="Comma 2 2 3 4 4 2 2 2" xfId="45914" xr:uid="{00000000-0005-0000-0000-0000A5310000}"/>
    <cellStyle name="Comma 2 2 3 4 4 2 3" xfId="32478" xr:uid="{00000000-0005-0000-0000-0000A6310000}"/>
    <cellStyle name="Comma 2 2 3 4 4 2 4" xfId="36693" xr:uid="{00000000-0005-0000-0000-0000A7310000}"/>
    <cellStyle name="Comma 2 2 3 4 4 2 5" xfId="40897" xr:uid="{00000000-0005-0000-0000-0000A8310000}"/>
    <cellStyle name="Comma 2 2 3 4 4 3" xfId="25311" xr:uid="{00000000-0005-0000-0000-0000A9310000}"/>
    <cellStyle name="Comma 2 2 3 4 4 3 2" xfId="44650" xr:uid="{00000000-0005-0000-0000-0000AA310000}"/>
    <cellStyle name="Comma 2 2 3 4 4 4" xfId="29523" xr:uid="{00000000-0005-0000-0000-0000AB310000}"/>
    <cellStyle name="Comma 2 2 3 4 4 5" xfId="33739" xr:uid="{00000000-0005-0000-0000-0000AC310000}"/>
    <cellStyle name="Comma 2 2 3 4 4 6" xfId="37943" xr:uid="{00000000-0005-0000-0000-0000AD310000}"/>
    <cellStyle name="Comma 2 2 3 4 5" xfId="6870" xr:uid="{00000000-0005-0000-0000-0000AE310000}"/>
    <cellStyle name="Comma 2 2 3 4 5 2" xfId="11781" xr:uid="{00000000-0005-0000-0000-0000AF310000}"/>
    <cellStyle name="Comma 2 2 3 4 5 2 2" xfId="28501" xr:uid="{00000000-0005-0000-0000-0000B0310000}"/>
    <cellStyle name="Comma 2 2 3 4 5 2 2 2" xfId="46152" xr:uid="{00000000-0005-0000-0000-0000B1310000}"/>
    <cellStyle name="Comma 2 2 3 4 5 2 3" xfId="32714" xr:uid="{00000000-0005-0000-0000-0000B2310000}"/>
    <cellStyle name="Comma 2 2 3 4 5 2 4" xfId="36929" xr:uid="{00000000-0005-0000-0000-0000B3310000}"/>
    <cellStyle name="Comma 2 2 3 4 5 2 5" xfId="41133" xr:uid="{00000000-0005-0000-0000-0000B4310000}"/>
    <cellStyle name="Comma 2 2 3 4 5 3" xfId="25558" xr:uid="{00000000-0005-0000-0000-0000B5310000}"/>
    <cellStyle name="Comma 2 2 3 4 5 3 2" xfId="44886" xr:uid="{00000000-0005-0000-0000-0000B6310000}"/>
    <cellStyle name="Comma 2 2 3 4 5 4" xfId="29771" xr:uid="{00000000-0005-0000-0000-0000B7310000}"/>
    <cellStyle name="Comma 2 2 3 4 5 5" xfId="33986" xr:uid="{00000000-0005-0000-0000-0000B8310000}"/>
    <cellStyle name="Comma 2 2 3 4 5 6" xfId="38190" xr:uid="{00000000-0005-0000-0000-0000B9310000}"/>
    <cellStyle name="Comma 2 2 3 4 6" xfId="9686" xr:uid="{00000000-0005-0000-0000-0000BA310000}"/>
    <cellStyle name="Comma 2 2 3 4 6 2" xfId="11405" xr:uid="{00000000-0005-0000-0000-0000BB310000}"/>
    <cellStyle name="Comma 2 2 3 4 6 2 2" xfId="28170" xr:uid="{00000000-0005-0000-0000-0000BC310000}"/>
    <cellStyle name="Comma 2 2 3 4 6 2 2 2" xfId="45819" xr:uid="{00000000-0005-0000-0000-0000BD310000}"/>
    <cellStyle name="Comma 2 2 3 4 6 2 3" xfId="32383" xr:uid="{00000000-0005-0000-0000-0000BE310000}"/>
    <cellStyle name="Comma 2 2 3 4 6 2 4" xfId="36598" xr:uid="{00000000-0005-0000-0000-0000BF310000}"/>
    <cellStyle name="Comma 2 2 3 4 6 2 5" xfId="40802" xr:uid="{00000000-0005-0000-0000-0000C0310000}"/>
    <cellStyle name="Comma 2 2 3 4 6 3" xfId="27197" xr:uid="{00000000-0005-0000-0000-0000C1310000}"/>
    <cellStyle name="Comma 2 2 3 4 6 3 2" xfId="45066" xr:uid="{00000000-0005-0000-0000-0000C2310000}"/>
    <cellStyle name="Comma 2 2 3 4 6 4" xfId="31410" xr:uid="{00000000-0005-0000-0000-0000C3310000}"/>
    <cellStyle name="Comma 2 2 3 4 6 5" xfId="35625" xr:uid="{00000000-0005-0000-0000-0000C4310000}"/>
    <cellStyle name="Comma 2 2 3 4 6 6" xfId="39829" xr:uid="{00000000-0005-0000-0000-0000C5310000}"/>
    <cellStyle name="Comma 2 2 3 4 7" xfId="10424" xr:uid="{00000000-0005-0000-0000-0000C6310000}"/>
    <cellStyle name="Comma 2 2 3 4 7 2" xfId="27662" xr:uid="{00000000-0005-0000-0000-0000C7310000}"/>
    <cellStyle name="Comma 2 2 3 4 7 2 2" xfId="45340" xr:uid="{00000000-0005-0000-0000-0000C8310000}"/>
    <cellStyle name="Comma 2 2 3 4 7 3" xfId="31875" xr:uid="{00000000-0005-0000-0000-0000C9310000}"/>
    <cellStyle name="Comma 2 2 3 4 7 4" xfId="36090" xr:uid="{00000000-0005-0000-0000-0000CA310000}"/>
    <cellStyle name="Comma 2 2 3 4 7 5" xfId="40294" xr:uid="{00000000-0005-0000-0000-0000CB310000}"/>
    <cellStyle name="Comma 2 2 3 4 8" xfId="25216" xr:uid="{00000000-0005-0000-0000-0000CC310000}"/>
    <cellStyle name="Comma 2 2 3 4 8 2" xfId="44555" xr:uid="{00000000-0005-0000-0000-0000CD310000}"/>
    <cellStyle name="Comma 2 2 3 4 9" xfId="29428" xr:uid="{00000000-0005-0000-0000-0000CE310000}"/>
    <cellStyle name="Comma 2 2 3 5" xfId="5913" xr:uid="{00000000-0005-0000-0000-0000CF310000}"/>
    <cellStyle name="Comma 2 2 3 5 2" xfId="6108" xr:uid="{00000000-0005-0000-0000-0000D0310000}"/>
    <cellStyle name="Comma 2 2 3 5 2 2" xfId="11616" xr:uid="{00000000-0005-0000-0000-0000D1310000}"/>
    <cellStyle name="Comma 2 2 3 5 2 2 2" xfId="28372" xr:uid="{00000000-0005-0000-0000-0000D2310000}"/>
    <cellStyle name="Comma 2 2 3 5 2 2 2 2" xfId="46021" xr:uid="{00000000-0005-0000-0000-0000D3310000}"/>
    <cellStyle name="Comma 2 2 3 5 2 2 3" xfId="32585" xr:uid="{00000000-0005-0000-0000-0000D4310000}"/>
    <cellStyle name="Comma 2 2 3 5 2 2 4" xfId="36800" xr:uid="{00000000-0005-0000-0000-0000D5310000}"/>
    <cellStyle name="Comma 2 2 3 5 2 2 5" xfId="41004" xr:uid="{00000000-0005-0000-0000-0000D6310000}"/>
    <cellStyle name="Comma 2 2 3 5 2 3" xfId="25418" xr:uid="{00000000-0005-0000-0000-0000D7310000}"/>
    <cellStyle name="Comma 2 2 3 5 2 3 2" xfId="44757" xr:uid="{00000000-0005-0000-0000-0000D8310000}"/>
    <cellStyle name="Comma 2 2 3 5 2 4" xfId="29630" xr:uid="{00000000-0005-0000-0000-0000D9310000}"/>
    <cellStyle name="Comma 2 2 3 5 2 5" xfId="33846" xr:uid="{00000000-0005-0000-0000-0000DA310000}"/>
    <cellStyle name="Comma 2 2 3 5 2 6" xfId="38050" xr:uid="{00000000-0005-0000-0000-0000DB310000}"/>
    <cellStyle name="Comma 2 2 3 5 3" xfId="6010" xr:uid="{00000000-0005-0000-0000-0000DC310000}"/>
    <cellStyle name="Comma 2 2 3 5 3 2" xfId="11518" xr:uid="{00000000-0005-0000-0000-0000DD310000}"/>
    <cellStyle name="Comma 2 2 3 5 3 2 2" xfId="28277" xr:uid="{00000000-0005-0000-0000-0000DE310000}"/>
    <cellStyle name="Comma 2 2 3 5 3 2 2 2" xfId="45926" xr:uid="{00000000-0005-0000-0000-0000DF310000}"/>
    <cellStyle name="Comma 2 2 3 5 3 2 3" xfId="32490" xr:uid="{00000000-0005-0000-0000-0000E0310000}"/>
    <cellStyle name="Comma 2 2 3 5 3 2 4" xfId="36705" xr:uid="{00000000-0005-0000-0000-0000E1310000}"/>
    <cellStyle name="Comma 2 2 3 5 3 2 5" xfId="40909" xr:uid="{00000000-0005-0000-0000-0000E2310000}"/>
    <cellStyle name="Comma 2 2 3 5 3 3" xfId="25323" xr:uid="{00000000-0005-0000-0000-0000E3310000}"/>
    <cellStyle name="Comma 2 2 3 5 3 3 2" xfId="44662" xr:uid="{00000000-0005-0000-0000-0000E4310000}"/>
    <cellStyle name="Comma 2 2 3 5 3 4" xfId="29535" xr:uid="{00000000-0005-0000-0000-0000E5310000}"/>
    <cellStyle name="Comma 2 2 3 5 3 5" xfId="33751" xr:uid="{00000000-0005-0000-0000-0000E6310000}"/>
    <cellStyle name="Comma 2 2 3 5 3 6" xfId="37955" xr:uid="{00000000-0005-0000-0000-0000E7310000}"/>
    <cellStyle name="Comma 2 2 3 5 4" xfId="9744" xr:uid="{00000000-0005-0000-0000-0000E8310000}"/>
    <cellStyle name="Comma 2 2 3 5 4 2" xfId="11422" xr:uid="{00000000-0005-0000-0000-0000E9310000}"/>
    <cellStyle name="Comma 2 2 3 5 4 2 2" xfId="28182" xr:uid="{00000000-0005-0000-0000-0000EA310000}"/>
    <cellStyle name="Comma 2 2 3 5 4 2 2 2" xfId="45831" xr:uid="{00000000-0005-0000-0000-0000EB310000}"/>
    <cellStyle name="Comma 2 2 3 5 4 2 3" xfId="32395" xr:uid="{00000000-0005-0000-0000-0000EC310000}"/>
    <cellStyle name="Comma 2 2 3 5 4 2 4" xfId="36610" xr:uid="{00000000-0005-0000-0000-0000ED310000}"/>
    <cellStyle name="Comma 2 2 3 5 4 2 5" xfId="40814" xr:uid="{00000000-0005-0000-0000-0000EE310000}"/>
    <cellStyle name="Comma 2 2 3 5 4 3" xfId="27244" xr:uid="{00000000-0005-0000-0000-0000EF310000}"/>
    <cellStyle name="Comma 2 2 3 5 4 3 2" xfId="45122" xr:uid="{00000000-0005-0000-0000-0000F0310000}"/>
    <cellStyle name="Comma 2 2 3 5 4 4" xfId="31457" xr:uid="{00000000-0005-0000-0000-0000F1310000}"/>
    <cellStyle name="Comma 2 2 3 5 4 5" xfId="35672" xr:uid="{00000000-0005-0000-0000-0000F2310000}"/>
    <cellStyle name="Comma 2 2 3 5 4 6" xfId="39876" xr:uid="{00000000-0005-0000-0000-0000F3310000}"/>
    <cellStyle name="Comma 2 2 3 5 5" xfId="10471" xr:uid="{00000000-0005-0000-0000-0000F4310000}"/>
    <cellStyle name="Comma 2 2 3 5 5 2" xfId="27709" xr:uid="{00000000-0005-0000-0000-0000F5310000}"/>
    <cellStyle name="Comma 2 2 3 5 5 2 2" xfId="45387" xr:uid="{00000000-0005-0000-0000-0000F6310000}"/>
    <cellStyle name="Comma 2 2 3 5 5 3" xfId="31922" xr:uid="{00000000-0005-0000-0000-0000F7310000}"/>
    <cellStyle name="Comma 2 2 3 5 5 4" xfId="36137" xr:uid="{00000000-0005-0000-0000-0000F8310000}"/>
    <cellStyle name="Comma 2 2 3 5 5 5" xfId="40341" xr:uid="{00000000-0005-0000-0000-0000F9310000}"/>
    <cellStyle name="Comma 2 2 3 5 6" xfId="25228" xr:uid="{00000000-0005-0000-0000-0000FA310000}"/>
    <cellStyle name="Comma 2 2 3 5 6 2" xfId="44567" xr:uid="{00000000-0005-0000-0000-0000FB310000}"/>
    <cellStyle name="Comma 2 2 3 5 7" xfId="29440" xr:uid="{00000000-0005-0000-0000-0000FC310000}"/>
    <cellStyle name="Comma 2 2 3 5 8" xfId="33656" xr:uid="{00000000-0005-0000-0000-0000FD310000}"/>
    <cellStyle name="Comma 2 2 3 5 9" xfId="37860" xr:uid="{00000000-0005-0000-0000-0000FE310000}"/>
    <cellStyle name="Comma 2 2 3 6" xfId="6061" xr:uid="{00000000-0005-0000-0000-0000FF310000}"/>
    <cellStyle name="Comma 2 2 3 6 2" xfId="11569" xr:uid="{00000000-0005-0000-0000-000000320000}"/>
    <cellStyle name="Comma 2 2 3 6 2 2" xfId="28325" xr:uid="{00000000-0005-0000-0000-000001320000}"/>
    <cellStyle name="Comma 2 2 3 6 2 2 2" xfId="45974" xr:uid="{00000000-0005-0000-0000-000002320000}"/>
    <cellStyle name="Comma 2 2 3 6 2 3" xfId="32538" xr:uid="{00000000-0005-0000-0000-000003320000}"/>
    <cellStyle name="Comma 2 2 3 6 2 4" xfId="36753" xr:uid="{00000000-0005-0000-0000-000004320000}"/>
    <cellStyle name="Comma 2 2 3 6 2 5" xfId="40957" xr:uid="{00000000-0005-0000-0000-000005320000}"/>
    <cellStyle name="Comma 2 2 3 6 3" xfId="25371" xr:uid="{00000000-0005-0000-0000-000006320000}"/>
    <cellStyle name="Comma 2 2 3 6 3 2" xfId="44710" xr:uid="{00000000-0005-0000-0000-000007320000}"/>
    <cellStyle name="Comma 2 2 3 6 4" xfId="29583" xr:uid="{00000000-0005-0000-0000-000008320000}"/>
    <cellStyle name="Comma 2 2 3 6 5" xfId="33799" xr:uid="{00000000-0005-0000-0000-000009320000}"/>
    <cellStyle name="Comma 2 2 3 6 6" xfId="38003" xr:uid="{00000000-0005-0000-0000-00000A320000}"/>
    <cellStyle name="Comma 2 2 3 7" xfId="5963" xr:uid="{00000000-0005-0000-0000-00000B320000}"/>
    <cellStyle name="Comma 2 2 3 7 2" xfId="11471" xr:uid="{00000000-0005-0000-0000-00000C320000}"/>
    <cellStyle name="Comma 2 2 3 7 2 2" xfId="28230" xr:uid="{00000000-0005-0000-0000-00000D320000}"/>
    <cellStyle name="Comma 2 2 3 7 2 2 2" xfId="45879" xr:uid="{00000000-0005-0000-0000-00000E320000}"/>
    <cellStyle name="Comma 2 2 3 7 2 3" xfId="32443" xr:uid="{00000000-0005-0000-0000-00000F320000}"/>
    <cellStyle name="Comma 2 2 3 7 2 4" xfId="36658" xr:uid="{00000000-0005-0000-0000-000010320000}"/>
    <cellStyle name="Comma 2 2 3 7 2 5" xfId="40862" xr:uid="{00000000-0005-0000-0000-000011320000}"/>
    <cellStyle name="Comma 2 2 3 7 3" xfId="25276" xr:uid="{00000000-0005-0000-0000-000012320000}"/>
    <cellStyle name="Comma 2 2 3 7 3 2" xfId="44615" xr:uid="{00000000-0005-0000-0000-000013320000}"/>
    <cellStyle name="Comma 2 2 3 7 4" xfId="29488" xr:uid="{00000000-0005-0000-0000-000014320000}"/>
    <cellStyle name="Comma 2 2 3 7 5" xfId="33704" xr:uid="{00000000-0005-0000-0000-000015320000}"/>
    <cellStyle name="Comma 2 2 3 7 6" xfId="37908" xr:uid="{00000000-0005-0000-0000-000016320000}"/>
    <cellStyle name="Comma 2 2 3 8" xfId="6158" xr:uid="{00000000-0005-0000-0000-000017320000}"/>
    <cellStyle name="Comma 2 2 3 8 2" xfId="11666" xr:uid="{00000000-0005-0000-0000-000018320000}"/>
    <cellStyle name="Comma 2 2 3 8 2 2" xfId="28422" xr:uid="{00000000-0005-0000-0000-000019320000}"/>
    <cellStyle name="Comma 2 2 3 8 2 2 2" xfId="46071" xr:uid="{00000000-0005-0000-0000-00001A320000}"/>
    <cellStyle name="Comma 2 2 3 8 2 3" xfId="32635" xr:uid="{00000000-0005-0000-0000-00001B320000}"/>
    <cellStyle name="Comma 2 2 3 8 2 4" xfId="36850" xr:uid="{00000000-0005-0000-0000-00001C320000}"/>
    <cellStyle name="Comma 2 2 3 8 2 5" xfId="41054" xr:uid="{00000000-0005-0000-0000-00001D320000}"/>
    <cellStyle name="Comma 2 2 3 8 3" xfId="25468" xr:uid="{00000000-0005-0000-0000-00001E320000}"/>
    <cellStyle name="Comma 2 2 3 8 3 2" xfId="44807" xr:uid="{00000000-0005-0000-0000-00001F320000}"/>
    <cellStyle name="Comma 2 2 3 8 4" xfId="29680" xr:uid="{00000000-0005-0000-0000-000020320000}"/>
    <cellStyle name="Comma 2 2 3 8 5" xfId="33896" xr:uid="{00000000-0005-0000-0000-000021320000}"/>
    <cellStyle name="Comma 2 2 3 8 6" xfId="38100" xr:uid="{00000000-0005-0000-0000-000022320000}"/>
    <cellStyle name="Comma 2 2 3 9" xfId="5210" xr:uid="{00000000-0005-0000-0000-000023320000}"/>
    <cellStyle name="Comma 2 2 3 9 2" xfId="11289" xr:uid="{00000000-0005-0000-0000-000024320000}"/>
    <cellStyle name="Comma 2 2 3 9 2 2" xfId="28119" xr:uid="{00000000-0005-0000-0000-000025320000}"/>
    <cellStyle name="Comma 2 2 3 9 2 2 2" xfId="45783" xr:uid="{00000000-0005-0000-0000-000026320000}"/>
    <cellStyle name="Comma 2 2 3 9 2 3" xfId="32332" xr:uid="{00000000-0005-0000-0000-000027320000}"/>
    <cellStyle name="Comma 2 2 3 9 2 4" xfId="36547" xr:uid="{00000000-0005-0000-0000-000028320000}"/>
    <cellStyle name="Comma 2 2 3 9 2 5" xfId="40751" xr:uid="{00000000-0005-0000-0000-000029320000}"/>
    <cellStyle name="Comma 2 2 3 9 3" xfId="24969" xr:uid="{00000000-0005-0000-0000-00002A320000}"/>
    <cellStyle name="Comma 2 2 3 9 3 2" xfId="44518" xr:uid="{00000000-0005-0000-0000-00002B320000}"/>
    <cellStyle name="Comma 2 2 3 9 4" xfId="29181" xr:uid="{00000000-0005-0000-0000-00002C320000}"/>
    <cellStyle name="Comma 2 2 3 9 5" xfId="33397" xr:uid="{00000000-0005-0000-0000-00002D320000}"/>
    <cellStyle name="Comma 2 2 3 9 6" xfId="37601" xr:uid="{00000000-0005-0000-0000-00002E320000}"/>
    <cellStyle name="Comma 2 2 4" xfId="5699" xr:uid="{00000000-0005-0000-0000-00002F320000}"/>
    <cellStyle name="Comma 2 2 4 10" xfId="17203" xr:uid="{00000000-0005-0000-0000-000030320000}"/>
    <cellStyle name="Comma 2 2 4 10 2" xfId="28921" xr:uid="{00000000-0005-0000-0000-000031320000}"/>
    <cellStyle name="Comma 2 2 4 10 3" xfId="33136" xr:uid="{00000000-0005-0000-0000-000032320000}"/>
    <cellStyle name="Comma 2 2 4 10 4" xfId="37349" xr:uid="{00000000-0005-0000-0000-000033320000}"/>
    <cellStyle name="Comma 2 2 4 10 5" xfId="41569" xr:uid="{00000000-0005-0000-0000-000034320000}"/>
    <cellStyle name="Comma 2 2 4 11" xfId="24327" xr:uid="{00000000-0005-0000-0000-000035320000}"/>
    <cellStyle name="Comma 2 2 4 11 2" xfId="29014" xr:uid="{00000000-0005-0000-0000-000036320000}"/>
    <cellStyle name="Comma 2 2 4 11 3" xfId="33231" xr:uid="{00000000-0005-0000-0000-000037320000}"/>
    <cellStyle name="Comma 2 2 4 11 4" xfId="37442" xr:uid="{00000000-0005-0000-0000-000038320000}"/>
    <cellStyle name="Comma 2 2 4 11 5" xfId="44527" xr:uid="{00000000-0005-0000-0000-000039320000}"/>
    <cellStyle name="Comma 2 2 4 12" xfId="25186" xr:uid="{00000000-0005-0000-0000-00003A320000}"/>
    <cellStyle name="Comma 2 2 4 13" xfId="29398" xr:uid="{00000000-0005-0000-0000-00003B320000}"/>
    <cellStyle name="Comma 2 2 4 14" xfId="33614" xr:uid="{00000000-0005-0000-0000-00003C320000}"/>
    <cellStyle name="Comma 2 2 4 15" xfId="37818" xr:uid="{00000000-0005-0000-0000-00003D320000}"/>
    <cellStyle name="Comma 2 2 4 2" xfId="5904" xr:uid="{00000000-0005-0000-0000-00003E320000}"/>
    <cellStyle name="Comma 2 2 4 2 10" xfId="33651" xr:uid="{00000000-0005-0000-0000-00003F320000}"/>
    <cellStyle name="Comma 2 2 4 2 11" xfId="37855" xr:uid="{00000000-0005-0000-0000-000040320000}"/>
    <cellStyle name="Comma 2 2 4 2 2" xfId="5955" xr:uid="{00000000-0005-0000-0000-000041320000}"/>
    <cellStyle name="Comma 2 2 4 2 2 2" xfId="6150" xr:uid="{00000000-0005-0000-0000-000042320000}"/>
    <cellStyle name="Comma 2 2 4 2 2 2 2" xfId="11658" xr:uid="{00000000-0005-0000-0000-000043320000}"/>
    <cellStyle name="Comma 2 2 4 2 2 2 2 2" xfId="28414" xr:uid="{00000000-0005-0000-0000-000044320000}"/>
    <cellStyle name="Comma 2 2 4 2 2 2 2 2 2" xfId="46063" xr:uid="{00000000-0005-0000-0000-000045320000}"/>
    <cellStyle name="Comma 2 2 4 2 2 2 2 3" xfId="32627" xr:uid="{00000000-0005-0000-0000-000046320000}"/>
    <cellStyle name="Comma 2 2 4 2 2 2 2 4" xfId="36842" xr:uid="{00000000-0005-0000-0000-000047320000}"/>
    <cellStyle name="Comma 2 2 4 2 2 2 2 5" xfId="41046" xr:uid="{00000000-0005-0000-0000-000048320000}"/>
    <cellStyle name="Comma 2 2 4 2 2 2 3" xfId="25460" xr:uid="{00000000-0005-0000-0000-000049320000}"/>
    <cellStyle name="Comma 2 2 4 2 2 2 3 2" xfId="44799" xr:uid="{00000000-0005-0000-0000-00004A320000}"/>
    <cellStyle name="Comma 2 2 4 2 2 2 4" xfId="29672" xr:uid="{00000000-0005-0000-0000-00004B320000}"/>
    <cellStyle name="Comma 2 2 4 2 2 2 5" xfId="33888" xr:uid="{00000000-0005-0000-0000-00004C320000}"/>
    <cellStyle name="Comma 2 2 4 2 2 2 6" xfId="38092" xr:uid="{00000000-0005-0000-0000-00004D320000}"/>
    <cellStyle name="Comma 2 2 4 2 2 3" xfId="6052" xr:uid="{00000000-0005-0000-0000-00004E320000}"/>
    <cellStyle name="Comma 2 2 4 2 2 3 2" xfId="11560" xr:uid="{00000000-0005-0000-0000-00004F320000}"/>
    <cellStyle name="Comma 2 2 4 2 2 3 2 2" xfId="28319" xr:uid="{00000000-0005-0000-0000-000050320000}"/>
    <cellStyle name="Comma 2 2 4 2 2 3 2 2 2" xfId="45968" xr:uid="{00000000-0005-0000-0000-000051320000}"/>
    <cellStyle name="Comma 2 2 4 2 2 3 2 3" xfId="32532" xr:uid="{00000000-0005-0000-0000-000052320000}"/>
    <cellStyle name="Comma 2 2 4 2 2 3 2 4" xfId="36747" xr:uid="{00000000-0005-0000-0000-000053320000}"/>
    <cellStyle name="Comma 2 2 4 2 2 3 2 5" xfId="40951" xr:uid="{00000000-0005-0000-0000-000054320000}"/>
    <cellStyle name="Comma 2 2 4 2 2 3 3" xfId="25365" xr:uid="{00000000-0005-0000-0000-000055320000}"/>
    <cellStyle name="Comma 2 2 4 2 2 3 3 2" xfId="44704" xr:uid="{00000000-0005-0000-0000-000056320000}"/>
    <cellStyle name="Comma 2 2 4 2 2 3 4" xfId="29577" xr:uid="{00000000-0005-0000-0000-000057320000}"/>
    <cellStyle name="Comma 2 2 4 2 2 3 5" xfId="33793" xr:uid="{00000000-0005-0000-0000-000058320000}"/>
    <cellStyle name="Comma 2 2 4 2 2 3 6" xfId="37997" xr:uid="{00000000-0005-0000-0000-000059320000}"/>
    <cellStyle name="Comma 2 2 4 2 2 4" xfId="9807" xr:uid="{00000000-0005-0000-0000-00005A320000}"/>
    <cellStyle name="Comma 2 2 4 2 2 4 2" xfId="11464" xr:uid="{00000000-0005-0000-0000-00005B320000}"/>
    <cellStyle name="Comma 2 2 4 2 2 4 2 2" xfId="28224" xr:uid="{00000000-0005-0000-0000-00005C320000}"/>
    <cellStyle name="Comma 2 2 4 2 2 4 2 2 2" xfId="45873" xr:uid="{00000000-0005-0000-0000-00005D320000}"/>
    <cellStyle name="Comma 2 2 4 2 2 4 2 3" xfId="32437" xr:uid="{00000000-0005-0000-0000-00005E320000}"/>
    <cellStyle name="Comma 2 2 4 2 2 4 2 4" xfId="36652" xr:uid="{00000000-0005-0000-0000-00005F320000}"/>
    <cellStyle name="Comma 2 2 4 2 2 4 2 5" xfId="40856" xr:uid="{00000000-0005-0000-0000-000060320000}"/>
    <cellStyle name="Comma 2 2 4 2 2 4 3" xfId="27294" xr:uid="{00000000-0005-0000-0000-000061320000}"/>
    <cellStyle name="Comma 2 2 4 2 2 4 3 2" xfId="45172" xr:uid="{00000000-0005-0000-0000-000062320000}"/>
    <cellStyle name="Comma 2 2 4 2 2 4 4" xfId="31507" xr:uid="{00000000-0005-0000-0000-000063320000}"/>
    <cellStyle name="Comma 2 2 4 2 2 4 5" xfId="35722" xr:uid="{00000000-0005-0000-0000-000064320000}"/>
    <cellStyle name="Comma 2 2 4 2 2 4 6" xfId="39926" xr:uid="{00000000-0005-0000-0000-000065320000}"/>
    <cellStyle name="Comma 2 2 4 2 2 5" xfId="10544" xr:uid="{00000000-0005-0000-0000-000066320000}"/>
    <cellStyle name="Comma 2 2 4 2 2 5 2" xfId="27759" xr:uid="{00000000-0005-0000-0000-000067320000}"/>
    <cellStyle name="Comma 2 2 4 2 2 5 2 2" xfId="45437" xr:uid="{00000000-0005-0000-0000-000068320000}"/>
    <cellStyle name="Comma 2 2 4 2 2 5 3" xfId="31972" xr:uid="{00000000-0005-0000-0000-000069320000}"/>
    <cellStyle name="Comma 2 2 4 2 2 5 4" xfId="36187" xr:uid="{00000000-0005-0000-0000-00006A320000}"/>
    <cellStyle name="Comma 2 2 4 2 2 5 5" xfId="40391" xr:uid="{00000000-0005-0000-0000-00006B320000}"/>
    <cellStyle name="Comma 2 2 4 2 2 6" xfId="25270" xr:uid="{00000000-0005-0000-0000-00006C320000}"/>
    <cellStyle name="Comma 2 2 4 2 2 6 2" xfId="44609" xr:uid="{00000000-0005-0000-0000-00006D320000}"/>
    <cellStyle name="Comma 2 2 4 2 2 7" xfId="29482" xr:uid="{00000000-0005-0000-0000-00006E320000}"/>
    <cellStyle name="Comma 2 2 4 2 2 8" xfId="33698" xr:uid="{00000000-0005-0000-0000-00006F320000}"/>
    <cellStyle name="Comma 2 2 4 2 2 9" xfId="37902" xr:uid="{00000000-0005-0000-0000-000070320000}"/>
    <cellStyle name="Comma 2 2 4 2 3" xfId="6103" xr:uid="{00000000-0005-0000-0000-000071320000}"/>
    <cellStyle name="Comma 2 2 4 2 3 2" xfId="11611" xr:uid="{00000000-0005-0000-0000-000072320000}"/>
    <cellStyle name="Comma 2 2 4 2 3 2 2" xfId="28367" xr:uid="{00000000-0005-0000-0000-000073320000}"/>
    <cellStyle name="Comma 2 2 4 2 3 2 2 2" xfId="46016" xr:uid="{00000000-0005-0000-0000-000074320000}"/>
    <cellStyle name="Comma 2 2 4 2 3 2 3" xfId="32580" xr:uid="{00000000-0005-0000-0000-000075320000}"/>
    <cellStyle name="Comma 2 2 4 2 3 2 4" xfId="36795" xr:uid="{00000000-0005-0000-0000-000076320000}"/>
    <cellStyle name="Comma 2 2 4 2 3 2 5" xfId="40999" xr:uid="{00000000-0005-0000-0000-000077320000}"/>
    <cellStyle name="Comma 2 2 4 2 3 3" xfId="25413" xr:uid="{00000000-0005-0000-0000-000078320000}"/>
    <cellStyle name="Comma 2 2 4 2 3 3 2" xfId="44752" xr:uid="{00000000-0005-0000-0000-000079320000}"/>
    <cellStyle name="Comma 2 2 4 2 3 4" xfId="29625" xr:uid="{00000000-0005-0000-0000-00007A320000}"/>
    <cellStyle name="Comma 2 2 4 2 3 5" xfId="33841" xr:uid="{00000000-0005-0000-0000-00007B320000}"/>
    <cellStyle name="Comma 2 2 4 2 3 6" xfId="38045" xr:uid="{00000000-0005-0000-0000-00007C320000}"/>
    <cellStyle name="Comma 2 2 4 2 4" xfId="6005" xr:uid="{00000000-0005-0000-0000-00007D320000}"/>
    <cellStyle name="Comma 2 2 4 2 4 2" xfId="11513" xr:uid="{00000000-0005-0000-0000-00007E320000}"/>
    <cellStyle name="Comma 2 2 4 2 4 2 2" xfId="28272" xr:uid="{00000000-0005-0000-0000-00007F320000}"/>
    <cellStyle name="Comma 2 2 4 2 4 2 2 2" xfId="45921" xr:uid="{00000000-0005-0000-0000-000080320000}"/>
    <cellStyle name="Comma 2 2 4 2 4 2 3" xfId="32485" xr:uid="{00000000-0005-0000-0000-000081320000}"/>
    <cellStyle name="Comma 2 2 4 2 4 2 4" xfId="36700" xr:uid="{00000000-0005-0000-0000-000082320000}"/>
    <cellStyle name="Comma 2 2 4 2 4 2 5" xfId="40904" xr:uid="{00000000-0005-0000-0000-000083320000}"/>
    <cellStyle name="Comma 2 2 4 2 4 3" xfId="25318" xr:uid="{00000000-0005-0000-0000-000084320000}"/>
    <cellStyle name="Comma 2 2 4 2 4 3 2" xfId="44657" xr:uid="{00000000-0005-0000-0000-000085320000}"/>
    <cellStyle name="Comma 2 2 4 2 4 4" xfId="29530" xr:uid="{00000000-0005-0000-0000-000086320000}"/>
    <cellStyle name="Comma 2 2 4 2 4 5" xfId="33746" xr:uid="{00000000-0005-0000-0000-000087320000}"/>
    <cellStyle name="Comma 2 2 4 2 4 6" xfId="37950" xr:uid="{00000000-0005-0000-0000-000088320000}"/>
    <cellStyle name="Comma 2 2 4 2 5" xfId="6873" xr:uid="{00000000-0005-0000-0000-000089320000}"/>
    <cellStyle name="Comma 2 2 4 2 5 2" xfId="11784" xr:uid="{00000000-0005-0000-0000-00008A320000}"/>
    <cellStyle name="Comma 2 2 4 2 5 2 2" xfId="28504" xr:uid="{00000000-0005-0000-0000-00008B320000}"/>
    <cellStyle name="Comma 2 2 4 2 5 2 2 2" xfId="46155" xr:uid="{00000000-0005-0000-0000-00008C320000}"/>
    <cellStyle name="Comma 2 2 4 2 5 2 3" xfId="32717" xr:uid="{00000000-0005-0000-0000-00008D320000}"/>
    <cellStyle name="Comma 2 2 4 2 5 2 4" xfId="36932" xr:uid="{00000000-0005-0000-0000-00008E320000}"/>
    <cellStyle name="Comma 2 2 4 2 5 2 5" xfId="41136" xr:uid="{00000000-0005-0000-0000-00008F320000}"/>
    <cellStyle name="Comma 2 2 4 2 5 3" xfId="25561" xr:uid="{00000000-0005-0000-0000-000090320000}"/>
    <cellStyle name="Comma 2 2 4 2 5 3 2" xfId="44889" xr:uid="{00000000-0005-0000-0000-000091320000}"/>
    <cellStyle name="Comma 2 2 4 2 5 4" xfId="29774" xr:uid="{00000000-0005-0000-0000-000092320000}"/>
    <cellStyle name="Comma 2 2 4 2 5 5" xfId="33989" xr:uid="{00000000-0005-0000-0000-000093320000}"/>
    <cellStyle name="Comma 2 2 4 2 5 6" xfId="38193" xr:uid="{00000000-0005-0000-0000-000094320000}"/>
    <cellStyle name="Comma 2 2 4 2 6" xfId="9689" xr:uid="{00000000-0005-0000-0000-000095320000}"/>
    <cellStyle name="Comma 2 2 4 2 6 2" xfId="11413" xr:uid="{00000000-0005-0000-0000-000096320000}"/>
    <cellStyle name="Comma 2 2 4 2 6 2 2" xfId="28177" xr:uid="{00000000-0005-0000-0000-000097320000}"/>
    <cellStyle name="Comma 2 2 4 2 6 2 2 2" xfId="45826" xr:uid="{00000000-0005-0000-0000-000098320000}"/>
    <cellStyle name="Comma 2 2 4 2 6 2 3" xfId="32390" xr:uid="{00000000-0005-0000-0000-000099320000}"/>
    <cellStyle name="Comma 2 2 4 2 6 2 4" xfId="36605" xr:uid="{00000000-0005-0000-0000-00009A320000}"/>
    <cellStyle name="Comma 2 2 4 2 6 2 5" xfId="40809" xr:uid="{00000000-0005-0000-0000-00009B320000}"/>
    <cellStyle name="Comma 2 2 4 2 6 3" xfId="27200" xr:uid="{00000000-0005-0000-0000-00009C320000}"/>
    <cellStyle name="Comma 2 2 4 2 6 3 2" xfId="45069" xr:uid="{00000000-0005-0000-0000-00009D320000}"/>
    <cellStyle name="Comma 2 2 4 2 6 4" xfId="31413" xr:uid="{00000000-0005-0000-0000-00009E320000}"/>
    <cellStyle name="Comma 2 2 4 2 6 5" xfId="35628" xr:uid="{00000000-0005-0000-0000-00009F320000}"/>
    <cellStyle name="Comma 2 2 4 2 6 6" xfId="39832" xr:uid="{00000000-0005-0000-0000-0000A0320000}"/>
    <cellStyle name="Comma 2 2 4 2 7" xfId="10427" xr:uid="{00000000-0005-0000-0000-0000A1320000}"/>
    <cellStyle name="Comma 2 2 4 2 7 2" xfId="27665" xr:uid="{00000000-0005-0000-0000-0000A2320000}"/>
    <cellStyle name="Comma 2 2 4 2 7 2 2" xfId="45343" xr:uid="{00000000-0005-0000-0000-0000A3320000}"/>
    <cellStyle name="Comma 2 2 4 2 7 3" xfId="31878" xr:uid="{00000000-0005-0000-0000-0000A4320000}"/>
    <cellStyle name="Comma 2 2 4 2 7 4" xfId="36093" xr:uid="{00000000-0005-0000-0000-0000A5320000}"/>
    <cellStyle name="Comma 2 2 4 2 7 5" xfId="40297" xr:uid="{00000000-0005-0000-0000-0000A6320000}"/>
    <cellStyle name="Comma 2 2 4 2 8" xfId="25223" xr:uid="{00000000-0005-0000-0000-0000A7320000}"/>
    <cellStyle name="Comma 2 2 4 2 8 2" xfId="44562" xr:uid="{00000000-0005-0000-0000-0000A8320000}"/>
    <cellStyle name="Comma 2 2 4 2 9" xfId="29435" xr:uid="{00000000-0005-0000-0000-0000A9320000}"/>
    <cellStyle name="Comma 2 2 4 3" xfId="5920" xr:uid="{00000000-0005-0000-0000-0000AA320000}"/>
    <cellStyle name="Comma 2 2 4 3 2" xfId="6115" xr:uid="{00000000-0005-0000-0000-0000AB320000}"/>
    <cellStyle name="Comma 2 2 4 3 2 2" xfId="11623" xr:uid="{00000000-0005-0000-0000-0000AC320000}"/>
    <cellStyle name="Comma 2 2 4 3 2 2 2" xfId="28379" xr:uid="{00000000-0005-0000-0000-0000AD320000}"/>
    <cellStyle name="Comma 2 2 4 3 2 2 2 2" xfId="46028" xr:uid="{00000000-0005-0000-0000-0000AE320000}"/>
    <cellStyle name="Comma 2 2 4 3 2 2 3" xfId="32592" xr:uid="{00000000-0005-0000-0000-0000AF320000}"/>
    <cellStyle name="Comma 2 2 4 3 2 2 4" xfId="36807" xr:uid="{00000000-0005-0000-0000-0000B0320000}"/>
    <cellStyle name="Comma 2 2 4 3 2 2 5" xfId="41011" xr:uid="{00000000-0005-0000-0000-0000B1320000}"/>
    <cellStyle name="Comma 2 2 4 3 2 3" xfId="25425" xr:uid="{00000000-0005-0000-0000-0000B2320000}"/>
    <cellStyle name="Comma 2 2 4 3 2 3 2" xfId="44764" xr:uid="{00000000-0005-0000-0000-0000B3320000}"/>
    <cellStyle name="Comma 2 2 4 3 2 4" xfId="29637" xr:uid="{00000000-0005-0000-0000-0000B4320000}"/>
    <cellStyle name="Comma 2 2 4 3 2 5" xfId="33853" xr:uid="{00000000-0005-0000-0000-0000B5320000}"/>
    <cellStyle name="Comma 2 2 4 3 2 6" xfId="38057" xr:uid="{00000000-0005-0000-0000-0000B6320000}"/>
    <cellStyle name="Comma 2 2 4 3 3" xfId="6017" xr:uid="{00000000-0005-0000-0000-0000B7320000}"/>
    <cellStyle name="Comma 2 2 4 3 3 2" xfId="11525" xr:uid="{00000000-0005-0000-0000-0000B8320000}"/>
    <cellStyle name="Comma 2 2 4 3 3 2 2" xfId="28284" xr:uid="{00000000-0005-0000-0000-0000B9320000}"/>
    <cellStyle name="Comma 2 2 4 3 3 2 2 2" xfId="45933" xr:uid="{00000000-0005-0000-0000-0000BA320000}"/>
    <cellStyle name="Comma 2 2 4 3 3 2 3" xfId="32497" xr:uid="{00000000-0005-0000-0000-0000BB320000}"/>
    <cellStyle name="Comma 2 2 4 3 3 2 4" xfId="36712" xr:uid="{00000000-0005-0000-0000-0000BC320000}"/>
    <cellStyle name="Comma 2 2 4 3 3 2 5" xfId="40916" xr:uid="{00000000-0005-0000-0000-0000BD320000}"/>
    <cellStyle name="Comma 2 2 4 3 3 3" xfId="25330" xr:uid="{00000000-0005-0000-0000-0000BE320000}"/>
    <cellStyle name="Comma 2 2 4 3 3 3 2" xfId="44669" xr:uid="{00000000-0005-0000-0000-0000BF320000}"/>
    <cellStyle name="Comma 2 2 4 3 3 4" xfId="29542" xr:uid="{00000000-0005-0000-0000-0000C0320000}"/>
    <cellStyle name="Comma 2 2 4 3 3 5" xfId="33758" xr:uid="{00000000-0005-0000-0000-0000C1320000}"/>
    <cellStyle name="Comma 2 2 4 3 3 6" xfId="37962" xr:uid="{00000000-0005-0000-0000-0000C2320000}"/>
    <cellStyle name="Comma 2 2 4 3 4" xfId="9747" xr:uid="{00000000-0005-0000-0000-0000C3320000}"/>
    <cellStyle name="Comma 2 2 4 3 4 2" xfId="11429" xr:uid="{00000000-0005-0000-0000-0000C4320000}"/>
    <cellStyle name="Comma 2 2 4 3 4 2 2" xfId="28189" xr:uid="{00000000-0005-0000-0000-0000C5320000}"/>
    <cellStyle name="Comma 2 2 4 3 4 2 2 2" xfId="45838" xr:uid="{00000000-0005-0000-0000-0000C6320000}"/>
    <cellStyle name="Comma 2 2 4 3 4 2 3" xfId="32402" xr:uid="{00000000-0005-0000-0000-0000C7320000}"/>
    <cellStyle name="Comma 2 2 4 3 4 2 4" xfId="36617" xr:uid="{00000000-0005-0000-0000-0000C8320000}"/>
    <cellStyle name="Comma 2 2 4 3 4 2 5" xfId="40821" xr:uid="{00000000-0005-0000-0000-0000C9320000}"/>
    <cellStyle name="Comma 2 2 4 3 4 3" xfId="27247" xr:uid="{00000000-0005-0000-0000-0000CA320000}"/>
    <cellStyle name="Comma 2 2 4 3 4 3 2" xfId="45125" xr:uid="{00000000-0005-0000-0000-0000CB320000}"/>
    <cellStyle name="Comma 2 2 4 3 4 4" xfId="31460" xr:uid="{00000000-0005-0000-0000-0000CC320000}"/>
    <cellStyle name="Comma 2 2 4 3 4 5" xfId="35675" xr:uid="{00000000-0005-0000-0000-0000CD320000}"/>
    <cellStyle name="Comma 2 2 4 3 4 6" xfId="39879" xr:uid="{00000000-0005-0000-0000-0000CE320000}"/>
    <cellStyle name="Comma 2 2 4 3 5" xfId="10474" xr:uid="{00000000-0005-0000-0000-0000CF320000}"/>
    <cellStyle name="Comma 2 2 4 3 5 2" xfId="27712" xr:uid="{00000000-0005-0000-0000-0000D0320000}"/>
    <cellStyle name="Comma 2 2 4 3 5 2 2" xfId="45390" xr:uid="{00000000-0005-0000-0000-0000D1320000}"/>
    <cellStyle name="Comma 2 2 4 3 5 3" xfId="31925" xr:uid="{00000000-0005-0000-0000-0000D2320000}"/>
    <cellStyle name="Comma 2 2 4 3 5 4" xfId="36140" xr:uid="{00000000-0005-0000-0000-0000D3320000}"/>
    <cellStyle name="Comma 2 2 4 3 5 5" xfId="40344" xr:uid="{00000000-0005-0000-0000-0000D4320000}"/>
    <cellStyle name="Comma 2 2 4 3 6" xfId="25235" xr:uid="{00000000-0005-0000-0000-0000D5320000}"/>
    <cellStyle name="Comma 2 2 4 3 6 2" xfId="44574" xr:uid="{00000000-0005-0000-0000-0000D6320000}"/>
    <cellStyle name="Comma 2 2 4 3 7" xfId="29447" xr:uid="{00000000-0005-0000-0000-0000D7320000}"/>
    <cellStyle name="Comma 2 2 4 3 8" xfId="33663" xr:uid="{00000000-0005-0000-0000-0000D8320000}"/>
    <cellStyle name="Comma 2 2 4 3 9" xfId="37867" xr:uid="{00000000-0005-0000-0000-0000D9320000}"/>
    <cellStyle name="Comma 2 2 4 4" xfId="6068" xr:uid="{00000000-0005-0000-0000-0000DA320000}"/>
    <cellStyle name="Comma 2 2 4 4 2" xfId="11576" xr:uid="{00000000-0005-0000-0000-0000DB320000}"/>
    <cellStyle name="Comma 2 2 4 4 2 2" xfId="28332" xr:uid="{00000000-0005-0000-0000-0000DC320000}"/>
    <cellStyle name="Comma 2 2 4 4 2 2 2" xfId="45981" xr:uid="{00000000-0005-0000-0000-0000DD320000}"/>
    <cellStyle name="Comma 2 2 4 4 2 3" xfId="32545" xr:uid="{00000000-0005-0000-0000-0000DE320000}"/>
    <cellStyle name="Comma 2 2 4 4 2 4" xfId="36760" xr:uid="{00000000-0005-0000-0000-0000DF320000}"/>
    <cellStyle name="Comma 2 2 4 4 2 5" xfId="40964" xr:uid="{00000000-0005-0000-0000-0000E0320000}"/>
    <cellStyle name="Comma 2 2 4 4 3" xfId="25378" xr:uid="{00000000-0005-0000-0000-0000E1320000}"/>
    <cellStyle name="Comma 2 2 4 4 3 2" xfId="44717" xr:uid="{00000000-0005-0000-0000-0000E2320000}"/>
    <cellStyle name="Comma 2 2 4 4 4" xfId="29590" xr:uid="{00000000-0005-0000-0000-0000E3320000}"/>
    <cellStyle name="Comma 2 2 4 4 5" xfId="33806" xr:uid="{00000000-0005-0000-0000-0000E4320000}"/>
    <cellStyle name="Comma 2 2 4 4 6" xfId="38010" xr:uid="{00000000-0005-0000-0000-0000E5320000}"/>
    <cellStyle name="Comma 2 2 4 5" xfId="5970" xr:uid="{00000000-0005-0000-0000-0000E6320000}"/>
    <cellStyle name="Comma 2 2 4 5 2" xfId="11478" xr:uid="{00000000-0005-0000-0000-0000E7320000}"/>
    <cellStyle name="Comma 2 2 4 5 2 2" xfId="28237" xr:uid="{00000000-0005-0000-0000-0000E8320000}"/>
    <cellStyle name="Comma 2 2 4 5 2 2 2" xfId="45886" xr:uid="{00000000-0005-0000-0000-0000E9320000}"/>
    <cellStyle name="Comma 2 2 4 5 2 3" xfId="32450" xr:uid="{00000000-0005-0000-0000-0000EA320000}"/>
    <cellStyle name="Comma 2 2 4 5 2 4" xfId="36665" xr:uid="{00000000-0005-0000-0000-0000EB320000}"/>
    <cellStyle name="Comma 2 2 4 5 2 5" xfId="40869" xr:uid="{00000000-0005-0000-0000-0000EC320000}"/>
    <cellStyle name="Comma 2 2 4 5 3" xfId="25283" xr:uid="{00000000-0005-0000-0000-0000ED320000}"/>
    <cellStyle name="Comma 2 2 4 5 3 2" xfId="44622" xr:uid="{00000000-0005-0000-0000-0000EE320000}"/>
    <cellStyle name="Comma 2 2 4 5 4" xfId="29495" xr:uid="{00000000-0005-0000-0000-0000EF320000}"/>
    <cellStyle name="Comma 2 2 4 5 5" xfId="33711" xr:uid="{00000000-0005-0000-0000-0000F0320000}"/>
    <cellStyle name="Comma 2 2 4 5 6" xfId="37915" xr:uid="{00000000-0005-0000-0000-0000F1320000}"/>
    <cellStyle name="Comma 2 2 4 6" xfId="6161" xr:uid="{00000000-0005-0000-0000-0000F2320000}"/>
    <cellStyle name="Comma 2 2 4 6 2" xfId="11669" xr:uid="{00000000-0005-0000-0000-0000F3320000}"/>
    <cellStyle name="Comma 2 2 4 6 2 2" xfId="28425" xr:uid="{00000000-0005-0000-0000-0000F4320000}"/>
    <cellStyle name="Comma 2 2 4 6 2 2 2" xfId="46074" xr:uid="{00000000-0005-0000-0000-0000F5320000}"/>
    <cellStyle name="Comma 2 2 4 6 2 3" xfId="32638" xr:uid="{00000000-0005-0000-0000-0000F6320000}"/>
    <cellStyle name="Comma 2 2 4 6 2 4" xfId="36853" xr:uid="{00000000-0005-0000-0000-0000F7320000}"/>
    <cellStyle name="Comma 2 2 4 6 2 5" xfId="41057" xr:uid="{00000000-0005-0000-0000-0000F8320000}"/>
    <cellStyle name="Comma 2 2 4 6 3" xfId="25471" xr:uid="{00000000-0005-0000-0000-0000F9320000}"/>
    <cellStyle name="Comma 2 2 4 6 3 2" xfId="44810" xr:uid="{00000000-0005-0000-0000-0000FA320000}"/>
    <cellStyle name="Comma 2 2 4 6 4" xfId="29683" xr:uid="{00000000-0005-0000-0000-0000FB320000}"/>
    <cellStyle name="Comma 2 2 4 6 5" xfId="33899" xr:uid="{00000000-0005-0000-0000-0000FC320000}"/>
    <cellStyle name="Comma 2 2 4 6 6" xfId="38103" xr:uid="{00000000-0005-0000-0000-0000FD320000}"/>
    <cellStyle name="Comma 2 2 4 7" xfId="6333" xr:uid="{00000000-0005-0000-0000-0000FE320000}"/>
    <cellStyle name="Comma 2 2 4 7 2" xfId="11745" xr:uid="{00000000-0005-0000-0000-0000FF320000}"/>
    <cellStyle name="Comma 2 2 4 7 2 2" xfId="28467" xr:uid="{00000000-0005-0000-0000-000000330000}"/>
    <cellStyle name="Comma 2 2 4 7 2 2 2" xfId="46116" xr:uid="{00000000-0005-0000-0000-000001330000}"/>
    <cellStyle name="Comma 2 2 4 7 2 3" xfId="32680" xr:uid="{00000000-0005-0000-0000-000002330000}"/>
    <cellStyle name="Comma 2 2 4 7 2 4" xfId="36895" xr:uid="{00000000-0005-0000-0000-000003330000}"/>
    <cellStyle name="Comma 2 2 4 7 2 5" xfId="41099" xr:uid="{00000000-0005-0000-0000-000004330000}"/>
    <cellStyle name="Comma 2 2 4 7 3" xfId="25523" xr:uid="{00000000-0005-0000-0000-000005330000}"/>
    <cellStyle name="Comma 2 2 4 7 3 2" xfId="44852" xr:uid="{00000000-0005-0000-0000-000006330000}"/>
    <cellStyle name="Comma 2 2 4 7 4" xfId="29735" xr:uid="{00000000-0005-0000-0000-000007330000}"/>
    <cellStyle name="Comma 2 2 4 7 5" xfId="33951" xr:uid="{00000000-0005-0000-0000-000008330000}"/>
    <cellStyle name="Comma 2 2 4 7 6" xfId="38155" xr:uid="{00000000-0005-0000-0000-000009330000}"/>
    <cellStyle name="Comma 2 2 4 8" xfId="9638" xr:uid="{00000000-0005-0000-0000-00000A330000}"/>
    <cellStyle name="Comma 2 2 4 8 2" xfId="11357" xr:uid="{00000000-0005-0000-0000-00000B330000}"/>
    <cellStyle name="Comma 2 2 4 8 2 2" xfId="28142" xr:uid="{00000000-0005-0000-0000-00000C330000}"/>
    <cellStyle name="Comma 2 2 4 8 2 2 2" xfId="45791" xr:uid="{00000000-0005-0000-0000-00000D330000}"/>
    <cellStyle name="Comma 2 2 4 8 2 3" xfId="32355" xr:uid="{00000000-0005-0000-0000-00000E330000}"/>
    <cellStyle name="Comma 2 2 4 8 2 4" xfId="36570" xr:uid="{00000000-0005-0000-0000-00000F330000}"/>
    <cellStyle name="Comma 2 2 4 8 2 5" xfId="40774" xr:uid="{00000000-0005-0000-0000-000010330000}"/>
    <cellStyle name="Comma 2 2 4 8 3" xfId="27153" xr:uid="{00000000-0005-0000-0000-000011330000}"/>
    <cellStyle name="Comma 2 2 4 8 3 2" xfId="45022" xr:uid="{00000000-0005-0000-0000-000012330000}"/>
    <cellStyle name="Comma 2 2 4 8 4" xfId="31366" xr:uid="{00000000-0005-0000-0000-000013330000}"/>
    <cellStyle name="Comma 2 2 4 8 5" xfId="35581" xr:uid="{00000000-0005-0000-0000-000014330000}"/>
    <cellStyle name="Comma 2 2 4 8 6" xfId="39785" xr:uid="{00000000-0005-0000-0000-000015330000}"/>
    <cellStyle name="Comma 2 2 4 9" xfId="10227" xr:uid="{00000000-0005-0000-0000-000016330000}"/>
    <cellStyle name="Comma 2 2 4 9 2" xfId="27618" xr:uid="{00000000-0005-0000-0000-000017330000}"/>
    <cellStyle name="Comma 2 2 4 9 2 2" xfId="45296" xr:uid="{00000000-0005-0000-0000-000018330000}"/>
    <cellStyle name="Comma 2 2 4 9 3" xfId="31831" xr:uid="{00000000-0005-0000-0000-000019330000}"/>
    <cellStyle name="Comma 2 2 4 9 4" xfId="36046" xr:uid="{00000000-0005-0000-0000-00001A330000}"/>
    <cellStyle name="Comma 2 2 4 9 5" xfId="40250" xr:uid="{00000000-0005-0000-0000-00001B330000}"/>
    <cellStyle name="Comma 2 2 5" xfId="5869" xr:uid="{00000000-0005-0000-0000-00001C330000}"/>
    <cellStyle name="Comma 2 2 5 10" xfId="25196" xr:uid="{00000000-0005-0000-0000-00001D330000}"/>
    <cellStyle name="Comma 2 2 5 10 2" xfId="44537" xr:uid="{00000000-0005-0000-0000-00001E330000}"/>
    <cellStyle name="Comma 2 2 5 11" xfId="29408" xr:uid="{00000000-0005-0000-0000-00001F330000}"/>
    <cellStyle name="Comma 2 2 5 12" xfId="33624" xr:uid="{00000000-0005-0000-0000-000020330000}"/>
    <cellStyle name="Comma 2 2 5 13" xfId="37828" xr:uid="{00000000-0005-0000-0000-000021330000}"/>
    <cellStyle name="Comma 2 2 5 2" xfId="5930" xr:uid="{00000000-0005-0000-0000-000022330000}"/>
    <cellStyle name="Comma 2 2 5 2 10" xfId="37877" xr:uid="{00000000-0005-0000-0000-000023330000}"/>
    <cellStyle name="Comma 2 2 5 2 2" xfId="6125" xr:uid="{00000000-0005-0000-0000-000024330000}"/>
    <cellStyle name="Comma 2 2 5 2 2 2" xfId="9808" xr:uid="{00000000-0005-0000-0000-000025330000}"/>
    <cellStyle name="Comma 2 2 5 2 2 2 2" xfId="11633" xr:uid="{00000000-0005-0000-0000-000026330000}"/>
    <cellStyle name="Comma 2 2 5 2 2 2 2 2" xfId="28389" xr:uid="{00000000-0005-0000-0000-000027330000}"/>
    <cellStyle name="Comma 2 2 5 2 2 2 2 2 2" xfId="46038" xr:uid="{00000000-0005-0000-0000-000028330000}"/>
    <cellStyle name="Comma 2 2 5 2 2 2 2 3" xfId="32602" xr:uid="{00000000-0005-0000-0000-000029330000}"/>
    <cellStyle name="Comma 2 2 5 2 2 2 2 4" xfId="36817" xr:uid="{00000000-0005-0000-0000-00002A330000}"/>
    <cellStyle name="Comma 2 2 5 2 2 2 2 5" xfId="41021" xr:uid="{00000000-0005-0000-0000-00002B330000}"/>
    <cellStyle name="Comma 2 2 5 2 2 2 3" xfId="27295" xr:uid="{00000000-0005-0000-0000-00002C330000}"/>
    <cellStyle name="Comma 2 2 5 2 2 2 3 2" xfId="45173" xr:uid="{00000000-0005-0000-0000-00002D330000}"/>
    <cellStyle name="Comma 2 2 5 2 2 2 4" xfId="31508" xr:uid="{00000000-0005-0000-0000-00002E330000}"/>
    <cellStyle name="Comma 2 2 5 2 2 2 5" xfId="35723" xr:uid="{00000000-0005-0000-0000-00002F330000}"/>
    <cellStyle name="Comma 2 2 5 2 2 2 6" xfId="39927" xr:uid="{00000000-0005-0000-0000-000030330000}"/>
    <cellStyle name="Comma 2 2 5 2 2 3" xfId="10545" xr:uid="{00000000-0005-0000-0000-000031330000}"/>
    <cellStyle name="Comma 2 2 5 2 2 3 2" xfId="27760" xr:uid="{00000000-0005-0000-0000-000032330000}"/>
    <cellStyle name="Comma 2 2 5 2 2 3 2 2" xfId="45438" xr:uid="{00000000-0005-0000-0000-000033330000}"/>
    <cellStyle name="Comma 2 2 5 2 2 3 3" xfId="31973" xr:uid="{00000000-0005-0000-0000-000034330000}"/>
    <cellStyle name="Comma 2 2 5 2 2 3 4" xfId="36188" xr:uid="{00000000-0005-0000-0000-000035330000}"/>
    <cellStyle name="Comma 2 2 5 2 2 3 5" xfId="40392" xr:uid="{00000000-0005-0000-0000-000036330000}"/>
    <cellStyle name="Comma 2 2 5 2 2 4" xfId="25435" xr:uid="{00000000-0005-0000-0000-000037330000}"/>
    <cellStyle name="Comma 2 2 5 2 2 4 2" xfId="44774" xr:uid="{00000000-0005-0000-0000-000038330000}"/>
    <cellStyle name="Comma 2 2 5 2 2 5" xfId="29647" xr:uid="{00000000-0005-0000-0000-000039330000}"/>
    <cellStyle name="Comma 2 2 5 2 2 6" xfId="33863" xr:uid="{00000000-0005-0000-0000-00003A330000}"/>
    <cellStyle name="Comma 2 2 5 2 2 7" xfId="38067" xr:uid="{00000000-0005-0000-0000-00003B330000}"/>
    <cellStyle name="Comma 2 2 5 2 3" xfId="6027" xr:uid="{00000000-0005-0000-0000-00003C330000}"/>
    <cellStyle name="Comma 2 2 5 2 3 2" xfId="11535" xr:uid="{00000000-0005-0000-0000-00003D330000}"/>
    <cellStyle name="Comma 2 2 5 2 3 2 2" xfId="28294" xr:uid="{00000000-0005-0000-0000-00003E330000}"/>
    <cellStyle name="Comma 2 2 5 2 3 2 2 2" xfId="45943" xr:uid="{00000000-0005-0000-0000-00003F330000}"/>
    <cellStyle name="Comma 2 2 5 2 3 2 3" xfId="32507" xr:uid="{00000000-0005-0000-0000-000040330000}"/>
    <cellStyle name="Comma 2 2 5 2 3 2 4" xfId="36722" xr:uid="{00000000-0005-0000-0000-000041330000}"/>
    <cellStyle name="Comma 2 2 5 2 3 2 5" xfId="40926" xr:uid="{00000000-0005-0000-0000-000042330000}"/>
    <cellStyle name="Comma 2 2 5 2 3 3" xfId="25340" xr:uid="{00000000-0005-0000-0000-000043330000}"/>
    <cellStyle name="Comma 2 2 5 2 3 3 2" xfId="44679" xr:uid="{00000000-0005-0000-0000-000044330000}"/>
    <cellStyle name="Comma 2 2 5 2 3 4" xfId="29552" xr:uid="{00000000-0005-0000-0000-000045330000}"/>
    <cellStyle name="Comma 2 2 5 2 3 5" xfId="33768" xr:uid="{00000000-0005-0000-0000-000046330000}"/>
    <cellStyle name="Comma 2 2 5 2 3 6" xfId="37972" xr:uid="{00000000-0005-0000-0000-000047330000}"/>
    <cellStyle name="Comma 2 2 5 2 4" xfId="6874" xr:uid="{00000000-0005-0000-0000-000048330000}"/>
    <cellStyle name="Comma 2 2 5 2 4 2" xfId="11785" xr:uid="{00000000-0005-0000-0000-000049330000}"/>
    <cellStyle name="Comma 2 2 5 2 4 2 2" xfId="28505" xr:uid="{00000000-0005-0000-0000-00004A330000}"/>
    <cellStyle name="Comma 2 2 5 2 4 2 2 2" xfId="46156" xr:uid="{00000000-0005-0000-0000-00004B330000}"/>
    <cellStyle name="Comma 2 2 5 2 4 2 3" xfId="32718" xr:uid="{00000000-0005-0000-0000-00004C330000}"/>
    <cellStyle name="Comma 2 2 5 2 4 2 4" xfId="36933" xr:uid="{00000000-0005-0000-0000-00004D330000}"/>
    <cellStyle name="Comma 2 2 5 2 4 2 5" xfId="41137" xr:uid="{00000000-0005-0000-0000-00004E330000}"/>
    <cellStyle name="Comma 2 2 5 2 4 3" xfId="25562" xr:uid="{00000000-0005-0000-0000-00004F330000}"/>
    <cellStyle name="Comma 2 2 5 2 4 3 2" xfId="44890" xr:uid="{00000000-0005-0000-0000-000050330000}"/>
    <cellStyle name="Comma 2 2 5 2 4 4" xfId="29775" xr:uid="{00000000-0005-0000-0000-000051330000}"/>
    <cellStyle name="Comma 2 2 5 2 4 5" xfId="33990" xr:uid="{00000000-0005-0000-0000-000052330000}"/>
    <cellStyle name="Comma 2 2 5 2 4 6" xfId="38194" xr:uid="{00000000-0005-0000-0000-000053330000}"/>
    <cellStyle name="Comma 2 2 5 2 5" xfId="9690" xr:uid="{00000000-0005-0000-0000-000054330000}"/>
    <cellStyle name="Comma 2 2 5 2 5 2" xfId="11439" xr:uid="{00000000-0005-0000-0000-000055330000}"/>
    <cellStyle name="Comma 2 2 5 2 5 2 2" xfId="28199" xr:uid="{00000000-0005-0000-0000-000056330000}"/>
    <cellStyle name="Comma 2 2 5 2 5 2 2 2" xfId="45848" xr:uid="{00000000-0005-0000-0000-000057330000}"/>
    <cellStyle name="Comma 2 2 5 2 5 2 3" xfId="32412" xr:uid="{00000000-0005-0000-0000-000058330000}"/>
    <cellStyle name="Comma 2 2 5 2 5 2 4" xfId="36627" xr:uid="{00000000-0005-0000-0000-000059330000}"/>
    <cellStyle name="Comma 2 2 5 2 5 2 5" xfId="40831" xr:uid="{00000000-0005-0000-0000-00005A330000}"/>
    <cellStyle name="Comma 2 2 5 2 5 3" xfId="27201" xr:uid="{00000000-0005-0000-0000-00005B330000}"/>
    <cellStyle name="Comma 2 2 5 2 5 3 2" xfId="45070" xr:uid="{00000000-0005-0000-0000-00005C330000}"/>
    <cellStyle name="Comma 2 2 5 2 5 4" xfId="31414" xr:uid="{00000000-0005-0000-0000-00005D330000}"/>
    <cellStyle name="Comma 2 2 5 2 5 5" xfId="35629" xr:uid="{00000000-0005-0000-0000-00005E330000}"/>
    <cellStyle name="Comma 2 2 5 2 5 6" xfId="39833" xr:uid="{00000000-0005-0000-0000-00005F330000}"/>
    <cellStyle name="Comma 2 2 5 2 6" xfId="10428" xr:uid="{00000000-0005-0000-0000-000060330000}"/>
    <cellStyle name="Comma 2 2 5 2 6 2" xfId="27666" xr:uid="{00000000-0005-0000-0000-000061330000}"/>
    <cellStyle name="Comma 2 2 5 2 6 2 2" xfId="45344" xr:uid="{00000000-0005-0000-0000-000062330000}"/>
    <cellStyle name="Comma 2 2 5 2 6 3" xfId="31879" xr:uid="{00000000-0005-0000-0000-000063330000}"/>
    <cellStyle name="Comma 2 2 5 2 6 4" xfId="36094" xr:uid="{00000000-0005-0000-0000-000064330000}"/>
    <cellStyle name="Comma 2 2 5 2 6 5" xfId="40298" xr:uid="{00000000-0005-0000-0000-000065330000}"/>
    <cellStyle name="Comma 2 2 5 2 7" xfId="25245" xr:uid="{00000000-0005-0000-0000-000066330000}"/>
    <cellStyle name="Comma 2 2 5 2 7 2" xfId="44584" xr:uid="{00000000-0005-0000-0000-000067330000}"/>
    <cellStyle name="Comma 2 2 5 2 8" xfId="29457" xr:uid="{00000000-0005-0000-0000-000068330000}"/>
    <cellStyle name="Comma 2 2 5 2 9" xfId="33673" xr:uid="{00000000-0005-0000-0000-000069330000}"/>
    <cellStyle name="Comma 2 2 5 3" xfId="6078" xr:uid="{00000000-0005-0000-0000-00006A330000}"/>
    <cellStyle name="Comma 2 2 5 3 2" xfId="9748" xr:uid="{00000000-0005-0000-0000-00006B330000}"/>
    <cellStyle name="Comma 2 2 5 3 2 2" xfId="11586" xr:uid="{00000000-0005-0000-0000-00006C330000}"/>
    <cellStyle name="Comma 2 2 5 3 2 2 2" xfId="28342" xr:uid="{00000000-0005-0000-0000-00006D330000}"/>
    <cellStyle name="Comma 2 2 5 3 2 2 2 2" xfId="45991" xr:uid="{00000000-0005-0000-0000-00006E330000}"/>
    <cellStyle name="Comma 2 2 5 3 2 2 3" xfId="32555" xr:uid="{00000000-0005-0000-0000-00006F330000}"/>
    <cellStyle name="Comma 2 2 5 3 2 2 4" xfId="36770" xr:uid="{00000000-0005-0000-0000-000070330000}"/>
    <cellStyle name="Comma 2 2 5 3 2 2 5" xfId="40974" xr:uid="{00000000-0005-0000-0000-000071330000}"/>
    <cellStyle name="Comma 2 2 5 3 2 3" xfId="27248" xr:uid="{00000000-0005-0000-0000-000072330000}"/>
    <cellStyle name="Comma 2 2 5 3 2 3 2" xfId="45126" xr:uid="{00000000-0005-0000-0000-000073330000}"/>
    <cellStyle name="Comma 2 2 5 3 2 4" xfId="31461" xr:uid="{00000000-0005-0000-0000-000074330000}"/>
    <cellStyle name="Comma 2 2 5 3 2 5" xfId="35676" xr:uid="{00000000-0005-0000-0000-000075330000}"/>
    <cellStyle name="Comma 2 2 5 3 2 6" xfId="39880" xr:uid="{00000000-0005-0000-0000-000076330000}"/>
    <cellStyle name="Comma 2 2 5 3 3" xfId="10475" xr:uid="{00000000-0005-0000-0000-000077330000}"/>
    <cellStyle name="Comma 2 2 5 3 3 2" xfId="27713" xr:uid="{00000000-0005-0000-0000-000078330000}"/>
    <cellStyle name="Comma 2 2 5 3 3 2 2" xfId="45391" xr:uid="{00000000-0005-0000-0000-000079330000}"/>
    <cellStyle name="Comma 2 2 5 3 3 3" xfId="31926" xr:uid="{00000000-0005-0000-0000-00007A330000}"/>
    <cellStyle name="Comma 2 2 5 3 3 4" xfId="36141" xr:uid="{00000000-0005-0000-0000-00007B330000}"/>
    <cellStyle name="Comma 2 2 5 3 3 5" xfId="40345" xr:uid="{00000000-0005-0000-0000-00007C330000}"/>
    <cellStyle name="Comma 2 2 5 3 4" xfId="25388" xr:uid="{00000000-0005-0000-0000-00007D330000}"/>
    <cellStyle name="Comma 2 2 5 3 4 2" xfId="44727" xr:uid="{00000000-0005-0000-0000-00007E330000}"/>
    <cellStyle name="Comma 2 2 5 3 5" xfId="29600" xr:uid="{00000000-0005-0000-0000-00007F330000}"/>
    <cellStyle name="Comma 2 2 5 3 6" xfId="33816" xr:uid="{00000000-0005-0000-0000-000080330000}"/>
    <cellStyle name="Comma 2 2 5 3 7" xfId="38020" xr:uid="{00000000-0005-0000-0000-000081330000}"/>
    <cellStyle name="Comma 2 2 5 4" xfId="5980" xr:uid="{00000000-0005-0000-0000-000082330000}"/>
    <cellStyle name="Comma 2 2 5 4 2" xfId="11488" xr:uid="{00000000-0005-0000-0000-000083330000}"/>
    <cellStyle name="Comma 2 2 5 4 2 2" xfId="28247" xr:uid="{00000000-0005-0000-0000-000084330000}"/>
    <cellStyle name="Comma 2 2 5 4 2 2 2" xfId="45896" xr:uid="{00000000-0005-0000-0000-000085330000}"/>
    <cellStyle name="Comma 2 2 5 4 2 3" xfId="32460" xr:uid="{00000000-0005-0000-0000-000086330000}"/>
    <cellStyle name="Comma 2 2 5 4 2 4" xfId="36675" xr:uid="{00000000-0005-0000-0000-000087330000}"/>
    <cellStyle name="Comma 2 2 5 4 2 5" xfId="40879" xr:uid="{00000000-0005-0000-0000-000088330000}"/>
    <cellStyle name="Comma 2 2 5 4 3" xfId="25293" xr:uid="{00000000-0005-0000-0000-000089330000}"/>
    <cellStyle name="Comma 2 2 5 4 3 2" xfId="44632" xr:uid="{00000000-0005-0000-0000-00008A330000}"/>
    <cellStyle name="Comma 2 2 5 4 4" xfId="29505" xr:uid="{00000000-0005-0000-0000-00008B330000}"/>
    <cellStyle name="Comma 2 2 5 4 5" xfId="33721" xr:uid="{00000000-0005-0000-0000-00008C330000}"/>
    <cellStyle name="Comma 2 2 5 4 6" xfId="37925" xr:uid="{00000000-0005-0000-0000-00008D330000}"/>
    <cellStyle name="Comma 2 2 5 5" xfId="6162" xr:uid="{00000000-0005-0000-0000-00008E330000}"/>
    <cellStyle name="Comma 2 2 5 5 2" xfId="11670" xr:uid="{00000000-0005-0000-0000-00008F330000}"/>
    <cellStyle name="Comma 2 2 5 5 2 2" xfId="28426" xr:uid="{00000000-0005-0000-0000-000090330000}"/>
    <cellStyle name="Comma 2 2 5 5 2 2 2" xfId="46075" xr:uid="{00000000-0005-0000-0000-000091330000}"/>
    <cellStyle name="Comma 2 2 5 5 2 3" xfId="32639" xr:uid="{00000000-0005-0000-0000-000092330000}"/>
    <cellStyle name="Comma 2 2 5 5 2 4" xfId="36854" xr:uid="{00000000-0005-0000-0000-000093330000}"/>
    <cellStyle name="Comma 2 2 5 5 2 5" xfId="41058" xr:uid="{00000000-0005-0000-0000-000094330000}"/>
    <cellStyle name="Comma 2 2 5 5 3" xfId="25472" xr:uid="{00000000-0005-0000-0000-000095330000}"/>
    <cellStyle name="Comma 2 2 5 5 3 2" xfId="44811" xr:uid="{00000000-0005-0000-0000-000096330000}"/>
    <cellStyle name="Comma 2 2 5 5 4" xfId="29684" xr:uid="{00000000-0005-0000-0000-000097330000}"/>
    <cellStyle name="Comma 2 2 5 5 5" xfId="33900" xr:uid="{00000000-0005-0000-0000-000098330000}"/>
    <cellStyle name="Comma 2 2 5 5 6" xfId="38104" xr:uid="{00000000-0005-0000-0000-000099330000}"/>
    <cellStyle name="Comma 2 2 5 6" xfId="6334" xr:uid="{00000000-0005-0000-0000-00009A330000}"/>
    <cellStyle name="Comma 2 2 5 6 2" xfId="11746" xr:uid="{00000000-0005-0000-0000-00009B330000}"/>
    <cellStyle name="Comma 2 2 5 6 2 2" xfId="28468" xr:uid="{00000000-0005-0000-0000-00009C330000}"/>
    <cellStyle name="Comma 2 2 5 6 2 2 2" xfId="46117" xr:uid="{00000000-0005-0000-0000-00009D330000}"/>
    <cellStyle name="Comma 2 2 5 6 2 3" xfId="32681" xr:uid="{00000000-0005-0000-0000-00009E330000}"/>
    <cellStyle name="Comma 2 2 5 6 2 4" xfId="36896" xr:uid="{00000000-0005-0000-0000-00009F330000}"/>
    <cellStyle name="Comma 2 2 5 6 2 5" xfId="41100" xr:uid="{00000000-0005-0000-0000-0000A0330000}"/>
    <cellStyle name="Comma 2 2 5 6 3" xfId="25524" xr:uid="{00000000-0005-0000-0000-0000A1330000}"/>
    <cellStyle name="Comma 2 2 5 6 3 2" xfId="44853" xr:uid="{00000000-0005-0000-0000-0000A2330000}"/>
    <cellStyle name="Comma 2 2 5 6 4" xfId="29736" xr:uid="{00000000-0005-0000-0000-0000A3330000}"/>
    <cellStyle name="Comma 2 2 5 6 5" xfId="33952" xr:uid="{00000000-0005-0000-0000-0000A4330000}"/>
    <cellStyle name="Comma 2 2 5 6 6" xfId="38156" xr:uid="{00000000-0005-0000-0000-0000A5330000}"/>
    <cellStyle name="Comma 2 2 5 7" xfId="9639" xr:uid="{00000000-0005-0000-0000-0000A6330000}"/>
    <cellStyle name="Comma 2 2 5 7 2" xfId="11383" xr:uid="{00000000-0005-0000-0000-0000A7330000}"/>
    <cellStyle name="Comma 2 2 5 7 2 2" xfId="28152" xr:uid="{00000000-0005-0000-0000-0000A8330000}"/>
    <cellStyle name="Comma 2 2 5 7 2 2 2" xfId="45801" xr:uid="{00000000-0005-0000-0000-0000A9330000}"/>
    <cellStyle name="Comma 2 2 5 7 2 3" xfId="32365" xr:uid="{00000000-0005-0000-0000-0000AA330000}"/>
    <cellStyle name="Comma 2 2 5 7 2 4" xfId="36580" xr:uid="{00000000-0005-0000-0000-0000AB330000}"/>
    <cellStyle name="Comma 2 2 5 7 2 5" xfId="40784" xr:uid="{00000000-0005-0000-0000-0000AC330000}"/>
    <cellStyle name="Comma 2 2 5 7 3" xfId="27154" xr:uid="{00000000-0005-0000-0000-0000AD330000}"/>
    <cellStyle name="Comma 2 2 5 7 3 2" xfId="45023" xr:uid="{00000000-0005-0000-0000-0000AE330000}"/>
    <cellStyle name="Comma 2 2 5 7 4" xfId="31367" xr:uid="{00000000-0005-0000-0000-0000AF330000}"/>
    <cellStyle name="Comma 2 2 5 7 5" xfId="35582" xr:uid="{00000000-0005-0000-0000-0000B0330000}"/>
    <cellStyle name="Comma 2 2 5 7 6" xfId="39786" xr:uid="{00000000-0005-0000-0000-0000B1330000}"/>
    <cellStyle name="Comma 2 2 5 8" xfId="10228" xr:uid="{00000000-0005-0000-0000-0000B2330000}"/>
    <cellStyle name="Comma 2 2 5 8 2" xfId="27619" xr:uid="{00000000-0005-0000-0000-0000B3330000}"/>
    <cellStyle name="Comma 2 2 5 8 2 2" xfId="45297" xr:uid="{00000000-0005-0000-0000-0000B4330000}"/>
    <cellStyle name="Comma 2 2 5 8 3" xfId="31832" xr:uid="{00000000-0005-0000-0000-0000B5330000}"/>
    <cellStyle name="Comma 2 2 5 8 4" xfId="36047" xr:uid="{00000000-0005-0000-0000-0000B6330000}"/>
    <cellStyle name="Comma 2 2 5 8 5" xfId="40251" xr:uid="{00000000-0005-0000-0000-0000B7330000}"/>
    <cellStyle name="Comma 2 2 5 9" xfId="13403" xr:uid="{00000000-0005-0000-0000-0000B8330000}"/>
    <cellStyle name="Comma 2 2 5 9 2" xfId="28890" xr:uid="{00000000-0005-0000-0000-0000B9330000}"/>
    <cellStyle name="Comma 2 2 5 9 3" xfId="33103" xr:uid="{00000000-0005-0000-0000-0000BA330000}"/>
    <cellStyle name="Comma 2 2 5 9 4" xfId="37318" xr:uid="{00000000-0005-0000-0000-0000BB330000}"/>
    <cellStyle name="Comma 2 2 5 9 5" xfId="41570" xr:uid="{00000000-0005-0000-0000-0000BC330000}"/>
    <cellStyle name="Comma 2 2 6" xfId="5880" xr:uid="{00000000-0005-0000-0000-0000BD330000}"/>
    <cellStyle name="Comma 2 2 6 10" xfId="25206" xr:uid="{00000000-0005-0000-0000-0000BE330000}"/>
    <cellStyle name="Comma 2 2 6 11" xfId="29418" xr:uid="{00000000-0005-0000-0000-0000BF330000}"/>
    <cellStyle name="Comma 2 2 6 12" xfId="33634" xr:uid="{00000000-0005-0000-0000-0000C0330000}"/>
    <cellStyle name="Comma 2 2 6 13" xfId="37838" xr:uid="{00000000-0005-0000-0000-0000C1330000}"/>
    <cellStyle name="Comma 2 2 6 2" xfId="5940" xr:uid="{00000000-0005-0000-0000-0000C2330000}"/>
    <cellStyle name="Comma 2 2 6 2 10" xfId="37887" xr:uid="{00000000-0005-0000-0000-0000C3330000}"/>
    <cellStyle name="Comma 2 2 6 2 2" xfId="6135" xr:uid="{00000000-0005-0000-0000-0000C4330000}"/>
    <cellStyle name="Comma 2 2 6 2 2 2" xfId="9809" xr:uid="{00000000-0005-0000-0000-0000C5330000}"/>
    <cellStyle name="Comma 2 2 6 2 2 2 2" xfId="11643" xr:uid="{00000000-0005-0000-0000-0000C6330000}"/>
    <cellStyle name="Comma 2 2 6 2 2 2 2 2" xfId="28399" xr:uid="{00000000-0005-0000-0000-0000C7330000}"/>
    <cellStyle name="Comma 2 2 6 2 2 2 2 2 2" xfId="46048" xr:uid="{00000000-0005-0000-0000-0000C8330000}"/>
    <cellStyle name="Comma 2 2 6 2 2 2 2 3" xfId="32612" xr:uid="{00000000-0005-0000-0000-0000C9330000}"/>
    <cellStyle name="Comma 2 2 6 2 2 2 2 4" xfId="36827" xr:uid="{00000000-0005-0000-0000-0000CA330000}"/>
    <cellStyle name="Comma 2 2 6 2 2 2 2 5" xfId="41031" xr:uid="{00000000-0005-0000-0000-0000CB330000}"/>
    <cellStyle name="Comma 2 2 6 2 2 2 3" xfId="27296" xr:uid="{00000000-0005-0000-0000-0000CC330000}"/>
    <cellStyle name="Comma 2 2 6 2 2 2 3 2" xfId="45174" xr:uid="{00000000-0005-0000-0000-0000CD330000}"/>
    <cellStyle name="Comma 2 2 6 2 2 2 4" xfId="31509" xr:uid="{00000000-0005-0000-0000-0000CE330000}"/>
    <cellStyle name="Comma 2 2 6 2 2 2 5" xfId="35724" xr:uid="{00000000-0005-0000-0000-0000CF330000}"/>
    <cellStyle name="Comma 2 2 6 2 2 2 6" xfId="39928" xr:uid="{00000000-0005-0000-0000-0000D0330000}"/>
    <cellStyle name="Comma 2 2 6 2 2 3" xfId="10546" xr:uid="{00000000-0005-0000-0000-0000D1330000}"/>
    <cellStyle name="Comma 2 2 6 2 2 3 2" xfId="27761" xr:uid="{00000000-0005-0000-0000-0000D2330000}"/>
    <cellStyle name="Comma 2 2 6 2 2 3 2 2" xfId="45439" xr:uid="{00000000-0005-0000-0000-0000D3330000}"/>
    <cellStyle name="Comma 2 2 6 2 2 3 3" xfId="31974" xr:uid="{00000000-0005-0000-0000-0000D4330000}"/>
    <cellStyle name="Comma 2 2 6 2 2 3 4" xfId="36189" xr:uid="{00000000-0005-0000-0000-0000D5330000}"/>
    <cellStyle name="Comma 2 2 6 2 2 3 5" xfId="40393" xr:uid="{00000000-0005-0000-0000-0000D6330000}"/>
    <cellStyle name="Comma 2 2 6 2 2 4" xfId="25445" xr:uid="{00000000-0005-0000-0000-0000D7330000}"/>
    <cellStyle name="Comma 2 2 6 2 2 4 2" xfId="44784" xr:uid="{00000000-0005-0000-0000-0000D8330000}"/>
    <cellStyle name="Comma 2 2 6 2 2 5" xfId="29657" xr:uid="{00000000-0005-0000-0000-0000D9330000}"/>
    <cellStyle name="Comma 2 2 6 2 2 6" xfId="33873" xr:uid="{00000000-0005-0000-0000-0000DA330000}"/>
    <cellStyle name="Comma 2 2 6 2 2 7" xfId="38077" xr:uid="{00000000-0005-0000-0000-0000DB330000}"/>
    <cellStyle name="Comma 2 2 6 2 3" xfId="6037" xr:uid="{00000000-0005-0000-0000-0000DC330000}"/>
    <cellStyle name="Comma 2 2 6 2 3 2" xfId="11545" xr:uid="{00000000-0005-0000-0000-0000DD330000}"/>
    <cellStyle name="Comma 2 2 6 2 3 2 2" xfId="28304" xr:uid="{00000000-0005-0000-0000-0000DE330000}"/>
    <cellStyle name="Comma 2 2 6 2 3 2 2 2" xfId="45953" xr:uid="{00000000-0005-0000-0000-0000DF330000}"/>
    <cellStyle name="Comma 2 2 6 2 3 2 3" xfId="32517" xr:uid="{00000000-0005-0000-0000-0000E0330000}"/>
    <cellStyle name="Comma 2 2 6 2 3 2 4" xfId="36732" xr:uid="{00000000-0005-0000-0000-0000E1330000}"/>
    <cellStyle name="Comma 2 2 6 2 3 2 5" xfId="40936" xr:uid="{00000000-0005-0000-0000-0000E2330000}"/>
    <cellStyle name="Comma 2 2 6 2 3 3" xfId="25350" xr:uid="{00000000-0005-0000-0000-0000E3330000}"/>
    <cellStyle name="Comma 2 2 6 2 3 3 2" xfId="44689" xr:uid="{00000000-0005-0000-0000-0000E4330000}"/>
    <cellStyle name="Comma 2 2 6 2 3 4" xfId="29562" xr:uid="{00000000-0005-0000-0000-0000E5330000}"/>
    <cellStyle name="Comma 2 2 6 2 3 5" xfId="33778" xr:uid="{00000000-0005-0000-0000-0000E6330000}"/>
    <cellStyle name="Comma 2 2 6 2 3 6" xfId="37982" xr:uid="{00000000-0005-0000-0000-0000E7330000}"/>
    <cellStyle name="Comma 2 2 6 2 4" xfId="6875" xr:uid="{00000000-0005-0000-0000-0000E8330000}"/>
    <cellStyle name="Comma 2 2 6 2 4 2" xfId="11786" xr:uid="{00000000-0005-0000-0000-0000E9330000}"/>
    <cellStyle name="Comma 2 2 6 2 4 2 2" xfId="28506" xr:uid="{00000000-0005-0000-0000-0000EA330000}"/>
    <cellStyle name="Comma 2 2 6 2 4 2 2 2" xfId="46157" xr:uid="{00000000-0005-0000-0000-0000EB330000}"/>
    <cellStyle name="Comma 2 2 6 2 4 2 3" xfId="32719" xr:uid="{00000000-0005-0000-0000-0000EC330000}"/>
    <cellStyle name="Comma 2 2 6 2 4 2 4" xfId="36934" xr:uid="{00000000-0005-0000-0000-0000ED330000}"/>
    <cellStyle name="Comma 2 2 6 2 4 2 5" xfId="41138" xr:uid="{00000000-0005-0000-0000-0000EE330000}"/>
    <cellStyle name="Comma 2 2 6 2 4 3" xfId="25563" xr:uid="{00000000-0005-0000-0000-0000EF330000}"/>
    <cellStyle name="Comma 2 2 6 2 4 3 2" xfId="44891" xr:uid="{00000000-0005-0000-0000-0000F0330000}"/>
    <cellStyle name="Comma 2 2 6 2 4 4" xfId="29776" xr:uid="{00000000-0005-0000-0000-0000F1330000}"/>
    <cellStyle name="Comma 2 2 6 2 4 5" xfId="33991" xr:uid="{00000000-0005-0000-0000-0000F2330000}"/>
    <cellStyle name="Comma 2 2 6 2 4 6" xfId="38195" xr:uid="{00000000-0005-0000-0000-0000F3330000}"/>
    <cellStyle name="Comma 2 2 6 2 5" xfId="9691" xr:uid="{00000000-0005-0000-0000-0000F4330000}"/>
    <cellStyle name="Comma 2 2 6 2 5 2" xfId="11449" xr:uid="{00000000-0005-0000-0000-0000F5330000}"/>
    <cellStyle name="Comma 2 2 6 2 5 2 2" xfId="28209" xr:uid="{00000000-0005-0000-0000-0000F6330000}"/>
    <cellStyle name="Comma 2 2 6 2 5 2 2 2" xfId="45858" xr:uid="{00000000-0005-0000-0000-0000F7330000}"/>
    <cellStyle name="Comma 2 2 6 2 5 2 3" xfId="32422" xr:uid="{00000000-0005-0000-0000-0000F8330000}"/>
    <cellStyle name="Comma 2 2 6 2 5 2 4" xfId="36637" xr:uid="{00000000-0005-0000-0000-0000F9330000}"/>
    <cellStyle name="Comma 2 2 6 2 5 2 5" xfId="40841" xr:uid="{00000000-0005-0000-0000-0000FA330000}"/>
    <cellStyle name="Comma 2 2 6 2 5 3" xfId="27202" xr:uid="{00000000-0005-0000-0000-0000FB330000}"/>
    <cellStyle name="Comma 2 2 6 2 5 3 2" xfId="45071" xr:uid="{00000000-0005-0000-0000-0000FC330000}"/>
    <cellStyle name="Comma 2 2 6 2 5 4" xfId="31415" xr:uid="{00000000-0005-0000-0000-0000FD330000}"/>
    <cellStyle name="Comma 2 2 6 2 5 5" xfId="35630" xr:uid="{00000000-0005-0000-0000-0000FE330000}"/>
    <cellStyle name="Comma 2 2 6 2 5 6" xfId="39834" xr:uid="{00000000-0005-0000-0000-0000FF330000}"/>
    <cellStyle name="Comma 2 2 6 2 6" xfId="10429" xr:uid="{00000000-0005-0000-0000-000000340000}"/>
    <cellStyle name="Comma 2 2 6 2 6 2" xfId="27667" xr:uid="{00000000-0005-0000-0000-000001340000}"/>
    <cellStyle name="Comma 2 2 6 2 6 2 2" xfId="45345" xr:uid="{00000000-0005-0000-0000-000002340000}"/>
    <cellStyle name="Comma 2 2 6 2 6 3" xfId="31880" xr:uid="{00000000-0005-0000-0000-000003340000}"/>
    <cellStyle name="Comma 2 2 6 2 6 4" xfId="36095" xr:uid="{00000000-0005-0000-0000-000004340000}"/>
    <cellStyle name="Comma 2 2 6 2 6 5" xfId="40299" xr:uid="{00000000-0005-0000-0000-000005340000}"/>
    <cellStyle name="Comma 2 2 6 2 7" xfId="25255" xr:uid="{00000000-0005-0000-0000-000006340000}"/>
    <cellStyle name="Comma 2 2 6 2 7 2" xfId="44594" xr:uid="{00000000-0005-0000-0000-000007340000}"/>
    <cellStyle name="Comma 2 2 6 2 8" xfId="29467" xr:uid="{00000000-0005-0000-0000-000008340000}"/>
    <cellStyle name="Comma 2 2 6 2 9" xfId="33683" xr:uid="{00000000-0005-0000-0000-000009340000}"/>
    <cellStyle name="Comma 2 2 6 3" xfId="6088" xr:uid="{00000000-0005-0000-0000-00000A340000}"/>
    <cellStyle name="Comma 2 2 6 3 2" xfId="9749" xr:uid="{00000000-0005-0000-0000-00000B340000}"/>
    <cellStyle name="Comma 2 2 6 3 2 2" xfId="11596" xr:uid="{00000000-0005-0000-0000-00000C340000}"/>
    <cellStyle name="Comma 2 2 6 3 2 2 2" xfId="28352" xr:uid="{00000000-0005-0000-0000-00000D340000}"/>
    <cellStyle name="Comma 2 2 6 3 2 2 2 2" xfId="46001" xr:uid="{00000000-0005-0000-0000-00000E340000}"/>
    <cellStyle name="Comma 2 2 6 3 2 2 3" xfId="32565" xr:uid="{00000000-0005-0000-0000-00000F340000}"/>
    <cellStyle name="Comma 2 2 6 3 2 2 4" xfId="36780" xr:uid="{00000000-0005-0000-0000-000010340000}"/>
    <cellStyle name="Comma 2 2 6 3 2 2 5" xfId="40984" xr:uid="{00000000-0005-0000-0000-000011340000}"/>
    <cellStyle name="Comma 2 2 6 3 2 3" xfId="27249" xr:uid="{00000000-0005-0000-0000-000012340000}"/>
    <cellStyle name="Comma 2 2 6 3 2 3 2" xfId="45127" xr:uid="{00000000-0005-0000-0000-000013340000}"/>
    <cellStyle name="Comma 2 2 6 3 2 4" xfId="31462" xr:uid="{00000000-0005-0000-0000-000014340000}"/>
    <cellStyle name="Comma 2 2 6 3 2 5" xfId="35677" xr:uid="{00000000-0005-0000-0000-000015340000}"/>
    <cellStyle name="Comma 2 2 6 3 2 6" xfId="39881" xr:uid="{00000000-0005-0000-0000-000016340000}"/>
    <cellStyle name="Comma 2 2 6 3 3" xfId="10476" xr:uid="{00000000-0005-0000-0000-000017340000}"/>
    <cellStyle name="Comma 2 2 6 3 3 2" xfId="27714" xr:uid="{00000000-0005-0000-0000-000018340000}"/>
    <cellStyle name="Comma 2 2 6 3 3 2 2" xfId="45392" xr:uid="{00000000-0005-0000-0000-000019340000}"/>
    <cellStyle name="Comma 2 2 6 3 3 3" xfId="31927" xr:uid="{00000000-0005-0000-0000-00001A340000}"/>
    <cellStyle name="Comma 2 2 6 3 3 4" xfId="36142" xr:uid="{00000000-0005-0000-0000-00001B340000}"/>
    <cellStyle name="Comma 2 2 6 3 3 5" xfId="40346" xr:uid="{00000000-0005-0000-0000-00001C340000}"/>
    <cellStyle name="Comma 2 2 6 3 4" xfId="25398" xr:uid="{00000000-0005-0000-0000-00001D340000}"/>
    <cellStyle name="Comma 2 2 6 3 4 2" xfId="44737" xr:uid="{00000000-0005-0000-0000-00001E340000}"/>
    <cellStyle name="Comma 2 2 6 3 5" xfId="29610" xr:uid="{00000000-0005-0000-0000-00001F340000}"/>
    <cellStyle name="Comma 2 2 6 3 6" xfId="33826" xr:uid="{00000000-0005-0000-0000-000020340000}"/>
    <cellStyle name="Comma 2 2 6 3 7" xfId="38030" xr:uid="{00000000-0005-0000-0000-000021340000}"/>
    <cellStyle name="Comma 2 2 6 4" xfId="5990" xr:uid="{00000000-0005-0000-0000-000022340000}"/>
    <cellStyle name="Comma 2 2 6 4 2" xfId="11498" xr:uid="{00000000-0005-0000-0000-000023340000}"/>
    <cellStyle name="Comma 2 2 6 4 2 2" xfId="28257" xr:uid="{00000000-0005-0000-0000-000024340000}"/>
    <cellStyle name="Comma 2 2 6 4 2 2 2" xfId="45906" xr:uid="{00000000-0005-0000-0000-000025340000}"/>
    <cellStyle name="Comma 2 2 6 4 2 3" xfId="32470" xr:uid="{00000000-0005-0000-0000-000026340000}"/>
    <cellStyle name="Comma 2 2 6 4 2 4" xfId="36685" xr:uid="{00000000-0005-0000-0000-000027340000}"/>
    <cellStyle name="Comma 2 2 6 4 2 5" xfId="40889" xr:uid="{00000000-0005-0000-0000-000028340000}"/>
    <cellStyle name="Comma 2 2 6 4 3" xfId="25303" xr:uid="{00000000-0005-0000-0000-000029340000}"/>
    <cellStyle name="Comma 2 2 6 4 3 2" xfId="44642" xr:uid="{00000000-0005-0000-0000-00002A340000}"/>
    <cellStyle name="Comma 2 2 6 4 4" xfId="29515" xr:uid="{00000000-0005-0000-0000-00002B340000}"/>
    <cellStyle name="Comma 2 2 6 4 5" xfId="33731" xr:uid="{00000000-0005-0000-0000-00002C340000}"/>
    <cellStyle name="Comma 2 2 6 4 6" xfId="37935" xr:uid="{00000000-0005-0000-0000-00002D340000}"/>
    <cellStyle name="Comma 2 2 6 5" xfId="6163" xr:uid="{00000000-0005-0000-0000-00002E340000}"/>
    <cellStyle name="Comma 2 2 6 5 2" xfId="11671" xr:uid="{00000000-0005-0000-0000-00002F340000}"/>
    <cellStyle name="Comma 2 2 6 5 2 2" xfId="28427" xr:uid="{00000000-0005-0000-0000-000030340000}"/>
    <cellStyle name="Comma 2 2 6 5 2 2 2" xfId="46076" xr:uid="{00000000-0005-0000-0000-000031340000}"/>
    <cellStyle name="Comma 2 2 6 5 2 3" xfId="32640" xr:uid="{00000000-0005-0000-0000-000032340000}"/>
    <cellStyle name="Comma 2 2 6 5 2 4" xfId="36855" xr:uid="{00000000-0005-0000-0000-000033340000}"/>
    <cellStyle name="Comma 2 2 6 5 2 5" xfId="41059" xr:uid="{00000000-0005-0000-0000-000034340000}"/>
    <cellStyle name="Comma 2 2 6 5 3" xfId="25473" xr:uid="{00000000-0005-0000-0000-000035340000}"/>
    <cellStyle name="Comma 2 2 6 5 3 2" xfId="44812" xr:uid="{00000000-0005-0000-0000-000036340000}"/>
    <cellStyle name="Comma 2 2 6 5 4" xfId="29685" xr:uid="{00000000-0005-0000-0000-000037340000}"/>
    <cellStyle name="Comma 2 2 6 5 5" xfId="33901" xr:uid="{00000000-0005-0000-0000-000038340000}"/>
    <cellStyle name="Comma 2 2 6 5 6" xfId="38105" xr:uid="{00000000-0005-0000-0000-000039340000}"/>
    <cellStyle name="Comma 2 2 6 6" xfId="6335" xr:uid="{00000000-0005-0000-0000-00003A340000}"/>
    <cellStyle name="Comma 2 2 6 6 2" xfId="11747" xr:uid="{00000000-0005-0000-0000-00003B340000}"/>
    <cellStyle name="Comma 2 2 6 6 2 2" xfId="28469" xr:uid="{00000000-0005-0000-0000-00003C340000}"/>
    <cellStyle name="Comma 2 2 6 6 2 2 2" xfId="46118" xr:uid="{00000000-0005-0000-0000-00003D340000}"/>
    <cellStyle name="Comma 2 2 6 6 2 3" xfId="32682" xr:uid="{00000000-0005-0000-0000-00003E340000}"/>
    <cellStyle name="Comma 2 2 6 6 2 4" xfId="36897" xr:uid="{00000000-0005-0000-0000-00003F340000}"/>
    <cellStyle name="Comma 2 2 6 6 2 5" xfId="41101" xr:uid="{00000000-0005-0000-0000-000040340000}"/>
    <cellStyle name="Comma 2 2 6 6 3" xfId="25525" xr:uid="{00000000-0005-0000-0000-000041340000}"/>
    <cellStyle name="Comma 2 2 6 6 3 2" xfId="44854" xr:uid="{00000000-0005-0000-0000-000042340000}"/>
    <cellStyle name="Comma 2 2 6 6 4" xfId="29737" xr:uid="{00000000-0005-0000-0000-000043340000}"/>
    <cellStyle name="Comma 2 2 6 6 5" xfId="33953" xr:uid="{00000000-0005-0000-0000-000044340000}"/>
    <cellStyle name="Comma 2 2 6 6 6" xfId="38157" xr:uid="{00000000-0005-0000-0000-000045340000}"/>
    <cellStyle name="Comma 2 2 6 7" xfId="9640" xr:uid="{00000000-0005-0000-0000-000046340000}"/>
    <cellStyle name="Comma 2 2 6 7 2" xfId="11394" xr:uid="{00000000-0005-0000-0000-000047340000}"/>
    <cellStyle name="Comma 2 2 6 7 2 2" xfId="28162" xr:uid="{00000000-0005-0000-0000-000048340000}"/>
    <cellStyle name="Comma 2 2 6 7 2 2 2" xfId="45811" xr:uid="{00000000-0005-0000-0000-000049340000}"/>
    <cellStyle name="Comma 2 2 6 7 2 3" xfId="32375" xr:uid="{00000000-0005-0000-0000-00004A340000}"/>
    <cellStyle name="Comma 2 2 6 7 2 4" xfId="36590" xr:uid="{00000000-0005-0000-0000-00004B340000}"/>
    <cellStyle name="Comma 2 2 6 7 2 5" xfId="40794" xr:uid="{00000000-0005-0000-0000-00004C340000}"/>
    <cellStyle name="Comma 2 2 6 7 3" xfId="27155" xr:uid="{00000000-0005-0000-0000-00004D340000}"/>
    <cellStyle name="Comma 2 2 6 7 3 2" xfId="45024" xr:uid="{00000000-0005-0000-0000-00004E340000}"/>
    <cellStyle name="Comma 2 2 6 7 4" xfId="31368" xr:uid="{00000000-0005-0000-0000-00004F340000}"/>
    <cellStyle name="Comma 2 2 6 7 5" xfId="35583" xr:uid="{00000000-0005-0000-0000-000050340000}"/>
    <cellStyle name="Comma 2 2 6 7 6" xfId="39787" xr:uid="{00000000-0005-0000-0000-000051340000}"/>
    <cellStyle name="Comma 2 2 6 8" xfId="10229" xr:uid="{00000000-0005-0000-0000-000052340000}"/>
    <cellStyle name="Comma 2 2 6 8 2" xfId="27620" xr:uid="{00000000-0005-0000-0000-000053340000}"/>
    <cellStyle name="Comma 2 2 6 8 2 2" xfId="45298" xr:uid="{00000000-0005-0000-0000-000054340000}"/>
    <cellStyle name="Comma 2 2 6 8 3" xfId="31833" xr:uid="{00000000-0005-0000-0000-000055340000}"/>
    <cellStyle name="Comma 2 2 6 8 4" xfId="36048" xr:uid="{00000000-0005-0000-0000-000056340000}"/>
    <cellStyle name="Comma 2 2 6 8 5" xfId="40252" xr:uid="{00000000-0005-0000-0000-000057340000}"/>
    <cellStyle name="Comma 2 2 6 9" xfId="12649" xr:uid="{00000000-0005-0000-0000-000058340000}"/>
    <cellStyle name="Comma 2 2 6 9 2" xfId="28872" xr:uid="{00000000-0005-0000-0000-000059340000}"/>
    <cellStyle name="Comma 2 2 6 9 3" xfId="33085" xr:uid="{00000000-0005-0000-0000-00005A340000}"/>
    <cellStyle name="Comma 2 2 6 9 4" xfId="37300" xr:uid="{00000000-0005-0000-0000-00005B340000}"/>
    <cellStyle name="Comma 2 2 6 9 5" xfId="44547" xr:uid="{00000000-0005-0000-0000-00005C340000}"/>
    <cellStyle name="Comma 2 2 7" xfId="5893" xr:uid="{00000000-0005-0000-0000-00005D340000}"/>
    <cellStyle name="Comma 2 2 7 10" xfId="33641" xr:uid="{00000000-0005-0000-0000-00005E340000}"/>
    <cellStyle name="Comma 2 2 7 11" xfId="37845" xr:uid="{00000000-0005-0000-0000-00005F340000}"/>
    <cellStyle name="Comma 2 2 7 2" xfId="5945" xr:uid="{00000000-0005-0000-0000-000060340000}"/>
    <cellStyle name="Comma 2 2 7 2 10" xfId="37892" xr:uid="{00000000-0005-0000-0000-000061340000}"/>
    <cellStyle name="Comma 2 2 7 2 2" xfId="6140" xr:uid="{00000000-0005-0000-0000-000062340000}"/>
    <cellStyle name="Comma 2 2 7 2 2 2" xfId="9810" xr:uid="{00000000-0005-0000-0000-000063340000}"/>
    <cellStyle name="Comma 2 2 7 2 2 2 2" xfId="11648" xr:uid="{00000000-0005-0000-0000-000064340000}"/>
    <cellStyle name="Comma 2 2 7 2 2 2 2 2" xfId="28404" xr:uid="{00000000-0005-0000-0000-000065340000}"/>
    <cellStyle name="Comma 2 2 7 2 2 2 2 2 2" xfId="46053" xr:uid="{00000000-0005-0000-0000-000066340000}"/>
    <cellStyle name="Comma 2 2 7 2 2 2 2 3" xfId="32617" xr:uid="{00000000-0005-0000-0000-000067340000}"/>
    <cellStyle name="Comma 2 2 7 2 2 2 2 4" xfId="36832" xr:uid="{00000000-0005-0000-0000-000068340000}"/>
    <cellStyle name="Comma 2 2 7 2 2 2 2 5" xfId="41036" xr:uid="{00000000-0005-0000-0000-000069340000}"/>
    <cellStyle name="Comma 2 2 7 2 2 2 3" xfId="27297" xr:uid="{00000000-0005-0000-0000-00006A340000}"/>
    <cellStyle name="Comma 2 2 7 2 2 2 3 2" xfId="45175" xr:uid="{00000000-0005-0000-0000-00006B340000}"/>
    <cellStyle name="Comma 2 2 7 2 2 2 4" xfId="31510" xr:uid="{00000000-0005-0000-0000-00006C340000}"/>
    <cellStyle name="Comma 2 2 7 2 2 2 5" xfId="35725" xr:uid="{00000000-0005-0000-0000-00006D340000}"/>
    <cellStyle name="Comma 2 2 7 2 2 2 6" xfId="39929" xr:uid="{00000000-0005-0000-0000-00006E340000}"/>
    <cellStyle name="Comma 2 2 7 2 2 3" xfId="10547" xr:uid="{00000000-0005-0000-0000-00006F340000}"/>
    <cellStyle name="Comma 2 2 7 2 2 3 2" xfId="27762" xr:uid="{00000000-0005-0000-0000-000070340000}"/>
    <cellStyle name="Comma 2 2 7 2 2 3 2 2" xfId="45440" xr:uid="{00000000-0005-0000-0000-000071340000}"/>
    <cellStyle name="Comma 2 2 7 2 2 3 3" xfId="31975" xr:uid="{00000000-0005-0000-0000-000072340000}"/>
    <cellStyle name="Comma 2 2 7 2 2 3 4" xfId="36190" xr:uid="{00000000-0005-0000-0000-000073340000}"/>
    <cellStyle name="Comma 2 2 7 2 2 3 5" xfId="40394" xr:uid="{00000000-0005-0000-0000-000074340000}"/>
    <cellStyle name="Comma 2 2 7 2 2 4" xfId="25450" xr:uid="{00000000-0005-0000-0000-000075340000}"/>
    <cellStyle name="Comma 2 2 7 2 2 4 2" xfId="44789" xr:uid="{00000000-0005-0000-0000-000076340000}"/>
    <cellStyle name="Comma 2 2 7 2 2 5" xfId="29662" xr:uid="{00000000-0005-0000-0000-000077340000}"/>
    <cellStyle name="Comma 2 2 7 2 2 6" xfId="33878" xr:uid="{00000000-0005-0000-0000-000078340000}"/>
    <cellStyle name="Comma 2 2 7 2 2 7" xfId="38082" xr:uid="{00000000-0005-0000-0000-000079340000}"/>
    <cellStyle name="Comma 2 2 7 2 3" xfId="6042" xr:uid="{00000000-0005-0000-0000-00007A340000}"/>
    <cellStyle name="Comma 2 2 7 2 3 2" xfId="11550" xr:uid="{00000000-0005-0000-0000-00007B340000}"/>
    <cellStyle name="Comma 2 2 7 2 3 2 2" xfId="28309" xr:uid="{00000000-0005-0000-0000-00007C340000}"/>
    <cellStyle name="Comma 2 2 7 2 3 2 2 2" xfId="45958" xr:uid="{00000000-0005-0000-0000-00007D340000}"/>
    <cellStyle name="Comma 2 2 7 2 3 2 3" xfId="32522" xr:uid="{00000000-0005-0000-0000-00007E340000}"/>
    <cellStyle name="Comma 2 2 7 2 3 2 4" xfId="36737" xr:uid="{00000000-0005-0000-0000-00007F340000}"/>
    <cellStyle name="Comma 2 2 7 2 3 2 5" xfId="40941" xr:uid="{00000000-0005-0000-0000-000080340000}"/>
    <cellStyle name="Comma 2 2 7 2 3 3" xfId="25355" xr:uid="{00000000-0005-0000-0000-000081340000}"/>
    <cellStyle name="Comma 2 2 7 2 3 3 2" xfId="44694" xr:uid="{00000000-0005-0000-0000-000082340000}"/>
    <cellStyle name="Comma 2 2 7 2 3 4" xfId="29567" xr:uid="{00000000-0005-0000-0000-000083340000}"/>
    <cellStyle name="Comma 2 2 7 2 3 5" xfId="33783" xr:uid="{00000000-0005-0000-0000-000084340000}"/>
    <cellStyle name="Comma 2 2 7 2 3 6" xfId="37987" xr:uid="{00000000-0005-0000-0000-000085340000}"/>
    <cellStyle name="Comma 2 2 7 2 4" xfId="6876" xr:uid="{00000000-0005-0000-0000-000086340000}"/>
    <cellStyle name="Comma 2 2 7 2 4 2" xfId="11787" xr:uid="{00000000-0005-0000-0000-000087340000}"/>
    <cellStyle name="Comma 2 2 7 2 4 2 2" xfId="28507" xr:uid="{00000000-0005-0000-0000-000088340000}"/>
    <cellStyle name="Comma 2 2 7 2 4 2 2 2" xfId="46158" xr:uid="{00000000-0005-0000-0000-000089340000}"/>
    <cellStyle name="Comma 2 2 7 2 4 2 3" xfId="32720" xr:uid="{00000000-0005-0000-0000-00008A340000}"/>
    <cellStyle name="Comma 2 2 7 2 4 2 4" xfId="36935" xr:uid="{00000000-0005-0000-0000-00008B340000}"/>
    <cellStyle name="Comma 2 2 7 2 4 2 5" xfId="41139" xr:uid="{00000000-0005-0000-0000-00008C340000}"/>
    <cellStyle name="Comma 2 2 7 2 4 3" xfId="25564" xr:uid="{00000000-0005-0000-0000-00008D340000}"/>
    <cellStyle name="Comma 2 2 7 2 4 3 2" xfId="44892" xr:uid="{00000000-0005-0000-0000-00008E340000}"/>
    <cellStyle name="Comma 2 2 7 2 4 4" xfId="29777" xr:uid="{00000000-0005-0000-0000-00008F340000}"/>
    <cellStyle name="Comma 2 2 7 2 4 5" xfId="33992" xr:uid="{00000000-0005-0000-0000-000090340000}"/>
    <cellStyle name="Comma 2 2 7 2 4 6" xfId="38196" xr:uid="{00000000-0005-0000-0000-000091340000}"/>
    <cellStyle name="Comma 2 2 7 2 5" xfId="9692" xr:uid="{00000000-0005-0000-0000-000092340000}"/>
    <cellStyle name="Comma 2 2 7 2 5 2" xfId="11454" xr:uid="{00000000-0005-0000-0000-000093340000}"/>
    <cellStyle name="Comma 2 2 7 2 5 2 2" xfId="28214" xr:uid="{00000000-0005-0000-0000-000094340000}"/>
    <cellStyle name="Comma 2 2 7 2 5 2 2 2" xfId="45863" xr:uid="{00000000-0005-0000-0000-000095340000}"/>
    <cellStyle name="Comma 2 2 7 2 5 2 3" xfId="32427" xr:uid="{00000000-0005-0000-0000-000096340000}"/>
    <cellStyle name="Comma 2 2 7 2 5 2 4" xfId="36642" xr:uid="{00000000-0005-0000-0000-000097340000}"/>
    <cellStyle name="Comma 2 2 7 2 5 2 5" xfId="40846" xr:uid="{00000000-0005-0000-0000-000098340000}"/>
    <cellStyle name="Comma 2 2 7 2 5 3" xfId="27203" xr:uid="{00000000-0005-0000-0000-000099340000}"/>
    <cellStyle name="Comma 2 2 7 2 5 3 2" xfId="45072" xr:uid="{00000000-0005-0000-0000-00009A340000}"/>
    <cellStyle name="Comma 2 2 7 2 5 4" xfId="31416" xr:uid="{00000000-0005-0000-0000-00009B340000}"/>
    <cellStyle name="Comma 2 2 7 2 5 5" xfId="35631" xr:uid="{00000000-0005-0000-0000-00009C340000}"/>
    <cellStyle name="Comma 2 2 7 2 5 6" xfId="39835" xr:uid="{00000000-0005-0000-0000-00009D340000}"/>
    <cellStyle name="Comma 2 2 7 2 6" xfId="10430" xr:uid="{00000000-0005-0000-0000-00009E340000}"/>
    <cellStyle name="Comma 2 2 7 2 6 2" xfId="27668" xr:uid="{00000000-0005-0000-0000-00009F340000}"/>
    <cellStyle name="Comma 2 2 7 2 6 2 2" xfId="45346" xr:uid="{00000000-0005-0000-0000-0000A0340000}"/>
    <cellStyle name="Comma 2 2 7 2 6 3" xfId="31881" xr:uid="{00000000-0005-0000-0000-0000A1340000}"/>
    <cellStyle name="Comma 2 2 7 2 6 4" xfId="36096" xr:uid="{00000000-0005-0000-0000-0000A2340000}"/>
    <cellStyle name="Comma 2 2 7 2 6 5" xfId="40300" xr:uid="{00000000-0005-0000-0000-0000A3340000}"/>
    <cellStyle name="Comma 2 2 7 2 7" xfId="25260" xr:uid="{00000000-0005-0000-0000-0000A4340000}"/>
    <cellStyle name="Comma 2 2 7 2 7 2" xfId="44599" xr:uid="{00000000-0005-0000-0000-0000A5340000}"/>
    <cellStyle name="Comma 2 2 7 2 8" xfId="29472" xr:uid="{00000000-0005-0000-0000-0000A6340000}"/>
    <cellStyle name="Comma 2 2 7 2 9" xfId="33688" xr:uid="{00000000-0005-0000-0000-0000A7340000}"/>
    <cellStyle name="Comma 2 2 7 3" xfId="6093" xr:uid="{00000000-0005-0000-0000-0000A8340000}"/>
    <cellStyle name="Comma 2 2 7 3 2" xfId="9750" xr:uid="{00000000-0005-0000-0000-0000A9340000}"/>
    <cellStyle name="Comma 2 2 7 3 2 2" xfId="11601" xr:uid="{00000000-0005-0000-0000-0000AA340000}"/>
    <cellStyle name="Comma 2 2 7 3 2 2 2" xfId="28357" xr:uid="{00000000-0005-0000-0000-0000AB340000}"/>
    <cellStyle name="Comma 2 2 7 3 2 2 2 2" xfId="46006" xr:uid="{00000000-0005-0000-0000-0000AC340000}"/>
    <cellStyle name="Comma 2 2 7 3 2 2 3" xfId="32570" xr:uid="{00000000-0005-0000-0000-0000AD340000}"/>
    <cellStyle name="Comma 2 2 7 3 2 2 4" xfId="36785" xr:uid="{00000000-0005-0000-0000-0000AE340000}"/>
    <cellStyle name="Comma 2 2 7 3 2 2 5" xfId="40989" xr:uid="{00000000-0005-0000-0000-0000AF340000}"/>
    <cellStyle name="Comma 2 2 7 3 2 3" xfId="27250" xr:uid="{00000000-0005-0000-0000-0000B0340000}"/>
    <cellStyle name="Comma 2 2 7 3 2 3 2" xfId="45128" xr:uid="{00000000-0005-0000-0000-0000B1340000}"/>
    <cellStyle name="Comma 2 2 7 3 2 4" xfId="31463" xr:uid="{00000000-0005-0000-0000-0000B2340000}"/>
    <cellStyle name="Comma 2 2 7 3 2 5" xfId="35678" xr:uid="{00000000-0005-0000-0000-0000B3340000}"/>
    <cellStyle name="Comma 2 2 7 3 2 6" xfId="39882" xr:uid="{00000000-0005-0000-0000-0000B4340000}"/>
    <cellStyle name="Comma 2 2 7 3 3" xfId="10477" xr:uid="{00000000-0005-0000-0000-0000B5340000}"/>
    <cellStyle name="Comma 2 2 7 3 3 2" xfId="27715" xr:uid="{00000000-0005-0000-0000-0000B6340000}"/>
    <cellStyle name="Comma 2 2 7 3 3 2 2" xfId="45393" xr:uid="{00000000-0005-0000-0000-0000B7340000}"/>
    <cellStyle name="Comma 2 2 7 3 3 3" xfId="31928" xr:uid="{00000000-0005-0000-0000-0000B8340000}"/>
    <cellStyle name="Comma 2 2 7 3 3 4" xfId="36143" xr:uid="{00000000-0005-0000-0000-0000B9340000}"/>
    <cellStyle name="Comma 2 2 7 3 3 5" xfId="40347" xr:uid="{00000000-0005-0000-0000-0000BA340000}"/>
    <cellStyle name="Comma 2 2 7 3 4" xfId="25403" xr:uid="{00000000-0005-0000-0000-0000BB340000}"/>
    <cellStyle name="Comma 2 2 7 3 4 2" xfId="44742" xr:uid="{00000000-0005-0000-0000-0000BC340000}"/>
    <cellStyle name="Comma 2 2 7 3 5" xfId="29615" xr:uid="{00000000-0005-0000-0000-0000BD340000}"/>
    <cellStyle name="Comma 2 2 7 3 6" xfId="33831" xr:uid="{00000000-0005-0000-0000-0000BE340000}"/>
    <cellStyle name="Comma 2 2 7 3 7" xfId="38035" xr:uid="{00000000-0005-0000-0000-0000BF340000}"/>
    <cellStyle name="Comma 2 2 7 4" xfId="5995" xr:uid="{00000000-0005-0000-0000-0000C0340000}"/>
    <cellStyle name="Comma 2 2 7 4 2" xfId="11503" xr:uid="{00000000-0005-0000-0000-0000C1340000}"/>
    <cellStyle name="Comma 2 2 7 4 2 2" xfId="28262" xr:uid="{00000000-0005-0000-0000-0000C2340000}"/>
    <cellStyle name="Comma 2 2 7 4 2 2 2" xfId="45911" xr:uid="{00000000-0005-0000-0000-0000C3340000}"/>
    <cellStyle name="Comma 2 2 7 4 2 3" xfId="32475" xr:uid="{00000000-0005-0000-0000-0000C4340000}"/>
    <cellStyle name="Comma 2 2 7 4 2 4" xfId="36690" xr:uid="{00000000-0005-0000-0000-0000C5340000}"/>
    <cellStyle name="Comma 2 2 7 4 2 5" xfId="40894" xr:uid="{00000000-0005-0000-0000-0000C6340000}"/>
    <cellStyle name="Comma 2 2 7 4 3" xfId="25308" xr:uid="{00000000-0005-0000-0000-0000C7340000}"/>
    <cellStyle name="Comma 2 2 7 4 3 2" xfId="44647" xr:uid="{00000000-0005-0000-0000-0000C8340000}"/>
    <cellStyle name="Comma 2 2 7 4 4" xfId="29520" xr:uid="{00000000-0005-0000-0000-0000C9340000}"/>
    <cellStyle name="Comma 2 2 7 4 5" xfId="33736" xr:uid="{00000000-0005-0000-0000-0000CA340000}"/>
    <cellStyle name="Comma 2 2 7 4 6" xfId="37940" xr:uid="{00000000-0005-0000-0000-0000CB340000}"/>
    <cellStyle name="Comma 2 2 7 5" xfId="6336" xr:uid="{00000000-0005-0000-0000-0000CC340000}"/>
    <cellStyle name="Comma 2 2 7 5 2" xfId="11748" xr:uid="{00000000-0005-0000-0000-0000CD340000}"/>
    <cellStyle name="Comma 2 2 7 5 2 2" xfId="28470" xr:uid="{00000000-0005-0000-0000-0000CE340000}"/>
    <cellStyle name="Comma 2 2 7 5 2 2 2" xfId="46119" xr:uid="{00000000-0005-0000-0000-0000CF340000}"/>
    <cellStyle name="Comma 2 2 7 5 2 3" xfId="32683" xr:uid="{00000000-0005-0000-0000-0000D0340000}"/>
    <cellStyle name="Comma 2 2 7 5 2 4" xfId="36898" xr:uid="{00000000-0005-0000-0000-0000D1340000}"/>
    <cellStyle name="Comma 2 2 7 5 2 5" xfId="41102" xr:uid="{00000000-0005-0000-0000-0000D2340000}"/>
    <cellStyle name="Comma 2 2 7 5 3" xfId="25526" xr:uid="{00000000-0005-0000-0000-0000D3340000}"/>
    <cellStyle name="Comma 2 2 7 5 3 2" xfId="44855" xr:uid="{00000000-0005-0000-0000-0000D4340000}"/>
    <cellStyle name="Comma 2 2 7 5 4" xfId="29738" xr:uid="{00000000-0005-0000-0000-0000D5340000}"/>
    <cellStyle name="Comma 2 2 7 5 5" xfId="33954" xr:uid="{00000000-0005-0000-0000-0000D6340000}"/>
    <cellStyle name="Comma 2 2 7 5 6" xfId="38158" xr:uid="{00000000-0005-0000-0000-0000D7340000}"/>
    <cellStyle name="Comma 2 2 7 6" xfId="9641" xr:uid="{00000000-0005-0000-0000-0000D8340000}"/>
    <cellStyle name="Comma 2 2 7 6 2" xfId="11402" xr:uid="{00000000-0005-0000-0000-0000D9340000}"/>
    <cellStyle name="Comma 2 2 7 6 2 2" xfId="28167" xr:uid="{00000000-0005-0000-0000-0000DA340000}"/>
    <cellStyle name="Comma 2 2 7 6 2 2 2" xfId="45816" xr:uid="{00000000-0005-0000-0000-0000DB340000}"/>
    <cellStyle name="Comma 2 2 7 6 2 3" xfId="32380" xr:uid="{00000000-0005-0000-0000-0000DC340000}"/>
    <cellStyle name="Comma 2 2 7 6 2 4" xfId="36595" xr:uid="{00000000-0005-0000-0000-0000DD340000}"/>
    <cellStyle name="Comma 2 2 7 6 2 5" xfId="40799" xr:uid="{00000000-0005-0000-0000-0000DE340000}"/>
    <cellStyle name="Comma 2 2 7 6 3" xfId="27156" xr:uid="{00000000-0005-0000-0000-0000DF340000}"/>
    <cellStyle name="Comma 2 2 7 6 3 2" xfId="45025" xr:uid="{00000000-0005-0000-0000-0000E0340000}"/>
    <cellStyle name="Comma 2 2 7 6 4" xfId="31369" xr:uid="{00000000-0005-0000-0000-0000E1340000}"/>
    <cellStyle name="Comma 2 2 7 6 5" xfId="35584" xr:uid="{00000000-0005-0000-0000-0000E2340000}"/>
    <cellStyle name="Comma 2 2 7 6 6" xfId="39788" xr:uid="{00000000-0005-0000-0000-0000E3340000}"/>
    <cellStyle name="Comma 2 2 7 7" xfId="10230" xr:uid="{00000000-0005-0000-0000-0000E4340000}"/>
    <cellStyle name="Comma 2 2 7 7 2" xfId="27621" xr:uid="{00000000-0005-0000-0000-0000E5340000}"/>
    <cellStyle name="Comma 2 2 7 7 2 2" xfId="45299" xr:uid="{00000000-0005-0000-0000-0000E6340000}"/>
    <cellStyle name="Comma 2 2 7 7 3" xfId="31834" xr:uid="{00000000-0005-0000-0000-0000E7340000}"/>
    <cellStyle name="Comma 2 2 7 7 4" xfId="36049" xr:uid="{00000000-0005-0000-0000-0000E8340000}"/>
    <cellStyle name="Comma 2 2 7 7 5" xfId="40253" xr:uid="{00000000-0005-0000-0000-0000E9340000}"/>
    <cellStyle name="Comma 2 2 7 8" xfId="25213" xr:uid="{00000000-0005-0000-0000-0000EA340000}"/>
    <cellStyle name="Comma 2 2 7 8 2" xfId="44552" xr:uid="{00000000-0005-0000-0000-0000EB340000}"/>
    <cellStyle name="Comma 2 2 7 9" xfId="29425" xr:uid="{00000000-0005-0000-0000-0000EC340000}"/>
    <cellStyle name="Comma 2 2 8" xfId="5910" xr:uid="{00000000-0005-0000-0000-0000ED340000}"/>
    <cellStyle name="Comma 2 2 8 10" xfId="37857" xr:uid="{00000000-0005-0000-0000-0000EE340000}"/>
    <cellStyle name="Comma 2 2 8 2" xfId="6105" xr:uid="{00000000-0005-0000-0000-0000EF340000}"/>
    <cellStyle name="Comma 2 2 8 2 2" xfId="9835" xr:uid="{00000000-0005-0000-0000-0000F0340000}"/>
    <cellStyle name="Comma 2 2 8 2 2 2" xfId="10572" xr:uid="{00000000-0005-0000-0000-0000F1340000}"/>
    <cellStyle name="Comma 2 2 8 2 2 2 2" xfId="27787" xr:uid="{00000000-0005-0000-0000-0000F2340000}"/>
    <cellStyle name="Comma 2 2 8 2 2 2 2 2" xfId="45465" xr:uid="{00000000-0005-0000-0000-0000F3340000}"/>
    <cellStyle name="Comma 2 2 8 2 2 2 3" xfId="32000" xr:uid="{00000000-0005-0000-0000-0000F4340000}"/>
    <cellStyle name="Comma 2 2 8 2 2 2 4" xfId="36215" xr:uid="{00000000-0005-0000-0000-0000F5340000}"/>
    <cellStyle name="Comma 2 2 8 2 2 2 5" xfId="40419" xr:uid="{00000000-0005-0000-0000-0000F6340000}"/>
    <cellStyle name="Comma 2 2 8 2 2 3" xfId="27322" xr:uid="{00000000-0005-0000-0000-0000F7340000}"/>
    <cellStyle name="Comma 2 2 8 2 2 3 2" xfId="45200" xr:uid="{00000000-0005-0000-0000-0000F8340000}"/>
    <cellStyle name="Comma 2 2 8 2 2 4" xfId="31535" xr:uid="{00000000-0005-0000-0000-0000F9340000}"/>
    <cellStyle name="Comma 2 2 8 2 2 5" xfId="35750" xr:uid="{00000000-0005-0000-0000-0000FA340000}"/>
    <cellStyle name="Comma 2 2 8 2 2 6" xfId="39954" xr:uid="{00000000-0005-0000-0000-0000FB340000}"/>
    <cellStyle name="Comma 2 2 8 2 3" xfId="9717" xr:uid="{00000000-0005-0000-0000-0000FC340000}"/>
    <cellStyle name="Comma 2 2 8 2 3 2" xfId="11613" xr:uid="{00000000-0005-0000-0000-0000FD340000}"/>
    <cellStyle name="Comma 2 2 8 2 3 2 2" xfId="28369" xr:uid="{00000000-0005-0000-0000-0000FE340000}"/>
    <cellStyle name="Comma 2 2 8 2 3 2 2 2" xfId="46018" xr:uid="{00000000-0005-0000-0000-0000FF340000}"/>
    <cellStyle name="Comma 2 2 8 2 3 2 3" xfId="32582" xr:uid="{00000000-0005-0000-0000-000000350000}"/>
    <cellStyle name="Comma 2 2 8 2 3 2 4" xfId="36797" xr:uid="{00000000-0005-0000-0000-000001350000}"/>
    <cellStyle name="Comma 2 2 8 2 3 2 5" xfId="41001" xr:uid="{00000000-0005-0000-0000-000002350000}"/>
    <cellStyle name="Comma 2 2 8 2 3 3" xfId="27228" xr:uid="{00000000-0005-0000-0000-000003350000}"/>
    <cellStyle name="Comma 2 2 8 2 3 3 2" xfId="45097" xr:uid="{00000000-0005-0000-0000-000004350000}"/>
    <cellStyle name="Comma 2 2 8 2 3 4" xfId="31441" xr:uid="{00000000-0005-0000-0000-000005350000}"/>
    <cellStyle name="Comma 2 2 8 2 3 5" xfId="35656" xr:uid="{00000000-0005-0000-0000-000006350000}"/>
    <cellStyle name="Comma 2 2 8 2 3 6" xfId="39860" xr:uid="{00000000-0005-0000-0000-000007350000}"/>
    <cellStyle name="Comma 2 2 8 2 4" xfId="10455" xr:uid="{00000000-0005-0000-0000-000008350000}"/>
    <cellStyle name="Comma 2 2 8 2 4 2" xfId="27693" xr:uid="{00000000-0005-0000-0000-000009350000}"/>
    <cellStyle name="Comma 2 2 8 2 4 2 2" xfId="45371" xr:uid="{00000000-0005-0000-0000-00000A350000}"/>
    <cellStyle name="Comma 2 2 8 2 4 3" xfId="31906" xr:uid="{00000000-0005-0000-0000-00000B350000}"/>
    <cellStyle name="Comma 2 2 8 2 4 4" xfId="36121" xr:uid="{00000000-0005-0000-0000-00000C350000}"/>
    <cellStyle name="Comma 2 2 8 2 4 5" xfId="40325" xr:uid="{00000000-0005-0000-0000-00000D350000}"/>
    <cellStyle name="Comma 2 2 8 2 5" xfId="25415" xr:uid="{00000000-0005-0000-0000-00000E350000}"/>
    <cellStyle name="Comma 2 2 8 2 5 2" xfId="44754" xr:uid="{00000000-0005-0000-0000-00000F350000}"/>
    <cellStyle name="Comma 2 2 8 2 6" xfId="29627" xr:uid="{00000000-0005-0000-0000-000010350000}"/>
    <cellStyle name="Comma 2 2 8 2 7" xfId="33843" xr:uid="{00000000-0005-0000-0000-000011350000}"/>
    <cellStyle name="Comma 2 2 8 2 8" xfId="38047" xr:uid="{00000000-0005-0000-0000-000012350000}"/>
    <cellStyle name="Comma 2 2 8 3" xfId="6007" xr:uid="{00000000-0005-0000-0000-000013350000}"/>
    <cellStyle name="Comma 2 2 8 3 2" xfId="9788" xr:uid="{00000000-0005-0000-0000-000014350000}"/>
    <cellStyle name="Comma 2 2 8 3 2 2" xfId="11515" xr:uid="{00000000-0005-0000-0000-000015350000}"/>
    <cellStyle name="Comma 2 2 8 3 2 2 2" xfId="28274" xr:uid="{00000000-0005-0000-0000-000016350000}"/>
    <cellStyle name="Comma 2 2 8 3 2 2 2 2" xfId="45923" xr:uid="{00000000-0005-0000-0000-000017350000}"/>
    <cellStyle name="Comma 2 2 8 3 2 2 3" xfId="32487" xr:uid="{00000000-0005-0000-0000-000018350000}"/>
    <cellStyle name="Comma 2 2 8 3 2 2 4" xfId="36702" xr:uid="{00000000-0005-0000-0000-000019350000}"/>
    <cellStyle name="Comma 2 2 8 3 2 2 5" xfId="40906" xr:uid="{00000000-0005-0000-0000-00001A350000}"/>
    <cellStyle name="Comma 2 2 8 3 2 3" xfId="27275" xr:uid="{00000000-0005-0000-0000-00001B350000}"/>
    <cellStyle name="Comma 2 2 8 3 2 3 2" xfId="45153" xr:uid="{00000000-0005-0000-0000-00001C350000}"/>
    <cellStyle name="Comma 2 2 8 3 2 4" xfId="31488" xr:uid="{00000000-0005-0000-0000-00001D350000}"/>
    <cellStyle name="Comma 2 2 8 3 2 5" xfId="35703" xr:uid="{00000000-0005-0000-0000-00001E350000}"/>
    <cellStyle name="Comma 2 2 8 3 2 6" xfId="39907" xr:uid="{00000000-0005-0000-0000-00001F350000}"/>
    <cellStyle name="Comma 2 2 8 3 3" xfId="10525" xr:uid="{00000000-0005-0000-0000-000020350000}"/>
    <cellStyle name="Comma 2 2 8 3 3 2" xfId="27740" xr:uid="{00000000-0005-0000-0000-000021350000}"/>
    <cellStyle name="Comma 2 2 8 3 3 2 2" xfId="45418" xr:uid="{00000000-0005-0000-0000-000022350000}"/>
    <cellStyle name="Comma 2 2 8 3 3 3" xfId="31953" xr:uid="{00000000-0005-0000-0000-000023350000}"/>
    <cellStyle name="Comma 2 2 8 3 3 4" xfId="36168" xr:uid="{00000000-0005-0000-0000-000024350000}"/>
    <cellStyle name="Comma 2 2 8 3 3 5" xfId="40372" xr:uid="{00000000-0005-0000-0000-000025350000}"/>
    <cellStyle name="Comma 2 2 8 3 4" xfId="25320" xr:uid="{00000000-0005-0000-0000-000026350000}"/>
    <cellStyle name="Comma 2 2 8 3 4 2" xfId="44659" xr:uid="{00000000-0005-0000-0000-000027350000}"/>
    <cellStyle name="Comma 2 2 8 3 5" xfId="29532" xr:uid="{00000000-0005-0000-0000-000028350000}"/>
    <cellStyle name="Comma 2 2 8 3 6" xfId="33748" xr:uid="{00000000-0005-0000-0000-000029350000}"/>
    <cellStyle name="Comma 2 2 8 3 7" xfId="37952" xr:uid="{00000000-0005-0000-0000-00002A350000}"/>
    <cellStyle name="Comma 2 2 8 4" xfId="6864" xr:uid="{00000000-0005-0000-0000-00002B350000}"/>
    <cellStyle name="Comma 2 2 8 4 2" xfId="11775" xr:uid="{00000000-0005-0000-0000-00002C350000}"/>
    <cellStyle name="Comma 2 2 8 4 2 2" xfId="28495" xr:uid="{00000000-0005-0000-0000-00002D350000}"/>
    <cellStyle name="Comma 2 2 8 4 2 2 2" xfId="46146" xr:uid="{00000000-0005-0000-0000-00002E350000}"/>
    <cellStyle name="Comma 2 2 8 4 2 3" xfId="32708" xr:uid="{00000000-0005-0000-0000-00002F350000}"/>
    <cellStyle name="Comma 2 2 8 4 2 4" xfId="36923" xr:uid="{00000000-0005-0000-0000-000030350000}"/>
    <cellStyle name="Comma 2 2 8 4 2 5" xfId="41127" xr:uid="{00000000-0005-0000-0000-000031350000}"/>
    <cellStyle name="Comma 2 2 8 4 3" xfId="25552" xr:uid="{00000000-0005-0000-0000-000032350000}"/>
    <cellStyle name="Comma 2 2 8 4 3 2" xfId="44880" xr:uid="{00000000-0005-0000-0000-000033350000}"/>
    <cellStyle name="Comma 2 2 8 4 4" xfId="29765" xr:uid="{00000000-0005-0000-0000-000034350000}"/>
    <cellStyle name="Comma 2 2 8 4 5" xfId="33980" xr:uid="{00000000-0005-0000-0000-000035350000}"/>
    <cellStyle name="Comma 2 2 8 4 6" xfId="38184" xr:uid="{00000000-0005-0000-0000-000036350000}"/>
    <cellStyle name="Comma 2 2 8 5" xfId="9667" xr:uid="{00000000-0005-0000-0000-000037350000}"/>
    <cellStyle name="Comma 2 2 8 5 2" xfId="11419" xr:uid="{00000000-0005-0000-0000-000038350000}"/>
    <cellStyle name="Comma 2 2 8 5 2 2" xfId="28179" xr:uid="{00000000-0005-0000-0000-000039350000}"/>
    <cellStyle name="Comma 2 2 8 5 2 2 2" xfId="45828" xr:uid="{00000000-0005-0000-0000-00003A350000}"/>
    <cellStyle name="Comma 2 2 8 5 2 3" xfId="32392" xr:uid="{00000000-0005-0000-0000-00003B350000}"/>
    <cellStyle name="Comma 2 2 8 5 2 4" xfId="36607" xr:uid="{00000000-0005-0000-0000-00003C350000}"/>
    <cellStyle name="Comma 2 2 8 5 2 5" xfId="40811" xr:uid="{00000000-0005-0000-0000-00003D350000}"/>
    <cellStyle name="Comma 2 2 8 5 3" xfId="27181" xr:uid="{00000000-0005-0000-0000-00003E350000}"/>
    <cellStyle name="Comma 2 2 8 5 3 2" xfId="45050" xr:uid="{00000000-0005-0000-0000-00003F350000}"/>
    <cellStyle name="Comma 2 2 8 5 4" xfId="31394" xr:uid="{00000000-0005-0000-0000-000040350000}"/>
    <cellStyle name="Comma 2 2 8 5 5" xfId="35609" xr:uid="{00000000-0005-0000-0000-000041350000}"/>
    <cellStyle name="Comma 2 2 8 5 6" xfId="39813" xr:uid="{00000000-0005-0000-0000-000042350000}"/>
    <cellStyle name="Comma 2 2 8 6" xfId="10397" xr:uid="{00000000-0005-0000-0000-000043350000}"/>
    <cellStyle name="Comma 2 2 8 6 2" xfId="27646" xr:uid="{00000000-0005-0000-0000-000044350000}"/>
    <cellStyle name="Comma 2 2 8 6 2 2" xfId="45324" xr:uid="{00000000-0005-0000-0000-000045350000}"/>
    <cellStyle name="Comma 2 2 8 6 3" xfId="31859" xr:uid="{00000000-0005-0000-0000-000046350000}"/>
    <cellStyle name="Comma 2 2 8 6 4" xfId="36074" xr:uid="{00000000-0005-0000-0000-000047350000}"/>
    <cellStyle name="Comma 2 2 8 6 5" xfId="40278" xr:uid="{00000000-0005-0000-0000-000048350000}"/>
    <cellStyle name="Comma 2 2 8 7" xfId="25225" xr:uid="{00000000-0005-0000-0000-000049350000}"/>
    <cellStyle name="Comma 2 2 8 7 2" xfId="44564" xr:uid="{00000000-0005-0000-0000-00004A350000}"/>
    <cellStyle name="Comma 2 2 8 8" xfId="29437" xr:uid="{00000000-0005-0000-0000-00004B350000}"/>
    <cellStyle name="Comma 2 2 8 9" xfId="33653" xr:uid="{00000000-0005-0000-0000-00004C350000}"/>
    <cellStyle name="Comma 2 2 9" xfId="6058" xr:uid="{00000000-0005-0000-0000-00004D350000}"/>
    <cellStyle name="Comma 2 2 9 10" xfId="38000" xr:uid="{00000000-0005-0000-0000-00004E350000}"/>
    <cellStyle name="Comma 2 2 9 2" xfId="6308" xr:uid="{00000000-0005-0000-0000-00004F350000}"/>
    <cellStyle name="Comma 2 2 9 2 2" xfId="9840" xr:uid="{00000000-0005-0000-0000-000050350000}"/>
    <cellStyle name="Comma 2 2 9 2 2 2" xfId="10577" xr:uid="{00000000-0005-0000-0000-000051350000}"/>
    <cellStyle name="Comma 2 2 9 2 2 2 2" xfId="27792" xr:uid="{00000000-0005-0000-0000-000052350000}"/>
    <cellStyle name="Comma 2 2 9 2 2 2 2 2" xfId="45470" xr:uid="{00000000-0005-0000-0000-000053350000}"/>
    <cellStyle name="Comma 2 2 9 2 2 2 3" xfId="32005" xr:uid="{00000000-0005-0000-0000-000054350000}"/>
    <cellStyle name="Comma 2 2 9 2 2 2 4" xfId="36220" xr:uid="{00000000-0005-0000-0000-000055350000}"/>
    <cellStyle name="Comma 2 2 9 2 2 2 5" xfId="40424" xr:uid="{00000000-0005-0000-0000-000056350000}"/>
    <cellStyle name="Comma 2 2 9 2 2 3" xfId="27327" xr:uid="{00000000-0005-0000-0000-000057350000}"/>
    <cellStyle name="Comma 2 2 9 2 2 3 2" xfId="45205" xr:uid="{00000000-0005-0000-0000-000058350000}"/>
    <cellStyle name="Comma 2 2 9 2 2 4" xfId="31540" xr:uid="{00000000-0005-0000-0000-000059350000}"/>
    <cellStyle name="Comma 2 2 9 2 2 5" xfId="35755" xr:uid="{00000000-0005-0000-0000-00005A350000}"/>
    <cellStyle name="Comma 2 2 9 2 2 6" xfId="39959" xr:uid="{00000000-0005-0000-0000-00005B350000}"/>
    <cellStyle name="Comma 2 2 9 2 3" xfId="9722" xr:uid="{00000000-0005-0000-0000-00005C350000}"/>
    <cellStyle name="Comma 2 2 9 2 3 2" xfId="11731" xr:uid="{00000000-0005-0000-0000-00005D350000}"/>
    <cellStyle name="Comma 2 2 9 2 3 2 2" xfId="28454" xr:uid="{00000000-0005-0000-0000-00005E350000}"/>
    <cellStyle name="Comma 2 2 9 2 3 2 2 2" xfId="46103" xr:uid="{00000000-0005-0000-0000-00005F350000}"/>
    <cellStyle name="Comma 2 2 9 2 3 2 3" xfId="32667" xr:uid="{00000000-0005-0000-0000-000060350000}"/>
    <cellStyle name="Comma 2 2 9 2 3 2 4" xfId="36882" xr:uid="{00000000-0005-0000-0000-000061350000}"/>
    <cellStyle name="Comma 2 2 9 2 3 2 5" xfId="41086" xr:uid="{00000000-0005-0000-0000-000062350000}"/>
    <cellStyle name="Comma 2 2 9 2 3 3" xfId="27233" xr:uid="{00000000-0005-0000-0000-000063350000}"/>
    <cellStyle name="Comma 2 2 9 2 3 3 2" xfId="45102" xr:uid="{00000000-0005-0000-0000-000064350000}"/>
    <cellStyle name="Comma 2 2 9 2 3 4" xfId="31446" xr:uid="{00000000-0005-0000-0000-000065350000}"/>
    <cellStyle name="Comma 2 2 9 2 3 5" xfId="35661" xr:uid="{00000000-0005-0000-0000-000066350000}"/>
    <cellStyle name="Comma 2 2 9 2 3 6" xfId="39865" xr:uid="{00000000-0005-0000-0000-000067350000}"/>
    <cellStyle name="Comma 2 2 9 2 4" xfId="10460" xr:uid="{00000000-0005-0000-0000-000068350000}"/>
    <cellStyle name="Comma 2 2 9 2 4 2" xfId="27698" xr:uid="{00000000-0005-0000-0000-000069350000}"/>
    <cellStyle name="Comma 2 2 9 2 4 2 2" xfId="45376" xr:uid="{00000000-0005-0000-0000-00006A350000}"/>
    <cellStyle name="Comma 2 2 9 2 4 3" xfId="31911" xr:uid="{00000000-0005-0000-0000-00006B350000}"/>
    <cellStyle name="Comma 2 2 9 2 4 4" xfId="36126" xr:uid="{00000000-0005-0000-0000-00006C350000}"/>
    <cellStyle name="Comma 2 2 9 2 4 5" xfId="40330" xr:uid="{00000000-0005-0000-0000-00006D350000}"/>
    <cellStyle name="Comma 2 2 9 2 5" xfId="25510" xr:uid="{00000000-0005-0000-0000-00006E350000}"/>
    <cellStyle name="Comma 2 2 9 2 5 2" xfId="44838" xr:uid="{00000000-0005-0000-0000-00006F350000}"/>
    <cellStyle name="Comma 2 2 9 2 6" xfId="29722" xr:uid="{00000000-0005-0000-0000-000070350000}"/>
    <cellStyle name="Comma 2 2 9 2 7" xfId="33938" xr:uid="{00000000-0005-0000-0000-000071350000}"/>
    <cellStyle name="Comma 2 2 9 2 8" xfId="38142" xr:uid="{00000000-0005-0000-0000-000072350000}"/>
    <cellStyle name="Comma 2 2 9 3" xfId="8036" xr:uid="{00000000-0005-0000-0000-000073350000}"/>
    <cellStyle name="Comma 2 2 9 3 2" xfId="9793" xr:uid="{00000000-0005-0000-0000-000074350000}"/>
    <cellStyle name="Comma 2 2 9 3 2 2" xfId="12014" xr:uid="{00000000-0005-0000-0000-000075350000}"/>
    <cellStyle name="Comma 2 2 9 3 2 3" xfId="27280" xr:uid="{00000000-0005-0000-0000-000076350000}"/>
    <cellStyle name="Comma 2 2 9 3 2 3 2" xfId="45158" xr:uid="{00000000-0005-0000-0000-000077350000}"/>
    <cellStyle name="Comma 2 2 9 3 2 4" xfId="31493" xr:uid="{00000000-0005-0000-0000-000078350000}"/>
    <cellStyle name="Comma 2 2 9 3 2 5" xfId="35708" xr:uid="{00000000-0005-0000-0000-000079350000}"/>
    <cellStyle name="Comma 2 2 9 3 2 6" xfId="39912" xr:uid="{00000000-0005-0000-0000-00007A350000}"/>
    <cellStyle name="Comma 2 2 9 3 3" xfId="10530" xr:uid="{00000000-0005-0000-0000-00007B350000}"/>
    <cellStyle name="Comma 2 2 9 3 3 2" xfId="27745" xr:uid="{00000000-0005-0000-0000-00007C350000}"/>
    <cellStyle name="Comma 2 2 9 3 3 2 2" xfId="45423" xr:uid="{00000000-0005-0000-0000-00007D350000}"/>
    <cellStyle name="Comma 2 2 9 3 3 3" xfId="31958" xr:uid="{00000000-0005-0000-0000-00007E350000}"/>
    <cellStyle name="Comma 2 2 9 3 3 4" xfId="36173" xr:uid="{00000000-0005-0000-0000-00007F350000}"/>
    <cellStyle name="Comma 2 2 9 3 3 5" xfId="40377" xr:uid="{00000000-0005-0000-0000-000080350000}"/>
    <cellStyle name="Comma 2 2 9 4" xfId="9989" xr:uid="{00000000-0005-0000-0000-000081350000}"/>
    <cellStyle name="Comma 2 2 9 5" xfId="9675" xr:uid="{00000000-0005-0000-0000-000082350000}"/>
    <cellStyle name="Comma 2 2 9 5 2" xfId="11566" xr:uid="{00000000-0005-0000-0000-000083350000}"/>
    <cellStyle name="Comma 2 2 9 5 2 2" xfId="28322" xr:uid="{00000000-0005-0000-0000-000084350000}"/>
    <cellStyle name="Comma 2 2 9 5 2 2 2" xfId="45971" xr:uid="{00000000-0005-0000-0000-000085350000}"/>
    <cellStyle name="Comma 2 2 9 5 2 3" xfId="32535" xr:uid="{00000000-0005-0000-0000-000086350000}"/>
    <cellStyle name="Comma 2 2 9 5 2 4" xfId="36750" xr:uid="{00000000-0005-0000-0000-000087350000}"/>
    <cellStyle name="Comma 2 2 9 5 2 5" xfId="40954" xr:uid="{00000000-0005-0000-0000-000088350000}"/>
    <cellStyle name="Comma 2 2 9 5 3" xfId="27186" xr:uid="{00000000-0005-0000-0000-000089350000}"/>
    <cellStyle name="Comma 2 2 9 5 3 2" xfId="45055" xr:uid="{00000000-0005-0000-0000-00008A350000}"/>
    <cellStyle name="Comma 2 2 9 5 4" xfId="31399" xr:uid="{00000000-0005-0000-0000-00008B350000}"/>
    <cellStyle name="Comma 2 2 9 5 5" xfId="35614" xr:uid="{00000000-0005-0000-0000-00008C350000}"/>
    <cellStyle name="Comma 2 2 9 5 6" xfId="39818" xr:uid="{00000000-0005-0000-0000-00008D350000}"/>
    <cellStyle name="Comma 2 2 9 6" xfId="10413" xr:uid="{00000000-0005-0000-0000-00008E350000}"/>
    <cellStyle name="Comma 2 2 9 6 2" xfId="27651" xr:uid="{00000000-0005-0000-0000-00008F350000}"/>
    <cellStyle name="Comma 2 2 9 6 2 2" xfId="45329" xr:uid="{00000000-0005-0000-0000-000090350000}"/>
    <cellStyle name="Comma 2 2 9 6 3" xfId="31864" xr:uid="{00000000-0005-0000-0000-000091350000}"/>
    <cellStyle name="Comma 2 2 9 6 4" xfId="36079" xr:uid="{00000000-0005-0000-0000-000092350000}"/>
    <cellStyle name="Comma 2 2 9 6 5" xfId="40283" xr:uid="{00000000-0005-0000-0000-000093350000}"/>
    <cellStyle name="Comma 2 2 9 7" xfId="25368" xr:uid="{00000000-0005-0000-0000-000094350000}"/>
    <cellStyle name="Comma 2 2 9 7 2" xfId="44707" xr:uid="{00000000-0005-0000-0000-000095350000}"/>
    <cellStyle name="Comma 2 2 9 8" xfId="29580" xr:uid="{00000000-0005-0000-0000-000096350000}"/>
    <cellStyle name="Comma 2 2 9 9" xfId="33796" xr:uid="{00000000-0005-0000-0000-000097350000}"/>
    <cellStyle name="Comma 2 20" xfId="9188" xr:uid="{00000000-0005-0000-0000-000098350000}"/>
    <cellStyle name="Comma 2 20 2" xfId="10085" xr:uid="{00000000-0005-0000-0000-000099350000}"/>
    <cellStyle name="Comma 2 20 2 2" xfId="12127" xr:uid="{00000000-0005-0000-0000-00009A350000}"/>
    <cellStyle name="Comma 2 20 2 2 2" xfId="28765" xr:uid="{00000000-0005-0000-0000-00009B350000}"/>
    <cellStyle name="Comma 2 20 2 2 2 2" xfId="46436" xr:uid="{00000000-0005-0000-0000-00009C350000}"/>
    <cellStyle name="Comma 2 20 2 2 3" xfId="32978" xr:uid="{00000000-0005-0000-0000-00009D350000}"/>
    <cellStyle name="Comma 2 20 2 2 4" xfId="37193" xr:uid="{00000000-0005-0000-0000-00009E350000}"/>
    <cellStyle name="Comma 2 20 2 2 5" xfId="41397" xr:uid="{00000000-0005-0000-0000-00009F350000}"/>
    <cellStyle name="Comma 2 20 2 3" xfId="27565" xr:uid="{00000000-0005-0000-0000-0000A0350000}"/>
    <cellStyle name="Comma 2 20 2 3 2" xfId="45241" xr:uid="{00000000-0005-0000-0000-0000A1350000}"/>
    <cellStyle name="Comma 2 20 2 4" xfId="31778" xr:uid="{00000000-0005-0000-0000-0000A2350000}"/>
    <cellStyle name="Comma 2 20 2 5" xfId="35993" xr:uid="{00000000-0005-0000-0000-0000A3350000}"/>
    <cellStyle name="Comma 2 20 2 6" xfId="40197" xr:uid="{00000000-0005-0000-0000-0000A4350000}"/>
    <cellStyle name="Comma 2 20 3" xfId="10906" xr:uid="{00000000-0005-0000-0000-0000A5350000}"/>
    <cellStyle name="Comma 2 20 3 2" xfId="28030" xr:uid="{00000000-0005-0000-0000-0000A6350000}"/>
    <cellStyle name="Comma 2 20 3 2 2" xfId="45707" xr:uid="{00000000-0005-0000-0000-0000A7350000}"/>
    <cellStyle name="Comma 2 20 3 3" xfId="32243" xr:uid="{00000000-0005-0000-0000-0000A8350000}"/>
    <cellStyle name="Comma 2 20 3 4" xfId="36458" xr:uid="{00000000-0005-0000-0000-0000A9350000}"/>
    <cellStyle name="Comma 2 20 3 5" xfId="40662" xr:uid="{00000000-0005-0000-0000-0000AA350000}"/>
    <cellStyle name="Comma 2 20 4" xfId="26759" xr:uid="{00000000-0005-0000-0000-0000AB350000}"/>
    <cellStyle name="Comma 2 20 4 2" xfId="43070" xr:uid="{00000000-0005-0000-0000-0000AC350000}"/>
    <cellStyle name="Comma 2 20 5" xfId="30972" xr:uid="{00000000-0005-0000-0000-0000AD350000}"/>
    <cellStyle name="Comma 2 20 5 2" xfId="44982" xr:uid="{00000000-0005-0000-0000-0000AE350000}"/>
    <cellStyle name="Comma 2 20 6" xfId="35187" xr:uid="{00000000-0005-0000-0000-0000AF350000}"/>
    <cellStyle name="Comma 2 20 7" xfId="39391" xr:uid="{00000000-0005-0000-0000-0000B0350000}"/>
    <cellStyle name="Comma 2 21" xfId="9309" xr:uid="{00000000-0005-0000-0000-0000B1350000}"/>
    <cellStyle name="Comma 2 21 2" xfId="10090" xr:uid="{00000000-0005-0000-0000-0000B2350000}"/>
    <cellStyle name="Comma 2 21 2 2" xfId="12139" xr:uid="{00000000-0005-0000-0000-0000B3350000}"/>
    <cellStyle name="Comma 2 21 2 2 2" xfId="28770" xr:uid="{00000000-0005-0000-0000-0000B4350000}"/>
    <cellStyle name="Comma 2 21 2 2 2 2" xfId="46441" xr:uid="{00000000-0005-0000-0000-0000B5350000}"/>
    <cellStyle name="Comma 2 21 2 2 3" xfId="32983" xr:uid="{00000000-0005-0000-0000-0000B6350000}"/>
    <cellStyle name="Comma 2 21 2 2 4" xfId="37198" xr:uid="{00000000-0005-0000-0000-0000B7350000}"/>
    <cellStyle name="Comma 2 21 2 2 5" xfId="41402" xr:uid="{00000000-0005-0000-0000-0000B8350000}"/>
    <cellStyle name="Comma 2 21 2 3" xfId="27570" xr:uid="{00000000-0005-0000-0000-0000B9350000}"/>
    <cellStyle name="Comma 2 21 2 3 2" xfId="45246" xr:uid="{00000000-0005-0000-0000-0000BA350000}"/>
    <cellStyle name="Comma 2 21 2 4" xfId="31783" xr:uid="{00000000-0005-0000-0000-0000BB350000}"/>
    <cellStyle name="Comma 2 21 2 5" xfId="35998" xr:uid="{00000000-0005-0000-0000-0000BC350000}"/>
    <cellStyle name="Comma 2 21 2 6" xfId="40202" xr:uid="{00000000-0005-0000-0000-0000BD350000}"/>
    <cellStyle name="Comma 2 21 3" xfId="10921" xr:uid="{00000000-0005-0000-0000-0000BE350000}"/>
    <cellStyle name="Comma 2 21 3 2" xfId="28035" xr:uid="{00000000-0005-0000-0000-0000BF350000}"/>
    <cellStyle name="Comma 2 21 3 2 2" xfId="45712" xr:uid="{00000000-0005-0000-0000-0000C0350000}"/>
    <cellStyle name="Comma 2 21 3 3" xfId="32248" xr:uid="{00000000-0005-0000-0000-0000C1350000}"/>
    <cellStyle name="Comma 2 21 3 4" xfId="36463" xr:uid="{00000000-0005-0000-0000-0000C2350000}"/>
    <cellStyle name="Comma 2 21 3 5" xfId="40667" xr:uid="{00000000-0005-0000-0000-0000C3350000}"/>
    <cellStyle name="Comma 2 21 4" xfId="26880" xr:uid="{00000000-0005-0000-0000-0000C4350000}"/>
    <cellStyle name="Comma 2 21 4 2" xfId="44987" xr:uid="{00000000-0005-0000-0000-0000C5350000}"/>
    <cellStyle name="Comma 2 21 5" xfId="31093" xr:uid="{00000000-0005-0000-0000-0000C6350000}"/>
    <cellStyle name="Comma 2 21 6" xfId="35308" xr:uid="{00000000-0005-0000-0000-0000C7350000}"/>
    <cellStyle name="Comma 2 21 7" xfId="39512" xr:uid="{00000000-0005-0000-0000-0000C8350000}"/>
    <cellStyle name="Comma 2 22" xfId="9428" xr:uid="{00000000-0005-0000-0000-0000C9350000}"/>
    <cellStyle name="Comma 2 22 2" xfId="10093" xr:uid="{00000000-0005-0000-0000-0000CA350000}"/>
    <cellStyle name="Comma 2 22 2 2" xfId="12150" xr:uid="{00000000-0005-0000-0000-0000CB350000}"/>
    <cellStyle name="Comma 2 22 2 2 2" xfId="28773" xr:uid="{00000000-0005-0000-0000-0000CC350000}"/>
    <cellStyle name="Comma 2 22 2 2 2 2" xfId="46444" xr:uid="{00000000-0005-0000-0000-0000CD350000}"/>
    <cellStyle name="Comma 2 22 2 2 3" xfId="32986" xr:uid="{00000000-0005-0000-0000-0000CE350000}"/>
    <cellStyle name="Comma 2 22 2 2 4" xfId="37201" xr:uid="{00000000-0005-0000-0000-0000CF350000}"/>
    <cellStyle name="Comma 2 22 2 2 5" xfId="41405" xr:uid="{00000000-0005-0000-0000-0000D0350000}"/>
    <cellStyle name="Comma 2 22 2 3" xfId="27573" xr:uid="{00000000-0005-0000-0000-0000D1350000}"/>
    <cellStyle name="Comma 2 22 2 3 2" xfId="45249" xr:uid="{00000000-0005-0000-0000-0000D2350000}"/>
    <cellStyle name="Comma 2 22 2 4" xfId="31786" xr:uid="{00000000-0005-0000-0000-0000D3350000}"/>
    <cellStyle name="Comma 2 22 2 5" xfId="36001" xr:uid="{00000000-0005-0000-0000-0000D4350000}"/>
    <cellStyle name="Comma 2 22 2 6" xfId="40205" xr:uid="{00000000-0005-0000-0000-0000D5350000}"/>
    <cellStyle name="Comma 2 22 3" xfId="10933" xr:uid="{00000000-0005-0000-0000-0000D6350000}"/>
    <cellStyle name="Comma 2 22 3 2" xfId="28038" xr:uid="{00000000-0005-0000-0000-0000D7350000}"/>
    <cellStyle name="Comma 2 22 3 2 2" xfId="45715" xr:uid="{00000000-0005-0000-0000-0000D8350000}"/>
    <cellStyle name="Comma 2 22 3 3" xfId="32251" xr:uid="{00000000-0005-0000-0000-0000D9350000}"/>
    <cellStyle name="Comma 2 22 3 4" xfId="36466" xr:uid="{00000000-0005-0000-0000-0000DA350000}"/>
    <cellStyle name="Comma 2 22 3 5" xfId="40670" xr:uid="{00000000-0005-0000-0000-0000DB350000}"/>
    <cellStyle name="Comma 2 22 4" xfId="26999" xr:uid="{00000000-0005-0000-0000-0000DC350000}"/>
    <cellStyle name="Comma 2 22 4 2" xfId="44990" xr:uid="{00000000-0005-0000-0000-0000DD350000}"/>
    <cellStyle name="Comma 2 22 5" xfId="31212" xr:uid="{00000000-0005-0000-0000-0000DE350000}"/>
    <cellStyle name="Comma 2 22 6" xfId="35427" xr:uid="{00000000-0005-0000-0000-0000DF350000}"/>
    <cellStyle name="Comma 2 22 7" xfId="39631" xr:uid="{00000000-0005-0000-0000-0000E0350000}"/>
    <cellStyle name="Comma 2 23" xfId="6323" xr:uid="{00000000-0005-0000-0000-0000E1350000}"/>
    <cellStyle name="Comma 2 23 2" xfId="10117" xr:uid="{00000000-0005-0000-0000-0000E2350000}"/>
    <cellStyle name="Comma 2 23 2 2" xfId="11735" xr:uid="{00000000-0005-0000-0000-0000E3350000}"/>
    <cellStyle name="Comma 2 23 2 2 2" xfId="28457" xr:uid="{00000000-0005-0000-0000-0000E4350000}"/>
    <cellStyle name="Comma 2 23 2 2 2 2" xfId="46106" xr:uid="{00000000-0005-0000-0000-0000E5350000}"/>
    <cellStyle name="Comma 2 23 2 2 3" xfId="32670" xr:uid="{00000000-0005-0000-0000-0000E6350000}"/>
    <cellStyle name="Comma 2 23 2 2 4" xfId="36885" xr:uid="{00000000-0005-0000-0000-0000E7350000}"/>
    <cellStyle name="Comma 2 23 2 2 5" xfId="41089" xr:uid="{00000000-0005-0000-0000-0000E8350000}"/>
    <cellStyle name="Comma 2 23 2 3" xfId="27583" xr:uid="{00000000-0005-0000-0000-0000E9350000}"/>
    <cellStyle name="Comma 2 23 2 3 2" xfId="45259" xr:uid="{00000000-0005-0000-0000-0000EA350000}"/>
    <cellStyle name="Comma 2 23 2 4" xfId="31796" xr:uid="{00000000-0005-0000-0000-0000EB350000}"/>
    <cellStyle name="Comma 2 23 2 5" xfId="36011" xr:uid="{00000000-0005-0000-0000-0000EC350000}"/>
    <cellStyle name="Comma 2 23 2 6" xfId="40215" xr:uid="{00000000-0005-0000-0000-0000ED350000}"/>
    <cellStyle name="Comma 2 23 3" xfId="10951" xr:uid="{00000000-0005-0000-0000-0000EE350000}"/>
    <cellStyle name="Comma 2 23 3 2" xfId="28048" xr:uid="{00000000-0005-0000-0000-0000EF350000}"/>
    <cellStyle name="Comma 2 23 3 2 2" xfId="45725" xr:uid="{00000000-0005-0000-0000-0000F0350000}"/>
    <cellStyle name="Comma 2 23 3 3" xfId="32261" xr:uid="{00000000-0005-0000-0000-0000F1350000}"/>
    <cellStyle name="Comma 2 23 3 4" xfId="36476" xr:uid="{00000000-0005-0000-0000-0000F2350000}"/>
    <cellStyle name="Comma 2 23 3 5" xfId="40680" xr:uid="{00000000-0005-0000-0000-0000F3350000}"/>
    <cellStyle name="Comma 2 23 4" xfId="25513" xr:uid="{00000000-0005-0000-0000-0000F4350000}"/>
    <cellStyle name="Comma 2 23 4 2" xfId="44842" xr:uid="{00000000-0005-0000-0000-0000F5350000}"/>
    <cellStyle name="Comma 2 23 5" xfId="29725" xr:uid="{00000000-0005-0000-0000-0000F6350000}"/>
    <cellStyle name="Comma 2 23 6" xfId="33941" xr:uid="{00000000-0005-0000-0000-0000F7350000}"/>
    <cellStyle name="Comma 2 23 7" xfId="38145" xr:uid="{00000000-0005-0000-0000-0000F8350000}"/>
    <cellStyle name="Comma 2 24" xfId="9569" xr:uid="{00000000-0005-0000-0000-0000F9350000}"/>
    <cellStyle name="Comma 2 24 2" xfId="10203" xr:uid="{00000000-0005-0000-0000-0000FA350000}"/>
    <cellStyle name="Comma 2 24 2 2" xfId="12172" xr:uid="{00000000-0005-0000-0000-0000FB350000}"/>
    <cellStyle name="Comma 2 24 2 2 2" xfId="28783" xr:uid="{00000000-0005-0000-0000-0000FC350000}"/>
    <cellStyle name="Comma 2 24 2 2 2 2" xfId="46454" xr:uid="{00000000-0005-0000-0000-0000FD350000}"/>
    <cellStyle name="Comma 2 24 2 2 3" xfId="32996" xr:uid="{00000000-0005-0000-0000-0000FE350000}"/>
    <cellStyle name="Comma 2 24 2 2 4" xfId="37211" xr:uid="{00000000-0005-0000-0000-0000FF350000}"/>
    <cellStyle name="Comma 2 24 2 2 5" xfId="41415" xr:uid="{00000000-0005-0000-0000-000000360000}"/>
    <cellStyle name="Comma 2 24 2 3" xfId="27594" xr:uid="{00000000-0005-0000-0000-000001360000}"/>
    <cellStyle name="Comma 2 24 2 3 2" xfId="45272" xr:uid="{00000000-0005-0000-0000-000002360000}"/>
    <cellStyle name="Comma 2 24 2 4" xfId="31807" xr:uid="{00000000-0005-0000-0000-000003360000}"/>
    <cellStyle name="Comma 2 24 2 5" xfId="36022" xr:uid="{00000000-0005-0000-0000-000004360000}"/>
    <cellStyle name="Comma 2 24 2 6" xfId="40226" xr:uid="{00000000-0005-0000-0000-000005360000}"/>
    <cellStyle name="Comma 2 24 3" xfId="10961" xr:uid="{00000000-0005-0000-0000-000006360000}"/>
    <cellStyle name="Comma 2 24 3 2" xfId="28058" xr:uid="{00000000-0005-0000-0000-000007360000}"/>
    <cellStyle name="Comma 2 24 3 2 2" xfId="45735" xr:uid="{00000000-0005-0000-0000-000008360000}"/>
    <cellStyle name="Comma 2 24 3 3" xfId="32271" xr:uid="{00000000-0005-0000-0000-000009360000}"/>
    <cellStyle name="Comma 2 24 3 4" xfId="36486" xr:uid="{00000000-0005-0000-0000-00000A360000}"/>
    <cellStyle name="Comma 2 24 3 5" xfId="40690" xr:uid="{00000000-0005-0000-0000-00000B360000}"/>
    <cellStyle name="Comma 2 24 4" xfId="27133" xr:uid="{00000000-0005-0000-0000-00000C360000}"/>
    <cellStyle name="Comma 2 24 4 2" xfId="45003" xr:uid="{00000000-0005-0000-0000-00000D360000}"/>
    <cellStyle name="Comma 2 24 5" xfId="31346" xr:uid="{00000000-0005-0000-0000-00000E360000}"/>
    <cellStyle name="Comma 2 24 6" xfId="35561" xr:uid="{00000000-0005-0000-0000-00000F360000}"/>
    <cellStyle name="Comma 2 24 7" xfId="39765" xr:uid="{00000000-0005-0000-0000-000010360000}"/>
    <cellStyle name="Comma 2 25" xfId="10210" xr:uid="{00000000-0005-0000-0000-000011360000}"/>
    <cellStyle name="Comma 2 25 2" xfId="10968" xr:uid="{00000000-0005-0000-0000-000012360000}"/>
    <cellStyle name="Comma 2 25 2 2" xfId="28065" xr:uid="{00000000-0005-0000-0000-000013360000}"/>
    <cellStyle name="Comma 2 25 2 2 2" xfId="45742" xr:uid="{00000000-0005-0000-0000-000014360000}"/>
    <cellStyle name="Comma 2 25 2 3" xfId="32278" xr:uid="{00000000-0005-0000-0000-000015360000}"/>
    <cellStyle name="Comma 2 25 2 4" xfId="36493" xr:uid="{00000000-0005-0000-0000-000016360000}"/>
    <cellStyle name="Comma 2 25 2 5" xfId="40697" xr:uid="{00000000-0005-0000-0000-000017360000}"/>
    <cellStyle name="Comma 2 25 3" xfId="27601" xr:uid="{00000000-0005-0000-0000-000018360000}"/>
    <cellStyle name="Comma 2 25 3 2" xfId="45279" xr:uid="{00000000-0005-0000-0000-000019360000}"/>
    <cellStyle name="Comma 2 25 4" xfId="31814" xr:uid="{00000000-0005-0000-0000-00001A360000}"/>
    <cellStyle name="Comma 2 25 5" xfId="36029" xr:uid="{00000000-0005-0000-0000-00001B360000}"/>
    <cellStyle name="Comma 2 25 6" xfId="40233" xr:uid="{00000000-0005-0000-0000-00001C360000}"/>
    <cellStyle name="Comma 2 26" xfId="9628" xr:uid="{00000000-0005-0000-0000-00001D360000}"/>
    <cellStyle name="Comma 2 26 2" xfId="11018" xr:uid="{00000000-0005-0000-0000-00001E360000}"/>
    <cellStyle name="Comma 2 26 2 2" xfId="28073" xr:uid="{00000000-0005-0000-0000-00001F360000}"/>
    <cellStyle name="Comma 2 26 2 2 2" xfId="45757" xr:uid="{00000000-0005-0000-0000-000020360000}"/>
    <cellStyle name="Comma 2 26 2 3" xfId="32286" xr:uid="{00000000-0005-0000-0000-000021360000}"/>
    <cellStyle name="Comma 2 26 2 4" xfId="36501" xr:uid="{00000000-0005-0000-0000-000022360000}"/>
    <cellStyle name="Comma 2 26 2 5" xfId="40705" xr:uid="{00000000-0005-0000-0000-000023360000}"/>
    <cellStyle name="Comma 2 26 3" xfId="27143" xr:uid="{00000000-0005-0000-0000-000024360000}"/>
    <cellStyle name="Comma 2 26 3 2" xfId="45012" xr:uid="{00000000-0005-0000-0000-000025360000}"/>
    <cellStyle name="Comma 2 26 4" xfId="31356" xr:uid="{00000000-0005-0000-0000-000026360000}"/>
    <cellStyle name="Comma 2 26 5" xfId="35571" xr:uid="{00000000-0005-0000-0000-000027360000}"/>
    <cellStyle name="Comma 2 26 6" xfId="39775" xr:uid="{00000000-0005-0000-0000-000028360000}"/>
    <cellStyle name="Comma 2 27" xfId="10217" xr:uid="{00000000-0005-0000-0000-000029360000}"/>
    <cellStyle name="Comma 2 27 2" xfId="27608" xr:uid="{00000000-0005-0000-0000-00002A360000}"/>
    <cellStyle name="Comma 2 27 2 2" xfId="45286" xr:uid="{00000000-0005-0000-0000-00002B360000}"/>
    <cellStyle name="Comma 2 27 3" xfId="31821" xr:uid="{00000000-0005-0000-0000-00002C360000}"/>
    <cellStyle name="Comma 2 27 4" xfId="36036" xr:uid="{00000000-0005-0000-0000-00002D360000}"/>
    <cellStyle name="Comma 2 27 5" xfId="40240" xr:uid="{00000000-0005-0000-0000-00002E360000}"/>
    <cellStyle name="Comma 2 28" xfId="3264" xr:uid="{00000000-0005-0000-0000-00002F360000}"/>
    <cellStyle name="Comma 2 28 2" xfId="24835" xr:uid="{00000000-0005-0000-0000-000030360000}"/>
    <cellStyle name="Comma 2 28 3" xfId="29046" xr:uid="{00000000-0005-0000-0000-000031360000}"/>
    <cellStyle name="Comma 2 28 4" xfId="33263" xr:uid="{00000000-0005-0000-0000-000032360000}"/>
    <cellStyle name="Comma 2 28 5" xfId="41837" xr:uid="{00000000-0005-0000-0000-000033360000}"/>
    <cellStyle name="Comma 2 29" xfId="12229" xr:uid="{00000000-0005-0000-0000-000034360000}"/>
    <cellStyle name="Comma 2 29 2" xfId="28797" xr:uid="{00000000-0005-0000-0000-000035360000}"/>
    <cellStyle name="Comma 2 29 3" xfId="33010" xr:uid="{00000000-0005-0000-0000-000036360000}"/>
    <cellStyle name="Comma 2 29 4" xfId="37225" xr:uid="{00000000-0005-0000-0000-000037360000}"/>
    <cellStyle name="Comma 2 3" xfId="3267" xr:uid="{00000000-0005-0000-0000-000038360000}"/>
    <cellStyle name="Comma 2 3 10" xfId="6164" xr:uid="{00000000-0005-0000-0000-000039360000}"/>
    <cellStyle name="Comma 2 3 10 2" xfId="9811" xr:uid="{00000000-0005-0000-0000-00003A360000}"/>
    <cellStyle name="Comma 2 3 10 2 2" xfId="10548" xr:uid="{00000000-0005-0000-0000-00003B360000}"/>
    <cellStyle name="Comma 2 3 10 2 2 2" xfId="27763" xr:uid="{00000000-0005-0000-0000-00003C360000}"/>
    <cellStyle name="Comma 2 3 10 2 2 2 2" xfId="45441" xr:uid="{00000000-0005-0000-0000-00003D360000}"/>
    <cellStyle name="Comma 2 3 10 2 2 3" xfId="31976" xr:uid="{00000000-0005-0000-0000-00003E360000}"/>
    <cellStyle name="Comma 2 3 10 2 2 4" xfId="36191" xr:uid="{00000000-0005-0000-0000-00003F360000}"/>
    <cellStyle name="Comma 2 3 10 2 2 5" xfId="40395" xr:uid="{00000000-0005-0000-0000-000040360000}"/>
    <cellStyle name="Comma 2 3 10 2 3" xfId="27298" xr:uid="{00000000-0005-0000-0000-000041360000}"/>
    <cellStyle name="Comma 2 3 10 2 3 2" xfId="45176" xr:uid="{00000000-0005-0000-0000-000042360000}"/>
    <cellStyle name="Comma 2 3 10 2 4" xfId="31511" xr:uid="{00000000-0005-0000-0000-000043360000}"/>
    <cellStyle name="Comma 2 3 10 2 5" xfId="35726" xr:uid="{00000000-0005-0000-0000-000044360000}"/>
    <cellStyle name="Comma 2 3 10 2 6" xfId="39930" xr:uid="{00000000-0005-0000-0000-000045360000}"/>
    <cellStyle name="Comma 2 3 10 3" xfId="9693" xr:uid="{00000000-0005-0000-0000-000046360000}"/>
    <cellStyle name="Comma 2 3 10 3 2" xfId="11672" xr:uid="{00000000-0005-0000-0000-000047360000}"/>
    <cellStyle name="Comma 2 3 10 3 2 2" xfId="28428" xr:uid="{00000000-0005-0000-0000-000048360000}"/>
    <cellStyle name="Comma 2 3 10 3 2 2 2" xfId="46077" xr:uid="{00000000-0005-0000-0000-000049360000}"/>
    <cellStyle name="Comma 2 3 10 3 2 3" xfId="32641" xr:uid="{00000000-0005-0000-0000-00004A360000}"/>
    <cellStyle name="Comma 2 3 10 3 2 4" xfId="36856" xr:uid="{00000000-0005-0000-0000-00004B360000}"/>
    <cellStyle name="Comma 2 3 10 3 2 5" xfId="41060" xr:uid="{00000000-0005-0000-0000-00004C360000}"/>
    <cellStyle name="Comma 2 3 10 3 3" xfId="27204" xr:uid="{00000000-0005-0000-0000-00004D360000}"/>
    <cellStyle name="Comma 2 3 10 3 3 2" xfId="45073" xr:uid="{00000000-0005-0000-0000-00004E360000}"/>
    <cellStyle name="Comma 2 3 10 3 4" xfId="31417" xr:uid="{00000000-0005-0000-0000-00004F360000}"/>
    <cellStyle name="Comma 2 3 10 3 5" xfId="35632" xr:uid="{00000000-0005-0000-0000-000050360000}"/>
    <cellStyle name="Comma 2 3 10 3 6" xfId="39836" xr:uid="{00000000-0005-0000-0000-000051360000}"/>
    <cellStyle name="Comma 2 3 10 4" xfId="10431" xr:uid="{00000000-0005-0000-0000-000052360000}"/>
    <cellStyle name="Comma 2 3 10 4 2" xfId="27669" xr:uid="{00000000-0005-0000-0000-000053360000}"/>
    <cellStyle name="Comma 2 3 10 4 2 2" xfId="45347" xr:uid="{00000000-0005-0000-0000-000054360000}"/>
    <cellStyle name="Comma 2 3 10 4 3" xfId="31882" xr:uid="{00000000-0005-0000-0000-000055360000}"/>
    <cellStyle name="Comma 2 3 10 4 4" xfId="36097" xr:uid="{00000000-0005-0000-0000-000056360000}"/>
    <cellStyle name="Comma 2 3 10 4 5" xfId="40301" xr:uid="{00000000-0005-0000-0000-000057360000}"/>
    <cellStyle name="Comma 2 3 10 5" xfId="25474" xr:uid="{00000000-0005-0000-0000-000058360000}"/>
    <cellStyle name="Comma 2 3 10 5 2" xfId="44813" xr:uid="{00000000-0005-0000-0000-000059360000}"/>
    <cellStyle name="Comma 2 3 10 6" xfId="29686" xr:uid="{00000000-0005-0000-0000-00005A360000}"/>
    <cellStyle name="Comma 2 3 10 7" xfId="33902" xr:uid="{00000000-0005-0000-0000-00005B360000}"/>
    <cellStyle name="Comma 2 3 10 8" xfId="38106" xr:uid="{00000000-0005-0000-0000-00005C360000}"/>
    <cellStyle name="Comma 2 3 11" xfId="6275" xr:uid="{00000000-0005-0000-0000-00005D360000}"/>
    <cellStyle name="Comma 2 3 11 2" xfId="9751" xr:uid="{00000000-0005-0000-0000-00005E360000}"/>
    <cellStyle name="Comma 2 3 11 2 2" xfId="11722" xr:uid="{00000000-0005-0000-0000-00005F360000}"/>
    <cellStyle name="Comma 2 3 11 2 2 2" xfId="28451" xr:uid="{00000000-0005-0000-0000-000060360000}"/>
    <cellStyle name="Comma 2 3 11 2 2 2 2" xfId="46100" xr:uid="{00000000-0005-0000-0000-000061360000}"/>
    <cellStyle name="Comma 2 3 11 2 2 3" xfId="32664" xr:uid="{00000000-0005-0000-0000-000062360000}"/>
    <cellStyle name="Comma 2 3 11 2 2 4" xfId="36879" xr:uid="{00000000-0005-0000-0000-000063360000}"/>
    <cellStyle name="Comma 2 3 11 2 2 5" xfId="41083" xr:uid="{00000000-0005-0000-0000-000064360000}"/>
    <cellStyle name="Comma 2 3 11 2 3" xfId="27251" xr:uid="{00000000-0005-0000-0000-000065360000}"/>
    <cellStyle name="Comma 2 3 11 2 3 2" xfId="45129" xr:uid="{00000000-0005-0000-0000-000066360000}"/>
    <cellStyle name="Comma 2 3 11 2 4" xfId="31464" xr:uid="{00000000-0005-0000-0000-000067360000}"/>
    <cellStyle name="Comma 2 3 11 2 5" xfId="35679" xr:uid="{00000000-0005-0000-0000-000068360000}"/>
    <cellStyle name="Comma 2 3 11 2 6" xfId="39883" xr:uid="{00000000-0005-0000-0000-000069360000}"/>
    <cellStyle name="Comma 2 3 11 3" xfId="10478" xr:uid="{00000000-0005-0000-0000-00006A360000}"/>
    <cellStyle name="Comma 2 3 11 3 2" xfId="27716" xr:uid="{00000000-0005-0000-0000-00006B360000}"/>
    <cellStyle name="Comma 2 3 11 3 2 2" xfId="45394" xr:uid="{00000000-0005-0000-0000-00006C360000}"/>
    <cellStyle name="Comma 2 3 11 3 3" xfId="31929" xr:uid="{00000000-0005-0000-0000-00006D360000}"/>
    <cellStyle name="Comma 2 3 11 3 4" xfId="36144" xr:uid="{00000000-0005-0000-0000-00006E360000}"/>
    <cellStyle name="Comma 2 3 11 3 5" xfId="40348" xr:uid="{00000000-0005-0000-0000-00006F360000}"/>
    <cellStyle name="Comma 2 3 11 4" xfId="25506" xr:uid="{00000000-0005-0000-0000-000070360000}"/>
    <cellStyle name="Comma 2 3 11 4 2" xfId="44836" xr:uid="{00000000-0005-0000-0000-000071360000}"/>
    <cellStyle name="Comma 2 3 11 5" xfId="29718" xr:uid="{00000000-0005-0000-0000-000072360000}"/>
    <cellStyle name="Comma 2 3 11 6" xfId="33934" xr:uid="{00000000-0005-0000-0000-000073360000}"/>
    <cellStyle name="Comma 2 3 11 7" xfId="38138" xr:uid="{00000000-0005-0000-0000-000074360000}"/>
    <cellStyle name="Comma 2 3 12" xfId="5211" xr:uid="{00000000-0005-0000-0000-000075360000}"/>
    <cellStyle name="Comma 2 3 12 2" xfId="10156" xr:uid="{00000000-0005-0000-0000-000076360000}"/>
    <cellStyle name="Comma 2 3 12 2 2" xfId="11290" xr:uid="{00000000-0005-0000-0000-000077360000}"/>
    <cellStyle name="Comma 2 3 12 2 2 2" xfId="28120" xr:uid="{00000000-0005-0000-0000-000078360000}"/>
    <cellStyle name="Comma 2 3 12 2 2 2 2" xfId="45784" xr:uid="{00000000-0005-0000-0000-000079360000}"/>
    <cellStyle name="Comma 2 3 12 2 2 3" xfId="32333" xr:uid="{00000000-0005-0000-0000-00007A360000}"/>
    <cellStyle name="Comma 2 3 12 2 2 4" xfId="36548" xr:uid="{00000000-0005-0000-0000-00007B360000}"/>
    <cellStyle name="Comma 2 3 12 2 2 5" xfId="40752" xr:uid="{00000000-0005-0000-0000-00007C360000}"/>
    <cellStyle name="Comma 2 3 12 2 3" xfId="27584" xr:uid="{00000000-0005-0000-0000-00007D360000}"/>
    <cellStyle name="Comma 2 3 12 2 3 2" xfId="45261" xr:uid="{00000000-0005-0000-0000-00007E360000}"/>
    <cellStyle name="Comma 2 3 12 2 4" xfId="31797" xr:uid="{00000000-0005-0000-0000-00007F360000}"/>
    <cellStyle name="Comma 2 3 12 2 5" xfId="36012" xr:uid="{00000000-0005-0000-0000-000080360000}"/>
    <cellStyle name="Comma 2 3 12 2 6" xfId="40216" xr:uid="{00000000-0005-0000-0000-000081360000}"/>
    <cellStyle name="Comma 2 3 12 3" xfId="10952" xr:uid="{00000000-0005-0000-0000-000082360000}"/>
    <cellStyle name="Comma 2 3 12 3 2" xfId="28049" xr:uid="{00000000-0005-0000-0000-000083360000}"/>
    <cellStyle name="Comma 2 3 12 3 2 2" xfId="45726" xr:uid="{00000000-0005-0000-0000-000084360000}"/>
    <cellStyle name="Comma 2 3 12 3 3" xfId="32262" xr:uid="{00000000-0005-0000-0000-000085360000}"/>
    <cellStyle name="Comma 2 3 12 3 4" xfId="36477" xr:uid="{00000000-0005-0000-0000-000086360000}"/>
    <cellStyle name="Comma 2 3 12 3 5" xfId="40681" xr:uid="{00000000-0005-0000-0000-000087360000}"/>
    <cellStyle name="Comma 2 3 12 4" xfId="24970" xr:uid="{00000000-0005-0000-0000-000088360000}"/>
    <cellStyle name="Comma 2 3 12 4 2" xfId="44519" xr:uid="{00000000-0005-0000-0000-000089360000}"/>
    <cellStyle name="Comma 2 3 12 5" xfId="29182" xr:uid="{00000000-0005-0000-0000-00008A360000}"/>
    <cellStyle name="Comma 2 3 12 6" xfId="33398" xr:uid="{00000000-0005-0000-0000-00008B360000}"/>
    <cellStyle name="Comma 2 3 12 7" xfId="37602" xr:uid="{00000000-0005-0000-0000-00008C360000}"/>
    <cellStyle name="Comma 2 3 13" xfId="6337" xr:uid="{00000000-0005-0000-0000-00008D360000}"/>
    <cellStyle name="Comma 2 3 13 2" xfId="10204" xr:uid="{00000000-0005-0000-0000-00008E360000}"/>
    <cellStyle name="Comma 2 3 13 2 2" xfId="11749" xr:uid="{00000000-0005-0000-0000-00008F360000}"/>
    <cellStyle name="Comma 2 3 13 2 2 2" xfId="28471" xr:uid="{00000000-0005-0000-0000-000090360000}"/>
    <cellStyle name="Comma 2 3 13 2 2 2 2" xfId="46120" xr:uid="{00000000-0005-0000-0000-000091360000}"/>
    <cellStyle name="Comma 2 3 13 2 2 3" xfId="32684" xr:uid="{00000000-0005-0000-0000-000092360000}"/>
    <cellStyle name="Comma 2 3 13 2 2 4" xfId="36899" xr:uid="{00000000-0005-0000-0000-000093360000}"/>
    <cellStyle name="Comma 2 3 13 2 2 5" xfId="41103" xr:uid="{00000000-0005-0000-0000-000094360000}"/>
    <cellStyle name="Comma 2 3 13 2 3" xfId="27595" xr:uid="{00000000-0005-0000-0000-000095360000}"/>
    <cellStyle name="Comma 2 3 13 2 3 2" xfId="45273" xr:uid="{00000000-0005-0000-0000-000096360000}"/>
    <cellStyle name="Comma 2 3 13 2 4" xfId="31808" xr:uid="{00000000-0005-0000-0000-000097360000}"/>
    <cellStyle name="Comma 2 3 13 2 5" xfId="36023" xr:uid="{00000000-0005-0000-0000-000098360000}"/>
    <cellStyle name="Comma 2 3 13 2 6" xfId="40227" xr:uid="{00000000-0005-0000-0000-000099360000}"/>
    <cellStyle name="Comma 2 3 13 3" xfId="10962" xr:uid="{00000000-0005-0000-0000-00009A360000}"/>
    <cellStyle name="Comma 2 3 13 3 2" xfId="28059" xr:uid="{00000000-0005-0000-0000-00009B360000}"/>
    <cellStyle name="Comma 2 3 13 3 2 2" xfId="45736" xr:uid="{00000000-0005-0000-0000-00009C360000}"/>
    <cellStyle name="Comma 2 3 13 3 3" xfId="32272" xr:uid="{00000000-0005-0000-0000-00009D360000}"/>
    <cellStyle name="Comma 2 3 13 3 4" xfId="36487" xr:uid="{00000000-0005-0000-0000-00009E360000}"/>
    <cellStyle name="Comma 2 3 13 3 5" xfId="40691" xr:uid="{00000000-0005-0000-0000-00009F360000}"/>
    <cellStyle name="Comma 2 3 13 4" xfId="25527" xr:uid="{00000000-0005-0000-0000-0000A0360000}"/>
    <cellStyle name="Comma 2 3 13 4 2" xfId="44856" xr:uid="{00000000-0005-0000-0000-0000A1360000}"/>
    <cellStyle name="Comma 2 3 13 5" xfId="29739" xr:uid="{00000000-0005-0000-0000-0000A2360000}"/>
    <cellStyle name="Comma 2 3 13 6" xfId="33955" xr:uid="{00000000-0005-0000-0000-0000A3360000}"/>
    <cellStyle name="Comma 2 3 13 7" xfId="38159" xr:uid="{00000000-0005-0000-0000-0000A4360000}"/>
    <cellStyle name="Comma 2 3 14" xfId="9571" xr:uid="{00000000-0005-0000-0000-0000A5360000}"/>
    <cellStyle name="Comma 2 3 14 2" xfId="10211" xr:uid="{00000000-0005-0000-0000-0000A6360000}"/>
    <cellStyle name="Comma 2 3 14 2 2" xfId="12174" xr:uid="{00000000-0005-0000-0000-0000A7360000}"/>
    <cellStyle name="Comma 2 3 14 2 2 2" xfId="28785" xr:uid="{00000000-0005-0000-0000-0000A8360000}"/>
    <cellStyle name="Comma 2 3 14 2 2 2 2" xfId="46456" xr:uid="{00000000-0005-0000-0000-0000A9360000}"/>
    <cellStyle name="Comma 2 3 14 2 2 3" xfId="32998" xr:uid="{00000000-0005-0000-0000-0000AA360000}"/>
    <cellStyle name="Comma 2 3 14 2 2 4" xfId="37213" xr:uid="{00000000-0005-0000-0000-0000AB360000}"/>
    <cellStyle name="Comma 2 3 14 2 2 5" xfId="41417" xr:uid="{00000000-0005-0000-0000-0000AC360000}"/>
    <cellStyle name="Comma 2 3 14 2 3" xfId="27602" xr:uid="{00000000-0005-0000-0000-0000AD360000}"/>
    <cellStyle name="Comma 2 3 14 2 3 2" xfId="45280" xr:uid="{00000000-0005-0000-0000-0000AE360000}"/>
    <cellStyle name="Comma 2 3 14 2 4" xfId="31815" xr:uid="{00000000-0005-0000-0000-0000AF360000}"/>
    <cellStyle name="Comma 2 3 14 2 5" xfId="36030" xr:uid="{00000000-0005-0000-0000-0000B0360000}"/>
    <cellStyle name="Comma 2 3 14 2 6" xfId="40234" xr:uid="{00000000-0005-0000-0000-0000B1360000}"/>
    <cellStyle name="Comma 2 3 14 3" xfId="10969" xr:uid="{00000000-0005-0000-0000-0000B2360000}"/>
    <cellStyle name="Comma 2 3 14 3 2" xfId="28066" xr:uid="{00000000-0005-0000-0000-0000B3360000}"/>
    <cellStyle name="Comma 2 3 14 3 2 2" xfId="45743" xr:uid="{00000000-0005-0000-0000-0000B4360000}"/>
    <cellStyle name="Comma 2 3 14 3 3" xfId="32279" xr:uid="{00000000-0005-0000-0000-0000B5360000}"/>
    <cellStyle name="Comma 2 3 14 3 4" xfId="36494" xr:uid="{00000000-0005-0000-0000-0000B6360000}"/>
    <cellStyle name="Comma 2 3 14 3 5" xfId="40698" xr:uid="{00000000-0005-0000-0000-0000B7360000}"/>
    <cellStyle name="Comma 2 3 14 4" xfId="27135" xr:uid="{00000000-0005-0000-0000-0000B8360000}"/>
    <cellStyle name="Comma 2 3 14 4 2" xfId="45005" xr:uid="{00000000-0005-0000-0000-0000B9360000}"/>
    <cellStyle name="Comma 2 3 14 5" xfId="31348" xr:uid="{00000000-0005-0000-0000-0000BA360000}"/>
    <cellStyle name="Comma 2 3 14 6" xfId="35563" xr:uid="{00000000-0005-0000-0000-0000BB360000}"/>
    <cellStyle name="Comma 2 3 14 7" xfId="39767" xr:uid="{00000000-0005-0000-0000-0000BC360000}"/>
    <cellStyle name="Comma 2 3 15" xfId="9642" xr:uid="{00000000-0005-0000-0000-0000BD360000}"/>
    <cellStyle name="Comma 2 3 15 2" xfId="11021" xr:uid="{00000000-0005-0000-0000-0000BE360000}"/>
    <cellStyle name="Comma 2 3 15 2 2" xfId="28076" xr:uid="{00000000-0005-0000-0000-0000BF360000}"/>
    <cellStyle name="Comma 2 3 15 2 2 2" xfId="45760" xr:uid="{00000000-0005-0000-0000-0000C0360000}"/>
    <cellStyle name="Comma 2 3 15 2 3" xfId="32289" xr:uid="{00000000-0005-0000-0000-0000C1360000}"/>
    <cellStyle name="Comma 2 3 15 2 4" xfId="36504" xr:uid="{00000000-0005-0000-0000-0000C2360000}"/>
    <cellStyle name="Comma 2 3 15 2 5" xfId="40708" xr:uid="{00000000-0005-0000-0000-0000C3360000}"/>
    <cellStyle name="Comma 2 3 15 3" xfId="27157" xr:uid="{00000000-0005-0000-0000-0000C4360000}"/>
    <cellStyle name="Comma 2 3 15 3 2" xfId="45026" xr:uid="{00000000-0005-0000-0000-0000C5360000}"/>
    <cellStyle name="Comma 2 3 15 4" xfId="31370" xr:uid="{00000000-0005-0000-0000-0000C6360000}"/>
    <cellStyle name="Comma 2 3 15 5" xfId="35585" xr:uid="{00000000-0005-0000-0000-0000C7360000}"/>
    <cellStyle name="Comma 2 3 15 6" xfId="39789" xr:uid="{00000000-0005-0000-0000-0000C8360000}"/>
    <cellStyle name="Comma 2 3 16" xfId="10231" xr:uid="{00000000-0005-0000-0000-0000C9360000}"/>
    <cellStyle name="Comma 2 3 16 2" xfId="27622" xr:uid="{00000000-0005-0000-0000-0000CA360000}"/>
    <cellStyle name="Comma 2 3 16 2 2" xfId="45300" xr:uid="{00000000-0005-0000-0000-0000CB360000}"/>
    <cellStyle name="Comma 2 3 16 3" xfId="31835" xr:uid="{00000000-0005-0000-0000-0000CC360000}"/>
    <cellStyle name="Comma 2 3 16 4" xfId="36050" xr:uid="{00000000-0005-0000-0000-0000CD360000}"/>
    <cellStyle name="Comma 2 3 16 5" xfId="40254" xr:uid="{00000000-0005-0000-0000-0000CE360000}"/>
    <cellStyle name="Comma 2 3 17" xfId="12262" xr:uid="{00000000-0005-0000-0000-0000CF360000}"/>
    <cellStyle name="Comma 2 3 17 2" xfId="28829" xr:uid="{00000000-0005-0000-0000-0000D0360000}"/>
    <cellStyle name="Comma 2 3 17 3" xfId="33042" xr:uid="{00000000-0005-0000-0000-0000D1360000}"/>
    <cellStyle name="Comma 2 3 17 4" xfId="37257" xr:uid="{00000000-0005-0000-0000-0000D2360000}"/>
    <cellStyle name="Comma 2 3 17 5" xfId="42449" xr:uid="{00000000-0005-0000-0000-0000D3360000}"/>
    <cellStyle name="Comma 2 3 18" xfId="23471" xr:uid="{00000000-0005-0000-0000-0000D4360000}"/>
    <cellStyle name="Comma 2 3 18 2" xfId="28970" xr:uid="{00000000-0005-0000-0000-0000D5360000}"/>
    <cellStyle name="Comma 2 3 18 3" xfId="33187" xr:uid="{00000000-0005-0000-0000-0000D6360000}"/>
    <cellStyle name="Comma 2 3 18 4" xfId="37398" xr:uid="{00000000-0005-0000-0000-0000D7360000}"/>
    <cellStyle name="Comma 2 3 19" xfId="24838" xr:uid="{00000000-0005-0000-0000-0000D8360000}"/>
    <cellStyle name="Comma 2 3 2" xfId="4463" xr:uid="{00000000-0005-0000-0000-0000D9360000}"/>
    <cellStyle name="Comma 2 3 2 10" xfId="6338" xr:uid="{00000000-0005-0000-0000-0000DA360000}"/>
    <cellStyle name="Comma 2 3 2 10 2" xfId="11750" xr:uid="{00000000-0005-0000-0000-0000DB360000}"/>
    <cellStyle name="Comma 2 3 2 10 2 2" xfId="28472" xr:uid="{00000000-0005-0000-0000-0000DC360000}"/>
    <cellStyle name="Comma 2 3 2 10 2 2 2" xfId="46121" xr:uid="{00000000-0005-0000-0000-0000DD360000}"/>
    <cellStyle name="Comma 2 3 2 10 2 3" xfId="32685" xr:uid="{00000000-0005-0000-0000-0000DE360000}"/>
    <cellStyle name="Comma 2 3 2 10 2 4" xfId="36900" xr:uid="{00000000-0005-0000-0000-0000DF360000}"/>
    <cellStyle name="Comma 2 3 2 10 2 5" xfId="41104" xr:uid="{00000000-0005-0000-0000-0000E0360000}"/>
    <cellStyle name="Comma 2 3 2 10 3" xfId="25528" xr:uid="{00000000-0005-0000-0000-0000E1360000}"/>
    <cellStyle name="Comma 2 3 2 10 3 2" xfId="44857" xr:uid="{00000000-0005-0000-0000-0000E2360000}"/>
    <cellStyle name="Comma 2 3 2 10 4" xfId="29740" xr:uid="{00000000-0005-0000-0000-0000E3360000}"/>
    <cellStyle name="Comma 2 3 2 10 5" xfId="33956" xr:uid="{00000000-0005-0000-0000-0000E4360000}"/>
    <cellStyle name="Comma 2 3 2 10 6" xfId="38160" xr:uid="{00000000-0005-0000-0000-0000E5360000}"/>
    <cellStyle name="Comma 2 3 2 11" xfId="9643" xr:uid="{00000000-0005-0000-0000-0000E6360000}"/>
    <cellStyle name="Comma 2 3 2 11 2" xfId="11258" xr:uid="{00000000-0005-0000-0000-0000E7360000}"/>
    <cellStyle name="Comma 2 3 2 11 2 2" xfId="28104" xr:uid="{00000000-0005-0000-0000-0000E8360000}"/>
    <cellStyle name="Comma 2 3 2 11 2 2 2" xfId="45771" xr:uid="{00000000-0005-0000-0000-0000E9360000}"/>
    <cellStyle name="Comma 2 3 2 11 2 3" xfId="32317" xr:uid="{00000000-0005-0000-0000-0000EA360000}"/>
    <cellStyle name="Comma 2 3 2 11 2 4" xfId="36532" xr:uid="{00000000-0005-0000-0000-0000EB360000}"/>
    <cellStyle name="Comma 2 3 2 11 2 5" xfId="40736" xr:uid="{00000000-0005-0000-0000-0000EC360000}"/>
    <cellStyle name="Comma 2 3 2 11 3" xfId="27158" xr:uid="{00000000-0005-0000-0000-0000ED360000}"/>
    <cellStyle name="Comma 2 3 2 11 3 2" xfId="45027" xr:uid="{00000000-0005-0000-0000-0000EE360000}"/>
    <cellStyle name="Comma 2 3 2 11 4" xfId="31371" xr:uid="{00000000-0005-0000-0000-0000EF360000}"/>
    <cellStyle name="Comma 2 3 2 11 5" xfId="35586" xr:uid="{00000000-0005-0000-0000-0000F0360000}"/>
    <cellStyle name="Comma 2 3 2 11 6" xfId="39790" xr:uid="{00000000-0005-0000-0000-0000F1360000}"/>
    <cellStyle name="Comma 2 3 2 12" xfId="10232" xr:uid="{00000000-0005-0000-0000-0000F2360000}"/>
    <cellStyle name="Comma 2 3 2 12 2" xfId="27623" xr:uid="{00000000-0005-0000-0000-0000F3360000}"/>
    <cellStyle name="Comma 2 3 2 12 2 2" xfId="45301" xr:uid="{00000000-0005-0000-0000-0000F4360000}"/>
    <cellStyle name="Comma 2 3 2 12 3" xfId="31836" xr:uid="{00000000-0005-0000-0000-0000F5360000}"/>
    <cellStyle name="Comma 2 3 2 12 4" xfId="36051" xr:uid="{00000000-0005-0000-0000-0000F6360000}"/>
    <cellStyle name="Comma 2 3 2 12 5" xfId="40255" xr:uid="{00000000-0005-0000-0000-0000F7360000}"/>
    <cellStyle name="Comma 2 3 2 13" xfId="16076" xr:uid="{00000000-0005-0000-0000-0000F8360000}"/>
    <cellStyle name="Comma 2 3 2 13 2" xfId="28908" xr:uid="{00000000-0005-0000-0000-0000F9360000}"/>
    <cellStyle name="Comma 2 3 2 13 3" xfId="33123" xr:uid="{00000000-0005-0000-0000-0000FA360000}"/>
    <cellStyle name="Comma 2 3 2 13 4" xfId="37336" xr:uid="{00000000-0005-0000-0000-0000FB360000}"/>
    <cellStyle name="Comma 2 3 2 13 5" xfId="41571" xr:uid="{00000000-0005-0000-0000-0000FC360000}"/>
    <cellStyle name="Comma 2 3 2 14" xfId="23829" xr:uid="{00000000-0005-0000-0000-0000FD360000}"/>
    <cellStyle name="Comma 2 3 2 14 2" xfId="29004" xr:uid="{00000000-0005-0000-0000-0000FE360000}"/>
    <cellStyle name="Comma 2 3 2 14 3" xfId="33221" xr:uid="{00000000-0005-0000-0000-0000FF360000}"/>
    <cellStyle name="Comma 2 3 2 14 4" xfId="37432" xr:uid="{00000000-0005-0000-0000-000000370000}"/>
    <cellStyle name="Comma 2 3 2 14 5" xfId="43076" xr:uid="{00000000-0005-0000-0000-000001370000}"/>
    <cellStyle name="Comma 2 3 2 15" xfId="24934" xr:uid="{00000000-0005-0000-0000-000002370000}"/>
    <cellStyle name="Comma 2 3 2 15 2" xfId="44511" xr:uid="{00000000-0005-0000-0000-000003370000}"/>
    <cellStyle name="Comma 2 3 2 16" xfId="29146" xr:uid="{00000000-0005-0000-0000-000004370000}"/>
    <cellStyle name="Comma 2 3 2 17" xfId="33362" xr:uid="{00000000-0005-0000-0000-000005370000}"/>
    <cellStyle name="Comma 2 3 2 18" xfId="37566" xr:uid="{00000000-0005-0000-0000-000006370000}"/>
    <cellStyle name="Comma 2 3 2 2" xfId="5864" xr:uid="{00000000-0005-0000-0000-000007370000}"/>
    <cellStyle name="Comma 2 3 2 2 10" xfId="25191" xr:uid="{00000000-0005-0000-0000-000008370000}"/>
    <cellStyle name="Comma 2 3 2 2 11" xfId="29403" xr:uid="{00000000-0005-0000-0000-000009370000}"/>
    <cellStyle name="Comma 2 3 2 2 12" xfId="33619" xr:uid="{00000000-0005-0000-0000-00000A370000}"/>
    <cellStyle name="Comma 2 3 2 2 13" xfId="37823" xr:uid="{00000000-0005-0000-0000-00000B370000}"/>
    <cellStyle name="Comma 2 3 2 2 2" xfId="5925" xr:uid="{00000000-0005-0000-0000-00000C370000}"/>
    <cellStyle name="Comma 2 3 2 2 2 10" xfId="37872" xr:uid="{00000000-0005-0000-0000-00000D370000}"/>
    <cellStyle name="Comma 2 3 2 2 2 2" xfId="6120" xr:uid="{00000000-0005-0000-0000-00000E370000}"/>
    <cellStyle name="Comma 2 3 2 2 2 2 2" xfId="9813" xr:uid="{00000000-0005-0000-0000-00000F370000}"/>
    <cellStyle name="Comma 2 3 2 2 2 2 2 2" xfId="11628" xr:uid="{00000000-0005-0000-0000-000010370000}"/>
    <cellStyle name="Comma 2 3 2 2 2 2 2 2 2" xfId="28384" xr:uid="{00000000-0005-0000-0000-000011370000}"/>
    <cellStyle name="Comma 2 3 2 2 2 2 2 2 2 2" xfId="46033" xr:uid="{00000000-0005-0000-0000-000012370000}"/>
    <cellStyle name="Comma 2 3 2 2 2 2 2 2 3" xfId="32597" xr:uid="{00000000-0005-0000-0000-000013370000}"/>
    <cellStyle name="Comma 2 3 2 2 2 2 2 2 4" xfId="36812" xr:uid="{00000000-0005-0000-0000-000014370000}"/>
    <cellStyle name="Comma 2 3 2 2 2 2 2 2 5" xfId="41016" xr:uid="{00000000-0005-0000-0000-000015370000}"/>
    <cellStyle name="Comma 2 3 2 2 2 2 2 3" xfId="27300" xr:uid="{00000000-0005-0000-0000-000016370000}"/>
    <cellStyle name="Comma 2 3 2 2 2 2 2 3 2" xfId="45178" xr:uid="{00000000-0005-0000-0000-000017370000}"/>
    <cellStyle name="Comma 2 3 2 2 2 2 2 4" xfId="31513" xr:uid="{00000000-0005-0000-0000-000018370000}"/>
    <cellStyle name="Comma 2 3 2 2 2 2 2 5" xfId="35728" xr:uid="{00000000-0005-0000-0000-000019370000}"/>
    <cellStyle name="Comma 2 3 2 2 2 2 2 6" xfId="39932" xr:uid="{00000000-0005-0000-0000-00001A370000}"/>
    <cellStyle name="Comma 2 3 2 2 2 2 3" xfId="10550" xr:uid="{00000000-0005-0000-0000-00001B370000}"/>
    <cellStyle name="Comma 2 3 2 2 2 2 3 2" xfId="27765" xr:uid="{00000000-0005-0000-0000-00001C370000}"/>
    <cellStyle name="Comma 2 3 2 2 2 2 3 2 2" xfId="45443" xr:uid="{00000000-0005-0000-0000-00001D370000}"/>
    <cellStyle name="Comma 2 3 2 2 2 2 3 3" xfId="31978" xr:uid="{00000000-0005-0000-0000-00001E370000}"/>
    <cellStyle name="Comma 2 3 2 2 2 2 3 4" xfId="36193" xr:uid="{00000000-0005-0000-0000-00001F370000}"/>
    <cellStyle name="Comma 2 3 2 2 2 2 3 5" xfId="40397" xr:uid="{00000000-0005-0000-0000-000020370000}"/>
    <cellStyle name="Comma 2 3 2 2 2 2 4" xfId="25430" xr:uid="{00000000-0005-0000-0000-000021370000}"/>
    <cellStyle name="Comma 2 3 2 2 2 2 4 2" xfId="44769" xr:uid="{00000000-0005-0000-0000-000022370000}"/>
    <cellStyle name="Comma 2 3 2 2 2 2 5" xfId="29642" xr:uid="{00000000-0005-0000-0000-000023370000}"/>
    <cellStyle name="Comma 2 3 2 2 2 2 6" xfId="33858" xr:uid="{00000000-0005-0000-0000-000024370000}"/>
    <cellStyle name="Comma 2 3 2 2 2 2 7" xfId="38062" xr:uid="{00000000-0005-0000-0000-000025370000}"/>
    <cellStyle name="Comma 2 3 2 2 2 3" xfId="6022" xr:uid="{00000000-0005-0000-0000-000026370000}"/>
    <cellStyle name="Comma 2 3 2 2 2 3 2" xfId="11530" xr:uid="{00000000-0005-0000-0000-000027370000}"/>
    <cellStyle name="Comma 2 3 2 2 2 3 2 2" xfId="28289" xr:uid="{00000000-0005-0000-0000-000028370000}"/>
    <cellStyle name="Comma 2 3 2 2 2 3 2 2 2" xfId="45938" xr:uid="{00000000-0005-0000-0000-000029370000}"/>
    <cellStyle name="Comma 2 3 2 2 2 3 2 3" xfId="32502" xr:uid="{00000000-0005-0000-0000-00002A370000}"/>
    <cellStyle name="Comma 2 3 2 2 2 3 2 4" xfId="36717" xr:uid="{00000000-0005-0000-0000-00002B370000}"/>
    <cellStyle name="Comma 2 3 2 2 2 3 2 5" xfId="40921" xr:uid="{00000000-0005-0000-0000-00002C370000}"/>
    <cellStyle name="Comma 2 3 2 2 2 3 3" xfId="25335" xr:uid="{00000000-0005-0000-0000-00002D370000}"/>
    <cellStyle name="Comma 2 3 2 2 2 3 3 2" xfId="44674" xr:uid="{00000000-0005-0000-0000-00002E370000}"/>
    <cellStyle name="Comma 2 3 2 2 2 3 4" xfId="29547" xr:uid="{00000000-0005-0000-0000-00002F370000}"/>
    <cellStyle name="Comma 2 3 2 2 2 3 5" xfId="33763" xr:uid="{00000000-0005-0000-0000-000030370000}"/>
    <cellStyle name="Comma 2 3 2 2 2 3 6" xfId="37967" xr:uid="{00000000-0005-0000-0000-000031370000}"/>
    <cellStyle name="Comma 2 3 2 2 2 4" xfId="6879" xr:uid="{00000000-0005-0000-0000-000032370000}"/>
    <cellStyle name="Comma 2 3 2 2 2 4 2" xfId="11790" xr:uid="{00000000-0005-0000-0000-000033370000}"/>
    <cellStyle name="Comma 2 3 2 2 2 4 2 2" xfId="28510" xr:uid="{00000000-0005-0000-0000-000034370000}"/>
    <cellStyle name="Comma 2 3 2 2 2 4 2 2 2" xfId="46161" xr:uid="{00000000-0005-0000-0000-000035370000}"/>
    <cellStyle name="Comma 2 3 2 2 2 4 2 3" xfId="32723" xr:uid="{00000000-0005-0000-0000-000036370000}"/>
    <cellStyle name="Comma 2 3 2 2 2 4 2 4" xfId="36938" xr:uid="{00000000-0005-0000-0000-000037370000}"/>
    <cellStyle name="Comma 2 3 2 2 2 4 2 5" xfId="41142" xr:uid="{00000000-0005-0000-0000-000038370000}"/>
    <cellStyle name="Comma 2 3 2 2 2 4 3" xfId="25567" xr:uid="{00000000-0005-0000-0000-000039370000}"/>
    <cellStyle name="Comma 2 3 2 2 2 4 3 2" xfId="44895" xr:uid="{00000000-0005-0000-0000-00003A370000}"/>
    <cellStyle name="Comma 2 3 2 2 2 4 4" xfId="29780" xr:uid="{00000000-0005-0000-0000-00003B370000}"/>
    <cellStyle name="Comma 2 3 2 2 2 4 5" xfId="33995" xr:uid="{00000000-0005-0000-0000-00003C370000}"/>
    <cellStyle name="Comma 2 3 2 2 2 4 6" xfId="38199" xr:uid="{00000000-0005-0000-0000-00003D370000}"/>
    <cellStyle name="Comma 2 3 2 2 2 5" xfId="9695" xr:uid="{00000000-0005-0000-0000-00003E370000}"/>
    <cellStyle name="Comma 2 3 2 2 2 5 2" xfId="11434" xr:uid="{00000000-0005-0000-0000-00003F370000}"/>
    <cellStyle name="Comma 2 3 2 2 2 5 2 2" xfId="28194" xr:uid="{00000000-0005-0000-0000-000040370000}"/>
    <cellStyle name="Comma 2 3 2 2 2 5 2 2 2" xfId="45843" xr:uid="{00000000-0005-0000-0000-000041370000}"/>
    <cellStyle name="Comma 2 3 2 2 2 5 2 3" xfId="32407" xr:uid="{00000000-0005-0000-0000-000042370000}"/>
    <cellStyle name="Comma 2 3 2 2 2 5 2 4" xfId="36622" xr:uid="{00000000-0005-0000-0000-000043370000}"/>
    <cellStyle name="Comma 2 3 2 2 2 5 2 5" xfId="40826" xr:uid="{00000000-0005-0000-0000-000044370000}"/>
    <cellStyle name="Comma 2 3 2 2 2 5 3" xfId="27206" xr:uid="{00000000-0005-0000-0000-000045370000}"/>
    <cellStyle name="Comma 2 3 2 2 2 5 3 2" xfId="45075" xr:uid="{00000000-0005-0000-0000-000046370000}"/>
    <cellStyle name="Comma 2 3 2 2 2 5 4" xfId="31419" xr:uid="{00000000-0005-0000-0000-000047370000}"/>
    <cellStyle name="Comma 2 3 2 2 2 5 5" xfId="35634" xr:uid="{00000000-0005-0000-0000-000048370000}"/>
    <cellStyle name="Comma 2 3 2 2 2 5 6" xfId="39838" xr:uid="{00000000-0005-0000-0000-000049370000}"/>
    <cellStyle name="Comma 2 3 2 2 2 6" xfId="10433" xr:uid="{00000000-0005-0000-0000-00004A370000}"/>
    <cellStyle name="Comma 2 3 2 2 2 6 2" xfId="27671" xr:uid="{00000000-0005-0000-0000-00004B370000}"/>
    <cellStyle name="Comma 2 3 2 2 2 6 2 2" xfId="45349" xr:uid="{00000000-0005-0000-0000-00004C370000}"/>
    <cellStyle name="Comma 2 3 2 2 2 6 3" xfId="31884" xr:uid="{00000000-0005-0000-0000-00004D370000}"/>
    <cellStyle name="Comma 2 3 2 2 2 6 4" xfId="36099" xr:uid="{00000000-0005-0000-0000-00004E370000}"/>
    <cellStyle name="Comma 2 3 2 2 2 6 5" xfId="40303" xr:uid="{00000000-0005-0000-0000-00004F370000}"/>
    <cellStyle name="Comma 2 3 2 2 2 7" xfId="25240" xr:uid="{00000000-0005-0000-0000-000050370000}"/>
    <cellStyle name="Comma 2 3 2 2 2 7 2" xfId="44579" xr:uid="{00000000-0005-0000-0000-000051370000}"/>
    <cellStyle name="Comma 2 3 2 2 2 8" xfId="29452" xr:uid="{00000000-0005-0000-0000-000052370000}"/>
    <cellStyle name="Comma 2 3 2 2 2 9" xfId="33668" xr:uid="{00000000-0005-0000-0000-000053370000}"/>
    <cellStyle name="Comma 2 3 2 2 3" xfId="6073" xr:uid="{00000000-0005-0000-0000-000054370000}"/>
    <cellStyle name="Comma 2 3 2 2 3 2" xfId="9753" xr:uid="{00000000-0005-0000-0000-000055370000}"/>
    <cellStyle name="Comma 2 3 2 2 3 2 2" xfId="11581" xr:uid="{00000000-0005-0000-0000-000056370000}"/>
    <cellStyle name="Comma 2 3 2 2 3 2 2 2" xfId="28337" xr:uid="{00000000-0005-0000-0000-000057370000}"/>
    <cellStyle name="Comma 2 3 2 2 3 2 2 2 2" xfId="45986" xr:uid="{00000000-0005-0000-0000-000058370000}"/>
    <cellStyle name="Comma 2 3 2 2 3 2 2 3" xfId="32550" xr:uid="{00000000-0005-0000-0000-000059370000}"/>
    <cellStyle name="Comma 2 3 2 2 3 2 2 4" xfId="36765" xr:uid="{00000000-0005-0000-0000-00005A370000}"/>
    <cellStyle name="Comma 2 3 2 2 3 2 2 5" xfId="40969" xr:uid="{00000000-0005-0000-0000-00005B370000}"/>
    <cellStyle name="Comma 2 3 2 2 3 2 3" xfId="27253" xr:uid="{00000000-0005-0000-0000-00005C370000}"/>
    <cellStyle name="Comma 2 3 2 2 3 2 3 2" xfId="45131" xr:uid="{00000000-0005-0000-0000-00005D370000}"/>
    <cellStyle name="Comma 2 3 2 2 3 2 4" xfId="31466" xr:uid="{00000000-0005-0000-0000-00005E370000}"/>
    <cellStyle name="Comma 2 3 2 2 3 2 5" xfId="35681" xr:uid="{00000000-0005-0000-0000-00005F370000}"/>
    <cellStyle name="Comma 2 3 2 2 3 2 6" xfId="39885" xr:uid="{00000000-0005-0000-0000-000060370000}"/>
    <cellStyle name="Comma 2 3 2 2 3 3" xfId="10480" xr:uid="{00000000-0005-0000-0000-000061370000}"/>
    <cellStyle name="Comma 2 3 2 2 3 3 2" xfId="27718" xr:uid="{00000000-0005-0000-0000-000062370000}"/>
    <cellStyle name="Comma 2 3 2 2 3 3 2 2" xfId="45396" xr:uid="{00000000-0005-0000-0000-000063370000}"/>
    <cellStyle name="Comma 2 3 2 2 3 3 3" xfId="31931" xr:uid="{00000000-0005-0000-0000-000064370000}"/>
    <cellStyle name="Comma 2 3 2 2 3 3 4" xfId="36146" xr:uid="{00000000-0005-0000-0000-000065370000}"/>
    <cellStyle name="Comma 2 3 2 2 3 3 5" xfId="40350" xr:uid="{00000000-0005-0000-0000-000066370000}"/>
    <cellStyle name="Comma 2 3 2 2 3 4" xfId="25383" xr:uid="{00000000-0005-0000-0000-000067370000}"/>
    <cellStyle name="Comma 2 3 2 2 3 4 2" xfId="44722" xr:uid="{00000000-0005-0000-0000-000068370000}"/>
    <cellStyle name="Comma 2 3 2 2 3 5" xfId="29595" xr:uid="{00000000-0005-0000-0000-000069370000}"/>
    <cellStyle name="Comma 2 3 2 2 3 6" xfId="33811" xr:uid="{00000000-0005-0000-0000-00006A370000}"/>
    <cellStyle name="Comma 2 3 2 2 3 7" xfId="38015" xr:uid="{00000000-0005-0000-0000-00006B370000}"/>
    <cellStyle name="Comma 2 3 2 2 4" xfId="5975" xr:uid="{00000000-0005-0000-0000-00006C370000}"/>
    <cellStyle name="Comma 2 3 2 2 4 2" xfId="11483" xr:uid="{00000000-0005-0000-0000-00006D370000}"/>
    <cellStyle name="Comma 2 3 2 2 4 2 2" xfId="28242" xr:uid="{00000000-0005-0000-0000-00006E370000}"/>
    <cellStyle name="Comma 2 3 2 2 4 2 2 2" xfId="45891" xr:uid="{00000000-0005-0000-0000-00006F370000}"/>
    <cellStyle name="Comma 2 3 2 2 4 2 3" xfId="32455" xr:uid="{00000000-0005-0000-0000-000070370000}"/>
    <cellStyle name="Comma 2 3 2 2 4 2 4" xfId="36670" xr:uid="{00000000-0005-0000-0000-000071370000}"/>
    <cellStyle name="Comma 2 3 2 2 4 2 5" xfId="40874" xr:uid="{00000000-0005-0000-0000-000072370000}"/>
    <cellStyle name="Comma 2 3 2 2 4 3" xfId="25288" xr:uid="{00000000-0005-0000-0000-000073370000}"/>
    <cellStyle name="Comma 2 3 2 2 4 3 2" xfId="44627" xr:uid="{00000000-0005-0000-0000-000074370000}"/>
    <cellStyle name="Comma 2 3 2 2 4 4" xfId="29500" xr:uid="{00000000-0005-0000-0000-000075370000}"/>
    <cellStyle name="Comma 2 3 2 2 4 5" xfId="33716" xr:uid="{00000000-0005-0000-0000-000076370000}"/>
    <cellStyle name="Comma 2 3 2 2 4 6" xfId="37920" xr:uid="{00000000-0005-0000-0000-000077370000}"/>
    <cellStyle name="Comma 2 3 2 2 5" xfId="6166" xr:uid="{00000000-0005-0000-0000-000078370000}"/>
    <cellStyle name="Comma 2 3 2 2 5 2" xfId="11674" xr:uid="{00000000-0005-0000-0000-000079370000}"/>
    <cellStyle name="Comma 2 3 2 2 5 2 2" xfId="28430" xr:uid="{00000000-0005-0000-0000-00007A370000}"/>
    <cellStyle name="Comma 2 3 2 2 5 2 2 2" xfId="46079" xr:uid="{00000000-0005-0000-0000-00007B370000}"/>
    <cellStyle name="Comma 2 3 2 2 5 2 3" xfId="32643" xr:uid="{00000000-0005-0000-0000-00007C370000}"/>
    <cellStyle name="Comma 2 3 2 2 5 2 4" xfId="36858" xr:uid="{00000000-0005-0000-0000-00007D370000}"/>
    <cellStyle name="Comma 2 3 2 2 5 2 5" xfId="41062" xr:uid="{00000000-0005-0000-0000-00007E370000}"/>
    <cellStyle name="Comma 2 3 2 2 5 3" xfId="25476" xr:uid="{00000000-0005-0000-0000-00007F370000}"/>
    <cellStyle name="Comma 2 3 2 2 5 3 2" xfId="44815" xr:uid="{00000000-0005-0000-0000-000080370000}"/>
    <cellStyle name="Comma 2 3 2 2 5 4" xfId="29688" xr:uid="{00000000-0005-0000-0000-000081370000}"/>
    <cellStyle name="Comma 2 3 2 2 5 5" xfId="33904" xr:uid="{00000000-0005-0000-0000-000082370000}"/>
    <cellStyle name="Comma 2 3 2 2 5 6" xfId="38108" xr:uid="{00000000-0005-0000-0000-000083370000}"/>
    <cellStyle name="Comma 2 3 2 2 6" xfId="6339" xr:uid="{00000000-0005-0000-0000-000084370000}"/>
    <cellStyle name="Comma 2 3 2 2 6 2" xfId="11751" xr:uid="{00000000-0005-0000-0000-000085370000}"/>
    <cellStyle name="Comma 2 3 2 2 6 2 2" xfId="28473" xr:uid="{00000000-0005-0000-0000-000086370000}"/>
    <cellStyle name="Comma 2 3 2 2 6 2 2 2" xfId="46122" xr:uid="{00000000-0005-0000-0000-000087370000}"/>
    <cellStyle name="Comma 2 3 2 2 6 2 3" xfId="32686" xr:uid="{00000000-0005-0000-0000-000088370000}"/>
    <cellStyle name="Comma 2 3 2 2 6 2 4" xfId="36901" xr:uid="{00000000-0005-0000-0000-000089370000}"/>
    <cellStyle name="Comma 2 3 2 2 6 2 5" xfId="41105" xr:uid="{00000000-0005-0000-0000-00008A370000}"/>
    <cellStyle name="Comma 2 3 2 2 6 3" xfId="25529" xr:uid="{00000000-0005-0000-0000-00008B370000}"/>
    <cellStyle name="Comma 2 3 2 2 6 3 2" xfId="44858" xr:uid="{00000000-0005-0000-0000-00008C370000}"/>
    <cellStyle name="Comma 2 3 2 2 6 4" xfId="29741" xr:uid="{00000000-0005-0000-0000-00008D370000}"/>
    <cellStyle name="Comma 2 3 2 2 6 5" xfId="33957" xr:uid="{00000000-0005-0000-0000-00008E370000}"/>
    <cellStyle name="Comma 2 3 2 2 6 6" xfId="38161" xr:uid="{00000000-0005-0000-0000-00008F370000}"/>
    <cellStyle name="Comma 2 3 2 2 7" xfId="9644" xr:uid="{00000000-0005-0000-0000-000090370000}"/>
    <cellStyle name="Comma 2 3 2 2 7 2" xfId="11378" xr:uid="{00000000-0005-0000-0000-000091370000}"/>
    <cellStyle name="Comma 2 3 2 2 7 2 2" xfId="28147" xr:uid="{00000000-0005-0000-0000-000092370000}"/>
    <cellStyle name="Comma 2 3 2 2 7 2 2 2" xfId="45796" xr:uid="{00000000-0005-0000-0000-000093370000}"/>
    <cellStyle name="Comma 2 3 2 2 7 2 3" xfId="32360" xr:uid="{00000000-0005-0000-0000-000094370000}"/>
    <cellStyle name="Comma 2 3 2 2 7 2 4" xfId="36575" xr:uid="{00000000-0005-0000-0000-000095370000}"/>
    <cellStyle name="Comma 2 3 2 2 7 2 5" xfId="40779" xr:uid="{00000000-0005-0000-0000-000096370000}"/>
    <cellStyle name="Comma 2 3 2 2 7 3" xfId="27159" xr:uid="{00000000-0005-0000-0000-000097370000}"/>
    <cellStyle name="Comma 2 3 2 2 7 3 2" xfId="45028" xr:uid="{00000000-0005-0000-0000-000098370000}"/>
    <cellStyle name="Comma 2 3 2 2 7 4" xfId="31372" xr:uid="{00000000-0005-0000-0000-000099370000}"/>
    <cellStyle name="Comma 2 3 2 2 7 5" xfId="35587" xr:uid="{00000000-0005-0000-0000-00009A370000}"/>
    <cellStyle name="Comma 2 3 2 2 7 6" xfId="39791" xr:uid="{00000000-0005-0000-0000-00009B370000}"/>
    <cellStyle name="Comma 2 3 2 2 8" xfId="10233" xr:uid="{00000000-0005-0000-0000-00009C370000}"/>
    <cellStyle name="Comma 2 3 2 2 8 2" xfId="27624" xr:uid="{00000000-0005-0000-0000-00009D370000}"/>
    <cellStyle name="Comma 2 3 2 2 8 2 2" xfId="45302" xr:uid="{00000000-0005-0000-0000-00009E370000}"/>
    <cellStyle name="Comma 2 3 2 2 8 3" xfId="31837" xr:uid="{00000000-0005-0000-0000-00009F370000}"/>
    <cellStyle name="Comma 2 3 2 2 8 4" xfId="36052" xr:uid="{00000000-0005-0000-0000-0000A0370000}"/>
    <cellStyle name="Comma 2 3 2 2 8 5" xfId="40256" xr:uid="{00000000-0005-0000-0000-0000A1370000}"/>
    <cellStyle name="Comma 2 3 2 2 9" xfId="24336" xr:uid="{00000000-0005-0000-0000-0000A2370000}"/>
    <cellStyle name="Comma 2 3 2 2 9 2" xfId="29021" xr:uid="{00000000-0005-0000-0000-0000A3370000}"/>
    <cellStyle name="Comma 2 3 2 2 9 3" xfId="33238" xr:uid="{00000000-0005-0000-0000-0000A4370000}"/>
    <cellStyle name="Comma 2 3 2 2 9 4" xfId="37449" xr:uid="{00000000-0005-0000-0000-0000A5370000}"/>
    <cellStyle name="Comma 2 3 2 2 9 5" xfId="44532" xr:uid="{00000000-0005-0000-0000-0000A6370000}"/>
    <cellStyle name="Comma 2 3 2 3" xfId="5874" xr:uid="{00000000-0005-0000-0000-0000A7370000}"/>
    <cellStyle name="Comma 2 3 2 3 10" xfId="29413" xr:uid="{00000000-0005-0000-0000-0000A8370000}"/>
    <cellStyle name="Comma 2 3 2 3 11" xfId="33629" xr:uid="{00000000-0005-0000-0000-0000A9370000}"/>
    <cellStyle name="Comma 2 3 2 3 12" xfId="37833" xr:uid="{00000000-0005-0000-0000-0000AA370000}"/>
    <cellStyle name="Comma 2 3 2 3 2" xfId="5935" xr:uid="{00000000-0005-0000-0000-0000AB370000}"/>
    <cellStyle name="Comma 2 3 2 3 2 10" xfId="37882" xr:uid="{00000000-0005-0000-0000-0000AC370000}"/>
    <cellStyle name="Comma 2 3 2 3 2 2" xfId="6130" xr:uid="{00000000-0005-0000-0000-0000AD370000}"/>
    <cellStyle name="Comma 2 3 2 3 2 2 2" xfId="9814" xr:uid="{00000000-0005-0000-0000-0000AE370000}"/>
    <cellStyle name="Comma 2 3 2 3 2 2 2 2" xfId="11638" xr:uid="{00000000-0005-0000-0000-0000AF370000}"/>
    <cellStyle name="Comma 2 3 2 3 2 2 2 2 2" xfId="28394" xr:uid="{00000000-0005-0000-0000-0000B0370000}"/>
    <cellStyle name="Comma 2 3 2 3 2 2 2 2 2 2" xfId="46043" xr:uid="{00000000-0005-0000-0000-0000B1370000}"/>
    <cellStyle name="Comma 2 3 2 3 2 2 2 2 3" xfId="32607" xr:uid="{00000000-0005-0000-0000-0000B2370000}"/>
    <cellStyle name="Comma 2 3 2 3 2 2 2 2 4" xfId="36822" xr:uid="{00000000-0005-0000-0000-0000B3370000}"/>
    <cellStyle name="Comma 2 3 2 3 2 2 2 2 5" xfId="41026" xr:uid="{00000000-0005-0000-0000-0000B4370000}"/>
    <cellStyle name="Comma 2 3 2 3 2 2 2 3" xfId="27301" xr:uid="{00000000-0005-0000-0000-0000B5370000}"/>
    <cellStyle name="Comma 2 3 2 3 2 2 2 3 2" xfId="45179" xr:uid="{00000000-0005-0000-0000-0000B6370000}"/>
    <cellStyle name="Comma 2 3 2 3 2 2 2 4" xfId="31514" xr:uid="{00000000-0005-0000-0000-0000B7370000}"/>
    <cellStyle name="Comma 2 3 2 3 2 2 2 5" xfId="35729" xr:uid="{00000000-0005-0000-0000-0000B8370000}"/>
    <cellStyle name="Comma 2 3 2 3 2 2 2 6" xfId="39933" xr:uid="{00000000-0005-0000-0000-0000B9370000}"/>
    <cellStyle name="Comma 2 3 2 3 2 2 3" xfId="10551" xr:uid="{00000000-0005-0000-0000-0000BA370000}"/>
    <cellStyle name="Comma 2 3 2 3 2 2 3 2" xfId="27766" xr:uid="{00000000-0005-0000-0000-0000BB370000}"/>
    <cellStyle name="Comma 2 3 2 3 2 2 3 2 2" xfId="45444" xr:uid="{00000000-0005-0000-0000-0000BC370000}"/>
    <cellStyle name="Comma 2 3 2 3 2 2 3 3" xfId="31979" xr:uid="{00000000-0005-0000-0000-0000BD370000}"/>
    <cellStyle name="Comma 2 3 2 3 2 2 3 4" xfId="36194" xr:uid="{00000000-0005-0000-0000-0000BE370000}"/>
    <cellStyle name="Comma 2 3 2 3 2 2 3 5" xfId="40398" xr:uid="{00000000-0005-0000-0000-0000BF370000}"/>
    <cellStyle name="Comma 2 3 2 3 2 2 4" xfId="25440" xr:uid="{00000000-0005-0000-0000-0000C0370000}"/>
    <cellStyle name="Comma 2 3 2 3 2 2 4 2" xfId="44779" xr:uid="{00000000-0005-0000-0000-0000C1370000}"/>
    <cellStyle name="Comma 2 3 2 3 2 2 5" xfId="29652" xr:uid="{00000000-0005-0000-0000-0000C2370000}"/>
    <cellStyle name="Comma 2 3 2 3 2 2 6" xfId="33868" xr:uid="{00000000-0005-0000-0000-0000C3370000}"/>
    <cellStyle name="Comma 2 3 2 3 2 2 7" xfId="38072" xr:uid="{00000000-0005-0000-0000-0000C4370000}"/>
    <cellStyle name="Comma 2 3 2 3 2 3" xfId="6032" xr:uid="{00000000-0005-0000-0000-0000C5370000}"/>
    <cellStyle name="Comma 2 3 2 3 2 3 2" xfId="11540" xr:uid="{00000000-0005-0000-0000-0000C6370000}"/>
    <cellStyle name="Comma 2 3 2 3 2 3 2 2" xfId="28299" xr:uid="{00000000-0005-0000-0000-0000C7370000}"/>
    <cellStyle name="Comma 2 3 2 3 2 3 2 2 2" xfId="45948" xr:uid="{00000000-0005-0000-0000-0000C8370000}"/>
    <cellStyle name="Comma 2 3 2 3 2 3 2 3" xfId="32512" xr:uid="{00000000-0005-0000-0000-0000C9370000}"/>
    <cellStyle name="Comma 2 3 2 3 2 3 2 4" xfId="36727" xr:uid="{00000000-0005-0000-0000-0000CA370000}"/>
    <cellStyle name="Comma 2 3 2 3 2 3 2 5" xfId="40931" xr:uid="{00000000-0005-0000-0000-0000CB370000}"/>
    <cellStyle name="Comma 2 3 2 3 2 3 3" xfId="25345" xr:uid="{00000000-0005-0000-0000-0000CC370000}"/>
    <cellStyle name="Comma 2 3 2 3 2 3 3 2" xfId="44684" xr:uid="{00000000-0005-0000-0000-0000CD370000}"/>
    <cellStyle name="Comma 2 3 2 3 2 3 4" xfId="29557" xr:uid="{00000000-0005-0000-0000-0000CE370000}"/>
    <cellStyle name="Comma 2 3 2 3 2 3 5" xfId="33773" xr:uid="{00000000-0005-0000-0000-0000CF370000}"/>
    <cellStyle name="Comma 2 3 2 3 2 3 6" xfId="37977" xr:uid="{00000000-0005-0000-0000-0000D0370000}"/>
    <cellStyle name="Comma 2 3 2 3 2 4" xfId="6880" xr:uid="{00000000-0005-0000-0000-0000D1370000}"/>
    <cellStyle name="Comma 2 3 2 3 2 4 2" xfId="11791" xr:uid="{00000000-0005-0000-0000-0000D2370000}"/>
    <cellStyle name="Comma 2 3 2 3 2 4 2 2" xfId="28511" xr:uid="{00000000-0005-0000-0000-0000D3370000}"/>
    <cellStyle name="Comma 2 3 2 3 2 4 2 2 2" xfId="46162" xr:uid="{00000000-0005-0000-0000-0000D4370000}"/>
    <cellStyle name="Comma 2 3 2 3 2 4 2 3" xfId="32724" xr:uid="{00000000-0005-0000-0000-0000D5370000}"/>
    <cellStyle name="Comma 2 3 2 3 2 4 2 4" xfId="36939" xr:uid="{00000000-0005-0000-0000-0000D6370000}"/>
    <cellStyle name="Comma 2 3 2 3 2 4 2 5" xfId="41143" xr:uid="{00000000-0005-0000-0000-0000D7370000}"/>
    <cellStyle name="Comma 2 3 2 3 2 4 3" xfId="25568" xr:uid="{00000000-0005-0000-0000-0000D8370000}"/>
    <cellStyle name="Comma 2 3 2 3 2 4 3 2" xfId="44896" xr:uid="{00000000-0005-0000-0000-0000D9370000}"/>
    <cellStyle name="Comma 2 3 2 3 2 4 4" xfId="29781" xr:uid="{00000000-0005-0000-0000-0000DA370000}"/>
    <cellStyle name="Comma 2 3 2 3 2 4 5" xfId="33996" xr:uid="{00000000-0005-0000-0000-0000DB370000}"/>
    <cellStyle name="Comma 2 3 2 3 2 4 6" xfId="38200" xr:uid="{00000000-0005-0000-0000-0000DC370000}"/>
    <cellStyle name="Comma 2 3 2 3 2 5" xfId="9696" xr:uid="{00000000-0005-0000-0000-0000DD370000}"/>
    <cellStyle name="Comma 2 3 2 3 2 5 2" xfId="11444" xr:uid="{00000000-0005-0000-0000-0000DE370000}"/>
    <cellStyle name="Comma 2 3 2 3 2 5 2 2" xfId="28204" xr:uid="{00000000-0005-0000-0000-0000DF370000}"/>
    <cellStyle name="Comma 2 3 2 3 2 5 2 2 2" xfId="45853" xr:uid="{00000000-0005-0000-0000-0000E0370000}"/>
    <cellStyle name="Comma 2 3 2 3 2 5 2 3" xfId="32417" xr:uid="{00000000-0005-0000-0000-0000E1370000}"/>
    <cellStyle name="Comma 2 3 2 3 2 5 2 4" xfId="36632" xr:uid="{00000000-0005-0000-0000-0000E2370000}"/>
    <cellStyle name="Comma 2 3 2 3 2 5 2 5" xfId="40836" xr:uid="{00000000-0005-0000-0000-0000E3370000}"/>
    <cellStyle name="Comma 2 3 2 3 2 5 3" xfId="27207" xr:uid="{00000000-0005-0000-0000-0000E4370000}"/>
    <cellStyle name="Comma 2 3 2 3 2 5 3 2" xfId="45076" xr:uid="{00000000-0005-0000-0000-0000E5370000}"/>
    <cellStyle name="Comma 2 3 2 3 2 5 4" xfId="31420" xr:uid="{00000000-0005-0000-0000-0000E6370000}"/>
    <cellStyle name="Comma 2 3 2 3 2 5 5" xfId="35635" xr:uid="{00000000-0005-0000-0000-0000E7370000}"/>
    <cellStyle name="Comma 2 3 2 3 2 5 6" xfId="39839" xr:uid="{00000000-0005-0000-0000-0000E8370000}"/>
    <cellStyle name="Comma 2 3 2 3 2 6" xfId="10434" xr:uid="{00000000-0005-0000-0000-0000E9370000}"/>
    <cellStyle name="Comma 2 3 2 3 2 6 2" xfId="27672" xr:uid="{00000000-0005-0000-0000-0000EA370000}"/>
    <cellStyle name="Comma 2 3 2 3 2 6 2 2" xfId="45350" xr:uid="{00000000-0005-0000-0000-0000EB370000}"/>
    <cellStyle name="Comma 2 3 2 3 2 6 3" xfId="31885" xr:uid="{00000000-0005-0000-0000-0000EC370000}"/>
    <cellStyle name="Comma 2 3 2 3 2 6 4" xfId="36100" xr:uid="{00000000-0005-0000-0000-0000ED370000}"/>
    <cellStyle name="Comma 2 3 2 3 2 6 5" xfId="40304" xr:uid="{00000000-0005-0000-0000-0000EE370000}"/>
    <cellStyle name="Comma 2 3 2 3 2 7" xfId="25250" xr:uid="{00000000-0005-0000-0000-0000EF370000}"/>
    <cellStyle name="Comma 2 3 2 3 2 7 2" xfId="44589" xr:uid="{00000000-0005-0000-0000-0000F0370000}"/>
    <cellStyle name="Comma 2 3 2 3 2 8" xfId="29462" xr:uid="{00000000-0005-0000-0000-0000F1370000}"/>
    <cellStyle name="Comma 2 3 2 3 2 9" xfId="33678" xr:uid="{00000000-0005-0000-0000-0000F2370000}"/>
    <cellStyle name="Comma 2 3 2 3 3" xfId="6083" xr:uid="{00000000-0005-0000-0000-0000F3370000}"/>
    <cellStyle name="Comma 2 3 2 3 3 2" xfId="9754" xr:uid="{00000000-0005-0000-0000-0000F4370000}"/>
    <cellStyle name="Comma 2 3 2 3 3 2 2" xfId="11591" xr:uid="{00000000-0005-0000-0000-0000F5370000}"/>
    <cellStyle name="Comma 2 3 2 3 3 2 2 2" xfId="28347" xr:uid="{00000000-0005-0000-0000-0000F6370000}"/>
    <cellStyle name="Comma 2 3 2 3 3 2 2 2 2" xfId="45996" xr:uid="{00000000-0005-0000-0000-0000F7370000}"/>
    <cellStyle name="Comma 2 3 2 3 3 2 2 3" xfId="32560" xr:uid="{00000000-0005-0000-0000-0000F8370000}"/>
    <cellStyle name="Comma 2 3 2 3 3 2 2 4" xfId="36775" xr:uid="{00000000-0005-0000-0000-0000F9370000}"/>
    <cellStyle name="Comma 2 3 2 3 3 2 2 5" xfId="40979" xr:uid="{00000000-0005-0000-0000-0000FA370000}"/>
    <cellStyle name="Comma 2 3 2 3 3 2 3" xfId="27254" xr:uid="{00000000-0005-0000-0000-0000FB370000}"/>
    <cellStyle name="Comma 2 3 2 3 3 2 3 2" xfId="45132" xr:uid="{00000000-0005-0000-0000-0000FC370000}"/>
    <cellStyle name="Comma 2 3 2 3 3 2 4" xfId="31467" xr:uid="{00000000-0005-0000-0000-0000FD370000}"/>
    <cellStyle name="Comma 2 3 2 3 3 2 5" xfId="35682" xr:uid="{00000000-0005-0000-0000-0000FE370000}"/>
    <cellStyle name="Comma 2 3 2 3 3 2 6" xfId="39886" xr:uid="{00000000-0005-0000-0000-0000FF370000}"/>
    <cellStyle name="Comma 2 3 2 3 3 3" xfId="10481" xr:uid="{00000000-0005-0000-0000-000000380000}"/>
    <cellStyle name="Comma 2 3 2 3 3 3 2" xfId="27719" xr:uid="{00000000-0005-0000-0000-000001380000}"/>
    <cellStyle name="Comma 2 3 2 3 3 3 2 2" xfId="45397" xr:uid="{00000000-0005-0000-0000-000002380000}"/>
    <cellStyle name="Comma 2 3 2 3 3 3 3" xfId="31932" xr:uid="{00000000-0005-0000-0000-000003380000}"/>
    <cellStyle name="Comma 2 3 2 3 3 3 4" xfId="36147" xr:uid="{00000000-0005-0000-0000-000004380000}"/>
    <cellStyle name="Comma 2 3 2 3 3 3 5" xfId="40351" xr:uid="{00000000-0005-0000-0000-000005380000}"/>
    <cellStyle name="Comma 2 3 2 3 3 4" xfId="25393" xr:uid="{00000000-0005-0000-0000-000006380000}"/>
    <cellStyle name="Comma 2 3 2 3 3 4 2" xfId="44732" xr:uid="{00000000-0005-0000-0000-000007380000}"/>
    <cellStyle name="Comma 2 3 2 3 3 5" xfId="29605" xr:uid="{00000000-0005-0000-0000-000008380000}"/>
    <cellStyle name="Comma 2 3 2 3 3 6" xfId="33821" xr:uid="{00000000-0005-0000-0000-000009380000}"/>
    <cellStyle name="Comma 2 3 2 3 3 7" xfId="38025" xr:uid="{00000000-0005-0000-0000-00000A380000}"/>
    <cellStyle name="Comma 2 3 2 3 4" xfId="5985" xr:uid="{00000000-0005-0000-0000-00000B380000}"/>
    <cellStyle name="Comma 2 3 2 3 4 2" xfId="11493" xr:uid="{00000000-0005-0000-0000-00000C380000}"/>
    <cellStyle name="Comma 2 3 2 3 4 2 2" xfId="28252" xr:uid="{00000000-0005-0000-0000-00000D380000}"/>
    <cellStyle name="Comma 2 3 2 3 4 2 2 2" xfId="45901" xr:uid="{00000000-0005-0000-0000-00000E380000}"/>
    <cellStyle name="Comma 2 3 2 3 4 2 3" xfId="32465" xr:uid="{00000000-0005-0000-0000-00000F380000}"/>
    <cellStyle name="Comma 2 3 2 3 4 2 4" xfId="36680" xr:uid="{00000000-0005-0000-0000-000010380000}"/>
    <cellStyle name="Comma 2 3 2 3 4 2 5" xfId="40884" xr:uid="{00000000-0005-0000-0000-000011380000}"/>
    <cellStyle name="Comma 2 3 2 3 4 3" xfId="25298" xr:uid="{00000000-0005-0000-0000-000012380000}"/>
    <cellStyle name="Comma 2 3 2 3 4 3 2" xfId="44637" xr:uid="{00000000-0005-0000-0000-000013380000}"/>
    <cellStyle name="Comma 2 3 2 3 4 4" xfId="29510" xr:uid="{00000000-0005-0000-0000-000014380000}"/>
    <cellStyle name="Comma 2 3 2 3 4 5" xfId="33726" xr:uid="{00000000-0005-0000-0000-000015380000}"/>
    <cellStyle name="Comma 2 3 2 3 4 6" xfId="37930" xr:uid="{00000000-0005-0000-0000-000016380000}"/>
    <cellStyle name="Comma 2 3 2 3 5" xfId="6167" xr:uid="{00000000-0005-0000-0000-000017380000}"/>
    <cellStyle name="Comma 2 3 2 3 5 2" xfId="11675" xr:uid="{00000000-0005-0000-0000-000018380000}"/>
    <cellStyle name="Comma 2 3 2 3 5 2 2" xfId="28431" xr:uid="{00000000-0005-0000-0000-000019380000}"/>
    <cellStyle name="Comma 2 3 2 3 5 2 2 2" xfId="46080" xr:uid="{00000000-0005-0000-0000-00001A380000}"/>
    <cellStyle name="Comma 2 3 2 3 5 2 3" xfId="32644" xr:uid="{00000000-0005-0000-0000-00001B380000}"/>
    <cellStyle name="Comma 2 3 2 3 5 2 4" xfId="36859" xr:uid="{00000000-0005-0000-0000-00001C380000}"/>
    <cellStyle name="Comma 2 3 2 3 5 2 5" xfId="41063" xr:uid="{00000000-0005-0000-0000-00001D380000}"/>
    <cellStyle name="Comma 2 3 2 3 5 3" xfId="25477" xr:uid="{00000000-0005-0000-0000-00001E380000}"/>
    <cellStyle name="Comma 2 3 2 3 5 3 2" xfId="44816" xr:uid="{00000000-0005-0000-0000-00001F380000}"/>
    <cellStyle name="Comma 2 3 2 3 5 4" xfId="29689" xr:uid="{00000000-0005-0000-0000-000020380000}"/>
    <cellStyle name="Comma 2 3 2 3 5 5" xfId="33905" xr:uid="{00000000-0005-0000-0000-000021380000}"/>
    <cellStyle name="Comma 2 3 2 3 5 6" xfId="38109" xr:uid="{00000000-0005-0000-0000-000022380000}"/>
    <cellStyle name="Comma 2 3 2 3 6" xfId="6340" xr:uid="{00000000-0005-0000-0000-000023380000}"/>
    <cellStyle name="Comma 2 3 2 3 6 2" xfId="11752" xr:uid="{00000000-0005-0000-0000-000024380000}"/>
    <cellStyle name="Comma 2 3 2 3 6 2 2" xfId="28474" xr:uid="{00000000-0005-0000-0000-000025380000}"/>
    <cellStyle name="Comma 2 3 2 3 6 2 2 2" xfId="46123" xr:uid="{00000000-0005-0000-0000-000026380000}"/>
    <cellStyle name="Comma 2 3 2 3 6 2 3" xfId="32687" xr:uid="{00000000-0005-0000-0000-000027380000}"/>
    <cellStyle name="Comma 2 3 2 3 6 2 4" xfId="36902" xr:uid="{00000000-0005-0000-0000-000028380000}"/>
    <cellStyle name="Comma 2 3 2 3 6 2 5" xfId="41106" xr:uid="{00000000-0005-0000-0000-000029380000}"/>
    <cellStyle name="Comma 2 3 2 3 6 3" xfId="25530" xr:uid="{00000000-0005-0000-0000-00002A380000}"/>
    <cellStyle name="Comma 2 3 2 3 6 3 2" xfId="44859" xr:uid="{00000000-0005-0000-0000-00002B380000}"/>
    <cellStyle name="Comma 2 3 2 3 6 4" xfId="29742" xr:uid="{00000000-0005-0000-0000-00002C380000}"/>
    <cellStyle name="Comma 2 3 2 3 6 5" xfId="33958" xr:uid="{00000000-0005-0000-0000-00002D380000}"/>
    <cellStyle name="Comma 2 3 2 3 6 6" xfId="38162" xr:uid="{00000000-0005-0000-0000-00002E380000}"/>
    <cellStyle name="Comma 2 3 2 3 7" xfId="9645" xr:uid="{00000000-0005-0000-0000-00002F380000}"/>
    <cellStyle name="Comma 2 3 2 3 7 2" xfId="11388" xr:uid="{00000000-0005-0000-0000-000030380000}"/>
    <cellStyle name="Comma 2 3 2 3 7 2 2" xfId="28157" xr:uid="{00000000-0005-0000-0000-000031380000}"/>
    <cellStyle name="Comma 2 3 2 3 7 2 2 2" xfId="45806" xr:uid="{00000000-0005-0000-0000-000032380000}"/>
    <cellStyle name="Comma 2 3 2 3 7 2 3" xfId="32370" xr:uid="{00000000-0005-0000-0000-000033380000}"/>
    <cellStyle name="Comma 2 3 2 3 7 2 4" xfId="36585" xr:uid="{00000000-0005-0000-0000-000034380000}"/>
    <cellStyle name="Comma 2 3 2 3 7 2 5" xfId="40789" xr:uid="{00000000-0005-0000-0000-000035380000}"/>
    <cellStyle name="Comma 2 3 2 3 7 3" xfId="27160" xr:uid="{00000000-0005-0000-0000-000036380000}"/>
    <cellStyle name="Comma 2 3 2 3 7 3 2" xfId="45029" xr:uid="{00000000-0005-0000-0000-000037380000}"/>
    <cellStyle name="Comma 2 3 2 3 7 4" xfId="31373" xr:uid="{00000000-0005-0000-0000-000038380000}"/>
    <cellStyle name="Comma 2 3 2 3 7 5" xfId="35588" xr:uid="{00000000-0005-0000-0000-000039380000}"/>
    <cellStyle name="Comma 2 3 2 3 7 6" xfId="39792" xr:uid="{00000000-0005-0000-0000-00003A380000}"/>
    <cellStyle name="Comma 2 3 2 3 8" xfId="10234" xr:uid="{00000000-0005-0000-0000-00003B380000}"/>
    <cellStyle name="Comma 2 3 2 3 8 2" xfId="27625" xr:uid="{00000000-0005-0000-0000-00003C380000}"/>
    <cellStyle name="Comma 2 3 2 3 8 2 2" xfId="45303" xr:uid="{00000000-0005-0000-0000-00003D380000}"/>
    <cellStyle name="Comma 2 3 2 3 8 3" xfId="31838" xr:uid="{00000000-0005-0000-0000-00003E380000}"/>
    <cellStyle name="Comma 2 3 2 3 8 4" xfId="36053" xr:uid="{00000000-0005-0000-0000-00003F380000}"/>
    <cellStyle name="Comma 2 3 2 3 8 5" xfId="40257" xr:uid="{00000000-0005-0000-0000-000040380000}"/>
    <cellStyle name="Comma 2 3 2 3 9" xfId="25201" xr:uid="{00000000-0005-0000-0000-000041380000}"/>
    <cellStyle name="Comma 2 3 2 3 9 2" xfId="44542" xr:uid="{00000000-0005-0000-0000-000042380000}"/>
    <cellStyle name="Comma 2 3 2 4" xfId="5898" xr:uid="{00000000-0005-0000-0000-000043380000}"/>
    <cellStyle name="Comma 2 3 2 4 10" xfId="33646" xr:uid="{00000000-0005-0000-0000-000044380000}"/>
    <cellStyle name="Comma 2 3 2 4 11" xfId="37850" xr:uid="{00000000-0005-0000-0000-000045380000}"/>
    <cellStyle name="Comma 2 3 2 4 2" xfId="5950" xr:uid="{00000000-0005-0000-0000-000046380000}"/>
    <cellStyle name="Comma 2 3 2 4 2 2" xfId="6145" xr:uid="{00000000-0005-0000-0000-000047380000}"/>
    <cellStyle name="Comma 2 3 2 4 2 2 2" xfId="11653" xr:uid="{00000000-0005-0000-0000-000048380000}"/>
    <cellStyle name="Comma 2 3 2 4 2 2 2 2" xfId="28409" xr:uid="{00000000-0005-0000-0000-000049380000}"/>
    <cellStyle name="Comma 2 3 2 4 2 2 2 2 2" xfId="46058" xr:uid="{00000000-0005-0000-0000-00004A380000}"/>
    <cellStyle name="Comma 2 3 2 4 2 2 2 3" xfId="32622" xr:uid="{00000000-0005-0000-0000-00004B380000}"/>
    <cellStyle name="Comma 2 3 2 4 2 2 2 4" xfId="36837" xr:uid="{00000000-0005-0000-0000-00004C380000}"/>
    <cellStyle name="Comma 2 3 2 4 2 2 2 5" xfId="41041" xr:uid="{00000000-0005-0000-0000-00004D380000}"/>
    <cellStyle name="Comma 2 3 2 4 2 2 3" xfId="25455" xr:uid="{00000000-0005-0000-0000-00004E380000}"/>
    <cellStyle name="Comma 2 3 2 4 2 2 3 2" xfId="44794" xr:uid="{00000000-0005-0000-0000-00004F380000}"/>
    <cellStyle name="Comma 2 3 2 4 2 2 4" xfId="29667" xr:uid="{00000000-0005-0000-0000-000050380000}"/>
    <cellStyle name="Comma 2 3 2 4 2 2 5" xfId="33883" xr:uid="{00000000-0005-0000-0000-000051380000}"/>
    <cellStyle name="Comma 2 3 2 4 2 2 6" xfId="38087" xr:uid="{00000000-0005-0000-0000-000052380000}"/>
    <cellStyle name="Comma 2 3 2 4 2 3" xfId="6047" xr:uid="{00000000-0005-0000-0000-000053380000}"/>
    <cellStyle name="Comma 2 3 2 4 2 3 2" xfId="11555" xr:uid="{00000000-0005-0000-0000-000054380000}"/>
    <cellStyle name="Comma 2 3 2 4 2 3 2 2" xfId="28314" xr:uid="{00000000-0005-0000-0000-000055380000}"/>
    <cellStyle name="Comma 2 3 2 4 2 3 2 2 2" xfId="45963" xr:uid="{00000000-0005-0000-0000-000056380000}"/>
    <cellStyle name="Comma 2 3 2 4 2 3 2 3" xfId="32527" xr:uid="{00000000-0005-0000-0000-000057380000}"/>
    <cellStyle name="Comma 2 3 2 4 2 3 2 4" xfId="36742" xr:uid="{00000000-0005-0000-0000-000058380000}"/>
    <cellStyle name="Comma 2 3 2 4 2 3 2 5" xfId="40946" xr:uid="{00000000-0005-0000-0000-000059380000}"/>
    <cellStyle name="Comma 2 3 2 4 2 3 3" xfId="25360" xr:uid="{00000000-0005-0000-0000-00005A380000}"/>
    <cellStyle name="Comma 2 3 2 4 2 3 3 2" xfId="44699" xr:uid="{00000000-0005-0000-0000-00005B380000}"/>
    <cellStyle name="Comma 2 3 2 4 2 3 4" xfId="29572" xr:uid="{00000000-0005-0000-0000-00005C380000}"/>
    <cellStyle name="Comma 2 3 2 4 2 3 5" xfId="33788" xr:uid="{00000000-0005-0000-0000-00005D380000}"/>
    <cellStyle name="Comma 2 3 2 4 2 3 6" xfId="37992" xr:uid="{00000000-0005-0000-0000-00005E380000}"/>
    <cellStyle name="Comma 2 3 2 4 2 4" xfId="9812" xr:uid="{00000000-0005-0000-0000-00005F380000}"/>
    <cellStyle name="Comma 2 3 2 4 2 4 2" xfId="11459" xr:uid="{00000000-0005-0000-0000-000060380000}"/>
    <cellStyle name="Comma 2 3 2 4 2 4 2 2" xfId="28219" xr:uid="{00000000-0005-0000-0000-000061380000}"/>
    <cellStyle name="Comma 2 3 2 4 2 4 2 2 2" xfId="45868" xr:uid="{00000000-0005-0000-0000-000062380000}"/>
    <cellStyle name="Comma 2 3 2 4 2 4 2 3" xfId="32432" xr:uid="{00000000-0005-0000-0000-000063380000}"/>
    <cellStyle name="Comma 2 3 2 4 2 4 2 4" xfId="36647" xr:uid="{00000000-0005-0000-0000-000064380000}"/>
    <cellStyle name="Comma 2 3 2 4 2 4 2 5" xfId="40851" xr:uid="{00000000-0005-0000-0000-000065380000}"/>
    <cellStyle name="Comma 2 3 2 4 2 4 3" xfId="27299" xr:uid="{00000000-0005-0000-0000-000066380000}"/>
    <cellStyle name="Comma 2 3 2 4 2 4 3 2" xfId="45177" xr:uid="{00000000-0005-0000-0000-000067380000}"/>
    <cellStyle name="Comma 2 3 2 4 2 4 4" xfId="31512" xr:uid="{00000000-0005-0000-0000-000068380000}"/>
    <cellStyle name="Comma 2 3 2 4 2 4 5" xfId="35727" xr:uid="{00000000-0005-0000-0000-000069380000}"/>
    <cellStyle name="Comma 2 3 2 4 2 4 6" xfId="39931" xr:uid="{00000000-0005-0000-0000-00006A380000}"/>
    <cellStyle name="Comma 2 3 2 4 2 5" xfId="10549" xr:uid="{00000000-0005-0000-0000-00006B380000}"/>
    <cellStyle name="Comma 2 3 2 4 2 5 2" xfId="27764" xr:uid="{00000000-0005-0000-0000-00006C380000}"/>
    <cellStyle name="Comma 2 3 2 4 2 5 2 2" xfId="45442" xr:uid="{00000000-0005-0000-0000-00006D380000}"/>
    <cellStyle name="Comma 2 3 2 4 2 5 3" xfId="31977" xr:uid="{00000000-0005-0000-0000-00006E380000}"/>
    <cellStyle name="Comma 2 3 2 4 2 5 4" xfId="36192" xr:uid="{00000000-0005-0000-0000-00006F380000}"/>
    <cellStyle name="Comma 2 3 2 4 2 5 5" xfId="40396" xr:uid="{00000000-0005-0000-0000-000070380000}"/>
    <cellStyle name="Comma 2 3 2 4 2 6" xfId="25265" xr:uid="{00000000-0005-0000-0000-000071380000}"/>
    <cellStyle name="Comma 2 3 2 4 2 6 2" xfId="44604" xr:uid="{00000000-0005-0000-0000-000072380000}"/>
    <cellStyle name="Comma 2 3 2 4 2 7" xfId="29477" xr:uid="{00000000-0005-0000-0000-000073380000}"/>
    <cellStyle name="Comma 2 3 2 4 2 8" xfId="33693" xr:uid="{00000000-0005-0000-0000-000074380000}"/>
    <cellStyle name="Comma 2 3 2 4 2 9" xfId="37897" xr:uid="{00000000-0005-0000-0000-000075380000}"/>
    <cellStyle name="Comma 2 3 2 4 3" xfId="6098" xr:uid="{00000000-0005-0000-0000-000076380000}"/>
    <cellStyle name="Comma 2 3 2 4 3 2" xfId="11606" xr:uid="{00000000-0005-0000-0000-000077380000}"/>
    <cellStyle name="Comma 2 3 2 4 3 2 2" xfId="28362" xr:uid="{00000000-0005-0000-0000-000078380000}"/>
    <cellStyle name="Comma 2 3 2 4 3 2 2 2" xfId="46011" xr:uid="{00000000-0005-0000-0000-000079380000}"/>
    <cellStyle name="Comma 2 3 2 4 3 2 3" xfId="32575" xr:uid="{00000000-0005-0000-0000-00007A380000}"/>
    <cellStyle name="Comma 2 3 2 4 3 2 4" xfId="36790" xr:uid="{00000000-0005-0000-0000-00007B380000}"/>
    <cellStyle name="Comma 2 3 2 4 3 2 5" xfId="40994" xr:uid="{00000000-0005-0000-0000-00007C380000}"/>
    <cellStyle name="Comma 2 3 2 4 3 3" xfId="25408" xr:uid="{00000000-0005-0000-0000-00007D380000}"/>
    <cellStyle name="Comma 2 3 2 4 3 3 2" xfId="44747" xr:uid="{00000000-0005-0000-0000-00007E380000}"/>
    <cellStyle name="Comma 2 3 2 4 3 4" xfId="29620" xr:uid="{00000000-0005-0000-0000-00007F380000}"/>
    <cellStyle name="Comma 2 3 2 4 3 5" xfId="33836" xr:uid="{00000000-0005-0000-0000-000080380000}"/>
    <cellStyle name="Comma 2 3 2 4 3 6" xfId="38040" xr:uid="{00000000-0005-0000-0000-000081380000}"/>
    <cellStyle name="Comma 2 3 2 4 4" xfId="6000" xr:uid="{00000000-0005-0000-0000-000082380000}"/>
    <cellStyle name="Comma 2 3 2 4 4 2" xfId="11508" xr:uid="{00000000-0005-0000-0000-000083380000}"/>
    <cellStyle name="Comma 2 3 2 4 4 2 2" xfId="28267" xr:uid="{00000000-0005-0000-0000-000084380000}"/>
    <cellStyle name="Comma 2 3 2 4 4 2 2 2" xfId="45916" xr:uid="{00000000-0005-0000-0000-000085380000}"/>
    <cellStyle name="Comma 2 3 2 4 4 2 3" xfId="32480" xr:uid="{00000000-0005-0000-0000-000086380000}"/>
    <cellStyle name="Comma 2 3 2 4 4 2 4" xfId="36695" xr:uid="{00000000-0005-0000-0000-000087380000}"/>
    <cellStyle name="Comma 2 3 2 4 4 2 5" xfId="40899" xr:uid="{00000000-0005-0000-0000-000088380000}"/>
    <cellStyle name="Comma 2 3 2 4 4 3" xfId="25313" xr:uid="{00000000-0005-0000-0000-000089380000}"/>
    <cellStyle name="Comma 2 3 2 4 4 3 2" xfId="44652" xr:uid="{00000000-0005-0000-0000-00008A380000}"/>
    <cellStyle name="Comma 2 3 2 4 4 4" xfId="29525" xr:uid="{00000000-0005-0000-0000-00008B380000}"/>
    <cellStyle name="Comma 2 3 2 4 4 5" xfId="33741" xr:uid="{00000000-0005-0000-0000-00008C380000}"/>
    <cellStyle name="Comma 2 3 2 4 4 6" xfId="37945" xr:uid="{00000000-0005-0000-0000-00008D380000}"/>
    <cellStyle name="Comma 2 3 2 4 5" xfId="6878" xr:uid="{00000000-0005-0000-0000-00008E380000}"/>
    <cellStyle name="Comma 2 3 2 4 5 2" xfId="11789" xr:uid="{00000000-0005-0000-0000-00008F380000}"/>
    <cellStyle name="Comma 2 3 2 4 5 2 2" xfId="28509" xr:uid="{00000000-0005-0000-0000-000090380000}"/>
    <cellStyle name="Comma 2 3 2 4 5 2 2 2" xfId="46160" xr:uid="{00000000-0005-0000-0000-000091380000}"/>
    <cellStyle name="Comma 2 3 2 4 5 2 3" xfId="32722" xr:uid="{00000000-0005-0000-0000-000092380000}"/>
    <cellStyle name="Comma 2 3 2 4 5 2 4" xfId="36937" xr:uid="{00000000-0005-0000-0000-000093380000}"/>
    <cellStyle name="Comma 2 3 2 4 5 2 5" xfId="41141" xr:uid="{00000000-0005-0000-0000-000094380000}"/>
    <cellStyle name="Comma 2 3 2 4 5 3" xfId="25566" xr:uid="{00000000-0005-0000-0000-000095380000}"/>
    <cellStyle name="Comma 2 3 2 4 5 3 2" xfId="44894" xr:uid="{00000000-0005-0000-0000-000096380000}"/>
    <cellStyle name="Comma 2 3 2 4 5 4" xfId="29779" xr:uid="{00000000-0005-0000-0000-000097380000}"/>
    <cellStyle name="Comma 2 3 2 4 5 5" xfId="33994" xr:uid="{00000000-0005-0000-0000-000098380000}"/>
    <cellStyle name="Comma 2 3 2 4 5 6" xfId="38198" xr:uid="{00000000-0005-0000-0000-000099380000}"/>
    <cellStyle name="Comma 2 3 2 4 6" xfId="9694" xr:uid="{00000000-0005-0000-0000-00009A380000}"/>
    <cellStyle name="Comma 2 3 2 4 6 2" xfId="11407" xr:uid="{00000000-0005-0000-0000-00009B380000}"/>
    <cellStyle name="Comma 2 3 2 4 6 2 2" xfId="28172" xr:uid="{00000000-0005-0000-0000-00009C380000}"/>
    <cellStyle name="Comma 2 3 2 4 6 2 2 2" xfId="45821" xr:uid="{00000000-0005-0000-0000-00009D380000}"/>
    <cellStyle name="Comma 2 3 2 4 6 2 3" xfId="32385" xr:uid="{00000000-0005-0000-0000-00009E380000}"/>
    <cellStyle name="Comma 2 3 2 4 6 2 4" xfId="36600" xr:uid="{00000000-0005-0000-0000-00009F380000}"/>
    <cellStyle name="Comma 2 3 2 4 6 2 5" xfId="40804" xr:uid="{00000000-0005-0000-0000-0000A0380000}"/>
    <cellStyle name="Comma 2 3 2 4 6 3" xfId="27205" xr:uid="{00000000-0005-0000-0000-0000A1380000}"/>
    <cellStyle name="Comma 2 3 2 4 6 3 2" xfId="45074" xr:uid="{00000000-0005-0000-0000-0000A2380000}"/>
    <cellStyle name="Comma 2 3 2 4 6 4" xfId="31418" xr:uid="{00000000-0005-0000-0000-0000A3380000}"/>
    <cellStyle name="Comma 2 3 2 4 6 5" xfId="35633" xr:uid="{00000000-0005-0000-0000-0000A4380000}"/>
    <cellStyle name="Comma 2 3 2 4 6 6" xfId="39837" xr:uid="{00000000-0005-0000-0000-0000A5380000}"/>
    <cellStyle name="Comma 2 3 2 4 7" xfId="10432" xr:uid="{00000000-0005-0000-0000-0000A6380000}"/>
    <cellStyle name="Comma 2 3 2 4 7 2" xfId="27670" xr:uid="{00000000-0005-0000-0000-0000A7380000}"/>
    <cellStyle name="Comma 2 3 2 4 7 2 2" xfId="45348" xr:uid="{00000000-0005-0000-0000-0000A8380000}"/>
    <cellStyle name="Comma 2 3 2 4 7 3" xfId="31883" xr:uid="{00000000-0005-0000-0000-0000A9380000}"/>
    <cellStyle name="Comma 2 3 2 4 7 4" xfId="36098" xr:uid="{00000000-0005-0000-0000-0000AA380000}"/>
    <cellStyle name="Comma 2 3 2 4 7 5" xfId="40302" xr:uid="{00000000-0005-0000-0000-0000AB380000}"/>
    <cellStyle name="Comma 2 3 2 4 8" xfId="25218" xr:uid="{00000000-0005-0000-0000-0000AC380000}"/>
    <cellStyle name="Comma 2 3 2 4 8 2" xfId="44557" xr:uid="{00000000-0005-0000-0000-0000AD380000}"/>
    <cellStyle name="Comma 2 3 2 4 9" xfId="29430" xr:uid="{00000000-0005-0000-0000-0000AE380000}"/>
    <cellStyle name="Comma 2 3 2 5" xfId="5915" xr:uid="{00000000-0005-0000-0000-0000AF380000}"/>
    <cellStyle name="Comma 2 3 2 5 2" xfId="6110" xr:uid="{00000000-0005-0000-0000-0000B0380000}"/>
    <cellStyle name="Comma 2 3 2 5 2 2" xfId="11618" xr:uid="{00000000-0005-0000-0000-0000B1380000}"/>
    <cellStyle name="Comma 2 3 2 5 2 2 2" xfId="28374" xr:uid="{00000000-0005-0000-0000-0000B2380000}"/>
    <cellStyle name="Comma 2 3 2 5 2 2 2 2" xfId="46023" xr:uid="{00000000-0005-0000-0000-0000B3380000}"/>
    <cellStyle name="Comma 2 3 2 5 2 2 3" xfId="32587" xr:uid="{00000000-0005-0000-0000-0000B4380000}"/>
    <cellStyle name="Comma 2 3 2 5 2 2 4" xfId="36802" xr:uid="{00000000-0005-0000-0000-0000B5380000}"/>
    <cellStyle name="Comma 2 3 2 5 2 2 5" xfId="41006" xr:uid="{00000000-0005-0000-0000-0000B6380000}"/>
    <cellStyle name="Comma 2 3 2 5 2 3" xfId="25420" xr:uid="{00000000-0005-0000-0000-0000B7380000}"/>
    <cellStyle name="Comma 2 3 2 5 2 3 2" xfId="44759" xr:uid="{00000000-0005-0000-0000-0000B8380000}"/>
    <cellStyle name="Comma 2 3 2 5 2 4" xfId="29632" xr:uid="{00000000-0005-0000-0000-0000B9380000}"/>
    <cellStyle name="Comma 2 3 2 5 2 5" xfId="33848" xr:uid="{00000000-0005-0000-0000-0000BA380000}"/>
    <cellStyle name="Comma 2 3 2 5 2 6" xfId="38052" xr:uid="{00000000-0005-0000-0000-0000BB380000}"/>
    <cellStyle name="Comma 2 3 2 5 3" xfId="6012" xr:uid="{00000000-0005-0000-0000-0000BC380000}"/>
    <cellStyle name="Comma 2 3 2 5 3 2" xfId="11520" xr:uid="{00000000-0005-0000-0000-0000BD380000}"/>
    <cellStyle name="Comma 2 3 2 5 3 2 2" xfId="28279" xr:uid="{00000000-0005-0000-0000-0000BE380000}"/>
    <cellStyle name="Comma 2 3 2 5 3 2 2 2" xfId="45928" xr:uid="{00000000-0005-0000-0000-0000BF380000}"/>
    <cellStyle name="Comma 2 3 2 5 3 2 3" xfId="32492" xr:uid="{00000000-0005-0000-0000-0000C0380000}"/>
    <cellStyle name="Comma 2 3 2 5 3 2 4" xfId="36707" xr:uid="{00000000-0005-0000-0000-0000C1380000}"/>
    <cellStyle name="Comma 2 3 2 5 3 2 5" xfId="40911" xr:uid="{00000000-0005-0000-0000-0000C2380000}"/>
    <cellStyle name="Comma 2 3 2 5 3 3" xfId="25325" xr:uid="{00000000-0005-0000-0000-0000C3380000}"/>
    <cellStyle name="Comma 2 3 2 5 3 3 2" xfId="44664" xr:uid="{00000000-0005-0000-0000-0000C4380000}"/>
    <cellStyle name="Comma 2 3 2 5 3 4" xfId="29537" xr:uid="{00000000-0005-0000-0000-0000C5380000}"/>
    <cellStyle name="Comma 2 3 2 5 3 5" xfId="33753" xr:uid="{00000000-0005-0000-0000-0000C6380000}"/>
    <cellStyle name="Comma 2 3 2 5 3 6" xfId="37957" xr:uid="{00000000-0005-0000-0000-0000C7380000}"/>
    <cellStyle name="Comma 2 3 2 5 4" xfId="9752" xr:uid="{00000000-0005-0000-0000-0000C8380000}"/>
    <cellStyle name="Comma 2 3 2 5 4 2" xfId="11424" xr:uid="{00000000-0005-0000-0000-0000C9380000}"/>
    <cellStyle name="Comma 2 3 2 5 4 2 2" xfId="28184" xr:uid="{00000000-0005-0000-0000-0000CA380000}"/>
    <cellStyle name="Comma 2 3 2 5 4 2 2 2" xfId="45833" xr:uid="{00000000-0005-0000-0000-0000CB380000}"/>
    <cellStyle name="Comma 2 3 2 5 4 2 3" xfId="32397" xr:uid="{00000000-0005-0000-0000-0000CC380000}"/>
    <cellStyle name="Comma 2 3 2 5 4 2 4" xfId="36612" xr:uid="{00000000-0005-0000-0000-0000CD380000}"/>
    <cellStyle name="Comma 2 3 2 5 4 2 5" xfId="40816" xr:uid="{00000000-0005-0000-0000-0000CE380000}"/>
    <cellStyle name="Comma 2 3 2 5 4 3" xfId="27252" xr:uid="{00000000-0005-0000-0000-0000CF380000}"/>
    <cellStyle name="Comma 2 3 2 5 4 3 2" xfId="45130" xr:uid="{00000000-0005-0000-0000-0000D0380000}"/>
    <cellStyle name="Comma 2 3 2 5 4 4" xfId="31465" xr:uid="{00000000-0005-0000-0000-0000D1380000}"/>
    <cellStyle name="Comma 2 3 2 5 4 5" xfId="35680" xr:uid="{00000000-0005-0000-0000-0000D2380000}"/>
    <cellStyle name="Comma 2 3 2 5 4 6" xfId="39884" xr:uid="{00000000-0005-0000-0000-0000D3380000}"/>
    <cellStyle name="Comma 2 3 2 5 5" xfId="10479" xr:uid="{00000000-0005-0000-0000-0000D4380000}"/>
    <cellStyle name="Comma 2 3 2 5 5 2" xfId="27717" xr:uid="{00000000-0005-0000-0000-0000D5380000}"/>
    <cellStyle name="Comma 2 3 2 5 5 2 2" xfId="45395" xr:uid="{00000000-0005-0000-0000-0000D6380000}"/>
    <cellStyle name="Comma 2 3 2 5 5 3" xfId="31930" xr:uid="{00000000-0005-0000-0000-0000D7380000}"/>
    <cellStyle name="Comma 2 3 2 5 5 4" xfId="36145" xr:uid="{00000000-0005-0000-0000-0000D8380000}"/>
    <cellStyle name="Comma 2 3 2 5 5 5" xfId="40349" xr:uid="{00000000-0005-0000-0000-0000D9380000}"/>
    <cellStyle name="Comma 2 3 2 5 6" xfId="25230" xr:uid="{00000000-0005-0000-0000-0000DA380000}"/>
    <cellStyle name="Comma 2 3 2 5 6 2" xfId="44569" xr:uid="{00000000-0005-0000-0000-0000DB380000}"/>
    <cellStyle name="Comma 2 3 2 5 7" xfId="29442" xr:uid="{00000000-0005-0000-0000-0000DC380000}"/>
    <cellStyle name="Comma 2 3 2 5 8" xfId="33658" xr:uid="{00000000-0005-0000-0000-0000DD380000}"/>
    <cellStyle name="Comma 2 3 2 5 9" xfId="37862" xr:uid="{00000000-0005-0000-0000-0000DE380000}"/>
    <cellStyle name="Comma 2 3 2 6" xfId="6063" xr:uid="{00000000-0005-0000-0000-0000DF380000}"/>
    <cellStyle name="Comma 2 3 2 6 2" xfId="11571" xr:uid="{00000000-0005-0000-0000-0000E0380000}"/>
    <cellStyle name="Comma 2 3 2 6 2 2" xfId="28327" xr:uid="{00000000-0005-0000-0000-0000E1380000}"/>
    <cellStyle name="Comma 2 3 2 6 2 2 2" xfId="45976" xr:uid="{00000000-0005-0000-0000-0000E2380000}"/>
    <cellStyle name="Comma 2 3 2 6 2 3" xfId="32540" xr:uid="{00000000-0005-0000-0000-0000E3380000}"/>
    <cellStyle name="Comma 2 3 2 6 2 4" xfId="36755" xr:uid="{00000000-0005-0000-0000-0000E4380000}"/>
    <cellStyle name="Comma 2 3 2 6 2 5" xfId="40959" xr:uid="{00000000-0005-0000-0000-0000E5380000}"/>
    <cellStyle name="Comma 2 3 2 6 3" xfId="25373" xr:uid="{00000000-0005-0000-0000-0000E6380000}"/>
    <cellStyle name="Comma 2 3 2 6 3 2" xfId="44712" xr:uid="{00000000-0005-0000-0000-0000E7380000}"/>
    <cellStyle name="Comma 2 3 2 6 4" xfId="29585" xr:uid="{00000000-0005-0000-0000-0000E8380000}"/>
    <cellStyle name="Comma 2 3 2 6 5" xfId="33801" xr:uid="{00000000-0005-0000-0000-0000E9380000}"/>
    <cellStyle name="Comma 2 3 2 6 6" xfId="38005" xr:uid="{00000000-0005-0000-0000-0000EA380000}"/>
    <cellStyle name="Comma 2 3 2 7" xfId="5965" xr:uid="{00000000-0005-0000-0000-0000EB380000}"/>
    <cellStyle name="Comma 2 3 2 7 2" xfId="11473" xr:uid="{00000000-0005-0000-0000-0000EC380000}"/>
    <cellStyle name="Comma 2 3 2 7 2 2" xfId="28232" xr:uid="{00000000-0005-0000-0000-0000ED380000}"/>
    <cellStyle name="Comma 2 3 2 7 2 2 2" xfId="45881" xr:uid="{00000000-0005-0000-0000-0000EE380000}"/>
    <cellStyle name="Comma 2 3 2 7 2 3" xfId="32445" xr:uid="{00000000-0005-0000-0000-0000EF380000}"/>
    <cellStyle name="Comma 2 3 2 7 2 4" xfId="36660" xr:uid="{00000000-0005-0000-0000-0000F0380000}"/>
    <cellStyle name="Comma 2 3 2 7 2 5" xfId="40864" xr:uid="{00000000-0005-0000-0000-0000F1380000}"/>
    <cellStyle name="Comma 2 3 2 7 3" xfId="25278" xr:uid="{00000000-0005-0000-0000-0000F2380000}"/>
    <cellStyle name="Comma 2 3 2 7 3 2" xfId="44617" xr:uid="{00000000-0005-0000-0000-0000F3380000}"/>
    <cellStyle name="Comma 2 3 2 7 4" xfId="29490" xr:uid="{00000000-0005-0000-0000-0000F4380000}"/>
    <cellStyle name="Comma 2 3 2 7 5" xfId="33706" xr:uid="{00000000-0005-0000-0000-0000F5380000}"/>
    <cellStyle name="Comma 2 3 2 7 6" xfId="37910" xr:uid="{00000000-0005-0000-0000-0000F6380000}"/>
    <cellStyle name="Comma 2 3 2 8" xfId="6165" xr:uid="{00000000-0005-0000-0000-0000F7380000}"/>
    <cellStyle name="Comma 2 3 2 8 2" xfId="11673" xr:uid="{00000000-0005-0000-0000-0000F8380000}"/>
    <cellStyle name="Comma 2 3 2 8 2 2" xfId="28429" xr:uid="{00000000-0005-0000-0000-0000F9380000}"/>
    <cellStyle name="Comma 2 3 2 8 2 2 2" xfId="46078" xr:uid="{00000000-0005-0000-0000-0000FA380000}"/>
    <cellStyle name="Comma 2 3 2 8 2 3" xfId="32642" xr:uid="{00000000-0005-0000-0000-0000FB380000}"/>
    <cellStyle name="Comma 2 3 2 8 2 4" xfId="36857" xr:uid="{00000000-0005-0000-0000-0000FC380000}"/>
    <cellStyle name="Comma 2 3 2 8 2 5" xfId="41061" xr:uid="{00000000-0005-0000-0000-0000FD380000}"/>
    <cellStyle name="Comma 2 3 2 8 3" xfId="25475" xr:uid="{00000000-0005-0000-0000-0000FE380000}"/>
    <cellStyle name="Comma 2 3 2 8 3 2" xfId="44814" xr:uid="{00000000-0005-0000-0000-0000FF380000}"/>
    <cellStyle name="Comma 2 3 2 8 4" xfId="29687" xr:uid="{00000000-0005-0000-0000-000000390000}"/>
    <cellStyle name="Comma 2 3 2 8 5" xfId="33903" xr:uid="{00000000-0005-0000-0000-000001390000}"/>
    <cellStyle name="Comma 2 3 2 8 6" xfId="38107" xr:uid="{00000000-0005-0000-0000-000002390000}"/>
    <cellStyle name="Comma 2 3 2 9" xfId="5212" xr:uid="{00000000-0005-0000-0000-000003390000}"/>
    <cellStyle name="Comma 2 3 2 9 2" xfId="11291" xr:uid="{00000000-0005-0000-0000-000004390000}"/>
    <cellStyle name="Comma 2 3 2 9 2 2" xfId="28121" xr:uid="{00000000-0005-0000-0000-000005390000}"/>
    <cellStyle name="Comma 2 3 2 9 2 2 2" xfId="45785" xr:uid="{00000000-0005-0000-0000-000006390000}"/>
    <cellStyle name="Comma 2 3 2 9 2 3" xfId="32334" xr:uid="{00000000-0005-0000-0000-000007390000}"/>
    <cellStyle name="Comma 2 3 2 9 2 4" xfId="36549" xr:uid="{00000000-0005-0000-0000-000008390000}"/>
    <cellStyle name="Comma 2 3 2 9 2 5" xfId="40753" xr:uid="{00000000-0005-0000-0000-000009390000}"/>
    <cellStyle name="Comma 2 3 2 9 3" xfId="24971" xr:uid="{00000000-0005-0000-0000-00000A390000}"/>
    <cellStyle name="Comma 2 3 2 9 3 2" xfId="44520" xr:uid="{00000000-0005-0000-0000-00000B390000}"/>
    <cellStyle name="Comma 2 3 2 9 4" xfId="29183" xr:uid="{00000000-0005-0000-0000-00000C390000}"/>
    <cellStyle name="Comma 2 3 2 9 5" xfId="33399" xr:uid="{00000000-0005-0000-0000-00000D390000}"/>
    <cellStyle name="Comma 2 3 2 9 6" xfId="37603" xr:uid="{00000000-0005-0000-0000-00000E390000}"/>
    <cellStyle name="Comma 2 3 20" xfId="29049" xr:uid="{00000000-0005-0000-0000-00000F390000}"/>
    <cellStyle name="Comma 2 3 21" xfId="33266" xr:uid="{00000000-0005-0000-0000-000010390000}"/>
    <cellStyle name="Comma 2 3 22" xfId="37470" xr:uid="{00000000-0005-0000-0000-000011390000}"/>
    <cellStyle name="Comma 2 3 3" xfId="5863" xr:uid="{00000000-0005-0000-0000-000012390000}"/>
    <cellStyle name="Comma 2 3 3 10" xfId="24328" xr:uid="{00000000-0005-0000-0000-000013390000}"/>
    <cellStyle name="Comma 2 3 3 10 2" xfId="29015" xr:uid="{00000000-0005-0000-0000-000014390000}"/>
    <cellStyle name="Comma 2 3 3 10 3" xfId="33232" xr:uid="{00000000-0005-0000-0000-000015390000}"/>
    <cellStyle name="Comma 2 3 3 10 4" xfId="37443" xr:uid="{00000000-0005-0000-0000-000016390000}"/>
    <cellStyle name="Comma 2 3 3 10 5" xfId="43075" xr:uid="{00000000-0005-0000-0000-000017390000}"/>
    <cellStyle name="Comma 2 3 3 11" xfId="25190" xr:uid="{00000000-0005-0000-0000-000018390000}"/>
    <cellStyle name="Comma 2 3 3 11 2" xfId="44531" xr:uid="{00000000-0005-0000-0000-000019390000}"/>
    <cellStyle name="Comma 2 3 3 12" xfId="29402" xr:uid="{00000000-0005-0000-0000-00001A390000}"/>
    <cellStyle name="Comma 2 3 3 13" xfId="33618" xr:uid="{00000000-0005-0000-0000-00001B390000}"/>
    <cellStyle name="Comma 2 3 3 14" xfId="37822" xr:uid="{00000000-0005-0000-0000-00001C390000}"/>
    <cellStyle name="Comma 2 3 3 2" xfId="5924" xr:uid="{00000000-0005-0000-0000-00001D390000}"/>
    <cellStyle name="Comma 2 3 3 2 10" xfId="33667" xr:uid="{00000000-0005-0000-0000-00001E390000}"/>
    <cellStyle name="Comma 2 3 3 2 11" xfId="37871" xr:uid="{00000000-0005-0000-0000-00001F390000}"/>
    <cellStyle name="Comma 2 3 3 2 2" xfId="6119" xr:uid="{00000000-0005-0000-0000-000020390000}"/>
    <cellStyle name="Comma 2 3 3 2 2 2" xfId="6882" xr:uid="{00000000-0005-0000-0000-000021390000}"/>
    <cellStyle name="Comma 2 3 3 2 2 2 2" xfId="9816" xr:uid="{00000000-0005-0000-0000-000022390000}"/>
    <cellStyle name="Comma 2 3 3 2 2 2 2 2" xfId="11793" xr:uid="{00000000-0005-0000-0000-000023390000}"/>
    <cellStyle name="Comma 2 3 3 2 2 2 2 2 2" xfId="28513" xr:uid="{00000000-0005-0000-0000-000024390000}"/>
    <cellStyle name="Comma 2 3 3 2 2 2 2 2 2 2" xfId="46164" xr:uid="{00000000-0005-0000-0000-000025390000}"/>
    <cellStyle name="Comma 2 3 3 2 2 2 2 2 3" xfId="32726" xr:uid="{00000000-0005-0000-0000-000026390000}"/>
    <cellStyle name="Comma 2 3 3 2 2 2 2 2 4" xfId="36941" xr:uid="{00000000-0005-0000-0000-000027390000}"/>
    <cellStyle name="Comma 2 3 3 2 2 2 2 2 5" xfId="41145" xr:uid="{00000000-0005-0000-0000-000028390000}"/>
    <cellStyle name="Comma 2 3 3 2 2 2 2 3" xfId="27303" xr:uid="{00000000-0005-0000-0000-000029390000}"/>
    <cellStyle name="Comma 2 3 3 2 2 2 2 3 2" xfId="45181" xr:uid="{00000000-0005-0000-0000-00002A390000}"/>
    <cellStyle name="Comma 2 3 3 2 2 2 2 4" xfId="31516" xr:uid="{00000000-0005-0000-0000-00002B390000}"/>
    <cellStyle name="Comma 2 3 3 2 2 2 2 5" xfId="35731" xr:uid="{00000000-0005-0000-0000-00002C390000}"/>
    <cellStyle name="Comma 2 3 3 2 2 2 2 6" xfId="39935" xr:uid="{00000000-0005-0000-0000-00002D390000}"/>
    <cellStyle name="Comma 2 3 3 2 2 2 3" xfId="10553" xr:uid="{00000000-0005-0000-0000-00002E390000}"/>
    <cellStyle name="Comma 2 3 3 2 2 2 3 2" xfId="27768" xr:uid="{00000000-0005-0000-0000-00002F390000}"/>
    <cellStyle name="Comma 2 3 3 2 2 2 3 2 2" xfId="45446" xr:uid="{00000000-0005-0000-0000-000030390000}"/>
    <cellStyle name="Comma 2 3 3 2 2 2 3 3" xfId="31981" xr:uid="{00000000-0005-0000-0000-000031390000}"/>
    <cellStyle name="Comma 2 3 3 2 2 2 3 4" xfId="36196" xr:uid="{00000000-0005-0000-0000-000032390000}"/>
    <cellStyle name="Comma 2 3 3 2 2 2 3 5" xfId="40400" xr:uid="{00000000-0005-0000-0000-000033390000}"/>
    <cellStyle name="Comma 2 3 3 2 2 2 4" xfId="25570" xr:uid="{00000000-0005-0000-0000-000034390000}"/>
    <cellStyle name="Comma 2 3 3 2 2 2 4 2" xfId="44898" xr:uid="{00000000-0005-0000-0000-000035390000}"/>
    <cellStyle name="Comma 2 3 3 2 2 2 5" xfId="29783" xr:uid="{00000000-0005-0000-0000-000036390000}"/>
    <cellStyle name="Comma 2 3 3 2 2 2 6" xfId="33998" xr:uid="{00000000-0005-0000-0000-000037390000}"/>
    <cellStyle name="Comma 2 3 3 2 2 2 7" xfId="38202" xr:uid="{00000000-0005-0000-0000-000038390000}"/>
    <cellStyle name="Comma 2 3 3 2 2 3" xfId="9698" xr:uid="{00000000-0005-0000-0000-000039390000}"/>
    <cellStyle name="Comma 2 3 3 2 2 3 2" xfId="11627" xr:uid="{00000000-0005-0000-0000-00003A390000}"/>
    <cellStyle name="Comma 2 3 3 2 2 3 2 2" xfId="28383" xr:uid="{00000000-0005-0000-0000-00003B390000}"/>
    <cellStyle name="Comma 2 3 3 2 2 3 2 2 2" xfId="46032" xr:uid="{00000000-0005-0000-0000-00003C390000}"/>
    <cellStyle name="Comma 2 3 3 2 2 3 2 3" xfId="32596" xr:uid="{00000000-0005-0000-0000-00003D390000}"/>
    <cellStyle name="Comma 2 3 3 2 2 3 2 4" xfId="36811" xr:uid="{00000000-0005-0000-0000-00003E390000}"/>
    <cellStyle name="Comma 2 3 3 2 2 3 2 5" xfId="41015" xr:uid="{00000000-0005-0000-0000-00003F390000}"/>
    <cellStyle name="Comma 2 3 3 2 2 3 3" xfId="27209" xr:uid="{00000000-0005-0000-0000-000040390000}"/>
    <cellStyle name="Comma 2 3 3 2 2 3 3 2" xfId="45078" xr:uid="{00000000-0005-0000-0000-000041390000}"/>
    <cellStyle name="Comma 2 3 3 2 2 3 4" xfId="31422" xr:uid="{00000000-0005-0000-0000-000042390000}"/>
    <cellStyle name="Comma 2 3 3 2 2 3 5" xfId="35637" xr:uid="{00000000-0005-0000-0000-000043390000}"/>
    <cellStyle name="Comma 2 3 3 2 2 3 6" xfId="39841" xr:uid="{00000000-0005-0000-0000-000044390000}"/>
    <cellStyle name="Comma 2 3 3 2 2 4" xfId="10436" xr:uid="{00000000-0005-0000-0000-000045390000}"/>
    <cellStyle name="Comma 2 3 3 2 2 4 2" xfId="27674" xr:uid="{00000000-0005-0000-0000-000046390000}"/>
    <cellStyle name="Comma 2 3 3 2 2 4 2 2" xfId="45352" xr:uid="{00000000-0005-0000-0000-000047390000}"/>
    <cellStyle name="Comma 2 3 3 2 2 4 3" xfId="31887" xr:uid="{00000000-0005-0000-0000-000048390000}"/>
    <cellStyle name="Comma 2 3 3 2 2 4 4" xfId="36102" xr:uid="{00000000-0005-0000-0000-000049390000}"/>
    <cellStyle name="Comma 2 3 3 2 2 4 5" xfId="40306" xr:uid="{00000000-0005-0000-0000-00004A390000}"/>
    <cellStyle name="Comma 2 3 3 2 2 5" xfId="25429" xr:uid="{00000000-0005-0000-0000-00004B390000}"/>
    <cellStyle name="Comma 2 3 3 2 2 5 2" xfId="44768" xr:uid="{00000000-0005-0000-0000-00004C390000}"/>
    <cellStyle name="Comma 2 3 3 2 2 6" xfId="29641" xr:uid="{00000000-0005-0000-0000-00004D390000}"/>
    <cellStyle name="Comma 2 3 3 2 2 7" xfId="33857" xr:uid="{00000000-0005-0000-0000-00004E390000}"/>
    <cellStyle name="Comma 2 3 3 2 2 8" xfId="38061" xr:uid="{00000000-0005-0000-0000-00004F390000}"/>
    <cellStyle name="Comma 2 3 3 2 3" xfId="6021" xr:uid="{00000000-0005-0000-0000-000050390000}"/>
    <cellStyle name="Comma 2 3 3 2 3 2" xfId="9756" xr:uid="{00000000-0005-0000-0000-000051390000}"/>
    <cellStyle name="Comma 2 3 3 2 3 2 2" xfId="11529" xr:uid="{00000000-0005-0000-0000-000052390000}"/>
    <cellStyle name="Comma 2 3 3 2 3 2 2 2" xfId="28288" xr:uid="{00000000-0005-0000-0000-000053390000}"/>
    <cellStyle name="Comma 2 3 3 2 3 2 2 2 2" xfId="45937" xr:uid="{00000000-0005-0000-0000-000054390000}"/>
    <cellStyle name="Comma 2 3 3 2 3 2 2 3" xfId="32501" xr:uid="{00000000-0005-0000-0000-000055390000}"/>
    <cellStyle name="Comma 2 3 3 2 3 2 2 4" xfId="36716" xr:uid="{00000000-0005-0000-0000-000056390000}"/>
    <cellStyle name="Comma 2 3 3 2 3 2 2 5" xfId="40920" xr:uid="{00000000-0005-0000-0000-000057390000}"/>
    <cellStyle name="Comma 2 3 3 2 3 2 3" xfId="27256" xr:uid="{00000000-0005-0000-0000-000058390000}"/>
    <cellStyle name="Comma 2 3 3 2 3 2 3 2" xfId="45134" xr:uid="{00000000-0005-0000-0000-000059390000}"/>
    <cellStyle name="Comma 2 3 3 2 3 2 4" xfId="31469" xr:uid="{00000000-0005-0000-0000-00005A390000}"/>
    <cellStyle name="Comma 2 3 3 2 3 2 5" xfId="35684" xr:uid="{00000000-0005-0000-0000-00005B390000}"/>
    <cellStyle name="Comma 2 3 3 2 3 2 6" xfId="39888" xr:uid="{00000000-0005-0000-0000-00005C390000}"/>
    <cellStyle name="Comma 2 3 3 2 3 3" xfId="10483" xr:uid="{00000000-0005-0000-0000-00005D390000}"/>
    <cellStyle name="Comma 2 3 3 2 3 3 2" xfId="27721" xr:uid="{00000000-0005-0000-0000-00005E390000}"/>
    <cellStyle name="Comma 2 3 3 2 3 3 2 2" xfId="45399" xr:uid="{00000000-0005-0000-0000-00005F390000}"/>
    <cellStyle name="Comma 2 3 3 2 3 3 3" xfId="31934" xr:uid="{00000000-0005-0000-0000-000060390000}"/>
    <cellStyle name="Comma 2 3 3 2 3 3 4" xfId="36149" xr:uid="{00000000-0005-0000-0000-000061390000}"/>
    <cellStyle name="Comma 2 3 3 2 3 3 5" xfId="40353" xr:uid="{00000000-0005-0000-0000-000062390000}"/>
    <cellStyle name="Comma 2 3 3 2 3 4" xfId="25334" xr:uid="{00000000-0005-0000-0000-000063390000}"/>
    <cellStyle name="Comma 2 3 3 2 3 4 2" xfId="44673" xr:uid="{00000000-0005-0000-0000-000064390000}"/>
    <cellStyle name="Comma 2 3 3 2 3 5" xfId="29546" xr:uid="{00000000-0005-0000-0000-000065390000}"/>
    <cellStyle name="Comma 2 3 3 2 3 6" xfId="33762" xr:uid="{00000000-0005-0000-0000-000066390000}"/>
    <cellStyle name="Comma 2 3 3 2 3 7" xfId="37966" xr:uid="{00000000-0005-0000-0000-000067390000}"/>
    <cellStyle name="Comma 2 3 3 2 4" xfId="6169" xr:uid="{00000000-0005-0000-0000-000068390000}"/>
    <cellStyle name="Comma 2 3 3 2 4 2" xfId="11677" xr:uid="{00000000-0005-0000-0000-000069390000}"/>
    <cellStyle name="Comma 2 3 3 2 4 2 2" xfId="28433" xr:uid="{00000000-0005-0000-0000-00006A390000}"/>
    <cellStyle name="Comma 2 3 3 2 4 2 2 2" xfId="46082" xr:uid="{00000000-0005-0000-0000-00006B390000}"/>
    <cellStyle name="Comma 2 3 3 2 4 2 3" xfId="32646" xr:uid="{00000000-0005-0000-0000-00006C390000}"/>
    <cellStyle name="Comma 2 3 3 2 4 2 4" xfId="36861" xr:uid="{00000000-0005-0000-0000-00006D390000}"/>
    <cellStyle name="Comma 2 3 3 2 4 2 5" xfId="41065" xr:uid="{00000000-0005-0000-0000-00006E390000}"/>
    <cellStyle name="Comma 2 3 3 2 4 3" xfId="25479" xr:uid="{00000000-0005-0000-0000-00006F390000}"/>
    <cellStyle name="Comma 2 3 3 2 4 3 2" xfId="44818" xr:uid="{00000000-0005-0000-0000-000070390000}"/>
    <cellStyle name="Comma 2 3 3 2 4 4" xfId="29691" xr:uid="{00000000-0005-0000-0000-000071390000}"/>
    <cellStyle name="Comma 2 3 3 2 4 5" xfId="33907" xr:uid="{00000000-0005-0000-0000-000072390000}"/>
    <cellStyle name="Comma 2 3 3 2 4 6" xfId="38111" xr:uid="{00000000-0005-0000-0000-000073390000}"/>
    <cellStyle name="Comma 2 3 3 2 5" xfId="6342" xr:uid="{00000000-0005-0000-0000-000074390000}"/>
    <cellStyle name="Comma 2 3 3 2 5 2" xfId="11754" xr:uid="{00000000-0005-0000-0000-000075390000}"/>
    <cellStyle name="Comma 2 3 3 2 5 2 2" xfId="28476" xr:uid="{00000000-0005-0000-0000-000076390000}"/>
    <cellStyle name="Comma 2 3 3 2 5 2 2 2" xfId="46125" xr:uid="{00000000-0005-0000-0000-000077390000}"/>
    <cellStyle name="Comma 2 3 3 2 5 2 3" xfId="32689" xr:uid="{00000000-0005-0000-0000-000078390000}"/>
    <cellStyle name="Comma 2 3 3 2 5 2 4" xfId="36904" xr:uid="{00000000-0005-0000-0000-000079390000}"/>
    <cellStyle name="Comma 2 3 3 2 5 2 5" xfId="41108" xr:uid="{00000000-0005-0000-0000-00007A390000}"/>
    <cellStyle name="Comma 2 3 3 2 5 3" xfId="25532" xr:uid="{00000000-0005-0000-0000-00007B390000}"/>
    <cellStyle name="Comma 2 3 3 2 5 3 2" xfId="44861" xr:uid="{00000000-0005-0000-0000-00007C390000}"/>
    <cellStyle name="Comma 2 3 3 2 5 4" xfId="29744" xr:uid="{00000000-0005-0000-0000-00007D390000}"/>
    <cellStyle name="Comma 2 3 3 2 5 5" xfId="33960" xr:uid="{00000000-0005-0000-0000-00007E390000}"/>
    <cellStyle name="Comma 2 3 3 2 5 6" xfId="38164" xr:uid="{00000000-0005-0000-0000-00007F390000}"/>
    <cellStyle name="Comma 2 3 3 2 6" xfId="9647" xr:uid="{00000000-0005-0000-0000-000080390000}"/>
    <cellStyle name="Comma 2 3 3 2 6 2" xfId="11433" xr:uid="{00000000-0005-0000-0000-000081390000}"/>
    <cellStyle name="Comma 2 3 3 2 6 2 2" xfId="28193" xr:uid="{00000000-0005-0000-0000-000082390000}"/>
    <cellStyle name="Comma 2 3 3 2 6 2 2 2" xfId="45842" xr:uid="{00000000-0005-0000-0000-000083390000}"/>
    <cellStyle name="Comma 2 3 3 2 6 2 3" xfId="32406" xr:uid="{00000000-0005-0000-0000-000084390000}"/>
    <cellStyle name="Comma 2 3 3 2 6 2 4" xfId="36621" xr:uid="{00000000-0005-0000-0000-000085390000}"/>
    <cellStyle name="Comma 2 3 3 2 6 2 5" xfId="40825" xr:uid="{00000000-0005-0000-0000-000086390000}"/>
    <cellStyle name="Comma 2 3 3 2 6 3" xfId="27162" xr:uid="{00000000-0005-0000-0000-000087390000}"/>
    <cellStyle name="Comma 2 3 3 2 6 3 2" xfId="45031" xr:uid="{00000000-0005-0000-0000-000088390000}"/>
    <cellStyle name="Comma 2 3 3 2 6 4" xfId="31375" xr:uid="{00000000-0005-0000-0000-000089390000}"/>
    <cellStyle name="Comma 2 3 3 2 6 5" xfId="35590" xr:uid="{00000000-0005-0000-0000-00008A390000}"/>
    <cellStyle name="Comma 2 3 3 2 6 6" xfId="39794" xr:uid="{00000000-0005-0000-0000-00008B390000}"/>
    <cellStyle name="Comma 2 3 3 2 7" xfId="10236" xr:uid="{00000000-0005-0000-0000-00008C390000}"/>
    <cellStyle name="Comma 2 3 3 2 7 2" xfId="27627" xr:uid="{00000000-0005-0000-0000-00008D390000}"/>
    <cellStyle name="Comma 2 3 3 2 7 2 2" xfId="45305" xr:uid="{00000000-0005-0000-0000-00008E390000}"/>
    <cellStyle name="Comma 2 3 3 2 7 3" xfId="31840" xr:uid="{00000000-0005-0000-0000-00008F390000}"/>
    <cellStyle name="Comma 2 3 3 2 7 4" xfId="36055" xr:uid="{00000000-0005-0000-0000-000090390000}"/>
    <cellStyle name="Comma 2 3 3 2 7 5" xfId="40259" xr:uid="{00000000-0005-0000-0000-000091390000}"/>
    <cellStyle name="Comma 2 3 3 2 8" xfId="25239" xr:uid="{00000000-0005-0000-0000-000092390000}"/>
    <cellStyle name="Comma 2 3 3 2 8 2" xfId="44578" xr:uid="{00000000-0005-0000-0000-000093390000}"/>
    <cellStyle name="Comma 2 3 3 2 9" xfId="29451" xr:uid="{00000000-0005-0000-0000-000094390000}"/>
    <cellStyle name="Comma 2 3 3 3" xfId="6072" xr:uid="{00000000-0005-0000-0000-000095390000}"/>
    <cellStyle name="Comma 2 3 3 3 2" xfId="6170" xr:uid="{00000000-0005-0000-0000-000096390000}"/>
    <cellStyle name="Comma 2 3 3 3 2 2" xfId="6883" xr:uid="{00000000-0005-0000-0000-000097390000}"/>
    <cellStyle name="Comma 2 3 3 3 2 2 2" xfId="9817" xr:uid="{00000000-0005-0000-0000-000098390000}"/>
    <cellStyle name="Comma 2 3 3 3 2 2 2 2" xfId="11794" xr:uid="{00000000-0005-0000-0000-000099390000}"/>
    <cellStyle name="Comma 2 3 3 3 2 2 2 2 2" xfId="28514" xr:uid="{00000000-0005-0000-0000-00009A390000}"/>
    <cellStyle name="Comma 2 3 3 3 2 2 2 2 2 2" xfId="46165" xr:uid="{00000000-0005-0000-0000-00009B390000}"/>
    <cellStyle name="Comma 2 3 3 3 2 2 2 2 3" xfId="32727" xr:uid="{00000000-0005-0000-0000-00009C390000}"/>
    <cellStyle name="Comma 2 3 3 3 2 2 2 2 4" xfId="36942" xr:uid="{00000000-0005-0000-0000-00009D390000}"/>
    <cellStyle name="Comma 2 3 3 3 2 2 2 2 5" xfId="41146" xr:uid="{00000000-0005-0000-0000-00009E390000}"/>
    <cellStyle name="Comma 2 3 3 3 2 2 2 3" xfId="27304" xr:uid="{00000000-0005-0000-0000-00009F390000}"/>
    <cellStyle name="Comma 2 3 3 3 2 2 2 3 2" xfId="45182" xr:uid="{00000000-0005-0000-0000-0000A0390000}"/>
    <cellStyle name="Comma 2 3 3 3 2 2 2 4" xfId="31517" xr:uid="{00000000-0005-0000-0000-0000A1390000}"/>
    <cellStyle name="Comma 2 3 3 3 2 2 2 5" xfId="35732" xr:uid="{00000000-0005-0000-0000-0000A2390000}"/>
    <cellStyle name="Comma 2 3 3 3 2 2 2 6" xfId="39936" xr:uid="{00000000-0005-0000-0000-0000A3390000}"/>
    <cellStyle name="Comma 2 3 3 3 2 2 3" xfId="10554" xr:uid="{00000000-0005-0000-0000-0000A4390000}"/>
    <cellStyle name="Comma 2 3 3 3 2 2 3 2" xfId="27769" xr:uid="{00000000-0005-0000-0000-0000A5390000}"/>
    <cellStyle name="Comma 2 3 3 3 2 2 3 2 2" xfId="45447" xr:uid="{00000000-0005-0000-0000-0000A6390000}"/>
    <cellStyle name="Comma 2 3 3 3 2 2 3 3" xfId="31982" xr:uid="{00000000-0005-0000-0000-0000A7390000}"/>
    <cellStyle name="Comma 2 3 3 3 2 2 3 4" xfId="36197" xr:uid="{00000000-0005-0000-0000-0000A8390000}"/>
    <cellStyle name="Comma 2 3 3 3 2 2 3 5" xfId="40401" xr:uid="{00000000-0005-0000-0000-0000A9390000}"/>
    <cellStyle name="Comma 2 3 3 3 2 2 4" xfId="25571" xr:uid="{00000000-0005-0000-0000-0000AA390000}"/>
    <cellStyle name="Comma 2 3 3 3 2 2 4 2" xfId="44899" xr:uid="{00000000-0005-0000-0000-0000AB390000}"/>
    <cellStyle name="Comma 2 3 3 3 2 2 5" xfId="29784" xr:uid="{00000000-0005-0000-0000-0000AC390000}"/>
    <cellStyle name="Comma 2 3 3 3 2 2 6" xfId="33999" xr:uid="{00000000-0005-0000-0000-0000AD390000}"/>
    <cellStyle name="Comma 2 3 3 3 2 2 7" xfId="38203" xr:uid="{00000000-0005-0000-0000-0000AE390000}"/>
    <cellStyle name="Comma 2 3 3 3 2 3" xfId="9699" xr:uid="{00000000-0005-0000-0000-0000AF390000}"/>
    <cellStyle name="Comma 2 3 3 3 2 3 2" xfId="11678" xr:uid="{00000000-0005-0000-0000-0000B0390000}"/>
    <cellStyle name="Comma 2 3 3 3 2 3 2 2" xfId="28434" xr:uid="{00000000-0005-0000-0000-0000B1390000}"/>
    <cellStyle name="Comma 2 3 3 3 2 3 2 2 2" xfId="46083" xr:uid="{00000000-0005-0000-0000-0000B2390000}"/>
    <cellStyle name="Comma 2 3 3 3 2 3 2 3" xfId="32647" xr:uid="{00000000-0005-0000-0000-0000B3390000}"/>
    <cellStyle name="Comma 2 3 3 3 2 3 2 4" xfId="36862" xr:uid="{00000000-0005-0000-0000-0000B4390000}"/>
    <cellStyle name="Comma 2 3 3 3 2 3 2 5" xfId="41066" xr:uid="{00000000-0005-0000-0000-0000B5390000}"/>
    <cellStyle name="Comma 2 3 3 3 2 3 3" xfId="27210" xr:uid="{00000000-0005-0000-0000-0000B6390000}"/>
    <cellStyle name="Comma 2 3 3 3 2 3 3 2" xfId="45079" xr:uid="{00000000-0005-0000-0000-0000B7390000}"/>
    <cellStyle name="Comma 2 3 3 3 2 3 4" xfId="31423" xr:uid="{00000000-0005-0000-0000-0000B8390000}"/>
    <cellStyle name="Comma 2 3 3 3 2 3 5" xfId="35638" xr:uid="{00000000-0005-0000-0000-0000B9390000}"/>
    <cellStyle name="Comma 2 3 3 3 2 3 6" xfId="39842" xr:uid="{00000000-0005-0000-0000-0000BA390000}"/>
    <cellStyle name="Comma 2 3 3 3 2 4" xfId="10437" xr:uid="{00000000-0005-0000-0000-0000BB390000}"/>
    <cellStyle name="Comma 2 3 3 3 2 4 2" xfId="27675" xr:uid="{00000000-0005-0000-0000-0000BC390000}"/>
    <cellStyle name="Comma 2 3 3 3 2 4 2 2" xfId="45353" xr:uid="{00000000-0005-0000-0000-0000BD390000}"/>
    <cellStyle name="Comma 2 3 3 3 2 4 3" xfId="31888" xr:uid="{00000000-0005-0000-0000-0000BE390000}"/>
    <cellStyle name="Comma 2 3 3 3 2 4 4" xfId="36103" xr:uid="{00000000-0005-0000-0000-0000BF390000}"/>
    <cellStyle name="Comma 2 3 3 3 2 4 5" xfId="40307" xr:uid="{00000000-0005-0000-0000-0000C0390000}"/>
    <cellStyle name="Comma 2 3 3 3 2 5" xfId="25480" xr:uid="{00000000-0005-0000-0000-0000C1390000}"/>
    <cellStyle name="Comma 2 3 3 3 2 5 2" xfId="44819" xr:uid="{00000000-0005-0000-0000-0000C2390000}"/>
    <cellStyle name="Comma 2 3 3 3 2 6" xfId="29692" xr:uid="{00000000-0005-0000-0000-0000C3390000}"/>
    <cellStyle name="Comma 2 3 3 3 2 7" xfId="33908" xr:uid="{00000000-0005-0000-0000-0000C4390000}"/>
    <cellStyle name="Comma 2 3 3 3 2 8" xfId="38112" xr:uid="{00000000-0005-0000-0000-0000C5390000}"/>
    <cellStyle name="Comma 2 3 3 3 3" xfId="6343" xr:uid="{00000000-0005-0000-0000-0000C6390000}"/>
    <cellStyle name="Comma 2 3 3 3 3 2" xfId="9757" xr:uid="{00000000-0005-0000-0000-0000C7390000}"/>
    <cellStyle name="Comma 2 3 3 3 3 2 2" xfId="11755" xr:uid="{00000000-0005-0000-0000-0000C8390000}"/>
    <cellStyle name="Comma 2 3 3 3 3 2 2 2" xfId="28477" xr:uid="{00000000-0005-0000-0000-0000C9390000}"/>
    <cellStyle name="Comma 2 3 3 3 3 2 2 2 2" xfId="46126" xr:uid="{00000000-0005-0000-0000-0000CA390000}"/>
    <cellStyle name="Comma 2 3 3 3 3 2 2 3" xfId="32690" xr:uid="{00000000-0005-0000-0000-0000CB390000}"/>
    <cellStyle name="Comma 2 3 3 3 3 2 2 4" xfId="36905" xr:uid="{00000000-0005-0000-0000-0000CC390000}"/>
    <cellStyle name="Comma 2 3 3 3 3 2 2 5" xfId="41109" xr:uid="{00000000-0005-0000-0000-0000CD390000}"/>
    <cellStyle name="Comma 2 3 3 3 3 2 3" xfId="27257" xr:uid="{00000000-0005-0000-0000-0000CE390000}"/>
    <cellStyle name="Comma 2 3 3 3 3 2 3 2" xfId="45135" xr:uid="{00000000-0005-0000-0000-0000CF390000}"/>
    <cellStyle name="Comma 2 3 3 3 3 2 4" xfId="31470" xr:uid="{00000000-0005-0000-0000-0000D0390000}"/>
    <cellStyle name="Comma 2 3 3 3 3 2 5" xfId="35685" xr:uid="{00000000-0005-0000-0000-0000D1390000}"/>
    <cellStyle name="Comma 2 3 3 3 3 2 6" xfId="39889" xr:uid="{00000000-0005-0000-0000-0000D2390000}"/>
    <cellStyle name="Comma 2 3 3 3 3 3" xfId="10484" xr:uid="{00000000-0005-0000-0000-0000D3390000}"/>
    <cellStyle name="Comma 2 3 3 3 3 3 2" xfId="27722" xr:uid="{00000000-0005-0000-0000-0000D4390000}"/>
    <cellStyle name="Comma 2 3 3 3 3 3 2 2" xfId="45400" xr:uid="{00000000-0005-0000-0000-0000D5390000}"/>
    <cellStyle name="Comma 2 3 3 3 3 3 3" xfId="31935" xr:uid="{00000000-0005-0000-0000-0000D6390000}"/>
    <cellStyle name="Comma 2 3 3 3 3 3 4" xfId="36150" xr:uid="{00000000-0005-0000-0000-0000D7390000}"/>
    <cellStyle name="Comma 2 3 3 3 3 3 5" xfId="40354" xr:uid="{00000000-0005-0000-0000-0000D8390000}"/>
    <cellStyle name="Comma 2 3 3 3 3 4" xfId="25533" xr:uid="{00000000-0005-0000-0000-0000D9390000}"/>
    <cellStyle name="Comma 2 3 3 3 3 4 2" xfId="44862" xr:uid="{00000000-0005-0000-0000-0000DA390000}"/>
    <cellStyle name="Comma 2 3 3 3 3 5" xfId="29745" xr:uid="{00000000-0005-0000-0000-0000DB390000}"/>
    <cellStyle name="Comma 2 3 3 3 3 6" xfId="33961" xr:uid="{00000000-0005-0000-0000-0000DC390000}"/>
    <cellStyle name="Comma 2 3 3 3 3 7" xfId="38165" xr:uid="{00000000-0005-0000-0000-0000DD390000}"/>
    <cellStyle name="Comma 2 3 3 3 4" xfId="9648" xr:uid="{00000000-0005-0000-0000-0000DE390000}"/>
    <cellStyle name="Comma 2 3 3 3 4 2" xfId="11580" xr:uid="{00000000-0005-0000-0000-0000DF390000}"/>
    <cellStyle name="Comma 2 3 3 3 4 2 2" xfId="28336" xr:uid="{00000000-0005-0000-0000-0000E0390000}"/>
    <cellStyle name="Comma 2 3 3 3 4 2 2 2" xfId="45985" xr:uid="{00000000-0005-0000-0000-0000E1390000}"/>
    <cellStyle name="Comma 2 3 3 3 4 2 3" xfId="32549" xr:uid="{00000000-0005-0000-0000-0000E2390000}"/>
    <cellStyle name="Comma 2 3 3 3 4 2 4" xfId="36764" xr:uid="{00000000-0005-0000-0000-0000E3390000}"/>
    <cellStyle name="Comma 2 3 3 3 4 2 5" xfId="40968" xr:uid="{00000000-0005-0000-0000-0000E4390000}"/>
    <cellStyle name="Comma 2 3 3 3 4 3" xfId="27163" xr:uid="{00000000-0005-0000-0000-0000E5390000}"/>
    <cellStyle name="Comma 2 3 3 3 4 3 2" xfId="45032" xr:uid="{00000000-0005-0000-0000-0000E6390000}"/>
    <cellStyle name="Comma 2 3 3 3 4 4" xfId="31376" xr:uid="{00000000-0005-0000-0000-0000E7390000}"/>
    <cellStyle name="Comma 2 3 3 3 4 5" xfId="35591" xr:uid="{00000000-0005-0000-0000-0000E8390000}"/>
    <cellStyle name="Comma 2 3 3 3 4 6" xfId="39795" xr:uid="{00000000-0005-0000-0000-0000E9390000}"/>
    <cellStyle name="Comma 2 3 3 3 5" xfId="10237" xr:uid="{00000000-0005-0000-0000-0000EA390000}"/>
    <cellStyle name="Comma 2 3 3 3 5 2" xfId="27628" xr:uid="{00000000-0005-0000-0000-0000EB390000}"/>
    <cellStyle name="Comma 2 3 3 3 5 2 2" xfId="45306" xr:uid="{00000000-0005-0000-0000-0000EC390000}"/>
    <cellStyle name="Comma 2 3 3 3 5 3" xfId="31841" xr:uid="{00000000-0005-0000-0000-0000ED390000}"/>
    <cellStyle name="Comma 2 3 3 3 5 4" xfId="36056" xr:uid="{00000000-0005-0000-0000-0000EE390000}"/>
    <cellStyle name="Comma 2 3 3 3 5 5" xfId="40260" xr:uid="{00000000-0005-0000-0000-0000EF390000}"/>
    <cellStyle name="Comma 2 3 3 3 6" xfId="25382" xr:uid="{00000000-0005-0000-0000-0000F0390000}"/>
    <cellStyle name="Comma 2 3 3 3 6 2" xfId="44721" xr:uid="{00000000-0005-0000-0000-0000F1390000}"/>
    <cellStyle name="Comma 2 3 3 3 7" xfId="29594" xr:uid="{00000000-0005-0000-0000-0000F2390000}"/>
    <cellStyle name="Comma 2 3 3 3 8" xfId="33810" xr:uid="{00000000-0005-0000-0000-0000F3390000}"/>
    <cellStyle name="Comma 2 3 3 3 9" xfId="38014" xr:uid="{00000000-0005-0000-0000-0000F4390000}"/>
    <cellStyle name="Comma 2 3 3 4" xfId="5974" xr:uid="{00000000-0005-0000-0000-0000F5390000}"/>
    <cellStyle name="Comma 2 3 3 4 2" xfId="6881" xr:uid="{00000000-0005-0000-0000-0000F6390000}"/>
    <cellStyle name="Comma 2 3 3 4 2 2" xfId="9815" xr:uid="{00000000-0005-0000-0000-0000F7390000}"/>
    <cellStyle name="Comma 2 3 3 4 2 2 2" xfId="11792" xr:uid="{00000000-0005-0000-0000-0000F8390000}"/>
    <cellStyle name="Comma 2 3 3 4 2 2 2 2" xfId="28512" xr:uid="{00000000-0005-0000-0000-0000F9390000}"/>
    <cellStyle name="Comma 2 3 3 4 2 2 2 2 2" xfId="46163" xr:uid="{00000000-0005-0000-0000-0000FA390000}"/>
    <cellStyle name="Comma 2 3 3 4 2 2 2 3" xfId="32725" xr:uid="{00000000-0005-0000-0000-0000FB390000}"/>
    <cellStyle name="Comma 2 3 3 4 2 2 2 4" xfId="36940" xr:uid="{00000000-0005-0000-0000-0000FC390000}"/>
    <cellStyle name="Comma 2 3 3 4 2 2 2 5" xfId="41144" xr:uid="{00000000-0005-0000-0000-0000FD390000}"/>
    <cellStyle name="Comma 2 3 3 4 2 2 3" xfId="27302" xr:uid="{00000000-0005-0000-0000-0000FE390000}"/>
    <cellStyle name="Comma 2 3 3 4 2 2 3 2" xfId="45180" xr:uid="{00000000-0005-0000-0000-0000FF390000}"/>
    <cellStyle name="Comma 2 3 3 4 2 2 4" xfId="31515" xr:uid="{00000000-0005-0000-0000-0000003A0000}"/>
    <cellStyle name="Comma 2 3 3 4 2 2 5" xfId="35730" xr:uid="{00000000-0005-0000-0000-0000013A0000}"/>
    <cellStyle name="Comma 2 3 3 4 2 2 6" xfId="39934" xr:uid="{00000000-0005-0000-0000-0000023A0000}"/>
    <cellStyle name="Comma 2 3 3 4 2 3" xfId="10552" xr:uid="{00000000-0005-0000-0000-0000033A0000}"/>
    <cellStyle name="Comma 2 3 3 4 2 3 2" xfId="27767" xr:uid="{00000000-0005-0000-0000-0000043A0000}"/>
    <cellStyle name="Comma 2 3 3 4 2 3 2 2" xfId="45445" xr:uid="{00000000-0005-0000-0000-0000053A0000}"/>
    <cellStyle name="Comma 2 3 3 4 2 3 3" xfId="31980" xr:uid="{00000000-0005-0000-0000-0000063A0000}"/>
    <cellStyle name="Comma 2 3 3 4 2 3 4" xfId="36195" xr:uid="{00000000-0005-0000-0000-0000073A0000}"/>
    <cellStyle name="Comma 2 3 3 4 2 3 5" xfId="40399" xr:uid="{00000000-0005-0000-0000-0000083A0000}"/>
    <cellStyle name="Comma 2 3 3 4 2 4" xfId="25569" xr:uid="{00000000-0005-0000-0000-0000093A0000}"/>
    <cellStyle name="Comma 2 3 3 4 2 4 2" xfId="44897" xr:uid="{00000000-0005-0000-0000-00000A3A0000}"/>
    <cellStyle name="Comma 2 3 3 4 2 5" xfId="29782" xr:uid="{00000000-0005-0000-0000-00000B3A0000}"/>
    <cellStyle name="Comma 2 3 3 4 2 6" xfId="33997" xr:uid="{00000000-0005-0000-0000-00000C3A0000}"/>
    <cellStyle name="Comma 2 3 3 4 2 7" xfId="38201" xr:uid="{00000000-0005-0000-0000-00000D3A0000}"/>
    <cellStyle name="Comma 2 3 3 4 3" xfId="9697" xr:uid="{00000000-0005-0000-0000-00000E3A0000}"/>
    <cellStyle name="Comma 2 3 3 4 3 2" xfId="11482" xr:uid="{00000000-0005-0000-0000-00000F3A0000}"/>
    <cellStyle name="Comma 2 3 3 4 3 2 2" xfId="28241" xr:uid="{00000000-0005-0000-0000-0000103A0000}"/>
    <cellStyle name="Comma 2 3 3 4 3 2 2 2" xfId="45890" xr:uid="{00000000-0005-0000-0000-0000113A0000}"/>
    <cellStyle name="Comma 2 3 3 4 3 2 3" xfId="32454" xr:uid="{00000000-0005-0000-0000-0000123A0000}"/>
    <cellStyle name="Comma 2 3 3 4 3 2 4" xfId="36669" xr:uid="{00000000-0005-0000-0000-0000133A0000}"/>
    <cellStyle name="Comma 2 3 3 4 3 2 5" xfId="40873" xr:uid="{00000000-0005-0000-0000-0000143A0000}"/>
    <cellStyle name="Comma 2 3 3 4 3 3" xfId="27208" xr:uid="{00000000-0005-0000-0000-0000153A0000}"/>
    <cellStyle name="Comma 2 3 3 4 3 3 2" xfId="45077" xr:uid="{00000000-0005-0000-0000-0000163A0000}"/>
    <cellStyle name="Comma 2 3 3 4 3 4" xfId="31421" xr:uid="{00000000-0005-0000-0000-0000173A0000}"/>
    <cellStyle name="Comma 2 3 3 4 3 5" xfId="35636" xr:uid="{00000000-0005-0000-0000-0000183A0000}"/>
    <cellStyle name="Comma 2 3 3 4 3 6" xfId="39840" xr:uid="{00000000-0005-0000-0000-0000193A0000}"/>
    <cellStyle name="Comma 2 3 3 4 4" xfId="10435" xr:uid="{00000000-0005-0000-0000-00001A3A0000}"/>
    <cellStyle name="Comma 2 3 3 4 4 2" xfId="27673" xr:uid="{00000000-0005-0000-0000-00001B3A0000}"/>
    <cellStyle name="Comma 2 3 3 4 4 2 2" xfId="45351" xr:uid="{00000000-0005-0000-0000-00001C3A0000}"/>
    <cellStyle name="Comma 2 3 3 4 4 3" xfId="31886" xr:uid="{00000000-0005-0000-0000-00001D3A0000}"/>
    <cellStyle name="Comma 2 3 3 4 4 4" xfId="36101" xr:uid="{00000000-0005-0000-0000-00001E3A0000}"/>
    <cellStyle name="Comma 2 3 3 4 4 5" xfId="40305" xr:uid="{00000000-0005-0000-0000-00001F3A0000}"/>
    <cellStyle name="Comma 2 3 3 4 5" xfId="25287" xr:uid="{00000000-0005-0000-0000-0000203A0000}"/>
    <cellStyle name="Comma 2 3 3 4 5 2" xfId="44626" xr:uid="{00000000-0005-0000-0000-0000213A0000}"/>
    <cellStyle name="Comma 2 3 3 4 6" xfId="29499" xr:uid="{00000000-0005-0000-0000-0000223A0000}"/>
    <cellStyle name="Comma 2 3 3 4 7" xfId="33715" xr:uid="{00000000-0005-0000-0000-0000233A0000}"/>
    <cellStyle name="Comma 2 3 3 4 8" xfId="37919" xr:uid="{00000000-0005-0000-0000-0000243A0000}"/>
    <cellStyle name="Comma 2 3 3 5" xfId="6168" xr:uid="{00000000-0005-0000-0000-0000253A0000}"/>
    <cellStyle name="Comma 2 3 3 5 2" xfId="9755" xr:uid="{00000000-0005-0000-0000-0000263A0000}"/>
    <cellStyle name="Comma 2 3 3 5 2 2" xfId="11676" xr:uid="{00000000-0005-0000-0000-0000273A0000}"/>
    <cellStyle name="Comma 2 3 3 5 2 2 2" xfId="28432" xr:uid="{00000000-0005-0000-0000-0000283A0000}"/>
    <cellStyle name="Comma 2 3 3 5 2 2 2 2" xfId="46081" xr:uid="{00000000-0005-0000-0000-0000293A0000}"/>
    <cellStyle name="Comma 2 3 3 5 2 2 3" xfId="32645" xr:uid="{00000000-0005-0000-0000-00002A3A0000}"/>
    <cellStyle name="Comma 2 3 3 5 2 2 4" xfId="36860" xr:uid="{00000000-0005-0000-0000-00002B3A0000}"/>
    <cellStyle name="Comma 2 3 3 5 2 2 5" xfId="41064" xr:uid="{00000000-0005-0000-0000-00002C3A0000}"/>
    <cellStyle name="Comma 2 3 3 5 2 3" xfId="27255" xr:uid="{00000000-0005-0000-0000-00002D3A0000}"/>
    <cellStyle name="Comma 2 3 3 5 2 3 2" xfId="45133" xr:uid="{00000000-0005-0000-0000-00002E3A0000}"/>
    <cellStyle name="Comma 2 3 3 5 2 4" xfId="31468" xr:uid="{00000000-0005-0000-0000-00002F3A0000}"/>
    <cellStyle name="Comma 2 3 3 5 2 5" xfId="35683" xr:uid="{00000000-0005-0000-0000-0000303A0000}"/>
    <cellStyle name="Comma 2 3 3 5 2 6" xfId="39887" xr:uid="{00000000-0005-0000-0000-0000313A0000}"/>
    <cellStyle name="Comma 2 3 3 5 3" xfId="10482" xr:uid="{00000000-0005-0000-0000-0000323A0000}"/>
    <cellStyle name="Comma 2 3 3 5 3 2" xfId="27720" xr:uid="{00000000-0005-0000-0000-0000333A0000}"/>
    <cellStyle name="Comma 2 3 3 5 3 2 2" xfId="45398" xr:uid="{00000000-0005-0000-0000-0000343A0000}"/>
    <cellStyle name="Comma 2 3 3 5 3 3" xfId="31933" xr:uid="{00000000-0005-0000-0000-0000353A0000}"/>
    <cellStyle name="Comma 2 3 3 5 3 4" xfId="36148" xr:uid="{00000000-0005-0000-0000-0000363A0000}"/>
    <cellStyle name="Comma 2 3 3 5 3 5" xfId="40352" xr:uid="{00000000-0005-0000-0000-0000373A0000}"/>
    <cellStyle name="Comma 2 3 3 5 4" xfId="25478" xr:uid="{00000000-0005-0000-0000-0000383A0000}"/>
    <cellStyle name="Comma 2 3 3 5 4 2" xfId="44817" xr:uid="{00000000-0005-0000-0000-0000393A0000}"/>
    <cellStyle name="Comma 2 3 3 5 5" xfId="29690" xr:uid="{00000000-0005-0000-0000-00003A3A0000}"/>
    <cellStyle name="Comma 2 3 3 5 6" xfId="33906" xr:uid="{00000000-0005-0000-0000-00003B3A0000}"/>
    <cellStyle name="Comma 2 3 3 5 7" xfId="38110" xr:uid="{00000000-0005-0000-0000-00003C3A0000}"/>
    <cellStyle name="Comma 2 3 3 6" xfId="6341" xr:uid="{00000000-0005-0000-0000-00003D3A0000}"/>
    <cellStyle name="Comma 2 3 3 6 2" xfId="11753" xr:uid="{00000000-0005-0000-0000-00003E3A0000}"/>
    <cellStyle name="Comma 2 3 3 6 2 2" xfId="28475" xr:uid="{00000000-0005-0000-0000-00003F3A0000}"/>
    <cellStyle name="Comma 2 3 3 6 2 2 2" xfId="46124" xr:uid="{00000000-0005-0000-0000-0000403A0000}"/>
    <cellStyle name="Comma 2 3 3 6 2 3" xfId="32688" xr:uid="{00000000-0005-0000-0000-0000413A0000}"/>
    <cellStyle name="Comma 2 3 3 6 2 4" xfId="36903" xr:uid="{00000000-0005-0000-0000-0000423A0000}"/>
    <cellStyle name="Comma 2 3 3 6 2 5" xfId="41107" xr:uid="{00000000-0005-0000-0000-0000433A0000}"/>
    <cellStyle name="Comma 2 3 3 6 3" xfId="25531" xr:uid="{00000000-0005-0000-0000-0000443A0000}"/>
    <cellStyle name="Comma 2 3 3 6 3 2" xfId="44860" xr:uid="{00000000-0005-0000-0000-0000453A0000}"/>
    <cellStyle name="Comma 2 3 3 6 4" xfId="29743" xr:uid="{00000000-0005-0000-0000-0000463A0000}"/>
    <cellStyle name="Comma 2 3 3 6 5" xfId="33959" xr:uid="{00000000-0005-0000-0000-0000473A0000}"/>
    <cellStyle name="Comma 2 3 3 6 6" xfId="38163" xr:uid="{00000000-0005-0000-0000-0000483A0000}"/>
    <cellStyle name="Comma 2 3 3 7" xfId="9646" xr:uid="{00000000-0005-0000-0000-0000493A0000}"/>
    <cellStyle name="Comma 2 3 3 7 2" xfId="11377" xr:uid="{00000000-0005-0000-0000-00004A3A0000}"/>
    <cellStyle name="Comma 2 3 3 7 2 2" xfId="28146" xr:uid="{00000000-0005-0000-0000-00004B3A0000}"/>
    <cellStyle name="Comma 2 3 3 7 2 2 2" xfId="45795" xr:uid="{00000000-0005-0000-0000-00004C3A0000}"/>
    <cellStyle name="Comma 2 3 3 7 2 3" xfId="32359" xr:uid="{00000000-0005-0000-0000-00004D3A0000}"/>
    <cellStyle name="Comma 2 3 3 7 2 4" xfId="36574" xr:uid="{00000000-0005-0000-0000-00004E3A0000}"/>
    <cellStyle name="Comma 2 3 3 7 2 5" xfId="40778" xr:uid="{00000000-0005-0000-0000-00004F3A0000}"/>
    <cellStyle name="Comma 2 3 3 7 3" xfId="27161" xr:uid="{00000000-0005-0000-0000-0000503A0000}"/>
    <cellStyle name="Comma 2 3 3 7 3 2" xfId="45030" xr:uid="{00000000-0005-0000-0000-0000513A0000}"/>
    <cellStyle name="Comma 2 3 3 7 4" xfId="31374" xr:uid="{00000000-0005-0000-0000-0000523A0000}"/>
    <cellStyle name="Comma 2 3 3 7 5" xfId="35589" xr:uid="{00000000-0005-0000-0000-0000533A0000}"/>
    <cellStyle name="Comma 2 3 3 7 6" xfId="39793" xr:uid="{00000000-0005-0000-0000-0000543A0000}"/>
    <cellStyle name="Comma 2 3 3 8" xfId="10235" xr:uid="{00000000-0005-0000-0000-0000553A0000}"/>
    <cellStyle name="Comma 2 3 3 8 2" xfId="27626" xr:uid="{00000000-0005-0000-0000-0000563A0000}"/>
    <cellStyle name="Comma 2 3 3 8 2 2" xfId="45304" xr:uid="{00000000-0005-0000-0000-0000573A0000}"/>
    <cellStyle name="Comma 2 3 3 8 3" xfId="31839" xr:uid="{00000000-0005-0000-0000-0000583A0000}"/>
    <cellStyle name="Comma 2 3 3 8 4" xfId="36054" xr:uid="{00000000-0005-0000-0000-0000593A0000}"/>
    <cellStyle name="Comma 2 3 3 8 5" xfId="40258" xr:uid="{00000000-0005-0000-0000-00005A3A0000}"/>
    <cellStyle name="Comma 2 3 3 9" xfId="17460" xr:uid="{00000000-0005-0000-0000-00005B3A0000}"/>
    <cellStyle name="Comma 2 3 3 9 2" xfId="28922" xr:uid="{00000000-0005-0000-0000-00005C3A0000}"/>
    <cellStyle name="Comma 2 3 3 9 3" xfId="33137" xr:uid="{00000000-0005-0000-0000-00005D3A0000}"/>
    <cellStyle name="Comma 2 3 3 9 4" xfId="37350" xr:uid="{00000000-0005-0000-0000-00005E3A0000}"/>
    <cellStyle name="Comma 2 3 3 9 5" xfId="41572" xr:uid="{00000000-0005-0000-0000-00005F3A0000}"/>
    <cellStyle name="Comma 2 3 4" xfId="5873" xr:uid="{00000000-0005-0000-0000-0000603A0000}"/>
    <cellStyle name="Comma 2 3 4 10" xfId="25200" xr:uid="{00000000-0005-0000-0000-0000613A0000}"/>
    <cellStyle name="Comma 2 3 4 11" xfId="29412" xr:uid="{00000000-0005-0000-0000-0000623A0000}"/>
    <cellStyle name="Comma 2 3 4 12" xfId="33628" xr:uid="{00000000-0005-0000-0000-0000633A0000}"/>
    <cellStyle name="Comma 2 3 4 13" xfId="37832" xr:uid="{00000000-0005-0000-0000-0000643A0000}"/>
    <cellStyle name="Comma 2 3 4 2" xfId="5934" xr:uid="{00000000-0005-0000-0000-0000653A0000}"/>
    <cellStyle name="Comma 2 3 4 2 10" xfId="37881" xr:uid="{00000000-0005-0000-0000-0000663A0000}"/>
    <cellStyle name="Comma 2 3 4 2 2" xfId="6129" xr:uid="{00000000-0005-0000-0000-0000673A0000}"/>
    <cellStyle name="Comma 2 3 4 2 2 2" xfId="9818" xr:uid="{00000000-0005-0000-0000-0000683A0000}"/>
    <cellStyle name="Comma 2 3 4 2 2 2 2" xfId="11637" xr:uid="{00000000-0005-0000-0000-0000693A0000}"/>
    <cellStyle name="Comma 2 3 4 2 2 2 2 2" xfId="28393" xr:uid="{00000000-0005-0000-0000-00006A3A0000}"/>
    <cellStyle name="Comma 2 3 4 2 2 2 2 2 2" xfId="46042" xr:uid="{00000000-0005-0000-0000-00006B3A0000}"/>
    <cellStyle name="Comma 2 3 4 2 2 2 2 3" xfId="32606" xr:uid="{00000000-0005-0000-0000-00006C3A0000}"/>
    <cellStyle name="Comma 2 3 4 2 2 2 2 4" xfId="36821" xr:uid="{00000000-0005-0000-0000-00006D3A0000}"/>
    <cellStyle name="Comma 2 3 4 2 2 2 2 5" xfId="41025" xr:uid="{00000000-0005-0000-0000-00006E3A0000}"/>
    <cellStyle name="Comma 2 3 4 2 2 2 3" xfId="27305" xr:uid="{00000000-0005-0000-0000-00006F3A0000}"/>
    <cellStyle name="Comma 2 3 4 2 2 2 3 2" xfId="45183" xr:uid="{00000000-0005-0000-0000-0000703A0000}"/>
    <cellStyle name="Comma 2 3 4 2 2 2 4" xfId="31518" xr:uid="{00000000-0005-0000-0000-0000713A0000}"/>
    <cellStyle name="Comma 2 3 4 2 2 2 5" xfId="35733" xr:uid="{00000000-0005-0000-0000-0000723A0000}"/>
    <cellStyle name="Comma 2 3 4 2 2 2 6" xfId="39937" xr:uid="{00000000-0005-0000-0000-0000733A0000}"/>
    <cellStyle name="Comma 2 3 4 2 2 3" xfId="10555" xr:uid="{00000000-0005-0000-0000-0000743A0000}"/>
    <cellStyle name="Comma 2 3 4 2 2 3 2" xfId="27770" xr:uid="{00000000-0005-0000-0000-0000753A0000}"/>
    <cellStyle name="Comma 2 3 4 2 2 3 2 2" xfId="45448" xr:uid="{00000000-0005-0000-0000-0000763A0000}"/>
    <cellStyle name="Comma 2 3 4 2 2 3 3" xfId="31983" xr:uid="{00000000-0005-0000-0000-0000773A0000}"/>
    <cellStyle name="Comma 2 3 4 2 2 3 4" xfId="36198" xr:uid="{00000000-0005-0000-0000-0000783A0000}"/>
    <cellStyle name="Comma 2 3 4 2 2 3 5" xfId="40402" xr:uid="{00000000-0005-0000-0000-0000793A0000}"/>
    <cellStyle name="Comma 2 3 4 2 2 4" xfId="25439" xr:uid="{00000000-0005-0000-0000-00007A3A0000}"/>
    <cellStyle name="Comma 2 3 4 2 2 4 2" xfId="44778" xr:uid="{00000000-0005-0000-0000-00007B3A0000}"/>
    <cellStyle name="Comma 2 3 4 2 2 5" xfId="29651" xr:uid="{00000000-0005-0000-0000-00007C3A0000}"/>
    <cellStyle name="Comma 2 3 4 2 2 6" xfId="33867" xr:uid="{00000000-0005-0000-0000-00007D3A0000}"/>
    <cellStyle name="Comma 2 3 4 2 2 7" xfId="38071" xr:uid="{00000000-0005-0000-0000-00007E3A0000}"/>
    <cellStyle name="Comma 2 3 4 2 3" xfId="6031" xr:uid="{00000000-0005-0000-0000-00007F3A0000}"/>
    <cellStyle name="Comma 2 3 4 2 3 2" xfId="11539" xr:uid="{00000000-0005-0000-0000-0000803A0000}"/>
    <cellStyle name="Comma 2 3 4 2 3 2 2" xfId="28298" xr:uid="{00000000-0005-0000-0000-0000813A0000}"/>
    <cellStyle name="Comma 2 3 4 2 3 2 2 2" xfId="45947" xr:uid="{00000000-0005-0000-0000-0000823A0000}"/>
    <cellStyle name="Comma 2 3 4 2 3 2 3" xfId="32511" xr:uid="{00000000-0005-0000-0000-0000833A0000}"/>
    <cellStyle name="Comma 2 3 4 2 3 2 4" xfId="36726" xr:uid="{00000000-0005-0000-0000-0000843A0000}"/>
    <cellStyle name="Comma 2 3 4 2 3 2 5" xfId="40930" xr:uid="{00000000-0005-0000-0000-0000853A0000}"/>
    <cellStyle name="Comma 2 3 4 2 3 3" xfId="25344" xr:uid="{00000000-0005-0000-0000-0000863A0000}"/>
    <cellStyle name="Comma 2 3 4 2 3 3 2" xfId="44683" xr:uid="{00000000-0005-0000-0000-0000873A0000}"/>
    <cellStyle name="Comma 2 3 4 2 3 4" xfId="29556" xr:uid="{00000000-0005-0000-0000-0000883A0000}"/>
    <cellStyle name="Comma 2 3 4 2 3 5" xfId="33772" xr:uid="{00000000-0005-0000-0000-0000893A0000}"/>
    <cellStyle name="Comma 2 3 4 2 3 6" xfId="37976" xr:uid="{00000000-0005-0000-0000-00008A3A0000}"/>
    <cellStyle name="Comma 2 3 4 2 4" xfId="6884" xr:uid="{00000000-0005-0000-0000-00008B3A0000}"/>
    <cellStyle name="Comma 2 3 4 2 4 2" xfId="11795" xr:uid="{00000000-0005-0000-0000-00008C3A0000}"/>
    <cellStyle name="Comma 2 3 4 2 4 2 2" xfId="28515" xr:uid="{00000000-0005-0000-0000-00008D3A0000}"/>
    <cellStyle name="Comma 2 3 4 2 4 2 2 2" xfId="46166" xr:uid="{00000000-0005-0000-0000-00008E3A0000}"/>
    <cellStyle name="Comma 2 3 4 2 4 2 3" xfId="32728" xr:uid="{00000000-0005-0000-0000-00008F3A0000}"/>
    <cellStyle name="Comma 2 3 4 2 4 2 4" xfId="36943" xr:uid="{00000000-0005-0000-0000-0000903A0000}"/>
    <cellStyle name="Comma 2 3 4 2 4 2 5" xfId="41147" xr:uid="{00000000-0005-0000-0000-0000913A0000}"/>
    <cellStyle name="Comma 2 3 4 2 4 3" xfId="25572" xr:uid="{00000000-0005-0000-0000-0000923A0000}"/>
    <cellStyle name="Comma 2 3 4 2 4 3 2" xfId="44900" xr:uid="{00000000-0005-0000-0000-0000933A0000}"/>
    <cellStyle name="Comma 2 3 4 2 4 4" xfId="29785" xr:uid="{00000000-0005-0000-0000-0000943A0000}"/>
    <cellStyle name="Comma 2 3 4 2 4 5" xfId="34000" xr:uid="{00000000-0005-0000-0000-0000953A0000}"/>
    <cellStyle name="Comma 2 3 4 2 4 6" xfId="38204" xr:uid="{00000000-0005-0000-0000-0000963A0000}"/>
    <cellStyle name="Comma 2 3 4 2 5" xfId="9700" xr:uid="{00000000-0005-0000-0000-0000973A0000}"/>
    <cellStyle name="Comma 2 3 4 2 5 2" xfId="11443" xr:uid="{00000000-0005-0000-0000-0000983A0000}"/>
    <cellStyle name="Comma 2 3 4 2 5 2 2" xfId="28203" xr:uid="{00000000-0005-0000-0000-0000993A0000}"/>
    <cellStyle name="Comma 2 3 4 2 5 2 2 2" xfId="45852" xr:uid="{00000000-0005-0000-0000-00009A3A0000}"/>
    <cellStyle name="Comma 2 3 4 2 5 2 3" xfId="32416" xr:uid="{00000000-0005-0000-0000-00009B3A0000}"/>
    <cellStyle name="Comma 2 3 4 2 5 2 4" xfId="36631" xr:uid="{00000000-0005-0000-0000-00009C3A0000}"/>
    <cellStyle name="Comma 2 3 4 2 5 2 5" xfId="40835" xr:uid="{00000000-0005-0000-0000-00009D3A0000}"/>
    <cellStyle name="Comma 2 3 4 2 5 3" xfId="27211" xr:uid="{00000000-0005-0000-0000-00009E3A0000}"/>
    <cellStyle name="Comma 2 3 4 2 5 3 2" xfId="45080" xr:uid="{00000000-0005-0000-0000-00009F3A0000}"/>
    <cellStyle name="Comma 2 3 4 2 5 4" xfId="31424" xr:uid="{00000000-0005-0000-0000-0000A03A0000}"/>
    <cellStyle name="Comma 2 3 4 2 5 5" xfId="35639" xr:uid="{00000000-0005-0000-0000-0000A13A0000}"/>
    <cellStyle name="Comma 2 3 4 2 5 6" xfId="39843" xr:uid="{00000000-0005-0000-0000-0000A23A0000}"/>
    <cellStyle name="Comma 2 3 4 2 6" xfId="10438" xr:uid="{00000000-0005-0000-0000-0000A33A0000}"/>
    <cellStyle name="Comma 2 3 4 2 6 2" xfId="27676" xr:uid="{00000000-0005-0000-0000-0000A43A0000}"/>
    <cellStyle name="Comma 2 3 4 2 6 2 2" xfId="45354" xr:uid="{00000000-0005-0000-0000-0000A53A0000}"/>
    <cellStyle name="Comma 2 3 4 2 6 3" xfId="31889" xr:uid="{00000000-0005-0000-0000-0000A63A0000}"/>
    <cellStyle name="Comma 2 3 4 2 6 4" xfId="36104" xr:uid="{00000000-0005-0000-0000-0000A73A0000}"/>
    <cellStyle name="Comma 2 3 4 2 6 5" xfId="40308" xr:uid="{00000000-0005-0000-0000-0000A83A0000}"/>
    <cellStyle name="Comma 2 3 4 2 7" xfId="25249" xr:uid="{00000000-0005-0000-0000-0000A93A0000}"/>
    <cellStyle name="Comma 2 3 4 2 7 2" xfId="44588" xr:uid="{00000000-0005-0000-0000-0000AA3A0000}"/>
    <cellStyle name="Comma 2 3 4 2 8" xfId="29461" xr:uid="{00000000-0005-0000-0000-0000AB3A0000}"/>
    <cellStyle name="Comma 2 3 4 2 9" xfId="33677" xr:uid="{00000000-0005-0000-0000-0000AC3A0000}"/>
    <cellStyle name="Comma 2 3 4 3" xfId="6082" xr:uid="{00000000-0005-0000-0000-0000AD3A0000}"/>
    <cellStyle name="Comma 2 3 4 3 2" xfId="9758" xr:uid="{00000000-0005-0000-0000-0000AE3A0000}"/>
    <cellStyle name="Comma 2 3 4 3 2 2" xfId="11590" xr:uid="{00000000-0005-0000-0000-0000AF3A0000}"/>
    <cellStyle name="Comma 2 3 4 3 2 2 2" xfId="28346" xr:uid="{00000000-0005-0000-0000-0000B03A0000}"/>
    <cellStyle name="Comma 2 3 4 3 2 2 2 2" xfId="45995" xr:uid="{00000000-0005-0000-0000-0000B13A0000}"/>
    <cellStyle name="Comma 2 3 4 3 2 2 3" xfId="32559" xr:uid="{00000000-0005-0000-0000-0000B23A0000}"/>
    <cellStyle name="Comma 2 3 4 3 2 2 4" xfId="36774" xr:uid="{00000000-0005-0000-0000-0000B33A0000}"/>
    <cellStyle name="Comma 2 3 4 3 2 2 5" xfId="40978" xr:uid="{00000000-0005-0000-0000-0000B43A0000}"/>
    <cellStyle name="Comma 2 3 4 3 2 3" xfId="27258" xr:uid="{00000000-0005-0000-0000-0000B53A0000}"/>
    <cellStyle name="Comma 2 3 4 3 2 3 2" xfId="45136" xr:uid="{00000000-0005-0000-0000-0000B63A0000}"/>
    <cellStyle name="Comma 2 3 4 3 2 4" xfId="31471" xr:uid="{00000000-0005-0000-0000-0000B73A0000}"/>
    <cellStyle name="Comma 2 3 4 3 2 5" xfId="35686" xr:uid="{00000000-0005-0000-0000-0000B83A0000}"/>
    <cellStyle name="Comma 2 3 4 3 2 6" xfId="39890" xr:uid="{00000000-0005-0000-0000-0000B93A0000}"/>
    <cellStyle name="Comma 2 3 4 3 3" xfId="10485" xr:uid="{00000000-0005-0000-0000-0000BA3A0000}"/>
    <cellStyle name="Comma 2 3 4 3 3 2" xfId="27723" xr:uid="{00000000-0005-0000-0000-0000BB3A0000}"/>
    <cellStyle name="Comma 2 3 4 3 3 2 2" xfId="45401" xr:uid="{00000000-0005-0000-0000-0000BC3A0000}"/>
    <cellStyle name="Comma 2 3 4 3 3 3" xfId="31936" xr:uid="{00000000-0005-0000-0000-0000BD3A0000}"/>
    <cellStyle name="Comma 2 3 4 3 3 4" xfId="36151" xr:uid="{00000000-0005-0000-0000-0000BE3A0000}"/>
    <cellStyle name="Comma 2 3 4 3 3 5" xfId="40355" xr:uid="{00000000-0005-0000-0000-0000BF3A0000}"/>
    <cellStyle name="Comma 2 3 4 3 4" xfId="25392" xr:uid="{00000000-0005-0000-0000-0000C03A0000}"/>
    <cellStyle name="Comma 2 3 4 3 4 2" xfId="44731" xr:uid="{00000000-0005-0000-0000-0000C13A0000}"/>
    <cellStyle name="Comma 2 3 4 3 5" xfId="29604" xr:uid="{00000000-0005-0000-0000-0000C23A0000}"/>
    <cellStyle name="Comma 2 3 4 3 6" xfId="33820" xr:uid="{00000000-0005-0000-0000-0000C33A0000}"/>
    <cellStyle name="Comma 2 3 4 3 7" xfId="38024" xr:uid="{00000000-0005-0000-0000-0000C43A0000}"/>
    <cellStyle name="Comma 2 3 4 4" xfId="5984" xr:uid="{00000000-0005-0000-0000-0000C53A0000}"/>
    <cellStyle name="Comma 2 3 4 4 2" xfId="11492" xr:uid="{00000000-0005-0000-0000-0000C63A0000}"/>
    <cellStyle name="Comma 2 3 4 4 2 2" xfId="28251" xr:uid="{00000000-0005-0000-0000-0000C73A0000}"/>
    <cellStyle name="Comma 2 3 4 4 2 2 2" xfId="45900" xr:uid="{00000000-0005-0000-0000-0000C83A0000}"/>
    <cellStyle name="Comma 2 3 4 4 2 3" xfId="32464" xr:uid="{00000000-0005-0000-0000-0000C93A0000}"/>
    <cellStyle name="Comma 2 3 4 4 2 4" xfId="36679" xr:uid="{00000000-0005-0000-0000-0000CA3A0000}"/>
    <cellStyle name="Comma 2 3 4 4 2 5" xfId="40883" xr:uid="{00000000-0005-0000-0000-0000CB3A0000}"/>
    <cellStyle name="Comma 2 3 4 4 3" xfId="25297" xr:uid="{00000000-0005-0000-0000-0000CC3A0000}"/>
    <cellStyle name="Comma 2 3 4 4 3 2" xfId="44636" xr:uid="{00000000-0005-0000-0000-0000CD3A0000}"/>
    <cellStyle name="Comma 2 3 4 4 4" xfId="29509" xr:uid="{00000000-0005-0000-0000-0000CE3A0000}"/>
    <cellStyle name="Comma 2 3 4 4 5" xfId="33725" xr:uid="{00000000-0005-0000-0000-0000CF3A0000}"/>
    <cellStyle name="Comma 2 3 4 4 6" xfId="37929" xr:uid="{00000000-0005-0000-0000-0000D03A0000}"/>
    <cellStyle name="Comma 2 3 4 5" xfId="6171" xr:uid="{00000000-0005-0000-0000-0000D13A0000}"/>
    <cellStyle name="Comma 2 3 4 5 2" xfId="11679" xr:uid="{00000000-0005-0000-0000-0000D23A0000}"/>
    <cellStyle name="Comma 2 3 4 5 2 2" xfId="28435" xr:uid="{00000000-0005-0000-0000-0000D33A0000}"/>
    <cellStyle name="Comma 2 3 4 5 2 2 2" xfId="46084" xr:uid="{00000000-0005-0000-0000-0000D43A0000}"/>
    <cellStyle name="Comma 2 3 4 5 2 3" xfId="32648" xr:uid="{00000000-0005-0000-0000-0000D53A0000}"/>
    <cellStyle name="Comma 2 3 4 5 2 4" xfId="36863" xr:uid="{00000000-0005-0000-0000-0000D63A0000}"/>
    <cellStyle name="Comma 2 3 4 5 2 5" xfId="41067" xr:uid="{00000000-0005-0000-0000-0000D73A0000}"/>
    <cellStyle name="Comma 2 3 4 5 3" xfId="25481" xr:uid="{00000000-0005-0000-0000-0000D83A0000}"/>
    <cellStyle name="Comma 2 3 4 5 3 2" xfId="44820" xr:uid="{00000000-0005-0000-0000-0000D93A0000}"/>
    <cellStyle name="Comma 2 3 4 5 4" xfId="29693" xr:uid="{00000000-0005-0000-0000-0000DA3A0000}"/>
    <cellStyle name="Comma 2 3 4 5 5" xfId="33909" xr:uid="{00000000-0005-0000-0000-0000DB3A0000}"/>
    <cellStyle name="Comma 2 3 4 5 6" xfId="38113" xr:uid="{00000000-0005-0000-0000-0000DC3A0000}"/>
    <cellStyle name="Comma 2 3 4 6" xfId="6344" xr:uid="{00000000-0005-0000-0000-0000DD3A0000}"/>
    <cellStyle name="Comma 2 3 4 6 2" xfId="11756" xr:uid="{00000000-0005-0000-0000-0000DE3A0000}"/>
    <cellStyle name="Comma 2 3 4 6 2 2" xfId="28478" xr:uid="{00000000-0005-0000-0000-0000DF3A0000}"/>
    <cellStyle name="Comma 2 3 4 6 2 2 2" xfId="46127" xr:uid="{00000000-0005-0000-0000-0000E03A0000}"/>
    <cellStyle name="Comma 2 3 4 6 2 3" xfId="32691" xr:uid="{00000000-0005-0000-0000-0000E13A0000}"/>
    <cellStyle name="Comma 2 3 4 6 2 4" xfId="36906" xr:uid="{00000000-0005-0000-0000-0000E23A0000}"/>
    <cellStyle name="Comma 2 3 4 6 2 5" xfId="41110" xr:uid="{00000000-0005-0000-0000-0000E33A0000}"/>
    <cellStyle name="Comma 2 3 4 6 3" xfId="25534" xr:uid="{00000000-0005-0000-0000-0000E43A0000}"/>
    <cellStyle name="Comma 2 3 4 6 3 2" xfId="44863" xr:uid="{00000000-0005-0000-0000-0000E53A0000}"/>
    <cellStyle name="Comma 2 3 4 6 4" xfId="29746" xr:uid="{00000000-0005-0000-0000-0000E63A0000}"/>
    <cellStyle name="Comma 2 3 4 6 5" xfId="33962" xr:uid="{00000000-0005-0000-0000-0000E73A0000}"/>
    <cellStyle name="Comma 2 3 4 6 6" xfId="38166" xr:uid="{00000000-0005-0000-0000-0000E83A0000}"/>
    <cellStyle name="Comma 2 3 4 7" xfId="9649" xr:uid="{00000000-0005-0000-0000-0000E93A0000}"/>
    <cellStyle name="Comma 2 3 4 7 2" xfId="11387" xr:uid="{00000000-0005-0000-0000-0000EA3A0000}"/>
    <cellStyle name="Comma 2 3 4 7 2 2" xfId="28156" xr:uid="{00000000-0005-0000-0000-0000EB3A0000}"/>
    <cellStyle name="Comma 2 3 4 7 2 2 2" xfId="45805" xr:uid="{00000000-0005-0000-0000-0000EC3A0000}"/>
    <cellStyle name="Comma 2 3 4 7 2 3" xfId="32369" xr:uid="{00000000-0005-0000-0000-0000ED3A0000}"/>
    <cellStyle name="Comma 2 3 4 7 2 4" xfId="36584" xr:uid="{00000000-0005-0000-0000-0000EE3A0000}"/>
    <cellStyle name="Comma 2 3 4 7 2 5" xfId="40788" xr:uid="{00000000-0005-0000-0000-0000EF3A0000}"/>
    <cellStyle name="Comma 2 3 4 7 3" xfId="27164" xr:uid="{00000000-0005-0000-0000-0000F03A0000}"/>
    <cellStyle name="Comma 2 3 4 7 3 2" xfId="45033" xr:uid="{00000000-0005-0000-0000-0000F13A0000}"/>
    <cellStyle name="Comma 2 3 4 7 4" xfId="31377" xr:uid="{00000000-0005-0000-0000-0000F23A0000}"/>
    <cellStyle name="Comma 2 3 4 7 5" xfId="35592" xr:uid="{00000000-0005-0000-0000-0000F33A0000}"/>
    <cellStyle name="Comma 2 3 4 7 6" xfId="39796" xr:uid="{00000000-0005-0000-0000-0000F43A0000}"/>
    <cellStyle name="Comma 2 3 4 8" xfId="10238" xr:uid="{00000000-0005-0000-0000-0000F53A0000}"/>
    <cellStyle name="Comma 2 3 4 8 2" xfId="27629" xr:uid="{00000000-0005-0000-0000-0000F63A0000}"/>
    <cellStyle name="Comma 2 3 4 8 2 2" xfId="45307" xr:uid="{00000000-0005-0000-0000-0000F73A0000}"/>
    <cellStyle name="Comma 2 3 4 8 3" xfId="31842" xr:uid="{00000000-0005-0000-0000-0000F83A0000}"/>
    <cellStyle name="Comma 2 3 4 8 4" xfId="36057" xr:uid="{00000000-0005-0000-0000-0000F93A0000}"/>
    <cellStyle name="Comma 2 3 4 8 5" xfId="40261" xr:uid="{00000000-0005-0000-0000-0000FA3A0000}"/>
    <cellStyle name="Comma 2 3 4 9" xfId="13664" xr:uid="{00000000-0005-0000-0000-0000FB3A0000}"/>
    <cellStyle name="Comma 2 3 4 9 2" xfId="28891" xr:uid="{00000000-0005-0000-0000-0000FC3A0000}"/>
    <cellStyle name="Comma 2 3 4 9 3" xfId="33104" xr:uid="{00000000-0005-0000-0000-0000FD3A0000}"/>
    <cellStyle name="Comma 2 3 4 9 4" xfId="37319" xr:uid="{00000000-0005-0000-0000-0000FE3A0000}"/>
    <cellStyle name="Comma 2 3 4 9 5" xfId="44541" xr:uid="{00000000-0005-0000-0000-0000FF3A0000}"/>
    <cellStyle name="Comma 2 3 5" xfId="5882" xr:uid="{00000000-0005-0000-0000-0000003B0000}"/>
    <cellStyle name="Comma 2 3 5 10" xfId="25208" xr:uid="{00000000-0005-0000-0000-0000013B0000}"/>
    <cellStyle name="Comma 2 3 5 11" xfId="29420" xr:uid="{00000000-0005-0000-0000-0000023B0000}"/>
    <cellStyle name="Comma 2 3 5 12" xfId="33636" xr:uid="{00000000-0005-0000-0000-0000033B0000}"/>
    <cellStyle name="Comma 2 3 5 13" xfId="37840" xr:uid="{00000000-0005-0000-0000-0000043B0000}"/>
    <cellStyle name="Comma 2 3 5 2" xfId="5942" xr:uid="{00000000-0005-0000-0000-0000053B0000}"/>
    <cellStyle name="Comma 2 3 5 2 10" xfId="37889" xr:uid="{00000000-0005-0000-0000-0000063B0000}"/>
    <cellStyle name="Comma 2 3 5 2 2" xfId="6137" xr:uid="{00000000-0005-0000-0000-0000073B0000}"/>
    <cellStyle name="Comma 2 3 5 2 2 2" xfId="9819" xr:uid="{00000000-0005-0000-0000-0000083B0000}"/>
    <cellStyle name="Comma 2 3 5 2 2 2 2" xfId="11645" xr:uid="{00000000-0005-0000-0000-0000093B0000}"/>
    <cellStyle name="Comma 2 3 5 2 2 2 2 2" xfId="28401" xr:uid="{00000000-0005-0000-0000-00000A3B0000}"/>
    <cellStyle name="Comma 2 3 5 2 2 2 2 2 2" xfId="46050" xr:uid="{00000000-0005-0000-0000-00000B3B0000}"/>
    <cellStyle name="Comma 2 3 5 2 2 2 2 3" xfId="32614" xr:uid="{00000000-0005-0000-0000-00000C3B0000}"/>
    <cellStyle name="Comma 2 3 5 2 2 2 2 4" xfId="36829" xr:uid="{00000000-0005-0000-0000-00000D3B0000}"/>
    <cellStyle name="Comma 2 3 5 2 2 2 2 5" xfId="41033" xr:uid="{00000000-0005-0000-0000-00000E3B0000}"/>
    <cellStyle name="Comma 2 3 5 2 2 2 3" xfId="27306" xr:uid="{00000000-0005-0000-0000-00000F3B0000}"/>
    <cellStyle name="Comma 2 3 5 2 2 2 3 2" xfId="45184" xr:uid="{00000000-0005-0000-0000-0000103B0000}"/>
    <cellStyle name="Comma 2 3 5 2 2 2 4" xfId="31519" xr:uid="{00000000-0005-0000-0000-0000113B0000}"/>
    <cellStyle name="Comma 2 3 5 2 2 2 5" xfId="35734" xr:uid="{00000000-0005-0000-0000-0000123B0000}"/>
    <cellStyle name="Comma 2 3 5 2 2 2 6" xfId="39938" xr:uid="{00000000-0005-0000-0000-0000133B0000}"/>
    <cellStyle name="Comma 2 3 5 2 2 3" xfId="10556" xr:uid="{00000000-0005-0000-0000-0000143B0000}"/>
    <cellStyle name="Comma 2 3 5 2 2 3 2" xfId="27771" xr:uid="{00000000-0005-0000-0000-0000153B0000}"/>
    <cellStyle name="Comma 2 3 5 2 2 3 2 2" xfId="45449" xr:uid="{00000000-0005-0000-0000-0000163B0000}"/>
    <cellStyle name="Comma 2 3 5 2 2 3 3" xfId="31984" xr:uid="{00000000-0005-0000-0000-0000173B0000}"/>
    <cellStyle name="Comma 2 3 5 2 2 3 4" xfId="36199" xr:uid="{00000000-0005-0000-0000-0000183B0000}"/>
    <cellStyle name="Comma 2 3 5 2 2 3 5" xfId="40403" xr:uid="{00000000-0005-0000-0000-0000193B0000}"/>
    <cellStyle name="Comma 2 3 5 2 2 4" xfId="25447" xr:uid="{00000000-0005-0000-0000-00001A3B0000}"/>
    <cellStyle name="Comma 2 3 5 2 2 4 2" xfId="44786" xr:uid="{00000000-0005-0000-0000-00001B3B0000}"/>
    <cellStyle name="Comma 2 3 5 2 2 5" xfId="29659" xr:uid="{00000000-0005-0000-0000-00001C3B0000}"/>
    <cellStyle name="Comma 2 3 5 2 2 6" xfId="33875" xr:uid="{00000000-0005-0000-0000-00001D3B0000}"/>
    <cellStyle name="Comma 2 3 5 2 2 7" xfId="38079" xr:uid="{00000000-0005-0000-0000-00001E3B0000}"/>
    <cellStyle name="Comma 2 3 5 2 3" xfId="6039" xr:uid="{00000000-0005-0000-0000-00001F3B0000}"/>
    <cellStyle name="Comma 2 3 5 2 3 2" xfId="11547" xr:uid="{00000000-0005-0000-0000-0000203B0000}"/>
    <cellStyle name="Comma 2 3 5 2 3 2 2" xfId="28306" xr:uid="{00000000-0005-0000-0000-0000213B0000}"/>
    <cellStyle name="Comma 2 3 5 2 3 2 2 2" xfId="45955" xr:uid="{00000000-0005-0000-0000-0000223B0000}"/>
    <cellStyle name="Comma 2 3 5 2 3 2 3" xfId="32519" xr:uid="{00000000-0005-0000-0000-0000233B0000}"/>
    <cellStyle name="Comma 2 3 5 2 3 2 4" xfId="36734" xr:uid="{00000000-0005-0000-0000-0000243B0000}"/>
    <cellStyle name="Comma 2 3 5 2 3 2 5" xfId="40938" xr:uid="{00000000-0005-0000-0000-0000253B0000}"/>
    <cellStyle name="Comma 2 3 5 2 3 3" xfId="25352" xr:uid="{00000000-0005-0000-0000-0000263B0000}"/>
    <cellStyle name="Comma 2 3 5 2 3 3 2" xfId="44691" xr:uid="{00000000-0005-0000-0000-0000273B0000}"/>
    <cellStyle name="Comma 2 3 5 2 3 4" xfId="29564" xr:uid="{00000000-0005-0000-0000-0000283B0000}"/>
    <cellStyle name="Comma 2 3 5 2 3 5" xfId="33780" xr:uid="{00000000-0005-0000-0000-0000293B0000}"/>
    <cellStyle name="Comma 2 3 5 2 3 6" xfId="37984" xr:uid="{00000000-0005-0000-0000-00002A3B0000}"/>
    <cellStyle name="Comma 2 3 5 2 4" xfId="6885" xr:uid="{00000000-0005-0000-0000-00002B3B0000}"/>
    <cellStyle name="Comma 2 3 5 2 4 2" xfId="11796" xr:uid="{00000000-0005-0000-0000-00002C3B0000}"/>
    <cellStyle name="Comma 2 3 5 2 4 2 2" xfId="28516" xr:uid="{00000000-0005-0000-0000-00002D3B0000}"/>
    <cellStyle name="Comma 2 3 5 2 4 2 2 2" xfId="46167" xr:uid="{00000000-0005-0000-0000-00002E3B0000}"/>
    <cellStyle name="Comma 2 3 5 2 4 2 3" xfId="32729" xr:uid="{00000000-0005-0000-0000-00002F3B0000}"/>
    <cellStyle name="Comma 2 3 5 2 4 2 4" xfId="36944" xr:uid="{00000000-0005-0000-0000-0000303B0000}"/>
    <cellStyle name="Comma 2 3 5 2 4 2 5" xfId="41148" xr:uid="{00000000-0005-0000-0000-0000313B0000}"/>
    <cellStyle name="Comma 2 3 5 2 4 3" xfId="25573" xr:uid="{00000000-0005-0000-0000-0000323B0000}"/>
    <cellStyle name="Comma 2 3 5 2 4 3 2" xfId="44901" xr:uid="{00000000-0005-0000-0000-0000333B0000}"/>
    <cellStyle name="Comma 2 3 5 2 4 4" xfId="29786" xr:uid="{00000000-0005-0000-0000-0000343B0000}"/>
    <cellStyle name="Comma 2 3 5 2 4 5" xfId="34001" xr:uid="{00000000-0005-0000-0000-0000353B0000}"/>
    <cellStyle name="Comma 2 3 5 2 4 6" xfId="38205" xr:uid="{00000000-0005-0000-0000-0000363B0000}"/>
    <cellStyle name="Comma 2 3 5 2 5" xfId="9701" xr:uid="{00000000-0005-0000-0000-0000373B0000}"/>
    <cellStyle name="Comma 2 3 5 2 5 2" xfId="11451" xr:uid="{00000000-0005-0000-0000-0000383B0000}"/>
    <cellStyle name="Comma 2 3 5 2 5 2 2" xfId="28211" xr:uid="{00000000-0005-0000-0000-0000393B0000}"/>
    <cellStyle name="Comma 2 3 5 2 5 2 2 2" xfId="45860" xr:uid="{00000000-0005-0000-0000-00003A3B0000}"/>
    <cellStyle name="Comma 2 3 5 2 5 2 3" xfId="32424" xr:uid="{00000000-0005-0000-0000-00003B3B0000}"/>
    <cellStyle name="Comma 2 3 5 2 5 2 4" xfId="36639" xr:uid="{00000000-0005-0000-0000-00003C3B0000}"/>
    <cellStyle name="Comma 2 3 5 2 5 2 5" xfId="40843" xr:uid="{00000000-0005-0000-0000-00003D3B0000}"/>
    <cellStyle name="Comma 2 3 5 2 5 3" xfId="27212" xr:uid="{00000000-0005-0000-0000-00003E3B0000}"/>
    <cellStyle name="Comma 2 3 5 2 5 3 2" xfId="45081" xr:uid="{00000000-0005-0000-0000-00003F3B0000}"/>
    <cellStyle name="Comma 2 3 5 2 5 4" xfId="31425" xr:uid="{00000000-0005-0000-0000-0000403B0000}"/>
    <cellStyle name="Comma 2 3 5 2 5 5" xfId="35640" xr:uid="{00000000-0005-0000-0000-0000413B0000}"/>
    <cellStyle name="Comma 2 3 5 2 5 6" xfId="39844" xr:uid="{00000000-0005-0000-0000-0000423B0000}"/>
    <cellStyle name="Comma 2 3 5 2 6" xfId="10439" xr:uid="{00000000-0005-0000-0000-0000433B0000}"/>
    <cellStyle name="Comma 2 3 5 2 6 2" xfId="27677" xr:uid="{00000000-0005-0000-0000-0000443B0000}"/>
    <cellStyle name="Comma 2 3 5 2 6 2 2" xfId="45355" xr:uid="{00000000-0005-0000-0000-0000453B0000}"/>
    <cellStyle name="Comma 2 3 5 2 6 3" xfId="31890" xr:uid="{00000000-0005-0000-0000-0000463B0000}"/>
    <cellStyle name="Comma 2 3 5 2 6 4" xfId="36105" xr:uid="{00000000-0005-0000-0000-0000473B0000}"/>
    <cellStyle name="Comma 2 3 5 2 6 5" xfId="40309" xr:uid="{00000000-0005-0000-0000-0000483B0000}"/>
    <cellStyle name="Comma 2 3 5 2 7" xfId="25257" xr:uid="{00000000-0005-0000-0000-0000493B0000}"/>
    <cellStyle name="Comma 2 3 5 2 7 2" xfId="44596" xr:uid="{00000000-0005-0000-0000-00004A3B0000}"/>
    <cellStyle name="Comma 2 3 5 2 8" xfId="29469" xr:uid="{00000000-0005-0000-0000-00004B3B0000}"/>
    <cellStyle name="Comma 2 3 5 2 9" xfId="33685" xr:uid="{00000000-0005-0000-0000-00004C3B0000}"/>
    <cellStyle name="Comma 2 3 5 3" xfId="6090" xr:uid="{00000000-0005-0000-0000-00004D3B0000}"/>
    <cellStyle name="Comma 2 3 5 3 2" xfId="9759" xr:uid="{00000000-0005-0000-0000-00004E3B0000}"/>
    <cellStyle name="Comma 2 3 5 3 2 2" xfId="11598" xr:uid="{00000000-0005-0000-0000-00004F3B0000}"/>
    <cellStyle name="Comma 2 3 5 3 2 2 2" xfId="28354" xr:uid="{00000000-0005-0000-0000-0000503B0000}"/>
    <cellStyle name="Comma 2 3 5 3 2 2 2 2" xfId="46003" xr:uid="{00000000-0005-0000-0000-0000513B0000}"/>
    <cellStyle name="Comma 2 3 5 3 2 2 3" xfId="32567" xr:uid="{00000000-0005-0000-0000-0000523B0000}"/>
    <cellStyle name="Comma 2 3 5 3 2 2 4" xfId="36782" xr:uid="{00000000-0005-0000-0000-0000533B0000}"/>
    <cellStyle name="Comma 2 3 5 3 2 2 5" xfId="40986" xr:uid="{00000000-0005-0000-0000-0000543B0000}"/>
    <cellStyle name="Comma 2 3 5 3 2 3" xfId="27259" xr:uid="{00000000-0005-0000-0000-0000553B0000}"/>
    <cellStyle name="Comma 2 3 5 3 2 3 2" xfId="45137" xr:uid="{00000000-0005-0000-0000-0000563B0000}"/>
    <cellStyle name="Comma 2 3 5 3 2 4" xfId="31472" xr:uid="{00000000-0005-0000-0000-0000573B0000}"/>
    <cellStyle name="Comma 2 3 5 3 2 5" xfId="35687" xr:uid="{00000000-0005-0000-0000-0000583B0000}"/>
    <cellStyle name="Comma 2 3 5 3 2 6" xfId="39891" xr:uid="{00000000-0005-0000-0000-0000593B0000}"/>
    <cellStyle name="Comma 2 3 5 3 3" xfId="10486" xr:uid="{00000000-0005-0000-0000-00005A3B0000}"/>
    <cellStyle name="Comma 2 3 5 3 3 2" xfId="27724" xr:uid="{00000000-0005-0000-0000-00005B3B0000}"/>
    <cellStyle name="Comma 2 3 5 3 3 2 2" xfId="45402" xr:uid="{00000000-0005-0000-0000-00005C3B0000}"/>
    <cellStyle name="Comma 2 3 5 3 3 3" xfId="31937" xr:uid="{00000000-0005-0000-0000-00005D3B0000}"/>
    <cellStyle name="Comma 2 3 5 3 3 4" xfId="36152" xr:uid="{00000000-0005-0000-0000-00005E3B0000}"/>
    <cellStyle name="Comma 2 3 5 3 3 5" xfId="40356" xr:uid="{00000000-0005-0000-0000-00005F3B0000}"/>
    <cellStyle name="Comma 2 3 5 3 4" xfId="25400" xr:uid="{00000000-0005-0000-0000-0000603B0000}"/>
    <cellStyle name="Comma 2 3 5 3 4 2" xfId="44739" xr:uid="{00000000-0005-0000-0000-0000613B0000}"/>
    <cellStyle name="Comma 2 3 5 3 5" xfId="29612" xr:uid="{00000000-0005-0000-0000-0000623B0000}"/>
    <cellStyle name="Comma 2 3 5 3 6" xfId="33828" xr:uid="{00000000-0005-0000-0000-0000633B0000}"/>
    <cellStyle name="Comma 2 3 5 3 7" xfId="38032" xr:uid="{00000000-0005-0000-0000-0000643B0000}"/>
    <cellStyle name="Comma 2 3 5 4" xfId="5992" xr:uid="{00000000-0005-0000-0000-0000653B0000}"/>
    <cellStyle name="Comma 2 3 5 4 2" xfId="11500" xr:uid="{00000000-0005-0000-0000-0000663B0000}"/>
    <cellStyle name="Comma 2 3 5 4 2 2" xfId="28259" xr:uid="{00000000-0005-0000-0000-0000673B0000}"/>
    <cellStyle name="Comma 2 3 5 4 2 2 2" xfId="45908" xr:uid="{00000000-0005-0000-0000-0000683B0000}"/>
    <cellStyle name="Comma 2 3 5 4 2 3" xfId="32472" xr:uid="{00000000-0005-0000-0000-0000693B0000}"/>
    <cellStyle name="Comma 2 3 5 4 2 4" xfId="36687" xr:uid="{00000000-0005-0000-0000-00006A3B0000}"/>
    <cellStyle name="Comma 2 3 5 4 2 5" xfId="40891" xr:uid="{00000000-0005-0000-0000-00006B3B0000}"/>
    <cellStyle name="Comma 2 3 5 4 3" xfId="25305" xr:uid="{00000000-0005-0000-0000-00006C3B0000}"/>
    <cellStyle name="Comma 2 3 5 4 3 2" xfId="44644" xr:uid="{00000000-0005-0000-0000-00006D3B0000}"/>
    <cellStyle name="Comma 2 3 5 4 4" xfId="29517" xr:uid="{00000000-0005-0000-0000-00006E3B0000}"/>
    <cellStyle name="Comma 2 3 5 4 5" xfId="33733" xr:uid="{00000000-0005-0000-0000-00006F3B0000}"/>
    <cellStyle name="Comma 2 3 5 4 6" xfId="37937" xr:uid="{00000000-0005-0000-0000-0000703B0000}"/>
    <cellStyle name="Comma 2 3 5 5" xfId="6172" xr:uid="{00000000-0005-0000-0000-0000713B0000}"/>
    <cellStyle name="Comma 2 3 5 5 2" xfId="11680" xr:uid="{00000000-0005-0000-0000-0000723B0000}"/>
    <cellStyle name="Comma 2 3 5 5 2 2" xfId="28436" xr:uid="{00000000-0005-0000-0000-0000733B0000}"/>
    <cellStyle name="Comma 2 3 5 5 2 2 2" xfId="46085" xr:uid="{00000000-0005-0000-0000-0000743B0000}"/>
    <cellStyle name="Comma 2 3 5 5 2 3" xfId="32649" xr:uid="{00000000-0005-0000-0000-0000753B0000}"/>
    <cellStyle name="Comma 2 3 5 5 2 4" xfId="36864" xr:uid="{00000000-0005-0000-0000-0000763B0000}"/>
    <cellStyle name="Comma 2 3 5 5 2 5" xfId="41068" xr:uid="{00000000-0005-0000-0000-0000773B0000}"/>
    <cellStyle name="Comma 2 3 5 5 3" xfId="25482" xr:uid="{00000000-0005-0000-0000-0000783B0000}"/>
    <cellStyle name="Comma 2 3 5 5 3 2" xfId="44821" xr:uid="{00000000-0005-0000-0000-0000793B0000}"/>
    <cellStyle name="Comma 2 3 5 5 4" xfId="29694" xr:uid="{00000000-0005-0000-0000-00007A3B0000}"/>
    <cellStyle name="Comma 2 3 5 5 5" xfId="33910" xr:uid="{00000000-0005-0000-0000-00007B3B0000}"/>
    <cellStyle name="Comma 2 3 5 5 6" xfId="38114" xr:uid="{00000000-0005-0000-0000-00007C3B0000}"/>
    <cellStyle name="Comma 2 3 5 6" xfId="6345" xr:uid="{00000000-0005-0000-0000-00007D3B0000}"/>
    <cellStyle name="Comma 2 3 5 6 2" xfId="11757" xr:uid="{00000000-0005-0000-0000-00007E3B0000}"/>
    <cellStyle name="Comma 2 3 5 6 2 2" xfId="28479" xr:uid="{00000000-0005-0000-0000-00007F3B0000}"/>
    <cellStyle name="Comma 2 3 5 6 2 2 2" xfId="46128" xr:uid="{00000000-0005-0000-0000-0000803B0000}"/>
    <cellStyle name="Comma 2 3 5 6 2 3" xfId="32692" xr:uid="{00000000-0005-0000-0000-0000813B0000}"/>
    <cellStyle name="Comma 2 3 5 6 2 4" xfId="36907" xr:uid="{00000000-0005-0000-0000-0000823B0000}"/>
    <cellStyle name="Comma 2 3 5 6 2 5" xfId="41111" xr:uid="{00000000-0005-0000-0000-0000833B0000}"/>
    <cellStyle name="Comma 2 3 5 6 3" xfId="25535" xr:uid="{00000000-0005-0000-0000-0000843B0000}"/>
    <cellStyle name="Comma 2 3 5 6 3 2" xfId="44864" xr:uid="{00000000-0005-0000-0000-0000853B0000}"/>
    <cellStyle name="Comma 2 3 5 6 4" xfId="29747" xr:uid="{00000000-0005-0000-0000-0000863B0000}"/>
    <cellStyle name="Comma 2 3 5 6 5" xfId="33963" xr:uid="{00000000-0005-0000-0000-0000873B0000}"/>
    <cellStyle name="Comma 2 3 5 6 6" xfId="38167" xr:uid="{00000000-0005-0000-0000-0000883B0000}"/>
    <cellStyle name="Comma 2 3 5 7" xfId="9650" xr:uid="{00000000-0005-0000-0000-0000893B0000}"/>
    <cellStyle name="Comma 2 3 5 7 2" xfId="11396" xr:uid="{00000000-0005-0000-0000-00008A3B0000}"/>
    <cellStyle name="Comma 2 3 5 7 2 2" xfId="28164" xr:uid="{00000000-0005-0000-0000-00008B3B0000}"/>
    <cellStyle name="Comma 2 3 5 7 2 2 2" xfId="45813" xr:uid="{00000000-0005-0000-0000-00008C3B0000}"/>
    <cellStyle name="Comma 2 3 5 7 2 3" xfId="32377" xr:uid="{00000000-0005-0000-0000-00008D3B0000}"/>
    <cellStyle name="Comma 2 3 5 7 2 4" xfId="36592" xr:uid="{00000000-0005-0000-0000-00008E3B0000}"/>
    <cellStyle name="Comma 2 3 5 7 2 5" xfId="40796" xr:uid="{00000000-0005-0000-0000-00008F3B0000}"/>
    <cellStyle name="Comma 2 3 5 7 3" xfId="27165" xr:uid="{00000000-0005-0000-0000-0000903B0000}"/>
    <cellStyle name="Comma 2 3 5 7 3 2" xfId="45034" xr:uid="{00000000-0005-0000-0000-0000913B0000}"/>
    <cellStyle name="Comma 2 3 5 7 4" xfId="31378" xr:uid="{00000000-0005-0000-0000-0000923B0000}"/>
    <cellStyle name="Comma 2 3 5 7 5" xfId="35593" xr:uid="{00000000-0005-0000-0000-0000933B0000}"/>
    <cellStyle name="Comma 2 3 5 7 6" xfId="39797" xr:uid="{00000000-0005-0000-0000-0000943B0000}"/>
    <cellStyle name="Comma 2 3 5 8" xfId="10239" xr:uid="{00000000-0005-0000-0000-0000953B0000}"/>
    <cellStyle name="Comma 2 3 5 8 2" xfId="27630" xr:uid="{00000000-0005-0000-0000-0000963B0000}"/>
    <cellStyle name="Comma 2 3 5 8 2 2" xfId="45308" xr:uid="{00000000-0005-0000-0000-0000973B0000}"/>
    <cellStyle name="Comma 2 3 5 8 3" xfId="31843" xr:uid="{00000000-0005-0000-0000-0000983B0000}"/>
    <cellStyle name="Comma 2 3 5 8 4" xfId="36058" xr:uid="{00000000-0005-0000-0000-0000993B0000}"/>
    <cellStyle name="Comma 2 3 5 8 5" xfId="40262" xr:uid="{00000000-0005-0000-0000-00009A3B0000}"/>
    <cellStyle name="Comma 2 3 5 9" xfId="12991" xr:uid="{00000000-0005-0000-0000-00009B3B0000}"/>
    <cellStyle name="Comma 2 3 5 9 2" xfId="28876" xr:uid="{00000000-0005-0000-0000-00009C3B0000}"/>
    <cellStyle name="Comma 2 3 5 9 3" xfId="33089" xr:uid="{00000000-0005-0000-0000-00009D3B0000}"/>
    <cellStyle name="Comma 2 3 5 9 4" xfId="37304" xr:uid="{00000000-0005-0000-0000-00009E3B0000}"/>
    <cellStyle name="Comma 2 3 5 9 5" xfId="44549" xr:uid="{00000000-0005-0000-0000-00009F3B0000}"/>
    <cellStyle name="Comma 2 3 6" xfId="5897" xr:uid="{00000000-0005-0000-0000-0000A03B0000}"/>
    <cellStyle name="Comma 2 3 6 10" xfId="29429" xr:uid="{00000000-0005-0000-0000-0000A13B0000}"/>
    <cellStyle name="Comma 2 3 6 11" xfId="33645" xr:uid="{00000000-0005-0000-0000-0000A23B0000}"/>
    <cellStyle name="Comma 2 3 6 12" xfId="37849" xr:uid="{00000000-0005-0000-0000-0000A33B0000}"/>
    <cellStyle name="Comma 2 3 6 2" xfId="5949" xr:uid="{00000000-0005-0000-0000-0000A43B0000}"/>
    <cellStyle name="Comma 2 3 6 2 10" xfId="37896" xr:uid="{00000000-0005-0000-0000-0000A53B0000}"/>
    <cellStyle name="Comma 2 3 6 2 2" xfId="6144" xr:uid="{00000000-0005-0000-0000-0000A63B0000}"/>
    <cellStyle name="Comma 2 3 6 2 2 2" xfId="9820" xr:uid="{00000000-0005-0000-0000-0000A73B0000}"/>
    <cellStyle name="Comma 2 3 6 2 2 2 2" xfId="11652" xr:uid="{00000000-0005-0000-0000-0000A83B0000}"/>
    <cellStyle name="Comma 2 3 6 2 2 2 2 2" xfId="28408" xr:uid="{00000000-0005-0000-0000-0000A93B0000}"/>
    <cellStyle name="Comma 2 3 6 2 2 2 2 2 2" xfId="46057" xr:uid="{00000000-0005-0000-0000-0000AA3B0000}"/>
    <cellStyle name="Comma 2 3 6 2 2 2 2 3" xfId="32621" xr:uid="{00000000-0005-0000-0000-0000AB3B0000}"/>
    <cellStyle name="Comma 2 3 6 2 2 2 2 4" xfId="36836" xr:uid="{00000000-0005-0000-0000-0000AC3B0000}"/>
    <cellStyle name="Comma 2 3 6 2 2 2 2 5" xfId="41040" xr:uid="{00000000-0005-0000-0000-0000AD3B0000}"/>
    <cellStyle name="Comma 2 3 6 2 2 2 3" xfId="27307" xr:uid="{00000000-0005-0000-0000-0000AE3B0000}"/>
    <cellStyle name="Comma 2 3 6 2 2 2 3 2" xfId="45185" xr:uid="{00000000-0005-0000-0000-0000AF3B0000}"/>
    <cellStyle name="Comma 2 3 6 2 2 2 4" xfId="31520" xr:uid="{00000000-0005-0000-0000-0000B03B0000}"/>
    <cellStyle name="Comma 2 3 6 2 2 2 5" xfId="35735" xr:uid="{00000000-0005-0000-0000-0000B13B0000}"/>
    <cellStyle name="Comma 2 3 6 2 2 2 6" xfId="39939" xr:uid="{00000000-0005-0000-0000-0000B23B0000}"/>
    <cellStyle name="Comma 2 3 6 2 2 3" xfId="10557" xr:uid="{00000000-0005-0000-0000-0000B33B0000}"/>
    <cellStyle name="Comma 2 3 6 2 2 3 2" xfId="27772" xr:uid="{00000000-0005-0000-0000-0000B43B0000}"/>
    <cellStyle name="Comma 2 3 6 2 2 3 2 2" xfId="45450" xr:uid="{00000000-0005-0000-0000-0000B53B0000}"/>
    <cellStyle name="Comma 2 3 6 2 2 3 3" xfId="31985" xr:uid="{00000000-0005-0000-0000-0000B63B0000}"/>
    <cellStyle name="Comma 2 3 6 2 2 3 4" xfId="36200" xr:uid="{00000000-0005-0000-0000-0000B73B0000}"/>
    <cellStyle name="Comma 2 3 6 2 2 3 5" xfId="40404" xr:uid="{00000000-0005-0000-0000-0000B83B0000}"/>
    <cellStyle name="Comma 2 3 6 2 2 4" xfId="25454" xr:uid="{00000000-0005-0000-0000-0000B93B0000}"/>
    <cellStyle name="Comma 2 3 6 2 2 4 2" xfId="44793" xr:uid="{00000000-0005-0000-0000-0000BA3B0000}"/>
    <cellStyle name="Comma 2 3 6 2 2 5" xfId="29666" xr:uid="{00000000-0005-0000-0000-0000BB3B0000}"/>
    <cellStyle name="Comma 2 3 6 2 2 6" xfId="33882" xr:uid="{00000000-0005-0000-0000-0000BC3B0000}"/>
    <cellStyle name="Comma 2 3 6 2 2 7" xfId="38086" xr:uid="{00000000-0005-0000-0000-0000BD3B0000}"/>
    <cellStyle name="Comma 2 3 6 2 3" xfId="6046" xr:uid="{00000000-0005-0000-0000-0000BE3B0000}"/>
    <cellStyle name="Comma 2 3 6 2 3 2" xfId="11554" xr:uid="{00000000-0005-0000-0000-0000BF3B0000}"/>
    <cellStyle name="Comma 2 3 6 2 3 2 2" xfId="28313" xr:uid="{00000000-0005-0000-0000-0000C03B0000}"/>
    <cellStyle name="Comma 2 3 6 2 3 2 2 2" xfId="45962" xr:uid="{00000000-0005-0000-0000-0000C13B0000}"/>
    <cellStyle name="Comma 2 3 6 2 3 2 3" xfId="32526" xr:uid="{00000000-0005-0000-0000-0000C23B0000}"/>
    <cellStyle name="Comma 2 3 6 2 3 2 4" xfId="36741" xr:uid="{00000000-0005-0000-0000-0000C33B0000}"/>
    <cellStyle name="Comma 2 3 6 2 3 2 5" xfId="40945" xr:uid="{00000000-0005-0000-0000-0000C43B0000}"/>
    <cellStyle name="Comma 2 3 6 2 3 3" xfId="25359" xr:uid="{00000000-0005-0000-0000-0000C53B0000}"/>
    <cellStyle name="Comma 2 3 6 2 3 3 2" xfId="44698" xr:uid="{00000000-0005-0000-0000-0000C63B0000}"/>
    <cellStyle name="Comma 2 3 6 2 3 4" xfId="29571" xr:uid="{00000000-0005-0000-0000-0000C73B0000}"/>
    <cellStyle name="Comma 2 3 6 2 3 5" xfId="33787" xr:uid="{00000000-0005-0000-0000-0000C83B0000}"/>
    <cellStyle name="Comma 2 3 6 2 3 6" xfId="37991" xr:uid="{00000000-0005-0000-0000-0000C93B0000}"/>
    <cellStyle name="Comma 2 3 6 2 4" xfId="6886" xr:uid="{00000000-0005-0000-0000-0000CA3B0000}"/>
    <cellStyle name="Comma 2 3 6 2 4 2" xfId="11797" xr:uid="{00000000-0005-0000-0000-0000CB3B0000}"/>
    <cellStyle name="Comma 2 3 6 2 4 2 2" xfId="28517" xr:uid="{00000000-0005-0000-0000-0000CC3B0000}"/>
    <cellStyle name="Comma 2 3 6 2 4 2 2 2" xfId="46168" xr:uid="{00000000-0005-0000-0000-0000CD3B0000}"/>
    <cellStyle name="Comma 2 3 6 2 4 2 3" xfId="32730" xr:uid="{00000000-0005-0000-0000-0000CE3B0000}"/>
    <cellStyle name="Comma 2 3 6 2 4 2 4" xfId="36945" xr:uid="{00000000-0005-0000-0000-0000CF3B0000}"/>
    <cellStyle name="Comma 2 3 6 2 4 2 5" xfId="41149" xr:uid="{00000000-0005-0000-0000-0000D03B0000}"/>
    <cellStyle name="Comma 2 3 6 2 4 3" xfId="25574" xr:uid="{00000000-0005-0000-0000-0000D13B0000}"/>
    <cellStyle name="Comma 2 3 6 2 4 3 2" xfId="44902" xr:uid="{00000000-0005-0000-0000-0000D23B0000}"/>
    <cellStyle name="Comma 2 3 6 2 4 4" xfId="29787" xr:uid="{00000000-0005-0000-0000-0000D33B0000}"/>
    <cellStyle name="Comma 2 3 6 2 4 5" xfId="34002" xr:uid="{00000000-0005-0000-0000-0000D43B0000}"/>
    <cellStyle name="Comma 2 3 6 2 4 6" xfId="38206" xr:uid="{00000000-0005-0000-0000-0000D53B0000}"/>
    <cellStyle name="Comma 2 3 6 2 5" xfId="9702" xr:uid="{00000000-0005-0000-0000-0000D63B0000}"/>
    <cellStyle name="Comma 2 3 6 2 5 2" xfId="11458" xr:uid="{00000000-0005-0000-0000-0000D73B0000}"/>
    <cellStyle name="Comma 2 3 6 2 5 2 2" xfId="28218" xr:uid="{00000000-0005-0000-0000-0000D83B0000}"/>
    <cellStyle name="Comma 2 3 6 2 5 2 2 2" xfId="45867" xr:uid="{00000000-0005-0000-0000-0000D93B0000}"/>
    <cellStyle name="Comma 2 3 6 2 5 2 3" xfId="32431" xr:uid="{00000000-0005-0000-0000-0000DA3B0000}"/>
    <cellStyle name="Comma 2 3 6 2 5 2 4" xfId="36646" xr:uid="{00000000-0005-0000-0000-0000DB3B0000}"/>
    <cellStyle name="Comma 2 3 6 2 5 2 5" xfId="40850" xr:uid="{00000000-0005-0000-0000-0000DC3B0000}"/>
    <cellStyle name="Comma 2 3 6 2 5 3" xfId="27213" xr:uid="{00000000-0005-0000-0000-0000DD3B0000}"/>
    <cellStyle name="Comma 2 3 6 2 5 3 2" xfId="45082" xr:uid="{00000000-0005-0000-0000-0000DE3B0000}"/>
    <cellStyle name="Comma 2 3 6 2 5 4" xfId="31426" xr:uid="{00000000-0005-0000-0000-0000DF3B0000}"/>
    <cellStyle name="Comma 2 3 6 2 5 5" xfId="35641" xr:uid="{00000000-0005-0000-0000-0000E03B0000}"/>
    <cellStyle name="Comma 2 3 6 2 5 6" xfId="39845" xr:uid="{00000000-0005-0000-0000-0000E13B0000}"/>
    <cellStyle name="Comma 2 3 6 2 6" xfId="10440" xr:uid="{00000000-0005-0000-0000-0000E23B0000}"/>
    <cellStyle name="Comma 2 3 6 2 6 2" xfId="27678" xr:uid="{00000000-0005-0000-0000-0000E33B0000}"/>
    <cellStyle name="Comma 2 3 6 2 6 2 2" xfId="45356" xr:uid="{00000000-0005-0000-0000-0000E43B0000}"/>
    <cellStyle name="Comma 2 3 6 2 6 3" xfId="31891" xr:uid="{00000000-0005-0000-0000-0000E53B0000}"/>
    <cellStyle name="Comma 2 3 6 2 6 4" xfId="36106" xr:uid="{00000000-0005-0000-0000-0000E63B0000}"/>
    <cellStyle name="Comma 2 3 6 2 6 5" xfId="40310" xr:uid="{00000000-0005-0000-0000-0000E73B0000}"/>
    <cellStyle name="Comma 2 3 6 2 7" xfId="25264" xr:uid="{00000000-0005-0000-0000-0000E83B0000}"/>
    <cellStyle name="Comma 2 3 6 2 7 2" xfId="44603" xr:uid="{00000000-0005-0000-0000-0000E93B0000}"/>
    <cellStyle name="Comma 2 3 6 2 8" xfId="29476" xr:uid="{00000000-0005-0000-0000-0000EA3B0000}"/>
    <cellStyle name="Comma 2 3 6 2 9" xfId="33692" xr:uid="{00000000-0005-0000-0000-0000EB3B0000}"/>
    <cellStyle name="Comma 2 3 6 3" xfId="6097" xr:uid="{00000000-0005-0000-0000-0000EC3B0000}"/>
    <cellStyle name="Comma 2 3 6 3 2" xfId="9760" xr:uid="{00000000-0005-0000-0000-0000ED3B0000}"/>
    <cellStyle name="Comma 2 3 6 3 2 2" xfId="11605" xr:uid="{00000000-0005-0000-0000-0000EE3B0000}"/>
    <cellStyle name="Comma 2 3 6 3 2 2 2" xfId="28361" xr:uid="{00000000-0005-0000-0000-0000EF3B0000}"/>
    <cellStyle name="Comma 2 3 6 3 2 2 2 2" xfId="46010" xr:uid="{00000000-0005-0000-0000-0000F03B0000}"/>
    <cellStyle name="Comma 2 3 6 3 2 2 3" xfId="32574" xr:uid="{00000000-0005-0000-0000-0000F13B0000}"/>
    <cellStyle name="Comma 2 3 6 3 2 2 4" xfId="36789" xr:uid="{00000000-0005-0000-0000-0000F23B0000}"/>
    <cellStyle name="Comma 2 3 6 3 2 2 5" xfId="40993" xr:uid="{00000000-0005-0000-0000-0000F33B0000}"/>
    <cellStyle name="Comma 2 3 6 3 2 3" xfId="27260" xr:uid="{00000000-0005-0000-0000-0000F43B0000}"/>
    <cellStyle name="Comma 2 3 6 3 2 3 2" xfId="45138" xr:uid="{00000000-0005-0000-0000-0000F53B0000}"/>
    <cellStyle name="Comma 2 3 6 3 2 4" xfId="31473" xr:uid="{00000000-0005-0000-0000-0000F63B0000}"/>
    <cellStyle name="Comma 2 3 6 3 2 5" xfId="35688" xr:uid="{00000000-0005-0000-0000-0000F73B0000}"/>
    <cellStyle name="Comma 2 3 6 3 2 6" xfId="39892" xr:uid="{00000000-0005-0000-0000-0000F83B0000}"/>
    <cellStyle name="Comma 2 3 6 3 3" xfId="10487" xr:uid="{00000000-0005-0000-0000-0000F93B0000}"/>
    <cellStyle name="Comma 2 3 6 3 3 2" xfId="27725" xr:uid="{00000000-0005-0000-0000-0000FA3B0000}"/>
    <cellStyle name="Comma 2 3 6 3 3 2 2" xfId="45403" xr:uid="{00000000-0005-0000-0000-0000FB3B0000}"/>
    <cellStyle name="Comma 2 3 6 3 3 3" xfId="31938" xr:uid="{00000000-0005-0000-0000-0000FC3B0000}"/>
    <cellStyle name="Comma 2 3 6 3 3 4" xfId="36153" xr:uid="{00000000-0005-0000-0000-0000FD3B0000}"/>
    <cellStyle name="Comma 2 3 6 3 3 5" xfId="40357" xr:uid="{00000000-0005-0000-0000-0000FE3B0000}"/>
    <cellStyle name="Comma 2 3 6 3 4" xfId="25407" xr:uid="{00000000-0005-0000-0000-0000FF3B0000}"/>
    <cellStyle name="Comma 2 3 6 3 4 2" xfId="44746" xr:uid="{00000000-0005-0000-0000-0000003C0000}"/>
    <cellStyle name="Comma 2 3 6 3 5" xfId="29619" xr:uid="{00000000-0005-0000-0000-0000013C0000}"/>
    <cellStyle name="Comma 2 3 6 3 6" xfId="33835" xr:uid="{00000000-0005-0000-0000-0000023C0000}"/>
    <cellStyle name="Comma 2 3 6 3 7" xfId="38039" xr:uid="{00000000-0005-0000-0000-0000033C0000}"/>
    <cellStyle name="Comma 2 3 6 4" xfId="5999" xr:uid="{00000000-0005-0000-0000-0000043C0000}"/>
    <cellStyle name="Comma 2 3 6 4 2" xfId="11507" xr:uid="{00000000-0005-0000-0000-0000053C0000}"/>
    <cellStyle name="Comma 2 3 6 4 2 2" xfId="28266" xr:uid="{00000000-0005-0000-0000-0000063C0000}"/>
    <cellStyle name="Comma 2 3 6 4 2 2 2" xfId="45915" xr:uid="{00000000-0005-0000-0000-0000073C0000}"/>
    <cellStyle name="Comma 2 3 6 4 2 3" xfId="32479" xr:uid="{00000000-0005-0000-0000-0000083C0000}"/>
    <cellStyle name="Comma 2 3 6 4 2 4" xfId="36694" xr:uid="{00000000-0005-0000-0000-0000093C0000}"/>
    <cellStyle name="Comma 2 3 6 4 2 5" xfId="40898" xr:uid="{00000000-0005-0000-0000-00000A3C0000}"/>
    <cellStyle name="Comma 2 3 6 4 3" xfId="25312" xr:uid="{00000000-0005-0000-0000-00000B3C0000}"/>
    <cellStyle name="Comma 2 3 6 4 3 2" xfId="44651" xr:uid="{00000000-0005-0000-0000-00000C3C0000}"/>
    <cellStyle name="Comma 2 3 6 4 4" xfId="29524" xr:uid="{00000000-0005-0000-0000-00000D3C0000}"/>
    <cellStyle name="Comma 2 3 6 4 5" xfId="33740" xr:uid="{00000000-0005-0000-0000-00000E3C0000}"/>
    <cellStyle name="Comma 2 3 6 4 6" xfId="37944" xr:uid="{00000000-0005-0000-0000-00000F3C0000}"/>
    <cellStyle name="Comma 2 3 6 5" xfId="6173" xr:uid="{00000000-0005-0000-0000-0000103C0000}"/>
    <cellStyle name="Comma 2 3 6 5 2" xfId="11681" xr:uid="{00000000-0005-0000-0000-0000113C0000}"/>
    <cellStyle name="Comma 2 3 6 5 2 2" xfId="28437" xr:uid="{00000000-0005-0000-0000-0000123C0000}"/>
    <cellStyle name="Comma 2 3 6 5 2 2 2" xfId="46086" xr:uid="{00000000-0005-0000-0000-0000133C0000}"/>
    <cellStyle name="Comma 2 3 6 5 2 3" xfId="32650" xr:uid="{00000000-0005-0000-0000-0000143C0000}"/>
    <cellStyle name="Comma 2 3 6 5 2 4" xfId="36865" xr:uid="{00000000-0005-0000-0000-0000153C0000}"/>
    <cellStyle name="Comma 2 3 6 5 2 5" xfId="41069" xr:uid="{00000000-0005-0000-0000-0000163C0000}"/>
    <cellStyle name="Comma 2 3 6 5 3" xfId="25483" xr:uid="{00000000-0005-0000-0000-0000173C0000}"/>
    <cellStyle name="Comma 2 3 6 5 3 2" xfId="44822" xr:uid="{00000000-0005-0000-0000-0000183C0000}"/>
    <cellStyle name="Comma 2 3 6 5 4" xfId="29695" xr:uid="{00000000-0005-0000-0000-0000193C0000}"/>
    <cellStyle name="Comma 2 3 6 5 5" xfId="33911" xr:uid="{00000000-0005-0000-0000-00001A3C0000}"/>
    <cellStyle name="Comma 2 3 6 5 6" xfId="38115" xr:uid="{00000000-0005-0000-0000-00001B3C0000}"/>
    <cellStyle name="Comma 2 3 6 6" xfId="6346" xr:uid="{00000000-0005-0000-0000-00001C3C0000}"/>
    <cellStyle name="Comma 2 3 6 6 2" xfId="11758" xr:uid="{00000000-0005-0000-0000-00001D3C0000}"/>
    <cellStyle name="Comma 2 3 6 6 2 2" xfId="28480" xr:uid="{00000000-0005-0000-0000-00001E3C0000}"/>
    <cellStyle name="Comma 2 3 6 6 2 2 2" xfId="46129" xr:uid="{00000000-0005-0000-0000-00001F3C0000}"/>
    <cellStyle name="Comma 2 3 6 6 2 3" xfId="32693" xr:uid="{00000000-0005-0000-0000-0000203C0000}"/>
    <cellStyle name="Comma 2 3 6 6 2 4" xfId="36908" xr:uid="{00000000-0005-0000-0000-0000213C0000}"/>
    <cellStyle name="Comma 2 3 6 6 2 5" xfId="41112" xr:uid="{00000000-0005-0000-0000-0000223C0000}"/>
    <cellStyle name="Comma 2 3 6 6 3" xfId="25536" xr:uid="{00000000-0005-0000-0000-0000233C0000}"/>
    <cellStyle name="Comma 2 3 6 6 3 2" xfId="44865" xr:uid="{00000000-0005-0000-0000-0000243C0000}"/>
    <cellStyle name="Comma 2 3 6 6 4" xfId="29748" xr:uid="{00000000-0005-0000-0000-0000253C0000}"/>
    <cellStyle name="Comma 2 3 6 6 5" xfId="33964" xr:uid="{00000000-0005-0000-0000-0000263C0000}"/>
    <cellStyle name="Comma 2 3 6 6 6" xfId="38168" xr:uid="{00000000-0005-0000-0000-0000273C0000}"/>
    <cellStyle name="Comma 2 3 6 7" xfId="9651" xr:uid="{00000000-0005-0000-0000-0000283C0000}"/>
    <cellStyle name="Comma 2 3 6 7 2" xfId="11406" xr:uid="{00000000-0005-0000-0000-0000293C0000}"/>
    <cellStyle name="Comma 2 3 6 7 2 2" xfId="28171" xr:uid="{00000000-0005-0000-0000-00002A3C0000}"/>
    <cellStyle name="Comma 2 3 6 7 2 2 2" xfId="45820" xr:uid="{00000000-0005-0000-0000-00002B3C0000}"/>
    <cellStyle name="Comma 2 3 6 7 2 3" xfId="32384" xr:uid="{00000000-0005-0000-0000-00002C3C0000}"/>
    <cellStyle name="Comma 2 3 6 7 2 4" xfId="36599" xr:uid="{00000000-0005-0000-0000-00002D3C0000}"/>
    <cellStyle name="Comma 2 3 6 7 2 5" xfId="40803" xr:uid="{00000000-0005-0000-0000-00002E3C0000}"/>
    <cellStyle name="Comma 2 3 6 7 3" xfId="27166" xr:uid="{00000000-0005-0000-0000-00002F3C0000}"/>
    <cellStyle name="Comma 2 3 6 7 3 2" xfId="45035" xr:uid="{00000000-0005-0000-0000-0000303C0000}"/>
    <cellStyle name="Comma 2 3 6 7 4" xfId="31379" xr:uid="{00000000-0005-0000-0000-0000313C0000}"/>
    <cellStyle name="Comma 2 3 6 7 5" xfId="35594" xr:uid="{00000000-0005-0000-0000-0000323C0000}"/>
    <cellStyle name="Comma 2 3 6 7 6" xfId="39798" xr:uid="{00000000-0005-0000-0000-0000333C0000}"/>
    <cellStyle name="Comma 2 3 6 8" xfId="10240" xr:uid="{00000000-0005-0000-0000-0000343C0000}"/>
    <cellStyle name="Comma 2 3 6 8 2" xfId="27631" xr:uid="{00000000-0005-0000-0000-0000353C0000}"/>
    <cellStyle name="Comma 2 3 6 8 2 2" xfId="45309" xr:uid="{00000000-0005-0000-0000-0000363C0000}"/>
    <cellStyle name="Comma 2 3 6 8 3" xfId="31844" xr:uid="{00000000-0005-0000-0000-0000373C0000}"/>
    <cellStyle name="Comma 2 3 6 8 4" xfId="36059" xr:uid="{00000000-0005-0000-0000-0000383C0000}"/>
    <cellStyle name="Comma 2 3 6 8 5" xfId="40263" xr:uid="{00000000-0005-0000-0000-0000393C0000}"/>
    <cellStyle name="Comma 2 3 6 9" xfId="25217" xr:uid="{00000000-0005-0000-0000-00003A3C0000}"/>
    <cellStyle name="Comma 2 3 6 9 2" xfId="44556" xr:uid="{00000000-0005-0000-0000-00003B3C0000}"/>
    <cellStyle name="Comma 2 3 7" xfId="5914" xr:uid="{00000000-0005-0000-0000-00003C3C0000}"/>
    <cellStyle name="Comma 2 3 7 10" xfId="37861" xr:uid="{00000000-0005-0000-0000-00003D3C0000}"/>
    <cellStyle name="Comma 2 3 7 2" xfId="6109" xr:uid="{00000000-0005-0000-0000-00003E3C0000}"/>
    <cellStyle name="Comma 2 3 7 2 2" xfId="6887" xr:uid="{00000000-0005-0000-0000-00003F3C0000}"/>
    <cellStyle name="Comma 2 3 7 2 2 2" xfId="9821" xr:uid="{00000000-0005-0000-0000-0000403C0000}"/>
    <cellStyle name="Comma 2 3 7 2 2 2 2" xfId="11798" xr:uid="{00000000-0005-0000-0000-0000413C0000}"/>
    <cellStyle name="Comma 2 3 7 2 2 2 2 2" xfId="28518" xr:uid="{00000000-0005-0000-0000-0000423C0000}"/>
    <cellStyle name="Comma 2 3 7 2 2 2 2 2 2" xfId="46169" xr:uid="{00000000-0005-0000-0000-0000433C0000}"/>
    <cellStyle name="Comma 2 3 7 2 2 2 2 3" xfId="32731" xr:uid="{00000000-0005-0000-0000-0000443C0000}"/>
    <cellStyle name="Comma 2 3 7 2 2 2 2 4" xfId="36946" xr:uid="{00000000-0005-0000-0000-0000453C0000}"/>
    <cellStyle name="Comma 2 3 7 2 2 2 2 5" xfId="41150" xr:uid="{00000000-0005-0000-0000-0000463C0000}"/>
    <cellStyle name="Comma 2 3 7 2 2 2 3" xfId="27308" xr:uid="{00000000-0005-0000-0000-0000473C0000}"/>
    <cellStyle name="Comma 2 3 7 2 2 2 3 2" xfId="45186" xr:uid="{00000000-0005-0000-0000-0000483C0000}"/>
    <cellStyle name="Comma 2 3 7 2 2 2 4" xfId="31521" xr:uid="{00000000-0005-0000-0000-0000493C0000}"/>
    <cellStyle name="Comma 2 3 7 2 2 2 5" xfId="35736" xr:uid="{00000000-0005-0000-0000-00004A3C0000}"/>
    <cellStyle name="Comma 2 3 7 2 2 2 6" xfId="39940" xr:uid="{00000000-0005-0000-0000-00004B3C0000}"/>
    <cellStyle name="Comma 2 3 7 2 2 3" xfId="10558" xr:uid="{00000000-0005-0000-0000-00004C3C0000}"/>
    <cellStyle name="Comma 2 3 7 2 2 3 2" xfId="27773" xr:uid="{00000000-0005-0000-0000-00004D3C0000}"/>
    <cellStyle name="Comma 2 3 7 2 2 3 2 2" xfId="45451" xr:uid="{00000000-0005-0000-0000-00004E3C0000}"/>
    <cellStyle name="Comma 2 3 7 2 2 3 3" xfId="31986" xr:uid="{00000000-0005-0000-0000-00004F3C0000}"/>
    <cellStyle name="Comma 2 3 7 2 2 3 4" xfId="36201" xr:uid="{00000000-0005-0000-0000-0000503C0000}"/>
    <cellStyle name="Comma 2 3 7 2 2 3 5" xfId="40405" xr:uid="{00000000-0005-0000-0000-0000513C0000}"/>
    <cellStyle name="Comma 2 3 7 2 2 4" xfId="25575" xr:uid="{00000000-0005-0000-0000-0000523C0000}"/>
    <cellStyle name="Comma 2 3 7 2 2 4 2" xfId="44903" xr:uid="{00000000-0005-0000-0000-0000533C0000}"/>
    <cellStyle name="Comma 2 3 7 2 2 5" xfId="29788" xr:uid="{00000000-0005-0000-0000-0000543C0000}"/>
    <cellStyle name="Comma 2 3 7 2 2 6" xfId="34003" xr:uid="{00000000-0005-0000-0000-0000553C0000}"/>
    <cellStyle name="Comma 2 3 7 2 2 7" xfId="38207" xr:uid="{00000000-0005-0000-0000-0000563C0000}"/>
    <cellStyle name="Comma 2 3 7 2 3" xfId="9703" xr:uid="{00000000-0005-0000-0000-0000573C0000}"/>
    <cellStyle name="Comma 2 3 7 2 3 2" xfId="11617" xr:uid="{00000000-0005-0000-0000-0000583C0000}"/>
    <cellStyle name="Comma 2 3 7 2 3 2 2" xfId="28373" xr:uid="{00000000-0005-0000-0000-0000593C0000}"/>
    <cellStyle name="Comma 2 3 7 2 3 2 2 2" xfId="46022" xr:uid="{00000000-0005-0000-0000-00005A3C0000}"/>
    <cellStyle name="Comma 2 3 7 2 3 2 3" xfId="32586" xr:uid="{00000000-0005-0000-0000-00005B3C0000}"/>
    <cellStyle name="Comma 2 3 7 2 3 2 4" xfId="36801" xr:uid="{00000000-0005-0000-0000-00005C3C0000}"/>
    <cellStyle name="Comma 2 3 7 2 3 2 5" xfId="41005" xr:uid="{00000000-0005-0000-0000-00005D3C0000}"/>
    <cellStyle name="Comma 2 3 7 2 3 3" xfId="27214" xr:uid="{00000000-0005-0000-0000-00005E3C0000}"/>
    <cellStyle name="Comma 2 3 7 2 3 3 2" xfId="45083" xr:uid="{00000000-0005-0000-0000-00005F3C0000}"/>
    <cellStyle name="Comma 2 3 7 2 3 4" xfId="31427" xr:uid="{00000000-0005-0000-0000-0000603C0000}"/>
    <cellStyle name="Comma 2 3 7 2 3 5" xfId="35642" xr:uid="{00000000-0005-0000-0000-0000613C0000}"/>
    <cellStyle name="Comma 2 3 7 2 3 6" xfId="39846" xr:uid="{00000000-0005-0000-0000-0000623C0000}"/>
    <cellStyle name="Comma 2 3 7 2 4" xfId="10441" xr:uid="{00000000-0005-0000-0000-0000633C0000}"/>
    <cellStyle name="Comma 2 3 7 2 4 2" xfId="27679" xr:uid="{00000000-0005-0000-0000-0000643C0000}"/>
    <cellStyle name="Comma 2 3 7 2 4 2 2" xfId="45357" xr:uid="{00000000-0005-0000-0000-0000653C0000}"/>
    <cellStyle name="Comma 2 3 7 2 4 3" xfId="31892" xr:uid="{00000000-0005-0000-0000-0000663C0000}"/>
    <cellStyle name="Comma 2 3 7 2 4 4" xfId="36107" xr:uid="{00000000-0005-0000-0000-0000673C0000}"/>
    <cellStyle name="Comma 2 3 7 2 4 5" xfId="40311" xr:uid="{00000000-0005-0000-0000-0000683C0000}"/>
    <cellStyle name="Comma 2 3 7 2 5" xfId="25419" xr:uid="{00000000-0005-0000-0000-0000693C0000}"/>
    <cellStyle name="Comma 2 3 7 2 5 2" xfId="44758" xr:uid="{00000000-0005-0000-0000-00006A3C0000}"/>
    <cellStyle name="Comma 2 3 7 2 6" xfId="29631" xr:uid="{00000000-0005-0000-0000-00006B3C0000}"/>
    <cellStyle name="Comma 2 3 7 2 7" xfId="33847" xr:uid="{00000000-0005-0000-0000-00006C3C0000}"/>
    <cellStyle name="Comma 2 3 7 2 8" xfId="38051" xr:uid="{00000000-0005-0000-0000-00006D3C0000}"/>
    <cellStyle name="Comma 2 3 7 3" xfId="6011" xr:uid="{00000000-0005-0000-0000-00006E3C0000}"/>
    <cellStyle name="Comma 2 3 7 3 2" xfId="9761" xr:uid="{00000000-0005-0000-0000-00006F3C0000}"/>
    <cellStyle name="Comma 2 3 7 3 2 2" xfId="11519" xr:uid="{00000000-0005-0000-0000-0000703C0000}"/>
    <cellStyle name="Comma 2 3 7 3 2 2 2" xfId="28278" xr:uid="{00000000-0005-0000-0000-0000713C0000}"/>
    <cellStyle name="Comma 2 3 7 3 2 2 2 2" xfId="45927" xr:uid="{00000000-0005-0000-0000-0000723C0000}"/>
    <cellStyle name="Comma 2 3 7 3 2 2 3" xfId="32491" xr:uid="{00000000-0005-0000-0000-0000733C0000}"/>
    <cellStyle name="Comma 2 3 7 3 2 2 4" xfId="36706" xr:uid="{00000000-0005-0000-0000-0000743C0000}"/>
    <cellStyle name="Comma 2 3 7 3 2 2 5" xfId="40910" xr:uid="{00000000-0005-0000-0000-0000753C0000}"/>
    <cellStyle name="Comma 2 3 7 3 2 3" xfId="27261" xr:uid="{00000000-0005-0000-0000-0000763C0000}"/>
    <cellStyle name="Comma 2 3 7 3 2 3 2" xfId="45139" xr:uid="{00000000-0005-0000-0000-0000773C0000}"/>
    <cellStyle name="Comma 2 3 7 3 2 4" xfId="31474" xr:uid="{00000000-0005-0000-0000-0000783C0000}"/>
    <cellStyle name="Comma 2 3 7 3 2 5" xfId="35689" xr:uid="{00000000-0005-0000-0000-0000793C0000}"/>
    <cellStyle name="Comma 2 3 7 3 2 6" xfId="39893" xr:uid="{00000000-0005-0000-0000-00007A3C0000}"/>
    <cellStyle name="Comma 2 3 7 3 3" xfId="10488" xr:uid="{00000000-0005-0000-0000-00007B3C0000}"/>
    <cellStyle name="Comma 2 3 7 3 3 2" xfId="27726" xr:uid="{00000000-0005-0000-0000-00007C3C0000}"/>
    <cellStyle name="Comma 2 3 7 3 3 2 2" xfId="45404" xr:uid="{00000000-0005-0000-0000-00007D3C0000}"/>
    <cellStyle name="Comma 2 3 7 3 3 3" xfId="31939" xr:uid="{00000000-0005-0000-0000-00007E3C0000}"/>
    <cellStyle name="Comma 2 3 7 3 3 4" xfId="36154" xr:uid="{00000000-0005-0000-0000-00007F3C0000}"/>
    <cellStyle name="Comma 2 3 7 3 3 5" xfId="40358" xr:uid="{00000000-0005-0000-0000-0000803C0000}"/>
    <cellStyle name="Comma 2 3 7 3 4" xfId="25324" xr:uid="{00000000-0005-0000-0000-0000813C0000}"/>
    <cellStyle name="Comma 2 3 7 3 4 2" xfId="44663" xr:uid="{00000000-0005-0000-0000-0000823C0000}"/>
    <cellStyle name="Comma 2 3 7 3 5" xfId="29536" xr:uid="{00000000-0005-0000-0000-0000833C0000}"/>
    <cellStyle name="Comma 2 3 7 3 6" xfId="33752" xr:uid="{00000000-0005-0000-0000-0000843C0000}"/>
    <cellStyle name="Comma 2 3 7 3 7" xfId="37956" xr:uid="{00000000-0005-0000-0000-0000853C0000}"/>
    <cellStyle name="Comma 2 3 7 4" xfId="6347" xr:uid="{00000000-0005-0000-0000-0000863C0000}"/>
    <cellStyle name="Comma 2 3 7 4 2" xfId="11759" xr:uid="{00000000-0005-0000-0000-0000873C0000}"/>
    <cellStyle name="Comma 2 3 7 4 2 2" xfId="28481" xr:uid="{00000000-0005-0000-0000-0000883C0000}"/>
    <cellStyle name="Comma 2 3 7 4 2 2 2" xfId="46130" xr:uid="{00000000-0005-0000-0000-0000893C0000}"/>
    <cellStyle name="Comma 2 3 7 4 2 3" xfId="32694" xr:uid="{00000000-0005-0000-0000-00008A3C0000}"/>
    <cellStyle name="Comma 2 3 7 4 2 4" xfId="36909" xr:uid="{00000000-0005-0000-0000-00008B3C0000}"/>
    <cellStyle name="Comma 2 3 7 4 2 5" xfId="41113" xr:uid="{00000000-0005-0000-0000-00008C3C0000}"/>
    <cellStyle name="Comma 2 3 7 4 3" xfId="25537" xr:uid="{00000000-0005-0000-0000-00008D3C0000}"/>
    <cellStyle name="Comma 2 3 7 4 3 2" xfId="44866" xr:uid="{00000000-0005-0000-0000-00008E3C0000}"/>
    <cellStyle name="Comma 2 3 7 4 4" xfId="29749" xr:uid="{00000000-0005-0000-0000-00008F3C0000}"/>
    <cellStyle name="Comma 2 3 7 4 5" xfId="33965" xr:uid="{00000000-0005-0000-0000-0000903C0000}"/>
    <cellStyle name="Comma 2 3 7 4 6" xfId="38169" xr:uid="{00000000-0005-0000-0000-0000913C0000}"/>
    <cellStyle name="Comma 2 3 7 5" xfId="9652" xr:uid="{00000000-0005-0000-0000-0000923C0000}"/>
    <cellStyle name="Comma 2 3 7 5 2" xfId="11423" xr:uid="{00000000-0005-0000-0000-0000933C0000}"/>
    <cellStyle name="Comma 2 3 7 5 2 2" xfId="28183" xr:uid="{00000000-0005-0000-0000-0000943C0000}"/>
    <cellStyle name="Comma 2 3 7 5 2 2 2" xfId="45832" xr:uid="{00000000-0005-0000-0000-0000953C0000}"/>
    <cellStyle name="Comma 2 3 7 5 2 3" xfId="32396" xr:uid="{00000000-0005-0000-0000-0000963C0000}"/>
    <cellStyle name="Comma 2 3 7 5 2 4" xfId="36611" xr:uid="{00000000-0005-0000-0000-0000973C0000}"/>
    <cellStyle name="Comma 2 3 7 5 2 5" xfId="40815" xr:uid="{00000000-0005-0000-0000-0000983C0000}"/>
    <cellStyle name="Comma 2 3 7 5 3" xfId="27167" xr:uid="{00000000-0005-0000-0000-0000993C0000}"/>
    <cellStyle name="Comma 2 3 7 5 3 2" xfId="45036" xr:uid="{00000000-0005-0000-0000-00009A3C0000}"/>
    <cellStyle name="Comma 2 3 7 5 4" xfId="31380" xr:uid="{00000000-0005-0000-0000-00009B3C0000}"/>
    <cellStyle name="Comma 2 3 7 5 5" xfId="35595" xr:uid="{00000000-0005-0000-0000-00009C3C0000}"/>
    <cellStyle name="Comma 2 3 7 5 6" xfId="39799" xr:uid="{00000000-0005-0000-0000-00009D3C0000}"/>
    <cellStyle name="Comma 2 3 7 6" xfId="10241" xr:uid="{00000000-0005-0000-0000-00009E3C0000}"/>
    <cellStyle name="Comma 2 3 7 6 2" xfId="27632" xr:uid="{00000000-0005-0000-0000-00009F3C0000}"/>
    <cellStyle name="Comma 2 3 7 6 2 2" xfId="45310" xr:uid="{00000000-0005-0000-0000-0000A03C0000}"/>
    <cellStyle name="Comma 2 3 7 6 3" xfId="31845" xr:uid="{00000000-0005-0000-0000-0000A13C0000}"/>
    <cellStyle name="Comma 2 3 7 6 4" xfId="36060" xr:uid="{00000000-0005-0000-0000-0000A23C0000}"/>
    <cellStyle name="Comma 2 3 7 6 5" xfId="40264" xr:uid="{00000000-0005-0000-0000-0000A33C0000}"/>
    <cellStyle name="Comma 2 3 7 7" xfId="25229" xr:uid="{00000000-0005-0000-0000-0000A43C0000}"/>
    <cellStyle name="Comma 2 3 7 7 2" xfId="44568" xr:uid="{00000000-0005-0000-0000-0000A53C0000}"/>
    <cellStyle name="Comma 2 3 7 8" xfId="29441" xr:uid="{00000000-0005-0000-0000-0000A63C0000}"/>
    <cellStyle name="Comma 2 3 7 9" xfId="33657" xr:uid="{00000000-0005-0000-0000-0000A73C0000}"/>
    <cellStyle name="Comma 2 3 8" xfId="6062" xr:uid="{00000000-0005-0000-0000-0000A83C0000}"/>
    <cellStyle name="Comma 2 3 8 2" xfId="6309" xr:uid="{00000000-0005-0000-0000-0000A93C0000}"/>
    <cellStyle name="Comma 2 3 8 2 2" xfId="9837" xr:uid="{00000000-0005-0000-0000-0000AA3C0000}"/>
    <cellStyle name="Comma 2 3 8 2 2 2" xfId="10574" xr:uid="{00000000-0005-0000-0000-0000AB3C0000}"/>
    <cellStyle name="Comma 2 3 8 2 2 2 2" xfId="27789" xr:uid="{00000000-0005-0000-0000-0000AC3C0000}"/>
    <cellStyle name="Comma 2 3 8 2 2 2 2 2" xfId="45467" xr:uid="{00000000-0005-0000-0000-0000AD3C0000}"/>
    <cellStyle name="Comma 2 3 8 2 2 2 3" xfId="32002" xr:uid="{00000000-0005-0000-0000-0000AE3C0000}"/>
    <cellStyle name="Comma 2 3 8 2 2 2 4" xfId="36217" xr:uid="{00000000-0005-0000-0000-0000AF3C0000}"/>
    <cellStyle name="Comma 2 3 8 2 2 2 5" xfId="40421" xr:uid="{00000000-0005-0000-0000-0000B03C0000}"/>
    <cellStyle name="Comma 2 3 8 2 2 3" xfId="27324" xr:uid="{00000000-0005-0000-0000-0000B13C0000}"/>
    <cellStyle name="Comma 2 3 8 2 2 3 2" xfId="45202" xr:uid="{00000000-0005-0000-0000-0000B23C0000}"/>
    <cellStyle name="Comma 2 3 8 2 2 4" xfId="31537" xr:uid="{00000000-0005-0000-0000-0000B33C0000}"/>
    <cellStyle name="Comma 2 3 8 2 2 5" xfId="35752" xr:uid="{00000000-0005-0000-0000-0000B43C0000}"/>
    <cellStyle name="Comma 2 3 8 2 2 6" xfId="39956" xr:uid="{00000000-0005-0000-0000-0000B53C0000}"/>
    <cellStyle name="Comma 2 3 8 2 3" xfId="9719" xr:uid="{00000000-0005-0000-0000-0000B63C0000}"/>
    <cellStyle name="Comma 2 3 8 2 3 2" xfId="11732" xr:uid="{00000000-0005-0000-0000-0000B73C0000}"/>
    <cellStyle name="Comma 2 3 8 2 3 2 2" xfId="28455" xr:uid="{00000000-0005-0000-0000-0000B83C0000}"/>
    <cellStyle name="Comma 2 3 8 2 3 2 2 2" xfId="46104" xr:uid="{00000000-0005-0000-0000-0000B93C0000}"/>
    <cellStyle name="Comma 2 3 8 2 3 2 3" xfId="32668" xr:uid="{00000000-0005-0000-0000-0000BA3C0000}"/>
    <cellStyle name="Comma 2 3 8 2 3 2 4" xfId="36883" xr:uid="{00000000-0005-0000-0000-0000BB3C0000}"/>
    <cellStyle name="Comma 2 3 8 2 3 2 5" xfId="41087" xr:uid="{00000000-0005-0000-0000-0000BC3C0000}"/>
    <cellStyle name="Comma 2 3 8 2 3 3" xfId="27230" xr:uid="{00000000-0005-0000-0000-0000BD3C0000}"/>
    <cellStyle name="Comma 2 3 8 2 3 3 2" xfId="45099" xr:uid="{00000000-0005-0000-0000-0000BE3C0000}"/>
    <cellStyle name="Comma 2 3 8 2 3 4" xfId="31443" xr:uid="{00000000-0005-0000-0000-0000BF3C0000}"/>
    <cellStyle name="Comma 2 3 8 2 3 5" xfId="35658" xr:uid="{00000000-0005-0000-0000-0000C03C0000}"/>
    <cellStyle name="Comma 2 3 8 2 3 6" xfId="39862" xr:uid="{00000000-0005-0000-0000-0000C13C0000}"/>
    <cellStyle name="Comma 2 3 8 2 4" xfId="10457" xr:uid="{00000000-0005-0000-0000-0000C23C0000}"/>
    <cellStyle name="Comma 2 3 8 2 4 2" xfId="27695" xr:uid="{00000000-0005-0000-0000-0000C33C0000}"/>
    <cellStyle name="Comma 2 3 8 2 4 2 2" xfId="45373" xr:uid="{00000000-0005-0000-0000-0000C43C0000}"/>
    <cellStyle name="Comma 2 3 8 2 4 3" xfId="31908" xr:uid="{00000000-0005-0000-0000-0000C53C0000}"/>
    <cellStyle name="Comma 2 3 8 2 4 4" xfId="36123" xr:uid="{00000000-0005-0000-0000-0000C63C0000}"/>
    <cellStyle name="Comma 2 3 8 2 4 5" xfId="40327" xr:uid="{00000000-0005-0000-0000-0000C73C0000}"/>
    <cellStyle name="Comma 2 3 8 2 5" xfId="25511" xr:uid="{00000000-0005-0000-0000-0000C83C0000}"/>
    <cellStyle name="Comma 2 3 8 2 5 2" xfId="44839" xr:uid="{00000000-0005-0000-0000-0000C93C0000}"/>
    <cellStyle name="Comma 2 3 8 2 6" xfId="29723" xr:uid="{00000000-0005-0000-0000-0000CA3C0000}"/>
    <cellStyle name="Comma 2 3 8 2 7" xfId="33939" xr:uid="{00000000-0005-0000-0000-0000CB3C0000}"/>
    <cellStyle name="Comma 2 3 8 2 8" xfId="38143" xr:uid="{00000000-0005-0000-0000-0000CC3C0000}"/>
    <cellStyle name="Comma 2 3 8 3" xfId="6877" xr:uid="{00000000-0005-0000-0000-0000CD3C0000}"/>
    <cellStyle name="Comma 2 3 8 3 2" xfId="9790" xr:uid="{00000000-0005-0000-0000-0000CE3C0000}"/>
    <cellStyle name="Comma 2 3 8 3 2 2" xfId="11788" xr:uid="{00000000-0005-0000-0000-0000CF3C0000}"/>
    <cellStyle name="Comma 2 3 8 3 2 2 2" xfId="28508" xr:uid="{00000000-0005-0000-0000-0000D03C0000}"/>
    <cellStyle name="Comma 2 3 8 3 2 2 2 2" xfId="46159" xr:uid="{00000000-0005-0000-0000-0000D13C0000}"/>
    <cellStyle name="Comma 2 3 8 3 2 2 3" xfId="32721" xr:uid="{00000000-0005-0000-0000-0000D23C0000}"/>
    <cellStyle name="Comma 2 3 8 3 2 2 4" xfId="36936" xr:uid="{00000000-0005-0000-0000-0000D33C0000}"/>
    <cellStyle name="Comma 2 3 8 3 2 2 5" xfId="41140" xr:uid="{00000000-0005-0000-0000-0000D43C0000}"/>
    <cellStyle name="Comma 2 3 8 3 2 3" xfId="27277" xr:uid="{00000000-0005-0000-0000-0000D53C0000}"/>
    <cellStyle name="Comma 2 3 8 3 2 3 2" xfId="45155" xr:uid="{00000000-0005-0000-0000-0000D63C0000}"/>
    <cellStyle name="Comma 2 3 8 3 2 4" xfId="31490" xr:uid="{00000000-0005-0000-0000-0000D73C0000}"/>
    <cellStyle name="Comma 2 3 8 3 2 5" xfId="35705" xr:uid="{00000000-0005-0000-0000-0000D83C0000}"/>
    <cellStyle name="Comma 2 3 8 3 2 6" xfId="39909" xr:uid="{00000000-0005-0000-0000-0000D93C0000}"/>
    <cellStyle name="Comma 2 3 8 3 3" xfId="10527" xr:uid="{00000000-0005-0000-0000-0000DA3C0000}"/>
    <cellStyle name="Comma 2 3 8 3 3 2" xfId="27742" xr:uid="{00000000-0005-0000-0000-0000DB3C0000}"/>
    <cellStyle name="Comma 2 3 8 3 3 2 2" xfId="45420" xr:uid="{00000000-0005-0000-0000-0000DC3C0000}"/>
    <cellStyle name="Comma 2 3 8 3 3 3" xfId="31955" xr:uid="{00000000-0005-0000-0000-0000DD3C0000}"/>
    <cellStyle name="Comma 2 3 8 3 3 4" xfId="36170" xr:uid="{00000000-0005-0000-0000-0000DE3C0000}"/>
    <cellStyle name="Comma 2 3 8 3 3 5" xfId="40374" xr:uid="{00000000-0005-0000-0000-0000DF3C0000}"/>
    <cellStyle name="Comma 2 3 8 3 4" xfId="25565" xr:uid="{00000000-0005-0000-0000-0000E03C0000}"/>
    <cellStyle name="Comma 2 3 8 3 4 2" xfId="44893" xr:uid="{00000000-0005-0000-0000-0000E13C0000}"/>
    <cellStyle name="Comma 2 3 8 3 5" xfId="29778" xr:uid="{00000000-0005-0000-0000-0000E23C0000}"/>
    <cellStyle name="Comma 2 3 8 3 6" xfId="33993" xr:uid="{00000000-0005-0000-0000-0000E33C0000}"/>
    <cellStyle name="Comma 2 3 8 3 7" xfId="38197" xr:uid="{00000000-0005-0000-0000-0000E43C0000}"/>
    <cellStyle name="Comma 2 3 8 4" xfId="9669" xr:uid="{00000000-0005-0000-0000-0000E53C0000}"/>
    <cellStyle name="Comma 2 3 8 4 2" xfId="11570" xr:uid="{00000000-0005-0000-0000-0000E63C0000}"/>
    <cellStyle name="Comma 2 3 8 4 2 2" xfId="28326" xr:uid="{00000000-0005-0000-0000-0000E73C0000}"/>
    <cellStyle name="Comma 2 3 8 4 2 2 2" xfId="45975" xr:uid="{00000000-0005-0000-0000-0000E83C0000}"/>
    <cellStyle name="Comma 2 3 8 4 2 3" xfId="32539" xr:uid="{00000000-0005-0000-0000-0000E93C0000}"/>
    <cellStyle name="Comma 2 3 8 4 2 4" xfId="36754" xr:uid="{00000000-0005-0000-0000-0000EA3C0000}"/>
    <cellStyle name="Comma 2 3 8 4 2 5" xfId="40958" xr:uid="{00000000-0005-0000-0000-0000EB3C0000}"/>
    <cellStyle name="Comma 2 3 8 4 3" xfId="27183" xr:uid="{00000000-0005-0000-0000-0000EC3C0000}"/>
    <cellStyle name="Comma 2 3 8 4 3 2" xfId="45052" xr:uid="{00000000-0005-0000-0000-0000ED3C0000}"/>
    <cellStyle name="Comma 2 3 8 4 4" xfId="31396" xr:uid="{00000000-0005-0000-0000-0000EE3C0000}"/>
    <cellStyle name="Comma 2 3 8 4 5" xfId="35611" xr:uid="{00000000-0005-0000-0000-0000EF3C0000}"/>
    <cellStyle name="Comma 2 3 8 4 6" xfId="39815" xr:uid="{00000000-0005-0000-0000-0000F03C0000}"/>
    <cellStyle name="Comma 2 3 8 5" xfId="10399" xr:uid="{00000000-0005-0000-0000-0000F13C0000}"/>
    <cellStyle name="Comma 2 3 8 5 2" xfId="27648" xr:uid="{00000000-0005-0000-0000-0000F23C0000}"/>
    <cellStyle name="Comma 2 3 8 5 2 2" xfId="45326" xr:uid="{00000000-0005-0000-0000-0000F33C0000}"/>
    <cellStyle name="Comma 2 3 8 5 3" xfId="31861" xr:uid="{00000000-0005-0000-0000-0000F43C0000}"/>
    <cellStyle name="Comma 2 3 8 5 4" xfId="36076" xr:uid="{00000000-0005-0000-0000-0000F53C0000}"/>
    <cellStyle name="Comma 2 3 8 5 5" xfId="40280" xr:uid="{00000000-0005-0000-0000-0000F63C0000}"/>
    <cellStyle name="Comma 2 3 8 6" xfId="25372" xr:uid="{00000000-0005-0000-0000-0000F73C0000}"/>
    <cellStyle name="Comma 2 3 8 6 2" xfId="44711" xr:uid="{00000000-0005-0000-0000-0000F83C0000}"/>
    <cellStyle name="Comma 2 3 8 7" xfId="29584" xr:uid="{00000000-0005-0000-0000-0000F93C0000}"/>
    <cellStyle name="Comma 2 3 8 8" xfId="33800" xr:uid="{00000000-0005-0000-0000-0000FA3C0000}"/>
    <cellStyle name="Comma 2 3 8 9" xfId="38004" xr:uid="{00000000-0005-0000-0000-0000FB3C0000}"/>
    <cellStyle name="Comma 2 3 9" xfId="5964" xr:uid="{00000000-0005-0000-0000-0000FC3C0000}"/>
    <cellStyle name="Comma 2 3 9 10" xfId="37909" xr:uid="{00000000-0005-0000-0000-0000FD3C0000}"/>
    <cellStyle name="Comma 2 3 9 2" xfId="6310" xr:uid="{00000000-0005-0000-0000-0000FE3C0000}"/>
    <cellStyle name="Comma 2 3 9 2 2" xfId="9842" xr:uid="{00000000-0005-0000-0000-0000FF3C0000}"/>
    <cellStyle name="Comma 2 3 9 2 2 2" xfId="10579" xr:uid="{00000000-0005-0000-0000-0000003D0000}"/>
    <cellStyle name="Comma 2 3 9 2 2 2 2" xfId="27794" xr:uid="{00000000-0005-0000-0000-0000013D0000}"/>
    <cellStyle name="Comma 2 3 9 2 2 2 2 2" xfId="45472" xr:uid="{00000000-0005-0000-0000-0000023D0000}"/>
    <cellStyle name="Comma 2 3 9 2 2 2 3" xfId="32007" xr:uid="{00000000-0005-0000-0000-0000033D0000}"/>
    <cellStyle name="Comma 2 3 9 2 2 2 4" xfId="36222" xr:uid="{00000000-0005-0000-0000-0000043D0000}"/>
    <cellStyle name="Comma 2 3 9 2 2 2 5" xfId="40426" xr:uid="{00000000-0005-0000-0000-0000053D0000}"/>
    <cellStyle name="Comma 2 3 9 2 2 3" xfId="27329" xr:uid="{00000000-0005-0000-0000-0000063D0000}"/>
    <cellStyle name="Comma 2 3 9 2 2 3 2" xfId="45207" xr:uid="{00000000-0005-0000-0000-0000073D0000}"/>
    <cellStyle name="Comma 2 3 9 2 2 4" xfId="31542" xr:uid="{00000000-0005-0000-0000-0000083D0000}"/>
    <cellStyle name="Comma 2 3 9 2 2 5" xfId="35757" xr:uid="{00000000-0005-0000-0000-0000093D0000}"/>
    <cellStyle name="Comma 2 3 9 2 2 6" xfId="39961" xr:uid="{00000000-0005-0000-0000-00000A3D0000}"/>
    <cellStyle name="Comma 2 3 9 2 3" xfId="9724" xr:uid="{00000000-0005-0000-0000-00000B3D0000}"/>
    <cellStyle name="Comma 2 3 9 2 3 2" xfId="11733" xr:uid="{00000000-0005-0000-0000-00000C3D0000}"/>
    <cellStyle name="Comma 2 3 9 2 3 2 2" xfId="28456" xr:uid="{00000000-0005-0000-0000-00000D3D0000}"/>
    <cellStyle name="Comma 2 3 9 2 3 2 2 2" xfId="46105" xr:uid="{00000000-0005-0000-0000-00000E3D0000}"/>
    <cellStyle name="Comma 2 3 9 2 3 2 3" xfId="32669" xr:uid="{00000000-0005-0000-0000-00000F3D0000}"/>
    <cellStyle name="Comma 2 3 9 2 3 2 4" xfId="36884" xr:uid="{00000000-0005-0000-0000-0000103D0000}"/>
    <cellStyle name="Comma 2 3 9 2 3 2 5" xfId="41088" xr:uid="{00000000-0005-0000-0000-0000113D0000}"/>
    <cellStyle name="Comma 2 3 9 2 3 3" xfId="27235" xr:uid="{00000000-0005-0000-0000-0000123D0000}"/>
    <cellStyle name="Comma 2 3 9 2 3 3 2" xfId="45104" xr:uid="{00000000-0005-0000-0000-0000133D0000}"/>
    <cellStyle name="Comma 2 3 9 2 3 4" xfId="31448" xr:uid="{00000000-0005-0000-0000-0000143D0000}"/>
    <cellStyle name="Comma 2 3 9 2 3 5" xfId="35663" xr:uid="{00000000-0005-0000-0000-0000153D0000}"/>
    <cellStyle name="Comma 2 3 9 2 3 6" xfId="39867" xr:uid="{00000000-0005-0000-0000-0000163D0000}"/>
    <cellStyle name="Comma 2 3 9 2 4" xfId="10462" xr:uid="{00000000-0005-0000-0000-0000173D0000}"/>
    <cellStyle name="Comma 2 3 9 2 4 2" xfId="27700" xr:uid="{00000000-0005-0000-0000-0000183D0000}"/>
    <cellStyle name="Comma 2 3 9 2 4 2 2" xfId="45378" xr:uid="{00000000-0005-0000-0000-0000193D0000}"/>
    <cellStyle name="Comma 2 3 9 2 4 3" xfId="31913" xr:uid="{00000000-0005-0000-0000-00001A3D0000}"/>
    <cellStyle name="Comma 2 3 9 2 4 4" xfId="36128" xr:uid="{00000000-0005-0000-0000-00001B3D0000}"/>
    <cellStyle name="Comma 2 3 9 2 4 5" xfId="40332" xr:uid="{00000000-0005-0000-0000-00001C3D0000}"/>
    <cellStyle name="Comma 2 3 9 2 5" xfId="25512" xr:uid="{00000000-0005-0000-0000-00001D3D0000}"/>
    <cellStyle name="Comma 2 3 9 2 5 2" xfId="44840" xr:uid="{00000000-0005-0000-0000-00001E3D0000}"/>
    <cellStyle name="Comma 2 3 9 2 6" xfId="29724" xr:uid="{00000000-0005-0000-0000-00001F3D0000}"/>
    <cellStyle name="Comma 2 3 9 2 7" xfId="33940" xr:uid="{00000000-0005-0000-0000-0000203D0000}"/>
    <cellStyle name="Comma 2 3 9 2 8" xfId="38144" xr:uid="{00000000-0005-0000-0000-0000213D0000}"/>
    <cellStyle name="Comma 2 3 9 3" xfId="8037" xr:uid="{00000000-0005-0000-0000-0000223D0000}"/>
    <cellStyle name="Comma 2 3 9 3 2" xfId="9795" xr:uid="{00000000-0005-0000-0000-0000233D0000}"/>
    <cellStyle name="Comma 2 3 9 3 2 2" xfId="12015" xr:uid="{00000000-0005-0000-0000-0000243D0000}"/>
    <cellStyle name="Comma 2 3 9 3 2 3" xfId="27282" xr:uid="{00000000-0005-0000-0000-0000253D0000}"/>
    <cellStyle name="Comma 2 3 9 3 2 3 2" xfId="45160" xr:uid="{00000000-0005-0000-0000-0000263D0000}"/>
    <cellStyle name="Comma 2 3 9 3 2 4" xfId="31495" xr:uid="{00000000-0005-0000-0000-0000273D0000}"/>
    <cellStyle name="Comma 2 3 9 3 2 5" xfId="35710" xr:uid="{00000000-0005-0000-0000-0000283D0000}"/>
    <cellStyle name="Comma 2 3 9 3 2 6" xfId="39914" xr:uid="{00000000-0005-0000-0000-0000293D0000}"/>
    <cellStyle name="Comma 2 3 9 3 3" xfId="10532" xr:uid="{00000000-0005-0000-0000-00002A3D0000}"/>
    <cellStyle name="Comma 2 3 9 3 3 2" xfId="27747" xr:uid="{00000000-0005-0000-0000-00002B3D0000}"/>
    <cellStyle name="Comma 2 3 9 3 3 2 2" xfId="45425" xr:uid="{00000000-0005-0000-0000-00002C3D0000}"/>
    <cellStyle name="Comma 2 3 9 3 3 3" xfId="31960" xr:uid="{00000000-0005-0000-0000-00002D3D0000}"/>
    <cellStyle name="Comma 2 3 9 3 3 4" xfId="36175" xr:uid="{00000000-0005-0000-0000-00002E3D0000}"/>
    <cellStyle name="Comma 2 3 9 3 3 5" xfId="40379" xr:uid="{00000000-0005-0000-0000-00002F3D0000}"/>
    <cellStyle name="Comma 2 3 9 4" xfId="9990" xr:uid="{00000000-0005-0000-0000-0000303D0000}"/>
    <cellStyle name="Comma 2 3 9 5" xfId="9677" xr:uid="{00000000-0005-0000-0000-0000313D0000}"/>
    <cellStyle name="Comma 2 3 9 5 2" xfId="11472" xr:uid="{00000000-0005-0000-0000-0000323D0000}"/>
    <cellStyle name="Comma 2 3 9 5 2 2" xfId="28231" xr:uid="{00000000-0005-0000-0000-0000333D0000}"/>
    <cellStyle name="Comma 2 3 9 5 2 2 2" xfId="45880" xr:uid="{00000000-0005-0000-0000-0000343D0000}"/>
    <cellStyle name="Comma 2 3 9 5 2 3" xfId="32444" xr:uid="{00000000-0005-0000-0000-0000353D0000}"/>
    <cellStyle name="Comma 2 3 9 5 2 4" xfId="36659" xr:uid="{00000000-0005-0000-0000-0000363D0000}"/>
    <cellStyle name="Comma 2 3 9 5 2 5" xfId="40863" xr:uid="{00000000-0005-0000-0000-0000373D0000}"/>
    <cellStyle name="Comma 2 3 9 5 3" xfId="27188" xr:uid="{00000000-0005-0000-0000-0000383D0000}"/>
    <cellStyle name="Comma 2 3 9 5 3 2" xfId="45057" xr:uid="{00000000-0005-0000-0000-0000393D0000}"/>
    <cellStyle name="Comma 2 3 9 5 4" xfId="31401" xr:uid="{00000000-0005-0000-0000-00003A3D0000}"/>
    <cellStyle name="Comma 2 3 9 5 5" xfId="35616" xr:uid="{00000000-0005-0000-0000-00003B3D0000}"/>
    <cellStyle name="Comma 2 3 9 5 6" xfId="39820" xr:uid="{00000000-0005-0000-0000-00003C3D0000}"/>
    <cellStyle name="Comma 2 3 9 6" xfId="10415" xr:uid="{00000000-0005-0000-0000-00003D3D0000}"/>
    <cellStyle name="Comma 2 3 9 6 2" xfId="27653" xr:uid="{00000000-0005-0000-0000-00003E3D0000}"/>
    <cellStyle name="Comma 2 3 9 6 2 2" xfId="45331" xr:uid="{00000000-0005-0000-0000-00003F3D0000}"/>
    <cellStyle name="Comma 2 3 9 6 3" xfId="31866" xr:uid="{00000000-0005-0000-0000-0000403D0000}"/>
    <cellStyle name="Comma 2 3 9 6 4" xfId="36081" xr:uid="{00000000-0005-0000-0000-0000413D0000}"/>
    <cellStyle name="Comma 2 3 9 6 5" xfId="40285" xr:uid="{00000000-0005-0000-0000-0000423D0000}"/>
    <cellStyle name="Comma 2 3 9 7" xfId="25277" xr:uid="{00000000-0005-0000-0000-0000433D0000}"/>
    <cellStyle name="Comma 2 3 9 7 2" xfId="44616" xr:uid="{00000000-0005-0000-0000-0000443D0000}"/>
    <cellStyle name="Comma 2 3 9 8" xfId="29489" xr:uid="{00000000-0005-0000-0000-0000453D0000}"/>
    <cellStyle name="Comma 2 3 9 9" xfId="33705" xr:uid="{00000000-0005-0000-0000-0000463D0000}"/>
    <cellStyle name="Comma 2 30" xfId="23438" xr:uid="{00000000-0005-0000-0000-0000473D0000}"/>
    <cellStyle name="Comma 2 30 2" xfId="28938" xr:uid="{00000000-0005-0000-0000-0000483D0000}"/>
    <cellStyle name="Comma 2 30 3" xfId="33155" xr:uid="{00000000-0005-0000-0000-0000493D0000}"/>
    <cellStyle name="Comma 2 30 4" xfId="37366" xr:uid="{00000000-0005-0000-0000-00004A3D0000}"/>
    <cellStyle name="Comma 2 31" xfId="3084" xr:uid="{00000000-0005-0000-0000-00004B3D0000}"/>
    <cellStyle name="Comma 2 32" xfId="24828" xr:uid="{00000000-0005-0000-0000-00004C3D0000}"/>
    <cellStyle name="Comma 2 33" xfId="29039" xr:uid="{00000000-0005-0000-0000-00004D3D0000}"/>
    <cellStyle name="Comma 2 34" xfId="33256" xr:uid="{00000000-0005-0000-0000-00004E3D0000}"/>
    <cellStyle name="Comma 2 35" xfId="37467" xr:uid="{00000000-0005-0000-0000-00004F3D0000}"/>
    <cellStyle name="Comma 2 36" xfId="46480" xr:uid="{C2312CFC-4303-42FC-8C5A-D617FABBBEA9}"/>
    <cellStyle name="Comma 2 4" xfId="3268" xr:uid="{00000000-0005-0000-0000-0000503D0000}"/>
    <cellStyle name="Comma 2 4 10" xfId="6174" xr:uid="{00000000-0005-0000-0000-0000513D0000}"/>
    <cellStyle name="Comma 2 4 10 2" xfId="11682" xr:uid="{00000000-0005-0000-0000-0000523D0000}"/>
    <cellStyle name="Comma 2 4 10 2 2" xfId="28438" xr:uid="{00000000-0005-0000-0000-0000533D0000}"/>
    <cellStyle name="Comma 2 4 10 2 2 2" xfId="46087" xr:uid="{00000000-0005-0000-0000-0000543D0000}"/>
    <cellStyle name="Comma 2 4 10 2 3" xfId="32651" xr:uid="{00000000-0005-0000-0000-0000553D0000}"/>
    <cellStyle name="Comma 2 4 10 2 4" xfId="36866" xr:uid="{00000000-0005-0000-0000-0000563D0000}"/>
    <cellStyle name="Comma 2 4 10 2 5" xfId="41070" xr:uid="{00000000-0005-0000-0000-0000573D0000}"/>
    <cellStyle name="Comma 2 4 10 3" xfId="25484" xr:uid="{00000000-0005-0000-0000-0000583D0000}"/>
    <cellStyle name="Comma 2 4 10 3 2" xfId="44823" xr:uid="{00000000-0005-0000-0000-0000593D0000}"/>
    <cellStyle name="Comma 2 4 10 4" xfId="29696" xr:uid="{00000000-0005-0000-0000-00005A3D0000}"/>
    <cellStyle name="Comma 2 4 10 5" xfId="33912" xr:uid="{00000000-0005-0000-0000-00005B3D0000}"/>
    <cellStyle name="Comma 2 4 10 6" xfId="38116" xr:uid="{00000000-0005-0000-0000-00005C3D0000}"/>
    <cellStyle name="Comma 2 4 11" xfId="6276" xr:uid="{00000000-0005-0000-0000-00005D3D0000}"/>
    <cellStyle name="Comma 2 4 11 2" xfId="11723" xr:uid="{00000000-0005-0000-0000-00005E3D0000}"/>
    <cellStyle name="Comma 2 4 11 2 2" xfId="28452" xr:uid="{00000000-0005-0000-0000-00005F3D0000}"/>
    <cellStyle name="Comma 2 4 11 2 2 2" xfId="46101" xr:uid="{00000000-0005-0000-0000-0000603D0000}"/>
    <cellStyle name="Comma 2 4 11 2 3" xfId="32665" xr:uid="{00000000-0005-0000-0000-0000613D0000}"/>
    <cellStyle name="Comma 2 4 11 2 4" xfId="36880" xr:uid="{00000000-0005-0000-0000-0000623D0000}"/>
    <cellStyle name="Comma 2 4 11 2 5" xfId="41084" xr:uid="{00000000-0005-0000-0000-0000633D0000}"/>
    <cellStyle name="Comma 2 4 11 3" xfId="25507" xr:uid="{00000000-0005-0000-0000-0000643D0000}"/>
    <cellStyle name="Comma 2 4 11 3 2" xfId="44837" xr:uid="{00000000-0005-0000-0000-0000653D0000}"/>
    <cellStyle name="Comma 2 4 11 4" xfId="29719" xr:uid="{00000000-0005-0000-0000-0000663D0000}"/>
    <cellStyle name="Comma 2 4 11 5" xfId="33935" xr:uid="{00000000-0005-0000-0000-0000673D0000}"/>
    <cellStyle name="Comma 2 4 11 6" xfId="38139" xr:uid="{00000000-0005-0000-0000-0000683D0000}"/>
    <cellStyle name="Comma 2 4 12" xfId="5213" xr:uid="{00000000-0005-0000-0000-0000693D0000}"/>
    <cellStyle name="Comma 2 4 12 2" xfId="11292" xr:uid="{00000000-0005-0000-0000-00006A3D0000}"/>
    <cellStyle name="Comma 2 4 12 2 2" xfId="28122" xr:uid="{00000000-0005-0000-0000-00006B3D0000}"/>
    <cellStyle name="Comma 2 4 12 2 2 2" xfId="45786" xr:uid="{00000000-0005-0000-0000-00006C3D0000}"/>
    <cellStyle name="Comma 2 4 12 2 3" xfId="32335" xr:uid="{00000000-0005-0000-0000-00006D3D0000}"/>
    <cellStyle name="Comma 2 4 12 2 4" xfId="36550" xr:uid="{00000000-0005-0000-0000-00006E3D0000}"/>
    <cellStyle name="Comma 2 4 12 2 5" xfId="40754" xr:uid="{00000000-0005-0000-0000-00006F3D0000}"/>
    <cellStyle name="Comma 2 4 12 3" xfId="24972" xr:uid="{00000000-0005-0000-0000-0000703D0000}"/>
    <cellStyle name="Comma 2 4 12 3 2" xfId="44521" xr:uid="{00000000-0005-0000-0000-0000713D0000}"/>
    <cellStyle name="Comma 2 4 12 4" xfId="29184" xr:uid="{00000000-0005-0000-0000-0000723D0000}"/>
    <cellStyle name="Comma 2 4 12 5" xfId="33400" xr:uid="{00000000-0005-0000-0000-0000733D0000}"/>
    <cellStyle name="Comma 2 4 12 6" xfId="37604" xr:uid="{00000000-0005-0000-0000-0000743D0000}"/>
    <cellStyle name="Comma 2 4 13" xfId="6348" xr:uid="{00000000-0005-0000-0000-0000753D0000}"/>
    <cellStyle name="Comma 2 4 13 2" xfId="11760" xr:uid="{00000000-0005-0000-0000-0000763D0000}"/>
    <cellStyle name="Comma 2 4 13 2 2" xfId="28482" xr:uid="{00000000-0005-0000-0000-0000773D0000}"/>
    <cellStyle name="Comma 2 4 13 2 2 2" xfId="46131" xr:uid="{00000000-0005-0000-0000-0000783D0000}"/>
    <cellStyle name="Comma 2 4 13 2 3" xfId="32695" xr:uid="{00000000-0005-0000-0000-0000793D0000}"/>
    <cellStyle name="Comma 2 4 13 2 4" xfId="36910" xr:uid="{00000000-0005-0000-0000-00007A3D0000}"/>
    <cellStyle name="Comma 2 4 13 2 5" xfId="41114" xr:uid="{00000000-0005-0000-0000-00007B3D0000}"/>
    <cellStyle name="Comma 2 4 13 3" xfId="25538" xr:uid="{00000000-0005-0000-0000-00007C3D0000}"/>
    <cellStyle name="Comma 2 4 13 3 2" xfId="44867" xr:uid="{00000000-0005-0000-0000-00007D3D0000}"/>
    <cellStyle name="Comma 2 4 13 4" xfId="29750" xr:uid="{00000000-0005-0000-0000-00007E3D0000}"/>
    <cellStyle name="Comma 2 4 13 5" xfId="33966" xr:uid="{00000000-0005-0000-0000-00007F3D0000}"/>
    <cellStyle name="Comma 2 4 13 6" xfId="38170" xr:uid="{00000000-0005-0000-0000-0000803D0000}"/>
    <cellStyle name="Comma 2 4 14" xfId="9572" xr:uid="{00000000-0005-0000-0000-0000813D0000}"/>
    <cellStyle name="Comma 2 4 14 2" xfId="12175" xr:uid="{00000000-0005-0000-0000-0000823D0000}"/>
    <cellStyle name="Comma 2 4 14 2 2" xfId="28786" xr:uid="{00000000-0005-0000-0000-0000833D0000}"/>
    <cellStyle name="Comma 2 4 14 2 2 2" xfId="46457" xr:uid="{00000000-0005-0000-0000-0000843D0000}"/>
    <cellStyle name="Comma 2 4 14 2 3" xfId="32999" xr:uid="{00000000-0005-0000-0000-0000853D0000}"/>
    <cellStyle name="Comma 2 4 14 2 4" xfId="37214" xr:uid="{00000000-0005-0000-0000-0000863D0000}"/>
    <cellStyle name="Comma 2 4 14 2 5" xfId="41418" xr:uid="{00000000-0005-0000-0000-0000873D0000}"/>
    <cellStyle name="Comma 2 4 14 3" xfId="27136" xr:uid="{00000000-0005-0000-0000-0000883D0000}"/>
    <cellStyle name="Comma 2 4 14 3 2" xfId="45006" xr:uid="{00000000-0005-0000-0000-0000893D0000}"/>
    <cellStyle name="Comma 2 4 14 4" xfId="31349" xr:uid="{00000000-0005-0000-0000-00008A3D0000}"/>
    <cellStyle name="Comma 2 4 14 5" xfId="35564" xr:uid="{00000000-0005-0000-0000-00008B3D0000}"/>
    <cellStyle name="Comma 2 4 14 6" xfId="39768" xr:uid="{00000000-0005-0000-0000-00008C3D0000}"/>
    <cellStyle name="Comma 2 4 15" xfId="9653" xr:uid="{00000000-0005-0000-0000-00008D3D0000}"/>
    <cellStyle name="Comma 2 4 15 2" xfId="11022" xr:uid="{00000000-0005-0000-0000-00008E3D0000}"/>
    <cellStyle name="Comma 2 4 15 2 2" xfId="28077" xr:uid="{00000000-0005-0000-0000-00008F3D0000}"/>
    <cellStyle name="Comma 2 4 15 2 2 2" xfId="45761" xr:uid="{00000000-0005-0000-0000-0000903D0000}"/>
    <cellStyle name="Comma 2 4 15 2 3" xfId="32290" xr:uid="{00000000-0005-0000-0000-0000913D0000}"/>
    <cellStyle name="Comma 2 4 15 2 4" xfId="36505" xr:uid="{00000000-0005-0000-0000-0000923D0000}"/>
    <cellStyle name="Comma 2 4 15 2 5" xfId="40709" xr:uid="{00000000-0005-0000-0000-0000933D0000}"/>
    <cellStyle name="Comma 2 4 15 3" xfId="27168" xr:uid="{00000000-0005-0000-0000-0000943D0000}"/>
    <cellStyle name="Comma 2 4 15 3 2" xfId="45037" xr:uid="{00000000-0005-0000-0000-0000953D0000}"/>
    <cellStyle name="Comma 2 4 15 4" xfId="31381" xr:uid="{00000000-0005-0000-0000-0000963D0000}"/>
    <cellStyle name="Comma 2 4 15 5" xfId="35596" xr:uid="{00000000-0005-0000-0000-0000973D0000}"/>
    <cellStyle name="Comma 2 4 15 6" xfId="39800" xr:uid="{00000000-0005-0000-0000-0000983D0000}"/>
    <cellStyle name="Comma 2 4 16" xfId="10242" xr:uid="{00000000-0005-0000-0000-0000993D0000}"/>
    <cellStyle name="Comma 2 4 16 2" xfId="27633" xr:uid="{00000000-0005-0000-0000-00009A3D0000}"/>
    <cellStyle name="Comma 2 4 16 2 2" xfId="45311" xr:uid="{00000000-0005-0000-0000-00009B3D0000}"/>
    <cellStyle name="Comma 2 4 16 3" xfId="31846" xr:uid="{00000000-0005-0000-0000-00009C3D0000}"/>
    <cellStyle name="Comma 2 4 16 4" xfId="36061" xr:uid="{00000000-0005-0000-0000-00009D3D0000}"/>
    <cellStyle name="Comma 2 4 16 5" xfId="40265" xr:uid="{00000000-0005-0000-0000-00009E3D0000}"/>
    <cellStyle name="Comma 2 4 17" xfId="12265" xr:uid="{00000000-0005-0000-0000-00009F3D0000}"/>
    <cellStyle name="Comma 2 4 17 2" xfId="28832" xr:uid="{00000000-0005-0000-0000-0000A03D0000}"/>
    <cellStyle name="Comma 2 4 17 3" xfId="33045" xr:uid="{00000000-0005-0000-0000-0000A13D0000}"/>
    <cellStyle name="Comma 2 4 17 4" xfId="37260" xr:uid="{00000000-0005-0000-0000-0000A23D0000}"/>
    <cellStyle name="Comma 2 4 17 5" xfId="42448" xr:uid="{00000000-0005-0000-0000-0000A33D0000}"/>
    <cellStyle name="Comma 2 4 18" xfId="23474" xr:uid="{00000000-0005-0000-0000-0000A43D0000}"/>
    <cellStyle name="Comma 2 4 18 2" xfId="28973" xr:uid="{00000000-0005-0000-0000-0000A53D0000}"/>
    <cellStyle name="Comma 2 4 18 3" xfId="33190" xr:uid="{00000000-0005-0000-0000-0000A63D0000}"/>
    <cellStyle name="Comma 2 4 18 4" xfId="37401" xr:uid="{00000000-0005-0000-0000-0000A73D0000}"/>
    <cellStyle name="Comma 2 4 19" xfId="24839" xr:uid="{00000000-0005-0000-0000-0000A83D0000}"/>
    <cellStyle name="Comma 2 4 2" xfId="4466" xr:uid="{00000000-0005-0000-0000-0000A93D0000}"/>
    <cellStyle name="Comma 2 4 2 10" xfId="6349" xr:uid="{00000000-0005-0000-0000-0000AA3D0000}"/>
    <cellStyle name="Comma 2 4 2 10 2" xfId="11761" xr:uid="{00000000-0005-0000-0000-0000AB3D0000}"/>
    <cellStyle name="Comma 2 4 2 10 2 2" xfId="28483" xr:uid="{00000000-0005-0000-0000-0000AC3D0000}"/>
    <cellStyle name="Comma 2 4 2 10 2 2 2" xfId="46132" xr:uid="{00000000-0005-0000-0000-0000AD3D0000}"/>
    <cellStyle name="Comma 2 4 2 10 2 3" xfId="32696" xr:uid="{00000000-0005-0000-0000-0000AE3D0000}"/>
    <cellStyle name="Comma 2 4 2 10 2 4" xfId="36911" xr:uid="{00000000-0005-0000-0000-0000AF3D0000}"/>
    <cellStyle name="Comma 2 4 2 10 2 5" xfId="41115" xr:uid="{00000000-0005-0000-0000-0000B03D0000}"/>
    <cellStyle name="Comma 2 4 2 10 3" xfId="25539" xr:uid="{00000000-0005-0000-0000-0000B13D0000}"/>
    <cellStyle name="Comma 2 4 2 10 3 2" xfId="44868" xr:uid="{00000000-0005-0000-0000-0000B23D0000}"/>
    <cellStyle name="Comma 2 4 2 10 4" xfId="29751" xr:uid="{00000000-0005-0000-0000-0000B33D0000}"/>
    <cellStyle name="Comma 2 4 2 10 5" xfId="33967" xr:uid="{00000000-0005-0000-0000-0000B43D0000}"/>
    <cellStyle name="Comma 2 4 2 10 6" xfId="38171" xr:uid="{00000000-0005-0000-0000-0000B53D0000}"/>
    <cellStyle name="Comma 2 4 2 11" xfId="9654" xr:uid="{00000000-0005-0000-0000-0000B63D0000}"/>
    <cellStyle name="Comma 2 4 2 11 2" xfId="11261" xr:uid="{00000000-0005-0000-0000-0000B73D0000}"/>
    <cellStyle name="Comma 2 4 2 11 2 2" xfId="28107" xr:uid="{00000000-0005-0000-0000-0000B83D0000}"/>
    <cellStyle name="Comma 2 4 2 11 2 2 2" xfId="45772" xr:uid="{00000000-0005-0000-0000-0000B93D0000}"/>
    <cellStyle name="Comma 2 4 2 11 2 3" xfId="32320" xr:uid="{00000000-0005-0000-0000-0000BA3D0000}"/>
    <cellStyle name="Comma 2 4 2 11 2 4" xfId="36535" xr:uid="{00000000-0005-0000-0000-0000BB3D0000}"/>
    <cellStyle name="Comma 2 4 2 11 2 5" xfId="40739" xr:uid="{00000000-0005-0000-0000-0000BC3D0000}"/>
    <cellStyle name="Comma 2 4 2 11 3" xfId="27169" xr:uid="{00000000-0005-0000-0000-0000BD3D0000}"/>
    <cellStyle name="Comma 2 4 2 11 3 2" xfId="45038" xr:uid="{00000000-0005-0000-0000-0000BE3D0000}"/>
    <cellStyle name="Comma 2 4 2 11 4" xfId="31382" xr:uid="{00000000-0005-0000-0000-0000BF3D0000}"/>
    <cellStyle name="Comma 2 4 2 11 5" xfId="35597" xr:uid="{00000000-0005-0000-0000-0000C03D0000}"/>
    <cellStyle name="Comma 2 4 2 11 6" xfId="39801" xr:uid="{00000000-0005-0000-0000-0000C13D0000}"/>
    <cellStyle name="Comma 2 4 2 12" xfId="10243" xr:uid="{00000000-0005-0000-0000-0000C23D0000}"/>
    <cellStyle name="Comma 2 4 2 12 2" xfId="27634" xr:uid="{00000000-0005-0000-0000-0000C33D0000}"/>
    <cellStyle name="Comma 2 4 2 12 2 2" xfId="45312" xr:uid="{00000000-0005-0000-0000-0000C43D0000}"/>
    <cellStyle name="Comma 2 4 2 12 3" xfId="31847" xr:uid="{00000000-0005-0000-0000-0000C53D0000}"/>
    <cellStyle name="Comma 2 4 2 12 4" xfId="36062" xr:uid="{00000000-0005-0000-0000-0000C63D0000}"/>
    <cellStyle name="Comma 2 4 2 12 5" xfId="40266" xr:uid="{00000000-0005-0000-0000-0000C73D0000}"/>
    <cellStyle name="Comma 2 4 2 13" xfId="16082" xr:uid="{00000000-0005-0000-0000-0000C83D0000}"/>
    <cellStyle name="Comma 2 4 2 13 2" xfId="28909" xr:uid="{00000000-0005-0000-0000-0000C93D0000}"/>
    <cellStyle name="Comma 2 4 2 13 3" xfId="33124" xr:uid="{00000000-0005-0000-0000-0000CA3D0000}"/>
    <cellStyle name="Comma 2 4 2 13 4" xfId="37337" xr:uid="{00000000-0005-0000-0000-0000CB3D0000}"/>
    <cellStyle name="Comma 2 4 2 13 5" xfId="43078" xr:uid="{00000000-0005-0000-0000-0000CC3D0000}"/>
    <cellStyle name="Comma 2 4 2 14" xfId="23889" xr:uid="{00000000-0005-0000-0000-0000CD3D0000}"/>
    <cellStyle name="Comma 2 4 2 14 2" xfId="29005" xr:uid="{00000000-0005-0000-0000-0000CE3D0000}"/>
    <cellStyle name="Comma 2 4 2 14 3" xfId="33222" xr:uid="{00000000-0005-0000-0000-0000CF3D0000}"/>
    <cellStyle name="Comma 2 4 2 14 4" xfId="37433" xr:uid="{00000000-0005-0000-0000-0000D03D0000}"/>
    <cellStyle name="Comma 2 4 2 14 5" xfId="44512" xr:uid="{00000000-0005-0000-0000-0000D13D0000}"/>
    <cellStyle name="Comma 2 4 2 15" xfId="24937" xr:uid="{00000000-0005-0000-0000-0000D23D0000}"/>
    <cellStyle name="Comma 2 4 2 16" xfId="29149" xr:uid="{00000000-0005-0000-0000-0000D33D0000}"/>
    <cellStyle name="Comma 2 4 2 17" xfId="33365" xr:uid="{00000000-0005-0000-0000-0000D43D0000}"/>
    <cellStyle name="Comma 2 4 2 18" xfId="37569" xr:uid="{00000000-0005-0000-0000-0000D53D0000}"/>
    <cellStyle name="Comma 2 4 2 2" xfId="5866" xr:uid="{00000000-0005-0000-0000-0000D63D0000}"/>
    <cellStyle name="Comma 2 4 2 2 10" xfId="29405" xr:uid="{00000000-0005-0000-0000-0000D73D0000}"/>
    <cellStyle name="Comma 2 4 2 2 11" xfId="33621" xr:uid="{00000000-0005-0000-0000-0000D83D0000}"/>
    <cellStyle name="Comma 2 4 2 2 12" xfId="37825" xr:uid="{00000000-0005-0000-0000-0000D93D0000}"/>
    <cellStyle name="Comma 2 4 2 2 2" xfId="5927" xr:uid="{00000000-0005-0000-0000-0000DA3D0000}"/>
    <cellStyle name="Comma 2 4 2 2 2 2" xfId="6122" xr:uid="{00000000-0005-0000-0000-0000DB3D0000}"/>
    <cellStyle name="Comma 2 4 2 2 2 2 2" xfId="11630" xr:uid="{00000000-0005-0000-0000-0000DC3D0000}"/>
    <cellStyle name="Comma 2 4 2 2 2 2 2 2" xfId="28386" xr:uid="{00000000-0005-0000-0000-0000DD3D0000}"/>
    <cellStyle name="Comma 2 4 2 2 2 2 2 2 2" xfId="46035" xr:uid="{00000000-0005-0000-0000-0000DE3D0000}"/>
    <cellStyle name="Comma 2 4 2 2 2 2 2 3" xfId="32599" xr:uid="{00000000-0005-0000-0000-0000DF3D0000}"/>
    <cellStyle name="Comma 2 4 2 2 2 2 2 4" xfId="36814" xr:uid="{00000000-0005-0000-0000-0000E03D0000}"/>
    <cellStyle name="Comma 2 4 2 2 2 2 2 5" xfId="41018" xr:uid="{00000000-0005-0000-0000-0000E13D0000}"/>
    <cellStyle name="Comma 2 4 2 2 2 2 3" xfId="25432" xr:uid="{00000000-0005-0000-0000-0000E23D0000}"/>
    <cellStyle name="Comma 2 4 2 2 2 2 3 2" xfId="44771" xr:uid="{00000000-0005-0000-0000-0000E33D0000}"/>
    <cellStyle name="Comma 2 4 2 2 2 2 4" xfId="29644" xr:uid="{00000000-0005-0000-0000-0000E43D0000}"/>
    <cellStyle name="Comma 2 4 2 2 2 2 5" xfId="33860" xr:uid="{00000000-0005-0000-0000-0000E53D0000}"/>
    <cellStyle name="Comma 2 4 2 2 2 2 6" xfId="38064" xr:uid="{00000000-0005-0000-0000-0000E63D0000}"/>
    <cellStyle name="Comma 2 4 2 2 2 3" xfId="6024" xr:uid="{00000000-0005-0000-0000-0000E73D0000}"/>
    <cellStyle name="Comma 2 4 2 2 2 3 2" xfId="11532" xr:uid="{00000000-0005-0000-0000-0000E83D0000}"/>
    <cellStyle name="Comma 2 4 2 2 2 3 2 2" xfId="28291" xr:uid="{00000000-0005-0000-0000-0000E93D0000}"/>
    <cellStyle name="Comma 2 4 2 2 2 3 2 2 2" xfId="45940" xr:uid="{00000000-0005-0000-0000-0000EA3D0000}"/>
    <cellStyle name="Comma 2 4 2 2 2 3 2 3" xfId="32504" xr:uid="{00000000-0005-0000-0000-0000EB3D0000}"/>
    <cellStyle name="Comma 2 4 2 2 2 3 2 4" xfId="36719" xr:uid="{00000000-0005-0000-0000-0000EC3D0000}"/>
    <cellStyle name="Comma 2 4 2 2 2 3 2 5" xfId="40923" xr:uid="{00000000-0005-0000-0000-0000ED3D0000}"/>
    <cellStyle name="Comma 2 4 2 2 2 3 3" xfId="25337" xr:uid="{00000000-0005-0000-0000-0000EE3D0000}"/>
    <cellStyle name="Comma 2 4 2 2 2 3 3 2" xfId="44676" xr:uid="{00000000-0005-0000-0000-0000EF3D0000}"/>
    <cellStyle name="Comma 2 4 2 2 2 3 4" xfId="29549" xr:uid="{00000000-0005-0000-0000-0000F03D0000}"/>
    <cellStyle name="Comma 2 4 2 2 2 3 5" xfId="33765" xr:uid="{00000000-0005-0000-0000-0000F13D0000}"/>
    <cellStyle name="Comma 2 4 2 2 2 3 6" xfId="37969" xr:uid="{00000000-0005-0000-0000-0000F23D0000}"/>
    <cellStyle name="Comma 2 4 2 2 2 4" xfId="9823" xr:uid="{00000000-0005-0000-0000-0000F33D0000}"/>
    <cellStyle name="Comma 2 4 2 2 2 4 2" xfId="11436" xr:uid="{00000000-0005-0000-0000-0000F43D0000}"/>
    <cellStyle name="Comma 2 4 2 2 2 4 2 2" xfId="28196" xr:uid="{00000000-0005-0000-0000-0000F53D0000}"/>
    <cellStyle name="Comma 2 4 2 2 2 4 2 2 2" xfId="45845" xr:uid="{00000000-0005-0000-0000-0000F63D0000}"/>
    <cellStyle name="Comma 2 4 2 2 2 4 2 3" xfId="32409" xr:uid="{00000000-0005-0000-0000-0000F73D0000}"/>
    <cellStyle name="Comma 2 4 2 2 2 4 2 4" xfId="36624" xr:uid="{00000000-0005-0000-0000-0000F83D0000}"/>
    <cellStyle name="Comma 2 4 2 2 2 4 2 5" xfId="40828" xr:uid="{00000000-0005-0000-0000-0000F93D0000}"/>
    <cellStyle name="Comma 2 4 2 2 2 4 3" xfId="27310" xr:uid="{00000000-0005-0000-0000-0000FA3D0000}"/>
    <cellStyle name="Comma 2 4 2 2 2 4 3 2" xfId="45188" xr:uid="{00000000-0005-0000-0000-0000FB3D0000}"/>
    <cellStyle name="Comma 2 4 2 2 2 4 4" xfId="31523" xr:uid="{00000000-0005-0000-0000-0000FC3D0000}"/>
    <cellStyle name="Comma 2 4 2 2 2 4 5" xfId="35738" xr:uid="{00000000-0005-0000-0000-0000FD3D0000}"/>
    <cellStyle name="Comma 2 4 2 2 2 4 6" xfId="39942" xr:uid="{00000000-0005-0000-0000-0000FE3D0000}"/>
    <cellStyle name="Comma 2 4 2 2 2 5" xfId="10560" xr:uid="{00000000-0005-0000-0000-0000FF3D0000}"/>
    <cellStyle name="Comma 2 4 2 2 2 5 2" xfId="27775" xr:uid="{00000000-0005-0000-0000-0000003E0000}"/>
    <cellStyle name="Comma 2 4 2 2 2 5 2 2" xfId="45453" xr:uid="{00000000-0005-0000-0000-0000013E0000}"/>
    <cellStyle name="Comma 2 4 2 2 2 5 3" xfId="31988" xr:uid="{00000000-0005-0000-0000-0000023E0000}"/>
    <cellStyle name="Comma 2 4 2 2 2 5 4" xfId="36203" xr:uid="{00000000-0005-0000-0000-0000033E0000}"/>
    <cellStyle name="Comma 2 4 2 2 2 5 5" xfId="40407" xr:uid="{00000000-0005-0000-0000-0000043E0000}"/>
    <cellStyle name="Comma 2 4 2 2 2 6" xfId="25242" xr:uid="{00000000-0005-0000-0000-0000053E0000}"/>
    <cellStyle name="Comma 2 4 2 2 2 6 2" xfId="44581" xr:uid="{00000000-0005-0000-0000-0000063E0000}"/>
    <cellStyle name="Comma 2 4 2 2 2 7" xfId="29454" xr:uid="{00000000-0005-0000-0000-0000073E0000}"/>
    <cellStyle name="Comma 2 4 2 2 2 8" xfId="33670" xr:uid="{00000000-0005-0000-0000-0000083E0000}"/>
    <cellStyle name="Comma 2 4 2 2 2 9" xfId="37874" xr:uid="{00000000-0005-0000-0000-0000093E0000}"/>
    <cellStyle name="Comma 2 4 2 2 3" xfId="6075" xr:uid="{00000000-0005-0000-0000-00000A3E0000}"/>
    <cellStyle name="Comma 2 4 2 2 3 2" xfId="11583" xr:uid="{00000000-0005-0000-0000-00000B3E0000}"/>
    <cellStyle name="Comma 2 4 2 2 3 2 2" xfId="28339" xr:uid="{00000000-0005-0000-0000-00000C3E0000}"/>
    <cellStyle name="Comma 2 4 2 2 3 2 2 2" xfId="45988" xr:uid="{00000000-0005-0000-0000-00000D3E0000}"/>
    <cellStyle name="Comma 2 4 2 2 3 2 3" xfId="32552" xr:uid="{00000000-0005-0000-0000-00000E3E0000}"/>
    <cellStyle name="Comma 2 4 2 2 3 2 4" xfId="36767" xr:uid="{00000000-0005-0000-0000-00000F3E0000}"/>
    <cellStyle name="Comma 2 4 2 2 3 2 5" xfId="40971" xr:uid="{00000000-0005-0000-0000-0000103E0000}"/>
    <cellStyle name="Comma 2 4 2 2 3 3" xfId="25385" xr:uid="{00000000-0005-0000-0000-0000113E0000}"/>
    <cellStyle name="Comma 2 4 2 2 3 3 2" xfId="44724" xr:uid="{00000000-0005-0000-0000-0000123E0000}"/>
    <cellStyle name="Comma 2 4 2 2 3 4" xfId="29597" xr:uid="{00000000-0005-0000-0000-0000133E0000}"/>
    <cellStyle name="Comma 2 4 2 2 3 5" xfId="33813" xr:uid="{00000000-0005-0000-0000-0000143E0000}"/>
    <cellStyle name="Comma 2 4 2 2 3 6" xfId="38017" xr:uid="{00000000-0005-0000-0000-0000153E0000}"/>
    <cellStyle name="Comma 2 4 2 2 4" xfId="5977" xr:uid="{00000000-0005-0000-0000-0000163E0000}"/>
    <cellStyle name="Comma 2 4 2 2 4 2" xfId="11485" xr:uid="{00000000-0005-0000-0000-0000173E0000}"/>
    <cellStyle name="Comma 2 4 2 2 4 2 2" xfId="28244" xr:uid="{00000000-0005-0000-0000-0000183E0000}"/>
    <cellStyle name="Comma 2 4 2 2 4 2 2 2" xfId="45893" xr:uid="{00000000-0005-0000-0000-0000193E0000}"/>
    <cellStyle name="Comma 2 4 2 2 4 2 3" xfId="32457" xr:uid="{00000000-0005-0000-0000-00001A3E0000}"/>
    <cellStyle name="Comma 2 4 2 2 4 2 4" xfId="36672" xr:uid="{00000000-0005-0000-0000-00001B3E0000}"/>
    <cellStyle name="Comma 2 4 2 2 4 2 5" xfId="40876" xr:uid="{00000000-0005-0000-0000-00001C3E0000}"/>
    <cellStyle name="Comma 2 4 2 2 4 3" xfId="25290" xr:uid="{00000000-0005-0000-0000-00001D3E0000}"/>
    <cellStyle name="Comma 2 4 2 2 4 3 2" xfId="44629" xr:uid="{00000000-0005-0000-0000-00001E3E0000}"/>
    <cellStyle name="Comma 2 4 2 2 4 4" xfId="29502" xr:uid="{00000000-0005-0000-0000-00001F3E0000}"/>
    <cellStyle name="Comma 2 4 2 2 4 5" xfId="33718" xr:uid="{00000000-0005-0000-0000-0000203E0000}"/>
    <cellStyle name="Comma 2 4 2 2 4 6" xfId="37922" xr:uid="{00000000-0005-0000-0000-0000213E0000}"/>
    <cellStyle name="Comma 2 4 2 2 5" xfId="6889" xr:uid="{00000000-0005-0000-0000-0000223E0000}"/>
    <cellStyle name="Comma 2 4 2 2 5 2" xfId="11800" xr:uid="{00000000-0005-0000-0000-0000233E0000}"/>
    <cellStyle name="Comma 2 4 2 2 5 2 2" xfId="28520" xr:uid="{00000000-0005-0000-0000-0000243E0000}"/>
    <cellStyle name="Comma 2 4 2 2 5 2 2 2" xfId="46171" xr:uid="{00000000-0005-0000-0000-0000253E0000}"/>
    <cellStyle name="Comma 2 4 2 2 5 2 3" xfId="32733" xr:uid="{00000000-0005-0000-0000-0000263E0000}"/>
    <cellStyle name="Comma 2 4 2 2 5 2 4" xfId="36948" xr:uid="{00000000-0005-0000-0000-0000273E0000}"/>
    <cellStyle name="Comma 2 4 2 2 5 2 5" xfId="41152" xr:uid="{00000000-0005-0000-0000-0000283E0000}"/>
    <cellStyle name="Comma 2 4 2 2 5 3" xfId="25577" xr:uid="{00000000-0005-0000-0000-0000293E0000}"/>
    <cellStyle name="Comma 2 4 2 2 5 3 2" xfId="44905" xr:uid="{00000000-0005-0000-0000-00002A3E0000}"/>
    <cellStyle name="Comma 2 4 2 2 5 4" xfId="29790" xr:uid="{00000000-0005-0000-0000-00002B3E0000}"/>
    <cellStyle name="Comma 2 4 2 2 5 5" xfId="34005" xr:uid="{00000000-0005-0000-0000-00002C3E0000}"/>
    <cellStyle name="Comma 2 4 2 2 5 6" xfId="38209" xr:uid="{00000000-0005-0000-0000-00002D3E0000}"/>
    <cellStyle name="Comma 2 4 2 2 6" xfId="9705" xr:uid="{00000000-0005-0000-0000-00002E3E0000}"/>
    <cellStyle name="Comma 2 4 2 2 6 2" xfId="11380" xr:uid="{00000000-0005-0000-0000-00002F3E0000}"/>
    <cellStyle name="Comma 2 4 2 2 6 2 2" xfId="28149" xr:uid="{00000000-0005-0000-0000-0000303E0000}"/>
    <cellStyle name="Comma 2 4 2 2 6 2 2 2" xfId="45798" xr:uid="{00000000-0005-0000-0000-0000313E0000}"/>
    <cellStyle name="Comma 2 4 2 2 6 2 3" xfId="32362" xr:uid="{00000000-0005-0000-0000-0000323E0000}"/>
    <cellStyle name="Comma 2 4 2 2 6 2 4" xfId="36577" xr:uid="{00000000-0005-0000-0000-0000333E0000}"/>
    <cellStyle name="Comma 2 4 2 2 6 2 5" xfId="40781" xr:uid="{00000000-0005-0000-0000-0000343E0000}"/>
    <cellStyle name="Comma 2 4 2 2 6 3" xfId="27216" xr:uid="{00000000-0005-0000-0000-0000353E0000}"/>
    <cellStyle name="Comma 2 4 2 2 6 3 2" xfId="45085" xr:uid="{00000000-0005-0000-0000-0000363E0000}"/>
    <cellStyle name="Comma 2 4 2 2 6 4" xfId="31429" xr:uid="{00000000-0005-0000-0000-0000373E0000}"/>
    <cellStyle name="Comma 2 4 2 2 6 5" xfId="35644" xr:uid="{00000000-0005-0000-0000-0000383E0000}"/>
    <cellStyle name="Comma 2 4 2 2 6 6" xfId="39848" xr:uid="{00000000-0005-0000-0000-0000393E0000}"/>
    <cellStyle name="Comma 2 4 2 2 7" xfId="10443" xr:uid="{00000000-0005-0000-0000-00003A3E0000}"/>
    <cellStyle name="Comma 2 4 2 2 7 2" xfId="27681" xr:uid="{00000000-0005-0000-0000-00003B3E0000}"/>
    <cellStyle name="Comma 2 4 2 2 7 2 2" xfId="45359" xr:uid="{00000000-0005-0000-0000-00003C3E0000}"/>
    <cellStyle name="Comma 2 4 2 2 7 3" xfId="31894" xr:uid="{00000000-0005-0000-0000-00003D3E0000}"/>
    <cellStyle name="Comma 2 4 2 2 7 4" xfId="36109" xr:uid="{00000000-0005-0000-0000-00003E3E0000}"/>
    <cellStyle name="Comma 2 4 2 2 7 5" xfId="40313" xr:uid="{00000000-0005-0000-0000-00003F3E0000}"/>
    <cellStyle name="Comma 2 4 2 2 8" xfId="24337" xr:uid="{00000000-0005-0000-0000-0000403E0000}"/>
    <cellStyle name="Comma 2 4 2 2 8 2" xfId="29022" xr:uid="{00000000-0005-0000-0000-0000413E0000}"/>
    <cellStyle name="Comma 2 4 2 2 8 3" xfId="33239" xr:uid="{00000000-0005-0000-0000-0000423E0000}"/>
    <cellStyle name="Comma 2 4 2 2 8 4" xfId="37450" xr:uid="{00000000-0005-0000-0000-0000433E0000}"/>
    <cellStyle name="Comma 2 4 2 2 8 5" xfId="44534" xr:uid="{00000000-0005-0000-0000-0000443E0000}"/>
    <cellStyle name="Comma 2 4 2 2 9" xfId="25193" xr:uid="{00000000-0005-0000-0000-0000453E0000}"/>
    <cellStyle name="Comma 2 4 2 3" xfId="5876" xr:uid="{00000000-0005-0000-0000-0000463E0000}"/>
    <cellStyle name="Comma 2 4 2 3 10" xfId="37835" xr:uid="{00000000-0005-0000-0000-0000473E0000}"/>
    <cellStyle name="Comma 2 4 2 3 2" xfId="5937" xr:uid="{00000000-0005-0000-0000-0000483E0000}"/>
    <cellStyle name="Comma 2 4 2 3 2 2" xfId="6132" xr:uid="{00000000-0005-0000-0000-0000493E0000}"/>
    <cellStyle name="Comma 2 4 2 3 2 2 2" xfId="11640" xr:uid="{00000000-0005-0000-0000-00004A3E0000}"/>
    <cellStyle name="Comma 2 4 2 3 2 2 2 2" xfId="28396" xr:uid="{00000000-0005-0000-0000-00004B3E0000}"/>
    <cellStyle name="Comma 2 4 2 3 2 2 2 2 2" xfId="46045" xr:uid="{00000000-0005-0000-0000-00004C3E0000}"/>
    <cellStyle name="Comma 2 4 2 3 2 2 2 3" xfId="32609" xr:uid="{00000000-0005-0000-0000-00004D3E0000}"/>
    <cellStyle name="Comma 2 4 2 3 2 2 2 4" xfId="36824" xr:uid="{00000000-0005-0000-0000-00004E3E0000}"/>
    <cellStyle name="Comma 2 4 2 3 2 2 2 5" xfId="41028" xr:uid="{00000000-0005-0000-0000-00004F3E0000}"/>
    <cellStyle name="Comma 2 4 2 3 2 2 3" xfId="25442" xr:uid="{00000000-0005-0000-0000-0000503E0000}"/>
    <cellStyle name="Comma 2 4 2 3 2 2 3 2" xfId="44781" xr:uid="{00000000-0005-0000-0000-0000513E0000}"/>
    <cellStyle name="Comma 2 4 2 3 2 2 4" xfId="29654" xr:uid="{00000000-0005-0000-0000-0000523E0000}"/>
    <cellStyle name="Comma 2 4 2 3 2 2 5" xfId="33870" xr:uid="{00000000-0005-0000-0000-0000533E0000}"/>
    <cellStyle name="Comma 2 4 2 3 2 2 6" xfId="38074" xr:uid="{00000000-0005-0000-0000-0000543E0000}"/>
    <cellStyle name="Comma 2 4 2 3 2 3" xfId="6034" xr:uid="{00000000-0005-0000-0000-0000553E0000}"/>
    <cellStyle name="Comma 2 4 2 3 2 3 2" xfId="11542" xr:uid="{00000000-0005-0000-0000-0000563E0000}"/>
    <cellStyle name="Comma 2 4 2 3 2 3 2 2" xfId="28301" xr:uid="{00000000-0005-0000-0000-0000573E0000}"/>
    <cellStyle name="Comma 2 4 2 3 2 3 2 2 2" xfId="45950" xr:uid="{00000000-0005-0000-0000-0000583E0000}"/>
    <cellStyle name="Comma 2 4 2 3 2 3 2 3" xfId="32514" xr:uid="{00000000-0005-0000-0000-0000593E0000}"/>
    <cellStyle name="Comma 2 4 2 3 2 3 2 4" xfId="36729" xr:uid="{00000000-0005-0000-0000-00005A3E0000}"/>
    <cellStyle name="Comma 2 4 2 3 2 3 2 5" xfId="40933" xr:uid="{00000000-0005-0000-0000-00005B3E0000}"/>
    <cellStyle name="Comma 2 4 2 3 2 3 3" xfId="25347" xr:uid="{00000000-0005-0000-0000-00005C3E0000}"/>
    <cellStyle name="Comma 2 4 2 3 2 3 3 2" xfId="44686" xr:uid="{00000000-0005-0000-0000-00005D3E0000}"/>
    <cellStyle name="Comma 2 4 2 3 2 3 4" xfId="29559" xr:uid="{00000000-0005-0000-0000-00005E3E0000}"/>
    <cellStyle name="Comma 2 4 2 3 2 3 5" xfId="33775" xr:uid="{00000000-0005-0000-0000-00005F3E0000}"/>
    <cellStyle name="Comma 2 4 2 3 2 3 6" xfId="37979" xr:uid="{00000000-0005-0000-0000-0000603E0000}"/>
    <cellStyle name="Comma 2 4 2 3 2 4" xfId="11446" xr:uid="{00000000-0005-0000-0000-0000613E0000}"/>
    <cellStyle name="Comma 2 4 2 3 2 4 2" xfId="28206" xr:uid="{00000000-0005-0000-0000-0000623E0000}"/>
    <cellStyle name="Comma 2 4 2 3 2 4 2 2" xfId="45855" xr:uid="{00000000-0005-0000-0000-0000633E0000}"/>
    <cellStyle name="Comma 2 4 2 3 2 4 3" xfId="32419" xr:uid="{00000000-0005-0000-0000-0000643E0000}"/>
    <cellStyle name="Comma 2 4 2 3 2 4 4" xfId="36634" xr:uid="{00000000-0005-0000-0000-0000653E0000}"/>
    <cellStyle name="Comma 2 4 2 3 2 4 5" xfId="40838" xr:uid="{00000000-0005-0000-0000-0000663E0000}"/>
    <cellStyle name="Comma 2 4 2 3 2 5" xfId="25252" xr:uid="{00000000-0005-0000-0000-0000673E0000}"/>
    <cellStyle name="Comma 2 4 2 3 2 5 2" xfId="44591" xr:uid="{00000000-0005-0000-0000-0000683E0000}"/>
    <cellStyle name="Comma 2 4 2 3 2 6" xfId="29464" xr:uid="{00000000-0005-0000-0000-0000693E0000}"/>
    <cellStyle name="Comma 2 4 2 3 2 7" xfId="33680" xr:uid="{00000000-0005-0000-0000-00006A3E0000}"/>
    <cellStyle name="Comma 2 4 2 3 2 8" xfId="37884" xr:uid="{00000000-0005-0000-0000-00006B3E0000}"/>
    <cellStyle name="Comma 2 4 2 3 3" xfId="6085" xr:uid="{00000000-0005-0000-0000-00006C3E0000}"/>
    <cellStyle name="Comma 2 4 2 3 3 2" xfId="11593" xr:uid="{00000000-0005-0000-0000-00006D3E0000}"/>
    <cellStyle name="Comma 2 4 2 3 3 2 2" xfId="28349" xr:uid="{00000000-0005-0000-0000-00006E3E0000}"/>
    <cellStyle name="Comma 2 4 2 3 3 2 2 2" xfId="45998" xr:uid="{00000000-0005-0000-0000-00006F3E0000}"/>
    <cellStyle name="Comma 2 4 2 3 3 2 3" xfId="32562" xr:uid="{00000000-0005-0000-0000-0000703E0000}"/>
    <cellStyle name="Comma 2 4 2 3 3 2 4" xfId="36777" xr:uid="{00000000-0005-0000-0000-0000713E0000}"/>
    <cellStyle name="Comma 2 4 2 3 3 2 5" xfId="40981" xr:uid="{00000000-0005-0000-0000-0000723E0000}"/>
    <cellStyle name="Comma 2 4 2 3 3 3" xfId="25395" xr:uid="{00000000-0005-0000-0000-0000733E0000}"/>
    <cellStyle name="Comma 2 4 2 3 3 3 2" xfId="44734" xr:uid="{00000000-0005-0000-0000-0000743E0000}"/>
    <cellStyle name="Comma 2 4 2 3 3 4" xfId="29607" xr:uid="{00000000-0005-0000-0000-0000753E0000}"/>
    <cellStyle name="Comma 2 4 2 3 3 5" xfId="33823" xr:uid="{00000000-0005-0000-0000-0000763E0000}"/>
    <cellStyle name="Comma 2 4 2 3 3 6" xfId="38027" xr:uid="{00000000-0005-0000-0000-0000773E0000}"/>
    <cellStyle name="Comma 2 4 2 3 4" xfId="5987" xr:uid="{00000000-0005-0000-0000-0000783E0000}"/>
    <cellStyle name="Comma 2 4 2 3 4 2" xfId="11495" xr:uid="{00000000-0005-0000-0000-0000793E0000}"/>
    <cellStyle name="Comma 2 4 2 3 4 2 2" xfId="28254" xr:uid="{00000000-0005-0000-0000-00007A3E0000}"/>
    <cellStyle name="Comma 2 4 2 3 4 2 2 2" xfId="45903" xr:uid="{00000000-0005-0000-0000-00007B3E0000}"/>
    <cellStyle name="Comma 2 4 2 3 4 2 3" xfId="32467" xr:uid="{00000000-0005-0000-0000-00007C3E0000}"/>
    <cellStyle name="Comma 2 4 2 3 4 2 4" xfId="36682" xr:uid="{00000000-0005-0000-0000-00007D3E0000}"/>
    <cellStyle name="Comma 2 4 2 3 4 2 5" xfId="40886" xr:uid="{00000000-0005-0000-0000-00007E3E0000}"/>
    <cellStyle name="Comma 2 4 2 3 4 3" xfId="25300" xr:uid="{00000000-0005-0000-0000-00007F3E0000}"/>
    <cellStyle name="Comma 2 4 2 3 4 3 2" xfId="44639" xr:uid="{00000000-0005-0000-0000-0000803E0000}"/>
    <cellStyle name="Comma 2 4 2 3 4 4" xfId="29512" xr:uid="{00000000-0005-0000-0000-0000813E0000}"/>
    <cellStyle name="Comma 2 4 2 3 4 5" xfId="33728" xr:uid="{00000000-0005-0000-0000-0000823E0000}"/>
    <cellStyle name="Comma 2 4 2 3 4 6" xfId="37932" xr:uid="{00000000-0005-0000-0000-0000833E0000}"/>
    <cellStyle name="Comma 2 4 2 3 5" xfId="9763" xr:uid="{00000000-0005-0000-0000-0000843E0000}"/>
    <cellStyle name="Comma 2 4 2 3 5 2" xfId="11390" xr:uid="{00000000-0005-0000-0000-0000853E0000}"/>
    <cellStyle name="Comma 2 4 2 3 5 2 2" xfId="28159" xr:uid="{00000000-0005-0000-0000-0000863E0000}"/>
    <cellStyle name="Comma 2 4 2 3 5 2 2 2" xfId="45808" xr:uid="{00000000-0005-0000-0000-0000873E0000}"/>
    <cellStyle name="Comma 2 4 2 3 5 2 3" xfId="32372" xr:uid="{00000000-0005-0000-0000-0000883E0000}"/>
    <cellStyle name="Comma 2 4 2 3 5 2 4" xfId="36587" xr:uid="{00000000-0005-0000-0000-0000893E0000}"/>
    <cellStyle name="Comma 2 4 2 3 5 2 5" xfId="40791" xr:uid="{00000000-0005-0000-0000-00008A3E0000}"/>
    <cellStyle name="Comma 2 4 2 3 5 3" xfId="27263" xr:uid="{00000000-0005-0000-0000-00008B3E0000}"/>
    <cellStyle name="Comma 2 4 2 3 5 3 2" xfId="45141" xr:uid="{00000000-0005-0000-0000-00008C3E0000}"/>
    <cellStyle name="Comma 2 4 2 3 5 4" xfId="31476" xr:uid="{00000000-0005-0000-0000-00008D3E0000}"/>
    <cellStyle name="Comma 2 4 2 3 5 5" xfId="35691" xr:uid="{00000000-0005-0000-0000-00008E3E0000}"/>
    <cellStyle name="Comma 2 4 2 3 5 6" xfId="39895" xr:uid="{00000000-0005-0000-0000-00008F3E0000}"/>
    <cellStyle name="Comma 2 4 2 3 6" xfId="10490" xr:uid="{00000000-0005-0000-0000-0000903E0000}"/>
    <cellStyle name="Comma 2 4 2 3 6 2" xfId="27728" xr:uid="{00000000-0005-0000-0000-0000913E0000}"/>
    <cellStyle name="Comma 2 4 2 3 6 2 2" xfId="45406" xr:uid="{00000000-0005-0000-0000-0000923E0000}"/>
    <cellStyle name="Comma 2 4 2 3 6 3" xfId="31941" xr:uid="{00000000-0005-0000-0000-0000933E0000}"/>
    <cellStyle name="Comma 2 4 2 3 6 4" xfId="36156" xr:uid="{00000000-0005-0000-0000-0000943E0000}"/>
    <cellStyle name="Comma 2 4 2 3 6 5" xfId="40360" xr:uid="{00000000-0005-0000-0000-0000953E0000}"/>
    <cellStyle name="Comma 2 4 2 3 7" xfId="25203" xr:uid="{00000000-0005-0000-0000-0000963E0000}"/>
    <cellStyle name="Comma 2 4 2 3 7 2" xfId="44544" xr:uid="{00000000-0005-0000-0000-0000973E0000}"/>
    <cellStyle name="Comma 2 4 2 3 8" xfId="29415" xr:uid="{00000000-0005-0000-0000-0000983E0000}"/>
    <cellStyle name="Comma 2 4 2 3 9" xfId="33631" xr:uid="{00000000-0005-0000-0000-0000993E0000}"/>
    <cellStyle name="Comma 2 4 2 4" xfId="5900" xr:uid="{00000000-0005-0000-0000-00009A3E0000}"/>
    <cellStyle name="Comma 2 4 2 4 2" xfId="5952" xr:uid="{00000000-0005-0000-0000-00009B3E0000}"/>
    <cellStyle name="Comma 2 4 2 4 2 2" xfId="6147" xr:uid="{00000000-0005-0000-0000-00009C3E0000}"/>
    <cellStyle name="Comma 2 4 2 4 2 2 2" xfId="11655" xr:uid="{00000000-0005-0000-0000-00009D3E0000}"/>
    <cellStyle name="Comma 2 4 2 4 2 2 2 2" xfId="28411" xr:uid="{00000000-0005-0000-0000-00009E3E0000}"/>
    <cellStyle name="Comma 2 4 2 4 2 2 2 2 2" xfId="46060" xr:uid="{00000000-0005-0000-0000-00009F3E0000}"/>
    <cellStyle name="Comma 2 4 2 4 2 2 2 3" xfId="32624" xr:uid="{00000000-0005-0000-0000-0000A03E0000}"/>
    <cellStyle name="Comma 2 4 2 4 2 2 2 4" xfId="36839" xr:uid="{00000000-0005-0000-0000-0000A13E0000}"/>
    <cellStyle name="Comma 2 4 2 4 2 2 2 5" xfId="41043" xr:uid="{00000000-0005-0000-0000-0000A23E0000}"/>
    <cellStyle name="Comma 2 4 2 4 2 2 3" xfId="25457" xr:uid="{00000000-0005-0000-0000-0000A33E0000}"/>
    <cellStyle name="Comma 2 4 2 4 2 2 3 2" xfId="44796" xr:uid="{00000000-0005-0000-0000-0000A43E0000}"/>
    <cellStyle name="Comma 2 4 2 4 2 2 4" xfId="29669" xr:uid="{00000000-0005-0000-0000-0000A53E0000}"/>
    <cellStyle name="Comma 2 4 2 4 2 2 5" xfId="33885" xr:uid="{00000000-0005-0000-0000-0000A63E0000}"/>
    <cellStyle name="Comma 2 4 2 4 2 2 6" xfId="38089" xr:uid="{00000000-0005-0000-0000-0000A73E0000}"/>
    <cellStyle name="Comma 2 4 2 4 2 3" xfId="6049" xr:uid="{00000000-0005-0000-0000-0000A83E0000}"/>
    <cellStyle name="Comma 2 4 2 4 2 3 2" xfId="11557" xr:uid="{00000000-0005-0000-0000-0000A93E0000}"/>
    <cellStyle name="Comma 2 4 2 4 2 3 2 2" xfId="28316" xr:uid="{00000000-0005-0000-0000-0000AA3E0000}"/>
    <cellStyle name="Comma 2 4 2 4 2 3 2 2 2" xfId="45965" xr:uid="{00000000-0005-0000-0000-0000AB3E0000}"/>
    <cellStyle name="Comma 2 4 2 4 2 3 2 3" xfId="32529" xr:uid="{00000000-0005-0000-0000-0000AC3E0000}"/>
    <cellStyle name="Comma 2 4 2 4 2 3 2 4" xfId="36744" xr:uid="{00000000-0005-0000-0000-0000AD3E0000}"/>
    <cellStyle name="Comma 2 4 2 4 2 3 2 5" xfId="40948" xr:uid="{00000000-0005-0000-0000-0000AE3E0000}"/>
    <cellStyle name="Comma 2 4 2 4 2 3 3" xfId="25362" xr:uid="{00000000-0005-0000-0000-0000AF3E0000}"/>
    <cellStyle name="Comma 2 4 2 4 2 3 3 2" xfId="44701" xr:uid="{00000000-0005-0000-0000-0000B03E0000}"/>
    <cellStyle name="Comma 2 4 2 4 2 3 4" xfId="29574" xr:uid="{00000000-0005-0000-0000-0000B13E0000}"/>
    <cellStyle name="Comma 2 4 2 4 2 3 5" xfId="33790" xr:uid="{00000000-0005-0000-0000-0000B23E0000}"/>
    <cellStyle name="Comma 2 4 2 4 2 3 6" xfId="37994" xr:uid="{00000000-0005-0000-0000-0000B33E0000}"/>
    <cellStyle name="Comma 2 4 2 4 2 4" xfId="11461" xr:uid="{00000000-0005-0000-0000-0000B43E0000}"/>
    <cellStyle name="Comma 2 4 2 4 2 4 2" xfId="28221" xr:uid="{00000000-0005-0000-0000-0000B53E0000}"/>
    <cellStyle name="Comma 2 4 2 4 2 4 2 2" xfId="45870" xr:uid="{00000000-0005-0000-0000-0000B63E0000}"/>
    <cellStyle name="Comma 2 4 2 4 2 4 3" xfId="32434" xr:uid="{00000000-0005-0000-0000-0000B73E0000}"/>
    <cellStyle name="Comma 2 4 2 4 2 4 4" xfId="36649" xr:uid="{00000000-0005-0000-0000-0000B83E0000}"/>
    <cellStyle name="Comma 2 4 2 4 2 4 5" xfId="40853" xr:uid="{00000000-0005-0000-0000-0000B93E0000}"/>
    <cellStyle name="Comma 2 4 2 4 2 5" xfId="25267" xr:uid="{00000000-0005-0000-0000-0000BA3E0000}"/>
    <cellStyle name="Comma 2 4 2 4 2 5 2" xfId="44606" xr:uid="{00000000-0005-0000-0000-0000BB3E0000}"/>
    <cellStyle name="Comma 2 4 2 4 2 6" xfId="29479" xr:uid="{00000000-0005-0000-0000-0000BC3E0000}"/>
    <cellStyle name="Comma 2 4 2 4 2 7" xfId="33695" xr:uid="{00000000-0005-0000-0000-0000BD3E0000}"/>
    <cellStyle name="Comma 2 4 2 4 2 8" xfId="37899" xr:uid="{00000000-0005-0000-0000-0000BE3E0000}"/>
    <cellStyle name="Comma 2 4 2 4 3" xfId="6100" xr:uid="{00000000-0005-0000-0000-0000BF3E0000}"/>
    <cellStyle name="Comma 2 4 2 4 3 2" xfId="11608" xr:uid="{00000000-0005-0000-0000-0000C03E0000}"/>
    <cellStyle name="Comma 2 4 2 4 3 2 2" xfId="28364" xr:uid="{00000000-0005-0000-0000-0000C13E0000}"/>
    <cellStyle name="Comma 2 4 2 4 3 2 2 2" xfId="46013" xr:uid="{00000000-0005-0000-0000-0000C23E0000}"/>
    <cellStyle name="Comma 2 4 2 4 3 2 3" xfId="32577" xr:uid="{00000000-0005-0000-0000-0000C33E0000}"/>
    <cellStyle name="Comma 2 4 2 4 3 2 4" xfId="36792" xr:uid="{00000000-0005-0000-0000-0000C43E0000}"/>
    <cellStyle name="Comma 2 4 2 4 3 2 5" xfId="40996" xr:uid="{00000000-0005-0000-0000-0000C53E0000}"/>
    <cellStyle name="Comma 2 4 2 4 3 3" xfId="25410" xr:uid="{00000000-0005-0000-0000-0000C63E0000}"/>
    <cellStyle name="Comma 2 4 2 4 3 3 2" xfId="44749" xr:uid="{00000000-0005-0000-0000-0000C73E0000}"/>
    <cellStyle name="Comma 2 4 2 4 3 4" xfId="29622" xr:uid="{00000000-0005-0000-0000-0000C83E0000}"/>
    <cellStyle name="Comma 2 4 2 4 3 5" xfId="33838" xr:uid="{00000000-0005-0000-0000-0000C93E0000}"/>
    <cellStyle name="Comma 2 4 2 4 3 6" xfId="38042" xr:uid="{00000000-0005-0000-0000-0000CA3E0000}"/>
    <cellStyle name="Comma 2 4 2 4 4" xfId="6002" xr:uid="{00000000-0005-0000-0000-0000CB3E0000}"/>
    <cellStyle name="Comma 2 4 2 4 4 2" xfId="11510" xr:uid="{00000000-0005-0000-0000-0000CC3E0000}"/>
    <cellStyle name="Comma 2 4 2 4 4 2 2" xfId="28269" xr:uid="{00000000-0005-0000-0000-0000CD3E0000}"/>
    <cellStyle name="Comma 2 4 2 4 4 2 2 2" xfId="45918" xr:uid="{00000000-0005-0000-0000-0000CE3E0000}"/>
    <cellStyle name="Comma 2 4 2 4 4 2 3" xfId="32482" xr:uid="{00000000-0005-0000-0000-0000CF3E0000}"/>
    <cellStyle name="Comma 2 4 2 4 4 2 4" xfId="36697" xr:uid="{00000000-0005-0000-0000-0000D03E0000}"/>
    <cellStyle name="Comma 2 4 2 4 4 2 5" xfId="40901" xr:uid="{00000000-0005-0000-0000-0000D13E0000}"/>
    <cellStyle name="Comma 2 4 2 4 4 3" xfId="25315" xr:uid="{00000000-0005-0000-0000-0000D23E0000}"/>
    <cellStyle name="Comma 2 4 2 4 4 3 2" xfId="44654" xr:uid="{00000000-0005-0000-0000-0000D33E0000}"/>
    <cellStyle name="Comma 2 4 2 4 4 4" xfId="29527" xr:uid="{00000000-0005-0000-0000-0000D43E0000}"/>
    <cellStyle name="Comma 2 4 2 4 4 5" xfId="33743" xr:uid="{00000000-0005-0000-0000-0000D53E0000}"/>
    <cellStyle name="Comma 2 4 2 4 4 6" xfId="37947" xr:uid="{00000000-0005-0000-0000-0000D63E0000}"/>
    <cellStyle name="Comma 2 4 2 4 5" xfId="11409" xr:uid="{00000000-0005-0000-0000-0000D73E0000}"/>
    <cellStyle name="Comma 2 4 2 4 5 2" xfId="28174" xr:uid="{00000000-0005-0000-0000-0000D83E0000}"/>
    <cellStyle name="Comma 2 4 2 4 5 2 2" xfId="45823" xr:uid="{00000000-0005-0000-0000-0000D93E0000}"/>
    <cellStyle name="Comma 2 4 2 4 5 3" xfId="32387" xr:uid="{00000000-0005-0000-0000-0000DA3E0000}"/>
    <cellStyle name="Comma 2 4 2 4 5 4" xfId="36602" xr:uid="{00000000-0005-0000-0000-0000DB3E0000}"/>
    <cellStyle name="Comma 2 4 2 4 5 5" xfId="40806" xr:uid="{00000000-0005-0000-0000-0000DC3E0000}"/>
    <cellStyle name="Comma 2 4 2 4 6" xfId="25220" xr:uid="{00000000-0005-0000-0000-0000DD3E0000}"/>
    <cellStyle name="Comma 2 4 2 4 6 2" xfId="44559" xr:uid="{00000000-0005-0000-0000-0000DE3E0000}"/>
    <cellStyle name="Comma 2 4 2 4 7" xfId="29432" xr:uid="{00000000-0005-0000-0000-0000DF3E0000}"/>
    <cellStyle name="Comma 2 4 2 4 8" xfId="33648" xr:uid="{00000000-0005-0000-0000-0000E03E0000}"/>
    <cellStyle name="Comma 2 4 2 4 9" xfId="37852" xr:uid="{00000000-0005-0000-0000-0000E13E0000}"/>
    <cellStyle name="Comma 2 4 2 5" xfId="5917" xr:uid="{00000000-0005-0000-0000-0000E23E0000}"/>
    <cellStyle name="Comma 2 4 2 5 2" xfId="6112" xr:uid="{00000000-0005-0000-0000-0000E33E0000}"/>
    <cellStyle name="Comma 2 4 2 5 2 2" xfId="11620" xr:uid="{00000000-0005-0000-0000-0000E43E0000}"/>
    <cellStyle name="Comma 2 4 2 5 2 2 2" xfId="28376" xr:uid="{00000000-0005-0000-0000-0000E53E0000}"/>
    <cellStyle name="Comma 2 4 2 5 2 2 2 2" xfId="46025" xr:uid="{00000000-0005-0000-0000-0000E63E0000}"/>
    <cellStyle name="Comma 2 4 2 5 2 2 3" xfId="32589" xr:uid="{00000000-0005-0000-0000-0000E73E0000}"/>
    <cellStyle name="Comma 2 4 2 5 2 2 4" xfId="36804" xr:uid="{00000000-0005-0000-0000-0000E83E0000}"/>
    <cellStyle name="Comma 2 4 2 5 2 2 5" xfId="41008" xr:uid="{00000000-0005-0000-0000-0000E93E0000}"/>
    <cellStyle name="Comma 2 4 2 5 2 3" xfId="25422" xr:uid="{00000000-0005-0000-0000-0000EA3E0000}"/>
    <cellStyle name="Comma 2 4 2 5 2 3 2" xfId="44761" xr:uid="{00000000-0005-0000-0000-0000EB3E0000}"/>
    <cellStyle name="Comma 2 4 2 5 2 4" xfId="29634" xr:uid="{00000000-0005-0000-0000-0000EC3E0000}"/>
    <cellStyle name="Comma 2 4 2 5 2 5" xfId="33850" xr:uid="{00000000-0005-0000-0000-0000ED3E0000}"/>
    <cellStyle name="Comma 2 4 2 5 2 6" xfId="38054" xr:uid="{00000000-0005-0000-0000-0000EE3E0000}"/>
    <cellStyle name="Comma 2 4 2 5 3" xfId="6014" xr:uid="{00000000-0005-0000-0000-0000EF3E0000}"/>
    <cellStyle name="Comma 2 4 2 5 3 2" xfId="11522" xr:uid="{00000000-0005-0000-0000-0000F03E0000}"/>
    <cellStyle name="Comma 2 4 2 5 3 2 2" xfId="28281" xr:uid="{00000000-0005-0000-0000-0000F13E0000}"/>
    <cellStyle name="Comma 2 4 2 5 3 2 2 2" xfId="45930" xr:uid="{00000000-0005-0000-0000-0000F23E0000}"/>
    <cellStyle name="Comma 2 4 2 5 3 2 3" xfId="32494" xr:uid="{00000000-0005-0000-0000-0000F33E0000}"/>
    <cellStyle name="Comma 2 4 2 5 3 2 4" xfId="36709" xr:uid="{00000000-0005-0000-0000-0000F43E0000}"/>
    <cellStyle name="Comma 2 4 2 5 3 2 5" xfId="40913" xr:uid="{00000000-0005-0000-0000-0000F53E0000}"/>
    <cellStyle name="Comma 2 4 2 5 3 3" xfId="25327" xr:uid="{00000000-0005-0000-0000-0000F63E0000}"/>
    <cellStyle name="Comma 2 4 2 5 3 3 2" xfId="44666" xr:uid="{00000000-0005-0000-0000-0000F73E0000}"/>
    <cellStyle name="Comma 2 4 2 5 3 4" xfId="29539" xr:uid="{00000000-0005-0000-0000-0000F83E0000}"/>
    <cellStyle name="Comma 2 4 2 5 3 5" xfId="33755" xr:uid="{00000000-0005-0000-0000-0000F93E0000}"/>
    <cellStyle name="Comma 2 4 2 5 3 6" xfId="37959" xr:uid="{00000000-0005-0000-0000-0000FA3E0000}"/>
    <cellStyle name="Comma 2 4 2 5 4" xfId="11426" xr:uid="{00000000-0005-0000-0000-0000FB3E0000}"/>
    <cellStyle name="Comma 2 4 2 5 4 2" xfId="28186" xr:uid="{00000000-0005-0000-0000-0000FC3E0000}"/>
    <cellStyle name="Comma 2 4 2 5 4 2 2" xfId="45835" xr:uid="{00000000-0005-0000-0000-0000FD3E0000}"/>
    <cellStyle name="Comma 2 4 2 5 4 3" xfId="32399" xr:uid="{00000000-0005-0000-0000-0000FE3E0000}"/>
    <cellStyle name="Comma 2 4 2 5 4 4" xfId="36614" xr:uid="{00000000-0005-0000-0000-0000FF3E0000}"/>
    <cellStyle name="Comma 2 4 2 5 4 5" xfId="40818" xr:uid="{00000000-0005-0000-0000-0000003F0000}"/>
    <cellStyle name="Comma 2 4 2 5 5" xfId="25232" xr:uid="{00000000-0005-0000-0000-0000013F0000}"/>
    <cellStyle name="Comma 2 4 2 5 5 2" xfId="44571" xr:uid="{00000000-0005-0000-0000-0000023F0000}"/>
    <cellStyle name="Comma 2 4 2 5 6" xfId="29444" xr:uid="{00000000-0005-0000-0000-0000033F0000}"/>
    <cellStyle name="Comma 2 4 2 5 7" xfId="33660" xr:uid="{00000000-0005-0000-0000-0000043F0000}"/>
    <cellStyle name="Comma 2 4 2 5 8" xfId="37864" xr:uid="{00000000-0005-0000-0000-0000053F0000}"/>
    <cellStyle name="Comma 2 4 2 6" xfId="6065" xr:uid="{00000000-0005-0000-0000-0000063F0000}"/>
    <cellStyle name="Comma 2 4 2 6 2" xfId="11573" xr:uid="{00000000-0005-0000-0000-0000073F0000}"/>
    <cellStyle name="Comma 2 4 2 6 2 2" xfId="28329" xr:uid="{00000000-0005-0000-0000-0000083F0000}"/>
    <cellStyle name="Comma 2 4 2 6 2 2 2" xfId="45978" xr:uid="{00000000-0005-0000-0000-0000093F0000}"/>
    <cellStyle name="Comma 2 4 2 6 2 3" xfId="32542" xr:uid="{00000000-0005-0000-0000-00000A3F0000}"/>
    <cellStyle name="Comma 2 4 2 6 2 4" xfId="36757" xr:uid="{00000000-0005-0000-0000-00000B3F0000}"/>
    <cellStyle name="Comma 2 4 2 6 2 5" xfId="40961" xr:uid="{00000000-0005-0000-0000-00000C3F0000}"/>
    <cellStyle name="Comma 2 4 2 6 3" xfId="25375" xr:uid="{00000000-0005-0000-0000-00000D3F0000}"/>
    <cellStyle name="Comma 2 4 2 6 3 2" xfId="44714" xr:uid="{00000000-0005-0000-0000-00000E3F0000}"/>
    <cellStyle name="Comma 2 4 2 6 4" xfId="29587" xr:uid="{00000000-0005-0000-0000-00000F3F0000}"/>
    <cellStyle name="Comma 2 4 2 6 5" xfId="33803" xr:uid="{00000000-0005-0000-0000-0000103F0000}"/>
    <cellStyle name="Comma 2 4 2 6 6" xfId="38007" xr:uid="{00000000-0005-0000-0000-0000113F0000}"/>
    <cellStyle name="Comma 2 4 2 7" xfId="5967" xr:uid="{00000000-0005-0000-0000-0000123F0000}"/>
    <cellStyle name="Comma 2 4 2 7 2" xfId="11475" xr:uid="{00000000-0005-0000-0000-0000133F0000}"/>
    <cellStyle name="Comma 2 4 2 7 2 2" xfId="28234" xr:uid="{00000000-0005-0000-0000-0000143F0000}"/>
    <cellStyle name="Comma 2 4 2 7 2 2 2" xfId="45883" xr:uid="{00000000-0005-0000-0000-0000153F0000}"/>
    <cellStyle name="Comma 2 4 2 7 2 3" xfId="32447" xr:uid="{00000000-0005-0000-0000-0000163F0000}"/>
    <cellStyle name="Comma 2 4 2 7 2 4" xfId="36662" xr:uid="{00000000-0005-0000-0000-0000173F0000}"/>
    <cellStyle name="Comma 2 4 2 7 2 5" xfId="40866" xr:uid="{00000000-0005-0000-0000-0000183F0000}"/>
    <cellStyle name="Comma 2 4 2 7 3" xfId="25280" xr:uid="{00000000-0005-0000-0000-0000193F0000}"/>
    <cellStyle name="Comma 2 4 2 7 3 2" xfId="44619" xr:uid="{00000000-0005-0000-0000-00001A3F0000}"/>
    <cellStyle name="Comma 2 4 2 7 4" xfId="29492" xr:uid="{00000000-0005-0000-0000-00001B3F0000}"/>
    <cellStyle name="Comma 2 4 2 7 5" xfId="33708" xr:uid="{00000000-0005-0000-0000-00001C3F0000}"/>
    <cellStyle name="Comma 2 4 2 7 6" xfId="37912" xr:uid="{00000000-0005-0000-0000-00001D3F0000}"/>
    <cellStyle name="Comma 2 4 2 8" xfId="6175" xr:uid="{00000000-0005-0000-0000-00001E3F0000}"/>
    <cellStyle name="Comma 2 4 2 8 2" xfId="11683" xr:uid="{00000000-0005-0000-0000-00001F3F0000}"/>
    <cellStyle name="Comma 2 4 2 8 2 2" xfId="28439" xr:uid="{00000000-0005-0000-0000-0000203F0000}"/>
    <cellStyle name="Comma 2 4 2 8 2 2 2" xfId="46088" xr:uid="{00000000-0005-0000-0000-0000213F0000}"/>
    <cellStyle name="Comma 2 4 2 8 2 3" xfId="32652" xr:uid="{00000000-0005-0000-0000-0000223F0000}"/>
    <cellStyle name="Comma 2 4 2 8 2 4" xfId="36867" xr:uid="{00000000-0005-0000-0000-0000233F0000}"/>
    <cellStyle name="Comma 2 4 2 8 2 5" xfId="41071" xr:uid="{00000000-0005-0000-0000-0000243F0000}"/>
    <cellStyle name="Comma 2 4 2 8 3" xfId="25485" xr:uid="{00000000-0005-0000-0000-0000253F0000}"/>
    <cellStyle name="Comma 2 4 2 8 3 2" xfId="44824" xr:uid="{00000000-0005-0000-0000-0000263F0000}"/>
    <cellStyle name="Comma 2 4 2 8 4" xfId="29697" xr:uid="{00000000-0005-0000-0000-0000273F0000}"/>
    <cellStyle name="Comma 2 4 2 8 5" xfId="33913" xr:uid="{00000000-0005-0000-0000-0000283F0000}"/>
    <cellStyle name="Comma 2 4 2 8 6" xfId="38117" xr:uid="{00000000-0005-0000-0000-0000293F0000}"/>
    <cellStyle name="Comma 2 4 2 9" xfId="5214" xr:uid="{00000000-0005-0000-0000-00002A3F0000}"/>
    <cellStyle name="Comma 2 4 2 9 2" xfId="11293" xr:uid="{00000000-0005-0000-0000-00002B3F0000}"/>
    <cellStyle name="Comma 2 4 2 9 2 2" xfId="28123" xr:uid="{00000000-0005-0000-0000-00002C3F0000}"/>
    <cellStyle name="Comma 2 4 2 9 2 2 2" xfId="45787" xr:uid="{00000000-0005-0000-0000-00002D3F0000}"/>
    <cellStyle name="Comma 2 4 2 9 2 3" xfId="32336" xr:uid="{00000000-0005-0000-0000-00002E3F0000}"/>
    <cellStyle name="Comma 2 4 2 9 2 4" xfId="36551" xr:uid="{00000000-0005-0000-0000-00002F3F0000}"/>
    <cellStyle name="Comma 2 4 2 9 2 5" xfId="40755" xr:uid="{00000000-0005-0000-0000-0000303F0000}"/>
    <cellStyle name="Comma 2 4 2 9 3" xfId="24973" xr:uid="{00000000-0005-0000-0000-0000313F0000}"/>
    <cellStyle name="Comma 2 4 2 9 3 2" xfId="44522" xr:uid="{00000000-0005-0000-0000-0000323F0000}"/>
    <cellStyle name="Comma 2 4 2 9 4" xfId="29185" xr:uid="{00000000-0005-0000-0000-0000333F0000}"/>
    <cellStyle name="Comma 2 4 2 9 5" xfId="33401" xr:uid="{00000000-0005-0000-0000-0000343F0000}"/>
    <cellStyle name="Comma 2 4 2 9 6" xfId="37605" xr:uid="{00000000-0005-0000-0000-0000353F0000}"/>
    <cellStyle name="Comma 2 4 20" xfId="29050" xr:uid="{00000000-0005-0000-0000-0000363F0000}"/>
    <cellStyle name="Comma 2 4 21" xfId="33267" xr:uid="{00000000-0005-0000-0000-0000373F0000}"/>
    <cellStyle name="Comma 2 4 22" xfId="37471" xr:uid="{00000000-0005-0000-0000-0000383F0000}"/>
    <cellStyle name="Comma 2 4 3" xfId="5865" xr:uid="{00000000-0005-0000-0000-0000393F0000}"/>
    <cellStyle name="Comma 2 4 3 10" xfId="24329" xr:uid="{00000000-0005-0000-0000-00003A3F0000}"/>
    <cellStyle name="Comma 2 4 3 10 2" xfId="29016" xr:uid="{00000000-0005-0000-0000-00003B3F0000}"/>
    <cellStyle name="Comma 2 4 3 10 3" xfId="33233" xr:uid="{00000000-0005-0000-0000-00003C3F0000}"/>
    <cellStyle name="Comma 2 4 3 10 4" xfId="37444" xr:uid="{00000000-0005-0000-0000-00003D3F0000}"/>
    <cellStyle name="Comma 2 4 3 10 5" xfId="44533" xr:uid="{00000000-0005-0000-0000-00003E3F0000}"/>
    <cellStyle name="Comma 2 4 3 11" xfId="25192" xr:uid="{00000000-0005-0000-0000-00003F3F0000}"/>
    <cellStyle name="Comma 2 4 3 12" xfId="29404" xr:uid="{00000000-0005-0000-0000-0000403F0000}"/>
    <cellStyle name="Comma 2 4 3 13" xfId="33620" xr:uid="{00000000-0005-0000-0000-0000413F0000}"/>
    <cellStyle name="Comma 2 4 3 14" xfId="37824" xr:uid="{00000000-0005-0000-0000-0000423F0000}"/>
    <cellStyle name="Comma 2 4 3 2" xfId="5926" xr:uid="{00000000-0005-0000-0000-0000433F0000}"/>
    <cellStyle name="Comma 2 4 3 2 10" xfId="37873" xr:uid="{00000000-0005-0000-0000-0000443F0000}"/>
    <cellStyle name="Comma 2 4 3 2 2" xfId="6121" xr:uid="{00000000-0005-0000-0000-0000453F0000}"/>
    <cellStyle name="Comma 2 4 3 2 2 2" xfId="9824" xr:uid="{00000000-0005-0000-0000-0000463F0000}"/>
    <cellStyle name="Comma 2 4 3 2 2 2 2" xfId="11629" xr:uid="{00000000-0005-0000-0000-0000473F0000}"/>
    <cellStyle name="Comma 2 4 3 2 2 2 2 2" xfId="28385" xr:uid="{00000000-0005-0000-0000-0000483F0000}"/>
    <cellStyle name="Comma 2 4 3 2 2 2 2 2 2" xfId="46034" xr:uid="{00000000-0005-0000-0000-0000493F0000}"/>
    <cellStyle name="Comma 2 4 3 2 2 2 2 3" xfId="32598" xr:uid="{00000000-0005-0000-0000-00004A3F0000}"/>
    <cellStyle name="Comma 2 4 3 2 2 2 2 4" xfId="36813" xr:uid="{00000000-0005-0000-0000-00004B3F0000}"/>
    <cellStyle name="Comma 2 4 3 2 2 2 2 5" xfId="41017" xr:uid="{00000000-0005-0000-0000-00004C3F0000}"/>
    <cellStyle name="Comma 2 4 3 2 2 2 3" xfId="27311" xr:uid="{00000000-0005-0000-0000-00004D3F0000}"/>
    <cellStyle name="Comma 2 4 3 2 2 2 3 2" xfId="45189" xr:uid="{00000000-0005-0000-0000-00004E3F0000}"/>
    <cellStyle name="Comma 2 4 3 2 2 2 4" xfId="31524" xr:uid="{00000000-0005-0000-0000-00004F3F0000}"/>
    <cellStyle name="Comma 2 4 3 2 2 2 5" xfId="35739" xr:uid="{00000000-0005-0000-0000-0000503F0000}"/>
    <cellStyle name="Comma 2 4 3 2 2 2 6" xfId="39943" xr:uid="{00000000-0005-0000-0000-0000513F0000}"/>
    <cellStyle name="Comma 2 4 3 2 2 3" xfId="10561" xr:uid="{00000000-0005-0000-0000-0000523F0000}"/>
    <cellStyle name="Comma 2 4 3 2 2 3 2" xfId="27776" xr:uid="{00000000-0005-0000-0000-0000533F0000}"/>
    <cellStyle name="Comma 2 4 3 2 2 3 2 2" xfId="45454" xr:uid="{00000000-0005-0000-0000-0000543F0000}"/>
    <cellStyle name="Comma 2 4 3 2 2 3 3" xfId="31989" xr:uid="{00000000-0005-0000-0000-0000553F0000}"/>
    <cellStyle name="Comma 2 4 3 2 2 3 4" xfId="36204" xr:uid="{00000000-0005-0000-0000-0000563F0000}"/>
    <cellStyle name="Comma 2 4 3 2 2 3 5" xfId="40408" xr:uid="{00000000-0005-0000-0000-0000573F0000}"/>
    <cellStyle name="Comma 2 4 3 2 2 4" xfId="25431" xr:uid="{00000000-0005-0000-0000-0000583F0000}"/>
    <cellStyle name="Comma 2 4 3 2 2 4 2" xfId="44770" xr:uid="{00000000-0005-0000-0000-0000593F0000}"/>
    <cellStyle name="Comma 2 4 3 2 2 5" xfId="29643" xr:uid="{00000000-0005-0000-0000-00005A3F0000}"/>
    <cellStyle name="Comma 2 4 3 2 2 6" xfId="33859" xr:uid="{00000000-0005-0000-0000-00005B3F0000}"/>
    <cellStyle name="Comma 2 4 3 2 2 7" xfId="38063" xr:uid="{00000000-0005-0000-0000-00005C3F0000}"/>
    <cellStyle name="Comma 2 4 3 2 3" xfId="6023" xr:uid="{00000000-0005-0000-0000-00005D3F0000}"/>
    <cellStyle name="Comma 2 4 3 2 3 2" xfId="11531" xr:uid="{00000000-0005-0000-0000-00005E3F0000}"/>
    <cellStyle name="Comma 2 4 3 2 3 2 2" xfId="28290" xr:uid="{00000000-0005-0000-0000-00005F3F0000}"/>
    <cellStyle name="Comma 2 4 3 2 3 2 2 2" xfId="45939" xr:uid="{00000000-0005-0000-0000-0000603F0000}"/>
    <cellStyle name="Comma 2 4 3 2 3 2 3" xfId="32503" xr:uid="{00000000-0005-0000-0000-0000613F0000}"/>
    <cellStyle name="Comma 2 4 3 2 3 2 4" xfId="36718" xr:uid="{00000000-0005-0000-0000-0000623F0000}"/>
    <cellStyle name="Comma 2 4 3 2 3 2 5" xfId="40922" xr:uid="{00000000-0005-0000-0000-0000633F0000}"/>
    <cellStyle name="Comma 2 4 3 2 3 3" xfId="25336" xr:uid="{00000000-0005-0000-0000-0000643F0000}"/>
    <cellStyle name="Comma 2 4 3 2 3 3 2" xfId="44675" xr:uid="{00000000-0005-0000-0000-0000653F0000}"/>
    <cellStyle name="Comma 2 4 3 2 3 4" xfId="29548" xr:uid="{00000000-0005-0000-0000-0000663F0000}"/>
    <cellStyle name="Comma 2 4 3 2 3 5" xfId="33764" xr:uid="{00000000-0005-0000-0000-0000673F0000}"/>
    <cellStyle name="Comma 2 4 3 2 3 6" xfId="37968" xr:uid="{00000000-0005-0000-0000-0000683F0000}"/>
    <cellStyle name="Comma 2 4 3 2 4" xfId="6890" xr:uid="{00000000-0005-0000-0000-0000693F0000}"/>
    <cellStyle name="Comma 2 4 3 2 4 2" xfId="11801" xr:uid="{00000000-0005-0000-0000-00006A3F0000}"/>
    <cellStyle name="Comma 2 4 3 2 4 2 2" xfId="28521" xr:uid="{00000000-0005-0000-0000-00006B3F0000}"/>
    <cellStyle name="Comma 2 4 3 2 4 2 2 2" xfId="46172" xr:uid="{00000000-0005-0000-0000-00006C3F0000}"/>
    <cellStyle name="Comma 2 4 3 2 4 2 3" xfId="32734" xr:uid="{00000000-0005-0000-0000-00006D3F0000}"/>
    <cellStyle name="Comma 2 4 3 2 4 2 4" xfId="36949" xr:uid="{00000000-0005-0000-0000-00006E3F0000}"/>
    <cellStyle name="Comma 2 4 3 2 4 2 5" xfId="41153" xr:uid="{00000000-0005-0000-0000-00006F3F0000}"/>
    <cellStyle name="Comma 2 4 3 2 4 3" xfId="25578" xr:uid="{00000000-0005-0000-0000-0000703F0000}"/>
    <cellStyle name="Comma 2 4 3 2 4 3 2" xfId="44906" xr:uid="{00000000-0005-0000-0000-0000713F0000}"/>
    <cellStyle name="Comma 2 4 3 2 4 4" xfId="29791" xr:uid="{00000000-0005-0000-0000-0000723F0000}"/>
    <cellStyle name="Comma 2 4 3 2 4 5" xfId="34006" xr:uid="{00000000-0005-0000-0000-0000733F0000}"/>
    <cellStyle name="Comma 2 4 3 2 4 6" xfId="38210" xr:uid="{00000000-0005-0000-0000-0000743F0000}"/>
    <cellStyle name="Comma 2 4 3 2 5" xfId="9706" xr:uid="{00000000-0005-0000-0000-0000753F0000}"/>
    <cellStyle name="Comma 2 4 3 2 5 2" xfId="11435" xr:uid="{00000000-0005-0000-0000-0000763F0000}"/>
    <cellStyle name="Comma 2 4 3 2 5 2 2" xfId="28195" xr:uid="{00000000-0005-0000-0000-0000773F0000}"/>
    <cellStyle name="Comma 2 4 3 2 5 2 2 2" xfId="45844" xr:uid="{00000000-0005-0000-0000-0000783F0000}"/>
    <cellStyle name="Comma 2 4 3 2 5 2 3" xfId="32408" xr:uid="{00000000-0005-0000-0000-0000793F0000}"/>
    <cellStyle name="Comma 2 4 3 2 5 2 4" xfId="36623" xr:uid="{00000000-0005-0000-0000-00007A3F0000}"/>
    <cellStyle name="Comma 2 4 3 2 5 2 5" xfId="40827" xr:uid="{00000000-0005-0000-0000-00007B3F0000}"/>
    <cellStyle name="Comma 2 4 3 2 5 3" xfId="27217" xr:uid="{00000000-0005-0000-0000-00007C3F0000}"/>
    <cellStyle name="Comma 2 4 3 2 5 3 2" xfId="45086" xr:uid="{00000000-0005-0000-0000-00007D3F0000}"/>
    <cellStyle name="Comma 2 4 3 2 5 4" xfId="31430" xr:uid="{00000000-0005-0000-0000-00007E3F0000}"/>
    <cellStyle name="Comma 2 4 3 2 5 5" xfId="35645" xr:uid="{00000000-0005-0000-0000-00007F3F0000}"/>
    <cellStyle name="Comma 2 4 3 2 5 6" xfId="39849" xr:uid="{00000000-0005-0000-0000-0000803F0000}"/>
    <cellStyle name="Comma 2 4 3 2 6" xfId="10444" xr:uid="{00000000-0005-0000-0000-0000813F0000}"/>
    <cellStyle name="Comma 2 4 3 2 6 2" xfId="27682" xr:uid="{00000000-0005-0000-0000-0000823F0000}"/>
    <cellStyle name="Comma 2 4 3 2 6 2 2" xfId="45360" xr:uid="{00000000-0005-0000-0000-0000833F0000}"/>
    <cellStyle name="Comma 2 4 3 2 6 3" xfId="31895" xr:uid="{00000000-0005-0000-0000-0000843F0000}"/>
    <cellStyle name="Comma 2 4 3 2 6 4" xfId="36110" xr:uid="{00000000-0005-0000-0000-0000853F0000}"/>
    <cellStyle name="Comma 2 4 3 2 6 5" xfId="40314" xr:uid="{00000000-0005-0000-0000-0000863F0000}"/>
    <cellStyle name="Comma 2 4 3 2 7" xfId="25241" xr:uid="{00000000-0005-0000-0000-0000873F0000}"/>
    <cellStyle name="Comma 2 4 3 2 7 2" xfId="44580" xr:uid="{00000000-0005-0000-0000-0000883F0000}"/>
    <cellStyle name="Comma 2 4 3 2 8" xfId="29453" xr:uid="{00000000-0005-0000-0000-0000893F0000}"/>
    <cellStyle name="Comma 2 4 3 2 9" xfId="33669" xr:uid="{00000000-0005-0000-0000-00008A3F0000}"/>
    <cellStyle name="Comma 2 4 3 3" xfId="6074" xr:uid="{00000000-0005-0000-0000-00008B3F0000}"/>
    <cellStyle name="Comma 2 4 3 3 2" xfId="9764" xr:uid="{00000000-0005-0000-0000-00008C3F0000}"/>
    <cellStyle name="Comma 2 4 3 3 2 2" xfId="11582" xr:uid="{00000000-0005-0000-0000-00008D3F0000}"/>
    <cellStyle name="Comma 2 4 3 3 2 2 2" xfId="28338" xr:uid="{00000000-0005-0000-0000-00008E3F0000}"/>
    <cellStyle name="Comma 2 4 3 3 2 2 2 2" xfId="45987" xr:uid="{00000000-0005-0000-0000-00008F3F0000}"/>
    <cellStyle name="Comma 2 4 3 3 2 2 3" xfId="32551" xr:uid="{00000000-0005-0000-0000-0000903F0000}"/>
    <cellStyle name="Comma 2 4 3 3 2 2 4" xfId="36766" xr:uid="{00000000-0005-0000-0000-0000913F0000}"/>
    <cellStyle name="Comma 2 4 3 3 2 2 5" xfId="40970" xr:uid="{00000000-0005-0000-0000-0000923F0000}"/>
    <cellStyle name="Comma 2 4 3 3 2 3" xfId="27264" xr:uid="{00000000-0005-0000-0000-0000933F0000}"/>
    <cellStyle name="Comma 2 4 3 3 2 3 2" xfId="45142" xr:uid="{00000000-0005-0000-0000-0000943F0000}"/>
    <cellStyle name="Comma 2 4 3 3 2 4" xfId="31477" xr:uid="{00000000-0005-0000-0000-0000953F0000}"/>
    <cellStyle name="Comma 2 4 3 3 2 5" xfId="35692" xr:uid="{00000000-0005-0000-0000-0000963F0000}"/>
    <cellStyle name="Comma 2 4 3 3 2 6" xfId="39896" xr:uid="{00000000-0005-0000-0000-0000973F0000}"/>
    <cellStyle name="Comma 2 4 3 3 3" xfId="10491" xr:uid="{00000000-0005-0000-0000-0000983F0000}"/>
    <cellStyle name="Comma 2 4 3 3 3 2" xfId="27729" xr:uid="{00000000-0005-0000-0000-0000993F0000}"/>
    <cellStyle name="Comma 2 4 3 3 3 2 2" xfId="45407" xr:uid="{00000000-0005-0000-0000-00009A3F0000}"/>
    <cellStyle name="Comma 2 4 3 3 3 3" xfId="31942" xr:uid="{00000000-0005-0000-0000-00009B3F0000}"/>
    <cellStyle name="Comma 2 4 3 3 3 4" xfId="36157" xr:uid="{00000000-0005-0000-0000-00009C3F0000}"/>
    <cellStyle name="Comma 2 4 3 3 3 5" xfId="40361" xr:uid="{00000000-0005-0000-0000-00009D3F0000}"/>
    <cellStyle name="Comma 2 4 3 3 4" xfId="25384" xr:uid="{00000000-0005-0000-0000-00009E3F0000}"/>
    <cellStyle name="Comma 2 4 3 3 4 2" xfId="44723" xr:uid="{00000000-0005-0000-0000-00009F3F0000}"/>
    <cellStyle name="Comma 2 4 3 3 5" xfId="29596" xr:uid="{00000000-0005-0000-0000-0000A03F0000}"/>
    <cellStyle name="Comma 2 4 3 3 6" xfId="33812" xr:uid="{00000000-0005-0000-0000-0000A13F0000}"/>
    <cellStyle name="Comma 2 4 3 3 7" xfId="38016" xr:uid="{00000000-0005-0000-0000-0000A23F0000}"/>
    <cellStyle name="Comma 2 4 3 4" xfId="5976" xr:uid="{00000000-0005-0000-0000-0000A33F0000}"/>
    <cellStyle name="Comma 2 4 3 4 2" xfId="11484" xr:uid="{00000000-0005-0000-0000-0000A43F0000}"/>
    <cellStyle name="Comma 2 4 3 4 2 2" xfId="28243" xr:uid="{00000000-0005-0000-0000-0000A53F0000}"/>
    <cellStyle name="Comma 2 4 3 4 2 2 2" xfId="45892" xr:uid="{00000000-0005-0000-0000-0000A63F0000}"/>
    <cellStyle name="Comma 2 4 3 4 2 3" xfId="32456" xr:uid="{00000000-0005-0000-0000-0000A73F0000}"/>
    <cellStyle name="Comma 2 4 3 4 2 4" xfId="36671" xr:uid="{00000000-0005-0000-0000-0000A83F0000}"/>
    <cellStyle name="Comma 2 4 3 4 2 5" xfId="40875" xr:uid="{00000000-0005-0000-0000-0000A93F0000}"/>
    <cellStyle name="Comma 2 4 3 4 3" xfId="25289" xr:uid="{00000000-0005-0000-0000-0000AA3F0000}"/>
    <cellStyle name="Comma 2 4 3 4 3 2" xfId="44628" xr:uid="{00000000-0005-0000-0000-0000AB3F0000}"/>
    <cellStyle name="Comma 2 4 3 4 4" xfId="29501" xr:uid="{00000000-0005-0000-0000-0000AC3F0000}"/>
    <cellStyle name="Comma 2 4 3 4 5" xfId="33717" xr:uid="{00000000-0005-0000-0000-0000AD3F0000}"/>
    <cellStyle name="Comma 2 4 3 4 6" xfId="37921" xr:uid="{00000000-0005-0000-0000-0000AE3F0000}"/>
    <cellStyle name="Comma 2 4 3 5" xfId="6176" xr:uid="{00000000-0005-0000-0000-0000AF3F0000}"/>
    <cellStyle name="Comma 2 4 3 5 2" xfId="11684" xr:uid="{00000000-0005-0000-0000-0000B03F0000}"/>
    <cellStyle name="Comma 2 4 3 5 2 2" xfId="28440" xr:uid="{00000000-0005-0000-0000-0000B13F0000}"/>
    <cellStyle name="Comma 2 4 3 5 2 2 2" xfId="46089" xr:uid="{00000000-0005-0000-0000-0000B23F0000}"/>
    <cellStyle name="Comma 2 4 3 5 2 3" xfId="32653" xr:uid="{00000000-0005-0000-0000-0000B33F0000}"/>
    <cellStyle name="Comma 2 4 3 5 2 4" xfId="36868" xr:uid="{00000000-0005-0000-0000-0000B43F0000}"/>
    <cellStyle name="Comma 2 4 3 5 2 5" xfId="41072" xr:uid="{00000000-0005-0000-0000-0000B53F0000}"/>
    <cellStyle name="Comma 2 4 3 5 3" xfId="25486" xr:uid="{00000000-0005-0000-0000-0000B63F0000}"/>
    <cellStyle name="Comma 2 4 3 5 3 2" xfId="44825" xr:uid="{00000000-0005-0000-0000-0000B73F0000}"/>
    <cellStyle name="Comma 2 4 3 5 4" xfId="29698" xr:uid="{00000000-0005-0000-0000-0000B83F0000}"/>
    <cellStyle name="Comma 2 4 3 5 5" xfId="33914" xr:uid="{00000000-0005-0000-0000-0000B93F0000}"/>
    <cellStyle name="Comma 2 4 3 5 6" xfId="38118" xr:uid="{00000000-0005-0000-0000-0000BA3F0000}"/>
    <cellStyle name="Comma 2 4 3 6" xfId="6350" xr:uid="{00000000-0005-0000-0000-0000BB3F0000}"/>
    <cellStyle name="Comma 2 4 3 6 2" xfId="11762" xr:uid="{00000000-0005-0000-0000-0000BC3F0000}"/>
    <cellStyle name="Comma 2 4 3 6 2 2" xfId="28484" xr:uid="{00000000-0005-0000-0000-0000BD3F0000}"/>
    <cellStyle name="Comma 2 4 3 6 2 2 2" xfId="46133" xr:uid="{00000000-0005-0000-0000-0000BE3F0000}"/>
    <cellStyle name="Comma 2 4 3 6 2 3" xfId="32697" xr:uid="{00000000-0005-0000-0000-0000BF3F0000}"/>
    <cellStyle name="Comma 2 4 3 6 2 4" xfId="36912" xr:uid="{00000000-0005-0000-0000-0000C03F0000}"/>
    <cellStyle name="Comma 2 4 3 6 2 5" xfId="41116" xr:uid="{00000000-0005-0000-0000-0000C13F0000}"/>
    <cellStyle name="Comma 2 4 3 6 3" xfId="25540" xr:uid="{00000000-0005-0000-0000-0000C23F0000}"/>
    <cellStyle name="Comma 2 4 3 6 3 2" xfId="44869" xr:uid="{00000000-0005-0000-0000-0000C33F0000}"/>
    <cellStyle name="Comma 2 4 3 6 4" xfId="29752" xr:uid="{00000000-0005-0000-0000-0000C43F0000}"/>
    <cellStyle name="Comma 2 4 3 6 5" xfId="33968" xr:uid="{00000000-0005-0000-0000-0000C53F0000}"/>
    <cellStyle name="Comma 2 4 3 6 6" xfId="38172" xr:uid="{00000000-0005-0000-0000-0000C63F0000}"/>
    <cellStyle name="Comma 2 4 3 7" xfId="9655" xr:uid="{00000000-0005-0000-0000-0000C73F0000}"/>
    <cellStyle name="Comma 2 4 3 7 2" xfId="11379" xr:uid="{00000000-0005-0000-0000-0000C83F0000}"/>
    <cellStyle name="Comma 2 4 3 7 2 2" xfId="28148" xr:uid="{00000000-0005-0000-0000-0000C93F0000}"/>
    <cellStyle name="Comma 2 4 3 7 2 2 2" xfId="45797" xr:uid="{00000000-0005-0000-0000-0000CA3F0000}"/>
    <cellStyle name="Comma 2 4 3 7 2 3" xfId="32361" xr:uid="{00000000-0005-0000-0000-0000CB3F0000}"/>
    <cellStyle name="Comma 2 4 3 7 2 4" xfId="36576" xr:uid="{00000000-0005-0000-0000-0000CC3F0000}"/>
    <cellStyle name="Comma 2 4 3 7 2 5" xfId="40780" xr:uid="{00000000-0005-0000-0000-0000CD3F0000}"/>
    <cellStyle name="Comma 2 4 3 7 3" xfId="27170" xr:uid="{00000000-0005-0000-0000-0000CE3F0000}"/>
    <cellStyle name="Comma 2 4 3 7 3 2" xfId="45039" xr:uid="{00000000-0005-0000-0000-0000CF3F0000}"/>
    <cellStyle name="Comma 2 4 3 7 4" xfId="31383" xr:uid="{00000000-0005-0000-0000-0000D03F0000}"/>
    <cellStyle name="Comma 2 4 3 7 5" xfId="35598" xr:uid="{00000000-0005-0000-0000-0000D13F0000}"/>
    <cellStyle name="Comma 2 4 3 7 6" xfId="39802" xr:uid="{00000000-0005-0000-0000-0000D23F0000}"/>
    <cellStyle name="Comma 2 4 3 8" xfId="10244" xr:uid="{00000000-0005-0000-0000-0000D33F0000}"/>
    <cellStyle name="Comma 2 4 3 8 2" xfId="27635" xr:uid="{00000000-0005-0000-0000-0000D43F0000}"/>
    <cellStyle name="Comma 2 4 3 8 2 2" xfId="45313" xr:uid="{00000000-0005-0000-0000-0000D53F0000}"/>
    <cellStyle name="Comma 2 4 3 8 3" xfId="31848" xr:uid="{00000000-0005-0000-0000-0000D63F0000}"/>
    <cellStyle name="Comma 2 4 3 8 4" xfId="36063" xr:uid="{00000000-0005-0000-0000-0000D73F0000}"/>
    <cellStyle name="Comma 2 4 3 8 5" xfId="40267" xr:uid="{00000000-0005-0000-0000-0000D83F0000}"/>
    <cellStyle name="Comma 2 4 3 9" xfId="17520" xr:uid="{00000000-0005-0000-0000-0000D93F0000}"/>
    <cellStyle name="Comma 2 4 3 9 2" xfId="28923" xr:uid="{00000000-0005-0000-0000-0000DA3F0000}"/>
    <cellStyle name="Comma 2 4 3 9 3" xfId="33138" xr:uid="{00000000-0005-0000-0000-0000DB3F0000}"/>
    <cellStyle name="Comma 2 4 3 9 4" xfId="37351" xr:uid="{00000000-0005-0000-0000-0000DC3F0000}"/>
    <cellStyle name="Comma 2 4 3 9 5" xfId="43079" xr:uid="{00000000-0005-0000-0000-0000DD3F0000}"/>
    <cellStyle name="Comma 2 4 4" xfId="5875" xr:uid="{00000000-0005-0000-0000-0000DE3F0000}"/>
    <cellStyle name="Comma 2 4 4 10" xfId="25202" xr:uid="{00000000-0005-0000-0000-0000DF3F0000}"/>
    <cellStyle name="Comma 2 4 4 10 2" xfId="44543" xr:uid="{00000000-0005-0000-0000-0000E03F0000}"/>
    <cellStyle name="Comma 2 4 4 11" xfId="29414" xr:uid="{00000000-0005-0000-0000-0000E13F0000}"/>
    <cellStyle name="Comma 2 4 4 12" xfId="33630" xr:uid="{00000000-0005-0000-0000-0000E23F0000}"/>
    <cellStyle name="Comma 2 4 4 13" xfId="37834" xr:uid="{00000000-0005-0000-0000-0000E33F0000}"/>
    <cellStyle name="Comma 2 4 4 2" xfId="5936" xr:uid="{00000000-0005-0000-0000-0000E43F0000}"/>
    <cellStyle name="Comma 2 4 4 2 10" xfId="37883" xr:uid="{00000000-0005-0000-0000-0000E53F0000}"/>
    <cellStyle name="Comma 2 4 4 2 2" xfId="6131" xr:uid="{00000000-0005-0000-0000-0000E63F0000}"/>
    <cellStyle name="Comma 2 4 4 2 2 2" xfId="9825" xr:uid="{00000000-0005-0000-0000-0000E73F0000}"/>
    <cellStyle name="Comma 2 4 4 2 2 2 2" xfId="11639" xr:uid="{00000000-0005-0000-0000-0000E83F0000}"/>
    <cellStyle name="Comma 2 4 4 2 2 2 2 2" xfId="28395" xr:uid="{00000000-0005-0000-0000-0000E93F0000}"/>
    <cellStyle name="Comma 2 4 4 2 2 2 2 2 2" xfId="46044" xr:uid="{00000000-0005-0000-0000-0000EA3F0000}"/>
    <cellStyle name="Comma 2 4 4 2 2 2 2 3" xfId="32608" xr:uid="{00000000-0005-0000-0000-0000EB3F0000}"/>
    <cellStyle name="Comma 2 4 4 2 2 2 2 4" xfId="36823" xr:uid="{00000000-0005-0000-0000-0000EC3F0000}"/>
    <cellStyle name="Comma 2 4 4 2 2 2 2 5" xfId="41027" xr:uid="{00000000-0005-0000-0000-0000ED3F0000}"/>
    <cellStyle name="Comma 2 4 4 2 2 2 3" xfId="27312" xr:uid="{00000000-0005-0000-0000-0000EE3F0000}"/>
    <cellStyle name="Comma 2 4 4 2 2 2 3 2" xfId="45190" xr:uid="{00000000-0005-0000-0000-0000EF3F0000}"/>
    <cellStyle name="Comma 2 4 4 2 2 2 4" xfId="31525" xr:uid="{00000000-0005-0000-0000-0000F03F0000}"/>
    <cellStyle name="Comma 2 4 4 2 2 2 5" xfId="35740" xr:uid="{00000000-0005-0000-0000-0000F13F0000}"/>
    <cellStyle name="Comma 2 4 4 2 2 2 6" xfId="39944" xr:uid="{00000000-0005-0000-0000-0000F23F0000}"/>
    <cellStyle name="Comma 2 4 4 2 2 3" xfId="10562" xr:uid="{00000000-0005-0000-0000-0000F33F0000}"/>
    <cellStyle name="Comma 2 4 4 2 2 3 2" xfId="27777" xr:uid="{00000000-0005-0000-0000-0000F43F0000}"/>
    <cellStyle name="Comma 2 4 4 2 2 3 2 2" xfId="45455" xr:uid="{00000000-0005-0000-0000-0000F53F0000}"/>
    <cellStyle name="Comma 2 4 4 2 2 3 3" xfId="31990" xr:uid="{00000000-0005-0000-0000-0000F63F0000}"/>
    <cellStyle name="Comma 2 4 4 2 2 3 4" xfId="36205" xr:uid="{00000000-0005-0000-0000-0000F73F0000}"/>
    <cellStyle name="Comma 2 4 4 2 2 3 5" xfId="40409" xr:uid="{00000000-0005-0000-0000-0000F83F0000}"/>
    <cellStyle name="Comma 2 4 4 2 2 4" xfId="25441" xr:uid="{00000000-0005-0000-0000-0000F93F0000}"/>
    <cellStyle name="Comma 2 4 4 2 2 4 2" xfId="44780" xr:uid="{00000000-0005-0000-0000-0000FA3F0000}"/>
    <cellStyle name="Comma 2 4 4 2 2 5" xfId="29653" xr:uid="{00000000-0005-0000-0000-0000FB3F0000}"/>
    <cellStyle name="Comma 2 4 4 2 2 6" xfId="33869" xr:uid="{00000000-0005-0000-0000-0000FC3F0000}"/>
    <cellStyle name="Comma 2 4 4 2 2 7" xfId="38073" xr:uid="{00000000-0005-0000-0000-0000FD3F0000}"/>
    <cellStyle name="Comma 2 4 4 2 3" xfId="6033" xr:uid="{00000000-0005-0000-0000-0000FE3F0000}"/>
    <cellStyle name="Comma 2 4 4 2 3 2" xfId="11541" xr:uid="{00000000-0005-0000-0000-0000FF3F0000}"/>
    <cellStyle name="Comma 2 4 4 2 3 2 2" xfId="28300" xr:uid="{00000000-0005-0000-0000-000000400000}"/>
    <cellStyle name="Comma 2 4 4 2 3 2 2 2" xfId="45949" xr:uid="{00000000-0005-0000-0000-000001400000}"/>
    <cellStyle name="Comma 2 4 4 2 3 2 3" xfId="32513" xr:uid="{00000000-0005-0000-0000-000002400000}"/>
    <cellStyle name="Comma 2 4 4 2 3 2 4" xfId="36728" xr:uid="{00000000-0005-0000-0000-000003400000}"/>
    <cellStyle name="Comma 2 4 4 2 3 2 5" xfId="40932" xr:uid="{00000000-0005-0000-0000-000004400000}"/>
    <cellStyle name="Comma 2 4 4 2 3 3" xfId="25346" xr:uid="{00000000-0005-0000-0000-000005400000}"/>
    <cellStyle name="Comma 2 4 4 2 3 3 2" xfId="44685" xr:uid="{00000000-0005-0000-0000-000006400000}"/>
    <cellStyle name="Comma 2 4 4 2 3 4" xfId="29558" xr:uid="{00000000-0005-0000-0000-000007400000}"/>
    <cellStyle name="Comma 2 4 4 2 3 5" xfId="33774" xr:uid="{00000000-0005-0000-0000-000008400000}"/>
    <cellStyle name="Comma 2 4 4 2 3 6" xfId="37978" xr:uid="{00000000-0005-0000-0000-000009400000}"/>
    <cellStyle name="Comma 2 4 4 2 4" xfId="6891" xr:uid="{00000000-0005-0000-0000-00000A400000}"/>
    <cellStyle name="Comma 2 4 4 2 4 2" xfId="11802" xr:uid="{00000000-0005-0000-0000-00000B400000}"/>
    <cellStyle name="Comma 2 4 4 2 4 2 2" xfId="28522" xr:uid="{00000000-0005-0000-0000-00000C400000}"/>
    <cellStyle name="Comma 2 4 4 2 4 2 2 2" xfId="46173" xr:uid="{00000000-0005-0000-0000-00000D400000}"/>
    <cellStyle name="Comma 2 4 4 2 4 2 3" xfId="32735" xr:uid="{00000000-0005-0000-0000-00000E400000}"/>
    <cellStyle name="Comma 2 4 4 2 4 2 4" xfId="36950" xr:uid="{00000000-0005-0000-0000-00000F400000}"/>
    <cellStyle name="Comma 2 4 4 2 4 2 5" xfId="41154" xr:uid="{00000000-0005-0000-0000-000010400000}"/>
    <cellStyle name="Comma 2 4 4 2 4 3" xfId="25579" xr:uid="{00000000-0005-0000-0000-000011400000}"/>
    <cellStyle name="Comma 2 4 4 2 4 3 2" xfId="44907" xr:uid="{00000000-0005-0000-0000-000012400000}"/>
    <cellStyle name="Comma 2 4 4 2 4 4" xfId="29792" xr:uid="{00000000-0005-0000-0000-000013400000}"/>
    <cellStyle name="Comma 2 4 4 2 4 5" xfId="34007" xr:uid="{00000000-0005-0000-0000-000014400000}"/>
    <cellStyle name="Comma 2 4 4 2 4 6" xfId="38211" xr:uid="{00000000-0005-0000-0000-000015400000}"/>
    <cellStyle name="Comma 2 4 4 2 5" xfId="9707" xr:uid="{00000000-0005-0000-0000-000016400000}"/>
    <cellStyle name="Comma 2 4 4 2 5 2" xfId="11445" xr:uid="{00000000-0005-0000-0000-000017400000}"/>
    <cellStyle name="Comma 2 4 4 2 5 2 2" xfId="28205" xr:uid="{00000000-0005-0000-0000-000018400000}"/>
    <cellStyle name="Comma 2 4 4 2 5 2 2 2" xfId="45854" xr:uid="{00000000-0005-0000-0000-000019400000}"/>
    <cellStyle name="Comma 2 4 4 2 5 2 3" xfId="32418" xr:uid="{00000000-0005-0000-0000-00001A400000}"/>
    <cellStyle name="Comma 2 4 4 2 5 2 4" xfId="36633" xr:uid="{00000000-0005-0000-0000-00001B400000}"/>
    <cellStyle name="Comma 2 4 4 2 5 2 5" xfId="40837" xr:uid="{00000000-0005-0000-0000-00001C400000}"/>
    <cellStyle name="Comma 2 4 4 2 5 3" xfId="27218" xr:uid="{00000000-0005-0000-0000-00001D400000}"/>
    <cellStyle name="Comma 2 4 4 2 5 3 2" xfId="45087" xr:uid="{00000000-0005-0000-0000-00001E400000}"/>
    <cellStyle name="Comma 2 4 4 2 5 4" xfId="31431" xr:uid="{00000000-0005-0000-0000-00001F400000}"/>
    <cellStyle name="Comma 2 4 4 2 5 5" xfId="35646" xr:uid="{00000000-0005-0000-0000-000020400000}"/>
    <cellStyle name="Comma 2 4 4 2 5 6" xfId="39850" xr:uid="{00000000-0005-0000-0000-000021400000}"/>
    <cellStyle name="Comma 2 4 4 2 6" xfId="10445" xr:uid="{00000000-0005-0000-0000-000022400000}"/>
    <cellStyle name="Comma 2 4 4 2 6 2" xfId="27683" xr:uid="{00000000-0005-0000-0000-000023400000}"/>
    <cellStyle name="Comma 2 4 4 2 6 2 2" xfId="45361" xr:uid="{00000000-0005-0000-0000-000024400000}"/>
    <cellStyle name="Comma 2 4 4 2 6 3" xfId="31896" xr:uid="{00000000-0005-0000-0000-000025400000}"/>
    <cellStyle name="Comma 2 4 4 2 6 4" xfId="36111" xr:uid="{00000000-0005-0000-0000-000026400000}"/>
    <cellStyle name="Comma 2 4 4 2 6 5" xfId="40315" xr:uid="{00000000-0005-0000-0000-000027400000}"/>
    <cellStyle name="Comma 2 4 4 2 7" xfId="25251" xr:uid="{00000000-0005-0000-0000-000028400000}"/>
    <cellStyle name="Comma 2 4 4 2 7 2" xfId="44590" xr:uid="{00000000-0005-0000-0000-000029400000}"/>
    <cellStyle name="Comma 2 4 4 2 8" xfId="29463" xr:uid="{00000000-0005-0000-0000-00002A400000}"/>
    <cellStyle name="Comma 2 4 4 2 9" xfId="33679" xr:uid="{00000000-0005-0000-0000-00002B400000}"/>
    <cellStyle name="Comma 2 4 4 3" xfId="6084" xr:uid="{00000000-0005-0000-0000-00002C400000}"/>
    <cellStyle name="Comma 2 4 4 3 2" xfId="9765" xr:uid="{00000000-0005-0000-0000-00002D400000}"/>
    <cellStyle name="Comma 2 4 4 3 2 2" xfId="11592" xr:uid="{00000000-0005-0000-0000-00002E400000}"/>
    <cellStyle name="Comma 2 4 4 3 2 2 2" xfId="28348" xr:uid="{00000000-0005-0000-0000-00002F400000}"/>
    <cellStyle name="Comma 2 4 4 3 2 2 2 2" xfId="45997" xr:uid="{00000000-0005-0000-0000-000030400000}"/>
    <cellStyle name="Comma 2 4 4 3 2 2 3" xfId="32561" xr:uid="{00000000-0005-0000-0000-000031400000}"/>
    <cellStyle name="Comma 2 4 4 3 2 2 4" xfId="36776" xr:uid="{00000000-0005-0000-0000-000032400000}"/>
    <cellStyle name="Comma 2 4 4 3 2 2 5" xfId="40980" xr:uid="{00000000-0005-0000-0000-000033400000}"/>
    <cellStyle name="Comma 2 4 4 3 2 3" xfId="27265" xr:uid="{00000000-0005-0000-0000-000034400000}"/>
    <cellStyle name="Comma 2 4 4 3 2 3 2" xfId="45143" xr:uid="{00000000-0005-0000-0000-000035400000}"/>
    <cellStyle name="Comma 2 4 4 3 2 4" xfId="31478" xr:uid="{00000000-0005-0000-0000-000036400000}"/>
    <cellStyle name="Comma 2 4 4 3 2 5" xfId="35693" xr:uid="{00000000-0005-0000-0000-000037400000}"/>
    <cellStyle name="Comma 2 4 4 3 2 6" xfId="39897" xr:uid="{00000000-0005-0000-0000-000038400000}"/>
    <cellStyle name="Comma 2 4 4 3 3" xfId="10492" xr:uid="{00000000-0005-0000-0000-000039400000}"/>
    <cellStyle name="Comma 2 4 4 3 3 2" xfId="27730" xr:uid="{00000000-0005-0000-0000-00003A400000}"/>
    <cellStyle name="Comma 2 4 4 3 3 2 2" xfId="45408" xr:uid="{00000000-0005-0000-0000-00003B400000}"/>
    <cellStyle name="Comma 2 4 4 3 3 3" xfId="31943" xr:uid="{00000000-0005-0000-0000-00003C400000}"/>
    <cellStyle name="Comma 2 4 4 3 3 4" xfId="36158" xr:uid="{00000000-0005-0000-0000-00003D400000}"/>
    <cellStyle name="Comma 2 4 4 3 3 5" xfId="40362" xr:uid="{00000000-0005-0000-0000-00003E400000}"/>
    <cellStyle name="Comma 2 4 4 3 4" xfId="25394" xr:uid="{00000000-0005-0000-0000-00003F400000}"/>
    <cellStyle name="Comma 2 4 4 3 4 2" xfId="44733" xr:uid="{00000000-0005-0000-0000-000040400000}"/>
    <cellStyle name="Comma 2 4 4 3 5" xfId="29606" xr:uid="{00000000-0005-0000-0000-000041400000}"/>
    <cellStyle name="Comma 2 4 4 3 6" xfId="33822" xr:uid="{00000000-0005-0000-0000-000042400000}"/>
    <cellStyle name="Comma 2 4 4 3 7" xfId="38026" xr:uid="{00000000-0005-0000-0000-000043400000}"/>
    <cellStyle name="Comma 2 4 4 4" xfId="5986" xr:uid="{00000000-0005-0000-0000-000044400000}"/>
    <cellStyle name="Comma 2 4 4 4 2" xfId="11494" xr:uid="{00000000-0005-0000-0000-000045400000}"/>
    <cellStyle name="Comma 2 4 4 4 2 2" xfId="28253" xr:uid="{00000000-0005-0000-0000-000046400000}"/>
    <cellStyle name="Comma 2 4 4 4 2 2 2" xfId="45902" xr:uid="{00000000-0005-0000-0000-000047400000}"/>
    <cellStyle name="Comma 2 4 4 4 2 3" xfId="32466" xr:uid="{00000000-0005-0000-0000-000048400000}"/>
    <cellStyle name="Comma 2 4 4 4 2 4" xfId="36681" xr:uid="{00000000-0005-0000-0000-000049400000}"/>
    <cellStyle name="Comma 2 4 4 4 2 5" xfId="40885" xr:uid="{00000000-0005-0000-0000-00004A400000}"/>
    <cellStyle name="Comma 2 4 4 4 3" xfId="25299" xr:uid="{00000000-0005-0000-0000-00004B400000}"/>
    <cellStyle name="Comma 2 4 4 4 3 2" xfId="44638" xr:uid="{00000000-0005-0000-0000-00004C400000}"/>
    <cellStyle name="Comma 2 4 4 4 4" xfId="29511" xr:uid="{00000000-0005-0000-0000-00004D400000}"/>
    <cellStyle name="Comma 2 4 4 4 5" xfId="33727" xr:uid="{00000000-0005-0000-0000-00004E400000}"/>
    <cellStyle name="Comma 2 4 4 4 6" xfId="37931" xr:uid="{00000000-0005-0000-0000-00004F400000}"/>
    <cellStyle name="Comma 2 4 4 5" xfId="6177" xr:uid="{00000000-0005-0000-0000-000050400000}"/>
    <cellStyle name="Comma 2 4 4 5 2" xfId="11685" xr:uid="{00000000-0005-0000-0000-000051400000}"/>
    <cellStyle name="Comma 2 4 4 5 2 2" xfId="28441" xr:uid="{00000000-0005-0000-0000-000052400000}"/>
    <cellStyle name="Comma 2 4 4 5 2 2 2" xfId="46090" xr:uid="{00000000-0005-0000-0000-000053400000}"/>
    <cellStyle name="Comma 2 4 4 5 2 3" xfId="32654" xr:uid="{00000000-0005-0000-0000-000054400000}"/>
    <cellStyle name="Comma 2 4 4 5 2 4" xfId="36869" xr:uid="{00000000-0005-0000-0000-000055400000}"/>
    <cellStyle name="Comma 2 4 4 5 2 5" xfId="41073" xr:uid="{00000000-0005-0000-0000-000056400000}"/>
    <cellStyle name="Comma 2 4 4 5 3" xfId="25487" xr:uid="{00000000-0005-0000-0000-000057400000}"/>
    <cellStyle name="Comma 2 4 4 5 3 2" xfId="44826" xr:uid="{00000000-0005-0000-0000-000058400000}"/>
    <cellStyle name="Comma 2 4 4 5 4" xfId="29699" xr:uid="{00000000-0005-0000-0000-000059400000}"/>
    <cellStyle name="Comma 2 4 4 5 5" xfId="33915" xr:uid="{00000000-0005-0000-0000-00005A400000}"/>
    <cellStyle name="Comma 2 4 4 5 6" xfId="38119" xr:uid="{00000000-0005-0000-0000-00005B400000}"/>
    <cellStyle name="Comma 2 4 4 6" xfId="6351" xr:uid="{00000000-0005-0000-0000-00005C400000}"/>
    <cellStyle name="Comma 2 4 4 6 2" xfId="11763" xr:uid="{00000000-0005-0000-0000-00005D400000}"/>
    <cellStyle name="Comma 2 4 4 6 2 2" xfId="28485" xr:uid="{00000000-0005-0000-0000-00005E400000}"/>
    <cellStyle name="Comma 2 4 4 6 2 2 2" xfId="46134" xr:uid="{00000000-0005-0000-0000-00005F400000}"/>
    <cellStyle name="Comma 2 4 4 6 2 3" xfId="32698" xr:uid="{00000000-0005-0000-0000-000060400000}"/>
    <cellStyle name="Comma 2 4 4 6 2 4" xfId="36913" xr:uid="{00000000-0005-0000-0000-000061400000}"/>
    <cellStyle name="Comma 2 4 4 6 2 5" xfId="41117" xr:uid="{00000000-0005-0000-0000-000062400000}"/>
    <cellStyle name="Comma 2 4 4 6 3" xfId="25541" xr:uid="{00000000-0005-0000-0000-000063400000}"/>
    <cellStyle name="Comma 2 4 4 6 3 2" xfId="44870" xr:uid="{00000000-0005-0000-0000-000064400000}"/>
    <cellStyle name="Comma 2 4 4 6 4" xfId="29753" xr:uid="{00000000-0005-0000-0000-000065400000}"/>
    <cellStyle name="Comma 2 4 4 6 5" xfId="33969" xr:uid="{00000000-0005-0000-0000-000066400000}"/>
    <cellStyle name="Comma 2 4 4 6 6" xfId="38173" xr:uid="{00000000-0005-0000-0000-000067400000}"/>
    <cellStyle name="Comma 2 4 4 7" xfId="9656" xr:uid="{00000000-0005-0000-0000-000068400000}"/>
    <cellStyle name="Comma 2 4 4 7 2" xfId="11389" xr:uid="{00000000-0005-0000-0000-000069400000}"/>
    <cellStyle name="Comma 2 4 4 7 2 2" xfId="28158" xr:uid="{00000000-0005-0000-0000-00006A400000}"/>
    <cellStyle name="Comma 2 4 4 7 2 2 2" xfId="45807" xr:uid="{00000000-0005-0000-0000-00006B400000}"/>
    <cellStyle name="Comma 2 4 4 7 2 3" xfId="32371" xr:uid="{00000000-0005-0000-0000-00006C400000}"/>
    <cellStyle name="Comma 2 4 4 7 2 4" xfId="36586" xr:uid="{00000000-0005-0000-0000-00006D400000}"/>
    <cellStyle name="Comma 2 4 4 7 2 5" xfId="40790" xr:uid="{00000000-0005-0000-0000-00006E400000}"/>
    <cellStyle name="Comma 2 4 4 7 3" xfId="27171" xr:uid="{00000000-0005-0000-0000-00006F400000}"/>
    <cellStyle name="Comma 2 4 4 7 3 2" xfId="45040" xr:uid="{00000000-0005-0000-0000-000070400000}"/>
    <cellStyle name="Comma 2 4 4 7 4" xfId="31384" xr:uid="{00000000-0005-0000-0000-000071400000}"/>
    <cellStyle name="Comma 2 4 4 7 5" xfId="35599" xr:uid="{00000000-0005-0000-0000-000072400000}"/>
    <cellStyle name="Comma 2 4 4 7 6" xfId="39803" xr:uid="{00000000-0005-0000-0000-000073400000}"/>
    <cellStyle name="Comma 2 4 4 8" xfId="10245" xr:uid="{00000000-0005-0000-0000-000074400000}"/>
    <cellStyle name="Comma 2 4 4 8 2" xfId="27636" xr:uid="{00000000-0005-0000-0000-000075400000}"/>
    <cellStyle name="Comma 2 4 4 8 2 2" xfId="45314" xr:uid="{00000000-0005-0000-0000-000076400000}"/>
    <cellStyle name="Comma 2 4 4 8 3" xfId="31849" xr:uid="{00000000-0005-0000-0000-000077400000}"/>
    <cellStyle name="Comma 2 4 4 8 4" xfId="36064" xr:uid="{00000000-0005-0000-0000-000078400000}"/>
    <cellStyle name="Comma 2 4 4 8 5" xfId="40268" xr:uid="{00000000-0005-0000-0000-000079400000}"/>
    <cellStyle name="Comma 2 4 4 9" xfId="13724" xr:uid="{00000000-0005-0000-0000-00007A400000}"/>
    <cellStyle name="Comma 2 4 4 9 2" xfId="28892" xr:uid="{00000000-0005-0000-0000-00007B400000}"/>
    <cellStyle name="Comma 2 4 4 9 3" xfId="33105" xr:uid="{00000000-0005-0000-0000-00007C400000}"/>
    <cellStyle name="Comma 2 4 4 9 4" xfId="37320" xr:uid="{00000000-0005-0000-0000-00007D400000}"/>
    <cellStyle name="Comma 2 4 4 9 5" xfId="43077" xr:uid="{00000000-0005-0000-0000-00007E400000}"/>
    <cellStyle name="Comma 2 4 5" xfId="5883" xr:uid="{00000000-0005-0000-0000-00007F400000}"/>
    <cellStyle name="Comma 2 4 5 10" xfId="29421" xr:uid="{00000000-0005-0000-0000-000080400000}"/>
    <cellStyle name="Comma 2 4 5 11" xfId="33637" xr:uid="{00000000-0005-0000-0000-000081400000}"/>
    <cellStyle name="Comma 2 4 5 12" xfId="37841" xr:uid="{00000000-0005-0000-0000-000082400000}"/>
    <cellStyle name="Comma 2 4 5 2" xfId="5943" xr:uid="{00000000-0005-0000-0000-000083400000}"/>
    <cellStyle name="Comma 2 4 5 2 10" xfId="37890" xr:uid="{00000000-0005-0000-0000-000084400000}"/>
    <cellStyle name="Comma 2 4 5 2 2" xfId="6138" xr:uid="{00000000-0005-0000-0000-000085400000}"/>
    <cellStyle name="Comma 2 4 5 2 2 2" xfId="9826" xr:uid="{00000000-0005-0000-0000-000086400000}"/>
    <cellStyle name="Comma 2 4 5 2 2 2 2" xfId="11646" xr:uid="{00000000-0005-0000-0000-000087400000}"/>
    <cellStyle name="Comma 2 4 5 2 2 2 2 2" xfId="28402" xr:uid="{00000000-0005-0000-0000-000088400000}"/>
    <cellStyle name="Comma 2 4 5 2 2 2 2 2 2" xfId="46051" xr:uid="{00000000-0005-0000-0000-000089400000}"/>
    <cellStyle name="Comma 2 4 5 2 2 2 2 3" xfId="32615" xr:uid="{00000000-0005-0000-0000-00008A400000}"/>
    <cellStyle name="Comma 2 4 5 2 2 2 2 4" xfId="36830" xr:uid="{00000000-0005-0000-0000-00008B400000}"/>
    <cellStyle name="Comma 2 4 5 2 2 2 2 5" xfId="41034" xr:uid="{00000000-0005-0000-0000-00008C400000}"/>
    <cellStyle name="Comma 2 4 5 2 2 2 3" xfId="27313" xr:uid="{00000000-0005-0000-0000-00008D400000}"/>
    <cellStyle name="Comma 2 4 5 2 2 2 3 2" xfId="45191" xr:uid="{00000000-0005-0000-0000-00008E400000}"/>
    <cellStyle name="Comma 2 4 5 2 2 2 4" xfId="31526" xr:uid="{00000000-0005-0000-0000-00008F400000}"/>
    <cellStyle name="Comma 2 4 5 2 2 2 5" xfId="35741" xr:uid="{00000000-0005-0000-0000-000090400000}"/>
    <cellStyle name="Comma 2 4 5 2 2 2 6" xfId="39945" xr:uid="{00000000-0005-0000-0000-000091400000}"/>
    <cellStyle name="Comma 2 4 5 2 2 3" xfId="10563" xr:uid="{00000000-0005-0000-0000-000092400000}"/>
    <cellStyle name="Comma 2 4 5 2 2 3 2" xfId="27778" xr:uid="{00000000-0005-0000-0000-000093400000}"/>
    <cellStyle name="Comma 2 4 5 2 2 3 2 2" xfId="45456" xr:uid="{00000000-0005-0000-0000-000094400000}"/>
    <cellStyle name="Comma 2 4 5 2 2 3 3" xfId="31991" xr:uid="{00000000-0005-0000-0000-000095400000}"/>
    <cellStyle name="Comma 2 4 5 2 2 3 4" xfId="36206" xr:uid="{00000000-0005-0000-0000-000096400000}"/>
    <cellStyle name="Comma 2 4 5 2 2 3 5" xfId="40410" xr:uid="{00000000-0005-0000-0000-000097400000}"/>
    <cellStyle name="Comma 2 4 5 2 2 4" xfId="25448" xr:uid="{00000000-0005-0000-0000-000098400000}"/>
    <cellStyle name="Comma 2 4 5 2 2 4 2" xfId="44787" xr:uid="{00000000-0005-0000-0000-000099400000}"/>
    <cellStyle name="Comma 2 4 5 2 2 5" xfId="29660" xr:uid="{00000000-0005-0000-0000-00009A400000}"/>
    <cellStyle name="Comma 2 4 5 2 2 6" xfId="33876" xr:uid="{00000000-0005-0000-0000-00009B400000}"/>
    <cellStyle name="Comma 2 4 5 2 2 7" xfId="38080" xr:uid="{00000000-0005-0000-0000-00009C400000}"/>
    <cellStyle name="Comma 2 4 5 2 3" xfId="6040" xr:uid="{00000000-0005-0000-0000-00009D400000}"/>
    <cellStyle name="Comma 2 4 5 2 3 2" xfId="11548" xr:uid="{00000000-0005-0000-0000-00009E400000}"/>
    <cellStyle name="Comma 2 4 5 2 3 2 2" xfId="28307" xr:uid="{00000000-0005-0000-0000-00009F400000}"/>
    <cellStyle name="Comma 2 4 5 2 3 2 2 2" xfId="45956" xr:uid="{00000000-0005-0000-0000-0000A0400000}"/>
    <cellStyle name="Comma 2 4 5 2 3 2 3" xfId="32520" xr:uid="{00000000-0005-0000-0000-0000A1400000}"/>
    <cellStyle name="Comma 2 4 5 2 3 2 4" xfId="36735" xr:uid="{00000000-0005-0000-0000-0000A2400000}"/>
    <cellStyle name="Comma 2 4 5 2 3 2 5" xfId="40939" xr:uid="{00000000-0005-0000-0000-0000A3400000}"/>
    <cellStyle name="Comma 2 4 5 2 3 3" xfId="25353" xr:uid="{00000000-0005-0000-0000-0000A4400000}"/>
    <cellStyle name="Comma 2 4 5 2 3 3 2" xfId="44692" xr:uid="{00000000-0005-0000-0000-0000A5400000}"/>
    <cellStyle name="Comma 2 4 5 2 3 4" xfId="29565" xr:uid="{00000000-0005-0000-0000-0000A6400000}"/>
    <cellStyle name="Comma 2 4 5 2 3 5" xfId="33781" xr:uid="{00000000-0005-0000-0000-0000A7400000}"/>
    <cellStyle name="Comma 2 4 5 2 3 6" xfId="37985" xr:uid="{00000000-0005-0000-0000-0000A8400000}"/>
    <cellStyle name="Comma 2 4 5 2 4" xfId="6892" xr:uid="{00000000-0005-0000-0000-0000A9400000}"/>
    <cellStyle name="Comma 2 4 5 2 4 2" xfId="11803" xr:uid="{00000000-0005-0000-0000-0000AA400000}"/>
    <cellStyle name="Comma 2 4 5 2 4 2 2" xfId="28523" xr:uid="{00000000-0005-0000-0000-0000AB400000}"/>
    <cellStyle name="Comma 2 4 5 2 4 2 2 2" xfId="46174" xr:uid="{00000000-0005-0000-0000-0000AC400000}"/>
    <cellStyle name="Comma 2 4 5 2 4 2 3" xfId="32736" xr:uid="{00000000-0005-0000-0000-0000AD400000}"/>
    <cellStyle name="Comma 2 4 5 2 4 2 4" xfId="36951" xr:uid="{00000000-0005-0000-0000-0000AE400000}"/>
    <cellStyle name="Comma 2 4 5 2 4 2 5" xfId="41155" xr:uid="{00000000-0005-0000-0000-0000AF400000}"/>
    <cellStyle name="Comma 2 4 5 2 4 3" xfId="25580" xr:uid="{00000000-0005-0000-0000-0000B0400000}"/>
    <cellStyle name="Comma 2 4 5 2 4 3 2" xfId="44908" xr:uid="{00000000-0005-0000-0000-0000B1400000}"/>
    <cellStyle name="Comma 2 4 5 2 4 4" xfId="29793" xr:uid="{00000000-0005-0000-0000-0000B2400000}"/>
    <cellStyle name="Comma 2 4 5 2 4 5" xfId="34008" xr:uid="{00000000-0005-0000-0000-0000B3400000}"/>
    <cellStyle name="Comma 2 4 5 2 4 6" xfId="38212" xr:uid="{00000000-0005-0000-0000-0000B4400000}"/>
    <cellStyle name="Comma 2 4 5 2 5" xfId="9708" xr:uid="{00000000-0005-0000-0000-0000B5400000}"/>
    <cellStyle name="Comma 2 4 5 2 5 2" xfId="11452" xr:uid="{00000000-0005-0000-0000-0000B6400000}"/>
    <cellStyle name="Comma 2 4 5 2 5 2 2" xfId="28212" xr:uid="{00000000-0005-0000-0000-0000B7400000}"/>
    <cellStyle name="Comma 2 4 5 2 5 2 2 2" xfId="45861" xr:uid="{00000000-0005-0000-0000-0000B8400000}"/>
    <cellStyle name="Comma 2 4 5 2 5 2 3" xfId="32425" xr:uid="{00000000-0005-0000-0000-0000B9400000}"/>
    <cellStyle name="Comma 2 4 5 2 5 2 4" xfId="36640" xr:uid="{00000000-0005-0000-0000-0000BA400000}"/>
    <cellStyle name="Comma 2 4 5 2 5 2 5" xfId="40844" xr:uid="{00000000-0005-0000-0000-0000BB400000}"/>
    <cellStyle name="Comma 2 4 5 2 5 3" xfId="27219" xr:uid="{00000000-0005-0000-0000-0000BC400000}"/>
    <cellStyle name="Comma 2 4 5 2 5 3 2" xfId="45088" xr:uid="{00000000-0005-0000-0000-0000BD400000}"/>
    <cellStyle name="Comma 2 4 5 2 5 4" xfId="31432" xr:uid="{00000000-0005-0000-0000-0000BE400000}"/>
    <cellStyle name="Comma 2 4 5 2 5 5" xfId="35647" xr:uid="{00000000-0005-0000-0000-0000BF400000}"/>
    <cellStyle name="Comma 2 4 5 2 5 6" xfId="39851" xr:uid="{00000000-0005-0000-0000-0000C0400000}"/>
    <cellStyle name="Comma 2 4 5 2 6" xfId="10446" xr:uid="{00000000-0005-0000-0000-0000C1400000}"/>
    <cellStyle name="Comma 2 4 5 2 6 2" xfId="27684" xr:uid="{00000000-0005-0000-0000-0000C2400000}"/>
    <cellStyle name="Comma 2 4 5 2 6 2 2" xfId="45362" xr:uid="{00000000-0005-0000-0000-0000C3400000}"/>
    <cellStyle name="Comma 2 4 5 2 6 3" xfId="31897" xr:uid="{00000000-0005-0000-0000-0000C4400000}"/>
    <cellStyle name="Comma 2 4 5 2 6 4" xfId="36112" xr:uid="{00000000-0005-0000-0000-0000C5400000}"/>
    <cellStyle name="Comma 2 4 5 2 6 5" xfId="40316" xr:uid="{00000000-0005-0000-0000-0000C6400000}"/>
    <cellStyle name="Comma 2 4 5 2 7" xfId="25258" xr:uid="{00000000-0005-0000-0000-0000C7400000}"/>
    <cellStyle name="Comma 2 4 5 2 7 2" xfId="44597" xr:uid="{00000000-0005-0000-0000-0000C8400000}"/>
    <cellStyle name="Comma 2 4 5 2 8" xfId="29470" xr:uid="{00000000-0005-0000-0000-0000C9400000}"/>
    <cellStyle name="Comma 2 4 5 2 9" xfId="33686" xr:uid="{00000000-0005-0000-0000-0000CA400000}"/>
    <cellStyle name="Comma 2 4 5 3" xfId="6091" xr:uid="{00000000-0005-0000-0000-0000CB400000}"/>
    <cellStyle name="Comma 2 4 5 3 2" xfId="9766" xr:uid="{00000000-0005-0000-0000-0000CC400000}"/>
    <cellStyle name="Comma 2 4 5 3 2 2" xfId="11599" xr:uid="{00000000-0005-0000-0000-0000CD400000}"/>
    <cellStyle name="Comma 2 4 5 3 2 2 2" xfId="28355" xr:uid="{00000000-0005-0000-0000-0000CE400000}"/>
    <cellStyle name="Comma 2 4 5 3 2 2 2 2" xfId="46004" xr:uid="{00000000-0005-0000-0000-0000CF400000}"/>
    <cellStyle name="Comma 2 4 5 3 2 2 3" xfId="32568" xr:uid="{00000000-0005-0000-0000-0000D0400000}"/>
    <cellStyle name="Comma 2 4 5 3 2 2 4" xfId="36783" xr:uid="{00000000-0005-0000-0000-0000D1400000}"/>
    <cellStyle name="Comma 2 4 5 3 2 2 5" xfId="40987" xr:uid="{00000000-0005-0000-0000-0000D2400000}"/>
    <cellStyle name="Comma 2 4 5 3 2 3" xfId="27266" xr:uid="{00000000-0005-0000-0000-0000D3400000}"/>
    <cellStyle name="Comma 2 4 5 3 2 3 2" xfId="45144" xr:uid="{00000000-0005-0000-0000-0000D4400000}"/>
    <cellStyle name="Comma 2 4 5 3 2 4" xfId="31479" xr:uid="{00000000-0005-0000-0000-0000D5400000}"/>
    <cellStyle name="Comma 2 4 5 3 2 5" xfId="35694" xr:uid="{00000000-0005-0000-0000-0000D6400000}"/>
    <cellStyle name="Comma 2 4 5 3 2 6" xfId="39898" xr:uid="{00000000-0005-0000-0000-0000D7400000}"/>
    <cellStyle name="Comma 2 4 5 3 3" xfId="10493" xr:uid="{00000000-0005-0000-0000-0000D8400000}"/>
    <cellStyle name="Comma 2 4 5 3 3 2" xfId="27731" xr:uid="{00000000-0005-0000-0000-0000D9400000}"/>
    <cellStyle name="Comma 2 4 5 3 3 2 2" xfId="45409" xr:uid="{00000000-0005-0000-0000-0000DA400000}"/>
    <cellStyle name="Comma 2 4 5 3 3 3" xfId="31944" xr:uid="{00000000-0005-0000-0000-0000DB400000}"/>
    <cellStyle name="Comma 2 4 5 3 3 4" xfId="36159" xr:uid="{00000000-0005-0000-0000-0000DC400000}"/>
    <cellStyle name="Comma 2 4 5 3 3 5" xfId="40363" xr:uid="{00000000-0005-0000-0000-0000DD400000}"/>
    <cellStyle name="Comma 2 4 5 3 4" xfId="25401" xr:uid="{00000000-0005-0000-0000-0000DE400000}"/>
    <cellStyle name="Comma 2 4 5 3 4 2" xfId="44740" xr:uid="{00000000-0005-0000-0000-0000DF400000}"/>
    <cellStyle name="Comma 2 4 5 3 5" xfId="29613" xr:uid="{00000000-0005-0000-0000-0000E0400000}"/>
    <cellStyle name="Comma 2 4 5 3 6" xfId="33829" xr:uid="{00000000-0005-0000-0000-0000E1400000}"/>
    <cellStyle name="Comma 2 4 5 3 7" xfId="38033" xr:uid="{00000000-0005-0000-0000-0000E2400000}"/>
    <cellStyle name="Comma 2 4 5 4" xfId="5993" xr:uid="{00000000-0005-0000-0000-0000E3400000}"/>
    <cellStyle name="Comma 2 4 5 4 2" xfId="11501" xr:uid="{00000000-0005-0000-0000-0000E4400000}"/>
    <cellStyle name="Comma 2 4 5 4 2 2" xfId="28260" xr:uid="{00000000-0005-0000-0000-0000E5400000}"/>
    <cellStyle name="Comma 2 4 5 4 2 2 2" xfId="45909" xr:uid="{00000000-0005-0000-0000-0000E6400000}"/>
    <cellStyle name="Comma 2 4 5 4 2 3" xfId="32473" xr:uid="{00000000-0005-0000-0000-0000E7400000}"/>
    <cellStyle name="Comma 2 4 5 4 2 4" xfId="36688" xr:uid="{00000000-0005-0000-0000-0000E8400000}"/>
    <cellStyle name="Comma 2 4 5 4 2 5" xfId="40892" xr:uid="{00000000-0005-0000-0000-0000E9400000}"/>
    <cellStyle name="Comma 2 4 5 4 3" xfId="25306" xr:uid="{00000000-0005-0000-0000-0000EA400000}"/>
    <cellStyle name="Comma 2 4 5 4 3 2" xfId="44645" xr:uid="{00000000-0005-0000-0000-0000EB400000}"/>
    <cellStyle name="Comma 2 4 5 4 4" xfId="29518" xr:uid="{00000000-0005-0000-0000-0000EC400000}"/>
    <cellStyle name="Comma 2 4 5 4 5" xfId="33734" xr:uid="{00000000-0005-0000-0000-0000ED400000}"/>
    <cellStyle name="Comma 2 4 5 4 6" xfId="37938" xr:uid="{00000000-0005-0000-0000-0000EE400000}"/>
    <cellStyle name="Comma 2 4 5 5" xfId="6352" xr:uid="{00000000-0005-0000-0000-0000EF400000}"/>
    <cellStyle name="Comma 2 4 5 5 2" xfId="11764" xr:uid="{00000000-0005-0000-0000-0000F0400000}"/>
    <cellStyle name="Comma 2 4 5 5 2 2" xfId="28486" xr:uid="{00000000-0005-0000-0000-0000F1400000}"/>
    <cellStyle name="Comma 2 4 5 5 2 2 2" xfId="46135" xr:uid="{00000000-0005-0000-0000-0000F2400000}"/>
    <cellStyle name="Comma 2 4 5 5 2 3" xfId="32699" xr:uid="{00000000-0005-0000-0000-0000F3400000}"/>
    <cellStyle name="Comma 2 4 5 5 2 4" xfId="36914" xr:uid="{00000000-0005-0000-0000-0000F4400000}"/>
    <cellStyle name="Comma 2 4 5 5 2 5" xfId="41118" xr:uid="{00000000-0005-0000-0000-0000F5400000}"/>
    <cellStyle name="Comma 2 4 5 5 3" xfId="25542" xr:uid="{00000000-0005-0000-0000-0000F6400000}"/>
    <cellStyle name="Comma 2 4 5 5 3 2" xfId="44871" xr:uid="{00000000-0005-0000-0000-0000F7400000}"/>
    <cellStyle name="Comma 2 4 5 5 4" xfId="29754" xr:uid="{00000000-0005-0000-0000-0000F8400000}"/>
    <cellStyle name="Comma 2 4 5 5 5" xfId="33970" xr:uid="{00000000-0005-0000-0000-0000F9400000}"/>
    <cellStyle name="Comma 2 4 5 5 6" xfId="38174" xr:uid="{00000000-0005-0000-0000-0000FA400000}"/>
    <cellStyle name="Comma 2 4 5 6" xfId="9657" xr:uid="{00000000-0005-0000-0000-0000FB400000}"/>
    <cellStyle name="Comma 2 4 5 6 2" xfId="11397" xr:uid="{00000000-0005-0000-0000-0000FC400000}"/>
    <cellStyle name="Comma 2 4 5 6 2 2" xfId="28165" xr:uid="{00000000-0005-0000-0000-0000FD400000}"/>
    <cellStyle name="Comma 2 4 5 6 2 2 2" xfId="45814" xr:uid="{00000000-0005-0000-0000-0000FE400000}"/>
    <cellStyle name="Comma 2 4 5 6 2 3" xfId="32378" xr:uid="{00000000-0005-0000-0000-0000FF400000}"/>
    <cellStyle name="Comma 2 4 5 6 2 4" xfId="36593" xr:uid="{00000000-0005-0000-0000-000000410000}"/>
    <cellStyle name="Comma 2 4 5 6 2 5" xfId="40797" xr:uid="{00000000-0005-0000-0000-000001410000}"/>
    <cellStyle name="Comma 2 4 5 6 3" xfId="27172" xr:uid="{00000000-0005-0000-0000-000002410000}"/>
    <cellStyle name="Comma 2 4 5 6 3 2" xfId="45041" xr:uid="{00000000-0005-0000-0000-000003410000}"/>
    <cellStyle name="Comma 2 4 5 6 4" xfId="31385" xr:uid="{00000000-0005-0000-0000-000004410000}"/>
    <cellStyle name="Comma 2 4 5 6 5" xfId="35600" xr:uid="{00000000-0005-0000-0000-000005410000}"/>
    <cellStyle name="Comma 2 4 5 6 6" xfId="39804" xr:uid="{00000000-0005-0000-0000-000006410000}"/>
    <cellStyle name="Comma 2 4 5 7" xfId="10246" xr:uid="{00000000-0005-0000-0000-000007410000}"/>
    <cellStyle name="Comma 2 4 5 7 2" xfId="27637" xr:uid="{00000000-0005-0000-0000-000008410000}"/>
    <cellStyle name="Comma 2 4 5 7 2 2" xfId="45315" xr:uid="{00000000-0005-0000-0000-000009410000}"/>
    <cellStyle name="Comma 2 4 5 7 3" xfId="31850" xr:uid="{00000000-0005-0000-0000-00000A410000}"/>
    <cellStyle name="Comma 2 4 5 7 4" xfId="36065" xr:uid="{00000000-0005-0000-0000-00000B410000}"/>
    <cellStyle name="Comma 2 4 5 7 5" xfId="40269" xr:uid="{00000000-0005-0000-0000-00000C410000}"/>
    <cellStyle name="Comma 2 4 5 8" xfId="13051" xr:uid="{00000000-0005-0000-0000-00000D410000}"/>
    <cellStyle name="Comma 2 4 5 8 2" xfId="28877" xr:uid="{00000000-0005-0000-0000-00000E410000}"/>
    <cellStyle name="Comma 2 4 5 8 3" xfId="33090" xr:uid="{00000000-0005-0000-0000-00000F410000}"/>
    <cellStyle name="Comma 2 4 5 8 4" xfId="37305" xr:uid="{00000000-0005-0000-0000-000010410000}"/>
    <cellStyle name="Comma 2 4 5 8 5" xfId="44550" xr:uid="{00000000-0005-0000-0000-000011410000}"/>
    <cellStyle name="Comma 2 4 5 9" xfId="25209" xr:uid="{00000000-0005-0000-0000-000012410000}"/>
    <cellStyle name="Comma 2 4 6" xfId="5899" xr:uid="{00000000-0005-0000-0000-000013410000}"/>
    <cellStyle name="Comma 2 4 6 10" xfId="33647" xr:uid="{00000000-0005-0000-0000-000014410000}"/>
    <cellStyle name="Comma 2 4 6 11" xfId="37851" xr:uid="{00000000-0005-0000-0000-000015410000}"/>
    <cellStyle name="Comma 2 4 6 2" xfId="5951" xr:uid="{00000000-0005-0000-0000-000016410000}"/>
    <cellStyle name="Comma 2 4 6 2 2" xfId="6146" xr:uid="{00000000-0005-0000-0000-000017410000}"/>
    <cellStyle name="Comma 2 4 6 2 2 2" xfId="9838" xr:uid="{00000000-0005-0000-0000-000018410000}"/>
    <cellStyle name="Comma 2 4 6 2 2 2 2" xfId="11654" xr:uid="{00000000-0005-0000-0000-000019410000}"/>
    <cellStyle name="Comma 2 4 6 2 2 2 2 2" xfId="28410" xr:uid="{00000000-0005-0000-0000-00001A410000}"/>
    <cellStyle name="Comma 2 4 6 2 2 2 2 2 2" xfId="46059" xr:uid="{00000000-0005-0000-0000-00001B410000}"/>
    <cellStyle name="Comma 2 4 6 2 2 2 2 3" xfId="32623" xr:uid="{00000000-0005-0000-0000-00001C410000}"/>
    <cellStyle name="Comma 2 4 6 2 2 2 2 4" xfId="36838" xr:uid="{00000000-0005-0000-0000-00001D410000}"/>
    <cellStyle name="Comma 2 4 6 2 2 2 2 5" xfId="41042" xr:uid="{00000000-0005-0000-0000-00001E410000}"/>
    <cellStyle name="Comma 2 4 6 2 2 2 3" xfId="27325" xr:uid="{00000000-0005-0000-0000-00001F410000}"/>
    <cellStyle name="Comma 2 4 6 2 2 2 3 2" xfId="45203" xr:uid="{00000000-0005-0000-0000-000020410000}"/>
    <cellStyle name="Comma 2 4 6 2 2 2 4" xfId="31538" xr:uid="{00000000-0005-0000-0000-000021410000}"/>
    <cellStyle name="Comma 2 4 6 2 2 2 5" xfId="35753" xr:uid="{00000000-0005-0000-0000-000022410000}"/>
    <cellStyle name="Comma 2 4 6 2 2 2 6" xfId="39957" xr:uid="{00000000-0005-0000-0000-000023410000}"/>
    <cellStyle name="Comma 2 4 6 2 2 3" xfId="10575" xr:uid="{00000000-0005-0000-0000-000024410000}"/>
    <cellStyle name="Comma 2 4 6 2 2 3 2" xfId="27790" xr:uid="{00000000-0005-0000-0000-000025410000}"/>
    <cellStyle name="Comma 2 4 6 2 2 3 2 2" xfId="45468" xr:uid="{00000000-0005-0000-0000-000026410000}"/>
    <cellStyle name="Comma 2 4 6 2 2 3 3" xfId="32003" xr:uid="{00000000-0005-0000-0000-000027410000}"/>
    <cellStyle name="Comma 2 4 6 2 2 3 4" xfId="36218" xr:uid="{00000000-0005-0000-0000-000028410000}"/>
    <cellStyle name="Comma 2 4 6 2 2 3 5" xfId="40422" xr:uid="{00000000-0005-0000-0000-000029410000}"/>
    <cellStyle name="Comma 2 4 6 2 2 4" xfId="25456" xr:uid="{00000000-0005-0000-0000-00002A410000}"/>
    <cellStyle name="Comma 2 4 6 2 2 4 2" xfId="44795" xr:uid="{00000000-0005-0000-0000-00002B410000}"/>
    <cellStyle name="Comma 2 4 6 2 2 5" xfId="29668" xr:uid="{00000000-0005-0000-0000-00002C410000}"/>
    <cellStyle name="Comma 2 4 6 2 2 6" xfId="33884" xr:uid="{00000000-0005-0000-0000-00002D410000}"/>
    <cellStyle name="Comma 2 4 6 2 2 7" xfId="38088" xr:uid="{00000000-0005-0000-0000-00002E410000}"/>
    <cellStyle name="Comma 2 4 6 2 3" xfId="6048" xr:uid="{00000000-0005-0000-0000-00002F410000}"/>
    <cellStyle name="Comma 2 4 6 2 3 2" xfId="11556" xr:uid="{00000000-0005-0000-0000-000030410000}"/>
    <cellStyle name="Comma 2 4 6 2 3 2 2" xfId="28315" xr:uid="{00000000-0005-0000-0000-000031410000}"/>
    <cellStyle name="Comma 2 4 6 2 3 2 2 2" xfId="45964" xr:uid="{00000000-0005-0000-0000-000032410000}"/>
    <cellStyle name="Comma 2 4 6 2 3 2 3" xfId="32528" xr:uid="{00000000-0005-0000-0000-000033410000}"/>
    <cellStyle name="Comma 2 4 6 2 3 2 4" xfId="36743" xr:uid="{00000000-0005-0000-0000-000034410000}"/>
    <cellStyle name="Comma 2 4 6 2 3 2 5" xfId="40947" xr:uid="{00000000-0005-0000-0000-000035410000}"/>
    <cellStyle name="Comma 2 4 6 2 3 3" xfId="25361" xr:uid="{00000000-0005-0000-0000-000036410000}"/>
    <cellStyle name="Comma 2 4 6 2 3 3 2" xfId="44700" xr:uid="{00000000-0005-0000-0000-000037410000}"/>
    <cellStyle name="Comma 2 4 6 2 3 4" xfId="29573" xr:uid="{00000000-0005-0000-0000-000038410000}"/>
    <cellStyle name="Comma 2 4 6 2 3 5" xfId="33789" xr:uid="{00000000-0005-0000-0000-000039410000}"/>
    <cellStyle name="Comma 2 4 6 2 3 6" xfId="37993" xr:uid="{00000000-0005-0000-0000-00003A410000}"/>
    <cellStyle name="Comma 2 4 6 2 4" xfId="9720" xr:uid="{00000000-0005-0000-0000-00003B410000}"/>
    <cellStyle name="Comma 2 4 6 2 4 2" xfId="11460" xr:uid="{00000000-0005-0000-0000-00003C410000}"/>
    <cellStyle name="Comma 2 4 6 2 4 2 2" xfId="28220" xr:uid="{00000000-0005-0000-0000-00003D410000}"/>
    <cellStyle name="Comma 2 4 6 2 4 2 2 2" xfId="45869" xr:uid="{00000000-0005-0000-0000-00003E410000}"/>
    <cellStyle name="Comma 2 4 6 2 4 2 3" xfId="32433" xr:uid="{00000000-0005-0000-0000-00003F410000}"/>
    <cellStyle name="Comma 2 4 6 2 4 2 4" xfId="36648" xr:uid="{00000000-0005-0000-0000-000040410000}"/>
    <cellStyle name="Comma 2 4 6 2 4 2 5" xfId="40852" xr:uid="{00000000-0005-0000-0000-000041410000}"/>
    <cellStyle name="Comma 2 4 6 2 4 3" xfId="27231" xr:uid="{00000000-0005-0000-0000-000042410000}"/>
    <cellStyle name="Comma 2 4 6 2 4 3 2" xfId="45100" xr:uid="{00000000-0005-0000-0000-000043410000}"/>
    <cellStyle name="Comma 2 4 6 2 4 4" xfId="31444" xr:uid="{00000000-0005-0000-0000-000044410000}"/>
    <cellStyle name="Comma 2 4 6 2 4 5" xfId="35659" xr:uid="{00000000-0005-0000-0000-000045410000}"/>
    <cellStyle name="Comma 2 4 6 2 4 6" xfId="39863" xr:uid="{00000000-0005-0000-0000-000046410000}"/>
    <cellStyle name="Comma 2 4 6 2 5" xfId="10458" xr:uid="{00000000-0005-0000-0000-000047410000}"/>
    <cellStyle name="Comma 2 4 6 2 5 2" xfId="27696" xr:uid="{00000000-0005-0000-0000-000048410000}"/>
    <cellStyle name="Comma 2 4 6 2 5 2 2" xfId="45374" xr:uid="{00000000-0005-0000-0000-000049410000}"/>
    <cellStyle name="Comma 2 4 6 2 5 3" xfId="31909" xr:uid="{00000000-0005-0000-0000-00004A410000}"/>
    <cellStyle name="Comma 2 4 6 2 5 4" xfId="36124" xr:uid="{00000000-0005-0000-0000-00004B410000}"/>
    <cellStyle name="Comma 2 4 6 2 5 5" xfId="40328" xr:uid="{00000000-0005-0000-0000-00004C410000}"/>
    <cellStyle name="Comma 2 4 6 2 6" xfId="25266" xr:uid="{00000000-0005-0000-0000-00004D410000}"/>
    <cellStyle name="Comma 2 4 6 2 6 2" xfId="44605" xr:uid="{00000000-0005-0000-0000-00004E410000}"/>
    <cellStyle name="Comma 2 4 6 2 7" xfId="29478" xr:uid="{00000000-0005-0000-0000-00004F410000}"/>
    <cellStyle name="Comma 2 4 6 2 8" xfId="33694" xr:uid="{00000000-0005-0000-0000-000050410000}"/>
    <cellStyle name="Comma 2 4 6 2 9" xfId="37898" xr:uid="{00000000-0005-0000-0000-000051410000}"/>
    <cellStyle name="Comma 2 4 6 3" xfId="6099" xr:uid="{00000000-0005-0000-0000-000052410000}"/>
    <cellStyle name="Comma 2 4 6 3 2" xfId="9791" xr:uid="{00000000-0005-0000-0000-000053410000}"/>
    <cellStyle name="Comma 2 4 6 3 2 2" xfId="11607" xr:uid="{00000000-0005-0000-0000-000054410000}"/>
    <cellStyle name="Comma 2 4 6 3 2 2 2" xfId="28363" xr:uid="{00000000-0005-0000-0000-000055410000}"/>
    <cellStyle name="Comma 2 4 6 3 2 2 2 2" xfId="46012" xr:uid="{00000000-0005-0000-0000-000056410000}"/>
    <cellStyle name="Comma 2 4 6 3 2 2 3" xfId="32576" xr:uid="{00000000-0005-0000-0000-000057410000}"/>
    <cellStyle name="Comma 2 4 6 3 2 2 4" xfId="36791" xr:uid="{00000000-0005-0000-0000-000058410000}"/>
    <cellStyle name="Comma 2 4 6 3 2 2 5" xfId="40995" xr:uid="{00000000-0005-0000-0000-000059410000}"/>
    <cellStyle name="Comma 2 4 6 3 2 3" xfId="27278" xr:uid="{00000000-0005-0000-0000-00005A410000}"/>
    <cellStyle name="Comma 2 4 6 3 2 3 2" xfId="45156" xr:uid="{00000000-0005-0000-0000-00005B410000}"/>
    <cellStyle name="Comma 2 4 6 3 2 4" xfId="31491" xr:uid="{00000000-0005-0000-0000-00005C410000}"/>
    <cellStyle name="Comma 2 4 6 3 2 5" xfId="35706" xr:uid="{00000000-0005-0000-0000-00005D410000}"/>
    <cellStyle name="Comma 2 4 6 3 2 6" xfId="39910" xr:uid="{00000000-0005-0000-0000-00005E410000}"/>
    <cellStyle name="Comma 2 4 6 3 3" xfId="10528" xr:uid="{00000000-0005-0000-0000-00005F410000}"/>
    <cellStyle name="Comma 2 4 6 3 3 2" xfId="27743" xr:uid="{00000000-0005-0000-0000-000060410000}"/>
    <cellStyle name="Comma 2 4 6 3 3 2 2" xfId="45421" xr:uid="{00000000-0005-0000-0000-000061410000}"/>
    <cellStyle name="Comma 2 4 6 3 3 3" xfId="31956" xr:uid="{00000000-0005-0000-0000-000062410000}"/>
    <cellStyle name="Comma 2 4 6 3 3 4" xfId="36171" xr:uid="{00000000-0005-0000-0000-000063410000}"/>
    <cellStyle name="Comma 2 4 6 3 3 5" xfId="40375" xr:uid="{00000000-0005-0000-0000-000064410000}"/>
    <cellStyle name="Comma 2 4 6 3 4" xfId="25409" xr:uid="{00000000-0005-0000-0000-000065410000}"/>
    <cellStyle name="Comma 2 4 6 3 4 2" xfId="44748" xr:uid="{00000000-0005-0000-0000-000066410000}"/>
    <cellStyle name="Comma 2 4 6 3 5" xfId="29621" xr:uid="{00000000-0005-0000-0000-000067410000}"/>
    <cellStyle name="Comma 2 4 6 3 6" xfId="33837" xr:uid="{00000000-0005-0000-0000-000068410000}"/>
    <cellStyle name="Comma 2 4 6 3 7" xfId="38041" xr:uid="{00000000-0005-0000-0000-000069410000}"/>
    <cellStyle name="Comma 2 4 6 4" xfId="6001" xr:uid="{00000000-0005-0000-0000-00006A410000}"/>
    <cellStyle name="Comma 2 4 6 4 2" xfId="11509" xr:uid="{00000000-0005-0000-0000-00006B410000}"/>
    <cellStyle name="Comma 2 4 6 4 2 2" xfId="28268" xr:uid="{00000000-0005-0000-0000-00006C410000}"/>
    <cellStyle name="Comma 2 4 6 4 2 2 2" xfId="45917" xr:uid="{00000000-0005-0000-0000-00006D410000}"/>
    <cellStyle name="Comma 2 4 6 4 2 3" xfId="32481" xr:uid="{00000000-0005-0000-0000-00006E410000}"/>
    <cellStyle name="Comma 2 4 6 4 2 4" xfId="36696" xr:uid="{00000000-0005-0000-0000-00006F410000}"/>
    <cellStyle name="Comma 2 4 6 4 2 5" xfId="40900" xr:uid="{00000000-0005-0000-0000-000070410000}"/>
    <cellStyle name="Comma 2 4 6 4 3" xfId="25314" xr:uid="{00000000-0005-0000-0000-000071410000}"/>
    <cellStyle name="Comma 2 4 6 4 3 2" xfId="44653" xr:uid="{00000000-0005-0000-0000-000072410000}"/>
    <cellStyle name="Comma 2 4 6 4 4" xfId="29526" xr:uid="{00000000-0005-0000-0000-000073410000}"/>
    <cellStyle name="Comma 2 4 6 4 5" xfId="33742" xr:uid="{00000000-0005-0000-0000-000074410000}"/>
    <cellStyle name="Comma 2 4 6 4 6" xfId="37946" xr:uid="{00000000-0005-0000-0000-000075410000}"/>
    <cellStyle name="Comma 2 4 6 5" xfId="6888" xr:uid="{00000000-0005-0000-0000-000076410000}"/>
    <cellStyle name="Comma 2 4 6 5 2" xfId="11799" xr:uid="{00000000-0005-0000-0000-000077410000}"/>
    <cellStyle name="Comma 2 4 6 5 2 2" xfId="28519" xr:uid="{00000000-0005-0000-0000-000078410000}"/>
    <cellStyle name="Comma 2 4 6 5 2 2 2" xfId="46170" xr:uid="{00000000-0005-0000-0000-000079410000}"/>
    <cellStyle name="Comma 2 4 6 5 2 3" xfId="32732" xr:uid="{00000000-0005-0000-0000-00007A410000}"/>
    <cellStyle name="Comma 2 4 6 5 2 4" xfId="36947" xr:uid="{00000000-0005-0000-0000-00007B410000}"/>
    <cellStyle name="Comma 2 4 6 5 2 5" xfId="41151" xr:uid="{00000000-0005-0000-0000-00007C410000}"/>
    <cellStyle name="Comma 2 4 6 5 3" xfId="25576" xr:uid="{00000000-0005-0000-0000-00007D410000}"/>
    <cellStyle name="Comma 2 4 6 5 3 2" xfId="44904" xr:uid="{00000000-0005-0000-0000-00007E410000}"/>
    <cellStyle name="Comma 2 4 6 5 4" xfId="29789" xr:uid="{00000000-0005-0000-0000-00007F410000}"/>
    <cellStyle name="Comma 2 4 6 5 5" xfId="34004" xr:uid="{00000000-0005-0000-0000-000080410000}"/>
    <cellStyle name="Comma 2 4 6 5 6" xfId="38208" xr:uid="{00000000-0005-0000-0000-000081410000}"/>
    <cellStyle name="Comma 2 4 6 6" xfId="9670" xr:uid="{00000000-0005-0000-0000-000082410000}"/>
    <cellStyle name="Comma 2 4 6 6 2" xfId="11408" xr:uid="{00000000-0005-0000-0000-000083410000}"/>
    <cellStyle name="Comma 2 4 6 6 2 2" xfId="28173" xr:uid="{00000000-0005-0000-0000-000084410000}"/>
    <cellStyle name="Comma 2 4 6 6 2 2 2" xfId="45822" xr:uid="{00000000-0005-0000-0000-000085410000}"/>
    <cellStyle name="Comma 2 4 6 6 2 3" xfId="32386" xr:uid="{00000000-0005-0000-0000-000086410000}"/>
    <cellStyle name="Comma 2 4 6 6 2 4" xfId="36601" xr:uid="{00000000-0005-0000-0000-000087410000}"/>
    <cellStyle name="Comma 2 4 6 6 2 5" xfId="40805" xr:uid="{00000000-0005-0000-0000-000088410000}"/>
    <cellStyle name="Comma 2 4 6 6 3" xfId="27184" xr:uid="{00000000-0005-0000-0000-000089410000}"/>
    <cellStyle name="Comma 2 4 6 6 3 2" xfId="45053" xr:uid="{00000000-0005-0000-0000-00008A410000}"/>
    <cellStyle name="Comma 2 4 6 6 4" xfId="31397" xr:uid="{00000000-0005-0000-0000-00008B410000}"/>
    <cellStyle name="Comma 2 4 6 6 5" xfId="35612" xr:uid="{00000000-0005-0000-0000-00008C410000}"/>
    <cellStyle name="Comma 2 4 6 6 6" xfId="39816" xr:uid="{00000000-0005-0000-0000-00008D410000}"/>
    <cellStyle name="Comma 2 4 6 7" xfId="10400" xr:uid="{00000000-0005-0000-0000-00008E410000}"/>
    <cellStyle name="Comma 2 4 6 7 2" xfId="27649" xr:uid="{00000000-0005-0000-0000-00008F410000}"/>
    <cellStyle name="Comma 2 4 6 7 2 2" xfId="45327" xr:uid="{00000000-0005-0000-0000-000090410000}"/>
    <cellStyle name="Comma 2 4 6 7 3" xfId="31862" xr:uid="{00000000-0005-0000-0000-000091410000}"/>
    <cellStyle name="Comma 2 4 6 7 4" xfId="36077" xr:uid="{00000000-0005-0000-0000-000092410000}"/>
    <cellStyle name="Comma 2 4 6 7 5" xfId="40281" xr:uid="{00000000-0005-0000-0000-000093410000}"/>
    <cellStyle name="Comma 2 4 6 8" xfId="25219" xr:uid="{00000000-0005-0000-0000-000094410000}"/>
    <cellStyle name="Comma 2 4 6 8 2" xfId="44558" xr:uid="{00000000-0005-0000-0000-000095410000}"/>
    <cellStyle name="Comma 2 4 6 9" xfId="29431" xr:uid="{00000000-0005-0000-0000-000096410000}"/>
    <cellStyle name="Comma 2 4 7" xfId="5916" xr:uid="{00000000-0005-0000-0000-000097410000}"/>
    <cellStyle name="Comma 2 4 7 10" xfId="37863" xr:uid="{00000000-0005-0000-0000-000098410000}"/>
    <cellStyle name="Comma 2 4 7 2" xfId="6111" xr:uid="{00000000-0005-0000-0000-000099410000}"/>
    <cellStyle name="Comma 2 4 7 2 2" xfId="9843" xr:uid="{00000000-0005-0000-0000-00009A410000}"/>
    <cellStyle name="Comma 2 4 7 2 2 2" xfId="10580" xr:uid="{00000000-0005-0000-0000-00009B410000}"/>
    <cellStyle name="Comma 2 4 7 2 2 2 2" xfId="27795" xr:uid="{00000000-0005-0000-0000-00009C410000}"/>
    <cellStyle name="Comma 2 4 7 2 2 2 2 2" xfId="45473" xr:uid="{00000000-0005-0000-0000-00009D410000}"/>
    <cellStyle name="Comma 2 4 7 2 2 2 3" xfId="32008" xr:uid="{00000000-0005-0000-0000-00009E410000}"/>
    <cellStyle name="Comma 2 4 7 2 2 2 4" xfId="36223" xr:uid="{00000000-0005-0000-0000-00009F410000}"/>
    <cellStyle name="Comma 2 4 7 2 2 2 5" xfId="40427" xr:uid="{00000000-0005-0000-0000-0000A0410000}"/>
    <cellStyle name="Comma 2 4 7 2 2 3" xfId="27330" xr:uid="{00000000-0005-0000-0000-0000A1410000}"/>
    <cellStyle name="Comma 2 4 7 2 2 3 2" xfId="45208" xr:uid="{00000000-0005-0000-0000-0000A2410000}"/>
    <cellStyle name="Comma 2 4 7 2 2 4" xfId="31543" xr:uid="{00000000-0005-0000-0000-0000A3410000}"/>
    <cellStyle name="Comma 2 4 7 2 2 5" xfId="35758" xr:uid="{00000000-0005-0000-0000-0000A4410000}"/>
    <cellStyle name="Comma 2 4 7 2 2 6" xfId="39962" xr:uid="{00000000-0005-0000-0000-0000A5410000}"/>
    <cellStyle name="Comma 2 4 7 2 3" xfId="9725" xr:uid="{00000000-0005-0000-0000-0000A6410000}"/>
    <cellStyle name="Comma 2 4 7 2 3 2" xfId="11619" xr:uid="{00000000-0005-0000-0000-0000A7410000}"/>
    <cellStyle name="Comma 2 4 7 2 3 2 2" xfId="28375" xr:uid="{00000000-0005-0000-0000-0000A8410000}"/>
    <cellStyle name="Comma 2 4 7 2 3 2 2 2" xfId="46024" xr:uid="{00000000-0005-0000-0000-0000A9410000}"/>
    <cellStyle name="Comma 2 4 7 2 3 2 3" xfId="32588" xr:uid="{00000000-0005-0000-0000-0000AA410000}"/>
    <cellStyle name="Comma 2 4 7 2 3 2 4" xfId="36803" xr:uid="{00000000-0005-0000-0000-0000AB410000}"/>
    <cellStyle name="Comma 2 4 7 2 3 2 5" xfId="41007" xr:uid="{00000000-0005-0000-0000-0000AC410000}"/>
    <cellStyle name="Comma 2 4 7 2 3 3" xfId="27236" xr:uid="{00000000-0005-0000-0000-0000AD410000}"/>
    <cellStyle name="Comma 2 4 7 2 3 3 2" xfId="45105" xr:uid="{00000000-0005-0000-0000-0000AE410000}"/>
    <cellStyle name="Comma 2 4 7 2 3 4" xfId="31449" xr:uid="{00000000-0005-0000-0000-0000AF410000}"/>
    <cellStyle name="Comma 2 4 7 2 3 5" xfId="35664" xr:uid="{00000000-0005-0000-0000-0000B0410000}"/>
    <cellStyle name="Comma 2 4 7 2 3 6" xfId="39868" xr:uid="{00000000-0005-0000-0000-0000B1410000}"/>
    <cellStyle name="Comma 2 4 7 2 4" xfId="10463" xr:uid="{00000000-0005-0000-0000-0000B2410000}"/>
    <cellStyle name="Comma 2 4 7 2 4 2" xfId="27701" xr:uid="{00000000-0005-0000-0000-0000B3410000}"/>
    <cellStyle name="Comma 2 4 7 2 4 2 2" xfId="45379" xr:uid="{00000000-0005-0000-0000-0000B4410000}"/>
    <cellStyle name="Comma 2 4 7 2 4 3" xfId="31914" xr:uid="{00000000-0005-0000-0000-0000B5410000}"/>
    <cellStyle name="Comma 2 4 7 2 4 4" xfId="36129" xr:uid="{00000000-0005-0000-0000-0000B6410000}"/>
    <cellStyle name="Comma 2 4 7 2 4 5" xfId="40333" xr:uid="{00000000-0005-0000-0000-0000B7410000}"/>
    <cellStyle name="Comma 2 4 7 2 5" xfId="25421" xr:uid="{00000000-0005-0000-0000-0000B8410000}"/>
    <cellStyle name="Comma 2 4 7 2 5 2" xfId="44760" xr:uid="{00000000-0005-0000-0000-0000B9410000}"/>
    <cellStyle name="Comma 2 4 7 2 6" xfId="29633" xr:uid="{00000000-0005-0000-0000-0000BA410000}"/>
    <cellStyle name="Comma 2 4 7 2 7" xfId="33849" xr:uid="{00000000-0005-0000-0000-0000BB410000}"/>
    <cellStyle name="Comma 2 4 7 2 8" xfId="38053" xr:uid="{00000000-0005-0000-0000-0000BC410000}"/>
    <cellStyle name="Comma 2 4 7 3" xfId="6013" xr:uid="{00000000-0005-0000-0000-0000BD410000}"/>
    <cellStyle name="Comma 2 4 7 3 2" xfId="9796" xr:uid="{00000000-0005-0000-0000-0000BE410000}"/>
    <cellStyle name="Comma 2 4 7 3 2 2" xfId="11521" xr:uid="{00000000-0005-0000-0000-0000BF410000}"/>
    <cellStyle name="Comma 2 4 7 3 2 2 2" xfId="28280" xr:uid="{00000000-0005-0000-0000-0000C0410000}"/>
    <cellStyle name="Comma 2 4 7 3 2 2 2 2" xfId="45929" xr:uid="{00000000-0005-0000-0000-0000C1410000}"/>
    <cellStyle name="Comma 2 4 7 3 2 2 3" xfId="32493" xr:uid="{00000000-0005-0000-0000-0000C2410000}"/>
    <cellStyle name="Comma 2 4 7 3 2 2 4" xfId="36708" xr:uid="{00000000-0005-0000-0000-0000C3410000}"/>
    <cellStyle name="Comma 2 4 7 3 2 2 5" xfId="40912" xr:uid="{00000000-0005-0000-0000-0000C4410000}"/>
    <cellStyle name="Comma 2 4 7 3 2 3" xfId="27283" xr:uid="{00000000-0005-0000-0000-0000C5410000}"/>
    <cellStyle name="Comma 2 4 7 3 2 3 2" xfId="45161" xr:uid="{00000000-0005-0000-0000-0000C6410000}"/>
    <cellStyle name="Comma 2 4 7 3 2 4" xfId="31496" xr:uid="{00000000-0005-0000-0000-0000C7410000}"/>
    <cellStyle name="Comma 2 4 7 3 2 5" xfId="35711" xr:uid="{00000000-0005-0000-0000-0000C8410000}"/>
    <cellStyle name="Comma 2 4 7 3 2 6" xfId="39915" xr:uid="{00000000-0005-0000-0000-0000C9410000}"/>
    <cellStyle name="Comma 2 4 7 3 3" xfId="10533" xr:uid="{00000000-0005-0000-0000-0000CA410000}"/>
    <cellStyle name="Comma 2 4 7 3 3 2" xfId="27748" xr:uid="{00000000-0005-0000-0000-0000CB410000}"/>
    <cellStyle name="Comma 2 4 7 3 3 2 2" xfId="45426" xr:uid="{00000000-0005-0000-0000-0000CC410000}"/>
    <cellStyle name="Comma 2 4 7 3 3 3" xfId="31961" xr:uid="{00000000-0005-0000-0000-0000CD410000}"/>
    <cellStyle name="Comma 2 4 7 3 3 4" xfId="36176" xr:uid="{00000000-0005-0000-0000-0000CE410000}"/>
    <cellStyle name="Comma 2 4 7 3 3 5" xfId="40380" xr:uid="{00000000-0005-0000-0000-0000CF410000}"/>
    <cellStyle name="Comma 2 4 7 3 4" xfId="25326" xr:uid="{00000000-0005-0000-0000-0000D0410000}"/>
    <cellStyle name="Comma 2 4 7 3 4 2" xfId="44665" xr:uid="{00000000-0005-0000-0000-0000D1410000}"/>
    <cellStyle name="Comma 2 4 7 3 5" xfId="29538" xr:uid="{00000000-0005-0000-0000-0000D2410000}"/>
    <cellStyle name="Comma 2 4 7 3 6" xfId="33754" xr:uid="{00000000-0005-0000-0000-0000D3410000}"/>
    <cellStyle name="Comma 2 4 7 3 7" xfId="37958" xr:uid="{00000000-0005-0000-0000-0000D4410000}"/>
    <cellStyle name="Comma 2 4 7 4" xfId="8038" xr:uid="{00000000-0005-0000-0000-0000D5410000}"/>
    <cellStyle name="Comma 2 4 7 5" xfId="9678" xr:uid="{00000000-0005-0000-0000-0000D6410000}"/>
    <cellStyle name="Comma 2 4 7 5 2" xfId="11425" xr:uid="{00000000-0005-0000-0000-0000D7410000}"/>
    <cellStyle name="Comma 2 4 7 5 2 2" xfId="28185" xr:uid="{00000000-0005-0000-0000-0000D8410000}"/>
    <cellStyle name="Comma 2 4 7 5 2 2 2" xfId="45834" xr:uid="{00000000-0005-0000-0000-0000D9410000}"/>
    <cellStyle name="Comma 2 4 7 5 2 3" xfId="32398" xr:uid="{00000000-0005-0000-0000-0000DA410000}"/>
    <cellStyle name="Comma 2 4 7 5 2 4" xfId="36613" xr:uid="{00000000-0005-0000-0000-0000DB410000}"/>
    <cellStyle name="Comma 2 4 7 5 2 5" xfId="40817" xr:uid="{00000000-0005-0000-0000-0000DC410000}"/>
    <cellStyle name="Comma 2 4 7 5 3" xfId="27189" xr:uid="{00000000-0005-0000-0000-0000DD410000}"/>
    <cellStyle name="Comma 2 4 7 5 3 2" xfId="45058" xr:uid="{00000000-0005-0000-0000-0000DE410000}"/>
    <cellStyle name="Comma 2 4 7 5 4" xfId="31402" xr:uid="{00000000-0005-0000-0000-0000DF410000}"/>
    <cellStyle name="Comma 2 4 7 5 5" xfId="35617" xr:uid="{00000000-0005-0000-0000-0000E0410000}"/>
    <cellStyle name="Comma 2 4 7 5 6" xfId="39821" xr:uid="{00000000-0005-0000-0000-0000E1410000}"/>
    <cellStyle name="Comma 2 4 7 6" xfId="10416" xr:uid="{00000000-0005-0000-0000-0000E2410000}"/>
    <cellStyle name="Comma 2 4 7 6 2" xfId="27654" xr:uid="{00000000-0005-0000-0000-0000E3410000}"/>
    <cellStyle name="Comma 2 4 7 6 2 2" xfId="45332" xr:uid="{00000000-0005-0000-0000-0000E4410000}"/>
    <cellStyle name="Comma 2 4 7 6 3" xfId="31867" xr:uid="{00000000-0005-0000-0000-0000E5410000}"/>
    <cellStyle name="Comma 2 4 7 6 4" xfId="36082" xr:uid="{00000000-0005-0000-0000-0000E6410000}"/>
    <cellStyle name="Comma 2 4 7 6 5" xfId="40286" xr:uid="{00000000-0005-0000-0000-0000E7410000}"/>
    <cellStyle name="Comma 2 4 7 7" xfId="25231" xr:uid="{00000000-0005-0000-0000-0000E8410000}"/>
    <cellStyle name="Comma 2 4 7 7 2" xfId="44570" xr:uid="{00000000-0005-0000-0000-0000E9410000}"/>
    <cellStyle name="Comma 2 4 7 8" xfId="29443" xr:uid="{00000000-0005-0000-0000-0000EA410000}"/>
    <cellStyle name="Comma 2 4 7 9" xfId="33659" xr:uid="{00000000-0005-0000-0000-0000EB410000}"/>
    <cellStyle name="Comma 2 4 8" xfId="6064" xr:uid="{00000000-0005-0000-0000-0000EC410000}"/>
    <cellStyle name="Comma 2 4 8 2" xfId="9822" xr:uid="{00000000-0005-0000-0000-0000ED410000}"/>
    <cellStyle name="Comma 2 4 8 2 2" xfId="10559" xr:uid="{00000000-0005-0000-0000-0000EE410000}"/>
    <cellStyle name="Comma 2 4 8 2 2 2" xfId="27774" xr:uid="{00000000-0005-0000-0000-0000EF410000}"/>
    <cellStyle name="Comma 2 4 8 2 2 2 2" xfId="45452" xr:uid="{00000000-0005-0000-0000-0000F0410000}"/>
    <cellStyle name="Comma 2 4 8 2 2 3" xfId="31987" xr:uid="{00000000-0005-0000-0000-0000F1410000}"/>
    <cellStyle name="Comma 2 4 8 2 2 4" xfId="36202" xr:uid="{00000000-0005-0000-0000-0000F2410000}"/>
    <cellStyle name="Comma 2 4 8 2 2 5" xfId="40406" xr:uid="{00000000-0005-0000-0000-0000F3410000}"/>
    <cellStyle name="Comma 2 4 8 2 3" xfId="27309" xr:uid="{00000000-0005-0000-0000-0000F4410000}"/>
    <cellStyle name="Comma 2 4 8 2 3 2" xfId="45187" xr:uid="{00000000-0005-0000-0000-0000F5410000}"/>
    <cellStyle name="Comma 2 4 8 2 4" xfId="31522" xr:uid="{00000000-0005-0000-0000-0000F6410000}"/>
    <cellStyle name="Comma 2 4 8 2 5" xfId="35737" xr:uid="{00000000-0005-0000-0000-0000F7410000}"/>
    <cellStyle name="Comma 2 4 8 2 6" xfId="39941" xr:uid="{00000000-0005-0000-0000-0000F8410000}"/>
    <cellStyle name="Comma 2 4 8 3" xfId="9704" xr:uid="{00000000-0005-0000-0000-0000F9410000}"/>
    <cellStyle name="Comma 2 4 8 3 2" xfId="11572" xr:uid="{00000000-0005-0000-0000-0000FA410000}"/>
    <cellStyle name="Comma 2 4 8 3 2 2" xfId="28328" xr:uid="{00000000-0005-0000-0000-0000FB410000}"/>
    <cellStyle name="Comma 2 4 8 3 2 2 2" xfId="45977" xr:uid="{00000000-0005-0000-0000-0000FC410000}"/>
    <cellStyle name="Comma 2 4 8 3 2 3" xfId="32541" xr:uid="{00000000-0005-0000-0000-0000FD410000}"/>
    <cellStyle name="Comma 2 4 8 3 2 4" xfId="36756" xr:uid="{00000000-0005-0000-0000-0000FE410000}"/>
    <cellStyle name="Comma 2 4 8 3 2 5" xfId="40960" xr:uid="{00000000-0005-0000-0000-0000FF410000}"/>
    <cellStyle name="Comma 2 4 8 3 3" xfId="27215" xr:uid="{00000000-0005-0000-0000-000000420000}"/>
    <cellStyle name="Comma 2 4 8 3 3 2" xfId="45084" xr:uid="{00000000-0005-0000-0000-000001420000}"/>
    <cellStyle name="Comma 2 4 8 3 4" xfId="31428" xr:uid="{00000000-0005-0000-0000-000002420000}"/>
    <cellStyle name="Comma 2 4 8 3 5" xfId="35643" xr:uid="{00000000-0005-0000-0000-000003420000}"/>
    <cellStyle name="Comma 2 4 8 3 6" xfId="39847" xr:uid="{00000000-0005-0000-0000-000004420000}"/>
    <cellStyle name="Comma 2 4 8 4" xfId="10442" xr:uid="{00000000-0005-0000-0000-000005420000}"/>
    <cellStyle name="Comma 2 4 8 4 2" xfId="27680" xr:uid="{00000000-0005-0000-0000-000006420000}"/>
    <cellStyle name="Comma 2 4 8 4 2 2" xfId="45358" xr:uid="{00000000-0005-0000-0000-000007420000}"/>
    <cellStyle name="Comma 2 4 8 4 3" xfId="31893" xr:uid="{00000000-0005-0000-0000-000008420000}"/>
    <cellStyle name="Comma 2 4 8 4 4" xfId="36108" xr:uid="{00000000-0005-0000-0000-000009420000}"/>
    <cellStyle name="Comma 2 4 8 4 5" xfId="40312" xr:uid="{00000000-0005-0000-0000-00000A420000}"/>
    <cellStyle name="Comma 2 4 8 5" xfId="25374" xr:uid="{00000000-0005-0000-0000-00000B420000}"/>
    <cellStyle name="Comma 2 4 8 5 2" xfId="44713" xr:uid="{00000000-0005-0000-0000-00000C420000}"/>
    <cellStyle name="Comma 2 4 8 6" xfId="29586" xr:uid="{00000000-0005-0000-0000-00000D420000}"/>
    <cellStyle name="Comma 2 4 8 7" xfId="33802" xr:uid="{00000000-0005-0000-0000-00000E420000}"/>
    <cellStyle name="Comma 2 4 8 8" xfId="38006" xr:uid="{00000000-0005-0000-0000-00000F420000}"/>
    <cellStyle name="Comma 2 4 9" xfId="5966" xr:uid="{00000000-0005-0000-0000-000010420000}"/>
    <cellStyle name="Comma 2 4 9 2" xfId="9762" xr:uid="{00000000-0005-0000-0000-000011420000}"/>
    <cellStyle name="Comma 2 4 9 2 2" xfId="11474" xr:uid="{00000000-0005-0000-0000-000012420000}"/>
    <cellStyle name="Comma 2 4 9 2 2 2" xfId="28233" xr:uid="{00000000-0005-0000-0000-000013420000}"/>
    <cellStyle name="Comma 2 4 9 2 2 2 2" xfId="45882" xr:uid="{00000000-0005-0000-0000-000014420000}"/>
    <cellStyle name="Comma 2 4 9 2 2 3" xfId="32446" xr:uid="{00000000-0005-0000-0000-000015420000}"/>
    <cellStyle name="Comma 2 4 9 2 2 4" xfId="36661" xr:uid="{00000000-0005-0000-0000-000016420000}"/>
    <cellStyle name="Comma 2 4 9 2 2 5" xfId="40865" xr:uid="{00000000-0005-0000-0000-000017420000}"/>
    <cellStyle name="Comma 2 4 9 2 3" xfId="27262" xr:uid="{00000000-0005-0000-0000-000018420000}"/>
    <cellStyle name="Comma 2 4 9 2 3 2" xfId="45140" xr:uid="{00000000-0005-0000-0000-000019420000}"/>
    <cellStyle name="Comma 2 4 9 2 4" xfId="31475" xr:uid="{00000000-0005-0000-0000-00001A420000}"/>
    <cellStyle name="Comma 2 4 9 2 5" xfId="35690" xr:uid="{00000000-0005-0000-0000-00001B420000}"/>
    <cellStyle name="Comma 2 4 9 2 6" xfId="39894" xr:uid="{00000000-0005-0000-0000-00001C420000}"/>
    <cellStyle name="Comma 2 4 9 3" xfId="10489" xr:uid="{00000000-0005-0000-0000-00001D420000}"/>
    <cellStyle name="Comma 2 4 9 3 2" xfId="27727" xr:uid="{00000000-0005-0000-0000-00001E420000}"/>
    <cellStyle name="Comma 2 4 9 3 2 2" xfId="45405" xr:uid="{00000000-0005-0000-0000-00001F420000}"/>
    <cellStyle name="Comma 2 4 9 3 3" xfId="31940" xr:uid="{00000000-0005-0000-0000-000020420000}"/>
    <cellStyle name="Comma 2 4 9 3 4" xfId="36155" xr:uid="{00000000-0005-0000-0000-000021420000}"/>
    <cellStyle name="Comma 2 4 9 3 5" xfId="40359" xr:uid="{00000000-0005-0000-0000-000022420000}"/>
    <cellStyle name="Comma 2 4 9 4" xfId="25279" xr:uid="{00000000-0005-0000-0000-000023420000}"/>
    <cellStyle name="Comma 2 4 9 4 2" xfId="44618" xr:uid="{00000000-0005-0000-0000-000024420000}"/>
    <cellStyle name="Comma 2 4 9 5" xfId="29491" xr:uid="{00000000-0005-0000-0000-000025420000}"/>
    <cellStyle name="Comma 2 4 9 6" xfId="33707" xr:uid="{00000000-0005-0000-0000-000026420000}"/>
    <cellStyle name="Comma 2 4 9 7" xfId="37911" xr:uid="{00000000-0005-0000-0000-000027420000}"/>
    <cellStyle name="Comma 2 5" xfId="4429" xr:uid="{00000000-0005-0000-0000-000028420000}"/>
    <cellStyle name="Comma 2 5 10" xfId="6353" xr:uid="{00000000-0005-0000-0000-000029420000}"/>
    <cellStyle name="Comma 2 5 10 2" xfId="11765" xr:uid="{00000000-0005-0000-0000-00002A420000}"/>
    <cellStyle name="Comma 2 5 10 2 2" xfId="28487" xr:uid="{00000000-0005-0000-0000-00002B420000}"/>
    <cellStyle name="Comma 2 5 10 2 2 2" xfId="46136" xr:uid="{00000000-0005-0000-0000-00002C420000}"/>
    <cellStyle name="Comma 2 5 10 2 3" xfId="32700" xr:uid="{00000000-0005-0000-0000-00002D420000}"/>
    <cellStyle name="Comma 2 5 10 2 4" xfId="36915" xr:uid="{00000000-0005-0000-0000-00002E420000}"/>
    <cellStyle name="Comma 2 5 10 2 5" xfId="41119" xr:uid="{00000000-0005-0000-0000-00002F420000}"/>
    <cellStyle name="Comma 2 5 10 3" xfId="25543" xr:uid="{00000000-0005-0000-0000-000030420000}"/>
    <cellStyle name="Comma 2 5 10 3 2" xfId="44872" xr:uid="{00000000-0005-0000-0000-000031420000}"/>
    <cellStyle name="Comma 2 5 10 4" xfId="29755" xr:uid="{00000000-0005-0000-0000-000032420000}"/>
    <cellStyle name="Comma 2 5 10 5" xfId="33971" xr:uid="{00000000-0005-0000-0000-000033420000}"/>
    <cellStyle name="Comma 2 5 10 6" xfId="38175" xr:uid="{00000000-0005-0000-0000-000034420000}"/>
    <cellStyle name="Comma 2 5 11" xfId="9658" xr:uid="{00000000-0005-0000-0000-000035420000}"/>
    <cellStyle name="Comma 2 5 11 2" xfId="11244" xr:uid="{00000000-0005-0000-0000-000036420000}"/>
    <cellStyle name="Comma 2 5 11 2 2" xfId="28091" xr:uid="{00000000-0005-0000-0000-000037420000}"/>
    <cellStyle name="Comma 2 5 11 2 2 2" xfId="45768" xr:uid="{00000000-0005-0000-0000-000038420000}"/>
    <cellStyle name="Comma 2 5 11 2 3" xfId="32304" xr:uid="{00000000-0005-0000-0000-000039420000}"/>
    <cellStyle name="Comma 2 5 11 2 4" xfId="36519" xr:uid="{00000000-0005-0000-0000-00003A420000}"/>
    <cellStyle name="Comma 2 5 11 2 5" xfId="40723" xr:uid="{00000000-0005-0000-0000-00003B420000}"/>
    <cellStyle name="Comma 2 5 11 3" xfId="27173" xr:uid="{00000000-0005-0000-0000-00003C420000}"/>
    <cellStyle name="Comma 2 5 11 3 2" xfId="45042" xr:uid="{00000000-0005-0000-0000-00003D420000}"/>
    <cellStyle name="Comma 2 5 11 4" xfId="31386" xr:uid="{00000000-0005-0000-0000-00003E420000}"/>
    <cellStyle name="Comma 2 5 11 5" xfId="35601" xr:uid="{00000000-0005-0000-0000-00003F420000}"/>
    <cellStyle name="Comma 2 5 11 6" xfId="39805" xr:uid="{00000000-0005-0000-0000-000040420000}"/>
    <cellStyle name="Comma 2 5 12" xfId="10247" xr:uid="{00000000-0005-0000-0000-000041420000}"/>
    <cellStyle name="Comma 2 5 12 2" xfId="27638" xr:uid="{00000000-0005-0000-0000-000042420000}"/>
    <cellStyle name="Comma 2 5 12 2 2" xfId="45316" xr:uid="{00000000-0005-0000-0000-000043420000}"/>
    <cellStyle name="Comma 2 5 12 3" xfId="31851" xr:uid="{00000000-0005-0000-0000-000044420000}"/>
    <cellStyle name="Comma 2 5 12 4" xfId="36066" xr:uid="{00000000-0005-0000-0000-000045420000}"/>
    <cellStyle name="Comma 2 5 12 5" xfId="40270" xr:uid="{00000000-0005-0000-0000-000046420000}"/>
    <cellStyle name="Comma 2 5 13" xfId="12648" xr:uid="{00000000-0005-0000-0000-000047420000}"/>
    <cellStyle name="Comma 2 5 13 2" xfId="28871" xr:uid="{00000000-0005-0000-0000-000048420000}"/>
    <cellStyle name="Comma 2 5 13 3" xfId="33084" xr:uid="{00000000-0005-0000-0000-000049420000}"/>
    <cellStyle name="Comma 2 5 13 4" xfId="37299" xr:uid="{00000000-0005-0000-0000-00004A420000}"/>
    <cellStyle name="Comma 2 5 13 5" xfId="44509" xr:uid="{00000000-0005-0000-0000-00004B420000}"/>
    <cellStyle name="Comma 2 5 14" xfId="23568" xr:uid="{00000000-0005-0000-0000-00004C420000}"/>
    <cellStyle name="Comma 2 5 14 2" xfId="29002" xr:uid="{00000000-0005-0000-0000-00004D420000}"/>
    <cellStyle name="Comma 2 5 14 3" xfId="33219" xr:uid="{00000000-0005-0000-0000-00004E420000}"/>
    <cellStyle name="Comma 2 5 14 4" xfId="37430" xr:uid="{00000000-0005-0000-0000-00004F420000}"/>
    <cellStyle name="Comma 2 5 15" xfId="24901" xr:uid="{00000000-0005-0000-0000-000050420000}"/>
    <cellStyle name="Comma 2 5 16" xfId="29113" xr:uid="{00000000-0005-0000-0000-000051420000}"/>
    <cellStyle name="Comma 2 5 17" xfId="33329" xr:uid="{00000000-0005-0000-0000-000052420000}"/>
    <cellStyle name="Comma 2 5 18" xfId="37533" xr:uid="{00000000-0005-0000-0000-000053420000}"/>
    <cellStyle name="Comma 2 5 2" xfId="5867" xr:uid="{00000000-0005-0000-0000-000054420000}"/>
    <cellStyle name="Comma 2 5 2 10" xfId="24332" xr:uid="{00000000-0005-0000-0000-000055420000}"/>
    <cellStyle name="Comma 2 5 2 10 2" xfId="29019" xr:uid="{00000000-0005-0000-0000-000056420000}"/>
    <cellStyle name="Comma 2 5 2 10 3" xfId="33236" xr:uid="{00000000-0005-0000-0000-000057420000}"/>
    <cellStyle name="Comma 2 5 2 10 4" xfId="37447" xr:uid="{00000000-0005-0000-0000-000058420000}"/>
    <cellStyle name="Comma 2 5 2 11" xfId="25194" xr:uid="{00000000-0005-0000-0000-000059420000}"/>
    <cellStyle name="Comma 2 5 2 12" xfId="29406" xr:uid="{00000000-0005-0000-0000-00005A420000}"/>
    <cellStyle name="Comma 2 5 2 13" xfId="33622" xr:uid="{00000000-0005-0000-0000-00005B420000}"/>
    <cellStyle name="Comma 2 5 2 14" xfId="37826" xr:uid="{00000000-0005-0000-0000-00005C420000}"/>
    <cellStyle name="Comma 2 5 2 2" xfId="5928" xr:uid="{00000000-0005-0000-0000-00005D420000}"/>
    <cellStyle name="Comma 2 5 2 2 10" xfId="37875" xr:uid="{00000000-0005-0000-0000-00005E420000}"/>
    <cellStyle name="Comma 2 5 2 2 2" xfId="6123" xr:uid="{00000000-0005-0000-0000-00005F420000}"/>
    <cellStyle name="Comma 2 5 2 2 2 2" xfId="9828" xr:uid="{00000000-0005-0000-0000-000060420000}"/>
    <cellStyle name="Comma 2 5 2 2 2 2 2" xfId="11631" xr:uid="{00000000-0005-0000-0000-000061420000}"/>
    <cellStyle name="Comma 2 5 2 2 2 2 2 2" xfId="28387" xr:uid="{00000000-0005-0000-0000-000062420000}"/>
    <cellStyle name="Comma 2 5 2 2 2 2 2 2 2" xfId="46036" xr:uid="{00000000-0005-0000-0000-000063420000}"/>
    <cellStyle name="Comma 2 5 2 2 2 2 2 3" xfId="32600" xr:uid="{00000000-0005-0000-0000-000064420000}"/>
    <cellStyle name="Comma 2 5 2 2 2 2 2 4" xfId="36815" xr:uid="{00000000-0005-0000-0000-000065420000}"/>
    <cellStyle name="Comma 2 5 2 2 2 2 2 5" xfId="41019" xr:uid="{00000000-0005-0000-0000-000066420000}"/>
    <cellStyle name="Comma 2 5 2 2 2 2 3" xfId="27315" xr:uid="{00000000-0005-0000-0000-000067420000}"/>
    <cellStyle name="Comma 2 5 2 2 2 2 3 2" xfId="45193" xr:uid="{00000000-0005-0000-0000-000068420000}"/>
    <cellStyle name="Comma 2 5 2 2 2 2 4" xfId="31528" xr:uid="{00000000-0005-0000-0000-000069420000}"/>
    <cellStyle name="Comma 2 5 2 2 2 2 5" xfId="35743" xr:uid="{00000000-0005-0000-0000-00006A420000}"/>
    <cellStyle name="Comma 2 5 2 2 2 2 6" xfId="39947" xr:uid="{00000000-0005-0000-0000-00006B420000}"/>
    <cellStyle name="Comma 2 5 2 2 2 3" xfId="10565" xr:uid="{00000000-0005-0000-0000-00006C420000}"/>
    <cellStyle name="Comma 2 5 2 2 2 3 2" xfId="27780" xr:uid="{00000000-0005-0000-0000-00006D420000}"/>
    <cellStyle name="Comma 2 5 2 2 2 3 2 2" xfId="45458" xr:uid="{00000000-0005-0000-0000-00006E420000}"/>
    <cellStyle name="Comma 2 5 2 2 2 3 3" xfId="31993" xr:uid="{00000000-0005-0000-0000-00006F420000}"/>
    <cellStyle name="Comma 2 5 2 2 2 3 4" xfId="36208" xr:uid="{00000000-0005-0000-0000-000070420000}"/>
    <cellStyle name="Comma 2 5 2 2 2 3 5" xfId="40412" xr:uid="{00000000-0005-0000-0000-000071420000}"/>
    <cellStyle name="Comma 2 5 2 2 2 4" xfId="25433" xr:uid="{00000000-0005-0000-0000-000072420000}"/>
    <cellStyle name="Comma 2 5 2 2 2 4 2" xfId="44772" xr:uid="{00000000-0005-0000-0000-000073420000}"/>
    <cellStyle name="Comma 2 5 2 2 2 5" xfId="29645" xr:uid="{00000000-0005-0000-0000-000074420000}"/>
    <cellStyle name="Comma 2 5 2 2 2 6" xfId="33861" xr:uid="{00000000-0005-0000-0000-000075420000}"/>
    <cellStyle name="Comma 2 5 2 2 2 7" xfId="38065" xr:uid="{00000000-0005-0000-0000-000076420000}"/>
    <cellStyle name="Comma 2 5 2 2 3" xfId="6025" xr:uid="{00000000-0005-0000-0000-000077420000}"/>
    <cellStyle name="Comma 2 5 2 2 3 2" xfId="11533" xr:uid="{00000000-0005-0000-0000-000078420000}"/>
    <cellStyle name="Comma 2 5 2 2 3 2 2" xfId="28292" xr:uid="{00000000-0005-0000-0000-000079420000}"/>
    <cellStyle name="Comma 2 5 2 2 3 2 2 2" xfId="45941" xr:uid="{00000000-0005-0000-0000-00007A420000}"/>
    <cellStyle name="Comma 2 5 2 2 3 2 3" xfId="32505" xr:uid="{00000000-0005-0000-0000-00007B420000}"/>
    <cellStyle name="Comma 2 5 2 2 3 2 4" xfId="36720" xr:uid="{00000000-0005-0000-0000-00007C420000}"/>
    <cellStyle name="Comma 2 5 2 2 3 2 5" xfId="40924" xr:uid="{00000000-0005-0000-0000-00007D420000}"/>
    <cellStyle name="Comma 2 5 2 2 3 3" xfId="25338" xr:uid="{00000000-0005-0000-0000-00007E420000}"/>
    <cellStyle name="Comma 2 5 2 2 3 3 2" xfId="44677" xr:uid="{00000000-0005-0000-0000-00007F420000}"/>
    <cellStyle name="Comma 2 5 2 2 3 4" xfId="29550" xr:uid="{00000000-0005-0000-0000-000080420000}"/>
    <cellStyle name="Comma 2 5 2 2 3 5" xfId="33766" xr:uid="{00000000-0005-0000-0000-000081420000}"/>
    <cellStyle name="Comma 2 5 2 2 3 6" xfId="37970" xr:uid="{00000000-0005-0000-0000-000082420000}"/>
    <cellStyle name="Comma 2 5 2 2 4" xfId="6894" xr:uid="{00000000-0005-0000-0000-000083420000}"/>
    <cellStyle name="Comma 2 5 2 2 4 2" xfId="11805" xr:uid="{00000000-0005-0000-0000-000084420000}"/>
    <cellStyle name="Comma 2 5 2 2 4 2 2" xfId="28525" xr:uid="{00000000-0005-0000-0000-000085420000}"/>
    <cellStyle name="Comma 2 5 2 2 4 2 2 2" xfId="46176" xr:uid="{00000000-0005-0000-0000-000086420000}"/>
    <cellStyle name="Comma 2 5 2 2 4 2 3" xfId="32738" xr:uid="{00000000-0005-0000-0000-000087420000}"/>
    <cellStyle name="Comma 2 5 2 2 4 2 4" xfId="36953" xr:uid="{00000000-0005-0000-0000-000088420000}"/>
    <cellStyle name="Comma 2 5 2 2 4 2 5" xfId="41157" xr:uid="{00000000-0005-0000-0000-000089420000}"/>
    <cellStyle name="Comma 2 5 2 2 4 3" xfId="25582" xr:uid="{00000000-0005-0000-0000-00008A420000}"/>
    <cellStyle name="Comma 2 5 2 2 4 3 2" xfId="44910" xr:uid="{00000000-0005-0000-0000-00008B420000}"/>
    <cellStyle name="Comma 2 5 2 2 4 4" xfId="29795" xr:uid="{00000000-0005-0000-0000-00008C420000}"/>
    <cellStyle name="Comma 2 5 2 2 4 5" xfId="34010" xr:uid="{00000000-0005-0000-0000-00008D420000}"/>
    <cellStyle name="Comma 2 5 2 2 4 6" xfId="38214" xr:uid="{00000000-0005-0000-0000-00008E420000}"/>
    <cellStyle name="Comma 2 5 2 2 5" xfId="9710" xr:uid="{00000000-0005-0000-0000-00008F420000}"/>
    <cellStyle name="Comma 2 5 2 2 5 2" xfId="11437" xr:uid="{00000000-0005-0000-0000-000090420000}"/>
    <cellStyle name="Comma 2 5 2 2 5 2 2" xfId="28197" xr:uid="{00000000-0005-0000-0000-000091420000}"/>
    <cellStyle name="Comma 2 5 2 2 5 2 2 2" xfId="45846" xr:uid="{00000000-0005-0000-0000-000092420000}"/>
    <cellStyle name="Comma 2 5 2 2 5 2 3" xfId="32410" xr:uid="{00000000-0005-0000-0000-000093420000}"/>
    <cellStyle name="Comma 2 5 2 2 5 2 4" xfId="36625" xr:uid="{00000000-0005-0000-0000-000094420000}"/>
    <cellStyle name="Comma 2 5 2 2 5 2 5" xfId="40829" xr:uid="{00000000-0005-0000-0000-000095420000}"/>
    <cellStyle name="Comma 2 5 2 2 5 3" xfId="27221" xr:uid="{00000000-0005-0000-0000-000096420000}"/>
    <cellStyle name="Comma 2 5 2 2 5 3 2" xfId="45090" xr:uid="{00000000-0005-0000-0000-000097420000}"/>
    <cellStyle name="Comma 2 5 2 2 5 4" xfId="31434" xr:uid="{00000000-0005-0000-0000-000098420000}"/>
    <cellStyle name="Comma 2 5 2 2 5 5" xfId="35649" xr:uid="{00000000-0005-0000-0000-000099420000}"/>
    <cellStyle name="Comma 2 5 2 2 5 6" xfId="39853" xr:uid="{00000000-0005-0000-0000-00009A420000}"/>
    <cellStyle name="Comma 2 5 2 2 6" xfId="10448" xr:uid="{00000000-0005-0000-0000-00009B420000}"/>
    <cellStyle name="Comma 2 5 2 2 6 2" xfId="27686" xr:uid="{00000000-0005-0000-0000-00009C420000}"/>
    <cellStyle name="Comma 2 5 2 2 6 2 2" xfId="45364" xr:uid="{00000000-0005-0000-0000-00009D420000}"/>
    <cellStyle name="Comma 2 5 2 2 6 3" xfId="31899" xr:uid="{00000000-0005-0000-0000-00009E420000}"/>
    <cellStyle name="Comma 2 5 2 2 6 4" xfId="36114" xr:uid="{00000000-0005-0000-0000-00009F420000}"/>
    <cellStyle name="Comma 2 5 2 2 6 5" xfId="40318" xr:uid="{00000000-0005-0000-0000-0000A0420000}"/>
    <cellStyle name="Comma 2 5 2 2 7" xfId="25243" xr:uid="{00000000-0005-0000-0000-0000A1420000}"/>
    <cellStyle name="Comma 2 5 2 2 7 2" xfId="44582" xr:uid="{00000000-0005-0000-0000-0000A2420000}"/>
    <cellStyle name="Comma 2 5 2 2 8" xfId="29455" xr:uid="{00000000-0005-0000-0000-0000A3420000}"/>
    <cellStyle name="Comma 2 5 2 2 9" xfId="33671" xr:uid="{00000000-0005-0000-0000-0000A4420000}"/>
    <cellStyle name="Comma 2 5 2 3" xfId="6076" xr:uid="{00000000-0005-0000-0000-0000A5420000}"/>
    <cellStyle name="Comma 2 5 2 3 2" xfId="9768" xr:uid="{00000000-0005-0000-0000-0000A6420000}"/>
    <cellStyle name="Comma 2 5 2 3 2 2" xfId="11584" xr:uid="{00000000-0005-0000-0000-0000A7420000}"/>
    <cellStyle name="Comma 2 5 2 3 2 2 2" xfId="28340" xr:uid="{00000000-0005-0000-0000-0000A8420000}"/>
    <cellStyle name="Comma 2 5 2 3 2 2 2 2" xfId="45989" xr:uid="{00000000-0005-0000-0000-0000A9420000}"/>
    <cellStyle name="Comma 2 5 2 3 2 2 3" xfId="32553" xr:uid="{00000000-0005-0000-0000-0000AA420000}"/>
    <cellStyle name="Comma 2 5 2 3 2 2 4" xfId="36768" xr:uid="{00000000-0005-0000-0000-0000AB420000}"/>
    <cellStyle name="Comma 2 5 2 3 2 2 5" xfId="40972" xr:uid="{00000000-0005-0000-0000-0000AC420000}"/>
    <cellStyle name="Comma 2 5 2 3 2 3" xfId="27268" xr:uid="{00000000-0005-0000-0000-0000AD420000}"/>
    <cellStyle name="Comma 2 5 2 3 2 3 2" xfId="45146" xr:uid="{00000000-0005-0000-0000-0000AE420000}"/>
    <cellStyle name="Comma 2 5 2 3 2 4" xfId="31481" xr:uid="{00000000-0005-0000-0000-0000AF420000}"/>
    <cellStyle name="Comma 2 5 2 3 2 5" xfId="35696" xr:uid="{00000000-0005-0000-0000-0000B0420000}"/>
    <cellStyle name="Comma 2 5 2 3 2 6" xfId="39900" xr:uid="{00000000-0005-0000-0000-0000B1420000}"/>
    <cellStyle name="Comma 2 5 2 3 3" xfId="10495" xr:uid="{00000000-0005-0000-0000-0000B2420000}"/>
    <cellStyle name="Comma 2 5 2 3 3 2" xfId="27733" xr:uid="{00000000-0005-0000-0000-0000B3420000}"/>
    <cellStyle name="Comma 2 5 2 3 3 2 2" xfId="45411" xr:uid="{00000000-0005-0000-0000-0000B4420000}"/>
    <cellStyle name="Comma 2 5 2 3 3 3" xfId="31946" xr:uid="{00000000-0005-0000-0000-0000B5420000}"/>
    <cellStyle name="Comma 2 5 2 3 3 4" xfId="36161" xr:uid="{00000000-0005-0000-0000-0000B6420000}"/>
    <cellStyle name="Comma 2 5 2 3 3 5" xfId="40365" xr:uid="{00000000-0005-0000-0000-0000B7420000}"/>
    <cellStyle name="Comma 2 5 2 3 4" xfId="25386" xr:uid="{00000000-0005-0000-0000-0000B8420000}"/>
    <cellStyle name="Comma 2 5 2 3 4 2" xfId="44725" xr:uid="{00000000-0005-0000-0000-0000B9420000}"/>
    <cellStyle name="Comma 2 5 2 3 5" xfId="29598" xr:uid="{00000000-0005-0000-0000-0000BA420000}"/>
    <cellStyle name="Comma 2 5 2 3 6" xfId="33814" xr:uid="{00000000-0005-0000-0000-0000BB420000}"/>
    <cellStyle name="Comma 2 5 2 3 7" xfId="38018" xr:uid="{00000000-0005-0000-0000-0000BC420000}"/>
    <cellStyle name="Comma 2 5 2 4" xfId="5978" xr:uid="{00000000-0005-0000-0000-0000BD420000}"/>
    <cellStyle name="Comma 2 5 2 4 2" xfId="11486" xr:uid="{00000000-0005-0000-0000-0000BE420000}"/>
    <cellStyle name="Comma 2 5 2 4 2 2" xfId="28245" xr:uid="{00000000-0005-0000-0000-0000BF420000}"/>
    <cellStyle name="Comma 2 5 2 4 2 2 2" xfId="45894" xr:uid="{00000000-0005-0000-0000-0000C0420000}"/>
    <cellStyle name="Comma 2 5 2 4 2 3" xfId="32458" xr:uid="{00000000-0005-0000-0000-0000C1420000}"/>
    <cellStyle name="Comma 2 5 2 4 2 4" xfId="36673" xr:uid="{00000000-0005-0000-0000-0000C2420000}"/>
    <cellStyle name="Comma 2 5 2 4 2 5" xfId="40877" xr:uid="{00000000-0005-0000-0000-0000C3420000}"/>
    <cellStyle name="Comma 2 5 2 4 3" xfId="25291" xr:uid="{00000000-0005-0000-0000-0000C4420000}"/>
    <cellStyle name="Comma 2 5 2 4 3 2" xfId="44630" xr:uid="{00000000-0005-0000-0000-0000C5420000}"/>
    <cellStyle name="Comma 2 5 2 4 4" xfId="29503" xr:uid="{00000000-0005-0000-0000-0000C6420000}"/>
    <cellStyle name="Comma 2 5 2 4 5" xfId="33719" xr:uid="{00000000-0005-0000-0000-0000C7420000}"/>
    <cellStyle name="Comma 2 5 2 4 6" xfId="37923" xr:uid="{00000000-0005-0000-0000-0000C8420000}"/>
    <cellStyle name="Comma 2 5 2 5" xfId="6179" xr:uid="{00000000-0005-0000-0000-0000C9420000}"/>
    <cellStyle name="Comma 2 5 2 5 2" xfId="11687" xr:uid="{00000000-0005-0000-0000-0000CA420000}"/>
    <cellStyle name="Comma 2 5 2 5 2 2" xfId="28443" xr:uid="{00000000-0005-0000-0000-0000CB420000}"/>
    <cellStyle name="Comma 2 5 2 5 2 2 2" xfId="46092" xr:uid="{00000000-0005-0000-0000-0000CC420000}"/>
    <cellStyle name="Comma 2 5 2 5 2 3" xfId="32656" xr:uid="{00000000-0005-0000-0000-0000CD420000}"/>
    <cellStyle name="Comma 2 5 2 5 2 4" xfId="36871" xr:uid="{00000000-0005-0000-0000-0000CE420000}"/>
    <cellStyle name="Comma 2 5 2 5 2 5" xfId="41075" xr:uid="{00000000-0005-0000-0000-0000CF420000}"/>
    <cellStyle name="Comma 2 5 2 5 3" xfId="25489" xr:uid="{00000000-0005-0000-0000-0000D0420000}"/>
    <cellStyle name="Comma 2 5 2 5 3 2" xfId="44828" xr:uid="{00000000-0005-0000-0000-0000D1420000}"/>
    <cellStyle name="Comma 2 5 2 5 4" xfId="29701" xr:uid="{00000000-0005-0000-0000-0000D2420000}"/>
    <cellStyle name="Comma 2 5 2 5 5" xfId="33917" xr:uid="{00000000-0005-0000-0000-0000D3420000}"/>
    <cellStyle name="Comma 2 5 2 5 6" xfId="38121" xr:uid="{00000000-0005-0000-0000-0000D4420000}"/>
    <cellStyle name="Comma 2 5 2 6" xfId="6354" xr:uid="{00000000-0005-0000-0000-0000D5420000}"/>
    <cellStyle name="Comma 2 5 2 6 2" xfId="11766" xr:uid="{00000000-0005-0000-0000-0000D6420000}"/>
    <cellStyle name="Comma 2 5 2 6 2 2" xfId="28488" xr:uid="{00000000-0005-0000-0000-0000D7420000}"/>
    <cellStyle name="Comma 2 5 2 6 2 2 2" xfId="46137" xr:uid="{00000000-0005-0000-0000-0000D8420000}"/>
    <cellStyle name="Comma 2 5 2 6 2 3" xfId="32701" xr:uid="{00000000-0005-0000-0000-0000D9420000}"/>
    <cellStyle name="Comma 2 5 2 6 2 4" xfId="36916" xr:uid="{00000000-0005-0000-0000-0000DA420000}"/>
    <cellStyle name="Comma 2 5 2 6 2 5" xfId="41120" xr:uid="{00000000-0005-0000-0000-0000DB420000}"/>
    <cellStyle name="Comma 2 5 2 6 3" xfId="25544" xr:uid="{00000000-0005-0000-0000-0000DC420000}"/>
    <cellStyle name="Comma 2 5 2 6 3 2" xfId="44873" xr:uid="{00000000-0005-0000-0000-0000DD420000}"/>
    <cellStyle name="Comma 2 5 2 6 4" xfId="29756" xr:uid="{00000000-0005-0000-0000-0000DE420000}"/>
    <cellStyle name="Comma 2 5 2 6 5" xfId="33972" xr:uid="{00000000-0005-0000-0000-0000DF420000}"/>
    <cellStyle name="Comma 2 5 2 6 6" xfId="38176" xr:uid="{00000000-0005-0000-0000-0000E0420000}"/>
    <cellStyle name="Comma 2 5 2 7" xfId="9659" xr:uid="{00000000-0005-0000-0000-0000E1420000}"/>
    <cellStyle name="Comma 2 5 2 7 2" xfId="11381" xr:uid="{00000000-0005-0000-0000-0000E2420000}"/>
    <cellStyle name="Comma 2 5 2 7 2 2" xfId="28150" xr:uid="{00000000-0005-0000-0000-0000E3420000}"/>
    <cellStyle name="Comma 2 5 2 7 2 2 2" xfId="45799" xr:uid="{00000000-0005-0000-0000-0000E4420000}"/>
    <cellStyle name="Comma 2 5 2 7 2 3" xfId="32363" xr:uid="{00000000-0005-0000-0000-0000E5420000}"/>
    <cellStyle name="Comma 2 5 2 7 2 4" xfId="36578" xr:uid="{00000000-0005-0000-0000-0000E6420000}"/>
    <cellStyle name="Comma 2 5 2 7 2 5" xfId="40782" xr:uid="{00000000-0005-0000-0000-0000E7420000}"/>
    <cellStyle name="Comma 2 5 2 7 3" xfId="27174" xr:uid="{00000000-0005-0000-0000-0000E8420000}"/>
    <cellStyle name="Comma 2 5 2 7 3 2" xfId="45043" xr:uid="{00000000-0005-0000-0000-0000E9420000}"/>
    <cellStyle name="Comma 2 5 2 7 4" xfId="31387" xr:uid="{00000000-0005-0000-0000-0000EA420000}"/>
    <cellStyle name="Comma 2 5 2 7 5" xfId="35602" xr:uid="{00000000-0005-0000-0000-0000EB420000}"/>
    <cellStyle name="Comma 2 5 2 7 6" xfId="39806" xr:uid="{00000000-0005-0000-0000-0000EC420000}"/>
    <cellStyle name="Comma 2 5 2 8" xfId="10248" xr:uid="{00000000-0005-0000-0000-0000ED420000}"/>
    <cellStyle name="Comma 2 5 2 8 2" xfId="27639" xr:uid="{00000000-0005-0000-0000-0000EE420000}"/>
    <cellStyle name="Comma 2 5 2 8 2 2" xfId="45317" xr:uid="{00000000-0005-0000-0000-0000EF420000}"/>
    <cellStyle name="Comma 2 5 2 8 3" xfId="31852" xr:uid="{00000000-0005-0000-0000-0000F0420000}"/>
    <cellStyle name="Comma 2 5 2 8 4" xfId="36067" xr:uid="{00000000-0005-0000-0000-0000F1420000}"/>
    <cellStyle name="Comma 2 5 2 8 5" xfId="40271" xr:uid="{00000000-0005-0000-0000-0000F2420000}"/>
    <cellStyle name="Comma 2 5 2 9" xfId="15693" xr:uid="{00000000-0005-0000-0000-0000F3420000}"/>
    <cellStyle name="Comma 2 5 2 9 2" xfId="28905" xr:uid="{00000000-0005-0000-0000-0000F4420000}"/>
    <cellStyle name="Comma 2 5 2 9 3" xfId="33119" xr:uid="{00000000-0005-0000-0000-0000F5420000}"/>
    <cellStyle name="Comma 2 5 2 9 4" xfId="37333" xr:uid="{00000000-0005-0000-0000-0000F6420000}"/>
    <cellStyle name="Comma 2 5 2 9 5" xfId="44535" xr:uid="{00000000-0005-0000-0000-0000F7420000}"/>
    <cellStyle name="Comma 2 5 3" xfId="5877" xr:uid="{00000000-0005-0000-0000-0000F8420000}"/>
    <cellStyle name="Comma 2 5 3 10" xfId="25204" xr:uid="{00000000-0005-0000-0000-0000F9420000}"/>
    <cellStyle name="Comma 2 5 3 11" xfId="29416" xr:uid="{00000000-0005-0000-0000-0000FA420000}"/>
    <cellStyle name="Comma 2 5 3 12" xfId="33632" xr:uid="{00000000-0005-0000-0000-0000FB420000}"/>
    <cellStyle name="Comma 2 5 3 13" xfId="37836" xr:uid="{00000000-0005-0000-0000-0000FC420000}"/>
    <cellStyle name="Comma 2 5 3 2" xfId="5938" xr:uid="{00000000-0005-0000-0000-0000FD420000}"/>
    <cellStyle name="Comma 2 5 3 2 10" xfId="37885" xr:uid="{00000000-0005-0000-0000-0000FE420000}"/>
    <cellStyle name="Comma 2 5 3 2 2" xfId="6133" xr:uid="{00000000-0005-0000-0000-0000FF420000}"/>
    <cellStyle name="Comma 2 5 3 2 2 2" xfId="9829" xr:uid="{00000000-0005-0000-0000-000000430000}"/>
    <cellStyle name="Comma 2 5 3 2 2 2 2" xfId="11641" xr:uid="{00000000-0005-0000-0000-000001430000}"/>
    <cellStyle name="Comma 2 5 3 2 2 2 2 2" xfId="28397" xr:uid="{00000000-0005-0000-0000-000002430000}"/>
    <cellStyle name="Comma 2 5 3 2 2 2 2 2 2" xfId="46046" xr:uid="{00000000-0005-0000-0000-000003430000}"/>
    <cellStyle name="Comma 2 5 3 2 2 2 2 3" xfId="32610" xr:uid="{00000000-0005-0000-0000-000004430000}"/>
    <cellStyle name="Comma 2 5 3 2 2 2 2 4" xfId="36825" xr:uid="{00000000-0005-0000-0000-000005430000}"/>
    <cellStyle name="Comma 2 5 3 2 2 2 2 5" xfId="41029" xr:uid="{00000000-0005-0000-0000-000006430000}"/>
    <cellStyle name="Comma 2 5 3 2 2 2 3" xfId="27316" xr:uid="{00000000-0005-0000-0000-000007430000}"/>
    <cellStyle name="Comma 2 5 3 2 2 2 3 2" xfId="45194" xr:uid="{00000000-0005-0000-0000-000008430000}"/>
    <cellStyle name="Comma 2 5 3 2 2 2 4" xfId="31529" xr:uid="{00000000-0005-0000-0000-000009430000}"/>
    <cellStyle name="Comma 2 5 3 2 2 2 5" xfId="35744" xr:uid="{00000000-0005-0000-0000-00000A430000}"/>
    <cellStyle name="Comma 2 5 3 2 2 2 6" xfId="39948" xr:uid="{00000000-0005-0000-0000-00000B430000}"/>
    <cellStyle name="Comma 2 5 3 2 2 3" xfId="10566" xr:uid="{00000000-0005-0000-0000-00000C430000}"/>
    <cellStyle name="Comma 2 5 3 2 2 3 2" xfId="27781" xr:uid="{00000000-0005-0000-0000-00000D430000}"/>
    <cellStyle name="Comma 2 5 3 2 2 3 2 2" xfId="45459" xr:uid="{00000000-0005-0000-0000-00000E430000}"/>
    <cellStyle name="Comma 2 5 3 2 2 3 3" xfId="31994" xr:uid="{00000000-0005-0000-0000-00000F430000}"/>
    <cellStyle name="Comma 2 5 3 2 2 3 4" xfId="36209" xr:uid="{00000000-0005-0000-0000-000010430000}"/>
    <cellStyle name="Comma 2 5 3 2 2 3 5" xfId="40413" xr:uid="{00000000-0005-0000-0000-000011430000}"/>
    <cellStyle name="Comma 2 5 3 2 2 4" xfId="25443" xr:uid="{00000000-0005-0000-0000-000012430000}"/>
    <cellStyle name="Comma 2 5 3 2 2 4 2" xfId="44782" xr:uid="{00000000-0005-0000-0000-000013430000}"/>
    <cellStyle name="Comma 2 5 3 2 2 5" xfId="29655" xr:uid="{00000000-0005-0000-0000-000014430000}"/>
    <cellStyle name="Comma 2 5 3 2 2 6" xfId="33871" xr:uid="{00000000-0005-0000-0000-000015430000}"/>
    <cellStyle name="Comma 2 5 3 2 2 7" xfId="38075" xr:uid="{00000000-0005-0000-0000-000016430000}"/>
    <cellStyle name="Comma 2 5 3 2 3" xfId="6035" xr:uid="{00000000-0005-0000-0000-000017430000}"/>
    <cellStyle name="Comma 2 5 3 2 3 2" xfId="11543" xr:uid="{00000000-0005-0000-0000-000018430000}"/>
    <cellStyle name="Comma 2 5 3 2 3 2 2" xfId="28302" xr:uid="{00000000-0005-0000-0000-000019430000}"/>
    <cellStyle name="Comma 2 5 3 2 3 2 2 2" xfId="45951" xr:uid="{00000000-0005-0000-0000-00001A430000}"/>
    <cellStyle name="Comma 2 5 3 2 3 2 3" xfId="32515" xr:uid="{00000000-0005-0000-0000-00001B430000}"/>
    <cellStyle name="Comma 2 5 3 2 3 2 4" xfId="36730" xr:uid="{00000000-0005-0000-0000-00001C430000}"/>
    <cellStyle name="Comma 2 5 3 2 3 2 5" xfId="40934" xr:uid="{00000000-0005-0000-0000-00001D430000}"/>
    <cellStyle name="Comma 2 5 3 2 3 3" xfId="25348" xr:uid="{00000000-0005-0000-0000-00001E430000}"/>
    <cellStyle name="Comma 2 5 3 2 3 3 2" xfId="44687" xr:uid="{00000000-0005-0000-0000-00001F430000}"/>
    <cellStyle name="Comma 2 5 3 2 3 4" xfId="29560" xr:uid="{00000000-0005-0000-0000-000020430000}"/>
    <cellStyle name="Comma 2 5 3 2 3 5" xfId="33776" xr:uid="{00000000-0005-0000-0000-000021430000}"/>
    <cellStyle name="Comma 2 5 3 2 3 6" xfId="37980" xr:uid="{00000000-0005-0000-0000-000022430000}"/>
    <cellStyle name="Comma 2 5 3 2 4" xfId="6895" xr:uid="{00000000-0005-0000-0000-000023430000}"/>
    <cellStyle name="Comma 2 5 3 2 4 2" xfId="11806" xr:uid="{00000000-0005-0000-0000-000024430000}"/>
    <cellStyle name="Comma 2 5 3 2 4 2 2" xfId="28526" xr:uid="{00000000-0005-0000-0000-000025430000}"/>
    <cellStyle name="Comma 2 5 3 2 4 2 2 2" xfId="46177" xr:uid="{00000000-0005-0000-0000-000026430000}"/>
    <cellStyle name="Comma 2 5 3 2 4 2 3" xfId="32739" xr:uid="{00000000-0005-0000-0000-000027430000}"/>
    <cellStyle name="Comma 2 5 3 2 4 2 4" xfId="36954" xr:uid="{00000000-0005-0000-0000-000028430000}"/>
    <cellStyle name="Comma 2 5 3 2 4 2 5" xfId="41158" xr:uid="{00000000-0005-0000-0000-000029430000}"/>
    <cellStyle name="Comma 2 5 3 2 4 3" xfId="25583" xr:uid="{00000000-0005-0000-0000-00002A430000}"/>
    <cellStyle name="Comma 2 5 3 2 4 3 2" xfId="44911" xr:uid="{00000000-0005-0000-0000-00002B430000}"/>
    <cellStyle name="Comma 2 5 3 2 4 4" xfId="29796" xr:uid="{00000000-0005-0000-0000-00002C430000}"/>
    <cellStyle name="Comma 2 5 3 2 4 5" xfId="34011" xr:uid="{00000000-0005-0000-0000-00002D430000}"/>
    <cellStyle name="Comma 2 5 3 2 4 6" xfId="38215" xr:uid="{00000000-0005-0000-0000-00002E430000}"/>
    <cellStyle name="Comma 2 5 3 2 5" xfId="9711" xr:uid="{00000000-0005-0000-0000-00002F430000}"/>
    <cellStyle name="Comma 2 5 3 2 5 2" xfId="11447" xr:uid="{00000000-0005-0000-0000-000030430000}"/>
    <cellStyle name="Comma 2 5 3 2 5 2 2" xfId="28207" xr:uid="{00000000-0005-0000-0000-000031430000}"/>
    <cellStyle name="Comma 2 5 3 2 5 2 2 2" xfId="45856" xr:uid="{00000000-0005-0000-0000-000032430000}"/>
    <cellStyle name="Comma 2 5 3 2 5 2 3" xfId="32420" xr:uid="{00000000-0005-0000-0000-000033430000}"/>
    <cellStyle name="Comma 2 5 3 2 5 2 4" xfId="36635" xr:uid="{00000000-0005-0000-0000-000034430000}"/>
    <cellStyle name="Comma 2 5 3 2 5 2 5" xfId="40839" xr:uid="{00000000-0005-0000-0000-000035430000}"/>
    <cellStyle name="Comma 2 5 3 2 5 3" xfId="27222" xr:uid="{00000000-0005-0000-0000-000036430000}"/>
    <cellStyle name="Comma 2 5 3 2 5 3 2" xfId="45091" xr:uid="{00000000-0005-0000-0000-000037430000}"/>
    <cellStyle name="Comma 2 5 3 2 5 4" xfId="31435" xr:uid="{00000000-0005-0000-0000-000038430000}"/>
    <cellStyle name="Comma 2 5 3 2 5 5" xfId="35650" xr:uid="{00000000-0005-0000-0000-000039430000}"/>
    <cellStyle name="Comma 2 5 3 2 5 6" xfId="39854" xr:uid="{00000000-0005-0000-0000-00003A430000}"/>
    <cellStyle name="Comma 2 5 3 2 6" xfId="10449" xr:uid="{00000000-0005-0000-0000-00003B430000}"/>
    <cellStyle name="Comma 2 5 3 2 6 2" xfId="27687" xr:uid="{00000000-0005-0000-0000-00003C430000}"/>
    <cellStyle name="Comma 2 5 3 2 6 2 2" xfId="45365" xr:uid="{00000000-0005-0000-0000-00003D430000}"/>
    <cellStyle name="Comma 2 5 3 2 6 3" xfId="31900" xr:uid="{00000000-0005-0000-0000-00003E430000}"/>
    <cellStyle name="Comma 2 5 3 2 6 4" xfId="36115" xr:uid="{00000000-0005-0000-0000-00003F430000}"/>
    <cellStyle name="Comma 2 5 3 2 6 5" xfId="40319" xr:uid="{00000000-0005-0000-0000-000040430000}"/>
    <cellStyle name="Comma 2 5 3 2 7" xfId="25253" xr:uid="{00000000-0005-0000-0000-000041430000}"/>
    <cellStyle name="Comma 2 5 3 2 7 2" xfId="44592" xr:uid="{00000000-0005-0000-0000-000042430000}"/>
    <cellStyle name="Comma 2 5 3 2 8" xfId="29465" xr:uid="{00000000-0005-0000-0000-000043430000}"/>
    <cellStyle name="Comma 2 5 3 2 9" xfId="33681" xr:uid="{00000000-0005-0000-0000-000044430000}"/>
    <cellStyle name="Comma 2 5 3 3" xfId="6086" xr:uid="{00000000-0005-0000-0000-000045430000}"/>
    <cellStyle name="Comma 2 5 3 3 2" xfId="9769" xr:uid="{00000000-0005-0000-0000-000046430000}"/>
    <cellStyle name="Comma 2 5 3 3 2 2" xfId="11594" xr:uid="{00000000-0005-0000-0000-000047430000}"/>
    <cellStyle name="Comma 2 5 3 3 2 2 2" xfId="28350" xr:uid="{00000000-0005-0000-0000-000048430000}"/>
    <cellStyle name="Comma 2 5 3 3 2 2 2 2" xfId="45999" xr:uid="{00000000-0005-0000-0000-000049430000}"/>
    <cellStyle name="Comma 2 5 3 3 2 2 3" xfId="32563" xr:uid="{00000000-0005-0000-0000-00004A430000}"/>
    <cellStyle name="Comma 2 5 3 3 2 2 4" xfId="36778" xr:uid="{00000000-0005-0000-0000-00004B430000}"/>
    <cellStyle name="Comma 2 5 3 3 2 2 5" xfId="40982" xr:uid="{00000000-0005-0000-0000-00004C430000}"/>
    <cellStyle name="Comma 2 5 3 3 2 3" xfId="27269" xr:uid="{00000000-0005-0000-0000-00004D430000}"/>
    <cellStyle name="Comma 2 5 3 3 2 3 2" xfId="45147" xr:uid="{00000000-0005-0000-0000-00004E430000}"/>
    <cellStyle name="Comma 2 5 3 3 2 4" xfId="31482" xr:uid="{00000000-0005-0000-0000-00004F430000}"/>
    <cellStyle name="Comma 2 5 3 3 2 5" xfId="35697" xr:uid="{00000000-0005-0000-0000-000050430000}"/>
    <cellStyle name="Comma 2 5 3 3 2 6" xfId="39901" xr:uid="{00000000-0005-0000-0000-000051430000}"/>
    <cellStyle name="Comma 2 5 3 3 3" xfId="10496" xr:uid="{00000000-0005-0000-0000-000052430000}"/>
    <cellStyle name="Comma 2 5 3 3 3 2" xfId="27734" xr:uid="{00000000-0005-0000-0000-000053430000}"/>
    <cellStyle name="Comma 2 5 3 3 3 2 2" xfId="45412" xr:uid="{00000000-0005-0000-0000-000054430000}"/>
    <cellStyle name="Comma 2 5 3 3 3 3" xfId="31947" xr:uid="{00000000-0005-0000-0000-000055430000}"/>
    <cellStyle name="Comma 2 5 3 3 3 4" xfId="36162" xr:uid="{00000000-0005-0000-0000-000056430000}"/>
    <cellStyle name="Comma 2 5 3 3 3 5" xfId="40366" xr:uid="{00000000-0005-0000-0000-000057430000}"/>
    <cellStyle name="Comma 2 5 3 3 4" xfId="25396" xr:uid="{00000000-0005-0000-0000-000058430000}"/>
    <cellStyle name="Comma 2 5 3 3 4 2" xfId="44735" xr:uid="{00000000-0005-0000-0000-000059430000}"/>
    <cellStyle name="Comma 2 5 3 3 5" xfId="29608" xr:uid="{00000000-0005-0000-0000-00005A430000}"/>
    <cellStyle name="Comma 2 5 3 3 6" xfId="33824" xr:uid="{00000000-0005-0000-0000-00005B430000}"/>
    <cellStyle name="Comma 2 5 3 3 7" xfId="38028" xr:uid="{00000000-0005-0000-0000-00005C430000}"/>
    <cellStyle name="Comma 2 5 3 4" xfId="5988" xr:uid="{00000000-0005-0000-0000-00005D430000}"/>
    <cellStyle name="Comma 2 5 3 4 2" xfId="11496" xr:uid="{00000000-0005-0000-0000-00005E430000}"/>
    <cellStyle name="Comma 2 5 3 4 2 2" xfId="28255" xr:uid="{00000000-0005-0000-0000-00005F430000}"/>
    <cellStyle name="Comma 2 5 3 4 2 2 2" xfId="45904" xr:uid="{00000000-0005-0000-0000-000060430000}"/>
    <cellStyle name="Comma 2 5 3 4 2 3" xfId="32468" xr:uid="{00000000-0005-0000-0000-000061430000}"/>
    <cellStyle name="Comma 2 5 3 4 2 4" xfId="36683" xr:uid="{00000000-0005-0000-0000-000062430000}"/>
    <cellStyle name="Comma 2 5 3 4 2 5" xfId="40887" xr:uid="{00000000-0005-0000-0000-000063430000}"/>
    <cellStyle name="Comma 2 5 3 4 3" xfId="25301" xr:uid="{00000000-0005-0000-0000-000064430000}"/>
    <cellStyle name="Comma 2 5 3 4 3 2" xfId="44640" xr:uid="{00000000-0005-0000-0000-000065430000}"/>
    <cellStyle name="Comma 2 5 3 4 4" xfId="29513" xr:uid="{00000000-0005-0000-0000-000066430000}"/>
    <cellStyle name="Comma 2 5 3 4 5" xfId="33729" xr:uid="{00000000-0005-0000-0000-000067430000}"/>
    <cellStyle name="Comma 2 5 3 4 6" xfId="37933" xr:uid="{00000000-0005-0000-0000-000068430000}"/>
    <cellStyle name="Comma 2 5 3 5" xfId="6180" xr:uid="{00000000-0005-0000-0000-000069430000}"/>
    <cellStyle name="Comma 2 5 3 5 2" xfId="11688" xr:uid="{00000000-0005-0000-0000-00006A430000}"/>
    <cellStyle name="Comma 2 5 3 5 2 2" xfId="28444" xr:uid="{00000000-0005-0000-0000-00006B430000}"/>
    <cellStyle name="Comma 2 5 3 5 2 2 2" xfId="46093" xr:uid="{00000000-0005-0000-0000-00006C430000}"/>
    <cellStyle name="Comma 2 5 3 5 2 3" xfId="32657" xr:uid="{00000000-0005-0000-0000-00006D430000}"/>
    <cellStyle name="Comma 2 5 3 5 2 4" xfId="36872" xr:uid="{00000000-0005-0000-0000-00006E430000}"/>
    <cellStyle name="Comma 2 5 3 5 2 5" xfId="41076" xr:uid="{00000000-0005-0000-0000-00006F430000}"/>
    <cellStyle name="Comma 2 5 3 5 3" xfId="25490" xr:uid="{00000000-0005-0000-0000-000070430000}"/>
    <cellStyle name="Comma 2 5 3 5 3 2" xfId="44829" xr:uid="{00000000-0005-0000-0000-000071430000}"/>
    <cellStyle name="Comma 2 5 3 5 4" xfId="29702" xr:uid="{00000000-0005-0000-0000-000072430000}"/>
    <cellStyle name="Comma 2 5 3 5 5" xfId="33918" xr:uid="{00000000-0005-0000-0000-000073430000}"/>
    <cellStyle name="Comma 2 5 3 5 6" xfId="38122" xr:uid="{00000000-0005-0000-0000-000074430000}"/>
    <cellStyle name="Comma 2 5 3 6" xfId="6355" xr:uid="{00000000-0005-0000-0000-000075430000}"/>
    <cellStyle name="Comma 2 5 3 6 2" xfId="11767" xr:uid="{00000000-0005-0000-0000-000076430000}"/>
    <cellStyle name="Comma 2 5 3 6 2 2" xfId="28489" xr:uid="{00000000-0005-0000-0000-000077430000}"/>
    <cellStyle name="Comma 2 5 3 6 2 2 2" xfId="46138" xr:uid="{00000000-0005-0000-0000-000078430000}"/>
    <cellStyle name="Comma 2 5 3 6 2 3" xfId="32702" xr:uid="{00000000-0005-0000-0000-000079430000}"/>
    <cellStyle name="Comma 2 5 3 6 2 4" xfId="36917" xr:uid="{00000000-0005-0000-0000-00007A430000}"/>
    <cellStyle name="Comma 2 5 3 6 2 5" xfId="41121" xr:uid="{00000000-0005-0000-0000-00007B430000}"/>
    <cellStyle name="Comma 2 5 3 6 3" xfId="25545" xr:uid="{00000000-0005-0000-0000-00007C430000}"/>
    <cellStyle name="Comma 2 5 3 6 3 2" xfId="44874" xr:uid="{00000000-0005-0000-0000-00007D430000}"/>
    <cellStyle name="Comma 2 5 3 6 4" xfId="29757" xr:uid="{00000000-0005-0000-0000-00007E430000}"/>
    <cellStyle name="Comma 2 5 3 6 5" xfId="33973" xr:uid="{00000000-0005-0000-0000-00007F430000}"/>
    <cellStyle name="Comma 2 5 3 6 6" xfId="38177" xr:uid="{00000000-0005-0000-0000-000080430000}"/>
    <cellStyle name="Comma 2 5 3 7" xfId="9660" xr:uid="{00000000-0005-0000-0000-000081430000}"/>
    <cellStyle name="Comma 2 5 3 7 2" xfId="11391" xr:uid="{00000000-0005-0000-0000-000082430000}"/>
    <cellStyle name="Comma 2 5 3 7 2 2" xfId="28160" xr:uid="{00000000-0005-0000-0000-000083430000}"/>
    <cellStyle name="Comma 2 5 3 7 2 2 2" xfId="45809" xr:uid="{00000000-0005-0000-0000-000084430000}"/>
    <cellStyle name="Comma 2 5 3 7 2 3" xfId="32373" xr:uid="{00000000-0005-0000-0000-000085430000}"/>
    <cellStyle name="Comma 2 5 3 7 2 4" xfId="36588" xr:uid="{00000000-0005-0000-0000-000086430000}"/>
    <cellStyle name="Comma 2 5 3 7 2 5" xfId="40792" xr:uid="{00000000-0005-0000-0000-000087430000}"/>
    <cellStyle name="Comma 2 5 3 7 3" xfId="27175" xr:uid="{00000000-0005-0000-0000-000088430000}"/>
    <cellStyle name="Comma 2 5 3 7 3 2" xfId="45044" xr:uid="{00000000-0005-0000-0000-000089430000}"/>
    <cellStyle name="Comma 2 5 3 7 4" xfId="31388" xr:uid="{00000000-0005-0000-0000-00008A430000}"/>
    <cellStyle name="Comma 2 5 3 7 5" xfId="35603" xr:uid="{00000000-0005-0000-0000-00008B430000}"/>
    <cellStyle name="Comma 2 5 3 7 6" xfId="39807" xr:uid="{00000000-0005-0000-0000-00008C430000}"/>
    <cellStyle name="Comma 2 5 3 8" xfId="10249" xr:uid="{00000000-0005-0000-0000-00008D430000}"/>
    <cellStyle name="Comma 2 5 3 8 2" xfId="27640" xr:uid="{00000000-0005-0000-0000-00008E430000}"/>
    <cellStyle name="Comma 2 5 3 8 2 2" xfId="45318" xr:uid="{00000000-0005-0000-0000-00008F430000}"/>
    <cellStyle name="Comma 2 5 3 8 3" xfId="31853" xr:uid="{00000000-0005-0000-0000-000090430000}"/>
    <cellStyle name="Comma 2 5 3 8 4" xfId="36068" xr:uid="{00000000-0005-0000-0000-000091430000}"/>
    <cellStyle name="Comma 2 5 3 8 5" xfId="40272" xr:uid="{00000000-0005-0000-0000-000092430000}"/>
    <cellStyle name="Comma 2 5 3 9" xfId="17202" xr:uid="{00000000-0005-0000-0000-000093430000}"/>
    <cellStyle name="Comma 2 5 3 9 2" xfId="28920" xr:uid="{00000000-0005-0000-0000-000094430000}"/>
    <cellStyle name="Comma 2 5 3 9 3" xfId="33135" xr:uid="{00000000-0005-0000-0000-000095430000}"/>
    <cellStyle name="Comma 2 5 3 9 4" xfId="37348" xr:uid="{00000000-0005-0000-0000-000096430000}"/>
    <cellStyle name="Comma 2 5 3 9 5" xfId="44545" xr:uid="{00000000-0005-0000-0000-000097430000}"/>
    <cellStyle name="Comma 2 5 4" xfId="5901" xr:uid="{00000000-0005-0000-0000-000098430000}"/>
    <cellStyle name="Comma 2 5 4 10" xfId="29433" xr:uid="{00000000-0005-0000-0000-000099430000}"/>
    <cellStyle name="Comma 2 5 4 11" xfId="33649" xr:uid="{00000000-0005-0000-0000-00009A430000}"/>
    <cellStyle name="Comma 2 5 4 12" xfId="37853" xr:uid="{00000000-0005-0000-0000-00009B430000}"/>
    <cellStyle name="Comma 2 5 4 2" xfId="5953" xr:uid="{00000000-0005-0000-0000-00009C430000}"/>
    <cellStyle name="Comma 2 5 4 2 2" xfId="6148" xr:uid="{00000000-0005-0000-0000-00009D430000}"/>
    <cellStyle name="Comma 2 5 4 2 2 2" xfId="11656" xr:uid="{00000000-0005-0000-0000-00009E430000}"/>
    <cellStyle name="Comma 2 5 4 2 2 2 2" xfId="28412" xr:uid="{00000000-0005-0000-0000-00009F430000}"/>
    <cellStyle name="Comma 2 5 4 2 2 2 2 2" xfId="46061" xr:uid="{00000000-0005-0000-0000-0000A0430000}"/>
    <cellStyle name="Comma 2 5 4 2 2 2 3" xfId="32625" xr:uid="{00000000-0005-0000-0000-0000A1430000}"/>
    <cellStyle name="Comma 2 5 4 2 2 2 4" xfId="36840" xr:uid="{00000000-0005-0000-0000-0000A2430000}"/>
    <cellStyle name="Comma 2 5 4 2 2 2 5" xfId="41044" xr:uid="{00000000-0005-0000-0000-0000A3430000}"/>
    <cellStyle name="Comma 2 5 4 2 2 3" xfId="25458" xr:uid="{00000000-0005-0000-0000-0000A4430000}"/>
    <cellStyle name="Comma 2 5 4 2 2 3 2" xfId="44797" xr:uid="{00000000-0005-0000-0000-0000A5430000}"/>
    <cellStyle name="Comma 2 5 4 2 2 4" xfId="29670" xr:uid="{00000000-0005-0000-0000-0000A6430000}"/>
    <cellStyle name="Comma 2 5 4 2 2 5" xfId="33886" xr:uid="{00000000-0005-0000-0000-0000A7430000}"/>
    <cellStyle name="Comma 2 5 4 2 2 6" xfId="38090" xr:uid="{00000000-0005-0000-0000-0000A8430000}"/>
    <cellStyle name="Comma 2 5 4 2 3" xfId="6050" xr:uid="{00000000-0005-0000-0000-0000A9430000}"/>
    <cellStyle name="Comma 2 5 4 2 3 2" xfId="11558" xr:uid="{00000000-0005-0000-0000-0000AA430000}"/>
    <cellStyle name="Comma 2 5 4 2 3 2 2" xfId="28317" xr:uid="{00000000-0005-0000-0000-0000AB430000}"/>
    <cellStyle name="Comma 2 5 4 2 3 2 2 2" xfId="45966" xr:uid="{00000000-0005-0000-0000-0000AC430000}"/>
    <cellStyle name="Comma 2 5 4 2 3 2 3" xfId="32530" xr:uid="{00000000-0005-0000-0000-0000AD430000}"/>
    <cellStyle name="Comma 2 5 4 2 3 2 4" xfId="36745" xr:uid="{00000000-0005-0000-0000-0000AE430000}"/>
    <cellStyle name="Comma 2 5 4 2 3 2 5" xfId="40949" xr:uid="{00000000-0005-0000-0000-0000AF430000}"/>
    <cellStyle name="Comma 2 5 4 2 3 3" xfId="25363" xr:uid="{00000000-0005-0000-0000-0000B0430000}"/>
    <cellStyle name="Comma 2 5 4 2 3 3 2" xfId="44702" xr:uid="{00000000-0005-0000-0000-0000B1430000}"/>
    <cellStyle name="Comma 2 5 4 2 3 4" xfId="29575" xr:uid="{00000000-0005-0000-0000-0000B2430000}"/>
    <cellStyle name="Comma 2 5 4 2 3 5" xfId="33791" xr:uid="{00000000-0005-0000-0000-0000B3430000}"/>
    <cellStyle name="Comma 2 5 4 2 3 6" xfId="37995" xr:uid="{00000000-0005-0000-0000-0000B4430000}"/>
    <cellStyle name="Comma 2 5 4 2 4" xfId="9827" xr:uid="{00000000-0005-0000-0000-0000B5430000}"/>
    <cellStyle name="Comma 2 5 4 2 4 2" xfId="11462" xr:uid="{00000000-0005-0000-0000-0000B6430000}"/>
    <cellStyle name="Comma 2 5 4 2 4 2 2" xfId="28222" xr:uid="{00000000-0005-0000-0000-0000B7430000}"/>
    <cellStyle name="Comma 2 5 4 2 4 2 2 2" xfId="45871" xr:uid="{00000000-0005-0000-0000-0000B8430000}"/>
    <cellStyle name="Comma 2 5 4 2 4 2 3" xfId="32435" xr:uid="{00000000-0005-0000-0000-0000B9430000}"/>
    <cellStyle name="Comma 2 5 4 2 4 2 4" xfId="36650" xr:uid="{00000000-0005-0000-0000-0000BA430000}"/>
    <cellStyle name="Comma 2 5 4 2 4 2 5" xfId="40854" xr:uid="{00000000-0005-0000-0000-0000BB430000}"/>
    <cellStyle name="Comma 2 5 4 2 4 3" xfId="27314" xr:uid="{00000000-0005-0000-0000-0000BC430000}"/>
    <cellStyle name="Comma 2 5 4 2 4 3 2" xfId="45192" xr:uid="{00000000-0005-0000-0000-0000BD430000}"/>
    <cellStyle name="Comma 2 5 4 2 4 4" xfId="31527" xr:uid="{00000000-0005-0000-0000-0000BE430000}"/>
    <cellStyle name="Comma 2 5 4 2 4 5" xfId="35742" xr:uid="{00000000-0005-0000-0000-0000BF430000}"/>
    <cellStyle name="Comma 2 5 4 2 4 6" xfId="39946" xr:uid="{00000000-0005-0000-0000-0000C0430000}"/>
    <cellStyle name="Comma 2 5 4 2 5" xfId="10564" xr:uid="{00000000-0005-0000-0000-0000C1430000}"/>
    <cellStyle name="Comma 2 5 4 2 5 2" xfId="27779" xr:uid="{00000000-0005-0000-0000-0000C2430000}"/>
    <cellStyle name="Comma 2 5 4 2 5 2 2" xfId="45457" xr:uid="{00000000-0005-0000-0000-0000C3430000}"/>
    <cellStyle name="Comma 2 5 4 2 5 3" xfId="31992" xr:uid="{00000000-0005-0000-0000-0000C4430000}"/>
    <cellStyle name="Comma 2 5 4 2 5 4" xfId="36207" xr:uid="{00000000-0005-0000-0000-0000C5430000}"/>
    <cellStyle name="Comma 2 5 4 2 5 5" xfId="40411" xr:uid="{00000000-0005-0000-0000-0000C6430000}"/>
    <cellStyle name="Comma 2 5 4 2 6" xfId="25268" xr:uid="{00000000-0005-0000-0000-0000C7430000}"/>
    <cellStyle name="Comma 2 5 4 2 6 2" xfId="44607" xr:uid="{00000000-0005-0000-0000-0000C8430000}"/>
    <cellStyle name="Comma 2 5 4 2 7" xfId="29480" xr:uid="{00000000-0005-0000-0000-0000C9430000}"/>
    <cellStyle name="Comma 2 5 4 2 8" xfId="33696" xr:uid="{00000000-0005-0000-0000-0000CA430000}"/>
    <cellStyle name="Comma 2 5 4 2 9" xfId="37900" xr:uid="{00000000-0005-0000-0000-0000CB430000}"/>
    <cellStyle name="Comma 2 5 4 3" xfId="6101" xr:uid="{00000000-0005-0000-0000-0000CC430000}"/>
    <cellStyle name="Comma 2 5 4 3 2" xfId="11609" xr:uid="{00000000-0005-0000-0000-0000CD430000}"/>
    <cellStyle name="Comma 2 5 4 3 2 2" xfId="28365" xr:uid="{00000000-0005-0000-0000-0000CE430000}"/>
    <cellStyle name="Comma 2 5 4 3 2 2 2" xfId="46014" xr:uid="{00000000-0005-0000-0000-0000CF430000}"/>
    <cellStyle name="Comma 2 5 4 3 2 3" xfId="32578" xr:uid="{00000000-0005-0000-0000-0000D0430000}"/>
    <cellStyle name="Comma 2 5 4 3 2 4" xfId="36793" xr:uid="{00000000-0005-0000-0000-0000D1430000}"/>
    <cellStyle name="Comma 2 5 4 3 2 5" xfId="40997" xr:uid="{00000000-0005-0000-0000-0000D2430000}"/>
    <cellStyle name="Comma 2 5 4 3 3" xfId="25411" xr:uid="{00000000-0005-0000-0000-0000D3430000}"/>
    <cellStyle name="Comma 2 5 4 3 3 2" xfId="44750" xr:uid="{00000000-0005-0000-0000-0000D4430000}"/>
    <cellStyle name="Comma 2 5 4 3 4" xfId="29623" xr:uid="{00000000-0005-0000-0000-0000D5430000}"/>
    <cellStyle name="Comma 2 5 4 3 5" xfId="33839" xr:uid="{00000000-0005-0000-0000-0000D6430000}"/>
    <cellStyle name="Comma 2 5 4 3 6" xfId="38043" xr:uid="{00000000-0005-0000-0000-0000D7430000}"/>
    <cellStyle name="Comma 2 5 4 4" xfId="6003" xr:uid="{00000000-0005-0000-0000-0000D8430000}"/>
    <cellStyle name="Comma 2 5 4 4 2" xfId="11511" xr:uid="{00000000-0005-0000-0000-0000D9430000}"/>
    <cellStyle name="Comma 2 5 4 4 2 2" xfId="28270" xr:uid="{00000000-0005-0000-0000-0000DA430000}"/>
    <cellStyle name="Comma 2 5 4 4 2 2 2" xfId="45919" xr:uid="{00000000-0005-0000-0000-0000DB430000}"/>
    <cellStyle name="Comma 2 5 4 4 2 3" xfId="32483" xr:uid="{00000000-0005-0000-0000-0000DC430000}"/>
    <cellStyle name="Comma 2 5 4 4 2 4" xfId="36698" xr:uid="{00000000-0005-0000-0000-0000DD430000}"/>
    <cellStyle name="Comma 2 5 4 4 2 5" xfId="40902" xr:uid="{00000000-0005-0000-0000-0000DE430000}"/>
    <cellStyle name="Comma 2 5 4 4 3" xfId="25316" xr:uid="{00000000-0005-0000-0000-0000DF430000}"/>
    <cellStyle name="Comma 2 5 4 4 3 2" xfId="44655" xr:uid="{00000000-0005-0000-0000-0000E0430000}"/>
    <cellStyle name="Comma 2 5 4 4 4" xfId="29528" xr:uid="{00000000-0005-0000-0000-0000E1430000}"/>
    <cellStyle name="Comma 2 5 4 4 5" xfId="33744" xr:uid="{00000000-0005-0000-0000-0000E2430000}"/>
    <cellStyle name="Comma 2 5 4 4 6" xfId="37948" xr:uid="{00000000-0005-0000-0000-0000E3430000}"/>
    <cellStyle name="Comma 2 5 4 5" xfId="6893" xr:uid="{00000000-0005-0000-0000-0000E4430000}"/>
    <cellStyle name="Comma 2 5 4 5 2" xfId="11804" xr:uid="{00000000-0005-0000-0000-0000E5430000}"/>
    <cellStyle name="Comma 2 5 4 5 2 2" xfId="28524" xr:uid="{00000000-0005-0000-0000-0000E6430000}"/>
    <cellStyle name="Comma 2 5 4 5 2 2 2" xfId="46175" xr:uid="{00000000-0005-0000-0000-0000E7430000}"/>
    <cellStyle name="Comma 2 5 4 5 2 3" xfId="32737" xr:uid="{00000000-0005-0000-0000-0000E8430000}"/>
    <cellStyle name="Comma 2 5 4 5 2 4" xfId="36952" xr:uid="{00000000-0005-0000-0000-0000E9430000}"/>
    <cellStyle name="Comma 2 5 4 5 2 5" xfId="41156" xr:uid="{00000000-0005-0000-0000-0000EA430000}"/>
    <cellStyle name="Comma 2 5 4 5 3" xfId="25581" xr:uid="{00000000-0005-0000-0000-0000EB430000}"/>
    <cellStyle name="Comma 2 5 4 5 3 2" xfId="44909" xr:uid="{00000000-0005-0000-0000-0000EC430000}"/>
    <cellStyle name="Comma 2 5 4 5 4" xfId="29794" xr:uid="{00000000-0005-0000-0000-0000ED430000}"/>
    <cellStyle name="Comma 2 5 4 5 5" xfId="34009" xr:uid="{00000000-0005-0000-0000-0000EE430000}"/>
    <cellStyle name="Comma 2 5 4 5 6" xfId="38213" xr:uid="{00000000-0005-0000-0000-0000EF430000}"/>
    <cellStyle name="Comma 2 5 4 6" xfId="9709" xr:uid="{00000000-0005-0000-0000-0000F0430000}"/>
    <cellStyle name="Comma 2 5 4 6 2" xfId="11410" xr:uid="{00000000-0005-0000-0000-0000F1430000}"/>
    <cellStyle name="Comma 2 5 4 6 2 2" xfId="28175" xr:uid="{00000000-0005-0000-0000-0000F2430000}"/>
    <cellStyle name="Comma 2 5 4 6 2 2 2" xfId="45824" xr:uid="{00000000-0005-0000-0000-0000F3430000}"/>
    <cellStyle name="Comma 2 5 4 6 2 3" xfId="32388" xr:uid="{00000000-0005-0000-0000-0000F4430000}"/>
    <cellStyle name="Comma 2 5 4 6 2 4" xfId="36603" xr:uid="{00000000-0005-0000-0000-0000F5430000}"/>
    <cellStyle name="Comma 2 5 4 6 2 5" xfId="40807" xr:uid="{00000000-0005-0000-0000-0000F6430000}"/>
    <cellStyle name="Comma 2 5 4 6 3" xfId="27220" xr:uid="{00000000-0005-0000-0000-0000F7430000}"/>
    <cellStyle name="Comma 2 5 4 6 3 2" xfId="45089" xr:uid="{00000000-0005-0000-0000-0000F8430000}"/>
    <cellStyle name="Comma 2 5 4 6 4" xfId="31433" xr:uid="{00000000-0005-0000-0000-0000F9430000}"/>
    <cellStyle name="Comma 2 5 4 6 5" xfId="35648" xr:uid="{00000000-0005-0000-0000-0000FA430000}"/>
    <cellStyle name="Comma 2 5 4 6 6" xfId="39852" xr:uid="{00000000-0005-0000-0000-0000FB430000}"/>
    <cellStyle name="Comma 2 5 4 7" xfId="10447" xr:uid="{00000000-0005-0000-0000-0000FC430000}"/>
    <cellStyle name="Comma 2 5 4 7 2" xfId="27685" xr:uid="{00000000-0005-0000-0000-0000FD430000}"/>
    <cellStyle name="Comma 2 5 4 7 2 2" xfId="45363" xr:uid="{00000000-0005-0000-0000-0000FE430000}"/>
    <cellStyle name="Comma 2 5 4 7 3" xfId="31898" xr:uid="{00000000-0005-0000-0000-0000FF430000}"/>
    <cellStyle name="Comma 2 5 4 7 4" xfId="36113" xr:uid="{00000000-0005-0000-0000-000000440000}"/>
    <cellStyle name="Comma 2 5 4 7 5" xfId="40317" xr:uid="{00000000-0005-0000-0000-000001440000}"/>
    <cellStyle name="Comma 2 5 4 8" xfId="13402" xr:uid="{00000000-0005-0000-0000-000002440000}"/>
    <cellStyle name="Comma 2 5 4 8 2" xfId="28889" xr:uid="{00000000-0005-0000-0000-000003440000}"/>
    <cellStyle name="Comma 2 5 4 8 3" xfId="33102" xr:uid="{00000000-0005-0000-0000-000004440000}"/>
    <cellStyle name="Comma 2 5 4 8 4" xfId="37317" xr:uid="{00000000-0005-0000-0000-000005440000}"/>
    <cellStyle name="Comma 2 5 4 8 5" xfId="44560" xr:uid="{00000000-0005-0000-0000-000006440000}"/>
    <cellStyle name="Comma 2 5 4 9" xfId="25221" xr:uid="{00000000-0005-0000-0000-000007440000}"/>
    <cellStyle name="Comma 2 5 5" xfId="5918" xr:uid="{00000000-0005-0000-0000-000008440000}"/>
    <cellStyle name="Comma 2 5 5 10" xfId="37865" xr:uid="{00000000-0005-0000-0000-000009440000}"/>
    <cellStyle name="Comma 2 5 5 2" xfId="6113" xr:uid="{00000000-0005-0000-0000-00000A440000}"/>
    <cellStyle name="Comma 2 5 5 2 2" xfId="9991" xr:uid="{00000000-0005-0000-0000-00000B440000}"/>
    <cellStyle name="Comma 2 5 5 2 2 2" xfId="11621" xr:uid="{00000000-0005-0000-0000-00000C440000}"/>
    <cellStyle name="Comma 2 5 5 2 2 2 2" xfId="28377" xr:uid="{00000000-0005-0000-0000-00000D440000}"/>
    <cellStyle name="Comma 2 5 5 2 2 2 2 2" xfId="46026" xr:uid="{00000000-0005-0000-0000-00000E440000}"/>
    <cellStyle name="Comma 2 5 5 2 2 2 3" xfId="32590" xr:uid="{00000000-0005-0000-0000-00000F440000}"/>
    <cellStyle name="Comma 2 5 5 2 2 2 4" xfId="36805" xr:uid="{00000000-0005-0000-0000-000010440000}"/>
    <cellStyle name="Comma 2 5 5 2 2 2 5" xfId="41009" xr:uid="{00000000-0005-0000-0000-000011440000}"/>
    <cellStyle name="Comma 2 5 5 2 3" xfId="25423" xr:uid="{00000000-0005-0000-0000-000012440000}"/>
    <cellStyle name="Comma 2 5 5 2 3 2" xfId="44762" xr:uid="{00000000-0005-0000-0000-000013440000}"/>
    <cellStyle name="Comma 2 5 5 2 4" xfId="29635" xr:uid="{00000000-0005-0000-0000-000014440000}"/>
    <cellStyle name="Comma 2 5 5 2 5" xfId="33851" xr:uid="{00000000-0005-0000-0000-000015440000}"/>
    <cellStyle name="Comma 2 5 5 2 6" xfId="38055" xr:uid="{00000000-0005-0000-0000-000016440000}"/>
    <cellStyle name="Comma 2 5 5 3" xfId="6015" xr:uid="{00000000-0005-0000-0000-000017440000}"/>
    <cellStyle name="Comma 2 5 5 3 2" xfId="11523" xr:uid="{00000000-0005-0000-0000-000018440000}"/>
    <cellStyle name="Comma 2 5 5 3 2 2" xfId="28282" xr:uid="{00000000-0005-0000-0000-000019440000}"/>
    <cellStyle name="Comma 2 5 5 3 2 2 2" xfId="45931" xr:uid="{00000000-0005-0000-0000-00001A440000}"/>
    <cellStyle name="Comma 2 5 5 3 2 3" xfId="32495" xr:uid="{00000000-0005-0000-0000-00001B440000}"/>
    <cellStyle name="Comma 2 5 5 3 2 4" xfId="36710" xr:uid="{00000000-0005-0000-0000-00001C440000}"/>
    <cellStyle name="Comma 2 5 5 3 2 5" xfId="40914" xr:uid="{00000000-0005-0000-0000-00001D440000}"/>
    <cellStyle name="Comma 2 5 5 3 3" xfId="25328" xr:uid="{00000000-0005-0000-0000-00001E440000}"/>
    <cellStyle name="Comma 2 5 5 3 3 2" xfId="44667" xr:uid="{00000000-0005-0000-0000-00001F440000}"/>
    <cellStyle name="Comma 2 5 5 3 4" xfId="29540" xr:uid="{00000000-0005-0000-0000-000020440000}"/>
    <cellStyle name="Comma 2 5 5 3 5" xfId="33756" xr:uid="{00000000-0005-0000-0000-000021440000}"/>
    <cellStyle name="Comma 2 5 5 3 6" xfId="37960" xr:uid="{00000000-0005-0000-0000-000022440000}"/>
    <cellStyle name="Comma 2 5 5 4" xfId="8039" xr:uid="{00000000-0005-0000-0000-000023440000}"/>
    <cellStyle name="Comma 2 5 5 5" xfId="9767" xr:uid="{00000000-0005-0000-0000-000024440000}"/>
    <cellStyle name="Comma 2 5 5 5 2" xfId="11427" xr:uid="{00000000-0005-0000-0000-000025440000}"/>
    <cellStyle name="Comma 2 5 5 5 2 2" xfId="28187" xr:uid="{00000000-0005-0000-0000-000026440000}"/>
    <cellStyle name="Comma 2 5 5 5 2 2 2" xfId="45836" xr:uid="{00000000-0005-0000-0000-000027440000}"/>
    <cellStyle name="Comma 2 5 5 5 2 3" xfId="32400" xr:uid="{00000000-0005-0000-0000-000028440000}"/>
    <cellStyle name="Comma 2 5 5 5 2 4" xfId="36615" xr:uid="{00000000-0005-0000-0000-000029440000}"/>
    <cellStyle name="Comma 2 5 5 5 2 5" xfId="40819" xr:uid="{00000000-0005-0000-0000-00002A440000}"/>
    <cellStyle name="Comma 2 5 5 5 3" xfId="27267" xr:uid="{00000000-0005-0000-0000-00002B440000}"/>
    <cellStyle name="Comma 2 5 5 5 3 2" xfId="45145" xr:uid="{00000000-0005-0000-0000-00002C440000}"/>
    <cellStyle name="Comma 2 5 5 5 4" xfId="31480" xr:uid="{00000000-0005-0000-0000-00002D440000}"/>
    <cellStyle name="Comma 2 5 5 5 5" xfId="35695" xr:uid="{00000000-0005-0000-0000-00002E440000}"/>
    <cellStyle name="Comma 2 5 5 5 6" xfId="39899" xr:uid="{00000000-0005-0000-0000-00002F440000}"/>
    <cellStyle name="Comma 2 5 5 6" xfId="10494" xr:uid="{00000000-0005-0000-0000-000030440000}"/>
    <cellStyle name="Comma 2 5 5 6 2" xfId="27732" xr:uid="{00000000-0005-0000-0000-000031440000}"/>
    <cellStyle name="Comma 2 5 5 6 2 2" xfId="45410" xr:uid="{00000000-0005-0000-0000-000032440000}"/>
    <cellStyle name="Comma 2 5 5 6 3" xfId="31945" xr:uid="{00000000-0005-0000-0000-000033440000}"/>
    <cellStyle name="Comma 2 5 5 6 4" xfId="36160" xr:uid="{00000000-0005-0000-0000-000034440000}"/>
    <cellStyle name="Comma 2 5 5 6 5" xfId="40364" xr:uid="{00000000-0005-0000-0000-000035440000}"/>
    <cellStyle name="Comma 2 5 5 7" xfId="25233" xr:uid="{00000000-0005-0000-0000-000036440000}"/>
    <cellStyle name="Comma 2 5 5 7 2" xfId="44572" xr:uid="{00000000-0005-0000-0000-000037440000}"/>
    <cellStyle name="Comma 2 5 5 8" xfId="29445" xr:uid="{00000000-0005-0000-0000-000038440000}"/>
    <cellStyle name="Comma 2 5 5 9" xfId="33661" xr:uid="{00000000-0005-0000-0000-000039440000}"/>
    <cellStyle name="Comma 2 5 6" xfId="6066" xr:uid="{00000000-0005-0000-0000-00003A440000}"/>
    <cellStyle name="Comma 2 5 6 2" xfId="11574" xr:uid="{00000000-0005-0000-0000-00003B440000}"/>
    <cellStyle name="Comma 2 5 6 2 2" xfId="28330" xr:uid="{00000000-0005-0000-0000-00003C440000}"/>
    <cellStyle name="Comma 2 5 6 2 2 2" xfId="45979" xr:uid="{00000000-0005-0000-0000-00003D440000}"/>
    <cellStyle name="Comma 2 5 6 2 3" xfId="32543" xr:uid="{00000000-0005-0000-0000-00003E440000}"/>
    <cellStyle name="Comma 2 5 6 2 4" xfId="36758" xr:uid="{00000000-0005-0000-0000-00003F440000}"/>
    <cellStyle name="Comma 2 5 6 2 5" xfId="40962" xr:uid="{00000000-0005-0000-0000-000040440000}"/>
    <cellStyle name="Comma 2 5 6 3" xfId="25376" xr:uid="{00000000-0005-0000-0000-000041440000}"/>
    <cellStyle name="Comma 2 5 6 3 2" xfId="44715" xr:uid="{00000000-0005-0000-0000-000042440000}"/>
    <cellStyle name="Comma 2 5 6 4" xfId="29588" xr:uid="{00000000-0005-0000-0000-000043440000}"/>
    <cellStyle name="Comma 2 5 6 5" xfId="33804" xr:uid="{00000000-0005-0000-0000-000044440000}"/>
    <cellStyle name="Comma 2 5 6 6" xfId="38008" xr:uid="{00000000-0005-0000-0000-000045440000}"/>
    <cellStyle name="Comma 2 5 7" xfId="5968" xr:uid="{00000000-0005-0000-0000-000046440000}"/>
    <cellStyle name="Comma 2 5 7 2" xfId="11476" xr:uid="{00000000-0005-0000-0000-000047440000}"/>
    <cellStyle name="Comma 2 5 7 2 2" xfId="28235" xr:uid="{00000000-0005-0000-0000-000048440000}"/>
    <cellStyle name="Comma 2 5 7 2 2 2" xfId="45884" xr:uid="{00000000-0005-0000-0000-000049440000}"/>
    <cellStyle name="Comma 2 5 7 2 3" xfId="32448" xr:uid="{00000000-0005-0000-0000-00004A440000}"/>
    <cellStyle name="Comma 2 5 7 2 4" xfId="36663" xr:uid="{00000000-0005-0000-0000-00004B440000}"/>
    <cellStyle name="Comma 2 5 7 2 5" xfId="40867" xr:uid="{00000000-0005-0000-0000-00004C440000}"/>
    <cellStyle name="Comma 2 5 7 3" xfId="25281" xr:uid="{00000000-0005-0000-0000-00004D440000}"/>
    <cellStyle name="Comma 2 5 7 3 2" xfId="44620" xr:uid="{00000000-0005-0000-0000-00004E440000}"/>
    <cellStyle name="Comma 2 5 7 4" xfId="29493" xr:uid="{00000000-0005-0000-0000-00004F440000}"/>
    <cellStyle name="Comma 2 5 7 5" xfId="33709" xr:uid="{00000000-0005-0000-0000-000050440000}"/>
    <cellStyle name="Comma 2 5 7 6" xfId="37913" xr:uid="{00000000-0005-0000-0000-000051440000}"/>
    <cellStyle name="Comma 2 5 8" xfId="6178" xr:uid="{00000000-0005-0000-0000-000052440000}"/>
    <cellStyle name="Comma 2 5 8 2" xfId="11686" xr:uid="{00000000-0005-0000-0000-000053440000}"/>
    <cellStyle name="Comma 2 5 8 2 2" xfId="28442" xr:uid="{00000000-0005-0000-0000-000054440000}"/>
    <cellStyle name="Comma 2 5 8 2 2 2" xfId="46091" xr:uid="{00000000-0005-0000-0000-000055440000}"/>
    <cellStyle name="Comma 2 5 8 2 3" xfId="32655" xr:uid="{00000000-0005-0000-0000-000056440000}"/>
    <cellStyle name="Comma 2 5 8 2 4" xfId="36870" xr:uid="{00000000-0005-0000-0000-000057440000}"/>
    <cellStyle name="Comma 2 5 8 2 5" xfId="41074" xr:uid="{00000000-0005-0000-0000-000058440000}"/>
    <cellStyle name="Comma 2 5 8 3" xfId="25488" xr:uid="{00000000-0005-0000-0000-000059440000}"/>
    <cellStyle name="Comma 2 5 8 3 2" xfId="44827" xr:uid="{00000000-0005-0000-0000-00005A440000}"/>
    <cellStyle name="Comma 2 5 8 4" xfId="29700" xr:uid="{00000000-0005-0000-0000-00005B440000}"/>
    <cellStyle name="Comma 2 5 8 5" xfId="33916" xr:uid="{00000000-0005-0000-0000-00005C440000}"/>
    <cellStyle name="Comma 2 5 8 6" xfId="38120" xr:uid="{00000000-0005-0000-0000-00005D440000}"/>
    <cellStyle name="Comma 2 5 9" xfId="5215" xr:uid="{00000000-0005-0000-0000-00005E440000}"/>
    <cellStyle name="Comma 2 5 9 2" xfId="11294" xr:uid="{00000000-0005-0000-0000-00005F440000}"/>
    <cellStyle name="Comma 2 5 9 2 2" xfId="28124" xr:uid="{00000000-0005-0000-0000-000060440000}"/>
    <cellStyle name="Comma 2 5 9 2 2 2" xfId="45788" xr:uid="{00000000-0005-0000-0000-000061440000}"/>
    <cellStyle name="Comma 2 5 9 2 3" xfId="32337" xr:uid="{00000000-0005-0000-0000-000062440000}"/>
    <cellStyle name="Comma 2 5 9 2 4" xfId="36552" xr:uid="{00000000-0005-0000-0000-000063440000}"/>
    <cellStyle name="Comma 2 5 9 2 5" xfId="40756" xr:uid="{00000000-0005-0000-0000-000064440000}"/>
    <cellStyle name="Comma 2 5 9 3" xfId="24974" xr:uid="{00000000-0005-0000-0000-000065440000}"/>
    <cellStyle name="Comma 2 5 9 3 2" xfId="44523" xr:uid="{00000000-0005-0000-0000-000066440000}"/>
    <cellStyle name="Comma 2 5 9 4" xfId="29186" xr:uid="{00000000-0005-0000-0000-000067440000}"/>
    <cellStyle name="Comma 2 5 9 5" xfId="33402" xr:uid="{00000000-0005-0000-0000-000068440000}"/>
    <cellStyle name="Comma 2 5 9 6" xfId="37606" xr:uid="{00000000-0005-0000-0000-000069440000}"/>
    <cellStyle name="Comma 2 6" xfId="5698" xr:uid="{00000000-0005-0000-0000-00006A440000}"/>
    <cellStyle name="Comma 2 6 10" xfId="15070" xr:uid="{00000000-0005-0000-0000-00006B440000}"/>
    <cellStyle name="Comma 2 6 10 2" xfId="28901" xr:uid="{00000000-0005-0000-0000-00006C440000}"/>
    <cellStyle name="Comma 2 6 10 3" xfId="33114" xr:uid="{00000000-0005-0000-0000-00006D440000}"/>
    <cellStyle name="Comma 2 6 10 4" xfId="37329" xr:uid="{00000000-0005-0000-0000-00006E440000}"/>
    <cellStyle name="Comma 2 6 10 5" xfId="44526" xr:uid="{00000000-0005-0000-0000-00006F440000}"/>
    <cellStyle name="Comma 2 6 11" xfId="24326" xr:uid="{00000000-0005-0000-0000-000070440000}"/>
    <cellStyle name="Comma 2 6 11 2" xfId="29013" xr:uid="{00000000-0005-0000-0000-000071440000}"/>
    <cellStyle name="Comma 2 6 11 3" xfId="33230" xr:uid="{00000000-0005-0000-0000-000072440000}"/>
    <cellStyle name="Comma 2 6 11 4" xfId="37441" xr:uid="{00000000-0005-0000-0000-000073440000}"/>
    <cellStyle name="Comma 2 6 12" xfId="25185" xr:uid="{00000000-0005-0000-0000-000074440000}"/>
    <cellStyle name="Comma 2 6 13" xfId="29397" xr:uid="{00000000-0005-0000-0000-000075440000}"/>
    <cellStyle name="Comma 2 6 14" xfId="33613" xr:uid="{00000000-0005-0000-0000-000076440000}"/>
    <cellStyle name="Comma 2 6 15" xfId="37817" xr:uid="{00000000-0005-0000-0000-000077440000}"/>
    <cellStyle name="Comma 2 6 2" xfId="5903" xr:uid="{00000000-0005-0000-0000-000078440000}"/>
    <cellStyle name="Comma 2 6 2 10" xfId="33650" xr:uid="{00000000-0005-0000-0000-000079440000}"/>
    <cellStyle name="Comma 2 6 2 11" xfId="37854" xr:uid="{00000000-0005-0000-0000-00007A440000}"/>
    <cellStyle name="Comma 2 6 2 2" xfId="5954" xr:uid="{00000000-0005-0000-0000-00007B440000}"/>
    <cellStyle name="Comma 2 6 2 2 2" xfId="6149" xr:uid="{00000000-0005-0000-0000-00007C440000}"/>
    <cellStyle name="Comma 2 6 2 2 2 2" xfId="11657" xr:uid="{00000000-0005-0000-0000-00007D440000}"/>
    <cellStyle name="Comma 2 6 2 2 2 2 2" xfId="28413" xr:uid="{00000000-0005-0000-0000-00007E440000}"/>
    <cellStyle name="Comma 2 6 2 2 2 2 2 2" xfId="46062" xr:uid="{00000000-0005-0000-0000-00007F440000}"/>
    <cellStyle name="Comma 2 6 2 2 2 2 3" xfId="32626" xr:uid="{00000000-0005-0000-0000-000080440000}"/>
    <cellStyle name="Comma 2 6 2 2 2 2 4" xfId="36841" xr:uid="{00000000-0005-0000-0000-000081440000}"/>
    <cellStyle name="Comma 2 6 2 2 2 2 5" xfId="41045" xr:uid="{00000000-0005-0000-0000-000082440000}"/>
    <cellStyle name="Comma 2 6 2 2 2 3" xfId="25459" xr:uid="{00000000-0005-0000-0000-000083440000}"/>
    <cellStyle name="Comma 2 6 2 2 2 3 2" xfId="44798" xr:uid="{00000000-0005-0000-0000-000084440000}"/>
    <cellStyle name="Comma 2 6 2 2 2 4" xfId="29671" xr:uid="{00000000-0005-0000-0000-000085440000}"/>
    <cellStyle name="Comma 2 6 2 2 2 5" xfId="33887" xr:uid="{00000000-0005-0000-0000-000086440000}"/>
    <cellStyle name="Comma 2 6 2 2 2 6" xfId="38091" xr:uid="{00000000-0005-0000-0000-000087440000}"/>
    <cellStyle name="Comma 2 6 2 2 3" xfId="6051" xr:uid="{00000000-0005-0000-0000-000088440000}"/>
    <cellStyle name="Comma 2 6 2 2 3 2" xfId="11559" xr:uid="{00000000-0005-0000-0000-000089440000}"/>
    <cellStyle name="Comma 2 6 2 2 3 2 2" xfId="28318" xr:uid="{00000000-0005-0000-0000-00008A440000}"/>
    <cellStyle name="Comma 2 6 2 2 3 2 2 2" xfId="45967" xr:uid="{00000000-0005-0000-0000-00008B440000}"/>
    <cellStyle name="Comma 2 6 2 2 3 2 3" xfId="32531" xr:uid="{00000000-0005-0000-0000-00008C440000}"/>
    <cellStyle name="Comma 2 6 2 2 3 2 4" xfId="36746" xr:uid="{00000000-0005-0000-0000-00008D440000}"/>
    <cellStyle name="Comma 2 6 2 2 3 2 5" xfId="40950" xr:uid="{00000000-0005-0000-0000-00008E440000}"/>
    <cellStyle name="Comma 2 6 2 2 3 3" xfId="25364" xr:uid="{00000000-0005-0000-0000-00008F440000}"/>
    <cellStyle name="Comma 2 6 2 2 3 3 2" xfId="44703" xr:uid="{00000000-0005-0000-0000-000090440000}"/>
    <cellStyle name="Comma 2 6 2 2 3 4" xfId="29576" xr:uid="{00000000-0005-0000-0000-000091440000}"/>
    <cellStyle name="Comma 2 6 2 2 3 5" xfId="33792" xr:uid="{00000000-0005-0000-0000-000092440000}"/>
    <cellStyle name="Comma 2 6 2 2 3 6" xfId="37996" xr:uid="{00000000-0005-0000-0000-000093440000}"/>
    <cellStyle name="Comma 2 6 2 2 4" xfId="9830" xr:uid="{00000000-0005-0000-0000-000094440000}"/>
    <cellStyle name="Comma 2 6 2 2 4 2" xfId="11463" xr:uid="{00000000-0005-0000-0000-000095440000}"/>
    <cellStyle name="Comma 2 6 2 2 4 2 2" xfId="28223" xr:uid="{00000000-0005-0000-0000-000096440000}"/>
    <cellStyle name="Comma 2 6 2 2 4 2 2 2" xfId="45872" xr:uid="{00000000-0005-0000-0000-000097440000}"/>
    <cellStyle name="Comma 2 6 2 2 4 2 3" xfId="32436" xr:uid="{00000000-0005-0000-0000-000098440000}"/>
    <cellStyle name="Comma 2 6 2 2 4 2 4" xfId="36651" xr:uid="{00000000-0005-0000-0000-000099440000}"/>
    <cellStyle name="Comma 2 6 2 2 4 2 5" xfId="40855" xr:uid="{00000000-0005-0000-0000-00009A440000}"/>
    <cellStyle name="Comma 2 6 2 2 4 3" xfId="27317" xr:uid="{00000000-0005-0000-0000-00009B440000}"/>
    <cellStyle name="Comma 2 6 2 2 4 3 2" xfId="45195" xr:uid="{00000000-0005-0000-0000-00009C440000}"/>
    <cellStyle name="Comma 2 6 2 2 4 4" xfId="31530" xr:uid="{00000000-0005-0000-0000-00009D440000}"/>
    <cellStyle name="Comma 2 6 2 2 4 5" xfId="35745" xr:uid="{00000000-0005-0000-0000-00009E440000}"/>
    <cellStyle name="Comma 2 6 2 2 4 6" xfId="39949" xr:uid="{00000000-0005-0000-0000-00009F440000}"/>
    <cellStyle name="Comma 2 6 2 2 5" xfId="10567" xr:uid="{00000000-0005-0000-0000-0000A0440000}"/>
    <cellStyle name="Comma 2 6 2 2 5 2" xfId="27782" xr:uid="{00000000-0005-0000-0000-0000A1440000}"/>
    <cellStyle name="Comma 2 6 2 2 5 2 2" xfId="45460" xr:uid="{00000000-0005-0000-0000-0000A2440000}"/>
    <cellStyle name="Comma 2 6 2 2 5 3" xfId="31995" xr:uid="{00000000-0005-0000-0000-0000A3440000}"/>
    <cellStyle name="Comma 2 6 2 2 5 4" xfId="36210" xr:uid="{00000000-0005-0000-0000-0000A4440000}"/>
    <cellStyle name="Comma 2 6 2 2 5 5" xfId="40414" xr:uid="{00000000-0005-0000-0000-0000A5440000}"/>
    <cellStyle name="Comma 2 6 2 2 6" xfId="25269" xr:uid="{00000000-0005-0000-0000-0000A6440000}"/>
    <cellStyle name="Comma 2 6 2 2 6 2" xfId="44608" xr:uid="{00000000-0005-0000-0000-0000A7440000}"/>
    <cellStyle name="Comma 2 6 2 2 7" xfId="29481" xr:uid="{00000000-0005-0000-0000-0000A8440000}"/>
    <cellStyle name="Comma 2 6 2 2 8" xfId="33697" xr:uid="{00000000-0005-0000-0000-0000A9440000}"/>
    <cellStyle name="Comma 2 6 2 2 9" xfId="37901" xr:uid="{00000000-0005-0000-0000-0000AA440000}"/>
    <cellStyle name="Comma 2 6 2 3" xfId="6102" xr:uid="{00000000-0005-0000-0000-0000AB440000}"/>
    <cellStyle name="Comma 2 6 2 3 2" xfId="11610" xr:uid="{00000000-0005-0000-0000-0000AC440000}"/>
    <cellStyle name="Comma 2 6 2 3 2 2" xfId="28366" xr:uid="{00000000-0005-0000-0000-0000AD440000}"/>
    <cellStyle name="Comma 2 6 2 3 2 2 2" xfId="46015" xr:uid="{00000000-0005-0000-0000-0000AE440000}"/>
    <cellStyle name="Comma 2 6 2 3 2 3" xfId="32579" xr:uid="{00000000-0005-0000-0000-0000AF440000}"/>
    <cellStyle name="Comma 2 6 2 3 2 4" xfId="36794" xr:uid="{00000000-0005-0000-0000-0000B0440000}"/>
    <cellStyle name="Comma 2 6 2 3 2 5" xfId="40998" xr:uid="{00000000-0005-0000-0000-0000B1440000}"/>
    <cellStyle name="Comma 2 6 2 3 3" xfId="25412" xr:uid="{00000000-0005-0000-0000-0000B2440000}"/>
    <cellStyle name="Comma 2 6 2 3 3 2" xfId="44751" xr:uid="{00000000-0005-0000-0000-0000B3440000}"/>
    <cellStyle name="Comma 2 6 2 3 4" xfId="29624" xr:uid="{00000000-0005-0000-0000-0000B4440000}"/>
    <cellStyle name="Comma 2 6 2 3 5" xfId="33840" xr:uid="{00000000-0005-0000-0000-0000B5440000}"/>
    <cellStyle name="Comma 2 6 2 3 6" xfId="38044" xr:uid="{00000000-0005-0000-0000-0000B6440000}"/>
    <cellStyle name="Comma 2 6 2 4" xfId="6004" xr:uid="{00000000-0005-0000-0000-0000B7440000}"/>
    <cellStyle name="Comma 2 6 2 4 2" xfId="11512" xr:uid="{00000000-0005-0000-0000-0000B8440000}"/>
    <cellStyle name="Comma 2 6 2 4 2 2" xfId="28271" xr:uid="{00000000-0005-0000-0000-0000B9440000}"/>
    <cellStyle name="Comma 2 6 2 4 2 2 2" xfId="45920" xr:uid="{00000000-0005-0000-0000-0000BA440000}"/>
    <cellStyle name="Comma 2 6 2 4 2 3" xfId="32484" xr:uid="{00000000-0005-0000-0000-0000BB440000}"/>
    <cellStyle name="Comma 2 6 2 4 2 4" xfId="36699" xr:uid="{00000000-0005-0000-0000-0000BC440000}"/>
    <cellStyle name="Comma 2 6 2 4 2 5" xfId="40903" xr:uid="{00000000-0005-0000-0000-0000BD440000}"/>
    <cellStyle name="Comma 2 6 2 4 3" xfId="25317" xr:uid="{00000000-0005-0000-0000-0000BE440000}"/>
    <cellStyle name="Comma 2 6 2 4 3 2" xfId="44656" xr:uid="{00000000-0005-0000-0000-0000BF440000}"/>
    <cellStyle name="Comma 2 6 2 4 4" xfId="29529" xr:uid="{00000000-0005-0000-0000-0000C0440000}"/>
    <cellStyle name="Comma 2 6 2 4 5" xfId="33745" xr:uid="{00000000-0005-0000-0000-0000C1440000}"/>
    <cellStyle name="Comma 2 6 2 4 6" xfId="37949" xr:uid="{00000000-0005-0000-0000-0000C2440000}"/>
    <cellStyle name="Comma 2 6 2 5" xfId="6896" xr:uid="{00000000-0005-0000-0000-0000C3440000}"/>
    <cellStyle name="Comma 2 6 2 5 2" xfId="11807" xr:uid="{00000000-0005-0000-0000-0000C4440000}"/>
    <cellStyle name="Comma 2 6 2 5 2 2" xfId="28527" xr:uid="{00000000-0005-0000-0000-0000C5440000}"/>
    <cellStyle name="Comma 2 6 2 5 2 2 2" xfId="46178" xr:uid="{00000000-0005-0000-0000-0000C6440000}"/>
    <cellStyle name="Comma 2 6 2 5 2 3" xfId="32740" xr:uid="{00000000-0005-0000-0000-0000C7440000}"/>
    <cellStyle name="Comma 2 6 2 5 2 4" xfId="36955" xr:uid="{00000000-0005-0000-0000-0000C8440000}"/>
    <cellStyle name="Comma 2 6 2 5 2 5" xfId="41159" xr:uid="{00000000-0005-0000-0000-0000C9440000}"/>
    <cellStyle name="Comma 2 6 2 5 3" xfId="25584" xr:uid="{00000000-0005-0000-0000-0000CA440000}"/>
    <cellStyle name="Comma 2 6 2 5 3 2" xfId="44912" xr:uid="{00000000-0005-0000-0000-0000CB440000}"/>
    <cellStyle name="Comma 2 6 2 5 4" xfId="29797" xr:uid="{00000000-0005-0000-0000-0000CC440000}"/>
    <cellStyle name="Comma 2 6 2 5 5" xfId="34012" xr:uid="{00000000-0005-0000-0000-0000CD440000}"/>
    <cellStyle name="Comma 2 6 2 5 6" xfId="38216" xr:uid="{00000000-0005-0000-0000-0000CE440000}"/>
    <cellStyle name="Comma 2 6 2 6" xfId="9712" xr:uid="{00000000-0005-0000-0000-0000CF440000}"/>
    <cellStyle name="Comma 2 6 2 6 2" xfId="11412" xr:uid="{00000000-0005-0000-0000-0000D0440000}"/>
    <cellStyle name="Comma 2 6 2 6 2 2" xfId="28176" xr:uid="{00000000-0005-0000-0000-0000D1440000}"/>
    <cellStyle name="Comma 2 6 2 6 2 2 2" xfId="45825" xr:uid="{00000000-0005-0000-0000-0000D2440000}"/>
    <cellStyle name="Comma 2 6 2 6 2 3" xfId="32389" xr:uid="{00000000-0005-0000-0000-0000D3440000}"/>
    <cellStyle name="Comma 2 6 2 6 2 4" xfId="36604" xr:uid="{00000000-0005-0000-0000-0000D4440000}"/>
    <cellStyle name="Comma 2 6 2 6 2 5" xfId="40808" xr:uid="{00000000-0005-0000-0000-0000D5440000}"/>
    <cellStyle name="Comma 2 6 2 6 3" xfId="27223" xr:uid="{00000000-0005-0000-0000-0000D6440000}"/>
    <cellStyle name="Comma 2 6 2 6 3 2" xfId="45092" xr:uid="{00000000-0005-0000-0000-0000D7440000}"/>
    <cellStyle name="Comma 2 6 2 6 4" xfId="31436" xr:uid="{00000000-0005-0000-0000-0000D8440000}"/>
    <cellStyle name="Comma 2 6 2 6 5" xfId="35651" xr:uid="{00000000-0005-0000-0000-0000D9440000}"/>
    <cellStyle name="Comma 2 6 2 6 6" xfId="39855" xr:uid="{00000000-0005-0000-0000-0000DA440000}"/>
    <cellStyle name="Comma 2 6 2 7" xfId="10450" xr:uid="{00000000-0005-0000-0000-0000DB440000}"/>
    <cellStyle name="Comma 2 6 2 7 2" xfId="27688" xr:uid="{00000000-0005-0000-0000-0000DC440000}"/>
    <cellStyle name="Comma 2 6 2 7 2 2" xfId="45366" xr:uid="{00000000-0005-0000-0000-0000DD440000}"/>
    <cellStyle name="Comma 2 6 2 7 3" xfId="31901" xr:uid="{00000000-0005-0000-0000-0000DE440000}"/>
    <cellStyle name="Comma 2 6 2 7 4" xfId="36116" xr:uid="{00000000-0005-0000-0000-0000DF440000}"/>
    <cellStyle name="Comma 2 6 2 7 5" xfId="40320" xr:uid="{00000000-0005-0000-0000-0000E0440000}"/>
    <cellStyle name="Comma 2 6 2 8" xfId="25222" xr:uid="{00000000-0005-0000-0000-0000E1440000}"/>
    <cellStyle name="Comma 2 6 2 8 2" xfId="44561" xr:uid="{00000000-0005-0000-0000-0000E2440000}"/>
    <cellStyle name="Comma 2 6 2 9" xfId="29434" xr:uid="{00000000-0005-0000-0000-0000E3440000}"/>
    <cellStyle name="Comma 2 6 3" xfId="5919" xr:uid="{00000000-0005-0000-0000-0000E4440000}"/>
    <cellStyle name="Comma 2 6 3 10" xfId="37866" xr:uid="{00000000-0005-0000-0000-0000E5440000}"/>
    <cellStyle name="Comma 2 6 3 2" xfId="6114" xr:uid="{00000000-0005-0000-0000-0000E6440000}"/>
    <cellStyle name="Comma 2 6 3 2 2" xfId="9992" xr:uid="{00000000-0005-0000-0000-0000E7440000}"/>
    <cellStyle name="Comma 2 6 3 2 2 2" xfId="11622" xr:uid="{00000000-0005-0000-0000-0000E8440000}"/>
    <cellStyle name="Comma 2 6 3 2 2 2 2" xfId="28378" xr:uid="{00000000-0005-0000-0000-0000E9440000}"/>
    <cellStyle name="Comma 2 6 3 2 2 2 2 2" xfId="46027" xr:uid="{00000000-0005-0000-0000-0000EA440000}"/>
    <cellStyle name="Comma 2 6 3 2 2 2 3" xfId="32591" xr:uid="{00000000-0005-0000-0000-0000EB440000}"/>
    <cellStyle name="Comma 2 6 3 2 2 2 4" xfId="36806" xr:uid="{00000000-0005-0000-0000-0000EC440000}"/>
    <cellStyle name="Comma 2 6 3 2 2 2 5" xfId="41010" xr:uid="{00000000-0005-0000-0000-0000ED440000}"/>
    <cellStyle name="Comma 2 6 3 2 3" xfId="25424" xr:uid="{00000000-0005-0000-0000-0000EE440000}"/>
    <cellStyle name="Comma 2 6 3 2 3 2" xfId="44763" xr:uid="{00000000-0005-0000-0000-0000EF440000}"/>
    <cellStyle name="Comma 2 6 3 2 4" xfId="29636" xr:uid="{00000000-0005-0000-0000-0000F0440000}"/>
    <cellStyle name="Comma 2 6 3 2 5" xfId="33852" xr:uid="{00000000-0005-0000-0000-0000F1440000}"/>
    <cellStyle name="Comma 2 6 3 2 6" xfId="38056" xr:uid="{00000000-0005-0000-0000-0000F2440000}"/>
    <cellStyle name="Comma 2 6 3 3" xfId="6016" xr:uid="{00000000-0005-0000-0000-0000F3440000}"/>
    <cellStyle name="Comma 2 6 3 3 2" xfId="11524" xr:uid="{00000000-0005-0000-0000-0000F4440000}"/>
    <cellStyle name="Comma 2 6 3 3 2 2" xfId="28283" xr:uid="{00000000-0005-0000-0000-0000F5440000}"/>
    <cellStyle name="Comma 2 6 3 3 2 2 2" xfId="45932" xr:uid="{00000000-0005-0000-0000-0000F6440000}"/>
    <cellStyle name="Comma 2 6 3 3 2 3" xfId="32496" xr:uid="{00000000-0005-0000-0000-0000F7440000}"/>
    <cellStyle name="Comma 2 6 3 3 2 4" xfId="36711" xr:uid="{00000000-0005-0000-0000-0000F8440000}"/>
    <cellStyle name="Comma 2 6 3 3 2 5" xfId="40915" xr:uid="{00000000-0005-0000-0000-0000F9440000}"/>
    <cellStyle name="Comma 2 6 3 3 3" xfId="25329" xr:uid="{00000000-0005-0000-0000-0000FA440000}"/>
    <cellStyle name="Comma 2 6 3 3 3 2" xfId="44668" xr:uid="{00000000-0005-0000-0000-0000FB440000}"/>
    <cellStyle name="Comma 2 6 3 3 4" xfId="29541" xr:uid="{00000000-0005-0000-0000-0000FC440000}"/>
    <cellStyle name="Comma 2 6 3 3 5" xfId="33757" xr:uid="{00000000-0005-0000-0000-0000FD440000}"/>
    <cellStyle name="Comma 2 6 3 3 6" xfId="37961" xr:uid="{00000000-0005-0000-0000-0000FE440000}"/>
    <cellStyle name="Comma 2 6 3 4" xfId="8040" xr:uid="{00000000-0005-0000-0000-0000FF440000}"/>
    <cellStyle name="Comma 2 6 3 5" xfId="9770" xr:uid="{00000000-0005-0000-0000-000000450000}"/>
    <cellStyle name="Comma 2 6 3 5 2" xfId="11428" xr:uid="{00000000-0005-0000-0000-000001450000}"/>
    <cellStyle name="Comma 2 6 3 5 2 2" xfId="28188" xr:uid="{00000000-0005-0000-0000-000002450000}"/>
    <cellStyle name="Comma 2 6 3 5 2 2 2" xfId="45837" xr:uid="{00000000-0005-0000-0000-000003450000}"/>
    <cellStyle name="Comma 2 6 3 5 2 3" xfId="32401" xr:uid="{00000000-0005-0000-0000-000004450000}"/>
    <cellStyle name="Comma 2 6 3 5 2 4" xfId="36616" xr:uid="{00000000-0005-0000-0000-000005450000}"/>
    <cellStyle name="Comma 2 6 3 5 2 5" xfId="40820" xr:uid="{00000000-0005-0000-0000-000006450000}"/>
    <cellStyle name="Comma 2 6 3 5 3" xfId="27270" xr:uid="{00000000-0005-0000-0000-000007450000}"/>
    <cellStyle name="Comma 2 6 3 5 3 2" xfId="45148" xr:uid="{00000000-0005-0000-0000-000008450000}"/>
    <cellStyle name="Comma 2 6 3 5 4" xfId="31483" xr:uid="{00000000-0005-0000-0000-000009450000}"/>
    <cellStyle name="Comma 2 6 3 5 5" xfId="35698" xr:uid="{00000000-0005-0000-0000-00000A450000}"/>
    <cellStyle name="Comma 2 6 3 5 6" xfId="39902" xr:uid="{00000000-0005-0000-0000-00000B450000}"/>
    <cellStyle name="Comma 2 6 3 6" xfId="10497" xr:uid="{00000000-0005-0000-0000-00000C450000}"/>
    <cellStyle name="Comma 2 6 3 6 2" xfId="27735" xr:uid="{00000000-0005-0000-0000-00000D450000}"/>
    <cellStyle name="Comma 2 6 3 6 2 2" xfId="45413" xr:uid="{00000000-0005-0000-0000-00000E450000}"/>
    <cellStyle name="Comma 2 6 3 6 3" xfId="31948" xr:uid="{00000000-0005-0000-0000-00000F450000}"/>
    <cellStyle name="Comma 2 6 3 6 4" xfId="36163" xr:uid="{00000000-0005-0000-0000-000010450000}"/>
    <cellStyle name="Comma 2 6 3 6 5" xfId="40367" xr:uid="{00000000-0005-0000-0000-000011450000}"/>
    <cellStyle name="Comma 2 6 3 7" xfId="25234" xr:uid="{00000000-0005-0000-0000-000012450000}"/>
    <cellStyle name="Comma 2 6 3 7 2" xfId="44573" xr:uid="{00000000-0005-0000-0000-000013450000}"/>
    <cellStyle name="Comma 2 6 3 8" xfId="29446" xr:uid="{00000000-0005-0000-0000-000014450000}"/>
    <cellStyle name="Comma 2 6 3 9" xfId="33662" xr:uid="{00000000-0005-0000-0000-000015450000}"/>
    <cellStyle name="Comma 2 6 4" xfId="6067" xr:uid="{00000000-0005-0000-0000-000016450000}"/>
    <cellStyle name="Comma 2 6 4 2" xfId="11575" xr:uid="{00000000-0005-0000-0000-000017450000}"/>
    <cellStyle name="Comma 2 6 4 2 2" xfId="28331" xr:uid="{00000000-0005-0000-0000-000018450000}"/>
    <cellStyle name="Comma 2 6 4 2 2 2" xfId="45980" xr:uid="{00000000-0005-0000-0000-000019450000}"/>
    <cellStyle name="Comma 2 6 4 2 3" xfId="32544" xr:uid="{00000000-0005-0000-0000-00001A450000}"/>
    <cellStyle name="Comma 2 6 4 2 4" xfId="36759" xr:uid="{00000000-0005-0000-0000-00001B450000}"/>
    <cellStyle name="Comma 2 6 4 2 5" xfId="40963" xr:uid="{00000000-0005-0000-0000-00001C450000}"/>
    <cellStyle name="Comma 2 6 4 3" xfId="25377" xr:uid="{00000000-0005-0000-0000-00001D450000}"/>
    <cellStyle name="Comma 2 6 4 3 2" xfId="44716" xr:uid="{00000000-0005-0000-0000-00001E450000}"/>
    <cellStyle name="Comma 2 6 4 4" xfId="29589" xr:uid="{00000000-0005-0000-0000-00001F450000}"/>
    <cellStyle name="Comma 2 6 4 5" xfId="33805" xr:uid="{00000000-0005-0000-0000-000020450000}"/>
    <cellStyle name="Comma 2 6 4 6" xfId="38009" xr:uid="{00000000-0005-0000-0000-000021450000}"/>
    <cellStyle name="Comma 2 6 5" xfId="5969" xr:uid="{00000000-0005-0000-0000-000022450000}"/>
    <cellStyle name="Comma 2 6 5 2" xfId="11477" xr:uid="{00000000-0005-0000-0000-000023450000}"/>
    <cellStyle name="Comma 2 6 5 2 2" xfId="28236" xr:uid="{00000000-0005-0000-0000-000024450000}"/>
    <cellStyle name="Comma 2 6 5 2 2 2" xfId="45885" xr:uid="{00000000-0005-0000-0000-000025450000}"/>
    <cellStyle name="Comma 2 6 5 2 3" xfId="32449" xr:uid="{00000000-0005-0000-0000-000026450000}"/>
    <cellStyle name="Comma 2 6 5 2 4" xfId="36664" xr:uid="{00000000-0005-0000-0000-000027450000}"/>
    <cellStyle name="Comma 2 6 5 2 5" xfId="40868" xr:uid="{00000000-0005-0000-0000-000028450000}"/>
    <cellStyle name="Comma 2 6 5 3" xfId="25282" xr:uid="{00000000-0005-0000-0000-000029450000}"/>
    <cellStyle name="Comma 2 6 5 3 2" xfId="44621" xr:uid="{00000000-0005-0000-0000-00002A450000}"/>
    <cellStyle name="Comma 2 6 5 4" xfId="29494" xr:uid="{00000000-0005-0000-0000-00002B450000}"/>
    <cellStyle name="Comma 2 6 5 5" xfId="33710" xr:uid="{00000000-0005-0000-0000-00002C450000}"/>
    <cellStyle name="Comma 2 6 5 6" xfId="37914" xr:uid="{00000000-0005-0000-0000-00002D450000}"/>
    <cellStyle name="Comma 2 6 6" xfId="6181" xr:uid="{00000000-0005-0000-0000-00002E450000}"/>
    <cellStyle name="Comma 2 6 6 2" xfId="11689" xr:uid="{00000000-0005-0000-0000-00002F450000}"/>
    <cellStyle name="Comma 2 6 6 2 2" xfId="28445" xr:uid="{00000000-0005-0000-0000-000030450000}"/>
    <cellStyle name="Comma 2 6 6 2 2 2" xfId="46094" xr:uid="{00000000-0005-0000-0000-000031450000}"/>
    <cellStyle name="Comma 2 6 6 2 3" xfId="32658" xr:uid="{00000000-0005-0000-0000-000032450000}"/>
    <cellStyle name="Comma 2 6 6 2 4" xfId="36873" xr:uid="{00000000-0005-0000-0000-000033450000}"/>
    <cellStyle name="Comma 2 6 6 2 5" xfId="41077" xr:uid="{00000000-0005-0000-0000-000034450000}"/>
    <cellStyle name="Comma 2 6 6 3" xfId="25491" xr:uid="{00000000-0005-0000-0000-000035450000}"/>
    <cellStyle name="Comma 2 6 6 3 2" xfId="44830" xr:uid="{00000000-0005-0000-0000-000036450000}"/>
    <cellStyle name="Comma 2 6 6 4" xfId="29703" xr:uid="{00000000-0005-0000-0000-000037450000}"/>
    <cellStyle name="Comma 2 6 6 5" xfId="33919" xr:uid="{00000000-0005-0000-0000-000038450000}"/>
    <cellStyle name="Comma 2 6 6 6" xfId="38123" xr:uid="{00000000-0005-0000-0000-000039450000}"/>
    <cellStyle name="Comma 2 6 7" xfId="6356" xr:uid="{00000000-0005-0000-0000-00003A450000}"/>
    <cellStyle name="Comma 2 6 7 2" xfId="11768" xr:uid="{00000000-0005-0000-0000-00003B450000}"/>
    <cellStyle name="Comma 2 6 7 2 2" xfId="28490" xr:uid="{00000000-0005-0000-0000-00003C450000}"/>
    <cellStyle name="Comma 2 6 7 2 2 2" xfId="46139" xr:uid="{00000000-0005-0000-0000-00003D450000}"/>
    <cellStyle name="Comma 2 6 7 2 3" xfId="32703" xr:uid="{00000000-0005-0000-0000-00003E450000}"/>
    <cellStyle name="Comma 2 6 7 2 4" xfId="36918" xr:uid="{00000000-0005-0000-0000-00003F450000}"/>
    <cellStyle name="Comma 2 6 7 2 5" xfId="41122" xr:uid="{00000000-0005-0000-0000-000040450000}"/>
    <cellStyle name="Comma 2 6 7 3" xfId="25546" xr:uid="{00000000-0005-0000-0000-000041450000}"/>
    <cellStyle name="Comma 2 6 7 3 2" xfId="44875" xr:uid="{00000000-0005-0000-0000-000042450000}"/>
    <cellStyle name="Comma 2 6 7 4" xfId="29758" xr:uid="{00000000-0005-0000-0000-000043450000}"/>
    <cellStyle name="Comma 2 6 7 5" xfId="33974" xr:uid="{00000000-0005-0000-0000-000044450000}"/>
    <cellStyle name="Comma 2 6 7 6" xfId="38178" xr:uid="{00000000-0005-0000-0000-000045450000}"/>
    <cellStyle name="Comma 2 6 8" xfId="9661" xr:uid="{00000000-0005-0000-0000-000046450000}"/>
    <cellStyle name="Comma 2 6 8 2" xfId="11356" xr:uid="{00000000-0005-0000-0000-000047450000}"/>
    <cellStyle name="Comma 2 6 8 2 2" xfId="28141" xr:uid="{00000000-0005-0000-0000-000048450000}"/>
    <cellStyle name="Comma 2 6 8 2 2 2" xfId="45790" xr:uid="{00000000-0005-0000-0000-000049450000}"/>
    <cellStyle name="Comma 2 6 8 2 3" xfId="32354" xr:uid="{00000000-0005-0000-0000-00004A450000}"/>
    <cellStyle name="Comma 2 6 8 2 4" xfId="36569" xr:uid="{00000000-0005-0000-0000-00004B450000}"/>
    <cellStyle name="Comma 2 6 8 2 5" xfId="40773" xr:uid="{00000000-0005-0000-0000-00004C450000}"/>
    <cellStyle name="Comma 2 6 8 3" xfId="27176" xr:uid="{00000000-0005-0000-0000-00004D450000}"/>
    <cellStyle name="Comma 2 6 8 3 2" xfId="45045" xr:uid="{00000000-0005-0000-0000-00004E450000}"/>
    <cellStyle name="Comma 2 6 8 4" xfId="31389" xr:uid="{00000000-0005-0000-0000-00004F450000}"/>
    <cellStyle name="Comma 2 6 8 5" xfId="35604" xr:uid="{00000000-0005-0000-0000-000050450000}"/>
    <cellStyle name="Comma 2 6 8 6" xfId="39808" xr:uid="{00000000-0005-0000-0000-000051450000}"/>
    <cellStyle name="Comma 2 6 9" xfId="10250" xr:uid="{00000000-0005-0000-0000-000052450000}"/>
    <cellStyle name="Comma 2 6 9 2" xfId="27641" xr:uid="{00000000-0005-0000-0000-000053450000}"/>
    <cellStyle name="Comma 2 6 9 2 2" xfId="45319" xr:uid="{00000000-0005-0000-0000-000054450000}"/>
    <cellStyle name="Comma 2 6 9 3" xfId="31854" xr:uid="{00000000-0005-0000-0000-000055450000}"/>
    <cellStyle name="Comma 2 6 9 4" xfId="36069" xr:uid="{00000000-0005-0000-0000-000056450000}"/>
    <cellStyle name="Comma 2 6 9 5" xfId="40273" xr:uid="{00000000-0005-0000-0000-000057450000}"/>
    <cellStyle name="Comma 2 7" xfId="5868" xr:uid="{00000000-0005-0000-0000-000058450000}"/>
    <cellStyle name="Comma 2 7 10" xfId="25195" xr:uid="{00000000-0005-0000-0000-000059450000}"/>
    <cellStyle name="Comma 2 7 11" xfId="29407" xr:uid="{00000000-0005-0000-0000-00005A450000}"/>
    <cellStyle name="Comma 2 7 12" xfId="33623" xr:uid="{00000000-0005-0000-0000-00005B450000}"/>
    <cellStyle name="Comma 2 7 13" xfId="37827" xr:uid="{00000000-0005-0000-0000-00005C450000}"/>
    <cellStyle name="Comma 2 7 2" xfId="5929" xr:uid="{00000000-0005-0000-0000-00005D450000}"/>
    <cellStyle name="Comma 2 7 2 10" xfId="37876" xr:uid="{00000000-0005-0000-0000-00005E450000}"/>
    <cellStyle name="Comma 2 7 2 2" xfId="6124" xr:uid="{00000000-0005-0000-0000-00005F450000}"/>
    <cellStyle name="Comma 2 7 2 2 2" xfId="9831" xr:uid="{00000000-0005-0000-0000-000060450000}"/>
    <cellStyle name="Comma 2 7 2 2 2 2" xfId="11632" xr:uid="{00000000-0005-0000-0000-000061450000}"/>
    <cellStyle name="Comma 2 7 2 2 2 2 2" xfId="28388" xr:uid="{00000000-0005-0000-0000-000062450000}"/>
    <cellStyle name="Comma 2 7 2 2 2 2 2 2" xfId="46037" xr:uid="{00000000-0005-0000-0000-000063450000}"/>
    <cellStyle name="Comma 2 7 2 2 2 2 3" xfId="32601" xr:uid="{00000000-0005-0000-0000-000064450000}"/>
    <cellStyle name="Comma 2 7 2 2 2 2 4" xfId="36816" xr:uid="{00000000-0005-0000-0000-000065450000}"/>
    <cellStyle name="Comma 2 7 2 2 2 2 5" xfId="41020" xr:uid="{00000000-0005-0000-0000-000066450000}"/>
    <cellStyle name="Comma 2 7 2 2 2 3" xfId="27318" xr:uid="{00000000-0005-0000-0000-000067450000}"/>
    <cellStyle name="Comma 2 7 2 2 2 3 2" xfId="45196" xr:uid="{00000000-0005-0000-0000-000068450000}"/>
    <cellStyle name="Comma 2 7 2 2 2 4" xfId="31531" xr:uid="{00000000-0005-0000-0000-000069450000}"/>
    <cellStyle name="Comma 2 7 2 2 2 5" xfId="35746" xr:uid="{00000000-0005-0000-0000-00006A450000}"/>
    <cellStyle name="Comma 2 7 2 2 2 6" xfId="39950" xr:uid="{00000000-0005-0000-0000-00006B450000}"/>
    <cellStyle name="Comma 2 7 2 2 3" xfId="10568" xr:uid="{00000000-0005-0000-0000-00006C450000}"/>
    <cellStyle name="Comma 2 7 2 2 3 2" xfId="27783" xr:uid="{00000000-0005-0000-0000-00006D450000}"/>
    <cellStyle name="Comma 2 7 2 2 3 2 2" xfId="45461" xr:uid="{00000000-0005-0000-0000-00006E450000}"/>
    <cellStyle name="Comma 2 7 2 2 3 3" xfId="31996" xr:uid="{00000000-0005-0000-0000-00006F450000}"/>
    <cellStyle name="Comma 2 7 2 2 3 4" xfId="36211" xr:uid="{00000000-0005-0000-0000-000070450000}"/>
    <cellStyle name="Comma 2 7 2 2 3 5" xfId="40415" xr:uid="{00000000-0005-0000-0000-000071450000}"/>
    <cellStyle name="Comma 2 7 2 2 4" xfId="25434" xr:uid="{00000000-0005-0000-0000-000072450000}"/>
    <cellStyle name="Comma 2 7 2 2 4 2" xfId="44773" xr:uid="{00000000-0005-0000-0000-000073450000}"/>
    <cellStyle name="Comma 2 7 2 2 5" xfId="29646" xr:uid="{00000000-0005-0000-0000-000074450000}"/>
    <cellStyle name="Comma 2 7 2 2 6" xfId="33862" xr:uid="{00000000-0005-0000-0000-000075450000}"/>
    <cellStyle name="Comma 2 7 2 2 7" xfId="38066" xr:uid="{00000000-0005-0000-0000-000076450000}"/>
    <cellStyle name="Comma 2 7 2 3" xfId="6026" xr:uid="{00000000-0005-0000-0000-000077450000}"/>
    <cellStyle name="Comma 2 7 2 3 2" xfId="11534" xr:uid="{00000000-0005-0000-0000-000078450000}"/>
    <cellStyle name="Comma 2 7 2 3 2 2" xfId="28293" xr:uid="{00000000-0005-0000-0000-000079450000}"/>
    <cellStyle name="Comma 2 7 2 3 2 2 2" xfId="45942" xr:uid="{00000000-0005-0000-0000-00007A450000}"/>
    <cellStyle name="Comma 2 7 2 3 2 3" xfId="32506" xr:uid="{00000000-0005-0000-0000-00007B450000}"/>
    <cellStyle name="Comma 2 7 2 3 2 4" xfId="36721" xr:uid="{00000000-0005-0000-0000-00007C450000}"/>
    <cellStyle name="Comma 2 7 2 3 2 5" xfId="40925" xr:uid="{00000000-0005-0000-0000-00007D450000}"/>
    <cellStyle name="Comma 2 7 2 3 3" xfId="25339" xr:uid="{00000000-0005-0000-0000-00007E450000}"/>
    <cellStyle name="Comma 2 7 2 3 3 2" xfId="44678" xr:uid="{00000000-0005-0000-0000-00007F450000}"/>
    <cellStyle name="Comma 2 7 2 3 4" xfId="29551" xr:uid="{00000000-0005-0000-0000-000080450000}"/>
    <cellStyle name="Comma 2 7 2 3 5" xfId="33767" xr:uid="{00000000-0005-0000-0000-000081450000}"/>
    <cellStyle name="Comma 2 7 2 3 6" xfId="37971" xr:uid="{00000000-0005-0000-0000-000082450000}"/>
    <cellStyle name="Comma 2 7 2 4" xfId="6897" xr:uid="{00000000-0005-0000-0000-000083450000}"/>
    <cellStyle name="Comma 2 7 2 4 2" xfId="11808" xr:uid="{00000000-0005-0000-0000-000084450000}"/>
    <cellStyle name="Comma 2 7 2 4 2 2" xfId="28528" xr:uid="{00000000-0005-0000-0000-000085450000}"/>
    <cellStyle name="Comma 2 7 2 4 2 2 2" xfId="46179" xr:uid="{00000000-0005-0000-0000-000086450000}"/>
    <cellStyle name="Comma 2 7 2 4 2 3" xfId="32741" xr:uid="{00000000-0005-0000-0000-000087450000}"/>
    <cellStyle name="Comma 2 7 2 4 2 4" xfId="36956" xr:uid="{00000000-0005-0000-0000-000088450000}"/>
    <cellStyle name="Comma 2 7 2 4 2 5" xfId="41160" xr:uid="{00000000-0005-0000-0000-000089450000}"/>
    <cellStyle name="Comma 2 7 2 4 3" xfId="25585" xr:uid="{00000000-0005-0000-0000-00008A450000}"/>
    <cellStyle name="Comma 2 7 2 4 3 2" xfId="44913" xr:uid="{00000000-0005-0000-0000-00008B450000}"/>
    <cellStyle name="Comma 2 7 2 4 4" xfId="29798" xr:uid="{00000000-0005-0000-0000-00008C450000}"/>
    <cellStyle name="Comma 2 7 2 4 5" xfId="34013" xr:uid="{00000000-0005-0000-0000-00008D450000}"/>
    <cellStyle name="Comma 2 7 2 4 6" xfId="38217" xr:uid="{00000000-0005-0000-0000-00008E450000}"/>
    <cellStyle name="Comma 2 7 2 5" xfId="9713" xr:uid="{00000000-0005-0000-0000-00008F450000}"/>
    <cellStyle name="Comma 2 7 2 5 2" xfId="11438" xr:uid="{00000000-0005-0000-0000-000090450000}"/>
    <cellStyle name="Comma 2 7 2 5 2 2" xfId="28198" xr:uid="{00000000-0005-0000-0000-000091450000}"/>
    <cellStyle name="Comma 2 7 2 5 2 2 2" xfId="45847" xr:uid="{00000000-0005-0000-0000-000092450000}"/>
    <cellStyle name="Comma 2 7 2 5 2 3" xfId="32411" xr:uid="{00000000-0005-0000-0000-000093450000}"/>
    <cellStyle name="Comma 2 7 2 5 2 4" xfId="36626" xr:uid="{00000000-0005-0000-0000-000094450000}"/>
    <cellStyle name="Comma 2 7 2 5 2 5" xfId="40830" xr:uid="{00000000-0005-0000-0000-000095450000}"/>
    <cellStyle name="Comma 2 7 2 5 3" xfId="27224" xr:uid="{00000000-0005-0000-0000-000096450000}"/>
    <cellStyle name="Comma 2 7 2 5 3 2" xfId="45093" xr:uid="{00000000-0005-0000-0000-000097450000}"/>
    <cellStyle name="Comma 2 7 2 5 4" xfId="31437" xr:uid="{00000000-0005-0000-0000-000098450000}"/>
    <cellStyle name="Comma 2 7 2 5 5" xfId="35652" xr:uid="{00000000-0005-0000-0000-000099450000}"/>
    <cellStyle name="Comma 2 7 2 5 6" xfId="39856" xr:uid="{00000000-0005-0000-0000-00009A450000}"/>
    <cellStyle name="Comma 2 7 2 6" xfId="10451" xr:uid="{00000000-0005-0000-0000-00009B450000}"/>
    <cellStyle name="Comma 2 7 2 6 2" xfId="27689" xr:uid="{00000000-0005-0000-0000-00009C450000}"/>
    <cellStyle name="Comma 2 7 2 6 2 2" xfId="45367" xr:uid="{00000000-0005-0000-0000-00009D450000}"/>
    <cellStyle name="Comma 2 7 2 6 3" xfId="31902" xr:uid="{00000000-0005-0000-0000-00009E450000}"/>
    <cellStyle name="Comma 2 7 2 6 4" xfId="36117" xr:uid="{00000000-0005-0000-0000-00009F450000}"/>
    <cellStyle name="Comma 2 7 2 6 5" xfId="40321" xr:uid="{00000000-0005-0000-0000-0000A0450000}"/>
    <cellStyle name="Comma 2 7 2 7" xfId="25244" xr:uid="{00000000-0005-0000-0000-0000A1450000}"/>
    <cellStyle name="Comma 2 7 2 7 2" xfId="44583" xr:uid="{00000000-0005-0000-0000-0000A2450000}"/>
    <cellStyle name="Comma 2 7 2 8" xfId="29456" xr:uid="{00000000-0005-0000-0000-0000A3450000}"/>
    <cellStyle name="Comma 2 7 2 9" xfId="33672" xr:uid="{00000000-0005-0000-0000-0000A4450000}"/>
    <cellStyle name="Comma 2 7 3" xfId="6077" xr:uid="{00000000-0005-0000-0000-0000A5450000}"/>
    <cellStyle name="Comma 2 7 3 2" xfId="8041" xr:uid="{00000000-0005-0000-0000-0000A6450000}"/>
    <cellStyle name="Comma 2 7 3 3" xfId="9771" xr:uid="{00000000-0005-0000-0000-0000A7450000}"/>
    <cellStyle name="Comma 2 7 3 3 2" xfId="11585" xr:uid="{00000000-0005-0000-0000-0000A8450000}"/>
    <cellStyle name="Comma 2 7 3 3 2 2" xfId="28341" xr:uid="{00000000-0005-0000-0000-0000A9450000}"/>
    <cellStyle name="Comma 2 7 3 3 2 2 2" xfId="45990" xr:uid="{00000000-0005-0000-0000-0000AA450000}"/>
    <cellStyle name="Comma 2 7 3 3 2 3" xfId="32554" xr:uid="{00000000-0005-0000-0000-0000AB450000}"/>
    <cellStyle name="Comma 2 7 3 3 2 4" xfId="36769" xr:uid="{00000000-0005-0000-0000-0000AC450000}"/>
    <cellStyle name="Comma 2 7 3 3 2 5" xfId="40973" xr:uid="{00000000-0005-0000-0000-0000AD450000}"/>
    <cellStyle name="Comma 2 7 3 3 3" xfId="27271" xr:uid="{00000000-0005-0000-0000-0000AE450000}"/>
    <cellStyle name="Comma 2 7 3 3 3 2" xfId="45149" xr:uid="{00000000-0005-0000-0000-0000AF450000}"/>
    <cellStyle name="Comma 2 7 3 3 4" xfId="31484" xr:uid="{00000000-0005-0000-0000-0000B0450000}"/>
    <cellStyle name="Comma 2 7 3 3 5" xfId="35699" xr:uid="{00000000-0005-0000-0000-0000B1450000}"/>
    <cellStyle name="Comma 2 7 3 3 6" xfId="39903" xr:uid="{00000000-0005-0000-0000-0000B2450000}"/>
    <cellStyle name="Comma 2 7 3 4" xfId="10498" xr:uid="{00000000-0005-0000-0000-0000B3450000}"/>
    <cellStyle name="Comma 2 7 3 4 2" xfId="27736" xr:uid="{00000000-0005-0000-0000-0000B4450000}"/>
    <cellStyle name="Comma 2 7 3 4 2 2" xfId="45414" xr:uid="{00000000-0005-0000-0000-0000B5450000}"/>
    <cellStyle name="Comma 2 7 3 4 3" xfId="31949" xr:uid="{00000000-0005-0000-0000-0000B6450000}"/>
    <cellStyle name="Comma 2 7 3 4 4" xfId="36164" xr:uid="{00000000-0005-0000-0000-0000B7450000}"/>
    <cellStyle name="Comma 2 7 3 4 5" xfId="40368" xr:uid="{00000000-0005-0000-0000-0000B8450000}"/>
    <cellStyle name="Comma 2 7 3 5" xfId="25387" xr:uid="{00000000-0005-0000-0000-0000B9450000}"/>
    <cellStyle name="Comma 2 7 3 5 2" xfId="44726" xr:uid="{00000000-0005-0000-0000-0000BA450000}"/>
    <cellStyle name="Comma 2 7 3 6" xfId="29599" xr:uid="{00000000-0005-0000-0000-0000BB450000}"/>
    <cellStyle name="Comma 2 7 3 7" xfId="33815" xr:uid="{00000000-0005-0000-0000-0000BC450000}"/>
    <cellStyle name="Comma 2 7 3 8" xfId="38019" xr:uid="{00000000-0005-0000-0000-0000BD450000}"/>
    <cellStyle name="Comma 2 7 4" xfId="5979" xr:uid="{00000000-0005-0000-0000-0000BE450000}"/>
    <cellStyle name="Comma 2 7 4 2" xfId="11487" xr:uid="{00000000-0005-0000-0000-0000BF450000}"/>
    <cellStyle name="Comma 2 7 4 2 2" xfId="28246" xr:uid="{00000000-0005-0000-0000-0000C0450000}"/>
    <cellStyle name="Comma 2 7 4 2 2 2" xfId="45895" xr:uid="{00000000-0005-0000-0000-0000C1450000}"/>
    <cellStyle name="Comma 2 7 4 2 3" xfId="32459" xr:uid="{00000000-0005-0000-0000-0000C2450000}"/>
    <cellStyle name="Comma 2 7 4 2 4" xfId="36674" xr:uid="{00000000-0005-0000-0000-0000C3450000}"/>
    <cellStyle name="Comma 2 7 4 2 5" xfId="40878" xr:uid="{00000000-0005-0000-0000-0000C4450000}"/>
    <cellStyle name="Comma 2 7 4 3" xfId="25292" xr:uid="{00000000-0005-0000-0000-0000C5450000}"/>
    <cellStyle name="Comma 2 7 4 3 2" xfId="44631" xr:uid="{00000000-0005-0000-0000-0000C6450000}"/>
    <cellStyle name="Comma 2 7 4 4" xfId="29504" xr:uid="{00000000-0005-0000-0000-0000C7450000}"/>
    <cellStyle name="Comma 2 7 4 5" xfId="33720" xr:uid="{00000000-0005-0000-0000-0000C8450000}"/>
    <cellStyle name="Comma 2 7 4 6" xfId="37924" xr:uid="{00000000-0005-0000-0000-0000C9450000}"/>
    <cellStyle name="Comma 2 7 5" xfId="6182" xr:uid="{00000000-0005-0000-0000-0000CA450000}"/>
    <cellStyle name="Comma 2 7 5 2" xfId="11690" xr:uid="{00000000-0005-0000-0000-0000CB450000}"/>
    <cellStyle name="Comma 2 7 5 2 2" xfId="28446" xr:uid="{00000000-0005-0000-0000-0000CC450000}"/>
    <cellStyle name="Comma 2 7 5 2 2 2" xfId="46095" xr:uid="{00000000-0005-0000-0000-0000CD450000}"/>
    <cellStyle name="Comma 2 7 5 2 3" xfId="32659" xr:uid="{00000000-0005-0000-0000-0000CE450000}"/>
    <cellStyle name="Comma 2 7 5 2 4" xfId="36874" xr:uid="{00000000-0005-0000-0000-0000CF450000}"/>
    <cellStyle name="Comma 2 7 5 2 5" xfId="41078" xr:uid="{00000000-0005-0000-0000-0000D0450000}"/>
    <cellStyle name="Comma 2 7 5 3" xfId="25492" xr:uid="{00000000-0005-0000-0000-0000D1450000}"/>
    <cellStyle name="Comma 2 7 5 3 2" xfId="44831" xr:uid="{00000000-0005-0000-0000-0000D2450000}"/>
    <cellStyle name="Comma 2 7 5 4" xfId="29704" xr:uid="{00000000-0005-0000-0000-0000D3450000}"/>
    <cellStyle name="Comma 2 7 5 5" xfId="33920" xr:uid="{00000000-0005-0000-0000-0000D4450000}"/>
    <cellStyle name="Comma 2 7 5 6" xfId="38124" xr:uid="{00000000-0005-0000-0000-0000D5450000}"/>
    <cellStyle name="Comma 2 7 6" xfId="6357" xr:uid="{00000000-0005-0000-0000-0000D6450000}"/>
    <cellStyle name="Comma 2 7 6 2" xfId="11769" xr:uid="{00000000-0005-0000-0000-0000D7450000}"/>
    <cellStyle name="Comma 2 7 6 2 2" xfId="28491" xr:uid="{00000000-0005-0000-0000-0000D8450000}"/>
    <cellStyle name="Comma 2 7 6 2 2 2" xfId="46140" xr:uid="{00000000-0005-0000-0000-0000D9450000}"/>
    <cellStyle name="Comma 2 7 6 2 3" xfId="32704" xr:uid="{00000000-0005-0000-0000-0000DA450000}"/>
    <cellStyle name="Comma 2 7 6 2 4" xfId="36919" xr:uid="{00000000-0005-0000-0000-0000DB450000}"/>
    <cellStyle name="Comma 2 7 6 2 5" xfId="41123" xr:uid="{00000000-0005-0000-0000-0000DC450000}"/>
    <cellStyle name="Comma 2 7 6 3" xfId="25547" xr:uid="{00000000-0005-0000-0000-0000DD450000}"/>
    <cellStyle name="Comma 2 7 6 3 2" xfId="44876" xr:uid="{00000000-0005-0000-0000-0000DE450000}"/>
    <cellStyle name="Comma 2 7 6 4" xfId="29759" xr:uid="{00000000-0005-0000-0000-0000DF450000}"/>
    <cellStyle name="Comma 2 7 6 5" xfId="33975" xr:uid="{00000000-0005-0000-0000-0000E0450000}"/>
    <cellStyle name="Comma 2 7 6 6" xfId="38179" xr:uid="{00000000-0005-0000-0000-0000E1450000}"/>
    <cellStyle name="Comma 2 7 7" xfId="9662" xr:uid="{00000000-0005-0000-0000-0000E2450000}"/>
    <cellStyle name="Comma 2 7 7 2" xfId="11382" xr:uid="{00000000-0005-0000-0000-0000E3450000}"/>
    <cellStyle name="Comma 2 7 7 2 2" xfId="28151" xr:uid="{00000000-0005-0000-0000-0000E4450000}"/>
    <cellStyle name="Comma 2 7 7 2 2 2" xfId="45800" xr:uid="{00000000-0005-0000-0000-0000E5450000}"/>
    <cellStyle name="Comma 2 7 7 2 3" xfId="32364" xr:uid="{00000000-0005-0000-0000-0000E6450000}"/>
    <cellStyle name="Comma 2 7 7 2 4" xfId="36579" xr:uid="{00000000-0005-0000-0000-0000E7450000}"/>
    <cellStyle name="Comma 2 7 7 2 5" xfId="40783" xr:uid="{00000000-0005-0000-0000-0000E8450000}"/>
    <cellStyle name="Comma 2 7 7 3" xfId="27177" xr:uid="{00000000-0005-0000-0000-0000E9450000}"/>
    <cellStyle name="Comma 2 7 7 3 2" xfId="45046" xr:uid="{00000000-0005-0000-0000-0000EA450000}"/>
    <cellStyle name="Comma 2 7 7 4" xfId="31390" xr:uid="{00000000-0005-0000-0000-0000EB450000}"/>
    <cellStyle name="Comma 2 7 7 5" xfId="35605" xr:uid="{00000000-0005-0000-0000-0000EC450000}"/>
    <cellStyle name="Comma 2 7 7 6" xfId="39809" xr:uid="{00000000-0005-0000-0000-0000ED450000}"/>
    <cellStyle name="Comma 2 7 8" xfId="10251" xr:uid="{00000000-0005-0000-0000-0000EE450000}"/>
    <cellStyle name="Comma 2 7 8 2" xfId="27642" xr:uid="{00000000-0005-0000-0000-0000EF450000}"/>
    <cellStyle name="Comma 2 7 8 2 2" xfId="45320" xr:uid="{00000000-0005-0000-0000-0000F0450000}"/>
    <cellStyle name="Comma 2 7 8 3" xfId="31855" xr:uid="{00000000-0005-0000-0000-0000F1450000}"/>
    <cellStyle name="Comma 2 7 8 4" xfId="36070" xr:uid="{00000000-0005-0000-0000-0000F2450000}"/>
    <cellStyle name="Comma 2 7 8 5" xfId="40274" xr:uid="{00000000-0005-0000-0000-0000F3450000}"/>
    <cellStyle name="Comma 2 7 9" xfId="17066" xr:uid="{00000000-0005-0000-0000-0000F4450000}"/>
    <cellStyle name="Comma 2 7 9 2" xfId="28917" xr:uid="{00000000-0005-0000-0000-0000F5450000}"/>
    <cellStyle name="Comma 2 7 9 3" xfId="33132" xr:uid="{00000000-0005-0000-0000-0000F6450000}"/>
    <cellStyle name="Comma 2 7 9 4" xfId="37345" xr:uid="{00000000-0005-0000-0000-0000F7450000}"/>
    <cellStyle name="Comma 2 7 9 5" xfId="44536" xr:uid="{00000000-0005-0000-0000-0000F8450000}"/>
    <cellStyle name="Comma 2 8" xfId="5879" xr:uid="{00000000-0005-0000-0000-0000F9450000}"/>
    <cellStyle name="Comma 2 8 10" xfId="25205" xr:uid="{00000000-0005-0000-0000-0000FA450000}"/>
    <cellStyle name="Comma 2 8 11" xfId="29417" xr:uid="{00000000-0005-0000-0000-0000FB450000}"/>
    <cellStyle name="Comma 2 8 12" xfId="33633" xr:uid="{00000000-0005-0000-0000-0000FC450000}"/>
    <cellStyle name="Comma 2 8 13" xfId="37837" xr:uid="{00000000-0005-0000-0000-0000FD450000}"/>
    <cellStyle name="Comma 2 8 2" xfId="5939" xr:uid="{00000000-0005-0000-0000-0000FE450000}"/>
    <cellStyle name="Comma 2 8 2 10" xfId="37886" xr:uid="{00000000-0005-0000-0000-0000FF450000}"/>
    <cellStyle name="Comma 2 8 2 2" xfId="6134" xr:uid="{00000000-0005-0000-0000-000000460000}"/>
    <cellStyle name="Comma 2 8 2 2 2" xfId="9832" xr:uid="{00000000-0005-0000-0000-000001460000}"/>
    <cellStyle name="Comma 2 8 2 2 2 2" xfId="11642" xr:uid="{00000000-0005-0000-0000-000002460000}"/>
    <cellStyle name="Comma 2 8 2 2 2 2 2" xfId="28398" xr:uid="{00000000-0005-0000-0000-000003460000}"/>
    <cellStyle name="Comma 2 8 2 2 2 2 2 2" xfId="46047" xr:uid="{00000000-0005-0000-0000-000004460000}"/>
    <cellStyle name="Comma 2 8 2 2 2 2 3" xfId="32611" xr:uid="{00000000-0005-0000-0000-000005460000}"/>
    <cellStyle name="Comma 2 8 2 2 2 2 4" xfId="36826" xr:uid="{00000000-0005-0000-0000-000006460000}"/>
    <cellStyle name="Comma 2 8 2 2 2 2 5" xfId="41030" xr:uid="{00000000-0005-0000-0000-000007460000}"/>
    <cellStyle name="Comma 2 8 2 2 2 3" xfId="27319" xr:uid="{00000000-0005-0000-0000-000008460000}"/>
    <cellStyle name="Comma 2 8 2 2 2 3 2" xfId="45197" xr:uid="{00000000-0005-0000-0000-000009460000}"/>
    <cellStyle name="Comma 2 8 2 2 2 4" xfId="31532" xr:uid="{00000000-0005-0000-0000-00000A460000}"/>
    <cellStyle name="Comma 2 8 2 2 2 5" xfId="35747" xr:uid="{00000000-0005-0000-0000-00000B460000}"/>
    <cellStyle name="Comma 2 8 2 2 2 6" xfId="39951" xr:uid="{00000000-0005-0000-0000-00000C460000}"/>
    <cellStyle name="Comma 2 8 2 2 3" xfId="10569" xr:uid="{00000000-0005-0000-0000-00000D460000}"/>
    <cellStyle name="Comma 2 8 2 2 3 2" xfId="27784" xr:uid="{00000000-0005-0000-0000-00000E460000}"/>
    <cellStyle name="Comma 2 8 2 2 3 2 2" xfId="45462" xr:uid="{00000000-0005-0000-0000-00000F460000}"/>
    <cellStyle name="Comma 2 8 2 2 3 3" xfId="31997" xr:uid="{00000000-0005-0000-0000-000010460000}"/>
    <cellStyle name="Comma 2 8 2 2 3 4" xfId="36212" xr:uid="{00000000-0005-0000-0000-000011460000}"/>
    <cellStyle name="Comma 2 8 2 2 3 5" xfId="40416" xr:uid="{00000000-0005-0000-0000-000012460000}"/>
    <cellStyle name="Comma 2 8 2 2 4" xfId="25444" xr:uid="{00000000-0005-0000-0000-000013460000}"/>
    <cellStyle name="Comma 2 8 2 2 4 2" xfId="44783" xr:uid="{00000000-0005-0000-0000-000014460000}"/>
    <cellStyle name="Comma 2 8 2 2 5" xfId="29656" xr:uid="{00000000-0005-0000-0000-000015460000}"/>
    <cellStyle name="Comma 2 8 2 2 6" xfId="33872" xr:uid="{00000000-0005-0000-0000-000016460000}"/>
    <cellStyle name="Comma 2 8 2 2 7" xfId="38076" xr:uid="{00000000-0005-0000-0000-000017460000}"/>
    <cellStyle name="Comma 2 8 2 3" xfId="6036" xr:uid="{00000000-0005-0000-0000-000018460000}"/>
    <cellStyle name="Comma 2 8 2 3 2" xfId="11544" xr:uid="{00000000-0005-0000-0000-000019460000}"/>
    <cellStyle name="Comma 2 8 2 3 2 2" xfId="28303" xr:uid="{00000000-0005-0000-0000-00001A460000}"/>
    <cellStyle name="Comma 2 8 2 3 2 2 2" xfId="45952" xr:uid="{00000000-0005-0000-0000-00001B460000}"/>
    <cellStyle name="Comma 2 8 2 3 2 3" xfId="32516" xr:uid="{00000000-0005-0000-0000-00001C460000}"/>
    <cellStyle name="Comma 2 8 2 3 2 4" xfId="36731" xr:uid="{00000000-0005-0000-0000-00001D460000}"/>
    <cellStyle name="Comma 2 8 2 3 2 5" xfId="40935" xr:uid="{00000000-0005-0000-0000-00001E460000}"/>
    <cellStyle name="Comma 2 8 2 3 3" xfId="25349" xr:uid="{00000000-0005-0000-0000-00001F460000}"/>
    <cellStyle name="Comma 2 8 2 3 3 2" xfId="44688" xr:uid="{00000000-0005-0000-0000-000020460000}"/>
    <cellStyle name="Comma 2 8 2 3 4" xfId="29561" xr:uid="{00000000-0005-0000-0000-000021460000}"/>
    <cellStyle name="Comma 2 8 2 3 5" xfId="33777" xr:uid="{00000000-0005-0000-0000-000022460000}"/>
    <cellStyle name="Comma 2 8 2 3 6" xfId="37981" xr:uid="{00000000-0005-0000-0000-000023460000}"/>
    <cellStyle name="Comma 2 8 2 4" xfId="6898" xr:uid="{00000000-0005-0000-0000-000024460000}"/>
    <cellStyle name="Comma 2 8 2 4 2" xfId="11809" xr:uid="{00000000-0005-0000-0000-000025460000}"/>
    <cellStyle name="Comma 2 8 2 4 2 2" xfId="28529" xr:uid="{00000000-0005-0000-0000-000026460000}"/>
    <cellStyle name="Comma 2 8 2 4 2 2 2" xfId="46180" xr:uid="{00000000-0005-0000-0000-000027460000}"/>
    <cellStyle name="Comma 2 8 2 4 2 3" xfId="32742" xr:uid="{00000000-0005-0000-0000-000028460000}"/>
    <cellStyle name="Comma 2 8 2 4 2 4" xfId="36957" xr:uid="{00000000-0005-0000-0000-000029460000}"/>
    <cellStyle name="Comma 2 8 2 4 2 5" xfId="41161" xr:uid="{00000000-0005-0000-0000-00002A460000}"/>
    <cellStyle name="Comma 2 8 2 4 3" xfId="25586" xr:uid="{00000000-0005-0000-0000-00002B460000}"/>
    <cellStyle name="Comma 2 8 2 4 3 2" xfId="44914" xr:uid="{00000000-0005-0000-0000-00002C460000}"/>
    <cellStyle name="Comma 2 8 2 4 4" xfId="29799" xr:uid="{00000000-0005-0000-0000-00002D460000}"/>
    <cellStyle name="Comma 2 8 2 4 5" xfId="34014" xr:uid="{00000000-0005-0000-0000-00002E460000}"/>
    <cellStyle name="Comma 2 8 2 4 6" xfId="38218" xr:uid="{00000000-0005-0000-0000-00002F460000}"/>
    <cellStyle name="Comma 2 8 2 5" xfId="9714" xr:uid="{00000000-0005-0000-0000-000030460000}"/>
    <cellStyle name="Comma 2 8 2 5 2" xfId="11448" xr:uid="{00000000-0005-0000-0000-000031460000}"/>
    <cellStyle name="Comma 2 8 2 5 2 2" xfId="28208" xr:uid="{00000000-0005-0000-0000-000032460000}"/>
    <cellStyle name="Comma 2 8 2 5 2 2 2" xfId="45857" xr:uid="{00000000-0005-0000-0000-000033460000}"/>
    <cellStyle name="Comma 2 8 2 5 2 3" xfId="32421" xr:uid="{00000000-0005-0000-0000-000034460000}"/>
    <cellStyle name="Comma 2 8 2 5 2 4" xfId="36636" xr:uid="{00000000-0005-0000-0000-000035460000}"/>
    <cellStyle name="Comma 2 8 2 5 2 5" xfId="40840" xr:uid="{00000000-0005-0000-0000-000036460000}"/>
    <cellStyle name="Comma 2 8 2 5 3" xfId="27225" xr:uid="{00000000-0005-0000-0000-000037460000}"/>
    <cellStyle name="Comma 2 8 2 5 3 2" xfId="45094" xr:uid="{00000000-0005-0000-0000-000038460000}"/>
    <cellStyle name="Comma 2 8 2 5 4" xfId="31438" xr:uid="{00000000-0005-0000-0000-000039460000}"/>
    <cellStyle name="Comma 2 8 2 5 5" xfId="35653" xr:uid="{00000000-0005-0000-0000-00003A460000}"/>
    <cellStyle name="Comma 2 8 2 5 6" xfId="39857" xr:uid="{00000000-0005-0000-0000-00003B460000}"/>
    <cellStyle name="Comma 2 8 2 6" xfId="10452" xr:uid="{00000000-0005-0000-0000-00003C460000}"/>
    <cellStyle name="Comma 2 8 2 6 2" xfId="27690" xr:uid="{00000000-0005-0000-0000-00003D460000}"/>
    <cellStyle name="Comma 2 8 2 6 2 2" xfId="45368" xr:uid="{00000000-0005-0000-0000-00003E460000}"/>
    <cellStyle name="Comma 2 8 2 6 3" xfId="31903" xr:uid="{00000000-0005-0000-0000-00003F460000}"/>
    <cellStyle name="Comma 2 8 2 6 4" xfId="36118" xr:uid="{00000000-0005-0000-0000-000040460000}"/>
    <cellStyle name="Comma 2 8 2 6 5" xfId="40322" xr:uid="{00000000-0005-0000-0000-000041460000}"/>
    <cellStyle name="Comma 2 8 2 7" xfId="25254" xr:uid="{00000000-0005-0000-0000-000042460000}"/>
    <cellStyle name="Comma 2 8 2 7 2" xfId="44593" xr:uid="{00000000-0005-0000-0000-000043460000}"/>
    <cellStyle name="Comma 2 8 2 8" xfId="29466" xr:uid="{00000000-0005-0000-0000-000044460000}"/>
    <cellStyle name="Comma 2 8 2 9" xfId="33682" xr:uid="{00000000-0005-0000-0000-000045460000}"/>
    <cellStyle name="Comma 2 8 3" xfId="6087" xr:uid="{00000000-0005-0000-0000-000046460000}"/>
    <cellStyle name="Comma 2 8 3 2" xfId="8042" xr:uid="{00000000-0005-0000-0000-000047460000}"/>
    <cellStyle name="Comma 2 8 3 3" xfId="9772" xr:uid="{00000000-0005-0000-0000-000048460000}"/>
    <cellStyle name="Comma 2 8 3 3 2" xfId="11595" xr:uid="{00000000-0005-0000-0000-000049460000}"/>
    <cellStyle name="Comma 2 8 3 3 2 2" xfId="28351" xr:uid="{00000000-0005-0000-0000-00004A460000}"/>
    <cellStyle name="Comma 2 8 3 3 2 2 2" xfId="46000" xr:uid="{00000000-0005-0000-0000-00004B460000}"/>
    <cellStyle name="Comma 2 8 3 3 2 3" xfId="32564" xr:uid="{00000000-0005-0000-0000-00004C460000}"/>
    <cellStyle name="Comma 2 8 3 3 2 4" xfId="36779" xr:uid="{00000000-0005-0000-0000-00004D460000}"/>
    <cellStyle name="Comma 2 8 3 3 2 5" xfId="40983" xr:uid="{00000000-0005-0000-0000-00004E460000}"/>
    <cellStyle name="Comma 2 8 3 3 3" xfId="27272" xr:uid="{00000000-0005-0000-0000-00004F460000}"/>
    <cellStyle name="Comma 2 8 3 3 3 2" xfId="45150" xr:uid="{00000000-0005-0000-0000-000050460000}"/>
    <cellStyle name="Comma 2 8 3 3 4" xfId="31485" xr:uid="{00000000-0005-0000-0000-000051460000}"/>
    <cellStyle name="Comma 2 8 3 3 5" xfId="35700" xr:uid="{00000000-0005-0000-0000-000052460000}"/>
    <cellStyle name="Comma 2 8 3 3 6" xfId="39904" xr:uid="{00000000-0005-0000-0000-000053460000}"/>
    <cellStyle name="Comma 2 8 3 4" xfId="10499" xr:uid="{00000000-0005-0000-0000-000054460000}"/>
    <cellStyle name="Comma 2 8 3 4 2" xfId="27737" xr:uid="{00000000-0005-0000-0000-000055460000}"/>
    <cellStyle name="Comma 2 8 3 4 2 2" xfId="45415" xr:uid="{00000000-0005-0000-0000-000056460000}"/>
    <cellStyle name="Comma 2 8 3 4 3" xfId="31950" xr:uid="{00000000-0005-0000-0000-000057460000}"/>
    <cellStyle name="Comma 2 8 3 4 4" xfId="36165" xr:uid="{00000000-0005-0000-0000-000058460000}"/>
    <cellStyle name="Comma 2 8 3 4 5" xfId="40369" xr:uid="{00000000-0005-0000-0000-000059460000}"/>
    <cellStyle name="Comma 2 8 3 5" xfId="25397" xr:uid="{00000000-0005-0000-0000-00005A460000}"/>
    <cellStyle name="Comma 2 8 3 5 2" xfId="44736" xr:uid="{00000000-0005-0000-0000-00005B460000}"/>
    <cellStyle name="Comma 2 8 3 6" xfId="29609" xr:uid="{00000000-0005-0000-0000-00005C460000}"/>
    <cellStyle name="Comma 2 8 3 7" xfId="33825" xr:uid="{00000000-0005-0000-0000-00005D460000}"/>
    <cellStyle name="Comma 2 8 3 8" xfId="38029" xr:uid="{00000000-0005-0000-0000-00005E460000}"/>
    <cellStyle name="Comma 2 8 4" xfId="5989" xr:uid="{00000000-0005-0000-0000-00005F460000}"/>
    <cellStyle name="Comma 2 8 4 2" xfId="11497" xr:uid="{00000000-0005-0000-0000-000060460000}"/>
    <cellStyle name="Comma 2 8 4 2 2" xfId="28256" xr:uid="{00000000-0005-0000-0000-000061460000}"/>
    <cellStyle name="Comma 2 8 4 2 2 2" xfId="45905" xr:uid="{00000000-0005-0000-0000-000062460000}"/>
    <cellStyle name="Comma 2 8 4 2 3" xfId="32469" xr:uid="{00000000-0005-0000-0000-000063460000}"/>
    <cellStyle name="Comma 2 8 4 2 4" xfId="36684" xr:uid="{00000000-0005-0000-0000-000064460000}"/>
    <cellStyle name="Comma 2 8 4 2 5" xfId="40888" xr:uid="{00000000-0005-0000-0000-000065460000}"/>
    <cellStyle name="Comma 2 8 4 3" xfId="25302" xr:uid="{00000000-0005-0000-0000-000066460000}"/>
    <cellStyle name="Comma 2 8 4 3 2" xfId="44641" xr:uid="{00000000-0005-0000-0000-000067460000}"/>
    <cellStyle name="Comma 2 8 4 4" xfId="29514" xr:uid="{00000000-0005-0000-0000-000068460000}"/>
    <cellStyle name="Comma 2 8 4 5" xfId="33730" xr:uid="{00000000-0005-0000-0000-000069460000}"/>
    <cellStyle name="Comma 2 8 4 6" xfId="37934" xr:uid="{00000000-0005-0000-0000-00006A460000}"/>
    <cellStyle name="Comma 2 8 5" xfId="6183" xr:uid="{00000000-0005-0000-0000-00006B460000}"/>
    <cellStyle name="Comma 2 8 5 2" xfId="11691" xr:uid="{00000000-0005-0000-0000-00006C460000}"/>
    <cellStyle name="Comma 2 8 5 2 2" xfId="28447" xr:uid="{00000000-0005-0000-0000-00006D460000}"/>
    <cellStyle name="Comma 2 8 5 2 2 2" xfId="46096" xr:uid="{00000000-0005-0000-0000-00006E460000}"/>
    <cellStyle name="Comma 2 8 5 2 3" xfId="32660" xr:uid="{00000000-0005-0000-0000-00006F460000}"/>
    <cellStyle name="Comma 2 8 5 2 4" xfId="36875" xr:uid="{00000000-0005-0000-0000-000070460000}"/>
    <cellStyle name="Comma 2 8 5 2 5" xfId="41079" xr:uid="{00000000-0005-0000-0000-000071460000}"/>
    <cellStyle name="Comma 2 8 5 3" xfId="25493" xr:uid="{00000000-0005-0000-0000-000072460000}"/>
    <cellStyle name="Comma 2 8 5 3 2" xfId="44832" xr:uid="{00000000-0005-0000-0000-000073460000}"/>
    <cellStyle name="Comma 2 8 5 4" xfId="29705" xr:uid="{00000000-0005-0000-0000-000074460000}"/>
    <cellStyle name="Comma 2 8 5 5" xfId="33921" xr:uid="{00000000-0005-0000-0000-000075460000}"/>
    <cellStyle name="Comma 2 8 5 6" xfId="38125" xr:uid="{00000000-0005-0000-0000-000076460000}"/>
    <cellStyle name="Comma 2 8 6" xfId="6358" xr:uid="{00000000-0005-0000-0000-000077460000}"/>
    <cellStyle name="Comma 2 8 6 2" xfId="11770" xr:uid="{00000000-0005-0000-0000-000078460000}"/>
    <cellStyle name="Comma 2 8 6 2 2" xfId="28492" xr:uid="{00000000-0005-0000-0000-000079460000}"/>
    <cellStyle name="Comma 2 8 6 2 2 2" xfId="46141" xr:uid="{00000000-0005-0000-0000-00007A460000}"/>
    <cellStyle name="Comma 2 8 6 2 3" xfId="32705" xr:uid="{00000000-0005-0000-0000-00007B460000}"/>
    <cellStyle name="Comma 2 8 6 2 4" xfId="36920" xr:uid="{00000000-0005-0000-0000-00007C460000}"/>
    <cellStyle name="Comma 2 8 6 2 5" xfId="41124" xr:uid="{00000000-0005-0000-0000-00007D460000}"/>
    <cellStyle name="Comma 2 8 6 3" xfId="25548" xr:uid="{00000000-0005-0000-0000-00007E460000}"/>
    <cellStyle name="Comma 2 8 6 3 2" xfId="44877" xr:uid="{00000000-0005-0000-0000-00007F460000}"/>
    <cellStyle name="Comma 2 8 6 4" xfId="29760" xr:uid="{00000000-0005-0000-0000-000080460000}"/>
    <cellStyle name="Comma 2 8 6 5" xfId="33976" xr:uid="{00000000-0005-0000-0000-000081460000}"/>
    <cellStyle name="Comma 2 8 6 6" xfId="38180" xr:uid="{00000000-0005-0000-0000-000082460000}"/>
    <cellStyle name="Comma 2 8 7" xfId="9663" xr:uid="{00000000-0005-0000-0000-000083460000}"/>
    <cellStyle name="Comma 2 8 7 2" xfId="11393" xr:uid="{00000000-0005-0000-0000-000084460000}"/>
    <cellStyle name="Comma 2 8 7 2 2" xfId="28161" xr:uid="{00000000-0005-0000-0000-000085460000}"/>
    <cellStyle name="Comma 2 8 7 2 2 2" xfId="45810" xr:uid="{00000000-0005-0000-0000-000086460000}"/>
    <cellStyle name="Comma 2 8 7 2 3" xfId="32374" xr:uid="{00000000-0005-0000-0000-000087460000}"/>
    <cellStyle name="Comma 2 8 7 2 4" xfId="36589" xr:uid="{00000000-0005-0000-0000-000088460000}"/>
    <cellStyle name="Comma 2 8 7 2 5" xfId="40793" xr:uid="{00000000-0005-0000-0000-000089460000}"/>
    <cellStyle name="Comma 2 8 7 3" xfId="27178" xr:uid="{00000000-0005-0000-0000-00008A460000}"/>
    <cellStyle name="Comma 2 8 7 3 2" xfId="45047" xr:uid="{00000000-0005-0000-0000-00008B460000}"/>
    <cellStyle name="Comma 2 8 7 4" xfId="31391" xr:uid="{00000000-0005-0000-0000-00008C460000}"/>
    <cellStyle name="Comma 2 8 7 5" xfId="35606" xr:uid="{00000000-0005-0000-0000-00008D460000}"/>
    <cellStyle name="Comma 2 8 7 6" xfId="39810" xr:uid="{00000000-0005-0000-0000-00008E460000}"/>
    <cellStyle name="Comma 2 8 8" xfId="10252" xr:uid="{00000000-0005-0000-0000-00008F460000}"/>
    <cellStyle name="Comma 2 8 8 2" xfId="27643" xr:uid="{00000000-0005-0000-0000-000090460000}"/>
    <cellStyle name="Comma 2 8 8 2 2" xfId="45321" xr:uid="{00000000-0005-0000-0000-000091460000}"/>
    <cellStyle name="Comma 2 8 8 3" xfId="31856" xr:uid="{00000000-0005-0000-0000-000092460000}"/>
    <cellStyle name="Comma 2 8 8 4" xfId="36071" xr:uid="{00000000-0005-0000-0000-000093460000}"/>
    <cellStyle name="Comma 2 8 8 5" xfId="40275" xr:uid="{00000000-0005-0000-0000-000094460000}"/>
    <cellStyle name="Comma 2 8 9" xfId="13326" xr:uid="{00000000-0005-0000-0000-000095460000}"/>
    <cellStyle name="Comma 2 8 9 2" xfId="28886" xr:uid="{00000000-0005-0000-0000-000096460000}"/>
    <cellStyle name="Comma 2 8 9 3" xfId="33099" xr:uid="{00000000-0005-0000-0000-000097460000}"/>
    <cellStyle name="Comma 2 8 9 4" xfId="37314" xr:uid="{00000000-0005-0000-0000-000098460000}"/>
    <cellStyle name="Comma 2 8 9 5" xfId="44546" xr:uid="{00000000-0005-0000-0000-000099460000}"/>
    <cellStyle name="Comma 2 9" xfId="5892" xr:uid="{00000000-0005-0000-0000-00009A460000}"/>
    <cellStyle name="Comma 2 9 10" xfId="29424" xr:uid="{00000000-0005-0000-0000-00009B460000}"/>
    <cellStyle name="Comma 2 9 11" xfId="33640" xr:uid="{00000000-0005-0000-0000-00009C460000}"/>
    <cellStyle name="Comma 2 9 12" xfId="37844" xr:uid="{00000000-0005-0000-0000-00009D460000}"/>
    <cellStyle name="Comma 2 9 2" xfId="5944" xr:uid="{00000000-0005-0000-0000-00009E460000}"/>
    <cellStyle name="Comma 2 9 2 10" xfId="37891" xr:uid="{00000000-0005-0000-0000-00009F460000}"/>
    <cellStyle name="Comma 2 9 2 2" xfId="6139" xr:uid="{00000000-0005-0000-0000-0000A0460000}"/>
    <cellStyle name="Comma 2 9 2 2 2" xfId="9833" xr:uid="{00000000-0005-0000-0000-0000A1460000}"/>
    <cellStyle name="Comma 2 9 2 2 2 2" xfId="11647" xr:uid="{00000000-0005-0000-0000-0000A2460000}"/>
    <cellStyle name="Comma 2 9 2 2 2 2 2" xfId="28403" xr:uid="{00000000-0005-0000-0000-0000A3460000}"/>
    <cellStyle name="Comma 2 9 2 2 2 2 2 2" xfId="46052" xr:uid="{00000000-0005-0000-0000-0000A4460000}"/>
    <cellStyle name="Comma 2 9 2 2 2 2 3" xfId="32616" xr:uid="{00000000-0005-0000-0000-0000A5460000}"/>
    <cellStyle name="Comma 2 9 2 2 2 2 4" xfId="36831" xr:uid="{00000000-0005-0000-0000-0000A6460000}"/>
    <cellStyle name="Comma 2 9 2 2 2 2 5" xfId="41035" xr:uid="{00000000-0005-0000-0000-0000A7460000}"/>
    <cellStyle name="Comma 2 9 2 2 2 3" xfId="27320" xr:uid="{00000000-0005-0000-0000-0000A8460000}"/>
    <cellStyle name="Comma 2 9 2 2 2 3 2" xfId="45198" xr:uid="{00000000-0005-0000-0000-0000A9460000}"/>
    <cellStyle name="Comma 2 9 2 2 2 4" xfId="31533" xr:uid="{00000000-0005-0000-0000-0000AA460000}"/>
    <cellStyle name="Comma 2 9 2 2 2 5" xfId="35748" xr:uid="{00000000-0005-0000-0000-0000AB460000}"/>
    <cellStyle name="Comma 2 9 2 2 2 6" xfId="39952" xr:uid="{00000000-0005-0000-0000-0000AC460000}"/>
    <cellStyle name="Comma 2 9 2 2 3" xfId="10570" xr:uid="{00000000-0005-0000-0000-0000AD460000}"/>
    <cellStyle name="Comma 2 9 2 2 3 2" xfId="27785" xr:uid="{00000000-0005-0000-0000-0000AE460000}"/>
    <cellStyle name="Comma 2 9 2 2 3 2 2" xfId="45463" xr:uid="{00000000-0005-0000-0000-0000AF460000}"/>
    <cellStyle name="Comma 2 9 2 2 3 3" xfId="31998" xr:uid="{00000000-0005-0000-0000-0000B0460000}"/>
    <cellStyle name="Comma 2 9 2 2 3 4" xfId="36213" xr:uid="{00000000-0005-0000-0000-0000B1460000}"/>
    <cellStyle name="Comma 2 9 2 2 3 5" xfId="40417" xr:uid="{00000000-0005-0000-0000-0000B2460000}"/>
    <cellStyle name="Comma 2 9 2 2 4" xfId="25449" xr:uid="{00000000-0005-0000-0000-0000B3460000}"/>
    <cellStyle name="Comma 2 9 2 2 4 2" xfId="44788" xr:uid="{00000000-0005-0000-0000-0000B4460000}"/>
    <cellStyle name="Comma 2 9 2 2 5" xfId="29661" xr:uid="{00000000-0005-0000-0000-0000B5460000}"/>
    <cellStyle name="Comma 2 9 2 2 6" xfId="33877" xr:uid="{00000000-0005-0000-0000-0000B6460000}"/>
    <cellStyle name="Comma 2 9 2 2 7" xfId="38081" xr:uid="{00000000-0005-0000-0000-0000B7460000}"/>
    <cellStyle name="Comma 2 9 2 3" xfId="6041" xr:uid="{00000000-0005-0000-0000-0000B8460000}"/>
    <cellStyle name="Comma 2 9 2 3 2" xfId="11549" xr:uid="{00000000-0005-0000-0000-0000B9460000}"/>
    <cellStyle name="Comma 2 9 2 3 2 2" xfId="28308" xr:uid="{00000000-0005-0000-0000-0000BA460000}"/>
    <cellStyle name="Comma 2 9 2 3 2 2 2" xfId="45957" xr:uid="{00000000-0005-0000-0000-0000BB460000}"/>
    <cellStyle name="Comma 2 9 2 3 2 3" xfId="32521" xr:uid="{00000000-0005-0000-0000-0000BC460000}"/>
    <cellStyle name="Comma 2 9 2 3 2 4" xfId="36736" xr:uid="{00000000-0005-0000-0000-0000BD460000}"/>
    <cellStyle name="Comma 2 9 2 3 2 5" xfId="40940" xr:uid="{00000000-0005-0000-0000-0000BE460000}"/>
    <cellStyle name="Comma 2 9 2 3 3" xfId="25354" xr:uid="{00000000-0005-0000-0000-0000BF460000}"/>
    <cellStyle name="Comma 2 9 2 3 3 2" xfId="44693" xr:uid="{00000000-0005-0000-0000-0000C0460000}"/>
    <cellStyle name="Comma 2 9 2 3 4" xfId="29566" xr:uid="{00000000-0005-0000-0000-0000C1460000}"/>
    <cellStyle name="Comma 2 9 2 3 5" xfId="33782" xr:uid="{00000000-0005-0000-0000-0000C2460000}"/>
    <cellStyle name="Comma 2 9 2 3 6" xfId="37986" xr:uid="{00000000-0005-0000-0000-0000C3460000}"/>
    <cellStyle name="Comma 2 9 2 4" xfId="6899" xr:uid="{00000000-0005-0000-0000-0000C4460000}"/>
    <cellStyle name="Comma 2 9 2 4 2" xfId="11810" xr:uid="{00000000-0005-0000-0000-0000C5460000}"/>
    <cellStyle name="Comma 2 9 2 4 2 2" xfId="28530" xr:uid="{00000000-0005-0000-0000-0000C6460000}"/>
    <cellStyle name="Comma 2 9 2 4 2 2 2" xfId="46181" xr:uid="{00000000-0005-0000-0000-0000C7460000}"/>
    <cellStyle name="Comma 2 9 2 4 2 3" xfId="32743" xr:uid="{00000000-0005-0000-0000-0000C8460000}"/>
    <cellStyle name="Comma 2 9 2 4 2 4" xfId="36958" xr:uid="{00000000-0005-0000-0000-0000C9460000}"/>
    <cellStyle name="Comma 2 9 2 4 2 5" xfId="41162" xr:uid="{00000000-0005-0000-0000-0000CA460000}"/>
    <cellStyle name="Comma 2 9 2 4 3" xfId="25587" xr:uid="{00000000-0005-0000-0000-0000CB460000}"/>
    <cellStyle name="Comma 2 9 2 4 3 2" xfId="44915" xr:uid="{00000000-0005-0000-0000-0000CC460000}"/>
    <cellStyle name="Comma 2 9 2 4 4" xfId="29800" xr:uid="{00000000-0005-0000-0000-0000CD460000}"/>
    <cellStyle name="Comma 2 9 2 4 5" xfId="34015" xr:uid="{00000000-0005-0000-0000-0000CE460000}"/>
    <cellStyle name="Comma 2 9 2 4 6" xfId="38219" xr:uid="{00000000-0005-0000-0000-0000CF460000}"/>
    <cellStyle name="Comma 2 9 2 5" xfId="9715" xr:uid="{00000000-0005-0000-0000-0000D0460000}"/>
    <cellStyle name="Comma 2 9 2 5 2" xfId="11453" xr:uid="{00000000-0005-0000-0000-0000D1460000}"/>
    <cellStyle name="Comma 2 9 2 5 2 2" xfId="28213" xr:uid="{00000000-0005-0000-0000-0000D2460000}"/>
    <cellStyle name="Comma 2 9 2 5 2 2 2" xfId="45862" xr:uid="{00000000-0005-0000-0000-0000D3460000}"/>
    <cellStyle name="Comma 2 9 2 5 2 3" xfId="32426" xr:uid="{00000000-0005-0000-0000-0000D4460000}"/>
    <cellStyle name="Comma 2 9 2 5 2 4" xfId="36641" xr:uid="{00000000-0005-0000-0000-0000D5460000}"/>
    <cellStyle name="Comma 2 9 2 5 2 5" xfId="40845" xr:uid="{00000000-0005-0000-0000-0000D6460000}"/>
    <cellStyle name="Comma 2 9 2 5 3" xfId="27226" xr:uid="{00000000-0005-0000-0000-0000D7460000}"/>
    <cellStyle name="Comma 2 9 2 5 3 2" xfId="45095" xr:uid="{00000000-0005-0000-0000-0000D8460000}"/>
    <cellStyle name="Comma 2 9 2 5 4" xfId="31439" xr:uid="{00000000-0005-0000-0000-0000D9460000}"/>
    <cellStyle name="Comma 2 9 2 5 5" xfId="35654" xr:uid="{00000000-0005-0000-0000-0000DA460000}"/>
    <cellStyle name="Comma 2 9 2 5 6" xfId="39858" xr:uid="{00000000-0005-0000-0000-0000DB460000}"/>
    <cellStyle name="Comma 2 9 2 6" xfId="10453" xr:uid="{00000000-0005-0000-0000-0000DC460000}"/>
    <cellStyle name="Comma 2 9 2 6 2" xfId="27691" xr:uid="{00000000-0005-0000-0000-0000DD460000}"/>
    <cellStyle name="Comma 2 9 2 6 2 2" xfId="45369" xr:uid="{00000000-0005-0000-0000-0000DE460000}"/>
    <cellStyle name="Comma 2 9 2 6 3" xfId="31904" xr:uid="{00000000-0005-0000-0000-0000DF460000}"/>
    <cellStyle name="Comma 2 9 2 6 4" xfId="36119" xr:uid="{00000000-0005-0000-0000-0000E0460000}"/>
    <cellStyle name="Comma 2 9 2 6 5" xfId="40323" xr:uid="{00000000-0005-0000-0000-0000E1460000}"/>
    <cellStyle name="Comma 2 9 2 7" xfId="25259" xr:uid="{00000000-0005-0000-0000-0000E2460000}"/>
    <cellStyle name="Comma 2 9 2 7 2" xfId="44598" xr:uid="{00000000-0005-0000-0000-0000E3460000}"/>
    <cellStyle name="Comma 2 9 2 8" xfId="29471" xr:uid="{00000000-0005-0000-0000-0000E4460000}"/>
    <cellStyle name="Comma 2 9 2 9" xfId="33687" xr:uid="{00000000-0005-0000-0000-0000E5460000}"/>
    <cellStyle name="Comma 2 9 3" xfId="6092" xr:uid="{00000000-0005-0000-0000-0000E6460000}"/>
    <cellStyle name="Comma 2 9 3 2" xfId="8043" xr:uid="{00000000-0005-0000-0000-0000E7460000}"/>
    <cellStyle name="Comma 2 9 3 3" xfId="9773" xr:uid="{00000000-0005-0000-0000-0000E8460000}"/>
    <cellStyle name="Comma 2 9 3 3 2" xfId="11600" xr:uid="{00000000-0005-0000-0000-0000E9460000}"/>
    <cellStyle name="Comma 2 9 3 3 2 2" xfId="28356" xr:uid="{00000000-0005-0000-0000-0000EA460000}"/>
    <cellStyle name="Comma 2 9 3 3 2 2 2" xfId="46005" xr:uid="{00000000-0005-0000-0000-0000EB460000}"/>
    <cellStyle name="Comma 2 9 3 3 2 3" xfId="32569" xr:uid="{00000000-0005-0000-0000-0000EC460000}"/>
    <cellStyle name="Comma 2 9 3 3 2 4" xfId="36784" xr:uid="{00000000-0005-0000-0000-0000ED460000}"/>
    <cellStyle name="Comma 2 9 3 3 2 5" xfId="40988" xr:uid="{00000000-0005-0000-0000-0000EE460000}"/>
    <cellStyle name="Comma 2 9 3 3 3" xfId="27273" xr:uid="{00000000-0005-0000-0000-0000EF460000}"/>
    <cellStyle name="Comma 2 9 3 3 3 2" xfId="45151" xr:uid="{00000000-0005-0000-0000-0000F0460000}"/>
    <cellStyle name="Comma 2 9 3 3 4" xfId="31486" xr:uid="{00000000-0005-0000-0000-0000F1460000}"/>
    <cellStyle name="Comma 2 9 3 3 5" xfId="35701" xr:uid="{00000000-0005-0000-0000-0000F2460000}"/>
    <cellStyle name="Comma 2 9 3 3 6" xfId="39905" xr:uid="{00000000-0005-0000-0000-0000F3460000}"/>
    <cellStyle name="Comma 2 9 3 4" xfId="10500" xr:uid="{00000000-0005-0000-0000-0000F4460000}"/>
    <cellStyle name="Comma 2 9 3 4 2" xfId="27738" xr:uid="{00000000-0005-0000-0000-0000F5460000}"/>
    <cellStyle name="Comma 2 9 3 4 2 2" xfId="45416" xr:uid="{00000000-0005-0000-0000-0000F6460000}"/>
    <cellStyle name="Comma 2 9 3 4 3" xfId="31951" xr:uid="{00000000-0005-0000-0000-0000F7460000}"/>
    <cellStyle name="Comma 2 9 3 4 4" xfId="36166" xr:uid="{00000000-0005-0000-0000-0000F8460000}"/>
    <cellStyle name="Comma 2 9 3 4 5" xfId="40370" xr:uid="{00000000-0005-0000-0000-0000F9460000}"/>
    <cellStyle name="Comma 2 9 3 5" xfId="25402" xr:uid="{00000000-0005-0000-0000-0000FA460000}"/>
    <cellStyle name="Comma 2 9 3 5 2" xfId="44741" xr:uid="{00000000-0005-0000-0000-0000FB460000}"/>
    <cellStyle name="Comma 2 9 3 6" xfId="29614" xr:uid="{00000000-0005-0000-0000-0000FC460000}"/>
    <cellStyle name="Comma 2 9 3 7" xfId="33830" xr:uid="{00000000-0005-0000-0000-0000FD460000}"/>
    <cellStyle name="Comma 2 9 3 8" xfId="38034" xr:uid="{00000000-0005-0000-0000-0000FE460000}"/>
    <cellStyle name="Comma 2 9 4" xfId="5994" xr:uid="{00000000-0005-0000-0000-0000FF460000}"/>
    <cellStyle name="Comma 2 9 4 2" xfId="11502" xr:uid="{00000000-0005-0000-0000-000000470000}"/>
    <cellStyle name="Comma 2 9 4 2 2" xfId="28261" xr:uid="{00000000-0005-0000-0000-000001470000}"/>
    <cellStyle name="Comma 2 9 4 2 2 2" xfId="45910" xr:uid="{00000000-0005-0000-0000-000002470000}"/>
    <cellStyle name="Comma 2 9 4 2 3" xfId="32474" xr:uid="{00000000-0005-0000-0000-000003470000}"/>
    <cellStyle name="Comma 2 9 4 2 4" xfId="36689" xr:uid="{00000000-0005-0000-0000-000004470000}"/>
    <cellStyle name="Comma 2 9 4 2 5" xfId="40893" xr:uid="{00000000-0005-0000-0000-000005470000}"/>
    <cellStyle name="Comma 2 9 4 3" xfId="25307" xr:uid="{00000000-0005-0000-0000-000006470000}"/>
    <cellStyle name="Comma 2 9 4 3 2" xfId="44646" xr:uid="{00000000-0005-0000-0000-000007470000}"/>
    <cellStyle name="Comma 2 9 4 4" xfId="29519" xr:uid="{00000000-0005-0000-0000-000008470000}"/>
    <cellStyle name="Comma 2 9 4 5" xfId="33735" xr:uid="{00000000-0005-0000-0000-000009470000}"/>
    <cellStyle name="Comma 2 9 4 6" xfId="37939" xr:uid="{00000000-0005-0000-0000-00000A470000}"/>
    <cellStyle name="Comma 2 9 5" xfId="6359" xr:uid="{00000000-0005-0000-0000-00000B470000}"/>
    <cellStyle name="Comma 2 9 5 2" xfId="11771" xr:uid="{00000000-0005-0000-0000-00000C470000}"/>
    <cellStyle name="Comma 2 9 5 2 2" xfId="28493" xr:uid="{00000000-0005-0000-0000-00000D470000}"/>
    <cellStyle name="Comma 2 9 5 2 2 2" xfId="46142" xr:uid="{00000000-0005-0000-0000-00000E470000}"/>
    <cellStyle name="Comma 2 9 5 2 3" xfId="32706" xr:uid="{00000000-0005-0000-0000-00000F470000}"/>
    <cellStyle name="Comma 2 9 5 2 4" xfId="36921" xr:uid="{00000000-0005-0000-0000-000010470000}"/>
    <cellStyle name="Comma 2 9 5 2 5" xfId="41125" xr:uid="{00000000-0005-0000-0000-000011470000}"/>
    <cellStyle name="Comma 2 9 5 3" xfId="25549" xr:uid="{00000000-0005-0000-0000-000012470000}"/>
    <cellStyle name="Comma 2 9 5 3 2" xfId="44878" xr:uid="{00000000-0005-0000-0000-000013470000}"/>
    <cellStyle name="Comma 2 9 5 4" xfId="29761" xr:uid="{00000000-0005-0000-0000-000014470000}"/>
    <cellStyle name="Comma 2 9 5 5" xfId="33977" xr:uid="{00000000-0005-0000-0000-000015470000}"/>
    <cellStyle name="Comma 2 9 5 6" xfId="38181" xr:uid="{00000000-0005-0000-0000-000016470000}"/>
    <cellStyle name="Comma 2 9 6" xfId="9664" xr:uid="{00000000-0005-0000-0000-000017470000}"/>
    <cellStyle name="Comma 2 9 6 2" xfId="11401" xr:uid="{00000000-0005-0000-0000-000018470000}"/>
    <cellStyle name="Comma 2 9 6 2 2" xfId="28166" xr:uid="{00000000-0005-0000-0000-000019470000}"/>
    <cellStyle name="Comma 2 9 6 2 2 2" xfId="45815" xr:uid="{00000000-0005-0000-0000-00001A470000}"/>
    <cellStyle name="Comma 2 9 6 2 3" xfId="32379" xr:uid="{00000000-0005-0000-0000-00001B470000}"/>
    <cellStyle name="Comma 2 9 6 2 4" xfId="36594" xr:uid="{00000000-0005-0000-0000-00001C470000}"/>
    <cellStyle name="Comma 2 9 6 2 5" xfId="40798" xr:uid="{00000000-0005-0000-0000-00001D470000}"/>
    <cellStyle name="Comma 2 9 6 3" xfId="27179" xr:uid="{00000000-0005-0000-0000-00001E470000}"/>
    <cellStyle name="Comma 2 9 6 3 2" xfId="45048" xr:uid="{00000000-0005-0000-0000-00001F470000}"/>
    <cellStyle name="Comma 2 9 6 4" xfId="31392" xr:uid="{00000000-0005-0000-0000-000020470000}"/>
    <cellStyle name="Comma 2 9 6 5" xfId="35607" xr:uid="{00000000-0005-0000-0000-000021470000}"/>
    <cellStyle name="Comma 2 9 6 6" xfId="39811" xr:uid="{00000000-0005-0000-0000-000022470000}"/>
    <cellStyle name="Comma 2 9 7" xfId="10253" xr:uid="{00000000-0005-0000-0000-000023470000}"/>
    <cellStyle name="Comma 2 9 7 2" xfId="27644" xr:uid="{00000000-0005-0000-0000-000024470000}"/>
    <cellStyle name="Comma 2 9 7 2 2" xfId="45322" xr:uid="{00000000-0005-0000-0000-000025470000}"/>
    <cellStyle name="Comma 2 9 7 3" xfId="31857" xr:uid="{00000000-0005-0000-0000-000026470000}"/>
    <cellStyle name="Comma 2 9 7 4" xfId="36072" xr:uid="{00000000-0005-0000-0000-000027470000}"/>
    <cellStyle name="Comma 2 9 7 5" xfId="40276" xr:uid="{00000000-0005-0000-0000-000028470000}"/>
    <cellStyle name="Comma 2 9 8" xfId="12323" xr:uid="{00000000-0005-0000-0000-000029470000}"/>
    <cellStyle name="Comma 2 9 8 2" xfId="28868" xr:uid="{00000000-0005-0000-0000-00002A470000}"/>
    <cellStyle name="Comma 2 9 8 3" xfId="33081" xr:uid="{00000000-0005-0000-0000-00002B470000}"/>
    <cellStyle name="Comma 2 9 8 4" xfId="37296" xr:uid="{00000000-0005-0000-0000-00002C470000}"/>
    <cellStyle name="Comma 2 9 8 5" xfId="44551" xr:uid="{00000000-0005-0000-0000-00002D470000}"/>
    <cellStyle name="Comma 2 9 9" xfId="25212" xr:uid="{00000000-0005-0000-0000-00002E470000}"/>
    <cellStyle name="Comma 2_PrimaryEnergyPrices_TIMES" xfId="43080" xr:uid="{00000000-0005-0000-0000-00002F470000}"/>
    <cellStyle name="Comma 20" xfId="9541" xr:uid="{00000000-0005-0000-0000-000030470000}"/>
    <cellStyle name="Comma 20 2" xfId="10095" xr:uid="{00000000-0005-0000-0000-000031470000}"/>
    <cellStyle name="Comma 20 2 2" xfId="12161" xr:uid="{00000000-0005-0000-0000-000032470000}"/>
    <cellStyle name="Comma 20 2 2 2" xfId="28775" xr:uid="{00000000-0005-0000-0000-000033470000}"/>
    <cellStyle name="Comma 20 2 2 2 2" xfId="46446" xr:uid="{00000000-0005-0000-0000-000034470000}"/>
    <cellStyle name="Comma 20 2 2 3" xfId="32988" xr:uid="{00000000-0005-0000-0000-000035470000}"/>
    <cellStyle name="Comma 20 2 2 4" xfId="37203" xr:uid="{00000000-0005-0000-0000-000036470000}"/>
    <cellStyle name="Comma 20 2 2 5" xfId="41407" xr:uid="{00000000-0005-0000-0000-000037470000}"/>
    <cellStyle name="Comma 20 2 3" xfId="27575" xr:uid="{00000000-0005-0000-0000-000038470000}"/>
    <cellStyle name="Comma 20 2 3 2" xfId="45251" xr:uid="{00000000-0005-0000-0000-000039470000}"/>
    <cellStyle name="Comma 20 2 4" xfId="31788" xr:uid="{00000000-0005-0000-0000-00003A470000}"/>
    <cellStyle name="Comma 20 2 5" xfId="36003" xr:uid="{00000000-0005-0000-0000-00003B470000}"/>
    <cellStyle name="Comma 20 2 6" xfId="40207" xr:uid="{00000000-0005-0000-0000-00003C470000}"/>
    <cellStyle name="Comma 20 3" xfId="10943" xr:uid="{00000000-0005-0000-0000-00003D470000}"/>
    <cellStyle name="Comma 20 3 2" xfId="28040" xr:uid="{00000000-0005-0000-0000-00003E470000}"/>
    <cellStyle name="Comma 20 3 2 2" xfId="45717" xr:uid="{00000000-0005-0000-0000-00003F470000}"/>
    <cellStyle name="Comma 20 3 3" xfId="32253" xr:uid="{00000000-0005-0000-0000-000040470000}"/>
    <cellStyle name="Comma 20 3 4" xfId="36468" xr:uid="{00000000-0005-0000-0000-000041470000}"/>
    <cellStyle name="Comma 20 3 5" xfId="40672" xr:uid="{00000000-0005-0000-0000-000042470000}"/>
    <cellStyle name="Comma 20 4" xfId="27112" xr:uid="{00000000-0005-0000-0000-000043470000}"/>
    <cellStyle name="Comma 20 4 2" xfId="44992" xr:uid="{00000000-0005-0000-0000-000044470000}"/>
    <cellStyle name="Comma 20 5" xfId="31325" xr:uid="{00000000-0005-0000-0000-000045470000}"/>
    <cellStyle name="Comma 20 6" xfId="35540" xr:uid="{00000000-0005-0000-0000-000046470000}"/>
    <cellStyle name="Comma 20 7" xfId="39744" xr:uid="{00000000-0005-0000-0000-000047470000}"/>
    <cellStyle name="Comma 21" xfId="9547" xr:uid="{00000000-0005-0000-0000-000048470000}"/>
    <cellStyle name="Comma 21 2" xfId="10096" xr:uid="{00000000-0005-0000-0000-000049470000}"/>
    <cellStyle name="Comma 21 2 2" xfId="12162" xr:uid="{00000000-0005-0000-0000-00004A470000}"/>
    <cellStyle name="Comma 21 2 2 2" xfId="28776" xr:uid="{00000000-0005-0000-0000-00004B470000}"/>
    <cellStyle name="Comma 21 2 2 2 2" xfId="46447" xr:uid="{00000000-0005-0000-0000-00004C470000}"/>
    <cellStyle name="Comma 21 2 2 3" xfId="32989" xr:uid="{00000000-0005-0000-0000-00004D470000}"/>
    <cellStyle name="Comma 21 2 2 4" xfId="37204" xr:uid="{00000000-0005-0000-0000-00004E470000}"/>
    <cellStyle name="Comma 21 2 2 5" xfId="41408" xr:uid="{00000000-0005-0000-0000-00004F470000}"/>
    <cellStyle name="Comma 21 2 3" xfId="27576" xr:uid="{00000000-0005-0000-0000-000050470000}"/>
    <cellStyle name="Comma 21 2 3 2" xfId="45252" xr:uid="{00000000-0005-0000-0000-000051470000}"/>
    <cellStyle name="Comma 21 2 4" xfId="31789" xr:uid="{00000000-0005-0000-0000-000052470000}"/>
    <cellStyle name="Comma 21 2 5" xfId="36004" xr:uid="{00000000-0005-0000-0000-000053470000}"/>
    <cellStyle name="Comma 21 2 6" xfId="40208" xr:uid="{00000000-0005-0000-0000-000054470000}"/>
    <cellStyle name="Comma 21 3" xfId="10944" xr:uid="{00000000-0005-0000-0000-000055470000}"/>
    <cellStyle name="Comma 21 3 2" xfId="28041" xr:uid="{00000000-0005-0000-0000-000056470000}"/>
    <cellStyle name="Comma 21 3 2 2" xfId="45718" xr:uid="{00000000-0005-0000-0000-000057470000}"/>
    <cellStyle name="Comma 21 3 3" xfId="32254" xr:uid="{00000000-0005-0000-0000-000058470000}"/>
    <cellStyle name="Comma 21 3 4" xfId="36469" xr:uid="{00000000-0005-0000-0000-000059470000}"/>
    <cellStyle name="Comma 21 3 5" xfId="40673" xr:uid="{00000000-0005-0000-0000-00005A470000}"/>
    <cellStyle name="Comma 21 4" xfId="27118" xr:uid="{00000000-0005-0000-0000-00005B470000}"/>
    <cellStyle name="Comma 21 4 2" xfId="44993" xr:uid="{00000000-0005-0000-0000-00005C470000}"/>
    <cellStyle name="Comma 21 5" xfId="31331" xr:uid="{00000000-0005-0000-0000-00005D470000}"/>
    <cellStyle name="Comma 21 6" xfId="35546" xr:uid="{00000000-0005-0000-0000-00005E470000}"/>
    <cellStyle name="Comma 21 7" xfId="39750" xr:uid="{00000000-0005-0000-0000-00005F470000}"/>
    <cellStyle name="Comma 22" xfId="9548" xr:uid="{00000000-0005-0000-0000-000060470000}"/>
    <cellStyle name="Comma 22 2" xfId="10097" xr:uid="{00000000-0005-0000-0000-000061470000}"/>
    <cellStyle name="Comma 22 2 2" xfId="12163" xr:uid="{00000000-0005-0000-0000-000062470000}"/>
    <cellStyle name="Comma 22 2 2 2" xfId="28777" xr:uid="{00000000-0005-0000-0000-000063470000}"/>
    <cellStyle name="Comma 22 2 2 2 2" xfId="46448" xr:uid="{00000000-0005-0000-0000-000064470000}"/>
    <cellStyle name="Comma 22 2 2 3" xfId="32990" xr:uid="{00000000-0005-0000-0000-000065470000}"/>
    <cellStyle name="Comma 22 2 2 4" xfId="37205" xr:uid="{00000000-0005-0000-0000-000066470000}"/>
    <cellStyle name="Comma 22 2 2 5" xfId="41409" xr:uid="{00000000-0005-0000-0000-000067470000}"/>
    <cellStyle name="Comma 22 2 3" xfId="27577" xr:uid="{00000000-0005-0000-0000-000068470000}"/>
    <cellStyle name="Comma 22 2 3 2" xfId="45253" xr:uid="{00000000-0005-0000-0000-000069470000}"/>
    <cellStyle name="Comma 22 2 4" xfId="31790" xr:uid="{00000000-0005-0000-0000-00006A470000}"/>
    <cellStyle name="Comma 22 2 5" xfId="36005" xr:uid="{00000000-0005-0000-0000-00006B470000}"/>
    <cellStyle name="Comma 22 2 6" xfId="40209" xr:uid="{00000000-0005-0000-0000-00006C470000}"/>
    <cellStyle name="Comma 22 3" xfId="10945" xr:uid="{00000000-0005-0000-0000-00006D470000}"/>
    <cellStyle name="Comma 22 3 2" xfId="28042" xr:uid="{00000000-0005-0000-0000-00006E470000}"/>
    <cellStyle name="Comma 22 3 2 2" xfId="45719" xr:uid="{00000000-0005-0000-0000-00006F470000}"/>
    <cellStyle name="Comma 22 3 3" xfId="32255" xr:uid="{00000000-0005-0000-0000-000070470000}"/>
    <cellStyle name="Comma 22 3 4" xfId="36470" xr:uid="{00000000-0005-0000-0000-000071470000}"/>
    <cellStyle name="Comma 22 3 5" xfId="40674" xr:uid="{00000000-0005-0000-0000-000072470000}"/>
    <cellStyle name="Comma 22 4" xfId="27119" xr:uid="{00000000-0005-0000-0000-000073470000}"/>
    <cellStyle name="Comma 22 4 2" xfId="44994" xr:uid="{00000000-0005-0000-0000-000074470000}"/>
    <cellStyle name="Comma 22 5" xfId="31332" xr:uid="{00000000-0005-0000-0000-000075470000}"/>
    <cellStyle name="Comma 22 6" xfId="35547" xr:uid="{00000000-0005-0000-0000-000076470000}"/>
    <cellStyle name="Comma 22 7" xfId="39751" xr:uid="{00000000-0005-0000-0000-000077470000}"/>
    <cellStyle name="Comma 23" xfId="9563" xr:uid="{00000000-0005-0000-0000-000078470000}"/>
    <cellStyle name="Comma 23 2" xfId="10110" xr:uid="{00000000-0005-0000-0000-000079470000}"/>
    <cellStyle name="Comma 23 2 2" xfId="12168" xr:uid="{00000000-0005-0000-0000-00007A470000}"/>
    <cellStyle name="Comma 23 2 2 2" xfId="28781" xr:uid="{00000000-0005-0000-0000-00007B470000}"/>
    <cellStyle name="Comma 23 2 2 2 2" xfId="46452" xr:uid="{00000000-0005-0000-0000-00007C470000}"/>
    <cellStyle name="Comma 23 2 2 3" xfId="32994" xr:uid="{00000000-0005-0000-0000-00007D470000}"/>
    <cellStyle name="Comma 23 2 2 4" xfId="37209" xr:uid="{00000000-0005-0000-0000-00007E470000}"/>
    <cellStyle name="Comma 23 2 2 5" xfId="41413" xr:uid="{00000000-0005-0000-0000-00007F470000}"/>
    <cellStyle name="Comma 23 2 3" xfId="27579" xr:uid="{00000000-0005-0000-0000-000080470000}"/>
    <cellStyle name="Comma 23 2 3 2" xfId="45255" xr:uid="{00000000-0005-0000-0000-000081470000}"/>
    <cellStyle name="Comma 23 2 4" xfId="31792" xr:uid="{00000000-0005-0000-0000-000082470000}"/>
    <cellStyle name="Comma 23 2 5" xfId="36007" xr:uid="{00000000-0005-0000-0000-000083470000}"/>
    <cellStyle name="Comma 23 2 6" xfId="40211" xr:uid="{00000000-0005-0000-0000-000084470000}"/>
    <cellStyle name="Comma 23 3" xfId="10947" xr:uid="{00000000-0005-0000-0000-000085470000}"/>
    <cellStyle name="Comma 23 3 2" xfId="28044" xr:uid="{00000000-0005-0000-0000-000086470000}"/>
    <cellStyle name="Comma 23 3 2 2" xfId="45721" xr:uid="{00000000-0005-0000-0000-000087470000}"/>
    <cellStyle name="Comma 23 3 3" xfId="32257" xr:uid="{00000000-0005-0000-0000-000088470000}"/>
    <cellStyle name="Comma 23 3 4" xfId="36472" xr:uid="{00000000-0005-0000-0000-000089470000}"/>
    <cellStyle name="Comma 23 3 5" xfId="40676" xr:uid="{00000000-0005-0000-0000-00008A470000}"/>
    <cellStyle name="Comma 23 4" xfId="27131" xr:uid="{00000000-0005-0000-0000-00008B470000}"/>
    <cellStyle name="Comma 23 4 2" xfId="44999" xr:uid="{00000000-0005-0000-0000-00008C470000}"/>
    <cellStyle name="Comma 23 5" xfId="31344" xr:uid="{00000000-0005-0000-0000-00008D470000}"/>
    <cellStyle name="Comma 23 6" xfId="35559" xr:uid="{00000000-0005-0000-0000-00008E470000}"/>
    <cellStyle name="Comma 23 7" xfId="39763" xr:uid="{00000000-0005-0000-0000-00008F470000}"/>
    <cellStyle name="Comma 24" xfId="9561" xr:uid="{00000000-0005-0000-0000-000090470000}"/>
    <cellStyle name="Comma 24 2" xfId="10109" xr:uid="{00000000-0005-0000-0000-000091470000}"/>
    <cellStyle name="Comma 24 2 2" xfId="12166" xr:uid="{00000000-0005-0000-0000-000092470000}"/>
    <cellStyle name="Comma 24 2 2 2" xfId="28779" xr:uid="{00000000-0005-0000-0000-000093470000}"/>
    <cellStyle name="Comma 24 2 2 2 2" xfId="46450" xr:uid="{00000000-0005-0000-0000-000094470000}"/>
    <cellStyle name="Comma 24 2 2 3" xfId="32992" xr:uid="{00000000-0005-0000-0000-000095470000}"/>
    <cellStyle name="Comma 24 2 2 4" xfId="37207" xr:uid="{00000000-0005-0000-0000-000096470000}"/>
    <cellStyle name="Comma 24 2 2 5" xfId="41411" xr:uid="{00000000-0005-0000-0000-000097470000}"/>
    <cellStyle name="Comma 24 2 3" xfId="27578" xr:uid="{00000000-0005-0000-0000-000098470000}"/>
    <cellStyle name="Comma 24 2 3 2" xfId="45254" xr:uid="{00000000-0005-0000-0000-000099470000}"/>
    <cellStyle name="Comma 24 2 4" xfId="31791" xr:uid="{00000000-0005-0000-0000-00009A470000}"/>
    <cellStyle name="Comma 24 2 5" xfId="36006" xr:uid="{00000000-0005-0000-0000-00009B470000}"/>
    <cellStyle name="Comma 24 2 6" xfId="40210" xr:uid="{00000000-0005-0000-0000-00009C470000}"/>
    <cellStyle name="Comma 24 3" xfId="10946" xr:uid="{00000000-0005-0000-0000-00009D470000}"/>
    <cellStyle name="Comma 24 3 2" xfId="28043" xr:uid="{00000000-0005-0000-0000-00009E470000}"/>
    <cellStyle name="Comma 24 3 2 2" xfId="45720" xr:uid="{00000000-0005-0000-0000-00009F470000}"/>
    <cellStyle name="Comma 24 3 3" xfId="32256" xr:uid="{00000000-0005-0000-0000-0000A0470000}"/>
    <cellStyle name="Comma 24 3 4" xfId="36471" xr:uid="{00000000-0005-0000-0000-0000A1470000}"/>
    <cellStyle name="Comma 24 3 5" xfId="40675" xr:uid="{00000000-0005-0000-0000-0000A2470000}"/>
    <cellStyle name="Comma 24 4" xfId="27129" xr:uid="{00000000-0005-0000-0000-0000A3470000}"/>
    <cellStyle name="Comma 24 4 2" xfId="44997" xr:uid="{00000000-0005-0000-0000-0000A4470000}"/>
    <cellStyle name="Comma 24 5" xfId="31342" xr:uid="{00000000-0005-0000-0000-0000A5470000}"/>
    <cellStyle name="Comma 24 6" xfId="35557" xr:uid="{00000000-0005-0000-0000-0000A6470000}"/>
    <cellStyle name="Comma 24 7" xfId="39761" xr:uid="{00000000-0005-0000-0000-0000A7470000}"/>
    <cellStyle name="Comma 25" xfId="9562" xr:uid="{00000000-0005-0000-0000-0000A8470000}"/>
    <cellStyle name="Comma 25 2" xfId="10111" xr:uid="{00000000-0005-0000-0000-0000A9470000}"/>
    <cellStyle name="Comma 25 2 2" xfId="12167" xr:uid="{00000000-0005-0000-0000-0000AA470000}"/>
    <cellStyle name="Comma 25 2 2 2" xfId="28780" xr:uid="{00000000-0005-0000-0000-0000AB470000}"/>
    <cellStyle name="Comma 25 2 2 2 2" xfId="46451" xr:uid="{00000000-0005-0000-0000-0000AC470000}"/>
    <cellStyle name="Comma 25 2 2 3" xfId="32993" xr:uid="{00000000-0005-0000-0000-0000AD470000}"/>
    <cellStyle name="Comma 25 2 2 4" xfId="37208" xr:uid="{00000000-0005-0000-0000-0000AE470000}"/>
    <cellStyle name="Comma 25 2 2 5" xfId="41412" xr:uid="{00000000-0005-0000-0000-0000AF470000}"/>
    <cellStyle name="Comma 25 2 3" xfId="27580" xr:uid="{00000000-0005-0000-0000-0000B0470000}"/>
    <cellStyle name="Comma 25 2 3 2" xfId="45256" xr:uid="{00000000-0005-0000-0000-0000B1470000}"/>
    <cellStyle name="Comma 25 2 4" xfId="31793" xr:uid="{00000000-0005-0000-0000-0000B2470000}"/>
    <cellStyle name="Comma 25 2 5" xfId="36008" xr:uid="{00000000-0005-0000-0000-0000B3470000}"/>
    <cellStyle name="Comma 25 2 6" xfId="40212" xr:uid="{00000000-0005-0000-0000-0000B4470000}"/>
    <cellStyle name="Comma 25 3" xfId="10948" xr:uid="{00000000-0005-0000-0000-0000B5470000}"/>
    <cellStyle name="Comma 25 3 2" xfId="28045" xr:uid="{00000000-0005-0000-0000-0000B6470000}"/>
    <cellStyle name="Comma 25 3 2 2" xfId="45722" xr:uid="{00000000-0005-0000-0000-0000B7470000}"/>
    <cellStyle name="Comma 25 3 3" xfId="32258" xr:uid="{00000000-0005-0000-0000-0000B8470000}"/>
    <cellStyle name="Comma 25 3 4" xfId="36473" xr:uid="{00000000-0005-0000-0000-0000B9470000}"/>
    <cellStyle name="Comma 25 3 5" xfId="40677" xr:uid="{00000000-0005-0000-0000-0000BA470000}"/>
    <cellStyle name="Comma 25 4" xfId="27130" xr:uid="{00000000-0005-0000-0000-0000BB470000}"/>
    <cellStyle name="Comma 25 4 2" xfId="44998" xr:uid="{00000000-0005-0000-0000-0000BC470000}"/>
    <cellStyle name="Comma 25 5" xfId="31343" xr:uid="{00000000-0005-0000-0000-0000BD470000}"/>
    <cellStyle name="Comma 25 6" xfId="35558" xr:uid="{00000000-0005-0000-0000-0000BE470000}"/>
    <cellStyle name="Comma 25 7" xfId="39762" xr:uid="{00000000-0005-0000-0000-0000BF470000}"/>
    <cellStyle name="Comma 26" xfId="10112" xr:uid="{00000000-0005-0000-0000-0000C0470000}"/>
    <cellStyle name="Comma 26 2" xfId="10949" xr:uid="{00000000-0005-0000-0000-0000C1470000}"/>
    <cellStyle name="Comma 26 2 2" xfId="28046" xr:uid="{00000000-0005-0000-0000-0000C2470000}"/>
    <cellStyle name="Comma 26 2 2 2" xfId="45723" xr:uid="{00000000-0005-0000-0000-0000C3470000}"/>
    <cellStyle name="Comma 26 2 3" xfId="32259" xr:uid="{00000000-0005-0000-0000-0000C4470000}"/>
    <cellStyle name="Comma 26 2 4" xfId="36474" xr:uid="{00000000-0005-0000-0000-0000C5470000}"/>
    <cellStyle name="Comma 26 2 5" xfId="40678" xr:uid="{00000000-0005-0000-0000-0000C6470000}"/>
    <cellStyle name="Comma 26 3" xfId="27581" xr:uid="{00000000-0005-0000-0000-0000C7470000}"/>
    <cellStyle name="Comma 26 3 2" xfId="45257" xr:uid="{00000000-0005-0000-0000-0000C8470000}"/>
    <cellStyle name="Comma 26 4" xfId="31794" xr:uid="{00000000-0005-0000-0000-0000C9470000}"/>
    <cellStyle name="Comma 26 5" xfId="36009" xr:uid="{00000000-0005-0000-0000-0000CA470000}"/>
    <cellStyle name="Comma 26 6" xfId="40213" xr:uid="{00000000-0005-0000-0000-0000CB470000}"/>
    <cellStyle name="Comma 27" xfId="10188" xr:uid="{00000000-0005-0000-0000-0000CC470000}"/>
    <cellStyle name="Comma 27 2" xfId="10956" xr:uid="{00000000-0005-0000-0000-0000CD470000}"/>
    <cellStyle name="Comma 27 2 2" xfId="28053" xr:uid="{00000000-0005-0000-0000-0000CE470000}"/>
    <cellStyle name="Comma 27 2 2 2" xfId="45730" xr:uid="{00000000-0005-0000-0000-0000CF470000}"/>
    <cellStyle name="Comma 27 2 3" xfId="32266" xr:uid="{00000000-0005-0000-0000-0000D0470000}"/>
    <cellStyle name="Comma 27 2 4" xfId="36481" xr:uid="{00000000-0005-0000-0000-0000D1470000}"/>
    <cellStyle name="Comma 27 2 5" xfId="40685" xr:uid="{00000000-0005-0000-0000-0000D2470000}"/>
    <cellStyle name="Comma 27 3" xfId="27588" xr:uid="{00000000-0005-0000-0000-0000D3470000}"/>
    <cellStyle name="Comma 27 3 2" xfId="45267" xr:uid="{00000000-0005-0000-0000-0000D4470000}"/>
    <cellStyle name="Comma 27 4" xfId="31801" xr:uid="{00000000-0005-0000-0000-0000D5470000}"/>
    <cellStyle name="Comma 27 5" xfId="36016" xr:uid="{00000000-0005-0000-0000-0000D6470000}"/>
    <cellStyle name="Comma 27 6" xfId="40220" xr:uid="{00000000-0005-0000-0000-0000D7470000}"/>
    <cellStyle name="Comma 28" xfId="10200" xr:uid="{00000000-0005-0000-0000-0000D8470000}"/>
    <cellStyle name="Comma 28 2" xfId="10958" xr:uid="{00000000-0005-0000-0000-0000D9470000}"/>
    <cellStyle name="Comma 28 2 2" xfId="28055" xr:uid="{00000000-0005-0000-0000-0000DA470000}"/>
    <cellStyle name="Comma 28 2 2 2" xfId="45732" xr:uid="{00000000-0005-0000-0000-0000DB470000}"/>
    <cellStyle name="Comma 28 2 3" xfId="32268" xr:uid="{00000000-0005-0000-0000-0000DC470000}"/>
    <cellStyle name="Comma 28 2 4" xfId="36483" xr:uid="{00000000-0005-0000-0000-0000DD470000}"/>
    <cellStyle name="Comma 28 2 5" xfId="40687" xr:uid="{00000000-0005-0000-0000-0000DE470000}"/>
    <cellStyle name="Comma 28 3" xfId="27591" xr:uid="{00000000-0005-0000-0000-0000DF470000}"/>
    <cellStyle name="Comma 28 3 2" xfId="45269" xr:uid="{00000000-0005-0000-0000-0000E0470000}"/>
    <cellStyle name="Comma 28 4" xfId="31804" xr:uid="{00000000-0005-0000-0000-0000E1470000}"/>
    <cellStyle name="Comma 28 5" xfId="36019" xr:uid="{00000000-0005-0000-0000-0000E2470000}"/>
    <cellStyle name="Comma 28 6" xfId="40223" xr:uid="{00000000-0005-0000-0000-0000E3470000}"/>
    <cellStyle name="Comma 29" xfId="10197" xr:uid="{00000000-0005-0000-0000-0000E4470000}"/>
    <cellStyle name="Comma 29 2" xfId="10957" xr:uid="{00000000-0005-0000-0000-0000E5470000}"/>
    <cellStyle name="Comma 29 2 2" xfId="28054" xr:uid="{00000000-0005-0000-0000-0000E6470000}"/>
    <cellStyle name="Comma 29 2 2 2" xfId="45731" xr:uid="{00000000-0005-0000-0000-0000E7470000}"/>
    <cellStyle name="Comma 29 2 3" xfId="32267" xr:uid="{00000000-0005-0000-0000-0000E8470000}"/>
    <cellStyle name="Comma 29 2 4" xfId="36482" xr:uid="{00000000-0005-0000-0000-0000E9470000}"/>
    <cellStyle name="Comma 29 2 5" xfId="40686" xr:uid="{00000000-0005-0000-0000-0000EA470000}"/>
    <cellStyle name="Comma 29 3" xfId="27590" xr:uid="{00000000-0005-0000-0000-0000EB470000}"/>
    <cellStyle name="Comma 29 3 2" xfId="45268" xr:uid="{00000000-0005-0000-0000-0000EC470000}"/>
    <cellStyle name="Comma 29 4" xfId="31803" xr:uid="{00000000-0005-0000-0000-0000ED470000}"/>
    <cellStyle name="Comma 29 5" xfId="36018" xr:uid="{00000000-0005-0000-0000-0000EE470000}"/>
    <cellStyle name="Comma 29 6" xfId="40222" xr:uid="{00000000-0005-0000-0000-0000EF470000}"/>
    <cellStyle name="Comma 3" xfId="3120" xr:uid="{00000000-0005-0000-0000-0000F0470000}"/>
    <cellStyle name="Comma 3 10" xfId="9053" xr:uid="{00000000-0005-0000-0000-0000F1470000}"/>
    <cellStyle name="Comma 3 10 2" xfId="10076" xr:uid="{00000000-0005-0000-0000-0000F2470000}"/>
    <cellStyle name="Comma 3 10 2 2" xfId="12112" xr:uid="{00000000-0005-0000-0000-0000F3470000}"/>
    <cellStyle name="Comma 3 10 2 2 2" xfId="28756" xr:uid="{00000000-0005-0000-0000-0000F4470000}"/>
    <cellStyle name="Comma 3 10 2 2 2 2" xfId="46427" xr:uid="{00000000-0005-0000-0000-0000F5470000}"/>
    <cellStyle name="Comma 3 10 2 2 3" xfId="32969" xr:uid="{00000000-0005-0000-0000-0000F6470000}"/>
    <cellStyle name="Comma 3 10 2 2 4" xfId="37184" xr:uid="{00000000-0005-0000-0000-0000F7470000}"/>
    <cellStyle name="Comma 3 10 2 2 5" xfId="41388" xr:uid="{00000000-0005-0000-0000-0000F8470000}"/>
    <cellStyle name="Comma 3 10 2 3" xfId="27556" xr:uid="{00000000-0005-0000-0000-0000F9470000}"/>
    <cellStyle name="Comma 3 10 2 3 2" xfId="45232" xr:uid="{00000000-0005-0000-0000-0000FA470000}"/>
    <cellStyle name="Comma 3 10 2 4" xfId="31769" xr:uid="{00000000-0005-0000-0000-0000FB470000}"/>
    <cellStyle name="Comma 3 10 2 5" xfId="35984" xr:uid="{00000000-0005-0000-0000-0000FC470000}"/>
    <cellStyle name="Comma 3 10 2 6" xfId="40188" xr:uid="{00000000-0005-0000-0000-0000FD470000}"/>
    <cellStyle name="Comma 3 10 3" xfId="10887" xr:uid="{00000000-0005-0000-0000-0000FE470000}"/>
    <cellStyle name="Comma 3 10 3 2" xfId="28021" xr:uid="{00000000-0005-0000-0000-0000FF470000}"/>
    <cellStyle name="Comma 3 10 3 2 2" xfId="45698" xr:uid="{00000000-0005-0000-0000-000000480000}"/>
    <cellStyle name="Comma 3 10 3 3" xfId="32234" xr:uid="{00000000-0005-0000-0000-000001480000}"/>
    <cellStyle name="Comma 3 10 3 4" xfId="36449" xr:uid="{00000000-0005-0000-0000-000002480000}"/>
    <cellStyle name="Comma 3 10 3 5" xfId="40653" xr:uid="{00000000-0005-0000-0000-000003480000}"/>
    <cellStyle name="Comma 3 10 4" xfId="26624" xr:uid="{00000000-0005-0000-0000-000004480000}"/>
    <cellStyle name="Comma 3 10 4 2" xfId="41574" xr:uid="{00000000-0005-0000-0000-000005480000}"/>
    <cellStyle name="Comma 3 10 5" xfId="30837" xr:uid="{00000000-0005-0000-0000-000006480000}"/>
    <cellStyle name="Comma 3 10 5 2" xfId="43081" xr:uid="{00000000-0005-0000-0000-000007480000}"/>
    <cellStyle name="Comma 3 10 6" xfId="35052" xr:uid="{00000000-0005-0000-0000-000008480000}"/>
    <cellStyle name="Comma 3 10 6 2" xfId="44975" xr:uid="{00000000-0005-0000-0000-000009480000}"/>
    <cellStyle name="Comma 3 10 7" xfId="39256" xr:uid="{00000000-0005-0000-0000-00000A480000}"/>
    <cellStyle name="Comma 3 11" xfId="9175" xr:uid="{00000000-0005-0000-0000-00000B480000}"/>
    <cellStyle name="Comma 3 11 2" xfId="10082" xr:uid="{00000000-0005-0000-0000-00000C480000}"/>
    <cellStyle name="Comma 3 11 2 2" xfId="12124" xr:uid="{00000000-0005-0000-0000-00000D480000}"/>
    <cellStyle name="Comma 3 11 2 2 2" xfId="28762" xr:uid="{00000000-0005-0000-0000-00000E480000}"/>
    <cellStyle name="Comma 3 11 2 2 2 2" xfId="46433" xr:uid="{00000000-0005-0000-0000-00000F480000}"/>
    <cellStyle name="Comma 3 11 2 2 3" xfId="32975" xr:uid="{00000000-0005-0000-0000-000010480000}"/>
    <cellStyle name="Comma 3 11 2 2 4" xfId="37190" xr:uid="{00000000-0005-0000-0000-000011480000}"/>
    <cellStyle name="Comma 3 11 2 2 5" xfId="41394" xr:uid="{00000000-0005-0000-0000-000012480000}"/>
    <cellStyle name="Comma 3 11 2 3" xfId="27562" xr:uid="{00000000-0005-0000-0000-000013480000}"/>
    <cellStyle name="Comma 3 11 2 3 2" xfId="45238" xr:uid="{00000000-0005-0000-0000-000014480000}"/>
    <cellStyle name="Comma 3 11 2 4" xfId="31775" xr:uid="{00000000-0005-0000-0000-000015480000}"/>
    <cellStyle name="Comma 3 11 2 5" xfId="35990" xr:uid="{00000000-0005-0000-0000-000016480000}"/>
    <cellStyle name="Comma 3 11 2 6" xfId="40194" xr:uid="{00000000-0005-0000-0000-000017480000}"/>
    <cellStyle name="Comma 3 11 3" xfId="10903" xr:uid="{00000000-0005-0000-0000-000018480000}"/>
    <cellStyle name="Comma 3 11 3 2" xfId="28027" xr:uid="{00000000-0005-0000-0000-000019480000}"/>
    <cellStyle name="Comma 3 11 3 2 2" xfId="45704" xr:uid="{00000000-0005-0000-0000-00001A480000}"/>
    <cellStyle name="Comma 3 11 3 3" xfId="32240" xr:uid="{00000000-0005-0000-0000-00001B480000}"/>
    <cellStyle name="Comma 3 11 3 4" xfId="36455" xr:uid="{00000000-0005-0000-0000-00001C480000}"/>
    <cellStyle name="Comma 3 11 3 5" xfId="40659" xr:uid="{00000000-0005-0000-0000-00001D480000}"/>
    <cellStyle name="Comma 3 11 4" xfId="26746" xr:uid="{00000000-0005-0000-0000-00001E480000}"/>
    <cellStyle name="Comma 3 11 4 2" xfId="44979" xr:uid="{00000000-0005-0000-0000-00001F480000}"/>
    <cellStyle name="Comma 3 11 5" xfId="30959" xr:uid="{00000000-0005-0000-0000-000020480000}"/>
    <cellStyle name="Comma 3 11 6" xfId="35174" xr:uid="{00000000-0005-0000-0000-000021480000}"/>
    <cellStyle name="Comma 3 11 7" xfId="39378" xr:uid="{00000000-0005-0000-0000-000022480000}"/>
    <cellStyle name="Comma 3 12" xfId="9295" xr:uid="{00000000-0005-0000-0000-000023480000}"/>
    <cellStyle name="Comma 3 12 2" xfId="10086" xr:uid="{00000000-0005-0000-0000-000024480000}"/>
    <cellStyle name="Comma 3 12 2 2" xfId="12135" xr:uid="{00000000-0005-0000-0000-000025480000}"/>
    <cellStyle name="Comma 3 12 2 2 2" xfId="28766" xr:uid="{00000000-0005-0000-0000-000026480000}"/>
    <cellStyle name="Comma 3 12 2 2 2 2" xfId="46437" xr:uid="{00000000-0005-0000-0000-000027480000}"/>
    <cellStyle name="Comma 3 12 2 2 3" xfId="32979" xr:uid="{00000000-0005-0000-0000-000028480000}"/>
    <cellStyle name="Comma 3 12 2 2 4" xfId="37194" xr:uid="{00000000-0005-0000-0000-000029480000}"/>
    <cellStyle name="Comma 3 12 2 2 5" xfId="41398" xr:uid="{00000000-0005-0000-0000-00002A480000}"/>
    <cellStyle name="Comma 3 12 2 3" xfId="27566" xr:uid="{00000000-0005-0000-0000-00002B480000}"/>
    <cellStyle name="Comma 3 12 2 3 2" xfId="45242" xr:uid="{00000000-0005-0000-0000-00002C480000}"/>
    <cellStyle name="Comma 3 12 2 4" xfId="31779" xr:uid="{00000000-0005-0000-0000-00002D480000}"/>
    <cellStyle name="Comma 3 12 2 5" xfId="35994" xr:uid="{00000000-0005-0000-0000-00002E480000}"/>
    <cellStyle name="Comma 3 12 2 6" xfId="40198" xr:uid="{00000000-0005-0000-0000-00002F480000}"/>
    <cellStyle name="Comma 3 12 3" xfId="10917" xr:uid="{00000000-0005-0000-0000-000030480000}"/>
    <cellStyle name="Comma 3 12 3 2" xfId="28031" xr:uid="{00000000-0005-0000-0000-000031480000}"/>
    <cellStyle name="Comma 3 12 3 2 2" xfId="45708" xr:uid="{00000000-0005-0000-0000-000032480000}"/>
    <cellStyle name="Comma 3 12 3 3" xfId="32244" xr:uid="{00000000-0005-0000-0000-000033480000}"/>
    <cellStyle name="Comma 3 12 3 4" xfId="36459" xr:uid="{00000000-0005-0000-0000-000034480000}"/>
    <cellStyle name="Comma 3 12 3 5" xfId="40663" xr:uid="{00000000-0005-0000-0000-000035480000}"/>
    <cellStyle name="Comma 3 12 4" xfId="26866" xr:uid="{00000000-0005-0000-0000-000036480000}"/>
    <cellStyle name="Comma 3 12 4 2" xfId="44983" xr:uid="{00000000-0005-0000-0000-000037480000}"/>
    <cellStyle name="Comma 3 12 5" xfId="31079" xr:uid="{00000000-0005-0000-0000-000038480000}"/>
    <cellStyle name="Comma 3 12 6" xfId="35294" xr:uid="{00000000-0005-0000-0000-000039480000}"/>
    <cellStyle name="Comma 3 12 7" xfId="39498" xr:uid="{00000000-0005-0000-0000-00003A480000}"/>
    <cellStyle name="Comma 3 13" xfId="9416" xr:uid="{00000000-0005-0000-0000-00003B480000}"/>
    <cellStyle name="Comma 3 13 2" xfId="10091" xr:uid="{00000000-0005-0000-0000-00003C480000}"/>
    <cellStyle name="Comma 3 13 2 2" xfId="12148" xr:uid="{00000000-0005-0000-0000-00003D480000}"/>
    <cellStyle name="Comma 3 13 2 2 2" xfId="28771" xr:uid="{00000000-0005-0000-0000-00003E480000}"/>
    <cellStyle name="Comma 3 13 2 2 2 2" xfId="46442" xr:uid="{00000000-0005-0000-0000-00003F480000}"/>
    <cellStyle name="Comma 3 13 2 2 3" xfId="32984" xr:uid="{00000000-0005-0000-0000-000040480000}"/>
    <cellStyle name="Comma 3 13 2 2 4" xfId="37199" xr:uid="{00000000-0005-0000-0000-000041480000}"/>
    <cellStyle name="Comma 3 13 2 2 5" xfId="41403" xr:uid="{00000000-0005-0000-0000-000042480000}"/>
    <cellStyle name="Comma 3 13 2 3" xfId="27571" xr:uid="{00000000-0005-0000-0000-000043480000}"/>
    <cellStyle name="Comma 3 13 2 3 2" xfId="45247" xr:uid="{00000000-0005-0000-0000-000044480000}"/>
    <cellStyle name="Comma 3 13 2 4" xfId="31784" xr:uid="{00000000-0005-0000-0000-000045480000}"/>
    <cellStyle name="Comma 3 13 2 5" xfId="35999" xr:uid="{00000000-0005-0000-0000-000046480000}"/>
    <cellStyle name="Comma 3 13 2 6" xfId="40203" xr:uid="{00000000-0005-0000-0000-000047480000}"/>
    <cellStyle name="Comma 3 13 3" xfId="10931" xr:uid="{00000000-0005-0000-0000-000048480000}"/>
    <cellStyle name="Comma 3 13 3 2" xfId="28036" xr:uid="{00000000-0005-0000-0000-000049480000}"/>
    <cellStyle name="Comma 3 13 3 2 2" xfId="45713" xr:uid="{00000000-0005-0000-0000-00004A480000}"/>
    <cellStyle name="Comma 3 13 3 3" xfId="32249" xr:uid="{00000000-0005-0000-0000-00004B480000}"/>
    <cellStyle name="Comma 3 13 3 4" xfId="36464" xr:uid="{00000000-0005-0000-0000-00004C480000}"/>
    <cellStyle name="Comma 3 13 3 5" xfId="40668" xr:uid="{00000000-0005-0000-0000-00004D480000}"/>
    <cellStyle name="Comma 3 13 4" xfId="26987" xr:uid="{00000000-0005-0000-0000-00004E480000}"/>
    <cellStyle name="Comma 3 13 4 2" xfId="44988" xr:uid="{00000000-0005-0000-0000-00004F480000}"/>
    <cellStyle name="Comma 3 13 5" xfId="31200" xr:uid="{00000000-0005-0000-0000-000050480000}"/>
    <cellStyle name="Comma 3 13 6" xfId="35415" xr:uid="{00000000-0005-0000-0000-000051480000}"/>
    <cellStyle name="Comma 3 13 7" xfId="39619" xr:uid="{00000000-0005-0000-0000-000052480000}"/>
    <cellStyle name="Comma 3 14" xfId="9535" xr:uid="{00000000-0005-0000-0000-000053480000}"/>
    <cellStyle name="Comma 3 14 2" xfId="10094" xr:uid="{00000000-0005-0000-0000-000054480000}"/>
    <cellStyle name="Comma 3 14 2 2" xfId="12160" xr:uid="{00000000-0005-0000-0000-000055480000}"/>
    <cellStyle name="Comma 3 14 2 2 2" xfId="28774" xr:uid="{00000000-0005-0000-0000-000056480000}"/>
    <cellStyle name="Comma 3 14 2 2 2 2" xfId="46445" xr:uid="{00000000-0005-0000-0000-000057480000}"/>
    <cellStyle name="Comma 3 14 2 2 3" xfId="32987" xr:uid="{00000000-0005-0000-0000-000058480000}"/>
    <cellStyle name="Comma 3 14 2 2 4" xfId="37202" xr:uid="{00000000-0005-0000-0000-000059480000}"/>
    <cellStyle name="Comma 3 14 2 2 5" xfId="41406" xr:uid="{00000000-0005-0000-0000-00005A480000}"/>
    <cellStyle name="Comma 3 14 2 3" xfId="27574" xr:uid="{00000000-0005-0000-0000-00005B480000}"/>
    <cellStyle name="Comma 3 14 2 3 2" xfId="45250" xr:uid="{00000000-0005-0000-0000-00005C480000}"/>
    <cellStyle name="Comma 3 14 2 4" xfId="31787" xr:uid="{00000000-0005-0000-0000-00005D480000}"/>
    <cellStyle name="Comma 3 14 2 5" xfId="36002" xr:uid="{00000000-0005-0000-0000-00005E480000}"/>
    <cellStyle name="Comma 3 14 2 6" xfId="40206" xr:uid="{00000000-0005-0000-0000-00005F480000}"/>
    <cellStyle name="Comma 3 14 3" xfId="10942" xr:uid="{00000000-0005-0000-0000-000060480000}"/>
    <cellStyle name="Comma 3 14 3 2" xfId="28039" xr:uid="{00000000-0005-0000-0000-000061480000}"/>
    <cellStyle name="Comma 3 14 3 2 2" xfId="45716" xr:uid="{00000000-0005-0000-0000-000062480000}"/>
    <cellStyle name="Comma 3 14 3 3" xfId="32252" xr:uid="{00000000-0005-0000-0000-000063480000}"/>
    <cellStyle name="Comma 3 14 3 4" xfId="36467" xr:uid="{00000000-0005-0000-0000-000064480000}"/>
    <cellStyle name="Comma 3 14 3 5" xfId="40671" xr:uid="{00000000-0005-0000-0000-000065480000}"/>
    <cellStyle name="Comma 3 14 4" xfId="27106" xr:uid="{00000000-0005-0000-0000-000066480000}"/>
    <cellStyle name="Comma 3 14 4 2" xfId="44991" xr:uid="{00000000-0005-0000-0000-000067480000}"/>
    <cellStyle name="Comma 3 14 5" xfId="31319" xr:uid="{00000000-0005-0000-0000-000068480000}"/>
    <cellStyle name="Comma 3 14 6" xfId="35534" xr:uid="{00000000-0005-0000-0000-000069480000}"/>
    <cellStyle name="Comma 3 14 7" xfId="39738" xr:uid="{00000000-0005-0000-0000-00006A480000}"/>
    <cellStyle name="Comma 3 15" xfId="7014" xr:uid="{00000000-0005-0000-0000-00006B480000}"/>
    <cellStyle name="Comma 3 15 2" xfId="10158" xr:uid="{00000000-0005-0000-0000-00006C480000}"/>
    <cellStyle name="Comma 3 15 2 2" xfId="11814" xr:uid="{00000000-0005-0000-0000-00006D480000}"/>
    <cellStyle name="Comma 3 15 2 2 2" xfId="28531" xr:uid="{00000000-0005-0000-0000-00006E480000}"/>
    <cellStyle name="Comma 3 15 2 2 2 2" xfId="46182" xr:uid="{00000000-0005-0000-0000-00006F480000}"/>
    <cellStyle name="Comma 3 15 2 2 3" xfId="32744" xr:uid="{00000000-0005-0000-0000-000070480000}"/>
    <cellStyle name="Comma 3 15 2 2 4" xfId="36959" xr:uid="{00000000-0005-0000-0000-000071480000}"/>
    <cellStyle name="Comma 3 15 2 2 5" xfId="41163" xr:uid="{00000000-0005-0000-0000-000072480000}"/>
    <cellStyle name="Comma 3 15 2 3" xfId="27586" xr:uid="{00000000-0005-0000-0000-000073480000}"/>
    <cellStyle name="Comma 3 15 2 3 2" xfId="45263" xr:uid="{00000000-0005-0000-0000-000074480000}"/>
    <cellStyle name="Comma 3 15 2 4" xfId="31799" xr:uid="{00000000-0005-0000-0000-000075480000}"/>
    <cellStyle name="Comma 3 15 2 5" xfId="36014" xr:uid="{00000000-0005-0000-0000-000076480000}"/>
    <cellStyle name="Comma 3 15 2 6" xfId="40218" xr:uid="{00000000-0005-0000-0000-000077480000}"/>
    <cellStyle name="Comma 3 15 3" xfId="10954" xr:uid="{00000000-0005-0000-0000-000078480000}"/>
    <cellStyle name="Comma 3 15 3 2" xfId="28051" xr:uid="{00000000-0005-0000-0000-000079480000}"/>
    <cellStyle name="Comma 3 15 3 2 2" xfId="45728" xr:uid="{00000000-0005-0000-0000-00007A480000}"/>
    <cellStyle name="Comma 3 15 3 3" xfId="32264" xr:uid="{00000000-0005-0000-0000-00007B480000}"/>
    <cellStyle name="Comma 3 15 3 4" xfId="36479" xr:uid="{00000000-0005-0000-0000-00007C480000}"/>
    <cellStyle name="Comma 3 15 3 5" xfId="40683" xr:uid="{00000000-0005-0000-0000-00007D480000}"/>
    <cellStyle name="Comma 3 15 4" xfId="25697" xr:uid="{00000000-0005-0000-0000-00007E480000}"/>
    <cellStyle name="Comma 3 15 4 2" xfId="44916" xr:uid="{00000000-0005-0000-0000-00007F480000}"/>
    <cellStyle name="Comma 3 15 5" xfId="29910" xr:uid="{00000000-0005-0000-0000-000080480000}"/>
    <cellStyle name="Comma 3 15 6" xfId="34125" xr:uid="{00000000-0005-0000-0000-000081480000}"/>
    <cellStyle name="Comma 3 15 7" xfId="38329" xr:uid="{00000000-0005-0000-0000-000082480000}"/>
    <cellStyle name="Comma 3 16" xfId="9567" xr:uid="{00000000-0005-0000-0000-000083480000}"/>
    <cellStyle name="Comma 3 16 2" xfId="10206" xr:uid="{00000000-0005-0000-0000-000084480000}"/>
    <cellStyle name="Comma 3 16 2 2" xfId="12171" xr:uid="{00000000-0005-0000-0000-000085480000}"/>
    <cellStyle name="Comma 3 16 2 2 2" xfId="28782" xr:uid="{00000000-0005-0000-0000-000086480000}"/>
    <cellStyle name="Comma 3 16 2 2 2 2" xfId="46453" xr:uid="{00000000-0005-0000-0000-000087480000}"/>
    <cellStyle name="Comma 3 16 2 2 3" xfId="32995" xr:uid="{00000000-0005-0000-0000-000088480000}"/>
    <cellStyle name="Comma 3 16 2 2 4" xfId="37210" xr:uid="{00000000-0005-0000-0000-000089480000}"/>
    <cellStyle name="Comma 3 16 2 2 5" xfId="41414" xr:uid="{00000000-0005-0000-0000-00008A480000}"/>
    <cellStyle name="Comma 3 16 2 3" xfId="27597" xr:uid="{00000000-0005-0000-0000-00008B480000}"/>
    <cellStyle name="Comma 3 16 2 3 2" xfId="45275" xr:uid="{00000000-0005-0000-0000-00008C480000}"/>
    <cellStyle name="Comma 3 16 2 4" xfId="31810" xr:uid="{00000000-0005-0000-0000-00008D480000}"/>
    <cellStyle name="Comma 3 16 2 5" xfId="36025" xr:uid="{00000000-0005-0000-0000-00008E480000}"/>
    <cellStyle name="Comma 3 16 2 6" xfId="40229" xr:uid="{00000000-0005-0000-0000-00008F480000}"/>
    <cellStyle name="Comma 3 16 3" xfId="10964" xr:uid="{00000000-0005-0000-0000-000090480000}"/>
    <cellStyle name="Comma 3 16 3 2" xfId="28061" xr:uid="{00000000-0005-0000-0000-000091480000}"/>
    <cellStyle name="Comma 3 16 3 2 2" xfId="45738" xr:uid="{00000000-0005-0000-0000-000092480000}"/>
    <cellStyle name="Comma 3 16 3 3" xfId="32274" xr:uid="{00000000-0005-0000-0000-000093480000}"/>
    <cellStyle name="Comma 3 16 3 4" xfId="36489" xr:uid="{00000000-0005-0000-0000-000094480000}"/>
    <cellStyle name="Comma 3 16 3 5" xfId="40693" xr:uid="{00000000-0005-0000-0000-000095480000}"/>
    <cellStyle name="Comma 3 16 4" xfId="27132" xr:uid="{00000000-0005-0000-0000-000096480000}"/>
    <cellStyle name="Comma 3 16 4 2" xfId="45002" xr:uid="{00000000-0005-0000-0000-000097480000}"/>
    <cellStyle name="Comma 3 16 5" xfId="31345" xr:uid="{00000000-0005-0000-0000-000098480000}"/>
    <cellStyle name="Comma 3 16 6" xfId="35560" xr:uid="{00000000-0005-0000-0000-000099480000}"/>
    <cellStyle name="Comma 3 16 7" xfId="39764" xr:uid="{00000000-0005-0000-0000-00009A480000}"/>
    <cellStyle name="Comma 3 17" xfId="10213" xr:uid="{00000000-0005-0000-0000-00009B480000}"/>
    <cellStyle name="Comma 3 17 2" xfId="10971" xr:uid="{00000000-0005-0000-0000-00009C480000}"/>
    <cellStyle name="Comma 3 17 2 2" xfId="28068" xr:uid="{00000000-0005-0000-0000-00009D480000}"/>
    <cellStyle name="Comma 3 17 2 2 2" xfId="45745" xr:uid="{00000000-0005-0000-0000-00009E480000}"/>
    <cellStyle name="Comma 3 17 2 3" xfId="32281" xr:uid="{00000000-0005-0000-0000-00009F480000}"/>
    <cellStyle name="Comma 3 17 2 4" xfId="36496" xr:uid="{00000000-0005-0000-0000-0000A0480000}"/>
    <cellStyle name="Comma 3 17 2 5" xfId="40700" xr:uid="{00000000-0005-0000-0000-0000A1480000}"/>
    <cellStyle name="Comma 3 17 3" xfId="27604" xr:uid="{00000000-0005-0000-0000-0000A2480000}"/>
    <cellStyle name="Comma 3 17 3 2" xfId="45282" xr:uid="{00000000-0005-0000-0000-0000A3480000}"/>
    <cellStyle name="Comma 3 17 4" xfId="31817" xr:uid="{00000000-0005-0000-0000-0000A4480000}"/>
    <cellStyle name="Comma 3 17 5" xfId="36032" xr:uid="{00000000-0005-0000-0000-0000A5480000}"/>
    <cellStyle name="Comma 3 17 6" xfId="40236" xr:uid="{00000000-0005-0000-0000-0000A6480000}"/>
    <cellStyle name="Comma 3 18" xfId="9844" xr:uid="{00000000-0005-0000-0000-0000A7480000}"/>
    <cellStyle name="Comma 3 18 2" xfId="10978" xr:uid="{00000000-0005-0000-0000-0000A8480000}"/>
    <cellStyle name="Comma 3 18 2 2" xfId="28072" xr:uid="{00000000-0005-0000-0000-0000A9480000}"/>
    <cellStyle name="Comma 3 18 2 2 2" xfId="45749" xr:uid="{00000000-0005-0000-0000-0000AA480000}"/>
    <cellStyle name="Comma 3 18 2 3" xfId="32285" xr:uid="{00000000-0005-0000-0000-0000AB480000}"/>
    <cellStyle name="Comma 3 18 2 4" xfId="36500" xr:uid="{00000000-0005-0000-0000-0000AC480000}"/>
    <cellStyle name="Comma 3 18 2 5" xfId="40704" xr:uid="{00000000-0005-0000-0000-0000AD480000}"/>
    <cellStyle name="Comma 3 18 3" xfId="27331" xr:uid="{00000000-0005-0000-0000-0000AE480000}"/>
    <cellStyle name="Comma 3 18 3 2" xfId="45209" xr:uid="{00000000-0005-0000-0000-0000AF480000}"/>
    <cellStyle name="Comma 3 18 4" xfId="31544" xr:uid="{00000000-0005-0000-0000-0000B0480000}"/>
    <cellStyle name="Comma 3 18 5" xfId="35759" xr:uid="{00000000-0005-0000-0000-0000B1480000}"/>
    <cellStyle name="Comma 3 18 6" xfId="39963" xr:uid="{00000000-0005-0000-0000-0000B2480000}"/>
    <cellStyle name="Comma 3 19" xfId="10593" xr:uid="{00000000-0005-0000-0000-0000B3480000}"/>
    <cellStyle name="Comma 3 19 2" xfId="27796" xr:uid="{00000000-0005-0000-0000-0000B4480000}"/>
    <cellStyle name="Comma 3 19 2 2" xfId="45474" xr:uid="{00000000-0005-0000-0000-0000B5480000}"/>
    <cellStyle name="Comma 3 19 3" xfId="32009" xr:uid="{00000000-0005-0000-0000-0000B6480000}"/>
    <cellStyle name="Comma 3 19 4" xfId="36224" xr:uid="{00000000-0005-0000-0000-0000B7480000}"/>
    <cellStyle name="Comma 3 19 5" xfId="40428" xr:uid="{00000000-0005-0000-0000-0000B8480000}"/>
    <cellStyle name="Comma 3 2" xfId="4427" xr:uid="{00000000-0005-0000-0000-0000B9480000}"/>
    <cellStyle name="Comma 3 2 10" xfId="24900" xr:uid="{00000000-0005-0000-0000-0000BA480000}"/>
    <cellStyle name="Comma 3 2 11" xfId="29112" xr:uid="{00000000-0005-0000-0000-0000BB480000}"/>
    <cellStyle name="Comma 3 2 12" xfId="33328" xr:uid="{00000000-0005-0000-0000-0000BC480000}"/>
    <cellStyle name="Comma 3 2 13" xfId="37532" xr:uid="{00000000-0005-0000-0000-0000BD480000}"/>
    <cellStyle name="Comma 3 2 2" xfId="8045" xr:uid="{00000000-0005-0000-0000-0000BE480000}"/>
    <cellStyle name="Comma 3 2 2 2" xfId="9994" xr:uid="{00000000-0005-0000-0000-0000BF480000}"/>
    <cellStyle name="Comma 3 2 2 2 2" xfId="12017" xr:uid="{00000000-0005-0000-0000-0000C0480000}"/>
    <cellStyle name="Comma 3 2 2 2 2 2" xfId="28674" xr:uid="{00000000-0005-0000-0000-0000C1480000}"/>
    <cellStyle name="Comma 3 2 2 2 2 2 2" xfId="46343" xr:uid="{00000000-0005-0000-0000-0000C2480000}"/>
    <cellStyle name="Comma 3 2 2 2 2 3" xfId="32887" xr:uid="{00000000-0005-0000-0000-0000C3480000}"/>
    <cellStyle name="Comma 3 2 2 2 2 4" xfId="37102" xr:uid="{00000000-0005-0000-0000-0000C4480000}"/>
    <cellStyle name="Comma 3 2 2 2 2 5" xfId="41306" xr:uid="{00000000-0005-0000-0000-0000C5480000}"/>
    <cellStyle name="Comma 3 2 2 2 3" xfId="27474" xr:uid="{00000000-0005-0000-0000-0000C6480000}"/>
    <cellStyle name="Comma 3 2 2 2 3 2" xfId="45224" xr:uid="{00000000-0005-0000-0000-0000C7480000}"/>
    <cellStyle name="Comma 3 2 2 2 4" xfId="31687" xr:uid="{00000000-0005-0000-0000-0000C8480000}"/>
    <cellStyle name="Comma 3 2 2 2 5" xfId="35902" xr:uid="{00000000-0005-0000-0000-0000C9480000}"/>
    <cellStyle name="Comma 3 2 2 2 6" xfId="40106" xr:uid="{00000000-0005-0000-0000-0000CA480000}"/>
    <cellStyle name="Comma 3 2 2 3" xfId="10778" xr:uid="{00000000-0005-0000-0000-0000CB480000}"/>
    <cellStyle name="Comma 3 2 2 3 2" xfId="27939" xr:uid="{00000000-0005-0000-0000-0000CC480000}"/>
    <cellStyle name="Comma 3 2 2 3 2 2" xfId="45618" xr:uid="{00000000-0005-0000-0000-0000CD480000}"/>
    <cellStyle name="Comma 3 2 2 3 3" xfId="32152" xr:uid="{00000000-0005-0000-0000-0000CE480000}"/>
    <cellStyle name="Comma 3 2 2 3 4" xfId="36367" xr:uid="{00000000-0005-0000-0000-0000CF480000}"/>
    <cellStyle name="Comma 3 2 2 3 5" xfId="40571" xr:uid="{00000000-0005-0000-0000-0000D0480000}"/>
    <cellStyle name="Comma 3 2 2 4" xfId="24331" xr:uid="{00000000-0005-0000-0000-0000D1480000}"/>
    <cellStyle name="Comma 3 2 2 4 2" xfId="29018" xr:uid="{00000000-0005-0000-0000-0000D2480000}"/>
    <cellStyle name="Comma 3 2 2 4 3" xfId="33235" xr:uid="{00000000-0005-0000-0000-0000D3480000}"/>
    <cellStyle name="Comma 3 2 2 4 4" xfId="37446" xr:uid="{00000000-0005-0000-0000-0000D4480000}"/>
    <cellStyle name="Comma 3 2 2 4 5" xfId="43083" xr:uid="{00000000-0005-0000-0000-0000D5480000}"/>
    <cellStyle name="Comma 3 2 2 5" xfId="26328" xr:uid="{00000000-0005-0000-0000-0000D6480000}"/>
    <cellStyle name="Comma 3 2 2 6" xfId="30541" xr:uid="{00000000-0005-0000-0000-0000D7480000}"/>
    <cellStyle name="Comma 3 2 2 7" xfId="34756" xr:uid="{00000000-0005-0000-0000-0000D8480000}"/>
    <cellStyle name="Comma 3 2 2 8" xfId="38960" xr:uid="{00000000-0005-0000-0000-0000D9480000}"/>
    <cellStyle name="Comma 3 2 3" xfId="7184" xr:uid="{00000000-0005-0000-0000-0000DA480000}"/>
    <cellStyle name="Comma 3 2 3 2" xfId="10159" xr:uid="{00000000-0005-0000-0000-0000DB480000}"/>
    <cellStyle name="Comma 3 2 3 2 2" xfId="11837" xr:uid="{00000000-0005-0000-0000-0000DC480000}"/>
    <cellStyle name="Comma 3 2 3 2 2 2" xfId="28534" xr:uid="{00000000-0005-0000-0000-0000DD480000}"/>
    <cellStyle name="Comma 3 2 3 2 2 2 2" xfId="46193" xr:uid="{00000000-0005-0000-0000-0000DE480000}"/>
    <cellStyle name="Comma 3 2 3 2 2 3" xfId="32747" xr:uid="{00000000-0005-0000-0000-0000DF480000}"/>
    <cellStyle name="Comma 3 2 3 2 2 4" xfId="36962" xr:uid="{00000000-0005-0000-0000-0000E0480000}"/>
    <cellStyle name="Comma 3 2 3 2 2 5" xfId="41166" xr:uid="{00000000-0005-0000-0000-0000E1480000}"/>
    <cellStyle name="Comma 3 2 3 2 3" xfId="27587" xr:uid="{00000000-0005-0000-0000-0000E2480000}"/>
    <cellStyle name="Comma 3 2 3 2 3 2" xfId="45264" xr:uid="{00000000-0005-0000-0000-0000E3480000}"/>
    <cellStyle name="Comma 3 2 3 2 4" xfId="31800" xr:uid="{00000000-0005-0000-0000-0000E4480000}"/>
    <cellStyle name="Comma 3 2 3 2 5" xfId="36015" xr:uid="{00000000-0005-0000-0000-0000E5480000}"/>
    <cellStyle name="Comma 3 2 3 2 6" xfId="40219" xr:uid="{00000000-0005-0000-0000-0000E6480000}"/>
    <cellStyle name="Comma 3 2 3 3" xfId="10955" xr:uid="{00000000-0005-0000-0000-0000E7480000}"/>
    <cellStyle name="Comma 3 2 3 3 2" xfId="28052" xr:uid="{00000000-0005-0000-0000-0000E8480000}"/>
    <cellStyle name="Comma 3 2 3 3 2 2" xfId="45729" xr:uid="{00000000-0005-0000-0000-0000E9480000}"/>
    <cellStyle name="Comma 3 2 3 3 3" xfId="32265" xr:uid="{00000000-0005-0000-0000-0000EA480000}"/>
    <cellStyle name="Comma 3 2 3 3 4" xfId="36480" xr:uid="{00000000-0005-0000-0000-0000EB480000}"/>
    <cellStyle name="Comma 3 2 3 3 5" xfId="40684" xr:uid="{00000000-0005-0000-0000-0000EC480000}"/>
    <cellStyle name="Comma 3 2 3 4" xfId="25833" xr:uid="{00000000-0005-0000-0000-0000ED480000}"/>
    <cellStyle name="Comma 3 2 3 4 2" xfId="43082" xr:uid="{00000000-0005-0000-0000-0000EE480000}"/>
    <cellStyle name="Comma 3 2 3 5" xfId="30046" xr:uid="{00000000-0005-0000-0000-0000EF480000}"/>
    <cellStyle name="Comma 3 2 3 5 2" xfId="44927" xr:uid="{00000000-0005-0000-0000-0000F0480000}"/>
    <cellStyle name="Comma 3 2 3 6" xfId="34261" xr:uid="{00000000-0005-0000-0000-0000F1480000}"/>
    <cellStyle name="Comma 3 2 3 7" xfId="38465" xr:uid="{00000000-0005-0000-0000-0000F2480000}"/>
    <cellStyle name="Comma 3 2 4" xfId="10207" xr:uid="{00000000-0005-0000-0000-0000F3480000}"/>
    <cellStyle name="Comma 3 2 4 2" xfId="10965" xr:uid="{00000000-0005-0000-0000-0000F4480000}"/>
    <cellStyle name="Comma 3 2 4 2 2" xfId="28062" xr:uid="{00000000-0005-0000-0000-0000F5480000}"/>
    <cellStyle name="Comma 3 2 4 2 2 2" xfId="45739" xr:uid="{00000000-0005-0000-0000-0000F6480000}"/>
    <cellStyle name="Comma 3 2 4 2 3" xfId="32275" xr:uid="{00000000-0005-0000-0000-0000F7480000}"/>
    <cellStyle name="Comma 3 2 4 2 4" xfId="36490" xr:uid="{00000000-0005-0000-0000-0000F8480000}"/>
    <cellStyle name="Comma 3 2 4 2 5" xfId="40694" xr:uid="{00000000-0005-0000-0000-0000F9480000}"/>
    <cellStyle name="Comma 3 2 4 3" xfId="27598" xr:uid="{00000000-0005-0000-0000-0000FA480000}"/>
    <cellStyle name="Comma 3 2 4 3 2" xfId="45276" xr:uid="{00000000-0005-0000-0000-0000FB480000}"/>
    <cellStyle name="Comma 3 2 4 4" xfId="31811" xr:uid="{00000000-0005-0000-0000-0000FC480000}"/>
    <cellStyle name="Comma 3 2 4 5" xfId="36026" xr:uid="{00000000-0005-0000-0000-0000FD480000}"/>
    <cellStyle name="Comma 3 2 4 6" xfId="40230" xr:uid="{00000000-0005-0000-0000-0000FE480000}"/>
    <cellStyle name="Comma 3 2 5" xfId="10214" xr:uid="{00000000-0005-0000-0000-0000FF480000}"/>
    <cellStyle name="Comma 3 2 5 2" xfId="10972" xr:uid="{00000000-0005-0000-0000-000000490000}"/>
    <cellStyle name="Comma 3 2 5 2 2" xfId="28069" xr:uid="{00000000-0005-0000-0000-000001490000}"/>
    <cellStyle name="Comma 3 2 5 2 2 2" xfId="45746" xr:uid="{00000000-0005-0000-0000-000002490000}"/>
    <cellStyle name="Comma 3 2 5 2 3" xfId="32282" xr:uid="{00000000-0005-0000-0000-000003490000}"/>
    <cellStyle name="Comma 3 2 5 2 4" xfId="36497" xr:uid="{00000000-0005-0000-0000-000004490000}"/>
    <cellStyle name="Comma 3 2 5 2 5" xfId="40701" xr:uid="{00000000-0005-0000-0000-000005490000}"/>
    <cellStyle name="Comma 3 2 5 3" xfId="27605" xr:uid="{00000000-0005-0000-0000-000006490000}"/>
    <cellStyle name="Comma 3 2 5 3 2" xfId="45283" xr:uid="{00000000-0005-0000-0000-000007490000}"/>
    <cellStyle name="Comma 3 2 5 4" xfId="31818" xr:uid="{00000000-0005-0000-0000-000008490000}"/>
    <cellStyle name="Comma 3 2 5 5" xfId="36033" xr:uid="{00000000-0005-0000-0000-000009490000}"/>
    <cellStyle name="Comma 3 2 5 6" xfId="40237" xr:uid="{00000000-0005-0000-0000-00000A490000}"/>
    <cellStyle name="Comma 3 2 6" xfId="9847" xr:uid="{00000000-0005-0000-0000-00000B490000}"/>
    <cellStyle name="Comma 3 2 6 2" xfId="11242" xr:uid="{00000000-0005-0000-0000-00000C490000}"/>
    <cellStyle name="Comma 3 2 6 2 2" xfId="28090" xr:uid="{00000000-0005-0000-0000-00000D490000}"/>
    <cellStyle name="Comma 3 2 6 2 2 2" xfId="45767" xr:uid="{00000000-0005-0000-0000-00000E490000}"/>
    <cellStyle name="Comma 3 2 6 2 3" xfId="32303" xr:uid="{00000000-0005-0000-0000-00000F490000}"/>
    <cellStyle name="Comma 3 2 6 2 4" xfId="36518" xr:uid="{00000000-0005-0000-0000-000010490000}"/>
    <cellStyle name="Comma 3 2 6 2 5" xfId="40722" xr:uid="{00000000-0005-0000-0000-000011490000}"/>
    <cellStyle name="Comma 3 2 6 3" xfId="27334" xr:uid="{00000000-0005-0000-0000-000012490000}"/>
    <cellStyle name="Comma 3 2 6 3 2" xfId="45212" xr:uid="{00000000-0005-0000-0000-000013490000}"/>
    <cellStyle name="Comma 3 2 6 4" xfId="31547" xr:uid="{00000000-0005-0000-0000-000014490000}"/>
    <cellStyle name="Comma 3 2 6 5" xfId="35762" xr:uid="{00000000-0005-0000-0000-000015490000}"/>
    <cellStyle name="Comma 3 2 6 6" xfId="39966" xr:uid="{00000000-0005-0000-0000-000016490000}"/>
    <cellStyle name="Comma 3 2 7" xfId="10607" xr:uid="{00000000-0005-0000-0000-000017490000}"/>
    <cellStyle name="Comma 3 2 7 2" xfId="27799" xr:uid="{00000000-0005-0000-0000-000018490000}"/>
    <cellStyle name="Comma 3 2 7 2 2" xfId="45478" xr:uid="{00000000-0005-0000-0000-000019490000}"/>
    <cellStyle name="Comma 3 2 7 3" xfId="32012" xr:uid="{00000000-0005-0000-0000-00001A490000}"/>
    <cellStyle name="Comma 3 2 7 4" xfId="36227" xr:uid="{00000000-0005-0000-0000-00001B490000}"/>
    <cellStyle name="Comma 3 2 7 5" xfId="40431" xr:uid="{00000000-0005-0000-0000-00001C490000}"/>
    <cellStyle name="Comma 3 2 8" xfId="15071" xr:uid="{00000000-0005-0000-0000-00001D490000}"/>
    <cellStyle name="Comma 3 2 8 2" xfId="28902" xr:uid="{00000000-0005-0000-0000-00001E490000}"/>
    <cellStyle name="Comma 3 2 8 3" xfId="33115" xr:uid="{00000000-0005-0000-0000-00001F490000}"/>
    <cellStyle name="Comma 3 2 8 4" xfId="37330" xr:uid="{00000000-0005-0000-0000-000020490000}"/>
    <cellStyle name="Comma 3 2 8 5" xfId="41575" xr:uid="{00000000-0005-0000-0000-000021490000}"/>
    <cellStyle name="Comma 3 2 9" xfId="23502" xr:uid="{00000000-0005-0000-0000-000022490000}"/>
    <cellStyle name="Comma 3 2 9 2" xfId="29001" xr:uid="{00000000-0005-0000-0000-000023490000}"/>
    <cellStyle name="Comma 3 2 9 3" xfId="33218" xr:uid="{00000000-0005-0000-0000-000024490000}"/>
    <cellStyle name="Comma 3 2 9 4" xfId="37429" xr:uid="{00000000-0005-0000-0000-000025490000}"/>
    <cellStyle name="Comma 3 2 9 5" xfId="41839" xr:uid="{00000000-0005-0000-0000-000026490000}"/>
    <cellStyle name="Comma 3 20" xfId="12226" xr:uid="{00000000-0005-0000-0000-000027490000}"/>
    <cellStyle name="Comma 3 20 2" xfId="28795" xr:uid="{00000000-0005-0000-0000-000028490000}"/>
    <cellStyle name="Comma 3 20 3" xfId="33008" xr:uid="{00000000-0005-0000-0000-000029490000}"/>
    <cellStyle name="Comma 3 20 4" xfId="37223" xr:uid="{00000000-0005-0000-0000-00002A490000}"/>
    <cellStyle name="Comma 3 20 5" xfId="41573" xr:uid="{00000000-0005-0000-0000-00002B490000}"/>
    <cellStyle name="Comma 3 21" xfId="23437" xr:uid="{00000000-0005-0000-0000-00002C490000}"/>
    <cellStyle name="Comma 3 21 2" xfId="28937" xr:uid="{00000000-0005-0000-0000-00002D490000}"/>
    <cellStyle name="Comma 3 21 3" xfId="33154" xr:uid="{00000000-0005-0000-0000-00002E490000}"/>
    <cellStyle name="Comma 3 21 4" xfId="37365" xr:uid="{00000000-0005-0000-0000-00002F490000}"/>
    <cellStyle name="Comma 3 21 5" xfId="41838" xr:uid="{00000000-0005-0000-0000-000030490000}"/>
    <cellStyle name="Comma 3 22" xfId="24831" xr:uid="{00000000-0005-0000-0000-000031490000}"/>
    <cellStyle name="Comma 3 23" xfId="29042" xr:uid="{00000000-0005-0000-0000-000032490000}"/>
    <cellStyle name="Comma 3 24" xfId="33259" xr:uid="{00000000-0005-0000-0000-000033490000}"/>
    <cellStyle name="Comma 3 25" xfId="37463" xr:uid="{00000000-0005-0000-0000-000034490000}"/>
    <cellStyle name="Comma 3 3" xfId="7315" xr:uid="{00000000-0005-0000-0000-000035490000}"/>
    <cellStyle name="Comma 3 3 10" xfId="38580" xr:uid="{00000000-0005-0000-0000-000036490000}"/>
    <cellStyle name="Comma 3 3 2" xfId="8046" xr:uid="{00000000-0005-0000-0000-000037490000}"/>
    <cellStyle name="Comma 3 3 2 2" xfId="9995" xr:uid="{00000000-0005-0000-0000-000038490000}"/>
    <cellStyle name="Comma 3 3 2 2 2" xfId="12018" xr:uid="{00000000-0005-0000-0000-000039490000}"/>
    <cellStyle name="Comma 3 3 2 2 2 2" xfId="28675" xr:uid="{00000000-0005-0000-0000-00003A490000}"/>
    <cellStyle name="Comma 3 3 2 2 2 2 2" xfId="46344" xr:uid="{00000000-0005-0000-0000-00003B490000}"/>
    <cellStyle name="Comma 3 3 2 2 2 3" xfId="32888" xr:uid="{00000000-0005-0000-0000-00003C490000}"/>
    <cellStyle name="Comma 3 3 2 2 2 4" xfId="37103" xr:uid="{00000000-0005-0000-0000-00003D490000}"/>
    <cellStyle name="Comma 3 3 2 2 2 5" xfId="41307" xr:uid="{00000000-0005-0000-0000-00003E490000}"/>
    <cellStyle name="Comma 3 3 2 2 3" xfId="27475" xr:uid="{00000000-0005-0000-0000-00003F490000}"/>
    <cellStyle name="Comma 3 3 2 2 3 2" xfId="45225" xr:uid="{00000000-0005-0000-0000-000040490000}"/>
    <cellStyle name="Comma 3 3 2 2 4" xfId="31688" xr:uid="{00000000-0005-0000-0000-000041490000}"/>
    <cellStyle name="Comma 3 3 2 2 5" xfId="35903" xr:uid="{00000000-0005-0000-0000-000042490000}"/>
    <cellStyle name="Comma 3 3 2 2 6" xfId="40107" xr:uid="{00000000-0005-0000-0000-000043490000}"/>
    <cellStyle name="Comma 3 3 2 3" xfId="10779" xr:uid="{00000000-0005-0000-0000-000044490000}"/>
    <cellStyle name="Comma 3 3 2 3 2" xfId="27940" xr:uid="{00000000-0005-0000-0000-000045490000}"/>
    <cellStyle name="Comma 3 3 2 3 2 2" xfId="45619" xr:uid="{00000000-0005-0000-0000-000046490000}"/>
    <cellStyle name="Comma 3 3 2 3 3" xfId="32153" xr:uid="{00000000-0005-0000-0000-000047490000}"/>
    <cellStyle name="Comma 3 3 2 3 4" xfId="36368" xr:uid="{00000000-0005-0000-0000-000048490000}"/>
    <cellStyle name="Comma 3 3 2 3 5" xfId="40572" xr:uid="{00000000-0005-0000-0000-000049490000}"/>
    <cellStyle name="Comma 3 3 2 4" xfId="26329" xr:uid="{00000000-0005-0000-0000-00004A490000}"/>
    <cellStyle name="Comma 3 3 2 4 2" xfId="43084" xr:uid="{00000000-0005-0000-0000-00004B490000}"/>
    <cellStyle name="Comma 3 3 2 5" xfId="30542" xr:uid="{00000000-0005-0000-0000-00004C490000}"/>
    <cellStyle name="Comma 3 3 2 6" xfId="34757" xr:uid="{00000000-0005-0000-0000-00004D490000}"/>
    <cellStyle name="Comma 3 3 2 7" xfId="38961" xr:uid="{00000000-0005-0000-0000-00004E490000}"/>
    <cellStyle name="Comma 3 3 3" xfId="9850" xr:uid="{00000000-0005-0000-0000-00004F490000}"/>
    <cellStyle name="Comma 3 3 3 2" xfId="11854" xr:uid="{00000000-0005-0000-0000-000050490000}"/>
    <cellStyle name="Comma 3 3 3 2 2" xfId="28537" xr:uid="{00000000-0005-0000-0000-000051490000}"/>
    <cellStyle name="Comma 3 3 3 2 2 2" xfId="46203" xr:uid="{00000000-0005-0000-0000-000052490000}"/>
    <cellStyle name="Comma 3 3 3 2 3" xfId="32750" xr:uid="{00000000-0005-0000-0000-000053490000}"/>
    <cellStyle name="Comma 3 3 3 2 4" xfId="36965" xr:uid="{00000000-0005-0000-0000-000054490000}"/>
    <cellStyle name="Comma 3 3 3 2 5" xfId="41169" xr:uid="{00000000-0005-0000-0000-000055490000}"/>
    <cellStyle name="Comma 3 3 3 3" xfId="27337" xr:uid="{00000000-0005-0000-0000-000056490000}"/>
    <cellStyle name="Comma 3 3 3 3 2" xfId="45215" xr:uid="{00000000-0005-0000-0000-000057490000}"/>
    <cellStyle name="Comma 3 3 3 4" xfId="31550" xr:uid="{00000000-0005-0000-0000-000058490000}"/>
    <cellStyle name="Comma 3 3 3 5" xfId="35765" xr:uid="{00000000-0005-0000-0000-000059490000}"/>
    <cellStyle name="Comma 3 3 3 6" xfId="39969" xr:uid="{00000000-0005-0000-0000-00005A490000}"/>
    <cellStyle name="Comma 3 3 4" xfId="10620" xr:uid="{00000000-0005-0000-0000-00005B490000}"/>
    <cellStyle name="Comma 3 3 4 2" xfId="27802" xr:uid="{00000000-0005-0000-0000-00005C490000}"/>
    <cellStyle name="Comma 3 3 4 2 2" xfId="45481" xr:uid="{00000000-0005-0000-0000-00005D490000}"/>
    <cellStyle name="Comma 3 3 4 3" xfId="32015" xr:uid="{00000000-0005-0000-0000-00005E490000}"/>
    <cellStyle name="Comma 3 3 4 4" xfId="36230" xr:uid="{00000000-0005-0000-0000-00005F490000}"/>
    <cellStyle name="Comma 3 3 4 5" xfId="40434" xr:uid="{00000000-0005-0000-0000-000060490000}"/>
    <cellStyle name="Comma 3 3 5" xfId="17067" xr:uid="{00000000-0005-0000-0000-000061490000}"/>
    <cellStyle name="Comma 3 3 5 2" xfId="28918" xr:uid="{00000000-0005-0000-0000-000062490000}"/>
    <cellStyle name="Comma 3 3 5 3" xfId="33133" xr:uid="{00000000-0005-0000-0000-000063490000}"/>
    <cellStyle name="Comma 3 3 5 4" xfId="37346" xr:uid="{00000000-0005-0000-0000-000064490000}"/>
    <cellStyle name="Comma 3 3 5 5" xfId="41576" xr:uid="{00000000-0005-0000-0000-000065490000}"/>
    <cellStyle name="Comma 3 3 6" xfId="24156" xr:uid="{00000000-0005-0000-0000-000066490000}"/>
    <cellStyle name="Comma 3 3 6 2" xfId="29012" xr:uid="{00000000-0005-0000-0000-000067490000}"/>
    <cellStyle name="Comma 3 3 6 3" xfId="33229" xr:uid="{00000000-0005-0000-0000-000068490000}"/>
    <cellStyle name="Comma 3 3 6 4" xfId="37440" xr:uid="{00000000-0005-0000-0000-000069490000}"/>
    <cellStyle name="Comma 3 3 6 5" xfId="41840" xr:uid="{00000000-0005-0000-0000-00006A490000}"/>
    <cellStyle name="Comma 3 3 7" xfId="25948" xr:uid="{00000000-0005-0000-0000-00006B490000}"/>
    <cellStyle name="Comma 3 3 7 2" xfId="44937" xr:uid="{00000000-0005-0000-0000-00006C490000}"/>
    <cellStyle name="Comma 3 3 8" xfId="30161" xr:uid="{00000000-0005-0000-0000-00006D490000}"/>
    <cellStyle name="Comma 3 3 9" xfId="34376" xr:uid="{00000000-0005-0000-0000-00006E490000}"/>
    <cellStyle name="Comma 3 4" xfId="7433" xr:uid="{00000000-0005-0000-0000-00006F490000}"/>
    <cellStyle name="Comma 3 4 2" xfId="8047" xr:uid="{00000000-0005-0000-0000-000070490000}"/>
    <cellStyle name="Comma 3 4 2 2" xfId="9996" xr:uid="{00000000-0005-0000-0000-000071490000}"/>
    <cellStyle name="Comma 3 4 2 2 2" xfId="12019" xr:uid="{00000000-0005-0000-0000-000072490000}"/>
    <cellStyle name="Comma 3 4 2 2 2 2" xfId="28676" xr:uid="{00000000-0005-0000-0000-000073490000}"/>
    <cellStyle name="Comma 3 4 2 2 2 2 2" xfId="46345" xr:uid="{00000000-0005-0000-0000-000074490000}"/>
    <cellStyle name="Comma 3 4 2 2 2 3" xfId="32889" xr:uid="{00000000-0005-0000-0000-000075490000}"/>
    <cellStyle name="Comma 3 4 2 2 2 4" xfId="37104" xr:uid="{00000000-0005-0000-0000-000076490000}"/>
    <cellStyle name="Comma 3 4 2 2 2 5" xfId="41308" xr:uid="{00000000-0005-0000-0000-000077490000}"/>
    <cellStyle name="Comma 3 4 2 2 3" xfId="27476" xr:uid="{00000000-0005-0000-0000-000078490000}"/>
    <cellStyle name="Comma 3 4 2 2 3 2" xfId="45226" xr:uid="{00000000-0005-0000-0000-000079490000}"/>
    <cellStyle name="Comma 3 4 2 2 4" xfId="31689" xr:uid="{00000000-0005-0000-0000-00007A490000}"/>
    <cellStyle name="Comma 3 4 2 2 5" xfId="35904" xr:uid="{00000000-0005-0000-0000-00007B490000}"/>
    <cellStyle name="Comma 3 4 2 2 6" xfId="40108" xr:uid="{00000000-0005-0000-0000-00007C490000}"/>
    <cellStyle name="Comma 3 4 2 3" xfId="10780" xr:uid="{00000000-0005-0000-0000-00007D490000}"/>
    <cellStyle name="Comma 3 4 2 3 2" xfId="27941" xr:uid="{00000000-0005-0000-0000-00007E490000}"/>
    <cellStyle name="Comma 3 4 2 3 2 2" xfId="45620" xr:uid="{00000000-0005-0000-0000-00007F490000}"/>
    <cellStyle name="Comma 3 4 2 3 3" xfId="32154" xr:uid="{00000000-0005-0000-0000-000080490000}"/>
    <cellStyle name="Comma 3 4 2 3 4" xfId="36369" xr:uid="{00000000-0005-0000-0000-000081490000}"/>
    <cellStyle name="Comma 3 4 2 3 5" xfId="40573" xr:uid="{00000000-0005-0000-0000-000082490000}"/>
    <cellStyle name="Comma 3 4 2 4" xfId="26330" xr:uid="{00000000-0005-0000-0000-000083490000}"/>
    <cellStyle name="Comma 3 4 2 4 2" xfId="43085" xr:uid="{00000000-0005-0000-0000-000084490000}"/>
    <cellStyle name="Comma 3 4 2 5" xfId="30543" xr:uid="{00000000-0005-0000-0000-000085490000}"/>
    <cellStyle name="Comma 3 4 2 6" xfId="34758" xr:uid="{00000000-0005-0000-0000-000086490000}"/>
    <cellStyle name="Comma 3 4 2 7" xfId="38962" xr:uid="{00000000-0005-0000-0000-000087490000}"/>
    <cellStyle name="Comma 3 4 3" xfId="9853" xr:uid="{00000000-0005-0000-0000-000088490000}"/>
    <cellStyle name="Comma 3 4 3 2" xfId="11864" xr:uid="{00000000-0005-0000-0000-000089490000}"/>
    <cellStyle name="Comma 3 4 3 2 2" xfId="28540" xr:uid="{00000000-0005-0000-0000-00008A490000}"/>
    <cellStyle name="Comma 3 4 3 2 2 2" xfId="46206" xr:uid="{00000000-0005-0000-0000-00008B490000}"/>
    <cellStyle name="Comma 3 4 3 2 3" xfId="32753" xr:uid="{00000000-0005-0000-0000-00008C490000}"/>
    <cellStyle name="Comma 3 4 3 2 4" xfId="36968" xr:uid="{00000000-0005-0000-0000-00008D490000}"/>
    <cellStyle name="Comma 3 4 3 2 5" xfId="41172" xr:uid="{00000000-0005-0000-0000-00008E490000}"/>
    <cellStyle name="Comma 3 4 3 3" xfId="27340" xr:uid="{00000000-0005-0000-0000-00008F490000}"/>
    <cellStyle name="Comma 3 4 3 3 2" xfId="45218" xr:uid="{00000000-0005-0000-0000-000090490000}"/>
    <cellStyle name="Comma 3 4 3 4" xfId="31553" xr:uid="{00000000-0005-0000-0000-000091490000}"/>
    <cellStyle name="Comma 3 4 3 5" xfId="35768" xr:uid="{00000000-0005-0000-0000-000092490000}"/>
    <cellStyle name="Comma 3 4 3 6" xfId="39972" xr:uid="{00000000-0005-0000-0000-000093490000}"/>
    <cellStyle name="Comma 3 4 4" xfId="10633" xr:uid="{00000000-0005-0000-0000-000094490000}"/>
    <cellStyle name="Comma 3 4 4 2" xfId="27805" xr:uid="{00000000-0005-0000-0000-000095490000}"/>
    <cellStyle name="Comma 3 4 4 2 2" xfId="45484" xr:uid="{00000000-0005-0000-0000-000096490000}"/>
    <cellStyle name="Comma 3 4 4 3" xfId="32018" xr:uid="{00000000-0005-0000-0000-000097490000}"/>
    <cellStyle name="Comma 3 4 4 4" xfId="36233" xr:uid="{00000000-0005-0000-0000-000098490000}"/>
    <cellStyle name="Comma 3 4 4 5" xfId="40437" xr:uid="{00000000-0005-0000-0000-000099490000}"/>
    <cellStyle name="Comma 3 4 5" xfId="13327" xr:uid="{00000000-0005-0000-0000-00009A490000}"/>
    <cellStyle name="Comma 3 4 5 2" xfId="28887" xr:uid="{00000000-0005-0000-0000-00009B490000}"/>
    <cellStyle name="Comma 3 4 5 3" xfId="33100" xr:uid="{00000000-0005-0000-0000-00009C490000}"/>
    <cellStyle name="Comma 3 4 5 4" xfId="37315" xr:uid="{00000000-0005-0000-0000-00009D490000}"/>
    <cellStyle name="Comma 3 4 5 5" xfId="41577" xr:uid="{00000000-0005-0000-0000-00009E490000}"/>
    <cellStyle name="Comma 3 4 6" xfId="26066" xr:uid="{00000000-0005-0000-0000-00009F490000}"/>
    <cellStyle name="Comma 3 4 6 2" xfId="41841" xr:uid="{00000000-0005-0000-0000-0000A0490000}"/>
    <cellStyle name="Comma 3 4 7" xfId="30279" xr:uid="{00000000-0005-0000-0000-0000A1490000}"/>
    <cellStyle name="Comma 3 4 7 2" xfId="44939" xr:uid="{00000000-0005-0000-0000-0000A2490000}"/>
    <cellStyle name="Comma 3 4 8" xfId="34494" xr:uid="{00000000-0005-0000-0000-0000A3490000}"/>
    <cellStyle name="Comma 3 4 9" xfId="38698" xr:uid="{00000000-0005-0000-0000-0000A4490000}"/>
    <cellStyle name="Comma 3 5" xfId="7551" xr:uid="{00000000-0005-0000-0000-0000A5490000}"/>
    <cellStyle name="Comma 3 5 2" xfId="8048" xr:uid="{00000000-0005-0000-0000-0000A6490000}"/>
    <cellStyle name="Comma 3 5 2 2" xfId="9997" xr:uid="{00000000-0005-0000-0000-0000A7490000}"/>
    <cellStyle name="Comma 3 5 2 2 2" xfId="12020" xr:uid="{00000000-0005-0000-0000-0000A8490000}"/>
    <cellStyle name="Comma 3 5 2 2 2 2" xfId="28677" xr:uid="{00000000-0005-0000-0000-0000A9490000}"/>
    <cellStyle name="Comma 3 5 2 2 2 2 2" xfId="46346" xr:uid="{00000000-0005-0000-0000-0000AA490000}"/>
    <cellStyle name="Comma 3 5 2 2 2 3" xfId="32890" xr:uid="{00000000-0005-0000-0000-0000AB490000}"/>
    <cellStyle name="Comma 3 5 2 2 2 4" xfId="37105" xr:uid="{00000000-0005-0000-0000-0000AC490000}"/>
    <cellStyle name="Comma 3 5 2 2 2 5" xfId="41309" xr:uid="{00000000-0005-0000-0000-0000AD490000}"/>
    <cellStyle name="Comma 3 5 2 2 3" xfId="27477" xr:uid="{00000000-0005-0000-0000-0000AE490000}"/>
    <cellStyle name="Comma 3 5 2 2 3 2" xfId="45227" xr:uid="{00000000-0005-0000-0000-0000AF490000}"/>
    <cellStyle name="Comma 3 5 2 2 4" xfId="31690" xr:uid="{00000000-0005-0000-0000-0000B0490000}"/>
    <cellStyle name="Comma 3 5 2 2 5" xfId="35905" xr:uid="{00000000-0005-0000-0000-0000B1490000}"/>
    <cellStyle name="Comma 3 5 2 2 6" xfId="40109" xr:uid="{00000000-0005-0000-0000-0000B2490000}"/>
    <cellStyle name="Comma 3 5 2 3" xfId="10781" xr:uid="{00000000-0005-0000-0000-0000B3490000}"/>
    <cellStyle name="Comma 3 5 2 3 2" xfId="27942" xr:uid="{00000000-0005-0000-0000-0000B4490000}"/>
    <cellStyle name="Comma 3 5 2 3 2 2" xfId="45621" xr:uid="{00000000-0005-0000-0000-0000B5490000}"/>
    <cellStyle name="Comma 3 5 2 3 3" xfId="32155" xr:uid="{00000000-0005-0000-0000-0000B6490000}"/>
    <cellStyle name="Comma 3 5 2 3 4" xfId="36370" xr:uid="{00000000-0005-0000-0000-0000B7490000}"/>
    <cellStyle name="Comma 3 5 2 3 5" xfId="40574" xr:uid="{00000000-0005-0000-0000-0000B8490000}"/>
    <cellStyle name="Comma 3 5 2 4" xfId="26331" xr:uid="{00000000-0005-0000-0000-0000B9490000}"/>
    <cellStyle name="Comma 3 5 2 4 2" xfId="43086" xr:uid="{00000000-0005-0000-0000-0000BA490000}"/>
    <cellStyle name="Comma 3 5 2 5" xfId="30544" xr:uid="{00000000-0005-0000-0000-0000BB490000}"/>
    <cellStyle name="Comma 3 5 2 6" xfId="34759" xr:uid="{00000000-0005-0000-0000-0000BC490000}"/>
    <cellStyle name="Comma 3 5 2 7" xfId="38963" xr:uid="{00000000-0005-0000-0000-0000BD490000}"/>
    <cellStyle name="Comma 3 5 3" xfId="9856" xr:uid="{00000000-0005-0000-0000-0000BE490000}"/>
    <cellStyle name="Comma 3 5 3 2" xfId="11873" xr:uid="{00000000-0005-0000-0000-0000BF490000}"/>
    <cellStyle name="Comma 3 5 3 2 2" xfId="28543" xr:uid="{00000000-0005-0000-0000-0000C0490000}"/>
    <cellStyle name="Comma 3 5 3 2 2 2" xfId="46209" xr:uid="{00000000-0005-0000-0000-0000C1490000}"/>
    <cellStyle name="Comma 3 5 3 2 3" xfId="32756" xr:uid="{00000000-0005-0000-0000-0000C2490000}"/>
    <cellStyle name="Comma 3 5 3 2 4" xfId="36971" xr:uid="{00000000-0005-0000-0000-0000C3490000}"/>
    <cellStyle name="Comma 3 5 3 2 5" xfId="41175" xr:uid="{00000000-0005-0000-0000-0000C4490000}"/>
    <cellStyle name="Comma 3 5 3 3" xfId="27343" xr:uid="{00000000-0005-0000-0000-0000C5490000}"/>
    <cellStyle name="Comma 3 5 3 3 2" xfId="45221" xr:uid="{00000000-0005-0000-0000-0000C6490000}"/>
    <cellStyle name="Comma 3 5 3 4" xfId="31556" xr:uid="{00000000-0005-0000-0000-0000C7490000}"/>
    <cellStyle name="Comma 3 5 3 5" xfId="35771" xr:uid="{00000000-0005-0000-0000-0000C8490000}"/>
    <cellStyle name="Comma 3 5 3 6" xfId="39975" xr:uid="{00000000-0005-0000-0000-0000C9490000}"/>
    <cellStyle name="Comma 3 5 4" xfId="10647" xr:uid="{00000000-0005-0000-0000-0000CA490000}"/>
    <cellStyle name="Comma 3 5 4 2" xfId="27808" xr:uid="{00000000-0005-0000-0000-0000CB490000}"/>
    <cellStyle name="Comma 3 5 4 2 2" xfId="45487" xr:uid="{00000000-0005-0000-0000-0000CC490000}"/>
    <cellStyle name="Comma 3 5 4 3" xfId="32021" xr:uid="{00000000-0005-0000-0000-0000CD490000}"/>
    <cellStyle name="Comma 3 5 4 4" xfId="36236" xr:uid="{00000000-0005-0000-0000-0000CE490000}"/>
    <cellStyle name="Comma 3 5 4 5" xfId="40440" xr:uid="{00000000-0005-0000-0000-0000CF490000}"/>
    <cellStyle name="Comma 3 5 5" xfId="12324" xr:uid="{00000000-0005-0000-0000-0000D0490000}"/>
    <cellStyle name="Comma 3 5 5 2" xfId="28869" xr:uid="{00000000-0005-0000-0000-0000D1490000}"/>
    <cellStyle name="Comma 3 5 5 3" xfId="33082" xr:uid="{00000000-0005-0000-0000-0000D2490000}"/>
    <cellStyle name="Comma 3 5 5 4" xfId="37297" xr:uid="{00000000-0005-0000-0000-0000D3490000}"/>
    <cellStyle name="Comma 3 5 5 5" xfId="41578" xr:uid="{00000000-0005-0000-0000-0000D4490000}"/>
    <cellStyle name="Comma 3 5 6" xfId="26184" xr:uid="{00000000-0005-0000-0000-0000D5490000}"/>
    <cellStyle name="Comma 3 5 6 2" xfId="41842" xr:uid="{00000000-0005-0000-0000-0000D6490000}"/>
    <cellStyle name="Comma 3 5 7" xfId="30397" xr:uid="{00000000-0005-0000-0000-0000D7490000}"/>
    <cellStyle name="Comma 3 5 7 2" xfId="44941" xr:uid="{00000000-0005-0000-0000-0000D8490000}"/>
    <cellStyle name="Comma 3 5 8" xfId="34612" xr:uid="{00000000-0005-0000-0000-0000D9490000}"/>
    <cellStyle name="Comma 3 5 9" xfId="38816" xr:uid="{00000000-0005-0000-0000-0000DA490000}"/>
    <cellStyle name="Comma 3 6" xfId="8049" xr:uid="{00000000-0005-0000-0000-0000DB490000}"/>
    <cellStyle name="Comma 3 6 2" xfId="9998" xr:uid="{00000000-0005-0000-0000-0000DC490000}"/>
    <cellStyle name="Comma 3 6 2 2" xfId="12021" xr:uid="{00000000-0005-0000-0000-0000DD490000}"/>
    <cellStyle name="Comma 3 6 2 2 2" xfId="28678" xr:uid="{00000000-0005-0000-0000-0000DE490000}"/>
    <cellStyle name="Comma 3 6 2 2 2 2" xfId="46347" xr:uid="{00000000-0005-0000-0000-0000DF490000}"/>
    <cellStyle name="Comma 3 6 2 2 3" xfId="32891" xr:uid="{00000000-0005-0000-0000-0000E0490000}"/>
    <cellStyle name="Comma 3 6 2 2 4" xfId="37106" xr:uid="{00000000-0005-0000-0000-0000E1490000}"/>
    <cellStyle name="Comma 3 6 2 2 5" xfId="41310" xr:uid="{00000000-0005-0000-0000-0000E2490000}"/>
    <cellStyle name="Comma 3 6 2 3" xfId="27478" xr:uid="{00000000-0005-0000-0000-0000E3490000}"/>
    <cellStyle name="Comma 3 6 2 3 2" xfId="43087" xr:uid="{00000000-0005-0000-0000-0000E4490000}"/>
    <cellStyle name="Comma 3 6 2 4" xfId="31691" xr:uid="{00000000-0005-0000-0000-0000E5490000}"/>
    <cellStyle name="Comma 3 6 2 5" xfId="35906" xr:uid="{00000000-0005-0000-0000-0000E6490000}"/>
    <cellStyle name="Comma 3 6 2 6" xfId="40110" xr:uid="{00000000-0005-0000-0000-0000E7490000}"/>
    <cellStyle name="Comma 3 6 3" xfId="10782" xr:uid="{00000000-0005-0000-0000-0000E8490000}"/>
    <cellStyle name="Comma 3 6 3 2" xfId="27943" xr:uid="{00000000-0005-0000-0000-0000E9490000}"/>
    <cellStyle name="Comma 3 6 3 2 2" xfId="45622" xr:uid="{00000000-0005-0000-0000-0000EA490000}"/>
    <cellStyle name="Comma 3 6 3 3" xfId="32156" xr:uid="{00000000-0005-0000-0000-0000EB490000}"/>
    <cellStyle name="Comma 3 6 3 4" xfId="36371" xr:uid="{00000000-0005-0000-0000-0000EC490000}"/>
    <cellStyle name="Comma 3 6 3 5" xfId="40575" xr:uid="{00000000-0005-0000-0000-0000ED490000}"/>
    <cellStyle name="Comma 3 6 4" xfId="26332" xr:uid="{00000000-0005-0000-0000-0000EE490000}"/>
    <cellStyle name="Comma 3 6 4 2" xfId="41579" xr:uid="{00000000-0005-0000-0000-0000EF490000}"/>
    <cellStyle name="Comma 3 6 5" xfId="30545" xr:uid="{00000000-0005-0000-0000-0000F0490000}"/>
    <cellStyle name="Comma 3 6 5 2" xfId="41843" xr:uid="{00000000-0005-0000-0000-0000F1490000}"/>
    <cellStyle name="Comma 3 6 6" xfId="34760" xr:uid="{00000000-0005-0000-0000-0000F2490000}"/>
    <cellStyle name="Comma 3 6 7" xfId="38964" xr:uid="{00000000-0005-0000-0000-0000F3490000}"/>
    <cellStyle name="Comma 3 7" xfId="8050" xr:uid="{00000000-0005-0000-0000-0000F4490000}"/>
    <cellStyle name="Comma 3 7 2" xfId="9999" xr:uid="{00000000-0005-0000-0000-0000F5490000}"/>
    <cellStyle name="Comma 3 7 2 2" xfId="12022" xr:uid="{00000000-0005-0000-0000-0000F6490000}"/>
    <cellStyle name="Comma 3 7 2 2 2" xfId="28679" xr:uid="{00000000-0005-0000-0000-0000F7490000}"/>
    <cellStyle name="Comma 3 7 2 2 2 2" xfId="46348" xr:uid="{00000000-0005-0000-0000-0000F8490000}"/>
    <cellStyle name="Comma 3 7 2 2 3" xfId="32892" xr:uid="{00000000-0005-0000-0000-0000F9490000}"/>
    <cellStyle name="Comma 3 7 2 2 4" xfId="37107" xr:uid="{00000000-0005-0000-0000-0000FA490000}"/>
    <cellStyle name="Comma 3 7 2 2 5" xfId="41311" xr:uid="{00000000-0005-0000-0000-0000FB490000}"/>
    <cellStyle name="Comma 3 7 2 3" xfId="27479" xr:uid="{00000000-0005-0000-0000-0000FC490000}"/>
    <cellStyle name="Comma 3 7 2 3 2" xfId="43088" xr:uid="{00000000-0005-0000-0000-0000FD490000}"/>
    <cellStyle name="Comma 3 7 2 4" xfId="31692" xr:uid="{00000000-0005-0000-0000-0000FE490000}"/>
    <cellStyle name="Comma 3 7 2 5" xfId="35907" xr:uid="{00000000-0005-0000-0000-0000FF490000}"/>
    <cellStyle name="Comma 3 7 2 6" xfId="40111" xr:uid="{00000000-0005-0000-0000-0000004A0000}"/>
    <cellStyle name="Comma 3 7 3" xfId="10783" xr:uid="{00000000-0005-0000-0000-0000014A0000}"/>
    <cellStyle name="Comma 3 7 3 2" xfId="27944" xr:uid="{00000000-0005-0000-0000-0000024A0000}"/>
    <cellStyle name="Comma 3 7 3 2 2" xfId="45623" xr:uid="{00000000-0005-0000-0000-0000034A0000}"/>
    <cellStyle name="Comma 3 7 3 3" xfId="32157" xr:uid="{00000000-0005-0000-0000-0000044A0000}"/>
    <cellStyle name="Comma 3 7 3 4" xfId="36372" xr:uid="{00000000-0005-0000-0000-0000054A0000}"/>
    <cellStyle name="Comma 3 7 3 5" xfId="40576" xr:uid="{00000000-0005-0000-0000-0000064A0000}"/>
    <cellStyle name="Comma 3 7 4" xfId="26333" xr:uid="{00000000-0005-0000-0000-0000074A0000}"/>
    <cellStyle name="Comma 3 7 4 2" xfId="41580" xr:uid="{00000000-0005-0000-0000-0000084A0000}"/>
    <cellStyle name="Comma 3 7 5" xfId="30546" xr:uid="{00000000-0005-0000-0000-0000094A0000}"/>
    <cellStyle name="Comma 3 7 5 2" xfId="41844" xr:uid="{00000000-0005-0000-0000-00000A4A0000}"/>
    <cellStyle name="Comma 3 7 6" xfId="34761" xr:uid="{00000000-0005-0000-0000-00000B4A0000}"/>
    <cellStyle name="Comma 3 7 7" xfId="38965" xr:uid="{00000000-0005-0000-0000-00000C4A0000}"/>
    <cellStyle name="Comma 3 8" xfId="8051" xr:uid="{00000000-0005-0000-0000-00000D4A0000}"/>
    <cellStyle name="Comma 3 8 2" xfId="10000" xr:uid="{00000000-0005-0000-0000-00000E4A0000}"/>
    <cellStyle name="Comma 3 8 2 2" xfId="12023" xr:uid="{00000000-0005-0000-0000-00000F4A0000}"/>
    <cellStyle name="Comma 3 8 2 2 2" xfId="28680" xr:uid="{00000000-0005-0000-0000-0000104A0000}"/>
    <cellStyle name="Comma 3 8 2 2 2 2" xfId="46349" xr:uid="{00000000-0005-0000-0000-0000114A0000}"/>
    <cellStyle name="Comma 3 8 2 2 3" xfId="32893" xr:uid="{00000000-0005-0000-0000-0000124A0000}"/>
    <cellStyle name="Comma 3 8 2 2 4" xfId="37108" xr:uid="{00000000-0005-0000-0000-0000134A0000}"/>
    <cellStyle name="Comma 3 8 2 2 5" xfId="41312" xr:uid="{00000000-0005-0000-0000-0000144A0000}"/>
    <cellStyle name="Comma 3 8 2 3" xfId="27480" xr:uid="{00000000-0005-0000-0000-0000154A0000}"/>
    <cellStyle name="Comma 3 8 2 3 2" xfId="43089" xr:uid="{00000000-0005-0000-0000-0000164A0000}"/>
    <cellStyle name="Comma 3 8 2 4" xfId="31693" xr:uid="{00000000-0005-0000-0000-0000174A0000}"/>
    <cellStyle name="Comma 3 8 2 5" xfId="35908" xr:uid="{00000000-0005-0000-0000-0000184A0000}"/>
    <cellStyle name="Comma 3 8 2 6" xfId="40112" xr:uid="{00000000-0005-0000-0000-0000194A0000}"/>
    <cellStyle name="Comma 3 8 3" xfId="10784" xr:uid="{00000000-0005-0000-0000-00001A4A0000}"/>
    <cellStyle name="Comma 3 8 3 2" xfId="27945" xr:uid="{00000000-0005-0000-0000-00001B4A0000}"/>
    <cellStyle name="Comma 3 8 3 2 2" xfId="45624" xr:uid="{00000000-0005-0000-0000-00001C4A0000}"/>
    <cellStyle name="Comma 3 8 3 3" xfId="32158" xr:uid="{00000000-0005-0000-0000-00001D4A0000}"/>
    <cellStyle name="Comma 3 8 3 4" xfId="36373" xr:uid="{00000000-0005-0000-0000-00001E4A0000}"/>
    <cellStyle name="Comma 3 8 3 5" xfId="40577" xr:uid="{00000000-0005-0000-0000-00001F4A0000}"/>
    <cellStyle name="Comma 3 8 4" xfId="26334" xr:uid="{00000000-0005-0000-0000-0000204A0000}"/>
    <cellStyle name="Comma 3 8 4 2" xfId="41581" xr:uid="{00000000-0005-0000-0000-0000214A0000}"/>
    <cellStyle name="Comma 3 8 5" xfId="30547" xr:uid="{00000000-0005-0000-0000-0000224A0000}"/>
    <cellStyle name="Comma 3 8 5 2" xfId="41845" xr:uid="{00000000-0005-0000-0000-0000234A0000}"/>
    <cellStyle name="Comma 3 8 6" xfId="34762" xr:uid="{00000000-0005-0000-0000-0000244A0000}"/>
    <cellStyle name="Comma 3 8 7" xfId="38966" xr:uid="{00000000-0005-0000-0000-0000254A0000}"/>
    <cellStyle name="Comma 3 9" xfId="8044" xr:uid="{00000000-0005-0000-0000-0000264A0000}"/>
    <cellStyle name="Comma 3 9 2" xfId="9993" xr:uid="{00000000-0005-0000-0000-0000274A0000}"/>
    <cellStyle name="Comma 3 9 2 2" xfId="12016" xr:uid="{00000000-0005-0000-0000-0000284A0000}"/>
    <cellStyle name="Comma 3 9 2 2 2" xfId="28673" xr:uid="{00000000-0005-0000-0000-0000294A0000}"/>
    <cellStyle name="Comma 3 9 2 2 2 2" xfId="46342" xr:uid="{00000000-0005-0000-0000-00002A4A0000}"/>
    <cellStyle name="Comma 3 9 2 2 3" xfId="32886" xr:uid="{00000000-0005-0000-0000-00002B4A0000}"/>
    <cellStyle name="Comma 3 9 2 2 4" xfId="37101" xr:uid="{00000000-0005-0000-0000-00002C4A0000}"/>
    <cellStyle name="Comma 3 9 2 2 5" xfId="41305" xr:uid="{00000000-0005-0000-0000-00002D4A0000}"/>
    <cellStyle name="Comma 3 9 2 3" xfId="27473" xr:uid="{00000000-0005-0000-0000-00002E4A0000}"/>
    <cellStyle name="Comma 3 9 2 3 2" xfId="45223" xr:uid="{00000000-0005-0000-0000-00002F4A0000}"/>
    <cellStyle name="Comma 3 9 2 4" xfId="31686" xr:uid="{00000000-0005-0000-0000-0000304A0000}"/>
    <cellStyle name="Comma 3 9 2 5" xfId="35901" xr:uid="{00000000-0005-0000-0000-0000314A0000}"/>
    <cellStyle name="Comma 3 9 2 6" xfId="40105" xr:uid="{00000000-0005-0000-0000-0000324A0000}"/>
    <cellStyle name="Comma 3 9 3" xfId="10777" xr:uid="{00000000-0005-0000-0000-0000334A0000}"/>
    <cellStyle name="Comma 3 9 3 2" xfId="27938" xr:uid="{00000000-0005-0000-0000-0000344A0000}"/>
    <cellStyle name="Comma 3 9 3 2 2" xfId="45617" xr:uid="{00000000-0005-0000-0000-0000354A0000}"/>
    <cellStyle name="Comma 3 9 3 3" xfId="32151" xr:uid="{00000000-0005-0000-0000-0000364A0000}"/>
    <cellStyle name="Comma 3 9 3 4" xfId="36366" xr:uid="{00000000-0005-0000-0000-0000374A0000}"/>
    <cellStyle name="Comma 3 9 3 5" xfId="40570" xr:uid="{00000000-0005-0000-0000-0000384A0000}"/>
    <cellStyle name="Comma 3 9 4" xfId="26327" xr:uid="{00000000-0005-0000-0000-0000394A0000}"/>
    <cellStyle name="Comma 3 9 4 2" xfId="41582" xr:uid="{00000000-0005-0000-0000-00003A4A0000}"/>
    <cellStyle name="Comma 3 9 5" xfId="30540" xr:uid="{00000000-0005-0000-0000-00003B4A0000}"/>
    <cellStyle name="Comma 3 9 5 2" xfId="43090" xr:uid="{00000000-0005-0000-0000-00003C4A0000}"/>
    <cellStyle name="Comma 3 9 6" xfId="34755" xr:uid="{00000000-0005-0000-0000-00003D4A0000}"/>
    <cellStyle name="Comma 3 9 7" xfId="38959" xr:uid="{00000000-0005-0000-0000-00003E4A0000}"/>
    <cellStyle name="Comma 30" xfId="10201" xr:uid="{00000000-0005-0000-0000-00003F4A0000}"/>
    <cellStyle name="Comma 30 2" xfId="10959" xr:uid="{00000000-0005-0000-0000-0000404A0000}"/>
    <cellStyle name="Comma 30 2 2" xfId="28056" xr:uid="{00000000-0005-0000-0000-0000414A0000}"/>
    <cellStyle name="Comma 30 2 2 2" xfId="45733" xr:uid="{00000000-0005-0000-0000-0000424A0000}"/>
    <cellStyle name="Comma 30 2 3" xfId="32269" xr:uid="{00000000-0005-0000-0000-0000434A0000}"/>
    <cellStyle name="Comma 30 2 4" xfId="36484" xr:uid="{00000000-0005-0000-0000-0000444A0000}"/>
    <cellStyle name="Comma 30 2 5" xfId="40688" xr:uid="{00000000-0005-0000-0000-0000454A0000}"/>
    <cellStyle name="Comma 30 3" xfId="27592" xr:uid="{00000000-0005-0000-0000-0000464A0000}"/>
    <cellStyle name="Comma 30 3 2" xfId="45270" xr:uid="{00000000-0005-0000-0000-0000474A0000}"/>
    <cellStyle name="Comma 30 4" xfId="31805" xr:uid="{00000000-0005-0000-0000-0000484A0000}"/>
    <cellStyle name="Comma 30 5" xfId="36020" xr:uid="{00000000-0005-0000-0000-0000494A0000}"/>
    <cellStyle name="Comma 30 6" xfId="40224" xr:uid="{00000000-0005-0000-0000-00004A4A0000}"/>
    <cellStyle name="Comma 31" xfId="10208" xr:uid="{00000000-0005-0000-0000-00004B4A0000}"/>
    <cellStyle name="Comma 31 2" xfId="10966" xr:uid="{00000000-0005-0000-0000-00004C4A0000}"/>
    <cellStyle name="Comma 31 2 2" xfId="28063" xr:uid="{00000000-0005-0000-0000-00004D4A0000}"/>
    <cellStyle name="Comma 31 2 2 2" xfId="45740" xr:uid="{00000000-0005-0000-0000-00004E4A0000}"/>
    <cellStyle name="Comma 31 2 3" xfId="32276" xr:uid="{00000000-0005-0000-0000-00004F4A0000}"/>
    <cellStyle name="Comma 31 2 4" xfId="36491" xr:uid="{00000000-0005-0000-0000-0000504A0000}"/>
    <cellStyle name="Comma 31 2 5" xfId="40695" xr:uid="{00000000-0005-0000-0000-0000514A0000}"/>
    <cellStyle name="Comma 31 3" xfId="27599" xr:uid="{00000000-0005-0000-0000-0000524A0000}"/>
    <cellStyle name="Comma 31 3 2" xfId="45277" xr:uid="{00000000-0005-0000-0000-0000534A0000}"/>
    <cellStyle name="Comma 31 4" xfId="31812" xr:uid="{00000000-0005-0000-0000-0000544A0000}"/>
    <cellStyle name="Comma 31 5" xfId="36027" xr:uid="{00000000-0005-0000-0000-0000554A0000}"/>
    <cellStyle name="Comma 31 6" xfId="40231" xr:uid="{00000000-0005-0000-0000-0000564A0000}"/>
    <cellStyle name="Comma 32" xfId="23429" xr:uid="{00000000-0005-0000-0000-0000574A0000}"/>
    <cellStyle name="Comma 32 2" xfId="28929" xr:uid="{00000000-0005-0000-0000-0000584A0000}"/>
    <cellStyle name="Comma 32 3" xfId="33146" xr:uid="{00000000-0005-0000-0000-0000594A0000}"/>
    <cellStyle name="Comma 32 4" xfId="37357" xr:uid="{00000000-0005-0000-0000-00005A4A0000}"/>
    <cellStyle name="Comma 33" xfId="3064" xr:uid="{00000000-0005-0000-0000-00005B4A0000}"/>
    <cellStyle name="Comma 34" xfId="4357" xr:uid="{00000000-0005-0000-0000-00005C4A0000}"/>
    <cellStyle name="Comma 35" xfId="24820" xr:uid="{00000000-0005-0000-0000-00005D4A0000}"/>
    <cellStyle name="Comma 36" xfId="24821" xr:uid="{00000000-0005-0000-0000-00005E4A0000}"/>
    <cellStyle name="Comma 37" xfId="29032" xr:uid="{00000000-0005-0000-0000-00005F4A0000}"/>
    <cellStyle name="Comma 38" xfId="29762" xr:uid="{00000000-0005-0000-0000-0000604A0000}"/>
    <cellStyle name="Comma 39" xfId="33143" xr:uid="{00000000-0005-0000-0000-0000614A0000}"/>
    <cellStyle name="Comma 4" xfId="4457" xr:uid="{00000000-0005-0000-0000-0000624A0000}"/>
    <cellStyle name="Comma 4 10" xfId="7076" xr:uid="{00000000-0005-0000-0000-0000634A0000}"/>
    <cellStyle name="Comma 4 10 2" xfId="10113" xr:uid="{00000000-0005-0000-0000-0000644A0000}"/>
    <cellStyle name="Comma 4 10 2 2" xfId="11827" xr:uid="{00000000-0005-0000-0000-0000654A0000}"/>
    <cellStyle name="Comma 4 10 2 2 2" xfId="28532" xr:uid="{00000000-0005-0000-0000-0000664A0000}"/>
    <cellStyle name="Comma 4 10 2 2 2 2" xfId="46191" xr:uid="{00000000-0005-0000-0000-0000674A0000}"/>
    <cellStyle name="Comma 4 10 2 2 3" xfId="32745" xr:uid="{00000000-0005-0000-0000-0000684A0000}"/>
    <cellStyle name="Comma 4 10 2 2 4" xfId="36960" xr:uid="{00000000-0005-0000-0000-0000694A0000}"/>
    <cellStyle name="Comma 4 10 2 2 5" xfId="41164" xr:uid="{00000000-0005-0000-0000-00006A4A0000}"/>
    <cellStyle name="Comma 4 10 2 3" xfId="27582" xr:uid="{00000000-0005-0000-0000-00006B4A0000}"/>
    <cellStyle name="Comma 4 10 2 3 2" xfId="45258" xr:uid="{00000000-0005-0000-0000-00006C4A0000}"/>
    <cellStyle name="Comma 4 10 2 4" xfId="31795" xr:uid="{00000000-0005-0000-0000-00006D4A0000}"/>
    <cellStyle name="Comma 4 10 2 5" xfId="36010" xr:uid="{00000000-0005-0000-0000-00006E4A0000}"/>
    <cellStyle name="Comma 4 10 2 6" xfId="40214" xr:uid="{00000000-0005-0000-0000-00006F4A0000}"/>
    <cellStyle name="Comma 4 10 3" xfId="10950" xr:uid="{00000000-0005-0000-0000-0000704A0000}"/>
    <cellStyle name="Comma 4 10 3 2" xfId="28047" xr:uid="{00000000-0005-0000-0000-0000714A0000}"/>
    <cellStyle name="Comma 4 10 3 2 2" xfId="45724" xr:uid="{00000000-0005-0000-0000-0000724A0000}"/>
    <cellStyle name="Comma 4 10 3 3" xfId="32260" xr:uid="{00000000-0005-0000-0000-0000734A0000}"/>
    <cellStyle name="Comma 4 10 3 4" xfId="36475" xr:uid="{00000000-0005-0000-0000-0000744A0000}"/>
    <cellStyle name="Comma 4 10 3 5" xfId="40679" xr:uid="{00000000-0005-0000-0000-0000754A0000}"/>
    <cellStyle name="Comma 4 10 4" xfId="25730" xr:uid="{00000000-0005-0000-0000-0000764A0000}"/>
    <cellStyle name="Comma 4 10 4 2" xfId="43091" xr:uid="{00000000-0005-0000-0000-0000774A0000}"/>
    <cellStyle name="Comma 4 10 5" xfId="29943" xr:uid="{00000000-0005-0000-0000-0000784A0000}"/>
    <cellStyle name="Comma 4 10 5 2" xfId="44925" xr:uid="{00000000-0005-0000-0000-0000794A0000}"/>
    <cellStyle name="Comma 4 10 6" xfId="34158" xr:uid="{00000000-0005-0000-0000-00007A4A0000}"/>
    <cellStyle name="Comma 4 10 7" xfId="38362" xr:uid="{00000000-0005-0000-0000-00007B4A0000}"/>
    <cellStyle name="Comma 4 11" xfId="9574" xr:uid="{00000000-0005-0000-0000-00007C4A0000}"/>
    <cellStyle name="Comma 4 11 2" xfId="10202" xr:uid="{00000000-0005-0000-0000-00007D4A0000}"/>
    <cellStyle name="Comma 4 11 2 2" xfId="12177" xr:uid="{00000000-0005-0000-0000-00007E4A0000}"/>
    <cellStyle name="Comma 4 11 2 2 2" xfId="28788" xr:uid="{00000000-0005-0000-0000-00007F4A0000}"/>
    <cellStyle name="Comma 4 11 2 2 2 2" xfId="46459" xr:uid="{00000000-0005-0000-0000-0000804A0000}"/>
    <cellStyle name="Comma 4 11 2 2 3" xfId="33001" xr:uid="{00000000-0005-0000-0000-0000814A0000}"/>
    <cellStyle name="Comma 4 11 2 2 4" xfId="37216" xr:uid="{00000000-0005-0000-0000-0000824A0000}"/>
    <cellStyle name="Comma 4 11 2 2 5" xfId="41420" xr:uid="{00000000-0005-0000-0000-0000834A0000}"/>
    <cellStyle name="Comma 4 11 2 3" xfId="27593" xr:uid="{00000000-0005-0000-0000-0000844A0000}"/>
    <cellStyle name="Comma 4 11 2 3 2" xfId="45271" xr:uid="{00000000-0005-0000-0000-0000854A0000}"/>
    <cellStyle name="Comma 4 11 2 4" xfId="31806" xr:uid="{00000000-0005-0000-0000-0000864A0000}"/>
    <cellStyle name="Comma 4 11 2 5" xfId="36021" xr:uid="{00000000-0005-0000-0000-0000874A0000}"/>
    <cellStyle name="Comma 4 11 2 6" xfId="40225" xr:uid="{00000000-0005-0000-0000-0000884A0000}"/>
    <cellStyle name="Comma 4 11 3" xfId="10960" xr:uid="{00000000-0005-0000-0000-0000894A0000}"/>
    <cellStyle name="Comma 4 11 3 2" xfId="28057" xr:uid="{00000000-0005-0000-0000-00008A4A0000}"/>
    <cellStyle name="Comma 4 11 3 2 2" xfId="45734" xr:uid="{00000000-0005-0000-0000-00008B4A0000}"/>
    <cellStyle name="Comma 4 11 3 3" xfId="32270" xr:uid="{00000000-0005-0000-0000-00008C4A0000}"/>
    <cellStyle name="Comma 4 11 3 4" xfId="36485" xr:uid="{00000000-0005-0000-0000-00008D4A0000}"/>
    <cellStyle name="Comma 4 11 3 5" xfId="40689" xr:uid="{00000000-0005-0000-0000-00008E4A0000}"/>
    <cellStyle name="Comma 4 11 4" xfId="27138" xr:uid="{00000000-0005-0000-0000-00008F4A0000}"/>
    <cellStyle name="Comma 4 11 4 2" xfId="45008" xr:uid="{00000000-0005-0000-0000-0000904A0000}"/>
    <cellStyle name="Comma 4 11 5" xfId="31351" xr:uid="{00000000-0005-0000-0000-0000914A0000}"/>
    <cellStyle name="Comma 4 11 6" xfId="35566" xr:uid="{00000000-0005-0000-0000-0000924A0000}"/>
    <cellStyle name="Comma 4 11 7" xfId="39770" xr:uid="{00000000-0005-0000-0000-0000934A0000}"/>
    <cellStyle name="Comma 4 12" xfId="10209" xr:uid="{00000000-0005-0000-0000-0000944A0000}"/>
    <cellStyle name="Comma 4 12 2" xfId="10967" xr:uid="{00000000-0005-0000-0000-0000954A0000}"/>
    <cellStyle name="Comma 4 12 2 2" xfId="28064" xr:uid="{00000000-0005-0000-0000-0000964A0000}"/>
    <cellStyle name="Comma 4 12 2 2 2" xfId="45741" xr:uid="{00000000-0005-0000-0000-0000974A0000}"/>
    <cellStyle name="Comma 4 12 2 3" xfId="32277" xr:uid="{00000000-0005-0000-0000-0000984A0000}"/>
    <cellStyle name="Comma 4 12 2 4" xfId="36492" xr:uid="{00000000-0005-0000-0000-0000994A0000}"/>
    <cellStyle name="Comma 4 12 2 5" xfId="40696" xr:uid="{00000000-0005-0000-0000-00009A4A0000}"/>
    <cellStyle name="Comma 4 12 3" xfId="27600" xr:uid="{00000000-0005-0000-0000-00009B4A0000}"/>
    <cellStyle name="Comma 4 12 3 2" xfId="45278" xr:uid="{00000000-0005-0000-0000-00009C4A0000}"/>
    <cellStyle name="Comma 4 12 4" xfId="31813" xr:uid="{00000000-0005-0000-0000-00009D4A0000}"/>
    <cellStyle name="Comma 4 12 5" xfId="36028" xr:uid="{00000000-0005-0000-0000-00009E4A0000}"/>
    <cellStyle name="Comma 4 12 6" xfId="40232" xr:uid="{00000000-0005-0000-0000-00009F4A0000}"/>
    <cellStyle name="Comma 4 13" xfId="9845" xr:uid="{00000000-0005-0000-0000-0000A04A0000}"/>
    <cellStyle name="Comma 4 13 2" xfId="11255" xr:uid="{00000000-0005-0000-0000-0000A14A0000}"/>
    <cellStyle name="Comma 4 13 2 2" xfId="28101" xr:uid="{00000000-0005-0000-0000-0000A24A0000}"/>
    <cellStyle name="Comma 4 13 2 2 2" xfId="45770" xr:uid="{00000000-0005-0000-0000-0000A34A0000}"/>
    <cellStyle name="Comma 4 13 2 3" xfId="32314" xr:uid="{00000000-0005-0000-0000-0000A44A0000}"/>
    <cellStyle name="Comma 4 13 2 4" xfId="36529" xr:uid="{00000000-0005-0000-0000-0000A54A0000}"/>
    <cellStyle name="Comma 4 13 2 5" xfId="40733" xr:uid="{00000000-0005-0000-0000-0000A64A0000}"/>
    <cellStyle name="Comma 4 13 3" xfId="27332" xr:uid="{00000000-0005-0000-0000-0000A74A0000}"/>
    <cellStyle name="Comma 4 13 3 2" xfId="45210" xr:uid="{00000000-0005-0000-0000-0000A84A0000}"/>
    <cellStyle name="Comma 4 13 4" xfId="31545" xr:uid="{00000000-0005-0000-0000-0000A94A0000}"/>
    <cellStyle name="Comma 4 13 5" xfId="35760" xr:uid="{00000000-0005-0000-0000-0000AA4A0000}"/>
    <cellStyle name="Comma 4 13 6" xfId="39964" xr:uid="{00000000-0005-0000-0000-0000AB4A0000}"/>
    <cellStyle name="Comma 4 14" xfId="10595" xr:uid="{00000000-0005-0000-0000-0000AC4A0000}"/>
    <cellStyle name="Comma 4 14 2" xfId="27797" xr:uid="{00000000-0005-0000-0000-0000AD4A0000}"/>
    <cellStyle name="Comma 4 14 2 2" xfId="45476" xr:uid="{00000000-0005-0000-0000-0000AE4A0000}"/>
    <cellStyle name="Comma 4 14 3" xfId="32010" xr:uid="{00000000-0005-0000-0000-0000AF4A0000}"/>
    <cellStyle name="Comma 4 14 4" xfId="36225" xr:uid="{00000000-0005-0000-0000-0000B04A0000}"/>
    <cellStyle name="Comma 4 14 5" xfId="40429" xr:uid="{00000000-0005-0000-0000-0000B14A0000}"/>
    <cellStyle name="Comma 4 15" xfId="12293" xr:uid="{00000000-0005-0000-0000-0000B24A0000}"/>
    <cellStyle name="Comma 4 15 2" xfId="28860" xr:uid="{00000000-0005-0000-0000-0000B34A0000}"/>
    <cellStyle name="Comma 4 15 3" xfId="33073" xr:uid="{00000000-0005-0000-0000-0000B44A0000}"/>
    <cellStyle name="Comma 4 15 4" xfId="37288" xr:uid="{00000000-0005-0000-0000-0000B54A0000}"/>
    <cellStyle name="Comma 4 15 5" xfId="41846" xr:uid="{00000000-0005-0000-0000-0000B64A0000}"/>
    <cellStyle name="Comma 4 16" xfId="24147" xr:uid="{00000000-0005-0000-0000-0000B74A0000}"/>
    <cellStyle name="Comma 4 16 2" xfId="29007" xr:uid="{00000000-0005-0000-0000-0000B84A0000}"/>
    <cellStyle name="Comma 4 16 3" xfId="33224" xr:uid="{00000000-0005-0000-0000-0000B94A0000}"/>
    <cellStyle name="Comma 4 16 4" xfId="37435" xr:uid="{00000000-0005-0000-0000-0000BA4A0000}"/>
    <cellStyle name="Comma 4 17" xfId="24928" xr:uid="{00000000-0005-0000-0000-0000BB4A0000}"/>
    <cellStyle name="Comma 4 18" xfId="29140" xr:uid="{00000000-0005-0000-0000-0000BC4A0000}"/>
    <cellStyle name="Comma 4 19" xfId="33356" xr:uid="{00000000-0005-0000-0000-0000BD4A0000}"/>
    <cellStyle name="Comma 4 2" xfId="8053" xr:uid="{00000000-0005-0000-0000-0000BE4A0000}"/>
    <cellStyle name="Comma 4 2 2" xfId="10002" xr:uid="{00000000-0005-0000-0000-0000BF4A0000}"/>
    <cellStyle name="Comma 4 2 2 2" xfId="12025" xr:uid="{00000000-0005-0000-0000-0000C04A0000}"/>
    <cellStyle name="Comma 4 2 2 2 2" xfId="28682" xr:uid="{00000000-0005-0000-0000-0000C14A0000}"/>
    <cellStyle name="Comma 4 2 2 2 2 2" xfId="46351" xr:uid="{00000000-0005-0000-0000-0000C24A0000}"/>
    <cellStyle name="Comma 4 2 2 2 3" xfId="32895" xr:uid="{00000000-0005-0000-0000-0000C34A0000}"/>
    <cellStyle name="Comma 4 2 2 2 4" xfId="37110" xr:uid="{00000000-0005-0000-0000-0000C44A0000}"/>
    <cellStyle name="Comma 4 2 2 2 5" xfId="41314" xr:uid="{00000000-0005-0000-0000-0000C54A0000}"/>
    <cellStyle name="Comma 4 2 2 3" xfId="27482" xr:uid="{00000000-0005-0000-0000-0000C64A0000}"/>
    <cellStyle name="Comma 4 2 2 3 2" xfId="43092" xr:uid="{00000000-0005-0000-0000-0000C74A0000}"/>
    <cellStyle name="Comma 4 2 2 4" xfId="31695" xr:uid="{00000000-0005-0000-0000-0000C84A0000}"/>
    <cellStyle name="Comma 4 2 2 5" xfId="35910" xr:uid="{00000000-0005-0000-0000-0000C94A0000}"/>
    <cellStyle name="Comma 4 2 2 6" xfId="40114" xr:uid="{00000000-0005-0000-0000-0000CA4A0000}"/>
    <cellStyle name="Comma 4 2 3" xfId="10786" xr:uid="{00000000-0005-0000-0000-0000CB4A0000}"/>
    <cellStyle name="Comma 4 2 3 2" xfId="27947" xr:uid="{00000000-0005-0000-0000-0000CC4A0000}"/>
    <cellStyle name="Comma 4 2 3 2 2" xfId="45626" xr:uid="{00000000-0005-0000-0000-0000CD4A0000}"/>
    <cellStyle name="Comma 4 2 3 3" xfId="32160" xr:uid="{00000000-0005-0000-0000-0000CE4A0000}"/>
    <cellStyle name="Comma 4 2 3 4" xfId="36375" xr:uid="{00000000-0005-0000-0000-0000CF4A0000}"/>
    <cellStyle name="Comma 4 2 3 5" xfId="40579" xr:uid="{00000000-0005-0000-0000-0000D04A0000}"/>
    <cellStyle name="Comma 4 2 4" xfId="15069" xr:uid="{00000000-0005-0000-0000-0000D14A0000}"/>
    <cellStyle name="Comma 4 2 4 2" xfId="28900" xr:uid="{00000000-0005-0000-0000-0000D24A0000}"/>
    <cellStyle name="Comma 4 2 4 3" xfId="33113" xr:uid="{00000000-0005-0000-0000-0000D34A0000}"/>
    <cellStyle name="Comma 4 2 4 4" xfId="37328" xr:uid="{00000000-0005-0000-0000-0000D44A0000}"/>
    <cellStyle name="Comma 4 2 4 5" xfId="41583" xr:uid="{00000000-0005-0000-0000-0000D54A0000}"/>
    <cellStyle name="Comma 4 2 5" xfId="24339" xr:uid="{00000000-0005-0000-0000-0000D64A0000}"/>
    <cellStyle name="Comma 4 2 5 2" xfId="29024" xr:uid="{00000000-0005-0000-0000-0000D74A0000}"/>
    <cellStyle name="Comma 4 2 5 3" xfId="33241" xr:uid="{00000000-0005-0000-0000-0000D84A0000}"/>
    <cellStyle name="Comma 4 2 5 4" xfId="37452" xr:uid="{00000000-0005-0000-0000-0000D94A0000}"/>
    <cellStyle name="Comma 4 2 5 5" xfId="41847" xr:uid="{00000000-0005-0000-0000-0000DA4A0000}"/>
    <cellStyle name="Comma 4 2 6" xfId="26336" xr:uid="{00000000-0005-0000-0000-0000DB4A0000}"/>
    <cellStyle name="Comma 4 2 7" xfId="30549" xr:uid="{00000000-0005-0000-0000-0000DC4A0000}"/>
    <cellStyle name="Comma 4 2 8" xfId="34764" xr:uid="{00000000-0005-0000-0000-0000DD4A0000}"/>
    <cellStyle name="Comma 4 2 9" xfId="38968" xr:uid="{00000000-0005-0000-0000-0000DE4A0000}"/>
    <cellStyle name="Comma 4 20" xfId="37560" xr:uid="{00000000-0005-0000-0000-0000DF4A0000}"/>
    <cellStyle name="Comma 4 3" xfId="8054" xr:uid="{00000000-0005-0000-0000-0000E04A0000}"/>
    <cellStyle name="Comma 4 3 2" xfId="10003" xr:uid="{00000000-0005-0000-0000-0000E14A0000}"/>
    <cellStyle name="Comma 4 3 2 2" xfId="12026" xr:uid="{00000000-0005-0000-0000-0000E24A0000}"/>
    <cellStyle name="Comma 4 3 2 2 2" xfId="28683" xr:uid="{00000000-0005-0000-0000-0000E34A0000}"/>
    <cellStyle name="Comma 4 3 2 2 2 2" xfId="46352" xr:uid="{00000000-0005-0000-0000-0000E44A0000}"/>
    <cellStyle name="Comma 4 3 2 2 3" xfId="32896" xr:uid="{00000000-0005-0000-0000-0000E54A0000}"/>
    <cellStyle name="Comma 4 3 2 2 4" xfId="37111" xr:uid="{00000000-0005-0000-0000-0000E64A0000}"/>
    <cellStyle name="Comma 4 3 2 2 5" xfId="41315" xr:uid="{00000000-0005-0000-0000-0000E74A0000}"/>
    <cellStyle name="Comma 4 3 2 3" xfId="27483" xr:uid="{00000000-0005-0000-0000-0000E84A0000}"/>
    <cellStyle name="Comma 4 3 2 3 2" xfId="43093" xr:uid="{00000000-0005-0000-0000-0000E94A0000}"/>
    <cellStyle name="Comma 4 3 2 4" xfId="31696" xr:uid="{00000000-0005-0000-0000-0000EA4A0000}"/>
    <cellStyle name="Comma 4 3 2 5" xfId="35911" xr:uid="{00000000-0005-0000-0000-0000EB4A0000}"/>
    <cellStyle name="Comma 4 3 2 6" xfId="40115" xr:uid="{00000000-0005-0000-0000-0000EC4A0000}"/>
    <cellStyle name="Comma 4 3 3" xfId="10787" xr:uid="{00000000-0005-0000-0000-0000ED4A0000}"/>
    <cellStyle name="Comma 4 3 3 2" xfId="27948" xr:uid="{00000000-0005-0000-0000-0000EE4A0000}"/>
    <cellStyle name="Comma 4 3 3 2 2" xfId="45627" xr:uid="{00000000-0005-0000-0000-0000EF4A0000}"/>
    <cellStyle name="Comma 4 3 3 3" xfId="32161" xr:uid="{00000000-0005-0000-0000-0000F04A0000}"/>
    <cellStyle name="Comma 4 3 3 4" xfId="36376" xr:uid="{00000000-0005-0000-0000-0000F14A0000}"/>
    <cellStyle name="Comma 4 3 3 5" xfId="40580" xr:uid="{00000000-0005-0000-0000-0000F24A0000}"/>
    <cellStyle name="Comma 4 3 4" xfId="17065" xr:uid="{00000000-0005-0000-0000-0000F34A0000}"/>
    <cellStyle name="Comma 4 3 4 2" xfId="28916" xr:uid="{00000000-0005-0000-0000-0000F44A0000}"/>
    <cellStyle name="Comma 4 3 4 3" xfId="33131" xr:uid="{00000000-0005-0000-0000-0000F54A0000}"/>
    <cellStyle name="Comma 4 3 4 4" xfId="37344" xr:uid="{00000000-0005-0000-0000-0000F64A0000}"/>
    <cellStyle name="Comma 4 3 4 5" xfId="41584" xr:uid="{00000000-0005-0000-0000-0000F74A0000}"/>
    <cellStyle name="Comma 4 3 5" xfId="26337" xr:uid="{00000000-0005-0000-0000-0000F84A0000}"/>
    <cellStyle name="Comma 4 3 5 2" xfId="41848" xr:uid="{00000000-0005-0000-0000-0000F94A0000}"/>
    <cellStyle name="Comma 4 3 6" xfId="30550" xr:uid="{00000000-0005-0000-0000-0000FA4A0000}"/>
    <cellStyle name="Comma 4 3 7" xfId="34765" xr:uid="{00000000-0005-0000-0000-0000FB4A0000}"/>
    <cellStyle name="Comma 4 3 8" xfId="38969" xr:uid="{00000000-0005-0000-0000-0000FC4A0000}"/>
    <cellStyle name="Comma 4 4" xfId="8055" xr:uid="{00000000-0005-0000-0000-0000FD4A0000}"/>
    <cellStyle name="Comma 4 4 2" xfId="10004" xr:uid="{00000000-0005-0000-0000-0000FE4A0000}"/>
    <cellStyle name="Comma 4 4 2 2" xfId="12027" xr:uid="{00000000-0005-0000-0000-0000FF4A0000}"/>
    <cellStyle name="Comma 4 4 2 2 2" xfId="28684" xr:uid="{00000000-0005-0000-0000-0000004B0000}"/>
    <cellStyle name="Comma 4 4 2 2 2 2" xfId="46353" xr:uid="{00000000-0005-0000-0000-0000014B0000}"/>
    <cellStyle name="Comma 4 4 2 2 3" xfId="32897" xr:uid="{00000000-0005-0000-0000-0000024B0000}"/>
    <cellStyle name="Comma 4 4 2 2 4" xfId="37112" xr:uid="{00000000-0005-0000-0000-0000034B0000}"/>
    <cellStyle name="Comma 4 4 2 2 5" xfId="41316" xr:uid="{00000000-0005-0000-0000-0000044B0000}"/>
    <cellStyle name="Comma 4 4 2 3" xfId="27484" xr:uid="{00000000-0005-0000-0000-0000054B0000}"/>
    <cellStyle name="Comma 4 4 2 3 2" xfId="43094" xr:uid="{00000000-0005-0000-0000-0000064B0000}"/>
    <cellStyle name="Comma 4 4 2 4" xfId="31697" xr:uid="{00000000-0005-0000-0000-0000074B0000}"/>
    <cellStyle name="Comma 4 4 2 5" xfId="35912" xr:uid="{00000000-0005-0000-0000-0000084B0000}"/>
    <cellStyle name="Comma 4 4 2 6" xfId="40116" xr:uid="{00000000-0005-0000-0000-0000094B0000}"/>
    <cellStyle name="Comma 4 4 3" xfId="10788" xr:uid="{00000000-0005-0000-0000-00000A4B0000}"/>
    <cellStyle name="Comma 4 4 3 2" xfId="27949" xr:uid="{00000000-0005-0000-0000-00000B4B0000}"/>
    <cellStyle name="Comma 4 4 3 2 2" xfId="45628" xr:uid="{00000000-0005-0000-0000-00000C4B0000}"/>
    <cellStyle name="Comma 4 4 3 3" xfId="32162" xr:uid="{00000000-0005-0000-0000-00000D4B0000}"/>
    <cellStyle name="Comma 4 4 3 4" xfId="36377" xr:uid="{00000000-0005-0000-0000-00000E4B0000}"/>
    <cellStyle name="Comma 4 4 3 5" xfId="40581" xr:uid="{00000000-0005-0000-0000-00000F4B0000}"/>
    <cellStyle name="Comma 4 4 4" xfId="13325" xr:uid="{00000000-0005-0000-0000-0000104B0000}"/>
    <cellStyle name="Comma 4 4 4 2" xfId="28885" xr:uid="{00000000-0005-0000-0000-0000114B0000}"/>
    <cellStyle name="Comma 4 4 4 3" xfId="33098" xr:uid="{00000000-0005-0000-0000-0000124B0000}"/>
    <cellStyle name="Comma 4 4 4 4" xfId="37313" xr:uid="{00000000-0005-0000-0000-0000134B0000}"/>
    <cellStyle name="Comma 4 4 4 5" xfId="41585" xr:uid="{00000000-0005-0000-0000-0000144B0000}"/>
    <cellStyle name="Comma 4 4 5" xfId="26338" xr:uid="{00000000-0005-0000-0000-0000154B0000}"/>
    <cellStyle name="Comma 4 4 5 2" xfId="41849" xr:uid="{00000000-0005-0000-0000-0000164B0000}"/>
    <cellStyle name="Comma 4 4 6" xfId="30551" xr:uid="{00000000-0005-0000-0000-0000174B0000}"/>
    <cellStyle name="Comma 4 4 7" xfId="34766" xr:uid="{00000000-0005-0000-0000-0000184B0000}"/>
    <cellStyle name="Comma 4 4 8" xfId="38970" xr:uid="{00000000-0005-0000-0000-0000194B0000}"/>
    <cellStyle name="Comma 4 5" xfId="8056" xr:uid="{00000000-0005-0000-0000-00001A4B0000}"/>
    <cellStyle name="Comma 4 5 2" xfId="10005" xr:uid="{00000000-0005-0000-0000-00001B4B0000}"/>
    <cellStyle name="Comma 4 5 2 2" xfId="12028" xr:uid="{00000000-0005-0000-0000-00001C4B0000}"/>
    <cellStyle name="Comma 4 5 2 2 2" xfId="28685" xr:uid="{00000000-0005-0000-0000-00001D4B0000}"/>
    <cellStyle name="Comma 4 5 2 2 2 2" xfId="46354" xr:uid="{00000000-0005-0000-0000-00001E4B0000}"/>
    <cellStyle name="Comma 4 5 2 2 3" xfId="32898" xr:uid="{00000000-0005-0000-0000-00001F4B0000}"/>
    <cellStyle name="Comma 4 5 2 2 4" xfId="37113" xr:uid="{00000000-0005-0000-0000-0000204B0000}"/>
    <cellStyle name="Comma 4 5 2 2 5" xfId="41317" xr:uid="{00000000-0005-0000-0000-0000214B0000}"/>
    <cellStyle name="Comma 4 5 2 3" xfId="27485" xr:uid="{00000000-0005-0000-0000-0000224B0000}"/>
    <cellStyle name="Comma 4 5 2 3 2" xfId="43095" xr:uid="{00000000-0005-0000-0000-0000234B0000}"/>
    <cellStyle name="Comma 4 5 2 4" xfId="31698" xr:uid="{00000000-0005-0000-0000-0000244B0000}"/>
    <cellStyle name="Comma 4 5 2 5" xfId="35913" xr:uid="{00000000-0005-0000-0000-0000254B0000}"/>
    <cellStyle name="Comma 4 5 2 6" xfId="40117" xr:uid="{00000000-0005-0000-0000-0000264B0000}"/>
    <cellStyle name="Comma 4 5 3" xfId="10789" xr:uid="{00000000-0005-0000-0000-0000274B0000}"/>
    <cellStyle name="Comma 4 5 3 2" xfId="27950" xr:uid="{00000000-0005-0000-0000-0000284B0000}"/>
    <cellStyle name="Comma 4 5 3 2 2" xfId="45629" xr:uid="{00000000-0005-0000-0000-0000294B0000}"/>
    <cellStyle name="Comma 4 5 3 3" xfId="32163" xr:uid="{00000000-0005-0000-0000-00002A4B0000}"/>
    <cellStyle name="Comma 4 5 3 4" xfId="36378" xr:uid="{00000000-0005-0000-0000-00002B4B0000}"/>
    <cellStyle name="Comma 4 5 3 5" xfId="40582" xr:uid="{00000000-0005-0000-0000-00002C4B0000}"/>
    <cellStyle name="Comma 4 5 4" xfId="12322" xr:uid="{00000000-0005-0000-0000-00002D4B0000}"/>
    <cellStyle name="Comma 4 5 4 2" xfId="28867" xr:uid="{00000000-0005-0000-0000-00002E4B0000}"/>
    <cellStyle name="Comma 4 5 4 3" xfId="33080" xr:uid="{00000000-0005-0000-0000-00002F4B0000}"/>
    <cellStyle name="Comma 4 5 4 4" xfId="37295" xr:uid="{00000000-0005-0000-0000-0000304B0000}"/>
    <cellStyle name="Comma 4 5 4 5" xfId="41586" xr:uid="{00000000-0005-0000-0000-0000314B0000}"/>
    <cellStyle name="Comma 4 5 5" xfId="26339" xr:uid="{00000000-0005-0000-0000-0000324B0000}"/>
    <cellStyle name="Comma 4 5 5 2" xfId="41850" xr:uid="{00000000-0005-0000-0000-0000334B0000}"/>
    <cellStyle name="Comma 4 5 6" xfId="30552" xr:uid="{00000000-0005-0000-0000-0000344B0000}"/>
    <cellStyle name="Comma 4 5 7" xfId="34767" xr:uid="{00000000-0005-0000-0000-0000354B0000}"/>
    <cellStyle name="Comma 4 5 8" xfId="38971" xr:uid="{00000000-0005-0000-0000-0000364B0000}"/>
    <cellStyle name="Comma 4 6" xfId="8057" xr:uid="{00000000-0005-0000-0000-0000374B0000}"/>
    <cellStyle name="Comma 4 6 2" xfId="10006" xr:uid="{00000000-0005-0000-0000-0000384B0000}"/>
    <cellStyle name="Comma 4 6 2 2" xfId="12029" xr:uid="{00000000-0005-0000-0000-0000394B0000}"/>
    <cellStyle name="Comma 4 6 2 2 2" xfId="28686" xr:uid="{00000000-0005-0000-0000-00003A4B0000}"/>
    <cellStyle name="Comma 4 6 2 2 2 2" xfId="46355" xr:uid="{00000000-0005-0000-0000-00003B4B0000}"/>
    <cellStyle name="Comma 4 6 2 2 3" xfId="32899" xr:uid="{00000000-0005-0000-0000-00003C4B0000}"/>
    <cellStyle name="Comma 4 6 2 2 4" xfId="37114" xr:uid="{00000000-0005-0000-0000-00003D4B0000}"/>
    <cellStyle name="Comma 4 6 2 2 5" xfId="41318" xr:uid="{00000000-0005-0000-0000-00003E4B0000}"/>
    <cellStyle name="Comma 4 6 2 3" xfId="27486" xr:uid="{00000000-0005-0000-0000-00003F4B0000}"/>
    <cellStyle name="Comma 4 6 2 3 2" xfId="43096" xr:uid="{00000000-0005-0000-0000-0000404B0000}"/>
    <cellStyle name="Comma 4 6 2 4" xfId="31699" xr:uid="{00000000-0005-0000-0000-0000414B0000}"/>
    <cellStyle name="Comma 4 6 2 5" xfId="35914" xr:uid="{00000000-0005-0000-0000-0000424B0000}"/>
    <cellStyle name="Comma 4 6 2 6" xfId="40118" xr:uid="{00000000-0005-0000-0000-0000434B0000}"/>
    <cellStyle name="Comma 4 6 3" xfId="10790" xr:uid="{00000000-0005-0000-0000-0000444B0000}"/>
    <cellStyle name="Comma 4 6 3 2" xfId="27951" xr:uid="{00000000-0005-0000-0000-0000454B0000}"/>
    <cellStyle name="Comma 4 6 3 2 2" xfId="45630" xr:uid="{00000000-0005-0000-0000-0000464B0000}"/>
    <cellStyle name="Comma 4 6 3 3" xfId="32164" xr:uid="{00000000-0005-0000-0000-0000474B0000}"/>
    <cellStyle name="Comma 4 6 3 4" xfId="36379" xr:uid="{00000000-0005-0000-0000-0000484B0000}"/>
    <cellStyle name="Comma 4 6 3 5" xfId="40583" xr:uid="{00000000-0005-0000-0000-0000494B0000}"/>
    <cellStyle name="Comma 4 6 4" xfId="26340" xr:uid="{00000000-0005-0000-0000-00004A4B0000}"/>
    <cellStyle name="Comma 4 6 4 2" xfId="41587" xr:uid="{00000000-0005-0000-0000-00004B4B0000}"/>
    <cellStyle name="Comma 4 6 5" xfId="30553" xr:uid="{00000000-0005-0000-0000-00004C4B0000}"/>
    <cellStyle name="Comma 4 6 5 2" xfId="41851" xr:uid="{00000000-0005-0000-0000-00004D4B0000}"/>
    <cellStyle name="Comma 4 6 6" xfId="34768" xr:uid="{00000000-0005-0000-0000-00004E4B0000}"/>
    <cellStyle name="Comma 4 6 7" xfId="38972" xr:uid="{00000000-0005-0000-0000-00004F4B0000}"/>
    <cellStyle name="Comma 4 7" xfId="8058" xr:uid="{00000000-0005-0000-0000-0000504B0000}"/>
    <cellStyle name="Comma 4 7 2" xfId="10007" xr:uid="{00000000-0005-0000-0000-0000514B0000}"/>
    <cellStyle name="Comma 4 7 2 2" xfId="12030" xr:uid="{00000000-0005-0000-0000-0000524B0000}"/>
    <cellStyle name="Comma 4 7 2 2 2" xfId="28687" xr:uid="{00000000-0005-0000-0000-0000534B0000}"/>
    <cellStyle name="Comma 4 7 2 2 2 2" xfId="46356" xr:uid="{00000000-0005-0000-0000-0000544B0000}"/>
    <cellStyle name="Comma 4 7 2 2 3" xfId="32900" xr:uid="{00000000-0005-0000-0000-0000554B0000}"/>
    <cellStyle name="Comma 4 7 2 2 4" xfId="37115" xr:uid="{00000000-0005-0000-0000-0000564B0000}"/>
    <cellStyle name="Comma 4 7 2 2 5" xfId="41319" xr:uid="{00000000-0005-0000-0000-0000574B0000}"/>
    <cellStyle name="Comma 4 7 2 3" xfId="27487" xr:uid="{00000000-0005-0000-0000-0000584B0000}"/>
    <cellStyle name="Comma 4 7 2 3 2" xfId="43097" xr:uid="{00000000-0005-0000-0000-0000594B0000}"/>
    <cellStyle name="Comma 4 7 2 4" xfId="31700" xr:uid="{00000000-0005-0000-0000-00005A4B0000}"/>
    <cellStyle name="Comma 4 7 2 5" xfId="35915" xr:uid="{00000000-0005-0000-0000-00005B4B0000}"/>
    <cellStyle name="Comma 4 7 2 6" xfId="40119" xr:uid="{00000000-0005-0000-0000-00005C4B0000}"/>
    <cellStyle name="Comma 4 7 3" xfId="10791" xr:uid="{00000000-0005-0000-0000-00005D4B0000}"/>
    <cellStyle name="Comma 4 7 3 2" xfId="27952" xr:uid="{00000000-0005-0000-0000-00005E4B0000}"/>
    <cellStyle name="Comma 4 7 3 2 2" xfId="45631" xr:uid="{00000000-0005-0000-0000-00005F4B0000}"/>
    <cellStyle name="Comma 4 7 3 3" xfId="32165" xr:uid="{00000000-0005-0000-0000-0000604B0000}"/>
    <cellStyle name="Comma 4 7 3 4" xfId="36380" xr:uid="{00000000-0005-0000-0000-0000614B0000}"/>
    <cellStyle name="Comma 4 7 3 5" xfId="40584" xr:uid="{00000000-0005-0000-0000-0000624B0000}"/>
    <cellStyle name="Comma 4 7 4" xfId="26341" xr:uid="{00000000-0005-0000-0000-0000634B0000}"/>
    <cellStyle name="Comma 4 7 4 2" xfId="41588" xr:uid="{00000000-0005-0000-0000-0000644B0000}"/>
    <cellStyle name="Comma 4 7 5" xfId="30554" xr:uid="{00000000-0005-0000-0000-0000654B0000}"/>
    <cellStyle name="Comma 4 7 5 2" xfId="41852" xr:uid="{00000000-0005-0000-0000-0000664B0000}"/>
    <cellStyle name="Comma 4 7 6" xfId="34769" xr:uid="{00000000-0005-0000-0000-0000674B0000}"/>
    <cellStyle name="Comma 4 7 7" xfId="38973" xr:uid="{00000000-0005-0000-0000-0000684B0000}"/>
    <cellStyle name="Comma 4 8" xfId="8059" xr:uid="{00000000-0005-0000-0000-0000694B0000}"/>
    <cellStyle name="Comma 4 8 2" xfId="10008" xr:uid="{00000000-0005-0000-0000-00006A4B0000}"/>
    <cellStyle name="Comma 4 8 2 2" xfId="12031" xr:uid="{00000000-0005-0000-0000-00006B4B0000}"/>
    <cellStyle name="Comma 4 8 2 2 2" xfId="28688" xr:uid="{00000000-0005-0000-0000-00006C4B0000}"/>
    <cellStyle name="Comma 4 8 2 2 2 2" xfId="46357" xr:uid="{00000000-0005-0000-0000-00006D4B0000}"/>
    <cellStyle name="Comma 4 8 2 2 3" xfId="32901" xr:uid="{00000000-0005-0000-0000-00006E4B0000}"/>
    <cellStyle name="Comma 4 8 2 2 4" xfId="37116" xr:uid="{00000000-0005-0000-0000-00006F4B0000}"/>
    <cellStyle name="Comma 4 8 2 2 5" xfId="41320" xr:uid="{00000000-0005-0000-0000-0000704B0000}"/>
    <cellStyle name="Comma 4 8 2 3" xfId="27488" xr:uid="{00000000-0005-0000-0000-0000714B0000}"/>
    <cellStyle name="Comma 4 8 2 3 2" xfId="43098" xr:uid="{00000000-0005-0000-0000-0000724B0000}"/>
    <cellStyle name="Comma 4 8 2 4" xfId="31701" xr:uid="{00000000-0005-0000-0000-0000734B0000}"/>
    <cellStyle name="Comma 4 8 2 5" xfId="35916" xr:uid="{00000000-0005-0000-0000-0000744B0000}"/>
    <cellStyle name="Comma 4 8 2 6" xfId="40120" xr:uid="{00000000-0005-0000-0000-0000754B0000}"/>
    <cellStyle name="Comma 4 8 3" xfId="10792" xr:uid="{00000000-0005-0000-0000-0000764B0000}"/>
    <cellStyle name="Comma 4 8 3 2" xfId="27953" xr:uid="{00000000-0005-0000-0000-0000774B0000}"/>
    <cellStyle name="Comma 4 8 3 2 2" xfId="45632" xr:uid="{00000000-0005-0000-0000-0000784B0000}"/>
    <cellStyle name="Comma 4 8 3 3" xfId="32166" xr:uid="{00000000-0005-0000-0000-0000794B0000}"/>
    <cellStyle name="Comma 4 8 3 4" xfId="36381" xr:uid="{00000000-0005-0000-0000-00007A4B0000}"/>
    <cellStyle name="Comma 4 8 3 5" xfId="40585" xr:uid="{00000000-0005-0000-0000-00007B4B0000}"/>
    <cellStyle name="Comma 4 8 4" xfId="26342" xr:uid="{00000000-0005-0000-0000-00007C4B0000}"/>
    <cellStyle name="Comma 4 8 4 2" xfId="41589" xr:uid="{00000000-0005-0000-0000-00007D4B0000}"/>
    <cellStyle name="Comma 4 8 5" xfId="30555" xr:uid="{00000000-0005-0000-0000-00007E4B0000}"/>
    <cellStyle name="Comma 4 8 5 2" xfId="41853" xr:uid="{00000000-0005-0000-0000-00007F4B0000}"/>
    <cellStyle name="Comma 4 8 6" xfId="34770" xr:uid="{00000000-0005-0000-0000-0000804B0000}"/>
    <cellStyle name="Comma 4 8 7" xfId="38974" xr:uid="{00000000-0005-0000-0000-0000814B0000}"/>
    <cellStyle name="Comma 4 9" xfId="8052" xr:uid="{00000000-0005-0000-0000-0000824B0000}"/>
    <cellStyle name="Comma 4 9 2" xfId="10001" xr:uid="{00000000-0005-0000-0000-0000834B0000}"/>
    <cellStyle name="Comma 4 9 2 2" xfId="12024" xr:uid="{00000000-0005-0000-0000-0000844B0000}"/>
    <cellStyle name="Comma 4 9 2 2 2" xfId="28681" xr:uid="{00000000-0005-0000-0000-0000854B0000}"/>
    <cellStyle name="Comma 4 9 2 2 2 2" xfId="46350" xr:uid="{00000000-0005-0000-0000-0000864B0000}"/>
    <cellStyle name="Comma 4 9 2 2 3" xfId="32894" xr:uid="{00000000-0005-0000-0000-0000874B0000}"/>
    <cellStyle name="Comma 4 9 2 2 4" xfId="37109" xr:uid="{00000000-0005-0000-0000-0000884B0000}"/>
    <cellStyle name="Comma 4 9 2 2 5" xfId="41313" xr:uid="{00000000-0005-0000-0000-0000894B0000}"/>
    <cellStyle name="Comma 4 9 2 3" xfId="27481" xr:uid="{00000000-0005-0000-0000-00008A4B0000}"/>
    <cellStyle name="Comma 4 9 2 3 2" xfId="45228" xr:uid="{00000000-0005-0000-0000-00008B4B0000}"/>
    <cellStyle name="Comma 4 9 2 4" xfId="31694" xr:uid="{00000000-0005-0000-0000-00008C4B0000}"/>
    <cellStyle name="Comma 4 9 2 5" xfId="35909" xr:uid="{00000000-0005-0000-0000-00008D4B0000}"/>
    <cellStyle name="Comma 4 9 2 6" xfId="40113" xr:uid="{00000000-0005-0000-0000-00008E4B0000}"/>
    <cellStyle name="Comma 4 9 3" xfId="10785" xr:uid="{00000000-0005-0000-0000-00008F4B0000}"/>
    <cellStyle name="Comma 4 9 3 2" xfId="27946" xr:uid="{00000000-0005-0000-0000-0000904B0000}"/>
    <cellStyle name="Comma 4 9 3 2 2" xfId="45625" xr:uid="{00000000-0005-0000-0000-0000914B0000}"/>
    <cellStyle name="Comma 4 9 3 3" xfId="32159" xr:uid="{00000000-0005-0000-0000-0000924B0000}"/>
    <cellStyle name="Comma 4 9 3 4" xfId="36374" xr:uid="{00000000-0005-0000-0000-0000934B0000}"/>
    <cellStyle name="Comma 4 9 3 5" xfId="40578" xr:uid="{00000000-0005-0000-0000-0000944B0000}"/>
    <cellStyle name="Comma 4 9 4" xfId="26335" xr:uid="{00000000-0005-0000-0000-0000954B0000}"/>
    <cellStyle name="Comma 4 9 4 2" xfId="41590" xr:uid="{00000000-0005-0000-0000-0000964B0000}"/>
    <cellStyle name="Comma 4 9 5" xfId="30548" xr:uid="{00000000-0005-0000-0000-0000974B0000}"/>
    <cellStyle name="Comma 4 9 5 2" xfId="43099" xr:uid="{00000000-0005-0000-0000-0000984B0000}"/>
    <cellStyle name="Comma 4 9 6" xfId="34763" xr:uid="{00000000-0005-0000-0000-0000994B0000}"/>
    <cellStyle name="Comma 4 9 7" xfId="38967" xr:uid="{00000000-0005-0000-0000-00009A4B0000}"/>
    <cellStyle name="Comma 40" xfId="33118" xr:uid="{00000000-0005-0000-0000-00009B4B0000}"/>
    <cellStyle name="Comma 41" xfId="33249" xr:uid="{00000000-0005-0000-0000-00009C4B0000}"/>
    <cellStyle name="Comma 5" xfId="6280" xr:uid="{00000000-0005-0000-0000-00009D4B0000}"/>
    <cellStyle name="Comma 5 10" xfId="7207" xr:uid="{00000000-0005-0000-0000-00009E4B0000}"/>
    <cellStyle name="Comma 5 10 2" xfId="10215" xr:uid="{00000000-0005-0000-0000-00009F4B0000}"/>
    <cellStyle name="Comma 5 10 2 2" xfId="11845" xr:uid="{00000000-0005-0000-0000-0000A04B0000}"/>
    <cellStyle name="Comma 5 10 2 2 2" xfId="28535" xr:uid="{00000000-0005-0000-0000-0000A14B0000}"/>
    <cellStyle name="Comma 5 10 2 2 2 2" xfId="46201" xr:uid="{00000000-0005-0000-0000-0000A24B0000}"/>
    <cellStyle name="Comma 5 10 2 2 3" xfId="32748" xr:uid="{00000000-0005-0000-0000-0000A34B0000}"/>
    <cellStyle name="Comma 5 10 2 2 4" xfId="36963" xr:uid="{00000000-0005-0000-0000-0000A44B0000}"/>
    <cellStyle name="Comma 5 10 2 2 5" xfId="41167" xr:uid="{00000000-0005-0000-0000-0000A54B0000}"/>
    <cellStyle name="Comma 5 10 2 3" xfId="27606" xr:uid="{00000000-0005-0000-0000-0000A64B0000}"/>
    <cellStyle name="Comma 5 10 2 3 2" xfId="45284" xr:uid="{00000000-0005-0000-0000-0000A74B0000}"/>
    <cellStyle name="Comma 5 10 2 4" xfId="31819" xr:uid="{00000000-0005-0000-0000-0000A84B0000}"/>
    <cellStyle name="Comma 5 10 2 5" xfId="36034" xr:uid="{00000000-0005-0000-0000-0000A94B0000}"/>
    <cellStyle name="Comma 5 10 2 6" xfId="40238" xr:uid="{00000000-0005-0000-0000-0000AA4B0000}"/>
    <cellStyle name="Comma 5 10 3" xfId="10973" xr:uid="{00000000-0005-0000-0000-0000AB4B0000}"/>
    <cellStyle name="Comma 5 10 3 2" xfId="28070" xr:uid="{00000000-0005-0000-0000-0000AC4B0000}"/>
    <cellStyle name="Comma 5 10 3 2 2" xfId="45747" xr:uid="{00000000-0005-0000-0000-0000AD4B0000}"/>
    <cellStyle name="Comma 5 10 3 3" xfId="32283" xr:uid="{00000000-0005-0000-0000-0000AE4B0000}"/>
    <cellStyle name="Comma 5 10 3 4" xfId="36498" xr:uid="{00000000-0005-0000-0000-0000AF4B0000}"/>
    <cellStyle name="Comma 5 10 3 5" xfId="40702" xr:uid="{00000000-0005-0000-0000-0000B04B0000}"/>
    <cellStyle name="Comma 5 10 4" xfId="25840" xr:uid="{00000000-0005-0000-0000-0000B14B0000}"/>
    <cellStyle name="Comma 5 10 4 2" xfId="44935" xr:uid="{00000000-0005-0000-0000-0000B24B0000}"/>
    <cellStyle name="Comma 5 10 5" xfId="30053" xr:uid="{00000000-0005-0000-0000-0000B34B0000}"/>
    <cellStyle name="Comma 5 10 6" xfId="34268" xr:uid="{00000000-0005-0000-0000-0000B44B0000}"/>
    <cellStyle name="Comma 5 10 7" xfId="38472" xr:uid="{00000000-0005-0000-0000-0000B54B0000}"/>
    <cellStyle name="Comma 5 11" xfId="9603" xr:uid="{00000000-0005-0000-0000-0000B64B0000}"/>
    <cellStyle name="Comma 5 11 2" xfId="12179" xr:uid="{00000000-0005-0000-0000-0000B74B0000}"/>
    <cellStyle name="Comma 5 11 2 2" xfId="28790" xr:uid="{00000000-0005-0000-0000-0000B84B0000}"/>
    <cellStyle name="Comma 5 11 2 2 2" xfId="46461" xr:uid="{00000000-0005-0000-0000-0000B94B0000}"/>
    <cellStyle name="Comma 5 11 2 3" xfId="33003" xr:uid="{00000000-0005-0000-0000-0000BA4B0000}"/>
    <cellStyle name="Comma 5 11 2 4" xfId="37218" xr:uid="{00000000-0005-0000-0000-0000BB4B0000}"/>
    <cellStyle name="Comma 5 11 2 5" xfId="41422" xr:uid="{00000000-0005-0000-0000-0000BC4B0000}"/>
    <cellStyle name="Comma 5 11 3" xfId="27140" xr:uid="{00000000-0005-0000-0000-0000BD4B0000}"/>
    <cellStyle name="Comma 5 11 3 2" xfId="45010" xr:uid="{00000000-0005-0000-0000-0000BE4B0000}"/>
    <cellStyle name="Comma 5 11 4" xfId="31353" xr:uid="{00000000-0005-0000-0000-0000BF4B0000}"/>
    <cellStyle name="Comma 5 11 5" xfId="35568" xr:uid="{00000000-0005-0000-0000-0000C04B0000}"/>
    <cellStyle name="Comma 5 11 6" xfId="39772" xr:uid="{00000000-0005-0000-0000-0000C14B0000}"/>
    <cellStyle name="Comma 5 12" xfId="9848" xr:uid="{00000000-0005-0000-0000-0000C24B0000}"/>
    <cellStyle name="Comma 5 12 2" xfId="11727" xr:uid="{00000000-0005-0000-0000-0000C34B0000}"/>
    <cellStyle name="Comma 5 12 2 2" xfId="28453" xr:uid="{00000000-0005-0000-0000-0000C44B0000}"/>
    <cellStyle name="Comma 5 12 2 2 2" xfId="46102" xr:uid="{00000000-0005-0000-0000-0000C54B0000}"/>
    <cellStyle name="Comma 5 12 2 3" xfId="32666" xr:uid="{00000000-0005-0000-0000-0000C64B0000}"/>
    <cellStyle name="Comma 5 12 2 4" xfId="36881" xr:uid="{00000000-0005-0000-0000-0000C74B0000}"/>
    <cellStyle name="Comma 5 12 2 5" xfId="41085" xr:uid="{00000000-0005-0000-0000-0000C84B0000}"/>
    <cellStyle name="Comma 5 12 3" xfId="27335" xr:uid="{00000000-0005-0000-0000-0000C94B0000}"/>
    <cellStyle name="Comma 5 12 3 2" xfId="45213" xr:uid="{00000000-0005-0000-0000-0000CA4B0000}"/>
    <cellStyle name="Comma 5 12 4" xfId="31548" xr:uid="{00000000-0005-0000-0000-0000CB4B0000}"/>
    <cellStyle name="Comma 5 12 5" xfId="35763" xr:uid="{00000000-0005-0000-0000-0000CC4B0000}"/>
    <cellStyle name="Comma 5 12 6" xfId="39967" xr:uid="{00000000-0005-0000-0000-0000CD4B0000}"/>
    <cellStyle name="Comma 5 13" xfId="10608" xr:uid="{00000000-0005-0000-0000-0000CE4B0000}"/>
    <cellStyle name="Comma 5 13 2" xfId="27800" xr:uid="{00000000-0005-0000-0000-0000CF4B0000}"/>
    <cellStyle name="Comma 5 13 2 2" xfId="45479" xr:uid="{00000000-0005-0000-0000-0000D04B0000}"/>
    <cellStyle name="Comma 5 13 3" xfId="32013" xr:uid="{00000000-0005-0000-0000-0000D14B0000}"/>
    <cellStyle name="Comma 5 13 4" xfId="36228" xr:uid="{00000000-0005-0000-0000-0000D24B0000}"/>
    <cellStyle name="Comma 5 13 5" xfId="40432" xr:uid="{00000000-0005-0000-0000-0000D34B0000}"/>
    <cellStyle name="Comma 5 14" xfId="12295" xr:uid="{00000000-0005-0000-0000-0000D44B0000}"/>
    <cellStyle name="Comma 5 14 2" xfId="28862" xr:uid="{00000000-0005-0000-0000-0000D54B0000}"/>
    <cellStyle name="Comma 5 14 3" xfId="33075" xr:uid="{00000000-0005-0000-0000-0000D64B0000}"/>
    <cellStyle name="Comma 5 14 4" xfId="37290" xr:uid="{00000000-0005-0000-0000-0000D74B0000}"/>
    <cellStyle name="Comma 5 14 5" xfId="41591" xr:uid="{00000000-0005-0000-0000-0000D84B0000}"/>
    <cellStyle name="Comma 5 15" xfId="24150" xr:uid="{00000000-0005-0000-0000-0000D94B0000}"/>
    <cellStyle name="Comma 5 15 2" xfId="29009" xr:uid="{00000000-0005-0000-0000-0000DA4B0000}"/>
    <cellStyle name="Comma 5 15 3" xfId="33226" xr:uid="{00000000-0005-0000-0000-0000DB4B0000}"/>
    <cellStyle name="Comma 5 15 4" xfId="37437" xr:uid="{00000000-0005-0000-0000-0000DC4B0000}"/>
    <cellStyle name="Comma 5 15 5" xfId="41854" xr:uid="{00000000-0005-0000-0000-0000DD4B0000}"/>
    <cellStyle name="Comma 5 16" xfId="25508" xr:uid="{00000000-0005-0000-0000-0000DE4B0000}"/>
    <cellStyle name="Comma 5 17" xfId="29720" xr:uid="{00000000-0005-0000-0000-0000DF4B0000}"/>
    <cellStyle name="Comma 5 18" xfId="33936" xr:uid="{00000000-0005-0000-0000-0000E04B0000}"/>
    <cellStyle name="Comma 5 19" xfId="38140" xr:uid="{00000000-0005-0000-0000-0000E14B0000}"/>
    <cellStyle name="Comma 5 2" xfId="8061" xr:uid="{00000000-0005-0000-0000-0000E24B0000}"/>
    <cellStyle name="Comma 5 2 2" xfId="10010" xr:uid="{00000000-0005-0000-0000-0000E34B0000}"/>
    <cellStyle name="Comma 5 2 2 2" xfId="12033" xr:uid="{00000000-0005-0000-0000-0000E44B0000}"/>
    <cellStyle name="Comma 5 2 2 2 2" xfId="28690" xr:uid="{00000000-0005-0000-0000-0000E54B0000}"/>
    <cellStyle name="Comma 5 2 2 2 2 2" xfId="46359" xr:uid="{00000000-0005-0000-0000-0000E64B0000}"/>
    <cellStyle name="Comma 5 2 2 2 3" xfId="32903" xr:uid="{00000000-0005-0000-0000-0000E74B0000}"/>
    <cellStyle name="Comma 5 2 2 2 4" xfId="37118" xr:uid="{00000000-0005-0000-0000-0000E84B0000}"/>
    <cellStyle name="Comma 5 2 2 2 5" xfId="41322" xr:uid="{00000000-0005-0000-0000-0000E94B0000}"/>
    <cellStyle name="Comma 5 2 2 3" xfId="27490" xr:uid="{00000000-0005-0000-0000-0000EA4B0000}"/>
    <cellStyle name="Comma 5 2 2 3 2" xfId="43101" xr:uid="{00000000-0005-0000-0000-0000EB4B0000}"/>
    <cellStyle name="Comma 5 2 2 4" xfId="31703" xr:uid="{00000000-0005-0000-0000-0000EC4B0000}"/>
    <cellStyle name="Comma 5 2 2 5" xfId="35918" xr:uid="{00000000-0005-0000-0000-0000ED4B0000}"/>
    <cellStyle name="Comma 5 2 2 6" xfId="40122" xr:uid="{00000000-0005-0000-0000-0000EE4B0000}"/>
    <cellStyle name="Comma 5 2 3" xfId="10794" xr:uid="{00000000-0005-0000-0000-0000EF4B0000}"/>
    <cellStyle name="Comma 5 2 3 2" xfId="27955" xr:uid="{00000000-0005-0000-0000-0000F04B0000}"/>
    <cellStyle name="Comma 5 2 3 2 2" xfId="45634" xr:uid="{00000000-0005-0000-0000-0000F14B0000}"/>
    <cellStyle name="Comma 5 2 3 3" xfId="32168" xr:uid="{00000000-0005-0000-0000-0000F24B0000}"/>
    <cellStyle name="Comma 5 2 3 4" xfId="36383" xr:uid="{00000000-0005-0000-0000-0000F34B0000}"/>
    <cellStyle name="Comma 5 2 3 5" xfId="40587" xr:uid="{00000000-0005-0000-0000-0000F44B0000}"/>
    <cellStyle name="Comma 5 2 4" xfId="15081" xr:uid="{00000000-0005-0000-0000-0000F54B0000}"/>
    <cellStyle name="Comma 5 2 4 2" xfId="28903" xr:uid="{00000000-0005-0000-0000-0000F64B0000}"/>
    <cellStyle name="Comma 5 2 4 3" xfId="33116" xr:uid="{00000000-0005-0000-0000-0000F74B0000}"/>
    <cellStyle name="Comma 5 2 4 4" xfId="37331" xr:uid="{00000000-0005-0000-0000-0000F84B0000}"/>
    <cellStyle name="Comma 5 2 4 5" xfId="41592" xr:uid="{00000000-0005-0000-0000-0000F94B0000}"/>
    <cellStyle name="Comma 5 2 5" xfId="24341" xr:uid="{00000000-0005-0000-0000-0000FA4B0000}"/>
    <cellStyle name="Comma 5 2 5 2" xfId="29026" xr:uid="{00000000-0005-0000-0000-0000FB4B0000}"/>
    <cellStyle name="Comma 5 2 5 3" xfId="33243" xr:uid="{00000000-0005-0000-0000-0000FC4B0000}"/>
    <cellStyle name="Comma 5 2 5 4" xfId="37454" xr:uid="{00000000-0005-0000-0000-0000FD4B0000}"/>
    <cellStyle name="Comma 5 2 5 5" xfId="41855" xr:uid="{00000000-0005-0000-0000-0000FE4B0000}"/>
    <cellStyle name="Comma 5 2 6" xfId="26344" xr:uid="{00000000-0005-0000-0000-0000FF4B0000}"/>
    <cellStyle name="Comma 5 2 7" xfId="30557" xr:uid="{00000000-0005-0000-0000-0000004C0000}"/>
    <cellStyle name="Comma 5 2 8" xfId="34772" xr:uid="{00000000-0005-0000-0000-0000014C0000}"/>
    <cellStyle name="Comma 5 2 9" xfId="38976" xr:uid="{00000000-0005-0000-0000-0000024C0000}"/>
    <cellStyle name="Comma 5 3" xfId="8062" xr:uid="{00000000-0005-0000-0000-0000034C0000}"/>
    <cellStyle name="Comma 5 3 2" xfId="10011" xr:uid="{00000000-0005-0000-0000-0000044C0000}"/>
    <cellStyle name="Comma 5 3 2 2" xfId="12034" xr:uid="{00000000-0005-0000-0000-0000054C0000}"/>
    <cellStyle name="Comma 5 3 2 2 2" xfId="28691" xr:uid="{00000000-0005-0000-0000-0000064C0000}"/>
    <cellStyle name="Comma 5 3 2 2 2 2" xfId="46360" xr:uid="{00000000-0005-0000-0000-0000074C0000}"/>
    <cellStyle name="Comma 5 3 2 2 3" xfId="32904" xr:uid="{00000000-0005-0000-0000-0000084C0000}"/>
    <cellStyle name="Comma 5 3 2 2 4" xfId="37119" xr:uid="{00000000-0005-0000-0000-0000094C0000}"/>
    <cellStyle name="Comma 5 3 2 2 5" xfId="41323" xr:uid="{00000000-0005-0000-0000-00000A4C0000}"/>
    <cellStyle name="Comma 5 3 2 3" xfId="27491" xr:uid="{00000000-0005-0000-0000-00000B4C0000}"/>
    <cellStyle name="Comma 5 3 2 3 2" xfId="43103" xr:uid="{00000000-0005-0000-0000-00000C4C0000}"/>
    <cellStyle name="Comma 5 3 2 4" xfId="31704" xr:uid="{00000000-0005-0000-0000-00000D4C0000}"/>
    <cellStyle name="Comma 5 3 2 5" xfId="35919" xr:uid="{00000000-0005-0000-0000-00000E4C0000}"/>
    <cellStyle name="Comma 5 3 2 6" xfId="40123" xr:uid="{00000000-0005-0000-0000-00000F4C0000}"/>
    <cellStyle name="Comma 5 3 3" xfId="10795" xr:uid="{00000000-0005-0000-0000-0000104C0000}"/>
    <cellStyle name="Comma 5 3 3 2" xfId="27956" xr:uid="{00000000-0005-0000-0000-0000114C0000}"/>
    <cellStyle name="Comma 5 3 3 2 2" xfId="43102" xr:uid="{00000000-0005-0000-0000-0000124C0000}"/>
    <cellStyle name="Comma 5 3 3 3" xfId="32169" xr:uid="{00000000-0005-0000-0000-0000134C0000}"/>
    <cellStyle name="Comma 5 3 3 4" xfId="36384" xr:uid="{00000000-0005-0000-0000-0000144C0000}"/>
    <cellStyle name="Comma 5 3 3 5" xfId="40588" xr:uid="{00000000-0005-0000-0000-0000154C0000}"/>
    <cellStyle name="Comma 5 3 4" xfId="17077" xr:uid="{00000000-0005-0000-0000-0000164C0000}"/>
    <cellStyle name="Comma 5 3 4 2" xfId="28919" xr:uid="{00000000-0005-0000-0000-0000174C0000}"/>
    <cellStyle name="Comma 5 3 4 3" xfId="33134" xr:uid="{00000000-0005-0000-0000-0000184C0000}"/>
    <cellStyle name="Comma 5 3 4 4" xfId="37347" xr:uid="{00000000-0005-0000-0000-0000194C0000}"/>
    <cellStyle name="Comma 5 3 4 5" xfId="41593" xr:uid="{00000000-0005-0000-0000-00001A4C0000}"/>
    <cellStyle name="Comma 5 3 5" xfId="26345" xr:uid="{00000000-0005-0000-0000-00001B4C0000}"/>
    <cellStyle name="Comma 5 3 5 2" xfId="41856" xr:uid="{00000000-0005-0000-0000-00001C4C0000}"/>
    <cellStyle name="Comma 5 3 6" xfId="30558" xr:uid="{00000000-0005-0000-0000-00001D4C0000}"/>
    <cellStyle name="Comma 5 3 7" xfId="34773" xr:uid="{00000000-0005-0000-0000-00001E4C0000}"/>
    <cellStyle name="Comma 5 3 8" xfId="38977" xr:uid="{00000000-0005-0000-0000-00001F4C0000}"/>
    <cellStyle name="Comma 5 4" xfId="8063" xr:uid="{00000000-0005-0000-0000-0000204C0000}"/>
    <cellStyle name="Comma 5 4 2" xfId="10012" xr:uid="{00000000-0005-0000-0000-0000214C0000}"/>
    <cellStyle name="Comma 5 4 2 2" xfId="12035" xr:uid="{00000000-0005-0000-0000-0000224C0000}"/>
    <cellStyle name="Comma 5 4 2 2 2" xfId="28692" xr:uid="{00000000-0005-0000-0000-0000234C0000}"/>
    <cellStyle name="Comma 5 4 2 2 2 2" xfId="46361" xr:uid="{00000000-0005-0000-0000-0000244C0000}"/>
    <cellStyle name="Comma 5 4 2 2 3" xfId="32905" xr:uid="{00000000-0005-0000-0000-0000254C0000}"/>
    <cellStyle name="Comma 5 4 2 2 4" xfId="37120" xr:uid="{00000000-0005-0000-0000-0000264C0000}"/>
    <cellStyle name="Comma 5 4 2 2 5" xfId="41324" xr:uid="{00000000-0005-0000-0000-0000274C0000}"/>
    <cellStyle name="Comma 5 4 2 3" xfId="27492" xr:uid="{00000000-0005-0000-0000-0000284C0000}"/>
    <cellStyle name="Comma 5 4 2 3 2" xfId="43104" xr:uid="{00000000-0005-0000-0000-0000294C0000}"/>
    <cellStyle name="Comma 5 4 2 4" xfId="31705" xr:uid="{00000000-0005-0000-0000-00002A4C0000}"/>
    <cellStyle name="Comma 5 4 2 5" xfId="35920" xr:uid="{00000000-0005-0000-0000-00002B4C0000}"/>
    <cellStyle name="Comma 5 4 2 6" xfId="40124" xr:uid="{00000000-0005-0000-0000-00002C4C0000}"/>
    <cellStyle name="Comma 5 4 3" xfId="10796" xr:uid="{00000000-0005-0000-0000-00002D4C0000}"/>
    <cellStyle name="Comma 5 4 3 2" xfId="27957" xr:uid="{00000000-0005-0000-0000-00002E4C0000}"/>
    <cellStyle name="Comma 5 4 3 2 2" xfId="45635" xr:uid="{00000000-0005-0000-0000-00002F4C0000}"/>
    <cellStyle name="Comma 5 4 3 3" xfId="32170" xr:uid="{00000000-0005-0000-0000-0000304C0000}"/>
    <cellStyle name="Comma 5 4 3 4" xfId="36385" xr:uid="{00000000-0005-0000-0000-0000314C0000}"/>
    <cellStyle name="Comma 5 4 3 5" xfId="40589" xr:uid="{00000000-0005-0000-0000-0000324C0000}"/>
    <cellStyle name="Comma 5 4 4" xfId="13337" xr:uid="{00000000-0005-0000-0000-0000334C0000}"/>
    <cellStyle name="Comma 5 4 4 2" xfId="28888" xr:uid="{00000000-0005-0000-0000-0000344C0000}"/>
    <cellStyle name="Comma 5 4 4 3" xfId="33101" xr:uid="{00000000-0005-0000-0000-0000354C0000}"/>
    <cellStyle name="Comma 5 4 4 4" xfId="37316" xr:uid="{00000000-0005-0000-0000-0000364C0000}"/>
    <cellStyle name="Comma 5 4 4 5" xfId="41594" xr:uid="{00000000-0005-0000-0000-0000374C0000}"/>
    <cellStyle name="Comma 5 4 5" xfId="26346" xr:uid="{00000000-0005-0000-0000-0000384C0000}"/>
    <cellStyle name="Comma 5 4 5 2" xfId="41857" xr:uid="{00000000-0005-0000-0000-0000394C0000}"/>
    <cellStyle name="Comma 5 4 6" xfId="30559" xr:uid="{00000000-0005-0000-0000-00003A4C0000}"/>
    <cellStyle name="Comma 5 4 7" xfId="34774" xr:uid="{00000000-0005-0000-0000-00003B4C0000}"/>
    <cellStyle name="Comma 5 4 8" xfId="38978" xr:uid="{00000000-0005-0000-0000-00003C4C0000}"/>
    <cellStyle name="Comma 5 5" xfId="8064" xr:uid="{00000000-0005-0000-0000-00003D4C0000}"/>
    <cellStyle name="Comma 5 5 2" xfId="10013" xr:uid="{00000000-0005-0000-0000-00003E4C0000}"/>
    <cellStyle name="Comma 5 5 2 2" xfId="12036" xr:uid="{00000000-0005-0000-0000-00003F4C0000}"/>
    <cellStyle name="Comma 5 5 2 2 2" xfId="28693" xr:uid="{00000000-0005-0000-0000-0000404C0000}"/>
    <cellStyle name="Comma 5 5 2 2 2 2" xfId="46362" xr:uid="{00000000-0005-0000-0000-0000414C0000}"/>
    <cellStyle name="Comma 5 5 2 2 3" xfId="32906" xr:uid="{00000000-0005-0000-0000-0000424C0000}"/>
    <cellStyle name="Comma 5 5 2 2 4" xfId="37121" xr:uid="{00000000-0005-0000-0000-0000434C0000}"/>
    <cellStyle name="Comma 5 5 2 2 5" xfId="41325" xr:uid="{00000000-0005-0000-0000-0000444C0000}"/>
    <cellStyle name="Comma 5 5 2 3" xfId="27493" xr:uid="{00000000-0005-0000-0000-0000454C0000}"/>
    <cellStyle name="Comma 5 5 2 3 2" xfId="43105" xr:uid="{00000000-0005-0000-0000-0000464C0000}"/>
    <cellStyle name="Comma 5 5 2 4" xfId="31706" xr:uid="{00000000-0005-0000-0000-0000474C0000}"/>
    <cellStyle name="Comma 5 5 2 5" xfId="35921" xr:uid="{00000000-0005-0000-0000-0000484C0000}"/>
    <cellStyle name="Comma 5 5 2 6" xfId="40125" xr:uid="{00000000-0005-0000-0000-0000494C0000}"/>
    <cellStyle name="Comma 5 5 3" xfId="10797" xr:uid="{00000000-0005-0000-0000-00004A4C0000}"/>
    <cellStyle name="Comma 5 5 3 2" xfId="27958" xr:uid="{00000000-0005-0000-0000-00004B4C0000}"/>
    <cellStyle name="Comma 5 5 3 2 2" xfId="45636" xr:uid="{00000000-0005-0000-0000-00004C4C0000}"/>
    <cellStyle name="Comma 5 5 3 3" xfId="32171" xr:uid="{00000000-0005-0000-0000-00004D4C0000}"/>
    <cellStyle name="Comma 5 5 3 4" xfId="36386" xr:uid="{00000000-0005-0000-0000-00004E4C0000}"/>
    <cellStyle name="Comma 5 5 3 5" xfId="40590" xr:uid="{00000000-0005-0000-0000-00004F4C0000}"/>
    <cellStyle name="Comma 5 5 4" xfId="12345" xr:uid="{00000000-0005-0000-0000-0000504C0000}"/>
    <cellStyle name="Comma 5 5 4 2" xfId="28870" xr:uid="{00000000-0005-0000-0000-0000514C0000}"/>
    <cellStyle name="Comma 5 5 4 3" xfId="33083" xr:uid="{00000000-0005-0000-0000-0000524C0000}"/>
    <cellStyle name="Comma 5 5 4 4" xfId="37298" xr:uid="{00000000-0005-0000-0000-0000534C0000}"/>
    <cellStyle name="Comma 5 5 4 5" xfId="41595" xr:uid="{00000000-0005-0000-0000-0000544C0000}"/>
    <cellStyle name="Comma 5 5 5" xfId="26347" xr:uid="{00000000-0005-0000-0000-0000554C0000}"/>
    <cellStyle name="Comma 5 5 5 2" xfId="41858" xr:uid="{00000000-0005-0000-0000-0000564C0000}"/>
    <cellStyle name="Comma 5 5 6" xfId="30560" xr:uid="{00000000-0005-0000-0000-0000574C0000}"/>
    <cellStyle name="Comma 5 5 7" xfId="34775" xr:uid="{00000000-0005-0000-0000-0000584C0000}"/>
    <cellStyle name="Comma 5 5 8" xfId="38979" xr:uid="{00000000-0005-0000-0000-0000594C0000}"/>
    <cellStyle name="Comma 5 6" xfId="8065" xr:uid="{00000000-0005-0000-0000-00005A4C0000}"/>
    <cellStyle name="Comma 5 6 2" xfId="10014" xr:uid="{00000000-0005-0000-0000-00005B4C0000}"/>
    <cellStyle name="Comma 5 6 2 2" xfId="12037" xr:uid="{00000000-0005-0000-0000-00005C4C0000}"/>
    <cellStyle name="Comma 5 6 2 2 2" xfId="28694" xr:uid="{00000000-0005-0000-0000-00005D4C0000}"/>
    <cellStyle name="Comma 5 6 2 2 2 2" xfId="46363" xr:uid="{00000000-0005-0000-0000-00005E4C0000}"/>
    <cellStyle name="Comma 5 6 2 2 3" xfId="32907" xr:uid="{00000000-0005-0000-0000-00005F4C0000}"/>
    <cellStyle name="Comma 5 6 2 2 4" xfId="37122" xr:uid="{00000000-0005-0000-0000-0000604C0000}"/>
    <cellStyle name="Comma 5 6 2 2 5" xfId="41326" xr:uid="{00000000-0005-0000-0000-0000614C0000}"/>
    <cellStyle name="Comma 5 6 2 3" xfId="27494" xr:uid="{00000000-0005-0000-0000-0000624C0000}"/>
    <cellStyle name="Comma 5 6 2 3 2" xfId="43106" xr:uid="{00000000-0005-0000-0000-0000634C0000}"/>
    <cellStyle name="Comma 5 6 2 4" xfId="31707" xr:uid="{00000000-0005-0000-0000-0000644C0000}"/>
    <cellStyle name="Comma 5 6 2 5" xfId="35922" xr:uid="{00000000-0005-0000-0000-0000654C0000}"/>
    <cellStyle name="Comma 5 6 2 6" xfId="40126" xr:uid="{00000000-0005-0000-0000-0000664C0000}"/>
    <cellStyle name="Comma 5 6 3" xfId="10798" xr:uid="{00000000-0005-0000-0000-0000674C0000}"/>
    <cellStyle name="Comma 5 6 3 2" xfId="27959" xr:uid="{00000000-0005-0000-0000-0000684C0000}"/>
    <cellStyle name="Comma 5 6 3 2 2" xfId="45637" xr:uid="{00000000-0005-0000-0000-0000694C0000}"/>
    <cellStyle name="Comma 5 6 3 3" xfId="32172" xr:uid="{00000000-0005-0000-0000-00006A4C0000}"/>
    <cellStyle name="Comma 5 6 3 4" xfId="36387" xr:uid="{00000000-0005-0000-0000-00006B4C0000}"/>
    <cellStyle name="Comma 5 6 3 5" xfId="40591" xr:uid="{00000000-0005-0000-0000-00006C4C0000}"/>
    <cellStyle name="Comma 5 6 4" xfId="26348" xr:uid="{00000000-0005-0000-0000-00006D4C0000}"/>
    <cellStyle name="Comma 5 6 4 2" xfId="41596" xr:uid="{00000000-0005-0000-0000-00006E4C0000}"/>
    <cellStyle name="Comma 5 6 5" xfId="30561" xr:uid="{00000000-0005-0000-0000-00006F4C0000}"/>
    <cellStyle name="Comma 5 6 5 2" xfId="41859" xr:uid="{00000000-0005-0000-0000-0000704C0000}"/>
    <cellStyle name="Comma 5 6 6" xfId="34776" xr:uid="{00000000-0005-0000-0000-0000714C0000}"/>
    <cellStyle name="Comma 5 6 7" xfId="38980" xr:uid="{00000000-0005-0000-0000-0000724C0000}"/>
    <cellStyle name="Comma 5 7" xfId="8066" xr:uid="{00000000-0005-0000-0000-0000734C0000}"/>
    <cellStyle name="Comma 5 7 2" xfId="10015" xr:uid="{00000000-0005-0000-0000-0000744C0000}"/>
    <cellStyle name="Comma 5 7 2 2" xfId="12038" xr:uid="{00000000-0005-0000-0000-0000754C0000}"/>
    <cellStyle name="Comma 5 7 2 2 2" xfId="28695" xr:uid="{00000000-0005-0000-0000-0000764C0000}"/>
    <cellStyle name="Comma 5 7 2 2 2 2" xfId="46364" xr:uid="{00000000-0005-0000-0000-0000774C0000}"/>
    <cellStyle name="Comma 5 7 2 2 3" xfId="32908" xr:uid="{00000000-0005-0000-0000-0000784C0000}"/>
    <cellStyle name="Comma 5 7 2 2 4" xfId="37123" xr:uid="{00000000-0005-0000-0000-0000794C0000}"/>
    <cellStyle name="Comma 5 7 2 2 5" xfId="41327" xr:uid="{00000000-0005-0000-0000-00007A4C0000}"/>
    <cellStyle name="Comma 5 7 2 3" xfId="27495" xr:uid="{00000000-0005-0000-0000-00007B4C0000}"/>
    <cellStyle name="Comma 5 7 2 3 2" xfId="43107" xr:uid="{00000000-0005-0000-0000-00007C4C0000}"/>
    <cellStyle name="Comma 5 7 2 4" xfId="31708" xr:uid="{00000000-0005-0000-0000-00007D4C0000}"/>
    <cellStyle name="Comma 5 7 2 5" xfId="35923" xr:uid="{00000000-0005-0000-0000-00007E4C0000}"/>
    <cellStyle name="Comma 5 7 2 6" xfId="40127" xr:uid="{00000000-0005-0000-0000-00007F4C0000}"/>
    <cellStyle name="Comma 5 7 3" xfId="10799" xr:uid="{00000000-0005-0000-0000-0000804C0000}"/>
    <cellStyle name="Comma 5 7 3 2" xfId="27960" xr:uid="{00000000-0005-0000-0000-0000814C0000}"/>
    <cellStyle name="Comma 5 7 3 2 2" xfId="45638" xr:uid="{00000000-0005-0000-0000-0000824C0000}"/>
    <cellStyle name="Comma 5 7 3 3" xfId="32173" xr:uid="{00000000-0005-0000-0000-0000834C0000}"/>
    <cellStyle name="Comma 5 7 3 4" xfId="36388" xr:uid="{00000000-0005-0000-0000-0000844C0000}"/>
    <cellStyle name="Comma 5 7 3 5" xfId="40592" xr:uid="{00000000-0005-0000-0000-0000854C0000}"/>
    <cellStyle name="Comma 5 7 4" xfId="26349" xr:uid="{00000000-0005-0000-0000-0000864C0000}"/>
    <cellStyle name="Comma 5 7 4 2" xfId="41597" xr:uid="{00000000-0005-0000-0000-0000874C0000}"/>
    <cellStyle name="Comma 5 7 5" xfId="30562" xr:uid="{00000000-0005-0000-0000-0000884C0000}"/>
    <cellStyle name="Comma 5 7 5 2" xfId="41860" xr:uid="{00000000-0005-0000-0000-0000894C0000}"/>
    <cellStyle name="Comma 5 7 6" xfId="34777" xr:uid="{00000000-0005-0000-0000-00008A4C0000}"/>
    <cellStyle name="Comma 5 7 7" xfId="38981" xr:uid="{00000000-0005-0000-0000-00008B4C0000}"/>
    <cellStyle name="Comma 5 8" xfId="8067" xr:uid="{00000000-0005-0000-0000-00008C4C0000}"/>
    <cellStyle name="Comma 5 8 2" xfId="10016" xr:uid="{00000000-0005-0000-0000-00008D4C0000}"/>
    <cellStyle name="Comma 5 8 2 2" xfId="12039" xr:uid="{00000000-0005-0000-0000-00008E4C0000}"/>
    <cellStyle name="Comma 5 8 2 2 2" xfId="28696" xr:uid="{00000000-0005-0000-0000-00008F4C0000}"/>
    <cellStyle name="Comma 5 8 2 2 2 2" xfId="46365" xr:uid="{00000000-0005-0000-0000-0000904C0000}"/>
    <cellStyle name="Comma 5 8 2 2 3" xfId="32909" xr:uid="{00000000-0005-0000-0000-0000914C0000}"/>
    <cellStyle name="Comma 5 8 2 2 4" xfId="37124" xr:uid="{00000000-0005-0000-0000-0000924C0000}"/>
    <cellStyle name="Comma 5 8 2 2 5" xfId="41328" xr:uid="{00000000-0005-0000-0000-0000934C0000}"/>
    <cellStyle name="Comma 5 8 2 3" xfId="27496" xr:uid="{00000000-0005-0000-0000-0000944C0000}"/>
    <cellStyle name="Comma 5 8 2 3 2" xfId="43108" xr:uid="{00000000-0005-0000-0000-0000954C0000}"/>
    <cellStyle name="Comma 5 8 2 4" xfId="31709" xr:uid="{00000000-0005-0000-0000-0000964C0000}"/>
    <cellStyle name="Comma 5 8 2 5" xfId="35924" xr:uid="{00000000-0005-0000-0000-0000974C0000}"/>
    <cellStyle name="Comma 5 8 2 6" xfId="40128" xr:uid="{00000000-0005-0000-0000-0000984C0000}"/>
    <cellStyle name="Comma 5 8 3" xfId="10800" xr:uid="{00000000-0005-0000-0000-0000994C0000}"/>
    <cellStyle name="Comma 5 8 3 2" xfId="27961" xr:uid="{00000000-0005-0000-0000-00009A4C0000}"/>
    <cellStyle name="Comma 5 8 3 2 2" xfId="45639" xr:uid="{00000000-0005-0000-0000-00009B4C0000}"/>
    <cellStyle name="Comma 5 8 3 3" xfId="32174" xr:uid="{00000000-0005-0000-0000-00009C4C0000}"/>
    <cellStyle name="Comma 5 8 3 4" xfId="36389" xr:uid="{00000000-0005-0000-0000-00009D4C0000}"/>
    <cellStyle name="Comma 5 8 3 5" xfId="40593" xr:uid="{00000000-0005-0000-0000-00009E4C0000}"/>
    <cellStyle name="Comma 5 8 4" xfId="26350" xr:uid="{00000000-0005-0000-0000-00009F4C0000}"/>
    <cellStyle name="Comma 5 8 4 2" xfId="41598" xr:uid="{00000000-0005-0000-0000-0000A04C0000}"/>
    <cellStyle name="Comma 5 8 5" xfId="30563" xr:uid="{00000000-0005-0000-0000-0000A14C0000}"/>
    <cellStyle name="Comma 5 8 5 2" xfId="41861" xr:uid="{00000000-0005-0000-0000-0000A24C0000}"/>
    <cellStyle name="Comma 5 8 6" xfId="34778" xr:uid="{00000000-0005-0000-0000-0000A34C0000}"/>
    <cellStyle name="Comma 5 8 7" xfId="38982" xr:uid="{00000000-0005-0000-0000-0000A44C0000}"/>
    <cellStyle name="Comma 5 9" xfId="8060" xr:uid="{00000000-0005-0000-0000-0000A54C0000}"/>
    <cellStyle name="Comma 5 9 2" xfId="10009" xr:uid="{00000000-0005-0000-0000-0000A64C0000}"/>
    <cellStyle name="Comma 5 9 2 2" xfId="12032" xr:uid="{00000000-0005-0000-0000-0000A74C0000}"/>
    <cellStyle name="Comma 5 9 2 2 2" xfId="28689" xr:uid="{00000000-0005-0000-0000-0000A84C0000}"/>
    <cellStyle name="Comma 5 9 2 2 2 2" xfId="46358" xr:uid="{00000000-0005-0000-0000-0000A94C0000}"/>
    <cellStyle name="Comma 5 9 2 2 3" xfId="32902" xr:uid="{00000000-0005-0000-0000-0000AA4C0000}"/>
    <cellStyle name="Comma 5 9 2 2 4" xfId="37117" xr:uid="{00000000-0005-0000-0000-0000AB4C0000}"/>
    <cellStyle name="Comma 5 9 2 2 5" xfId="41321" xr:uid="{00000000-0005-0000-0000-0000AC4C0000}"/>
    <cellStyle name="Comma 5 9 2 3" xfId="27489" xr:uid="{00000000-0005-0000-0000-0000AD4C0000}"/>
    <cellStyle name="Comma 5 9 2 3 2" xfId="45229" xr:uid="{00000000-0005-0000-0000-0000AE4C0000}"/>
    <cellStyle name="Comma 5 9 2 4" xfId="31702" xr:uid="{00000000-0005-0000-0000-0000AF4C0000}"/>
    <cellStyle name="Comma 5 9 2 5" xfId="35917" xr:uid="{00000000-0005-0000-0000-0000B04C0000}"/>
    <cellStyle name="Comma 5 9 2 6" xfId="40121" xr:uid="{00000000-0005-0000-0000-0000B14C0000}"/>
    <cellStyle name="Comma 5 9 3" xfId="10793" xr:uid="{00000000-0005-0000-0000-0000B24C0000}"/>
    <cellStyle name="Comma 5 9 3 2" xfId="27954" xr:uid="{00000000-0005-0000-0000-0000B34C0000}"/>
    <cellStyle name="Comma 5 9 3 2 2" xfId="45633" xr:uid="{00000000-0005-0000-0000-0000B44C0000}"/>
    <cellStyle name="Comma 5 9 3 3" xfId="32167" xr:uid="{00000000-0005-0000-0000-0000B54C0000}"/>
    <cellStyle name="Comma 5 9 3 4" xfId="36382" xr:uid="{00000000-0005-0000-0000-0000B64C0000}"/>
    <cellStyle name="Comma 5 9 3 5" xfId="40586" xr:uid="{00000000-0005-0000-0000-0000B74C0000}"/>
    <cellStyle name="Comma 5 9 4" xfId="26343" xr:uid="{00000000-0005-0000-0000-0000B84C0000}"/>
    <cellStyle name="Comma 5 9 4 2" xfId="43100" xr:uid="{00000000-0005-0000-0000-0000B94C0000}"/>
    <cellStyle name="Comma 5 9 5" xfId="30556" xr:uid="{00000000-0005-0000-0000-0000BA4C0000}"/>
    <cellStyle name="Comma 5 9 6" xfId="34771" xr:uid="{00000000-0005-0000-0000-0000BB4C0000}"/>
    <cellStyle name="Comma 5 9 7" xfId="38975" xr:uid="{00000000-0005-0000-0000-0000BC4C0000}"/>
    <cellStyle name="Comma 6" xfId="7326" xr:uid="{00000000-0005-0000-0000-0000BD4C0000}"/>
    <cellStyle name="Comma 6 10" xfId="9575" xr:uid="{00000000-0005-0000-0000-0000BE4C0000}"/>
    <cellStyle name="Comma 6 10 2" xfId="10216" xr:uid="{00000000-0005-0000-0000-0000BF4C0000}"/>
    <cellStyle name="Comma 6 10 2 2" xfId="12178" xr:uid="{00000000-0005-0000-0000-0000C04C0000}"/>
    <cellStyle name="Comma 6 10 2 2 2" xfId="28789" xr:uid="{00000000-0005-0000-0000-0000C14C0000}"/>
    <cellStyle name="Comma 6 10 2 2 2 2" xfId="46460" xr:uid="{00000000-0005-0000-0000-0000C24C0000}"/>
    <cellStyle name="Comma 6 10 2 2 3" xfId="33002" xr:uid="{00000000-0005-0000-0000-0000C34C0000}"/>
    <cellStyle name="Comma 6 10 2 2 4" xfId="37217" xr:uid="{00000000-0005-0000-0000-0000C44C0000}"/>
    <cellStyle name="Comma 6 10 2 2 5" xfId="41421" xr:uid="{00000000-0005-0000-0000-0000C54C0000}"/>
    <cellStyle name="Comma 6 10 2 3" xfId="27607" xr:uid="{00000000-0005-0000-0000-0000C64C0000}"/>
    <cellStyle name="Comma 6 10 2 3 2" xfId="45285" xr:uid="{00000000-0005-0000-0000-0000C74C0000}"/>
    <cellStyle name="Comma 6 10 2 4" xfId="31820" xr:uid="{00000000-0005-0000-0000-0000C84C0000}"/>
    <cellStyle name="Comma 6 10 2 5" xfId="36035" xr:uid="{00000000-0005-0000-0000-0000C94C0000}"/>
    <cellStyle name="Comma 6 10 2 6" xfId="40239" xr:uid="{00000000-0005-0000-0000-0000CA4C0000}"/>
    <cellStyle name="Comma 6 10 3" xfId="10974" xr:uid="{00000000-0005-0000-0000-0000CB4C0000}"/>
    <cellStyle name="Comma 6 10 3 2" xfId="28071" xr:uid="{00000000-0005-0000-0000-0000CC4C0000}"/>
    <cellStyle name="Comma 6 10 3 2 2" xfId="45748" xr:uid="{00000000-0005-0000-0000-0000CD4C0000}"/>
    <cellStyle name="Comma 6 10 3 3" xfId="32284" xr:uid="{00000000-0005-0000-0000-0000CE4C0000}"/>
    <cellStyle name="Comma 6 10 3 4" xfId="36499" xr:uid="{00000000-0005-0000-0000-0000CF4C0000}"/>
    <cellStyle name="Comma 6 10 3 5" xfId="40703" xr:uid="{00000000-0005-0000-0000-0000D04C0000}"/>
    <cellStyle name="Comma 6 10 4" xfId="27139" xr:uid="{00000000-0005-0000-0000-0000D14C0000}"/>
    <cellStyle name="Comma 6 10 4 2" xfId="45009" xr:uid="{00000000-0005-0000-0000-0000D24C0000}"/>
    <cellStyle name="Comma 6 10 5" xfId="31352" xr:uid="{00000000-0005-0000-0000-0000D34C0000}"/>
    <cellStyle name="Comma 6 10 6" xfId="35567" xr:uid="{00000000-0005-0000-0000-0000D44C0000}"/>
    <cellStyle name="Comma 6 10 7" xfId="39771" xr:uid="{00000000-0005-0000-0000-0000D54C0000}"/>
    <cellStyle name="Comma 6 11" xfId="9851" xr:uid="{00000000-0005-0000-0000-0000D64C0000}"/>
    <cellStyle name="Comma 6 11 2" xfId="11855" xr:uid="{00000000-0005-0000-0000-0000D74C0000}"/>
    <cellStyle name="Comma 6 11 2 2" xfId="28538" xr:uid="{00000000-0005-0000-0000-0000D84C0000}"/>
    <cellStyle name="Comma 6 11 2 2 2" xfId="46204" xr:uid="{00000000-0005-0000-0000-0000D94C0000}"/>
    <cellStyle name="Comma 6 11 2 3" xfId="32751" xr:uid="{00000000-0005-0000-0000-0000DA4C0000}"/>
    <cellStyle name="Comma 6 11 2 4" xfId="36966" xr:uid="{00000000-0005-0000-0000-0000DB4C0000}"/>
    <cellStyle name="Comma 6 11 2 5" xfId="41170" xr:uid="{00000000-0005-0000-0000-0000DC4C0000}"/>
    <cellStyle name="Comma 6 11 3" xfId="27338" xr:uid="{00000000-0005-0000-0000-0000DD4C0000}"/>
    <cellStyle name="Comma 6 11 3 2" xfId="45216" xr:uid="{00000000-0005-0000-0000-0000DE4C0000}"/>
    <cellStyle name="Comma 6 11 4" xfId="31551" xr:uid="{00000000-0005-0000-0000-0000DF4C0000}"/>
    <cellStyle name="Comma 6 11 5" xfId="35766" xr:uid="{00000000-0005-0000-0000-0000E04C0000}"/>
    <cellStyle name="Comma 6 11 6" xfId="39970" xr:uid="{00000000-0005-0000-0000-0000E14C0000}"/>
    <cellStyle name="Comma 6 12" xfId="10621" xr:uid="{00000000-0005-0000-0000-0000E24C0000}"/>
    <cellStyle name="Comma 6 12 2" xfId="27803" xr:uid="{00000000-0005-0000-0000-0000E34C0000}"/>
    <cellStyle name="Comma 6 12 2 2" xfId="45482" xr:uid="{00000000-0005-0000-0000-0000E44C0000}"/>
    <cellStyle name="Comma 6 12 3" xfId="32016" xr:uid="{00000000-0005-0000-0000-0000E54C0000}"/>
    <cellStyle name="Comma 6 12 4" xfId="36231" xr:uid="{00000000-0005-0000-0000-0000E64C0000}"/>
    <cellStyle name="Comma 6 12 5" xfId="40435" xr:uid="{00000000-0005-0000-0000-0000E74C0000}"/>
    <cellStyle name="Comma 6 13" xfId="12294" xr:uid="{00000000-0005-0000-0000-0000E84C0000}"/>
    <cellStyle name="Comma 6 13 2" xfId="28861" xr:uid="{00000000-0005-0000-0000-0000E94C0000}"/>
    <cellStyle name="Comma 6 13 3" xfId="33074" xr:uid="{00000000-0005-0000-0000-0000EA4C0000}"/>
    <cellStyle name="Comma 6 13 4" xfId="37289" xr:uid="{00000000-0005-0000-0000-0000EB4C0000}"/>
    <cellStyle name="Comma 6 13 5" xfId="41599" xr:uid="{00000000-0005-0000-0000-0000EC4C0000}"/>
    <cellStyle name="Comma 6 14" xfId="24148" xr:uid="{00000000-0005-0000-0000-0000ED4C0000}"/>
    <cellStyle name="Comma 6 14 2" xfId="29008" xr:uid="{00000000-0005-0000-0000-0000EE4C0000}"/>
    <cellStyle name="Comma 6 14 3" xfId="33225" xr:uid="{00000000-0005-0000-0000-0000EF4C0000}"/>
    <cellStyle name="Comma 6 14 4" xfId="37436" xr:uid="{00000000-0005-0000-0000-0000F04C0000}"/>
    <cellStyle name="Comma 6 14 5" xfId="41862" xr:uid="{00000000-0005-0000-0000-0000F14C0000}"/>
    <cellStyle name="Comma 6 15" xfId="25959" xr:uid="{00000000-0005-0000-0000-0000F24C0000}"/>
    <cellStyle name="Comma 6 16" xfId="30172" xr:uid="{00000000-0005-0000-0000-0000F34C0000}"/>
    <cellStyle name="Comma 6 17" xfId="34387" xr:uid="{00000000-0005-0000-0000-0000F44C0000}"/>
    <cellStyle name="Comma 6 18" xfId="38591" xr:uid="{00000000-0005-0000-0000-0000F54C0000}"/>
    <cellStyle name="Comma 6 2" xfId="8069" xr:uid="{00000000-0005-0000-0000-0000F64C0000}"/>
    <cellStyle name="Comma 6 2 2" xfId="10018" xr:uid="{00000000-0005-0000-0000-0000F74C0000}"/>
    <cellStyle name="Comma 6 2 2 2" xfId="12041" xr:uid="{00000000-0005-0000-0000-0000F84C0000}"/>
    <cellStyle name="Comma 6 2 2 2 2" xfId="28698" xr:uid="{00000000-0005-0000-0000-0000F94C0000}"/>
    <cellStyle name="Comma 6 2 2 2 2 2" xfId="46367" xr:uid="{00000000-0005-0000-0000-0000FA4C0000}"/>
    <cellStyle name="Comma 6 2 2 2 3" xfId="32911" xr:uid="{00000000-0005-0000-0000-0000FB4C0000}"/>
    <cellStyle name="Comma 6 2 2 2 4" xfId="37126" xr:uid="{00000000-0005-0000-0000-0000FC4C0000}"/>
    <cellStyle name="Comma 6 2 2 2 5" xfId="41330" xr:uid="{00000000-0005-0000-0000-0000FD4C0000}"/>
    <cellStyle name="Comma 6 2 2 3" xfId="27498" xr:uid="{00000000-0005-0000-0000-0000FE4C0000}"/>
    <cellStyle name="Comma 6 2 2 3 2" xfId="43110" xr:uid="{00000000-0005-0000-0000-0000FF4C0000}"/>
    <cellStyle name="Comma 6 2 2 4" xfId="31711" xr:uid="{00000000-0005-0000-0000-0000004D0000}"/>
    <cellStyle name="Comma 6 2 2 5" xfId="35926" xr:uid="{00000000-0005-0000-0000-0000014D0000}"/>
    <cellStyle name="Comma 6 2 2 6" xfId="40130" xr:uid="{00000000-0005-0000-0000-0000024D0000}"/>
    <cellStyle name="Comma 6 2 3" xfId="10802" xr:uid="{00000000-0005-0000-0000-0000034D0000}"/>
    <cellStyle name="Comma 6 2 3 2" xfId="27963" xr:uid="{00000000-0005-0000-0000-0000044D0000}"/>
    <cellStyle name="Comma 6 2 3 2 2" xfId="45641" xr:uid="{00000000-0005-0000-0000-0000054D0000}"/>
    <cellStyle name="Comma 6 2 3 3" xfId="32176" xr:uid="{00000000-0005-0000-0000-0000064D0000}"/>
    <cellStyle name="Comma 6 2 3 4" xfId="36391" xr:uid="{00000000-0005-0000-0000-0000074D0000}"/>
    <cellStyle name="Comma 6 2 3 5" xfId="40595" xr:uid="{00000000-0005-0000-0000-0000084D0000}"/>
    <cellStyle name="Comma 6 2 4" xfId="16149" xr:uid="{00000000-0005-0000-0000-0000094D0000}"/>
    <cellStyle name="Comma 6 2 4 2" xfId="28911" xr:uid="{00000000-0005-0000-0000-00000A4D0000}"/>
    <cellStyle name="Comma 6 2 4 3" xfId="33126" xr:uid="{00000000-0005-0000-0000-00000B4D0000}"/>
    <cellStyle name="Comma 6 2 4 4" xfId="37339" xr:uid="{00000000-0005-0000-0000-00000C4D0000}"/>
    <cellStyle name="Comma 6 2 4 5" xfId="41600" xr:uid="{00000000-0005-0000-0000-00000D4D0000}"/>
    <cellStyle name="Comma 6 2 5" xfId="24340" xr:uid="{00000000-0005-0000-0000-00000E4D0000}"/>
    <cellStyle name="Comma 6 2 5 2" xfId="29025" xr:uid="{00000000-0005-0000-0000-00000F4D0000}"/>
    <cellStyle name="Comma 6 2 5 3" xfId="33242" xr:uid="{00000000-0005-0000-0000-0000104D0000}"/>
    <cellStyle name="Comma 6 2 5 4" xfId="37453" xr:uid="{00000000-0005-0000-0000-0000114D0000}"/>
    <cellStyle name="Comma 6 2 5 5" xfId="41863" xr:uid="{00000000-0005-0000-0000-0000124D0000}"/>
    <cellStyle name="Comma 6 2 6" xfId="26352" xr:uid="{00000000-0005-0000-0000-0000134D0000}"/>
    <cellStyle name="Comma 6 2 7" xfId="30565" xr:uid="{00000000-0005-0000-0000-0000144D0000}"/>
    <cellStyle name="Comma 6 2 8" xfId="34780" xr:uid="{00000000-0005-0000-0000-0000154D0000}"/>
    <cellStyle name="Comma 6 2 9" xfId="38984" xr:uid="{00000000-0005-0000-0000-0000164D0000}"/>
    <cellStyle name="Comma 6 3" xfId="8070" xr:uid="{00000000-0005-0000-0000-0000174D0000}"/>
    <cellStyle name="Comma 6 3 2" xfId="10019" xr:uid="{00000000-0005-0000-0000-0000184D0000}"/>
    <cellStyle name="Comma 6 3 2 2" xfId="12042" xr:uid="{00000000-0005-0000-0000-0000194D0000}"/>
    <cellStyle name="Comma 6 3 2 2 2" xfId="28699" xr:uid="{00000000-0005-0000-0000-00001A4D0000}"/>
    <cellStyle name="Comma 6 3 2 2 2 2" xfId="46368" xr:uid="{00000000-0005-0000-0000-00001B4D0000}"/>
    <cellStyle name="Comma 6 3 2 2 3" xfId="32912" xr:uid="{00000000-0005-0000-0000-00001C4D0000}"/>
    <cellStyle name="Comma 6 3 2 2 4" xfId="37127" xr:uid="{00000000-0005-0000-0000-00001D4D0000}"/>
    <cellStyle name="Comma 6 3 2 2 5" xfId="41331" xr:uid="{00000000-0005-0000-0000-00001E4D0000}"/>
    <cellStyle name="Comma 6 3 2 3" xfId="27499" xr:uid="{00000000-0005-0000-0000-00001F4D0000}"/>
    <cellStyle name="Comma 6 3 2 3 2" xfId="43111" xr:uid="{00000000-0005-0000-0000-0000204D0000}"/>
    <cellStyle name="Comma 6 3 2 4" xfId="31712" xr:uid="{00000000-0005-0000-0000-0000214D0000}"/>
    <cellStyle name="Comma 6 3 2 5" xfId="35927" xr:uid="{00000000-0005-0000-0000-0000224D0000}"/>
    <cellStyle name="Comma 6 3 2 6" xfId="40131" xr:uid="{00000000-0005-0000-0000-0000234D0000}"/>
    <cellStyle name="Comma 6 3 3" xfId="10803" xr:uid="{00000000-0005-0000-0000-0000244D0000}"/>
    <cellStyle name="Comma 6 3 3 2" xfId="27964" xr:uid="{00000000-0005-0000-0000-0000254D0000}"/>
    <cellStyle name="Comma 6 3 3 2 2" xfId="45642" xr:uid="{00000000-0005-0000-0000-0000264D0000}"/>
    <cellStyle name="Comma 6 3 3 3" xfId="32177" xr:uid="{00000000-0005-0000-0000-0000274D0000}"/>
    <cellStyle name="Comma 6 3 3 4" xfId="36392" xr:uid="{00000000-0005-0000-0000-0000284D0000}"/>
    <cellStyle name="Comma 6 3 3 5" xfId="40596" xr:uid="{00000000-0005-0000-0000-0000294D0000}"/>
    <cellStyle name="Comma 6 3 4" xfId="17778" xr:uid="{00000000-0005-0000-0000-00002A4D0000}"/>
    <cellStyle name="Comma 6 3 4 2" xfId="28925" xr:uid="{00000000-0005-0000-0000-00002B4D0000}"/>
    <cellStyle name="Comma 6 3 4 3" xfId="33140" xr:uid="{00000000-0005-0000-0000-00002C4D0000}"/>
    <cellStyle name="Comma 6 3 4 4" xfId="37353" xr:uid="{00000000-0005-0000-0000-00002D4D0000}"/>
    <cellStyle name="Comma 6 3 4 5" xfId="41601" xr:uid="{00000000-0005-0000-0000-00002E4D0000}"/>
    <cellStyle name="Comma 6 3 5" xfId="26353" xr:uid="{00000000-0005-0000-0000-00002F4D0000}"/>
    <cellStyle name="Comma 6 3 5 2" xfId="41864" xr:uid="{00000000-0005-0000-0000-0000304D0000}"/>
    <cellStyle name="Comma 6 3 6" xfId="30566" xr:uid="{00000000-0005-0000-0000-0000314D0000}"/>
    <cellStyle name="Comma 6 3 7" xfId="34781" xr:uid="{00000000-0005-0000-0000-0000324D0000}"/>
    <cellStyle name="Comma 6 3 8" xfId="38985" xr:uid="{00000000-0005-0000-0000-0000334D0000}"/>
    <cellStyle name="Comma 6 4" xfId="8071" xr:uid="{00000000-0005-0000-0000-0000344D0000}"/>
    <cellStyle name="Comma 6 4 2" xfId="10020" xr:uid="{00000000-0005-0000-0000-0000354D0000}"/>
    <cellStyle name="Comma 6 4 2 2" xfId="12043" xr:uid="{00000000-0005-0000-0000-0000364D0000}"/>
    <cellStyle name="Comma 6 4 2 2 2" xfId="28700" xr:uid="{00000000-0005-0000-0000-0000374D0000}"/>
    <cellStyle name="Comma 6 4 2 2 2 2" xfId="46369" xr:uid="{00000000-0005-0000-0000-0000384D0000}"/>
    <cellStyle name="Comma 6 4 2 2 3" xfId="32913" xr:uid="{00000000-0005-0000-0000-0000394D0000}"/>
    <cellStyle name="Comma 6 4 2 2 4" xfId="37128" xr:uid="{00000000-0005-0000-0000-00003A4D0000}"/>
    <cellStyle name="Comma 6 4 2 2 5" xfId="41332" xr:uid="{00000000-0005-0000-0000-00003B4D0000}"/>
    <cellStyle name="Comma 6 4 2 3" xfId="27500" xr:uid="{00000000-0005-0000-0000-00003C4D0000}"/>
    <cellStyle name="Comma 6 4 2 3 2" xfId="43112" xr:uid="{00000000-0005-0000-0000-00003D4D0000}"/>
    <cellStyle name="Comma 6 4 2 4" xfId="31713" xr:uid="{00000000-0005-0000-0000-00003E4D0000}"/>
    <cellStyle name="Comma 6 4 2 5" xfId="35928" xr:uid="{00000000-0005-0000-0000-00003F4D0000}"/>
    <cellStyle name="Comma 6 4 2 6" xfId="40132" xr:uid="{00000000-0005-0000-0000-0000404D0000}"/>
    <cellStyle name="Comma 6 4 3" xfId="10804" xr:uid="{00000000-0005-0000-0000-0000414D0000}"/>
    <cellStyle name="Comma 6 4 3 2" xfId="27965" xr:uid="{00000000-0005-0000-0000-0000424D0000}"/>
    <cellStyle name="Comma 6 4 3 2 2" xfId="45643" xr:uid="{00000000-0005-0000-0000-0000434D0000}"/>
    <cellStyle name="Comma 6 4 3 3" xfId="32178" xr:uid="{00000000-0005-0000-0000-0000444D0000}"/>
    <cellStyle name="Comma 6 4 3 4" xfId="36393" xr:uid="{00000000-0005-0000-0000-0000454D0000}"/>
    <cellStyle name="Comma 6 4 3 5" xfId="40597" xr:uid="{00000000-0005-0000-0000-0000464D0000}"/>
    <cellStyle name="Comma 6 4 4" xfId="13982" xr:uid="{00000000-0005-0000-0000-0000474D0000}"/>
    <cellStyle name="Comma 6 4 4 2" xfId="28894" xr:uid="{00000000-0005-0000-0000-0000484D0000}"/>
    <cellStyle name="Comma 6 4 4 3" xfId="33107" xr:uid="{00000000-0005-0000-0000-0000494D0000}"/>
    <cellStyle name="Comma 6 4 4 4" xfId="37322" xr:uid="{00000000-0005-0000-0000-00004A4D0000}"/>
    <cellStyle name="Comma 6 4 4 5" xfId="41602" xr:uid="{00000000-0005-0000-0000-00004B4D0000}"/>
    <cellStyle name="Comma 6 4 5" xfId="26354" xr:uid="{00000000-0005-0000-0000-00004C4D0000}"/>
    <cellStyle name="Comma 6 4 5 2" xfId="41865" xr:uid="{00000000-0005-0000-0000-00004D4D0000}"/>
    <cellStyle name="Comma 6 4 6" xfId="30567" xr:uid="{00000000-0005-0000-0000-00004E4D0000}"/>
    <cellStyle name="Comma 6 4 7" xfId="34782" xr:uid="{00000000-0005-0000-0000-00004F4D0000}"/>
    <cellStyle name="Comma 6 4 8" xfId="38986" xr:uid="{00000000-0005-0000-0000-0000504D0000}"/>
    <cellStyle name="Comma 6 5" xfId="8072" xr:uid="{00000000-0005-0000-0000-0000514D0000}"/>
    <cellStyle name="Comma 6 5 2" xfId="10021" xr:uid="{00000000-0005-0000-0000-0000524D0000}"/>
    <cellStyle name="Comma 6 5 2 2" xfId="12044" xr:uid="{00000000-0005-0000-0000-0000534D0000}"/>
    <cellStyle name="Comma 6 5 2 2 2" xfId="28701" xr:uid="{00000000-0005-0000-0000-0000544D0000}"/>
    <cellStyle name="Comma 6 5 2 2 2 2" xfId="46370" xr:uid="{00000000-0005-0000-0000-0000554D0000}"/>
    <cellStyle name="Comma 6 5 2 2 3" xfId="32914" xr:uid="{00000000-0005-0000-0000-0000564D0000}"/>
    <cellStyle name="Comma 6 5 2 2 4" xfId="37129" xr:uid="{00000000-0005-0000-0000-0000574D0000}"/>
    <cellStyle name="Comma 6 5 2 2 5" xfId="41333" xr:uid="{00000000-0005-0000-0000-0000584D0000}"/>
    <cellStyle name="Comma 6 5 2 3" xfId="27501" xr:uid="{00000000-0005-0000-0000-0000594D0000}"/>
    <cellStyle name="Comma 6 5 2 3 2" xfId="43113" xr:uid="{00000000-0005-0000-0000-00005A4D0000}"/>
    <cellStyle name="Comma 6 5 2 4" xfId="31714" xr:uid="{00000000-0005-0000-0000-00005B4D0000}"/>
    <cellStyle name="Comma 6 5 2 5" xfId="35929" xr:uid="{00000000-0005-0000-0000-00005C4D0000}"/>
    <cellStyle name="Comma 6 5 2 6" xfId="40133" xr:uid="{00000000-0005-0000-0000-00005D4D0000}"/>
    <cellStyle name="Comma 6 5 3" xfId="10805" xr:uid="{00000000-0005-0000-0000-00005E4D0000}"/>
    <cellStyle name="Comma 6 5 3 2" xfId="27966" xr:uid="{00000000-0005-0000-0000-00005F4D0000}"/>
    <cellStyle name="Comma 6 5 3 2 2" xfId="45644" xr:uid="{00000000-0005-0000-0000-0000604D0000}"/>
    <cellStyle name="Comma 6 5 3 3" xfId="32179" xr:uid="{00000000-0005-0000-0000-0000614D0000}"/>
    <cellStyle name="Comma 6 5 3 4" xfId="36394" xr:uid="{00000000-0005-0000-0000-0000624D0000}"/>
    <cellStyle name="Comma 6 5 3 5" xfId="40598" xr:uid="{00000000-0005-0000-0000-0000634D0000}"/>
    <cellStyle name="Comma 6 5 4" xfId="13311" xr:uid="{00000000-0005-0000-0000-0000644D0000}"/>
    <cellStyle name="Comma 6 5 4 2" xfId="28879" xr:uid="{00000000-0005-0000-0000-0000654D0000}"/>
    <cellStyle name="Comma 6 5 4 3" xfId="33092" xr:uid="{00000000-0005-0000-0000-0000664D0000}"/>
    <cellStyle name="Comma 6 5 4 4" xfId="37307" xr:uid="{00000000-0005-0000-0000-0000674D0000}"/>
    <cellStyle name="Comma 6 5 4 5" xfId="41603" xr:uid="{00000000-0005-0000-0000-0000684D0000}"/>
    <cellStyle name="Comma 6 5 5" xfId="26355" xr:uid="{00000000-0005-0000-0000-0000694D0000}"/>
    <cellStyle name="Comma 6 5 5 2" xfId="41866" xr:uid="{00000000-0005-0000-0000-00006A4D0000}"/>
    <cellStyle name="Comma 6 5 6" xfId="30568" xr:uid="{00000000-0005-0000-0000-00006B4D0000}"/>
    <cellStyle name="Comma 6 5 7" xfId="34783" xr:uid="{00000000-0005-0000-0000-00006C4D0000}"/>
    <cellStyle name="Comma 6 5 8" xfId="38987" xr:uid="{00000000-0005-0000-0000-00006D4D0000}"/>
    <cellStyle name="Comma 6 6" xfId="8073" xr:uid="{00000000-0005-0000-0000-00006E4D0000}"/>
    <cellStyle name="Comma 6 6 2" xfId="10022" xr:uid="{00000000-0005-0000-0000-00006F4D0000}"/>
    <cellStyle name="Comma 6 6 2 2" xfId="12045" xr:uid="{00000000-0005-0000-0000-0000704D0000}"/>
    <cellStyle name="Comma 6 6 2 2 2" xfId="28702" xr:uid="{00000000-0005-0000-0000-0000714D0000}"/>
    <cellStyle name="Comma 6 6 2 2 2 2" xfId="46371" xr:uid="{00000000-0005-0000-0000-0000724D0000}"/>
    <cellStyle name="Comma 6 6 2 2 3" xfId="32915" xr:uid="{00000000-0005-0000-0000-0000734D0000}"/>
    <cellStyle name="Comma 6 6 2 2 4" xfId="37130" xr:uid="{00000000-0005-0000-0000-0000744D0000}"/>
    <cellStyle name="Comma 6 6 2 2 5" xfId="41334" xr:uid="{00000000-0005-0000-0000-0000754D0000}"/>
    <cellStyle name="Comma 6 6 2 3" xfId="27502" xr:uid="{00000000-0005-0000-0000-0000764D0000}"/>
    <cellStyle name="Comma 6 6 2 3 2" xfId="43114" xr:uid="{00000000-0005-0000-0000-0000774D0000}"/>
    <cellStyle name="Comma 6 6 2 4" xfId="31715" xr:uid="{00000000-0005-0000-0000-0000784D0000}"/>
    <cellStyle name="Comma 6 6 2 5" xfId="35930" xr:uid="{00000000-0005-0000-0000-0000794D0000}"/>
    <cellStyle name="Comma 6 6 2 6" xfId="40134" xr:uid="{00000000-0005-0000-0000-00007A4D0000}"/>
    <cellStyle name="Comma 6 6 3" xfId="10806" xr:uid="{00000000-0005-0000-0000-00007B4D0000}"/>
    <cellStyle name="Comma 6 6 3 2" xfId="27967" xr:uid="{00000000-0005-0000-0000-00007C4D0000}"/>
    <cellStyle name="Comma 6 6 3 2 2" xfId="45645" xr:uid="{00000000-0005-0000-0000-00007D4D0000}"/>
    <cellStyle name="Comma 6 6 3 3" xfId="32180" xr:uid="{00000000-0005-0000-0000-00007E4D0000}"/>
    <cellStyle name="Comma 6 6 3 4" xfId="36395" xr:uid="{00000000-0005-0000-0000-00007F4D0000}"/>
    <cellStyle name="Comma 6 6 3 5" xfId="40599" xr:uid="{00000000-0005-0000-0000-0000804D0000}"/>
    <cellStyle name="Comma 6 6 4" xfId="26356" xr:uid="{00000000-0005-0000-0000-0000814D0000}"/>
    <cellStyle name="Comma 6 6 4 2" xfId="41604" xr:uid="{00000000-0005-0000-0000-0000824D0000}"/>
    <cellStyle name="Comma 6 6 5" xfId="30569" xr:uid="{00000000-0005-0000-0000-0000834D0000}"/>
    <cellStyle name="Comma 6 6 5 2" xfId="41867" xr:uid="{00000000-0005-0000-0000-0000844D0000}"/>
    <cellStyle name="Comma 6 6 6" xfId="34784" xr:uid="{00000000-0005-0000-0000-0000854D0000}"/>
    <cellStyle name="Comma 6 6 7" xfId="38988" xr:uid="{00000000-0005-0000-0000-0000864D0000}"/>
    <cellStyle name="Comma 6 7" xfId="8074" xr:uid="{00000000-0005-0000-0000-0000874D0000}"/>
    <cellStyle name="Comma 6 7 2" xfId="10023" xr:uid="{00000000-0005-0000-0000-0000884D0000}"/>
    <cellStyle name="Comma 6 7 2 2" xfId="12046" xr:uid="{00000000-0005-0000-0000-0000894D0000}"/>
    <cellStyle name="Comma 6 7 2 2 2" xfId="28703" xr:uid="{00000000-0005-0000-0000-00008A4D0000}"/>
    <cellStyle name="Comma 6 7 2 2 2 2" xfId="46372" xr:uid="{00000000-0005-0000-0000-00008B4D0000}"/>
    <cellStyle name="Comma 6 7 2 2 3" xfId="32916" xr:uid="{00000000-0005-0000-0000-00008C4D0000}"/>
    <cellStyle name="Comma 6 7 2 2 4" xfId="37131" xr:uid="{00000000-0005-0000-0000-00008D4D0000}"/>
    <cellStyle name="Comma 6 7 2 2 5" xfId="41335" xr:uid="{00000000-0005-0000-0000-00008E4D0000}"/>
    <cellStyle name="Comma 6 7 2 3" xfId="27503" xr:uid="{00000000-0005-0000-0000-00008F4D0000}"/>
    <cellStyle name="Comma 6 7 2 3 2" xfId="43115" xr:uid="{00000000-0005-0000-0000-0000904D0000}"/>
    <cellStyle name="Comma 6 7 2 4" xfId="31716" xr:uid="{00000000-0005-0000-0000-0000914D0000}"/>
    <cellStyle name="Comma 6 7 2 5" xfId="35931" xr:uid="{00000000-0005-0000-0000-0000924D0000}"/>
    <cellStyle name="Comma 6 7 2 6" xfId="40135" xr:uid="{00000000-0005-0000-0000-0000934D0000}"/>
    <cellStyle name="Comma 6 7 3" xfId="10807" xr:uid="{00000000-0005-0000-0000-0000944D0000}"/>
    <cellStyle name="Comma 6 7 3 2" xfId="27968" xr:uid="{00000000-0005-0000-0000-0000954D0000}"/>
    <cellStyle name="Comma 6 7 3 2 2" xfId="45646" xr:uid="{00000000-0005-0000-0000-0000964D0000}"/>
    <cellStyle name="Comma 6 7 3 3" xfId="32181" xr:uid="{00000000-0005-0000-0000-0000974D0000}"/>
    <cellStyle name="Comma 6 7 3 4" xfId="36396" xr:uid="{00000000-0005-0000-0000-0000984D0000}"/>
    <cellStyle name="Comma 6 7 3 5" xfId="40600" xr:uid="{00000000-0005-0000-0000-0000994D0000}"/>
    <cellStyle name="Comma 6 7 4" xfId="26357" xr:uid="{00000000-0005-0000-0000-00009A4D0000}"/>
    <cellStyle name="Comma 6 7 4 2" xfId="41605" xr:uid="{00000000-0005-0000-0000-00009B4D0000}"/>
    <cellStyle name="Comma 6 7 5" xfId="30570" xr:uid="{00000000-0005-0000-0000-00009C4D0000}"/>
    <cellStyle name="Comma 6 7 5 2" xfId="41868" xr:uid="{00000000-0005-0000-0000-00009D4D0000}"/>
    <cellStyle name="Comma 6 7 6" xfId="34785" xr:uid="{00000000-0005-0000-0000-00009E4D0000}"/>
    <cellStyle name="Comma 6 7 7" xfId="38989" xr:uid="{00000000-0005-0000-0000-00009F4D0000}"/>
    <cellStyle name="Comma 6 8" xfId="8075" xr:uid="{00000000-0005-0000-0000-0000A04D0000}"/>
    <cellStyle name="Comma 6 8 2" xfId="10024" xr:uid="{00000000-0005-0000-0000-0000A14D0000}"/>
    <cellStyle name="Comma 6 8 2 2" xfId="12047" xr:uid="{00000000-0005-0000-0000-0000A24D0000}"/>
    <cellStyle name="Comma 6 8 2 2 2" xfId="28704" xr:uid="{00000000-0005-0000-0000-0000A34D0000}"/>
    <cellStyle name="Comma 6 8 2 2 2 2" xfId="46373" xr:uid="{00000000-0005-0000-0000-0000A44D0000}"/>
    <cellStyle name="Comma 6 8 2 2 3" xfId="32917" xr:uid="{00000000-0005-0000-0000-0000A54D0000}"/>
    <cellStyle name="Comma 6 8 2 2 4" xfId="37132" xr:uid="{00000000-0005-0000-0000-0000A64D0000}"/>
    <cellStyle name="Comma 6 8 2 2 5" xfId="41336" xr:uid="{00000000-0005-0000-0000-0000A74D0000}"/>
    <cellStyle name="Comma 6 8 2 3" xfId="27504" xr:uid="{00000000-0005-0000-0000-0000A84D0000}"/>
    <cellStyle name="Comma 6 8 2 3 2" xfId="43116" xr:uid="{00000000-0005-0000-0000-0000A94D0000}"/>
    <cellStyle name="Comma 6 8 2 4" xfId="31717" xr:uid="{00000000-0005-0000-0000-0000AA4D0000}"/>
    <cellStyle name="Comma 6 8 2 5" xfId="35932" xr:uid="{00000000-0005-0000-0000-0000AB4D0000}"/>
    <cellStyle name="Comma 6 8 2 6" xfId="40136" xr:uid="{00000000-0005-0000-0000-0000AC4D0000}"/>
    <cellStyle name="Comma 6 8 3" xfId="10808" xr:uid="{00000000-0005-0000-0000-0000AD4D0000}"/>
    <cellStyle name="Comma 6 8 3 2" xfId="27969" xr:uid="{00000000-0005-0000-0000-0000AE4D0000}"/>
    <cellStyle name="Comma 6 8 3 2 2" xfId="45647" xr:uid="{00000000-0005-0000-0000-0000AF4D0000}"/>
    <cellStyle name="Comma 6 8 3 3" xfId="32182" xr:uid="{00000000-0005-0000-0000-0000B04D0000}"/>
    <cellStyle name="Comma 6 8 3 4" xfId="36397" xr:uid="{00000000-0005-0000-0000-0000B14D0000}"/>
    <cellStyle name="Comma 6 8 3 5" xfId="40601" xr:uid="{00000000-0005-0000-0000-0000B24D0000}"/>
    <cellStyle name="Comma 6 8 4" xfId="26358" xr:uid="{00000000-0005-0000-0000-0000B34D0000}"/>
    <cellStyle name="Comma 6 8 4 2" xfId="41606" xr:uid="{00000000-0005-0000-0000-0000B44D0000}"/>
    <cellStyle name="Comma 6 8 5" xfId="30571" xr:uid="{00000000-0005-0000-0000-0000B54D0000}"/>
    <cellStyle name="Comma 6 8 5 2" xfId="41869" xr:uid="{00000000-0005-0000-0000-0000B64D0000}"/>
    <cellStyle name="Comma 6 8 6" xfId="34786" xr:uid="{00000000-0005-0000-0000-0000B74D0000}"/>
    <cellStyle name="Comma 6 8 7" xfId="38990" xr:uid="{00000000-0005-0000-0000-0000B84D0000}"/>
    <cellStyle name="Comma 6 9" xfId="8068" xr:uid="{00000000-0005-0000-0000-0000B94D0000}"/>
    <cellStyle name="Comma 6 9 2" xfId="10017" xr:uid="{00000000-0005-0000-0000-0000BA4D0000}"/>
    <cellStyle name="Comma 6 9 2 2" xfId="12040" xr:uid="{00000000-0005-0000-0000-0000BB4D0000}"/>
    <cellStyle name="Comma 6 9 2 2 2" xfId="28697" xr:uid="{00000000-0005-0000-0000-0000BC4D0000}"/>
    <cellStyle name="Comma 6 9 2 2 2 2" xfId="46366" xr:uid="{00000000-0005-0000-0000-0000BD4D0000}"/>
    <cellStyle name="Comma 6 9 2 2 3" xfId="32910" xr:uid="{00000000-0005-0000-0000-0000BE4D0000}"/>
    <cellStyle name="Comma 6 9 2 2 4" xfId="37125" xr:uid="{00000000-0005-0000-0000-0000BF4D0000}"/>
    <cellStyle name="Comma 6 9 2 2 5" xfId="41329" xr:uid="{00000000-0005-0000-0000-0000C04D0000}"/>
    <cellStyle name="Comma 6 9 2 3" xfId="27497" xr:uid="{00000000-0005-0000-0000-0000C14D0000}"/>
    <cellStyle name="Comma 6 9 2 3 2" xfId="45230" xr:uid="{00000000-0005-0000-0000-0000C24D0000}"/>
    <cellStyle name="Comma 6 9 2 4" xfId="31710" xr:uid="{00000000-0005-0000-0000-0000C34D0000}"/>
    <cellStyle name="Comma 6 9 2 5" xfId="35925" xr:uid="{00000000-0005-0000-0000-0000C44D0000}"/>
    <cellStyle name="Comma 6 9 2 6" xfId="40129" xr:uid="{00000000-0005-0000-0000-0000C54D0000}"/>
    <cellStyle name="Comma 6 9 3" xfId="10801" xr:uid="{00000000-0005-0000-0000-0000C64D0000}"/>
    <cellStyle name="Comma 6 9 3 2" xfId="27962" xr:uid="{00000000-0005-0000-0000-0000C74D0000}"/>
    <cellStyle name="Comma 6 9 3 2 2" xfId="45640" xr:uid="{00000000-0005-0000-0000-0000C84D0000}"/>
    <cellStyle name="Comma 6 9 3 3" xfId="32175" xr:uid="{00000000-0005-0000-0000-0000C94D0000}"/>
    <cellStyle name="Comma 6 9 3 4" xfId="36390" xr:uid="{00000000-0005-0000-0000-0000CA4D0000}"/>
    <cellStyle name="Comma 6 9 3 5" xfId="40594" xr:uid="{00000000-0005-0000-0000-0000CB4D0000}"/>
    <cellStyle name="Comma 6 9 4" xfId="26351" xr:uid="{00000000-0005-0000-0000-0000CC4D0000}"/>
    <cellStyle name="Comma 6 9 4 2" xfId="43109" xr:uid="{00000000-0005-0000-0000-0000CD4D0000}"/>
    <cellStyle name="Comma 6 9 5" xfId="30564" xr:uid="{00000000-0005-0000-0000-0000CE4D0000}"/>
    <cellStyle name="Comma 6 9 6" xfId="34779" xr:uid="{00000000-0005-0000-0000-0000CF4D0000}"/>
    <cellStyle name="Comma 6 9 7" xfId="38983" xr:uid="{00000000-0005-0000-0000-0000D04D0000}"/>
    <cellStyle name="Comma 7" xfId="7444" xr:uid="{00000000-0005-0000-0000-0000D14D0000}"/>
    <cellStyle name="Comma 7 10" xfId="8077" xr:uid="{00000000-0005-0000-0000-0000D24D0000}"/>
    <cellStyle name="Comma 7 10 2" xfId="10025" xr:uid="{00000000-0005-0000-0000-0000D34D0000}"/>
    <cellStyle name="Comma 7 10 2 2" xfId="12048" xr:uid="{00000000-0005-0000-0000-0000D44D0000}"/>
    <cellStyle name="Comma 7 10 2 2 2" xfId="28705" xr:uid="{00000000-0005-0000-0000-0000D54D0000}"/>
    <cellStyle name="Comma 7 10 2 2 2 2" xfId="46374" xr:uid="{00000000-0005-0000-0000-0000D64D0000}"/>
    <cellStyle name="Comma 7 10 2 2 3" xfId="32918" xr:uid="{00000000-0005-0000-0000-0000D74D0000}"/>
    <cellStyle name="Comma 7 10 2 2 4" xfId="37133" xr:uid="{00000000-0005-0000-0000-0000D84D0000}"/>
    <cellStyle name="Comma 7 10 2 2 5" xfId="41337" xr:uid="{00000000-0005-0000-0000-0000D94D0000}"/>
    <cellStyle name="Comma 7 10 2 3" xfId="27505" xr:uid="{00000000-0005-0000-0000-0000DA4D0000}"/>
    <cellStyle name="Comma 7 10 2 3 2" xfId="43117" xr:uid="{00000000-0005-0000-0000-0000DB4D0000}"/>
    <cellStyle name="Comma 7 10 2 4" xfId="31718" xr:uid="{00000000-0005-0000-0000-0000DC4D0000}"/>
    <cellStyle name="Comma 7 10 2 5" xfId="35933" xr:uid="{00000000-0005-0000-0000-0000DD4D0000}"/>
    <cellStyle name="Comma 7 10 2 6" xfId="40137" xr:uid="{00000000-0005-0000-0000-0000DE4D0000}"/>
    <cellStyle name="Comma 7 10 3" xfId="10809" xr:uid="{00000000-0005-0000-0000-0000DF4D0000}"/>
    <cellStyle name="Comma 7 10 3 2" xfId="27970" xr:uid="{00000000-0005-0000-0000-0000E04D0000}"/>
    <cellStyle name="Comma 7 10 3 2 2" xfId="45648" xr:uid="{00000000-0005-0000-0000-0000E14D0000}"/>
    <cellStyle name="Comma 7 10 3 3" xfId="32183" xr:uid="{00000000-0005-0000-0000-0000E24D0000}"/>
    <cellStyle name="Comma 7 10 3 4" xfId="36398" xr:uid="{00000000-0005-0000-0000-0000E34D0000}"/>
    <cellStyle name="Comma 7 10 3 5" xfId="40602" xr:uid="{00000000-0005-0000-0000-0000E44D0000}"/>
    <cellStyle name="Comma 7 10 4" xfId="26359" xr:uid="{00000000-0005-0000-0000-0000E54D0000}"/>
    <cellStyle name="Comma 7 10 4 2" xfId="41607" xr:uid="{00000000-0005-0000-0000-0000E64D0000}"/>
    <cellStyle name="Comma 7 10 5" xfId="30572" xr:uid="{00000000-0005-0000-0000-0000E74D0000}"/>
    <cellStyle name="Comma 7 10 5 2" xfId="41870" xr:uid="{00000000-0005-0000-0000-0000E84D0000}"/>
    <cellStyle name="Comma 7 10 6" xfId="34787" xr:uid="{00000000-0005-0000-0000-0000E94D0000}"/>
    <cellStyle name="Comma 7 10 7" xfId="38991" xr:uid="{00000000-0005-0000-0000-0000EA4D0000}"/>
    <cellStyle name="Comma 7 11" xfId="8078" xr:uid="{00000000-0005-0000-0000-0000EB4D0000}"/>
    <cellStyle name="Comma 7 11 2" xfId="10026" xr:uid="{00000000-0005-0000-0000-0000EC4D0000}"/>
    <cellStyle name="Comma 7 11 2 2" xfId="12049" xr:uid="{00000000-0005-0000-0000-0000ED4D0000}"/>
    <cellStyle name="Comma 7 11 2 2 2" xfId="28706" xr:uid="{00000000-0005-0000-0000-0000EE4D0000}"/>
    <cellStyle name="Comma 7 11 2 2 2 2" xfId="46375" xr:uid="{00000000-0005-0000-0000-0000EF4D0000}"/>
    <cellStyle name="Comma 7 11 2 2 3" xfId="32919" xr:uid="{00000000-0005-0000-0000-0000F04D0000}"/>
    <cellStyle name="Comma 7 11 2 2 4" xfId="37134" xr:uid="{00000000-0005-0000-0000-0000F14D0000}"/>
    <cellStyle name="Comma 7 11 2 2 5" xfId="41338" xr:uid="{00000000-0005-0000-0000-0000F24D0000}"/>
    <cellStyle name="Comma 7 11 2 3" xfId="27506" xr:uid="{00000000-0005-0000-0000-0000F34D0000}"/>
    <cellStyle name="Comma 7 11 2 3 2" xfId="43118" xr:uid="{00000000-0005-0000-0000-0000F44D0000}"/>
    <cellStyle name="Comma 7 11 2 4" xfId="31719" xr:uid="{00000000-0005-0000-0000-0000F54D0000}"/>
    <cellStyle name="Comma 7 11 2 5" xfId="35934" xr:uid="{00000000-0005-0000-0000-0000F64D0000}"/>
    <cellStyle name="Comma 7 11 2 6" xfId="40138" xr:uid="{00000000-0005-0000-0000-0000F74D0000}"/>
    <cellStyle name="Comma 7 11 3" xfId="10810" xr:uid="{00000000-0005-0000-0000-0000F84D0000}"/>
    <cellStyle name="Comma 7 11 3 2" xfId="27971" xr:uid="{00000000-0005-0000-0000-0000F94D0000}"/>
    <cellStyle name="Comma 7 11 3 2 2" xfId="45649" xr:uid="{00000000-0005-0000-0000-0000FA4D0000}"/>
    <cellStyle name="Comma 7 11 3 3" xfId="32184" xr:uid="{00000000-0005-0000-0000-0000FB4D0000}"/>
    <cellStyle name="Comma 7 11 3 4" xfId="36399" xr:uid="{00000000-0005-0000-0000-0000FC4D0000}"/>
    <cellStyle name="Comma 7 11 3 5" xfId="40603" xr:uid="{00000000-0005-0000-0000-0000FD4D0000}"/>
    <cellStyle name="Comma 7 11 4" xfId="26360" xr:uid="{00000000-0005-0000-0000-0000FE4D0000}"/>
    <cellStyle name="Comma 7 11 4 2" xfId="41871" xr:uid="{00000000-0005-0000-0000-0000FF4D0000}"/>
    <cellStyle name="Comma 7 11 5" xfId="30573" xr:uid="{00000000-0005-0000-0000-0000004E0000}"/>
    <cellStyle name="Comma 7 11 6" xfId="34788" xr:uid="{00000000-0005-0000-0000-0000014E0000}"/>
    <cellStyle name="Comma 7 11 7" xfId="38992" xr:uid="{00000000-0005-0000-0000-0000024E0000}"/>
    <cellStyle name="Comma 7 12" xfId="8079" xr:uid="{00000000-0005-0000-0000-0000034E0000}"/>
    <cellStyle name="Comma 7 12 2" xfId="10027" xr:uid="{00000000-0005-0000-0000-0000044E0000}"/>
    <cellStyle name="Comma 7 12 2 2" xfId="12050" xr:uid="{00000000-0005-0000-0000-0000054E0000}"/>
    <cellStyle name="Comma 7 12 2 2 2" xfId="28707" xr:uid="{00000000-0005-0000-0000-0000064E0000}"/>
    <cellStyle name="Comma 7 12 2 2 2 2" xfId="46376" xr:uid="{00000000-0005-0000-0000-0000074E0000}"/>
    <cellStyle name="Comma 7 12 2 2 3" xfId="32920" xr:uid="{00000000-0005-0000-0000-0000084E0000}"/>
    <cellStyle name="Comma 7 12 2 2 4" xfId="37135" xr:uid="{00000000-0005-0000-0000-0000094E0000}"/>
    <cellStyle name="Comma 7 12 2 2 5" xfId="41339" xr:uid="{00000000-0005-0000-0000-00000A4E0000}"/>
    <cellStyle name="Comma 7 12 2 3" xfId="27507" xr:uid="{00000000-0005-0000-0000-00000B4E0000}"/>
    <cellStyle name="Comma 7 12 2 3 2" xfId="43119" xr:uid="{00000000-0005-0000-0000-00000C4E0000}"/>
    <cellStyle name="Comma 7 12 2 4" xfId="31720" xr:uid="{00000000-0005-0000-0000-00000D4E0000}"/>
    <cellStyle name="Comma 7 12 2 5" xfId="35935" xr:uid="{00000000-0005-0000-0000-00000E4E0000}"/>
    <cellStyle name="Comma 7 12 2 6" xfId="40139" xr:uid="{00000000-0005-0000-0000-00000F4E0000}"/>
    <cellStyle name="Comma 7 12 3" xfId="10811" xr:uid="{00000000-0005-0000-0000-0000104E0000}"/>
    <cellStyle name="Comma 7 12 3 2" xfId="27972" xr:uid="{00000000-0005-0000-0000-0000114E0000}"/>
    <cellStyle name="Comma 7 12 3 2 2" xfId="45650" xr:uid="{00000000-0005-0000-0000-0000124E0000}"/>
    <cellStyle name="Comma 7 12 3 3" xfId="32185" xr:uid="{00000000-0005-0000-0000-0000134E0000}"/>
    <cellStyle name="Comma 7 12 3 4" xfId="36400" xr:uid="{00000000-0005-0000-0000-0000144E0000}"/>
    <cellStyle name="Comma 7 12 3 5" xfId="40604" xr:uid="{00000000-0005-0000-0000-0000154E0000}"/>
    <cellStyle name="Comma 7 12 4" xfId="26361" xr:uid="{00000000-0005-0000-0000-0000164E0000}"/>
    <cellStyle name="Comma 7 12 4 2" xfId="41608" xr:uid="{00000000-0005-0000-0000-0000174E0000}"/>
    <cellStyle name="Comma 7 12 5" xfId="30574" xr:uid="{00000000-0005-0000-0000-0000184E0000}"/>
    <cellStyle name="Comma 7 12 5 2" xfId="41872" xr:uid="{00000000-0005-0000-0000-0000194E0000}"/>
    <cellStyle name="Comma 7 12 6" xfId="34789" xr:uid="{00000000-0005-0000-0000-00001A4E0000}"/>
    <cellStyle name="Comma 7 12 7" xfId="38993" xr:uid="{00000000-0005-0000-0000-00001B4E0000}"/>
    <cellStyle name="Comma 7 13" xfId="8080" xr:uid="{00000000-0005-0000-0000-00001C4E0000}"/>
    <cellStyle name="Comma 7 13 2" xfId="10028" xr:uid="{00000000-0005-0000-0000-00001D4E0000}"/>
    <cellStyle name="Comma 7 13 2 2" xfId="12051" xr:uid="{00000000-0005-0000-0000-00001E4E0000}"/>
    <cellStyle name="Comma 7 13 2 2 2" xfId="28708" xr:uid="{00000000-0005-0000-0000-00001F4E0000}"/>
    <cellStyle name="Comma 7 13 2 2 2 2" xfId="46377" xr:uid="{00000000-0005-0000-0000-0000204E0000}"/>
    <cellStyle name="Comma 7 13 2 2 3" xfId="32921" xr:uid="{00000000-0005-0000-0000-0000214E0000}"/>
    <cellStyle name="Comma 7 13 2 2 4" xfId="37136" xr:uid="{00000000-0005-0000-0000-0000224E0000}"/>
    <cellStyle name="Comma 7 13 2 2 5" xfId="41340" xr:uid="{00000000-0005-0000-0000-0000234E0000}"/>
    <cellStyle name="Comma 7 13 2 3" xfId="27508" xr:uid="{00000000-0005-0000-0000-0000244E0000}"/>
    <cellStyle name="Comma 7 13 2 3 2" xfId="43120" xr:uid="{00000000-0005-0000-0000-0000254E0000}"/>
    <cellStyle name="Comma 7 13 2 4" xfId="31721" xr:uid="{00000000-0005-0000-0000-0000264E0000}"/>
    <cellStyle name="Comma 7 13 2 5" xfId="35936" xr:uid="{00000000-0005-0000-0000-0000274E0000}"/>
    <cellStyle name="Comma 7 13 2 6" xfId="40140" xr:uid="{00000000-0005-0000-0000-0000284E0000}"/>
    <cellStyle name="Comma 7 13 3" xfId="10812" xr:uid="{00000000-0005-0000-0000-0000294E0000}"/>
    <cellStyle name="Comma 7 13 3 2" xfId="27973" xr:uid="{00000000-0005-0000-0000-00002A4E0000}"/>
    <cellStyle name="Comma 7 13 3 2 2" xfId="45651" xr:uid="{00000000-0005-0000-0000-00002B4E0000}"/>
    <cellStyle name="Comma 7 13 3 3" xfId="32186" xr:uid="{00000000-0005-0000-0000-00002C4E0000}"/>
    <cellStyle name="Comma 7 13 3 4" xfId="36401" xr:uid="{00000000-0005-0000-0000-00002D4E0000}"/>
    <cellStyle name="Comma 7 13 3 5" xfId="40605" xr:uid="{00000000-0005-0000-0000-00002E4E0000}"/>
    <cellStyle name="Comma 7 13 4" xfId="26362" xr:uid="{00000000-0005-0000-0000-00002F4E0000}"/>
    <cellStyle name="Comma 7 13 4 2" xfId="41609" xr:uid="{00000000-0005-0000-0000-0000304E0000}"/>
    <cellStyle name="Comma 7 13 5" xfId="30575" xr:uid="{00000000-0005-0000-0000-0000314E0000}"/>
    <cellStyle name="Comma 7 13 5 2" xfId="41873" xr:uid="{00000000-0005-0000-0000-0000324E0000}"/>
    <cellStyle name="Comma 7 13 6" xfId="34790" xr:uid="{00000000-0005-0000-0000-0000334E0000}"/>
    <cellStyle name="Comma 7 13 7" xfId="38994" xr:uid="{00000000-0005-0000-0000-0000344E0000}"/>
    <cellStyle name="Comma 7 14" xfId="8081" xr:uid="{00000000-0005-0000-0000-0000354E0000}"/>
    <cellStyle name="Comma 7 14 2" xfId="10029" xr:uid="{00000000-0005-0000-0000-0000364E0000}"/>
    <cellStyle name="Comma 7 14 2 2" xfId="12052" xr:uid="{00000000-0005-0000-0000-0000374E0000}"/>
    <cellStyle name="Comma 7 14 2 2 2" xfId="28709" xr:uid="{00000000-0005-0000-0000-0000384E0000}"/>
    <cellStyle name="Comma 7 14 2 2 2 2" xfId="46378" xr:uid="{00000000-0005-0000-0000-0000394E0000}"/>
    <cellStyle name="Comma 7 14 2 2 3" xfId="32922" xr:uid="{00000000-0005-0000-0000-00003A4E0000}"/>
    <cellStyle name="Comma 7 14 2 2 4" xfId="37137" xr:uid="{00000000-0005-0000-0000-00003B4E0000}"/>
    <cellStyle name="Comma 7 14 2 2 5" xfId="41341" xr:uid="{00000000-0005-0000-0000-00003C4E0000}"/>
    <cellStyle name="Comma 7 14 2 3" xfId="27509" xr:uid="{00000000-0005-0000-0000-00003D4E0000}"/>
    <cellStyle name="Comma 7 14 2 3 2" xfId="43121" xr:uid="{00000000-0005-0000-0000-00003E4E0000}"/>
    <cellStyle name="Comma 7 14 2 4" xfId="31722" xr:uid="{00000000-0005-0000-0000-00003F4E0000}"/>
    <cellStyle name="Comma 7 14 2 5" xfId="35937" xr:uid="{00000000-0005-0000-0000-0000404E0000}"/>
    <cellStyle name="Comma 7 14 2 6" xfId="40141" xr:uid="{00000000-0005-0000-0000-0000414E0000}"/>
    <cellStyle name="Comma 7 14 3" xfId="10813" xr:uid="{00000000-0005-0000-0000-0000424E0000}"/>
    <cellStyle name="Comma 7 14 3 2" xfId="27974" xr:uid="{00000000-0005-0000-0000-0000434E0000}"/>
    <cellStyle name="Comma 7 14 3 2 2" xfId="45652" xr:uid="{00000000-0005-0000-0000-0000444E0000}"/>
    <cellStyle name="Comma 7 14 3 3" xfId="32187" xr:uid="{00000000-0005-0000-0000-0000454E0000}"/>
    <cellStyle name="Comma 7 14 3 4" xfId="36402" xr:uid="{00000000-0005-0000-0000-0000464E0000}"/>
    <cellStyle name="Comma 7 14 3 5" xfId="40606" xr:uid="{00000000-0005-0000-0000-0000474E0000}"/>
    <cellStyle name="Comma 7 14 4" xfId="26363" xr:uid="{00000000-0005-0000-0000-0000484E0000}"/>
    <cellStyle name="Comma 7 14 4 2" xfId="41610" xr:uid="{00000000-0005-0000-0000-0000494E0000}"/>
    <cellStyle name="Comma 7 14 5" xfId="30576" xr:uid="{00000000-0005-0000-0000-00004A4E0000}"/>
    <cellStyle name="Comma 7 14 5 2" xfId="41874" xr:uid="{00000000-0005-0000-0000-00004B4E0000}"/>
    <cellStyle name="Comma 7 14 6" xfId="34791" xr:uid="{00000000-0005-0000-0000-00004C4E0000}"/>
    <cellStyle name="Comma 7 14 7" xfId="38995" xr:uid="{00000000-0005-0000-0000-00004D4E0000}"/>
    <cellStyle name="Comma 7 15" xfId="8082" xr:uid="{00000000-0005-0000-0000-00004E4E0000}"/>
    <cellStyle name="Comma 7 15 2" xfId="10030" xr:uid="{00000000-0005-0000-0000-00004F4E0000}"/>
    <cellStyle name="Comma 7 15 2 2" xfId="12053" xr:uid="{00000000-0005-0000-0000-0000504E0000}"/>
    <cellStyle name="Comma 7 15 2 2 2" xfId="28710" xr:uid="{00000000-0005-0000-0000-0000514E0000}"/>
    <cellStyle name="Comma 7 15 2 2 2 2" xfId="46379" xr:uid="{00000000-0005-0000-0000-0000524E0000}"/>
    <cellStyle name="Comma 7 15 2 2 3" xfId="32923" xr:uid="{00000000-0005-0000-0000-0000534E0000}"/>
    <cellStyle name="Comma 7 15 2 2 4" xfId="37138" xr:uid="{00000000-0005-0000-0000-0000544E0000}"/>
    <cellStyle name="Comma 7 15 2 2 5" xfId="41342" xr:uid="{00000000-0005-0000-0000-0000554E0000}"/>
    <cellStyle name="Comma 7 15 2 3" xfId="27510" xr:uid="{00000000-0005-0000-0000-0000564E0000}"/>
    <cellStyle name="Comma 7 15 2 3 2" xfId="43122" xr:uid="{00000000-0005-0000-0000-0000574E0000}"/>
    <cellStyle name="Comma 7 15 2 4" xfId="31723" xr:uid="{00000000-0005-0000-0000-0000584E0000}"/>
    <cellStyle name="Comma 7 15 2 5" xfId="35938" xr:uid="{00000000-0005-0000-0000-0000594E0000}"/>
    <cellStyle name="Comma 7 15 2 6" xfId="40142" xr:uid="{00000000-0005-0000-0000-00005A4E0000}"/>
    <cellStyle name="Comma 7 15 3" xfId="10814" xr:uid="{00000000-0005-0000-0000-00005B4E0000}"/>
    <cellStyle name="Comma 7 15 3 2" xfId="27975" xr:uid="{00000000-0005-0000-0000-00005C4E0000}"/>
    <cellStyle name="Comma 7 15 3 2 2" xfId="45653" xr:uid="{00000000-0005-0000-0000-00005D4E0000}"/>
    <cellStyle name="Comma 7 15 3 3" xfId="32188" xr:uid="{00000000-0005-0000-0000-00005E4E0000}"/>
    <cellStyle name="Comma 7 15 3 4" xfId="36403" xr:uid="{00000000-0005-0000-0000-00005F4E0000}"/>
    <cellStyle name="Comma 7 15 3 5" xfId="40607" xr:uid="{00000000-0005-0000-0000-0000604E0000}"/>
    <cellStyle name="Comma 7 15 4" xfId="26364" xr:uid="{00000000-0005-0000-0000-0000614E0000}"/>
    <cellStyle name="Comma 7 15 4 2" xfId="41611" xr:uid="{00000000-0005-0000-0000-0000624E0000}"/>
    <cellStyle name="Comma 7 15 5" xfId="30577" xr:uid="{00000000-0005-0000-0000-0000634E0000}"/>
    <cellStyle name="Comma 7 15 5 2" xfId="41875" xr:uid="{00000000-0005-0000-0000-0000644E0000}"/>
    <cellStyle name="Comma 7 15 6" xfId="34792" xr:uid="{00000000-0005-0000-0000-0000654E0000}"/>
    <cellStyle name="Comma 7 15 7" xfId="38996" xr:uid="{00000000-0005-0000-0000-0000664E0000}"/>
    <cellStyle name="Comma 7 16" xfId="8083" xr:uid="{00000000-0005-0000-0000-0000674E0000}"/>
    <cellStyle name="Comma 7 16 2" xfId="10031" xr:uid="{00000000-0005-0000-0000-0000684E0000}"/>
    <cellStyle name="Comma 7 16 2 2" xfId="12054" xr:uid="{00000000-0005-0000-0000-0000694E0000}"/>
    <cellStyle name="Comma 7 16 2 2 2" xfId="28711" xr:uid="{00000000-0005-0000-0000-00006A4E0000}"/>
    <cellStyle name="Comma 7 16 2 2 2 2" xfId="46380" xr:uid="{00000000-0005-0000-0000-00006B4E0000}"/>
    <cellStyle name="Comma 7 16 2 2 3" xfId="32924" xr:uid="{00000000-0005-0000-0000-00006C4E0000}"/>
    <cellStyle name="Comma 7 16 2 2 4" xfId="37139" xr:uid="{00000000-0005-0000-0000-00006D4E0000}"/>
    <cellStyle name="Comma 7 16 2 2 5" xfId="41343" xr:uid="{00000000-0005-0000-0000-00006E4E0000}"/>
    <cellStyle name="Comma 7 16 2 3" xfId="27511" xr:uid="{00000000-0005-0000-0000-00006F4E0000}"/>
    <cellStyle name="Comma 7 16 2 3 2" xfId="43123" xr:uid="{00000000-0005-0000-0000-0000704E0000}"/>
    <cellStyle name="Comma 7 16 2 4" xfId="31724" xr:uid="{00000000-0005-0000-0000-0000714E0000}"/>
    <cellStyle name="Comma 7 16 2 5" xfId="35939" xr:uid="{00000000-0005-0000-0000-0000724E0000}"/>
    <cellStyle name="Comma 7 16 2 6" xfId="40143" xr:uid="{00000000-0005-0000-0000-0000734E0000}"/>
    <cellStyle name="Comma 7 16 3" xfId="10815" xr:uid="{00000000-0005-0000-0000-0000744E0000}"/>
    <cellStyle name="Comma 7 16 3 2" xfId="27976" xr:uid="{00000000-0005-0000-0000-0000754E0000}"/>
    <cellStyle name="Comma 7 16 3 2 2" xfId="45654" xr:uid="{00000000-0005-0000-0000-0000764E0000}"/>
    <cellStyle name="Comma 7 16 3 3" xfId="32189" xr:uid="{00000000-0005-0000-0000-0000774E0000}"/>
    <cellStyle name="Comma 7 16 3 4" xfId="36404" xr:uid="{00000000-0005-0000-0000-0000784E0000}"/>
    <cellStyle name="Comma 7 16 3 5" xfId="40608" xr:uid="{00000000-0005-0000-0000-0000794E0000}"/>
    <cellStyle name="Comma 7 16 4" xfId="26365" xr:uid="{00000000-0005-0000-0000-00007A4E0000}"/>
    <cellStyle name="Comma 7 16 4 2" xfId="41876" xr:uid="{00000000-0005-0000-0000-00007B4E0000}"/>
    <cellStyle name="Comma 7 16 5" xfId="30578" xr:uid="{00000000-0005-0000-0000-00007C4E0000}"/>
    <cellStyle name="Comma 7 16 6" xfId="34793" xr:uid="{00000000-0005-0000-0000-00007D4E0000}"/>
    <cellStyle name="Comma 7 16 7" xfId="38997" xr:uid="{00000000-0005-0000-0000-00007E4E0000}"/>
    <cellStyle name="Comma 7 17" xfId="8084" xr:uid="{00000000-0005-0000-0000-00007F4E0000}"/>
    <cellStyle name="Comma 7 17 2" xfId="10032" xr:uid="{00000000-0005-0000-0000-0000804E0000}"/>
    <cellStyle name="Comma 7 17 2 2" xfId="12055" xr:uid="{00000000-0005-0000-0000-0000814E0000}"/>
    <cellStyle name="Comma 7 17 2 2 2" xfId="28712" xr:uid="{00000000-0005-0000-0000-0000824E0000}"/>
    <cellStyle name="Comma 7 17 2 2 2 2" xfId="46381" xr:uid="{00000000-0005-0000-0000-0000834E0000}"/>
    <cellStyle name="Comma 7 17 2 2 3" xfId="32925" xr:uid="{00000000-0005-0000-0000-0000844E0000}"/>
    <cellStyle name="Comma 7 17 2 2 4" xfId="37140" xr:uid="{00000000-0005-0000-0000-0000854E0000}"/>
    <cellStyle name="Comma 7 17 2 2 5" xfId="41344" xr:uid="{00000000-0005-0000-0000-0000864E0000}"/>
    <cellStyle name="Comma 7 17 2 3" xfId="27512" xr:uid="{00000000-0005-0000-0000-0000874E0000}"/>
    <cellStyle name="Comma 7 17 2 3 2" xfId="43124" xr:uid="{00000000-0005-0000-0000-0000884E0000}"/>
    <cellStyle name="Comma 7 17 2 4" xfId="31725" xr:uid="{00000000-0005-0000-0000-0000894E0000}"/>
    <cellStyle name="Comma 7 17 2 5" xfId="35940" xr:uid="{00000000-0005-0000-0000-00008A4E0000}"/>
    <cellStyle name="Comma 7 17 2 6" xfId="40144" xr:uid="{00000000-0005-0000-0000-00008B4E0000}"/>
    <cellStyle name="Comma 7 17 3" xfId="10816" xr:uid="{00000000-0005-0000-0000-00008C4E0000}"/>
    <cellStyle name="Comma 7 17 3 2" xfId="27977" xr:uid="{00000000-0005-0000-0000-00008D4E0000}"/>
    <cellStyle name="Comma 7 17 3 2 2" xfId="45655" xr:uid="{00000000-0005-0000-0000-00008E4E0000}"/>
    <cellStyle name="Comma 7 17 3 3" xfId="32190" xr:uid="{00000000-0005-0000-0000-00008F4E0000}"/>
    <cellStyle name="Comma 7 17 3 4" xfId="36405" xr:uid="{00000000-0005-0000-0000-0000904E0000}"/>
    <cellStyle name="Comma 7 17 3 5" xfId="40609" xr:uid="{00000000-0005-0000-0000-0000914E0000}"/>
    <cellStyle name="Comma 7 17 4" xfId="26366" xr:uid="{00000000-0005-0000-0000-0000924E0000}"/>
    <cellStyle name="Comma 7 17 4 2" xfId="41877" xr:uid="{00000000-0005-0000-0000-0000934E0000}"/>
    <cellStyle name="Comma 7 17 5" xfId="30579" xr:uid="{00000000-0005-0000-0000-0000944E0000}"/>
    <cellStyle name="Comma 7 17 6" xfId="34794" xr:uid="{00000000-0005-0000-0000-0000954E0000}"/>
    <cellStyle name="Comma 7 17 7" xfId="38998" xr:uid="{00000000-0005-0000-0000-0000964E0000}"/>
    <cellStyle name="Comma 7 18" xfId="8085" xr:uid="{00000000-0005-0000-0000-0000974E0000}"/>
    <cellStyle name="Comma 7 18 2" xfId="10033" xr:uid="{00000000-0005-0000-0000-0000984E0000}"/>
    <cellStyle name="Comma 7 18 2 2" xfId="12056" xr:uid="{00000000-0005-0000-0000-0000994E0000}"/>
    <cellStyle name="Comma 7 18 2 2 2" xfId="28713" xr:uid="{00000000-0005-0000-0000-00009A4E0000}"/>
    <cellStyle name="Comma 7 18 2 2 2 2" xfId="46382" xr:uid="{00000000-0005-0000-0000-00009B4E0000}"/>
    <cellStyle name="Comma 7 18 2 2 3" xfId="32926" xr:uid="{00000000-0005-0000-0000-00009C4E0000}"/>
    <cellStyle name="Comma 7 18 2 2 4" xfId="37141" xr:uid="{00000000-0005-0000-0000-00009D4E0000}"/>
    <cellStyle name="Comma 7 18 2 2 5" xfId="41345" xr:uid="{00000000-0005-0000-0000-00009E4E0000}"/>
    <cellStyle name="Comma 7 18 2 3" xfId="27513" xr:uid="{00000000-0005-0000-0000-00009F4E0000}"/>
    <cellStyle name="Comma 7 18 2 3 2" xfId="43125" xr:uid="{00000000-0005-0000-0000-0000A04E0000}"/>
    <cellStyle name="Comma 7 18 2 4" xfId="31726" xr:uid="{00000000-0005-0000-0000-0000A14E0000}"/>
    <cellStyle name="Comma 7 18 2 5" xfId="35941" xr:uid="{00000000-0005-0000-0000-0000A24E0000}"/>
    <cellStyle name="Comma 7 18 2 6" xfId="40145" xr:uid="{00000000-0005-0000-0000-0000A34E0000}"/>
    <cellStyle name="Comma 7 18 3" xfId="10817" xr:uid="{00000000-0005-0000-0000-0000A44E0000}"/>
    <cellStyle name="Comma 7 18 3 2" xfId="27978" xr:uid="{00000000-0005-0000-0000-0000A54E0000}"/>
    <cellStyle name="Comma 7 18 3 2 2" xfId="45656" xr:uid="{00000000-0005-0000-0000-0000A64E0000}"/>
    <cellStyle name="Comma 7 18 3 3" xfId="32191" xr:uid="{00000000-0005-0000-0000-0000A74E0000}"/>
    <cellStyle name="Comma 7 18 3 4" xfId="36406" xr:uid="{00000000-0005-0000-0000-0000A84E0000}"/>
    <cellStyle name="Comma 7 18 3 5" xfId="40610" xr:uid="{00000000-0005-0000-0000-0000A94E0000}"/>
    <cellStyle name="Comma 7 18 4" xfId="26367" xr:uid="{00000000-0005-0000-0000-0000AA4E0000}"/>
    <cellStyle name="Comma 7 18 4 2" xfId="41878" xr:uid="{00000000-0005-0000-0000-0000AB4E0000}"/>
    <cellStyle name="Comma 7 18 5" xfId="30580" xr:uid="{00000000-0005-0000-0000-0000AC4E0000}"/>
    <cellStyle name="Comma 7 18 6" xfId="34795" xr:uid="{00000000-0005-0000-0000-0000AD4E0000}"/>
    <cellStyle name="Comma 7 18 7" xfId="38999" xr:uid="{00000000-0005-0000-0000-0000AE4E0000}"/>
    <cellStyle name="Comma 7 19" xfId="8086" xr:uid="{00000000-0005-0000-0000-0000AF4E0000}"/>
    <cellStyle name="Comma 7 19 2" xfId="10034" xr:uid="{00000000-0005-0000-0000-0000B04E0000}"/>
    <cellStyle name="Comma 7 19 2 2" xfId="12057" xr:uid="{00000000-0005-0000-0000-0000B14E0000}"/>
    <cellStyle name="Comma 7 19 2 2 2" xfId="28714" xr:uid="{00000000-0005-0000-0000-0000B24E0000}"/>
    <cellStyle name="Comma 7 19 2 2 2 2" xfId="46383" xr:uid="{00000000-0005-0000-0000-0000B34E0000}"/>
    <cellStyle name="Comma 7 19 2 2 3" xfId="32927" xr:uid="{00000000-0005-0000-0000-0000B44E0000}"/>
    <cellStyle name="Comma 7 19 2 2 4" xfId="37142" xr:uid="{00000000-0005-0000-0000-0000B54E0000}"/>
    <cellStyle name="Comma 7 19 2 2 5" xfId="41346" xr:uid="{00000000-0005-0000-0000-0000B64E0000}"/>
    <cellStyle name="Comma 7 19 2 3" xfId="27514" xr:uid="{00000000-0005-0000-0000-0000B74E0000}"/>
    <cellStyle name="Comma 7 19 2 3 2" xfId="43126" xr:uid="{00000000-0005-0000-0000-0000B84E0000}"/>
    <cellStyle name="Comma 7 19 2 4" xfId="31727" xr:uid="{00000000-0005-0000-0000-0000B94E0000}"/>
    <cellStyle name="Comma 7 19 2 5" xfId="35942" xr:uid="{00000000-0005-0000-0000-0000BA4E0000}"/>
    <cellStyle name="Comma 7 19 2 6" xfId="40146" xr:uid="{00000000-0005-0000-0000-0000BB4E0000}"/>
    <cellStyle name="Comma 7 19 3" xfId="10818" xr:uid="{00000000-0005-0000-0000-0000BC4E0000}"/>
    <cellStyle name="Comma 7 19 3 2" xfId="27979" xr:uid="{00000000-0005-0000-0000-0000BD4E0000}"/>
    <cellStyle name="Comma 7 19 3 2 2" xfId="45657" xr:uid="{00000000-0005-0000-0000-0000BE4E0000}"/>
    <cellStyle name="Comma 7 19 3 3" xfId="32192" xr:uid="{00000000-0005-0000-0000-0000BF4E0000}"/>
    <cellStyle name="Comma 7 19 3 4" xfId="36407" xr:uid="{00000000-0005-0000-0000-0000C04E0000}"/>
    <cellStyle name="Comma 7 19 3 5" xfId="40611" xr:uid="{00000000-0005-0000-0000-0000C14E0000}"/>
    <cellStyle name="Comma 7 19 4" xfId="26368" xr:uid="{00000000-0005-0000-0000-0000C24E0000}"/>
    <cellStyle name="Comma 7 19 4 2" xfId="41879" xr:uid="{00000000-0005-0000-0000-0000C34E0000}"/>
    <cellStyle name="Comma 7 19 5" xfId="30581" xr:uid="{00000000-0005-0000-0000-0000C44E0000}"/>
    <cellStyle name="Comma 7 19 6" xfId="34796" xr:uid="{00000000-0005-0000-0000-0000C54E0000}"/>
    <cellStyle name="Comma 7 19 7" xfId="39000" xr:uid="{00000000-0005-0000-0000-0000C64E0000}"/>
    <cellStyle name="Comma 7 2" xfId="8087" xr:uid="{00000000-0005-0000-0000-0000C74E0000}"/>
    <cellStyle name="Comma 7 2 2" xfId="10035" xr:uid="{00000000-0005-0000-0000-0000C84E0000}"/>
    <cellStyle name="Comma 7 2 2 2" xfId="12058" xr:uid="{00000000-0005-0000-0000-0000C94E0000}"/>
    <cellStyle name="Comma 7 2 2 2 2" xfId="28715" xr:uid="{00000000-0005-0000-0000-0000CA4E0000}"/>
    <cellStyle name="Comma 7 2 2 2 2 2" xfId="46384" xr:uid="{00000000-0005-0000-0000-0000CB4E0000}"/>
    <cellStyle name="Comma 7 2 2 2 3" xfId="32928" xr:uid="{00000000-0005-0000-0000-0000CC4E0000}"/>
    <cellStyle name="Comma 7 2 2 2 4" xfId="37143" xr:uid="{00000000-0005-0000-0000-0000CD4E0000}"/>
    <cellStyle name="Comma 7 2 2 2 5" xfId="41347" xr:uid="{00000000-0005-0000-0000-0000CE4E0000}"/>
    <cellStyle name="Comma 7 2 2 3" xfId="27515" xr:uid="{00000000-0005-0000-0000-0000CF4E0000}"/>
    <cellStyle name="Comma 7 2 2 3 2" xfId="43127" xr:uid="{00000000-0005-0000-0000-0000D04E0000}"/>
    <cellStyle name="Comma 7 2 2 4" xfId="31728" xr:uid="{00000000-0005-0000-0000-0000D14E0000}"/>
    <cellStyle name="Comma 7 2 2 5" xfId="35943" xr:uid="{00000000-0005-0000-0000-0000D24E0000}"/>
    <cellStyle name="Comma 7 2 2 6" xfId="40147" xr:uid="{00000000-0005-0000-0000-0000D34E0000}"/>
    <cellStyle name="Comma 7 2 3" xfId="10819" xr:uid="{00000000-0005-0000-0000-0000D44E0000}"/>
    <cellStyle name="Comma 7 2 3 2" xfId="27980" xr:uid="{00000000-0005-0000-0000-0000D54E0000}"/>
    <cellStyle name="Comma 7 2 3 2 2" xfId="45658" xr:uid="{00000000-0005-0000-0000-0000D64E0000}"/>
    <cellStyle name="Comma 7 2 3 3" xfId="32193" xr:uid="{00000000-0005-0000-0000-0000D74E0000}"/>
    <cellStyle name="Comma 7 2 3 4" xfId="36408" xr:uid="{00000000-0005-0000-0000-0000D84E0000}"/>
    <cellStyle name="Comma 7 2 3 5" xfId="40612" xr:uid="{00000000-0005-0000-0000-0000D94E0000}"/>
    <cellStyle name="Comma 7 2 4" xfId="16155" xr:uid="{00000000-0005-0000-0000-0000DA4E0000}"/>
    <cellStyle name="Comma 7 2 4 2" xfId="28913" xr:uid="{00000000-0005-0000-0000-0000DB4E0000}"/>
    <cellStyle name="Comma 7 2 4 3" xfId="33128" xr:uid="{00000000-0005-0000-0000-0000DC4E0000}"/>
    <cellStyle name="Comma 7 2 4 4" xfId="37341" xr:uid="{00000000-0005-0000-0000-0000DD4E0000}"/>
    <cellStyle name="Comma 7 2 4 5" xfId="41612" xr:uid="{00000000-0005-0000-0000-0000DE4E0000}"/>
    <cellStyle name="Comma 7 2 5" xfId="24343" xr:uid="{00000000-0005-0000-0000-0000DF4E0000}"/>
    <cellStyle name="Comma 7 2 5 2" xfId="29028" xr:uid="{00000000-0005-0000-0000-0000E04E0000}"/>
    <cellStyle name="Comma 7 2 5 3" xfId="33245" xr:uid="{00000000-0005-0000-0000-0000E14E0000}"/>
    <cellStyle name="Comma 7 2 5 4" xfId="37456" xr:uid="{00000000-0005-0000-0000-0000E24E0000}"/>
    <cellStyle name="Comma 7 2 5 5" xfId="41880" xr:uid="{00000000-0005-0000-0000-0000E34E0000}"/>
    <cellStyle name="Comma 7 2 6" xfId="26369" xr:uid="{00000000-0005-0000-0000-0000E44E0000}"/>
    <cellStyle name="Comma 7 2 7" xfId="30582" xr:uid="{00000000-0005-0000-0000-0000E54E0000}"/>
    <cellStyle name="Comma 7 2 8" xfId="34797" xr:uid="{00000000-0005-0000-0000-0000E64E0000}"/>
    <cellStyle name="Comma 7 2 9" xfId="39001" xr:uid="{00000000-0005-0000-0000-0000E74E0000}"/>
    <cellStyle name="Comma 7 20" xfId="8088" xr:uid="{00000000-0005-0000-0000-0000E84E0000}"/>
    <cellStyle name="Comma 7 20 2" xfId="10036" xr:uid="{00000000-0005-0000-0000-0000E94E0000}"/>
    <cellStyle name="Comma 7 20 2 2" xfId="12059" xr:uid="{00000000-0005-0000-0000-0000EA4E0000}"/>
    <cellStyle name="Comma 7 20 2 2 2" xfId="28716" xr:uid="{00000000-0005-0000-0000-0000EB4E0000}"/>
    <cellStyle name="Comma 7 20 2 2 2 2" xfId="46385" xr:uid="{00000000-0005-0000-0000-0000EC4E0000}"/>
    <cellStyle name="Comma 7 20 2 2 3" xfId="32929" xr:uid="{00000000-0005-0000-0000-0000ED4E0000}"/>
    <cellStyle name="Comma 7 20 2 2 4" xfId="37144" xr:uid="{00000000-0005-0000-0000-0000EE4E0000}"/>
    <cellStyle name="Comma 7 20 2 2 5" xfId="41348" xr:uid="{00000000-0005-0000-0000-0000EF4E0000}"/>
    <cellStyle name="Comma 7 20 2 3" xfId="27516" xr:uid="{00000000-0005-0000-0000-0000F04E0000}"/>
    <cellStyle name="Comma 7 20 2 3 2" xfId="43128" xr:uid="{00000000-0005-0000-0000-0000F14E0000}"/>
    <cellStyle name="Comma 7 20 2 4" xfId="31729" xr:uid="{00000000-0005-0000-0000-0000F24E0000}"/>
    <cellStyle name="Comma 7 20 2 5" xfId="35944" xr:uid="{00000000-0005-0000-0000-0000F34E0000}"/>
    <cellStyle name="Comma 7 20 2 6" xfId="40148" xr:uid="{00000000-0005-0000-0000-0000F44E0000}"/>
    <cellStyle name="Comma 7 20 3" xfId="10820" xr:uid="{00000000-0005-0000-0000-0000F54E0000}"/>
    <cellStyle name="Comma 7 20 3 2" xfId="27981" xr:uid="{00000000-0005-0000-0000-0000F64E0000}"/>
    <cellStyle name="Comma 7 20 3 2 2" xfId="45659" xr:uid="{00000000-0005-0000-0000-0000F74E0000}"/>
    <cellStyle name="Comma 7 20 3 3" xfId="32194" xr:uid="{00000000-0005-0000-0000-0000F84E0000}"/>
    <cellStyle name="Comma 7 20 3 4" xfId="36409" xr:uid="{00000000-0005-0000-0000-0000F94E0000}"/>
    <cellStyle name="Comma 7 20 3 5" xfId="40613" xr:uid="{00000000-0005-0000-0000-0000FA4E0000}"/>
    <cellStyle name="Comma 7 20 4" xfId="26370" xr:uid="{00000000-0005-0000-0000-0000FB4E0000}"/>
    <cellStyle name="Comma 7 20 4 2" xfId="41881" xr:uid="{00000000-0005-0000-0000-0000FC4E0000}"/>
    <cellStyle name="Comma 7 20 5" xfId="30583" xr:uid="{00000000-0005-0000-0000-0000FD4E0000}"/>
    <cellStyle name="Comma 7 20 6" xfId="34798" xr:uid="{00000000-0005-0000-0000-0000FE4E0000}"/>
    <cellStyle name="Comma 7 20 7" xfId="39002" xr:uid="{00000000-0005-0000-0000-0000FF4E0000}"/>
    <cellStyle name="Comma 7 21" xfId="8089" xr:uid="{00000000-0005-0000-0000-0000004F0000}"/>
    <cellStyle name="Comma 7 21 2" xfId="10037" xr:uid="{00000000-0005-0000-0000-0000014F0000}"/>
    <cellStyle name="Comma 7 21 2 2" xfId="12060" xr:uid="{00000000-0005-0000-0000-0000024F0000}"/>
    <cellStyle name="Comma 7 21 2 2 2" xfId="28717" xr:uid="{00000000-0005-0000-0000-0000034F0000}"/>
    <cellStyle name="Comma 7 21 2 2 2 2" xfId="46386" xr:uid="{00000000-0005-0000-0000-0000044F0000}"/>
    <cellStyle name="Comma 7 21 2 2 3" xfId="32930" xr:uid="{00000000-0005-0000-0000-0000054F0000}"/>
    <cellStyle name="Comma 7 21 2 2 4" xfId="37145" xr:uid="{00000000-0005-0000-0000-0000064F0000}"/>
    <cellStyle name="Comma 7 21 2 2 5" xfId="41349" xr:uid="{00000000-0005-0000-0000-0000074F0000}"/>
    <cellStyle name="Comma 7 21 2 3" xfId="27517" xr:uid="{00000000-0005-0000-0000-0000084F0000}"/>
    <cellStyle name="Comma 7 21 2 3 2" xfId="43129" xr:uid="{00000000-0005-0000-0000-0000094F0000}"/>
    <cellStyle name="Comma 7 21 2 4" xfId="31730" xr:uid="{00000000-0005-0000-0000-00000A4F0000}"/>
    <cellStyle name="Comma 7 21 2 5" xfId="35945" xr:uid="{00000000-0005-0000-0000-00000B4F0000}"/>
    <cellStyle name="Comma 7 21 2 6" xfId="40149" xr:uid="{00000000-0005-0000-0000-00000C4F0000}"/>
    <cellStyle name="Comma 7 21 3" xfId="10821" xr:uid="{00000000-0005-0000-0000-00000D4F0000}"/>
    <cellStyle name="Comma 7 21 3 2" xfId="27982" xr:uid="{00000000-0005-0000-0000-00000E4F0000}"/>
    <cellStyle name="Comma 7 21 3 2 2" xfId="45660" xr:uid="{00000000-0005-0000-0000-00000F4F0000}"/>
    <cellStyle name="Comma 7 21 3 3" xfId="32195" xr:uid="{00000000-0005-0000-0000-0000104F0000}"/>
    <cellStyle name="Comma 7 21 3 4" xfId="36410" xr:uid="{00000000-0005-0000-0000-0000114F0000}"/>
    <cellStyle name="Comma 7 21 3 5" xfId="40614" xr:uid="{00000000-0005-0000-0000-0000124F0000}"/>
    <cellStyle name="Comma 7 21 4" xfId="26371" xr:uid="{00000000-0005-0000-0000-0000134F0000}"/>
    <cellStyle name="Comma 7 21 4 2" xfId="41882" xr:uid="{00000000-0005-0000-0000-0000144F0000}"/>
    <cellStyle name="Comma 7 21 5" xfId="30584" xr:uid="{00000000-0005-0000-0000-0000154F0000}"/>
    <cellStyle name="Comma 7 21 6" xfId="34799" xr:uid="{00000000-0005-0000-0000-0000164F0000}"/>
    <cellStyle name="Comma 7 21 7" xfId="39003" xr:uid="{00000000-0005-0000-0000-0000174F0000}"/>
    <cellStyle name="Comma 7 22" xfId="8076" xr:uid="{00000000-0005-0000-0000-0000184F0000}"/>
    <cellStyle name="Comma 7 23" xfId="9625" xr:uid="{00000000-0005-0000-0000-0000194F0000}"/>
    <cellStyle name="Comma 7 23 2" xfId="12181" xr:uid="{00000000-0005-0000-0000-00001A4F0000}"/>
    <cellStyle name="Comma 7 23 2 2" xfId="28792" xr:uid="{00000000-0005-0000-0000-00001B4F0000}"/>
    <cellStyle name="Comma 7 23 2 2 2" xfId="46463" xr:uid="{00000000-0005-0000-0000-00001C4F0000}"/>
    <cellStyle name="Comma 7 23 2 3" xfId="33005" xr:uid="{00000000-0005-0000-0000-00001D4F0000}"/>
    <cellStyle name="Comma 7 23 2 4" xfId="37220" xr:uid="{00000000-0005-0000-0000-00001E4F0000}"/>
    <cellStyle name="Comma 7 23 2 5" xfId="41424" xr:uid="{00000000-0005-0000-0000-00001F4F0000}"/>
    <cellStyle name="Comma 7 23 3" xfId="27142" xr:uid="{00000000-0005-0000-0000-0000204F0000}"/>
    <cellStyle name="Comma 7 23 3 2" xfId="45011" xr:uid="{00000000-0005-0000-0000-0000214F0000}"/>
    <cellStyle name="Comma 7 23 4" xfId="31355" xr:uid="{00000000-0005-0000-0000-0000224F0000}"/>
    <cellStyle name="Comma 7 23 5" xfId="35570" xr:uid="{00000000-0005-0000-0000-0000234F0000}"/>
    <cellStyle name="Comma 7 23 6" xfId="39774" xr:uid="{00000000-0005-0000-0000-0000244F0000}"/>
    <cellStyle name="Comma 7 24" xfId="9854" xr:uid="{00000000-0005-0000-0000-0000254F0000}"/>
    <cellStyle name="Comma 7 24 2" xfId="11865" xr:uid="{00000000-0005-0000-0000-0000264F0000}"/>
    <cellStyle name="Comma 7 24 2 2" xfId="28541" xr:uid="{00000000-0005-0000-0000-0000274F0000}"/>
    <cellStyle name="Comma 7 24 2 2 2" xfId="46207" xr:uid="{00000000-0005-0000-0000-0000284F0000}"/>
    <cellStyle name="Comma 7 24 2 3" xfId="32754" xr:uid="{00000000-0005-0000-0000-0000294F0000}"/>
    <cellStyle name="Comma 7 24 2 4" xfId="36969" xr:uid="{00000000-0005-0000-0000-00002A4F0000}"/>
    <cellStyle name="Comma 7 24 2 5" xfId="41173" xr:uid="{00000000-0005-0000-0000-00002B4F0000}"/>
    <cellStyle name="Comma 7 24 3" xfId="27341" xr:uid="{00000000-0005-0000-0000-00002C4F0000}"/>
    <cellStyle name="Comma 7 24 3 2" xfId="45219" xr:uid="{00000000-0005-0000-0000-00002D4F0000}"/>
    <cellStyle name="Comma 7 24 4" xfId="31554" xr:uid="{00000000-0005-0000-0000-00002E4F0000}"/>
    <cellStyle name="Comma 7 24 5" xfId="35769" xr:uid="{00000000-0005-0000-0000-00002F4F0000}"/>
    <cellStyle name="Comma 7 24 6" xfId="39973" xr:uid="{00000000-0005-0000-0000-0000304F0000}"/>
    <cellStyle name="Comma 7 25" xfId="10634" xr:uid="{00000000-0005-0000-0000-0000314F0000}"/>
    <cellStyle name="Comma 7 25 2" xfId="27806" xr:uid="{00000000-0005-0000-0000-0000324F0000}"/>
    <cellStyle name="Comma 7 25 2 2" xfId="45485" xr:uid="{00000000-0005-0000-0000-0000334F0000}"/>
    <cellStyle name="Comma 7 25 3" xfId="32019" xr:uid="{00000000-0005-0000-0000-0000344F0000}"/>
    <cellStyle name="Comma 7 25 4" xfId="36234" xr:uid="{00000000-0005-0000-0000-0000354F0000}"/>
    <cellStyle name="Comma 7 25 5" xfId="40438" xr:uid="{00000000-0005-0000-0000-0000364F0000}"/>
    <cellStyle name="Comma 7 26" xfId="12297" xr:uid="{00000000-0005-0000-0000-0000374F0000}"/>
    <cellStyle name="Comma 7 26 2" xfId="28864" xr:uid="{00000000-0005-0000-0000-0000384F0000}"/>
    <cellStyle name="Comma 7 26 3" xfId="33077" xr:uid="{00000000-0005-0000-0000-0000394F0000}"/>
    <cellStyle name="Comma 7 26 4" xfId="37292" xr:uid="{00000000-0005-0000-0000-00003A4F0000}"/>
    <cellStyle name="Comma 7 27" xfId="24154" xr:uid="{00000000-0005-0000-0000-00003B4F0000}"/>
    <cellStyle name="Comma 7 27 2" xfId="29011" xr:uid="{00000000-0005-0000-0000-00003C4F0000}"/>
    <cellStyle name="Comma 7 27 3" xfId="33228" xr:uid="{00000000-0005-0000-0000-00003D4F0000}"/>
    <cellStyle name="Comma 7 27 4" xfId="37439" xr:uid="{00000000-0005-0000-0000-00003E4F0000}"/>
    <cellStyle name="Comma 7 28" xfId="26077" xr:uid="{00000000-0005-0000-0000-00003F4F0000}"/>
    <cellStyle name="Comma 7 29" xfId="30290" xr:uid="{00000000-0005-0000-0000-0000404F0000}"/>
    <cellStyle name="Comma 7 3" xfId="8090" xr:uid="{00000000-0005-0000-0000-0000414F0000}"/>
    <cellStyle name="Comma 7 3 10" xfId="8091" xr:uid="{00000000-0005-0000-0000-0000424F0000}"/>
    <cellStyle name="Comma 7 3 10 2" xfId="10039" xr:uid="{00000000-0005-0000-0000-0000434F0000}"/>
    <cellStyle name="Comma 7 3 10 2 2" xfId="12062" xr:uid="{00000000-0005-0000-0000-0000444F0000}"/>
    <cellStyle name="Comma 7 3 10 2 2 2" xfId="28719" xr:uid="{00000000-0005-0000-0000-0000454F0000}"/>
    <cellStyle name="Comma 7 3 10 2 2 2 2" xfId="46388" xr:uid="{00000000-0005-0000-0000-0000464F0000}"/>
    <cellStyle name="Comma 7 3 10 2 2 3" xfId="32932" xr:uid="{00000000-0005-0000-0000-0000474F0000}"/>
    <cellStyle name="Comma 7 3 10 2 2 4" xfId="37147" xr:uid="{00000000-0005-0000-0000-0000484F0000}"/>
    <cellStyle name="Comma 7 3 10 2 2 5" xfId="41351" xr:uid="{00000000-0005-0000-0000-0000494F0000}"/>
    <cellStyle name="Comma 7 3 10 2 3" xfId="27519" xr:uid="{00000000-0005-0000-0000-00004A4F0000}"/>
    <cellStyle name="Comma 7 3 10 2 3 2" xfId="43131" xr:uid="{00000000-0005-0000-0000-00004B4F0000}"/>
    <cellStyle name="Comma 7 3 10 2 4" xfId="31732" xr:uid="{00000000-0005-0000-0000-00004C4F0000}"/>
    <cellStyle name="Comma 7 3 10 2 5" xfId="35947" xr:uid="{00000000-0005-0000-0000-00004D4F0000}"/>
    <cellStyle name="Comma 7 3 10 2 6" xfId="40151" xr:uid="{00000000-0005-0000-0000-00004E4F0000}"/>
    <cellStyle name="Comma 7 3 10 3" xfId="10823" xr:uid="{00000000-0005-0000-0000-00004F4F0000}"/>
    <cellStyle name="Comma 7 3 10 3 2" xfId="27984" xr:uid="{00000000-0005-0000-0000-0000504F0000}"/>
    <cellStyle name="Comma 7 3 10 3 2 2" xfId="45662" xr:uid="{00000000-0005-0000-0000-0000514F0000}"/>
    <cellStyle name="Comma 7 3 10 3 3" xfId="32197" xr:uid="{00000000-0005-0000-0000-0000524F0000}"/>
    <cellStyle name="Comma 7 3 10 3 4" xfId="36412" xr:uid="{00000000-0005-0000-0000-0000534F0000}"/>
    <cellStyle name="Comma 7 3 10 3 5" xfId="40616" xr:uid="{00000000-0005-0000-0000-0000544F0000}"/>
    <cellStyle name="Comma 7 3 10 4" xfId="26373" xr:uid="{00000000-0005-0000-0000-0000554F0000}"/>
    <cellStyle name="Comma 7 3 10 4 2" xfId="41613" xr:uid="{00000000-0005-0000-0000-0000564F0000}"/>
    <cellStyle name="Comma 7 3 10 5" xfId="30586" xr:uid="{00000000-0005-0000-0000-0000574F0000}"/>
    <cellStyle name="Comma 7 3 10 5 2" xfId="41884" xr:uid="{00000000-0005-0000-0000-0000584F0000}"/>
    <cellStyle name="Comma 7 3 10 6" xfId="34801" xr:uid="{00000000-0005-0000-0000-0000594F0000}"/>
    <cellStyle name="Comma 7 3 10 7" xfId="39005" xr:uid="{00000000-0005-0000-0000-00005A4F0000}"/>
    <cellStyle name="Comma 7 3 11" xfId="8092" xr:uid="{00000000-0005-0000-0000-00005B4F0000}"/>
    <cellStyle name="Comma 7 3 11 2" xfId="10040" xr:uid="{00000000-0005-0000-0000-00005C4F0000}"/>
    <cellStyle name="Comma 7 3 11 2 2" xfId="12063" xr:uid="{00000000-0005-0000-0000-00005D4F0000}"/>
    <cellStyle name="Comma 7 3 11 2 2 2" xfId="28720" xr:uid="{00000000-0005-0000-0000-00005E4F0000}"/>
    <cellStyle name="Comma 7 3 11 2 2 2 2" xfId="46389" xr:uid="{00000000-0005-0000-0000-00005F4F0000}"/>
    <cellStyle name="Comma 7 3 11 2 2 3" xfId="32933" xr:uid="{00000000-0005-0000-0000-0000604F0000}"/>
    <cellStyle name="Comma 7 3 11 2 2 4" xfId="37148" xr:uid="{00000000-0005-0000-0000-0000614F0000}"/>
    <cellStyle name="Comma 7 3 11 2 2 5" xfId="41352" xr:uid="{00000000-0005-0000-0000-0000624F0000}"/>
    <cellStyle name="Comma 7 3 11 2 3" xfId="27520" xr:uid="{00000000-0005-0000-0000-0000634F0000}"/>
    <cellStyle name="Comma 7 3 11 2 3 2" xfId="43132" xr:uid="{00000000-0005-0000-0000-0000644F0000}"/>
    <cellStyle name="Comma 7 3 11 2 4" xfId="31733" xr:uid="{00000000-0005-0000-0000-0000654F0000}"/>
    <cellStyle name="Comma 7 3 11 2 5" xfId="35948" xr:uid="{00000000-0005-0000-0000-0000664F0000}"/>
    <cellStyle name="Comma 7 3 11 2 6" xfId="40152" xr:uid="{00000000-0005-0000-0000-0000674F0000}"/>
    <cellStyle name="Comma 7 3 11 3" xfId="10824" xr:uid="{00000000-0005-0000-0000-0000684F0000}"/>
    <cellStyle name="Comma 7 3 11 3 2" xfId="27985" xr:uid="{00000000-0005-0000-0000-0000694F0000}"/>
    <cellStyle name="Comma 7 3 11 3 2 2" xfId="45663" xr:uid="{00000000-0005-0000-0000-00006A4F0000}"/>
    <cellStyle name="Comma 7 3 11 3 3" xfId="32198" xr:uid="{00000000-0005-0000-0000-00006B4F0000}"/>
    <cellStyle name="Comma 7 3 11 3 4" xfId="36413" xr:uid="{00000000-0005-0000-0000-00006C4F0000}"/>
    <cellStyle name="Comma 7 3 11 3 5" xfId="40617" xr:uid="{00000000-0005-0000-0000-00006D4F0000}"/>
    <cellStyle name="Comma 7 3 11 4" xfId="26374" xr:uid="{00000000-0005-0000-0000-00006E4F0000}"/>
    <cellStyle name="Comma 7 3 11 4 2" xfId="41614" xr:uid="{00000000-0005-0000-0000-00006F4F0000}"/>
    <cellStyle name="Comma 7 3 11 5" xfId="30587" xr:uid="{00000000-0005-0000-0000-0000704F0000}"/>
    <cellStyle name="Comma 7 3 11 5 2" xfId="41885" xr:uid="{00000000-0005-0000-0000-0000714F0000}"/>
    <cellStyle name="Comma 7 3 11 6" xfId="34802" xr:uid="{00000000-0005-0000-0000-0000724F0000}"/>
    <cellStyle name="Comma 7 3 11 7" xfId="39006" xr:uid="{00000000-0005-0000-0000-0000734F0000}"/>
    <cellStyle name="Comma 7 3 12" xfId="8093" xr:uid="{00000000-0005-0000-0000-0000744F0000}"/>
    <cellStyle name="Comma 7 3 12 2" xfId="10041" xr:uid="{00000000-0005-0000-0000-0000754F0000}"/>
    <cellStyle name="Comma 7 3 12 2 2" xfId="12064" xr:uid="{00000000-0005-0000-0000-0000764F0000}"/>
    <cellStyle name="Comma 7 3 12 2 2 2" xfId="28721" xr:uid="{00000000-0005-0000-0000-0000774F0000}"/>
    <cellStyle name="Comma 7 3 12 2 2 2 2" xfId="46390" xr:uid="{00000000-0005-0000-0000-0000784F0000}"/>
    <cellStyle name="Comma 7 3 12 2 2 3" xfId="32934" xr:uid="{00000000-0005-0000-0000-0000794F0000}"/>
    <cellStyle name="Comma 7 3 12 2 2 4" xfId="37149" xr:uid="{00000000-0005-0000-0000-00007A4F0000}"/>
    <cellStyle name="Comma 7 3 12 2 2 5" xfId="41353" xr:uid="{00000000-0005-0000-0000-00007B4F0000}"/>
    <cellStyle name="Comma 7 3 12 2 3" xfId="27521" xr:uid="{00000000-0005-0000-0000-00007C4F0000}"/>
    <cellStyle name="Comma 7 3 12 2 3 2" xfId="43133" xr:uid="{00000000-0005-0000-0000-00007D4F0000}"/>
    <cellStyle name="Comma 7 3 12 2 4" xfId="31734" xr:uid="{00000000-0005-0000-0000-00007E4F0000}"/>
    <cellStyle name="Comma 7 3 12 2 5" xfId="35949" xr:uid="{00000000-0005-0000-0000-00007F4F0000}"/>
    <cellStyle name="Comma 7 3 12 2 6" xfId="40153" xr:uid="{00000000-0005-0000-0000-0000804F0000}"/>
    <cellStyle name="Comma 7 3 12 3" xfId="10825" xr:uid="{00000000-0005-0000-0000-0000814F0000}"/>
    <cellStyle name="Comma 7 3 12 3 2" xfId="27986" xr:uid="{00000000-0005-0000-0000-0000824F0000}"/>
    <cellStyle name="Comma 7 3 12 3 2 2" xfId="45664" xr:uid="{00000000-0005-0000-0000-0000834F0000}"/>
    <cellStyle name="Comma 7 3 12 3 3" xfId="32199" xr:uid="{00000000-0005-0000-0000-0000844F0000}"/>
    <cellStyle name="Comma 7 3 12 3 4" xfId="36414" xr:uid="{00000000-0005-0000-0000-0000854F0000}"/>
    <cellStyle name="Comma 7 3 12 3 5" xfId="40618" xr:uid="{00000000-0005-0000-0000-0000864F0000}"/>
    <cellStyle name="Comma 7 3 12 4" xfId="26375" xr:uid="{00000000-0005-0000-0000-0000874F0000}"/>
    <cellStyle name="Comma 7 3 12 4 2" xfId="41615" xr:uid="{00000000-0005-0000-0000-0000884F0000}"/>
    <cellStyle name="Comma 7 3 12 5" xfId="30588" xr:uid="{00000000-0005-0000-0000-0000894F0000}"/>
    <cellStyle name="Comma 7 3 12 5 2" xfId="41886" xr:uid="{00000000-0005-0000-0000-00008A4F0000}"/>
    <cellStyle name="Comma 7 3 12 6" xfId="34803" xr:uid="{00000000-0005-0000-0000-00008B4F0000}"/>
    <cellStyle name="Comma 7 3 12 7" xfId="39007" xr:uid="{00000000-0005-0000-0000-00008C4F0000}"/>
    <cellStyle name="Comma 7 3 13" xfId="8094" xr:uid="{00000000-0005-0000-0000-00008D4F0000}"/>
    <cellStyle name="Comma 7 3 13 2" xfId="10042" xr:uid="{00000000-0005-0000-0000-00008E4F0000}"/>
    <cellStyle name="Comma 7 3 13 2 2" xfId="12065" xr:uid="{00000000-0005-0000-0000-00008F4F0000}"/>
    <cellStyle name="Comma 7 3 13 2 2 2" xfId="28722" xr:uid="{00000000-0005-0000-0000-0000904F0000}"/>
    <cellStyle name="Comma 7 3 13 2 2 2 2" xfId="46391" xr:uid="{00000000-0005-0000-0000-0000914F0000}"/>
    <cellStyle name="Comma 7 3 13 2 2 3" xfId="32935" xr:uid="{00000000-0005-0000-0000-0000924F0000}"/>
    <cellStyle name="Comma 7 3 13 2 2 4" xfId="37150" xr:uid="{00000000-0005-0000-0000-0000934F0000}"/>
    <cellStyle name="Comma 7 3 13 2 2 5" xfId="41354" xr:uid="{00000000-0005-0000-0000-0000944F0000}"/>
    <cellStyle name="Comma 7 3 13 2 3" xfId="27522" xr:uid="{00000000-0005-0000-0000-0000954F0000}"/>
    <cellStyle name="Comma 7 3 13 2 3 2" xfId="43134" xr:uid="{00000000-0005-0000-0000-0000964F0000}"/>
    <cellStyle name="Comma 7 3 13 2 4" xfId="31735" xr:uid="{00000000-0005-0000-0000-0000974F0000}"/>
    <cellStyle name="Comma 7 3 13 2 5" xfId="35950" xr:uid="{00000000-0005-0000-0000-0000984F0000}"/>
    <cellStyle name="Comma 7 3 13 2 6" xfId="40154" xr:uid="{00000000-0005-0000-0000-0000994F0000}"/>
    <cellStyle name="Comma 7 3 13 3" xfId="10826" xr:uid="{00000000-0005-0000-0000-00009A4F0000}"/>
    <cellStyle name="Comma 7 3 13 3 2" xfId="27987" xr:uid="{00000000-0005-0000-0000-00009B4F0000}"/>
    <cellStyle name="Comma 7 3 13 3 2 2" xfId="45665" xr:uid="{00000000-0005-0000-0000-00009C4F0000}"/>
    <cellStyle name="Comma 7 3 13 3 3" xfId="32200" xr:uid="{00000000-0005-0000-0000-00009D4F0000}"/>
    <cellStyle name="Comma 7 3 13 3 4" xfId="36415" xr:uid="{00000000-0005-0000-0000-00009E4F0000}"/>
    <cellStyle name="Comma 7 3 13 3 5" xfId="40619" xr:uid="{00000000-0005-0000-0000-00009F4F0000}"/>
    <cellStyle name="Comma 7 3 13 4" xfId="26376" xr:uid="{00000000-0005-0000-0000-0000A04F0000}"/>
    <cellStyle name="Comma 7 3 13 4 2" xfId="41616" xr:uid="{00000000-0005-0000-0000-0000A14F0000}"/>
    <cellStyle name="Comma 7 3 13 5" xfId="30589" xr:uid="{00000000-0005-0000-0000-0000A24F0000}"/>
    <cellStyle name="Comma 7 3 13 5 2" xfId="41887" xr:uid="{00000000-0005-0000-0000-0000A34F0000}"/>
    <cellStyle name="Comma 7 3 13 6" xfId="34804" xr:uid="{00000000-0005-0000-0000-0000A44F0000}"/>
    <cellStyle name="Comma 7 3 13 7" xfId="39008" xr:uid="{00000000-0005-0000-0000-0000A54F0000}"/>
    <cellStyle name="Comma 7 3 14" xfId="8095" xr:uid="{00000000-0005-0000-0000-0000A64F0000}"/>
    <cellStyle name="Comma 7 3 14 2" xfId="10043" xr:uid="{00000000-0005-0000-0000-0000A74F0000}"/>
    <cellStyle name="Comma 7 3 14 2 2" xfId="12066" xr:uid="{00000000-0005-0000-0000-0000A84F0000}"/>
    <cellStyle name="Comma 7 3 14 2 2 2" xfId="28723" xr:uid="{00000000-0005-0000-0000-0000A94F0000}"/>
    <cellStyle name="Comma 7 3 14 2 2 2 2" xfId="46392" xr:uid="{00000000-0005-0000-0000-0000AA4F0000}"/>
    <cellStyle name="Comma 7 3 14 2 2 3" xfId="32936" xr:uid="{00000000-0005-0000-0000-0000AB4F0000}"/>
    <cellStyle name="Comma 7 3 14 2 2 4" xfId="37151" xr:uid="{00000000-0005-0000-0000-0000AC4F0000}"/>
    <cellStyle name="Comma 7 3 14 2 2 5" xfId="41355" xr:uid="{00000000-0005-0000-0000-0000AD4F0000}"/>
    <cellStyle name="Comma 7 3 14 2 3" xfId="27523" xr:uid="{00000000-0005-0000-0000-0000AE4F0000}"/>
    <cellStyle name="Comma 7 3 14 2 3 2" xfId="43135" xr:uid="{00000000-0005-0000-0000-0000AF4F0000}"/>
    <cellStyle name="Comma 7 3 14 2 4" xfId="31736" xr:uid="{00000000-0005-0000-0000-0000B04F0000}"/>
    <cellStyle name="Comma 7 3 14 2 5" xfId="35951" xr:uid="{00000000-0005-0000-0000-0000B14F0000}"/>
    <cellStyle name="Comma 7 3 14 2 6" xfId="40155" xr:uid="{00000000-0005-0000-0000-0000B24F0000}"/>
    <cellStyle name="Comma 7 3 14 3" xfId="10827" xr:uid="{00000000-0005-0000-0000-0000B34F0000}"/>
    <cellStyle name="Comma 7 3 14 3 2" xfId="27988" xr:uid="{00000000-0005-0000-0000-0000B44F0000}"/>
    <cellStyle name="Comma 7 3 14 3 2 2" xfId="45666" xr:uid="{00000000-0005-0000-0000-0000B54F0000}"/>
    <cellStyle name="Comma 7 3 14 3 3" xfId="32201" xr:uid="{00000000-0005-0000-0000-0000B64F0000}"/>
    <cellStyle name="Comma 7 3 14 3 4" xfId="36416" xr:uid="{00000000-0005-0000-0000-0000B74F0000}"/>
    <cellStyle name="Comma 7 3 14 3 5" xfId="40620" xr:uid="{00000000-0005-0000-0000-0000B84F0000}"/>
    <cellStyle name="Comma 7 3 14 4" xfId="26377" xr:uid="{00000000-0005-0000-0000-0000B94F0000}"/>
    <cellStyle name="Comma 7 3 14 4 2" xfId="41617" xr:uid="{00000000-0005-0000-0000-0000BA4F0000}"/>
    <cellStyle name="Comma 7 3 14 5" xfId="30590" xr:uid="{00000000-0005-0000-0000-0000BB4F0000}"/>
    <cellStyle name="Comma 7 3 14 5 2" xfId="41888" xr:uid="{00000000-0005-0000-0000-0000BC4F0000}"/>
    <cellStyle name="Comma 7 3 14 6" xfId="34805" xr:uid="{00000000-0005-0000-0000-0000BD4F0000}"/>
    <cellStyle name="Comma 7 3 14 7" xfId="39009" xr:uid="{00000000-0005-0000-0000-0000BE4F0000}"/>
    <cellStyle name="Comma 7 3 15" xfId="8096" xr:uid="{00000000-0005-0000-0000-0000BF4F0000}"/>
    <cellStyle name="Comma 7 3 15 2" xfId="10044" xr:uid="{00000000-0005-0000-0000-0000C04F0000}"/>
    <cellStyle name="Comma 7 3 15 2 2" xfId="12067" xr:uid="{00000000-0005-0000-0000-0000C14F0000}"/>
    <cellStyle name="Comma 7 3 15 2 2 2" xfId="28724" xr:uid="{00000000-0005-0000-0000-0000C24F0000}"/>
    <cellStyle name="Comma 7 3 15 2 2 2 2" xfId="46393" xr:uid="{00000000-0005-0000-0000-0000C34F0000}"/>
    <cellStyle name="Comma 7 3 15 2 2 3" xfId="32937" xr:uid="{00000000-0005-0000-0000-0000C44F0000}"/>
    <cellStyle name="Comma 7 3 15 2 2 4" xfId="37152" xr:uid="{00000000-0005-0000-0000-0000C54F0000}"/>
    <cellStyle name="Comma 7 3 15 2 2 5" xfId="41356" xr:uid="{00000000-0005-0000-0000-0000C64F0000}"/>
    <cellStyle name="Comma 7 3 15 2 3" xfId="27524" xr:uid="{00000000-0005-0000-0000-0000C74F0000}"/>
    <cellStyle name="Comma 7 3 15 2 3 2" xfId="43136" xr:uid="{00000000-0005-0000-0000-0000C84F0000}"/>
    <cellStyle name="Comma 7 3 15 2 4" xfId="31737" xr:uid="{00000000-0005-0000-0000-0000C94F0000}"/>
    <cellStyle name="Comma 7 3 15 2 5" xfId="35952" xr:uid="{00000000-0005-0000-0000-0000CA4F0000}"/>
    <cellStyle name="Comma 7 3 15 2 6" xfId="40156" xr:uid="{00000000-0005-0000-0000-0000CB4F0000}"/>
    <cellStyle name="Comma 7 3 15 3" xfId="10828" xr:uid="{00000000-0005-0000-0000-0000CC4F0000}"/>
    <cellStyle name="Comma 7 3 15 3 2" xfId="27989" xr:uid="{00000000-0005-0000-0000-0000CD4F0000}"/>
    <cellStyle name="Comma 7 3 15 3 2 2" xfId="45667" xr:uid="{00000000-0005-0000-0000-0000CE4F0000}"/>
    <cellStyle name="Comma 7 3 15 3 3" xfId="32202" xr:uid="{00000000-0005-0000-0000-0000CF4F0000}"/>
    <cellStyle name="Comma 7 3 15 3 4" xfId="36417" xr:uid="{00000000-0005-0000-0000-0000D04F0000}"/>
    <cellStyle name="Comma 7 3 15 3 5" xfId="40621" xr:uid="{00000000-0005-0000-0000-0000D14F0000}"/>
    <cellStyle name="Comma 7 3 15 4" xfId="26378" xr:uid="{00000000-0005-0000-0000-0000D24F0000}"/>
    <cellStyle name="Comma 7 3 15 4 2" xfId="41618" xr:uid="{00000000-0005-0000-0000-0000D34F0000}"/>
    <cellStyle name="Comma 7 3 15 5" xfId="30591" xr:uid="{00000000-0005-0000-0000-0000D44F0000}"/>
    <cellStyle name="Comma 7 3 15 5 2" xfId="41889" xr:uid="{00000000-0005-0000-0000-0000D54F0000}"/>
    <cellStyle name="Comma 7 3 15 6" xfId="34806" xr:uid="{00000000-0005-0000-0000-0000D64F0000}"/>
    <cellStyle name="Comma 7 3 15 7" xfId="39010" xr:uid="{00000000-0005-0000-0000-0000D74F0000}"/>
    <cellStyle name="Comma 7 3 16" xfId="10038" xr:uid="{00000000-0005-0000-0000-0000D84F0000}"/>
    <cellStyle name="Comma 7 3 16 2" xfId="12061" xr:uid="{00000000-0005-0000-0000-0000D94F0000}"/>
    <cellStyle name="Comma 7 3 16 2 2" xfId="28718" xr:uid="{00000000-0005-0000-0000-0000DA4F0000}"/>
    <cellStyle name="Comma 7 3 16 2 2 2" xfId="46387" xr:uid="{00000000-0005-0000-0000-0000DB4F0000}"/>
    <cellStyle name="Comma 7 3 16 2 3" xfId="32931" xr:uid="{00000000-0005-0000-0000-0000DC4F0000}"/>
    <cellStyle name="Comma 7 3 16 2 4" xfId="37146" xr:uid="{00000000-0005-0000-0000-0000DD4F0000}"/>
    <cellStyle name="Comma 7 3 16 2 5" xfId="41350" xr:uid="{00000000-0005-0000-0000-0000DE4F0000}"/>
    <cellStyle name="Comma 7 3 16 3" xfId="27518" xr:uid="{00000000-0005-0000-0000-0000DF4F0000}"/>
    <cellStyle name="Comma 7 3 16 3 2" xfId="43130" xr:uid="{00000000-0005-0000-0000-0000E04F0000}"/>
    <cellStyle name="Comma 7 3 16 4" xfId="31731" xr:uid="{00000000-0005-0000-0000-0000E14F0000}"/>
    <cellStyle name="Comma 7 3 16 5" xfId="35946" xr:uid="{00000000-0005-0000-0000-0000E24F0000}"/>
    <cellStyle name="Comma 7 3 16 6" xfId="40150" xr:uid="{00000000-0005-0000-0000-0000E34F0000}"/>
    <cellStyle name="Comma 7 3 17" xfId="10822" xr:uid="{00000000-0005-0000-0000-0000E44F0000}"/>
    <cellStyle name="Comma 7 3 17 2" xfId="27983" xr:uid="{00000000-0005-0000-0000-0000E54F0000}"/>
    <cellStyle name="Comma 7 3 17 2 2" xfId="45661" xr:uid="{00000000-0005-0000-0000-0000E64F0000}"/>
    <cellStyle name="Comma 7 3 17 3" xfId="32196" xr:uid="{00000000-0005-0000-0000-0000E74F0000}"/>
    <cellStyle name="Comma 7 3 17 4" xfId="36411" xr:uid="{00000000-0005-0000-0000-0000E84F0000}"/>
    <cellStyle name="Comma 7 3 17 5" xfId="40615" xr:uid="{00000000-0005-0000-0000-0000E94F0000}"/>
    <cellStyle name="Comma 7 3 18" xfId="17784" xr:uid="{00000000-0005-0000-0000-0000EA4F0000}"/>
    <cellStyle name="Comma 7 3 18 2" xfId="28927" xr:uid="{00000000-0005-0000-0000-0000EB4F0000}"/>
    <cellStyle name="Comma 7 3 18 3" xfId="33142" xr:uid="{00000000-0005-0000-0000-0000EC4F0000}"/>
    <cellStyle name="Comma 7 3 18 4" xfId="37355" xr:uid="{00000000-0005-0000-0000-0000ED4F0000}"/>
    <cellStyle name="Comma 7 3 18 5" xfId="41883" xr:uid="{00000000-0005-0000-0000-0000EE4F0000}"/>
    <cellStyle name="Comma 7 3 19" xfId="26372" xr:uid="{00000000-0005-0000-0000-0000EF4F0000}"/>
    <cellStyle name="Comma 7 3 2" xfId="8097" xr:uid="{00000000-0005-0000-0000-0000F04F0000}"/>
    <cellStyle name="Comma 7 3 2 2" xfId="10045" xr:uid="{00000000-0005-0000-0000-0000F14F0000}"/>
    <cellStyle name="Comma 7 3 2 2 2" xfId="12068" xr:uid="{00000000-0005-0000-0000-0000F24F0000}"/>
    <cellStyle name="Comma 7 3 2 2 2 2" xfId="28725" xr:uid="{00000000-0005-0000-0000-0000F34F0000}"/>
    <cellStyle name="Comma 7 3 2 2 2 2 2" xfId="46394" xr:uid="{00000000-0005-0000-0000-0000F44F0000}"/>
    <cellStyle name="Comma 7 3 2 2 2 3" xfId="32938" xr:uid="{00000000-0005-0000-0000-0000F54F0000}"/>
    <cellStyle name="Comma 7 3 2 2 2 4" xfId="37153" xr:uid="{00000000-0005-0000-0000-0000F64F0000}"/>
    <cellStyle name="Comma 7 3 2 2 2 5" xfId="41357" xr:uid="{00000000-0005-0000-0000-0000F74F0000}"/>
    <cellStyle name="Comma 7 3 2 2 3" xfId="27525" xr:uid="{00000000-0005-0000-0000-0000F84F0000}"/>
    <cellStyle name="Comma 7 3 2 2 3 2" xfId="43137" xr:uid="{00000000-0005-0000-0000-0000F94F0000}"/>
    <cellStyle name="Comma 7 3 2 2 4" xfId="31738" xr:uid="{00000000-0005-0000-0000-0000FA4F0000}"/>
    <cellStyle name="Comma 7 3 2 2 5" xfId="35953" xr:uid="{00000000-0005-0000-0000-0000FB4F0000}"/>
    <cellStyle name="Comma 7 3 2 2 6" xfId="40157" xr:uid="{00000000-0005-0000-0000-0000FC4F0000}"/>
    <cellStyle name="Comma 7 3 2 3" xfId="10829" xr:uid="{00000000-0005-0000-0000-0000FD4F0000}"/>
    <cellStyle name="Comma 7 3 2 3 2" xfId="27990" xr:uid="{00000000-0005-0000-0000-0000FE4F0000}"/>
    <cellStyle name="Comma 7 3 2 3 2 2" xfId="45668" xr:uid="{00000000-0005-0000-0000-0000FF4F0000}"/>
    <cellStyle name="Comma 7 3 2 3 3" xfId="32203" xr:uid="{00000000-0005-0000-0000-000000500000}"/>
    <cellStyle name="Comma 7 3 2 3 4" xfId="36418" xr:uid="{00000000-0005-0000-0000-000001500000}"/>
    <cellStyle name="Comma 7 3 2 3 5" xfId="40622" xr:uid="{00000000-0005-0000-0000-000002500000}"/>
    <cellStyle name="Comma 7 3 2 4" xfId="26379" xr:uid="{00000000-0005-0000-0000-000003500000}"/>
    <cellStyle name="Comma 7 3 2 4 2" xfId="41619" xr:uid="{00000000-0005-0000-0000-000004500000}"/>
    <cellStyle name="Comma 7 3 2 5" xfId="30592" xr:uid="{00000000-0005-0000-0000-000005500000}"/>
    <cellStyle name="Comma 7 3 2 5 2" xfId="41890" xr:uid="{00000000-0005-0000-0000-000006500000}"/>
    <cellStyle name="Comma 7 3 2 6" xfId="34807" xr:uid="{00000000-0005-0000-0000-000007500000}"/>
    <cellStyle name="Comma 7 3 2 7" xfId="39011" xr:uid="{00000000-0005-0000-0000-000008500000}"/>
    <cellStyle name="Comma 7 3 20" xfId="30585" xr:uid="{00000000-0005-0000-0000-000009500000}"/>
    <cellStyle name="Comma 7 3 21" xfId="34800" xr:uid="{00000000-0005-0000-0000-00000A500000}"/>
    <cellStyle name="Comma 7 3 22" xfId="39004" xr:uid="{00000000-0005-0000-0000-00000B500000}"/>
    <cellStyle name="Comma 7 3 3" xfId="8098" xr:uid="{00000000-0005-0000-0000-00000C500000}"/>
    <cellStyle name="Comma 7 3 3 2" xfId="10046" xr:uid="{00000000-0005-0000-0000-00000D500000}"/>
    <cellStyle name="Comma 7 3 3 2 2" xfId="12069" xr:uid="{00000000-0005-0000-0000-00000E500000}"/>
    <cellStyle name="Comma 7 3 3 2 2 2" xfId="28726" xr:uid="{00000000-0005-0000-0000-00000F500000}"/>
    <cellStyle name="Comma 7 3 3 2 2 2 2" xfId="46395" xr:uid="{00000000-0005-0000-0000-000010500000}"/>
    <cellStyle name="Comma 7 3 3 2 2 3" xfId="32939" xr:uid="{00000000-0005-0000-0000-000011500000}"/>
    <cellStyle name="Comma 7 3 3 2 2 4" xfId="37154" xr:uid="{00000000-0005-0000-0000-000012500000}"/>
    <cellStyle name="Comma 7 3 3 2 2 5" xfId="41358" xr:uid="{00000000-0005-0000-0000-000013500000}"/>
    <cellStyle name="Comma 7 3 3 2 3" xfId="27526" xr:uid="{00000000-0005-0000-0000-000014500000}"/>
    <cellStyle name="Comma 7 3 3 2 3 2" xfId="43138" xr:uid="{00000000-0005-0000-0000-000015500000}"/>
    <cellStyle name="Comma 7 3 3 2 4" xfId="31739" xr:uid="{00000000-0005-0000-0000-000016500000}"/>
    <cellStyle name="Comma 7 3 3 2 5" xfId="35954" xr:uid="{00000000-0005-0000-0000-000017500000}"/>
    <cellStyle name="Comma 7 3 3 2 6" xfId="40158" xr:uid="{00000000-0005-0000-0000-000018500000}"/>
    <cellStyle name="Comma 7 3 3 3" xfId="10830" xr:uid="{00000000-0005-0000-0000-000019500000}"/>
    <cellStyle name="Comma 7 3 3 3 2" xfId="27991" xr:uid="{00000000-0005-0000-0000-00001A500000}"/>
    <cellStyle name="Comma 7 3 3 3 2 2" xfId="45669" xr:uid="{00000000-0005-0000-0000-00001B500000}"/>
    <cellStyle name="Comma 7 3 3 3 3" xfId="32204" xr:uid="{00000000-0005-0000-0000-00001C500000}"/>
    <cellStyle name="Comma 7 3 3 3 4" xfId="36419" xr:uid="{00000000-0005-0000-0000-00001D500000}"/>
    <cellStyle name="Comma 7 3 3 3 5" xfId="40623" xr:uid="{00000000-0005-0000-0000-00001E500000}"/>
    <cellStyle name="Comma 7 3 3 4" xfId="26380" xr:uid="{00000000-0005-0000-0000-00001F500000}"/>
    <cellStyle name="Comma 7 3 3 4 2" xfId="41620" xr:uid="{00000000-0005-0000-0000-000020500000}"/>
    <cellStyle name="Comma 7 3 3 5" xfId="30593" xr:uid="{00000000-0005-0000-0000-000021500000}"/>
    <cellStyle name="Comma 7 3 3 5 2" xfId="41891" xr:uid="{00000000-0005-0000-0000-000022500000}"/>
    <cellStyle name="Comma 7 3 3 6" xfId="34808" xr:uid="{00000000-0005-0000-0000-000023500000}"/>
    <cellStyle name="Comma 7 3 3 7" xfId="39012" xr:uid="{00000000-0005-0000-0000-000024500000}"/>
    <cellStyle name="Comma 7 3 4" xfId="8099" xr:uid="{00000000-0005-0000-0000-000025500000}"/>
    <cellStyle name="Comma 7 3 4 2" xfId="10047" xr:uid="{00000000-0005-0000-0000-000026500000}"/>
    <cellStyle name="Comma 7 3 4 2 2" xfId="12070" xr:uid="{00000000-0005-0000-0000-000027500000}"/>
    <cellStyle name="Comma 7 3 4 2 2 2" xfId="28727" xr:uid="{00000000-0005-0000-0000-000028500000}"/>
    <cellStyle name="Comma 7 3 4 2 2 2 2" xfId="46396" xr:uid="{00000000-0005-0000-0000-000029500000}"/>
    <cellStyle name="Comma 7 3 4 2 2 3" xfId="32940" xr:uid="{00000000-0005-0000-0000-00002A500000}"/>
    <cellStyle name="Comma 7 3 4 2 2 4" xfId="37155" xr:uid="{00000000-0005-0000-0000-00002B500000}"/>
    <cellStyle name="Comma 7 3 4 2 2 5" xfId="41359" xr:uid="{00000000-0005-0000-0000-00002C500000}"/>
    <cellStyle name="Comma 7 3 4 2 3" xfId="27527" xr:uid="{00000000-0005-0000-0000-00002D500000}"/>
    <cellStyle name="Comma 7 3 4 2 3 2" xfId="43139" xr:uid="{00000000-0005-0000-0000-00002E500000}"/>
    <cellStyle name="Comma 7 3 4 2 4" xfId="31740" xr:uid="{00000000-0005-0000-0000-00002F500000}"/>
    <cellStyle name="Comma 7 3 4 2 5" xfId="35955" xr:uid="{00000000-0005-0000-0000-000030500000}"/>
    <cellStyle name="Comma 7 3 4 2 6" xfId="40159" xr:uid="{00000000-0005-0000-0000-000031500000}"/>
    <cellStyle name="Comma 7 3 4 3" xfId="10831" xr:uid="{00000000-0005-0000-0000-000032500000}"/>
    <cellStyle name="Comma 7 3 4 3 2" xfId="27992" xr:uid="{00000000-0005-0000-0000-000033500000}"/>
    <cellStyle name="Comma 7 3 4 3 2 2" xfId="45670" xr:uid="{00000000-0005-0000-0000-000034500000}"/>
    <cellStyle name="Comma 7 3 4 3 3" xfId="32205" xr:uid="{00000000-0005-0000-0000-000035500000}"/>
    <cellStyle name="Comma 7 3 4 3 4" xfId="36420" xr:uid="{00000000-0005-0000-0000-000036500000}"/>
    <cellStyle name="Comma 7 3 4 3 5" xfId="40624" xr:uid="{00000000-0005-0000-0000-000037500000}"/>
    <cellStyle name="Comma 7 3 4 4" xfId="26381" xr:uid="{00000000-0005-0000-0000-000038500000}"/>
    <cellStyle name="Comma 7 3 4 4 2" xfId="41621" xr:uid="{00000000-0005-0000-0000-000039500000}"/>
    <cellStyle name="Comma 7 3 4 5" xfId="30594" xr:uid="{00000000-0005-0000-0000-00003A500000}"/>
    <cellStyle name="Comma 7 3 4 5 2" xfId="41892" xr:uid="{00000000-0005-0000-0000-00003B500000}"/>
    <cellStyle name="Comma 7 3 4 6" xfId="34809" xr:uid="{00000000-0005-0000-0000-00003C500000}"/>
    <cellStyle name="Comma 7 3 4 7" xfId="39013" xr:uid="{00000000-0005-0000-0000-00003D500000}"/>
    <cellStyle name="Comma 7 3 5" xfId="8100" xr:uid="{00000000-0005-0000-0000-00003E500000}"/>
    <cellStyle name="Comma 7 3 5 2" xfId="10048" xr:uid="{00000000-0005-0000-0000-00003F500000}"/>
    <cellStyle name="Comma 7 3 5 2 2" xfId="12071" xr:uid="{00000000-0005-0000-0000-000040500000}"/>
    <cellStyle name="Comma 7 3 5 2 2 2" xfId="28728" xr:uid="{00000000-0005-0000-0000-000041500000}"/>
    <cellStyle name="Comma 7 3 5 2 2 2 2" xfId="46397" xr:uid="{00000000-0005-0000-0000-000042500000}"/>
    <cellStyle name="Comma 7 3 5 2 2 3" xfId="32941" xr:uid="{00000000-0005-0000-0000-000043500000}"/>
    <cellStyle name="Comma 7 3 5 2 2 4" xfId="37156" xr:uid="{00000000-0005-0000-0000-000044500000}"/>
    <cellStyle name="Comma 7 3 5 2 2 5" xfId="41360" xr:uid="{00000000-0005-0000-0000-000045500000}"/>
    <cellStyle name="Comma 7 3 5 2 3" xfId="27528" xr:uid="{00000000-0005-0000-0000-000046500000}"/>
    <cellStyle name="Comma 7 3 5 2 3 2" xfId="43140" xr:uid="{00000000-0005-0000-0000-000047500000}"/>
    <cellStyle name="Comma 7 3 5 2 4" xfId="31741" xr:uid="{00000000-0005-0000-0000-000048500000}"/>
    <cellStyle name="Comma 7 3 5 2 5" xfId="35956" xr:uid="{00000000-0005-0000-0000-000049500000}"/>
    <cellStyle name="Comma 7 3 5 2 6" xfId="40160" xr:uid="{00000000-0005-0000-0000-00004A500000}"/>
    <cellStyle name="Comma 7 3 5 3" xfId="10832" xr:uid="{00000000-0005-0000-0000-00004B500000}"/>
    <cellStyle name="Comma 7 3 5 3 2" xfId="27993" xr:uid="{00000000-0005-0000-0000-00004C500000}"/>
    <cellStyle name="Comma 7 3 5 3 2 2" xfId="45671" xr:uid="{00000000-0005-0000-0000-00004D500000}"/>
    <cellStyle name="Comma 7 3 5 3 3" xfId="32206" xr:uid="{00000000-0005-0000-0000-00004E500000}"/>
    <cellStyle name="Comma 7 3 5 3 4" xfId="36421" xr:uid="{00000000-0005-0000-0000-00004F500000}"/>
    <cellStyle name="Comma 7 3 5 3 5" xfId="40625" xr:uid="{00000000-0005-0000-0000-000050500000}"/>
    <cellStyle name="Comma 7 3 5 4" xfId="26382" xr:uid="{00000000-0005-0000-0000-000051500000}"/>
    <cellStyle name="Comma 7 3 5 4 2" xfId="41622" xr:uid="{00000000-0005-0000-0000-000052500000}"/>
    <cellStyle name="Comma 7 3 5 5" xfId="30595" xr:uid="{00000000-0005-0000-0000-000053500000}"/>
    <cellStyle name="Comma 7 3 5 5 2" xfId="41893" xr:uid="{00000000-0005-0000-0000-000054500000}"/>
    <cellStyle name="Comma 7 3 5 6" xfId="34810" xr:uid="{00000000-0005-0000-0000-000055500000}"/>
    <cellStyle name="Comma 7 3 5 7" xfId="39014" xr:uid="{00000000-0005-0000-0000-000056500000}"/>
    <cellStyle name="Comma 7 3 6" xfId="8101" xr:uid="{00000000-0005-0000-0000-000057500000}"/>
    <cellStyle name="Comma 7 3 6 2" xfId="10049" xr:uid="{00000000-0005-0000-0000-000058500000}"/>
    <cellStyle name="Comma 7 3 6 2 2" xfId="12072" xr:uid="{00000000-0005-0000-0000-000059500000}"/>
    <cellStyle name="Comma 7 3 6 2 2 2" xfId="28729" xr:uid="{00000000-0005-0000-0000-00005A500000}"/>
    <cellStyle name="Comma 7 3 6 2 2 2 2" xfId="46398" xr:uid="{00000000-0005-0000-0000-00005B500000}"/>
    <cellStyle name="Comma 7 3 6 2 2 3" xfId="32942" xr:uid="{00000000-0005-0000-0000-00005C500000}"/>
    <cellStyle name="Comma 7 3 6 2 2 4" xfId="37157" xr:uid="{00000000-0005-0000-0000-00005D500000}"/>
    <cellStyle name="Comma 7 3 6 2 2 5" xfId="41361" xr:uid="{00000000-0005-0000-0000-00005E500000}"/>
    <cellStyle name="Comma 7 3 6 2 3" xfId="27529" xr:uid="{00000000-0005-0000-0000-00005F500000}"/>
    <cellStyle name="Comma 7 3 6 2 3 2" xfId="43141" xr:uid="{00000000-0005-0000-0000-000060500000}"/>
    <cellStyle name="Comma 7 3 6 2 4" xfId="31742" xr:uid="{00000000-0005-0000-0000-000061500000}"/>
    <cellStyle name="Comma 7 3 6 2 5" xfId="35957" xr:uid="{00000000-0005-0000-0000-000062500000}"/>
    <cellStyle name="Comma 7 3 6 2 6" xfId="40161" xr:uid="{00000000-0005-0000-0000-000063500000}"/>
    <cellStyle name="Comma 7 3 6 3" xfId="10833" xr:uid="{00000000-0005-0000-0000-000064500000}"/>
    <cellStyle name="Comma 7 3 6 3 2" xfId="27994" xr:uid="{00000000-0005-0000-0000-000065500000}"/>
    <cellStyle name="Comma 7 3 6 3 2 2" xfId="45672" xr:uid="{00000000-0005-0000-0000-000066500000}"/>
    <cellStyle name="Comma 7 3 6 3 3" xfId="32207" xr:uid="{00000000-0005-0000-0000-000067500000}"/>
    <cellStyle name="Comma 7 3 6 3 4" xfId="36422" xr:uid="{00000000-0005-0000-0000-000068500000}"/>
    <cellStyle name="Comma 7 3 6 3 5" xfId="40626" xr:uid="{00000000-0005-0000-0000-000069500000}"/>
    <cellStyle name="Comma 7 3 6 4" xfId="26383" xr:uid="{00000000-0005-0000-0000-00006A500000}"/>
    <cellStyle name="Comma 7 3 6 4 2" xfId="41623" xr:uid="{00000000-0005-0000-0000-00006B500000}"/>
    <cellStyle name="Comma 7 3 6 5" xfId="30596" xr:uid="{00000000-0005-0000-0000-00006C500000}"/>
    <cellStyle name="Comma 7 3 6 5 2" xfId="41894" xr:uid="{00000000-0005-0000-0000-00006D500000}"/>
    <cellStyle name="Comma 7 3 6 6" xfId="34811" xr:uid="{00000000-0005-0000-0000-00006E500000}"/>
    <cellStyle name="Comma 7 3 6 7" xfId="39015" xr:uid="{00000000-0005-0000-0000-00006F500000}"/>
    <cellStyle name="Comma 7 3 7" xfId="8102" xr:uid="{00000000-0005-0000-0000-000070500000}"/>
    <cellStyle name="Comma 7 3 7 2" xfId="10050" xr:uid="{00000000-0005-0000-0000-000071500000}"/>
    <cellStyle name="Comma 7 3 7 2 2" xfId="12073" xr:uid="{00000000-0005-0000-0000-000072500000}"/>
    <cellStyle name="Comma 7 3 7 2 2 2" xfId="28730" xr:uid="{00000000-0005-0000-0000-000073500000}"/>
    <cellStyle name="Comma 7 3 7 2 2 2 2" xfId="46399" xr:uid="{00000000-0005-0000-0000-000074500000}"/>
    <cellStyle name="Comma 7 3 7 2 2 3" xfId="32943" xr:uid="{00000000-0005-0000-0000-000075500000}"/>
    <cellStyle name="Comma 7 3 7 2 2 4" xfId="37158" xr:uid="{00000000-0005-0000-0000-000076500000}"/>
    <cellStyle name="Comma 7 3 7 2 2 5" xfId="41362" xr:uid="{00000000-0005-0000-0000-000077500000}"/>
    <cellStyle name="Comma 7 3 7 2 3" xfId="27530" xr:uid="{00000000-0005-0000-0000-000078500000}"/>
    <cellStyle name="Comma 7 3 7 2 3 2" xfId="43142" xr:uid="{00000000-0005-0000-0000-000079500000}"/>
    <cellStyle name="Comma 7 3 7 2 4" xfId="31743" xr:uid="{00000000-0005-0000-0000-00007A500000}"/>
    <cellStyle name="Comma 7 3 7 2 5" xfId="35958" xr:uid="{00000000-0005-0000-0000-00007B500000}"/>
    <cellStyle name="Comma 7 3 7 2 6" xfId="40162" xr:uid="{00000000-0005-0000-0000-00007C500000}"/>
    <cellStyle name="Comma 7 3 7 3" xfId="10834" xr:uid="{00000000-0005-0000-0000-00007D500000}"/>
    <cellStyle name="Comma 7 3 7 3 2" xfId="27995" xr:uid="{00000000-0005-0000-0000-00007E500000}"/>
    <cellStyle name="Comma 7 3 7 3 2 2" xfId="45673" xr:uid="{00000000-0005-0000-0000-00007F500000}"/>
    <cellStyle name="Comma 7 3 7 3 3" xfId="32208" xr:uid="{00000000-0005-0000-0000-000080500000}"/>
    <cellStyle name="Comma 7 3 7 3 4" xfId="36423" xr:uid="{00000000-0005-0000-0000-000081500000}"/>
    <cellStyle name="Comma 7 3 7 3 5" xfId="40627" xr:uid="{00000000-0005-0000-0000-000082500000}"/>
    <cellStyle name="Comma 7 3 7 4" xfId="26384" xr:uid="{00000000-0005-0000-0000-000083500000}"/>
    <cellStyle name="Comma 7 3 7 4 2" xfId="41624" xr:uid="{00000000-0005-0000-0000-000084500000}"/>
    <cellStyle name="Comma 7 3 7 5" xfId="30597" xr:uid="{00000000-0005-0000-0000-000085500000}"/>
    <cellStyle name="Comma 7 3 7 5 2" xfId="41895" xr:uid="{00000000-0005-0000-0000-000086500000}"/>
    <cellStyle name="Comma 7 3 7 6" xfId="34812" xr:uid="{00000000-0005-0000-0000-000087500000}"/>
    <cellStyle name="Comma 7 3 7 7" xfId="39016" xr:uid="{00000000-0005-0000-0000-000088500000}"/>
    <cellStyle name="Comma 7 3 8" xfId="8103" xr:uid="{00000000-0005-0000-0000-000089500000}"/>
    <cellStyle name="Comma 7 3 8 2" xfId="10051" xr:uid="{00000000-0005-0000-0000-00008A500000}"/>
    <cellStyle name="Comma 7 3 8 2 2" xfId="12074" xr:uid="{00000000-0005-0000-0000-00008B500000}"/>
    <cellStyle name="Comma 7 3 8 2 2 2" xfId="28731" xr:uid="{00000000-0005-0000-0000-00008C500000}"/>
    <cellStyle name="Comma 7 3 8 2 2 2 2" xfId="46400" xr:uid="{00000000-0005-0000-0000-00008D500000}"/>
    <cellStyle name="Comma 7 3 8 2 2 3" xfId="32944" xr:uid="{00000000-0005-0000-0000-00008E500000}"/>
    <cellStyle name="Comma 7 3 8 2 2 4" xfId="37159" xr:uid="{00000000-0005-0000-0000-00008F500000}"/>
    <cellStyle name="Comma 7 3 8 2 2 5" xfId="41363" xr:uid="{00000000-0005-0000-0000-000090500000}"/>
    <cellStyle name="Comma 7 3 8 2 3" xfId="27531" xr:uid="{00000000-0005-0000-0000-000091500000}"/>
    <cellStyle name="Comma 7 3 8 2 3 2" xfId="43143" xr:uid="{00000000-0005-0000-0000-000092500000}"/>
    <cellStyle name="Comma 7 3 8 2 4" xfId="31744" xr:uid="{00000000-0005-0000-0000-000093500000}"/>
    <cellStyle name="Comma 7 3 8 2 5" xfId="35959" xr:uid="{00000000-0005-0000-0000-000094500000}"/>
    <cellStyle name="Comma 7 3 8 2 6" xfId="40163" xr:uid="{00000000-0005-0000-0000-000095500000}"/>
    <cellStyle name="Comma 7 3 8 3" xfId="10835" xr:uid="{00000000-0005-0000-0000-000096500000}"/>
    <cellStyle name="Comma 7 3 8 3 2" xfId="27996" xr:uid="{00000000-0005-0000-0000-000097500000}"/>
    <cellStyle name="Comma 7 3 8 3 2 2" xfId="45674" xr:uid="{00000000-0005-0000-0000-000098500000}"/>
    <cellStyle name="Comma 7 3 8 3 3" xfId="32209" xr:uid="{00000000-0005-0000-0000-000099500000}"/>
    <cellStyle name="Comma 7 3 8 3 4" xfId="36424" xr:uid="{00000000-0005-0000-0000-00009A500000}"/>
    <cellStyle name="Comma 7 3 8 3 5" xfId="40628" xr:uid="{00000000-0005-0000-0000-00009B500000}"/>
    <cellStyle name="Comma 7 3 8 4" xfId="26385" xr:uid="{00000000-0005-0000-0000-00009C500000}"/>
    <cellStyle name="Comma 7 3 8 4 2" xfId="41625" xr:uid="{00000000-0005-0000-0000-00009D500000}"/>
    <cellStyle name="Comma 7 3 8 5" xfId="30598" xr:uid="{00000000-0005-0000-0000-00009E500000}"/>
    <cellStyle name="Comma 7 3 8 5 2" xfId="41896" xr:uid="{00000000-0005-0000-0000-00009F500000}"/>
    <cellStyle name="Comma 7 3 8 6" xfId="34813" xr:uid="{00000000-0005-0000-0000-0000A0500000}"/>
    <cellStyle name="Comma 7 3 8 7" xfId="39017" xr:uid="{00000000-0005-0000-0000-0000A1500000}"/>
    <cellStyle name="Comma 7 3 9" xfId="8104" xr:uid="{00000000-0005-0000-0000-0000A2500000}"/>
    <cellStyle name="Comma 7 3 9 2" xfId="10052" xr:uid="{00000000-0005-0000-0000-0000A3500000}"/>
    <cellStyle name="Comma 7 3 9 2 2" xfId="12075" xr:uid="{00000000-0005-0000-0000-0000A4500000}"/>
    <cellStyle name="Comma 7 3 9 2 2 2" xfId="28732" xr:uid="{00000000-0005-0000-0000-0000A5500000}"/>
    <cellStyle name="Comma 7 3 9 2 2 2 2" xfId="46401" xr:uid="{00000000-0005-0000-0000-0000A6500000}"/>
    <cellStyle name="Comma 7 3 9 2 2 3" xfId="32945" xr:uid="{00000000-0005-0000-0000-0000A7500000}"/>
    <cellStyle name="Comma 7 3 9 2 2 4" xfId="37160" xr:uid="{00000000-0005-0000-0000-0000A8500000}"/>
    <cellStyle name="Comma 7 3 9 2 2 5" xfId="41364" xr:uid="{00000000-0005-0000-0000-0000A9500000}"/>
    <cellStyle name="Comma 7 3 9 2 3" xfId="27532" xr:uid="{00000000-0005-0000-0000-0000AA500000}"/>
    <cellStyle name="Comma 7 3 9 2 3 2" xfId="43144" xr:uid="{00000000-0005-0000-0000-0000AB500000}"/>
    <cellStyle name="Comma 7 3 9 2 4" xfId="31745" xr:uid="{00000000-0005-0000-0000-0000AC500000}"/>
    <cellStyle name="Comma 7 3 9 2 5" xfId="35960" xr:uid="{00000000-0005-0000-0000-0000AD500000}"/>
    <cellStyle name="Comma 7 3 9 2 6" xfId="40164" xr:uid="{00000000-0005-0000-0000-0000AE500000}"/>
    <cellStyle name="Comma 7 3 9 3" xfId="10836" xr:uid="{00000000-0005-0000-0000-0000AF500000}"/>
    <cellStyle name="Comma 7 3 9 3 2" xfId="27997" xr:uid="{00000000-0005-0000-0000-0000B0500000}"/>
    <cellStyle name="Comma 7 3 9 3 2 2" xfId="45675" xr:uid="{00000000-0005-0000-0000-0000B1500000}"/>
    <cellStyle name="Comma 7 3 9 3 3" xfId="32210" xr:uid="{00000000-0005-0000-0000-0000B2500000}"/>
    <cellStyle name="Comma 7 3 9 3 4" xfId="36425" xr:uid="{00000000-0005-0000-0000-0000B3500000}"/>
    <cellStyle name="Comma 7 3 9 3 5" xfId="40629" xr:uid="{00000000-0005-0000-0000-0000B4500000}"/>
    <cellStyle name="Comma 7 3 9 4" xfId="26386" xr:uid="{00000000-0005-0000-0000-0000B5500000}"/>
    <cellStyle name="Comma 7 3 9 4 2" xfId="41626" xr:uid="{00000000-0005-0000-0000-0000B6500000}"/>
    <cellStyle name="Comma 7 3 9 5" xfId="30599" xr:uid="{00000000-0005-0000-0000-0000B7500000}"/>
    <cellStyle name="Comma 7 3 9 5 2" xfId="41897" xr:uid="{00000000-0005-0000-0000-0000B8500000}"/>
    <cellStyle name="Comma 7 3 9 6" xfId="34814" xr:uid="{00000000-0005-0000-0000-0000B9500000}"/>
    <cellStyle name="Comma 7 3 9 7" xfId="39018" xr:uid="{00000000-0005-0000-0000-0000BA500000}"/>
    <cellStyle name="Comma 7 30" xfId="34505" xr:uid="{00000000-0005-0000-0000-0000BB500000}"/>
    <cellStyle name="Comma 7 31" xfId="38709" xr:uid="{00000000-0005-0000-0000-0000BC500000}"/>
    <cellStyle name="Comma 7 4" xfId="8105" xr:uid="{00000000-0005-0000-0000-0000BD500000}"/>
    <cellStyle name="Comma 7 4 2" xfId="10053" xr:uid="{00000000-0005-0000-0000-0000BE500000}"/>
    <cellStyle name="Comma 7 4 2 2" xfId="12076" xr:uid="{00000000-0005-0000-0000-0000BF500000}"/>
    <cellStyle name="Comma 7 4 2 2 2" xfId="28733" xr:uid="{00000000-0005-0000-0000-0000C0500000}"/>
    <cellStyle name="Comma 7 4 2 2 2 2" xfId="46402" xr:uid="{00000000-0005-0000-0000-0000C1500000}"/>
    <cellStyle name="Comma 7 4 2 2 3" xfId="32946" xr:uid="{00000000-0005-0000-0000-0000C2500000}"/>
    <cellStyle name="Comma 7 4 2 2 4" xfId="37161" xr:uid="{00000000-0005-0000-0000-0000C3500000}"/>
    <cellStyle name="Comma 7 4 2 2 5" xfId="41365" xr:uid="{00000000-0005-0000-0000-0000C4500000}"/>
    <cellStyle name="Comma 7 4 2 3" xfId="27533" xr:uid="{00000000-0005-0000-0000-0000C5500000}"/>
    <cellStyle name="Comma 7 4 2 3 2" xfId="43145" xr:uid="{00000000-0005-0000-0000-0000C6500000}"/>
    <cellStyle name="Comma 7 4 2 4" xfId="31746" xr:uid="{00000000-0005-0000-0000-0000C7500000}"/>
    <cellStyle name="Comma 7 4 2 5" xfId="35961" xr:uid="{00000000-0005-0000-0000-0000C8500000}"/>
    <cellStyle name="Comma 7 4 2 6" xfId="40165" xr:uid="{00000000-0005-0000-0000-0000C9500000}"/>
    <cellStyle name="Comma 7 4 3" xfId="10837" xr:uid="{00000000-0005-0000-0000-0000CA500000}"/>
    <cellStyle name="Comma 7 4 3 2" xfId="27998" xr:uid="{00000000-0005-0000-0000-0000CB500000}"/>
    <cellStyle name="Comma 7 4 3 2 2" xfId="45676" xr:uid="{00000000-0005-0000-0000-0000CC500000}"/>
    <cellStyle name="Comma 7 4 3 3" xfId="32211" xr:uid="{00000000-0005-0000-0000-0000CD500000}"/>
    <cellStyle name="Comma 7 4 3 4" xfId="36426" xr:uid="{00000000-0005-0000-0000-0000CE500000}"/>
    <cellStyle name="Comma 7 4 3 5" xfId="40630" xr:uid="{00000000-0005-0000-0000-0000CF500000}"/>
    <cellStyle name="Comma 7 4 4" xfId="13987" xr:uid="{00000000-0005-0000-0000-0000D0500000}"/>
    <cellStyle name="Comma 7 4 4 2" xfId="28896" xr:uid="{00000000-0005-0000-0000-0000D1500000}"/>
    <cellStyle name="Comma 7 4 4 3" xfId="33109" xr:uid="{00000000-0005-0000-0000-0000D2500000}"/>
    <cellStyle name="Comma 7 4 4 4" xfId="37324" xr:uid="{00000000-0005-0000-0000-0000D3500000}"/>
    <cellStyle name="Comma 7 4 4 5" xfId="41627" xr:uid="{00000000-0005-0000-0000-0000D4500000}"/>
    <cellStyle name="Comma 7 4 5" xfId="26387" xr:uid="{00000000-0005-0000-0000-0000D5500000}"/>
    <cellStyle name="Comma 7 4 5 2" xfId="41898" xr:uid="{00000000-0005-0000-0000-0000D6500000}"/>
    <cellStyle name="Comma 7 4 6" xfId="30600" xr:uid="{00000000-0005-0000-0000-0000D7500000}"/>
    <cellStyle name="Comma 7 4 7" xfId="34815" xr:uid="{00000000-0005-0000-0000-0000D8500000}"/>
    <cellStyle name="Comma 7 4 8" xfId="39019" xr:uid="{00000000-0005-0000-0000-0000D9500000}"/>
    <cellStyle name="Comma 7 5" xfId="8106" xr:uid="{00000000-0005-0000-0000-0000DA500000}"/>
    <cellStyle name="Comma 7 5 2" xfId="10054" xr:uid="{00000000-0005-0000-0000-0000DB500000}"/>
    <cellStyle name="Comma 7 5 2 2" xfId="12077" xr:uid="{00000000-0005-0000-0000-0000DC500000}"/>
    <cellStyle name="Comma 7 5 2 2 2" xfId="28734" xr:uid="{00000000-0005-0000-0000-0000DD500000}"/>
    <cellStyle name="Comma 7 5 2 2 2 2" xfId="46403" xr:uid="{00000000-0005-0000-0000-0000DE500000}"/>
    <cellStyle name="Comma 7 5 2 2 3" xfId="32947" xr:uid="{00000000-0005-0000-0000-0000DF500000}"/>
    <cellStyle name="Comma 7 5 2 2 4" xfId="37162" xr:uid="{00000000-0005-0000-0000-0000E0500000}"/>
    <cellStyle name="Comma 7 5 2 2 5" xfId="41366" xr:uid="{00000000-0005-0000-0000-0000E1500000}"/>
    <cellStyle name="Comma 7 5 2 3" xfId="27534" xr:uid="{00000000-0005-0000-0000-0000E2500000}"/>
    <cellStyle name="Comma 7 5 2 3 2" xfId="43146" xr:uid="{00000000-0005-0000-0000-0000E3500000}"/>
    <cellStyle name="Comma 7 5 2 4" xfId="31747" xr:uid="{00000000-0005-0000-0000-0000E4500000}"/>
    <cellStyle name="Comma 7 5 2 5" xfId="35962" xr:uid="{00000000-0005-0000-0000-0000E5500000}"/>
    <cellStyle name="Comma 7 5 2 6" xfId="40166" xr:uid="{00000000-0005-0000-0000-0000E6500000}"/>
    <cellStyle name="Comma 7 5 3" xfId="10838" xr:uid="{00000000-0005-0000-0000-0000E7500000}"/>
    <cellStyle name="Comma 7 5 3 2" xfId="27999" xr:uid="{00000000-0005-0000-0000-0000E8500000}"/>
    <cellStyle name="Comma 7 5 3 2 2" xfId="45677" xr:uid="{00000000-0005-0000-0000-0000E9500000}"/>
    <cellStyle name="Comma 7 5 3 3" xfId="32212" xr:uid="{00000000-0005-0000-0000-0000EA500000}"/>
    <cellStyle name="Comma 7 5 3 4" xfId="36427" xr:uid="{00000000-0005-0000-0000-0000EB500000}"/>
    <cellStyle name="Comma 7 5 3 5" xfId="40631" xr:uid="{00000000-0005-0000-0000-0000EC500000}"/>
    <cellStyle name="Comma 7 5 4" xfId="13318" xr:uid="{00000000-0005-0000-0000-0000ED500000}"/>
    <cellStyle name="Comma 7 5 4 2" xfId="28881" xr:uid="{00000000-0005-0000-0000-0000EE500000}"/>
    <cellStyle name="Comma 7 5 4 3" xfId="33094" xr:uid="{00000000-0005-0000-0000-0000EF500000}"/>
    <cellStyle name="Comma 7 5 4 4" xfId="37309" xr:uid="{00000000-0005-0000-0000-0000F0500000}"/>
    <cellStyle name="Comma 7 5 4 5" xfId="41628" xr:uid="{00000000-0005-0000-0000-0000F1500000}"/>
    <cellStyle name="Comma 7 5 5" xfId="26388" xr:uid="{00000000-0005-0000-0000-0000F2500000}"/>
    <cellStyle name="Comma 7 5 5 2" xfId="41899" xr:uid="{00000000-0005-0000-0000-0000F3500000}"/>
    <cellStyle name="Comma 7 5 6" xfId="30601" xr:uid="{00000000-0005-0000-0000-0000F4500000}"/>
    <cellStyle name="Comma 7 5 7" xfId="34816" xr:uid="{00000000-0005-0000-0000-0000F5500000}"/>
    <cellStyle name="Comma 7 5 8" xfId="39020" xr:uid="{00000000-0005-0000-0000-0000F6500000}"/>
    <cellStyle name="Comma 7 6" xfId="8107" xr:uid="{00000000-0005-0000-0000-0000F7500000}"/>
    <cellStyle name="Comma 7 6 2" xfId="10055" xr:uid="{00000000-0005-0000-0000-0000F8500000}"/>
    <cellStyle name="Comma 7 6 2 2" xfId="12078" xr:uid="{00000000-0005-0000-0000-0000F9500000}"/>
    <cellStyle name="Comma 7 6 2 2 2" xfId="28735" xr:uid="{00000000-0005-0000-0000-0000FA500000}"/>
    <cellStyle name="Comma 7 6 2 2 2 2" xfId="46404" xr:uid="{00000000-0005-0000-0000-0000FB500000}"/>
    <cellStyle name="Comma 7 6 2 2 3" xfId="32948" xr:uid="{00000000-0005-0000-0000-0000FC500000}"/>
    <cellStyle name="Comma 7 6 2 2 4" xfId="37163" xr:uid="{00000000-0005-0000-0000-0000FD500000}"/>
    <cellStyle name="Comma 7 6 2 2 5" xfId="41367" xr:uid="{00000000-0005-0000-0000-0000FE500000}"/>
    <cellStyle name="Comma 7 6 2 3" xfId="27535" xr:uid="{00000000-0005-0000-0000-0000FF500000}"/>
    <cellStyle name="Comma 7 6 2 3 2" xfId="43147" xr:uid="{00000000-0005-0000-0000-000000510000}"/>
    <cellStyle name="Comma 7 6 2 4" xfId="31748" xr:uid="{00000000-0005-0000-0000-000001510000}"/>
    <cellStyle name="Comma 7 6 2 5" xfId="35963" xr:uid="{00000000-0005-0000-0000-000002510000}"/>
    <cellStyle name="Comma 7 6 2 6" xfId="40167" xr:uid="{00000000-0005-0000-0000-000003510000}"/>
    <cellStyle name="Comma 7 6 3" xfId="10839" xr:uid="{00000000-0005-0000-0000-000004510000}"/>
    <cellStyle name="Comma 7 6 3 2" xfId="28000" xr:uid="{00000000-0005-0000-0000-000005510000}"/>
    <cellStyle name="Comma 7 6 3 2 2" xfId="45678" xr:uid="{00000000-0005-0000-0000-000006510000}"/>
    <cellStyle name="Comma 7 6 3 3" xfId="32213" xr:uid="{00000000-0005-0000-0000-000007510000}"/>
    <cellStyle name="Comma 7 6 3 4" xfId="36428" xr:uid="{00000000-0005-0000-0000-000008510000}"/>
    <cellStyle name="Comma 7 6 3 5" xfId="40632" xr:uid="{00000000-0005-0000-0000-000009510000}"/>
    <cellStyle name="Comma 7 6 4" xfId="26389" xr:uid="{00000000-0005-0000-0000-00000A510000}"/>
    <cellStyle name="Comma 7 6 4 2" xfId="41629" xr:uid="{00000000-0005-0000-0000-00000B510000}"/>
    <cellStyle name="Comma 7 6 5" xfId="30602" xr:uid="{00000000-0005-0000-0000-00000C510000}"/>
    <cellStyle name="Comma 7 6 5 2" xfId="41900" xr:uid="{00000000-0005-0000-0000-00000D510000}"/>
    <cellStyle name="Comma 7 6 6" xfId="34817" xr:uid="{00000000-0005-0000-0000-00000E510000}"/>
    <cellStyle name="Comma 7 6 7" xfId="39021" xr:uid="{00000000-0005-0000-0000-00000F510000}"/>
    <cellStyle name="Comma 7 7" xfId="8108" xr:uid="{00000000-0005-0000-0000-000010510000}"/>
    <cellStyle name="Comma 7 7 2" xfId="10056" xr:uid="{00000000-0005-0000-0000-000011510000}"/>
    <cellStyle name="Comma 7 7 2 2" xfId="12079" xr:uid="{00000000-0005-0000-0000-000012510000}"/>
    <cellStyle name="Comma 7 7 2 2 2" xfId="28736" xr:uid="{00000000-0005-0000-0000-000013510000}"/>
    <cellStyle name="Comma 7 7 2 2 2 2" xfId="46405" xr:uid="{00000000-0005-0000-0000-000014510000}"/>
    <cellStyle name="Comma 7 7 2 2 3" xfId="32949" xr:uid="{00000000-0005-0000-0000-000015510000}"/>
    <cellStyle name="Comma 7 7 2 2 4" xfId="37164" xr:uid="{00000000-0005-0000-0000-000016510000}"/>
    <cellStyle name="Comma 7 7 2 2 5" xfId="41368" xr:uid="{00000000-0005-0000-0000-000017510000}"/>
    <cellStyle name="Comma 7 7 2 3" xfId="27536" xr:uid="{00000000-0005-0000-0000-000018510000}"/>
    <cellStyle name="Comma 7 7 2 3 2" xfId="43148" xr:uid="{00000000-0005-0000-0000-000019510000}"/>
    <cellStyle name="Comma 7 7 2 4" xfId="31749" xr:uid="{00000000-0005-0000-0000-00001A510000}"/>
    <cellStyle name="Comma 7 7 2 5" xfId="35964" xr:uid="{00000000-0005-0000-0000-00001B510000}"/>
    <cellStyle name="Comma 7 7 2 6" xfId="40168" xr:uid="{00000000-0005-0000-0000-00001C510000}"/>
    <cellStyle name="Comma 7 7 3" xfId="10840" xr:uid="{00000000-0005-0000-0000-00001D510000}"/>
    <cellStyle name="Comma 7 7 3 2" xfId="28001" xr:uid="{00000000-0005-0000-0000-00001E510000}"/>
    <cellStyle name="Comma 7 7 3 2 2" xfId="45679" xr:uid="{00000000-0005-0000-0000-00001F510000}"/>
    <cellStyle name="Comma 7 7 3 3" xfId="32214" xr:uid="{00000000-0005-0000-0000-000020510000}"/>
    <cellStyle name="Comma 7 7 3 4" xfId="36429" xr:uid="{00000000-0005-0000-0000-000021510000}"/>
    <cellStyle name="Comma 7 7 3 5" xfId="40633" xr:uid="{00000000-0005-0000-0000-000022510000}"/>
    <cellStyle name="Comma 7 7 4" xfId="26390" xr:uid="{00000000-0005-0000-0000-000023510000}"/>
    <cellStyle name="Comma 7 7 4 2" xfId="41630" xr:uid="{00000000-0005-0000-0000-000024510000}"/>
    <cellStyle name="Comma 7 7 5" xfId="30603" xr:uid="{00000000-0005-0000-0000-000025510000}"/>
    <cellStyle name="Comma 7 7 5 2" xfId="41901" xr:uid="{00000000-0005-0000-0000-000026510000}"/>
    <cellStyle name="Comma 7 7 6" xfId="34818" xr:uid="{00000000-0005-0000-0000-000027510000}"/>
    <cellStyle name="Comma 7 7 7" xfId="39022" xr:uid="{00000000-0005-0000-0000-000028510000}"/>
    <cellStyle name="Comma 7 8" xfId="8109" xr:uid="{00000000-0005-0000-0000-000029510000}"/>
    <cellStyle name="Comma 7 8 2" xfId="10057" xr:uid="{00000000-0005-0000-0000-00002A510000}"/>
    <cellStyle name="Comma 7 8 2 2" xfId="12080" xr:uid="{00000000-0005-0000-0000-00002B510000}"/>
    <cellStyle name="Comma 7 8 2 2 2" xfId="28737" xr:uid="{00000000-0005-0000-0000-00002C510000}"/>
    <cellStyle name="Comma 7 8 2 2 2 2" xfId="46406" xr:uid="{00000000-0005-0000-0000-00002D510000}"/>
    <cellStyle name="Comma 7 8 2 2 3" xfId="32950" xr:uid="{00000000-0005-0000-0000-00002E510000}"/>
    <cellStyle name="Comma 7 8 2 2 4" xfId="37165" xr:uid="{00000000-0005-0000-0000-00002F510000}"/>
    <cellStyle name="Comma 7 8 2 2 5" xfId="41369" xr:uid="{00000000-0005-0000-0000-000030510000}"/>
    <cellStyle name="Comma 7 8 2 3" xfId="27537" xr:uid="{00000000-0005-0000-0000-000031510000}"/>
    <cellStyle name="Comma 7 8 2 3 2" xfId="43149" xr:uid="{00000000-0005-0000-0000-000032510000}"/>
    <cellStyle name="Comma 7 8 2 4" xfId="31750" xr:uid="{00000000-0005-0000-0000-000033510000}"/>
    <cellStyle name="Comma 7 8 2 5" xfId="35965" xr:uid="{00000000-0005-0000-0000-000034510000}"/>
    <cellStyle name="Comma 7 8 2 6" xfId="40169" xr:uid="{00000000-0005-0000-0000-000035510000}"/>
    <cellStyle name="Comma 7 8 3" xfId="10841" xr:uid="{00000000-0005-0000-0000-000036510000}"/>
    <cellStyle name="Comma 7 8 3 2" xfId="28002" xr:uid="{00000000-0005-0000-0000-000037510000}"/>
    <cellStyle name="Comma 7 8 3 2 2" xfId="45680" xr:uid="{00000000-0005-0000-0000-000038510000}"/>
    <cellStyle name="Comma 7 8 3 3" xfId="32215" xr:uid="{00000000-0005-0000-0000-000039510000}"/>
    <cellStyle name="Comma 7 8 3 4" xfId="36430" xr:uid="{00000000-0005-0000-0000-00003A510000}"/>
    <cellStyle name="Comma 7 8 3 5" xfId="40634" xr:uid="{00000000-0005-0000-0000-00003B510000}"/>
    <cellStyle name="Comma 7 8 4" xfId="26391" xr:uid="{00000000-0005-0000-0000-00003C510000}"/>
    <cellStyle name="Comma 7 8 4 2" xfId="41631" xr:uid="{00000000-0005-0000-0000-00003D510000}"/>
    <cellStyle name="Comma 7 8 5" xfId="30604" xr:uid="{00000000-0005-0000-0000-00003E510000}"/>
    <cellStyle name="Comma 7 8 5 2" xfId="41902" xr:uid="{00000000-0005-0000-0000-00003F510000}"/>
    <cellStyle name="Comma 7 8 6" xfId="34819" xr:uid="{00000000-0005-0000-0000-000040510000}"/>
    <cellStyle name="Comma 7 8 7" xfId="39023" xr:uid="{00000000-0005-0000-0000-000041510000}"/>
    <cellStyle name="Comma 7 9" xfId="8110" xr:uid="{00000000-0005-0000-0000-000042510000}"/>
    <cellStyle name="Comma 7 9 2" xfId="10058" xr:uid="{00000000-0005-0000-0000-000043510000}"/>
    <cellStyle name="Comma 7 9 2 2" xfId="12081" xr:uid="{00000000-0005-0000-0000-000044510000}"/>
    <cellStyle name="Comma 7 9 2 2 2" xfId="28738" xr:uid="{00000000-0005-0000-0000-000045510000}"/>
    <cellStyle name="Comma 7 9 2 2 2 2" xfId="46407" xr:uid="{00000000-0005-0000-0000-000046510000}"/>
    <cellStyle name="Comma 7 9 2 2 3" xfId="32951" xr:uid="{00000000-0005-0000-0000-000047510000}"/>
    <cellStyle name="Comma 7 9 2 2 4" xfId="37166" xr:uid="{00000000-0005-0000-0000-000048510000}"/>
    <cellStyle name="Comma 7 9 2 2 5" xfId="41370" xr:uid="{00000000-0005-0000-0000-000049510000}"/>
    <cellStyle name="Comma 7 9 2 3" xfId="27538" xr:uid="{00000000-0005-0000-0000-00004A510000}"/>
    <cellStyle name="Comma 7 9 2 3 2" xfId="43150" xr:uid="{00000000-0005-0000-0000-00004B510000}"/>
    <cellStyle name="Comma 7 9 2 4" xfId="31751" xr:uid="{00000000-0005-0000-0000-00004C510000}"/>
    <cellStyle name="Comma 7 9 2 5" xfId="35966" xr:uid="{00000000-0005-0000-0000-00004D510000}"/>
    <cellStyle name="Comma 7 9 2 6" xfId="40170" xr:uid="{00000000-0005-0000-0000-00004E510000}"/>
    <cellStyle name="Comma 7 9 3" xfId="10842" xr:uid="{00000000-0005-0000-0000-00004F510000}"/>
    <cellStyle name="Comma 7 9 3 2" xfId="28003" xr:uid="{00000000-0005-0000-0000-000050510000}"/>
    <cellStyle name="Comma 7 9 3 2 2" xfId="45681" xr:uid="{00000000-0005-0000-0000-000051510000}"/>
    <cellStyle name="Comma 7 9 3 3" xfId="32216" xr:uid="{00000000-0005-0000-0000-000052510000}"/>
    <cellStyle name="Comma 7 9 3 4" xfId="36431" xr:uid="{00000000-0005-0000-0000-000053510000}"/>
    <cellStyle name="Comma 7 9 3 5" xfId="40635" xr:uid="{00000000-0005-0000-0000-000054510000}"/>
    <cellStyle name="Comma 7 9 4" xfId="26392" xr:uid="{00000000-0005-0000-0000-000055510000}"/>
    <cellStyle name="Comma 7 9 4 2" xfId="41632" xr:uid="{00000000-0005-0000-0000-000056510000}"/>
    <cellStyle name="Comma 7 9 5" xfId="30605" xr:uid="{00000000-0005-0000-0000-000057510000}"/>
    <cellStyle name="Comma 7 9 5 2" xfId="41903" xr:uid="{00000000-0005-0000-0000-000058510000}"/>
    <cellStyle name="Comma 7 9 6" xfId="34820" xr:uid="{00000000-0005-0000-0000-000059510000}"/>
    <cellStyle name="Comma 7 9 7" xfId="39024" xr:uid="{00000000-0005-0000-0000-00005A510000}"/>
    <cellStyle name="Comma 8" xfId="8111" xr:uid="{00000000-0005-0000-0000-00005B510000}"/>
    <cellStyle name="Comma 8 2" xfId="8112" xr:uid="{00000000-0005-0000-0000-00005C510000}"/>
    <cellStyle name="Comma 8 2 2" xfId="10059" xr:uid="{00000000-0005-0000-0000-00005D510000}"/>
    <cellStyle name="Comma 8 2 2 2" xfId="12082" xr:uid="{00000000-0005-0000-0000-00005E510000}"/>
    <cellStyle name="Comma 8 2 2 2 2" xfId="28739" xr:uid="{00000000-0005-0000-0000-00005F510000}"/>
    <cellStyle name="Comma 8 2 2 2 2 2" xfId="46408" xr:uid="{00000000-0005-0000-0000-000060510000}"/>
    <cellStyle name="Comma 8 2 2 2 3" xfId="32952" xr:uid="{00000000-0005-0000-0000-000061510000}"/>
    <cellStyle name="Comma 8 2 2 2 4" xfId="37167" xr:uid="{00000000-0005-0000-0000-000062510000}"/>
    <cellStyle name="Comma 8 2 2 2 5" xfId="41371" xr:uid="{00000000-0005-0000-0000-000063510000}"/>
    <cellStyle name="Comma 8 2 2 3" xfId="27539" xr:uid="{00000000-0005-0000-0000-000064510000}"/>
    <cellStyle name="Comma 8 2 2 3 2" xfId="43152" xr:uid="{00000000-0005-0000-0000-000065510000}"/>
    <cellStyle name="Comma 8 2 2 4" xfId="31752" xr:uid="{00000000-0005-0000-0000-000066510000}"/>
    <cellStyle name="Comma 8 2 2 5" xfId="35967" xr:uid="{00000000-0005-0000-0000-000067510000}"/>
    <cellStyle name="Comma 8 2 2 6" xfId="40171" xr:uid="{00000000-0005-0000-0000-000068510000}"/>
    <cellStyle name="Comma 8 2 3" xfId="10843" xr:uid="{00000000-0005-0000-0000-000069510000}"/>
    <cellStyle name="Comma 8 2 3 2" xfId="28004" xr:uid="{00000000-0005-0000-0000-00006A510000}"/>
    <cellStyle name="Comma 8 2 3 2 2" xfId="43151" xr:uid="{00000000-0005-0000-0000-00006B510000}"/>
    <cellStyle name="Comma 8 2 3 3" xfId="32217" xr:uid="{00000000-0005-0000-0000-00006C510000}"/>
    <cellStyle name="Comma 8 2 3 4" xfId="36432" xr:uid="{00000000-0005-0000-0000-00006D510000}"/>
    <cellStyle name="Comma 8 2 3 5" xfId="40636" xr:uid="{00000000-0005-0000-0000-00006E510000}"/>
    <cellStyle name="Comma 8 2 4" xfId="26393" xr:uid="{00000000-0005-0000-0000-00006F510000}"/>
    <cellStyle name="Comma 8 2 4 2" xfId="41904" xr:uid="{00000000-0005-0000-0000-000070510000}"/>
    <cellStyle name="Comma 8 2 5" xfId="30606" xr:uid="{00000000-0005-0000-0000-000071510000}"/>
    <cellStyle name="Comma 8 2 6" xfId="34821" xr:uid="{00000000-0005-0000-0000-000072510000}"/>
    <cellStyle name="Comma 8 2 7" xfId="39025" xr:uid="{00000000-0005-0000-0000-000073510000}"/>
    <cellStyle name="Comma 8 3" xfId="8113" xr:uid="{00000000-0005-0000-0000-000074510000}"/>
    <cellStyle name="Comma 8 3 2" xfId="10060" xr:uid="{00000000-0005-0000-0000-000075510000}"/>
    <cellStyle name="Comma 8 3 2 2" xfId="12083" xr:uid="{00000000-0005-0000-0000-000076510000}"/>
    <cellStyle name="Comma 8 3 2 2 2" xfId="28740" xr:uid="{00000000-0005-0000-0000-000077510000}"/>
    <cellStyle name="Comma 8 3 2 2 2 2" xfId="46409" xr:uid="{00000000-0005-0000-0000-000078510000}"/>
    <cellStyle name="Comma 8 3 2 2 3" xfId="32953" xr:uid="{00000000-0005-0000-0000-000079510000}"/>
    <cellStyle name="Comma 8 3 2 2 4" xfId="37168" xr:uid="{00000000-0005-0000-0000-00007A510000}"/>
    <cellStyle name="Comma 8 3 2 2 5" xfId="41372" xr:uid="{00000000-0005-0000-0000-00007B510000}"/>
    <cellStyle name="Comma 8 3 2 3" xfId="27540" xr:uid="{00000000-0005-0000-0000-00007C510000}"/>
    <cellStyle name="Comma 8 3 2 3 2" xfId="43153" xr:uid="{00000000-0005-0000-0000-00007D510000}"/>
    <cellStyle name="Comma 8 3 2 4" xfId="31753" xr:uid="{00000000-0005-0000-0000-00007E510000}"/>
    <cellStyle name="Comma 8 3 2 5" xfId="35968" xr:uid="{00000000-0005-0000-0000-00007F510000}"/>
    <cellStyle name="Comma 8 3 2 6" xfId="40172" xr:uid="{00000000-0005-0000-0000-000080510000}"/>
    <cellStyle name="Comma 8 3 3" xfId="10844" xr:uid="{00000000-0005-0000-0000-000081510000}"/>
    <cellStyle name="Comma 8 3 3 2" xfId="28005" xr:uid="{00000000-0005-0000-0000-000082510000}"/>
    <cellStyle name="Comma 8 3 3 2 2" xfId="45682" xr:uid="{00000000-0005-0000-0000-000083510000}"/>
    <cellStyle name="Comma 8 3 3 3" xfId="32218" xr:uid="{00000000-0005-0000-0000-000084510000}"/>
    <cellStyle name="Comma 8 3 3 4" xfId="36433" xr:uid="{00000000-0005-0000-0000-000085510000}"/>
    <cellStyle name="Comma 8 3 3 5" xfId="40637" xr:uid="{00000000-0005-0000-0000-000086510000}"/>
    <cellStyle name="Comma 8 3 4" xfId="26394" xr:uid="{00000000-0005-0000-0000-000087510000}"/>
    <cellStyle name="Comma 8 3 4 2" xfId="41905" xr:uid="{00000000-0005-0000-0000-000088510000}"/>
    <cellStyle name="Comma 8 3 5" xfId="30607" xr:uid="{00000000-0005-0000-0000-000089510000}"/>
    <cellStyle name="Comma 8 3 6" xfId="34822" xr:uid="{00000000-0005-0000-0000-00008A510000}"/>
    <cellStyle name="Comma 8 3 7" xfId="39026" xr:uid="{00000000-0005-0000-0000-00008B510000}"/>
    <cellStyle name="Comma 8 4" xfId="8114" xr:uid="{00000000-0005-0000-0000-00008C510000}"/>
    <cellStyle name="Comma 8 4 2" xfId="10061" xr:uid="{00000000-0005-0000-0000-00008D510000}"/>
    <cellStyle name="Comma 8 4 2 2" xfId="12084" xr:uid="{00000000-0005-0000-0000-00008E510000}"/>
    <cellStyle name="Comma 8 4 2 2 2" xfId="28741" xr:uid="{00000000-0005-0000-0000-00008F510000}"/>
    <cellStyle name="Comma 8 4 2 2 2 2" xfId="46410" xr:uid="{00000000-0005-0000-0000-000090510000}"/>
    <cellStyle name="Comma 8 4 2 2 3" xfId="32954" xr:uid="{00000000-0005-0000-0000-000091510000}"/>
    <cellStyle name="Comma 8 4 2 2 4" xfId="37169" xr:uid="{00000000-0005-0000-0000-000092510000}"/>
    <cellStyle name="Comma 8 4 2 2 5" xfId="41373" xr:uid="{00000000-0005-0000-0000-000093510000}"/>
    <cellStyle name="Comma 8 4 2 3" xfId="27541" xr:uid="{00000000-0005-0000-0000-000094510000}"/>
    <cellStyle name="Comma 8 4 2 3 2" xfId="43154" xr:uid="{00000000-0005-0000-0000-000095510000}"/>
    <cellStyle name="Comma 8 4 2 4" xfId="31754" xr:uid="{00000000-0005-0000-0000-000096510000}"/>
    <cellStyle name="Comma 8 4 2 5" xfId="35969" xr:uid="{00000000-0005-0000-0000-000097510000}"/>
    <cellStyle name="Comma 8 4 2 6" xfId="40173" xr:uid="{00000000-0005-0000-0000-000098510000}"/>
    <cellStyle name="Comma 8 4 3" xfId="10845" xr:uid="{00000000-0005-0000-0000-000099510000}"/>
    <cellStyle name="Comma 8 4 3 2" xfId="28006" xr:uid="{00000000-0005-0000-0000-00009A510000}"/>
    <cellStyle name="Comma 8 4 3 2 2" xfId="45683" xr:uid="{00000000-0005-0000-0000-00009B510000}"/>
    <cellStyle name="Comma 8 4 3 3" xfId="32219" xr:uid="{00000000-0005-0000-0000-00009C510000}"/>
    <cellStyle name="Comma 8 4 3 4" xfId="36434" xr:uid="{00000000-0005-0000-0000-00009D510000}"/>
    <cellStyle name="Comma 8 4 3 5" xfId="40638" xr:uid="{00000000-0005-0000-0000-00009E510000}"/>
    <cellStyle name="Comma 8 4 4" xfId="26395" xr:uid="{00000000-0005-0000-0000-00009F510000}"/>
    <cellStyle name="Comma 8 4 4 2" xfId="41906" xr:uid="{00000000-0005-0000-0000-0000A0510000}"/>
    <cellStyle name="Comma 8 4 5" xfId="30608" xr:uid="{00000000-0005-0000-0000-0000A1510000}"/>
    <cellStyle name="Comma 8 4 6" xfId="34823" xr:uid="{00000000-0005-0000-0000-0000A2510000}"/>
    <cellStyle name="Comma 8 4 7" xfId="39027" xr:uid="{00000000-0005-0000-0000-0000A3510000}"/>
    <cellStyle name="Comma 8 5" xfId="8115" xr:uid="{00000000-0005-0000-0000-0000A4510000}"/>
    <cellStyle name="Comma 8 5 2" xfId="10062" xr:uid="{00000000-0005-0000-0000-0000A5510000}"/>
    <cellStyle name="Comma 8 5 2 2" xfId="12085" xr:uid="{00000000-0005-0000-0000-0000A6510000}"/>
    <cellStyle name="Comma 8 5 2 2 2" xfId="28742" xr:uid="{00000000-0005-0000-0000-0000A7510000}"/>
    <cellStyle name="Comma 8 5 2 2 2 2" xfId="46411" xr:uid="{00000000-0005-0000-0000-0000A8510000}"/>
    <cellStyle name="Comma 8 5 2 2 3" xfId="32955" xr:uid="{00000000-0005-0000-0000-0000A9510000}"/>
    <cellStyle name="Comma 8 5 2 2 4" xfId="37170" xr:uid="{00000000-0005-0000-0000-0000AA510000}"/>
    <cellStyle name="Comma 8 5 2 2 5" xfId="41374" xr:uid="{00000000-0005-0000-0000-0000AB510000}"/>
    <cellStyle name="Comma 8 5 2 3" xfId="27542" xr:uid="{00000000-0005-0000-0000-0000AC510000}"/>
    <cellStyle name="Comma 8 5 2 3 2" xfId="43155" xr:uid="{00000000-0005-0000-0000-0000AD510000}"/>
    <cellStyle name="Comma 8 5 2 4" xfId="31755" xr:uid="{00000000-0005-0000-0000-0000AE510000}"/>
    <cellStyle name="Comma 8 5 2 5" xfId="35970" xr:uid="{00000000-0005-0000-0000-0000AF510000}"/>
    <cellStyle name="Comma 8 5 2 6" xfId="40174" xr:uid="{00000000-0005-0000-0000-0000B0510000}"/>
    <cellStyle name="Comma 8 5 3" xfId="10846" xr:uid="{00000000-0005-0000-0000-0000B1510000}"/>
    <cellStyle name="Comma 8 5 3 2" xfId="28007" xr:uid="{00000000-0005-0000-0000-0000B2510000}"/>
    <cellStyle name="Comma 8 5 3 2 2" xfId="45684" xr:uid="{00000000-0005-0000-0000-0000B3510000}"/>
    <cellStyle name="Comma 8 5 3 3" xfId="32220" xr:uid="{00000000-0005-0000-0000-0000B4510000}"/>
    <cellStyle name="Comma 8 5 3 4" xfId="36435" xr:uid="{00000000-0005-0000-0000-0000B5510000}"/>
    <cellStyle name="Comma 8 5 3 5" xfId="40639" xr:uid="{00000000-0005-0000-0000-0000B6510000}"/>
    <cellStyle name="Comma 8 5 4" xfId="26396" xr:uid="{00000000-0005-0000-0000-0000B7510000}"/>
    <cellStyle name="Comma 8 5 4 2" xfId="41907" xr:uid="{00000000-0005-0000-0000-0000B8510000}"/>
    <cellStyle name="Comma 8 5 5" xfId="30609" xr:uid="{00000000-0005-0000-0000-0000B9510000}"/>
    <cellStyle name="Comma 8 5 6" xfId="34824" xr:uid="{00000000-0005-0000-0000-0000BA510000}"/>
    <cellStyle name="Comma 8 5 7" xfId="39028" xr:uid="{00000000-0005-0000-0000-0000BB510000}"/>
    <cellStyle name="Comma 8 6" xfId="8116" xr:uid="{00000000-0005-0000-0000-0000BC510000}"/>
    <cellStyle name="Comma 8 6 2" xfId="10063" xr:uid="{00000000-0005-0000-0000-0000BD510000}"/>
    <cellStyle name="Comma 8 6 2 2" xfId="12086" xr:uid="{00000000-0005-0000-0000-0000BE510000}"/>
    <cellStyle name="Comma 8 6 2 2 2" xfId="28743" xr:uid="{00000000-0005-0000-0000-0000BF510000}"/>
    <cellStyle name="Comma 8 6 2 2 2 2" xfId="46412" xr:uid="{00000000-0005-0000-0000-0000C0510000}"/>
    <cellStyle name="Comma 8 6 2 2 3" xfId="32956" xr:uid="{00000000-0005-0000-0000-0000C1510000}"/>
    <cellStyle name="Comma 8 6 2 2 4" xfId="37171" xr:uid="{00000000-0005-0000-0000-0000C2510000}"/>
    <cellStyle name="Comma 8 6 2 2 5" xfId="41375" xr:uid="{00000000-0005-0000-0000-0000C3510000}"/>
    <cellStyle name="Comma 8 6 2 3" xfId="27543" xr:uid="{00000000-0005-0000-0000-0000C4510000}"/>
    <cellStyle name="Comma 8 6 2 3 2" xfId="43156" xr:uid="{00000000-0005-0000-0000-0000C5510000}"/>
    <cellStyle name="Comma 8 6 2 4" xfId="31756" xr:uid="{00000000-0005-0000-0000-0000C6510000}"/>
    <cellStyle name="Comma 8 6 2 5" xfId="35971" xr:uid="{00000000-0005-0000-0000-0000C7510000}"/>
    <cellStyle name="Comma 8 6 2 6" xfId="40175" xr:uid="{00000000-0005-0000-0000-0000C8510000}"/>
    <cellStyle name="Comma 8 6 3" xfId="10847" xr:uid="{00000000-0005-0000-0000-0000C9510000}"/>
    <cellStyle name="Comma 8 6 3 2" xfId="28008" xr:uid="{00000000-0005-0000-0000-0000CA510000}"/>
    <cellStyle name="Comma 8 6 3 2 2" xfId="45685" xr:uid="{00000000-0005-0000-0000-0000CB510000}"/>
    <cellStyle name="Comma 8 6 3 3" xfId="32221" xr:uid="{00000000-0005-0000-0000-0000CC510000}"/>
    <cellStyle name="Comma 8 6 3 4" xfId="36436" xr:uid="{00000000-0005-0000-0000-0000CD510000}"/>
    <cellStyle name="Comma 8 6 3 5" xfId="40640" xr:uid="{00000000-0005-0000-0000-0000CE510000}"/>
    <cellStyle name="Comma 8 6 4" xfId="26397" xr:uid="{00000000-0005-0000-0000-0000CF510000}"/>
    <cellStyle name="Comma 8 6 4 2" xfId="41908" xr:uid="{00000000-0005-0000-0000-0000D0510000}"/>
    <cellStyle name="Comma 8 6 5" xfId="30610" xr:uid="{00000000-0005-0000-0000-0000D1510000}"/>
    <cellStyle name="Comma 8 6 6" xfId="34825" xr:uid="{00000000-0005-0000-0000-0000D2510000}"/>
    <cellStyle name="Comma 8 6 7" xfId="39029" xr:uid="{00000000-0005-0000-0000-0000D3510000}"/>
    <cellStyle name="Comma 8 7" xfId="8117" xr:uid="{00000000-0005-0000-0000-0000D4510000}"/>
    <cellStyle name="Comma 8 7 2" xfId="10064" xr:uid="{00000000-0005-0000-0000-0000D5510000}"/>
    <cellStyle name="Comma 8 7 2 2" xfId="12087" xr:uid="{00000000-0005-0000-0000-0000D6510000}"/>
    <cellStyle name="Comma 8 7 2 2 2" xfId="28744" xr:uid="{00000000-0005-0000-0000-0000D7510000}"/>
    <cellStyle name="Comma 8 7 2 2 2 2" xfId="46413" xr:uid="{00000000-0005-0000-0000-0000D8510000}"/>
    <cellStyle name="Comma 8 7 2 2 3" xfId="32957" xr:uid="{00000000-0005-0000-0000-0000D9510000}"/>
    <cellStyle name="Comma 8 7 2 2 4" xfId="37172" xr:uid="{00000000-0005-0000-0000-0000DA510000}"/>
    <cellStyle name="Comma 8 7 2 2 5" xfId="41376" xr:uid="{00000000-0005-0000-0000-0000DB510000}"/>
    <cellStyle name="Comma 8 7 2 3" xfId="27544" xr:uid="{00000000-0005-0000-0000-0000DC510000}"/>
    <cellStyle name="Comma 8 7 2 3 2" xfId="43157" xr:uid="{00000000-0005-0000-0000-0000DD510000}"/>
    <cellStyle name="Comma 8 7 2 4" xfId="31757" xr:uid="{00000000-0005-0000-0000-0000DE510000}"/>
    <cellStyle name="Comma 8 7 2 5" xfId="35972" xr:uid="{00000000-0005-0000-0000-0000DF510000}"/>
    <cellStyle name="Comma 8 7 2 6" xfId="40176" xr:uid="{00000000-0005-0000-0000-0000E0510000}"/>
    <cellStyle name="Comma 8 7 3" xfId="10848" xr:uid="{00000000-0005-0000-0000-0000E1510000}"/>
    <cellStyle name="Comma 8 7 3 2" xfId="28009" xr:uid="{00000000-0005-0000-0000-0000E2510000}"/>
    <cellStyle name="Comma 8 7 3 2 2" xfId="45686" xr:uid="{00000000-0005-0000-0000-0000E3510000}"/>
    <cellStyle name="Comma 8 7 3 3" xfId="32222" xr:uid="{00000000-0005-0000-0000-0000E4510000}"/>
    <cellStyle name="Comma 8 7 3 4" xfId="36437" xr:uid="{00000000-0005-0000-0000-0000E5510000}"/>
    <cellStyle name="Comma 8 7 3 5" xfId="40641" xr:uid="{00000000-0005-0000-0000-0000E6510000}"/>
    <cellStyle name="Comma 8 7 4" xfId="26398" xr:uid="{00000000-0005-0000-0000-0000E7510000}"/>
    <cellStyle name="Comma 8 7 4 2" xfId="41909" xr:uid="{00000000-0005-0000-0000-0000E8510000}"/>
    <cellStyle name="Comma 8 7 5" xfId="30611" xr:uid="{00000000-0005-0000-0000-0000E9510000}"/>
    <cellStyle name="Comma 8 7 6" xfId="34826" xr:uid="{00000000-0005-0000-0000-0000EA510000}"/>
    <cellStyle name="Comma 8 7 7" xfId="39030" xr:uid="{00000000-0005-0000-0000-0000EB510000}"/>
    <cellStyle name="Comma 8 8" xfId="8118" xr:uid="{00000000-0005-0000-0000-0000EC510000}"/>
    <cellStyle name="Comma 8 8 2" xfId="10065" xr:uid="{00000000-0005-0000-0000-0000ED510000}"/>
    <cellStyle name="Comma 8 8 2 2" xfId="12088" xr:uid="{00000000-0005-0000-0000-0000EE510000}"/>
    <cellStyle name="Comma 8 8 2 2 2" xfId="28745" xr:uid="{00000000-0005-0000-0000-0000EF510000}"/>
    <cellStyle name="Comma 8 8 2 2 2 2" xfId="46414" xr:uid="{00000000-0005-0000-0000-0000F0510000}"/>
    <cellStyle name="Comma 8 8 2 2 3" xfId="32958" xr:uid="{00000000-0005-0000-0000-0000F1510000}"/>
    <cellStyle name="Comma 8 8 2 2 4" xfId="37173" xr:uid="{00000000-0005-0000-0000-0000F2510000}"/>
    <cellStyle name="Comma 8 8 2 2 5" xfId="41377" xr:uid="{00000000-0005-0000-0000-0000F3510000}"/>
    <cellStyle name="Comma 8 8 2 3" xfId="27545" xr:uid="{00000000-0005-0000-0000-0000F4510000}"/>
    <cellStyle name="Comma 8 8 2 3 2" xfId="43158" xr:uid="{00000000-0005-0000-0000-0000F5510000}"/>
    <cellStyle name="Comma 8 8 2 4" xfId="31758" xr:uid="{00000000-0005-0000-0000-0000F6510000}"/>
    <cellStyle name="Comma 8 8 2 5" xfId="35973" xr:uid="{00000000-0005-0000-0000-0000F7510000}"/>
    <cellStyle name="Comma 8 8 2 6" xfId="40177" xr:uid="{00000000-0005-0000-0000-0000F8510000}"/>
    <cellStyle name="Comma 8 8 3" xfId="10849" xr:uid="{00000000-0005-0000-0000-0000F9510000}"/>
    <cellStyle name="Comma 8 8 3 2" xfId="28010" xr:uid="{00000000-0005-0000-0000-0000FA510000}"/>
    <cellStyle name="Comma 8 8 3 2 2" xfId="45687" xr:uid="{00000000-0005-0000-0000-0000FB510000}"/>
    <cellStyle name="Comma 8 8 3 3" xfId="32223" xr:uid="{00000000-0005-0000-0000-0000FC510000}"/>
    <cellStyle name="Comma 8 8 3 4" xfId="36438" xr:uid="{00000000-0005-0000-0000-0000FD510000}"/>
    <cellStyle name="Comma 8 8 3 5" xfId="40642" xr:uid="{00000000-0005-0000-0000-0000FE510000}"/>
    <cellStyle name="Comma 8 8 4" xfId="26399" xr:uid="{00000000-0005-0000-0000-0000FF510000}"/>
    <cellStyle name="Comma 8 8 4 2" xfId="41910" xr:uid="{00000000-0005-0000-0000-000000520000}"/>
    <cellStyle name="Comma 8 8 5" xfId="30612" xr:uid="{00000000-0005-0000-0000-000001520000}"/>
    <cellStyle name="Comma 8 8 6" xfId="34827" xr:uid="{00000000-0005-0000-0000-000002520000}"/>
    <cellStyle name="Comma 8 8 7" xfId="39031" xr:uid="{00000000-0005-0000-0000-000003520000}"/>
    <cellStyle name="Comma 8 9" xfId="13322" xr:uid="{00000000-0005-0000-0000-000004520000}"/>
    <cellStyle name="Comma 8 9 2" xfId="28884" xr:uid="{00000000-0005-0000-0000-000005520000}"/>
    <cellStyle name="Comma 8 9 3" xfId="33097" xr:uid="{00000000-0005-0000-0000-000006520000}"/>
    <cellStyle name="Comma 8 9 4" xfId="37312" xr:uid="{00000000-0005-0000-0000-000007520000}"/>
    <cellStyle name="Comma 9" xfId="8945" xr:uid="{00000000-0005-0000-0000-000008520000}"/>
    <cellStyle name="Comma 9 10" xfId="10074" xr:uid="{00000000-0005-0000-0000-000009520000}"/>
    <cellStyle name="Comma 9 10 2" xfId="12104" xr:uid="{00000000-0005-0000-0000-00000A520000}"/>
    <cellStyle name="Comma 9 10 2 2" xfId="28754" xr:uid="{00000000-0005-0000-0000-00000B520000}"/>
    <cellStyle name="Comma 9 10 2 2 2" xfId="46425" xr:uid="{00000000-0005-0000-0000-00000C520000}"/>
    <cellStyle name="Comma 9 10 2 3" xfId="32967" xr:uid="{00000000-0005-0000-0000-00000D520000}"/>
    <cellStyle name="Comma 9 10 2 4" xfId="37182" xr:uid="{00000000-0005-0000-0000-00000E520000}"/>
    <cellStyle name="Comma 9 10 2 5" xfId="41386" xr:uid="{00000000-0005-0000-0000-00000F520000}"/>
    <cellStyle name="Comma 9 10 3" xfId="27554" xr:uid="{00000000-0005-0000-0000-000010520000}"/>
    <cellStyle name="Comma 9 10 3 2" xfId="43160" xr:uid="{00000000-0005-0000-0000-000011520000}"/>
    <cellStyle name="Comma 9 10 4" xfId="31767" xr:uid="{00000000-0005-0000-0000-000012520000}"/>
    <cellStyle name="Comma 9 10 5" xfId="35982" xr:uid="{00000000-0005-0000-0000-000013520000}"/>
    <cellStyle name="Comma 9 10 6" xfId="40186" xr:uid="{00000000-0005-0000-0000-000014520000}"/>
    <cellStyle name="Comma 9 11" xfId="10875" xr:uid="{00000000-0005-0000-0000-000015520000}"/>
    <cellStyle name="Comma 9 11 2" xfId="28019" xr:uid="{00000000-0005-0000-0000-000016520000}"/>
    <cellStyle name="Comma 9 11 2 2" xfId="45696" xr:uid="{00000000-0005-0000-0000-000017520000}"/>
    <cellStyle name="Comma 9 11 3" xfId="32232" xr:uid="{00000000-0005-0000-0000-000018520000}"/>
    <cellStyle name="Comma 9 11 4" xfId="36447" xr:uid="{00000000-0005-0000-0000-000019520000}"/>
    <cellStyle name="Comma 9 11 5" xfId="40651" xr:uid="{00000000-0005-0000-0000-00001A520000}"/>
    <cellStyle name="Comma 9 12" xfId="13321" xr:uid="{00000000-0005-0000-0000-00001B520000}"/>
    <cellStyle name="Comma 9 12 2" xfId="28883" xr:uid="{00000000-0005-0000-0000-00001C520000}"/>
    <cellStyle name="Comma 9 12 3" xfId="33096" xr:uid="{00000000-0005-0000-0000-00001D520000}"/>
    <cellStyle name="Comma 9 12 4" xfId="37311" xr:uid="{00000000-0005-0000-0000-00001E520000}"/>
    <cellStyle name="Comma 9 12 5" xfId="43159" xr:uid="{00000000-0005-0000-0000-00001F520000}"/>
    <cellStyle name="Comma 9 13" xfId="26516" xr:uid="{00000000-0005-0000-0000-000020520000}"/>
    <cellStyle name="Comma 9 14" xfId="30729" xr:uid="{00000000-0005-0000-0000-000021520000}"/>
    <cellStyle name="Comma 9 15" xfId="34944" xr:uid="{00000000-0005-0000-0000-000022520000}"/>
    <cellStyle name="Comma 9 16" xfId="39148" xr:uid="{00000000-0005-0000-0000-000023520000}"/>
    <cellStyle name="Comma 9 2" xfId="8119" xr:uid="{00000000-0005-0000-0000-000024520000}"/>
    <cellStyle name="Comma 9 2 2" xfId="10066" xr:uid="{00000000-0005-0000-0000-000025520000}"/>
    <cellStyle name="Comma 9 2 2 2" xfId="12089" xr:uid="{00000000-0005-0000-0000-000026520000}"/>
    <cellStyle name="Comma 9 2 2 2 2" xfId="28746" xr:uid="{00000000-0005-0000-0000-000027520000}"/>
    <cellStyle name="Comma 9 2 2 2 2 2" xfId="46415" xr:uid="{00000000-0005-0000-0000-000028520000}"/>
    <cellStyle name="Comma 9 2 2 2 3" xfId="32959" xr:uid="{00000000-0005-0000-0000-000029520000}"/>
    <cellStyle name="Comma 9 2 2 2 4" xfId="37174" xr:uid="{00000000-0005-0000-0000-00002A520000}"/>
    <cellStyle name="Comma 9 2 2 2 5" xfId="41378" xr:uid="{00000000-0005-0000-0000-00002B520000}"/>
    <cellStyle name="Comma 9 2 2 3" xfId="27546" xr:uid="{00000000-0005-0000-0000-00002C520000}"/>
    <cellStyle name="Comma 9 2 2 3 2" xfId="43161" xr:uid="{00000000-0005-0000-0000-00002D520000}"/>
    <cellStyle name="Comma 9 2 2 4" xfId="31759" xr:uid="{00000000-0005-0000-0000-00002E520000}"/>
    <cellStyle name="Comma 9 2 2 5" xfId="35974" xr:uid="{00000000-0005-0000-0000-00002F520000}"/>
    <cellStyle name="Comma 9 2 2 6" xfId="40178" xr:uid="{00000000-0005-0000-0000-000030520000}"/>
    <cellStyle name="Comma 9 2 3" xfId="10850" xr:uid="{00000000-0005-0000-0000-000031520000}"/>
    <cellStyle name="Comma 9 2 3 2" xfId="28011" xr:uid="{00000000-0005-0000-0000-000032520000}"/>
    <cellStyle name="Comma 9 2 3 2 2" xfId="45688" xr:uid="{00000000-0005-0000-0000-000033520000}"/>
    <cellStyle name="Comma 9 2 3 3" xfId="32224" xr:uid="{00000000-0005-0000-0000-000034520000}"/>
    <cellStyle name="Comma 9 2 3 4" xfId="36439" xr:uid="{00000000-0005-0000-0000-000035520000}"/>
    <cellStyle name="Comma 9 2 3 5" xfId="40643" xr:uid="{00000000-0005-0000-0000-000036520000}"/>
    <cellStyle name="Comma 9 2 4" xfId="26400" xr:uid="{00000000-0005-0000-0000-000037520000}"/>
    <cellStyle name="Comma 9 2 4 2" xfId="41633" xr:uid="{00000000-0005-0000-0000-000038520000}"/>
    <cellStyle name="Comma 9 2 5" xfId="30613" xr:uid="{00000000-0005-0000-0000-000039520000}"/>
    <cellStyle name="Comma 9 2 5 2" xfId="41911" xr:uid="{00000000-0005-0000-0000-00003A520000}"/>
    <cellStyle name="Comma 9 2 6" xfId="34828" xr:uid="{00000000-0005-0000-0000-00003B520000}"/>
    <cellStyle name="Comma 9 2 7" xfId="39032" xr:uid="{00000000-0005-0000-0000-00003C520000}"/>
    <cellStyle name="Comma 9 3" xfId="8120" xr:uid="{00000000-0005-0000-0000-00003D520000}"/>
    <cellStyle name="Comma 9 3 2" xfId="10067" xr:uid="{00000000-0005-0000-0000-00003E520000}"/>
    <cellStyle name="Comma 9 3 2 2" xfId="12090" xr:uid="{00000000-0005-0000-0000-00003F520000}"/>
    <cellStyle name="Comma 9 3 2 2 2" xfId="28747" xr:uid="{00000000-0005-0000-0000-000040520000}"/>
    <cellStyle name="Comma 9 3 2 2 2 2" xfId="46416" xr:uid="{00000000-0005-0000-0000-000041520000}"/>
    <cellStyle name="Comma 9 3 2 2 3" xfId="32960" xr:uid="{00000000-0005-0000-0000-000042520000}"/>
    <cellStyle name="Comma 9 3 2 2 4" xfId="37175" xr:uid="{00000000-0005-0000-0000-000043520000}"/>
    <cellStyle name="Comma 9 3 2 2 5" xfId="41379" xr:uid="{00000000-0005-0000-0000-000044520000}"/>
    <cellStyle name="Comma 9 3 2 3" xfId="27547" xr:uid="{00000000-0005-0000-0000-000045520000}"/>
    <cellStyle name="Comma 9 3 2 3 2" xfId="43162" xr:uid="{00000000-0005-0000-0000-000046520000}"/>
    <cellStyle name="Comma 9 3 2 4" xfId="31760" xr:uid="{00000000-0005-0000-0000-000047520000}"/>
    <cellStyle name="Comma 9 3 2 5" xfId="35975" xr:uid="{00000000-0005-0000-0000-000048520000}"/>
    <cellStyle name="Comma 9 3 2 6" xfId="40179" xr:uid="{00000000-0005-0000-0000-000049520000}"/>
    <cellStyle name="Comma 9 3 3" xfId="10851" xr:uid="{00000000-0005-0000-0000-00004A520000}"/>
    <cellStyle name="Comma 9 3 3 2" xfId="28012" xr:uid="{00000000-0005-0000-0000-00004B520000}"/>
    <cellStyle name="Comma 9 3 3 2 2" xfId="45689" xr:uid="{00000000-0005-0000-0000-00004C520000}"/>
    <cellStyle name="Comma 9 3 3 3" xfId="32225" xr:uid="{00000000-0005-0000-0000-00004D520000}"/>
    <cellStyle name="Comma 9 3 3 4" xfId="36440" xr:uid="{00000000-0005-0000-0000-00004E520000}"/>
    <cellStyle name="Comma 9 3 3 5" xfId="40644" xr:uid="{00000000-0005-0000-0000-00004F520000}"/>
    <cellStyle name="Comma 9 3 4" xfId="26401" xr:uid="{00000000-0005-0000-0000-000050520000}"/>
    <cellStyle name="Comma 9 3 4 2" xfId="41634" xr:uid="{00000000-0005-0000-0000-000051520000}"/>
    <cellStyle name="Comma 9 3 5" xfId="30614" xr:uid="{00000000-0005-0000-0000-000052520000}"/>
    <cellStyle name="Comma 9 3 5 2" xfId="41912" xr:uid="{00000000-0005-0000-0000-000053520000}"/>
    <cellStyle name="Comma 9 3 6" xfId="34829" xr:uid="{00000000-0005-0000-0000-000054520000}"/>
    <cellStyle name="Comma 9 3 7" xfId="39033" xr:uid="{00000000-0005-0000-0000-000055520000}"/>
    <cellStyle name="Comma 9 4" xfId="8121" xr:uid="{00000000-0005-0000-0000-000056520000}"/>
    <cellStyle name="Comma 9 4 2" xfId="10068" xr:uid="{00000000-0005-0000-0000-000057520000}"/>
    <cellStyle name="Comma 9 4 2 2" xfId="12091" xr:uid="{00000000-0005-0000-0000-000058520000}"/>
    <cellStyle name="Comma 9 4 2 2 2" xfId="28748" xr:uid="{00000000-0005-0000-0000-000059520000}"/>
    <cellStyle name="Comma 9 4 2 2 2 2" xfId="46417" xr:uid="{00000000-0005-0000-0000-00005A520000}"/>
    <cellStyle name="Comma 9 4 2 2 3" xfId="32961" xr:uid="{00000000-0005-0000-0000-00005B520000}"/>
    <cellStyle name="Comma 9 4 2 2 4" xfId="37176" xr:uid="{00000000-0005-0000-0000-00005C520000}"/>
    <cellStyle name="Comma 9 4 2 2 5" xfId="41380" xr:uid="{00000000-0005-0000-0000-00005D520000}"/>
    <cellStyle name="Comma 9 4 2 3" xfId="27548" xr:uid="{00000000-0005-0000-0000-00005E520000}"/>
    <cellStyle name="Comma 9 4 2 3 2" xfId="43163" xr:uid="{00000000-0005-0000-0000-00005F520000}"/>
    <cellStyle name="Comma 9 4 2 4" xfId="31761" xr:uid="{00000000-0005-0000-0000-000060520000}"/>
    <cellStyle name="Comma 9 4 2 5" xfId="35976" xr:uid="{00000000-0005-0000-0000-000061520000}"/>
    <cellStyle name="Comma 9 4 2 6" xfId="40180" xr:uid="{00000000-0005-0000-0000-000062520000}"/>
    <cellStyle name="Comma 9 4 3" xfId="10852" xr:uid="{00000000-0005-0000-0000-000063520000}"/>
    <cellStyle name="Comma 9 4 3 2" xfId="28013" xr:uid="{00000000-0005-0000-0000-000064520000}"/>
    <cellStyle name="Comma 9 4 3 2 2" xfId="45690" xr:uid="{00000000-0005-0000-0000-000065520000}"/>
    <cellStyle name="Comma 9 4 3 3" xfId="32226" xr:uid="{00000000-0005-0000-0000-000066520000}"/>
    <cellStyle name="Comma 9 4 3 4" xfId="36441" xr:uid="{00000000-0005-0000-0000-000067520000}"/>
    <cellStyle name="Comma 9 4 3 5" xfId="40645" xr:uid="{00000000-0005-0000-0000-000068520000}"/>
    <cellStyle name="Comma 9 4 4" xfId="26402" xr:uid="{00000000-0005-0000-0000-000069520000}"/>
    <cellStyle name="Comma 9 4 4 2" xfId="41635" xr:uid="{00000000-0005-0000-0000-00006A520000}"/>
    <cellStyle name="Comma 9 4 5" xfId="30615" xr:uid="{00000000-0005-0000-0000-00006B520000}"/>
    <cellStyle name="Comma 9 4 5 2" xfId="41913" xr:uid="{00000000-0005-0000-0000-00006C520000}"/>
    <cellStyle name="Comma 9 4 6" xfId="34830" xr:uid="{00000000-0005-0000-0000-00006D520000}"/>
    <cellStyle name="Comma 9 4 7" xfId="39034" xr:uid="{00000000-0005-0000-0000-00006E520000}"/>
    <cellStyle name="Comma 9 5" xfId="8122" xr:uid="{00000000-0005-0000-0000-00006F520000}"/>
    <cellStyle name="Comma 9 5 2" xfId="10069" xr:uid="{00000000-0005-0000-0000-000070520000}"/>
    <cellStyle name="Comma 9 5 2 2" xfId="12092" xr:uid="{00000000-0005-0000-0000-000071520000}"/>
    <cellStyle name="Comma 9 5 2 2 2" xfId="28749" xr:uid="{00000000-0005-0000-0000-000072520000}"/>
    <cellStyle name="Comma 9 5 2 2 2 2" xfId="46418" xr:uid="{00000000-0005-0000-0000-000073520000}"/>
    <cellStyle name="Comma 9 5 2 2 3" xfId="32962" xr:uid="{00000000-0005-0000-0000-000074520000}"/>
    <cellStyle name="Comma 9 5 2 2 4" xfId="37177" xr:uid="{00000000-0005-0000-0000-000075520000}"/>
    <cellStyle name="Comma 9 5 2 2 5" xfId="41381" xr:uid="{00000000-0005-0000-0000-000076520000}"/>
    <cellStyle name="Comma 9 5 2 3" xfId="27549" xr:uid="{00000000-0005-0000-0000-000077520000}"/>
    <cellStyle name="Comma 9 5 2 3 2" xfId="43164" xr:uid="{00000000-0005-0000-0000-000078520000}"/>
    <cellStyle name="Comma 9 5 2 4" xfId="31762" xr:uid="{00000000-0005-0000-0000-000079520000}"/>
    <cellStyle name="Comma 9 5 2 5" xfId="35977" xr:uid="{00000000-0005-0000-0000-00007A520000}"/>
    <cellStyle name="Comma 9 5 2 6" xfId="40181" xr:uid="{00000000-0005-0000-0000-00007B520000}"/>
    <cellStyle name="Comma 9 5 3" xfId="10853" xr:uid="{00000000-0005-0000-0000-00007C520000}"/>
    <cellStyle name="Comma 9 5 3 2" xfId="28014" xr:uid="{00000000-0005-0000-0000-00007D520000}"/>
    <cellStyle name="Comma 9 5 3 2 2" xfId="45691" xr:uid="{00000000-0005-0000-0000-00007E520000}"/>
    <cellStyle name="Comma 9 5 3 3" xfId="32227" xr:uid="{00000000-0005-0000-0000-00007F520000}"/>
    <cellStyle name="Comma 9 5 3 4" xfId="36442" xr:uid="{00000000-0005-0000-0000-000080520000}"/>
    <cellStyle name="Comma 9 5 3 5" xfId="40646" xr:uid="{00000000-0005-0000-0000-000081520000}"/>
    <cellStyle name="Comma 9 5 4" xfId="26403" xr:uid="{00000000-0005-0000-0000-000082520000}"/>
    <cellStyle name="Comma 9 5 4 2" xfId="41636" xr:uid="{00000000-0005-0000-0000-000083520000}"/>
    <cellStyle name="Comma 9 5 5" xfId="30616" xr:uid="{00000000-0005-0000-0000-000084520000}"/>
    <cellStyle name="Comma 9 5 5 2" xfId="41914" xr:uid="{00000000-0005-0000-0000-000085520000}"/>
    <cellStyle name="Comma 9 5 6" xfId="34831" xr:uid="{00000000-0005-0000-0000-000086520000}"/>
    <cellStyle name="Comma 9 5 7" xfId="39035" xr:uid="{00000000-0005-0000-0000-000087520000}"/>
    <cellStyle name="Comma 9 6" xfId="8123" xr:uid="{00000000-0005-0000-0000-000088520000}"/>
    <cellStyle name="Comma 9 6 2" xfId="10070" xr:uid="{00000000-0005-0000-0000-000089520000}"/>
    <cellStyle name="Comma 9 6 2 2" xfId="12093" xr:uid="{00000000-0005-0000-0000-00008A520000}"/>
    <cellStyle name="Comma 9 6 2 2 2" xfId="28750" xr:uid="{00000000-0005-0000-0000-00008B520000}"/>
    <cellStyle name="Comma 9 6 2 2 2 2" xfId="46419" xr:uid="{00000000-0005-0000-0000-00008C520000}"/>
    <cellStyle name="Comma 9 6 2 2 3" xfId="32963" xr:uid="{00000000-0005-0000-0000-00008D520000}"/>
    <cellStyle name="Comma 9 6 2 2 4" xfId="37178" xr:uid="{00000000-0005-0000-0000-00008E520000}"/>
    <cellStyle name="Comma 9 6 2 2 5" xfId="41382" xr:uid="{00000000-0005-0000-0000-00008F520000}"/>
    <cellStyle name="Comma 9 6 2 3" xfId="27550" xr:uid="{00000000-0005-0000-0000-000090520000}"/>
    <cellStyle name="Comma 9 6 2 3 2" xfId="43165" xr:uid="{00000000-0005-0000-0000-000091520000}"/>
    <cellStyle name="Comma 9 6 2 4" xfId="31763" xr:uid="{00000000-0005-0000-0000-000092520000}"/>
    <cellStyle name="Comma 9 6 2 5" xfId="35978" xr:uid="{00000000-0005-0000-0000-000093520000}"/>
    <cellStyle name="Comma 9 6 2 6" xfId="40182" xr:uid="{00000000-0005-0000-0000-000094520000}"/>
    <cellStyle name="Comma 9 6 3" xfId="10854" xr:uid="{00000000-0005-0000-0000-000095520000}"/>
    <cellStyle name="Comma 9 6 3 2" xfId="28015" xr:uid="{00000000-0005-0000-0000-000096520000}"/>
    <cellStyle name="Comma 9 6 3 2 2" xfId="45692" xr:uid="{00000000-0005-0000-0000-000097520000}"/>
    <cellStyle name="Comma 9 6 3 3" xfId="32228" xr:uid="{00000000-0005-0000-0000-000098520000}"/>
    <cellStyle name="Comma 9 6 3 4" xfId="36443" xr:uid="{00000000-0005-0000-0000-000099520000}"/>
    <cellStyle name="Comma 9 6 3 5" xfId="40647" xr:uid="{00000000-0005-0000-0000-00009A520000}"/>
    <cellStyle name="Comma 9 6 4" xfId="26404" xr:uid="{00000000-0005-0000-0000-00009B520000}"/>
    <cellStyle name="Comma 9 6 4 2" xfId="41637" xr:uid="{00000000-0005-0000-0000-00009C520000}"/>
    <cellStyle name="Comma 9 6 5" xfId="30617" xr:uid="{00000000-0005-0000-0000-00009D520000}"/>
    <cellStyle name="Comma 9 6 5 2" xfId="41915" xr:uid="{00000000-0005-0000-0000-00009E520000}"/>
    <cellStyle name="Comma 9 6 6" xfId="34832" xr:uid="{00000000-0005-0000-0000-00009F520000}"/>
    <cellStyle name="Comma 9 6 7" xfId="39036" xr:uid="{00000000-0005-0000-0000-0000A0520000}"/>
    <cellStyle name="Comma 9 7" xfId="8124" xr:uid="{00000000-0005-0000-0000-0000A1520000}"/>
    <cellStyle name="Comma 9 7 2" xfId="10071" xr:uid="{00000000-0005-0000-0000-0000A2520000}"/>
    <cellStyle name="Comma 9 7 2 2" xfId="12094" xr:uid="{00000000-0005-0000-0000-0000A3520000}"/>
    <cellStyle name="Comma 9 7 2 2 2" xfId="28751" xr:uid="{00000000-0005-0000-0000-0000A4520000}"/>
    <cellStyle name="Comma 9 7 2 2 2 2" xfId="46420" xr:uid="{00000000-0005-0000-0000-0000A5520000}"/>
    <cellStyle name="Comma 9 7 2 2 3" xfId="32964" xr:uid="{00000000-0005-0000-0000-0000A6520000}"/>
    <cellStyle name="Comma 9 7 2 2 4" xfId="37179" xr:uid="{00000000-0005-0000-0000-0000A7520000}"/>
    <cellStyle name="Comma 9 7 2 2 5" xfId="41383" xr:uid="{00000000-0005-0000-0000-0000A8520000}"/>
    <cellStyle name="Comma 9 7 2 3" xfId="27551" xr:uid="{00000000-0005-0000-0000-0000A9520000}"/>
    <cellStyle name="Comma 9 7 2 3 2" xfId="43166" xr:uid="{00000000-0005-0000-0000-0000AA520000}"/>
    <cellStyle name="Comma 9 7 2 4" xfId="31764" xr:uid="{00000000-0005-0000-0000-0000AB520000}"/>
    <cellStyle name="Comma 9 7 2 5" xfId="35979" xr:uid="{00000000-0005-0000-0000-0000AC520000}"/>
    <cellStyle name="Comma 9 7 2 6" xfId="40183" xr:uid="{00000000-0005-0000-0000-0000AD520000}"/>
    <cellStyle name="Comma 9 7 3" xfId="10855" xr:uid="{00000000-0005-0000-0000-0000AE520000}"/>
    <cellStyle name="Comma 9 7 3 2" xfId="28016" xr:uid="{00000000-0005-0000-0000-0000AF520000}"/>
    <cellStyle name="Comma 9 7 3 2 2" xfId="45693" xr:uid="{00000000-0005-0000-0000-0000B0520000}"/>
    <cellStyle name="Comma 9 7 3 3" xfId="32229" xr:uid="{00000000-0005-0000-0000-0000B1520000}"/>
    <cellStyle name="Comma 9 7 3 4" xfId="36444" xr:uid="{00000000-0005-0000-0000-0000B2520000}"/>
    <cellStyle name="Comma 9 7 3 5" xfId="40648" xr:uid="{00000000-0005-0000-0000-0000B3520000}"/>
    <cellStyle name="Comma 9 7 4" xfId="26405" xr:uid="{00000000-0005-0000-0000-0000B4520000}"/>
    <cellStyle name="Comma 9 7 4 2" xfId="41638" xr:uid="{00000000-0005-0000-0000-0000B5520000}"/>
    <cellStyle name="Comma 9 7 5" xfId="30618" xr:uid="{00000000-0005-0000-0000-0000B6520000}"/>
    <cellStyle name="Comma 9 7 5 2" xfId="41916" xr:uid="{00000000-0005-0000-0000-0000B7520000}"/>
    <cellStyle name="Comma 9 7 6" xfId="34833" xr:uid="{00000000-0005-0000-0000-0000B8520000}"/>
    <cellStyle name="Comma 9 7 7" xfId="39037" xr:uid="{00000000-0005-0000-0000-0000B9520000}"/>
    <cellStyle name="Comma 9 8" xfId="8125" xr:uid="{00000000-0005-0000-0000-0000BA520000}"/>
    <cellStyle name="Comma 9 8 2" xfId="10072" xr:uid="{00000000-0005-0000-0000-0000BB520000}"/>
    <cellStyle name="Comma 9 8 2 2" xfId="12095" xr:uid="{00000000-0005-0000-0000-0000BC520000}"/>
    <cellStyle name="Comma 9 8 2 2 2" xfId="28752" xr:uid="{00000000-0005-0000-0000-0000BD520000}"/>
    <cellStyle name="Comma 9 8 2 2 2 2" xfId="46421" xr:uid="{00000000-0005-0000-0000-0000BE520000}"/>
    <cellStyle name="Comma 9 8 2 2 3" xfId="32965" xr:uid="{00000000-0005-0000-0000-0000BF520000}"/>
    <cellStyle name="Comma 9 8 2 2 4" xfId="37180" xr:uid="{00000000-0005-0000-0000-0000C0520000}"/>
    <cellStyle name="Comma 9 8 2 2 5" xfId="41384" xr:uid="{00000000-0005-0000-0000-0000C1520000}"/>
    <cellStyle name="Comma 9 8 2 3" xfId="27552" xr:uid="{00000000-0005-0000-0000-0000C2520000}"/>
    <cellStyle name="Comma 9 8 2 3 2" xfId="43167" xr:uid="{00000000-0005-0000-0000-0000C3520000}"/>
    <cellStyle name="Comma 9 8 2 4" xfId="31765" xr:uid="{00000000-0005-0000-0000-0000C4520000}"/>
    <cellStyle name="Comma 9 8 2 5" xfId="35980" xr:uid="{00000000-0005-0000-0000-0000C5520000}"/>
    <cellStyle name="Comma 9 8 2 6" xfId="40184" xr:uid="{00000000-0005-0000-0000-0000C6520000}"/>
    <cellStyle name="Comma 9 8 3" xfId="10856" xr:uid="{00000000-0005-0000-0000-0000C7520000}"/>
    <cellStyle name="Comma 9 8 3 2" xfId="28017" xr:uid="{00000000-0005-0000-0000-0000C8520000}"/>
    <cellStyle name="Comma 9 8 3 2 2" xfId="45694" xr:uid="{00000000-0005-0000-0000-0000C9520000}"/>
    <cellStyle name="Comma 9 8 3 3" xfId="32230" xr:uid="{00000000-0005-0000-0000-0000CA520000}"/>
    <cellStyle name="Comma 9 8 3 4" xfId="36445" xr:uid="{00000000-0005-0000-0000-0000CB520000}"/>
    <cellStyle name="Comma 9 8 3 5" xfId="40649" xr:uid="{00000000-0005-0000-0000-0000CC520000}"/>
    <cellStyle name="Comma 9 8 4" xfId="26406" xr:uid="{00000000-0005-0000-0000-0000CD520000}"/>
    <cellStyle name="Comma 9 8 4 2" xfId="41639" xr:uid="{00000000-0005-0000-0000-0000CE520000}"/>
    <cellStyle name="Comma 9 8 5" xfId="30619" xr:uid="{00000000-0005-0000-0000-0000CF520000}"/>
    <cellStyle name="Comma 9 8 5 2" xfId="41917" xr:uid="{00000000-0005-0000-0000-0000D0520000}"/>
    <cellStyle name="Comma 9 8 6" xfId="34834" xr:uid="{00000000-0005-0000-0000-0000D1520000}"/>
    <cellStyle name="Comma 9 8 7" xfId="39038" xr:uid="{00000000-0005-0000-0000-0000D2520000}"/>
    <cellStyle name="Comma 9 9" xfId="8126" xr:uid="{00000000-0005-0000-0000-0000D3520000}"/>
    <cellStyle name="Comma 9 9 2" xfId="10073" xr:uid="{00000000-0005-0000-0000-0000D4520000}"/>
    <cellStyle name="Comma 9 9 2 2" xfId="12096" xr:uid="{00000000-0005-0000-0000-0000D5520000}"/>
    <cellStyle name="Comma 9 9 2 2 2" xfId="28753" xr:uid="{00000000-0005-0000-0000-0000D6520000}"/>
    <cellStyle name="Comma 9 9 2 2 2 2" xfId="46422" xr:uid="{00000000-0005-0000-0000-0000D7520000}"/>
    <cellStyle name="Comma 9 9 2 2 3" xfId="32966" xr:uid="{00000000-0005-0000-0000-0000D8520000}"/>
    <cellStyle name="Comma 9 9 2 2 4" xfId="37181" xr:uid="{00000000-0005-0000-0000-0000D9520000}"/>
    <cellStyle name="Comma 9 9 2 2 5" xfId="41385" xr:uid="{00000000-0005-0000-0000-0000DA520000}"/>
    <cellStyle name="Comma 9 9 2 3" xfId="27553" xr:uid="{00000000-0005-0000-0000-0000DB520000}"/>
    <cellStyle name="Comma 9 9 2 3 2" xfId="43168" xr:uid="{00000000-0005-0000-0000-0000DC520000}"/>
    <cellStyle name="Comma 9 9 2 4" xfId="31766" xr:uid="{00000000-0005-0000-0000-0000DD520000}"/>
    <cellStyle name="Comma 9 9 2 5" xfId="35981" xr:uid="{00000000-0005-0000-0000-0000DE520000}"/>
    <cellStyle name="Comma 9 9 2 6" xfId="40185" xr:uid="{00000000-0005-0000-0000-0000DF520000}"/>
    <cellStyle name="Comma 9 9 3" xfId="10857" xr:uid="{00000000-0005-0000-0000-0000E0520000}"/>
    <cellStyle name="Comma 9 9 3 2" xfId="28018" xr:uid="{00000000-0005-0000-0000-0000E1520000}"/>
    <cellStyle name="Comma 9 9 3 2 2" xfId="45695" xr:uid="{00000000-0005-0000-0000-0000E2520000}"/>
    <cellStyle name="Comma 9 9 3 3" xfId="32231" xr:uid="{00000000-0005-0000-0000-0000E3520000}"/>
    <cellStyle name="Comma 9 9 3 4" xfId="36446" xr:uid="{00000000-0005-0000-0000-0000E4520000}"/>
    <cellStyle name="Comma 9 9 3 5" xfId="40650" xr:uid="{00000000-0005-0000-0000-0000E5520000}"/>
    <cellStyle name="Comma 9 9 4" xfId="26407" xr:uid="{00000000-0005-0000-0000-0000E6520000}"/>
    <cellStyle name="Comma 9 9 4 2" xfId="41640" xr:uid="{00000000-0005-0000-0000-0000E7520000}"/>
    <cellStyle name="Comma 9 9 5" xfId="30620" xr:uid="{00000000-0005-0000-0000-0000E8520000}"/>
    <cellStyle name="Comma 9 9 5 2" xfId="41918" xr:uid="{00000000-0005-0000-0000-0000E9520000}"/>
    <cellStyle name="Comma 9 9 6" xfId="34835" xr:uid="{00000000-0005-0000-0000-0000EA520000}"/>
    <cellStyle name="Comma 9 9 7" xfId="39039" xr:uid="{00000000-0005-0000-0000-0000EB520000}"/>
    <cellStyle name="Commentaire" xfId="12325" xr:uid="{00000000-0005-0000-0000-0000EC520000}"/>
    <cellStyle name="Commentaire 10" xfId="13328" xr:uid="{00000000-0005-0000-0000-0000ED520000}"/>
    <cellStyle name="Commentaire 10 2" xfId="18307" xr:uid="{00000000-0005-0000-0000-0000EE520000}"/>
    <cellStyle name="Commentaire 11" xfId="12975" xr:uid="{00000000-0005-0000-0000-0000EF520000}"/>
    <cellStyle name="Commentaire 2" xfId="12342" xr:uid="{00000000-0005-0000-0000-0000F0520000}"/>
    <cellStyle name="Commentaire 2 10" xfId="12969" xr:uid="{00000000-0005-0000-0000-0000F1520000}"/>
    <cellStyle name="Commentaire 2 2" xfId="13995" xr:uid="{00000000-0005-0000-0000-0000F2520000}"/>
    <cellStyle name="Commentaire 2 2 2" xfId="18970" xr:uid="{00000000-0005-0000-0000-0000F3520000}"/>
    <cellStyle name="Commentaire 2 3" xfId="15005" xr:uid="{00000000-0005-0000-0000-0000F4520000}"/>
    <cellStyle name="Commentaire 2 3 2" xfId="20366" xr:uid="{00000000-0005-0000-0000-0000F5520000}"/>
    <cellStyle name="Commentaire 2 4" xfId="15078" xr:uid="{00000000-0005-0000-0000-0000F6520000}"/>
    <cellStyle name="Commentaire 2 4 2" xfId="20462" xr:uid="{00000000-0005-0000-0000-0000F7520000}"/>
    <cellStyle name="Commentaire 2 5" xfId="16057" xr:uid="{00000000-0005-0000-0000-0000F8520000}"/>
    <cellStyle name="Commentaire 2 5 2" xfId="21559" xr:uid="{00000000-0005-0000-0000-0000F9520000}"/>
    <cellStyle name="Commentaire 2 6" xfId="15311" xr:uid="{00000000-0005-0000-0000-0000FA520000}"/>
    <cellStyle name="Commentaire 2 6 2" xfId="20700" xr:uid="{00000000-0005-0000-0000-0000FB520000}"/>
    <cellStyle name="Commentaire 2 7" xfId="16365" xr:uid="{00000000-0005-0000-0000-0000FC520000}"/>
    <cellStyle name="Commentaire 2 7 2" xfId="22007" xr:uid="{00000000-0005-0000-0000-0000FD520000}"/>
    <cellStyle name="Commentaire 2 8" xfId="17074" xr:uid="{00000000-0005-0000-0000-0000FE520000}"/>
    <cellStyle name="Commentaire 2 8 2" xfId="22721" xr:uid="{00000000-0005-0000-0000-0000FF520000}"/>
    <cellStyle name="Commentaire 2 9" xfId="13334" xr:uid="{00000000-0005-0000-0000-000000530000}"/>
    <cellStyle name="Commentaire 2 9 2" xfId="18313" xr:uid="{00000000-0005-0000-0000-000001530000}"/>
    <cellStyle name="Commentaire 3" xfId="13989" xr:uid="{00000000-0005-0000-0000-000002530000}"/>
    <cellStyle name="Commentaire 3 2" xfId="18961" xr:uid="{00000000-0005-0000-0000-000003530000}"/>
    <cellStyle name="Commentaire 4" xfId="15012" xr:uid="{00000000-0005-0000-0000-000004530000}"/>
    <cellStyle name="Commentaire 4 2" xfId="20373" xr:uid="{00000000-0005-0000-0000-000005530000}"/>
    <cellStyle name="Commentaire 5" xfId="15072" xr:uid="{00000000-0005-0000-0000-000006530000}"/>
    <cellStyle name="Commentaire 5 2" xfId="20456" xr:uid="{00000000-0005-0000-0000-000007530000}"/>
    <cellStyle name="Commentaire 6" xfId="16065" xr:uid="{00000000-0005-0000-0000-000008530000}"/>
    <cellStyle name="Commentaire 6 2" xfId="21573" xr:uid="{00000000-0005-0000-0000-000009530000}"/>
    <cellStyle name="Commentaire 7" xfId="15306" xr:uid="{00000000-0005-0000-0000-00000A530000}"/>
    <cellStyle name="Commentaire 7 2" xfId="20695" xr:uid="{00000000-0005-0000-0000-00000B530000}"/>
    <cellStyle name="Commentaire 8" xfId="16370" xr:uid="{00000000-0005-0000-0000-00000C530000}"/>
    <cellStyle name="Commentaire 8 2" xfId="22012" xr:uid="{00000000-0005-0000-0000-00000D530000}"/>
    <cellStyle name="Commentaire 9" xfId="17068" xr:uid="{00000000-0005-0000-0000-00000E530000}"/>
    <cellStyle name="Commentaire 9 2" xfId="22715" xr:uid="{00000000-0005-0000-0000-00000F530000}"/>
    <cellStyle name="Constants" xfId="7015" xr:uid="{00000000-0005-0000-0000-000010530000}"/>
    <cellStyle name="Currency 2" xfId="43169" xr:uid="{00000000-0005-0000-0000-000011530000}"/>
    <cellStyle name="Currency 2 2" xfId="8127" xr:uid="{00000000-0005-0000-0000-000012530000}"/>
    <cellStyle name="CustomCellsOrange" xfId="7061" xr:uid="{00000000-0005-0000-0000-000013530000}"/>
    <cellStyle name="CustomizationCells" xfId="3269" xr:uid="{00000000-0005-0000-0000-000014530000}"/>
    <cellStyle name="CustomizationCells 10" xfId="12650" xr:uid="{00000000-0005-0000-0000-000015530000}"/>
    <cellStyle name="CustomizationCells 11" xfId="12470" xr:uid="{00000000-0005-0000-0000-000016530000}"/>
    <cellStyle name="CustomizationCells 2" xfId="14207" xr:uid="{00000000-0005-0000-0000-000017530000}"/>
    <cellStyle name="CustomizationCells 2 2" xfId="19253" xr:uid="{00000000-0005-0000-0000-000018530000}"/>
    <cellStyle name="CustomizationCells 3" xfId="14064" xr:uid="{00000000-0005-0000-0000-000019530000}"/>
    <cellStyle name="CustomizationCells 3 2" xfId="19051" xr:uid="{00000000-0005-0000-0000-00001A530000}"/>
    <cellStyle name="CustomizationCells 4" xfId="14063" xr:uid="{00000000-0005-0000-0000-00001B530000}"/>
    <cellStyle name="CustomizationCells 4 2" xfId="19050" xr:uid="{00000000-0005-0000-0000-00001C530000}"/>
    <cellStyle name="CustomizationCells 5" xfId="15695" xr:uid="{00000000-0005-0000-0000-00001D530000}"/>
    <cellStyle name="CustomizationCells 5 2" xfId="21189" xr:uid="{00000000-0005-0000-0000-00001E530000}"/>
    <cellStyle name="CustomizationCells 6" xfId="15696" xr:uid="{00000000-0005-0000-0000-00001F530000}"/>
    <cellStyle name="CustomizationCells 6 2" xfId="21190" xr:uid="{00000000-0005-0000-0000-000020530000}"/>
    <cellStyle name="CustomizationCells 7" xfId="15873" xr:uid="{00000000-0005-0000-0000-000021530000}"/>
    <cellStyle name="CustomizationCells 7 2" xfId="21367" xr:uid="{00000000-0005-0000-0000-000022530000}"/>
    <cellStyle name="CustomizationCells 8" xfId="17204" xr:uid="{00000000-0005-0000-0000-000023530000}"/>
    <cellStyle name="CustomizationCells 8 2" xfId="22848" xr:uid="{00000000-0005-0000-0000-000024530000}"/>
    <cellStyle name="CustomizationCells 9" xfId="13404" xr:uid="{00000000-0005-0000-0000-000025530000}"/>
    <cellStyle name="CustomizationCells 9 2" xfId="18381" xr:uid="{00000000-0005-0000-0000-000026530000}"/>
    <cellStyle name="CustomizationGreenCells" xfId="7062" xr:uid="{00000000-0005-0000-0000-000027530000}"/>
    <cellStyle name="Data" xfId="24815" xr:uid="{00000000-0005-0000-0000-000028530000}"/>
    <cellStyle name="Data 2" xfId="29031" xr:uid="{00000000-0005-0000-0000-000029530000}"/>
    <cellStyle name="Data 3" xfId="33248" xr:uid="{00000000-0005-0000-0000-00002A530000}"/>
    <cellStyle name="Data 4" xfId="37459" xr:uid="{00000000-0005-0000-0000-00002B530000}"/>
    <cellStyle name="Data 5" xfId="41707" xr:uid="{00000000-0005-0000-0000-00002C530000}"/>
    <cellStyle name="Defn" xfId="24817" xr:uid="{00000000-0005-0000-0000-00002D530000}"/>
    <cellStyle name="Desc" xfId="24811" xr:uid="{00000000-0005-0000-0000-00002E530000}"/>
    <cellStyle name="Desc 2" xfId="24812" xr:uid="{00000000-0005-0000-0000-00002F530000}"/>
    <cellStyle name="DocBox_EmptyRow" xfId="7016" xr:uid="{00000000-0005-0000-0000-000030530000}"/>
    <cellStyle name="donn_normal" xfId="3270" xr:uid="{00000000-0005-0000-0000-000031530000}"/>
    <cellStyle name="EEMS Header" xfId="7063" xr:uid="{00000000-0005-0000-0000-000032530000}"/>
    <cellStyle name="EEMS row" xfId="7064" xr:uid="{00000000-0005-0000-0000-000033530000}"/>
    <cellStyle name="Eingabe" xfId="10160" xr:uid="{00000000-0005-0000-0000-000034530000}"/>
    <cellStyle name="Eingabe 2" xfId="43170" xr:uid="{00000000-0005-0000-0000-000035530000}"/>
    <cellStyle name="Ellenőrzőcella" xfId="3121" xr:uid="{00000000-0005-0000-0000-000036530000}"/>
    <cellStyle name="Ellenőrzőcella 2" xfId="14001" xr:uid="{00000000-0005-0000-0000-000037530000}"/>
    <cellStyle name="Ellenőrzőcella 2 2" xfId="18981" xr:uid="{00000000-0005-0000-0000-000038530000}"/>
    <cellStyle name="Ellenőrzőcella 3" xfId="15093" xr:uid="{00000000-0005-0000-0000-000039530000}"/>
    <cellStyle name="Ellenőrzőcella 3 2" xfId="20479" xr:uid="{00000000-0005-0000-0000-00003A530000}"/>
    <cellStyle name="Ellenőrzőcella 4" xfId="16146" xr:uid="{00000000-0005-0000-0000-00003B530000}"/>
    <cellStyle name="Ellenőrzőcella 4 2" xfId="21659" xr:uid="{00000000-0005-0000-0000-00003C530000}"/>
    <cellStyle name="Ellenőrzőcella 5" xfId="16361" xr:uid="{00000000-0005-0000-0000-00003D530000}"/>
    <cellStyle name="Ellenőrzőcella 5 2" xfId="21944" xr:uid="{00000000-0005-0000-0000-00003E530000}"/>
    <cellStyle name="Ellenőrzőcella 6" xfId="17079" xr:uid="{00000000-0005-0000-0000-00003F530000}"/>
    <cellStyle name="Ellenőrzőcella 6 2" xfId="22725" xr:uid="{00000000-0005-0000-0000-000040530000}"/>
    <cellStyle name="Ellenőrzőcella 7" xfId="12905" xr:uid="{00000000-0005-0000-0000-000041530000}"/>
    <cellStyle name="Empty_B_border" xfId="7065" xr:uid="{00000000-0005-0000-0000-000042530000}"/>
    <cellStyle name="ent_col_ser" xfId="3271" xr:uid="{00000000-0005-0000-0000-000043530000}"/>
    <cellStyle name="entete_source" xfId="3272" xr:uid="{00000000-0005-0000-0000-000044530000}"/>
    <cellStyle name="Entrée" xfId="12326" xr:uid="{00000000-0005-0000-0000-000045530000}"/>
    <cellStyle name="Entrée 10" xfId="13329" xr:uid="{00000000-0005-0000-0000-000046530000}"/>
    <cellStyle name="Entrée 10 2" xfId="18308" xr:uid="{00000000-0005-0000-0000-000047530000}"/>
    <cellStyle name="Entrée 11" xfId="12974" xr:uid="{00000000-0005-0000-0000-000048530000}"/>
    <cellStyle name="Entrée 2" xfId="12343" xr:uid="{00000000-0005-0000-0000-000049530000}"/>
    <cellStyle name="Entrée 2 10" xfId="12968" xr:uid="{00000000-0005-0000-0000-00004A530000}"/>
    <cellStyle name="Entrée 2 2" xfId="13996" xr:uid="{00000000-0005-0000-0000-00004B530000}"/>
    <cellStyle name="Entrée 2 2 2" xfId="18971" xr:uid="{00000000-0005-0000-0000-00004C530000}"/>
    <cellStyle name="Entrée 2 3" xfId="15004" xr:uid="{00000000-0005-0000-0000-00004D530000}"/>
    <cellStyle name="Entrée 2 3 2" xfId="20365" xr:uid="{00000000-0005-0000-0000-00004E530000}"/>
    <cellStyle name="Entrée 2 4" xfId="15079" xr:uid="{00000000-0005-0000-0000-00004F530000}"/>
    <cellStyle name="Entrée 2 4 2" xfId="20463" xr:uid="{00000000-0005-0000-0000-000050530000}"/>
    <cellStyle name="Entrée 2 5" xfId="16056" xr:uid="{00000000-0005-0000-0000-000051530000}"/>
    <cellStyle name="Entrée 2 5 2" xfId="21558" xr:uid="{00000000-0005-0000-0000-000052530000}"/>
    <cellStyle name="Entrée 2 6" xfId="15312" xr:uid="{00000000-0005-0000-0000-000053530000}"/>
    <cellStyle name="Entrée 2 6 2" xfId="20701" xr:uid="{00000000-0005-0000-0000-000054530000}"/>
    <cellStyle name="Entrée 2 7" xfId="16364" xr:uid="{00000000-0005-0000-0000-000055530000}"/>
    <cellStyle name="Entrée 2 7 2" xfId="22006" xr:uid="{00000000-0005-0000-0000-000056530000}"/>
    <cellStyle name="Entrée 2 8" xfId="17075" xr:uid="{00000000-0005-0000-0000-000057530000}"/>
    <cellStyle name="Entrée 2 8 2" xfId="22722" xr:uid="{00000000-0005-0000-0000-000058530000}"/>
    <cellStyle name="Entrée 2 9" xfId="13335" xr:uid="{00000000-0005-0000-0000-000059530000}"/>
    <cellStyle name="Entrée 2 9 2" xfId="18314" xr:uid="{00000000-0005-0000-0000-00005A530000}"/>
    <cellStyle name="Entrée 3" xfId="13990" xr:uid="{00000000-0005-0000-0000-00005B530000}"/>
    <cellStyle name="Entrée 3 2" xfId="18962" xr:uid="{00000000-0005-0000-0000-00005C530000}"/>
    <cellStyle name="Entrée 4" xfId="15011" xr:uid="{00000000-0005-0000-0000-00005D530000}"/>
    <cellStyle name="Entrée 4 2" xfId="20372" xr:uid="{00000000-0005-0000-0000-00005E530000}"/>
    <cellStyle name="Entrée 5" xfId="15073" xr:uid="{00000000-0005-0000-0000-00005F530000}"/>
    <cellStyle name="Entrée 5 2" xfId="20457" xr:uid="{00000000-0005-0000-0000-000060530000}"/>
    <cellStyle name="Entrée 6" xfId="16064" xr:uid="{00000000-0005-0000-0000-000061530000}"/>
    <cellStyle name="Entrée 6 2" xfId="21572" xr:uid="{00000000-0005-0000-0000-000062530000}"/>
    <cellStyle name="Entrée 7" xfId="15307" xr:uid="{00000000-0005-0000-0000-000063530000}"/>
    <cellStyle name="Entrée 7 2" xfId="20696" xr:uid="{00000000-0005-0000-0000-000064530000}"/>
    <cellStyle name="Entrée 8" xfId="16369" xr:uid="{00000000-0005-0000-0000-000065530000}"/>
    <cellStyle name="Entrée 8 2" xfId="22011" xr:uid="{00000000-0005-0000-0000-000066530000}"/>
    <cellStyle name="Entrée 9" xfId="17069" xr:uid="{00000000-0005-0000-0000-000067530000}"/>
    <cellStyle name="Entrée 9 2" xfId="22716" xr:uid="{00000000-0005-0000-0000-000068530000}"/>
    <cellStyle name="Ergebnis" xfId="10161" xr:uid="{00000000-0005-0000-0000-000069530000}"/>
    <cellStyle name="Ergebnis 2" xfId="43171" xr:uid="{00000000-0005-0000-0000-00006A530000}"/>
    <cellStyle name="Erklärender Text" xfId="10162" xr:uid="{00000000-0005-0000-0000-00006B530000}"/>
    <cellStyle name="Estilo 1" xfId="43172" xr:uid="{00000000-0005-0000-0000-00006C530000}"/>
    <cellStyle name="Euro" xfId="1540" xr:uid="{00000000-0005-0000-0000-00006D530000}"/>
    <cellStyle name="Euro 10" xfId="1541" xr:uid="{00000000-0005-0000-0000-00006E530000}"/>
    <cellStyle name="Euro 10 2" xfId="1542" xr:uid="{00000000-0005-0000-0000-00006F530000}"/>
    <cellStyle name="Euro 10 2 2" xfId="3274" xr:uid="{00000000-0005-0000-0000-000070530000}"/>
    <cellStyle name="Euro 10 2 2 2" xfId="43175" xr:uid="{00000000-0005-0000-0000-000071530000}"/>
    <cellStyle name="Euro 10 3" xfId="1543" xr:uid="{00000000-0005-0000-0000-000072530000}"/>
    <cellStyle name="Euro 10 3 2" xfId="3275" xr:uid="{00000000-0005-0000-0000-000073530000}"/>
    <cellStyle name="Euro 10 4" xfId="1544" xr:uid="{00000000-0005-0000-0000-000074530000}"/>
    <cellStyle name="Euro 10 4 2" xfId="3276" xr:uid="{00000000-0005-0000-0000-000075530000}"/>
    <cellStyle name="Euro 10 5" xfId="3277" xr:uid="{00000000-0005-0000-0000-000076530000}"/>
    <cellStyle name="Euro 10 6" xfId="3273" xr:uid="{00000000-0005-0000-0000-000077530000}"/>
    <cellStyle name="Euro 10 6 2" xfId="43174" xr:uid="{00000000-0005-0000-0000-000078530000}"/>
    <cellStyle name="Euro 11" xfId="1545" xr:uid="{00000000-0005-0000-0000-000079530000}"/>
    <cellStyle name="Euro 11 2" xfId="1546" xr:uid="{00000000-0005-0000-0000-00007A530000}"/>
    <cellStyle name="Euro 11 2 2" xfId="3279" xr:uid="{00000000-0005-0000-0000-00007B530000}"/>
    <cellStyle name="Euro 11 2 2 2" xfId="43177" xr:uid="{00000000-0005-0000-0000-00007C530000}"/>
    <cellStyle name="Euro 11 3" xfId="1547" xr:uid="{00000000-0005-0000-0000-00007D530000}"/>
    <cellStyle name="Euro 11 3 2" xfId="3280" xr:uid="{00000000-0005-0000-0000-00007E530000}"/>
    <cellStyle name="Euro 11 4" xfId="1548" xr:uid="{00000000-0005-0000-0000-00007F530000}"/>
    <cellStyle name="Euro 11 4 2" xfId="3281" xr:uid="{00000000-0005-0000-0000-000080530000}"/>
    <cellStyle name="Euro 11 5" xfId="3282" xr:uid="{00000000-0005-0000-0000-000081530000}"/>
    <cellStyle name="Euro 11 6" xfId="3278" xr:uid="{00000000-0005-0000-0000-000082530000}"/>
    <cellStyle name="Euro 11 6 2" xfId="43176" xr:uid="{00000000-0005-0000-0000-000083530000}"/>
    <cellStyle name="Euro 12" xfId="1549" xr:uid="{00000000-0005-0000-0000-000084530000}"/>
    <cellStyle name="Euro 12 2" xfId="1550" xr:uid="{00000000-0005-0000-0000-000085530000}"/>
    <cellStyle name="Euro 12 2 2" xfId="3284" xr:uid="{00000000-0005-0000-0000-000086530000}"/>
    <cellStyle name="Euro 12 3" xfId="7185" xr:uid="{00000000-0005-0000-0000-000087530000}"/>
    <cellStyle name="Euro 12 4" xfId="3283" xr:uid="{00000000-0005-0000-0000-000088530000}"/>
    <cellStyle name="Euro 12 4 2" xfId="43178" xr:uid="{00000000-0005-0000-0000-000089530000}"/>
    <cellStyle name="Euro 13" xfId="1551" xr:uid="{00000000-0005-0000-0000-00008A530000}"/>
    <cellStyle name="Euro 13 2" xfId="3285" xr:uid="{00000000-0005-0000-0000-00008B530000}"/>
    <cellStyle name="Euro 13 2 2" xfId="43179" xr:uid="{00000000-0005-0000-0000-00008C530000}"/>
    <cellStyle name="Euro 14" xfId="1552" xr:uid="{00000000-0005-0000-0000-00008D530000}"/>
    <cellStyle name="Euro 14 2" xfId="3287" xr:uid="{00000000-0005-0000-0000-00008E530000}"/>
    <cellStyle name="Euro 14 3" xfId="5216" xr:uid="{00000000-0005-0000-0000-00008F530000}"/>
    <cellStyle name="Euro 14 4" xfId="3286" xr:uid="{00000000-0005-0000-0000-000090530000}"/>
    <cellStyle name="Euro 15" xfId="1553" xr:uid="{00000000-0005-0000-0000-000091530000}"/>
    <cellStyle name="Euro 15 2" xfId="3289" xr:uid="{00000000-0005-0000-0000-000092530000}"/>
    <cellStyle name="Euro 15 3" xfId="5217" xr:uid="{00000000-0005-0000-0000-000093530000}"/>
    <cellStyle name="Euro 15 4" xfId="3288" xr:uid="{00000000-0005-0000-0000-000094530000}"/>
    <cellStyle name="Euro 16" xfId="1554" xr:uid="{00000000-0005-0000-0000-000095530000}"/>
    <cellStyle name="Euro 16 2" xfId="3290" xr:uid="{00000000-0005-0000-0000-000096530000}"/>
    <cellStyle name="Euro 17" xfId="1555" xr:uid="{00000000-0005-0000-0000-000097530000}"/>
    <cellStyle name="Euro 17 2" xfId="3291" xr:uid="{00000000-0005-0000-0000-000098530000}"/>
    <cellStyle name="Euro 18" xfId="1556" xr:uid="{00000000-0005-0000-0000-000099530000}"/>
    <cellStyle name="Euro 18 2" xfId="3292" xr:uid="{00000000-0005-0000-0000-00009A530000}"/>
    <cellStyle name="Euro 19" xfId="1557" xr:uid="{00000000-0005-0000-0000-00009B530000}"/>
    <cellStyle name="Euro 19 2" xfId="5218" xr:uid="{00000000-0005-0000-0000-00009C530000}"/>
    <cellStyle name="Euro 19 3" xfId="3293" xr:uid="{00000000-0005-0000-0000-00009D530000}"/>
    <cellStyle name="Euro 19 3 2" xfId="43180" xr:uid="{00000000-0005-0000-0000-00009E530000}"/>
    <cellStyle name="Euro 2" xfId="1558" xr:uid="{00000000-0005-0000-0000-00009F530000}"/>
    <cellStyle name="Euro 2 2" xfId="1559" xr:uid="{00000000-0005-0000-0000-0000A0530000}"/>
    <cellStyle name="Euro 2 2 2" xfId="3295" xr:uid="{00000000-0005-0000-0000-0000A1530000}"/>
    <cellStyle name="Euro 2 2 2 2" xfId="6184" xr:uid="{00000000-0005-0000-0000-0000A2530000}"/>
    <cellStyle name="Euro 2 2 2 3" xfId="11023" xr:uid="{00000000-0005-0000-0000-0000A3530000}"/>
    <cellStyle name="Euro 2 2 2 3 2" xfId="43182" xr:uid="{00000000-0005-0000-0000-0000A4530000}"/>
    <cellStyle name="Euro 2 2 3" xfId="6185" xr:uid="{00000000-0005-0000-0000-0000A5530000}"/>
    <cellStyle name="Euro 2 2 4" xfId="10164" xr:uid="{00000000-0005-0000-0000-0000A6530000}"/>
    <cellStyle name="Euro 2 2 5" xfId="3294" xr:uid="{00000000-0005-0000-0000-0000A7530000}"/>
    <cellStyle name="Euro 2 3" xfId="1560" xr:uid="{00000000-0005-0000-0000-0000A8530000}"/>
    <cellStyle name="Euro 2 3 2" xfId="3297" xr:uid="{00000000-0005-0000-0000-0000A9530000}"/>
    <cellStyle name="Euro 2 3 2 2" xfId="43184" xr:uid="{00000000-0005-0000-0000-0000AA530000}"/>
    <cellStyle name="Euro 2 3 3" xfId="3296" xr:uid="{00000000-0005-0000-0000-0000AB530000}"/>
    <cellStyle name="Euro 2 3 3 2" xfId="43183" xr:uid="{00000000-0005-0000-0000-0000AC530000}"/>
    <cellStyle name="Euro 2 4" xfId="1561" xr:uid="{00000000-0005-0000-0000-0000AD530000}"/>
    <cellStyle name="Euro 2 4 2" xfId="9605" xr:uid="{00000000-0005-0000-0000-0000AE530000}"/>
    <cellStyle name="Euro 2 4 3" xfId="3298" xr:uid="{00000000-0005-0000-0000-0000AF530000}"/>
    <cellStyle name="Euro 2 4 3 2" xfId="43185" xr:uid="{00000000-0005-0000-0000-0000B0530000}"/>
    <cellStyle name="Euro 2 5" xfId="3299" xr:uid="{00000000-0005-0000-0000-0000B1530000}"/>
    <cellStyle name="Euro 2 5 2" xfId="43181" xr:uid="{00000000-0005-0000-0000-0000B2530000}"/>
    <cellStyle name="Euro 2 6" xfId="3300" xr:uid="{00000000-0005-0000-0000-0000B3530000}"/>
    <cellStyle name="Euro 2 6 2" xfId="10163" xr:uid="{00000000-0005-0000-0000-0000B4530000}"/>
    <cellStyle name="Euro 2 6 2 2" xfId="11024" xr:uid="{00000000-0005-0000-0000-0000B5530000}"/>
    <cellStyle name="Euro 2 7" xfId="3301" xr:uid="{00000000-0005-0000-0000-0000B6530000}"/>
    <cellStyle name="Euro 2 8" xfId="3302" xr:uid="{00000000-0005-0000-0000-0000B7530000}"/>
    <cellStyle name="Euro 2 9" xfId="3089" xr:uid="{00000000-0005-0000-0000-0000B8530000}"/>
    <cellStyle name="Euro 20" xfId="1562" xr:uid="{00000000-0005-0000-0000-0000B9530000}"/>
    <cellStyle name="Euro 20 2" xfId="3303" xr:uid="{00000000-0005-0000-0000-0000BA530000}"/>
    <cellStyle name="Euro 20 2 2" xfId="43186" xr:uid="{00000000-0005-0000-0000-0000BB530000}"/>
    <cellStyle name="Euro 21" xfId="3304" xr:uid="{00000000-0005-0000-0000-0000BC530000}"/>
    <cellStyle name="Euro 21 2" xfId="5219" xr:uid="{00000000-0005-0000-0000-0000BD530000}"/>
    <cellStyle name="Euro 21 3" xfId="43187" xr:uid="{00000000-0005-0000-0000-0000BE530000}"/>
    <cellStyle name="Euro 22" xfId="3305" xr:uid="{00000000-0005-0000-0000-0000BF530000}"/>
    <cellStyle name="Euro 22 2" xfId="5221" xr:uid="{00000000-0005-0000-0000-0000C0530000}"/>
    <cellStyle name="Euro 22 3" xfId="5220" xr:uid="{00000000-0005-0000-0000-0000C1530000}"/>
    <cellStyle name="Euro 22 4" xfId="11025" xr:uid="{00000000-0005-0000-0000-0000C2530000}"/>
    <cellStyle name="Euro 22 5" xfId="43188" xr:uid="{00000000-0005-0000-0000-0000C3530000}"/>
    <cellStyle name="Euro 23" xfId="5222" xr:uid="{00000000-0005-0000-0000-0000C4530000}"/>
    <cellStyle name="Euro 23 2" xfId="5223" xr:uid="{00000000-0005-0000-0000-0000C5530000}"/>
    <cellStyle name="Euro 24" xfId="7075" xr:uid="{00000000-0005-0000-0000-0000C6530000}"/>
    <cellStyle name="Euro 24 2" xfId="43189" xr:uid="{00000000-0005-0000-0000-0000C7530000}"/>
    <cellStyle name="Euro 25" xfId="3088" xr:uid="{00000000-0005-0000-0000-0000C8530000}"/>
    <cellStyle name="Euro 25 2" xfId="43190" xr:uid="{00000000-0005-0000-0000-0000C9530000}"/>
    <cellStyle name="Euro 26" xfId="3061" xr:uid="{00000000-0005-0000-0000-0000CA530000}"/>
    <cellStyle name="Euro 26 2" xfId="43191" xr:uid="{00000000-0005-0000-0000-0000CB530000}"/>
    <cellStyle name="Euro 27" xfId="43192" xr:uid="{00000000-0005-0000-0000-0000CC530000}"/>
    <cellStyle name="Euro 28" xfId="43193" xr:uid="{00000000-0005-0000-0000-0000CD530000}"/>
    <cellStyle name="Euro 29" xfId="43194" xr:uid="{00000000-0005-0000-0000-0000CE530000}"/>
    <cellStyle name="Euro 3" xfId="1563" xr:uid="{00000000-0005-0000-0000-0000CF530000}"/>
    <cellStyle name="Euro 3 2" xfId="1564" xr:uid="{00000000-0005-0000-0000-0000D0530000}"/>
    <cellStyle name="Euro 3 2 2" xfId="3307" xr:uid="{00000000-0005-0000-0000-0000D1530000}"/>
    <cellStyle name="Euro 3 2 3" xfId="43195" xr:uid="{00000000-0005-0000-0000-0000D2530000}"/>
    <cellStyle name="Euro 3 3" xfId="1565" xr:uid="{00000000-0005-0000-0000-0000D3530000}"/>
    <cellStyle name="Euro 3 3 2" xfId="6186" xr:uid="{00000000-0005-0000-0000-0000D4530000}"/>
    <cellStyle name="Euro 3 3 3" xfId="6187" xr:uid="{00000000-0005-0000-0000-0000D5530000}"/>
    <cellStyle name="Euro 3 3 4" xfId="6188" xr:uid="{00000000-0005-0000-0000-0000D6530000}"/>
    <cellStyle name="Euro 3 3 5" xfId="3308" xr:uid="{00000000-0005-0000-0000-0000D7530000}"/>
    <cellStyle name="Euro 3 3 5 2" xfId="43196" xr:uid="{00000000-0005-0000-0000-0000D8530000}"/>
    <cellStyle name="Euro 3 4" xfId="1566" xr:uid="{00000000-0005-0000-0000-0000D9530000}"/>
    <cellStyle name="Euro 3 4 2" xfId="6189" xr:uid="{00000000-0005-0000-0000-0000DA530000}"/>
    <cellStyle name="Euro 3 4 3" xfId="3309" xr:uid="{00000000-0005-0000-0000-0000DB530000}"/>
    <cellStyle name="Euro 3 5" xfId="3310" xr:uid="{00000000-0005-0000-0000-0000DC530000}"/>
    <cellStyle name="Euro 3 6" xfId="3311" xr:uid="{00000000-0005-0000-0000-0000DD530000}"/>
    <cellStyle name="Euro 3 7" xfId="3312" xr:uid="{00000000-0005-0000-0000-0000DE530000}"/>
    <cellStyle name="Euro 3 7 2" xfId="6190" xr:uid="{00000000-0005-0000-0000-0000DF530000}"/>
    <cellStyle name="Euro 3 7 3" xfId="11026" xr:uid="{00000000-0005-0000-0000-0000E0530000}"/>
    <cellStyle name="Euro 3 8" xfId="3313" xr:uid="{00000000-0005-0000-0000-0000E1530000}"/>
    <cellStyle name="Euro 3 9" xfId="3306" xr:uid="{00000000-0005-0000-0000-0000E2530000}"/>
    <cellStyle name="Euro 3_PrimaryEnergyPrices_TIMES" xfId="43197" xr:uid="{00000000-0005-0000-0000-0000E3530000}"/>
    <cellStyle name="Euro 30" xfId="43198" xr:uid="{00000000-0005-0000-0000-0000E4530000}"/>
    <cellStyle name="Euro 31" xfId="43199" xr:uid="{00000000-0005-0000-0000-0000E5530000}"/>
    <cellStyle name="Euro 32" xfId="43200" xr:uid="{00000000-0005-0000-0000-0000E6530000}"/>
    <cellStyle name="Euro 33" xfId="43201" xr:uid="{00000000-0005-0000-0000-0000E7530000}"/>
    <cellStyle name="Euro 34" xfId="43202" xr:uid="{00000000-0005-0000-0000-0000E8530000}"/>
    <cellStyle name="Euro 35" xfId="43203" xr:uid="{00000000-0005-0000-0000-0000E9530000}"/>
    <cellStyle name="Euro 36" xfId="43204" xr:uid="{00000000-0005-0000-0000-0000EA530000}"/>
    <cellStyle name="Euro 37" xfId="43205" xr:uid="{00000000-0005-0000-0000-0000EB530000}"/>
    <cellStyle name="Euro 38" xfId="43206" xr:uid="{00000000-0005-0000-0000-0000EC530000}"/>
    <cellStyle name="Euro 39" xfId="43207" xr:uid="{00000000-0005-0000-0000-0000ED530000}"/>
    <cellStyle name="Euro 4" xfId="1567" xr:uid="{00000000-0005-0000-0000-0000EE530000}"/>
    <cellStyle name="Euro 4 2" xfId="1568" xr:uid="{00000000-0005-0000-0000-0000EF530000}"/>
    <cellStyle name="Euro 4 2 2" xfId="6191" xr:uid="{00000000-0005-0000-0000-0000F0530000}"/>
    <cellStyle name="Euro 4 2 2 2" xfId="43209" xr:uid="{00000000-0005-0000-0000-0000F1530000}"/>
    <cellStyle name="Euro 4 2 3" xfId="3315" xr:uid="{00000000-0005-0000-0000-0000F2530000}"/>
    <cellStyle name="Euro 4 2 3 2" xfId="43208" xr:uid="{00000000-0005-0000-0000-0000F3530000}"/>
    <cellStyle name="Euro 4 3" xfId="1569" xr:uid="{00000000-0005-0000-0000-0000F4530000}"/>
    <cellStyle name="Euro 4 3 2" xfId="6192" xr:uid="{00000000-0005-0000-0000-0000F5530000}"/>
    <cellStyle name="Euro 4 3 3" xfId="6193" xr:uid="{00000000-0005-0000-0000-0000F6530000}"/>
    <cellStyle name="Euro 4 3 4" xfId="6194" xr:uid="{00000000-0005-0000-0000-0000F7530000}"/>
    <cellStyle name="Euro 4 3 5" xfId="3316" xr:uid="{00000000-0005-0000-0000-0000F8530000}"/>
    <cellStyle name="Euro 4 3 5 2" xfId="43210" xr:uid="{00000000-0005-0000-0000-0000F9530000}"/>
    <cellStyle name="Euro 4 4" xfId="1570" xr:uid="{00000000-0005-0000-0000-0000FA530000}"/>
    <cellStyle name="Euro 4 4 2" xfId="6195" xr:uid="{00000000-0005-0000-0000-0000FB530000}"/>
    <cellStyle name="Euro 4 4 3" xfId="3317" xr:uid="{00000000-0005-0000-0000-0000FC530000}"/>
    <cellStyle name="Euro 4 4 3 2" xfId="41641" xr:uid="{00000000-0005-0000-0000-0000FD530000}"/>
    <cellStyle name="Euro 4 5" xfId="3318" xr:uid="{00000000-0005-0000-0000-0000FE530000}"/>
    <cellStyle name="Euro 4 6" xfId="6196" xr:uid="{00000000-0005-0000-0000-0000FF530000}"/>
    <cellStyle name="Euro 4 7" xfId="3314" xr:uid="{00000000-0005-0000-0000-000000540000}"/>
    <cellStyle name="Euro 40" xfId="43211" xr:uid="{00000000-0005-0000-0000-000001540000}"/>
    <cellStyle name="Euro 41" xfId="43212" xr:uid="{00000000-0005-0000-0000-000002540000}"/>
    <cellStyle name="Euro 42" xfId="43213" xr:uid="{00000000-0005-0000-0000-000003540000}"/>
    <cellStyle name="Euro 43" xfId="43214" xr:uid="{00000000-0005-0000-0000-000004540000}"/>
    <cellStyle name="Euro 44" xfId="43215" xr:uid="{00000000-0005-0000-0000-000005540000}"/>
    <cellStyle name="Euro 45" xfId="43216" xr:uid="{00000000-0005-0000-0000-000006540000}"/>
    <cellStyle name="Euro 46" xfId="43217" xr:uid="{00000000-0005-0000-0000-000007540000}"/>
    <cellStyle name="Euro 47" xfId="43218" xr:uid="{00000000-0005-0000-0000-000008540000}"/>
    <cellStyle name="Euro 48" xfId="43219" xr:uid="{00000000-0005-0000-0000-000009540000}"/>
    <cellStyle name="Euro 48 2" xfId="43220" xr:uid="{00000000-0005-0000-0000-00000A540000}"/>
    <cellStyle name="Euro 49" xfId="43221" xr:uid="{00000000-0005-0000-0000-00000B540000}"/>
    <cellStyle name="Euro 49 2" xfId="43222" xr:uid="{00000000-0005-0000-0000-00000C540000}"/>
    <cellStyle name="Euro 5" xfId="1571" xr:uid="{00000000-0005-0000-0000-00000D540000}"/>
    <cellStyle name="Euro 5 2" xfId="1572" xr:uid="{00000000-0005-0000-0000-00000E540000}"/>
    <cellStyle name="Euro 5 2 2" xfId="6197" xr:uid="{00000000-0005-0000-0000-00000F540000}"/>
    <cellStyle name="Euro 5 2 2 2" xfId="43223" xr:uid="{00000000-0005-0000-0000-000010540000}"/>
    <cellStyle name="Euro 5 2 3" xfId="3320" xr:uid="{00000000-0005-0000-0000-000011540000}"/>
    <cellStyle name="Euro 5 3" xfId="1573" xr:uid="{00000000-0005-0000-0000-000012540000}"/>
    <cellStyle name="Euro 5 3 2" xfId="6198" xr:uid="{00000000-0005-0000-0000-000013540000}"/>
    <cellStyle name="Euro 5 3 3" xfId="3321" xr:uid="{00000000-0005-0000-0000-000014540000}"/>
    <cellStyle name="Euro 5 4" xfId="1574" xr:uid="{00000000-0005-0000-0000-000015540000}"/>
    <cellStyle name="Euro 5 4 2" xfId="3322" xr:uid="{00000000-0005-0000-0000-000016540000}"/>
    <cellStyle name="Euro 5 5" xfId="3323" xr:uid="{00000000-0005-0000-0000-000017540000}"/>
    <cellStyle name="Euro 5 6" xfId="6199" xr:uid="{00000000-0005-0000-0000-000018540000}"/>
    <cellStyle name="Euro 5 7" xfId="3319" xr:uid="{00000000-0005-0000-0000-000019540000}"/>
    <cellStyle name="Euro 50" xfId="43224" xr:uid="{00000000-0005-0000-0000-00001A540000}"/>
    <cellStyle name="Euro 50 2" xfId="43225" xr:uid="{00000000-0005-0000-0000-00001B540000}"/>
    <cellStyle name="Euro 51" xfId="43226" xr:uid="{00000000-0005-0000-0000-00001C540000}"/>
    <cellStyle name="Euro 51 2" xfId="43227" xr:uid="{00000000-0005-0000-0000-00001D540000}"/>
    <cellStyle name="Euro 52" xfId="43228" xr:uid="{00000000-0005-0000-0000-00001E540000}"/>
    <cellStyle name="Euro 52 2" xfId="43229" xr:uid="{00000000-0005-0000-0000-00001F540000}"/>
    <cellStyle name="Euro 53" xfId="43230" xr:uid="{00000000-0005-0000-0000-000020540000}"/>
    <cellStyle name="Euro 53 2" xfId="43231" xr:uid="{00000000-0005-0000-0000-000021540000}"/>
    <cellStyle name="Euro 54" xfId="43232" xr:uid="{00000000-0005-0000-0000-000022540000}"/>
    <cellStyle name="Euro 54 2" xfId="43233" xr:uid="{00000000-0005-0000-0000-000023540000}"/>
    <cellStyle name="Euro 55" xfId="43234" xr:uid="{00000000-0005-0000-0000-000024540000}"/>
    <cellStyle name="Euro 55 2" xfId="43235" xr:uid="{00000000-0005-0000-0000-000025540000}"/>
    <cellStyle name="Euro 56" xfId="43236" xr:uid="{00000000-0005-0000-0000-000026540000}"/>
    <cellStyle name="Euro 56 2" xfId="43237" xr:uid="{00000000-0005-0000-0000-000027540000}"/>
    <cellStyle name="Euro 57" xfId="43238" xr:uid="{00000000-0005-0000-0000-000028540000}"/>
    <cellStyle name="Euro 58" xfId="43239" xr:uid="{00000000-0005-0000-0000-000029540000}"/>
    <cellStyle name="Euro 59" xfId="43173" xr:uid="{00000000-0005-0000-0000-00002A540000}"/>
    <cellStyle name="Euro 6" xfId="1575" xr:uid="{00000000-0005-0000-0000-00002B540000}"/>
    <cellStyle name="Euro 6 2" xfId="1576" xr:uid="{00000000-0005-0000-0000-00002C540000}"/>
    <cellStyle name="Euro 6 2 2" xfId="3325" xr:uid="{00000000-0005-0000-0000-00002D540000}"/>
    <cellStyle name="Euro 6 2 3" xfId="43241" xr:uid="{00000000-0005-0000-0000-00002E540000}"/>
    <cellStyle name="Euro 6 3" xfId="1577" xr:uid="{00000000-0005-0000-0000-00002F540000}"/>
    <cellStyle name="Euro 6 3 2" xfId="3326" xr:uid="{00000000-0005-0000-0000-000030540000}"/>
    <cellStyle name="Euro 6 4" xfId="1578" xr:uid="{00000000-0005-0000-0000-000031540000}"/>
    <cellStyle name="Euro 6 4 2" xfId="3327" xr:uid="{00000000-0005-0000-0000-000032540000}"/>
    <cellStyle name="Euro 6 5" xfId="3328" xr:uid="{00000000-0005-0000-0000-000033540000}"/>
    <cellStyle name="Euro 6 6" xfId="6200" xr:uid="{00000000-0005-0000-0000-000034540000}"/>
    <cellStyle name="Euro 6 7" xfId="3324" xr:uid="{00000000-0005-0000-0000-000035540000}"/>
    <cellStyle name="Euro 6 7 2" xfId="43240" xr:uid="{00000000-0005-0000-0000-000036540000}"/>
    <cellStyle name="Euro 7" xfId="1579" xr:uid="{00000000-0005-0000-0000-000037540000}"/>
    <cellStyle name="Euro 7 2" xfId="1580" xr:uid="{00000000-0005-0000-0000-000038540000}"/>
    <cellStyle name="Euro 7 2 2" xfId="3330" xr:uid="{00000000-0005-0000-0000-000039540000}"/>
    <cellStyle name="Euro 7 2 2 2" xfId="43243" xr:uid="{00000000-0005-0000-0000-00003A540000}"/>
    <cellStyle name="Euro 7 3" xfId="1581" xr:uid="{00000000-0005-0000-0000-00003B540000}"/>
    <cellStyle name="Euro 7 3 2" xfId="3331" xr:uid="{00000000-0005-0000-0000-00003C540000}"/>
    <cellStyle name="Euro 7 3 2 2" xfId="43244" xr:uid="{00000000-0005-0000-0000-00003D540000}"/>
    <cellStyle name="Euro 7 4" xfId="1582" xr:uid="{00000000-0005-0000-0000-00003E540000}"/>
    <cellStyle name="Euro 7 4 2" xfId="3332" xr:uid="{00000000-0005-0000-0000-00003F540000}"/>
    <cellStyle name="Euro 7 5" xfId="3333" xr:uid="{00000000-0005-0000-0000-000040540000}"/>
    <cellStyle name="Euro 7 6" xfId="3329" xr:uid="{00000000-0005-0000-0000-000041540000}"/>
    <cellStyle name="Euro 7 6 2" xfId="43242" xr:uid="{00000000-0005-0000-0000-000042540000}"/>
    <cellStyle name="Euro 8" xfId="1583" xr:uid="{00000000-0005-0000-0000-000043540000}"/>
    <cellStyle name="Euro 8 2" xfId="1584" xr:uid="{00000000-0005-0000-0000-000044540000}"/>
    <cellStyle name="Euro 8 2 2" xfId="3335" xr:uid="{00000000-0005-0000-0000-000045540000}"/>
    <cellStyle name="Euro 8 2 2 2" xfId="43246" xr:uid="{00000000-0005-0000-0000-000046540000}"/>
    <cellStyle name="Euro 8 3" xfId="1585" xr:uid="{00000000-0005-0000-0000-000047540000}"/>
    <cellStyle name="Euro 8 3 2" xfId="3336" xr:uid="{00000000-0005-0000-0000-000048540000}"/>
    <cellStyle name="Euro 8 4" xfId="1586" xr:uid="{00000000-0005-0000-0000-000049540000}"/>
    <cellStyle name="Euro 8 4 2" xfId="3337" xr:uid="{00000000-0005-0000-0000-00004A540000}"/>
    <cellStyle name="Euro 8 5" xfId="3338" xr:uid="{00000000-0005-0000-0000-00004B540000}"/>
    <cellStyle name="Euro 8 6" xfId="3334" xr:uid="{00000000-0005-0000-0000-00004C540000}"/>
    <cellStyle name="Euro 8 6 2" xfId="43245" xr:uid="{00000000-0005-0000-0000-00004D540000}"/>
    <cellStyle name="Euro 9" xfId="1587" xr:uid="{00000000-0005-0000-0000-00004E540000}"/>
    <cellStyle name="Euro 9 2" xfId="1588" xr:uid="{00000000-0005-0000-0000-00004F540000}"/>
    <cellStyle name="Euro 9 2 2" xfId="3340" xr:uid="{00000000-0005-0000-0000-000050540000}"/>
    <cellStyle name="Euro 9 2 2 2" xfId="43248" xr:uid="{00000000-0005-0000-0000-000051540000}"/>
    <cellStyle name="Euro 9 3" xfId="1589" xr:uid="{00000000-0005-0000-0000-000052540000}"/>
    <cellStyle name="Euro 9 3 2" xfId="3341" xr:uid="{00000000-0005-0000-0000-000053540000}"/>
    <cellStyle name="Euro 9 4" xfId="1590" xr:uid="{00000000-0005-0000-0000-000054540000}"/>
    <cellStyle name="Euro 9 4 2" xfId="3342" xr:uid="{00000000-0005-0000-0000-000055540000}"/>
    <cellStyle name="Euro 9 5" xfId="3343" xr:uid="{00000000-0005-0000-0000-000056540000}"/>
    <cellStyle name="Euro 9 6" xfId="3339" xr:uid="{00000000-0005-0000-0000-000057540000}"/>
    <cellStyle name="Euro 9 6 2" xfId="43247" xr:uid="{00000000-0005-0000-0000-000058540000}"/>
    <cellStyle name="Euro_Potentials in TIMES" xfId="10165" xr:uid="{00000000-0005-0000-0000-000059540000}"/>
    <cellStyle name="Excel Built-in Normal" xfId="13320" xr:uid="{00000000-0005-0000-0000-00005A540000}"/>
    <cellStyle name="Explanatory Text 10" xfId="3344" xr:uid="{00000000-0005-0000-0000-00005B540000}"/>
    <cellStyle name="Explanatory Text 11" xfId="43249" xr:uid="{00000000-0005-0000-0000-00005C540000}"/>
    <cellStyle name="Explanatory Text 12" xfId="43250" xr:uid="{00000000-0005-0000-0000-00005D540000}"/>
    <cellStyle name="Explanatory Text 13" xfId="43251" xr:uid="{00000000-0005-0000-0000-00005E540000}"/>
    <cellStyle name="Explanatory Text 14" xfId="43252" xr:uid="{00000000-0005-0000-0000-00005F540000}"/>
    <cellStyle name="Explanatory Text 15" xfId="43253" xr:uid="{00000000-0005-0000-0000-000060540000}"/>
    <cellStyle name="Explanatory Text 16" xfId="43254" xr:uid="{00000000-0005-0000-0000-000061540000}"/>
    <cellStyle name="Explanatory Text 17" xfId="43255" xr:uid="{00000000-0005-0000-0000-000062540000}"/>
    <cellStyle name="Explanatory Text 18" xfId="43256" xr:uid="{00000000-0005-0000-0000-000063540000}"/>
    <cellStyle name="Explanatory Text 19" xfId="43257" xr:uid="{00000000-0005-0000-0000-000064540000}"/>
    <cellStyle name="Explanatory Text 2" xfId="1591" xr:uid="{00000000-0005-0000-0000-000065540000}"/>
    <cellStyle name="Explanatory Text 2 10" xfId="1592" xr:uid="{00000000-0005-0000-0000-000066540000}"/>
    <cellStyle name="Explanatory Text 2 11" xfId="1593" xr:uid="{00000000-0005-0000-0000-000067540000}"/>
    <cellStyle name="Explanatory Text 2 2" xfId="1594" xr:uid="{00000000-0005-0000-0000-000068540000}"/>
    <cellStyle name="Explanatory Text 2 3" xfId="1595" xr:uid="{00000000-0005-0000-0000-000069540000}"/>
    <cellStyle name="Explanatory Text 2 4" xfId="1596" xr:uid="{00000000-0005-0000-0000-00006A540000}"/>
    <cellStyle name="Explanatory Text 2 5" xfId="1597" xr:uid="{00000000-0005-0000-0000-00006B540000}"/>
    <cellStyle name="Explanatory Text 2 6" xfId="1598" xr:uid="{00000000-0005-0000-0000-00006C540000}"/>
    <cellStyle name="Explanatory Text 2 7" xfId="1599" xr:uid="{00000000-0005-0000-0000-00006D540000}"/>
    <cellStyle name="Explanatory Text 2 8" xfId="1600" xr:uid="{00000000-0005-0000-0000-00006E540000}"/>
    <cellStyle name="Explanatory Text 2 9" xfId="1601" xr:uid="{00000000-0005-0000-0000-00006F540000}"/>
    <cellStyle name="Explanatory Text 20" xfId="43258" xr:uid="{00000000-0005-0000-0000-000070540000}"/>
    <cellStyle name="Explanatory Text 21" xfId="43259" xr:uid="{00000000-0005-0000-0000-000071540000}"/>
    <cellStyle name="Explanatory Text 22" xfId="43260" xr:uid="{00000000-0005-0000-0000-000072540000}"/>
    <cellStyle name="Explanatory Text 23" xfId="43261" xr:uid="{00000000-0005-0000-0000-000073540000}"/>
    <cellStyle name="Explanatory Text 24" xfId="43262" xr:uid="{00000000-0005-0000-0000-000074540000}"/>
    <cellStyle name="Explanatory Text 25" xfId="43263" xr:uid="{00000000-0005-0000-0000-000075540000}"/>
    <cellStyle name="Explanatory Text 26" xfId="43264" xr:uid="{00000000-0005-0000-0000-000076540000}"/>
    <cellStyle name="Explanatory Text 27" xfId="43265" xr:uid="{00000000-0005-0000-0000-000077540000}"/>
    <cellStyle name="Explanatory Text 28" xfId="43266" xr:uid="{00000000-0005-0000-0000-000078540000}"/>
    <cellStyle name="Explanatory Text 29" xfId="43267" xr:uid="{00000000-0005-0000-0000-000079540000}"/>
    <cellStyle name="Explanatory Text 3" xfId="1602" xr:uid="{00000000-0005-0000-0000-00007A540000}"/>
    <cellStyle name="Explanatory Text 3 10" xfId="1603" xr:uid="{00000000-0005-0000-0000-00007B540000}"/>
    <cellStyle name="Explanatory Text 3 11" xfId="1604" xr:uid="{00000000-0005-0000-0000-00007C540000}"/>
    <cellStyle name="Explanatory Text 3 2" xfId="1605" xr:uid="{00000000-0005-0000-0000-00007D540000}"/>
    <cellStyle name="Explanatory Text 3 3" xfId="1606" xr:uid="{00000000-0005-0000-0000-00007E540000}"/>
    <cellStyle name="Explanatory Text 3 4" xfId="1607" xr:uid="{00000000-0005-0000-0000-00007F540000}"/>
    <cellStyle name="Explanatory Text 3 5" xfId="1608" xr:uid="{00000000-0005-0000-0000-000080540000}"/>
    <cellStyle name="Explanatory Text 3 6" xfId="1609" xr:uid="{00000000-0005-0000-0000-000081540000}"/>
    <cellStyle name="Explanatory Text 3 7" xfId="1610" xr:uid="{00000000-0005-0000-0000-000082540000}"/>
    <cellStyle name="Explanatory Text 3 8" xfId="1611" xr:uid="{00000000-0005-0000-0000-000083540000}"/>
    <cellStyle name="Explanatory Text 3 9" xfId="1612" xr:uid="{00000000-0005-0000-0000-000084540000}"/>
    <cellStyle name="Explanatory Text 30" xfId="43268" xr:uid="{00000000-0005-0000-0000-000085540000}"/>
    <cellStyle name="Explanatory Text 31" xfId="43269" xr:uid="{00000000-0005-0000-0000-000086540000}"/>
    <cellStyle name="Explanatory Text 32" xfId="43270" xr:uid="{00000000-0005-0000-0000-000087540000}"/>
    <cellStyle name="Explanatory Text 33" xfId="43271" xr:uid="{00000000-0005-0000-0000-000088540000}"/>
    <cellStyle name="Explanatory Text 34" xfId="43272" xr:uid="{00000000-0005-0000-0000-000089540000}"/>
    <cellStyle name="Explanatory Text 35" xfId="43273" xr:uid="{00000000-0005-0000-0000-00008A540000}"/>
    <cellStyle name="Explanatory Text 36" xfId="43274" xr:uid="{00000000-0005-0000-0000-00008B540000}"/>
    <cellStyle name="Explanatory Text 37" xfId="43275" xr:uid="{00000000-0005-0000-0000-00008C540000}"/>
    <cellStyle name="Explanatory Text 38" xfId="43276" xr:uid="{00000000-0005-0000-0000-00008D540000}"/>
    <cellStyle name="Explanatory Text 39" xfId="43277" xr:uid="{00000000-0005-0000-0000-00008E540000}"/>
    <cellStyle name="Explanatory Text 4" xfId="1613" xr:uid="{00000000-0005-0000-0000-00008F540000}"/>
    <cellStyle name="Explanatory Text 4 10" xfId="1614" xr:uid="{00000000-0005-0000-0000-000090540000}"/>
    <cellStyle name="Explanatory Text 4 11" xfId="1615" xr:uid="{00000000-0005-0000-0000-000091540000}"/>
    <cellStyle name="Explanatory Text 4 2" xfId="1616" xr:uid="{00000000-0005-0000-0000-000092540000}"/>
    <cellStyle name="Explanatory Text 4 3" xfId="1617" xr:uid="{00000000-0005-0000-0000-000093540000}"/>
    <cellStyle name="Explanatory Text 4 4" xfId="1618" xr:uid="{00000000-0005-0000-0000-000094540000}"/>
    <cellStyle name="Explanatory Text 4 5" xfId="1619" xr:uid="{00000000-0005-0000-0000-000095540000}"/>
    <cellStyle name="Explanatory Text 4 6" xfId="1620" xr:uid="{00000000-0005-0000-0000-000096540000}"/>
    <cellStyle name="Explanatory Text 4 7" xfId="1621" xr:uid="{00000000-0005-0000-0000-000097540000}"/>
    <cellStyle name="Explanatory Text 4 8" xfId="1622" xr:uid="{00000000-0005-0000-0000-000098540000}"/>
    <cellStyle name="Explanatory Text 4 9" xfId="1623" xr:uid="{00000000-0005-0000-0000-000099540000}"/>
    <cellStyle name="Explanatory Text 40" xfId="43278" xr:uid="{00000000-0005-0000-0000-00009A540000}"/>
    <cellStyle name="Explanatory Text 41" xfId="43279" xr:uid="{00000000-0005-0000-0000-00009B540000}"/>
    <cellStyle name="Explanatory Text 42" xfId="43280" xr:uid="{00000000-0005-0000-0000-00009C540000}"/>
    <cellStyle name="Explanatory Text 43" xfId="43281" xr:uid="{00000000-0005-0000-0000-00009D540000}"/>
    <cellStyle name="Explanatory Text 5" xfId="1624" xr:uid="{00000000-0005-0000-0000-00009E540000}"/>
    <cellStyle name="Explanatory Text 5 10" xfId="1625" xr:uid="{00000000-0005-0000-0000-00009F540000}"/>
    <cellStyle name="Explanatory Text 5 11" xfId="1626" xr:uid="{00000000-0005-0000-0000-0000A0540000}"/>
    <cellStyle name="Explanatory Text 5 2" xfId="1627" xr:uid="{00000000-0005-0000-0000-0000A1540000}"/>
    <cellStyle name="Explanatory Text 5 3" xfId="1628" xr:uid="{00000000-0005-0000-0000-0000A2540000}"/>
    <cellStyle name="Explanatory Text 5 4" xfId="1629" xr:uid="{00000000-0005-0000-0000-0000A3540000}"/>
    <cellStyle name="Explanatory Text 5 5" xfId="1630" xr:uid="{00000000-0005-0000-0000-0000A4540000}"/>
    <cellStyle name="Explanatory Text 5 6" xfId="1631" xr:uid="{00000000-0005-0000-0000-0000A5540000}"/>
    <cellStyle name="Explanatory Text 5 7" xfId="1632" xr:uid="{00000000-0005-0000-0000-0000A6540000}"/>
    <cellStyle name="Explanatory Text 5 8" xfId="1633" xr:uid="{00000000-0005-0000-0000-0000A7540000}"/>
    <cellStyle name="Explanatory Text 5 9" xfId="1634" xr:uid="{00000000-0005-0000-0000-0000A8540000}"/>
    <cellStyle name="Explanatory Text 6" xfId="1635" xr:uid="{00000000-0005-0000-0000-0000A9540000}"/>
    <cellStyle name="Explanatory Text 6 10" xfId="1636" xr:uid="{00000000-0005-0000-0000-0000AA540000}"/>
    <cellStyle name="Explanatory Text 6 11" xfId="1637" xr:uid="{00000000-0005-0000-0000-0000AB540000}"/>
    <cellStyle name="Explanatory Text 6 2" xfId="1638" xr:uid="{00000000-0005-0000-0000-0000AC540000}"/>
    <cellStyle name="Explanatory Text 6 3" xfId="1639" xr:uid="{00000000-0005-0000-0000-0000AD540000}"/>
    <cellStyle name="Explanatory Text 6 4" xfId="1640" xr:uid="{00000000-0005-0000-0000-0000AE540000}"/>
    <cellStyle name="Explanatory Text 6 5" xfId="1641" xr:uid="{00000000-0005-0000-0000-0000AF540000}"/>
    <cellStyle name="Explanatory Text 6 6" xfId="1642" xr:uid="{00000000-0005-0000-0000-0000B0540000}"/>
    <cellStyle name="Explanatory Text 6 7" xfId="1643" xr:uid="{00000000-0005-0000-0000-0000B1540000}"/>
    <cellStyle name="Explanatory Text 6 8" xfId="1644" xr:uid="{00000000-0005-0000-0000-0000B2540000}"/>
    <cellStyle name="Explanatory Text 6 9" xfId="1645" xr:uid="{00000000-0005-0000-0000-0000B3540000}"/>
    <cellStyle name="Explanatory Text 7" xfId="1646" xr:uid="{00000000-0005-0000-0000-0000B4540000}"/>
    <cellStyle name="Explanatory Text 8" xfId="1647" xr:uid="{00000000-0005-0000-0000-0000B5540000}"/>
    <cellStyle name="Explanatory Text 9" xfId="3345" xr:uid="{00000000-0005-0000-0000-0000B6540000}"/>
    <cellStyle name="Ezres_vegleges_en" xfId="3122" xr:uid="{00000000-0005-0000-0000-0000B7540000}"/>
    <cellStyle name="Figyelmeztetés" xfId="3123" xr:uid="{00000000-0005-0000-0000-0000B8540000}"/>
    <cellStyle name="Float" xfId="1648" xr:uid="{00000000-0005-0000-0000-0000B9540000}"/>
    <cellStyle name="Float 2" xfId="1649" xr:uid="{00000000-0005-0000-0000-0000BA540000}"/>
    <cellStyle name="Float 2 2" xfId="3347" xr:uid="{00000000-0005-0000-0000-0000BB540000}"/>
    <cellStyle name="Float 2 3" xfId="3063" xr:uid="{00000000-0005-0000-0000-0000BC540000}"/>
    <cellStyle name="Float 3" xfId="3346" xr:uid="{00000000-0005-0000-0000-0000BD540000}"/>
    <cellStyle name="Float 4" xfId="3062" xr:uid="{00000000-0005-0000-0000-0000BE540000}"/>
    <cellStyle name="Good 10" xfId="3348" xr:uid="{00000000-0005-0000-0000-0000BF540000}"/>
    <cellStyle name="Good 11" xfId="43282" xr:uid="{00000000-0005-0000-0000-0000C0540000}"/>
    <cellStyle name="Good 12" xfId="43283" xr:uid="{00000000-0005-0000-0000-0000C1540000}"/>
    <cellStyle name="Good 13" xfId="43284" xr:uid="{00000000-0005-0000-0000-0000C2540000}"/>
    <cellStyle name="Good 14" xfId="43285" xr:uid="{00000000-0005-0000-0000-0000C3540000}"/>
    <cellStyle name="Good 15" xfId="43286" xr:uid="{00000000-0005-0000-0000-0000C4540000}"/>
    <cellStyle name="Good 16" xfId="43287" xr:uid="{00000000-0005-0000-0000-0000C5540000}"/>
    <cellStyle name="Good 17" xfId="43288" xr:uid="{00000000-0005-0000-0000-0000C6540000}"/>
    <cellStyle name="Good 18" xfId="43289" xr:uid="{00000000-0005-0000-0000-0000C7540000}"/>
    <cellStyle name="Good 19" xfId="43290" xr:uid="{00000000-0005-0000-0000-0000C8540000}"/>
    <cellStyle name="Good 2" xfId="1650" xr:uid="{00000000-0005-0000-0000-0000C9540000}"/>
    <cellStyle name="Good 2 10" xfId="1651" xr:uid="{00000000-0005-0000-0000-0000CA540000}"/>
    <cellStyle name="Good 2 10 2" xfId="8128" xr:uid="{00000000-0005-0000-0000-0000CB540000}"/>
    <cellStyle name="Good 2 11" xfId="1652" xr:uid="{00000000-0005-0000-0000-0000CC540000}"/>
    <cellStyle name="Good 2 2" xfId="1653" xr:uid="{00000000-0005-0000-0000-0000CD540000}"/>
    <cellStyle name="Good 2 2 2" xfId="8129" xr:uid="{00000000-0005-0000-0000-0000CE540000}"/>
    <cellStyle name="Good 2 3" xfId="1654" xr:uid="{00000000-0005-0000-0000-0000CF540000}"/>
    <cellStyle name="Good 2 3 2" xfId="8130" xr:uid="{00000000-0005-0000-0000-0000D0540000}"/>
    <cellStyle name="Good 2 4" xfId="1655" xr:uid="{00000000-0005-0000-0000-0000D1540000}"/>
    <cellStyle name="Good 2 4 2" xfId="8131" xr:uid="{00000000-0005-0000-0000-0000D2540000}"/>
    <cellStyle name="Good 2 5" xfId="1656" xr:uid="{00000000-0005-0000-0000-0000D3540000}"/>
    <cellStyle name="Good 2 5 2" xfId="8132" xr:uid="{00000000-0005-0000-0000-0000D4540000}"/>
    <cellStyle name="Good 2 6" xfId="1657" xr:uid="{00000000-0005-0000-0000-0000D5540000}"/>
    <cellStyle name="Good 2 6 2" xfId="8133" xr:uid="{00000000-0005-0000-0000-0000D6540000}"/>
    <cellStyle name="Good 2 7" xfId="1658" xr:uid="{00000000-0005-0000-0000-0000D7540000}"/>
    <cellStyle name="Good 2 7 2" xfId="8134" xr:uid="{00000000-0005-0000-0000-0000D8540000}"/>
    <cellStyle name="Good 2 8" xfId="1659" xr:uid="{00000000-0005-0000-0000-0000D9540000}"/>
    <cellStyle name="Good 2 8 2" xfId="8135" xr:uid="{00000000-0005-0000-0000-0000DA540000}"/>
    <cellStyle name="Good 2 9" xfId="1660" xr:uid="{00000000-0005-0000-0000-0000DB540000}"/>
    <cellStyle name="Good 2 9 2" xfId="8136" xr:uid="{00000000-0005-0000-0000-0000DC540000}"/>
    <cellStyle name="Good 20" xfId="43291" xr:uid="{00000000-0005-0000-0000-0000DD540000}"/>
    <cellStyle name="Good 21" xfId="43292" xr:uid="{00000000-0005-0000-0000-0000DE540000}"/>
    <cellStyle name="Good 22" xfId="43293" xr:uid="{00000000-0005-0000-0000-0000DF540000}"/>
    <cellStyle name="Good 23" xfId="43294" xr:uid="{00000000-0005-0000-0000-0000E0540000}"/>
    <cellStyle name="Good 24" xfId="43295" xr:uid="{00000000-0005-0000-0000-0000E1540000}"/>
    <cellStyle name="Good 25" xfId="43296" xr:uid="{00000000-0005-0000-0000-0000E2540000}"/>
    <cellStyle name="Good 26" xfId="43297" xr:uid="{00000000-0005-0000-0000-0000E3540000}"/>
    <cellStyle name="Good 27" xfId="43298" xr:uid="{00000000-0005-0000-0000-0000E4540000}"/>
    <cellStyle name="Good 28" xfId="43299" xr:uid="{00000000-0005-0000-0000-0000E5540000}"/>
    <cellStyle name="Good 29" xfId="43300" xr:uid="{00000000-0005-0000-0000-0000E6540000}"/>
    <cellStyle name="Good 3" xfId="1661" xr:uid="{00000000-0005-0000-0000-0000E7540000}"/>
    <cellStyle name="Good 3 10" xfId="1662" xr:uid="{00000000-0005-0000-0000-0000E8540000}"/>
    <cellStyle name="Good 3 11" xfId="1663" xr:uid="{00000000-0005-0000-0000-0000E9540000}"/>
    <cellStyle name="Good 3 12" xfId="8137" xr:uid="{00000000-0005-0000-0000-0000EA540000}"/>
    <cellStyle name="Good 3 2" xfId="1664" xr:uid="{00000000-0005-0000-0000-0000EB540000}"/>
    <cellStyle name="Good 3 2 2" xfId="43301" xr:uid="{00000000-0005-0000-0000-0000EC540000}"/>
    <cellStyle name="Good 3 3" xfId="1665" xr:uid="{00000000-0005-0000-0000-0000ED540000}"/>
    <cellStyle name="Good 3 4" xfId="1666" xr:uid="{00000000-0005-0000-0000-0000EE540000}"/>
    <cellStyle name="Good 3 5" xfId="1667" xr:uid="{00000000-0005-0000-0000-0000EF540000}"/>
    <cellStyle name="Good 3 6" xfId="1668" xr:uid="{00000000-0005-0000-0000-0000F0540000}"/>
    <cellStyle name="Good 3 7" xfId="1669" xr:uid="{00000000-0005-0000-0000-0000F1540000}"/>
    <cellStyle name="Good 3 8" xfId="1670" xr:uid="{00000000-0005-0000-0000-0000F2540000}"/>
    <cellStyle name="Good 3 9" xfId="1671" xr:uid="{00000000-0005-0000-0000-0000F3540000}"/>
    <cellStyle name="Good 30" xfId="43302" xr:uid="{00000000-0005-0000-0000-0000F4540000}"/>
    <cellStyle name="Good 31" xfId="43303" xr:uid="{00000000-0005-0000-0000-0000F5540000}"/>
    <cellStyle name="Good 32" xfId="43304" xr:uid="{00000000-0005-0000-0000-0000F6540000}"/>
    <cellStyle name="Good 33" xfId="43305" xr:uid="{00000000-0005-0000-0000-0000F7540000}"/>
    <cellStyle name="Good 34" xfId="43306" xr:uid="{00000000-0005-0000-0000-0000F8540000}"/>
    <cellStyle name="Good 35" xfId="43307" xr:uid="{00000000-0005-0000-0000-0000F9540000}"/>
    <cellStyle name="Good 36" xfId="43308" xr:uid="{00000000-0005-0000-0000-0000FA540000}"/>
    <cellStyle name="Good 37" xfId="43309" xr:uid="{00000000-0005-0000-0000-0000FB540000}"/>
    <cellStyle name="Good 38" xfId="43310" xr:uid="{00000000-0005-0000-0000-0000FC540000}"/>
    <cellStyle name="Good 39" xfId="43311" xr:uid="{00000000-0005-0000-0000-0000FD540000}"/>
    <cellStyle name="Good 4" xfId="1672" xr:uid="{00000000-0005-0000-0000-0000FE540000}"/>
    <cellStyle name="Good 4 10" xfId="1673" xr:uid="{00000000-0005-0000-0000-0000FF540000}"/>
    <cellStyle name="Good 4 11" xfId="1674" xr:uid="{00000000-0005-0000-0000-000000550000}"/>
    <cellStyle name="Good 4 2" xfId="1675" xr:uid="{00000000-0005-0000-0000-000001550000}"/>
    <cellStyle name="Good 4 3" xfId="1676" xr:uid="{00000000-0005-0000-0000-000002550000}"/>
    <cellStyle name="Good 4 4" xfId="1677" xr:uid="{00000000-0005-0000-0000-000003550000}"/>
    <cellStyle name="Good 4 5" xfId="1678" xr:uid="{00000000-0005-0000-0000-000004550000}"/>
    <cellStyle name="Good 4 6" xfId="1679" xr:uid="{00000000-0005-0000-0000-000005550000}"/>
    <cellStyle name="Good 4 7" xfId="1680" xr:uid="{00000000-0005-0000-0000-000006550000}"/>
    <cellStyle name="Good 4 8" xfId="1681" xr:uid="{00000000-0005-0000-0000-000007550000}"/>
    <cellStyle name="Good 4 9" xfId="1682" xr:uid="{00000000-0005-0000-0000-000008550000}"/>
    <cellStyle name="Good 40" xfId="43312" xr:uid="{00000000-0005-0000-0000-000009550000}"/>
    <cellStyle name="Good 41" xfId="43313" xr:uid="{00000000-0005-0000-0000-00000A550000}"/>
    <cellStyle name="Good 5" xfId="1683" xr:uid="{00000000-0005-0000-0000-00000B550000}"/>
    <cellStyle name="Good 5 10" xfId="1684" xr:uid="{00000000-0005-0000-0000-00000C550000}"/>
    <cellStyle name="Good 5 11" xfId="1685" xr:uid="{00000000-0005-0000-0000-00000D550000}"/>
    <cellStyle name="Good 5 2" xfId="1686" xr:uid="{00000000-0005-0000-0000-00000E550000}"/>
    <cellStyle name="Good 5 3" xfId="1687" xr:uid="{00000000-0005-0000-0000-00000F550000}"/>
    <cellStyle name="Good 5 4" xfId="1688" xr:uid="{00000000-0005-0000-0000-000010550000}"/>
    <cellStyle name="Good 5 5" xfId="1689" xr:uid="{00000000-0005-0000-0000-000011550000}"/>
    <cellStyle name="Good 5 6" xfId="1690" xr:uid="{00000000-0005-0000-0000-000012550000}"/>
    <cellStyle name="Good 5 7" xfId="1691" xr:uid="{00000000-0005-0000-0000-000013550000}"/>
    <cellStyle name="Good 5 8" xfId="1692" xr:uid="{00000000-0005-0000-0000-000014550000}"/>
    <cellStyle name="Good 5 9" xfId="1693" xr:uid="{00000000-0005-0000-0000-000015550000}"/>
    <cellStyle name="Good 6" xfId="1694" xr:uid="{00000000-0005-0000-0000-000016550000}"/>
    <cellStyle name="Good 6 10" xfId="1695" xr:uid="{00000000-0005-0000-0000-000017550000}"/>
    <cellStyle name="Good 6 11" xfId="1696" xr:uid="{00000000-0005-0000-0000-000018550000}"/>
    <cellStyle name="Good 6 2" xfId="1697" xr:uid="{00000000-0005-0000-0000-000019550000}"/>
    <cellStyle name="Good 6 3" xfId="1698" xr:uid="{00000000-0005-0000-0000-00001A550000}"/>
    <cellStyle name="Good 6 4" xfId="1699" xr:uid="{00000000-0005-0000-0000-00001B550000}"/>
    <cellStyle name="Good 6 5" xfId="1700" xr:uid="{00000000-0005-0000-0000-00001C550000}"/>
    <cellStyle name="Good 6 6" xfId="1701" xr:uid="{00000000-0005-0000-0000-00001D550000}"/>
    <cellStyle name="Good 6 7" xfId="1702" xr:uid="{00000000-0005-0000-0000-00001E550000}"/>
    <cellStyle name="Good 6 8" xfId="1703" xr:uid="{00000000-0005-0000-0000-00001F550000}"/>
    <cellStyle name="Good 6 9" xfId="1704" xr:uid="{00000000-0005-0000-0000-000020550000}"/>
    <cellStyle name="Good 7" xfId="1705" xr:uid="{00000000-0005-0000-0000-000021550000}"/>
    <cellStyle name="Good 8" xfId="1706" xr:uid="{00000000-0005-0000-0000-000022550000}"/>
    <cellStyle name="Good 9" xfId="3349" xr:uid="{00000000-0005-0000-0000-000023550000}"/>
    <cellStyle name="Gut" xfId="10166" xr:uid="{00000000-0005-0000-0000-000024550000}"/>
    <cellStyle name="Heading" xfId="3124" xr:uid="{00000000-0005-0000-0000-000025550000}"/>
    <cellStyle name="Heading 1 10" xfId="3350" xr:uid="{00000000-0005-0000-0000-000026550000}"/>
    <cellStyle name="Heading 1 11" xfId="43314" xr:uid="{00000000-0005-0000-0000-000027550000}"/>
    <cellStyle name="Heading 1 12" xfId="43315" xr:uid="{00000000-0005-0000-0000-000028550000}"/>
    <cellStyle name="Heading 1 13" xfId="43316" xr:uid="{00000000-0005-0000-0000-000029550000}"/>
    <cellStyle name="Heading 1 14" xfId="43317" xr:uid="{00000000-0005-0000-0000-00002A550000}"/>
    <cellStyle name="Heading 1 15" xfId="43318" xr:uid="{00000000-0005-0000-0000-00002B550000}"/>
    <cellStyle name="Heading 1 16" xfId="43319" xr:uid="{00000000-0005-0000-0000-00002C550000}"/>
    <cellStyle name="Heading 1 17" xfId="43320" xr:uid="{00000000-0005-0000-0000-00002D550000}"/>
    <cellStyle name="Heading 1 18" xfId="43321" xr:uid="{00000000-0005-0000-0000-00002E550000}"/>
    <cellStyle name="Heading 1 19" xfId="43322" xr:uid="{00000000-0005-0000-0000-00002F550000}"/>
    <cellStyle name="Heading 1 2" xfId="1707" xr:uid="{00000000-0005-0000-0000-000030550000}"/>
    <cellStyle name="Heading 1 2 10" xfId="1708" xr:uid="{00000000-0005-0000-0000-000031550000}"/>
    <cellStyle name="Heading 1 2 10 2" xfId="8138" xr:uid="{00000000-0005-0000-0000-000032550000}"/>
    <cellStyle name="Heading 1 2 11" xfId="1709" xr:uid="{00000000-0005-0000-0000-000033550000}"/>
    <cellStyle name="Heading 1 2 2" xfId="1710" xr:uid="{00000000-0005-0000-0000-000034550000}"/>
    <cellStyle name="Heading 1 2 2 2" xfId="8139" xr:uid="{00000000-0005-0000-0000-000035550000}"/>
    <cellStyle name="Heading 1 2 3" xfId="1711" xr:uid="{00000000-0005-0000-0000-000036550000}"/>
    <cellStyle name="Heading 1 2 3 2" xfId="8140" xr:uid="{00000000-0005-0000-0000-000037550000}"/>
    <cellStyle name="Heading 1 2 4" xfId="1712" xr:uid="{00000000-0005-0000-0000-000038550000}"/>
    <cellStyle name="Heading 1 2 4 2" xfId="8141" xr:uid="{00000000-0005-0000-0000-000039550000}"/>
    <cellStyle name="Heading 1 2 5" xfId="1713" xr:uid="{00000000-0005-0000-0000-00003A550000}"/>
    <cellStyle name="Heading 1 2 5 2" xfId="8142" xr:uid="{00000000-0005-0000-0000-00003B550000}"/>
    <cellStyle name="Heading 1 2 6" xfId="1714" xr:uid="{00000000-0005-0000-0000-00003C550000}"/>
    <cellStyle name="Heading 1 2 6 2" xfId="8143" xr:uid="{00000000-0005-0000-0000-00003D550000}"/>
    <cellStyle name="Heading 1 2 7" xfId="1715" xr:uid="{00000000-0005-0000-0000-00003E550000}"/>
    <cellStyle name="Heading 1 2 7 2" xfId="8144" xr:uid="{00000000-0005-0000-0000-00003F550000}"/>
    <cellStyle name="Heading 1 2 8" xfId="1716" xr:uid="{00000000-0005-0000-0000-000040550000}"/>
    <cellStyle name="Heading 1 2 8 2" xfId="8145" xr:uid="{00000000-0005-0000-0000-000041550000}"/>
    <cellStyle name="Heading 1 2 9" xfId="1717" xr:uid="{00000000-0005-0000-0000-000042550000}"/>
    <cellStyle name="Heading 1 2 9 2" xfId="8146" xr:uid="{00000000-0005-0000-0000-000043550000}"/>
    <cellStyle name="Heading 1 20" xfId="43323" xr:uid="{00000000-0005-0000-0000-000044550000}"/>
    <cellStyle name="Heading 1 21" xfId="43324" xr:uid="{00000000-0005-0000-0000-000045550000}"/>
    <cellStyle name="Heading 1 22" xfId="43325" xr:uid="{00000000-0005-0000-0000-000046550000}"/>
    <cellStyle name="Heading 1 23" xfId="43326" xr:uid="{00000000-0005-0000-0000-000047550000}"/>
    <cellStyle name="Heading 1 24" xfId="43327" xr:uid="{00000000-0005-0000-0000-000048550000}"/>
    <cellStyle name="Heading 1 25" xfId="43328" xr:uid="{00000000-0005-0000-0000-000049550000}"/>
    <cellStyle name="Heading 1 26" xfId="43329" xr:uid="{00000000-0005-0000-0000-00004A550000}"/>
    <cellStyle name="Heading 1 27" xfId="43330" xr:uid="{00000000-0005-0000-0000-00004B550000}"/>
    <cellStyle name="Heading 1 28" xfId="43331" xr:uid="{00000000-0005-0000-0000-00004C550000}"/>
    <cellStyle name="Heading 1 29" xfId="43332" xr:uid="{00000000-0005-0000-0000-00004D550000}"/>
    <cellStyle name="Heading 1 3" xfId="1718" xr:uid="{00000000-0005-0000-0000-00004E550000}"/>
    <cellStyle name="Heading 1 3 10" xfId="1719" xr:uid="{00000000-0005-0000-0000-00004F550000}"/>
    <cellStyle name="Heading 1 3 11" xfId="1720" xr:uid="{00000000-0005-0000-0000-000050550000}"/>
    <cellStyle name="Heading 1 3 12" xfId="8147" xr:uid="{00000000-0005-0000-0000-000051550000}"/>
    <cellStyle name="Heading 1 3 2" xfId="1721" xr:uid="{00000000-0005-0000-0000-000052550000}"/>
    <cellStyle name="Heading 1 3 2 2" xfId="43333" xr:uid="{00000000-0005-0000-0000-000053550000}"/>
    <cellStyle name="Heading 1 3 3" xfId="1722" xr:uid="{00000000-0005-0000-0000-000054550000}"/>
    <cellStyle name="Heading 1 3 4" xfId="1723" xr:uid="{00000000-0005-0000-0000-000055550000}"/>
    <cellStyle name="Heading 1 3 5" xfId="1724" xr:uid="{00000000-0005-0000-0000-000056550000}"/>
    <cellStyle name="Heading 1 3 6" xfId="1725" xr:uid="{00000000-0005-0000-0000-000057550000}"/>
    <cellStyle name="Heading 1 3 7" xfId="1726" xr:uid="{00000000-0005-0000-0000-000058550000}"/>
    <cellStyle name="Heading 1 3 8" xfId="1727" xr:uid="{00000000-0005-0000-0000-000059550000}"/>
    <cellStyle name="Heading 1 3 9" xfId="1728" xr:uid="{00000000-0005-0000-0000-00005A550000}"/>
    <cellStyle name="Heading 1 30" xfId="43334" xr:uid="{00000000-0005-0000-0000-00005B550000}"/>
    <cellStyle name="Heading 1 31" xfId="43335" xr:uid="{00000000-0005-0000-0000-00005C550000}"/>
    <cellStyle name="Heading 1 32" xfId="43336" xr:uid="{00000000-0005-0000-0000-00005D550000}"/>
    <cellStyle name="Heading 1 33" xfId="43337" xr:uid="{00000000-0005-0000-0000-00005E550000}"/>
    <cellStyle name="Heading 1 34" xfId="43338" xr:uid="{00000000-0005-0000-0000-00005F550000}"/>
    <cellStyle name="Heading 1 35" xfId="43339" xr:uid="{00000000-0005-0000-0000-000060550000}"/>
    <cellStyle name="Heading 1 36" xfId="43340" xr:uid="{00000000-0005-0000-0000-000061550000}"/>
    <cellStyle name="Heading 1 37" xfId="43341" xr:uid="{00000000-0005-0000-0000-000062550000}"/>
    <cellStyle name="Heading 1 38" xfId="43342" xr:uid="{00000000-0005-0000-0000-000063550000}"/>
    <cellStyle name="Heading 1 39" xfId="43343" xr:uid="{00000000-0005-0000-0000-000064550000}"/>
    <cellStyle name="Heading 1 4" xfId="1729" xr:uid="{00000000-0005-0000-0000-000065550000}"/>
    <cellStyle name="Heading 1 4 10" xfId="1730" xr:uid="{00000000-0005-0000-0000-000066550000}"/>
    <cellStyle name="Heading 1 4 11" xfId="1731" xr:uid="{00000000-0005-0000-0000-000067550000}"/>
    <cellStyle name="Heading 1 4 2" xfId="1732" xr:uid="{00000000-0005-0000-0000-000068550000}"/>
    <cellStyle name="Heading 1 4 3" xfId="1733" xr:uid="{00000000-0005-0000-0000-000069550000}"/>
    <cellStyle name="Heading 1 4 4" xfId="1734" xr:uid="{00000000-0005-0000-0000-00006A550000}"/>
    <cellStyle name="Heading 1 4 5" xfId="1735" xr:uid="{00000000-0005-0000-0000-00006B550000}"/>
    <cellStyle name="Heading 1 4 6" xfId="1736" xr:uid="{00000000-0005-0000-0000-00006C550000}"/>
    <cellStyle name="Heading 1 4 7" xfId="1737" xr:uid="{00000000-0005-0000-0000-00006D550000}"/>
    <cellStyle name="Heading 1 4 8" xfId="1738" xr:uid="{00000000-0005-0000-0000-00006E550000}"/>
    <cellStyle name="Heading 1 4 9" xfId="1739" xr:uid="{00000000-0005-0000-0000-00006F550000}"/>
    <cellStyle name="Heading 1 40" xfId="43344" xr:uid="{00000000-0005-0000-0000-000070550000}"/>
    <cellStyle name="Heading 1 41" xfId="43345" xr:uid="{00000000-0005-0000-0000-000071550000}"/>
    <cellStyle name="Heading 1 5" xfId="1740" xr:uid="{00000000-0005-0000-0000-000072550000}"/>
    <cellStyle name="Heading 1 5 10" xfId="1741" xr:uid="{00000000-0005-0000-0000-000073550000}"/>
    <cellStyle name="Heading 1 5 11" xfId="1742" xr:uid="{00000000-0005-0000-0000-000074550000}"/>
    <cellStyle name="Heading 1 5 2" xfId="1743" xr:uid="{00000000-0005-0000-0000-000075550000}"/>
    <cellStyle name="Heading 1 5 3" xfId="1744" xr:uid="{00000000-0005-0000-0000-000076550000}"/>
    <cellStyle name="Heading 1 5 4" xfId="1745" xr:uid="{00000000-0005-0000-0000-000077550000}"/>
    <cellStyle name="Heading 1 5 5" xfId="1746" xr:uid="{00000000-0005-0000-0000-000078550000}"/>
    <cellStyle name="Heading 1 5 6" xfId="1747" xr:uid="{00000000-0005-0000-0000-000079550000}"/>
    <cellStyle name="Heading 1 5 7" xfId="1748" xr:uid="{00000000-0005-0000-0000-00007A550000}"/>
    <cellStyle name="Heading 1 5 8" xfId="1749" xr:uid="{00000000-0005-0000-0000-00007B550000}"/>
    <cellStyle name="Heading 1 5 9" xfId="1750" xr:uid="{00000000-0005-0000-0000-00007C550000}"/>
    <cellStyle name="Heading 1 6" xfId="1751" xr:uid="{00000000-0005-0000-0000-00007D550000}"/>
    <cellStyle name="Heading 1 6 10" xfId="1752" xr:uid="{00000000-0005-0000-0000-00007E550000}"/>
    <cellStyle name="Heading 1 6 11" xfId="1753" xr:uid="{00000000-0005-0000-0000-00007F550000}"/>
    <cellStyle name="Heading 1 6 2" xfId="1754" xr:uid="{00000000-0005-0000-0000-000080550000}"/>
    <cellStyle name="Heading 1 6 3" xfId="1755" xr:uid="{00000000-0005-0000-0000-000081550000}"/>
    <cellStyle name="Heading 1 6 4" xfId="1756" xr:uid="{00000000-0005-0000-0000-000082550000}"/>
    <cellStyle name="Heading 1 6 5" xfId="1757" xr:uid="{00000000-0005-0000-0000-000083550000}"/>
    <cellStyle name="Heading 1 6 6" xfId="1758" xr:uid="{00000000-0005-0000-0000-000084550000}"/>
    <cellStyle name="Heading 1 6 7" xfId="1759" xr:uid="{00000000-0005-0000-0000-000085550000}"/>
    <cellStyle name="Heading 1 6 8" xfId="1760" xr:uid="{00000000-0005-0000-0000-000086550000}"/>
    <cellStyle name="Heading 1 6 9" xfId="1761" xr:uid="{00000000-0005-0000-0000-000087550000}"/>
    <cellStyle name="Heading 1 7" xfId="1762" xr:uid="{00000000-0005-0000-0000-000088550000}"/>
    <cellStyle name="Heading 1 8" xfId="1763" xr:uid="{00000000-0005-0000-0000-000089550000}"/>
    <cellStyle name="Heading 1 9" xfId="3351" xr:uid="{00000000-0005-0000-0000-00008A550000}"/>
    <cellStyle name="Heading 2 10" xfId="3352" xr:uid="{00000000-0005-0000-0000-00008B550000}"/>
    <cellStyle name="Heading 2 11" xfId="43346" xr:uid="{00000000-0005-0000-0000-00008C550000}"/>
    <cellStyle name="Heading 2 12" xfId="43347" xr:uid="{00000000-0005-0000-0000-00008D550000}"/>
    <cellStyle name="Heading 2 13" xfId="43348" xr:uid="{00000000-0005-0000-0000-00008E550000}"/>
    <cellStyle name="Heading 2 14" xfId="43349" xr:uid="{00000000-0005-0000-0000-00008F550000}"/>
    <cellStyle name="Heading 2 15" xfId="43350" xr:uid="{00000000-0005-0000-0000-000090550000}"/>
    <cellStyle name="Heading 2 16" xfId="43351" xr:uid="{00000000-0005-0000-0000-000091550000}"/>
    <cellStyle name="Heading 2 17" xfId="43352" xr:uid="{00000000-0005-0000-0000-000092550000}"/>
    <cellStyle name="Heading 2 18" xfId="43353" xr:uid="{00000000-0005-0000-0000-000093550000}"/>
    <cellStyle name="Heading 2 19" xfId="43354" xr:uid="{00000000-0005-0000-0000-000094550000}"/>
    <cellStyle name="Heading 2 2" xfId="1764" xr:uid="{00000000-0005-0000-0000-000095550000}"/>
    <cellStyle name="Heading 2 2 10" xfId="1765" xr:uid="{00000000-0005-0000-0000-000096550000}"/>
    <cellStyle name="Heading 2 2 10 2" xfId="8148" xr:uid="{00000000-0005-0000-0000-000097550000}"/>
    <cellStyle name="Heading 2 2 11" xfId="1766" xr:uid="{00000000-0005-0000-0000-000098550000}"/>
    <cellStyle name="Heading 2 2 2" xfId="1767" xr:uid="{00000000-0005-0000-0000-000099550000}"/>
    <cellStyle name="Heading 2 2 2 2" xfId="8149" xr:uid="{00000000-0005-0000-0000-00009A550000}"/>
    <cellStyle name="Heading 2 2 3" xfId="1768" xr:uid="{00000000-0005-0000-0000-00009B550000}"/>
    <cellStyle name="Heading 2 2 3 2" xfId="8150" xr:uid="{00000000-0005-0000-0000-00009C550000}"/>
    <cellStyle name="Heading 2 2 4" xfId="1769" xr:uid="{00000000-0005-0000-0000-00009D550000}"/>
    <cellStyle name="Heading 2 2 4 2" xfId="8151" xr:uid="{00000000-0005-0000-0000-00009E550000}"/>
    <cellStyle name="Heading 2 2 5" xfId="1770" xr:uid="{00000000-0005-0000-0000-00009F550000}"/>
    <cellStyle name="Heading 2 2 5 2" xfId="8152" xr:uid="{00000000-0005-0000-0000-0000A0550000}"/>
    <cellStyle name="Heading 2 2 6" xfId="1771" xr:uid="{00000000-0005-0000-0000-0000A1550000}"/>
    <cellStyle name="Heading 2 2 6 2" xfId="8153" xr:uid="{00000000-0005-0000-0000-0000A2550000}"/>
    <cellStyle name="Heading 2 2 7" xfId="1772" xr:uid="{00000000-0005-0000-0000-0000A3550000}"/>
    <cellStyle name="Heading 2 2 7 2" xfId="8154" xr:uid="{00000000-0005-0000-0000-0000A4550000}"/>
    <cellStyle name="Heading 2 2 8" xfId="1773" xr:uid="{00000000-0005-0000-0000-0000A5550000}"/>
    <cellStyle name="Heading 2 2 8 2" xfId="8155" xr:uid="{00000000-0005-0000-0000-0000A6550000}"/>
    <cellStyle name="Heading 2 2 9" xfId="1774" xr:uid="{00000000-0005-0000-0000-0000A7550000}"/>
    <cellStyle name="Heading 2 2 9 2" xfId="8156" xr:uid="{00000000-0005-0000-0000-0000A8550000}"/>
    <cellStyle name="Heading 2 20" xfId="43355" xr:uid="{00000000-0005-0000-0000-0000A9550000}"/>
    <cellStyle name="Heading 2 21" xfId="43356" xr:uid="{00000000-0005-0000-0000-0000AA550000}"/>
    <cellStyle name="Heading 2 22" xfId="43357" xr:uid="{00000000-0005-0000-0000-0000AB550000}"/>
    <cellStyle name="Heading 2 23" xfId="43358" xr:uid="{00000000-0005-0000-0000-0000AC550000}"/>
    <cellStyle name="Heading 2 24" xfId="43359" xr:uid="{00000000-0005-0000-0000-0000AD550000}"/>
    <cellStyle name="Heading 2 25" xfId="43360" xr:uid="{00000000-0005-0000-0000-0000AE550000}"/>
    <cellStyle name="Heading 2 26" xfId="43361" xr:uid="{00000000-0005-0000-0000-0000AF550000}"/>
    <cellStyle name="Heading 2 27" xfId="43362" xr:uid="{00000000-0005-0000-0000-0000B0550000}"/>
    <cellStyle name="Heading 2 28" xfId="43363" xr:uid="{00000000-0005-0000-0000-0000B1550000}"/>
    <cellStyle name="Heading 2 29" xfId="43364" xr:uid="{00000000-0005-0000-0000-0000B2550000}"/>
    <cellStyle name="Heading 2 3" xfId="1775" xr:uid="{00000000-0005-0000-0000-0000B3550000}"/>
    <cellStyle name="Heading 2 3 10" xfId="1776" xr:uid="{00000000-0005-0000-0000-0000B4550000}"/>
    <cellStyle name="Heading 2 3 11" xfId="1777" xr:uid="{00000000-0005-0000-0000-0000B5550000}"/>
    <cellStyle name="Heading 2 3 12" xfId="8157" xr:uid="{00000000-0005-0000-0000-0000B6550000}"/>
    <cellStyle name="Heading 2 3 2" xfId="1778" xr:uid="{00000000-0005-0000-0000-0000B7550000}"/>
    <cellStyle name="Heading 2 3 2 2" xfId="43365" xr:uid="{00000000-0005-0000-0000-0000B8550000}"/>
    <cellStyle name="Heading 2 3 3" xfId="1779" xr:uid="{00000000-0005-0000-0000-0000B9550000}"/>
    <cellStyle name="Heading 2 3 4" xfId="1780" xr:uid="{00000000-0005-0000-0000-0000BA550000}"/>
    <cellStyle name="Heading 2 3 5" xfId="1781" xr:uid="{00000000-0005-0000-0000-0000BB550000}"/>
    <cellStyle name="Heading 2 3 6" xfId="1782" xr:uid="{00000000-0005-0000-0000-0000BC550000}"/>
    <cellStyle name="Heading 2 3 7" xfId="1783" xr:uid="{00000000-0005-0000-0000-0000BD550000}"/>
    <cellStyle name="Heading 2 3 8" xfId="1784" xr:uid="{00000000-0005-0000-0000-0000BE550000}"/>
    <cellStyle name="Heading 2 3 9" xfId="1785" xr:uid="{00000000-0005-0000-0000-0000BF550000}"/>
    <cellStyle name="Heading 2 30" xfId="43366" xr:uid="{00000000-0005-0000-0000-0000C0550000}"/>
    <cellStyle name="Heading 2 31" xfId="43367" xr:uid="{00000000-0005-0000-0000-0000C1550000}"/>
    <cellStyle name="Heading 2 32" xfId="43368" xr:uid="{00000000-0005-0000-0000-0000C2550000}"/>
    <cellStyle name="Heading 2 33" xfId="43369" xr:uid="{00000000-0005-0000-0000-0000C3550000}"/>
    <cellStyle name="Heading 2 34" xfId="43370" xr:uid="{00000000-0005-0000-0000-0000C4550000}"/>
    <cellStyle name="Heading 2 35" xfId="43371" xr:uid="{00000000-0005-0000-0000-0000C5550000}"/>
    <cellStyle name="Heading 2 36" xfId="43372" xr:uid="{00000000-0005-0000-0000-0000C6550000}"/>
    <cellStyle name="Heading 2 37" xfId="43373" xr:uid="{00000000-0005-0000-0000-0000C7550000}"/>
    <cellStyle name="Heading 2 38" xfId="43374" xr:uid="{00000000-0005-0000-0000-0000C8550000}"/>
    <cellStyle name="Heading 2 39" xfId="43375" xr:uid="{00000000-0005-0000-0000-0000C9550000}"/>
    <cellStyle name="Heading 2 4" xfId="1786" xr:uid="{00000000-0005-0000-0000-0000CA550000}"/>
    <cellStyle name="Heading 2 4 10" xfId="1787" xr:uid="{00000000-0005-0000-0000-0000CB550000}"/>
    <cellStyle name="Heading 2 4 11" xfId="1788" xr:uid="{00000000-0005-0000-0000-0000CC550000}"/>
    <cellStyle name="Heading 2 4 2" xfId="1789" xr:uid="{00000000-0005-0000-0000-0000CD550000}"/>
    <cellStyle name="Heading 2 4 3" xfId="1790" xr:uid="{00000000-0005-0000-0000-0000CE550000}"/>
    <cellStyle name="Heading 2 4 4" xfId="1791" xr:uid="{00000000-0005-0000-0000-0000CF550000}"/>
    <cellStyle name="Heading 2 4 5" xfId="1792" xr:uid="{00000000-0005-0000-0000-0000D0550000}"/>
    <cellStyle name="Heading 2 4 6" xfId="1793" xr:uid="{00000000-0005-0000-0000-0000D1550000}"/>
    <cellStyle name="Heading 2 4 7" xfId="1794" xr:uid="{00000000-0005-0000-0000-0000D2550000}"/>
    <cellStyle name="Heading 2 4 8" xfId="1795" xr:uid="{00000000-0005-0000-0000-0000D3550000}"/>
    <cellStyle name="Heading 2 4 9" xfId="1796" xr:uid="{00000000-0005-0000-0000-0000D4550000}"/>
    <cellStyle name="Heading 2 40" xfId="43376" xr:uid="{00000000-0005-0000-0000-0000D5550000}"/>
    <cellStyle name="Heading 2 41" xfId="43377" xr:uid="{00000000-0005-0000-0000-0000D6550000}"/>
    <cellStyle name="Heading 2 5" xfId="1797" xr:uid="{00000000-0005-0000-0000-0000D7550000}"/>
    <cellStyle name="Heading 2 5 10" xfId="1798" xr:uid="{00000000-0005-0000-0000-0000D8550000}"/>
    <cellStyle name="Heading 2 5 11" xfId="1799" xr:uid="{00000000-0005-0000-0000-0000D9550000}"/>
    <cellStyle name="Heading 2 5 2" xfId="1800" xr:uid="{00000000-0005-0000-0000-0000DA550000}"/>
    <cellStyle name="Heading 2 5 3" xfId="1801" xr:uid="{00000000-0005-0000-0000-0000DB550000}"/>
    <cellStyle name="Heading 2 5 4" xfId="1802" xr:uid="{00000000-0005-0000-0000-0000DC550000}"/>
    <cellStyle name="Heading 2 5 5" xfId="1803" xr:uid="{00000000-0005-0000-0000-0000DD550000}"/>
    <cellStyle name="Heading 2 5 6" xfId="1804" xr:uid="{00000000-0005-0000-0000-0000DE550000}"/>
    <cellStyle name="Heading 2 5 7" xfId="1805" xr:uid="{00000000-0005-0000-0000-0000DF550000}"/>
    <cellStyle name="Heading 2 5 8" xfId="1806" xr:uid="{00000000-0005-0000-0000-0000E0550000}"/>
    <cellStyle name="Heading 2 5 9" xfId="1807" xr:uid="{00000000-0005-0000-0000-0000E1550000}"/>
    <cellStyle name="Heading 2 6" xfId="1808" xr:uid="{00000000-0005-0000-0000-0000E2550000}"/>
    <cellStyle name="Heading 2 6 10" xfId="1809" xr:uid="{00000000-0005-0000-0000-0000E3550000}"/>
    <cellStyle name="Heading 2 6 11" xfId="1810" xr:uid="{00000000-0005-0000-0000-0000E4550000}"/>
    <cellStyle name="Heading 2 6 2" xfId="1811" xr:uid="{00000000-0005-0000-0000-0000E5550000}"/>
    <cellStyle name="Heading 2 6 3" xfId="1812" xr:uid="{00000000-0005-0000-0000-0000E6550000}"/>
    <cellStyle name="Heading 2 6 4" xfId="1813" xr:uid="{00000000-0005-0000-0000-0000E7550000}"/>
    <cellStyle name="Heading 2 6 5" xfId="1814" xr:uid="{00000000-0005-0000-0000-0000E8550000}"/>
    <cellStyle name="Heading 2 6 6" xfId="1815" xr:uid="{00000000-0005-0000-0000-0000E9550000}"/>
    <cellStyle name="Heading 2 6 7" xfId="1816" xr:uid="{00000000-0005-0000-0000-0000EA550000}"/>
    <cellStyle name="Heading 2 6 8" xfId="1817" xr:uid="{00000000-0005-0000-0000-0000EB550000}"/>
    <cellStyle name="Heading 2 6 9" xfId="1818" xr:uid="{00000000-0005-0000-0000-0000EC550000}"/>
    <cellStyle name="Heading 2 7" xfId="1819" xr:uid="{00000000-0005-0000-0000-0000ED550000}"/>
    <cellStyle name="Heading 2 8" xfId="1820" xr:uid="{00000000-0005-0000-0000-0000EE550000}"/>
    <cellStyle name="Heading 2 9" xfId="3353" xr:uid="{00000000-0005-0000-0000-0000EF550000}"/>
    <cellStyle name="Heading 3 10" xfId="3354" xr:uid="{00000000-0005-0000-0000-0000F0550000}"/>
    <cellStyle name="Heading 3 10 2" xfId="14208" xr:uid="{00000000-0005-0000-0000-0000F1550000}"/>
    <cellStyle name="Heading 3 10 2 2" xfId="19254" xr:uid="{00000000-0005-0000-0000-0000F2550000}"/>
    <cellStyle name="Heading 3 10 3" xfId="14065" xr:uid="{00000000-0005-0000-0000-0000F3550000}"/>
    <cellStyle name="Heading 3 10 3 2" xfId="19052" xr:uid="{00000000-0005-0000-0000-0000F4550000}"/>
    <cellStyle name="Heading 3 10 4" xfId="15814" xr:uid="{00000000-0005-0000-0000-0000F5550000}"/>
    <cellStyle name="Heading 3 10 4 2" xfId="21308" xr:uid="{00000000-0005-0000-0000-0000F6550000}"/>
    <cellStyle name="Heading 3 10 5" xfId="16081" xr:uid="{00000000-0005-0000-0000-0000F7550000}"/>
    <cellStyle name="Heading 3 10 5 2" xfId="21587" xr:uid="{00000000-0005-0000-0000-0000F8550000}"/>
    <cellStyle name="Heading 3 10 6" xfId="12651" xr:uid="{00000000-0005-0000-0000-0000F9550000}"/>
    <cellStyle name="Heading 3 10 7" xfId="12469" xr:uid="{00000000-0005-0000-0000-0000FA550000}"/>
    <cellStyle name="Heading 3 11" xfId="43378" xr:uid="{00000000-0005-0000-0000-0000FB550000}"/>
    <cellStyle name="Heading 3 12" xfId="43379" xr:uid="{00000000-0005-0000-0000-0000FC550000}"/>
    <cellStyle name="Heading 3 13" xfId="43380" xr:uid="{00000000-0005-0000-0000-0000FD550000}"/>
    <cellStyle name="Heading 3 14" xfId="43381" xr:uid="{00000000-0005-0000-0000-0000FE550000}"/>
    <cellStyle name="Heading 3 15" xfId="43382" xr:uid="{00000000-0005-0000-0000-0000FF550000}"/>
    <cellStyle name="Heading 3 16" xfId="43383" xr:uid="{00000000-0005-0000-0000-000000560000}"/>
    <cellStyle name="Heading 3 17" xfId="43384" xr:uid="{00000000-0005-0000-0000-000001560000}"/>
    <cellStyle name="Heading 3 18" xfId="43385" xr:uid="{00000000-0005-0000-0000-000002560000}"/>
    <cellStyle name="Heading 3 19" xfId="43386" xr:uid="{00000000-0005-0000-0000-000003560000}"/>
    <cellStyle name="Heading 3 2" xfId="1821" xr:uid="{00000000-0005-0000-0000-000004560000}"/>
    <cellStyle name="Heading 3 2 10" xfId="1822" xr:uid="{00000000-0005-0000-0000-000005560000}"/>
    <cellStyle name="Heading 3 2 10 2" xfId="8158" xr:uid="{00000000-0005-0000-0000-000006560000}"/>
    <cellStyle name="Heading 3 2 10 2 2" xfId="19256" xr:uid="{00000000-0005-0000-0000-000007560000}"/>
    <cellStyle name="Heading 3 2 10 2 3" xfId="14210" xr:uid="{00000000-0005-0000-0000-000008560000}"/>
    <cellStyle name="Heading 3 2 10 3" xfId="14067" xr:uid="{00000000-0005-0000-0000-000009560000}"/>
    <cellStyle name="Heading 3 2 10 3 2" xfId="19054" xr:uid="{00000000-0005-0000-0000-00000A560000}"/>
    <cellStyle name="Heading 3 2 10 4" xfId="15816" xr:uid="{00000000-0005-0000-0000-00000B560000}"/>
    <cellStyle name="Heading 3 2 10 4 2" xfId="21310" xr:uid="{00000000-0005-0000-0000-00000C560000}"/>
    <cellStyle name="Heading 3 2 10 5" xfId="16078" xr:uid="{00000000-0005-0000-0000-00000D560000}"/>
    <cellStyle name="Heading 3 2 10 5 2" xfId="21584" xr:uid="{00000000-0005-0000-0000-00000E560000}"/>
    <cellStyle name="Heading 3 2 10 6" xfId="12653" xr:uid="{00000000-0005-0000-0000-00000F560000}"/>
    <cellStyle name="Heading 3 2 10 7" xfId="12467" xr:uid="{00000000-0005-0000-0000-000010560000}"/>
    <cellStyle name="Heading 3 2 11" xfId="1823" xr:uid="{00000000-0005-0000-0000-000011560000}"/>
    <cellStyle name="Heading 3 2 11 2" xfId="14211" xr:uid="{00000000-0005-0000-0000-000012560000}"/>
    <cellStyle name="Heading 3 2 11 2 2" xfId="19257" xr:uid="{00000000-0005-0000-0000-000013560000}"/>
    <cellStyle name="Heading 3 2 11 3" xfId="14068" xr:uid="{00000000-0005-0000-0000-000014560000}"/>
    <cellStyle name="Heading 3 2 11 3 2" xfId="19055" xr:uid="{00000000-0005-0000-0000-000015560000}"/>
    <cellStyle name="Heading 3 2 11 4" xfId="15817" xr:uid="{00000000-0005-0000-0000-000016560000}"/>
    <cellStyle name="Heading 3 2 11 4 2" xfId="21311" xr:uid="{00000000-0005-0000-0000-000017560000}"/>
    <cellStyle name="Heading 3 2 11 5" xfId="16080" xr:uid="{00000000-0005-0000-0000-000018560000}"/>
    <cellStyle name="Heading 3 2 11 5 2" xfId="21586" xr:uid="{00000000-0005-0000-0000-000019560000}"/>
    <cellStyle name="Heading 3 2 11 6" xfId="12654" xr:uid="{00000000-0005-0000-0000-00001A560000}"/>
    <cellStyle name="Heading 3 2 11 7" xfId="12466" xr:uid="{00000000-0005-0000-0000-00001B560000}"/>
    <cellStyle name="Heading 3 2 12" xfId="14209" xr:uid="{00000000-0005-0000-0000-00001C560000}"/>
    <cellStyle name="Heading 3 2 12 2" xfId="19255" xr:uid="{00000000-0005-0000-0000-00001D560000}"/>
    <cellStyle name="Heading 3 2 13" xfId="14066" xr:uid="{00000000-0005-0000-0000-00001E560000}"/>
    <cellStyle name="Heading 3 2 13 2" xfId="19053" xr:uid="{00000000-0005-0000-0000-00001F560000}"/>
    <cellStyle name="Heading 3 2 14" xfId="15815" xr:uid="{00000000-0005-0000-0000-000020560000}"/>
    <cellStyle name="Heading 3 2 14 2" xfId="21309" xr:uid="{00000000-0005-0000-0000-000021560000}"/>
    <cellStyle name="Heading 3 2 15" xfId="15633" xr:uid="{00000000-0005-0000-0000-000022560000}"/>
    <cellStyle name="Heading 3 2 15 2" xfId="21129" xr:uid="{00000000-0005-0000-0000-000023560000}"/>
    <cellStyle name="Heading 3 2 16" xfId="12652" xr:uid="{00000000-0005-0000-0000-000024560000}"/>
    <cellStyle name="Heading 3 2 17" xfId="12468" xr:uid="{00000000-0005-0000-0000-000025560000}"/>
    <cellStyle name="Heading 3 2 2" xfId="1824" xr:uid="{00000000-0005-0000-0000-000026560000}"/>
    <cellStyle name="Heading 3 2 2 2" xfId="8159" xr:uid="{00000000-0005-0000-0000-000027560000}"/>
    <cellStyle name="Heading 3 2 2 2 2" xfId="19258" xr:uid="{00000000-0005-0000-0000-000028560000}"/>
    <cellStyle name="Heading 3 2 2 2 3" xfId="14212" xr:uid="{00000000-0005-0000-0000-000029560000}"/>
    <cellStyle name="Heading 3 2 2 3" xfId="14069" xr:uid="{00000000-0005-0000-0000-00002A560000}"/>
    <cellStyle name="Heading 3 2 2 3 2" xfId="19056" xr:uid="{00000000-0005-0000-0000-00002B560000}"/>
    <cellStyle name="Heading 3 2 2 4" xfId="15818" xr:uid="{00000000-0005-0000-0000-00002C560000}"/>
    <cellStyle name="Heading 3 2 2 4 2" xfId="21312" xr:uid="{00000000-0005-0000-0000-00002D560000}"/>
    <cellStyle name="Heading 3 2 2 5" xfId="15632" xr:uid="{00000000-0005-0000-0000-00002E560000}"/>
    <cellStyle name="Heading 3 2 2 5 2" xfId="21128" xr:uid="{00000000-0005-0000-0000-00002F560000}"/>
    <cellStyle name="Heading 3 2 2 6" xfId="12655" xr:uid="{00000000-0005-0000-0000-000030560000}"/>
    <cellStyle name="Heading 3 2 2 7" xfId="12465" xr:uid="{00000000-0005-0000-0000-000031560000}"/>
    <cellStyle name="Heading 3 2 3" xfId="1825" xr:uid="{00000000-0005-0000-0000-000032560000}"/>
    <cellStyle name="Heading 3 2 3 2" xfId="8160" xr:uid="{00000000-0005-0000-0000-000033560000}"/>
    <cellStyle name="Heading 3 2 3 2 2" xfId="19259" xr:uid="{00000000-0005-0000-0000-000034560000}"/>
    <cellStyle name="Heading 3 2 3 2 3" xfId="14213" xr:uid="{00000000-0005-0000-0000-000035560000}"/>
    <cellStyle name="Heading 3 2 3 3" xfId="14070" xr:uid="{00000000-0005-0000-0000-000036560000}"/>
    <cellStyle name="Heading 3 2 3 3 2" xfId="19057" xr:uid="{00000000-0005-0000-0000-000037560000}"/>
    <cellStyle name="Heading 3 2 3 4" xfId="15819" xr:uid="{00000000-0005-0000-0000-000038560000}"/>
    <cellStyle name="Heading 3 2 3 4 2" xfId="21313" xr:uid="{00000000-0005-0000-0000-000039560000}"/>
    <cellStyle name="Heading 3 2 3 5" xfId="16079" xr:uid="{00000000-0005-0000-0000-00003A560000}"/>
    <cellStyle name="Heading 3 2 3 5 2" xfId="21585" xr:uid="{00000000-0005-0000-0000-00003B560000}"/>
    <cellStyle name="Heading 3 2 3 6" xfId="12656" xr:uid="{00000000-0005-0000-0000-00003C560000}"/>
    <cellStyle name="Heading 3 2 3 7" xfId="12464" xr:uid="{00000000-0005-0000-0000-00003D560000}"/>
    <cellStyle name="Heading 3 2 4" xfId="1826" xr:uid="{00000000-0005-0000-0000-00003E560000}"/>
    <cellStyle name="Heading 3 2 4 2" xfId="8161" xr:uid="{00000000-0005-0000-0000-00003F560000}"/>
    <cellStyle name="Heading 3 2 4 2 2" xfId="19260" xr:uid="{00000000-0005-0000-0000-000040560000}"/>
    <cellStyle name="Heading 3 2 4 2 3" xfId="14214" xr:uid="{00000000-0005-0000-0000-000041560000}"/>
    <cellStyle name="Heading 3 2 4 3" xfId="14071" xr:uid="{00000000-0005-0000-0000-000042560000}"/>
    <cellStyle name="Heading 3 2 4 3 2" xfId="19058" xr:uid="{00000000-0005-0000-0000-000043560000}"/>
    <cellStyle name="Heading 3 2 4 4" xfId="15820" xr:uid="{00000000-0005-0000-0000-000044560000}"/>
    <cellStyle name="Heading 3 2 4 4 2" xfId="21314" xr:uid="{00000000-0005-0000-0000-000045560000}"/>
    <cellStyle name="Heading 3 2 4 5" xfId="15631" xr:uid="{00000000-0005-0000-0000-000046560000}"/>
    <cellStyle name="Heading 3 2 4 5 2" xfId="21127" xr:uid="{00000000-0005-0000-0000-000047560000}"/>
    <cellStyle name="Heading 3 2 4 6" xfId="12657" xr:uid="{00000000-0005-0000-0000-000048560000}"/>
    <cellStyle name="Heading 3 2 4 7" xfId="12463" xr:uid="{00000000-0005-0000-0000-000049560000}"/>
    <cellStyle name="Heading 3 2 5" xfId="1827" xr:uid="{00000000-0005-0000-0000-00004A560000}"/>
    <cellStyle name="Heading 3 2 5 2" xfId="8162" xr:uid="{00000000-0005-0000-0000-00004B560000}"/>
    <cellStyle name="Heading 3 2 5 2 2" xfId="19261" xr:uid="{00000000-0005-0000-0000-00004C560000}"/>
    <cellStyle name="Heading 3 2 5 2 3" xfId="14215" xr:uid="{00000000-0005-0000-0000-00004D560000}"/>
    <cellStyle name="Heading 3 2 5 3" xfId="14072" xr:uid="{00000000-0005-0000-0000-00004E560000}"/>
    <cellStyle name="Heading 3 2 5 3 2" xfId="19059" xr:uid="{00000000-0005-0000-0000-00004F560000}"/>
    <cellStyle name="Heading 3 2 5 4" xfId="15821" xr:uid="{00000000-0005-0000-0000-000050560000}"/>
    <cellStyle name="Heading 3 2 5 4 2" xfId="21315" xr:uid="{00000000-0005-0000-0000-000051560000}"/>
    <cellStyle name="Heading 3 2 5 5" xfId="15630" xr:uid="{00000000-0005-0000-0000-000052560000}"/>
    <cellStyle name="Heading 3 2 5 5 2" xfId="21126" xr:uid="{00000000-0005-0000-0000-000053560000}"/>
    <cellStyle name="Heading 3 2 5 6" xfId="12658" xr:uid="{00000000-0005-0000-0000-000054560000}"/>
    <cellStyle name="Heading 3 2 5 7" xfId="12462" xr:uid="{00000000-0005-0000-0000-000055560000}"/>
    <cellStyle name="Heading 3 2 6" xfId="1828" xr:uid="{00000000-0005-0000-0000-000056560000}"/>
    <cellStyle name="Heading 3 2 6 2" xfId="8163" xr:uid="{00000000-0005-0000-0000-000057560000}"/>
    <cellStyle name="Heading 3 2 6 2 2" xfId="19262" xr:uid="{00000000-0005-0000-0000-000058560000}"/>
    <cellStyle name="Heading 3 2 6 2 3" xfId="14216" xr:uid="{00000000-0005-0000-0000-000059560000}"/>
    <cellStyle name="Heading 3 2 6 3" xfId="14073" xr:uid="{00000000-0005-0000-0000-00005A560000}"/>
    <cellStyle name="Heading 3 2 6 3 2" xfId="19060" xr:uid="{00000000-0005-0000-0000-00005B560000}"/>
    <cellStyle name="Heading 3 2 6 4" xfId="15822" xr:uid="{00000000-0005-0000-0000-00005C560000}"/>
    <cellStyle name="Heading 3 2 6 4 2" xfId="21316" xr:uid="{00000000-0005-0000-0000-00005D560000}"/>
    <cellStyle name="Heading 3 2 6 5" xfId="16077" xr:uid="{00000000-0005-0000-0000-00005E560000}"/>
    <cellStyle name="Heading 3 2 6 5 2" xfId="21583" xr:uid="{00000000-0005-0000-0000-00005F560000}"/>
    <cellStyle name="Heading 3 2 6 6" xfId="12659" xr:uid="{00000000-0005-0000-0000-000060560000}"/>
    <cellStyle name="Heading 3 2 6 7" xfId="12461" xr:uid="{00000000-0005-0000-0000-000061560000}"/>
    <cellStyle name="Heading 3 2 7" xfId="1829" xr:uid="{00000000-0005-0000-0000-000062560000}"/>
    <cellStyle name="Heading 3 2 7 2" xfId="8164" xr:uid="{00000000-0005-0000-0000-000063560000}"/>
    <cellStyle name="Heading 3 2 7 2 2" xfId="19263" xr:uid="{00000000-0005-0000-0000-000064560000}"/>
    <cellStyle name="Heading 3 2 7 2 3" xfId="14217" xr:uid="{00000000-0005-0000-0000-000065560000}"/>
    <cellStyle name="Heading 3 2 7 3" xfId="14074" xr:uid="{00000000-0005-0000-0000-000066560000}"/>
    <cellStyle name="Heading 3 2 7 3 2" xfId="19061" xr:uid="{00000000-0005-0000-0000-000067560000}"/>
    <cellStyle name="Heading 3 2 7 4" xfId="15823" xr:uid="{00000000-0005-0000-0000-000068560000}"/>
    <cellStyle name="Heading 3 2 7 4 2" xfId="21317" xr:uid="{00000000-0005-0000-0000-000069560000}"/>
    <cellStyle name="Heading 3 2 7 5" xfId="15629" xr:uid="{00000000-0005-0000-0000-00006A560000}"/>
    <cellStyle name="Heading 3 2 7 5 2" xfId="21125" xr:uid="{00000000-0005-0000-0000-00006B560000}"/>
    <cellStyle name="Heading 3 2 7 6" xfId="12660" xr:uid="{00000000-0005-0000-0000-00006C560000}"/>
    <cellStyle name="Heading 3 2 7 7" xfId="12460" xr:uid="{00000000-0005-0000-0000-00006D560000}"/>
    <cellStyle name="Heading 3 2 8" xfId="1830" xr:uid="{00000000-0005-0000-0000-00006E560000}"/>
    <cellStyle name="Heading 3 2 8 2" xfId="8165" xr:uid="{00000000-0005-0000-0000-00006F560000}"/>
    <cellStyle name="Heading 3 2 8 2 2" xfId="19264" xr:uid="{00000000-0005-0000-0000-000070560000}"/>
    <cellStyle name="Heading 3 2 8 2 3" xfId="14218" xr:uid="{00000000-0005-0000-0000-000071560000}"/>
    <cellStyle name="Heading 3 2 8 3" xfId="14075" xr:uid="{00000000-0005-0000-0000-000072560000}"/>
    <cellStyle name="Heading 3 2 8 3 2" xfId="19062" xr:uid="{00000000-0005-0000-0000-000073560000}"/>
    <cellStyle name="Heading 3 2 8 4" xfId="15824" xr:uid="{00000000-0005-0000-0000-000074560000}"/>
    <cellStyle name="Heading 3 2 8 4 2" xfId="21318" xr:uid="{00000000-0005-0000-0000-000075560000}"/>
    <cellStyle name="Heading 3 2 8 5" xfId="16151" xr:uid="{00000000-0005-0000-0000-000076560000}"/>
    <cellStyle name="Heading 3 2 8 5 2" xfId="21674" xr:uid="{00000000-0005-0000-0000-000077560000}"/>
    <cellStyle name="Heading 3 2 8 6" xfId="12661" xr:uid="{00000000-0005-0000-0000-000078560000}"/>
    <cellStyle name="Heading 3 2 8 7" xfId="12459" xr:uid="{00000000-0005-0000-0000-000079560000}"/>
    <cellStyle name="Heading 3 2 9" xfId="1831" xr:uid="{00000000-0005-0000-0000-00007A560000}"/>
    <cellStyle name="Heading 3 2 9 2" xfId="8166" xr:uid="{00000000-0005-0000-0000-00007B560000}"/>
    <cellStyle name="Heading 3 2 9 2 2" xfId="19265" xr:uid="{00000000-0005-0000-0000-00007C560000}"/>
    <cellStyle name="Heading 3 2 9 2 3" xfId="14219" xr:uid="{00000000-0005-0000-0000-00007D560000}"/>
    <cellStyle name="Heading 3 2 9 3" xfId="14076" xr:uid="{00000000-0005-0000-0000-00007E560000}"/>
    <cellStyle name="Heading 3 2 9 3 2" xfId="19063" xr:uid="{00000000-0005-0000-0000-00007F560000}"/>
    <cellStyle name="Heading 3 2 9 4" xfId="15825" xr:uid="{00000000-0005-0000-0000-000080560000}"/>
    <cellStyle name="Heading 3 2 9 4 2" xfId="21319" xr:uid="{00000000-0005-0000-0000-000081560000}"/>
    <cellStyle name="Heading 3 2 9 5" xfId="15091" xr:uid="{00000000-0005-0000-0000-000082560000}"/>
    <cellStyle name="Heading 3 2 9 5 2" xfId="20477" xr:uid="{00000000-0005-0000-0000-000083560000}"/>
    <cellStyle name="Heading 3 2 9 6" xfId="12662" xr:uid="{00000000-0005-0000-0000-000084560000}"/>
    <cellStyle name="Heading 3 2 9 7" xfId="12458" xr:uid="{00000000-0005-0000-0000-000085560000}"/>
    <cellStyle name="Heading 3 20" xfId="43387" xr:uid="{00000000-0005-0000-0000-000086560000}"/>
    <cellStyle name="Heading 3 21" xfId="43388" xr:uid="{00000000-0005-0000-0000-000087560000}"/>
    <cellStyle name="Heading 3 22" xfId="43389" xr:uid="{00000000-0005-0000-0000-000088560000}"/>
    <cellStyle name="Heading 3 23" xfId="43390" xr:uid="{00000000-0005-0000-0000-000089560000}"/>
    <cellStyle name="Heading 3 24" xfId="43391" xr:uid="{00000000-0005-0000-0000-00008A560000}"/>
    <cellStyle name="Heading 3 25" xfId="43392" xr:uid="{00000000-0005-0000-0000-00008B560000}"/>
    <cellStyle name="Heading 3 26" xfId="43393" xr:uid="{00000000-0005-0000-0000-00008C560000}"/>
    <cellStyle name="Heading 3 27" xfId="43394" xr:uid="{00000000-0005-0000-0000-00008D560000}"/>
    <cellStyle name="Heading 3 28" xfId="43395" xr:uid="{00000000-0005-0000-0000-00008E560000}"/>
    <cellStyle name="Heading 3 29" xfId="43396" xr:uid="{00000000-0005-0000-0000-00008F560000}"/>
    <cellStyle name="Heading 3 3" xfId="1832" xr:uid="{00000000-0005-0000-0000-000090560000}"/>
    <cellStyle name="Heading 3 3 10" xfId="1833" xr:uid="{00000000-0005-0000-0000-000091560000}"/>
    <cellStyle name="Heading 3 3 10 2" xfId="14221" xr:uid="{00000000-0005-0000-0000-000092560000}"/>
    <cellStyle name="Heading 3 3 10 2 2" xfId="19267" xr:uid="{00000000-0005-0000-0000-000093560000}"/>
    <cellStyle name="Heading 3 3 10 3" xfId="14078" xr:uid="{00000000-0005-0000-0000-000094560000}"/>
    <cellStyle name="Heading 3 3 10 3 2" xfId="19065" xr:uid="{00000000-0005-0000-0000-000095560000}"/>
    <cellStyle name="Heading 3 3 10 4" xfId="15827" xr:uid="{00000000-0005-0000-0000-000096560000}"/>
    <cellStyle name="Heading 3 3 10 4 2" xfId="21321" xr:uid="{00000000-0005-0000-0000-000097560000}"/>
    <cellStyle name="Heading 3 3 10 5" xfId="15627" xr:uid="{00000000-0005-0000-0000-000098560000}"/>
    <cellStyle name="Heading 3 3 10 5 2" xfId="21123" xr:uid="{00000000-0005-0000-0000-000099560000}"/>
    <cellStyle name="Heading 3 3 10 6" xfId="12664" xr:uid="{00000000-0005-0000-0000-00009A560000}"/>
    <cellStyle name="Heading 3 3 10 7" xfId="12456" xr:uid="{00000000-0005-0000-0000-00009B560000}"/>
    <cellStyle name="Heading 3 3 11" xfId="1834" xr:uid="{00000000-0005-0000-0000-00009C560000}"/>
    <cellStyle name="Heading 3 3 11 2" xfId="14222" xr:uid="{00000000-0005-0000-0000-00009D560000}"/>
    <cellStyle name="Heading 3 3 11 2 2" xfId="19268" xr:uid="{00000000-0005-0000-0000-00009E560000}"/>
    <cellStyle name="Heading 3 3 11 3" xfId="14079" xr:uid="{00000000-0005-0000-0000-00009F560000}"/>
    <cellStyle name="Heading 3 3 11 3 2" xfId="19066" xr:uid="{00000000-0005-0000-0000-0000A0560000}"/>
    <cellStyle name="Heading 3 3 11 4" xfId="15828" xr:uid="{00000000-0005-0000-0000-0000A1560000}"/>
    <cellStyle name="Heading 3 3 11 4 2" xfId="21322" xr:uid="{00000000-0005-0000-0000-0000A2560000}"/>
    <cellStyle name="Heading 3 3 11 5" xfId="15626" xr:uid="{00000000-0005-0000-0000-0000A3560000}"/>
    <cellStyle name="Heading 3 3 11 5 2" xfId="21122" xr:uid="{00000000-0005-0000-0000-0000A4560000}"/>
    <cellStyle name="Heading 3 3 11 6" xfId="12665" xr:uid="{00000000-0005-0000-0000-0000A5560000}"/>
    <cellStyle name="Heading 3 3 11 7" xfId="12455" xr:uid="{00000000-0005-0000-0000-0000A6560000}"/>
    <cellStyle name="Heading 3 3 12" xfId="8167" xr:uid="{00000000-0005-0000-0000-0000A7560000}"/>
    <cellStyle name="Heading 3 3 12 2" xfId="19266" xr:uid="{00000000-0005-0000-0000-0000A8560000}"/>
    <cellStyle name="Heading 3 3 12 3" xfId="14220" xr:uid="{00000000-0005-0000-0000-0000A9560000}"/>
    <cellStyle name="Heading 3 3 13" xfId="14077" xr:uid="{00000000-0005-0000-0000-0000AA560000}"/>
    <cellStyle name="Heading 3 3 13 2" xfId="19064" xr:uid="{00000000-0005-0000-0000-0000AB560000}"/>
    <cellStyle name="Heading 3 3 14" xfId="15826" xr:uid="{00000000-0005-0000-0000-0000AC560000}"/>
    <cellStyle name="Heading 3 3 14 2" xfId="21320" xr:uid="{00000000-0005-0000-0000-0000AD560000}"/>
    <cellStyle name="Heading 3 3 15" xfId="15628" xr:uid="{00000000-0005-0000-0000-0000AE560000}"/>
    <cellStyle name="Heading 3 3 15 2" xfId="21124" xr:uid="{00000000-0005-0000-0000-0000AF560000}"/>
    <cellStyle name="Heading 3 3 16" xfId="12663" xr:uid="{00000000-0005-0000-0000-0000B0560000}"/>
    <cellStyle name="Heading 3 3 17" xfId="12457" xr:uid="{00000000-0005-0000-0000-0000B1560000}"/>
    <cellStyle name="Heading 3 3 2" xfId="1835" xr:uid="{00000000-0005-0000-0000-0000B2560000}"/>
    <cellStyle name="Heading 3 3 2 2" xfId="14223" xr:uid="{00000000-0005-0000-0000-0000B3560000}"/>
    <cellStyle name="Heading 3 3 2 2 2" xfId="19269" xr:uid="{00000000-0005-0000-0000-0000B4560000}"/>
    <cellStyle name="Heading 3 3 2 2 3" xfId="43397" xr:uid="{00000000-0005-0000-0000-0000B5560000}"/>
    <cellStyle name="Heading 3 3 2 3" xfId="14080" xr:uid="{00000000-0005-0000-0000-0000B6560000}"/>
    <cellStyle name="Heading 3 3 2 3 2" xfId="19067" xr:uid="{00000000-0005-0000-0000-0000B7560000}"/>
    <cellStyle name="Heading 3 3 2 4" xfId="15829" xr:uid="{00000000-0005-0000-0000-0000B8560000}"/>
    <cellStyle name="Heading 3 3 2 4 2" xfId="21323" xr:uid="{00000000-0005-0000-0000-0000B9560000}"/>
    <cellStyle name="Heading 3 3 2 5" xfId="15625" xr:uid="{00000000-0005-0000-0000-0000BA560000}"/>
    <cellStyle name="Heading 3 3 2 5 2" xfId="21121" xr:uid="{00000000-0005-0000-0000-0000BB560000}"/>
    <cellStyle name="Heading 3 3 2 6" xfId="12666" xr:uid="{00000000-0005-0000-0000-0000BC560000}"/>
    <cellStyle name="Heading 3 3 2 7" xfId="12454" xr:uid="{00000000-0005-0000-0000-0000BD560000}"/>
    <cellStyle name="Heading 3 3 3" xfId="1836" xr:uid="{00000000-0005-0000-0000-0000BE560000}"/>
    <cellStyle name="Heading 3 3 3 2" xfId="14224" xr:uid="{00000000-0005-0000-0000-0000BF560000}"/>
    <cellStyle name="Heading 3 3 3 2 2" xfId="19270" xr:uid="{00000000-0005-0000-0000-0000C0560000}"/>
    <cellStyle name="Heading 3 3 3 3" xfId="14081" xr:uid="{00000000-0005-0000-0000-0000C1560000}"/>
    <cellStyle name="Heading 3 3 3 3 2" xfId="19068" xr:uid="{00000000-0005-0000-0000-0000C2560000}"/>
    <cellStyle name="Heading 3 3 3 4" xfId="15830" xr:uid="{00000000-0005-0000-0000-0000C3560000}"/>
    <cellStyle name="Heading 3 3 3 4 2" xfId="21324" xr:uid="{00000000-0005-0000-0000-0000C4560000}"/>
    <cellStyle name="Heading 3 3 3 5" xfId="15624" xr:uid="{00000000-0005-0000-0000-0000C5560000}"/>
    <cellStyle name="Heading 3 3 3 5 2" xfId="21120" xr:uid="{00000000-0005-0000-0000-0000C6560000}"/>
    <cellStyle name="Heading 3 3 3 6" xfId="12667" xr:uid="{00000000-0005-0000-0000-0000C7560000}"/>
    <cellStyle name="Heading 3 3 3 7" xfId="12453" xr:uid="{00000000-0005-0000-0000-0000C8560000}"/>
    <cellStyle name="Heading 3 3 4" xfId="1837" xr:uid="{00000000-0005-0000-0000-0000C9560000}"/>
    <cellStyle name="Heading 3 3 4 2" xfId="14225" xr:uid="{00000000-0005-0000-0000-0000CA560000}"/>
    <cellStyle name="Heading 3 3 4 2 2" xfId="19271" xr:uid="{00000000-0005-0000-0000-0000CB560000}"/>
    <cellStyle name="Heading 3 3 4 3" xfId="14082" xr:uid="{00000000-0005-0000-0000-0000CC560000}"/>
    <cellStyle name="Heading 3 3 4 3 2" xfId="19069" xr:uid="{00000000-0005-0000-0000-0000CD560000}"/>
    <cellStyle name="Heading 3 3 4 4" xfId="15831" xr:uid="{00000000-0005-0000-0000-0000CE560000}"/>
    <cellStyle name="Heading 3 3 4 4 2" xfId="21325" xr:uid="{00000000-0005-0000-0000-0000CF560000}"/>
    <cellStyle name="Heading 3 3 4 5" xfId="15623" xr:uid="{00000000-0005-0000-0000-0000D0560000}"/>
    <cellStyle name="Heading 3 3 4 5 2" xfId="21119" xr:uid="{00000000-0005-0000-0000-0000D1560000}"/>
    <cellStyle name="Heading 3 3 4 6" xfId="12668" xr:uid="{00000000-0005-0000-0000-0000D2560000}"/>
    <cellStyle name="Heading 3 3 4 7" xfId="12452" xr:uid="{00000000-0005-0000-0000-0000D3560000}"/>
    <cellStyle name="Heading 3 3 5" xfId="1838" xr:uid="{00000000-0005-0000-0000-0000D4560000}"/>
    <cellStyle name="Heading 3 3 5 2" xfId="14226" xr:uid="{00000000-0005-0000-0000-0000D5560000}"/>
    <cellStyle name="Heading 3 3 5 2 2" xfId="19272" xr:uid="{00000000-0005-0000-0000-0000D6560000}"/>
    <cellStyle name="Heading 3 3 5 3" xfId="14083" xr:uid="{00000000-0005-0000-0000-0000D7560000}"/>
    <cellStyle name="Heading 3 3 5 3 2" xfId="19070" xr:uid="{00000000-0005-0000-0000-0000D8560000}"/>
    <cellStyle name="Heading 3 3 5 4" xfId="15832" xr:uid="{00000000-0005-0000-0000-0000D9560000}"/>
    <cellStyle name="Heading 3 3 5 4 2" xfId="21326" xr:uid="{00000000-0005-0000-0000-0000DA560000}"/>
    <cellStyle name="Heading 3 3 5 5" xfId="15622" xr:uid="{00000000-0005-0000-0000-0000DB560000}"/>
    <cellStyle name="Heading 3 3 5 5 2" xfId="21118" xr:uid="{00000000-0005-0000-0000-0000DC560000}"/>
    <cellStyle name="Heading 3 3 5 6" xfId="12669" xr:uid="{00000000-0005-0000-0000-0000DD560000}"/>
    <cellStyle name="Heading 3 3 5 7" xfId="12451" xr:uid="{00000000-0005-0000-0000-0000DE560000}"/>
    <cellStyle name="Heading 3 3 6" xfId="1839" xr:uid="{00000000-0005-0000-0000-0000DF560000}"/>
    <cellStyle name="Heading 3 3 6 2" xfId="14227" xr:uid="{00000000-0005-0000-0000-0000E0560000}"/>
    <cellStyle name="Heading 3 3 6 2 2" xfId="19273" xr:uid="{00000000-0005-0000-0000-0000E1560000}"/>
    <cellStyle name="Heading 3 3 6 3" xfId="14084" xr:uid="{00000000-0005-0000-0000-0000E2560000}"/>
    <cellStyle name="Heading 3 3 6 3 2" xfId="19071" xr:uid="{00000000-0005-0000-0000-0000E3560000}"/>
    <cellStyle name="Heading 3 3 6 4" xfId="15833" xr:uid="{00000000-0005-0000-0000-0000E4560000}"/>
    <cellStyle name="Heading 3 3 6 4 2" xfId="21327" xr:uid="{00000000-0005-0000-0000-0000E5560000}"/>
    <cellStyle name="Heading 3 3 6 5" xfId="15621" xr:uid="{00000000-0005-0000-0000-0000E6560000}"/>
    <cellStyle name="Heading 3 3 6 5 2" xfId="21117" xr:uid="{00000000-0005-0000-0000-0000E7560000}"/>
    <cellStyle name="Heading 3 3 6 6" xfId="12670" xr:uid="{00000000-0005-0000-0000-0000E8560000}"/>
    <cellStyle name="Heading 3 3 6 7" xfId="12450" xr:uid="{00000000-0005-0000-0000-0000E9560000}"/>
    <cellStyle name="Heading 3 3 7" xfId="1840" xr:uid="{00000000-0005-0000-0000-0000EA560000}"/>
    <cellStyle name="Heading 3 3 7 2" xfId="14228" xr:uid="{00000000-0005-0000-0000-0000EB560000}"/>
    <cellStyle name="Heading 3 3 7 2 2" xfId="19274" xr:uid="{00000000-0005-0000-0000-0000EC560000}"/>
    <cellStyle name="Heading 3 3 7 3" xfId="14085" xr:uid="{00000000-0005-0000-0000-0000ED560000}"/>
    <cellStyle name="Heading 3 3 7 3 2" xfId="19072" xr:uid="{00000000-0005-0000-0000-0000EE560000}"/>
    <cellStyle name="Heading 3 3 7 4" xfId="15834" xr:uid="{00000000-0005-0000-0000-0000EF560000}"/>
    <cellStyle name="Heading 3 3 7 4 2" xfId="21328" xr:uid="{00000000-0005-0000-0000-0000F0560000}"/>
    <cellStyle name="Heading 3 3 7 5" xfId="15620" xr:uid="{00000000-0005-0000-0000-0000F1560000}"/>
    <cellStyle name="Heading 3 3 7 5 2" xfId="21116" xr:uid="{00000000-0005-0000-0000-0000F2560000}"/>
    <cellStyle name="Heading 3 3 7 6" xfId="12671" xr:uid="{00000000-0005-0000-0000-0000F3560000}"/>
    <cellStyle name="Heading 3 3 7 7" xfId="12449" xr:uid="{00000000-0005-0000-0000-0000F4560000}"/>
    <cellStyle name="Heading 3 3 8" xfId="1841" xr:uid="{00000000-0005-0000-0000-0000F5560000}"/>
    <cellStyle name="Heading 3 3 8 2" xfId="14229" xr:uid="{00000000-0005-0000-0000-0000F6560000}"/>
    <cellStyle name="Heading 3 3 8 2 2" xfId="19275" xr:uid="{00000000-0005-0000-0000-0000F7560000}"/>
    <cellStyle name="Heading 3 3 8 3" xfId="14086" xr:uid="{00000000-0005-0000-0000-0000F8560000}"/>
    <cellStyle name="Heading 3 3 8 3 2" xfId="19073" xr:uid="{00000000-0005-0000-0000-0000F9560000}"/>
    <cellStyle name="Heading 3 3 8 4" xfId="15835" xr:uid="{00000000-0005-0000-0000-0000FA560000}"/>
    <cellStyle name="Heading 3 3 8 4 2" xfId="21329" xr:uid="{00000000-0005-0000-0000-0000FB560000}"/>
    <cellStyle name="Heading 3 3 8 5" xfId="15619" xr:uid="{00000000-0005-0000-0000-0000FC560000}"/>
    <cellStyle name="Heading 3 3 8 5 2" xfId="21115" xr:uid="{00000000-0005-0000-0000-0000FD560000}"/>
    <cellStyle name="Heading 3 3 8 6" xfId="12672" xr:uid="{00000000-0005-0000-0000-0000FE560000}"/>
    <cellStyle name="Heading 3 3 8 7" xfId="12448" xr:uid="{00000000-0005-0000-0000-0000FF560000}"/>
    <cellStyle name="Heading 3 3 9" xfId="1842" xr:uid="{00000000-0005-0000-0000-000000570000}"/>
    <cellStyle name="Heading 3 3 9 2" xfId="14230" xr:uid="{00000000-0005-0000-0000-000001570000}"/>
    <cellStyle name="Heading 3 3 9 2 2" xfId="19276" xr:uid="{00000000-0005-0000-0000-000002570000}"/>
    <cellStyle name="Heading 3 3 9 3" xfId="14087" xr:uid="{00000000-0005-0000-0000-000003570000}"/>
    <cellStyle name="Heading 3 3 9 3 2" xfId="19074" xr:uid="{00000000-0005-0000-0000-000004570000}"/>
    <cellStyle name="Heading 3 3 9 4" xfId="15836" xr:uid="{00000000-0005-0000-0000-000005570000}"/>
    <cellStyle name="Heading 3 3 9 4 2" xfId="21330" xr:uid="{00000000-0005-0000-0000-000006570000}"/>
    <cellStyle name="Heading 3 3 9 5" xfId="15618" xr:uid="{00000000-0005-0000-0000-000007570000}"/>
    <cellStyle name="Heading 3 3 9 5 2" xfId="21114" xr:uid="{00000000-0005-0000-0000-000008570000}"/>
    <cellStyle name="Heading 3 3 9 6" xfId="12673" xr:uid="{00000000-0005-0000-0000-000009570000}"/>
    <cellStyle name="Heading 3 3 9 7" xfId="12447" xr:uid="{00000000-0005-0000-0000-00000A570000}"/>
    <cellStyle name="Heading 3 30" xfId="43398" xr:uid="{00000000-0005-0000-0000-00000B570000}"/>
    <cellStyle name="Heading 3 31" xfId="43399" xr:uid="{00000000-0005-0000-0000-00000C570000}"/>
    <cellStyle name="Heading 3 32" xfId="43400" xr:uid="{00000000-0005-0000-0000-00000D570000}"/>
    <cellStyle name="Heading 3 33" xfId="43401" xr:uid="{00000000-0005-0000-0000-00000E570000}"/>
    <cellStyle name="Heading 3 34" xfId="43402" xr:uid="{00000000-0005-0000-0000-00000F570000}"/>
    <cellStyle name="Heading 3 35" xfId="43403" xr:uid="{00000000-0005-0000-0000-000010570000}"/>
    <cellStyle name="Heading 3 36" xfId="43404" xr:uid="{00000000-0005-0000-0000-000011570000}"/>
    <cellStyle name="Heading 3 37" xfId="43405" xr:uid="{00000000-0005-0000-0000-000012570000}"/>
    <cellStyle name="Heading 3 38" xfId="43406" xr:uid="{00000000-0005-0000-0000-000013570000}"/>
    <cellStyle name="Heading 3 39" xfId="43407" xr:uid="{00000000-0005-0000-0000-000014570000}"/>
    <cellStyle name="Heading 3 4" xfId="1843" xr:uid="{00000000-0005-0000-0000-000015570000}"/>
    <cellStyle name="Heading 3 4 10" xfId="1844" xr:uid="{00000000-0005-0000-0000-000016570000}"/>
    <cellStyle name="Heading 3 4 10 2" xfId="14232" xr:uid="{00000000-0005-0000-0000-000017570000}"/>
    <cellStyle name="Heading 3 4 10 2 2" xfId="19278" xr:uid="{00000000-0005-0000-0000-000018570000}"/>
    <cellStyle name="Heading 3 4 10 3" xfId="14089" xr:uid="{00000000-0005-0000-0000-000019570000}"/>
    <cellStyle name="Heading 3 4 10 3 2" xfId="19076" xr:uid="{00000000-0005-0000-0000-00001A570000}"/>
    <cellStyle name="Heading 3 4 10 4" xfId="15838" xr:uid="{00000000-0005-0000-0000-00001B570000}"/>
    <cellStyle name="Heading 3 4 10 4 2" xfId="21332" xr:uid="{00000000-0005-0000-0000-00001C570000}"/>
    <cellStyle name="Heading 3 4 10 5" xfId="15616" xr:uid="{00000000-0005-0000-0000-00001D570000}"/>
    <cellStyle name="Heading 3 4 10 5 2" xfId="21112" xr:uid="{00000000-0005-0000-0000-00001E570000}"/>
    <cellStyle name="Heading 3 4 10 6" xfId="12675" xr:uid="{00000000-0005-0000-0000-00001F570000}"/>
    <cellStyle name="Heading 3 4 10 7" xfId="12445" xr:uid="{00000000-0005-0000-0000-000020570000}"/>
    <cellStyle name="Heading 3 4 11" xfId="1845" xr:uid="{00000000-0005-0000-0000-000021570000}"/>
    <cellStyle name="Heading 3 4 11 2" xfId="14233" xr:uid="{00000000-0005-0000-0000-000022570000}"/>
    <cellStyle name="Heading 3 4 11 2 2" xfId="19279" xr:uid="{00000000-0005-0000-0000-000023570000}"/>
    <cellStyle name="Heading 3 4 11 3" xfId="14090" xr:uid="{00000000-0005-0000-0000-000024570000}"/>
    <cellStyle name="Heading 3 4 11 3 2" xfId="19077" xr:uid="{00000000-0005-0000-0000-000025570000}"/>
    <cellStyle name="Heading 3 4 11 4" xfId="15839" xr:uid="{00000000-0005-0000-0000-000026570000}"/>
    <cellStyle name="Heading 3 4 11 4 2" xfId="21333" xr:uid="{00000000-0005-0000-0000-000027570000}"/>
    <cellStyle name="Heading 3 4 11 5" xfId="15615" xr:uid="{00000000-0005-0000-0000-000028570000}"/>
    <cellStyle name="Heading 3 4 11 5 2" xfId="21111" xr:uid="{00000000-0005-0000-0000-000029570000}"/>
    <cellStyle name="Heading 3 4 11 6" xfId="12676" xr:uid="{00000000-0005-0000-0000-00002A570000}"/>
    <cellStyle name="Heading 3 4 11 7" xfId="12444" xr:uid="{00000000-0005-0000-0000-00002B570000}"/>
    <cellStyle name="Heading 3 4 12" xfId="14231" xr:uid="{00000000-0005-0000-0000-00002C570000}"/>
    <cellStyle name="Heading 3 4 12 2" xfId="19277" xr:uid="{00000000-0005-0000-0000-00002D570000}"/>
    <cellStyle name="Heading 3 4 13" xfId="14088" xr:uid="{00000000-0005-0000-0000-00002E570000}"/>
    <cellStyle name="Heading 3 4 13 2" xfId="19075" xr:uid="{00000000-0005-0000-0000-00002F570000}"/>
    <cellStyle name="Heading 3 4 14" xfId="15837" xr:uid="{00000000-0005-0000-0000-000030570000}"/>
    <cellStyle name="Heading 3 4 14 2" xfId="21331" xr:uid="{00000000-0005-0000-0000-000031570000}"/>
    <cellStyle name="Heading 3 4 15" xfId="15617" xr:uid="{00000000-0005-0000-0000-000032570000}"/>
    <cellStyle name="Heading 3 4 15 2" xfId="21113" xr:uid="{00000000-0005-0000-0000-000033570000}"/>
    <cellStyle name="Heading 3 4 16" xfId="12674" xr:uid="{00000000-0005-0000-0000-000034570000}"/>
    <cellStyle name="Heading 3 4 17" xfId="12446" xr:uid="{00000000-0005-0000-0000-000035570000}"/>
    <cellStyle name="Heading 3 4 2" xfId="1846" xr:uid="{00000000-0005-0000-0000-000036570000}"/>
    <cellStyle name="Heading 3 4 2 2" xfId="14234" xr:uid="{00000000-0005-0000-0000-000037570000}"/>
    <cellStyle name="Heading 3 4 2 2 2" xfId="19280" xr:uid="{00000000-0005-0000-0000-000038570000}"/>
    <cellStyle name="Heading 3 4 2 3" xfId="14091" xr:uid="{00000000-0005-0000-0000-000039570000}"/>
    <cellStyle name="Heading 3 4 2 3 2" xfId="19078" xr:uid="{00000000-0005-0000-0000-00003A570000}"/>
    <cellStyle name="Heading 3 4 2 4" xfId="15840" xr:uid="{00000000-0005-0000-0000-00003B570000}"/>
    <cellStyle name="Heading 3 4 2 4 2" xfId="21334" xr:uid="{00000000-0005-0000-0000-00003C570000}"/>
    <cellStyle name="Heading 3 4 2 5" xfId="15614" xr:uid="{00000000-0005-0000-0000-00003D570000}"/>
    <cellStyle name="Heading 3 4 2 5 2" xfId="21110" xr:uid="{00000000-0005-0000-0000-00003E570000}"/>
    <cellStyle name="Heading 3 4 2 6" xfId="12677" xr:uid="{00000000-0005-0000-0000-00003F570000}"/>
    <cellStyle name="Heading 3 4 2 7" xfId="12443" xr:uid="{00000000-0005-0000-0000-000040570000}"/>
    <cellStyle name="Heading 3 4 3" xfId="1847" xr:uid="{00000000-0005-0000-0000-000041570000}"/>
    <cellStyle name="Heading 3 4 3 2" xfId="14235" xr:uid="{00000000-0005-0000-0000-000042570000}"/>
    <cellStyle name="Heading 3 4 3 2 2" xfId="19281" xr:uid="{00000000-0005-0000-0000-000043570000}"/>
    <cellStyle name="Heading 3 4 3 3" xfId="14092" xr:uid="{00000000-0005-0000-0000-000044570000}"/>
    <cellStyle name="Heading 3 4 3 3 2" xfId="19079" xr:uid="{00000000-0005-0000-0000-000045570000}"/>
    <cellStyle name="Heading 3 4 3 4" xfId="15841" xr:uid="{00000000-0005-0000-0000-000046570000}"/>
    <cellStyle name="Heading 3 4 3 4 2" xfId="21335" xr:uid="{00000000-0005-0000-0000-000047570000}"/>
    <cellStyle name="Heading 3 4 3 5" xfId="15613" xr:uid="{00000000-0005-0000-0000-000048570000}"/>
    <cellStyle name="Heading 3 4 3 5 2" xfId="21109" xr:uid="{00000000-0005-0000-0000-000049570000}"/>
    <cellStyle name="Heading 3 4 3 6" xfId="12678" xr:uid="{00000000-0005-0000-0000-00004A570000}"/>
    <cellStyle name="Heading 3 4 3 7" xfId="12442" xr:uid="{00000000-0005-0000-0000-00004B570000}"/>
    <cellStyle name="Heading 3 4 4" xfId="1848" xr:uid="{00000000-0005-0000-0000-00004C570000}"/>
    <cellStyle name="Heading 3 4 4 2" xfId="14236" xr:uid="{00000000-0005-0000-0000-00004D570000}"/>
    <cellStyle name="Heading 3 4 4 2 2" xfId="19282" xr:uid="{00000000-0005-0000-0000-00004E570000}"/>
    <cellStyle name="Heading 3 4 4 3" xfId="14093" xr:uid="{00000000-0005-0000-0000-00004F570000}"/>
    <cellStyle name="Heading 3 4 4 3 2" xfId="19080" xr:uid="{00000000-0005-0000-0000-000050570000}"/>
    <cellStyle name="Heading 3 4 4 4" xfId="15842" xr:uid="{00000000-0005-0000-0000-000051570000}"/>
    <cellStyle name="Heading 3 4 4 4 2" xfId="21336" xr:uid="{00000000-0005-0000-0000-000052570000}"/>
    <cellStyle name="Heading 3 4 4 5" xfId="15612" xr:uid="{00000000-0005-0000-0000-000053570000}"/>
    <cellStyle name="Heading 3 4 4 5 2" xfId="21108" xr:uid="{00000000-0005-0000-0000-000054570000}"/>
    <cellStyle name="Heading 3 4 4 6" xfId="12679" xr:uid="{00000000-0005-0000-0000-000055570000}"/>
    <cellStyle name="Heading 3 4 4 7" xfId="12441" xr:uid="{00000000-0005-0000-0000-000056570000}"/>
    <cellStyle name="Heading 3 4 5" xfId="1849" xr:uid="{00000000-0005-0000-0000-000057570000}"/>
    <cellStyle name="Heading 3 4 5 2" xfId="14237" xr:uid="{00000000-0005-0000-0000-000058570000}"/>
    <cellStyle name="Heading 3 4 5 2 2" xfId="19283" xr:uid="{00000000-0005-0000-0000-000059570000}"/>
    <cellStyle name="Heading 3 4 5 3" xfId="14094" xr:uid="{00000000-0005-0000-0000-00005A570000}"/>
    <cellStyle name="Heading 3 4 5 3 2" xfId="19081" xr:uid="{00000000-0005-0000-0000-00005B570000}"/>
    <cellStyle name="Heading 3 4 5 4" xfId="15843" xr:uid="{00000000-0005-0000-0000-00005C570000}"/>
    <cellStyle name="Heading 3 4 5 4 2" xfId="21337" xr:uid="{00000000-0005-0000-0000-00005D570000}"/>
    <cellStyle name="Heading 3 4 5 5" xfId="15611" xr:uid="{00000000-0005-0000-0000-00005E570000}"/>
    <cellStyle name="Heading 3 4 5 5 2" xfId="21107" xr:uid="{00000000-0005-0000-0000-00005F570000}"/>
    <cellStyle name="Heading 3 4 5 6" xfId="12680" xr:uid="{00000000-0005-0000-0000-000060570000}"/>
    <cellStyle name="Heading 3 4 5 7" xfId="12440" xr:uid="{00000000-0005-0000-0000-000061570000}"/>
    <cellStyle name="Heading 3 4 6" xfId="1850" xr:uid="{00000000-0005-0000-0000-000062570000}"/>
    <cellStyle name="Heading 3 4 6 2" xfId="14238" xr:uid="{00000000-0005-0000-0000-000063570000}"/>
    <cellStyle name="Heading 3 4 6 2 2" xfId="19284" xr:uid="{00000000-0005-0000-0000-000064570000}"/>
    <cellStyle name="Heading 3 4 6 3" xfId="14095" xr:uid="{00000000-0005-0000-0000-000065570000}"/>
    <cellStyle name="Heading 3 4 6 3 2" xfId="19082" xr:uid="{00000000-0005-0000-0000-000066570000}"/>
    <cellStyle name="Heading 3 4 6 4" xfId="15844" xr:uid="{00000000-0005-0000-0000-000067570000}"/>
    <cellStyle name="Heading 3 4 6 4 2" xfId="21338" xr:uid="{00000000-0005-0000-0000-000068570000}"/>
    <cellStyle name="Heading 3 4 6 5" xfId="15610" xr:uid="{00000000-0005-0000-0000-000069570000}"/>
    <cellStyle name="Heading 3 4 6 5 2" xfId="21106" xr:uid="{00000000-0005-0000-0000-00006A570000}"/>
    <cellStyle name="Heading 3 4 6 6" xfId="12681" xr:uid="{00000000-0005-0000-0000-00006B570000}"/>
    <cellStyle name="Heading 3 4 6 7" xfId="12439" xr:uid="{00000000-0005-0000-0000-00006C570000}"/>
    <cellStyle name="Heading 3 4 7" xfId="1851" xr:uid="{00000000-0005-0000-0000-00006D570000}"/>
    <cellStyle name="Heading 3 4 7 2" xfId="14239" xr:uid="{00000000-0005-0000-0000-00006E570000}"/>
    <cellStyle name="Heading 3 4 7 2 2" xfId="19285" xr:uid="{00000000-0005-0000-0000-00006F570000}"/>
    <cellStyle name="Heading 3 4 7 3" xfId="14096" xr:uid="{00000000-0005-0000-0000-000070570000}"/>
    <cellStyle name="Heading 3 4 7 3 2" xfId="19083" xr:uid="{00000000-0005-0000-0000-000071570000}"/>
    <cellStyle name="Heading 3 4 7 4" xfId="15845" xr:uid="{00000000-0005-0000-0000-000072570000}"/>
    <cellStyle name="Heading 3 4 7 4 2" xfId="21339" xr:uid="{00000000-0005-0000-0000-000073570000}"/>
    <cellStyle name="Heading 3 4 7 5" xfId="15609" xr:uid="{00000000-0005-0000-0000-000074570000}"/>
    <cellStyle name="Heading 3 4 7 5 2" xfId="21105" xr:uid="{00000000-0005-0000-0000-000075570000}"/>
    <cellStyle name="Heading 3 4 7 6" xfId="12682" xr:uid="{00000000-0005-0000-0000-000076570000}"/>
    <cellStyle name="Heading 3 4 7 7" xfId="12438" xr:uid="{00000000-0005-0000-0000-000077570000}"/>
    <cellStyle name="Heading 3 4 8" xfId="1852" xr:uid="{00000000-0005-0000-0000-000078570000}"/>
    <cellStyle name="Heading 3 4 8 2" xfId="14240" xr:uid="{00000000-0005-0000-0000-000079570000}"/>
    <cellStyle name="Heading 3 4 8 2 2" xfId="19286" xr:uid="{00000000-0005-0000-0000-00007A570000}"/>
    <cellStyle name="Heading 3 4 8 3" xfId="14097" xr:uid="{00000000-0005-0000-0000-00007B570000}"/>
    <cellStyle name="Heading 3 4 8 3 2" xfId="19084" xr:uid="{00000000-0005-0000-0000-00007C570000}"/>
    <cellStyle name="Heading 3 4 8 4" xfId="15846" xr:uid="{00000000-0005-0000-0000-00007D570000}"/>
    <cellStyle name="Heading 3 4 8 4 2" xfId="21340" xr:uid="{00000000-0005-0000-0000-00007E570000}"/>
    <cellStyle name="Heading 3 4 8 5" xfId="15608" xr:uid="{00000000-0005-0000-0000-00007F570000}"/>
    <cellStyle name="Heading 3 4 8 5 2" xfId="21104" xr:uid="{00000000-0005-0000-0000-000080570000}"/>
    <cellStyle name="Heading 3 4 8 6" xfId="12683" xr:uid="{00000000-0005-0000-0000-000081570000}"/>
    <cellStyle name="Heading 3 4 8 7" xfId="12437" xr:uid="{00000000-0005-0000-0000-000082570000}"/>
    <cellStyle name="Heading 3 4 9" xfId="1853" xr:uid="{00000000-0005-0000-0000-000083570000}"/>
    <cellStyle name="Heading 3 4 9 2" xfId="14241" xr:uid="{00000000-0005-0000-0000-000084570000}"/>
    <cellStyle name="Heading 3 4 9 2 2" xfId="19287" xr:uid="{00000000-0005-0000-0000-000085570000}"/>
    <cellStyle name="Heading 3 4 9 3" xfId="14098" xr:uid="{00000000-0005-0000-0000-000086570000}"/>
    <cellStyle name="Heading 3 4 9 3 2" xfId="19085" xr:uid="{00000000-0005-0000-0000-000087570000}"/>
    <cellStyle name="Heading 3 4 9 4" xfId="15847" xr:uid="{00000000-0005-0000-0000-000088570000}"/>
    <cellStyle name="Heading 3 4 9 4 2" xfId="21341" xr:uid="{00000000-0005-0000-0000-000089570000}"/>
    <cellStyle name="Heading 3 4 9 5" xfId="15607" xr:uid="{00000000-0005-0000-0000-00008A570000}"/>
    <cellStyle name="Heading 3 4 9 5 2" xfId="21103" xr:uid="{00000000-0005-0000-0000-00008B570000}"/>
    <cellStyle name="Heading 3 4 9 6" xfId="12684" xr:uid="{00000000-0005-0000-0000-00008C570000}"/>
    <cellStyle name="Heading 3 4 9 7" xfId="12436" xr:uid="{00000000-0005-0000-0000-00008D570000}"/>
    <cellStyle name="Heading 3 40" xfId="43408" xr:uid="{00000000-0005-0000-0000-00008E570000}"/>
    <cellStyle name="Heading 3 41" xfId="43409" xr:uid="{00000000-0005-0000-0000-00008F570000}"/>
    <cellStyle name="Heading 3 5" xfId="1854" xr:uid="{00000000-0005-0000-0000-000090570000}"/>
    <cellStyle name="Heading 3 5 10" xfId="1855" xr:uid="{00000000-0005-0000-0000-000091570000}"/>
    <cellStyle name="Heading 3 5 10 2" xfId="14243" xr:uid="{00000000-0005-0000-0000-000092570000}"/>
    <cellStyle name="Heading 3 5 10 2 2" xfId="19289" xr:uid="{00000000-0005-0000-0000-000093570000}"/>
    <cellStyle name="Heading 3 5 10 3" xfId="14100" xr:uid="{00000000-0005-0000-0000-000094570000}"/>
    <cellStyle name="Heading 3 5 10 3 2" xfId="19087" xr:uid="{00000000-0005-0000-0000-000095570000}"/>
    <cellStyle name="Heading 3 5 10 4" xfId="15849" xr:uid="{00000000-0005-0000-0000-000096570000}"/>
    <cellStyle name="Heading 3 5 10 4 2" xfId="21343" xr:uid="{00000000-0005-0000-0000-000097570000}"/>
    <cellStyle name="Heading 3 5 10 5" xfId="15605" xr:uid="{00000000-0005-0000-0000-000098570000}"/>
    <cellStyle name="Heading 3 5 10 5 2" xfId="21101" xr:uid="{00000000-0005-0000-0000-000099570000}"/>
    <cellStyle name="Heading 3 5 10 6" xfId="12686" xr:uid="{00000000-0005-0000-0000-00009A570000}"/>
    <cellStyle name="Heading 3 5 10 7" xfId="12434" xr:uid="{00000000-0005-0000-0000-00009B570000}"/>
    <cellStyle name="Heading 3 5 11" xfId="1856" xr:uid="{00000000-0005-0000-0000-00009C570000}"/>
    <cellStyle name="Heading 3 5 11 2" xfId="14244" xr:uid="{00000000-0005-0000-0000-00009D570000}"/>
    <cellStyle name="Heading 3 5 11 2 2" xfId="19290" xr:uid="{00000000-0005-0000-0000-00009E570000}"/>
    <cellStyle name="Heading 3 5 11 3" xfId="14101" xr:uid="{00000000-0005-0000-0000-00009F570000}"/>
    <cellStyle name="Heading 3 5 11 3 2" xfId="19088" xr:uid="{00000000-0005-0000-0000-0000A0570000}"/>
    <cellStyle name="Heading 3 5 11 4" xfId="15850" xr:uid="{00000000-0005-0000-0000-0000A1570000}"/>
    <cellStyle name="Heading 3 5 11 4 2" xfId="21344" xr:uid="{00000000-0005-0000-0000-0000A2570000}"/>
    <cellStyle name="Heading 3 5 11 5" xfId="15604" xr:uid="{00000000-0005-0000-0000-0000A3570000}"/>
    <cellStyle name="Heading 3 5 11 5 2" xfId="21100" xr:uid="{00000000-0005-0000-0000-0000A4570000}"/>
    <cellStyle name="Heading 3 5 11 6" xfId="12687" xr:uid="{00000000-0005-0000-0000-0000A5570000}"/>
    <cellStyle name="Heading 3 5 11 7" xfId="12433" xr:uid="{00000000-0005-0000-0000-0000A6570000}"/>
    <cellStyle name="Heading 3 5 12" xfId="14242" xr:uid="{00000000-0005-0000-0000-0000A7570000}"/>
    <cellStyle name="Heading 3 5 12 2" xfId="19288" xr:uid="{00000000-0005-0000-0000-0000A8570000}"/>
    <cellStyle name="Heading 3 5 13" xfId="14099" xr:uid="{00000000-0005-0000-0000-0000A9570000}"/>
    <cellStyle name="Heading 3 5 13 2" xfId="19086" xr:uid="{00000000-0005-0000-0000-0000AA570000}"/>
    <cellStyle name="Heading 3 5 14" xfId="15848" xr:uid="{00000000-0005-0000-0000-0000AB570000}"/>
    <cellStyle name="Heading 3 5 14 2" xfId="21342" xr:uid="{00000000-0005-0000-0000-0000AC570000}"/>
    <cellStyle name="Heading 3 5 15" xfId="15606" xr:uid="{00000000-0005-0000-0000-0000AD570000}"/>
    <cellStyle name="Heading 3 5 15 2" xfId="21102" xr:uid="{00000000-0005-0000-0000-0000AE570000}"/>
    <cellStyle name="Heading 3 5 16" xfId="12685" xr:uid="{00000000-0005-0000-0000-0000AF570000}"/>
    <cellStyle name="Heading 3 5 17" xfId="12435" xr:uid="{00000000-0005-0000-0000-0000B0570000}"/>
    <cellStyle name="Heading 3 5 2" xfId="1857" xr:uid="{00000000-0005-0000-0000-0000B1570000}"/>
    <cellStyle name="Heading 3 5 2 2" xfId="14245" xr:uid="{00000000-0005-0000-0000-0000B2570000}"/>
    <cellStyle name="Heading 3 5 2 2 2" xfId="19291" xr:uid="{00000000-0005-0000-0000-0000B3570000}"/>
    <cellStyle name="Heading 3 5 2 3" xfId="14102" xr:uid="{00000000-0005-0000-0000-0000B4570000}"/>
    <cellStyle name="Heading 3 5 2 3 2" xfId="19089" xr:uid="{00000000-0005-0000-0000-0000B5570000}"/>
    <cellStyle name="Heading 3 5 2 4" xfId="15851" xr:uid="{00000000-0005-0000-0000-0000B6570000}"/>
    <cellStyle name="Heading 3 5 2 4 2" xfId="21345" xr:uid="{00000000-0005-0000-0000-0000B7570000}"/>
    <cellStyle name="Heading 3 5 2 5" xfId="15603" xr:uid="{00000000-0005-0000-0000-0000B8570000}"/>
    <cellStyle name="Heading 3 5 2 5 2" xfId="21099" xr:uid="{00000000-0005-0000-0000-0000B9570000}"/>
    <cellStyle name="Heading 3 5 2 6" xfId="12688" xr:uid="{00000000-0005-0000-0000-0000BA570000}"/>
    <cellStyle name="Heading 3 5 2 7" xfId="12432" xr:uid="{00000000-0005-0000-0000-0000BB570000}"/>
    <cellStyle name="Heading 3 5 3" xfId="1858" xr:uid="{00000000-0005-0000-0000-0000BC570000}"/>
    <cellStyle name="Heading 3 5 3 2" xfId="14246" xr:uid="{00000000-0005-0000-0000-0000BD570000}"/>
    <cellStyle name="Heading 3 5 3 2 2" xfId="19292" xr:uid="{00000000-0005-0000-0000-0000BE570000}"/>
    <cellStyle name="Heading 3 5 3 3" xfId="14670" xr:uid="{00000000-0005-0000-0000-0000BF570000}"/>
    <cellStyle name="Heading 3 5 3 3 2" xfId="19978" xr:uid="{00000000-0005-0000-0000-0000C0570000}"/>
    <cellStyle name="Heading 3 5 3 4" xfId="15852" xr:uid="{00000000-0005-0000-0000-0000C1570000}"/>
    <cellStyle name="Heading 3 5 3 4 2" xfId="21346" xr:uid="{00000000-0005-0000-0000-0000C2570000}"/>
    <cellStyle name="Heading 3 5 3 5" xfId="15602" xr:uid="{00000000-0005-0000-0000-0000C3570000}"/>
    <cellStyle name="Heading 3 5 3 5 2" xfId="21098" xr:uid="{00000000-0005-0000-0000-0000C4570000}"/>
    <cellStyle name="Heading 3 5 3 6" xfId="12689" xr:uid="{00000000-0005-0000-0000-0000C5570000}"/>
    <cellStyle name="Heading 3 5 3 7" xfId="12431" xr:uid="{00000000-0005-0000-0000-0000C6570000}"/>
    <cellStyle name="Heading 3 5 4" xfId="1859" xr:uid="{00000000-0005-0000-0000-0000C7570000}"/>
    <cellStyle name="Heading 3 5 4 2" xfId="14247" xr:uid="{00000000-0005-0000-0000-0000C8570000}"/>
    <cellStyle name="Heading 3 5 4 2 2" xfId="19293" xr:uid="{00000000-0005-0000-0000-0000C9570000}"/>
    <cellStyle name="Heading 3 5 4 3" xfId="15056" xr:uid="{00000000-0005-0000-0000-0000CA570000}"/>
    <cellStyle name="Heading 3 5 4 3 2" xfId="20437" xr:uid="{00000000-0005-0000-0000-0000CB570000}"/>
    <cellStyle name="Heading 3 5 4 4" xfId="15853" xr:uid="{00000000-0005-0000-0000-0000CC570000}"/>
    <cellStyle name="Heading 3 5 4 4 2" xfId="21347" xr:uid="{00000000-0005-0000-0000-0000CD570000}"/>
    <cellStyle name="Heading 3 5 4 5" xfId="15601" xr:uid="{00000000-0005-0000-0000-0000CE570000}"/>
    <cellStyle name="Heading 3 5 4 5 2" xfId="21097" xr:uid="{00000000-0005-0000-0000-0000CF570000}"/>
    <cellStyle name="Heading 3 5 4 6" xfId="12690" xr:uid="{00000000-0005-0000-0000-0000D0570000}"/>
    <cellStyle name="Heading 3 5 4 7" xfId="12430" xr:uid="{00000000-0005-0000-0000-0000D1570000}"/>
    <cellStyle name="Heading 3 5 5" xfId="1860" xr:uid="{00000000-0005-0000-0000-0000D2570000}"/>
    <cellStyle name="Heading 3 5 5 2" xfId="14248" xr:uid="{00000000-0005-0000-0000-0000D3570000}"/>
    <cellStyle name="Heading 3 5 5 2 2" xfId="19294" xr:uid="{00000000-0005-0000-0000-0000D4570000}"/>
    <cellStyle name="Heading 3 5 5 3" xfId="15055" xr:uid="{00000000-0005-0000-0000-0000D5570000}"/>
    <cellStyle name="Heading 3 5 5 3 2" xfId="20436" xr:uid="{00000000-0005-0000-0000-0000D6570000}"/>
    <cellStyle name="Heading 3 5 5 4" xfId="15854" xr:uid="{00000000-0005-0000-0000-0000D7570000}"/>
    <cellStyle name="Heading 3 5 5 4 2" xfId="21348" xr:uid="{00000000-0005-0000-0000-0000D8570000}"/>
    <cellStyle name="Heading 3 5 5 5" xfId="15600" xr:uid="{00000000-0005-0000-0000-0000D9570000}"/>
    <cellStyle name="Heading 3 5 5 5 2" xfId="21096" xr:uid="{00000000-0005-0000-0000-0000DA570000}"/>
    <cellStyle name="Heading 3 5 5 6" xfId="12691" xr:uid="{00000000-0005-0000-0000-0000DB570000}"/>
    <cellStyle name="Heading 3 5 5 7" xfId="12429" xr:uid="{00000000-0005-0000-0000-0000DC570000}"/>
    <cellStyle name="Heading 3 5 6" xfId="1861" xr:uid="{00000000-0005-0000-0000-0000DD570000}"/>
    <cellStyle name="Heading 3 5 6 2" xfId="14249" xr:uid="{00000000-0005-0000-0000-0000DE570000}"/>
    <cellStyle name="Heading 3 5 6 2 2" xfId="19295" xr:uid="{00000000-0005-0000-0000-0000DF570000}"/>
    <cellStyle name="Heading 3 5 6 3" xfId="15048" xr:uid="{00000000-0005-0000-0000-0000E0570000}"/>
    <cellStyle name="Heading 3 5 6 3 2" xfId="20409" xr:uid="{00000000-0005-0000-0000-0000E1570000}"/>
    <cellStyle name="Heading 3 5 6 4" xfId="15855" xr:uid="{00000000-0005-0000-0000-0000E2570000}"/>
    <cellStyle name="Heading 3 5 6 4 2" xfId="21349" xr:uid="{00000000-0005-0000-0000-0000E3570000}"/>
    <cellStyle name="Heading 3 5 6 5" xfId="15599" xr:uid="{00000000-0005-0000-0000-0000E4570000}"/>
    <cellStyle name="Heading 3 5 6 5 2" xfId="21095" xr:uid="{00000000-0005-0000-0000-0000E5570000}"/>
    <cellStyle name="Heading 3 5 6 6" xfId="12692" xr:uid="{00000000-0005-0000-0000-0000E6570000}"/>
    <cellStyle name="Heading 3 5 6 7" xfId="12428" xr:uid="{00000000-0005-0000-0000-0000E7570000}"/>
    <cellStyle name="Heading 3 5 7" xfId="1862" xr:uid="{00000000-0005-0000-0000-0000E8570000}"/>
    <cellStyle name="Heading 3 5 7 2" xfId="14250" xr:uid="{00000000-0005-0000-0000-0000E9570000}"/>
    <cellStyle name="Heading 3 5 7 2 2" xfId="19296" xr:uid="{00000000-0005-0000-0000-0000EA570000}"/>
    <cellStyle name="Heading 3 5 7 3" xfId="14103" xr:uid="{00000000-0005-0000-0000-0000EB570000}"/>
    <cellStyle name="Heading 3 5 7 3 2" xfId="19090" xr:uid="{00000000-0005-0000-0000-0000EC570000}"/>
    <cellStyle name="Heading 3 5 7 4" xfId="15856" xr:uid="{00000000-0005-0000-0000-0000ED570000}"/>
    <cellStyle name="Heading 3 5 7 4 2" xfId="21350" xr:uid="{00000000-0005-0000-0000-0000EE570000}"/>
    <cellStyle name="Heading 3 5 7 5" xfId="15598" xr:uid="{00000000-0005-0000-0000-0000EF570000}"/>
    <cellStyle name="Heading 3 5 7 5 2" xfId="21094" xr:uid="{00000000-0005-0000-0000-0000F0570000}"/>
    <cellStyle name="Heading 3 5 7 6" xfId="12693" xr:uid="{00000000-0005-0000-0000-0000F1570000}"/>
    <cellStyle name="Heading 3 5 7 7" xfId="12427" xr:uid="{00000000-0005-0000-0000-0000F2570000}"/>
    <cellStyle name="Heading 3 5 8" xfId="1863" xr:uid="{00000000-0005-0000-0000-0000F3570000}"/>
    <cellStyle name="Heading 3 5 8 2" xfId="14251" xr:uid="{00000000-0005-0000-0000-0000F4570000}"/>
    <cellStyle name="Heading 3 5 8 2 2" xfId="19297" xr:uid="{00000000-0005-0000-0000-0000F5570000}"/>
    <cellStyle name="Heading 3 5 8 3" xfId="15047" xr:uid="{00000000-0005-0000-0000-0000F6570000}"/>
    <cellStyle name="Heading 3 5 8 3 2" xfId="20408" xr:uid="{00000000-0005-0000-0000-0000F7570000}"/>
    <cellStyle name="Heading 3 5 8 4" xfId="15857" xr:uid="{00000000-0005-0000-0000-0000F8570000}"/>
    <cellStyle name="Heading 3 5 8 4 2" xfId="21351" xr:uid="{00000000-0005-0000-0000-0000F9570000}"/>
    <cellStyle name="Heading 3 5 8 5" xfId="15597" xr:uid="{00000000-0005-0000-0000-0000FA570000}"/>
    <cellStyle name="Heading 3 5 8 5 2" xfId="21093" xr:uid="{00000000-0005-0000-0000-0000FB570000}"/>
    <cellStyle name="Heading 3 5 8 6" xfId="12694" xr:uid="{00000000-0005-0000-0000-0000FC570000}"/>
    <cellStyle name="Heading 3 5 8 7" xfId="12426" xr:uid="{00000000-0005-0000-0000-0000FD570000}"/>
    <cellStyle name="Heading 3 5 9" xfId="1864" xr:uid="{00000000-0005-0000-0000-0000FE570000}"/>
    <cellStyle name="Heading 3 5 9 2" xfId="14252" xr:uid="{00000000-0005-0000-0000-0000FF570000}"/>
    <cellStyle name="Heading 3 5 9 2 2" xfId="19298" xr:uid="{00000000-0005-0000-0000-000000580000}"/>
    <cellStyle name="Heading 3 5 9 3" xfId="14104" xr:uid="{00000000-0005-0000-0000-000001580000}"/>
    <cellStyle name="Heading 3 5 9 3 2" xfId="19091" xr:uid="{00000000-0005-0000-0000-000002580000}"/>
    <cellStyle name="Heading 3 5 9 4" xfId="15858" xr:uid="{00000000-0005-0000-0000-000003580000}"/>
    <cellStyle name="Heading 3 5 9 4 2" xfId="21352" xr:uid="{00000000-0005-0000-0000-000004580000}"/>
    <cellStyle name="Heading 3 5 9 5" xfId="15596" xr:uid="{00000000-0005-0000-0000-000005580000}"/>
    <cellStyle name="Heading 3 5 9 5 2" xfId="21092" xr:uid="{00000000-0005-0000-0000-000006580000}"/>
    <cellStyle name="Heading 3 5 9 6" xfId="12695" xr:uid="{00000000-0005-0000-0000-000007580000}"/>
    <cellStyle name="Heading 3 5 9 7" xfId="12425" xr:uid="{00000000-0005-0000-0000-000008580000}"/>
    <cellStyle name="Heading 3 6" xfId="1865" xr:uid="{00000000-0005-0000-0000-000009580000}"/>
    <cellStyle name="Heading 3 6 10" xfId="1866" xr:uid="{00000000-0005-0000-0000-00000A580000}"/>
    <cellStyle name="Heading 3 6 10 2" xfId="14254" xr:uid="{00000000-0005-0000-0000-00000B580000}"/>
    <cellStyle name="Heading 3 6 10 2 2" xfId="19300" xr:uid="{00000000-0005-0000-0000-00000C580000}"/>
    <cellStyle name="Heading 3 6 10 3" xfId="14105" xr:uid="{00000000-0005-0000-0000-00000D580000}"/>
    <cellStyle name="Heading 3 6 10 3 2" xfId="19092" xr:uid="{00000000-0005-0000-0000-00000E580000}"/>
    <cellStyle name="Heading 3 6 10 4" xfId="15860" xr:uid="{00000000-0005-0000-0000-00000F580000}"/>
    <cellStyle name="Heading 3 6 10 4 2" xfId="21354" xr:uid="{00000000-0005-0000-0000-000010580000}"/>
    <cellStyle name="Heading 3 6 10 5" xfId="15594" xr:uid="{00000000-0005-0000-0000-000011580000}"/>
    <cellStyle name="Heading 3 6 10 5 2" xfId="21090" xr:uid="{00000000-0005-0000-0000-000012580000}"/>
    <cellStyle name="Heading 3 6 10 6" xfId="12697" xr:uid="{00000000-0005-0000-0000-000013580000}"/>
    <cellStyle name="Heading 3 6 10 7" xfId="12423" xr:uid="{00000000-0005-0000-0000-000014580000}"/>
    <cellStyle name="Heading 3 6 11" xfId="1867" xr:uid="{00000000-0005-0000-0000-000015580000}"/>
    <cellStyle name="Heading 3 6 11 2" xfId="14255" xr:uid="{00000000-0005-0000-0000-000016580000}"/>
    <cellStyle name="Heading 3 6 11 2 2" xfId="19301" xr:uid="{00000000-0005-0000-0000-000017580000}"/>
    <cellStyle name="Heading 3 6 11 3" xfId="15045" xr:uid="{00000000-0005-0000-0000-000018580000}"/>
    <cellStyle name="Heading 3 6 11 3 2" xfId="20406" xr:uid="{00000000-0005-0000-0000-000019580000}"/>
    <cellStyle name="Heading 3 6 11 4" xfId="15861" xr:uid="{00000000-0005-0000-0000-00001A580000}"/>
    <cellStyle name="Heading 3 6 11 4 2" xfId="21355" xr:uid="{00000000-0005-0000-0000-00001B580000}"/>
    <cellStyle name="Heading 3 6 11 5" xfId="15593" xr:uid="{00000000-0005-0000-0000-00001C580000}"/>
    <cellStyle name="Heading 3 6 11 5 2" xfId="21089" xr:uid="{00000000-0005-0000-0000-00001D580000}"/>
    <cellStyle name="Heading 3 6 11 6" xfId="12698" xr:uid="{00000000-0005-0000-0000-00001E580000}"/>
    <cellStyle name="Heading 3 6 11 7" xfId="12422" xr:uid="{00000000-0005-0000-0000-00001F580000}"/>
    <cellStyle name="Heading 3 6 12" xfId="14253" xr:uid="{00000000-0005-0000-0000-000020580000}"/>
    <cellStyle name="Heading 3 6 12 2" xfId="19299" xr:uid="{00000000-0005-0000-0000-000021580000}"/>
    <cellStyle name="Heading 3 6 13" xfId="15046" xr:uid="{00000000-0005-0000-0000-000022580000}"/>
    <cellStyle name="Heading 3 6 13 2" xfId="20407" xr:uid="{00000000-0005-0000-0000-000023580000}"/>
    <cellStyle name="Heading 3 6 14" xfId="15859" xr:uid="{00000000-0005-0000-0000-000024580000}"/>
    <cellStyle name="Heading 3 6 14 2" xfId="21353" xr:uid="{00000000-0005-0000-0000-000025580000}"/>
    <cellStyle name="Heading 3 6 15" xfId="15595" xr:uid="{00000000-0005-0000-0000-000026580000}"/>
    <cellStyle name="Heading 3 6 15 2" xfId="21091" xr:uid="{00000000-0005-0000-0000-000027580000}"/>
    <cellStyle name="Heading 3 6 16" xfId="12696" xr:uid="{00000000-0005-0000-0000-000028580000}"/>
    <cellStyle name="Heading 3 6 17" xfId="12424" xr:uid="{00000000-0005-0000-0000-000029580000}"/>
    <cellStyle name="Heading 3 6 2" xfId="1868" xr:uid="{00000000-0005-0000-0000-00002A580000}"/>
    <cellStyle name="Heading 3 6 2 2" xfId="14256" xr:uid="{00000000-0005-0000-0000-00002B580000}"/>
    <cellStyle name="Heading 3 6 2 2 2" xfId="19302" xr:uid="{00000000-0005-0000-0000-00002C580000}"/>
    <cellStyle name="Heading 3 6 2 3" xfId="14106" xr:uid="{00000000-0005-0000-0000-00002D580000}"/>
    <cellStyle name="Heading 3 6 2 3 2" xfId="19093" xr:uid="{00000000-0005-0000-0000-00002E580000}"/>
    <cellStyle name="Heading 3 6 2 4" xfId="15862" xr:uid="{00000000-0005-0000-0000-00002F580000}"/>
    <cellStyle name="Heading 3 6 2 4 2" xfId="21356" xr:uid="{00000000-0005-0000-0000-000030580000}"/>
    <cellStyle name="Heading 3 6 2 5" xfId="15592" xr:uid="{00000000-0005-0000-0000-000031580000}"/>
    <cellStyle name="Heading 3 6 2 5 2" xfId="21088" xr:uid="{00000000-0005-0000-0000-000032580000}"/>
    <cellStyle name="Heading 3 6 2 6" xfId="12699" xr:uid="{00000000-0005-0000-0000-000033580000}"/>
    <cellStyle name="Heading 3 6 2 7" xfId="12421" xr:uid="{00000000-0005-0000-0000-000034580000}"/>
    <cellStyle name="Heading 3 6 3" xfId="1869" xr:uid="{00000000-0005-0000-0000-000035580000}"/>
    <cellStyle name="Heading 3 6 3 2" xfId="14257" xr:uid="{00000000-0005-0000-0000-000036580000}"/>
    <cellStyle name="Heading 3 6 3 2 2" xfId="19303" xr:uid="{00000000-0005-0000-0000-000037580000}"/>
    <cellStyle name="Heading 3 6 3 3" xfId="15044" xr:uid="{00000000-0005-0000-0000-000038580000}"/>
    <cellStyle name="Heading 3 6 3 3 2" xfId="20405" xr:uid="{00000000-0005-0000-0000-000039580000}"/>
    <cellStyle name="Heading 3 6 3 4" xfId="15863" xr:uid="{00000000-0005-0000-0000-00003A580000}"/>
    <cellStyle name="Heading 3 6 3 4 2" xfId="21357" xr:uid="{00000000-0005-0000-0000-00003B580000}"/>
    <cellStyle name="Heading 3 6 3 5" xfId="15591" xr:uid="{00000000-0005-0000-0000-00003C580000}"/>
    <cellStyle name="Heading 3 6 3 5 2" xfId="21087" xr:uid="{00000000-0005-0000-0000-00003D580000}"/>
    <cellStyle name="Heading 3 6 3 6" xfId="12700" xr:uid="{00000000-0005-0000-0000-00003E580000}"/>
    <cellStyle name="Heading 3 6 3 7" xfId="12420" xr:uid="{00000000-0005-0000-0000-00003F580000}"/>
    <cellStyle name="Heading 3 6 4" xfId="1870" xr:uid="{00000000-0005-0000-0000-000040580000}"/>
    <cellStyle name="Heading 3 6 4 2" xfId="14258" xr:uid="{00000000-0005-0000-0000-000041580000}"/>
    <cellStyle name="Heading 3 6 4 2 2" xfId="19304" xr:uid="{00000000-0005-0000-0000-000042580000}"/>
    <cellStyle name="Heading 3 6 4 3" xfId="14107" xr:uid="{00000000-0005-0000-0000-000043580000}"/>
    <cellStyle name="Heading 3 6 4 3 2" xfId="19094" xr:uid="{00000000-0005-0000-0000-000044580000}"/>
    <cellStyle name="Heading 3 6 4 4" xfId="15864" xr:uid="{00000000-0005-0000-0000-000045580000}"/>
    <cellStyle name="Heading 3 6 4 4 2" xfId="21358" xr:uid="{00000000-0005-0000-0000-000046580000}"/>
    <cellStyle name="Heading 3 6 4 5" xfId="15590" xr:uid="{00000000-0005-0000-0000-000047580000}"/>
    <cellStyle name="Heading 3 6 4 5 2" xfId="21086" xr:uid="{00000000-0005-0000-0000-000048580000}"/>
    <cellStyle name="Heading 3 6 4 6" xfId="12701" xr:uid="{00000000-0005-0000-0000-000049580000}"/>
    <cellStyle name="Heading 3 6 4 7" xfId="12419" xr:uid="{00000000-0005-0000-0000-00004A580000}"/>
    <cellStyle name="Heading 3 6 5" xfId="1871" xr:uid="{00000000-0005-0000-0000-00004B580000}"/>
    <cellStyle name="Heading 3 6 5 2" xfId="14259" xr:uid="{00000000-0005-0000-0000-00004C580000}"/>
    <cellStyle name="Heading 3 6 5 2 2" xfId="19305" xr:uid="{00000000-0005-0000-0000-00004D580000}"/>
    <cellStyle name="Heading 3 6 5 3" xfId="15043" xr:uid="{00000000-0005-0000-0000-00004E580000}"/>
    <cellStyle name="Heading 3 6 5 3 2" xfId="20404" xr:uid="{00000000-0005-0000-0000-00004F580000}"/>
    <cellStyle name="Heading 3 6 5 4" xfId="15865" xr:uid="{00000000-0005-0000-0000-000050580000}"/>
    <cellStyle name="Heading 3 6 5 4 2" xfId="21359" xr:uid="{00000000-0005-0000-0000-000051580000}"/>
    <cellStyle name="Heading 3 6 5 5" xfId="15589" xr:uid="{00000000-0005-0000-0000-000052580000}"/>
    <cellStyle name="Heading 3 6 5 5 2" xfId="21085" xr:uid="{00000000-0005-0000-0000-000053580000}"/>
    <cellStyle name="Heading 3 6 5 6" xfId="12702" xr:uid="{00000000-0005-0000-0000-000054580000}"/>
    <cellStyle name="Heading 3 6 5 7" xfId="12418" xr:uid="{00000000-0005-0000-0000-000055580000}"/>
    <cellStyle name="Heading 3 6 6" xfId="1872" xr:uid="{00000000-0005-0000-0000-000056580000}"/>
    <cellStyle name="Heading 3 6 6 2" xfId="14260" xr:uid="{00000000-0005-0000-0000-000057580000}"/>
    <cellStyle name="Heading 3 6 6 2 2" xfId="19306" xr:uid="{00000000-0005-0000-0000-000058580000}"/>
    <cellStyle name="Heading 3 6 6 3" xfId="14108" xr:uid="{00000000-0005-0000-0000-000059580000}"/>
    <cellStyle name="Heading 3 6 6 3 2" xfId="19095" xr:uid="{00000000-0005-0000-0000-00005A580000}"/>
    <cellStyle name="Heading 3 6 6 4" xfId="15866" xr:uid="{00000000-0005-0000-0000-00005B580000}"/>
    <cellStyle name="Heading 3 6 6 4 2" xfId="21360" xr:uid="{00000000-0005-0000-0000-00005C580000}"/>
    <cellStyle name="Heading 3 6 6 5" xfId="15588" xr:uid="{00000000-0005-0000-0000-00005D580000}"/>
    <cellStyle name="Heading 3 6 6 5 2" xfId="21084" xr:uid="{00000000-0005-0000-0000-00005E580000}"/>
    <cellStyle name="Heading 3 6 6 6" xfId="12703" xr:uid="{00000000-0005-0000-0000-00005F580000}"/>
    <cellStyle name="Heading 3 6 6 7" xfId="12417" xr:uid="{00000000-0005-0000-0000-000060580000}"/>
    <cellStyle name="Heading 3 6 7" xfId="1873" xr:uid="{00000000-0005-0000-0000-000061580000}"/>
    <cellStyle name="Heading 3 6 7 2" xfId="14261" xr:uid="{00000000-0005-0000-0000-000062580000}"/>
    <cellStyle name="Heading 3 6 7 2 2" xfId="19307" xr:uid="{00000000-0005-0000-0000-000063580000}"/>
    <cellStyle name="Heading 3 6 7 3" xfId="15042" xr:uid="{00000000-0005-0000-0000-000064580000}"/>
    <cellStyle name="Heading 3 6 7 3 2" xfId="20403" xr:uid="{00000000-0005-0000-0000-000065580000}"/>
    <cellStyle name="Heading 3 6 7 4" xfId="15867" xr:uid="{00000000-0005-0000-0000-000066580000}"/>
    <cellStyle name="Heading 3 6 7 4 2" xfId="21361" xr:uid="{00000000-0005-0000-0000-000067580000}"/>
    <cellStyle name="Heading 3 6 7 5" xfId="15587" xr:uid="{00000000-0005-0000-0000-000068580000}"/>
    <cellStyle name="Heading 3 6 7 5 2" xfId="21083" xr:uid="{00000000-0005-0000-0000-000069580000}"/>
    <cellStyle name="Heading 3 6 7 6" xfId="12704" xr:uid="{00000000-0005-0000-0000-00006A580000}"/>
    <cellStyle name="Heading 3 6 7 7" xfId="12416" xr:uid="{00000000-0005-0000-0000-00006B580000}"/>
    <cellStyle name="Heading 3 6 8" xfId="1874" xr:uid="{00000000-0005-0000-0000-00006C580000}"/>
    <cellStyle name="Heading 3 6 8 2" xfId="14262" xr:uid="{00000000-0005-0000-0000-00006D580000}"/>
    <cellStyle name="Heading 3 6 8 2 2" xfId="19308" xr:uid="{00000000-0005-0000-0000-00006E580000}"/>
    <cellStyle name="Heading 3 6 8 3" xfId="14109" xr:uid="{00000000-0005-0000-0000-00006F580000}"/>
    <cellStyle name="Heading 3 6 8 3 2" xfId="19096" xr:uid="{00000000-0005-0000-0000-000070580000}"/>
    <cellStyle name="Heading 3 6 8 4" xfId="15868" xr:uid="{00000000-0005-0000-0000-000071580000}"/>
    <cellStyle name="Heading 3 6 8 4 2" xfId="21362" xr:uid="{00000000-0005-0000-0000-000072580000}"/>
    <cellStyle name="Heading 3 6 8 5" xfId="15586" xr:uid="{00000000-0005-0000-0000-000073580000}"/>
    <cellStyle name="Heading 3 6 8 5 2" xfId="21082" xr:uid="{00000000-0005-0000-0000-000074580000}"/>
    <cellStyle name="Heading 3 6 8 6" xfId="12705" xr:uid="{00000000-0005-0000-0000-000075580000}"/>
    <cellStyle name="Heading 3 6 8 7" xfId="12415" xr:uid="{00000000-0005-0000-0000-000076580000}"/>
    <cellStyle name="Heading 3 6 9" xfId="1875" xr:uid="{00000000-0005-0000-0000-000077580000}"/>
    <cellStyle name="Heading 3 6 9 2" xfId="14263" xr:uid="{00000000-0005-0000-0000-000078580000}"/>
    <cellStyle name="Heading 3 6 9 2 2" xfId="19309" xr:uid="{00000000-0005-0000-0000-000079580000}"/>
    <cellStyle name="Heading 3 6 9 3" xfId="15041" xr:uid="{00000000-0005-0000-0000-00007A580000}"/>
    <cellStyle name="Heading 3 6 9 3 2" xfId="20402" xr:uid="{00000000-0005-0000-0000-00007B580000}"/>
    <cellStyle name="Heading 3 6 9 4" xfId="15869" xr:uid="{00000000-0005-0000-0000-00007C580000}"/>
    <cellStyle name="Heading 3 6 9 4 2" xfId="21363" xr:uid="{00000000-0005-0000-0000-00007D580000}"/>
    <cellStyle name="Heading 3 6 9 5" xfId="15585" xr:uid="{00000000-0005-0000-0000-00007E580000}"/>
    <cellStyle name="Heading 3 6 9 5 2" xfId="21081" xr:uid="{00000000-0005-0000-0000-00007F580000}"/>
    <cellStyle name="Heading 3 6 9 6" xfId="12706" xr:uid="{00000000-0005-0000-0000-000080580000}"/>
    <cellStyle name="Heading 3 6 9 7" xfId="12414" xr:uid="{00000000-0005-0000-0000-000081580000}"/>
    <cellStyle name="Heading 3 7" xfId="1876" xr:uid="{00000000-0005-0000-0000-000082580000}"/>
    <cellStyle name="Heading 3 7 2" xfId="14264" xr:uid="{00000000-0005-0000-0000-000083580000}"/>
    <cellStyle name="Heading 3 7 2 2" xfId="19310" xr:uid="{00000000-0005-0000-0000-000084580000}"/>
    <cellStyle name="Heading 3 7 3" xfId="14110" xr:uid="{00000000-0005-0000-0000-000085580000}"/>
    <cellStyle name="Heading 3 7 3 2" xfId="19097" xr:uid="{00000000-0005-0000-0000-000086580000}"/>
    <cellStyle name="Heading 3 7 4" xfId="15870" xr:uid="{00000000-0005-0000-0000-000087580000}"/>
    <cellStyle name="Heading 3 7 4 2" xfId="21364" xr:uid="{00000000-0005-0000-0000-000088580000}"/>
    <cellStyle name="Heading 3 7 5" xfId="15584" xr:uid="{00000000-0005-0000-0000-000089580000}"/>
    <cellStyle name="Heading 3 7 5 2" xfId="21080" xr:uid="{00000000-0005-0000-0000-00008A580000}"/>
    <cellStyle name="Heading 3 7 6" xfId="12707" xr:uid="{00000000-0005-0000-0000-00008B580000}"/>
    <cellStyle name="Heading 3 7 7" xfId="12413" xr:uid="{00000000-0005-0000-0000-00008C580000}"/>
    <cellStyle name="Heading 3 8" xfId="1877" xr:uid="{00000000-0005-0000-0000-00008D580000}"/>
    <cellStyle name="Heading 3 8 2" xfId="14265" xr:uid="{00000000-0005-0000-0000-00008E580000}"/>
    <cellStyle name="Heading 3 8 2 2" xfId="19311" xr:uid="{00000000-0005-0000-0000-00008F580000}"/>
    <cellStyle name="Heading 3 8 3" xfId="15040" xr:uid="{00000000-0005-0000-0000-000090580000}"/>
    <cellStyle name="Heading 3 8 3 2" xfId="20401" xr:uid="{00000000-0005-0000-0000-000091580000}"/>
    <cellStyle name="Heading 3 8 4" xfId="15871" xr:uid="{00000000-0005-0000-0000-000092580000}"/>
    <cellStyle name="Heading 3 8 4 2" xfId="21365" xr:uid="{00000000-0005-0000-0000-000093580000}"/>
    <cellStyle name="Heading 3 8 5" xfId="15583" xr:uid="{00000000-0005-0000-0000-000094580000}"/>
    <cellStyle name="Heading 3 8 5 2" xfId="21079" xr:uid="{00000000-0005-0000-0000-000095580000}"/>
    <cellStyle name="Heading 3 8 6" xfId="12708" xr:uid="{00000000-0005-0000-0000-000096580000}"/>
    <cellStyle name="Heading 3 8 7" xfId="12412" xr:uid="{00000000-0005-0000-0000-000097580000}"/>
    <cellStyle name="Heading 3 9" xfId="3355" xr:uid="{00000000-0005-0000-0000-000098580000}"/>
    <cellStyle name="Heading 3 9 2" xfId="14266" xr:uid="{00000000-0005-0000-0000-000099580000}"/>
    <cellStyle name="Heading 3 9 2 2" xfId="19312" xr:uid="{00000000-0005-0000-0000-00009A580000}"/>
    <cellStyle name="Heading 3 9 3" xfId="14111" xr:uid="{00000000-0005-0000-0000-00009B580000}"/>
    <cellStyle name="Heading 3 9 3 2" xfId="19098" xr:uid="{00000000-0005-0000-0000-00009C580000}"/>
    <cellStyle name="Heading 3 9 4" xfId="15872" xr:uid="{00000000-0005-0000-0000-00009D580000}"/>
    <cellStyle name="Heading 3 9 4 2" xfId="21366" xr:uid="{00000000-0005-0000-0000-00009E580000}"/>
    <cellStyle name="Heading 3 9 5" xfId="15582" xr:uid="{00000000-0005-0000-0000-00009F580000}"/>
    <cellStyle name="Heading 3 9 5 2" xfId="21078" xr:uid="{00000000-0005-0000-0000-0000A0580000}"/>
    <cellStyle name="Heading 3 9 6" xfId="12709" xr:uid="{00000000-0005-0000-0000-0000A1580000}"/>
    <cellStyle name="Heading 3 9 7" xfId="12411" xr:uid="{00000000-0005-0000-0000-0000A2580000}"/>
    <cellStyle name="Heading 4 10" xfId="3356" xr:uid="{00000000-0005-0000-0000-0000A3580000}"/>
    <cellStyle name="Heading 4 11" xfId="43410" xr:uid="{00000000-0005-0000-0000-0000A4580000}"/>
    <cellStyle name="Heading 4 12" xfId="43411" xr:uid="{00000000-0005-0000-0000-0000A5580000}"/>
    <cellStyle name="Heading 4 13" xfId="43412" xr:uid="{00000000-0005-0000-0000-0000A6580000}"/>
    <cellStyle name="Heading 4 14" xfId="43413" xr:uid="{00000000-0005-0000-0000-0000A7580000}"/>
    <cellStyle name="Heading 4 15" xfId="43414" xr:uid="{00000000-0005-0000-0000-0000A8580000}"/>
    <cellStyle name="Heading 4 16" xfId="43415" xr:uid="{00000000-0005-0000-0000-0000A9580000}"/>
    <cellStyle name="Heading 4 17" xfId="43416" xr:uid="{00000000-0005-0000-0000-0000AA580000}"/>
    <cellStyle name="Heading 4 18" xfId="43417" xr:uid="{00000000-0005-0000-0000-0000AB580000}"/>
    <cellStyle name="Heading 4 19" xfId="43418" xr:uid="{00000000-0005-0000-0000-0000AC580000}"/>
    <cellStyle name="Heading 4 2" xfId="1878" xr:uid="{00000000-0005-0000-0000-0000AD580000}"/>
    <cellStyle name="Heading 4 2 10" xfId="1879" xr:uid="{00000000-0005-0000-0000-0000AE580000}"/>
    <cellStyle name="Heading 4 2 10 2" xfId="8168" xr:uid="{00000000-0005-0000-0000-0000AF580000}"/>
    <cellStyle name="Heading 4 2 11" xfId="1880" xr:uid="{00000000-0005-0000-0000-0000B0580000}"/>
    <cellStyle name="Heading 4 2 2" xfId="1881" xr:uid="{00000000-0005-0000-0000-0000B1580000}"/>
    <cellStyle name="Heading 4 2 2 2" xfId="8169" xr:uid="{00000000-0005-0000-0000-0000B2580000}"/>
    <cellStyle name="Heading 4 2 3" xfId="1882" xr:uid="{00000000-0005-0000-0000-0000B3580000}"/>
    <cellStyle name="Heading 4 2 3 2" xfId="8170" xr:uid="{00000000-0005-0000-0000-0000B4580000}"/>
    <cellStyle name="Heading 4 2 4" xfId="1883" xr:uid="{00000000-0005-0000-0000-0000B5580000}"/>
    <cellStyle name="Heading 4 2 4 2" xfId="8171" xr:uid="{00000000-0005-0000-0000-0000B6580000}"/>
    <cellStyle name="Heading 4 2 5" xfId="1884" xr:uid="{00000000-0005-0000-0000-0000B7580000}"/>
    <cellStyle name="Heading 4 2 5 2" xfId="8172" xr:uid="{00000000-0005-0000-0000-0000B8580000}"/>
    <cellStyle name="Heading 4 2 6" xfId="1885" xr:uid="{00000000-0005-0000-0000-0000B9580000}"/>
    <cellStyle name="Heading 4 2 6 2" xfId="8173" xr:uid="{00000000-0005-0000-0000-0000BA580000}"/>
    <cellStyle name="Heading 4 2 7" xfId="1886" xr:uid="{00000000-0005-0000-0000-0000BB580000}"/>
    <cellStyle name="Heading 4 2 7 2" xfId="8174" xr:uid="{00000000-0005-0000-0000-0000BC580000}"/>
    <cellStyle name="Heading 4 2 8" xfId="1887" xr:uid="{00000000-0005-0000-0000-0000BD580000}"/>
    <cellStyle name="Heading 4 2 8 2" xfId="8175" xr:uid="{00000000-0005-0000-0000-0000BE580000}"/>
    <cellStyle name="Heading 4 2 9" xfId="1888" xr:uid="{00000000-0005-0000-0000-0000BF580000}"/>
    <cellStyle name="Heading 4 2 9 2" xfId="8176" xr:uid="{00000000-0005-0000-0000-0000C0580000}"/>
    <cellStyle name="Heading 4 20" xfId="43419" xr:uid="{00000000-0005-0000-0000-0000C1580000}"/>
    <cellStyle name="Heading 4 21" xfId="43420" xr:uid="{00000000-0005-0000-0000-0000C2580000}"/>
    <cellStyle name="Heading 4 22" xfId="43421" xr:uid="{00000000-0005-0000-0000-0000C3580000}"/>
    <cellStyle name="Heading 4 23" xfId="43422" xr:uid="{00000000-0005-0000-0000-0000C4580000}"/>
    <cellStyle name="Heading 4 24" xfId="43423" xr:uid="{00000000-0005-0000-0000-0000C5580000}"/>
    <cellStyle name="Heading 4 25" xfId="43424" xr:uid="{00000000-0005-0000-0000-0000C6580000}"/>
    <cellStyle name="Heading 4 26" xfId="43425" xr:uid="{00000000-0005-0000-0000-0000C7580000}"/>
    <cellStyle name="Heading 4 27" xfId="43426" xr:uid="{00000000-0005-0000-0000-0000C8580000}"/>
    <cellStyle name="Heading 4 28" xfId="43427" xr:uid="{00000000-0005-0000-0000-0000C9580000}"/>
    <cellStyle name="Heading 4 29" xfId="43428" xr:uid="{00000000-0005-0000-0000-0000CA580000}"/>
    <cellStyle name="Heading 4 3" xfId="1889" xr:uid="{00000000-0005-0000-0000-0000CB580000}"/>
    <cellStyle name="Heading 4 3 10" xfId="1890" xr:uid="{00000000-0005-0000-0000-0000CC580000}"/>
    <cellStyle name="Heading 4 3 11" xfId="1891" xr:uid="{00000000-0005-0000-0000-0000CD580000}"/>
    <cellStyle name="Heading 4 3 12" xfId="8177" xr:uid="{00000000-0005-0000-0000-0000CE580000}"/>
    <cellStyle name="Heading 4 3 2" xfId="1892" xr:uid="{00000000-0005-0000-0000-0000CF580000}"/>
    <cellStyle name="Heading 4 3 2 2" xfId="43429" xr:uid="{00000000-0005-0000-0000-0000D0580000}"/>
    <cellStyle name="Heading 4 3 3" xfId="1893" xr:uid="{00000000-0005-0000-0000-0000D1580000}"/>
    <cellStyle name="Heading 4 3 4" xfId="1894" xr:uid="{00000000-0005-0000-0000-0000D2580000}"/>
    <cellStyle name="Heading 4 3 5" xfId="1895" xr:uid="{00000000-0005-0000-0000-0000D3580000}"/>
    <cellStyle name="Heading 4 3 6" xfId="1896" xr:uid="{00000000-0005-0000-0000-0000D4580000}"/>
    <cellStyle name="Heading 4 3 7" xfId="1897" xr:uid="{00000000-0005-0000-0000-0000D5580000}"/>
    <cellStyle name="Heading 4 3 8" xfId="1898" xr:uid="{00000000-0005-0000-0000-0000D6580000}"/>
    <cellStyle name="Heading 4 3 9" xfId="1899" xr:uid="{00000000-0005-0000-0000-0000D7580000}"/>
    <cellStyle name="Heading 4 30" xfId="43430" xr:uid="{00000000-0005-0000-0000-0000D8580000}"/>
    <cellStyle name="Heading 4 31" xfId="43431" xr:uid="{00000000-0005-0000-0000-0000D9580000}"/>
    <cellStyle name="Heading 4 32" xfId="43432" xr:uid="{00000000-0005-0000-0000-0000DA580000}"/>
    <cellStyle name="Heading 4 33" xfId="43433" xr:uid="{00000000-0005-0000-0000-0000DB580000}"/>
    <cellStyle name="Heading 4 34" xfId="43434" xr:uid="{00000000-0005-0000-0000-0000DC580000}"/>
    <cellStyle name="Heading 4 35" xfId="43435" xr:uid="{00000000-0005-0000-0000-0000DD580000}"/>
    <cellStyle name="Heading 4 36" xfId="43436" xr:uid="{00000000-0005-0000-0000-0000DE580000}"/>
    <cellStyle name="Heading 4 37" xfId="43437" xr:uid="{00000000-0005-0000-0000-0000DF580000}"/>
    <cellStyle name="Heading 4 38" xfId="43438" xr:uid="{00000000-0005-0000-0000-0000E0580000}"/>
    <cellStyle name="Heading 4 39" xfId="43439" xr:uid="{00000000-0005-0000-0000-0000E1580000}"/>
    <cellStyle name="Heading 4 4" xfId="1900" xr:uid="{00000000-0005-0000-0000-0000E2580000}"/>
    <cellStyle name="Heading 4 4 10" xfId="1901" xr:uid="{00000000-0005-0000-0000-0000E3580000}"/>
    <cellStyle name="Heading 4 4 11" xfId="1902" xr:uid="{00000000-0005-0000-0000-0000E4580000}"/>
    <cellStyle name="Heading 4 4 2" xfId="1903" xr:uid="{00000000-0005-0000-0000-0000E5580000}"/>
    <cellStyle name="Heading 4 4 3" xfId="1904" xr:uid="{00000000-0005-0000-0000-0000E6580000}"/>
    <cellStyle name="Heading 4 4 4" xfId="1905" xr:uid="{00000000-0005-0000-0000-0000E7580000}"/>
    <cellStyle name="Heading 4 4 5" xfId="1906" xr:uid="{00000000-0005-0000-0000-0000E8580000}"/>
    <cellStyle name="Heading 4 4 6" xfId="1907" xr:uid="{00000000-0005-0000-0000-0000E9580000}"/>
    <cellStyle name="Heading 4 4 7" xfId="1908" xr:uid="{00000000-0005-0000-0000-0000EA580000}"/>
    <cellStyle name="Heading 4 4 8" xfId="1909" xr:uid="{00000000-0005-0000-0000-0000EB580000}"/>
    <cellStyle name="Heading 4 4 9" xfId="1910" xr:uid="{00000000-0005-0000-0000-0000EC580000}"/>
    <cellStyle name="Heading 4 40" xfId="43440" xr:uid="{00000000-0005-0000-0000-0000ED580000}"/>
    <cellStyle name="Heading 4 41" xfId="43441" xr:uid="{00000000-0005-0000-0000-0000EE580000}"/>
    <cellStyle name="Heading 4 5" xfId="1911" xr:uid="{00000000-0005-0000-0000-0000EF580000}"/>
    <cellStyle name="Heading 4 5 10" xfId="1912" xr:uid="{00000000-0005-0000-0000-0000F0580000}"/>
    <cellStyle name="Heading 4 5 11" xfId="1913" xr:uid="{00000000-0005-0000-0000-0000F1580000}"/>
    <cellStyle name="Heading 4 5 2" xfId="1914" xr:uid="{00000000-0005-0000-0000-0000F2580000}"/>
    <cellStyle name="Heading 4 5 3" xfId="1915" xr:uid="{00000000-0005-0000-0000-0000F3580000}"/>
    <cellStyle name="Heading 4 5 4" xfId="1916" xr:uid="{00000000-0005-0000-0000-0000F4580000}"/>
    <cellStyle name="Heading 4 5 5" xfId="1917" xr:uid="{00000000-0005-0000-0000-0000F5580000}"/>
    <cellStyle name="Heading 4 5 6" xfId="1918" xr:uid="{00000000-0005-0000-0000-0000F6580000}"/>
    <cellStyle name="Heading 4 5 7" xfId="1919" xr:uid="{00000000-0005-0000-0000-0000F7580000}"/>
    <cellStyle name="Heading 4 5 8" xfId="1920" xr:uid="{00000000-0005-0000-0000-0000F8580000}"/>
    <cellStyle name="Heading 4 5 9" xfId="1921" xr:uid="{00000000-0005-0000-0000-0000F9580000}"/>
    <cellStyle name="Heading 4 6" xfId="1922" xr:uid="{00000000-0005-0000-0000-0000FA580000}"/>
    <cellStyle name="Heading 4 6 10" xfId="1923" xr:uid="{00000000-0005-0000-0000-0000FB580000}"/>
    <cellStyle name="Heading 4 6 11" xfId="1924" xr:uid="{00000000-0005-0000-0000-0000FC580000}"/>
    <cellStyle name="Heading 4 6 2" xfId="1925" xr:uid="{00000000-0005-0000-0000-0000FD580000}"/>
    <cellStyle name="Heading 4 6 3" xfId="1926" xr:uid="{00000000-0005-0000-0000-0000FE580000}"/>
    <cellStyle name="Heading 4 6 4" xfId="1927" xr:uid="{00000000-0005-0000-0000-0000FF580000}"/>
    <cellStyle name="Heading 4 6 5" xfId="1928" xr:uid="{00000000-0005-0000-0000-000000590000}"/>
    <cellStyle name="Heading 4 6 6" xfId="1929" xr:uid="{00000000-0005-0000-0000-000001590000}"/>
    <cellStyle name="Heading 4 6 7" xfId="1930" xr:uid="{00000000-0005-0000-0000-000002590000}"/>
    <cellStyle name="Heading 4 6 8" xfId="1931" xr:uid="{00000000-0005-0000-0000-000003590000}"/>
    <cellStyle name="Heading 4 6 9" xfId="1932" xr:uid="{00000000-0005-0000-0000-000004590000}"/>
    <cellStyle name="Heading 4 7" xfId="1933" xr:uid="{00000000-0005-0000-0000-000005590000}"/>
    <cellStyle name="Heading 4 8" xfId="1934" xr:uid="{00000000-0005-0000-0000-000006590000}"/>
    <cellStyle name="Heading 4 9" xfId="3357" xr:uid="{00000000-0005-0000-0000-000007590000}"/>
    <cellStyle name="Headline" xfId="7017" xr:uid="{00000000-0005-0000-0000-000008590000}"/>
    <cellStyle name="Hivatkozott cella" xfId="3125" xr:uid="{00000000-0005-0000-0000-000009590000}"/>
    <cellStyle name="Hyperlink" xfId="46466" builtinId="8"/>
    <cellStyle name="Hyperlink 2" xfId="1935" xr:uid="{00000000-0005-0000-0000-00000A590000}"/>
    <cellStyle name="Hyperlink 2 2" xfId="1936" xr:uid="{00000000-0005-0000-0000-00000B590000}"/>
    <cellStyle name="Hyperlink 2 3" xfId="5957" xr:uid="{00000000-0005-0000-0000-00000C590000}"/>
    <cellStyle name="Hyperlink 3" xfId="8178" xr:uid="{00000000-0005-0000-0000-00000D590000}"/>
    <cellStyle name="Hyperlink 4" xfId="23428" xr:uid="{00000000-0005-0000-0000-00000E590000}"/>
    <cellStyle name="Input 10" xfId="3358" xr:uid="{00000000-0005-0000-0000-00000F590000}"/>
    <cellStyle name="Input 10 10" xfId="12710" xr:uid="{00000000-0005-0000-0000-000010590000}"/>
    <cellStyle name="Input 10 11" xfId="12410" xr:uid="{00000000-0005-0000-0000-000011590000}"/>
    <cellStyle name="Input 10 2" xfId="3359" xr:uid="{00000000-0005-0000-0000-000012590000}"/>
    <cellStyle name="Input 10 2 10" xfId="18044" xr:uid="{00000000-0005-0000-0000-000013590000}"/>
    <cellStyle name="Input 10 2 2" xfId="14743" xr:uid="{00000000-0005-0000-0000-000014590000}"/>
    <cellStyle name="Input 10 2 2 2" xfId="20064" xr:uid="{00000000-0005-0000-0000-000015590000}"/>
    <cellStyle name="Input 10 2 2 3" xfId="24559" xr:uid="{00000000-0005-0000-0000-000016590000}"/>
    <cellStyle name="Input 10 2 2 4" xfId="23891" xr:uid="{00000000-0005-0000-0000-000017590000}"/>
    <cellStyle name="Input 10 2 3" xfId="14454" xr:uid="{00000000-0005-0000-0000-000018590000}"/>
    <cellStyle name="Input 10 2 3 2" xfId="19593" xr:uid="{00000000-0005-0000-0000-000019590000}"/>
    <cellStyle name="Input 10 2 4" xfId="15226" xr:uid="{00000000-0005-0000-0000-00001A590000}"/>
    <cellStyle name="Input 10 2 4 2" xfId="20614" xr:uid="{00000000-0005-0000-0000-00001B590000}"/>
    <cellStyle name="Input 10 2 5" xfId="16439" xr:uid="{00000000-0005-0000-0000-00001C590000}"/>
    <cellStyle name="Input 10 2 5 2" xfId="22080" xr:uid="{00000000-0005-0000-0000-00001D590000}"/>
    <cellStyle name="Input 10 2 6" xfId="16802" xr:uid="{00000000-0005-0000-0000-00001E590000}"/>
    <cellStyle name="Input 10 2 6 2" xfId="22453" xr:uid="{00000000-0005-0000-0000-00001F590000}"/>
    <cellStyle name="Input 10 2 7" xfId="17522" xr:uid="{00000000-0005-0000-0000-000020590000}"/>
    <cellStyle name="Input 10 2 7 2" xfId="23167" xr:uid="{00000000-0005-0000-0000-000021590000}"/>
    <cellStyle name="Input 10 2 8" xfId="13726" xr:uid="{00000000-0005-0000-0000-000022590000}"/>
    <cellStyle name="Input 10 2 8 2" xfId="18700" xr:uid="{00000000-0005-0000-0000-000023590000}"/>
    <cellStyle name="Input 10 2 9" xfId="13053" xr:uid="{00000000-0005-0000-0000-000024590000}"/>
    <cellStyle name="Input 10 3" xfId="10930" xr:uid="{00000000-0005-0000-0000-000025590000}"/>
    <cellStyle name="Input 10 3 2" xfId="19313" xr:uid="{00000000-0005-0000-0000-000026590000}"/>
    <cellStyle name="Input 10 3 3" xfId="24261" xr:uid="{00000000-0005-0000-0000-000027590000}"/>
    <cellStyle name="Input 10 3 4" xfId="23570" xr:uid="{00000000-0005-0000-0000-000028590000}"/>
    <cellStyle name="Input 10 4" xfId="14112" xr:uid="{00000000-0005-0000-0000-000029590000}"/>
    <cellStyle name="Input 10 4 2" xfId="19099" xr:uid="{00000000-0005-0000-0000-00002A590000}"/>
    <cellStyle name="Input 10 5" xfId="15568" xr:uid="{00000000-0005-0000-0000-00002B590000}"/>
    <cellStyle name="Input 10 5 2" xfId="21064" xr:uid="{00000000-0005-0000-0000-00002C590000}"/>
    <cellStyle name="Input 10 6" xfId="15981" xr:uid="{00000000-0005-0000-0000-00002D590000}"/>
    <cellStyle name="Input 10 6 2" xfId="21475" xr:uid="{00000000-0005-0000-0000-00002E590000}"/>
    <cellStyle name="Input 10 7" xfId="15581" xr:uid="{00000000-0005-0000-0000-00002F590000}"/>
    <cellStyle name="Input 10 7 2" xfId="21077" xr:uid="{00000000-0005-0000-0000-000030590000}"/>
    <cellStyle name="Input 10 8" xfId="17205" xr:uid="{00000000-0005-0000-0000-000031590000}"/>
    <cellStyle name="Input 10 8 2" xfId="22849" xr:uid="{00000000-0005-0000-0000-000032590000}"/>
    <cellStyle name="Input 10 9" xfId="13405" xr:uid="{00000000-0005-0000-0000-000033590000}"/>
    <cellStyle name="Input 10 9 2" xfId="18382" xr:uid="{00000000-0005-0000-0000-000034590000}"/>
    <cellStyle name="Input 11 2" xfId="43442" xr:uid="{00000000-0005-0000-0000-000035590000}"/>
    <cellStyle name="Input 12 2" xfId="43443" xr:uid="{00000000-0005-0000-0000-000036590000}"/>
    <cellStyle name="Input 13 2" xfId="43444" xr:uid="{00000000-0005-0000-0000-000037590000}"/>
    <cellStyle name="Input 14 2" xfId="43445" xr:uid="{00000000-0005-0000-0000-000038590000}"/>
    <cellStyle name="Input 15 2" xfId="43446" xr:uid="{00000000-0005-0000-0000-000039590000}"/>
    <cellStyle name="Input 16 2" xfId="43447" xr:uid="{00000000-0005-0000-0000-00003A590000}"/>
    <cellStyle name="Input 17 2" xfId="43448" xr:uid="{00000000-0005-0000-0000-00003B590000}"/>
    <cellStyle name="Input 18 2" xfId="43449" xr:uid="{00000000-0005-0000-0000-00003C590000}"/>
    <cellStyle name="Input 19 2" xfId="43450" xr:uid="{00000000-0005-0000-0000-00003D590000}"/>
    <cellStyle name="Input 2" xfId="1937" xr:uid="{00000000-0005-0000-0000-00003E590000}"/>
    <cellStyle name="Input 2 10" xfId="1938" xr:uid="{00000000-0005-0000-0000-00003F590000}"/>
    <cellStyle name="Input 2 10 10" xfId="12712" xr:uid="{00000000-0005-0000-0000-000040590000}"/>
    <cellStyle name="Input 2 10 11" xfId="12408" xr:uid="{00000000-0005-0000-0000-000041590000}"/>
    <cellStyle name="Input 2 10 2" xfId="3360" xr:uid="{00000000-0005-0000-0000-000042590000}"/>
    <cellStyle name="Input 2 10 2 10" xfId="18046" xr:uid="{00000000-0005-0000-0000-000043590000}"/>
    <cellStyle name="Input 2 10 2 2" xfId="8179" xr:uid="{00000000-0005-0000-0000-000044590000}"/>
    <cellStyle name="Input 2 10 2 2 2" xfId="20066" xr:uid="{00000000-0005-0000-0000-000045590000}"/>
    <cellStyle name="Input 2 10 2 2 2 2" xfId="44953" xr:uid="{00000000-0005-0000-0000-000046590000}"/>
    <cellStyle name="Input 2 10 2 2 3" xfId="14745" xr:uid="{00000000-0005-0000-0000-000047590000}"/>
    <cellStyle name="Input 2 10 2 2 3 2" xfId="24561" xr:uid="{00000000-0005-0000-0000-000048590000}"/>
    <cellStyle name="Input 2 10 2 2 4" xfId="23893" xr:uid="{00000000-0005-0000-0000-000049590000}"/>
    <cellStyle name="Input 2 10 2 3" xfId="11063" xr:uid="{00000000-0005-0000-0000-00004A590000}"/>
    <cellStyle name="Input 2 10 2 3 2" xfId="19595" xr:uid="{00000000-0005-0000-0000-00004B590000}"/>
    <cellStyle name="Input 2 10 2 4" xfId="15224" xr:uid="{00000000-0005-0000-0000-00004C590000}"/>
    <cellStyle name="Input 2 10 2 4 2" xfId="20612" xr:uid="{00000000-0005-0000-0000-00004D590000}"/>
    <cellStyle name="Input 2 10 2 5" xfId="16441" xr:uid="{00000000-0005-0000-0000-00004E590000}"/>
    <cellStyle name="Input 2 10 2 5 2" xfId="22082" xr:uid="{00000000-0005-0000-0000-00004F590000}"/>
    <cellStyle name="Input 2 10 2 6" xfId="16804" xr:uid="{00000000-0005-0000-0000-000050590000}"/>
    <cellStyle name="Input 2 10 2 6 2" xfId="22455" xr:uid="{00000000-0005-0000-0000-000051590000}"/>
    <cellStyle name="Input 2 10 2 7" xfId="17524" xr:uid="{00000000-0005-0000-0000-000052590000}"/>
    <cellStyle name="Input 2 10 2 7 2" xfId="23169" xr:uid="{00000000-0005-0000-0000-000053590000}"/>
    <cellStyle name="Input 2 10 2 8" xfId="13728" xr:uid="{00000000-0005-0000-0000-000054590000}"/>
    <cellStyle name="Input 2 10 2 8 2" xfId="18702" xr:uid="{00000000-0005-0000-0000-000055590000}"/>
    <cellStyle name="Input 2 10 2 9" xfId="13055" xr:uid="{00000000-0005-0000-0000-000056590000}"/>
    <cellStyle name="Input 2 10 3" xfId="10902" xr:uid="{00000000-0005-0000-0000-000057590000}"/>
    <cellStyle name="Input 2 10 3 2" xfId="19315" xr:uid="{00000000-0005-0000-0000-000058590000}"/>
    <cellStyle name="Input 2 10 3 3" xfId="24259" xr:uid="{00000000-0005-0000-0000-000059590000}"/>
    <cellStyle name="Input 2 10 3 4" xfId="23572" xr:uid="{00000000-0005-0000-0000-00005A590000}"/>
    <cellStyle name="Input 2 10 4" xfId="14113" xr:uid="{00000000-0005-0000-0000-00005B590000}"/>
    <cellStyle name="Input 2 10 4 2" xfId="19100" xr:uid="{00000000-0005-0000-0000-00005C590000}"/>
    <cellStyle name="Input 2 10 4 3" xfId="41642" xr:uid="{00000000-0005-0000-0000-00005D590000}"/>
    <cellStyle name="Input 2 10 5" xfId="15566" xr:uid="{00000000-0005-0000-0000-00005E590000}"/>
    <cellStyle name="Input 2 10 5 2" xfId="21062" xr:uid="{00000000-0005-0000-0000-00005F590000}"/>
    <cellStyle name="Input 2 10 6" xfId="15983" xr:uid="{00000000-0005-0000-0000-000060590000}"/>
    <cellStyle name="Input 2 10 6 2" xfId="21477" xr:uid="{00000000-0005-0000-0000-000061590000}"/>
    <cellStyle name="Input 2 10 7" xfId="15579" xr:uid="{00000000-0005-0000-0000-000062590000}"/>
    <cellStyle name="Input 2 10 7 2" xfId="21075" xr:uid="{00000000-0005-0000-0000-000063590000}"/>
    <cellStyle name="Input 2 10 8" xfId="17207" xr:uid="{00000000-0005-0000-0000-000064590000}"/>
    <cellStyle name="Input 2 10 8 2" xfId="22851" xr:uid="{00000000-0005-0000-0000-000065590000}"/>
    <cellStyle name="Input 2 10 9" xfId="13407" xr:uid="{00000000-0005-0000-0000-000066590000}"/>
    <cellStyle name="Input 2 10 9 2" xfId="18384" xr:uid="{00000000-0005-0000-0000-000067590000}"/>
    <cellStyle name="Input 2 11" xfId="1939" xr:uid="{00000000-0005-0000-0000-000068590000}"/>
    <cellStyle name="Input 2 11 10" xfId="12713" xr:uid="{00000000-0005-0000-0000-000069590000}"/>
    <cellStyle name="Input 2 11 11" xfId="12407" xr:uid="{00000000-0005-0000-0000-00006A590000}"/>
    <cellStyle name="Input 2 11 2" xfId="3361" xr:uid="{00000000-0005-0000-0000-00006B590000}"/>
    <cellStyle name="Input 2 11 2 10" xfId="18047" xr:uid="{00000000-0005-0000-0000-00006C590000}"/>
    <cellStyle name="Input 2 11 2 2" xfId="14746" xr:uid="{00000000-0005-0000-0000-00006D590000}"/>
    <cellStyle name="Input 2 11 2 2 2" xfId="20067" xr:uid="{00000000-0005-0000-0000-00006E590000}"/>
    <cellStyle name="Input 2 11 2 2 3" xfId="24562" xr:uid="{00000000-0005-0000-0000-00006F590000}"/>
    <cellStyle name="Input 2 11 2 2 4" xfId="23894" xr:uid="{00000000-0005-0000-0000-000070590000}"/>
    <cellStyle name="Input 2 11 2 3" xfId="14456" xr:uid="{00000000-0005-0000-0000-000071590000}"/>
    <cellStyle name="Input 2 11 2 3 2" xfId="19596" xr:uid="{00000000-0005-0000-0000-000072590000}"/>
    <cellStyle name="Input 2 11 2 4" xfId="15223" xr:uid="{00000000-0005-0000-0000-000073590000}"/>
    <cellStyle name="Input 2 11 2 4 2" xfId="20611" xr:uid="{00000000-0005-0000-0000-000074590000}"/>
    <cellStyle name="Input 2 11 2 5" xfId="16442" xr:uid="{00000000-0005-0000-0000-000075590000}"/>
    <cellStyle name="Input 2 11 2 5 2" xfId="22083" xr:uid="{00000000-0005-0000-0000-000076590000}"/>
    <cellStyle name="Input 2 11 2 6" xfId="16805" xr:uid="{00000000-0005-0000-0000-000077590000}"/>
    <cellStyle name="Input 2 11 2 6 2" xfId="22456" xr:uid="{00000000-0005-0000-0000-000078590000}"/>
    <cellStyle name="Input 2 11 2 7" xfId="17525" xr:uid="{00000000-0005-0000-0000-000079590000}"/>
    <cellStyle name="Input 2 11 2 7 2" xfId="23170" xr:uid="{00000000-0005-0000-0000-00007A590000}"/>
    <cellStyle name="Input 2 11 2 8" xfId="13729" xr:uid="{00000000-0005-0000-0000-00007B590000}"/>
    <cellStyle name="Input 2 11 2 8 2" xfId="18703" xr:uid="{00000000-0005-0000-0000-00007C590000}"/>
    <cellStyle name="Input 2 11 2 9" xfId="13056" xr:uid="{00000000-0005-0000-0000-00007D590000}"/>
    <cellStyle name="Input 2 11 3" xfId="10886" xr:uid="{00000000-0005-0000-0000-00007E590000}"/>
    <cellStyle name="Input 2 11 3 2" xfId="19316" xr:uid="{00000000-0005-0000-0000-00007F590000}"/>
    <cellStyle name="Input 2 11 3 3" xfId="24258" xr:uid="{00000000-0005-0000-0000-000080590000}"/>
    <cellStyle name="Input 2 11 3 4" xfId="23573" xr:uid="{00000000-0005-0000-0000-000081590000}"/>
    <cellStyle name="Input 2 11 4" xfId="15038" xr:uid="{00000000-0005-0000-0000-000082590000}"/>
    <cellStyle name="Input 2 11 4 2" xfId="20399" xr:uid="{00000000-0005-0000-0000-000083590000}"/>
    <cellStyle name="Input 2 11 5" xfId="15565" xr:uid="{00000000-0005-0000-0000-000084590000}"/>
    <cellStyle name="Input 2 11 5 2" xfId="21061" xr:uid="{00000000-0005-0000-0000-000085590000}"/>
    <cellStyle name="Input 2 11 6" xfId="15984" xr:uid="{00000000-0005-0000-0000-000086590000}"/>
    <cellStyle name="Input 2 11 6 2" xfId="21478" xr:uid="{00000000-0005-0000-0000-000087590000}"/>
    <cellStyle name="Input 2 11 7" xfId="15578" xr:uid="{00000000-0005-0000-0000-000088590000}"/>
    <cellStyle name="Input 2 11 7 2" xfId="21074" xr:uid="{00000000-0005-0000-0000-000089590000}"/>
    <cellStyle name="Input 2 11 8" xfId="17208" xr:uid="{00000000-0005-0000-0000-00008A590000}"/>
    <cellStyle name="Input 2 11 8 2" xfId="22852" xr:uid="{00000000-0005-0000-0000-00008B590000}"/>
    <cellStyle name="Input 2 11 9" xfId="13408" xr:uid="{00000000-0005-0000-0000-00008C590000}"/>
    <cellStyle name="Input 2 11 9 2" xfId="18385" xr:uid="{00000000-0005-0000-0000-00008D590000}"/>
    <cellStyle name="Input 2 12" xfId="3362" xr:uid="{00000000-0005-0000-0000-00008E590000}"/>
    <cellStyle name="Input 2 12 10" xfId="18045" xr:uid="{00000000-0005-0000-0000-00008F590000}"/>
    <cellStyle name="Input 2 12 2" xfId="14744" xr:uid="{00000000-0005-0000-0000-000090590000}"/>
    <cellStyle name="Input 2 12 2 2" xfId="20065" xr:uid="{00000000-0005-0000-0000-000091590000}"/>
    <cellStyle name="Input 2 12 2 3" xfId="24560" xr:uid="{00000000-0005-0000-0000-000092590000}"/>
    <cellStyle name="Input 2 12 2 4" xfId="23892" xr:uid="{00000000-0005-0000-0000-000093590000}"/>
    <cellStyle name="Input 2 12 3" xfId="14455" xr:uid="{00000000-0005-0000-0000-000094590000}"/>
    <cellStyle name="Input 2 12 3 2" xfId="19594" xr:uid="{00000000-0005-0000-0000-000095590000}"/>
    <cellStyle name="Input 2 12 4" xfId="15225" xr:uid="{00000000-0005-0000-0000-000096590000}"/>
    <cellStyle name="Input 2 12 4 2" xfId="20613" xr:uid="{00000000-0005-0000-0000-000097590000}"/>
    <cellStyle name="Input 2 12 5" xfId="16440" xr:uid="{00000000-0005-0000-0000-000098590000}"/>
    <cellStyle name="Input 2 12 5 2" xfId="22081" xr:uid="{00000000-0005-0000-0000-000099590000}"/>
    <cellStyle name="Input 2 12 6" xfId="16803" xr:uid="{00000000-0005-0000-0000-00009A590000}"/>
    <cellStyle name="Input 2 12 6 2" xfId="22454" xr:uid="{00000000-0005-0000-0000-00009B590000}"/>
    <cellStyle name="Input 2 12 7" xfId="17523" xr:uid="{00000000-0005-0000-0000-00009C590000}"/>
    <cellStyle name="Input 2 12 7 2" xfId="23168" xr:uid="{00000000-0005-0000-0000-00009D590000}"/>
    <cellStyle name="Input 2 12 8" xfId="13727" xr:uid="{00000000-0005-0000-0000-00009E590000}"/>
    <cellStyle name="Input 2 12 8 2" xfId="18701" xr:uid="{00000000-0005-0000-0000-00009F590000}"/>
    <cellStyle name="Input 2 12 9" xfId="13054" xr:uid="{00000000-0005-0000-0000-0000A0590000}"/>
    <cellStyle name="Input 2 13" xfId="10916" xr:uid="{00000000-0005-0000-0000-0000A1590000}"/>
    <cellStyle name="Input 2 13 2" xfId="19314" xr:uid="{00000000-0005-0000-0000-0000A2590000}"/>
    <cellStyle name="Input 2 13 3" xfId="24260" xr:uid="{00000000-0005-0000-0000-0000A3590000}"/>
    <cellStyle name="Input 2 13 4" xfId="23571" xr:uid="{00000000-0005-0000-0000-0000A4590000}"/>
    <cellStyle name="Input 2 14" xfId="15039" xr:uid="{00000000-0005-0000-0000-0000A5590000}"/>
    <cellStyle name="Input 2 14 2" xfId="20400" xr:uid="{00000000-0005-0000-0000-0000A6590000}"/>
    <cellStyle name="Input 2 15" xfId="15567" xr:uid="{00000000-0005-0000-0000-0000A7590000}"/>
    <cellStyle name="Input 2 15 2" xfId="21063" xr:uid="{00000000-0005-0000-0000-0000A8590000}"/>
    <cellStyle name="Input 2 16" xfId="15982" xr:uid="{00000000-0005-0000-0000-0000A9590000}"/>
    <cellStyle name="Input 2 16 2" xfId="21476" xr:uid="{00000000-0005-0000-0000-0000AA590000}"/>
    <cellStyle name="Input 2 17" xfId="15580" xr:uid="{00000000-0005-0000-0000-0000AB590000}"/>
    <cellStyle name="Input 2 17 2" xfId="21076" xr:uid="{00000000-0005-0000-0000-0000AC590000}"/>
    <cellStyle name="Input 2 18" xfId="17206" xr:uid="{00000000-0005-0000-0000-0000AD590000}"/>
    <cellStyle name="Input 2 18 2" xfId="22850" xr:uid="{00000000-0005-0000-0000-0000AE590000}"/>
    <cellStyle name="Input 2 19" xfId="13406" xr:uid="{00000000-0005-0000-0000-0000AF590000}"/>
    <cellStyle name="Input 2 19 2" xfId="18383" xr:uid="{00000000-0005-0000-0000-0000B0590000}"/>
    <cellStyle name="Input 2 2" xfId="1940" xr:uid="{00000000-0005-0000-0000-0000B1590000}"/>
    <cellStyle name="Input 2 2 10" xfId="12714" xr:uid="{00000000-0005-0000-0000-0000B2590000}"/>
    <cellStyle name="Input 2 2 11" xfId="12406" xr:uid="{00000000-0005-0000-0000-0000B3590000}"/>
    <cellStyle name="Input 2 2 2" xfId="3363" xr:uid="{00000000-0005-0000-0000-0000B4590000}"/>
    <cellStyle name="Input 2 2 2 10" xfId="18048" xr:uid="{00000000-0005-0000-0000-0000B5590000}"/>
    <cellStyle name="Input 2 2 2 2" xfId="8180" xr:uid="{00000000-0005-0000-0000-0000B6590000}"/>
    <cellStyle name="Input 2 2 2 2 2" xfId="20068" xr:uid="{00000000-0005-0000-0000-0000B7590000}"/>
    <cellStyle name="Input 2 2 2 2 2 2" xfId="44954" xr:uid="{00000000-0005-0000-0000-0000B8590000}"/>
    <cellStyle name="Input 2 2 2 2 3" xfId="14747" xr:uid="{00000000-0005-0000-0000-0000B9590000}"/>
    <cellStyle name="Input 2 2 2 2 3 2" xfId="24563" xr:uid="{00000000-0005-0000-0000-0000BA590000}"/>
    <cellStyle name="Input 2 2 2 2 4" xfId="23895" xr:uid="{00000000-0005-0000-0000-0000BB590000}"/>
    <cellStyle name="Input 2 2 2 3" xfId="11064" xr:uid="{00000000-0005-0000-0000-0000BC590000}"/>
    <cellStyle name="Input 2 2 2 3 2" xfId="19597" xr:uid="{00000000-0005-0000-0000-0000BD590000}"/>
    <cellStyle name="Input 2 2 2 4" xfId="15222" xr:uid="{00000000-0005-0000-0000-0000BE590000}"/>
    <cellStyle name="Input 2 2 2 4 2" xfId="20610" xr:uid="{00000000-0005-0000-0000-0000BF590000}"/>
    <cellStyle name="Input 2 2 2 4 3" xfId="43451" xr:uid="{00000000-0005-0000-0000-0000C0590000}"/>
    <cellStyle name="Input 2 2 2 5" xfId="16443" xr:uid="{00000000-0005-0000-0000-0000C1590000}"/>
    <cellStyle name="Input 2 2 2 5 2" xfId="22084" xr:uid="{00000000-0005-0000-0000-0000C2590000}"/>
    <cellStyle name="Input 2 2 2 6" xfId="16806" xr:uid="{00000000-0005-0000-0000-0000C3590000}"/>
    <cellStyle name="Input 2 2 2 6 2" xfId="22457" xr:uid="{00000000-0005-0000-0000-0000C4590000}"/>
    <cellStyle name="Input 2 2 2 7" xfId="17526" xr:uid="{00000000-0005-0000-0000-0000C5590000}"/>
    <cellStyle name="Input 2 2 2 7 2" xfId="23171" xr:uid="{00000000-0005-0000-0000-0000C6590000}"/>
    <cellStyle name="Input 2 2 2 8" xfId="13730" xr:uid="{00000000-0005-0000-0000-0000C7590000}"/>
    <cellStyle name="Input 2 2 2 8 2" xfId="18704" xr:uid="{00000000-0005-0000-0000-0000C8590000}"/>
    <cellStyle name="Input 2 2 2 9" xfId="13057" xr:uid="{00000000-0005-0000-0000-0000C9590000}"/>
    <cellStyle name="Input 2 2 3" xfId="10646" xr:uid="{00000000-0005-0000-0000-0000CA590000}"/>
    <cellStyle name="Input 2 2 3 2" xfId="19317" xr:uid="{00000000-0005-0000-0000-0000CB590000}"/>
    <cellStyle name="Input 2 2 3 3" xfId="24257" xr:uid="{00000000-0005-0000-0000-0000CC590000}"/>
    <cellStyle name="Input 2 2 3 4" xfId="23574" xr:uid="{00000000-0005-0000-0000-0000CD590000}"/>
    <cellStyle name="Input 2 2 4" xfId="14114" xr:uid="{00000000-0005-0000-0000-0000CE590000}"/>
    <cellStyle name="Input 2 2 4 2" xfId="19101" xr:uid="{00000000-0005-0000-0000-0000CF590000}"/>
    <cellStyle name="Input 2 2 4 3" xfId="41643" xr:uid="{00000000-0005-0000-0000-0000D0590000}"/>
    <cellStyle name="Input 2 2 5" xfId="15564" xr:uid="{00000000-0005-0000-0000-0000D1590000}"/>
    <cellStyle name="Input 2 2 5 2" xfId="21060" xr:uid="{00000000-0005-0000-0000-0000D2590000}"/>
    <cellStyle name="Input 2 2 6" xfId="15985" xr:uid="{00000000-0005-0000-0000-0000D3590000}"/>
    <cellStyle name="Input 2 2 6 2" xfId="21479" xr:uid="{00000000-0005-0000-0000-0000D4590000}"/>
    <cellStyle name="Input 2 2 7" xfId="15577" xr:uid="{00000000-0005-0000-0000-0000D5590000}"/>
    <cellStyle name="Input 2 2 7 2" xfId="21073" xr:uid="{00000000-0005-0000-0000-0000D6590000}"/>
    <cellStyle name="Input 2 2 8" xfId="17209" xr:uid="{00000000-0005-0000-0000-0000D7590000}"/>
    <cellStyle name="Input 2 2 8 2" xfId="22853" xr:uid="{00000000-0005-0000-0000-0000D8590000}"/>
    <cellStyle name="Input 2 2 9" xfId="13409" xr:uid="{00000000-0005-0000-0000-0000D9590000}"/>
    <cellStyle name="Input 2 2 9 2" xfId="18386" xr:uid="{00000000-0005-0000-0000-0000DA590000}"/>
    <cellStyle name="Input 2 20" xfId="12711" xr:uid="{00000000-0005-0000-0000-0000DB590000}"/>
    <cellStyle name="Input 2 21" xfId="12409" xr:uid="{00000000-0005-0000-0000-0000DC590000}"/>
    <cellStyle name="Input 2 3" xfId="1941" xr:uid="{00000000-0005-0000-0000-0000DD590000}"/>
    <cellStyle name="Input 2 3 10" xfId="12715" xr:uid="{00000000-0005-0000-0000-0000DE590000}"/>
    <cellStyle name="Input 2 3 11" xfId="12405" xr:uid="{00000000-0005-0000-0000-0000DF590000}"/>
    <cellStyle name="Input 2 3 2" xfId="3364" xr:uid="{00000000-0005-0000-0000-0000E0590000}"/>
    <cellStyle name="Input 2 3 2 10" xfId="18049" xr:uid="{00000000-0005-0000-0000-0000E1590000}"/>
    <cellStyle name="Input 2 3 2 2" xfId="8181" xr:uid="{00000000-0005-0000-0000-0000E2590000}"/>
    <cellStyle name="Input 2 3 2 2 2" xfId="20069" xr:uid="{00000000-0005-0000-0000-0000E3590000}"/>
    <cellStyle name="Input 2 3 2 2 2 2" xfId="44955" xr:uid="{00000000-0005-0000-0000-0000E4590000}"/>
    <cellStyle name="Input 2 3 2 2 3" xfId="14748" xr:uid="{00000000-0005-0000-0000-0000E5590000}"/>
    <cellStyle name="Input 2 3 2 2 3 2" xfId="24564" xr:uid="{00000000-0005-0000-0000-0000E6590000}"/>
    <cellStyle name="Input 2 3 2 2 4" xfId="23896" xr:uid="{00000000-0005-0000-0000-0000E7590000}"/>
    <cellStyle name="Input 2 3 2 3" xfId="11065" xr:uid="{00000000-0005-0000-0000-0000E8590000}"/>
    <cellStyle name="Input 2 3 2 3 2" xfId="19598" xr:uid="{00000000-0005-0000-0000-0000E9590000}"/>
    <cellStyle name="Input 2 3 2 4" xfId="15221" xr:uid="{00000000-0005-0000-0000-0000EA590000}"/>
    <cellStyle name="Input 2 3 2 4 2" xfId="20609" xr:uid="{00000000-0005-0000-0000-0000EB590000}"/>
    <cellStyle name="Input 2 3 2 5" xfId="16444" xr:uid="{00000000-0005-0000-0000-0000EC590000}"/>
    <cellStyle name="Input 2 3 2 5 2" xfId="22085" xr:uid="{00000000-0005-0000-0000-0000ED590000}"/>
    <cellStyle name="Input 2 3 2 6" xfId="16807" xr:uid="{00000000-0005-0000-0000-0000EE590000}"/>
    <cellStyle name="Input 2 3 2 6 2" xfId="22458" xr:uid="{00000000-0005-0000-0000-0000EF590000}"/>
    <cellStyle name="Input 2 3 2 7" xfId="17527" xr:uid="{00000000-0005-0000-0000-0000F0590000}"/>
    <cellStyle name="Input 2 3 2 7 2" xfId="23172" xr:uid="{00000000-0005-0000-0000-0000F1590000}"/>
    <cellStyle name="Input 2 3 2 8" xfId="13731" xr:uid="{00000000-0005-0000-0000-0000F2590000}"/>
    <cellStyle name="Input 2 3 2 8 2" xfId="18705" xr:uid="{00000000-0005-0000-0000-0000F3590000}"/>
    <cellStyle name="Input 2 3 2 9" xfId="13058" xr:uid="{00000000-0005-0000-0000-0000F4590000}"/>
    <cellStyle name="Input 2 3 3" xfId="10632" xr:uid="{00000000-0005-0000-0000-0000F5590000}"/>
    <cellStyle name="Input 2 3 3 2" xfId="19318" xr:uid="{00000000-0005-0000-0000-0000F6590000}"/>
    <cellStyle name="Input 2 3 3 3" xfId="24256" xr:uid="{00000000-0005-0000-0000-0000F7590000}"/>
    <cellStyle name="Input 2 3 3 4" xfId="23575" xr:uid="{00000000-0005-0000-0000-0000F8590000}"/>
    <cellStyle name="Input 2 3 4" xfId="15037" xr:uid="{00000000-0005-0000-0000-0000F9590000}"/>
    <cellStyle name="Input 2 3 4 2" xfId="20398" xr:uid="{00000000-0005-0000-0000-0000FA590000}"/>
    <cellStyle name="Input 2 3 4 3" xfId="41644" xr:uid="{00000000-0005-0000-0000-0000FB590000}"/>
    <cellStyle name="Input 2 3 5" xfId="15563" xr:uid="{00000000-0005-0000-0000-0000FC590000}"/>
    <cellStyle name="Input 2 3 5 2" xfId="21059" xr:uid="{00000000-0005-0000-0000-0000FD590000}"/>
    <cellStyle name="Input 2 3 6" xfId="15986" xr:uid="{00000000-0005-0000-0000-0000FE590000}"/>
    <cellStyle name="Input 2 3 6 2" xfId="21480" xr:uid="{00000000-0005-0000-0000-0000FF590000}"/>
    <cellStyle name="Input 2 3 7" xfId="15576" xr:uid="{00000000-0005-0000-0000-0000005A0000}"/>
    <cellStyle name="Input 2 3 7 2" xfId="21072" xr:uid="{00000000-0005-0000-0000-0000015A0000}"/>
    <cellStyle name="Input 2 3 8" xfId="17210" xr:uid="{00000000-0005-0000-0000-0000025A0000}"/>
    <cellStyle name="Input 2 3 8 2" xfId="22854" xr:uid="{00000000-0005-0000-0000-0000035A0000}"/>
    <cellStyle name="Input 2 3 9" xfId="13410" xr:uid="{00000000-0005-0000-0000-0000045A0000}"/>
    <cellStyle name="Input 2 3 9 2" xfId="18387" xr:uid="{00000000-0005-0000-0000-0000055A0000}"/>
    <cellStyle name="Input 2 4" xfId="1942" xr:uid="{00000000-0005-0000-0000-0000065A0000}"/>
    <cellStyle name="Input 2 4 10" xfId="12716" xr:uid="{00000000-0005-0000-0000-0000075A0000}"/>
    <cellStyle name="Input 2 4 11" xfId="12404" xr:uid="{00000000-0005-0000-0000-0000085A0000}"/>
    <cellStyle name="Input 2 4 2" xfId="3365" xr:uid="{00000000-0005-0000-0000-0000095A0000}"/>
    <cellStyle name="Input 2 4 2 10" xfId="18050" xr:uid="{00000000-0005-0000-0000-00000A5A0000}"/>
    <cellStyle name="Input 2 4 2 2" xfId="8182" xr:uid="{00000000-0005-0000-0000-00000B5A0000}"/>
    <cellStyle name="Input 2 4 2 2 2" xfId="20070" xr:uid="{00000000-0005-0000-0000-00000C5A0000}"/>
    <cellStyle name="Input 2 4 2 2 2 2" xfId="44956" xr:uid="{00000000-0005-0000-0000-00000D5A0000}"/>
    <cellStyle name="Input 2 4 2 2 3" xfId="14749" xr:uid="{00000000-0005-0000-0000-00000E5A0000}"/>
    <cellStyle name="Input 2 4 2 2 3 2" xfId="24565" xr:uid="{00000000-0005-0000-0000-00000F5A0000}"/>
    <cellStyle name="Input 2 4 2 2 4" xfId="23897" xr:uid="{00000000-0005-0000-0000-0000105A0000}"/>
    <cellStyle name="Input 2 4 2 3" xfId="11066" xr:uid="{00000000-0005-0000-0000-0000115A0000}"/>
    <cellStyle name="Input 2 4 2 3 2" xfId="19599" xr:uid="{00000000-0005-0000-0000-0000125A0000}"/>
    <cellStyle name="Input 2 4 2 4" xfId="15220" xr:uid="{00000000-0005-0000-0000-0000135A0000}"/>
    <cellStyle name="Input 2 4 2 4 2" xfId="20608" xr:uid="{00000000-0005-0000-0000-0000145A0000}"/>
    <cellStyle name="Input 2 4 2 5" xfId="16445" xr:uid="{00000000-0005-0000-0000-0000155A0000}"/>
    <cellStyle name="Input 2 4 2 5 2" xfId="22086" xr:uid="{00000000-0005-0000-0000-0000165A0000}"/>
    <cellStyle name="Input 2 4 2 6" xfId="16808" xr:uid="{00000000-0005-0000-0000-0000175A0000}"/>
    <cellStyle name="Input 2 4 2 6 2" xfId="22459" xr:uid="{00000000-0005-0000-0000-0000185A0000}"/>
    <cellStyle name="Input 2 4 2 7" xfId="17528" xr:uid="{00000000-0005-0000-0000-0000195A0000}"/>
    <cellStyle name="Input 2 4 2 7 2" xfId="23173" xr:uid="{00000000-0005-0000-0000-00001A5A0000}"/>
    <cellStyle name="Input 2 4 2 8" xfId="13732" xr:uid="{00000000-0005-0000-0000-00001B5A0000}"/>
    <cellStyle name="Input 2 4 2 8 2" xfId="18706" xr:uid="{00000000-0005-0000-0000-00001C5A0000}"/>
    <cellStyle name="Input 2 4 2 9" xfId="13059" xr:uid="{00000000-0005-0000-0000-00001D5A0000}"/>
    <cellStyle name="Input 2 4 3" xfId="10619" xr:uid="{00000000-0005-0000-0000-00001E5A0000}"/>
    <cellStyle name="Input 2 4 3 2" xfId="19319" xr:uid="{00000000-0005-0000-0000-00001F5A0000}"/>
    <cellStyle name="Input 2 4 3 3" xfId="24255" xr:uid="{00000000-0005-0000-0000-0000205A0000}"/>
    <cellStyle name="Input 2 4 3 4" xfId="23576" xr:uid="{00000000-0005-0000-0000-0000215A0000}"/>
    <cellStyle name="Input 2 4 4" xfId="14115" xr:uid="{00000000-0005-0000-0000-0000225A0000}"/>
    <cellStyle name="Input 2 4 4 2" xfId="19102" xr:uid="{00000000-0005-0000-0000-0000235A0000}"/>
    <cellStyle name="Input 2 4 4 3" xfId="41645" xr:uid="{00000000-0005-0000-0000-0000245A0000}"/>
    <cellStyle name="Input 2 4 5" xfId="15562" xr:uid="{00000000-0005-0000-0000-0000255A0000}"/>
    <cellStyle name="Input 2 4 5 2" xfId="21058" xr:uid="{00000000-0005-0000-0000-0000265A0000}"/>
    <cellStyle name="Input 2 4 6" xfId="15987" xr:uid="{00000000-0005-0000-0000-0000275A0000}"/>
    <cellStyle name="Input 2 4 6 2" xfId="21481" xr:uid="{00000000-0005-0000-0000-0000285A0000}"/>
    <cellStyle name="Input 2 4 7" xfId="15575" xr:uid="{00000000-0005-0000-0000-0000295A0000}"/>
    <cellStyle name="Input 2 4 7 2" xfId="21071" xr:uid="{00000000-0005-0000-0000-00002A5A0000}"/>
    <cellStyle name="Input 2 4 8" xfId="17211" xr:uid="{00000000-0005-0000-0000-00002B5A0000}"/>
    <cellStyle name="Input 2 4 8 2" xfId="22855" xr:uid="{00000000-0005-0000-0000-00002C5A0000}"/>
    <cellStyle name="Input 2 4 9" xfId="13411" xr:uid="{00000000-0005-0000-0000-00002D5A0000}"/>
    <cellStyle name="Input 2 4 9 2" xfId="18388" xr:uid="{00000000-0005-0000-0000-00002E5A0000}"/>
    <cellStyle name="Input 2 5" xfId="1943" xr:uid="{00000000-0005-0000-0000-00002F5A0000}"/>
    <cellStyle name="Input 2 5 10" xfId="12717" xr:uid="{00000000-0005-0000-0000-0000305A0000}"/>
    <cellStyle name="Input 2 5 11" xfId="12403" xr:uid="{00000000-0005-0000-0000-0000315A0000}"/>
    <cellStyle name="Input 2 5 2" xfId="3366" xr:uid="{00000000-0005-0000-0000-0000325A0000}"/>
    <cellStyle name="Input 2 5 2 10" xfId="18051" xr:uid="{00000000-0005-0000-0000-0000335A0000}"/>
    <cellStyle name="Input 2 5 2 2" xfId="8183" xr:uid="{00000000-0005-0000-0000-0000345A0000}"/>
    <cellStyle name="Input 2 5 2 2 2" xfId="20071" xr:uid="{00000000-0005-0000-0000-0000355A0000}"/>
    <cellStyle name="Input 2 5 2 2 2 2" xfId="44957" xr:uid="{00000000-0005-0000-0000-0000365A0000}"/>
    <cellStyle name="Input 2 5 2 2 3" xfId="14750" xr:uid="{00000000-0005-0000-0000-0000375A0000}"/>
    <cellStyle name="Input 2 5 2 2 3 2" xfId="24566" xr:uid="{00000000-0005-0000-0000-0000385A0000}"/>
    <cellStyle name="Input 2 5 2 2 4" xfId="23898" xr:uid="{00000000-0005-0000-0000-0000395A0000}"/>
    <cellStyle name="Input 2 5 2 3" xfId="11067" xr:uid="{00000000-0005-0000-0000-00003A5A0000}"/>
    <cellStyle name="Input 2 5 2 3 2" xfId="19600" xr:uid="{00000000-0005-0000-0000-00003B5A0000}"/>
    <cellStyle name="Input 2 5 2 4" xfId="15219" xr:uid="{00000000-0005-0000-0000-00003C5A0000}"/>
    <cellStyle name="Input 2 5 2 4 2" xfId="20607" xr:uid="{00000000-0005-0000-0000-00003D5A0000}"/>
    <cellStyle name="Input 2 5 2 5" xfId="16446" xr:uid="{00000000-0005-0000-0000-00003E5A0000}"/>
    <cellStyle name="Input 2 5 2 5 2" xfId="22087" xr:uid="{00000000-0005-0000-0000-00003F5A0000}"/>
    <cellStyle name="Input 2 5 2 6" xfId="16809" xr:uid="{00000000-0005-0000-0000-0000405A0000}"/>
    <cellStyle name="Input 2 5 2 6 2" xfId="22460" xr:uid="{00000000-0005-0000-0000-0000415A0000}"/>
    <cellStyle name="Input 2 5 2 7" xfId="17529" xr:uid="{00000000-0005-0000-0000-0000425A0000}"/>
    <cellStyle name="Input 2 5 2 7 2" xfId="23174" xr:uid="{00000000-0005-0000-0000-0000435A0000}"/>
    <cellStyle name="Input 2 5 2 8" xfId="13733" xr:uid="{00000000-0005-0000-0000-0000445A0000}"/>
    <cellStyle name="Input 2 5 2 8 2" xfId="18707" xr:uid="{00000000-0005-0000-0000-0000455A0000}"/>
    <cellStyle name="Input 2 5 2 9" xfId="13060" xr:uid="{00000000-0005-0000-0000-0000465A0000}"/>
    <cellStyle name="Input 2 5 3" xfId="10384" xr:uid="{00000000-0005-0000-0000-0000475A0000}"/>
    <cellStyle name="Input 2 5 3 2" xfId="19320" xr:uid="{00000000-0005-0000-0000-0000485A0000}"/>
    <cellStyle name="Input 2 5 3 3" xfId="24254" xr:uid="{00000000-0005-0000-0000-0000495A0000}"/>
    <cellStyle name="Input 2 5 3 4" xfId="23577" xr:uid="{00000000-0005-0000-0000-00004A5A0000}"/>
    <cellStyle name="Input 2 5 4" xfId="15036" xr:uid="{00000000-0005-0000-0000-00004B5A0000}"/>
    <cellStyle name="Input 2 5 4 2" xfId="20397" xr:uid="{00000000-0005-0000-0000-00004C5A0000}"/>
    <cellStyle name="Input 2 5 4 3" xfId="41646" xr:uid="{00000000-0005-0000-0000-00004D5A0000}"/>
    <cellStyle name="Input 2 5 5" xfId="15561" xr:uid="{00000000-0005-0000-0000-00004E5A0000}"/>
    <cellStyle name="Input 2 5 5 2" xfId="21057" xr:uid="{00000000-0005-0000-0000-00004F5A0000}"/>
    <cellStyle name="Input 2 5 6" xfId="15988" xr:uid="{00000000-0005-0000-0000-0000505A0000}"/>
    <cellStyle name="Input 2 5 6 2" xfId="21482" xr:uid="{00000000-0005-0000-0000-0000515A0000}"/>
    <cellStyle name="Input 2 5 7" xfId="15574" xr:uid="{00000000-0005-0000-0000-0000525A0000}"/>
    <cellStyle name="Input 2 5 7 2" xfId="21070" xr:uid="{00000000-0005-0000-0000-0000535A0000}"/>
    <cellStyle name="Input 2 5 8" xfId="17212" xr:uid="{00000000-0005-0000-0000-0000545A0000}"/>
    <cellStyle name="Input 2 5 8 2" xfId="22856" xr:uid="{00000000-0005-0000-0000-0000555A0000}"/>
    <cellStyle name="Input 2 5 9" xfId="13412" xr:uid="{00000000-0005-0000-0000-0000565A0000}"/>
    <cellStyle name="Input 2 5 9 2" xfId="18389" xr:uid="{00000000-0005-0000-0000-0000575A0000}"/>
    <cellStyle name="Input 2 6" xfId="1944" xr:uid="{00000000-0005-0000-0000-0000585A0000}"/>
    <cellStyle name="Input 2 6 10" xfId="12718" xr:uid="{00000000-0005-0000-0000-0000595A0000}"/>
    <cellStyle name="Input 2 6 11" xfId="12402" xr:uid="{00000000-0005-0000-0000-00005A5A0000}"/>
    <cellStyle name="Input 2 6 2" xfId="3367" xr:uid="{00000000-0005-0000-0000-00005B5A0000}"/>
    <cellStyle name="Input 2 6 2 10" xfId="18052" xr:uid="{00000000-0005-0000-0000-00005C5A0000}"/>
    <cellStyle name="Input 2 6 2 2" xfId="8184" xr:uid="{00000000-0005-0000-0000-00005D5A0000}"/>
    <cellStyle name="Input 2 6 2 2 2" xfId="20072" xr:uid="{00000000-0005-0000-0000-00005E5A0000}"/>
    <cellStyle name="Input 2 6 2 2 2 2" xfId="44958" xr:uid="{00000000-0005-0000-0000-00005F5A0000}"/>
    <cellStyle name="Input 2 6 2 2 3" xfId="14751" xr:uid="{00000000-0005-0000-0000-0000605A0000}"/>
    <cellStyle name="Input 2 6 2 2 3 2" xfId="24567" xr:uid="{00000000-0005-0000-0000-0000615A0000}"/>
    <cellStyle name="Input 2 6 2 2 4" xfId="23899" xr:uid="{00000000-0005-0000-0000-0000625A0000}"/>
    <cellStyle name="Input 2 6 2 3" xfId="11068" xr:uid="{00000000-0005-0000-0000-0000635A0000}"/>
    <cellStyle name="Input 2 6 2 3 2" xfId="19601" xr:uid="{00000000-0005-0000-0000-0000645A0000}"/>
    <cellStyle name="Input 2 6 2 4" xfId="15218" xr:uid="{00000000-0005-0000-0000-0000655A0000}"/>
    <cellStyle name="Input 2 6 2 4 2" xfId="20606" xr:uid="{00000000-0005-0000-0000-0000665A0000}"/>
    <cellStyle name="Input 2 6 2 5" xfId="16447" xr:uid="{00000000-0005-0000-0000-0000675A0000}"/>
    <cellStyle name="Input 2 6 2 5 2" xfId="22088" xr:uid="{00000000-0005-0000-0000-0000685A0000}"/>
    <cellStyle name="Input 2 6 2 6" xfId="16810" xr:uid="{00000000-0005-0000-0000-0000695A0000}"/>
    <cellStyle name="Input 2 6 2 6 2" xfId="22461" xr:uid="{00000000-0005-0000-0000-00006A5A0000}"/>
    <cellStyle name="Input 2 6 2 7" xfId="17530" xr:uid="{00000000-0005-0000-0000-00006B5A0000}"/>
    <cellStyle name="Input 2 6 2 7 2" xfId="23175" xr:uid="{00000000-0005-0000-0000-00006C5A0000}"/>
    <cellStyle name="Input 2 6 2 8" xfId="13734" xr:uid="{00000000-0005-0000-0000-00006D5A0000}"/>
    <cellStyle name="Input 2 6 2 8 2" xfId="18708" xr:uid="{00000000-0005-0000-0000-00006E5A0000}"/>
    <cellStyle name="Input 2 6 2 9" xfId="13061" xr:uid="{00000000-0005-0000-0000-00006F5A0000}"/>
    <cellStyle name="Input 2 6 3" xfId="10940" xr:uid="{00000000-0005-0000-0000-0000705A0000}"/>
    <cellStyle name="Input 2 6 3 2" xfId="19321" xr:uid="{00000000-0005-0000-0000-0000715A0000}"/>
    <cellStyle name="Input 2 6 3 3" xfId="24253" xr:uid="{00000000-0005-0000-0000-0000725A0000}"/>
    <cellStyle name="Input 2 6 3 4" xfId="23578" xr:uid="{00000000-0005-0000-0000-0000735A0000}"/>
    <cellStyle name="Input 2 6 4" xfId="14116" xr:uid="{00000000-0005-0000-0000-0000745A0000}"/>
    <cellStyle name="Input 2 6 4 2" xfId="19103" xr:uid="{00000000-0005-0000-0000-0000755A0000}"/>
    <cellStyle name="Input 2 6 4 3" xfId="41647" xr:uid="{00000000-0005-0000-0000-0000765A0000}"/>
    <cellStyle name="Input 2 6 5" xfId="15560" xr:uid="{00000000-0005-0000-0000-0000775A0000}"/>
    <cellStyle name="Input 2 6 5 2" xfId="21056" xr:uid="{00000000-0005-0000-0000-0000785A0000}"/>
    <cellStyle name="Input 2 6 6" xfId="15989" xr:uid="{00000000-0005-0000-0000-0000795A0000}"/>
    <cellStyle name="Input 2 6 6 2" xfId="21483" xr:uid="{00000000-0005-0000-0000-00007A5A0000}"/>
    <cellStyle name="Input 2 6 7" xfId="15573" xr:uid="{00000000-0005-0000-0000-00007B5A0000}"/>
    <cellStyle name="Input 2 6 7 2" xfId="21069" xr:uid="{00000000-0005-0000-0000-00007C5A0000}"/>
    <cellStyle name="Input 2 6 8" xfId="17213" xr:uid="{00000000-0005-0000-0000-00007D5A0000}"/>
    <cellStyle name="Input 2 6 8 2" xfId="22857" xr:uid="{00000000-0005-0000-0000-00007E5A0000}"/>
    <cellStyle name="Input 2 6 9" xfId="13413" xr:uid="{00000000-0005-0000-0000-00007F5A0000}"/>
    <cellStyle name="Input 2 6 9 2" xfId="18390" xr:uid="{00000000-0005-0000-0000-0000805A0000}"/>
    <cellStyle name="Input 2 7" xfId="1945" xr:uid="{00000000-0005-0000-0000-0000815A0000}"/>
    <cellStyle name="Input 2 7 10" xfId="12719" xr:uid="{00000000-0005-0000-0000-0000825A0000}"/>
    <cellStyle name="Input 2 7 11" xfId="12401" xr:uid="{00000000-0005-0000-0000-0000835A0000}"/>
    <cellStyle name="Input 2 7 2" xfId="3368" xr:uid="{00000000-0005-0000-0000-0000845A0000}"/>
    <cellStyle name="Input 2 7 2 10" xfId="18053" xr:uid="{00000000-0005-0000-0000-0000855A0000}"/>
    <cellStyle name="Input 2 7 2 2" xfId="8185" xr:uid="{00000000-0005-0000-0000-0000865A0000}"/>
    <cellStyle name="Input 2 7 2 2 2" xfId="20073" xr:uid="{00000000-0005-0000-0000-0000875A0000}"/>
    <cellStyle name="Input 2 7 2 2 2 2" xfId="44959" xr:uid="{00000000-0005-0000-0000-0000885A0000}"/>
    <cellStyle name="Input 2 7 2 2 3" xfId="14752" xr:uid="{00000000-0005-0000-0000-0000895A0000}"/>
    <cellStyle name="Input 2 7 2 2 3 2" xfId="24568" xr:uid="{00000000-0005-0000-0000-00008A5A0000}"/>
    <cellStyle name="Input 2 7 2 2 4" xfId="23900" xr:uid="{00000000-0005-0000-0000-00008B5A0000}"/>
    <cellStyle name="Input 2 7 2 3" xfId="11069" xr:uid="{00000000-0005-0000-0000-00008C5A0000}"/>
    <cellStyle name="Input 2 7 2 3 2" xfId="19602" xr:uid="{00000000-0005-0000-0000-00008D5A0000}"/>
    <cellStyle name="Input 2 7 2 4" xfId="15217" xr:uid="{00000000-0005-0000-0000-00008E5A0000}"/>
    <cellStyle name="Input 2 7 2 4 2" xfId="20605" xr:uid="{00000000-0005-0000-0000-00008F5A0000}"/>
    <cellStyle name="Input 2 7 2 5" xfId="16448" xr:uid="{00000000-0005-0000-0000-0000905A0000}"/>
    <cellStyle name="Input 2 7 2 5 2" xfId="22089" xr:uid="{00000000-0005-0000-0000-0000915A0000}"/>
    <cellStyle name="Input 2 7 2 6" xfId="16811" xr:uid="{00000000-0005-0000-0000-0000925A0000}"/>
    <cellStyle name="Input 2 7 2 6 2" xfId="22462" xr:uid="{00000000-0005-0000-0000-0000935A0000}"/>
    <cellStyle name="Input 2 7 2 7" xfId="17531" xr:uid="{00000000-0005-0000-0000-0000945A0000}"/>
    <cellStyle name="Input 2 7 2 7 2" xfId="23176" xr:uid="{00000000-0005-0000-0000-0000955A0000}"/>
    <cellStyle name="Input 2 7 2 8" xfId="13735" xr:uid="{00000000-0005-0000-0000-0000965A0000}"/>
    <cellStyle name="Input 2 7 2 8 2" xfId="18709" xr:uid="{00000000-0005-0000-0000-0000975A0000}"/>
    <cellStyle name="Input 2 7 2 9" xfId="13062" xr:uid="{00000000-0005-0000-0000-0000985A0000}"/>
    <cellStyle name="Input 2 7 3" xfId="10928" xr:uid="{00000000-0005-0000-0000-0000995A0000}"/>
    <cellStyle name="Input 2 7 3 2" xfId="19322" xr:uid="{00000000-0005-0000-0000-00009A5A0000}"/>
    <cellStyle name="Input 2 7 3 3" xfId="24252" xr:uid="{00000000-0005-0000-0000-00009B5A0000}"/>
    <cellStyle name="Input 2 7 3 4" xfId="23579" xr:uid="{00000000-0005-0000-0000-00009C5A0000}"/>
    <cellStyle name="Input 2 7 4" xfId="15033" xr:uid="{00000000-0005-0000-0000-00009D5A0000}"/>
    <cellStyle name="Input 2 7 4 2" xfId="20394" xr:uid="{00000000-0005-0000-0000-00009E5A0000}"/>
    <cellStyle name="Input 2 7 4 3" xfId="41648" xr:uid="{00000000-0005-0000-0000-00009F5A0000}"/>
    <cellStyle name="Input 2 7 5" xfId="15559" xr:uid="{00000000-0005-0000-0000-0000A05A0000}"/>
    <cellStyle name="Input 2 7 5 2" xfId="21055" xr:uid="{00000000-0005-0000-0000-0000A15A0000}"/>
    <cellStyle name="Input 2 7 6" xfId="15990" xr:uid="{00000000-0005-0000-0000-0000A25A0000}"/>
    <cellStyle name="Input 2 7 6 2" xfId="21484" xr:uid="{00000000-0005-0000-0000-0000A35A0000}"/>
    <cellStyle name="Input 2 7 7" xfId="15572" xr:uid="{00000000-0005-0000-0000-0000A45A0000}"/>
    <cellStyle name="Input 2 7 7 2" xfId="21068" xr:uid="{00000000-0005-0000-0000-0000A55A0000}"/>
    <cellStyle name="Input 2 7 8" xfId="17214" xr:uid="{00000000-0005-0000-0000-0000A65A0000}"/>
    <cellStyle name="Input 2 7 8 2" xfId="22858" xr:uid="{00000000-0005-0000-0000-0000A75A0000}"/>
    <cellStyle name="Input 2 7 9" xfId="13414" xr:uid="{00000000-0005-0000-0000-0000A85A0000}"/>
    <cellStyle name="Input 2 7 9 2" xfId="18391" xr:uid="{00000000-0005-0000-0000-0000A95A0000}"/>
    <cellStyle name="Input 2 8" xfId="1946" xr:uid="{00000000-0005-0000-0000-0000AA5A0000}"/>
    <cellStyle name="Input 2 8 10" xfId="12720" xr:uid="{00000000-0005-0000-0000-0000AB5A0000}"/>
    <cellStyle name="Input 2 8 11" xfId="12400" xr:uid="{00000000-0005-0000-0000-0000AC5A0000}"/>
    <cellStyle name="Input 2 8 2" xfId="3369" xr:uid="{00000000-0005-0000-0000-0000AD5A0000}"/>
    <cellStyle name="Input 2 8 2 10" xfId="18054" xr:uid="{00000000-0005-0000-0000-0000AE5A0000}"/>
    <cellStyle name="Input 2 8 2 2" xfId="8186" xr:uid="{00000000-0005-0000-0000-0000AF5A0000}"/>
    <cellStyle name="Input 2 8 2 2 2" xfId="20074" xr:uid="{00000000-0005-0000-0000-0000B05A0000}"/>
    <cellStyle name="Input 2 8 2 2 2 2" xfId="44960" xr:uid="{00000000-0005-0000-0000-0000B15A0000}"/>
    <cellStyle name="Input 2 8 2 2 3" xfId="14753" xr:uid="{00000000-0005-0000-0000-0000B25A0000}"/>
    <cellStyle name="Input 2 8 2 2 3 2" xfId="24569" xr:uid="{00000000-0005-0000-0000-0000B35A0000}"/>
    <cellStyle name="Input 2 8 2 2 4" xfId="23901" xr:uid="{00000000-0005-0000-0000-0000B45A0000}"/>
    <cellStyle name="Input 2 8 2 3" xfId="11070" xr:uid="{00000000-0005-0000-0000-0000B55A0000}"/>
    <cellStyle name="Input 2 8 2 3 2" xfId="19603" xr:uid="{00000000-0005-0000-0000-0000B65A0000}"/>
    <cellStyle name="Input 2 8 2 4" xfId="15216" xr:uid="{00000000-0005-0000-0000-0000B75A0000}"/>
    <cellStyle name="Input 2 8 2 4 2" xfId="20604" xr:uid="{00000000-0005-0000-0000-0000B85A0000}"/>
    <cellStyle name="Input 2 8 2 5" xfId="16449" xr:uid="{00000000-0005-0000-0000-0000B95A0000}"/>
    <cellStyle name="Input 2 8 2 5 2" xfId="22090" xr:uid="{00000000-0005-0000-0000-0000BA5A0000}"/>
    <cellStyle name="Input 2 8 2 6" xfId="16812" xr:uid="{00000000-0005-0000-0000-0000BB5A0000}"/>
    <cellStyle name="Input 2 8 2 6 2" xfId="22463" xr:uid="{00000000-0005-0000-0000-0000BC5A0000}"/>
    <cellStyle name="Input 2 8 2 7" xfId="17532" xr:uid="{00000000-0005-0000-0000-0000BD5A0000}"/>
    <cellStyle name="Input 2 8 2 7 2" xfId="23177" xr:uid="{00000000-0005-0000-0000-0000BE5A0000}"/>
    <cellStyle name="Input 2 8 2 8" xfId="13736" xr:uid="{00000000-0005-0000-0000-0000BF5A0000}"/>
    <cellStyle name="Input 2 8 2 8 2" xfId="18710" xr:uid="{00000000-0005-0000-0000-0000C05A0000}"/>
    <cellStyle name="Input 2 8 2 9" xfId="13063" xr:uid="{00000000-0005-0000-0000-0000C15A0000}"/>
    <cellStyle name="Input 2 8 3" xfId="10914" xr:uid="{00000000-0005-0000-0000-0000C25A0000}"/>
    <cellStyle name="Input 2 8 3 2" xfId="19323" xr:uid="{00000000-0005-0000-0000-0000C35A0000}"/>
    <cellStyle name="Input 2 8 3 3" xfId="24251" xr:uid="{00000000-0005-0000-0000-0000C45A0000}"/>
    <cellStyle name="Input 2 8 3 4" xfId="23580" xr:uid="{00000000-0005-0000-0000-0000C55A0000}"/>
    <cellStyle name="Input 2 8 4" xfId="15035" xr:uid="{00000000-0005-0000-0000-0000C65A0000}"/>
    <cellStyle name="Input 2 8 4 2" xfId="20396" xr:uid="{00000000-0005-0000-0000-0000C75A0000}"/>
    <cellStyle name="Input 2 8 4 3" xfId="41649" xr:uid="{00000000-0005-0000-0000-0000C85A0000}"/>
    <cellStyle name="Input 2 8 5" xfId="15558" xr:uid="{00000000-0005-0000-0000-0000C95A0000}"/>
    <cellStyle name="Input 2 8 5 2" xfId="21054" xr:uid="{00000000-0005-0000-0000-0000CA5A0000}"/>
    <cellStyle name="Input 2 8 6" xfId="15991" xr:uid="{00000000-0005-0000-0000-0000CB5A0000}"/>
    <cellStyle name="Input 2 8 6 2" xfId="21485" xr:uid="{00000000-0005-0000-0000-0000CC5A0000}"/>
    <cellStyle name="Input 2 8 7" xfId="15571" xr:uid="{00000000-0005-0000-0000-0000CD5A0000}"/>
    <cellStyle name="Input 2 8 7 2" xfId="21067" xr:uid="{00000000-0005-0000-0000-0000CE5A0000}"/>
    <cellStyle name="Input 2 8 8" xfId="17215" xr:uid="{00000000-0005-0000-0000-0000CF5A0000}"/>
    <cellStyle name="Input 2 8 8 2" xfId="22859" xr:uid="{00000000-0005-0000-0000-0000D05A0000}"/>
    <cellStyle name="Input 2 8 9" xfId="13415" xr:uid="{00000000-0005-0000-0000-0000D15A0000}"/>
    <cellStyle name="Input 2 8 9 2" xfId="18392" xr:uid="{00000000-0005-0000-0000-0000D25A0000}"/>
    <cellStyle name="Input 2 9" xfId="1947" xr:uid="{00000000-0005-0000-0000-0000D35A0000}"/>
    <cellStyle name="Input 2 9 10" xfId="12721" xr:uid="{00000000-0005-0000-0000-0000D45A0000}"/>
    <cellStyle name="Input 2 9 11" xfId="12399" xr:uid="{00000000-0005-0000-0000-0000D55A0000}"/>
    <cellStyle name="Input 2 9 2" xfId="3370" xr:uid="{00000000-0005-0000-0000-0000D65A0000}"/>
    <cellStyle name="Input 2 9 2 10" xfId="18055" xr:uid="{00000000-0005-0000-0000-0000D75A0000}"/>
    <cellStyle name="Input 2 9 2 2" xfId="8187" xr:uid="{00000000-0005-0000-0000-0000D85A0000}"/>
    <cellStyle name="Input 2 9 2 2 2" xfId="20075" xr:uid="{00000000-0005-0000-0000-0000D95A0000}"/>
    <cellStyle name="Input 2 9 2 2 2 2" xfId="44961" xr:uid="{00000000-0005-0000-0000-0000DA5A0000}"/>
    <cellStyle name="Input 2 9 2 2 3" xfId="14754" xr:uid="{00000000-0005-0000-0000-0000DB5A0000}"/>
    <cellStyle name="Input 2 9 2 2 3 2" xfId="24570" xr:uid="{00000000-0005-0000-0000-0000DC5A0000}"/>
    <cellStyle name="Input 2 9 2 2 4" xfId="23902" xr:uid="{00000000-0005-0000-0000-0000DD5A0000}"/>
    <cellStyle name="Input 2 9 2 3" xfId="11071" xr:uid="{00000000-0005-0000-0000-0000DE5A0000}"/>
    <cellStyle name="Input 2 9 2 3 2" xfId="19604" xr:uid="{00000000-0005-0000-0000-0000DF5A0000}"/>
    <cellStyle name="Input 2 9 2 4" xfId="15215" xr:uid="{00000000-0005-0000-0000-0000E05A0000}"/>
    <cellStyle name="Input 2 9 2 4 2" xfId="20603" xr:uid="{00000000-0005-0000-0000-0000E15A0000}"/>
    <cellStyle name="Input 2 9 2 5" xfId="16450" xr:uid="{00000000-0005-0000-0000-0000E25A0000}"/>
    <cellStyle name="Input 2 9 2 5 2" xfId="22091" xr:uid="{00000000-0005-0000-0000-0000E35A0000}"/>
    <cellStyle name="Input 2 9 2 6" xfId="16813" xr:uid="{00000000-0005-0000-0000-0000E45A0000}"/>
    <cellStyle name="Input 2 9 2 6 2" xfId="22464" xr:uid="{00000000-0005-0000-0000-0000E55A0000}"/>
    <cellStyle name="Input 2 9 2 7" xfId="17533" xr:uid="{00000000-0005-0000-0000-0000E65A0000}"/>
    <cellStyle name="Input 2 9 2 7 2" xfId="23178" xr:uid="{00000000-0005-0000-0000-0000E75A0000}"/>
    <cellStyle name="Input 2 9 2 8" xfId="13737" xr:uid="{00000000-0005-0000-0000-0000E85A0000}"/>
    <cellStyle name="Input 2 9 2 8 2" xfId="18711" xr:uid="{00000000-0005-0000-0000-0000E95A0000}"/>
    <cellStyle name="Input 2 9 2 9" xfId="13064" xr:uid="{00000000-0005-0000-0000-0000EA5A0000}"/>
    <cellStyle name="Input 2 9 3" xfId="10606" xr:uid="{00000000-0005-0000-0000-0000EB5A0000}"/>
    <cellStyle name="Input 2 9 3 2" xfId="19324" xr:uid="{00000000-0005-0000-0000-0000EC5A0000}"/>
    <cellStyle name="Input 2 9 3 3" xfId="24250" xr:uid="{00000000-0005-0000-0000-0000ED5A0000}"/>
    <cellStyle name="Input 2 9 3 4" xfId="23581" xr:uid="{00000000-0005-0000-0000-0000EE5A0000}"/>
    <cellStyle name="Input 2 9 4" xfId="14117" xr:uid="{00000000-0005-0000-0000-0000EF5A0000}"/>
    <cellStyle name="Input 2 9 4 2" xfId="19104" xr:uid="{00000000-0005-0000-0000-0000F05A0000}"/>
    <cellStyle name="Input 2 9 4 3" xfId="41650" xr:uid="{00000000-0005-0000-0000-0000F15A0000}"/>
    <cellStyle name="Input 2 9 5" xfId="15557" xr:uid="{00000000-0005-0000-0000-0000F25A0000}"/>
    <cellStyle name="Input 2 9 5 2" xfId="21053" xr:uid="{00000000-0005-0000-0000-0000F35A0000}"/>
    <cellStyle name="Input 2 9 6" xfId="15992" xr:uid="{00000000-0005-0000-0000-0000F45A0000}"/>
    <cellStyle name="Input 2 9 6 2" xfId="21486" xr:uid="{00000000-0005-0000-0000-0000F55A0000}"/>
    <cellStyle name="Input 2 9 7" xfId="16047" xr:uid="{00000000-0005-0000-0000-0000F65A0000}"/>
    <cellStyle name="Input 2 9 7 2" xfId="21549" xr:uid="{00000000-0005-0000-0000-0000F75A0000}"/>
    <cellStyle name="Input 2 9 8" xfId="17216" xr:uid="{00000000-0005-0000-0000-0000F85A0000}"/>
    <cellStyle name="Input 2 9 8 2" xfId="22860" xr:uid="{00000000-0005-0000-0000-0000F95A0000}"/>
    <cellStyle name="Input 2 9 9" xfId="13416" xr:uid="{00000000-0005-0000-0000-0000FA5A0000}"/>
    <cellStyle name="Input 2 9 9 2" xfId="18393" xr:uid="{00000000-0005-0000-0000-0000FB5A0000}"/>
    <cellStyle name="Input 2_PrimaryEnergyPrices_TIMES" xfId="43452" xr:uid="{00000000-0005-0000-0000-0000FC5A0000}"/>
    <cellStyle name="Input 20 2" xfId="43453" xr:uid="{00000000-0005-0000-0000-0000FD5A0000}"/>
    <cellStyle name="Input 21 2" xfId="43454" xr:uid="{00000000-0005-0000-0000-0000FE5A0000}"/>
    <cellStyle name="Input 22 2" xfId="43455" xr:uid="{00000000-0005-0000-0000-0000FF5A0000}"/>
    <cellStyle name="Input 23 2" xfId="43456" xr:uid="{00000000-0005-0000-0000-0000005B0000}"/>
    <cellStyle name="Input 24 2" xfId="43457" xr:uid="{00000000-0005-0000-0000-0000015B0000}"/>
    <cellStyle name="Input 25 2" xfId="43458" xr:uid="{00000000-0005-0000-0000-0000025B0000}"/>
    <cellStyle name="Input 26 2" xfId="43459" xr:uid="{00000000-0005-0000-0000-0000035B0000}"/>
    <cellStyle name="Input 27 2" xfId="43460" xr:uid="{00000000-0005-0000-0000-0000045B0000}"/>
    <cellStyle name="Input 28 2" xfId="43461" xr:uid="{00000000-0005-0000-0000-0000055B0000}"/>
    <cellStyle name="Input 29 2" xfId="43462" xr:uid="{00000000-0005-0000-0000-0000065B0000}"/>
    <cellStyle name="Input 3" xfId="1948" xr:uid="{00000000-0005-0000-0000-0000075B0000}"/>
    <cellStyle name="Input 3 10" xfId="1949" xr:uid="{00000000-0005-0000-0000-0000085B0000}"/>
    <cellStyle name="Input 3 10 10" xfId="12723" xr:uid="{00000000-0005-0000-0000-0000095B0000}"/>
    <cellStyle name="Input 3 10 11" xfId="12397" xr:uid="{00000000-0005-0000-0000-00000A5B0000}"/>
    <cellStyle name="Input 3 10 2" xfId="3371" xr:uid="{00000000-0005-0000-0000-00000B5B0000}"/>
    <cellStyle name="Input 3 10 2 10" xfId="18057" xr:uid="{00000000-0005-0000-0000-00000C5B0000}"/>
    <cellStyle name="Input 3 10 2 2" xfId="14756" xr:uid="{00000000-0005-0000-0000-00000D5B0000}"/>
    <cellStyle name="Input 3 10 2 2 2" xfId="20077" xr:uid="{00000000-0005-0000-0000-00000E5B0000}"/>
    <cellStyle name="Input 3 10 2 2 3" xfId="24572" xr:uid="{00000000-0005-0000-0000-00000F5B0000}"/>
    <cellStyle name="Input 3 10 2 2 4" xfId="23904" xr:uid="{00000000-0005-0000-0000-0000105B0000}"/>
    <cellStyle name="Input 3 10 2 3" xfId="14457" xr:uid="{00000000-0005-0000-0000-0000115B0000}"/>
    <cellStyle name="Input 3 10 2 3 2" xfId="19606" xr:uid="{00000000-0005-0000-0000-0000125B0000}"/>
    <cellStyle name="Input 3 10 2 4" xfId="15213" xr:uid="{00000000-0005-0000-0000-0000135B0000}"/>
    <cellStyle name="Input 3 10 2 4 2" xfId="20601" xr:uid="{00000000-0005-0000-0000-0000145B0000}"/>
    <cellStyle name="Input 3 10 2 5" xfId="16452" xr:uid="{00000000-0005-0000-0000-0000155B0000}"/>
    <cellStyle name="Input 3 10 2 5 2" xfId="22093" xr:uid="{00000000-0005-0000-0000-0000165B0000}"/>
    <cellStyle name="Input 3 10 2 6" xfId="16815" xr:uid="{00000000-0005-0000-0000-0000175B0000}"/>
    <cellStyle name="Input 3 10 2 6 2" xfId="22466" xr:uid="{00000000-0005-0000-0000-0000185B0000}"/>
    <cellStyle name="Input 3 10 2 7" xfId="17535" xr:uid="{00000000-0005-0000-0000-0000195B0000}"/>
    <cellStyle name="Input 3 10 2 7 2" xfId="23180" xr:uid="{00000000-0005-0000-0000-00001A5B0000}"/>
    <cellStyle name="Input 3 10 2 8" xfId="13739" xr:uid="{00000000-0005-0000-0000-00001B5B0000}"/>
    <cellStyle name="Input 3 10 2 8 2" xfId="18713" xr:uid="{00000000-0005-0000-0000-00001C5B0000}"/>
    <cellStyle name="Input 3 10 2 9" xfId="13066" xr:uid="{00000000-0005-0000-0000-00001D5B0000}"/>
    <cellStyle name="Input 3 10 3" xfId="10383" xr:uid="{00000000-0005-0000-0000-00001E5B0000}"/>
    <cellStyle name="Input 3 10 3 2" xfId="19326" xr:uid="{00000000-0005-0000-0000-00001F5B0000}"/>
    <cellStyle name="Input 3 10 3 3" xfId="24248" xr:uid="{00000000-0005-0000-0000-0000205B0000}"/>
    <cellStyle name="Input 3 10 3 4" xfId="23583" xr:uid="{00000000-0005-0000-0000-0000215B0000}"/>
    <cellStyle name="Input 3 10 4" xfId="14118" xr:uid="{00000000-0005-0000-0000-0000225B0000}"/>
    <cellStyle name="Input 3 10 4 2" xfId="19105" xr:uid="{00000000-0005-0000-0000-0000235B0000}"/>
    <cellStyle name="Input 3 10 5" xfId="15555" xr:uid="{00000000-0005-0000-0000-0000245B0000}"/>
    <cellStyle name="Input 3 10 5 2" xfId="21051" xr:uid="{00000000-0005-0000-0000-0000255B0000}"/>
    <cellStyle name="Input 3 10 6" xfId="15994" xr:uid="{00000000-0005-0000-0000-0000265B0000}"/>
    <cellStyle name="Input 3 10 6 2" xfId="21488" xr:uid="{00000000-0005-0000-0000-0000275B0000}"/>
    <cellStyle name="Input 3 10 7" xfId="15569" xr:uid="{00000000-0005-0000-0000-0000285B0000}"/>
    <cellStyle name="Input 3 10 7 2" xfId="21065" xr:uid="{00000000-0005-0000-0000-0000295B0000}"/>
    <cellStyle name="Input 3 10 8" xfId="17218" xr:uid="{00000000-0005-0000-0000-00002A5B0000}"/>
    <cellStyle name="Input 3 10 8 2" xfId="22862" xr:uid="{00000000-0005-0000-0000-00002B5B0000}"/>
    <cellStyle name="Input 3 10 9" xfId="13418" xr:uid="{00000000-0005-0000-0000-00002C5B0000}"/>
    <cellStyle name="Input 3 10 9 2" xfId="18395" xr:uid="{00000000-0005-0000-0000-00002D5B0000}"/>
    <cellStyle name="Input 3 11" xfId="1950" xr:uid="{00000000-0005-0000-0000-00002E5B0000}"/>
    <cellStyle name="Input 3 11 10" xfId="12724" xr:uid="{00000000-0005-0000-0000-00002F5B0000}"/>
    <cellStyle name="Input 3 11 11" xfId="12396" xr:uid="{00000000-0005-0000-0000-0000305B0000}"/>
    <cellStyle name="Input 3 11 2" xfId="3372" xr:uid="{00000000-0005-0000-0000-0000315B0000}"/>
    <cellStyle name="Input 3 11 2 10" xfId="18058" xr:uid="{00000000-0005-0000-0000-0000325B0000}"/>
    <cellStyle name="Input 3 11 2 2" xfId="14757" xr:uid="{00000000-0005-0000-0000-0000335B0000}"/>
    <cellStyle name="Input 3 11 2 2 2" xfId="20078" xr:uid="{00000000-0005-0000-0000-0000345B0000}"/>
    <cellStyle name="Input 3 11 2 2 3" xfId="24573" xr:uid="{00000000-0005-0000-0000-0000355B0000}"/>
    <cellStyle name="Input 3 11 2 2 4" xfId="23905" xr:uid="{00000000-0005-0000-0000-0000365B0000}"/>
    <cellStyle name="Input 3 11 2 3" xfId="14458" xr:uid="{00000000-0005-0000-0000-0000375B0000}"/>
    <cellStyle name="Input 3 11 2 3 2" xfId="19607" xr:uid="{00000000-0005-0000-0000-0000385B0000}"/>
    <cellStyle name="Input 3 11 2 4" xfId="15212" xr:uid="{00000000-0005-0000-0000-0000395B0000}"/>
    <cellStyle name="Input 3 11 2 4 2" xfId="20600" xr:uid="{00000000-0005-0000-0000-00003A5B0000}"/>
    <cellStyle name="Input 3 11 2 5" xfId="16453" xr:uid="{00000000-0005-0000-0000-00003B5B0000}"/>
    <cellStyle name="Input 3 11 2 5 2" xfId="22094" xr:uid="{00000000-0005-0000-0000-00003C5B0000}"/>
    <cellStyle name="Input 3 11 2 6" xfId="16816" xr:uid="{00000000-0005-0000-0000-00003D5B0000}"/>
    <cellStyle name="Input 3 11 2 6 2" xfId="22467" xr:uid="{00000000-0005-0000-0000-00003E5B0000}"/>
    <cellStyle name="Input 3 11 2 7" xfId="17536" xr:uid="{00000000-0005-0000-0000-00003F5B0000}"/>
    <cellStyle name="Input 3 11 2 7 2" xfId="23181" xr:uid="{00000000-0005-0000-0000-0000405B0000}"/>
    <cellStyle name="Input 3 11 2 8" xfId="13740" xr:uid="{00000000-0005-0000-0000-0000415B0000}"/>
    <cellStyle name="Input 3 11 2 8 2" xfId="18714" xr:uid="{00000000-0005-0000-0000-0000425B0000}"/>
    <cellStyle name="Input 3 11 2 9" xfId="13067" xr:uid="{00000000-0005-0000-0000-0000435B0000}"/>
    <cellStyle name="Input 3 11 3" xfId="10382" xr:uid="{00000000-0005-0000-0000-0000445B0000}"/>
    <cellStyle name="Input 3 11 3 2" xfId="19327" xr:uid="{00000000-0005-0000-0000-0000455B0000}"/>
    <cellStyle name="Input 3 11 3 3" xfId="24247" xr:uid="{00000000-0005-0000-0000-0000465B0000}"/>
    <cellStyle name="Input 3 11 3 4" xfId="23584" xr:uid="{00000000-0005-0000-0000-0000475B0000}"/>
    <cellStyle name="Input 3 11 4" xfId="14119" xr:uid="{00000000-0005-0000-0000-0000485B0000}"/>
    <cellStyle name="Input 3 11 4 2" xfId="19106" xr:uid="{00000000-0005-0000-0000-0000495B0000}"/>
    <cellStyle name="Input 3 11 5" xfId="15554" xr:uid="{00000000-0005-0000-0000-00004A5B0000}"/>
    <cellStyle name="Input 3 11 5 2" xfId="21050" xr:uid="{00000000-0005-0000-0000-00004B5B0000}"/>
    <cellStyle name="Input 3 11 6" xfId="15995" xr:uid="{00000000-0005-0000-0000-00004C5B0000}"/>
    <cellStyle name="Input 3 11 6 2" xfId="21489" xr:uid="{00000000-0005-0000-0000-00004D5B0000}"/>
    <cellStyle name="Input 3 11 7" xfId="15509" xr:uid="{00000000-0005-0000-0000-00004E5B0000}"/>
    <cellStyle name="Input 3 11 7 2" xfId="21005" xr:uid="{00000000-0005-0000-0000-00004F5B0000}"/>
    <cellStyle name="Input 3 11 8" xfId="17219" xr:uid="{00000000-0005-0000-0000-0000505B0000}"/>
    <cellStyle name="Input 3 11 8 2" xfId="22863" xr:uid="{00000000-0005-0000-0000-0000515B0000}"/>
    <cellStyle name="Input 3 11 9" xfId="13419" xr:uid="{00000000-0005-0000-0000-0000525B0000}"/>
    <cellStyle name="Input 3 11 9 2" xfId="18396" xr:uid="{00000000-0005-0000-0000-0000535B0000}"/>
    <cellStyle name="Input 3 12" xfId="3373" xr:uid="{00000000-0005-0000-0000-0000545B0000}"/>
    <cellStyle name="Input 3 12 10" xfId="18056" xr:uid="{00000000-0005-0000-0000-0000555B0000}"/>
    <cellStyle name="Input 3 12 2" xfId="8188" xr:uid="{00000000-0005-0000-0000-0000565B0000}"/>
    <cellStyle name="Input 3 12 2 2" xfId="20076" xr:uid="{00000000-0005-0000-0000-0000575B0000}"/>
    <cellStyle name="Input 3 12 2 2 2" xfId="44962" xr:uid="{00000000-0005-0000-0000-0000585B0000}"/>
    <cellStyle name="Input 3 12 2 3" xfId="14755" xr:uid="{00000000-0005-0000-0000-0000595B0000}"/>
    <cellStyle name="Input 3 12 2 3 2" xfId="24571" xr:uid="{00000000-0005-0000-0000-00005A5B0000}"/>
    <cellStyle name="Input 3 12 2 4" xfId="23903" xr:uid="{00000000-0005-0000-0000-00005B5B0000}"/>
    <cellStyle name="Input 3 12 3" xfId="11072" xr:uid="{00000000-0005-0000-0000-00005C5B0000}"/>
    <cellStyle name="Input 3 12 3 2" xfId="19605" xr:uid="{00000000-0005-0000-0000-00005D5B0000}"/>
    <cellStyle name="Input 3 12 4" xfId="15214" xr:uid="{00000000-0005-0000-0000-00005E5B0000}"/>
    <cellStyle name="Input 3 12 4 2" xfId="20602" xr:uid="{00000000-0005-0000-0000-00005F5B0000}"/>
    <cellStyle name="Input 3 12 5" xfId="16451" xr:uid="{00000000-0005-0000-0000-0000605B0000}"/>
    <cellStyle name="Input 3 12 5 2" xfId="22092" xr:uid="{00000000-0005-0000-0000-0000615B0000}"/>
    <cellStyle name="Input 3 12 6" xfId="16814" xr:uid="{00000000-0005-0000-0000-0000625B0000}"/>
    <cellStyle name="Input 3 12 6 2" xfId="22465" xr:uid="{00000000-0005-0000-0000-0000635B0000}"/>
    <cellStyle name="Input 3 12 7" xfId="17534" xr:uid="{00000000-0005-0000-0000-0000645B0000}"/>
    <cellStyle name="Input 3 12 7 2" xfId="23179" xr:uid="{00000000-0005-0000-0000-0000655B0000}"/>
    <cellStyle name="Input 3 12 8" xfId="13738" xr:uid="{00000000-0005-0000-0000-0000665B0000}"/>
    <cellStyle name="Input 3 12 8 2" xfId="18712" xr:uid="{00000000-0005-0000-0000-0000675B0000}"/>
    <cellStyle name="Input 3 12 9" xfId="13065" xr:uid="{00000000-0005-0000-0000-0000685B0000}"/>
    <cellStyle name="Input 3 13" xfId="11337" xr:uid="{00000000-0005-0000-0000-0000695B0000}"/>
    <cellStyle name="Input 3 13 2" xfId="19325" xr:uid="{00000000-0005-0000-0000-00006A5B0000}"/>
    <cellStyle name="Input 3 13 3" xfId="24249" xr:uid="{00000000-0005-0000-0000-00006B5B0000}"/>
    <cellStyle name="Input 3 13 4" xfId="23582" xr:uid="{00000000-0005-0000-0000-00006C5B0000}"/>
    <cellStyle name="Input 3 14" xfId="15034" xr:uid="{00000000-0005-0000-0000-00006D5B0000}"/>
    <cellStyle name="Input 3 14 2" xfId="20395" xr:uid="{00000000-0005-0000-0000-00006E5B0000}"/>
    <cellStyle name="Input 3 14 3" xfId="41651" xr:uid="{00000000-0005-0000-0000-00006F5B0000}"/>
    <cellStyle name="Input 3 15" xfId="15556" xr:uid="{00000000-0005-0000-0000-0000705B0000}"/>
    <cellStyle name="Input 3 15 2" xfId="21052" xr:uid="{00000000-0005-0000-0000-0000715B0000}"/>
    <cellStyle name="Input 3 16" xfId="15993" xr:uid="{00000000-0005-0000-0000-0000725B0000}"/>
    <cellStyle name="Input 3 16 2" xfId="21487" xr:uid="{00000000-0005-0000-0000-0000735B0000}"/>
    <cellStyle name="Input 3 17" xfId="15570" xr:uid="{00000000-0005-0000-0000-0000745B0000}"/>
    <cellStyle name="Input 3 17 2" xfId="21066" xr:uid="{00000000-0005-0000-0000-0000755B0000}"/>
    <cellStyle name="Input 3 18" xfId="17217" xr:uid="{00000000-0005-0000-0000-0000765B0000}"/>
    <cellStyle name="Input 3 18 2" xfId="22861" xr:uid="{00000000-0005-0000-0000-0000775B0000}"/>
    <cellStyle name="Input 3 19" xfId="13417" xr:uid="{00000000-0005-0000-0000-0000785B0000}"/>
    <cellStyle name="Input 3 19 2" xfId="18394" xr:uid="{00000000-0005-0000-0000-0000795B0000}"/>
    <cellStyle name="Input 3 2" xfId="1951" xr:uid="{00000000-0005-0000-0000-00007A5B0000}"/>
    <cellStyle name="Input 3 2 10" xfId="12725" xr:uid="{00000000-0005-0000-0000-00007B5B0000}"/>
    <cellStyle name="Input 3 2 11" xfId="12395" xr:uid="{00000000-0005-0000-0000-00007C5B0000}"/>
    <cellStyle name="Input 3 2 2" xfId="3374" xr:uid="{00000000-0005-0000-0000-00007D5B0000}"/>
    <cellStyle name="Input 3 2 2 10" xfId="18059" xr:uid="{00000000-0005-0000-0000-00007E5B0000}"/>
    <cellStyle name="Input 3 2 2 2" xfId="14758" xr:uid="{00000000-0005-0000-0000-00007F5B0000}"/>
    <cellStyle name="Input 3 2 2 2 2" xfId="20079" xr:uid="{00000000-0005-0000-0000-0000805B0000}"/>
    <cellStyle name="Input 3 2 2 2 3" xfId="24574" xr:uid="{00000000-0005-0000-0000-0000815B0000}"/>
    <cellStyle name="Input 3 2 2 2 4" xfId="23906" xr:uid="{00000000-0005-0000-0000-0000825B0000}"/>
    <cellStyle name="Input 3 2 2 3" xfId="14459" xr:uid="{00000000-0005-0000-0000-0000835B0000}"/>
    <cellStyle name="Input 3 2 2 3 2" xfId="19608" xr:uid="{00000000-0005-0000-0000-0000845B0000}"/>
    <cellStyle name="Input 3 2 2 4" xfId="15211" xr:uid="{00000000-0005-0000-0000-0000855B0000}"/>
    <cellStyle name="Input 3 2 2 4 2" xfId="20599" xr:uid="{00000000-0005-0000-0000-0000865B0000}"/>
    <cellStyle name="Input 3 2 2 5" xfId="16454" xr:uid="{00000000-0005-0000-0000-0000875B0000}"/>
    <cellStyle name="Input 3 2 2 5 2" xfId="22095" xr:uid="{00000000-0005-0000-0000-0000885B0000}"/>
    <cellStyle name="Input 3 2 2 6" xfId="16817" xr:uid="{00000000-0005-0000-0000-0000895B0000}"/>
    <cellStyle name="Input 3 2 2 6 2" xfId="22468" xr:uid="{00000000-0005-0000-0000-00008A5B0000}"/>
    <cellStyle name="Input 3 2 2 7" xfId="17537" xr:uid="{00000000-0005-0000-0000-00008B5B0000}"/>
    <cellStyle name="Input 3 2 2 7 2" xfId="23182" xr:uid="{00000000-0005-0000-0000-00008C5B0000}"/>
    <cellStyle name="Input 3 2 2 8" xfId="13741" xr:uid="{00000000-0005-0000-0000-00008D5B0000}"/>
    <cellStyle name="Input 3 2 2 8 2" xfId="18715" xr:uid="{00000000-0005-0000-0000-00008E5B0000}"/>
    <cellStyle name="Input 3 2 2 9" xfId="13068" xr:uid="{00000000-0005-0000-0000-00008F5B0000}"/>
    <cellStyle name="Input 3 2 3" xfId="10381" xr:uid="{00000000-0005-0000-0000-0000905B0000}"/>
    <cellStyle name="Input 3 2 3 2" xfId="19328" xr:uid="{00000000-0005-0000-0000-0000915B0000}"/>
    <cellStyle name="Input 3 2 3 3" xfId="24246" xr:uid="{00000000-0005-0000-0000-0000925B0000}"/>
    <cellStyle name="Input 3 2 3 4" xfId="23585" xr:uid="{00000000-0005-0000-0000-0000935B0000}"/>
    <cellStyle name="Input 3 2 4" xfId="15032" xr:uid="{00000000-0005-0000-0000-0000945B0000}"/>
    <cellStyle name="Input 3 2 4 2" xfId="20393" xr:uid="{00000000-0005-0000-0000-0000955B0000}"/>
    <cellStyle name="Input 3 2 5" xfId="15553" xr:uid="{00000000-0005-0000-0000-0000965B0000}"/>
    <cellStyle name="Input 3 2 5 2" xfId="21049" xr:uid="{00000000-0005-0000-0000-0000975B0000}"/>
    <cellStyle name="Input 3 2 6" xfId="15996" xr:uid="{00000000-0005-0000-0000-0000985B0000}"/>
    <cellStyle name="Input 3 2 6 2" xfId="21490" xr:uid="{00000000-0005-0000-0000-0000995B0000}"/>
    <cellStyle name="Input 3 2 7" xfId="16063" xr:uid="{00000000-0005-0000-0000-00009A5B0000}"/>
    <cellStyle name="Input 3 2 7 2" xfId="21571" xr:uid="{00000000-0005-0000-0000-00009B5B0000}"/>
    <cellStyle name="Input 3 2 8" xfId="17220" xr:uid="{00000000-0005-0000-0000-00009C5B0000}"/>
    <cellStyle name="Input 3 2 8 2" xfId="22864" xr:uid="{00000000-0005-0000-0000-00009D5B0000}"/>
    <cellStyle name="Input 3 2 9" xfId="13420" xr:uid="{00000000-0005-0000-0000-00009E5B0000}"/>
    <cellStyle name="Input 3 2 9 2" xfId="18397" xr:uid="{00000000-0005-0000-0000-00009F5B0000}"/>
    <cellStyle name="Input 3 20" xfId="12722" xr:uid="{00000000-0005-0000-0000-0000A05B0000}"/>
    <cellStyle name="Input 3 21" xfId="12398" xr:uid="{00000000-0005-0000-0000-0000A15B0000}"/>
    <cellStyle name="Input 3 3" xfId="1952" xr:uid="{00000000-0005-0000-0000-0000A25B0000}"/>
    <cellStyle name="Input 3 3 10" xfId="12726" xr:uid="{00000000-0005-0000-0000-0000A35B0000}"/>
    <cellStyle name="Input 3 3 11" xfId="12394" xr:uid="{00000000-0005-0000-0000-0000A45B0000}"/>
    <cellStyle name="Input 3 3 2" xfId="3375" xr:uid="{00000000-0005-0000-0000-0000A55B0000}"/>
    <cellStyle name="Input 3 3 2 10" xfId="18060" xr:uid="{00000000-0005-0000-0000-0000A65B0000}"/>
    <cellStyle name="Input 3 3 2 2" xfId="14759" xr:uid="{00000000-0005-0000-0000-0000A75B0000}"/>
    <cellStyle name="Input 3 3 2 2 2" xfId="20080" xr:uid="{00000000-0005-0000-0000-0000A85B0000}"/>
    <cellStyle name="Input 3 3 2 2 3" xfId="24575" xr:uid="{00000000-0005-0000-0000-0000A95B0000}"/>
    <cellStyle name="Input 3 3 2 2 4" xfId="23907" xr:uid="{00000000-0005-0000-0000-0000AA5B0000}"/>
    <cellStyle name="Input 3 3 2 3" xfId="14460" xr:uid="{00000000-0005-0000-0000-0000AB5B0000}"/>
    <cellStyle name="Input 3 3 2 3 2" xfId="19609" xr:uid="{00000000-0005-0000-0000-0000AC5B0000}"/>
    <cellStyle name="Input 3 3 2 4" xfId="15210" xr:uid="{00000000-0005-0000-0000-0000AD5B0000}"/>
    <cellStyle name="Input 3 3 2 4 2" xfId="20598" xr:uid="{00000000-0005-0000-0000-0000AE5B0000}"/>
    <cellStyle name="Input 3 3 2 5" xfId="16455" xr:uid="{00000000-0005-0000-0000-0000AF5B0000}"/>
    <cellStyle name="Input 3 3 2 5 2" xfId="22096" xr:uid="{00000000-0005-0000-0000-0000B05B0000}"/>
    <cellStyle name="Input 3 3 2 6" xfId="16818" xr:uid="{00000000-0005-0000-0000-0000B15B0000}"/>
    <cellStyle name="Input 3 3 2 6 2" xfId="22469" xr:uid="{00000000-0005-0000-0000-0000B25B0000}"/>
    <cellStyle name="Input 3 3 2 7" xfId="17538" xr:uid="{00000000-0005-0000-0000-0000B35B0000}"/>
    <cellStyle name="Input 3 3 2 7 2" xfId="23183" xr:uid="{00000000-0005-0000-0000-0000B45B0000}"/>
    <cellStyle name="Input 3 3 2 8" xfId="13742" xr:uid="{00000000-0005-0000-0000-0000B55B0000}"/>
    <cellStyle name="Input 3 3 2 8 2" xfId="18716" xr:uid="{00000000-0005-0000-0000-0000B65B0000}"/>
    <cellStyle name="Input 3 3 2 9" xfId="13069" xr:uid="{00000000-0005-0000-0000-0000B75B0000}"/>
    <cellStyle name="Input 3 3 3" xfId="10380" xr:uid="{00000000-0005-0000-0000-0000B85B0000}"/>
    <cellStyle name="Input 3 3 3 2" xfId="19329" xr:uid="{00000000-0005-0000-0000-0000B95B0000}"/>
    <cellStyle name="Input 3 3 3 3" xfId="24245" xr:uid="{00000000-0005-0000-0000-0000BA5B0000}"/>
    <cellStyle name="Input 3 3 3 4" xfId="23586" xr:uid="{00000000-0005-0000-0000-0000BB5B0000}"/>
    <cellStyle name="Input 3 3 4" xfId="14120" xr:uid="{00000000-0005-0000-0000-0000BC5B0000}"/>
    <cellStyle name="Input 3 3 4 2" xfId="19107" xr:uid="{00000000-0005-0000-0000-0000BD5B0000}"/>
    <cellStyle name="Input 3 3 4 3" xfId="43463" xr:uid="{00000000-0005-0000-0000-0000BE5B0000}"/>
    <cellStyle name="Input 3 3 5" xfId="15552" xr:uid="{00000000-0005-0000-0000-0000BF5B0000}"/>
    <cellStyle name="Input 3 3 5 2" xfId="21048" xr:uid="{00000000-0005-0000-0000-0000C05B0000}"/>
    <cellStyle name="Input 3 3 6" xfId="15997" xr:uid="{00000000-0005-0000-0000-0000C15B0000}"/>
    <cellStyle name="Input 3 3 6 2" xfId="21491" xr:uid="{00000000-0005-0000-0000-0000C25B0000}"/>
    <cellStyle name="Input 3 3 7" xfId="16145" xr:uid="{00000000-0005-0000-0000-0000C35B0000}"/>
    <cellStyle name="Input 3 3 7 2" xfId="21658" xr:uid="{00000000-0005-0000-0000-0000C45B0000}"/>
    <cellStyle name="Input 3 3 8" xfId="17221" xr:uid="{00000000-0005-0000-0000-0000C55B0000}"/>
    <cellStyle name="Input 3 3 8 2" xfId="22865" xr:uid="{00000000-0005-0000-0000-0000C65B0000}"/>
    <cellStyle name="Input 3 3 9" xfId="13421" xr:uid="{00000000-0005-0000-0000-0000C75B0000}"/>
    <cellStyle name="Input 3 3 9 2" xfId="18398" xr:uid="{00000000-0005-0000-0000-0000C85B0000}"/>
    <cellStyle name="Input 3 4" xfId="1953" xr:uid="{00000000-0005-0000-0000-0000C95B0000}"/>
    <cellStyle name="Input 3 4 10" xfId="12727" xr:uid="{00000000-0005-0000-0000-0000CA5B0000}"/>
    <cellStyle name="Input 3 4 11" xfId="12393" xr:uid="{00000000-0005-0000-0000-0000CB5B0000}"/>
    <cellStyle name="Input 3 4 2" xfId="3376" xr:uid="{00000000-0005-0000-0000-0000CC5B0000}"/>
    <cellStyle name="Input 3 4 2 10" xfId="18061" xr:uid="{00000000-0005-0000-0000-0000CD5B0000}"/>
    <cellStyle name="Input 3 4 2 2" xfId="14760" xr:uid="{00000000-0005-0000-0000-0000CE5B0000}"/>
    <cellStyle name="Input 3 4 2 2 2" xfId="20081" xr:uid="{00000000-0005-0000-0000-0000CF5B0000}"/>
    <cellStyle name="Input 3 4 2 2 3" xfId="24576" xr:uid="{00000000-0005-0000-0000-0000D05B0000}"/>
    <cellStyle name="Input 3 4 2 2 4" xfId="23908" xr:uid="{00000000-0005-0000-0000-0000D15B0000}"/>
    <cellStyle name="Input 3 4 2 3" xfId="14461" xr:uid="{00000000-0005-0000-0000-0000D25B0000}"/>
    <cellStyle name="Input 3 4 2 3 2" xfId="19610" xr:uid="{00000000-0005-0000-0000-0000D35B0000}"/>
    <cellStyle name="Input 3 4 2 4" xfId="15209" xr:uid="{00000000-0005-0000-0000-0000D45B0000}"/>
    <cellStyle name="Input 3 4 2 4 2" xfId="20597" xr:uid="{00000000-0005-0000-0000-0000D55B0000}"/>
    <cellStyle name="Input 3 4 2 5" xfId="16456" xr:uid="{00000000-0005-0000-0000-0000D65B0000}"/>
    <cellStyle name="Input 3 4 2 5 2" xfId="22097" xr:uid="{00000000-0005-0000-0000-0000D75B0000}"/>
    <cellStyle name="Input 3 4 2 6" xfId="16819" xr:uid="{00000000-0005-0000-0000-0000D85B0000}"/>
    <cellStyle name="Input 3 4 2 6 2" xfId="22470" xr:uid="{00000000-0005-0000-0000-0000D95B0000}"/>
    <cellStyle name="Input 3 4 2 7" xfId="17539" xr:uid="{00000000-0005-0000-0000-0000DA5B0000}"/>
    <cellStyle name="Input 3 4 2 7 2" xfId="23184" xr:uid="{00000000-0005-0000-0000-0000DB5B0000}"/>
    <cellStyle name="Input 3 4 2 8" xfId="13743" xr:uid="{00000000-0005-0000-0000-0000DC5B0000}"/>
    <cellStyle name="Input 3 4 2 8 2" xfId="18717" xr:uid="{00000000-0005-0000-0000-0000DD5B0000}"/>
    <cellStyle name="Input 3 4 2 9" xfId="13070" xr:uid="{00000000-0005-0000-0000-0000DE5B0000}"/>
    <cellStyle name="Input 3 4 3" xfId="10379" xr:uid="{00000000-0005-0000-0000-0000DF5B0000}"/>
    <cellStyle name="Input 3 4 3 2" xfId="19330" xr:uid="{00000000-0005-0000-0000-0000E05B0000}"/>
    <cellStyle name="Input 3 4 3 3" xfId="24244" xr:uid="{00000000-0005-0000-0000-0000E15B0000}"/>
    <cellStyle name="Input 3 4 3 4" xfId="23587" xr:uid="{00000000-0005-0000-0000-0000E25B0000}"/>
    <cellStyle name="Input 3 4 4" xfId="15031" xr:uid="{00000000-0005-0000-0000-0000E35B0000}"/>
    <cellStyle name="Input 3 4 4 2" xfId="20392" xr:uid="{00000000-0005-0000-0000-0000E45B0000}"/>
    <cellStyle name="Input 3 4 5" xfId="15551" xr:uid="{00000000-0005-0000-0000-0000E55B0000}"/>
    <cellStyle name="Input 3 4 5 2" xfId="21047" xr:uid="{00000000-0005-0000-0000-0000E65B0000}"/>
    <cellStyle name="Input 3 4 6" xfId="15998" xr:uid="{00000000-0005-0000-0000-0000E75B0000}"/>
    <cellStyle name="Input 3 4 6 2" xfId="21492" xr:uid="{00000000-0005-0000-0000-0000E85B0000}"/>
    <cellStyle name="Input 3 4 7" xfId="16045" xr:uid="{00000000-0005-0000-0000-0000E95B0000}"/>
    <cellStyle name="Input 3 4 7 2" xfId="21547" xr:uid="{00000000-0005-0000-0000-0000EA5B0000}"/>
    <cellStyle name="Input 3 4 8" xfId="17222" xr:uid="{00000000-0005-0000-0000-0000EB5B0000}"/>
    <cellStyle name="Input 3 4 8 2" xfId="22866" xr:uid="{00000000-0005-0000-0000-0000EC5B0000}"/>
    <cellStyle name="Input 3 4 9" xfId="13422" xr:uid="{00000000-0005-0000-0000-0000ED5B0000}"/>
    <cellStyle name="Input 3 4 9 2" xfId="18399" xr:uid="{00000000-0005-0000-0000-0000EE5B0000}"/>
    <cellStyle name="Input 3 5" xfId="1954" xr:uid="{00000000-0005-0000-0000-0000EF5B0000}"/>
    <cellStyle name="Input 3 5 10" xfId="12728" xr:uid="{00000000-0005-0000-0000-0000F05B0000}"/>
    <cellStyle name="Input 3 5 11" xfId="12392" xr:uid="{00000000-0005-0000-0000-0000F15B0000}"/>
    <cellStyle name="Input 3 5 2" xfId="3377" xr:uid="{00000000-0005-0000-0000-0000F25B0000}"/>
    <cellStyle name="Input 3 5 2 10" xfId="18062" xr:uid="{00000000-0005-0000-0000-0000F35B0000}"/>
    <cellStyle name="Input 3 5 2 2" xfId="14761" xr:uid="{00000000-0005-0000-0000-0000F45B0000}"/>
    <cellStyle name="Input 3 5 2 2 2" xfId="20082" xr:uid="{00000000-0005-0000-0000-0000F55B0000}"/>
    <cellStyle name="Input 3 5 2 2 3" xfId="24577" xr:uid="{00000000-0005-0000-0000-0000F65B0000}"/>
    <cellStyle name="Input 3 5 2 2 4" xfId="23909" xr:uid="{00000000-0005-0000-0000-0000F75B0000}"/>
    <cellStyle name="Input 3 5 2 3" xfId="14462" xr:uid="{00000000-0005-0000-0000-0000F85B0000}"/>
    <cellStyle name="Input 3 5 2 3 2" xfId="19611" xr:uid="{00000000-0005-0000-0000-0000F95B0000}"/>
    <cellStyle name="Input 3 5 2 4" xfId="15208" xr:uid="{00000000-0005-0000-0000-0000FA5B0000}"/>
    <cellStyle name="Input 3 5 2 4 2" xfId="20596" xr:uid="{00000000-0005-0000-0000-0000FB5B0000}"/>
    <cellStyle name="Input 3 5 2 5" xfId="16457" xr:uid="{00000000-0005-0000-0000-0000FC5B0000}"/>
    <cellStyle name="Input 3 5 2 5 2" xfId="22098" xr:uid="{00000000-0005-0000-0000-0000FD5B0000}"/>
    <cellStyle name="Input 3 5 2 6" xfId="16820" xr:uid="{00000000-0005-0000-0000-0000FE5B0000}"/>
    <cellStyle name="Input 3 5 2 6 2" xfId="22471" xr:uid="{00000000-0005-0000-0000-0000FF5B0000}"/>
    <cellStyle name="Input 3 5 2 7" xfId="17540" xr:uid="{00000000-0005-0000-0000-0000005C0000}"/>
    <cellStyle name="Input 3 5 2 7 2" xfId="23185" xr:uid="{00000000-0005-0000-0000-0000015C0000}"/>
    <cellStyle name="Input 3 5 2 8" xfId="13744" xr:uid="{00000000-0005-0000-0000-0000025C0000}"/>
    <cellStyle name="Input 3 5 2 8 2" xfId="18718" xr:uid="{00000000-0005-0000-0000-0000035C0000}"/>
    <cellStyle name="Input 3 5 2 9" xfId="13071" xr:uid="{00000000-0005-0000-0000-0000045C0000}"/>
    <cellStyle name="Input 3 5 3" xfId="10378" xr:uid="{00000000-0005-0000-0000-0000055C0000}"/>
    <cellStyle name="Input 3 5 3 2" xfId="19331" xr:uid="{00000000-0005-0000-0000-0000065C0000}"/>
    <cellStyle name="Input 3 5 3 3" xfId="24243" xr:uid="{00000000-0005-0000-0000-0000075C0000}"/>
    <cellStyle name="Input 3 5 3 4" xfId="23588" xr:uid="{00000000-0005-0000-0000-0000085C0000}"/>
    <cellStyle name="Input 3 5 4" xfId="14121" xr:uid="{00000000-0005-0000-0000-0000095C0000}"/>
    <cellStyle name="Input 3 5 4 2" xfId="19108" xr:uid="{00000000-0005-0000-0000-00000A5C0000}"/>
    <cellStyle name="Input 3 5 5" xfId="15550" xr:uid="{00000000-0005-0000-0000-00000B5C0000}"/>
    <cellStyle name="Input 3 5 5 2" xfId="21046" xr:uid="{00000000-0005-0000-0000-00000C5C0000}"/>
    <cellStyle name="Input 3 5 6" xfId="15999" xr:uid="{00000000-0005-0000-0000-00000D5C0000}"/>
    <cellStyle name="Input 3 5 6 2" xfId="21493" xr:uid="{00000000-0005-0000-0000-00000E5C0000}"/>
    <cellStyle name="Input 3 5 7" xfId="16144" xr:uid="{00000000-0005-0000-0000-00000F5C0000}"/>
    <cellStyle name="Input 3 5 7 2" xfId="21657" xr:uid="{00000000-0005-0000-0000-0000105C0000}"/>
    <cellStyle name="Input 3 5 8" xfId="17223" xr:uid="{00000000-0005-0000-0000-0000115C0000}"/>
    <cellStyle name="Input 3 5 8 2" xfId="22867" xr:uid="{00000000-0005-0000-0000-0000125C0000}"/>
    <cellStyle name="Input 3 5 9" xfId="13423" xr:uid="{00000000-0005-0000-0000-0000135C0000}"/>
    <cellStyle name="Input 3 5 9 2" xfId="18400" xr:uid="{00000000-0005-0000-0000-0000145C0000}"/>
    <cellStyle name="Input 3 6" xfId="1955" xr:uid="{00000000-0005-0000-0000-0000155C0000}"/>
    <cellStyle name="Input 3 6 10" xfId="12729" xr:uid="{00000000-0005-0000-0000-0000165C0000}"/>
    <cellStyle name="Input 3 6 11" xfId="12391" xr:uid="{00000000-0005-0000-0000-0000175C0000}"/>
    <cellStyle name="Input 3 6 2" xfId="3378" xr:uid="{00000000-0005-0000-0000-0000185C0000}"/>
    <cellStyle name="Input 3 6 2 10" xfId="18063" xr:uid="{00000000-0005-0000-0000-0000195C0000}"/>
    <cellStyle name="Input 3 6 2 2" xfId="14762" xr:uid="{00000000-0005-0000-0000-00001A5C0000}"/>
    <cellStyle name="Input 3 6 2 2 2" xfId="20083" xr:uid="{00000000-0005-0000-0000-00001B5C0000}"/>
    <cellStyle name="Input 3 6 2 2 3" xfId="24578" xr:uid="{00000000-0005-0000-0000-00001C5C0000}"/>
    <cellStyle name="Input 3 6 2 2 4" xfId="23910" xr:uid="{00000000-0005-0000-0000-00001D5C0000}"/>
    <cellStyle name="Input 3 6 2 3" xfId="14463" xr:uid="{00000000-0005-0000-0000-00001E5C0000}"/>
    <cellStyle name="Input 3 6 2 3 2" xfId="19612" xr:uid="{00000000-0005-0000-0000-00001F5C0000}"/>
    <cellStyle name="Input 3 6 2 4" xfId="15207" xr:uid="{00000000-0005-0000-0000-0000205C0000}"/>
    <cellStyle name="Input 3 6 2 4 2" xfId="20595" xr:uid="{00000000-0005-0000-0000-0000215C0000}"/>
    <cellStyle name="Input 3 6 2 5" xfId="16458" xr:uid="{00000000-0005-0000-0000-0000225C0000}"/>
    <cellStyle name="Input 3 6 2 5 2" xfId="22099" xr:uid="{00000000-0005-0000-0000-0000235C0000}"/>
    <cellStyle name="Input 3 6 2 6" xfId="16821" xr:uid="{00000000-0005-0000-0000-0000245C0000}"/>
    <cellStyle name="Input 3 6 2 6 2" xfId="22472" xr:uid="{00000000-0005-0000-0000-0000255C0000}"/>
    <cellStyle name="Input 3 6 2 7" xfId="17541" xr:uid="{00000000-0005-0000-0000-0000265C0000}"/>
    <cellStyle name="Input 3 6 2 7 2" xfId="23186" xr:uid="{00000000-0005-0000-0000-0000275C0000}"/>
    <cellStyle name="Input 3 6 2 8" xfId="13745" xr:uid="{00000000-0005-0000-0000-0000285C0000}"/>
    <cellStyle name="Input 3 6 2 8 2" xfId="18719" xr:uid="{00000000-0005-0000-0000-0000295C0000}"/>
    <cellStyle name="Input 3 6 2 9" xfId="13072" xr:uid="{00000000-0005-0000-0000-00002A5C0000}"/>
    <cellStyle name="Input 3 6 3" xfId="10377" xr:uid="{00000000-0005-0000-0000-00002B5C0000}"/>
    <cellStyle name="Input 3 6 3 2" xfId="19332" xr:uid="{00000000-0005-0000-0000-00002C5C0000}"/>
    <cellStyle name="Input 3 6 3 3" xfId="24242" xr:uid="{00000000-0005-0000-0000-00002D5C0000}"/>
    <cellStyle name="Input 3 6 3 4" xfId="23589" xr:uid="{00000000-0005-0000-0000-00002E5C0000}"/>
    <cellStyle name="Input 3 6 4" xfId="15030" xr:uid="{00000000-0005-0000-0000-00002F5C0000}"/>
    <cellStyle name="Input 3 6 4 2" xfId="20391" xr:uid="{00000000-0005-0000-0000-0000305C0000}"/>
    <cellStyle name="Input 3 6 5" xfId="15549" xr:uid="{00000000-0005-0000-0000-0000315C0000}"/>
    <cellStyle name="Input 3 6 5 2" xfId="21045" xr:uid="{00000000-0005-0000-0000-0000325C0000}"/>
    <cellStyle name="Input 3 6 6" xfId="16000" xr:uid="{00000000-0005-0000-0000-0000335C0000}"/>
    <cellStyle name="Input 3 6 6 2" xfId="21494" xr:uid="{00000000-0005-0000-0000-0000345C0000}"/>
    <cellStyle name="Input 3 6 7" xfId="16044" xr:uid="{00000000-0005-0000-0000-0000355C0000}"/>
    <cellStyle name="Input 3 6 7 2" xfId="21546" xr:uid="{00000000-0005-0000-0000-0000365C0000}"/>
    <cellStyle name="Input 3 6 8" xfId="17224" xr:uid="{00000000-0005-0000-0000-0000375C0000}"/>
    <cellStyle name="Input 3 6 8 2" xfId="22868" xr:uid="{00000000-0005-0000-0000-0000385C0000}"/>
    <cellStyle name="Input 3 6 9" xfId="13424" xr:uid="{00000000-0005-0000-0000-0000395C0000}"/>
    <cellStyle name="Input 3 6 9 2" xfId="18401" xr:uid="{00000000-0005-0000-0000-00003A5C0000}"/>
    <cellStyle name="Input 3 7" xfId="1956" xr:uid="{00000000-0005-0000-0000-00003B5C0000}"/>
    <cellStyle name="Input 3 7 10" xfId="12730" xr:uid="{00000000-0005-0000-0000-00003C5C0000}"/>
    <cellStyle name="Input 3 7 11" xfId="12390" xr:uid="{00000000-0005-0000-0000-00003D5C0000}"/>
    <cellStyle name="Input 3 7 2" xfId="3379" xr:uid="{00000000-0005-0000-0000-00003E5C0000}"/>
    <cellStyle name="Input 3 7 2 10" xfId="18064" xr:uid="{00000000-0005-0000-0000-00003F5C0000}"/>
    <cellStyle name="Input 3 7 2 2" xfId="14763" xr:uid="{00000000-0005-0000-0000-0000405C0000}"/>
    <cellStyle name="Input 3 7 2 2 2" xfId="20084" xr:uid="{00000000-0005-0000-0000-0000415C0000}"/>
    <cellStyle name="Input 3 7 2 2 3" xfId="24579" xr:uid="{00000000-0005-0000-0000-0000425C0000}"/>
    <cellStyle name="Input 3 7 2 2 4" xfId="23911" xr:uid="{00000000-0005-0000-0000-0000435C0000}"/>
    <cellStyle name="Input 3 7 2 3" xfId="14464" xr:uid="{00000000-0005-0000-0000-0000445C0000}"/>
    <cellStyle name="Input 3 7 2 3 2" xfId="19613" xr:uid="{00000000-0005-0000-0000-0000455C0000}"/>
    <cellStyle name="Input 3 7 2 4" xfId="15206" xr:uid="{00000000-0005-0000-0000-0000465C0000}"/>
    <cellStyle name="Input 3 7 2 4 2" xfId="20594" xr:uid="{00000000-0005-0000-0000-0000475C0000}"/>
    <cellStyle name="Input 3 7 2 5" xfId="16459" xr:uid="{00000000-0005-0000-0000-0000485C0000}"/>
    <cellStyle name="Input 3 7 2 5 2" xfId="22100" xr:uid="{00000000-0005-0000-0000-0000495C0000}"/>
    <cellStyle name="Input 3 7 2 6" xfId="16822" xr:uid="{00000000-0005-0000-0000-00004A5C0000}"/>
    <cellStyle name="Input 3 7 2 6 2" xfId="22473" xr:uid="{00000000-0005-0000-0000-00004B5C0000}"/>
    <cellStyle name="Input 3 7 2 7" xfId="17542" xr:uid="{00000000-0005-0000-0000-00004C5C0000}"/>
    <cellStyle name="Input 3 7 2 7 2" xfId="23187" xr:uid="{00000000-0005-0000-0000-00004D5C0000}"/>
    <cellStyle name="Input 3 7 2 8" xfId="13746" xr:uid="{00000000-0005-0000-0000-00004E5C0000}"/>
    <cellStyle name="Input 3 7 2 8 2" xfId="18720" xr:uid="{00000000-0005-0000-0000-00004F5C0000}"/>
    <cellStyle name="Input 3 7 2 9" xfId="13073" xr:uid="{00000000-0005-0000-0000-0000505C0000}"/>
    <cellStyle name="Input 3 7 3" xfId="10376" xr:uid="{00000000-0005-0000-0000-0000515C0000}"/>
    <cellStyle name="Input 3 7 3 2" xfId="19333" xr:uid="{00000000-0005-0000-0000-0000525C0000}"/>
    <cellStyle name="Input 3 7 3 3" xfId="24241" xr:uid="{00000000-0005-0000-0000-0000535C0000}"/>
    <cellStyle name="Input 3 7 3 4" xfId="23590" xr:uid="{00000000-0005-0000-0000-0000545C0000}"/>
    <cellStyle name="Input 3 7 4" xfId="14122" xr:uid="{00000000-0005-0000-0000-0000555C0000}"/>
    <cellStyle name="Input 3 7 4 2" xfId="19109" xr:uid="{00000000-0005-0000-0000-0000565C0000}"/>
    <cellStyle name="Input 3 7 5" xfId="15548" xr:uid="{00000000-0005-0000-0000-0000575C0000}"/>
    <cellStyle name="Input 3 7 5 2" xfId="21044" xr:uid="{00000000-0005-0000-0000-0000585C0000}"/>
    <cellStyle name="Input 3 7 6" xfId="16001" xr:uid="{00000000-0005-0000-0000-0000595C0000}"/>
    <cellStyle name="Input 3 7 6 2" xfId="21495" xr:uid="{00000000-0005-0000-0000-00005A5C0000}"/>
    <cellStyle name="Input 3 7 7" xfId="16143" xr:uid="{00000000-0005-0000-0000-00005B5C0000}"/>
    <cellStyle name="Input 3 7 7 2" xfId="21656" xr:uid="{00000000-0005-0000-0000-00005C5C0000}"/>
    <cellStyle name="Input 3 7 8" xfId="17225" xr:uid="{00000000-0005-0000-0000-00005D5C0000}"/>
    <cellStyle name="Input 3 7 8 2" xfId="22869" xr:uid="{00000000-0005-0000-0000-00005E5C0000}"/>
    <cellStyle name="Input 3 7 9" xfId="13425" xr:uid="{00000000-0005-0000-0000-00005F5C0000}"/>
    <cellStyle name="Input 3 7 9 2" xfId="18402" xr:uid="{00000000-0005-0000-0000-0000605C0000}"/>
    <cellStyle name="Input 3 8" xfId="1957" xr:uid="{00000000-0005-0000-0000-0000615C0000}"/>
    <cellStyle name="Input 3 8 10" xfId="12731" xr:uid="{00000000-0005-0000-0000-0000625C0000}"/>
    <cellStyle name="Input 3 8 11" xfId="12389" xr:uid="{00000000-0005-0000-0000-0000635C0000}"/>
    <cellStyle name="Input 3 8 2" xfId="3380" xr:uid="{00000000-0005-0000-0000-0000645C0000}"/>
    <cellStyle name="Input 3 8 2 10" xfId="18065" xr:uid="{00000000-0005-0000-0000-0000655C0000}"/>
    <cellStyle name="Input 3 8 2 2" xfId="14764" xr:uid="{00000000-0005-0000-0000-0000665C0000}"/>
    <cellStyle name="Input 3 8 2 2 2" xfId="20085" xr:uid="{00000000-0005-0000-0000-0000675C0000}"/>
    <cellStyle name="Input 3 8 2 2 3" xfId="24580" xr:uid="{00000000-0005-0000-0000-0000685C0000}"/>
    <cellStyle name="Input 3 8 2 2 4" xfId="23912" xr:uid="{00000000-0005-0000-0000-0000695C0000}"/>
    <cellStyle name="Input 3 8 2 3" xfId="14465" xr:uid="{00000000-0005-0000-0000-00006A5C0000}"/>
    <cellStyle name="Input 3 8 2 3 2" xfId="19614" xr:uid="{00000000-0005-0000-0000-00006B5C0000}"/>
    <cellStyle name="Input 3 8 2 4" xfId="15205" xr:uid="{00000000-0005-0000-0000-00006C5C0000}"/>
    <cellStyle name="Input 3 8 2 4 2" xfId="20593" xr:uid="{00000000-0005-0000-0000-00006D5C0000}"/>
    <cellStyle name="Input 3 8 2 5" xfId="16460" xr:uid="{00000000-0005-0000-0000-00006E5C0000}"/>
    <cellStyle name="Input 3 8 2 5 2" xfId="22101" xr:uid="{00000000-0005-0000-0000-00006F5C0000}"/>
    <cellStyle name="Input 3 8 2 6" xfId="16823" xr:uid="{00000000-0005-0000-0000-0000705C0000}"/>
    <cellStyle name="Input 3 8 2 6 2" xfId="22474" xr:uid="{00000000-0005-0000-0000-0000715C0000}"/>
    <cellStyle name="Input 3 8 2 7" xfId="17543" xr:uid="{00000000-0005-0000-0000-0000725C0000}"/>
    <cellStyle name="Input 3 8 2 7 2" xfId="23188" xr:uid="{00000000-0005-0000-0000-0000735C0000}"/>
    <cellStyle name="Input 3 8 2 8" xfId="13747" xr:uid="{00000000-0005-0000-0000-0000745C0000}"/>
    <cellStyle name="Input 3 8 2 8 2" xfId="18721" xr:uid="{00000000-0005-0000-0000-0000755C0000}"/>
    <cellStyle name="Input 3 8 2 9" xfId="13074" xr:uid="{00000000-0005-0000-0000-0000765C0000}"/>
    <cellStyle name="Input 3 8 3" xfId="10941" xr:uid="{00000000-0005-0000-0000-0000775C0000}"/>
    <cellStyle name="Input 3 8 3 2" xfId="19334" xr:uid="{00000000-0005-0000-0000-0000785C0000}"/>
    <cellStyle name="Input 3 8 3 3" xfId="24240" xr:uid="{00000000-0005-0000-0000-0000795C0000}"/>
    <cellStyle name="Input 3 8 3 4" xfId="23591" xr:uid="{00000000-0005-0000-0000-00007A5C0000}"/>
    <cellStyle name="Input 3 8 4" xfId="15029" xr:uid="{00000000-0005-0000-0000-00007B5C0000}"/>
    <cellStyle name="Input 3 8 4 2" xfId="20390" xr:uid="{00000000-0005-0000-0000-00007C5C0000}"/>
    <cellStyle name="Input 3 8 5" xfId="15547" xr:uid="{00000000-0005-0000-0000-00007D5C0000}"/>
    <cellStyle name="Input 3 8 5 2" xfId="21043" xr:uid="{00000000-0005-0000-0000-00007E5C0000}"/>
    <cellStyle name="Input 3 8 6" xfId="16002" xr:uid="{00000000-0005-0000-0000-00007F5C0000}"/>
    <cellStyle name="Input 3 8 6 2" xfId="21496" xr:uid="{00000000-0005-0000-0000-0000805C0000}"/>
    <cellStyle name="Input 3 8 7" xfId="16043" xr:uid="{00000000-0005-0000-0000-0000815C0000}"/>
    <cellStyle name="Input 3 8 7 2" xfId="21545" xr:uid="{00000000-0005-0000-0000-0000825C0000}"/>
    <cellStyle name="Input 3 8 8" xfId="17226" xr:uid="{00000000-0005-0000-0000-0000835C0000}"/>
    <cellStyle name="Input 3 8 8 2" xfId="22870" xr:uid="{00000000-0005-0000-0000-0000845C0000}"/>
    <cellStyle name="Input 3 8 9" xfId="13426" xr:uid="{00000000-0005-0000-0000-0000855C0000}"/>
    <cellStyle name="Input 3 8 9 2" xfId="18403" xr:uid="{00000000-0005-0000-0000-0000865C0000}"/>
    <cellStyle name="Input 3 9" xfId="1958" xr:uid="{00000000-0005-0000-0000-0000875C0000}"/>
    <cellStyle name="Input 3 9 10" xfId="12732" xr:uid="{00000000-0005-0000-0000-0000885C0000}"/>
    <cellStyle name="Input 3 9 11" xfId="12388" xr:uid="{00000000-0005-0000-0000-0000895C0000}"/>
    <cellStyle name="Input 3 9 2" xfId="3381" xr:uid="{00000000-0005-0000-0000-00008A5C0000}"/>
    <cellStyle name="Input 3 9 2 10" xfId="18066" xr:uid="{00000000-0005-0000-0000-00008B5C0000}"/>
    <cellStyle name="Input 3 9 2 2" xfId="14765" xr:uid="{00000000-0005-0000-0000-00008C5C0000}"/>
    <cellStyle name="Input 3 9 2 2 2" xfId="20086" xr:uid="{00000000-0005-0000-0000-00008D5C0000}"/>
    <cellStyle name="Input 3 9 2 2 3" xfId="24581" xr:uid="{00000000-0005-0000-0000-00008E5C0000}"/>
    <cellStyle name="Input 3 9 2 2 4" xfId="23913" xr:uid="{00000000-0005-0000-0000-00008F5C0000}"/>
    <cellStyle name="Input 3 9 2 3" xfId="14466" xr:uid="{00000000-0005-0000-0000-0000905C0000}"/>
    <cellStyle name="Input 3 9 2 3 2" xfId="19615" xr:uid="{00000000-0005-0000-0000-0000915C0000}"/>
    <cellStyle name="Input 3 9 2 4" xfId="15204" xr:uid="{00000000-0005-0000-0000-0000925C0000}"/>
    <cellStyle name="Input 3 9 2 4 2" xfId="20592" xr:uid="{00000000-0005-0000-0000-0000935C0000}"/>
    <cellStyle name="Input 3 9 2 5" xfId="16461" xr:uid="{00000000-0005-0000-0000-0000945C0000}"/>
    <cellStyle name="Input 3 9 2 5 2" xfId="22102" xr:uid="{00000000-0005-0000-0000-0000955C0000}"/>
    <cellStyle name="Input 3 9 2 6" xfId="16824" xr:uid="{00000000-0005-0000-0000-0000965C0000}"/>
    <cellStyle name="Input 3 9 2 6 2" xfId="22475" xr:uid="{00000000-0005-0000-0000-0000975C0000}"/>
    <cellStyle name="Input 3 9 2 7" xfId="17544" xr:uid="{00000000-0005-0000-0000-0000985C0000}"/>
    <cellStyle name="Input 3 9 2 7 2" xfId="23189" xr:uid="{00000000-0005-0000-0000-0000995C0000}"/>
    <cellStyle name="Input 3 9 2 8" xfId="13748" xr:uid="{00000000-0005-0000-0000-00009A5C0000}"/>
    <cellStyle name="Input 3 9 2 8 2" xfId="18722" xr:uid="{00000000-0005-0000-0000-00009B5C0000}"/>
    <cellStyle name="Input 3 9 2 9" xfId="13075" xr:uid="{00000000-0005-0000-0000-00009C5C0000}"/>
    <cellStyle name="Input 3 9 3" xfId="10929" xr:uid="{00000000-0005-0000-0000-00009D5C0000}"/>
    <cellStyle name="Input 3 9 3 2" xfId="19335" xr:uid="{00000000-0005-0000-0000-00009E5C0000}"/>
    <cellStyle name="Input 3 9 3 3" xfId="24239" xr:uid="{00000000-0005-0000-0000-00009F5C0000}"/>
    <cellStyle name="Input 3 9 3 4" xfId="23592" xr:uid="{00000000-0005-0000-0000-0000A05C0000}"/>
    <cellStyle name="Input 3 9 4" xfId="14123" xr:uid="{00000000-0005-0000-0000-0000A15C0000}"/>
    <cellStyle name="Input 3 9 4 2" xfId="19110" xr:uid="{00000000-0005-0000-0000-0000A25C0000}"/>
    <cellStyle name="Input 3 9 5" xfId="15546" xr:uid="{00000000-0005-0000-0000-0000A35C0000}"/>
    <cellStyle name="Input 3 9 5 2" xfId="21042" xr:uid="{00000000-0005-0000-0000-0000A45C0000}"/>
    <cellStyle name="Input 3 9 6" xfId="16003" xr:uid="{00000000-0005-0000-0000-0000A55C0000}"/>
    <cellStyle name="Input 3 9 6 2" xfId="21497" xr:uid="{00000000-0005-0000-0000-0000A65C0000}"/>
    <cellStyle name="Input 3 9 7" xfId="16142" xr:uid="{00000000-0005-0000-0000-0000A75C0000}"/>
    <cellStyle name="Input 3 9 7 2" xfId="21655" xr:uid="{00000000-0005-0000-0000-0000A85C0000}"/>
    <cellStyle name="Input 3 9 8" xfId="17227" xr:uid="{00000000-0005-0000-0000-0000A95C0000}"/>
    <cellStyle name="Input 3 9 8 2" xfId="22871" xr:uid="{00000000-0005-0000-0000-0000AA5C0000}"/>
    <cellStyle name="Input 3 9 9" xfId="13427" xr:uid="{00000000-0005-0000-0000-0000AB5C0000}"/>
    <cellStyle name="Input 3 9 9 2" xfId="18404" xr:uid="{00000000-0005-0000-0000-0000AC5C0000}"/>
    <cellStyle name="Input 30 2" xfId="43464" xr:uid="{00000000-0005-0000-0000-0000AD5C0000}"/>
    <cellStyle name="Input 31 2" xfId="43465" xr:uid="{00000000-0005-0000-0000-0000AE5C0000}"/>
    <cellStyle name="Input 32 2" xfId="43466" xr:uid="{00000000-0005-0000-0000-0000AF5C0000}"/>
    <cellStyle name="Input 33 2" xfId="43467" xr:uid="{00000000-0005-0000-0000-0000B05C0000}"/>
    <cellStyle name="Input 34" xfId="43468" xr:uid="{00000000-0005-0000-0000-0000B15C0000}"/>
    <cellStyle name="Input 34 2" xfId="43469" xr:uid="{00000000-0005-0000-0000-0000B25C0000}"/>
    <cellStyle name="Input 34_ELC_final" xfId="43470" xr:uid="{00000000-0005-0000-0000-0000B35C0000}"/>
    <cellStyle name="Input 35" xfId="43471" xr:uid="{00000000-0005-0000-0000-0000B45C0000}"/>
    <cellStyle name="Input 36" xfId="43472" xr:uid="{00000000-0005-0000-0000-0000B55C0000}"/>
    <cellStyle name="Input 37" xfId="43473" xr:uid="{00000000-0005-0000-0000-0000B65C0000}"/>
    <cellStyle name="Input 38" xfId="43474" xr:uid="{00000000-0005-0000-0000-0000B75C0000}"/>
    <cellStyle name="Input 39" xfId="43475" xr:uid="{00000000-0005-0000-0000-0000B85C0000}"/>
    <cellStyle name="Input 4" xfId="1959" xr:uid="{00000000-0005-0000-0000-0000B95C0000}"/>
    <cellStyle name="Input 4 10" xfId="1960" xr:uid="{00000000-0005-0000-0000-0000BA5C0000}"/>
    <cellStyle name="Input 4 10 10" xfId="12734" xr:uid="{00000000-0005-0000-0000-0000BB5C0000}"/>
    <cellStyle name="Input 4 10 11" xfId="12386" xr:uid="{00000000-0005-0000-0000-0000BC5C0000}"/>
    <cellStyle name="Input 4 10 2" xfId="3382" xr:uid="{00000000-0005-0000-0000-0000BD5C0000}"/>
    <cellStyle name="Input 4 10 2 10" xfId="18068" xr:uid="{00000000-0005-0000-0000-0000BE5C0000}"/>
    <cellStyle name="Input 4 10 2 2" xfId="14767" xr:uid="{00000000-0005-0000-0000-0000BF5C0000}"/>
    <cellStyle name="Input 4 10 2 2 2" xfId="20088" xr:uid="{00000000-0005-0000-0000-0000C05C0000}"/>
    <cellStyle name="Input 4 10 2 2 3" xfId="24583" xr:uid="{00000000-0005-0000-0000-0000C15C0000}"/>
    <cellStyle name="Input 4 10 2 2 4" xfId="23915" xr:uid="{00000000-0005-0000-0000-0000C25C0000}"/>
    <cellStyle name="Input 4 10 2 3" xfId="14468" xr:uid="{00000000-0005-0000-0000-0000C35C0000}"/>
    <cellStyle name="Input 4 10 2 3 2" xfId="19617" xr:uid="{00000000-0005-0000-0000-0000C45C0000}"/>
    <cellStyle name="Input 4 10 2 4" xfId="15202" xr:uid="{00000000-0005-0000-0000-0000C55C0000}"/>
    <cellStyle name="Input 4 10 2 4 2" xfId="20590" xr:uid="{00000000-0005-0000-0000-0000C65C0000}"/>
    <cellStyle name="Input 4 10 2 5" xfId="16463" xr:uid="{00000000-0005-0000-0000-0000C75C0000}"/>
    <cellStyle name="Input 4 10 2 5 2" xfId="22104" xr:uid="{00000000-0005-0000-0000-0000C85C0000}"/>
    <cellStyle name="Input 4 10 2 6" xfId="16826" xr:uid="{00000000-0005-0000-0000-0000C95C0000}"/>
    <cellStyle name="Input 4 10 2 6 2" xfId="22477" xr:uid="{00000000-0005-0000-0000-0000CA5C0000}"/>
    <cellStyle name="Input 4 10 2 7" xfId="17546" xr:uid="{00000000-0005-0000-0000-0000CB5C0000}"/>
    <cellStyle name="Input 4 10 2 7 2" xfId="23191" xr:uid="{00000000-0005-0000-0000-0000CC5C0000}"/>
    <cellStyle name="Input 4 10 2 8" xfId="13750" xr:uid="{00000000-0005-0000-0000-0000CD5C0000}"/>
    <cellStyle name="Input 4 10 2 8 2" xfId="18724" xr:uid="{00000000-0005-0000-0000-0000CE5C0000}"/>
    <cellStyle name="Input 4 10 2 9" xfId="13077" xr:uid="{00000000-0005-0000-0000-0000CF5C0000}"/>
    <cellStyle name="Input 4 10 3" xfId="10901" xr:uid="{00000000-0005-0000-0000-0000D05C0000}"/>
    <cellStyle name="Input 4 10 3 2" xfId="19337" xr:uid="{00000000-0005-0000-0000-0000D15C0000}"/>
    <cellStyle name="Input 4 10 3 3" xfId="24237" xr:uid="{00000000-0005-0000-0000-0000D25C0000}"/>
    <cellStyle name="Input 4 10 3 4" xfId="23594" xr:uid="{00000000-0005-0000-0000-0000D35C0000}"/>
    <cellStyle name="Input 4 10 4" xfId="14124" xr:uid="{00000000-0005-0000-0000-0000D45C0000}"/>
    <cellStyle name="Input 4 10 4 2" xfId="19111" xr:uid="{00000000-0005-0000-0000-0000D55C0000}"/>
    <cellStyle name="Input 4 10 5" xfId="15544" xr:uid="{00000000-0005-0000-0000-0000D65C0000}"/>
    <cellStyle name="Input 4 10 5 2" xfId="21040" xr:uid="{00000000-0005-0000-0000-0000D75C0000}"/>
    <cellStyle name="Input 4 10 6" xfId="16005" xr:uid="{00000000-0005-0000-0000-0000D85C0000}"/>
    <cellStyle name="Input 4 10 6 2" xfId="21499" xr:uid="{00000000-0005-0000-0000-0000D95C0000}"/>
    <cellStyle name="Input 4 10 7" xfId="15508" xr:uid="{00000000-0005-0000-0000-0000DA5C0000}"/>
    <cellStyle name="Input 4 10 7 2" xfId="21004" xr:uid="{00000000-0005-0000-0000-0000DB5C0000}"/>
    <cellStyle name="Input 4 10 8" xfId="17229" xr:uid="{00000000-0005-0000-0000-0000DC5C0000}"/>
    <cellStyle name="Input 4 10 8 2" xfId="22873" xr:uid="{00000000-0005-0000-0000-0000DD5C0000}"/>
    <cellStyle name="Input 4 10 9" xfId="13429" xr:uid="{00000000-0005-0000-0000-0000DE5C0000}"/>
    <cellStyle name="Input 4 10 9 2" xfId="18406" xr:uid="{00000000-0005-0000-0000-0000DF5C0000}"/>
    <cellStyle name="Input 4 11" xfId="1961" xr:uid="{00000000-0005-0000-0000-0000E05C0000}"/>
    <cellStyle name="Input 4 11 10" xfId="12735" xr:uid="{00000000-0005-0000-0000-0000E15C0000}"/>
    <cellStyle name="Input 4 11 11" xfId="12385" xr:uid="{00000000-0005-0000-0000-0000E25C0000}"/>
    <cellStyle name="Input 4 11 2" xfId="3383" xr:uid="{00000000-0005-0000-0000-0000E35C0000}"/>
    <cellStyle name="Input 4 11 2 10" xfId="18069" xr:uid="{00000000-0005-0000-0000-0000E45C0000}"/>
    <cellStyle name="Input 4 11 2 2" xfId="14768" xr:uid="{00000000-0005-0000-0000-0000E55C0000}"/>
    <cellStyle name="Input 4 11 2 2 2" xfId="20089" xr:uid="{00000000-0005-0000-0000-0000E65C0000}"/>
    <cellStyle name="Input 4 11 2 2 3" xfId="24584" xr:uid="{00000000-0005-0000-0000-0000E75C0000}"/>
    <cellStyle name="Input 4 11 2 2 4" xfId="23916" xr:uid="{00000000-0005-0000-0000-0000E85C0000}"/>
    <cellStyle name="Input 4 11 2 3" xfId="14469" xr:uid="{00000000-0005-0000-0000-0000E95C0000}"/>
    <cellStyle name="Input 4 11 2 3 2" xfId="19618" xr:uid="{00000000-0005-0000-0000-0000EA5C0000}"/>
    <cellStyle name="Input 4 11 2 4" xfId="15201" xr:uid="{00000000-0005-0000-0000-0000EB5C0000}"/>
    <cellStyle name="Input 4 11 2 4 2" xfId="20589" xr:uid="{00000000-0005-0000-0000-0000EC5C0000}"/>
    <cellStyle name="Input 4 11 2 5" xfId="16464" xr:uid="{00000000-0005-0000-0000-0000ED5C0000}"/>
    <cellStyle name="Input 4 11 2 5 2" xfId="22105" xr:uid="{00000000-0005-0000-0000-0000EE5C0000}"/>
    <cellStyle name="Input 4 11 2 6" xfId="16827" xr:uid="{00000000-0005-0000-0000-0000EF5C0000}"/>
    <cellStyle name="Input 4 11 2 6 2" xfId="22478" xr:uid="{00000000-0005-0000-0000-0000F05C0000}"/>
    <cellStyle name="Input 4 11 2 7" xfId="17547" xr:uid="{00000000-0005-0000-0000-0000F15C0000}"/>
    <cellStyle name="Input 4 11 2 7 2" xfId="23192" xr:uid="{00000000-0005-0000-0000-0000F25C0000}"/>
    <cellStyle name="Input 4 11 2 8" xfId="13751" xr:uid="{00000000-0005-0000-0000-0000F35C0000}"/>
    <cellStyle name="Input 4 11 2 8 2" xfId="18725" xr:uid="{00000000-0005-0000-0000-0000F45C0000}"/>
    <cellStyle name="Input 4 11 2 9" xfId="13078" xr:uid="{00000000-0005-0000-0000-0000F55C0000}"/>
    <cellStyle name="Input 4 11 3" xfId="10885" xr:uid="{00000000-0005-0000-0000-0000F65C0000}"/>
    <cellStyle name="Input 4 11 3 2" xfId="19338" xr:uid="{00000000-0005-0000-0000-0000F75C0000}"/>
    <cellStyle name="Input 4 11 3 3" xfId="24236" xr:uid="{00000000-0005-0000-0000-0000F85C0000}"/>
    <cellStyle name="Input 4 11 3 4" xfId="23595" xr:uid="{00000000-0005-0000-0000-0000F95C0000}"/>
    <cellStyle name="Input 4 11 4" xfId="15027" xr:uid="{00000000-0005-0000-0000-0000FA5C0000}"/>
    <cellStyle name="Input 4 11 4 2" xfId="20388" xr:uid="{00000000-0005-0000-0000-0000FB5C0000}"/>
    <cellStyle name="Input 4 11 5" xfId="15543" xr:uid="{00000000-0005-0000-0000-0000FC5C0000}"/>
    <cellStyle name="Input 4 11 5 2" xfId="21039" xr:uid="{00000000-0005-0000-0000-0000FD5C0000}"/>
    <cellStyle name="Input 4 11 6" xfId="16006" xr:uid="{00000000-0005-0000-0000-0000FE5C0000}"/>
    <cellStyle name="Input 4 11 6 2" xfId="21500" xr:uid="{00000000-0005-0000-0000-0000FF5C0000}"/>
    <cellStyle name="Input 4 11 7" xfId="15507" xr:uid="{00000000-0005-0000-0000-0000005D0000}"/>
    <cellStyle name="Input 4 11 7 2" xfId="21003" xr:uid="{00000000-0005-0000-0000-0000015D0000}"/>
    <cellStyle name="Input 4 11 8" xfId="17230" xr:uid="{00000000-0005-0000-0000-0000025D0000}"/>
    <cellStyle name="Input 4 11 8 2" xfId="22874" xr:uid="{00000000-0005-0000-0000-0000035D0000}"/>
    <cellStyle name="Input 4 11 9" xfId="13430" xr:uid="{00000000-0005-0000-0000-0000045D0000}"/>
    <cellStyle name="Input 4 11 9 2" xfId="18407" xr:uid="{00000000-0005-0000-0000-0000055D0000}"/>
    <cellStyle name="Input 4 12" xfId="3384" xr:uid="{00000000-0005-0000-0000-0000065D0000}"/>
    <cellStyle name="Input 4 12 10" xfId="18067" xr:uid="{00000000-0005-0000-0000-0000075D0000}"/>
    <cellStyle name="Input 4 12 2" xfId="14766" xr:uid="{00000000-0005-0000-0000-0000085D0000}"/>
    <cellStyle name="Input 4 12 2 2" xfId="20087" xr:uid="{00000000-0005-0000-0000-0000095D0000}"/>
    <cellStyle name="Input 4 12 2 3" xfId="24582" xr:uid="{00000000-0005-0000-0000-00000A5D0000}"/>
    <cellStyle name="Input 4 12 2 4" xfId="23914" xr:uid="{00000000-0005-0000-0000-00000B5D0000}"/>
    <cellStyle name="Input 4 12 3" xfId="14467" xr:uid="{00000000-0005-0000-0000-00000C5D0000}"/>
    <cellStyle name="Input 4 12 3 2" xfId="19616" xr:uid="{00000000-0005-0000-0000-00000D5D0000}"/>
    <cellStyle name="Input 4 12 4" xfId="15203" xr:uid="{00000000-0005-0000-0000-00000E5D0000}"/>
    <cellStyle name="Input 4 12 4 2" xfId="20591" xr:uid="{00000000-0005-0000-0000-00000F5D0000}"/>
    <cellStyle name="Input 4 12 5" xfId="16462" xr:uid="{00000000-0005-0000-0000-0000105D0000}"/>
    <cellStyle name="Input 4 12 5 2" xfId="22103" xr:uid="{00000000-0005-0000-0000-0000115D0000}"/>
    <cellStyle name="Input 4 12 6" xfId="16825" xr:uid="{00000000-0005-0000-0000-0000125D0000}"/>
    <cellStyle name="Input 4 12 6 2" xfId="22476" xr:uid="{00000000-0005-0000-0000-0000135D0000}"/>
    <cellStyle name="Input 4 12 7" xfId="17545" xr:uid="{00000000-0005-0000-0000-0000145D0000}"/>
    <cellStyle name="Input 4 12 7 2" xfId="23190" xr:uid="{00000000-0005-0000-0000-0000155D0000}"/>
    <cellStyle name="Input 4 12 8" xfId="13749" xr:uid="{00000000-0005-0000-0000-0000165D0000}"/>
    <cellStyle name="Input 4 12 8 2" xfId="18723" xr:uid="{00000000-0005-0000-0000-0000175D0000}"/>
    <cellStyle name="Input 4 12 9" xfId="13076" xr:uid="{00000000-0005-0000-0000-0000185D0000}"/>
    <cellStyle name="Input 4 13" xfId="10915" xr:uid="{00000000-0005-0000-0000-0000195D0000}"/>
    <cellStyle name="Input 4 13 2" xfId="19336" xr:uid="{00000000-0005-0000-0000-00001A5D0000}"/>
    <cellStyle name="Input 4 13 3" xfId="24238" xr:uid="{00000000-0005-0000-0000-00001B5D0000}"/>
    <cellStyle name="Input 4 13 4" xfId="23593" xr:uid="{00000000-0005-0000-0000-00001C5D0000}"/>
    <cellStyle name="Input 4 14" xfId="15028" xr:uid="{00000000-0005-0000-0000-00001D5D0000}"/>
    <cellStyle name="Input 4 14 2" xfId="20389" xr:uid="{00000000-0005-0000-0000-00001E5D0000}"/>
    <cellStyle name="Input 4 15" xfId="15545" xr:uid="{00000000-0005-0000-0000-00001F5D0000}"/>
    <cellStyle name="Input 4 15 2" xfId="21041" xr:uid="{00000000-0005-0000-0000-0000205D0000}"/>
    <cellStyle name="Input 4 16" xfId="16004" xr:uid="{00000000-0005-0000-0000-0000215D0000}"/>
    <cellStyle name="Input 4 16 2" xfId="21498" xr:uid="{00000000-0005-0000-0000-0000225D0000}"/>
    <cellStyle name="Input 4 17" xfId="15300" xr:uid="{00000000-0005-0000-0000-0000235D0000}"/>
    <cellStyle name="Input 4 17 2" xfId="20689" xr:uid="{00000000-0005-0000-0000-0000245D0000}"/>
    <cellStyle name="Input 4 18" xfId="17228" xr:uid="{00000000-0005-0000-0000-0000255D0000}"/>
    <cellStyle name="Input 4 18 2" xfId="22872" xr:uid="{00000000-0005-0000-0000-0000265D0000}"/>
    <cellStyle name="Input 4 19" xfId="13428" xr:uid="{00000000-0005-0000-0000-0000275D0000}"/>
    <cellStyle name="Input 4 19 2" xfId="18405" xr:uid="{00000000-0005-0000-0000-0000285D0000}"/>
    <cellStyle name="Input 4 2" xfId="1962" xr:uid="{00000000-0005-0000-0000-0000295D0000}"/>
    <cellStyle name="Input 4 2 10" xfId="12736" xr:uid="{00000000-0005-0000-0000-00002A5D0000}"/>
    <cellStyle name="Input 4 2 11" xfId="12384" xr:uid="{00000000-0005-0000-0000-00002B5D0000}"/>
    <cellStyle name="Input 4 2 2" xfId="3385" xr:uid="{00000000-0005-0000-0000-00002C5D0000}"/>
    <cellStyle name="Input 4 2 2 10" xfId="18070" xr:uid="{00000000-0005-0000-0000-00002D5D0000}"/>
    <cellStyle name="Input 4 2 2 2" xfId="14769" xr:uid="{00000000-0005-0000-0000-00002E5D0000}"/>
    <cellStyle name="Input 4 2 2 2 2" xfId="20090" xr:uid="{00000000-0005-0000-0000-00002F5D0000}"/>
    <cellStyle name="Input 4 2 2 2 3" xfId="24585" xr:uid="{00000000-0005-0000-0000-0000305D0000}"/>
    <cellStyle name="Input 4 2 2 2 4" xfId="23917" xr:uid="{00000000-0005-0000-0000-0000315D0000}"/>
    <cellStyle name="Input 4 2 2 3" xfId="14470" xr:uid="{00000000-0005-0000-0000-0000325D0000}"/>
    <cellStyle name="Input 4 2 2 3 2" xfId="19619" xr:uid="{00000000-0005-0000-0000-0000335D0000}"/>
    <cellStyle name="Input 4 2 2 4" xfId="15200" xr:uid="{00000000-0005-0000-0000-0000345D0000}"/>
    <cellStyle name="Input 4 2 2 4 2" xfId="20588" xr:uid="{00000000-0005-0000-0000-0000355D0000}"/>
    <cellStyle name="Input 4 2 2 5" xfId="16465" xr:uid="{00000000-0005-0000-0000-0000365D0000}"/>
    <cellStyle name="Input 4 2 2 5 2" xfId="22106" xr:uid="{00000000-0005-0000-0000-0000375D0000}"/>
    <cellStyle name="Input 4 2 2 6" xfId="16828" xr:uid="{00000000-0005-0000-0000-0000385D0000}"/>
    <cellStyle name="Input 4 2 2 6 2" xfId="22479" xr:uid="{00000000-0005-0000-0000-0000395D0000}"/>
    <cellStyle name="Input 4 2 2 7" xfId="17548" xr:uid="{00000000-0005-0000-0000-00003A5D0000}"/>
    <cellStyle name="Input 4 2 2 7 2" xfId="23193" xr:uid="{00000000-0005-0000-0000-00003B5D0000}"/>
    <cellStyle name="Input 4 2 2 8" xfId="13752" xr:uid="{00000000-0005-0000-0000-00003C5D0000}"/>
    <cellStyle name="Input 4 2 2 8 2" xfId="18726" xr:uid="{00000000-0005-0000-0000-00003D5D0000}"/>
    <cellStyle name="Input 4 2 2 9" xfId="13079" xr:uid="{00000000-0005-0000-0000-00003E5D0000}"/>
    <cellStyle name="Input 4 2 3" xfId="10645" xr:uid="{00000000-0005-0000-0000-00003F5D0000}"/>
    <cellStyle name="Input 4 2 3 2" xfId="19339" xr:uid="{00000000-0005-0000-0000-0000405D0000}"/>
    <cellStyle name="Input 4 2 3 3" xfId="24235" xr:uid="{00000000-0005-0000-0000-0000415D0000}"/>
    <cellStyle name="Input 4 2 3 4" xfId="23596" xr:uid="{00000000-0005-0000-0000-0000425D0000}"/>
    <cellStyle name="Input 4 2 4" xfId="14125" xr:uid="{00000000-0005-0000-0000-0000435D0000}"/>
    <cellStyle name="Input 4 2 4 2" xfId="19112" xr:uid="{00000000-0005-0000-0000-0000445D0000}"/>
    <cellStyle name="Input 4 2 5" xfId="15542" xr:uid="{00000000-0005-0000-0000-0000455D0000}"/>
    <cellStyle name="Input 4 2 5 2" xfId="21038" xr:uid="{00000000-0005-0000-0000-0000465D0000}"/>
    <cellStyle name="Input 4 2 6" xfId="16007" xr:uid="{00000000-0005-0000-0000-0000475D0000}"/>
    <cellStyle name="Input 4 2 6 2" xfId="21501" xr:uid="{00000000-0005-0000-0000-0000485D0000}"/>
    <cellStyle name="Input 4 2 7" xfId="15506" xr:uid="{00000000-0005-0000-0000-0000495D0000}"/>
    <cellStyle name="Input 4 2 7 2" xfId="21002" xr:uid="{00000000-0005-0000-0000-00004A5D0000}"/>
    <cellStyle name="Input 4 2 8" xfId="17231" xr:uid="{00000000-0005-0000-0000-00004B5D0000}"/>
    <cellStyle name="Input 4 2 8 2" xfId="22875" xr:uid="{00000000-0005-0000-0000-00004C5D0000}"/>
    <cellStyle name="Input 4 2 9" xfId="13431" xr:uid="{00000000-0005-0000-0000-00004D5D0000}"/>
    <cellStyle name="Input 4 2 9 2" xfId="18408" xr:uid="{00000000-0005-0000-0000-00004E5D0000}"/>
    <cellStyle name="Input 4 20" xfId="12733" xr:uid="{00000000-0005-0000-0000-00004F5D0000}"/>
    <cellStyle name="Input 4 21" xfId="12387" xr:uid="{00000000-0005-0000-0000-0000505D0000}"/>
    <cellStyle name="Input 4 3" xfId="1963" xr:uid="{00000000-0005-0000-0000-0000515D0000}"/>
    <cellStyle name="Input 4 3 10" xfId="12737" xr:uid="{00000000-0005-0000-0000-0000525D0000}"/>
    <cellStyle name="Input 4 3 11" xfId="12383" xr:uid="{00000000-0005-0000-0000-0000535D0000}"/>
    <cellStyle name="Input 4 3 2" xfId="3386" xr:uid="{00000000-0005-0000-0000-0000545D0000}"/>
    <cellStyle name="Input 4 3 2 10" xfId="18071" xr:uid="{00000000-0005-0000-0000-0000555D0000}"/>
    <cellStyle name="Input 4 3 2 2" xfId="14770" xr:uid="{00000000-0005-0000-0000-0000565D0000}"/>
    <cellStyle name="Input 4 3 2 2 2" xfId="20091" xr:uid="{00000000-0005-0000-0000-0000575D0000}"/>
    <cellStyle name="Input 4 3 2 2 3" xfId="24586" xr:uid="{00000000-0005-0000-0000-0000585D0000}"/>
    <cellStyle name="Input 4 3 2 2 4" xfId="23918" xr:uid="{00000000-0005-0000-0000-0000595D0000}"/>
    <cellStyle name="Input 4 3 2 3" xfId="14471" xr:uid="{00000000-0005-0000-0000-00005A5D0000}"/>
    <cellStyle name="Input 4 3 2 3 2" xfId="19620" xr:uid="{00000000-0005-0000-0000-00005B5D0000}"/>
    <cellStyle name="Input 4 3 2 4" xfId="15199" xr:uid="{00000000-0005-0000-0000-00005C5D0000}"/>
    <cellStyle name="Input 4 3 2 4 2" xfId="20587" xr:uid="{00000000-0005-0000-0000-00005D5D0000}"/>
    <cellStyle name="Input 4 3 2 5" xfId="16466" xr:uid="{00000000-0005-0000-0000-00005E5D0000}"/>
    <cellStyle name="Input 4 3 2 5 2" xfId="22107" xr:uid="{00000000-0005-0000-0000-00005F5D0000}"/>
    <cellStyle name="Input 4 3 2 6" xfId="16829" xr:uid="{00000000-0005-0000-0000-0000605D0000}"/>
    <cellStyle name="Input 4 3 2 6 2" xfId="22480" xr:uid="{00000000-0005-0000-0000-0000615D0000}"/>
    <cellStyle name="Input 4 3 2 7" xfId="17549" xr:uid="{00000000-0005-0000-0000-0000625D0000}"/>
    <cellStyle name="Input 4 3 2 7 2" xfId="23194" xr:uid="{00000000-0005-0000-0000-0000635D0000}"/>
    <cellStyle name="Input 4 3 2 8" xfId="13753" xr:uid="{00000000-0005-0000-0000-0000645D0000}"/>
    <cellStyle name="Input 4 3 2 8 2" xfId="18727" xr:uid="{00000000-0005-0000-0000-0000655D0000}"/>
    <cellStyle name="Input 4 3 2 9" xfId="13080" xr:uid="{00000000-0005-0000-0000-0000665D0000}"/>
    <cellStyle name="Input 4 3 3" xfId="10631" xr:uid="{00000000-0005-0000-0000-0000675D0000}"/>
    <cellStyle name="Input 4 3 3 2" xfId="19340" xr:uid="{00000000-0005-0000-0000-0000685D0000}"/>
    <cellStyle name="Input 4 3 3 3" xfId="24234" xr:uid="{00000000-0005-0000-0000-0000695D0000}"/>
    <cellStyle name="Input 4 3 3 4" xfId="23597" xr:uid="{00000000-0005-0000-0000-00006A5D0000}"/>
    <cellStyle name="Input 4 3 4" xfId="15026" xr:uid="{00000000-0005-0000-0000-00006B5D0000}"/>
    <cellStyle name="Input 4 3 4 2" xfId="20387" xr:uid="{00000000-0005-0000-0000-00006C5D0000}"/>
    <cellStyle name="Input 4 3 5" xfId="15541" xr:uid="{00000000-0005-0000-0000-00006D5D0000}"/>
    <cellStyle name="Input 4 3 5 2" xfId="21037" xr:uid="{00000000-0005-0000-0000-00006E5D0000}"/>
    <cellStyle name="Input 4 3 6" xfId="16008" xr:uid="{00000000-0005-0000-0000-00006F5D0000}"/>
    <cellStyle name="Input 4 3 6 2" xfId="21502" xr:uid="{00000000-0005-0000-0000-0000705D0000}"/>
    <cellStyle name="Input 4 3 7" xfId="15505" xr:uid="{00000000-0005-0000-0000-0000715D0000}"/>
    <cellStyle name="Input 4 3 7 2" xfId="21001" xr:uid="{00000000-0005-0000-0000-0000725D0000}"/>
    <cellStyle name="Input 4 3 8" xfId="17232" xr:uid="{00000000-0005-0000-0000-0000735D0000}"/>
    <cellStyle name="Input 4 3 8 2" xfId="22876" xr:uid="{00000000-0005-0000-0000-0000745D0000}"/>
    <cellStyle name="Input 4 3 9" xfId="13432" xr:uid="{00000000-0005-0000-0000-0000755D0000}"/>
    <cellStyle name="Input 4 3 9 2" xfId="18409" xr:uid="{00000000-0005-0000-0000-0000765D0000}"/>
    <cellStyle name="Input 4 4" xfId="1964" xr:uid="{00000000-0005-0000-0000-0000775D0000}"/>
    <cellStyle name="Input 4 4 10" xfId="12738" xr:uid="{00000000-0005-0000-0000-0000785D0000}"/>
    <cellStyle name="Input 4 4 11" xfId="12382" xr:uid="{00000000-0005-0000-0000-0000795D0000}"/>
    <cellStyle name="Input 4 4 2" xfId="3387" xr:uid="{00000000-0005-0000-0000-00007A5D0000}"/>
    <cellStyle name="Input 4 4 2 10" xfId="18072" xr:uid="{00000000-0005-0000-0000-00007B5D0000}"/>
    <cellStyle name="Input 4 4 2 2" xfId="14771" xr:uid="{00000000-0005-0000-0000-00007C5D0000}"/>
    <cellStyle name="Input 4 4 2 2 2" xfId="20092" xr:uid="{00000000-0005-0000-0000-00007D5D0000}"/>
    <cellStyle name="Input 4 4 2 2 3" xfId="24587" xr:uid="{00000000-0005-0000-0000-00007E5D0000}"/>
    <cellStyle name="Input 4 4 2 2 4" xfId="23919" xr:uid="{00000000-0005-0000-0000-00007F5D0000}"/>
    <cellStyle name="Input 4 4 2 3" xfId="14472" xr:uid="{00000000-0005-0000-0000-0000805D0000}"/>
    <cellStyle name="Input 4 4 2 3 2" xfId="19621" xr:uid="{00000000-0005-0000-0000-0000815D0000}"/>
    <cellStyle name="Input 4 4 2 4" xfId="15198" xr:uid="{00000000-0005-0000-0000-0000825D0000}"/>
    <cellStyle name="Input 4 4 2 4 2" xfId="20586" xr:uid="{00000000-0005-0000-0000-0000835D0000}"/>
    <cellStyle name="Input 4 4 2 5" xfId="16467" xr:uid="{00000000-0005-0000-0000-0000845D0000}"/>
    <cellStyle name="Input 4 4 2 5 2" xfId="22108" xr:uid="{00000000-0005-0000-0000-0000855D0000}"/>
    <cellStyle name="Input 4 4 2 6" xfId="16830" xr:uid="{00000000-0005-0000-0000-0000865D0000}"/>
    <cellStyle name="Input 4 4 2 6 2" xfId="22481" xr:uid="{00000000-0005-0000-0000-0000875D0000}"/>
    <cellStyle name="Input 4 4 2 7" xfId="17550" xr:uid="{00000000-0005-0000-0000-0000885D0000}"/>
    <cellStyle name="Input 4 4 2 7 2" xfId="23195" xr:uid="{00000000-0005-0000-0000-0000895D0000}"/>
    <cellStyle name="Input 4 4 2 8" xfId="13754" xr:uid="{00000000-0005-0000-0000-00008A5D0000}"/>
    <cellStyle name="Input 4 4 2 8 2" xfId="18728" xr:uid="{00000000-0005-0000-0000-00008B5D0000}"/>
    <cellStyle name="Input 4 4 2 9" xfId="13081" xr:uid="{00000000-0005-0000-0000-00008C5D0000}"/>
    <cellStyle name="Input 4 4 3" xfId="10618" xr:uid="{00000000-0005-0000-0000-00008D5D0000}"/>
    <cellStyle name="Input 4 4 3 2" xfId="19341" xr:uid="{00000000-0005-0000-0000-00008E5D0000}"/>
    <cellStyle name="Input 4 4 3 3" xfId="24233" xr:uid="{00000000-0005-0000-0000-00008F5D0000}"/>
    <cellStyle name="Input 4 4 3 4" xfId="23598" xr:uid="{00000000-0005-0000-0000-0000905D0000}"/>
    <cellStyle name="Input 4 4 4" xfId="14126" xr:uid="{00000000-0005-0000-0000-0000915D0000}"/>
    <cellStyle name="Input 4 4 4 2" xfId="19113" xr:uid="{00000000-0005-0000-0000-0000925D0000}"/>
    <cellStyle name="Input 4 4 5" xfId="15540" xr:uid="{00000000-0005-0000-0000-0000935D0000}"/>
    <cellStyle name="Input 4 4 5 2" xfId="21036" xr:uid="{00000000-0005-0000-0000-0000945D0000}"/>
    <cellStyle name="Input 4 4 6" xfId="16009" xr:uid="{00000000-0005-0000-0000-0000955D0000}"/>
    <cellStyle name="Input 4 4 6 2" xfId="21503" xr:uid="{00000000-0005-0000-0000-0000965D0000}"/>
    <cellStyle name="Input 4 4 7" xfId="15504" xr:uid="{00000000-0005-0000-0000-0000975D0000}"/>
    <cellStyle name="Input 4 4 7 2" xfId="21000" xr:uid="{00000000-0005-0000-0000-0000985D0000}"/>
    <cellStyle name="Input 4 4 8" xfId="17233" xr:uid="{00000000-0005-0000-0000-0000995D0000}"/>
    <cellStyle name="Input 4 4 8 2" xfId="22877" xr:uid="{00000000-0005-0000-0000-00009A5D0000}"/>
    <cellStyle name="Input 4 4 9" xfId="13433" xr:uid="{00000000-0005-0000-0000-00009B5D0000}"/>
    <cellStyle name="Input 4 4 9 2" xfId="18410" xr:uid="{00000000-0005-0000-0000-00009C5D0000}"/>
    <cellStyle name="Input 4 5" xfId="1965" xr:uid="{00000000-0005-0000-0000-00009D5D0000}"/>
    <cellStyle name="Input 4 5 10" xfId="12739" xr:uid="{00000000-0005-0000-0000-00009E5D0000}"/>
    <cellStyle name="Input 4 5 11" xfId="12381" xr:uid="{00000000-0005-0000-0000-00009F5D0000}"/>
    <cellStyle name="Input 4 5 2" xfId="3388" xr:uid="{00000000-0005-0000-0000-0000A05D0000}"/>
    <cellStyle name="Input 4 5 2 10" xfId="18073" xr:uid="{00000000-0005-0000-0000-0000A15D0000}"/>
    <cellStyle name="Input 4 5 2 2" xfId="14772" xr:uid="{00000000-0005-0000-0000-0000A25D0000}"/>
    <cellStyle name="Input 4 5 2 2 2" xfId="20093" xr:uid="{00000000-0005-0000-0000-0000A35D0000}"/>
    <cellStyle name="Input 4 5 2 2 3" xfId="24588" xr:uid="{00000000-0005-0000-0000-0000A45D0000}"/>
    <cellStyle name="Input 4 5 2 2 4" xfId="23920" xr:uid="{00000000-0005-0000-0000-0000A55D0000}"/>
    <cellStyle name="Input 4 5 2 3" xfId="14473" xr:uid="{00000000-0005-0000-0000-0000A65D0000}"/>
    <cellStyle name="Input 4 5 2 3 2" xfId="19622" xr:uid="{00000000-0005-0000-0000-0000A75D0000}"/>
    <cellStyle name="Input 4 5 2 4" xfId="15197" xr:uid="{00000000-0005-0000-0000-0000A85D0000}"/>
    <cellStyle name="Input 4 5 2 4 2" xfId="20585" xr:uid="{00000000-0005-0000-0000-0000A95D0000}"/>
    <cellStyle name="Input 4 5 2 5" xfId="16468" xr:uid="{00000000-0005-0000-0000-0000AA5D0000}"/>
    <cellStyle name="Input 4 5 2 5 2" xfId="22109" xr:uid="{00000000-0005-0000-0000-0000AB5D0000}"/>
    <cellStyle name="Input 4 5 2 6" xfId="16831" xr:uid="{00000000-0005-0000-0000-0000AC5D0000}"/>
    <cellStyle name="Input 4 5 2 6 2" xfId="22482" xr:uid="{00000000-0005-0000-0000-0000AD5D0000}"/>
    <cellStyle name="Input 4 5 2 7" xfId="17551" xr:uid="{00000000-0005-0000-0000-0000AE5D0000}"/>
    <cellStyle name="Input 4 5 2 7 2" xfId="23196" xr:uid="{00000000-0005-0000-0000-0000AF5D0000}"/>
    <cellStyle name="Input 4 5 2 8" xfId="13755" xr:uid="{00000000-0005-0000-0000-0000B05D0000}"/>
    <cellStyle name="Input 4 5 2 8 2" xfId="18729" xr:uid="{00000000-0005-0000-0000-0000B15D0000}"/>
    <cellStyle name="Input 4 5 2 9" xfId="13082" xr:uid="{00000000-0005-0000-0000-0000B25D0000}"/>
    <cellStyle name="Input 4 5 3" xfId="10375" xr:uid="{00000000-0005-0000-0000-0000B35D0000}"/>
    <cellStyle name="Input 4 5 3 2" xfId="19342" xr:uid="{00000000-0005-0000-0000-0000B45D0000}"/>
    <cellStyle name="Input 4 5 3 3" xfId="24232" xr:uid="{00000000-0005-0000-0000-0000B55D0000}"/>
    <cellStyle name="Input 4 5 3 4" xfId="23599" xr:uid="{00000000-0005-0000-0000-0000B65D0000}"/>
    <cellStyle name="Input 4 5 4" xfId="15025" xr:uid="{00000000-0005-0000-0000-0000B75D0000}"/>
    <cellStyle name="Input 4 5 4 2" xfId="20386" xr:uid="{00000000-0005-0000-0000-0000B85D0000}"/>
    <cellStyle name="Input 4 5 5" xfId="15539" xr:uid="{00000000-0005-0000-0000-0000B95D0000}"/>
    <cellStyle name="Input 4 5 5 2" xfId="21035" xr:uid="{00000000-0005-0000-0000-0000BA5D0000}"/>
    <cellStyle name="Input 4 5 6" xfId="16010" xr:uid="{00000000-0005-0000-0000-0000BB5D0000}"/>
    <cellStyle name="Input 4 5 6 2" xfId="21504" xr:uid="{00000000-0005-0000-0000-0000BC5D0000}"/>
    <cellStyle name="Input 4 5 7" xfId="15503" xr:uid="{00000000-0005-0000-0000-0000BD5D0000}"/>
    <cellStyle name="Input 4 5 7 2" xfId="20999" xr:uid="{00000000-0005-0000-0000-0000BE5D0000}"/>
    <cellStyle name="Input 4 5 8" xfId="17234" xr:uid="{00000000-0005-0000-0000-0000BF5D0000}"/>
    <cellStyle name="Input 4 5 8 2" xfId="22878" xr:uid="{00000000-0005-0000-0000-0000C05D0000}"/>
    <cellStyle name="Input 4 5 9" xfId="13434" xr:uid="{00000000-0005-0000-0000-0000C15D0000}"/>
    <cellStyle name="Input 4 5 9 2" xfId="18411" xr:uid="{00000000-0005-0000-0000-0000C25D0000}"/>
    <cellStyle name="Input 4 6" xfId="1966" xr:uid="{00000000-0005-0000-0000-0000C35D0000}"/>
    <cellStyle name="Input 4 6 10" xfId="12740" xr:uid="{00000000-0005-0000-0000-0000C45D0000}"/>
    <cellStyle name="Input 4 6 11" xfId="12380" xr:uid="{00000000-0005-0000-0000-0000C55D0000}"/>
    <cellStyle name="Input 4 6 2" xfId="3389" xr:uid="{00000000-0005-0000-0000-0000C65D0000}"/>
    <cellStyle name="Input 4 6 2 10" xfId="18074" xr:uid="{00000000-0005-0000-0000-0000C75D0000}"/>
    <cellStyle name="Input 4 6 2 2" xfId="14773" xr:uid="{00000000-0005-0000-0000-0000C85D0000}"/>
    <cellStyle name="Input 4 6 2 2 2" xfId="20094" xr:uid="{00000000-0005-0000-0000-0000C95D0000}"/>
    <cellStyle name="Input 4 6 2 2 3" xfId="24589" xr:uid="{00000000-0005-0000-0000-0000CA5D0000}"/>
    <cellStyle name="Input 4 6 2 2 4" xfId="23921" xr:uid="{00000000-0005-0000-0000-0000CB5D0000}"/>
    <cellStyle name="Input 4 6 2 3" xfId="14474" xr:uid="{00000000-0005-0000-0000-0000CC5D0000}"/>
    <cellStyle name="Input 4 6 2 3 2" xfId="19623" xr:uid="{00000000-0005-0000-0000-0000CD5D0000}"/>
    <cellStyle name="Input 4 6 2 4" xfId="15196" xr:uid="{00000000-0005-0000-0000-0000CE5D0000}"/>
    <cellStyle name="Input 4 6 2 4 2" xfId="20584" xr:uid="{00000000-0005-0000-0000-0000CF5D0000}"/>
    <cellStyle name="Input 4 6 2 5" xfId="16469" xr:uid="{00000000-0005-0000-0000-0000D05D0000}"/>
    <cellStyle name="Input 4 6 2 5 2" xfId="22110" xr:uid="{00000000-0005-0000-0000-0000D15D0000}"/>
    <cellStyle name="Input 4 6 2 6" xfId="16832" xr:uid="{00000000-0005-0000-0000-0000D25D0000}"/>
    <cellStyle name="Input 4 6 2 6 2" xfId="22483" xr:uid="{00000000-0005-0000-0000-0000D35D0000}"/>
    <cellStyle name="Input 4 6 2 7" xfId="17552" xr:uid="{00000000-0005-0000-0000-0000D45D0000}"/>
    <cellStyle name="Input 4 6 2 7 2" xfId="23197" xr:uid="{00000000-0005-0000-0000-0000D55D0000}"/>
    <cellStyle name="Input 4 6 2 8" xfId="13756" xr:uid="{00000000-0005-0000-0000-0000D65D0000}"/>
    <cellStyle name="Input 4 6 2 8 2" xfId="18730" xr:uid="{00000000-0005-0000-0000-0000D75D0000}"/>
    <cellStyle name="Input 4 6 2 9" xfId="13083" xr:uid="{00000000-0005-0000-0000-0000D85D0000}"/>
    <cellStyle name="Input 4 6 3" xfId="10900" xr:uid="{00000000-0005-0000-0000-0000D95D0000}"/>
    <cellStyle name="Input 4 6 3 2" xfId="19343" xr:uid="{00000000-0005-0000-0000-0000DA5D0000}"/>
    <cellStyle name="Input 4 6 3 3" xfId="24231" xr:uid="{00000000-0005-0000-0000-0000DB5D0000}"/>
    <cellStyle name="Input 4 6 3 4" xfId="23600" xr:uid="{00000000-0005-0000-0000-0000DC5D0000}"/>
    <cellStyle name="Input 4 6 4" xfId="14127" xr:uid="{00000000-0005-0000-0000-0000DD5D0000}"/>
    <cellStyle name="Input 4 6 4 2" xfId="19114" xr:uid="{00000000-0005-0000-0000-0000DE5D0000}"/>
    <cellStyle name="Input 4 6 5" xfId="15538" xr:uid="{00000000-0005-0000-0000-0000DF5D0000}"/>
    <cellStyle name="Input 4 6 5 2" xfId="21034" xr:uid="{00000000-0005-0000-0000-0000E05D0000}"/>
    <cellStyle name="Input 4 6 6" xfId="16011" xr:uid="{00000000-0005-0000-0000-0000E15D0000}"/>
    <cellStyle name="Input 4 6 6 2" xfId="21505" xr:uid="{00000000-0005-0000-0000-0000E25D0000}"/>
    <cellStyle name="Input 4 6 7" xfId="15502" xr:uid="{00000000-0005-0000-0000-0000E35D0000}"/>
    <cellStyle name="Input 4 6 7 2" xfId="20998" xr:uid="{00000000-0005-0000-0000-0000E45D0000}"/>
    <cellStyle name="Input 4 6 8" xfId="17235" xr:uid="{00000000-0005-0000-0000-0000E55D0000}"/>
    <cellStyle name="Input 4 6 8 2" xfId="22879" xr:uid="{00000000-0005-0000-0000-0000E65D0000}"/>
    <cellStyle name="Input 4 6 9" xfId="13435" xr:uid="{00000000-0005-0000-0000-0000E75D0000}"/>
    <cellStyle name="Input 4 6 9 2" xfId="18412" xr:uid="{00000000-0005-0000-0000-0000E85D0000}"/>
    <cellStyle name="Input 4 7" xfId="1967" xr:uid="{00000000-0005-0000-0000-0000E95D0000}"/>
    <cellStyle name="Input 4 7 10" xfId="12741" xr:uid="{00000000-0005-0000-0000-0000EA5D0000}"/>
    <cellStyle name="Input 4 7 11" xfId="12379" xr:uid="{00000000-0005-0000-0000-0000EB5D0000}"/>
    <cellStyle name="Input 4 7 2" xfId="3390" xr:uid="{00000000-0005-0000-0000-0000EC5D0000}"/>
    <cellStyle name="Input 4 7 2 10" xfId="18075" xr:uid="{00000000-0005-0000-0000-0000ED5D0000}"/>
    <cellStyle name="Input 4 7 2 2" xfId="14774" xr:uid="{00000000-0005-0000-0000-0000EE5D0000}"/>
    <cellStyle name="Input 4 7 2 2 2" xfId="20095" xr:uid="{00000000-0005-0000-0000-0000EF5D0000}"/>
    <cellStyle name="Input 4 7 2 2 3" xfId="24590" xr:uid="{00000000-0005-0000-0000-0000F05D0000}"/>
    <cellStyle name="Input 4 7 2 2 4" xfId="23922" xr:uid="{00000000-0005-0000-0000-0000F15D0000}"/>
    <cellStyle name="Input 4 7 2 3" xfId="14475" xr:uid="{00000000-0005-0000-0000-0000F25D0000}"/>
    <cellStyle name="Input 4 7 2 3 2" xfId="19624" xr:uid="{00000000-0005-0000-0000-0000F35D0000}"/>
    <cellStyle name="Input 4 7 2 4" xfId="15195" xr:uid="{00000000-0005-0000-0000-0000F45D0000}"/>
    <cellStyle name="Input 4 7 2 4 2" xfId="20583" xr:uid="{00000000-0005-0000-0000-0000F55D0000}"/>
    <cellStyle name="Input 4 7 2 5" xfId="16470" xr:uid="{00000000-0005-0000-0000-0000F65D0000}"/>
    <cellStyle name="Input 4 7 2 5 2" xfId="22111" xr:uid="{00000000-0005-0000-0000-0000F75D0000}"/>
    <cellStyle name="Input 4 7 2 6" xfId="16833" xr:uid="{00000000-0005-0000-0000-0000F85D0000}"/>
    <cellStyle name="Input 4 7 2 6 2" xfId="22484" xr:uid="{00000000-0005-0000-0000-0000F95D0000}"/>
    <cellStyle name="Input 4 7 2 7" xfId="17553" xr:uid="{00000000-0005-0000-0000-0000FA5D0000}"/>
    <cellStyle name="Input 4 7 2 7 2" xfId="23198" xr:uid="{00000000-0005-0000-0000-0000FB5D0000}"/>
    <cellStyle name="Input 4 7 2 8" xfId="13757" xr:uid="{00000000-0005-0000-0000-0000FC5D0000}"/>
    <cellStyle name="Input 4 7 2 8 2" xfId="18731" xr:uid="{00000000-0005-0000-0000-0000FD5D0000}"/>
    <cellStyle name="Input 4 7 2 9" xfId="13084" xr:uid="{00000000-0005-0000-0000-0000FE5D0000}"/>
    <cellStyle name="Input 4 7 3" xfId="10884" xr:uid="{00000000-0005-0000-0000-0000FF5D0000}"/>
    <cellStyle name="Input 4 7 3 2" xfId="19344" xr:uid="{00000000-0005-0000-0000-0000005E0000}"/>
    <cellStyle name="Input 4 7 3 3" xfId="24230" xr:uid="{00000000-0005-0000-0000-0000015E0000}"/>
    <cellStyle name="Input 4 7 3 4" xfId="23601" xr:uid="{00000000-0005-0000-0000-0000025E0000}"/>
    <cellStyle name="Input 4 7 4" xfId="15022" xr:uid="{00000000-0005-0000-0000-0000035E0000}"/>
    <cellStyle name="Input 4 7 4 2" xfId="20383" xr:uid="{00000000-0005-0000-0000-0000045E0000}"/>
    <cellStyle name="Input 4 7 5" xfId="15537" xr:uid="{00000000-0005-0000-0000-0000055E0000}"/>
    <cellStyle name="Input 4 7 5 2" xfId="21033" xr:uid="{00000000-0005-0000-0000-0000065E0000}"/>
    <cellStyle name="Input 4 7 6" xfId="16012" xr:uid="{00000000-0005-0000-0000-0000075E0000}"/>
    <cellStyle name="Input 4 7 6 2" xfId="21506" xr:uid="{00000000-0005-0000-0000-0000085E0000}"/>
    <cellStyle name="Input 4 7 7" xfId="15501" xr:uid="{00000000-0005-0000-0000-0000095E0000}"/>
    <cellStyle name="Input 4 7 7 2" xfId="20997" xr:uid="{00000000-0005-0000-0000-00000A5E0000}"/>
    <cellStyle name="Input 4 7 8" xfId="17236" xr:uid="{00000000-0005-0000-0000-00000B5E0000}"/>
    <cellStyle name="Input 4 7 8 2" xfId="22880" xr:uid="{00000000-0005-0000-0000-00000C5E0000}"/>
    <cellStyle name="Input 4 7 9" xfId="13436" xr:uid="{00000000-0005-0000-0000-00000D5E0000}"/>
    <cellStyle name="Input 4 7 9 2" xfId="18413" xr:uid="{00000000-0005-0000-0000-00000E5E0000}"/>
    <cellStyle name="Input 4 8" xfId="1968" xr:uid="{00000000-0005-0000-0000-00000F5E0000}"/>
    <cellStyle name="Input 4 8 10" xfId="12742" xr:uid="{00000000-0005-0000-0000-0000105E0000}"/>
    <cellStyle name="Input 4 8 11" xfId="12378" xr:uid="{00000000-0005-0000-0000-0000115E0000}"/>
    <cellStyle name="Input 4 8 2" xfId="3391" xr:uid="{00000000-0005-0000-0000-0000125E0000}"/>
    <cellStyle name="Input 4 8 2 10" xfId="18076" xr:uid="{00000000-0005-0000-0000-0000135E0000}"/>
    <cellStyle name="Input 4 8 2 2" xfId="14775" xr:uid="{00000000-0005-0000-0000-0000145E0000}"/>
    <cellStyle name="Input 4 8 2 2 2" xfId="20096" xr:uid="{00000000-0005-0000-0000-0000155E0000}"/>
    <cellStyle name="Input 4 8 2 2 3" xfId="24591" xr:uid="{00000000-0005-0000-0000-0000165E0000}"/>
    <cellStyle name="Input 4 8 2 2 4" xfId="23923" xr:uid="{00000000-0005-0000-0000-0000175E0000}"/>
    <cellStyle name="Input 4 8 2 3" xfId="14476" xr:uid="{00000000-0005-0000-0000-0000185E0000}"/>
    <cellStyle name="Input 4 8 2 3 2" xfId="19625" xr:uid="{00000000-0005-0000-0000-0000195E0000}"/>
    <cellStyle name="Input 4 8 2 4" xfId="15194" xr:uid="{00000000-0005-0000-0000-00001A5E0000}"/>
    <cellStyle name="Input 4 8 2 4 2" xfId="20582" xr:uid="{00000000-0005-0000-0000-00001B5E0000}"/>
    <cellStyle name="Input 4 8 2 5" xfId="16471" xr:uid="{00000000-0005-0000-0000-00001C5E0000}"/>
    <cellStyle name="Input 4 8 2 5 2" xfId="22112" xr:uid="{00000000-0005-0000-0000-00001D5E0000}"/>
    <cellStyle name="Input 4 8 2 6" xfId="16834" xr:uid="{00000000-0005-0000-0000-00001E5E0000}"/>
    <cellStyle name="Input 4 8 2 6 2" xfId="22485" xr:uid="{00000000-0005-0000-0000-00001F5E0000}"/>
    <cellStyle name="Input 4 8 2 7" xfId="17554" xr:uid="{00000000-0005-0000-0000-0000205E0000}"/>
    <cellStyle name="Input 4 8 2 7 2" xfId="23199" xr:uid="{00000000-0005-0000-0000-0000215E0000}"/>
    <cellStyle name="Input 4 8 2 8" xfId="13758" xr:uid="{00000000-0005-0000-0000-0000225E0000}"/>
    <cellStyle name="Input 4 8 2 8 2" xfId="18732" xr:uid="{00000000-0005-0000-0000-0000235E0000}"/>
    <cellStyle name="Input 4 8 2 9" xfId="13085" xr:uid="{00000000-0005-0000-0000-0000245E0000}"/>
    <cellStyle name="Input 4 8 3" xfId="10644" xr:uid="{00000000-0005-0000-0000-0000255E0000}"/>
    <cellStyle name="Input 4 8 3 2" xfId="19345" xr:uid="{00000000-0005-0000-0000-0000265E0000}"/>
    <cellStyle name="Input 4 8 3 3" xfId="24229" xr:uid="{00000000-0005-0000-0000-0000275E0000}"/>
    <cellStyle name="Input 4 8 3 4" xfId="23602" xr:uid="{00000000-0005-0000-0000-0000285E0000}"/>
    <cellStyle name="Input 4 8 4" xfId="15024" xr:uid="{00000000-0005-0000-0000-0000295E0000}"/>
    <cellStyle name="Input 4 8 4 2" xfId="20385" xr:uid="{00000000-0005-0000-0000-00002A5E0000}"/>
    <cellStyle name="Input 4 8 5" xfId="15536" xr:uid="{00000000-0005-0000-0000-00002B5E0000}"/>
    <cellStyle name="Input 4 8 5 2" xfId="21032" xr:uid="{00000000-0005-0000-0000-00002C5E0000}"/>
    <cellStyle name="Input 4 8 6" xfId="16013" xr:uid="{00000000-0005-0000-0000-00002D5E0000}"/>
    <cellStyle name="Input 4 8 6 2" xfId="21507" xr:uid="{00000000-0005-0000-0000-00002E5E0000}"/>
    <cellStyle name="Input 4 8 7" xfId="15500" xr:uid="{00000000-0005-0000-0000-00002F5E0000}"/>
    <cellStyle name="Input 4 8 7 2" xfId="20996" xr:uid="{00000000-0005-0000-0000-0000305E0000}"/>
    <cellStyle name="Input 4 8 8" xfId="17237" xr:uid="{00000000-0005-0000-0000-0000315E0000}"/>
    <cellStyle name="Input 4 8 8 2" xfId="22881" xr:uid="{00000000-0005-0000-0000-0000325E0000}"/>
    <cellStyle name="Input 4 8 9" xfId="13437" xr:uid="{00000000-0005-0000-0000-0000335E0000}"/>
    <cellStyle name="Input 4 8 9 2" xfId="18414" xr:uid="{00000000-0005-0000-0000-0000345E0000}"/>
    <cellStyle name="Input 4 9" xfId="1969" xr:uid="{00000000-0005-0000-0000-0000355E0000}"/>
    <cellStyle name="Input 4 9 10" xfId="12743" xr:uid="{00000000-0005-0000-0000-0000365E0000}"/>
    <cellStyle name="Input 4 9 11" xfId="12377" xr:uid="{00000000-0005-0000-0000-0000375E0000}"/>
    <cellStyle name="Input 4 9 2" xfId="3392" xr:uid="{00000000-0005-0000-0000-0000385E0000}"/>
    <cellStyle name="Input 4 9 2 10" xfId="18077" xr:uid="{00000000-0005-0000-0000-0000395E0000}"/>
    <cellStyle name="Input 4 9 2 2" xfId="14776" xr:uid="{00000000-0005-0000-0000-00003A5E0000}"/>
    <cellStyle name="Input 4 9 2 2 2" xfId="20097" xr:uid="{00000000-0005-0000-0000-00003B5E0000}"/>
    <cellStyle name="Input 4 9 2 2 3" xfId="24592" xr:uid="{00000000-0005-0000-0000-00003C5E0000}"/>
    <cellStyle name="Input 4 9 2 2 4" xfId="23924" xr:uid="{00000000-0005-0000-0000-00003D5E0000}"/>
    <cellStyle name="Input 4 9 2 3" xfId="14477" xr:uid="{00000000-0005-0000-0000-00003E5E0000}"/>
    <cellStyle name="Input 4 9 2 3 2" xfId="19626" xr:uid="{00000000-0005-0000-0000-00003F5E0000}"/>
    <cellStyle name="Input 4 9 2 4" xfId="15193" xr:uid="{00000000-0005-0000-0000-0000405E0000}"/>
    <cellStyle name="Input 4 9 2 4 2" xfId="20581" xr:uid="{00000000-0005-0000-0000-0000415E0000}"/>
    <cellStyle name="Input 4 9 2 5" xfId="16472" xr:uid="{00000000-0005-0000-0000-0000425E0000}"/>
    <cellStyle name="Input 4 9 2 5 2" xfId="22113" xr:uid="{00000000-0005-0000-0000-0000435E0000}"/>
    <cellStyle name="Input 4 9 2 6" xfId="16835" xr:uid="{00000000-0005-0000-0000-0000445E0000}"/>
    <cellStyle name="Input 4 9 2 6 2" xfId="22486" xr:uid="{00000000-0005-0000-0000-0000455E0000}"/>
    <cellStyle name="Input 4 9 2 7" xfId="17555" xr:uid="{00000000-0005-0000-0000-0000465E0000}"/>
    <cellStyle name="Input 4 9 2 7 2" xfId="23200" xr:uid="{00000000-0005-0000-0000-0000475E0000}"/>
    <cellStyle name="Input 4 9 2 8" xfId="13759" xr:uid="{00000000-0005-0000-0000-0000485E0000}"/>
    <cellStyle name="Input 4 9 2 8 2" xfId="18733" xr:uid="{00000000-0005-0000-0000-0000495E0000}"/>
    <cellStyle name="Input 4 9 2 9" xfId="13086" xr:uid="{00000000-0005-0000-0000-00004A5E0000}"/>
    <cellStyle name="Input 4 9 3" xfId="10630" xr:uid="{00000000-0005-0000-0000-00004B5E0000}"/>
    <cellStyle name="Input 4 9 3 2" xfId="19346" xr:uid="{00000000-0005-0000-0000-00004C5E0000}"/>
    <cellStyle name="Input 4 9 3 3" xfId="24228" xr:uid="{00000000-0005-0000-0000-00004D5E0000}"/>
    <cellStyle name="Input 4 9 3 4" xfId="23603" xr:uid="{00000000-0005-0000-0000-00004E5E0000}"/>
    <cellStyle name="Input 4 9 4" xfId="14128" xr:uid="{00000000-0005-0000-0000-00004F5E0000}"/>
    <cellStyle name="Input 4 9 4 2" xfId="19115" xr:uid="{00000000-0005-0000-0000-0000505E0000}"/>
    <cellStyle name="Input 4 9 5" xfId="15535" xr:uid="{00000000-0005-0000-0000-0000515E0000}"/>
    <cellStyle name="Input 4 9 5 2" xfId="21031" xr:uid="{00000000-0005-0000-0000-0000525E0000}"/>
    <cellStyle name="Input 4 9 6" xfId="16014" xr:uid="{00000000-0005-0000-0000-0000535E0000}"/>
    <cellStyle name="Input 4 9 6 2" xfId="21508" xr:uid="{00000000-0005-0000-0000-0000545E0000}"/>
    <cellStyle name="Input 4 9 7" xfId="15499" xr:uid="{00000000-0005-0000-0000-0000555E0000}"/>
    <cellStyle name="Input 4 9 7 2" xfId="20995" xr:uid="{00000000-0005-0000-0000-0000565E0000}"/>
    <cellStyle name="Input 4 9 8" xfId="17238" xr:uid="{00000000-0005-0000-0000-0000575E0000}"/>
    <cellStyle name="Input 4 9 8 2" xfId="22882" xr:uid="{00000000-0005-0000-0000-0000585E0000}"/>
    <cellStyle name="Input 4 9 9" xfId="13438" xr:uid="{00000000-0005-0000-0000-0000595E0000}"/>
    <cellStyle name="Input 4 9 9 2" xfId="18415" xr:uid="{00000000-0005-0000-0000-00005A5E0000}"/>
    <cellStyle name="Input 40" xfId="43476" xr:uid="{00000000-0005-0000-0000-00005B5E0000}"/>
    <cellStyle name="Input 5" xfId="1970" xr:uid="{00000000-0005-0000-0000-00005C5E0000}"/>
    <cellStyle name="Input 5 10" xfId="1971" xr:uid="{00000000-0005-0000-0000-00005D5E0000}"/>
    <cellStyle name="Input 5 10 10" xfId="12745" xr:uid="{00000000-0005-0000-0000-00005E5E0000}"/>
    <cellStyle name="Input 5 10 11" xfId="12375" xr:uid="{00000000-0005-0000-0000-00005F5E0000}"/>
    <cellStyle name="Input 5 10 2" xfId="3393" xr:uid="{00000000-0005-0000-0000-0000605E0000}"/>
    <cellStyle name="Input 5 10 2 10" xfId="18079" xr:uid="{00000000-0005-0000-0000-0000615E0000}"/>
    <cellStyle name="Input 5 10 2 2" xfId="14778" xr:uid="{00000000-0005-0000-0000-0000625E0000}"/>
    <cellStyle name="Input 5 10 2 2 2" xfId="20099" xr:uid="{00000000-0005-0000-0000-0000635E0000}"/>
    <cellStyle name="Input 5 10 2 2 3" xfId="24594" xr:uid="{00000000-0005-0000-0000-0000645E0000}"/>
    <cellStyle name="Input 5 10 2 2 4" xfId="23926" xr:uid="{00000000-0005-0000-0000-0000655E0000}"/>
    <cellStyle name="Input 5 10 2 3" xfId="14479" xr:uid="{00000000-0005-0000-0000-0000665E0000}"/>
    <cellStyle name="Input 5 10 2 3 2" xfId="19628" xr:uid="{00000000-0005-0000-0000-0000675E0000}"/>
    <cellStyle name="Input 5 10 2 4" xfId="15191" xr:uid="{00000000-0005-0000-0000-0000685E0000}"/>
    <cellStyle name="Input 5 10 2 4 2" xfId="20579" xr:uid="{00000000-0005-0000-0000-0000695E0000}"/>
    <cellStyle name="Input 5 10 2 5" xfId="16474" xr:uid="{00000000-0005-0000-0000-00006A5E0000}"/>
    <cellStyle name="Input 5 10 2 5 2" xfId="22115" xr:uid="{00000000-0005-0000-0000-00006B5E0000}"/>
    <cellStyle name="Input 5 10 2 6" xfId="16837" xr:uid="{00000000-0005-0000-0000-00006C5E0000}"/>
    <cellStyle name="Input 5 10 2 6 2" xfId="22488" xr:uid="{00000000-0005-0000-0000-00006D5E0000}"/>
    <cellStyle name="Input 5 10 2 7" xfId="17557" xr:uid="{00000000-0005-0000-0000-00006E5E0000}"/>
    <cellStyle name="Input 5 10 2 7 2" xfId="23202" xr:uid="{00000000-0005-0000-0000-00006F5E0000}"/>
    <cellStyle name="Input 5 10 2 8" xfId="13761" xr:uid="{00000000-0005-0000-0000-0000705E0000}"/>
    <cellStyle name="Input 5 10 2 8 2" xfId="18735" xr:uid="{00000000-0005-0000-0000-0000715E0000}"/>
    <cellStyle name="Input 5 10 2 9" xfId="13088" xr:uid="{00000000-0005-0000-0000-0000725E0000}"/>
    <cellStyle name="Input 5 10 3" xfId="10605" xr:uid="{00000000-0005-0000-0000-0000735E0000}"/>
    <cellStyle name="Input 5 10 3 2" xfId="19348" xr:uid="{00000000-0005-0000-0000-0000745E0000}"/>
    <cellStyle name="Input 5 10 3 3" xfId="24226" xr:uid="{00000000-0005-0000-0000-0000755E0000}"/>
    <cellStyle name="Input 5 10 3 4" xfId="23605" xr:uid="{00000000-0005-0000-0000-0000765E0000}"/>
    <cellStyle name="Input 5 10 4" xfId="14129" xr:uid="{00000000-0005-0000-0000-0000775E0000}"/>
    <cellStyle name="Input 5 10 4 2" xfId="19116" xr:uid="{00000000-0005-0000-0000-0000785E0000}"/>
    <cellStyle name="Input 5 10 5" xfId="15533" xr:uid="{00000000-0005-0000-0000-0000795E0000}"/>
    <cellStyle name="Input 5 10 5 2" xfId="21029" xr:uid="{00000000-0005-0000-0000-00007A5E0000}"/>
    <cellStyle name="Input 5 10 6" xfId="16016" xr:uid="{00000000-0005-0000-0000-00007B5E0000}"/>
    <cellStyle name="Input 5 10 6 2" xfId="21510" xr:uid="{00000000-0005-0000-0000-00007C5E0000}"/>
    <cellStyle name="Input 5 10 7" xfId="15497" xr:uid="{00000000-0005-0000-0000-00007D5E0000}"/>
    <cellStyle name="Input 5 10 7 2" xfId="20993" xr:uid="{00000000-0005-0000-0000-00007E5E0000}"/>
    <cellStyle name="Input 5 10 8" xfId="17240" xr:uid="{00000000-0005-0000-0000-00007F5E0000}"/>
    <cellStyle name="Input 5 10 8 2" xfId="22884" xr:uid="{00000000-0005-0000-0000-0000805E0000}"/>
    <cellStyle name="Input 5 10 9" xfId="13440" xr:uid="{00000000-0005-0000-0000-0000815E0000}"/>
    <cellStyle name="Input 5 10 9 2" xfId="18417" xr:uid="{00000000-0005-0000-0000-0000825E0000}"/>
    <cellStyle name="Input 5 11" xfId="1972" xr:uid="{00000000-0005-0000-0000-0000835E0000}"/>
    <cellStyle name="Input 5 11 10" xfId="12746" xr:uid="{00000000-0005-0000-0000-0000845E0000}"/>
    <cellStyle name="Input 5 11 11" xfId="12374" xr:uid="{00000000-0005-0000-0000-0000855E0000}"/>
    <cellStyle name="Input 5 11 2" xfId="3394" xr:uid="{00000000-0005-0000-0000-0000865E0000}"/>
    <cellStyle name="Input 5 11 2 10" xfId="18080" xr:uid="{00000000-0005-0000-0000-0000875E0000}"/>
    <cellStyle name="Input 5 11 2 2" xfId="14779" xr:uid="{00000000-0005-0000-0000-0000885E0000}"/>
    <cellStyle name="Input 5 11 2 2 2" xfId="20100" xr:uid="{00000000-0005-0000-0000-0000895E0000}"/>
    <cellStyle name="Input 5 11 2 2 3" xfId="24595" xr:uid="{00000000-0005-0000-0000-00008A5E0000}"/>
    <cellStyle name="Input 5 11 2 2 4" xfId="23927" xr:uid="{00000000-0005-0000-0000-00008B5E0000}"/>
    <cellStyle name="Input 5 11 2 3" xfId="14480" xr:uid="{00000000-0005-0000-0000-00008C5E0000}"/>
    <cellStyle name="Input 5 11 2 3 2" xfId="19629" xr:uid="{00000000-0005-0000-0000-00008D5E0000}"/>
    <cellStyle name="Input 5 11 2 4" xfId="15190" xr:uid="{00000000-0005-0000-0000-00008E5E0000}"/>
    <cellStyle name="Input 5 11 2 4 2" xfId="20578" xr:uid="{00000000-0005-0000-0000-00008F5E0000}"/>
    <cellStyle name="Input 5 11 2 5" xfId="16475" xr:uid="{00000000-0005-0000-0000-0000905E0000}"/>
    <cellStyle name="Input 5 11 2 5 2" xfId="22116" xr:uid="{00000000-0005-0000-0000-0000915E0000}"/>
    <cellStyle name="Input 5 11 2 6" xfId="16838" xr:uid="{00000000-0005-0000-0000-0000925E0000}"/>
    <cellStyle name="Input 5 11 2 6 2" xfId="22489" xr:uid="{00000000-0005-0000-0000-0000935E0000}"/>
    <cellStyle name="Input 5 11 2 7" xfId="17558" xr:uid="{00000000-0005-0000-0000-0000945E0000}"/>
    <cellStyle name="Input 5 11 2 7 2" xfId="23203" xr:uid="{00000000-0005-0000-0000-0000955E0000}"/>
    <cellStyle name="Input 5 11 2 8" xfId="13762" xr:uid="{00000000-0005-0000-0000-0000965E0000}"/>
    <cellStyle name="Input 5 11 2 8 2" xfId="18736" xr:uid="{00000000-0005-0000-0000-0000975E0000}"/>
    <cellStyle name="Input 5 11 2 9" xfId="13089" xr:uid="{00000000-0005-0000-0000-0000985E0000}"/>
    <cellStyle name="Input 5 11 3" xfId="11336" xr:uid="{00000000-0005-0000-0000-0000995E0000}"/>
    <cellStyle name="Input 5 11 3 2" xfId="19349" xr:uid="{00000000-0005-0000-0000-00009A5E0000}"/>
    <cellStyle name="Input 5 11 3 3" xfId="24225" xr:uid="{00000000-0005-0000-0000-00009B5E0000}"/>
    <cellStyle name="Input 5 11 3 4" xfId="23606" xr:uid="{00000000-0005-0000-0000-00009C5E0000}"/>
    <cellStyle name="Input 5 11 4" xfId="14130" xr:uid="{00000000-0005-0000-0000-00009D5E0000}"/>
    <cellStyle name="Input 5 11 4 2" xfId="19117" xr:uid="{00000000-0005-0000-0000-00009E5E0000}"/>
    <cellStyle name="Input 5 11 5" xfId="15532" xr:uid="{00000000-0005-0000-0000-00009F5E0000}"/>
    <cellStyle name="Input 5 11 5 2" xfId="21028" xr:uid="{00000000-0005-0000-0000-0000A05E0000}"/>
    <cellStyle name="Input 5 11 6" xfId="16017" xr:uid="{00000000-0005-0000-0000-0000A15E0000}"/>
    <cellStyle name="Input 5 11 6 2" xfId="21511" xr:uid="{00000000-0005-0000-0000-0000A25E0000}"/>
    <cellStyle name="Input 5 11 7" xfId="15496" xr:uid="{00000000-0005-0000-0000-0000A35E0000}"/>
    <cellStyle name="Input 5 11 7 2" xfId="20992" xr:uid="{00000000-0005-0000-0000-0000A45E0000}"/>
    <cellStyle name="Input 5 11 8" xfId="17241" xr:uid="{00000000-0005-0000-0000-0000A55E0000}"/>
    <cellStyle name="Input 5 11 8 2" xfId="22885" xr:uid="{00000000-0005-0000-0000-0000A65E0000}"/>
    <cellStyle name="Input 5 11 9" xfId="13441" xr:uid="{00000000-0005-0000-0000-0000A75E0000}"/>
    <cellStyle name="Input 5 11 9 2" xfId="18418" xr:uid="{00000000-0005-0000-0000-0000A85E0000}"/>
    <cellStyle name="Input 5 12" xfId="3395" xr:uid="{00000000-0005-0000-0000-0000A95E0000}"/>
    <cellStyle name="Input 5 12 10" xfId="18078" xr:uid="{00000000-0005-0000-0000-0000AA5E0000}"/>
    <cellStyle name="Input 5 12 2" xfId="14777" xr:uid="{00000000-0005-0000-0000-0000AB5E0000}"/>
    <cellStyle name="Input 5 12 2 2" xfId="20098" xr:uid="{00000000-0005-0000-0000-0000AC5E0000}"/>
    <cellStyle name="Input 5 12 2 3" xfId="24593" xr:uid="{00000000-0005-0000-0000-0000AD5E0000}"/>
    <cellStyle name="Input 5 12 2 4" xfId="23925" xr:uid="{00000000-0005-0000-0000-0000AE5E0000}"/>
    <cellStyle name="Input 5 12 3" xfId="14478" xr:uid="{00000000-0005-0000-0000-0000AF5E0000}"/>
    <cellStyle name="Input 5 12 3 2" xfId="19627" xr:uid="{00000000-0005-0000-0000-0000B05E0000}"/>
    <cellStyle name="Input 5 12 4" xfId="15192" xr:uid="{00000000-0005-0000-0000-0000B15E0000}"/>
    <cellStyle name="Input 5 12 4 2" xfId="20580" xr:uid="{00000000-0005-0000-0000-0000B25E0000}"/>
    <cellStyle name="Input 5 12 5" xfId="16473" xr:uid="{00000000-0005-0000-0000-0000B35E0000}"/>
    <cellStyle name="Input 5 12 5 2" xfId="22114" xr:uid="{00000000-0005-0000-0000-0000B45E0000}"/>
    <cellStyle name="Input 5 12 6" xfId="16836" xr:uid="{00000000-0005-0000-0000-0000B55E0000}"/>
    <cellStyle name="Input 5 12 6 2" xfId="22487" xr:uid="{00000000-0005-0000-0000-0000B65E0000}"/>
    <cellStyle name="Input 5 12 7" xfId="17556" xr:uid="{00000000-0005-0000-0000-0000B75E0000}"/>
    <cellStyle name="Input 5 12 7 2" xfId="23201" xr:uid="{00000000-0005-0000-0000-0000B85E0000}"/>
    <cellStyle name="Input 5 12 8" xfId="13760" xr:uid="{00000000-0005-0000-0000-0000B95E0000}"/>
    <cellStyle name="Input 5 12 8 2" xfId="18734" xr:uid="{00000000-0005-0000-0000-0000BA5E0000}"/>
    <cellStyle name="Input 5 12 9" xfId="13087" xr:uid="{00000000-0005-0000-0000-0000BB5E0000}"/>
    <cellStyle name="Input 5 13" xfId="10617" xr:uid="{00000000-0005-0000-0000-0000BC5E0000}"/>
    <cellStyle name="Input 5 13 2" xfId="19347" xr:uid="{00000000-0005-0000-0000-0000BD5E0000}"/>
    <cellStyle name="Input 5 13 3" xfId="24227" xr:uid="{00000000-0005-0000-0000-0000BE5E0000}"/>
    <cellStyle name="Input 5 13 4" xfId="23604" xr:uid="{00000000-0005-0000-0000-0000BF5E0000}"/>
    <cellStyle name="Input 5 14" xfId="15023" xr:uid="{00000000-0005-0000-0000-0000C05E0000}"/>
    <cellStyle name="Input 5 14 2" xfId="20384" xr:uid="{00000000-0005-0000-0000-0000C15E0000}"/>
    <cellStyle name="Input 5 15" xfId="15534" xr:uid="{00000000-0005-0000-0000-0000C25E0000}"/>
    <cellStyle name="Input 5 15 2" xfId="21030" xr:uid="{00000000-0005-0000-0000-0000C35E0000}"/>
    <cellStyle name="Input 5 16" xfId="16015" xr:uid="{00000000-0005-0000-0000-0000C45E0000}"/>
    <cellStyle name="Input 5 16 2" xfId="21509" xr:uid="{00000000-0005-0000-0000-0000C55E0000}"/>
    <cellStyle name="Input 5 17" xfId="15498" xr:uid="{00000000-0005-0000-0000-0000C65E0000}"/>
    <cellStyle name="Input 5 17 2" xfId="20994" xr:uid="{00000000-0005-0000-0000-0000C75E0000}"/>
    <cellStyle name="Input 5 18" xfId="17239" xr:uid="{00000000-0005-0000-0000-0000C85E0000}"/>
    <cellStyle name="Input 5 18 2" xfId="22883" xr:uid="{00000000-0005-0000-0000-0000C95E0000}"/>
    <cellStyle name="Input 5 19" xfId="13439" xr:uid="{00000000-0005-0000-0000-0000CA5E0000}"/>
    <cellStyle name="Input 5 19 2" xfId="18416" xr:uid="{00000000-0005-0000-0000-0000CB5E0000}"/>
    <cellStyle name="Input 5 2" xfId="1973" xr:uid="{00000000-0005-0000-0000-0000CC5E0000}"/>
    <cellStyle name="Input 5 2 10" xfId="12747" xr:uid="{00000000-0005-0000-0000-0000CD5E0000}"/>
    <cellStyle name="Input 5 2 11" xfId="12373" xr:uid="{00000000-0005-0000-0000-0000CE5E0000}"/>
    <cellStyle name="Input 5 2 2" xfId="3396" xr:uid="{00000000-0005-0000-0000-0000CF5E0000}"/>
    <cellStyle name="Input 5 2 2 10" xfId="18081" xr:uid="{00000000-0005-0000-0000-0000D05E0000}"/>
    <cellStyle name="Input 5 2 2 2" xfId="14780" xr:uid="{00000000-0005-0000-0000-0000D15E0000}"/>
    <cellStyle name="Input 5 2 2 2 2" xfId="20101" xr:uid="{00000000-0005-0000-0000-0000D25E0000}"/>
    <cellStyle name="Input 5 2 2 2 3" xfId="24596" xr:uid="{00000000-0005-0000-0000-0000D35E0000}"/>
    <cellStyle name="Input 5 2 2 2 4" xfId="23928" xr:uid="{00000000-0005-0000-0000-0000D45E0000}"/>
    <cellStyle name="Input 5 2 2 3" xfId="14481" xr:uid="{00000000-0005-0000-0000-0000D55E0000}"/>
    <cellStyle name="Input 5 2 2 3 2" xfId="19630" xr:uid="{00000000-0005-0000-0000-0000D65E0000}"/>
    <cellStyle name="Input 5 2 2 4" xfId="15189" xr:uid="{00000000-0005-0000-0000-0000D75E0000}"/>
    <cellStyle name="Input 5 2 2 4 2" xfId="20577" xr:uid="{00000000-0005-0000-0000-0000D85E0000}"/>
    <cellStyle name="Input 5 2 2 5" xfId="16476" xr:uid="{00000000-0005-0000-0000-0000D95E0000}"/>
    <cellStyle name="Input 5 2 2 5 2" xfId="22117" xr:uid="{00000000-0005-0000-0000-0000DA5E0000}"/>
    <cellStyle name="Input 5 2 2 6" xfId="16839" xr:uid="{00000000-0005-0000-0000-0000DB5E0000}"/>
    <cellStyle name="Input 5 2 2 6 2" xfId="22490" xr:uid="{00000000-0005-0000-0000-0000DC5E0000}"/>
    <cellStyle name="Input 5 2 2 7" xfId="17559" xr:uid="{00000000-0005-0000-0000-0000DD5E0000}"/>
    <cellStyle name="Input 5 2 2 7 2" xfId="23204" xr:uid="{00000000-0005-0000-0000-0000DE5E0000}"/>
    <cellStyle name="Input 5 2 2 8" xfId="13763" xr:uid="{00000000-0005-0000-0000-0000DF5E0000}"/>
    <cellStyle name="Input 5 2 2 8 2" xfId="18737" xr:uid="{00000000-0005-0000-0000-0000E05E0000}"/>
    <cellStyle name="Input 5 2 2 9" xfId="13090" xr:uid="{00000000-0005-0000-0000-0000E15E0000}"/>
    <cellStyle name="Input 5 2 3" xfId="10374" xr:uid="{00000000-0005-0000-0000-0000E25E0000}"/>
    <cellStyle name="Input 5 2 3 2" xfId="19350" xr:uid="{00000000-0005-0000-0000-0000E35E0000}"/>
    <cellStyle name="Input 5 2 3 3" xfId="24224" xr:uid="{00000000-0005-0000-0000-0000E45E0000}"/>
    <cellStyle name="Input 5 2 3 4" xfId="23607" xr:uid="{00000000-0005-0000-0000-0000E55E0000}"/>
    <cellStyle name="Input 5 2 4" xfId="15021" xr:uid="{00000000-0005-0000-0000-0000E65E0000}"/>
    <cellStyle name="Input 5 2 4 2" xfId="20382" xr:uid="{00000000-0005-0000-0000-0000E75E0000}"/>
    <cellStyle name="Input 5 2 5" xfId="15531" xr:uid="{00000000-0005-0000-0000-0000E85E0000}"/>
    <cellStyle name="Input 5 2 5 2" xfId="21027" xr:uid="{00000000-0005-0000-0000-0000E95E0000}"/>
    <cellStyle name="Input 5 2 6" xfId="16018" xr:uid="{00000000-0005-0000-0000-0000EA5E0000}"/>
    <cellStyle name="Input 5 2 6 2" xfId="21512" xr:uid="{00000000-0005-0000-0000-0000EB5E0000}"/>
    <cellStyle name="Input 5 2 7" xfId="15495" xr:uid="{00000000-0005-0000-0000-0000EC5E0000}"/>
    <cellStyle name="Input 5 2 7 2" xfId="20991" xr:uid="{00000000-0005-0000-0000-0000ED5E0000}"/>
    <cellStyle name="Input 5 2 8" xfId="17242" xr:uid="{00000000-0005-0000-0000-0000EE5E0000}"/>
    <cellStyle name="Input 5 2 8 2" xfId="22886" xr:uid="{00000000-0005-0000-0000-0000EF5E0000}"/>
    <cellStyle name="Input 5 2 9" xfId="13442" xr:uid="{00000000-0005-0000-0000-0000F05E0000}"/>
    <cellStyle name="Input 5 2 9 2" xfId="18419" xr:uid="{00000000-0005-0000-0000-0000F15E0000}"/>
    <cellStyle name="Input 5 20" xfId="12744" xr:uid="{00000000-0005-0000-0000-0000F25E0000}"/>
    <cellStyle name="Input 5 21" xfId="12376" xr:uid="{00000000-0005-0000-0000-0000F35E0000}"/>
    <cellStyle name="Input 5 3" xfId="1974" xr:uid="{00000000-0005-0000-0000-0000F45E0000}"/>
    <cellStyle name="Input 5 3 10" xfId="12748" xr:uid="{00000000-0005-0000-0000-0000F55E0000}"/>
    <cellStyle name="Input 5 3 11" xfId="12372" xr:uid="{00000000-0005-0000-0000-0000F65E0000}"/>
    <cellStyle name="Input 5 3 2" xfId="3397" xr:uid="{00000000-0005-0000-0000-0000F75E0000}"/>
    <cellStyle name="Input 5 3 2 10" xfId="18082" xr:uid="{00000000-0005-0000-0000-0000F85E0000}"/>
    <cellStyle name="Input 5 3 2 2" xfId="14781" xr:uid="{00000000-0005-0000-0000-0000F95E0000}"/>
    <cellStyle name="Input 5 3 2 2 2" xfId="20102" xr:uid="{00000000-0005-0000-0000-0000FA5E0000}"/>
    <cellStyle name="Input 5 3 2 2 3" xfId="24597" xr:uid="{00000000-0005-0000-0000-0000FB5E0000}"/>
    <cellStyle name="Input 5 3 2 2 4" xfId="23929" xr:uid="{00000000-0005-0000-0000-0000FC5E0000}"/>
    <cellStyle name="Input 5 3 2 3" xfId="14482" xr:uid="{00000000-0005-0000-0000-0000FD5E0000}"/>
    <cellStyle name="Input 5 3 2 3 2" xfId="19631" xr:uid="{00000000-0005-0000-0000-0000FE5E0000}"/>
    <cellStyle name="Input 5 3 2 4" xfId="15188" xr:uid="{00000000-0005-0000-0000-0000FF5E0000}"/>
    <cellStyle name="Input 5 3 2 4 2" xfId="20576" xr:uid="{00000000-0005-0000-0000-0000005F0000}"/>
    <cellStyle name="Input 5 3 2 5" xfId="16477" xr:uid="{00000000-0005-0000-0000-0000015F0000}"/>
    <cellStyle name="Input 5 3 2 5 2" xfId="22118" xr:uid="{00000000-0005-0000-0000-0000025F0000}"/>
    <cellStyle name="Input 5 3 2 6" xfId="16840" xr:uid="{00000000-0005-0000-0000-0000035F0000}"/>
    <cellStyle name="Input 5 3 2 6 2" xfId="22491" xr:uid="{00000000-0005-0000-0000-0000045F0000}"/>
    <cellStyle name="Input 5 3 2 7" xfId="17560" xr:uid="{00000000-0005-0000-0000-0000055F0000}"/>
    <cellStyle name="Input 5 3 2 7 2" xfId="23205" xr:uid="{00000000-0005-0000-0000-0000065F0000}"/>
    <cellStyle name="Input 5 3 2 8" xfId="13764" xr:uid="{00000000-0005-0000-0000-0000075F0000}"/>
    <cellStyle name="Input 5 3 2 8 2" xfId="18738" xr:uid="{00000000-0005-0000-0000-0000085F0000}"/>
    <cellStyle name="Input 5 3 2 9" xfId="13091" xr:uid="{00000000-0005-0000-0000-0000095F0000}"/>
    <cellStyle name="Input 5 3 3" xfId="10373" xr:uid="{00000000-0005-0000-0000-00000A5F0000}"/>
    <cellStyle name="Input 5 3 3 2" xfId="19351" xr:uid="{00000000-0005-0000-0000-00000B5F0000}"/>
    <cellStyle name="Input 5 3 3 3" xfId="24223" xr:uid="{00000000-0005-0000-0000-00000C5F0000}"/>
    <cellStyle name="Input 5 3 3 4" xfId="23608" xr:uid="{00000000-0005-0000-0000-00000D5F0000}"/>
    <cellStyle name="Input 5 3 4" xfId="14131" xr:uid="{00000000-0005-0000-0000-00000E5F0000}"/>
    <cellStyle name="Input 5 3 4 2" xfId="19118" xr:uid="{00000000-0005-0000-0000-00000F5F0000}"/>
    <cellStyle name="Input 5 3 5" xfId="15530" xr:uid="{00000000-0005-0000-0000-0000105F0000}"/>
    <cellStyle name="Input 5 3 5 2" xfId="21026" xr:uid="{00000000-0005-0000-0000-0000115F0000}"/>
    <cellStyle name="Input 5 3 6" xfId="16019" xr:uid="{00000000-0005-0000-0000-0000125F0000}"/>
    <cellStyle name="Input 5 3 6 2" xfId="21513" xr:uid="{00000000-0005-0000-0000-0000135F0000}"/>
    <cellStyle name="Input 5 3 7" xfId="15494" xr:uid="{00000000-0005-0000-0000-0000145F0000}"/>
    <cellStyle name="Input 5 3 7 2" xfId="20990" xr:uid="{00000000-0005-0000-0000-0000155F0000}"/>
    <cellStyle name="Input 5 3 8" xfId="17243" xr:uid="{00000000-0005-0000-0000-0000165F0000}"/>
    <cellStyle name="Input 5 3 8 2" xfId="22887" xr:uid="{00000000-0005-0000-0000-0000175F0000}"/>
    <cellStyle name="Input 5 3 9" xfId="13443" xr:uid="{00000000-0005-0000-0000-0000185F0000}"/>
    <cellStyle name="Input 5 3 9 2" xfId="18420" xr:uid="{00000000-0005-0000-0000-0000195F0000}"/>
    <cellStyle name="Input 5 4" xfId="1975" xr:uid="{00000000-0005-0000-0000-00001A5F0000}"/>
    <cellStyle name="Input 5 4 10" xfId="12749" xr:uid="{00000000-0005-0000-0000-00001B5F0000}"/>
    <cellStyle name="Input 5 4 11" xfId="12371" xr:uid="{00000000-0005-0000-0000-00001C5F0000}"/>
    <cellStyle name="Input 5 4 2" xfId="3398" xr:uid="{00000000-0005-0000-0000-00001D5F0000}"/>
    <cellStyle name="Input 5 4 2 10" xfId="18083" xr:uid="{00000000-0005-0000-0000-00001E5F0000}"/>
    <cellStyle name="Input 5 4 2 2" xfId="14782" xr:uid="{00000000-0005-0000-0000-00001F5F0000}"/>
    <cellStyle name="Input 5 4 2 2 2" xfId="20103" xr:uid="{00000000-0005-0000-0000-0000205F0000}"/>
    <cellStyle name="Input 5 4 2 2 3" xfId="24598" xr:uid="{00000000-0005-0000-0000-0000215F0000}"/>
    <cellStyle name="Input 5 4 2 2 4" xfId="23930" xr:uid="{00000000-0005-0000-0000-0000225F0000}"/>
    <cellStyle name="Input 5 4 2 3" xfId="14483" xr:uid="{00000000-0005-0000-0000-0000235F0000}"/>
    <cellStyle name="Input 5 4 2 3 2" xfId="19632" xr:uid="{00000000-0005-0000-0000-0000245F0000}"/>
    <cellStyle name="Input 5 4 2 4" xfId="15187" xr:uid="{00000000-0005-0000-0000-0000255F0000}"/>
    <cellStyle name="Input 5 4 2 4 2" xfId="20575" xr:uid="{00000000-0005-0000-0000-0000265F0000}"/>
    <cellStyle name="Input 5 4 2 5" xfId="16478" xr:uid="{00000000-0005-0000-0000-0000275F0000}"/>
    <cellStyle name="Input 5 4 2 5 2" xfId="22119" xr:uid="{00000000-0005-0000-0000-0000285F0000}"/>
    <cellStyle name="Input 5 4 2 6" xfId="16841" xr:uid="{00000000-0005-0000-0000-0000295F0000}"/>
    <cellStyle name="Input 5 4 2 6 2" xfId="22492" xr:uid="{00000000-0005-0000-0000-00002A5F0000}"/>
    <cellStyle name="Input 5 4 2 7" xfId="17561" xr:uid="{00000000-0005-0000-0000-00002B5F0000}"/>
    <cellStyle name="Input 5 4 2 7 2" xfId="23206" xr:uid="{00000000-0005-0000-0000-00002C5F0000}"/>
    <cellStyle name="Input 5 4 2 8" xfId="13765" xr:uid="{00000000-0005-0000-0000-00002D5F0000}"/>
    <cellStyle name="Input 5 4 2 8 2" xfId="18739" xr:uid="{00000000-0005-0000-0000-00002E5F0000}"/>
    <cellStyle name="Input 5 4 2 9" xfId="13092" xr:uid="{00000000-0005-0000-0000-00002F5F0000}"/>
    <cellStyle name="Input 5 4 3" xfId="10372" xr:uid="{00000000-0005-0000-0000-0000305F0000}"/>
    <cellStyle name="Input 5 4 3 2" xfId="19352" xr:uid="{00000000-0005-0000-0000-0000315F0000}"/>
    <cellStyle name="Input 5 4 3 3" xfId="24222" xr:uid="{00000000-0005-0000-0000-0000325F0000}"/>
    <cellStyle name="Input 5 4 3 4" xfId="23609" xr:uid="{00000000-0005-0000-0000-0000335F0000}"/>
    <cellStyle name="Input 5 4 4" xfId="14667" xr:uid="{00000000-0005-0000-0000-0000345F0000}"/>
    <cellStyle name="Input 5 4 4 2" xfId="19975" xr:uid="{00000000-0005-0000-0000-0000355F0000}"/>
    <cellStyle name="Input 5 4 5" xfId="15529" xr:uid="{00000000-0005-0000-0000-0000365F0000}"/>
    <cellStyle name="Input 5 4 5 2" xfId="21025" xr:uid="{00000000-0005-0000-0000-0000375F0000}"/>
    <cellStyle name="Input 5 4 6" xfId="16020" xr:uid="{00000000-0005-0000-0000-0000385F0000}"/>
    <cellStyle name="Input 5 4 6 2" xfId="21514" xr:uid="{00000000-0005-0000-0000-0000395F0000}"/>
    <cellStyle name="Input 5 4 7" xfId="15493" xr:uid="{00000000-0005-0000-0000-00003A5F0000}"/>
    <cellStyle name="Input 5 4 7 2" xfId="20989" xr:uid="{00000000-0005-0000-0000-00003B5F0000}"/>
    <cellStyle name="Input 5 4 8" xfId="17244" xr:uid="{00000000-0005-0000-0000-00003C5F0000}"/>
    <cellStyle name="Input 5 4 8 2" xfId="22888" xr:uid="{00000000-0005-0000-0000-00003D5F0000}"/>
    <cellStyle name="Input 5 4 9" xfId="13444" xr:uid="{00000000-0005-0000-0000-00003E5F0000}"/>
    <cellStyle name="Input 5 4 9 2" xfId="18421" xr:uid="{00000000-0005-0000-0000-00003F5F0000}"/>
    <cellStyle name="Input 5 5" xfId="1976" xr:uid="{00000000-0005-0000-0000-0000405F0000}"/>
    <cellStyle name="Input 5 5 10" xfId="12750" xr:uid="{00000000-0005-0000-0000-0000415F0000}"/>
    <cellStyle name="Input 5 5 11" xfId="12370" xr:uid="{00000000-0005-0000-0000-0000425F0000}"/>
    <cellStyle name="Input 5 5 2" xfId="3399" xr:uid="{00000000-0005-0000-0000-0000435F0000}"/>
    <cellStyle name="Input 5 5 2 10" xfId="18084" xr:uid="{00000000-0005-0000-0000-0000445F0000}"/>
    <cellStyle name="Input 5 5 2 2" xfId="14783" xr:uid="{00000000-0005-0000-0000-0000455F0000}"/>
    <cellStyle name="Input 5 5 2 2 2" xfId="20104" xr:uid="{00000000-0005-0000-0000-0000465F0000}"/>
    <cellStyle name="Input 5 5 2 2 3" xfId="24599" xr:uid="{00000000-0005-0000-0000-0000475F0000}"/>
    <cellStyle name="Input 5 5 2 2 4" xfId="23931" xr:uid="{00000000-0005-0000-0000-0000485F0000}"/>
    <cellStyle name="Input 5 5 2 3" xfId="14484" xr:uid="{00000000-0005-0000-0000-0000495F0000}"/>
    <cellStyle name="Input 5 5 2 3 2" xfId="19633" xr:uid="{00000000-0005-0000-0000-00004A5F0000}"/>
    <cellStyle name="Input 5 5 2 4" xfId="15186" xr:uid="{00000000-0005-0000-0000-00004B5F0000}"/>
    <cellStyle name="Input 5 5 2 4 2" xfId="20574" xr:uid="{00000000-0005-0000-0000-00004C5F0000}"/>
    <cellStyle name="Input 5 5 2 5" xfId="16479" xr:uid="{00000000-0005-0000-0000-00004D5F0000}"/>
    <cellStyle name="Input 5 5 2 5 2" xfId="22120" xr:uid="{00000000-0005-0000-0000-00004E5F0000}"/>
    <cellStyle name="Input 5 5 2 6" xfId="16842" xr:uid="{00000000-0005-0000-0000-00004F5F0000}"/>
    <cellStyle name="Input 5 5 2 6 2" xfId="22493" xr:uid="{00000000-0005-0000-0000-0000505F0000}"/>
    <cellStyle name="Input 5 5 2 7" xfId="17562" xr:uid="{00000000-0005-0000-0000-0000515F0000}"/>
    <cellStyle name="Input 5 5 2 7 2" xfId="23207" xr:uid="{00000000-0005-0000-0000-0000525F0000}"/>
    <cellStyle name="Input 5 5 2 8" xfId="13766" xr:uid="{00000000-0005-0000-0000-0000535F0000}"/>
    <cellStyle name="Input 5 5 2 8 2" xfId="18740" xr:uid="{00000000-0005-0000-0000-0000545F0000}"/>
    <cellStyle name="Input 5 5 2 9" xfId="13093" xr:uid="{00000000-0005-0000-0000-0000555F0000}"/>
    <cellStyle name="Input 5 5 3" xfId="10371" xr:uid="{00000000-0005-0000-0000-0000565F0000}"/>
    <cellStyle name="Input 5 5 3 2" xfId="19353" xr:uid="{00000000-0005-0000-0000-0000575F0000}"/>
    <cellStyle name="Input 5 5 3 3" xfId="24221" xr:uid="{00000000-0005-0000-0000-0000585F0000}"/>
    <cellStyle name="Input 5 5 3 4" xfId="23610" xr:uid="{00000000-0005-0000-0000-0000595F0000}"/>
    <cellStyle name="Input 5 5 4" xfId="14671" xr:uid="{00000000-0005-0000-0000-00005A5F0000}"/>
    <cellStyle name="Input 5 5 4 2" xfId="19979" xr:uid="{00000000-0005-0000-0000-00005B5F0000}"/>
    <cellStyle name="Input 5 5 5" xfId="15528" xr:uid="{00000000-0005-0000-0000-00005C5F0000}"/>
    <cellStyle name="Input 5 5 5 2" xfId="21024" xr:uid="{00000000-0005-0000-0000-00005D5F0000}"/>
    <cellStyle name="Input 5 5 6" xfId="16021" xr:uid="{00000000-0005-0000-0000-00005E5F0000}"/>
    <cellStyle name="Input 5 5 6 2" xfId="21515" xr:uid="{00000000-0005-0000-0000-00005F5F0000}"/>
    <cellStyle name="Input 5 5 7" xfId="15492" xr:uid="{00000000-0005-0000-0000-0000605F0000}"/>
    <cellStyle name="Input 5 5 7 2" xfId="20988" xr:uid="{00000000-0005-0000-0000-0000615F0000}"/>
    <cellStyle name="Input 5 5 8" xfId="17245" xr:uid="{00000000-0005-0000-0000-0000625F0000}"/>
    <cellStyle name="Input 5 5 8 2" xfId="22889" xr:uid="{00000000-0005-0000-0000-0000635F0000}"/>
    <cellStyle name="Input 5 5 9" xfId="13445" xr:uid="{00000000-0005-0000-0000-0000645F0000}"/>
    <cellStyle name="Input 5 5 9 2" xfId="18422" xr:uid="{00000000-0005-0000-0000-0000655F0000}"/>
    <cellStyle name="Input 5 6" xfId="1977" xr:uid="{00000000-0005-0000-0000-0000665F0000}"/>
    <cellStyle name="Input 5 6 10" xfId="12751" xr:uid="{00000000-0005-0000-0000-0000675F0000}"/>
    <cellStyle name="Input 5 6 11" xfId="12369" xr:uid="{00000000-0005-0000-0000-0000685F0000}"/>
    <cellStyle name="Input 5 6 2" xfId="3400" xr:uid="{00000000-0005-0000-0000-0000695F0000}"/>
    <cellStyle name="Input 5 6 2 10" xfId="18085" xr:uid="{00000000-0005-0000-0000-00006A5F0000}"/>
    <cellStyle name="Input 5 6 2 2" xfId="14784" xr:uid="{00000000-0005-0000-0000-00006B5F0000}"/>
    <cellStyle name="Input 5 6 2 2 2" xfId="20105" xr:uid="{00000000-0005-0000-0000-00006C5F0000}"/>
    <cellStyle name="Input 5 6 2 2 3" xfId="24600" xr:uid="{00000000-0005-0000-0000-00006D5F0000}"/>
    <cellStyle name="Input 5 6 2 2 4" xfId="23932" xr:uid="{00000000-0005-0000-0000-00006E5F0000}"/>
    <cellStyle name="Input 5 6 2 3" xfId="14485" xr:uid="{00000000-0005-0000-0000-00006F5F0000}"/>
    <cellStyle name="Input 5 6 2 3 2" xfId="19634" xr:uid="{00000000-0005-0000-0000-0000705F0000}"/>
    <cellStyle name="Input 5 6 2 4" xfId="15185" xr:uid="{00000000-0005-0000-0000-0000715F0000}"/>
    <cellStyle name="Input 5 6 2 4 2" xfId="20573" xr:uid="{00000000-0005-0000-0000-0000725F0000}"/>
    <cellStyle name="Input 5 6 2 5" xfId="16480" xr:uid="{00000000-0005-0000-0000-0000735F0000}"/>
    <cellStyle name="Input 5 6 2 5 2" xfId="22121" xr:uid="{00000000-0005-0000-0000-0000745F0000}"/>
    <cellStyle name="Input 5 6 2 6" xfId="16843" xr:uid="{00000000-0005-0000-0000-0000755F0000}"/>
    <cellStyle name="Input 5 6 2 6 2" xfId="22494" xr:uid="{00000000-0005-0000-0000-0000765F0000}"/>
    <cellStyle name="Input 5 6 2 7" xfId="17563" xr:uid="{00000000-0005-0000-0000-0000775F0000}"/>
    <cellStyle name="Input 5 6 2 7 2" xfId="23208" xr:uid="{00000000-0005-0000-0000-0000785F0000}"/>
    <cellStyle name="Input 5 6 2 8" xfId="13767" xr:uid="{00000000-0005-0000-0000-0000795F0000}"/>
    <cellStyle name="Input 5 6 2 8 2" xfId="18741" xr:uid="{00000000-0005-0000-0000-00007A5F0000}"/>
    <cellStyle name="Input 5 6 2 9" xfId="13094" xr:uid="{00000000-0005-0000-0000-00007B5F0000}"/>
    <cellStyle name="Input 5 6 3" xfId="10370" xr:uid="{00000000-0005-0000-0000-00007C5F0000}"/>
    <cellStyle name="Input 5 6 3 2" xfId="19354" xr:uid="{00000000-0005-0000-0000-00007D5F0000}"/>
    <cellStyle name="Input 5 6 3 3" xfId="24220" xr:uid="{00000000-0005-0000-0000-00007E5F0000}"/>
    <cellStyle name="Input 5 6 3 4" xfId="23611" xr:uid="{00000000-0005-0000-0000-00007F5F0000}"/>
    <cellStyle name="Input 5 6 4" xfId="15054" xr:uid="{00000000-0005-0000-0000-0000805F0000}"/>
    <cellStyle name="Input 5 6 4 2" xfId="20435" xr:uid="{00000000-0005-0000-0000-0000815F0000}"/>
    <cellStyle name="Input 5 6 5" xfId="15527" xr:uid="{00000000-0005-0000-0000-0000825F0000}"/>
    <cellStyle name="Input 5 6 5 2" xfId="21023" xr:uid="{00000000-0005-0000-0000-0000835F0000}"/>
    <cellStyle name="Input 5 6 6" xfId="16022" xr:uid="{00000000-0005-0000-0000-0000845F0000}"/>
    <cellStyle name="Input 5 6 6 2" xfId="21516" xr:uid="{00000000-0005-0000-0000-0000855F0000}"/>
    <cellStyle name="Input 5 6 7" xfId="15491" xr:uid="{00000000-0005-0000-0000-0000865F0000}"/>
    <cellStyle name="Input 5 6 7 2" xfId="20987" xr:uid="{00000000-0005-0000-0000-0000875F0000}"/>
    <cellStyle name="Input 5 6 8" xfId="17246" xr:uid="{00000000-0005-0000-0000-0000885F0000}"/>
    <cellStyle name="Input 5 6 8 2" xfId="22890" xr:uid="{00000000-0005-0000-0000-0000895F0000}"/>
    <cellStyle name="Input 5 6 9" xfId="13446" xr:uid="{00000000-0005-0000-0000-00008A5F0000}"/>
    <cellStyle name="Input 5 6 9 2" xfId="18423" xr:uid="{00000000-0005-0000-0000-00008B5F0000}"/>
    <cellStyle name="Input 5 7" xfId="1978" xr:uid="{00000000-0005-0000-0000-00008C5F0000}"/>
    <cellStyle name="Input 5 7 10" xfId="12752" xr:uid="{00000000-0005-0000-0000-00008D5F0000}"/>
    <cellStyle name="Input 5 7 11" xfId="12368" xr:uid="{00000000-0005-0000-0000-00008E5F0000}"/>
    <cellStyle name="Input 5 7 2" xfId="3401" xr:uid="{00000000-0005-0000-0000-00008F5F0000}"/>
    <cellStyle name="Input 5 7 2 10" xfId="18086" xr:uid="{00000000-0005-0000-0000-0000905F0000}"/>
    <cellStyle name="Input 5 7 2 2" xfId="14785" xr:uid="{00000000-0005-0000-0000-0000915F0000}"/>
    <cellStyle name="Input 5 7 2 2 2" xfId="20106" xr:uid="{00000000-0005-0000-0000-0000925F0000}"/>
    <cellStyle name="Input 5 7 2 2 3" xfId="24601" xr:uid="{00000000-0005-0000-0000-0000935F0000}"/>
    <cellStyle name="Input 5 7 2 2 4" xfId="23933" xr:uid="{00000000-0005-0000-0000-0000945F0000}"/>
    <cellStyle name="Input 5 7 2 3" xfId="14486" xr:uid="{00000000-0005-0000-0000-0000955F0000}"/>
    <cellStyle name="Input 5 7 2 3 2" xfId="19635" xr:uid="{00000000-0005-0000-0000-0000965F0000}"/>
    <cellStyle name="Input 5 7 2 4" xfId="15184" xr:uid="{00000000-0005-0000-0000-0000975F0000}"/>
    <cellStyle name="Input 5 7 2 4 2" xfId="20572" xr:uid="{00000000-0005-0000-0000-0000985F0000}"/>
    <cellStyle name="Input 5 7 2 5" xfId="16481" xr:uid="{00000000-0005-0000-0000-0000995F0000}"/>
    <cellStyle name="Input 5 7 2 5 2" xfId="22122" xr:uid="{00000000-0005-0000-0000-00009A5F0000}"/>
    <cellStyle name="Input 5 7 2 6" xfId="16844" xr:uid="{00000000-0005-0000-0000-00009B5F0000}"/>
    <cellStyle name="Input 5 7 2 6 2" xfId="22495" xr:uid="{00000000-0005-0000-0000-00009C5F0000}"/>
    <cellStyle name="Input 5 7 2 7" xfId="17564" xr:uid="{00000000-0005-0000-0000-00009D5F0000}"/>
    <cellStyle name="Input 5 7 2 7 2" xfId="23209" xr:uid="{00000000-0005-0000-0000-00009E5F0000}"/>
    <cellStyle name="Input 5 7 2 8" xfId="13768" xr:uid="{00000000-0005-0000-0000-00009F5F0000}"/>
    <cellStyle name="Input 5 7 2 8 2" xfId="18742" xr:uid="{00000000-0005-0000-0000-0000A05F0000}"/>
    <cellStyle name="Input 5 7 2 9" xfId="13095" xr:uid="{00000000-0005-0000-0000-0000A15F0000}"/>
    <cellStyle name="Input 5 7 3" xfId="10871" xr:uid="{00000000-0005-0000-0000-0000A25F0000}"/>
    <cellStyle name="Input 5 7 3 2" xfId="19355" xr:uid="{00000000-0005-0000-0000-0000A35F0000}"/>
    <cellStyle name="Input 5 7 3 3" xfId="24219" xr:uid="{00000000-0005-0000-0000-0000A45F0000}"/>
    <cellStyle name="Input 5 7 3 4" xfId="23612" xr:uid="{00000000-0005-0000-0000-0000A55F0000}"/>
    <cellStyle name="Input 5 7 4" xfId="14607" xr:uid="{00000000-0005-0000-0000-0000A65F0000}"/>
    <cellStyle name="Input 5 7 4 2" xfId="19915" xr:uid="{00000000-0005-0000-0000-0000A75F0000}"/>
    <cellStyle name="Input 5 7 5" xfId="15526" xr:uid="{00000000-0005-0000-0000-0000A85F0000}"/>
    <cellStyle name="Input 5 7 5 2" xfId="21022" xr:uid="{00000000-0005-0000-0000-0000A95F0000}"/>
    <cellStyle name="Input 5 7 6" xfId="16023" xr:uid="{00000000-0005-0000-0000-0000AA5F0000}"/>
    <cellStyle name="Input 5 7 6 2" xfId="21517" xr:uid="{00000000-0005-0000-0000-0000AB5F0000}"/>
    <cellStyle name="Input 5 7 7" xfId="15490" xr:uid="{00000000-0005-0000-0000-0000AC5F0000}"/>
    <cellStyle name="Input 5 7 7 2" xfId="20986" xr:uid="{00000000-0005-0000-0000-0000AD5F0000}"/>
    <cellStyle name="Input 5 7 8" xfId="17247" xr:uid="{00000000-0005-0000-0000-0000AE5F0000}"/>
    <cellStyle name="Input 5 7 8 2" xfId="22891" xr:uid="{00000000-0005-0000-0000-0000AF5F0000}"/>
    <cellStyle name="Input 5 7 9" xfId="13447" xr:uid="{00000000-0005-0000-0000-0000B05F0000}"/>
    <cellStyle name="Input 5 7 9 2" xfId="18424" xr:uid="{00000000-0005-0000-0000-0000B15F0000}"/>
    <cellStyle name="Input 5 8" xfId="1979" xr:uid="{00000000-0005-0000-0000-0000B25F0000}"/>
    <cellStyle name="Input 5 8 10" xfId="12753" xr:uid="{00000000-0005-0000-0000-0000B35F0000}"/>
    <cellStyle name="Input 5 8 11" xfId="12367" xr:uid="{00000000-0005-0000-0000-0000B45F0000}"/>
    <cellStyle name="Input 5 8 2" xfId="3402" xr:uid="{00000000-0005-0000-0000-0000B55F0000}"/>
    <cellStyle name="Input 5 8 2 10" xfId="18087" xr:uid="{00000000-0005-0000-0000-0000B65F0000}"/>
    <cellStyle name="Input 5 8 2 2" xfId="14786" xr:uid="{00000000-0005-0000-0000-0000B75F0000}"/>
    <cellStyle name="Input 5 8 2 2 2" xfId="20107" xr:uid="{00000000-0005-0000-0000-0000B85F0000}"/>
    <cellStyle name="Input 5 8 2 2 3" xfId="24602" xr:uid="{00000000-0005-0000-0000-0000B95F0000}"/>
    <cellStyle name="Input 5 8 2 2 4" xfId="23934" xr:uid="{00000000-0005-0000-0000-0000BA5F0000}"/>
    <cellStyle name="Input 5 8 2 3" xfId="14487" xr:uid="{00000000-0005-0000-0000-0000BB5F0000}"/>
    <cellStyle name="Input 5 8 2 3 2" xfId="19636" xr:uid="{00000000-0005-0000-0000-0000BC5F0000}"/>
    <cellStyle name="Input 5 8 2 4" xfId="15183" xr:uid="{00000000-0005-0000-0000-0000BD5F0000}"/>
    <cellStyle name="Input 5 8 2 4 2" xfId="20571" xr:uid="{00000000-0005-0000-0000-0000BE5F0000}"/>
    <cellStyle name="Input 5 8 2 5" xfId="16482" xr:uid="{00000000-0005-0000-0000-0000BF5F0000}"/>
    <cellStyle name="Input 5 8 2 5 2" xfId="22123" xr:uid="{00000000-0005-0000-0000-0000C05F0000}"/>
    <cellStyle name="Input 5 8 2 6" xfId="16845" xr:uid="{00000000-0005-0000-0000-0000C15F0000}"/>
    <cellStyle name="Input 5 8 2 6 2" xfId="22496" xr:uid="{00000000-0005-0000-0000-0000C25F0000}"/>
    <cellStyle name="Input 5 8 2 7" xfId="17565" xr:uid="{00000000-0005-0000-0000-0000C35F0000}"/>
    <cellStyle name="Input 5 8 2 7 2" xfId="23210" xr:uid="{00000000-0005-0000-0000-0000C45F0000}"/>
    <cellStyle name="Input 5 8 2 8" xfId="13769" xr:uid="{00000000-0005-0000-0000-0000C55F0000}"/>
    <cellStyle name="Input 5 8 2 8 2" xfId="18743" xr:uid="{00000000-0005-0000-0000-0000C65F0000}"/>
    <cellStyle name="Input 5 8 2 9" xfId="13096" xr:uid="{00000000-0005-0000-0000-0000C75F0000}"/>
    <cellStyle name="Input 5 8 3" xfId="10870" xr:uid="{00000000-0005-0000-0000-0000C85F0000}"/>
    <cellStyle name="Input 5 8 3 2" xfId="19356" xr:uid="{00000000-0005-0000-0000-0000C95F0000}"/>
    <cellStyle name="Input 5 8 3 3" xfId="24218" xr:uid="{00000000-0005-0000-0000-0000CA5F0000}"/>
    <cellStyle name="Input 5 8 3 4" xfId="23613" xr:uid="{00000000-0005-0000-0000-0000CB5F0000}"/>
    <cellStyle name="Input 5 8 4" xfId="14132" xr:uid="{00000000-0005-0000-0000-0000CC5F0000}"/>
    <cellStyle name="Input 5 8 4 2" xfId="19119" xr:uid="{00000000-0005-0000-0000-0000CD5F0000}"/>
    <cellStyle name="Input 5 8 5" xfId="15525" xr:uid="{00000000-0005-0000-0000-0000CE5F0000}"/>
    <cellStyle name="Input 5 8 5 2" xfId="21021" xr:uid="{00000000-0005-0000-0000-0000CF5F0000}"/>
    <cellStyle name="Input 5 8 6" xfId="16024" xr:uid="{00000000-0005-0000-0000-0000D05F0000}"/>
    <cellStyle name="Input 5 8 6 2" xfId="21518" xr:uid="{00000000-0005-0000-0000-0000D15F0000}"/>
    <cellStyle name="Input 5 8 7" xfId="15489" xr:uid="{00000000-0005-0000-0000-0000D25F0000}"/>
    <cellStyle name="Input 5 8 7 2" xfId="20985" xr:uid="{00000000-0005-0000-0000-0000D35F0000}"/>
    <cellStyle name="Input 5 8 8" xfId="17248" xr:uid="{00000000-0005-0000-0000-0000D45F0000}"/>
    <cellStyle name="Input 5 8 8 2" xfId="22892" xr:uid="{00000000-0005-0000-0000-0000D55F0000}"/>
    <cellStyle name="Input 5 8 9" xfId="13448" xr:uid="{00000000-0005-0000-0000-0000D65F0000}"/>
    <cellStyle name="Input 5 8 9 2" xfId="18425" xr:uid="{00000000-0005-0000-0000-0000D75F0000}"/>
    <cellStyle name="Input 5 9" xfId="1980" xr:uid="{00000000-0005-0000-0000-0000D85F0000}"/>
    <cellStyle name="Input 5 9 10" xfId="12754" xr:uid="{00000000-0005-0000-0000-0000D95F0000}"/>
    <cellStyle name="Input 5 9 11" xfId="12366" xr:uid="{00000000-0005-0000-0000-0000DA5F0000}"/>
    <cellStyle name="Input 5 9 2" xfId="3403" xr:uid="{00000000-0005-0000-0000-0000DB5F0000}"/>
    <cellStyle name="Input 5 9 2 10" xfId="18088" xr:uid="{00000000-0005-0000-0000-0000DC5F0000}"/>
    <cellStyle name="Input 5 9 2 2" xfId="14787" xr:uid="{00000000-0005-0000-0000-0000DD5F0000}"/>
    <cellStyle name="Input 5 9 2 2 2" xfId="20108" xr:uid="{00000000-0005-0000-0000-0000DE5F0000}"/>
    <cellStyle name="Input 5 9 2 2 3" xfId="24603" xr:uid="{00000000-0005-0000-0000-0000DF5F0000}"/>
    <cellStyle name="Input 5 9 2 2 4" xfId="23935" xr:uid="{00000000-0005-0000-0000-0000E05F0000}"/>
    <cellStyle name="Input 5 9 2 3" xfId="14488" xr:uid="{00000000-0005-0000-0000-0000E15F0000}"/>
    <cellStyle name="Input 5 9 2 3 2" xfId="19637" xr:uid="{00000000-0005-0000-0000-0000E25F0000}"/>
    <cellStyle name="Input 5 9 2 4" xfId="15182" xr:uid="{00000000-0005-0000-0000-0000E35F0000}"/>
    <cellStyle name="Input 5 9 2 4 2" xfId="20570" xr:uid="{00000000-0005-0000-0000-0000E45F0000}"/>
    <cellStyle name="Input 5 9 2 5" xfId="16483" xr:uid="{00000000-0005-0000-0000-0000E55F0000}"/>
    <cellStyle name="Input 5 9 2 5 2" xfId="22124" xr:uid="{00000000-0005-0000-0000-0000E65F0000}"/>
    <cellStyle name="Input 5 9 2 6" xfId="16846" xr:uid="{00000000-0005-0000-0000-0000E75F0000}"/>
    <cellStyle name="Input 5 9 2 6 2" xfId="22497" xr:uid="{00000000-0005-0000-0000-0000E85F0000}"/>
    <cellStyle name="Input 5 9 2 7" xfId="17566" xr:uid="{00000000-0005-0000-0000-0000E95F0000}"/>
    <cellStyle name="Input 5 9 2 7 2" xfId="23211" xr:uid="{00000000-0005-0000-0000-0000EA5F0000}"/>
    <cellStyle name="Input 5 9 2 8" xfId="13770" xr:uid="{00000000-0005-0000-0000-0000EB5F0000}"/>
    <cellStyle name="Input 5 9 2 8 2" xfId="18744" xr:uid="{00000000-0005-0000-0000-0000EC5F0000}"/>
    <cellStyle name="Input 5 9 2 9" xfId="13097" xr:uid="{00000000-0005-0000-0000-0000ED5F0000}"/>
    <cellStyle name="Input 5 9 3" xfId="10869" xr:uid="{00000000-0005-0000-0000-0000EE5F0000}"/>
    <cellStyle name="Input 5 9 3 2" xfId="19357" xr:uid="{00000000-0005-0000-0000-0000EF5F0000}"/>
    <cellStyle name="Input 5 9 3 3" xfId="24217" xr:uid="{00000000-0005-0000-0000-0000F05F0000}"/>
    <cellStyle name="Input 5 9 3 4" xfId="23614" xr:uid="{00000000-0005-0000-0000-0000F15F0000}"/>
    <cellStyle name="Input 5 9 4" xfId="14133" xr:uid="{00000000-0005-0000-0000-0000F25F0000}"/>
    <cellStyle name="Input 5 9 4 2" xfId="19120" xr:uid="{00000000-0005-0000-0000-0000F35F0000}"/>
    <cellStyle name="Input 5 9 5" xfId="15524" xr:uid="{00000000-0005-0000-0000-0000F45F0000}"/>
    <cellStyle name="Input 5 9 5 2" xfId="21020" xr:uid="{00000000-0005-0000-0000-0000F55F0000}"/>
    <cellStyle name="Input 5 9 6" xfId="16025" xr:uid="{00000000-0005-0000-0000-0000F65F0000}"/>
    <cellStyle name="Input 5 9 6 2" xfId="21519" xr:uid="{00000000-0005-0000-0000-0000F75F0000}"/>
    <cellStyle name="Input 5 9 7" xfId="15488" xr:uid="{00000000-0005-0000-0000-0000F85F0000}"/>
    <cellStyle name="Input 5 9 7 2" xfId="20984" xr:uid="{00000000-0005-0000-0000-0000F95F0000}"/>
    <cellStyle name="Input 5 9 8" xfId="17249" xr:uid="{00000000-0005-0000-0000-0000FA5F0000}"/>
    <cellStyle name="Input 5 9 8 2" xfId="22893" xr:uid="{00000000-0005-0000-0000-0000FB5F0000}"/>
    <cellStyle name="Input 5 9 9" xfId="13449" xr:uid="{00000000-0005-0000-0000-0000FC5F0000}"/>
    <cellStyle name="Input 5 9 9 2" xfId="18426" xr:uid="{00000000-0005-0000-0000-0000FD5F0000}"/>
    <cellStyle name="Input 6" xfId="1981" xr:uid="{00000000-0005-0000-0000-0000FE5F0000}"/>
    <cellStyle name="Input 6 10" xfId="1982" xr:uid="{00000000-0005-0000-0000-0000FF5F0000}"/>
    <cellStyle name="Input 6 10 10" xfId="12756" xr:uid="{00000000-0005-0000-0000-000000600000}"/>
    <cellStyle name="Input 6 10 11" xfId="12364" xr:uid="{00000000-0005-0000-0000-000001600000}"/>
    <cellStyle name="Input 6 10 2" xfId="3404" xr:uid="{00000000-0005-0000-0000-000002600000}"/>
    <cellStyle name="Input 6 10 2 10" xfId="18090" xr:uid="{00000000-0005-0000-0000-000003600000}"/>
    <cellStyle name="Input 6 10 2 2" xfId="14789" xr:uid="{00000000-0005-0000-0000-000004600000}"/>
    <cellStyle name="Input 6 10 2 2 2" xfId="20110" xr:uid="{00000000-0005-0000-0000-000005600000}"/>
    <cellStyle name="Input 6 10 2 2 3" xfId="24605" xr:uid="{00000000-0005-0000-0000-000006600000}"/>
    <cellStyle name="Input 6 10 2 2 4" xfId="23937" xr:uid="{00000000-0005-0000-0000-000007600000}"/>
    <cellStyle name="Input 6 10 2 3" xfId="14490" xr:uid="{00000000-0005-0000-0000-000008600000}"/>
    <cellStyle name="Input 6 10 2 3 2" xfId="19639" xr:uid="{00000000-0005-0000-0000-000009600000}"/>
    <cellStyle name="Input 6 10 2 4" xfId="15180" xr:uid="{00000000-0005-0000-0000-00000A600000}"/>
    <cellStyle name="Input 6 10 2 4 2" xfId="20568" xr:uid="{00000000-0005-0000-0000-00000B600000}"/>
    <cellStyle name="Input 6 10 2 5" xfId="16485" xr:uid="{00000000-0005-0000-0000-00000C600000}"/>
    <cellStyle name="Input 6 10 2 5 2" xfId="22126" xr:uid="{00000000-0005-0000-0000-00000D600000}"/>
    <cellStyle name="Input 6 10 2 6" xfId="16848" xr:uid="{00000000-0005-0000-0000-00000E600000}"/>
    <cellStyle name="Input 6 10 2 6 2" xfId="22499" xr:uid="{00000000-0005-0000-0000-00000F600000}"/>
    <cellStyle name="Input 6 10 2 7" xfId="17568" xr:uid="{00000000-0005-0000-0000-000010600000}"/>
    <cellStyle name="Input 6 10 2 7 2" xfId="23213" xr:uid="{00000000-0005-0000-0000-000011600000}"/>
    <cellStyle name="Input 6 10 2 8" xfId="13772" xr:uid="{00000000-0005-0000-0000-000012600000}"/>
    <cellStyle name="Input 6 10 2 8 2" xfId="18746" xr:uid="{00000000-0005-0000-0000-000013600000}"/>
    <cellStyle name="Input 6 10 2 9" xfId="13099" xr:uid="{00000000-0005-0000-0000-000014600000}"/>
    <cellStyle name="Input 6 10 3" xfId="10868" xr:uid="{00000000-0005-0000-0000-000015600000}"/>
    <cellStyle name="Input 6 10 3 2" xfId="19359" xr:uid="{00000000-0005-0000-0000-000016600000}"/>
    <cellStyle name="Input 6 10 3 3" xfId="24215" xr:uid="{00000000-0005-0000-0000-000017600000}"/>
    <cellStyle name="Input 6 10 3 4" xfId="23616" xr:uid="{00000000-0005-0000-0000-000018600000}"/>
    <cellStyle name="Input 6 10 4" xfId="14135" xr:uid="{00000000-0005-0000-0000-000019600000}"/>
    <cellStyle name="Input 6 10 4 2" xfId="19122" xr:uid="{00000000-0005-0000-0000-00001A600000}"/>
    <cellStyle name="Input 6 10 5" xfId="15522" xr:uid="{00000000-0005-0000-0000-00001B600000}"/>
    <cellStyle name="Input 6 10 5 2" xfId="21018" xr:uid="{00000000-0005-0000-0000-00001C600000}"/>
    <cellStyle name="Input 6 10 6" xfId="16027" xr:uid="{00000000-0005-0000-0000-00001D600000}"/>
    <cellStyle name="Input 6 10 6 2" xfId="21521" xr:uid="{00000000-0005-0000-0000-00001E600000}"/>
    <cellStyle name="Input 6 10 7" xfId="15486" xr:uid="{00000000-0005-0000-0000-00001F600000}"/>
    <cellStyle name="Input 6 10 7 2" xfId="20982" xr:uid="{00000000-0005-0000-0000-000020600000}"/>
    <cellStyle name="Input 6 10 8" xfId="17251" xr:uid="{00000000-0005-0000-0000-000021600000}"/>
    <cellStyle name="Input 6 10 8 2" xfId="22895" xr:uid="{00000000-0005-0000-0000-000022600000}"/>
    <cellStyle name="Input 6 10 9" xfId="13451" xr:uid="{00000000-0005-0000-0000-000023600000}"/>
    <cellStyle name="Input 6 10 9 2" xfId="18428" xr:uid="{00000000-0005-0000-0000-000024600000}"/>
    <cellStyle name="Input 6 11" xfId="1983" xr:uid="{00000000-0005-0000-0000-000025600000}"/>
    <cellStyle name="Input 6 11 10" xfId="12757" xr:uid="{00000000-0005-0000-0000-000026600000}"/>
    <cellStyle name="Input 6 11 11" xfId="12363" xr:uid="{00000000-0005-0000-0000-000027600000}"/>
    <cellStyle name="Input 6 11 2" xfId="3405" xr:uid="{00000000-0005-0000-0000-000028600000}"/>
    <cellStyle name="Input 6 11 2 10" xfId="18091" xr:uid="{00000000-0005-0000-0000-000029600000}"/>
    <cellStyle name="Input 6 11 2 2" xfId="14790" xr:uid="{00000000-0005-0000-0000-00002A600000}"/>
    <cellStyle name="Input 6 11 2 2 2" xfId="20111" xr:uid="{00000000-0005-0000-0000-00002B600000}"/>
    <cellStyle name="Input 6 11 2 2 3" xfId="24606" xr:uid="{00000000-0005-0000-0000-00002C600000}"/>
    <cellStyle name="Input 6 11 2 2 4" xfId="23938" xr:uid="{00000000-0005-0000-0000-00002D600000}"/>
    <cellStyle name="Input 6 11 2 3" xfId="14491" xr:uid="{00000000-0005-0000-0000-00002E600000}"/>
    <cellStyle name="Input 6 11 2 3 2" xfId="19640" xr:uid="{00000000-0005-0000-0000-00002F600000}"/>
    <cellStyle name="Input 6 11 2 4" xfId="15179" xr:uid="{00000000-0005-0000-0000-000030600000}"/>
    <cellStyle name="Input 6 11 2 4 2" xfId="20567" xr:uid="{00000000-0005-0000-0000-000031600000}"/>
    <cellStyle name="Input 6 11 2 5" xfId="16486" xr:uid="{00000000-0005-0000-0000-000032600000}"/>
    <cellStyle name="Input 6 11 2 5 2" xfId="22127" xr:uid="{00000000-0005-0000-0000-000033600000}"/>
    <cellStyle name="Input 6 11 2 6" xfId="16849" xr:uid="{00000000-0005-0000-0000-000034600000}"/>
    <cellStyle name="Input 6 11 2 6 2" xfId="22500" xr:uid="{00000000-0005-0000-0000-000035600000}"/>
    <cellStyle name="Input 6 11 2 7" xfId="17569" xr:uid="{00000000-0005-0000-0000-000036600000}"/>
    <cellStyle name="Input 6 11 2 7 2" xfId="23214" xr:uid="{00000000-0005-0000-0000-000037600000}"/>
    <cellStyle name="Input 6 11 2 8" xfId="13773" xr:uid="{00000000-0005-0000-0000-000038600000}"/>
    <cellStyle name="Input 6 11 2 8 2" xfId="18747" xr:uid="{00000000-0005-0000-0000-000039600000}"/>
    <cellStyle name="Input 6 11 2 9" xfId="13100" xr:uid="{00000000-0005-0000-0000-00003A600000}"/>
    <cellStyle name="Input 6 11 3" xfId="10629" xr:uid="{00000000-0005-0000-0000-00003B600000}"/>
    <cellStyle name="Input 6 11 3 2" xfId="19360" xr:uid="{00000000-0005-0000-0000-00003C600000}"/>
    <cellStyle name="Input 6 11 3 3" xfId="24214" xr:uid="{00000000-0005-0000-0000-00003D600000}"/>
    <cellStyle name="Input 6 11 3 4" xfId="23617" xr:uid="{00000000-0005-0000-0000-00003E600000}"/>
    <cellStyle name="Input 6 11 4" xfId="14136" xr:uid="{00000000-0005-0000-0000-00003F600000}"/>
    <cellStyle name="Input 6 11 4 2" xfId="19123" xr:uid="{00000000-0005-0000-0000-000040600000}"/>
    <cellStyle name="Input 6 11 5" xfId="15521" xr:uid="{00000000-0005-0000-0000-000041600000}"/>
    <cellStyle name="Input 6 11 5 2" xfId="21017" xr:uid="{00000000-0005-0000-0000-000042600000}"/>
    <cellStyle name="Input 6 11 6" xfId="16028" xr:uid="{00000000-0005-0000-0000-000043600000}"/>
    <cellStyle name="Input 6 11 6 2" xfId="21522" xr:uid="{00000000-0005-0000-0000-000044600000}"/>
    <cellStyle name="Input 6 11 7" xfId="15485" xr:uid="{00000000-0005-0000-0000-000045600000}"/>
    <cellStyle name="Input 6 11 7 2" xfId="20981" xr:uid="{00000000-0005-0000-0000-000046600000}"/>
    <cellStyle name="Input 6 11 8" xfId="17252" xr:uid="{00000000-0005-0000-0000-000047600000}"/>
    <cellStyle name="Input 6 11 8 2" xfId="22896" xr:uid="{00000000-0005-0000-0000-000048600000}"/>
    <cellStyle name="Input 6 11 9" xfId="13452" xr:uid="{00000000-0005-0000-0000-000049600000}"/>
    <cellStyle name="Input 6 11 9 2" xfId="18429" xr:uid="{00000000-0005-0000-0000-00004A600000}"/>
    <cellStyle name="Input 6 12" xfId="3406" xr:uid="{00000000-0005-0000-0000-00004B600000}"/>
    <cellStyle name="Input 6 12 10" xfId="18089" xr:uid="{00000000-0005-0000-0000-00004C600000}"/>
    <cellStyle name="Input 6 12 2" xfId="14788" xr:uid="{00000000-0005-0000-0000-00004D600000}"/>
    <cellStyle name="Input 6 12 2 2" xfId="20109" xr:uid="{00000000-0005-0000-0000-00004E600000}"/>
    <cellStyle name="Input 6 12 2 3" xfId="24604" xr:uid="{00000000-0005-0000-0000-00004F600000}"/>
    <cellStyle name="Input 6 12 2 4" xfId="23936" xr:uid="{00000000-0005-0000-0000-000050600000}"/>
    <cellStyle name="Input 6 12 3" xfId="14489" xr:uid="{00000000-0005-0000-0000-000051600000}"/>
    <cellStyle name="Input 6 12 3 2" xfId="19638" xr:uid="{00000000-0005-0000-0000-000052600000}"/>
    <cellStyle name="Input 6 12 4" xfId="15181" xr:uid="{00000000-0005-0000-0000-000053600000}"/>
    <cellStyle name="Input 6 12 4 2" xfId="20569" xr:uid="{00000000-0005-0000-0000-000054600000}"/>
    <cellStyle name="Input 6 12 5" xfId="16484" xr:uid="{00000000-0005-0000-0000-000055600000}"/>
    <cellStyle name="Input 6 12 5 2" xfId="22125" xr:uid="{00000000-0005-0000-0000-000056600000}"/>
    <cellStyle name="Input 6 12 6" xfId="16847" xr:uid="{00000000-0005-0000-0000-000057600000}"/>
    <cellStyle name="Input 6 12 6 2" xfId="22498" xr:uid="{00000000-0005-0000-0000-000058600000}"/>
    <cellStyle name="Input 6 12 7" xfId="17567" xr:uid="{00000000-0005-0000-0000-000059600000}"/>
    <cellStyle name="Input 6 12 7 2" xfId="23212" xr:uid="{00000000-0005-0000-0000-00005A600000}"/>
    <cellStyle name="Input 6 12 8" xfId="13771" xr:uid="{00000000-0005-0000-0000-00005B600000}"/>
    <cellStyle name="Input 6 12 8 2" xfId="18745" xr:uid="{00000000-0005-0000-0000-00005C600000}"/>
    <cellStyle name="Input 6 12 9" xfId="13098" xr:uid="{00000000-0005-0000-0000-00005D600000}"/>
    <cellStyle name="Input 6 13" xfId="10643" xr:uid="{00000000-0005-0000-0000-00005E600000}"/>
    <cellStyle name="Input 6 13 2" xfId="19358" xr:uid="{00000000-0005-0000-0000-00005F600000}"/>
    <cellStyle name="Input 6 13 3" xfId="24216" xr:uid="{00000000-0005-0000-0000-000060600000}"/>
    <cellStyle name="Input 6 13 4" xfId="23615" xr:uid="{00000000-0005-0000-0000-000061600000}"/>
    <cellStyle name="Input 6 14" xfId="14134" xr:uid="{00000000-0005-0000-0000-000062600000}"/>
    <cellStyle name="Input 6 14 2" xfId="19121" xr:uid="{00000000-0005-0000-0000-000063600000}"/>
    <cellStyle name="Input 6 15" xfId="15523" xr:uid="{00000000-0005-0000-0000-000064600000}"/>
    <cellStyle name="Input 6 15 2" xfId="21019" xr:uid="{00000000-0005-0000-0000-000065600000}"/>
    <cellStyle name="Input 6 16" xfId="16026" xr:uid="{00000000-0005-0000-0000-000066600000}"/>
    <cellStyle name="Input 6 16 2" xfId="21520" xr:uid="{00000000-0005-0000-0000-000067600000}"/>
    <cellStyle name="Input 6 17" xfId="15487" xr:uid="{00000000-0005-0000-0000-000068600000}"/>
    <cellStyle name="Input 6 17 2" xfId="20983" xr:uid="{00000000-0005-0000-0000-000069600000}"/>
    <cellStyle name="Input 6 18" xfId="17250" xr:uid="{00000000-0005-0000-0000-00006A600000}"/>
    <cellStyle name="Input 6 18 2" xfId="22894" xr:uid="{00000000-0005-0000-0000-00006B600000}"/>
    <cellStyle name="Input 6 19" xfId="13450" xr:uid="{00000000-0005-0000-0000-00006C600000}"/>
    <cellStyle name="Input 6 19 2" xfId="18427" xr:uid="{00000000-0005-0000-0000-00006D600000}"/>
    <cellStyle name="Input 6 2" xfId="1984" xr:uid="{00000000-0005-0000-0000-00006E600000}"/>
    <cellStyle name="Input 6 2 10" xfId="12758" xr:uid="{00000000-0005-0000-0000-00006F600000}"/>
    <cellStyle name="Input 6 2 11" xfId="12362" xr:uid="{00000000-0005-0000-0000-000070600000}"/>
    <cellStyle name="Input 6 2 2" xfId="3407" xr:uid="{00000000-0005-0000-0000-000071600000}"/>
    <cellStyle name="Input 6 2 2 10" xfId="18092" xr:uid="{00000000-0005-0000-0000-000072600000}"/>
    <cellStyle name="Input 6 2 2 2" xfId="14791" xr:uid="{00000000-0005-0000-0000-000073600000}"/>
    <cellStyle name="Input 6 2 2 2 2" xfId="20112" xr:uid="{00000000-0005-0000-0000-000074600000}"/>
    <cellStyle name="Input 6 2 2 2 3" xfId="24607" xr:uid="{00000000-0005-0000-0000-000075600000}"/>
    <cellStyle name="Input 6 2 2 2 4" xfId="23939" xr:uid="{00000000-0005-0000-0000-000076600000}"/>
    <cellStyle name="Input 6 2 2 3" xfId="14492" xr:uid="{00000000-0005-0000-0000-000077600000}"/>
    <cellStyle name="Input 6 2 2 3 2" xfId="19641" xr:uid="{00000000-0005-0000-0000-000078600000}"/>
    <cellStyle name="Input 6 2 2 4" xfId="15178" xr:uid="{00000000-0005-0000-0000-000079600000}"/>
    <cellStyle name="Input 6 2 2 4 2" xfId="20566" xr:uid="{00000000-0005-0000-0000-00007A600000}"/>
    <cellStyle name="Input 6 2 2 5" xfId="16487" xr:uid="{00000000-0005-0000-0000-00007B600000}"/>
    <cellStyle name="Input 6 2 2 5 2" xfId="22128" xr:uid="{00000000-0005-0000-0000-00007C600000}"/>
    <cellStyle name="Input 6 2 2 6" xfId="16850" xr:uid="{00000000-0005-0000-0000-00007D600000}"/>
    <cellStyle name="Input 6 2 2 6 2" xfId="22501" xr:uid="{00000000-0005-0000-0000-00007E600000}"/>
    <cellStyle name="Input 6 2 2 7" xfId="17570" xr:uid="{00000000-0005-0000-0000-00007F600000}"/>
    <cellStyle name="Input 6 2 2 7 2" xfId="23215" xr:uid="{00000000-0005-0000-0000-000080600000}"/>
    <cellStyle name="Input 6 2 2 8" xfId="13774" xr:uid="{00000000-0005-0000-0000-000081600000}"/>
    <cellStyle name="Input 6 2 2 8 2" xfId="18748" xr:uid="{00000000-0005-0000-0000-000082600000}"/>
    <cellStyle name="Input 6 2 2 9" xfId="13101" xr:uid="{00000000-0005-0000-0000-000083600000}"/>
    <cellStyle name="Input 6 2 3" xfId="10860" xr:uid="{00000000-0005-0000-0000-000084600000}"/>
    <cellStyle name="Input 6 2 3 2" xfId="19361" xr:uid="{00000000-0005-0000-0000-000085600000}"/>
    <cellStyle name="Input 6 2 3 3" xfId="24213" xr:uid="{00000000-0005-0000-0000-000086600000}"/>
    <cellStyle name="Input 6 2 3 4" xfId="23618" xr:uid="{00000000-0005-0000-0000-000087600000}"/>
    <cellStyle name="Input 6 2 4" xfId="14137" xr:uid="{00000000-0005-0000-0000-000088600000}"/>
    <cellStyle name="Input 6 2 4 2" xfId="19124" xr:uid="{00000000-0005-0000-0000-000089600000}"/>
    <cellStyle name="Input 6 2 5" xfId="15520" xr:uid="{00000000-0005-0000-0000-00008A600000}"/>
    <cellStyle name="Input 6 2 5 2" xfId="21016" xr:uid="{00000000-0005-0000-0000-00008B600000}"/>
    <cellStyle name="Input 6 2 6" xfId="16029" xr:uid="{00000000-0005-0000-0000-00008C600000}"/>
    <cellStyle name="Input 6 2 6 2" xfId="21523" xr:uid="{00000000-0005-0000-0000-00008D600000}"/>
    <cellStyle name="Input 6 2 7" xfId="15484" xr:uid="{00000000-0005-0000-0000-00008E600000}"/>
    <cellStyle name="Input 6 2 7 2" xfId="20980" xr:uid="{00000000-0005-0000-0000-00008F600000}"/>
    <cellStyle name="Input 6 2 8" xfId="17253" xr:uid="{00000000-0005-0000-0000-000090600000}"/>
    <cellStyle name="Input 6 2 8 2" xfId="22897" xr:uid="{00000000-0005-0000-0000-000091600000}"/>
    <cellStyle name="Input 6 2 9" xfId="13453" xr:uid="{00000000-0005-0000-0000-000092600000}"/>
    <cellStyle name="Input 6 2 9 2" xfId="18430" xr:uid="{00000000-0005-0000-0000-000093600000}"/>
    <cellStyle name="Input 6 20" xfId="12755" xr:uid="{00000000-0005-0000-0000-000094600000}"/>
    <cellStyle name="Input 6 21" xfId="12365" xr:uid="{00000000-0005-0000-0000-000095600000}"/>
    <cellStyle name="Input 6 3" xfId="1985" xr:uid="{00000000-0005-0000-0000-000096600000}"/>
    <cellStyle name="Input 6 3 10" xfId="12759" xr:uid="{00000000-0005-0000-0000-000097600000}"/>
    <cellStyle name="Input 6 3 11" xfId="12361" xr:uid="{00000000-0005-0000-0000-000098600000}"/>
    <cellStyle name="Input 6 3 2" xfId="3408" xr:uid="{00000000-0005-0000-0000-000099600000}"/>
    <cellStyle name="Input 6 3 2 10" xfId="18093" xr:uid="{00000000-0005-0000-0000-00009A600000}"/>
    <cellStyle name="Input 6 3 2 2" xfId="14792" xr:uid="{00000000-0005-0000-0000-00009B600000}"/>
    <cellStyle name="Input 6 3 2 2 2" xfId="20113" xr:uid="{00000000-0005-0000-0000-00009C600000}"/>
    <cellStyle name="Input 6 3 2 2 3" xfId="24608" xr:uid="{00000000-0005-0000-0000-00009D600000}"/>
    <cellStyle name="Input 6 3 2 2 4" xfId="23940" xr:uid="{00000000-0005-0000-0000-00009E600000}"/>
    <cellStyle name="Input 6 3 2 3" xfId="14493" xr:uid="{00000000-0005-0000-0000-00009F600000}"/>
    <cellStyle name="Input 6 3 2 3 2" xfId="19642" xr:uid="{00000000-0005-0000-0000-0000A0600000}"/>
    <cellStyle name="Input 6 3 2 4" xfId="15177" xr:uid="{00000000-0005-0000-0000-0000A1600000}"/>
    <cellStyle name="Input 6 3 2 4 2" xfId="20565" xr:uid="{00000000-0005-0000-0000-0000A2600000}"/>
    <cellStyle name="Input 6 3 2 5" xfId="16488" xr:uid="{00000000-0005-0000-0000-0000A3600000}"/>
    <cellStyle name="Input 6 3 2 5 2" xfId="22129" xr:uid="{00000000-0005-0000-0000-0000A4600000}"/>
    <cellStyle name="Input 6 3 2 6" xfId="16851" xr:uid="{00000000-0005-0000-0000-0000A5600000}"/>
    <cellStyle name="Input 6 3 2 6 2" xfId="22502" xr:uid="{00000000-0005-0000-0000-0000A6600000}"/>
    <cellStyle name="Input 6 3 2 7" xfId="17571" xr:uid="{00000000-0005-0000-0000-0000A7600000}"/>
    <cellStyle name="Input 6 3 2 7 2" xfId="23216" xr:uid="{00000000-0005-0000-0000-0000A8600000}"/>
    <cellStyle name="Input 6 3 2 8" xfId="13775" xr:uid="{00000000-0005-0000-0000-0000A9600000}"/>
    <cellStyle name="Input 6 3 2 8 2" xfId="18749" xr:uid="{00000000-0005-0000-0000-0000AA600000}"/>
    <cellStyle name="Input 6 3 2 9" xfId="13102" xr:uid="{00000000-0005-0000-0000-0000AB600000}"/>
    <cellStyle name="Input 6 3 3" xfId="10867" xr:uid="{00000000-0005-0000-0000-0000AC600000}"/>
    <cellStyle name="Input 6 3 3 2" xfId="19362" xr:uid="{00000000-0005-0000-0000-0000AD600000}"/>
    <cellStyle name="Input 6 3 3 3" xfId="24212" xr:uid="{00000000-0005-0000-0000-0000AE600000}"/>
    <cellStyle name="Input 6 3 3 4" xfId="23619" xr:uid="{00000000-0005-0000-0000-0000AF600000}"/>
    <cellStyle name="Input 6 3 4" xfId="14138" xr:uid="{00000000-0005-0000-0000-0000B0600000}"/>
    <cellStyle name="Input 6 3 4 2" xfId="19125" xr:uid="{00000000-0005-0000-0000-0000B1600000}"/>
    <cellStyle name="Input 6 3 5" xfId="15519" xr:uid="{00000000-0005-0000-0000-0000B2600000}"/>
    <cellStyle name="Input 6 3 5 2" xfId="21015" xr:uid="{00000000-0005-0000-0000-0000B3600000}"/>
    <cellStyle name="Input 6 3 6" xfId="16030" xr:uid="{00000000-0005-0000-0000-0000B4600000}"/>
    <cellStyle name="Input 6 3 6 2" xfId="21524" xr:uid="{00000000-0005-0000-0000-0000B5600000}"/>
    <cellStyle name="Input 6 3 7" xfId="15483" xr:uid="{00000000-0005-0000-0000-0000B6600000}"/>
    <cellStyle name="Input 6 3 7 2" xfId="20979" xr:uid="{00000000-0005-0000-0000-0000B7600000}"/>
    <cellStyle name="Input 6 3 8" xfId="17254" xr:uid="{00000000-0005-0000-0000-0000B8600000}"/>
    <cellStyle name="Input 6 3 8 2" xfId="22898" xr:uid="{00000000-0005-0000-0000-0000B9600000}"/>
    <cellStyle name="Input 6 3 9" xfId="13454" xr:uid="{00000000-0005-0000-0000-0000BA600000}"/>
    <cellStyle name="Input 6 3 9 2" xfId="18431" xr:uid="{00000000-0005-0000-0000-0000BB600000}"/>
    <cellStyle name="Input 6 4" xfId="1986" xr:uid="{00000000-0005-0000-0000-0000BC600000}"/>
    <cellStyle name="Input 6 4 10" xfId="12760" xr:uid="{00000000-0005-0000-0000-0000BD600000}"/>
    <cellStyle name="Input 6 4 11" xfId="12360" xr:uid="{00000000-0005-0000-0000-0000BE600000}"/>
    <cellStyle name="Input 6 4 2" xfId="3409" xr:uid="{00000000-0005-0000-0000-0000BF600000}"/>
    <cellStyle name="Input 6 4 2 10" xfId="18094" xr:uid="{00000000-0005-0000-0000-0000C0600000}"/>
    <cellStyle name="Input 6 4 2 2" xfId="14793" xr:uid="{00000000-0005-0000-0000-0000C1600000}"/>
    <cellStyle name="Input 6 4 2 2 2" xfId="20114" xr:uid="{00000000-0005-0000-0000-0000C2600000}"/>
    <cellStyle name="Input 6 4 2 2 3" xfId="24609" xr:uid="{00000000-0005-0000-0000-0000C3600000}"/>
    <cellStyle name="Input 6 4 2 2 4" xfId="23941" xr:uid="{00000000-0005-0000-0000-0000C4600000}"/>
    <cellStyle name="Input 6 4 2 3" xfId="14494" xr:uid="{00000000-0005-0000-0000-0000C5600000}"/>
    <cellStyle name="Input 6 4 2 3 2" xfId="19643" xr:uid="{00000000-0005-0000-0000-0000C6600000}"/>
    <cellStyle name="Input 6 4 2 4" xfId="15176" xr:uid="{00000000-0005-0000-0000-0000C7600000}"/>
    <cellStyle name="Input 6 4 2 4 2" xfId="20564" xr:uid="{00000000-0005-0000-0000-0000C8600000}"/>
    <cellStyle name="Input 6 4 2 5" xfId="16489" xr:uid="{00000000-0005-0000-0000-0000C9600000}"/>
    <cellStyle name="Input 6 4 2 5 2" xfId="22130" xr:uid="{00000000-0005-0000-0000-0000CA600000}"/>
    <cellStyle name="Input 6 4 2 6" xfId="16852" xr:uid="{00000000-0005-0000-0000-0000CB600000}"/>
    <cellStyle name="Input 6 4 2 6 2" xfId="22503" xr:uid="{00000000-0005-0000-0000-0000CC600000}"/>
    <cellStyle name="Input 6 4 2 7" xfId="17572" xr:uid="{00000000-0005-0000-0000-0000CD600000}"/>
    <cellStyle name="Input 6 4 2 7 2" xfId="23217" xr:uid="{00000000-0005-0000-0000-0000CE600000}"/>
    <cellStyle name="Input 6 4 2 8" xfId="13776" xr:uid="{00000000-0005-0000-0000-0000CF600000}"/>
    <cellStyle name="Input 6 4 2 8 2" xfId="18750" xr:uid="{00000000-0005-0000-0000-0000D0600000}"/>
    <cellStyle name="Input 6 4 2 9" xfId="13103" xr:uid="{00000000-0005-0000-0000-0000D1600000}"/>
    <cellStyle name="Input 6 4 3" xfId="10866" xr:uid="{00000000-0005-0000-0000-0000D2600000}"/>
    <cellStyle name="Input 6 4 3 2" xfId="19363" xr:uid="{00000000-0005-0000-0000-0000D3600000}"/>
    <cellStyle name="Input 6 4 3 3" xfId="24211" xr:uid="{00000000-0005-0000-0000-0000D4600000}"/>
    <cellStyle name="Input 6 4 3 4" xfId="23620" xr:uid="{00000000-0005-0000-0000-0000D5600000}"/>
    <cellStyle name="Input 6 4 4" xfId="14139" xr:uid="{00000000-0005-0000-0000-0000D6600000}"/>
    <cellStyle name="Input 6 4 4 2" xfId="19126" xr:uid="{00000000-0005-0000-0000-0000D7600000}"/>
    <cellStyle name="Input 6 4 5" xfId="15518" xr:uid="{00000000-0005-0000-0000-0000D8600000}"/>
    <cellStyle name="Input 6 4 5 2" xfId="21014" xr:uid="{00000000-0005-0000-0000-0000D9600000}"/>
    <cellStyle name="Input 6 4 6" xfId="16031" xr:uid="{00000000-0005-0000-0000-0000DA600000}"/>
    <cellStyle name="Input 6 4 6 2" xfId="21525" xr:uid="{00000000-0005-0000-0000-0000DB600000}"/>
    <cellStyle name="Input 6 4 7" xfId="15482" xr:uid="{00000000-0005-0000-0000-0000DC600000}"/>
    <cellStyle name="Input 6 4 7 2" xfId="20978" xr:uid="{00000000-0005-0000-0000-0000DD600000}"/>
    <cellStyle name="Input 6 4 8" xfId="17255" xr:uid="{00000000-0005-0000-0000-0000DE600000}"/>
    <cellStyle name="Input 6 4 8 2" xfId="22899" xr:uid="{00000000-0005-0000-0000-0000DF600000}"/>
    <cellStyle name="Input 6 4 9" xfId="13455" xr:uid="{00000000-0005-0000-0000-0000E0600000}"/>
    <cellStyle name="Input 6 4 9 2" xfId="18432" xr:uid="{00000000-0005-0000-0000-0000E1600000}"/>
    <cellStyle name="Input 6 5" xfId="1987" xr:uid="{00000000-0005-0000-0000-0000E2600000}"/>
    <cellStyle name="Input 6 5 10" xfId="12761" xr:uid="{00000000-0005-0000-0000-0000E3600000}"/>
    <cellStyle name="Input 6 5 11" xfId="12359" xr:uid="{00000000-0005-0000-0000-0000E4600000}"/>
    <cellStyle name="Input 6 5 2" xfId="3410" xr:uid="{00000000-0005-0000-0000-0000E5600000}"/>
    <cellStyle name="Input 6 5 2 10" xfId="18095" xr:uid="{00000000-0005-0000-0000-0000E6600000}"/>
    <cellStyle name="Input 6 5 2 2" xfId="14794" xr:uid="{00000000-0005-0000-0000-0000E7600000}"/>
    <cellStyle name="Input 6 5 2 2 2" xfId="20115" xr:uid="{00000000-0005-0000-0000-0000E8600000}"/>
    <cellStyle name="Input 6 5 2 2 3" xfId="24610" xr:uid="{00000000-0005-0000-0000-0000E9600000}"/>
    <cellStyle name="Input 6 5 2 2 4" xfId="23942" xr:uid="{00000000-0005-0000-0000-0000EA600000}"/>
    <cellStyle name="Input 6 5 2 3" xfId="14495" xr:uid="{00000000-0005-0000-0000-0000EB600000}"/>
    <cellStyle name="Input 6 5 2 3 2" xfId="19644" xr:uid="{00000000-0005-0000-0000-0000EC600000}"/>
    <cellStyle name="Input 6 5 2 4" xfId="15175" xr:uid="{00000000-0005-0000-0000-0000ED600000}"/>
    <cellStyle name="Input 6 5 2 4 2" xfId="20563" xr:uid="{00000000-0005-0000-0000-0000EE600000}"/>
    <cellStyle name="Input 6 5 2 5" xfId="16490" xr:uid="{00000000-0005-0000-0000-0000EF600000}"/>
    <cellStyle name="Input 6 5 2 5 2" xfId="22131" xr:uid="{00000000-0005-0000-0000-0000F0600000}"/>
    <cellStyle name="Input 6 5 2 6" xfId="16853" xr:uid="{00000000-0005-0000-0000-0000F1600000}"/>
    <cellStyle name="Input 6 5 2 6 2" xfId="22504" xr:uid="{00000000-0005-0000-0000-0000F2600000}"/>
    <cellStyle name="Input 6 5 2 7" xfId="17573" xr:uid="{00000000-0005-0000-0000-0000F3600000}"/>
    <cellStyle name="Input 6 5 2 7 2" xfId="23218" xr:uid="{00000000-0005-0000-0000-0000F4600000}"/>
    <cellStyle name="Input 6 5 2 8" xfId="13777" xr:uid="{00000000-0005-0000-0000-0000F5600000}"/>
    <cellStyle name="Input 6 5 2 8 2" xfId="18751" xr:uid="{00000000-0005-0000-0000-0000F6600000}"/>
    <cellStyle name="Input 6 5 2 9" xfId="13104" xr:uid="{00000000-0005-0000-0000-0000F7600000}"/>
    <cellStyle name="Input 6 5 3" xfId="10865" xr:uid="{00000000-0005-0000-0000-0000F8600000}"/>
    <cellStyle name="Input 6 5 3 2" xfId="19364" xr:uid="{00000000-0005-0000-0000-0000F9600000}"/>
    <cellStyle name="Input 6 5 3 3" xfId="24210" xr:uid="{00000000-0005-0000-0000-0000FA600000}"/>
    <cellStyle name="Input 6 5 3 4" xfId="23621" xr:uid="{00000000-0005-0000-0000-0000FB600000}"/>
    <cellStyle name="Input 6 5 4" xfId="14140" xr:uid="{00000000-0005-0000-0000-0000FC600000}"/>
    <cellStyle name="Input 6 5 4 2" xfId="19127" xr:uid="{00000000-0005-0000-0000-0000FD600000}"/>
    <cellStyle name="Input 6 5 5" xfId="15517" xr:uid="{00000000-0005-0000-0000-0000FE600000}"/>
    <cellStyle name="Input 6 5 5 2" xfId="21013" xr:uid="{00000000-0005-0000-0000-0000FF600000}"/>
    <cellStyle name="Input 6 5 6" xfId="16032" xr:uid="{00000000-0005-0000-0000-000000610000}"/>
    <cellStyle name="Input 6 5 6 2" xfId="21526" xr:uid="{00000000-0005-0000-0000-000001610000}"/>
    <cellStyle name="Input 6 5 7" xfId="15481" xr:uid="{00000000-0005-0000-0000-000002610000}"/>
    <cellStyle name="Input 6 5 7 2" xfId="20977" xr:uid="{00000000-0005-0000-0000-000003610000}"/>
    <cellStyle name="Input 6 5 8" xfId="17256" xr:uid="{00000000-0005-0000-0000-000004610000}"/>
    <cellStyle name="Input 6 5 8 2" xfId="22900" xr:uid="{00000000-0005-0000-0000-000005610000}"/>
    <cellStyle name="Input 6 5 9" xfId="13456" xr:uid="{00000000-0005-0000-0000-000006610000}"/>
    <cellStyle name="Input 6 5 9 2" xfId="18433" xr:uid="{00000000-0005-0000-0000-000007610000}"/>
    <cellStyle name="Input 6 6" xfId="1988" xr:uid="{00000000-0005-0000-0000-000008610000}"/>
    <cellStyle name="Input 6 6 10" xfId="12762" xr:uid="{00000000-0005-0000-0000-000009610000}"/>
    <cellStyle name="Input 6 6 11" xfId="12358" xr:uid="{00000000-0005-0000-0000-00000A610000}"/>
    <cellStyle name="Input 6 6 2" xfId="3411" xr:uid="{00000000-0005-0000-0000-00000B610000}"/>
    <cellStyle name="Input 6 6 2 10" xfId="18096" xr:uid="{00000000-0005-0000-0000-00000C610000}"/>
    <cellStyle name="Input 6 6 2 2" xfId="14795" xr:uid="{00000000-0005-0000-0000-00000D610000}"/>
    <cellStyle name="Input 6 6 2 2 2" xfId="20116" xr:uid="{00000000-0005-0000-0000-00000E610000}"/>
    <cellStyle name="Input 6 6 2 2 3" xfId="24611" xr:uid="{00000000-0005-0000-0000-00000F610000}"/>
    <cellStyle name="Input 6 6 2 2 4" xfId="23943" xr:uid="{00000000-0005-0000-0000-000010610000}"/>
    <cellStyle name="Input 6 6 2 3" xfId="14496" xr:uid="{00000000-0005-0000-0000-000011610000}"/>
    <cellStyle name="Input 6 6 2 3 2" xfId="19645" xr:uid="{00000000-0005-0000-0000-000012610000}"/>
    <cellStyle name="Input 6 6 2 4" xfId="15174" xr:uid="{00000000-0005-0000-0000-000013610000}"/>
    <cellStyle name="Input 6 6 2 4 2" xfId="20562" xr:uid="{00000000-0005-0000-0000-000014610000}"/>
    <cellStyle name="Input 6 6 2 5" xfId="16491" xr:uid="{00000000-0005-0000-0000-000015610000}"/>
    <cellStyle name="Input 6 6 2 5 2" xfId="22132" xr:uid="{00000000-0005-0000-0000-000016610000}"/>
    <cellStyle name="Input 6 6 2 6" xfId="16854" xr:uid="{00000000-0005-0000-0000-000017610000}"/>
    <cellStyle name="Input 6 6 2 6 2" xfId="22505" xr:uid="{00000000-0005-0000-0000-000018610000}"/>
    <cellStyle name="Input 6 6 2 7" xfId="17574" xr:uid="{00000000-0005-0000-0000-000019610000}"/>
    <cellStyle name="Input 6 6 2 7 2" xfId="23219" xr:uid="{00000000-0005-0000-0000-00001A610000}"/>
    <cellStyle name="Input 6 6 2 8" xfId="13778" xr:uid="{00000000-0005-0000-0000-00001B610000}"/>
    <cellStyle name="Input 6 6 2 8 2" xfId="18752" xr:uid="{00000000-0005-0000-0000-00001C610000}"/>
    <cellStyle name="Input 6 6 2 9" xfId="13105" xr:uid="{00000000-0005-0000-0000-00001D610000}"/>
    <cellStyle name="Input 6 6 3" xfId="10864" xr:uid="{00000000-0005-0000-0000-00001E610000}"/>
    <cellStyle name="Input 6 6 3 2" xfId="19365" xr:uid="{00000000-0005-0000-0000-00001F610000}"/>
    <cellStyle name="Input 6 6 3 3" xfId="24209" xr:uid="{00000000-0005-0000-0000-000020610000}"/>
    <cellStyle name="Input 6 6 3 4" xfId="23622" xr:uid="{00000000-0005-0000-0000-000021610000}"/>
    <cellStyle name="Input 6 6 4" xfId="14141" xr:uid="{00000000-0005-0000-0000-000022610000}"/>
    <cellStyle name="Input 6 6 4 2" xfId="19128" xr:uid="{00000000-0005-0000-0000-000023610000}"/>
    <cellStyle name="Input 6 6 5" xfId="15516" xr:uid="{00000000-0005-0000-0000-000024610000}"/>
    <cellStyle name="Input 6 6 5 2" xfId="21012" xr:uid="{00000000-0005-0000-0000-000025610000}"/>
    <cellStyle name="Input 6 6 6" xfId="16033" xr:uid="{00000000-0005-0000-0000-000026610000}"/>
    <cellStyle name="Input 6 6 6 2" xfId="21527" xr:uid="{00000000-0005-0000-0000-000027610000}"/>
    <cellStyle name="Input 6 6 7" xfId="15480" xr:uid="{00000000-0005-0000-0000-000028610000}"/>
    <cellStyle name="Input 6 6 7 2" xfId="20976" xr:uid="{00000000-0005-0000-0000-000029610000}"/>
    <cellStyle name="Input 6 6 8" xfId="17257" xr:uid="{00000000-0005-0000-0000-00002A610000}"/>
    <cellStyle name="Input 6 6 8 2" xfId="22901" xr:uid="{00000000-0005-0000-0000-00002B610000}"/>
    <cellStyle name="Input 6 6 9" xfId="13457" xr:uid="{00000000-0005-0000-0000-00002C610000}"/>
    <cellStyle name="Input 6 6 9 2" xfId="18434" xr:uid="{00000000-0005-0000-0000-00002D610000}"/>
    <cellStyle name="Input 6 7" xfId="1989" xr:uid="{00000000-0005-0000-0000-00002E610000}"/>
    <cellStyle name="Input 6 7 10" xfId="12763" xr:uid="{00000000-0005-0000-0000-00002F610000}"/>
    <cellStyle name="Input 6 7 11" xfId="12357" xr:uid="{00000000-0005-0000-0000-000030610000}"/>
    <cellStyle name="Input 6 7 2" xfId="3412" xr:uid="{00000000-0005-0000-0000-000031610000}"/>
    <cellStyle name="Input 6 7 2 10" xfId="18097" xr:uid="{00000000-0005-0000-0000-000032610000}"/>
    <cellStyle name="Input 6 7 2 2" xfId="14796" xr:uid="{00000000-0005-0000-0000-000033610000}"/>
    <cellStyle name="Input 6 7 2 2 2" xfId="20117" xr:uid="{00000000-0005-0000-0000-000034610000}"/>
    <cellStyle name="Input 6 7 2 2 3" xfId="24612" xr:uid="{00000000-0005-0000-0000-000035610000}"/>
    <cellStyle name="Input 6 7 2 2 4" xfId="23944" xr:uid="{00000000-0005-0000-0000-000036610000}"/>
    <cellStyle name="Input 6 7 2 3" xfId="14497" xr:uid="{00000000-0005-0000-0000-000037610000}"/>
    <cellStyle name="Input 6 7 2 3 2" xfId="19646" xr:uid="{00000000-0005-0000-0000-000038610000}"/>
    <cellStyle name="Input 6 7 2 4" xfId="15173" xr:uid="{00000000-0005-0000-0000-000039610000}"/>
    <cellStyle name="Input 6 7 2 4 2" xfId="20561" xr:uid="{00000000-0005-0000-0000-00003A610000}"/>
    <cellStyle name="Input 6 7 2 5" xfId="16492" xr:uid="{00000000-0005-0000-0000-00003B610000}"/>
    <cellStyle name="Input 6 7 2 5 2" xfId="22133" xr:uid="{00000000-0005-0000-0000-00003C610000}"/>
    <cellStyle name="Input 6 7 2 6" xfId="16855" xr:uid="{00000000-0005-0000-0000-00003D610000}"/>
    <cellStyle name="Input 6 7 2 6 2" xfId="22506" xr:uid="{00000000-0005-0000-0000-00003E610000}"/>
    <cellStyle name="Input 6 7 2 7" xfId="17575" xr:uid="{00000000-0005-0000-0000-00003F610000}"/>
    <cellStyle name="Input 6 7 2 7 2" xfId="23220" xr:uid="{00000000-0005-0000-0000-000040610000}"/>
    <cellStyle name="Input 6 7 2 8" xfId="13779" xr:uid="{00000000-0005-0000-0000-000041610000}"/>
    <cellStyle name="Input 6 7 2 8 2" xfId="18753" xr:uid="{00000000-0005-0000-0000-000042610000}"/>
    <cellStyle name="Input 6 7 2 9" xfId="13106" xr:uid="{00000000-0005-0000-0000-000043610000}"/>
    <cellStyle name="Input 6 7 3" xfId="10863" xr:uid="{00000000-0005-0000-0000-000044610000}"/>
    <cellStyle name="Input 6 7 3 2" xfId="19366" xr:uid="{00000000-0005-0000-0000-000045610000}"/>
    <cellStyle name="Input 6 7 3 3" xfId="24208" xr:uid="{00000000-0005-0000-0000-000046610000}"/>
    <cellStyle name="Input 6 7 3 4" xfId="23623" xr:uid="{00000000-0005-0000-0000-000047610000}"/>
    <cellStyle name="Input 6 7 4" xfId="14142" xr:uid="{00000000-0005-0000-0000-000048610000}"/>
    <cellStyle name="Input 6 7 4 2" xfId="19129" xr:uid="{00000000-0005-0000-0000-000049610000}"/>
    <cellStyle name="Input 6 7 5" xfId="15515" xr:uid="{00000000-0005-0000-0000-00004A610000}"/>
    <cellStyle name="Input 6 7 5 2" xfId="21011" xr:uid="{00000000-0005-0000-0000-00004B610000}"/>
    <cellStyle name="Input 6 7 6" xfId="16034" xr:uid="{00000000-0005-0000-0000-00004C610000}"/>
    <cellStyle name="Input 6 7 6 2" xfId="21528" xr:uid="{00000000-0005-0000-0000-00004D610000}"/>
    <cellStyle name="Input 6 7 7" xfId="15479" xr:uid="{00000000-0005-0000-0000-00004E610000}"/>
    <cellStyle name="Input 6 7 7 2" xfId="20975" xr:uid="{00000000-0005-0000-0000-00004F610000}"/>
    <cellStyle name="Input 6 7 8" xfId="17258" xr:uid="{00000000-0005-0000-0000-000050610000}"/>
    <cellStyle name="Input 6 7 8 2" xfId="22902" xr:uid="{00000000-0005-0000-0000-000051610000}"/>
    <cellStyle name="Input 6 7 9" xfId="13458" xr:uid="{00000000-0005-0000-0000-000052610000}"/>
    <cellStyle name="Input 6 7 9 2" xfId="18435" xr:uid="{00000000-0005-0000-0000-000053610000}"/>
    <cellStyle name="Input 6 8" xfId="1990" xr:uid="{00000000-0005-0000-0000-000054610000}"/>
    <cellStyle name="Input 6 8 10" xfId="12764" xr:uid="{00000000-0005-0000-0000-000055610000}"/>
    <cellStyle name="Input 6 8 11" xfId="12356" xr:uid="{00000000-0005-0000-0000-000056610000}"/>
    <cellStyle name="Input 6 8 2" xfId="3413" xr:uid="{00000000-0005-0000-0000-000057610000}"/>
    <cellStyle name="Input 6 8 2 10" xfId="18098" xr:uid="{00000000-0005-0000-0000-000058610000}"/>
    <cellStyle name="Input 6 8 2 2" xfId="14797" xr:uid="{00000000-0005-0000-0000-000059610000}"/>
    <cellStyle name="Input 6 8 2 2 2" xfId="20118" xr:uid="{00000000-0005-0000-0000-00005A610000}"/>
    <cellStyle name="Input 6 8 2 2 3" xfId="24613" xr:uid="{00000000-0005-0000-0000-00005B610000}"/>
    <cellStyle name="Input 6 8 2 2 4" xfId="23945" xr:uid="{00000000-0005-0000-0000-00005C610000}"/>
    <cellStyle name="Input 6 8 2 3" xfId="14498" xr:uid="{00000000-0005-0000-0000-00005D610000}"/>
    <cellStyle name="Input 6 8 2 3 2" xfId="19647" xr:uid="{00000000-0005-0000-0000-00005E610000}"/>
    <cellStyle name="Input 6 8 2 4" xfId="15172" xr:uid="{00000000-0005-0000-0000-00005F610000}"/>
    <cellStyle name="Input 6 8 2 4 2" xfId="20560" xr:uid="{00000000-0005-0000-0000-000060610000}"/>
    <cellStyle name="Input 6 8 2 5" xfId="16493" xr:uid="{00000000-0005-0000-0000-000061610000}"/>
    <cellStyle name="Input 6 8 2 5 2" xfId="22134" xr:uid="{00000000-0005-0000-0000-000062610000}"/>
    <cellStyle name="Input 6 8 2 6" xfId="16856" xr:uid="{00000000-0005-0000-0000-000063610000}"/>
    <cellStyle name="Input 6 8 2 6 2" xfId="22507" xr:uid="{00000000-0005-0000-0000-000064610000}"/>
    <cellStyle name="Input 6 8 2 7" xfId="17576" xr:uid="{00000000-0005-0000-0000-000065610000}"/>
    <cellStyle name="Input 6 8 2 7 2" xfId="23221" xr:uid="{00000000-0005-0000-0000-000066610000}"/>
    <cellStyle name="Input 6 8 2 8" xfId="13780" xr:uid="{00000000-0005-0000-0000-000067610000}"/>
    <cellStyle name="Input 6 8 2 8 2" xfId="18754" xr:uid="{00000000-0005-0000-0000-000068610000}"/>
    <cellStyle name="Input 6 8 2 9" xfId="13107" xr:uid="{00000000-0005-0000-0000-000069610000}"/>
    <cellStyle name="Input 6 8 3" xfId="10862" xr:uid="{00000000-0005-0000-0000-00006A610000}"/>
    <cellStyle name="Input 6 8 3 2" xfId="19367" xr:uid="{00000000-0005-0000-0000-00006B610000}"/>
    <cellStyle name="Input 6 8 3 3" xfId="24207" xr:uid="{00000000-0005-0000-0000-00006C610000}"/>
    <cellStyle name="Input 6 8 3 4" xfId="23624" xr:uid="{00000000-0005-0000-0000-00006D610000}"/>
    <cellStyle name="Input 6 8 4" xfId="14143" xr:uid="{00000000-0005-0000-0000-00006E610000}"/>
    <cellStyle name="Input 6 8 4 2" xfId="19130" xr:uid="{00000000-0005-0000-0000-00006F610000}"/>
    <cellStyle name="Input 6 8 5" xfId="15514" xr:uid="{00000000-0005-0000-0000-000070610000}"/>
    <cellStyle name="Input 6 8 5 2" xfId="21010" xr:uid="{00000000-0005-0000-0000-000071610000}"/>
    <cellStyle name="Input 6 8 6" xfId="16035" xr:uid="{00000000-0005-0000-0000-000072610000}"/>
    <cellStyle name="Input 6 8 6 2" xfId="21529" xr:uid="{00000000-0005-0000-0000-000073610000}"/>
    <cellStyle name="Input 6 8 7" xfId="15478" xr:uid="{00000000-0005-0000-0000-000074610000}"/>
    <cellStyle name="Input 6 8 7 2" xfId="20974" xr:uid="{00000000-0005-0000-0000-000075610000}"/>
    <cellStyle name="Input 6 8 8" xfId="17259" xr:uid="{00000000-0005-0000-0000-000076610000}"/>
    <cellStyle name="Input 6 8 8 2" xfId="22903" xr:uid="{00000000-0005-0000-0000-000077610000}"/>
    <cellStyle name="Input 6 8 9" xfId="13459" xr:uid="{00000000-0005-0000-0000-000078610000}"/>
    <cellStyle name="Input 6 8 9 2" xfId="18436" xr:uid="{00000000-0005-0000-0000-000079610000}"/>
    <cellStyle name="Input 6 9" xfId="1991" xr:uid="{00000000-0005-0000-0000-00007A610000}"/>
    <cellStyle name="Input 6 9 10" xfId="12765" xr:uid="{00000000-0005-0000-0000-00007B610000}"/>
    <cellStyle name="Input 6 9 11" xfId="12355" xr:uid="{00000000-0005-0000-0000-00007C610000}"/>
    <cellStyle name="Input 6 9 2" xfId="3414" xr:uid="{00000000-0005-0000-0000-00007D610000}"/>
    <cellStyle name="Input 6 9 2 10" xfId="18099" xr:uid="{00000000-0005-0000-0000-00007E610000}"/>
    <cellStyle name="Input 6 9 2 2" xfId="14798" xr:uid="{00000000-0005-0000-0000-00007F610000}"/>
    <cellStyle name="Input 6 9 2 2 2" xfId="20119" xr:uid="{00000000-0005-0000-0000-000080610000}"/>
    <cellStyle name="Input 6 9 2 2 3" xfId="24614" xr:uid="{00000000-0005-0000-0000-000081610000}"/>
    <cellStyle name="Input 6 9 2 2 4" xfId="23946" xr:uid="{00000000-0005-0000-0000-000082610000}"/>
    <cellStyle name="Input 6 9 2 3" xfId="14499" xr:uid="{00000000-0005-0000-0000-000083610000}"/>
    <cellStyle name="Input 6 9 2 3 2" xfId="19648" xr:uid="{00000000-0005-0000-0000-000084610000}"/>
    <cellStyle name="Input 6 9 2 4" xfId="15171" xr:uid="{00000000-0005-0000-0000-000085610000}"/>
    <cellStyle name="Input 6 9 2 4 2" xfId="20559" xr:uid="{00000000-0005-0000-0000-000086610000}"/>
    <cellStyle name="Input 6 9 2 5" xfId="16494" xr:uid="{00000000-0005-0000-0000-000087610000}"/>
    <cellStyle name="Input 6 9 2 5 2" xfId="22135" xr:uid="{00000000-0005-0000-0000-000088610000}"/>
    <cellStyle name="Input 6 9 2 6" xfId="16857" xr:uid="{00000000-0005-0000-0000-000089610000}"/>
    <cellStyle name="Input 6 9 2 6 2" xfId="22508" xr:uid="{00000000-0005-0000-0000-00008A610000}"/>
    <cellStyle name="Input 6 9 2 7" xfId="17577" xr:uid="{00000000-0005-0000-0000-00008B610000}"/>
    <cellStyle name="Input 6 9 2 7 2" xfId="23222" xr:uid="{00000000-0005-0000-0000-00008C610000}"/>
    <cellStyle name="Input 6 9 2 8" xfId="13781" xr:uid="{00000000-0005-0000-0000-00008D610000}"/>
    <cellStyle name="Input 6 9 2 8 2" xfId="18755" xr:uid="{00000000-0005-0000-0000-00008E610000}"/>
    <cellStyle name="Input 6 9 2 9" xfId="13108" xr:uid="{00000000-0005-0000-0000-00008F610000}"/>
    <cellStyle name="Input 6 9 3" xfId="10861" xr:uid="{00000000-0005-0000-0000-000090610000}"/>
    <cellStyle name="Input 6 9 3 2" xfId="19368" xr:uid="{00000000-0005-0000-0000-000091610000}"/>
    <cellStyle name="Input 6 9 3 3" xfId="24206" xr:uid="{00000000-0005-0000-0000-000092610000}"/>
    <cellStyle name="Input 6 9 3 4" xfId="23625" xr:uid="{00000000-0005-0000-0000-000093610000}"/>
    <cellStyle name="Input 6 9 4" xfId="14144" xr:uid="{00000000-0005-0000-0000-000094610000}"/>
    <cellStyle name="Input 6 9 4 2" xfId="19131" xr:uid="{00000000-0005-0000-0000-000095610000}"/>
    <cellStyle name="Input 6 9 5" xfId="15513" xr:uid="{00000000-0005-0000-0000-000096610000}"/>
    <cellStyle name="Input 6 9 5 2" xfId="21009" xr:uid="{00000000-0005-0000-0000-000097610000}"/>
    <cellStyle name="Input 6 9 6" xfId="16036" xr:uid="{00000000-0005-0000-0000-000098610000}"/>
    <cellStyle name="Input 6 9 6 2" xfId="21530" xr:uid="{00000000-0005-0000-0000-000099610000}"/>
    <cellStyle name="Input 6 9 7" xfId="15477" xr:uid="{00000000-0005-0000-0000-00009A610000}"/>
    <cellStyle name="Input 6 9 7 2" xfId="20973" xr:uid="{00000000-0005-0000-0000-00009B610000}"/>
    <cellStyle name="Input 6 9 8" xfId="17260" xr:uid="{00000000-0005-0000-0000-00009C610000}"/>
    <cellStyle name="Input 6 9 8 2" xfId="22904" xr:uid="{00000000-0005-0000-0000-00009D610000}"/>
    <cellStyle name="Input 6 9 9" xfId="13460" xr:uid="{00000000-0005-0000-0000-00009E610000}"/>
    <cellStyle name="Input 6 9 9 2" xfId="18437" xr:uid="{00000000-0005-0000-0000-00009F610000}"/>
    <cellStyle name="Input 7" xfId="1992" xr:uid="{00000000-0005-0000-0000-0000A0610000}"/>
    <cellStyle name="Input 7 10" xfId="12766" xr:uid="{00000000-0005-0000-0000-0000A1610000}"/>
    <cellStyle name="Input 7 11" xfId="12354" xr:uid="{00000000-0005-0000-0000-0000A2610000}"/>
    <cellStyle name="Input 7 2" xfId="3415" xr:uid="{00000000-0005-0000-0000-0000A3610000}"/>
    <cellStyle name="Input 7 2 10" xfId="18100" xr:uid="{00000000-0005-0000-0000-0000A4610000}"/>
    <cellStyle name="Input 7 2 2" xfId="14799" xr:uid="{00000000-0005-0000-0000-0000A5610000}"/>
    <cellStyle name="Input 7 2 2 2" xfId="20120" xr:uid="{00000000-0005-0000-0000-0000A6610000}"/>
    <cellStyle name="Input 7 2 2 3" xfId="24615" xr:uid="{00000000-0005-0000-0000-0000A7610000}"/>
    <cellStyle name="Input 7 2 2 4" xfId="23947" xr:uid="{00000000-0005-0000-0000-0000A8610000}"/>
    <cellStyle name="Input 7 2 3" xfId="14500" xr:uid="{00000000-0005-0000-0000-0000A9610000}"/>
    <cellStyle name="Input 7 2 3 2" xfId="19649" xr:uid="{00000000-0005-0000-0000-0000AA610000}"/>
    <cellStyle name="Input 7 2 4" xfId="15170" xr:uid="{00000000-0005-0000-0000-0000AB610000}"/>
    <cellStyle name="Input 7 2 4 2" xfId="20558" xr:uid="{00000000-0005-0000-0000-0000AC610000}"/>
    <cellStyle name="Input 7 2 5" xfId="16495" xr:uid="{00000000-0005-0000-0000-0000AD610000}"/>
    <cellStyle name="Input 7 2 5 2" xfId="22136" xr:uid="{00000000-0005-0000-0000-0000AE610000}"/>
    <cellStyle name="Input 7 2 6" xfId="16858" xr:uid="{00000000-0005-0000-0000-0000AF610000}"/>
    <cellStyle name="Input 7 2 6 2" xfId="22509" xr:uid="{00000000-0005-0000-0000-0000B0610000}"/>
    <cellStyle name="Input 7 2 7" xfId="17578" xr:uid="{00000000-0005-0000-0000-0000B1610000}"/>
    <cellStyle name="Input 7 2 7 2" xfId="23223" xr:uid="{00000000-0005-0000-0000-0000B2610000}"/>
    <cellStyle name="Input 7 2 8" xfId="13782" xr:uid="{00000000-0005-0000-0000-0000B3610000}"/>
    <cellStyle name="Input 7 2 8 2" xfId="18756" xr:uid="{00000000-0005-0000-0000-0000B4610000}"/>
    <cellStyle name="Input 7 2 9" xfId="13109" xr:uid="{00000000-0005-0000-0000-0000B5610000}"/>
    <cellStyle name="Input 7 3" xfId="10616" xr:uid="{00000000-0005-0000-0000-0000B6610000}"/>
    <cellStyle name="Input 7 3 2" xfId="19369" xr:uid="{00000000-0005-0000-0000-0000B7610000}"/>
    <cellStyle name="Input 7 3 3" xfId="24205" xr:uid="{00000000-0005-0000-0000-0000B8610000}"/>
    <cellStyle name="Input 7 3 4" xfId="23626" xr:uid="{00000000-0005-0000-0000-0000B9610000}"/>
    <cellStyle name="Input 7 4" xfId="14145" xr:uid="{00000000-0005-0000-0000-0000BA610000}"/>
    <cellStyle name="Input 7 4 2" xfId="19132" xr:uid="{00000000-0005-0000-0000-0000BB610000}"/>
    <cellStyle name="Input 7 5" xfId="15512" xr:uid="{00000000-0005-0000-0000-0000BC610000}"/>
    <cellStyle name="Input 7 5 2" xfId="21008" xr:uid="{00000000-0005-0000-0000-0000BD610000}"/>
    <cellStyle name="Input 7 6" xfId="16037" xr:uid="{00000000-0005-0000-0000-0000BE610000}"/>
    <cellStyle name="Input 7 6 2" xfId="21531" xr:uid="{00000000-0005-0000-0000-0000BF610000}"/>
    <cellStyle name="Input 7 7" xfId="15476" xr:uid="{00000000-0005-0000-0000-0000C0610000}"/>
    <cellStyle name="Input 7 7 2" xfId="20972" xr:uid="{00000000-0005-0000-0000-0000C1610000}"/>
    <cellStyle name="Input 7 8" xfId="17261" xr:uid="{00000000-0005-0000-0000-0000C2610000}"/>
    <cellStyle name="Input 7 8 2" xfId="22905" xr:uid="{00000000-0005-0000-0000-0000C3610000}"/>
    <cellStyle name="Input 7 9" xfId="13461" xr:uid="{00000000-0005-0000-0000-0000C4610000}"/>
    <cellStyle name="Input 7 9 2" xfId="18438" xr:uid="{00000000-0005-0000-0000-0000C5610000}"/>
    <cellStyle name="Input 8" xfId="1993" xr:uid="{00000000-0005-0000-0000-0000C6610000}"/>
    <cellStyle name="Input 8 10" xfId="12767" xr:uid="{00000000-0005-0000-0000-0000C7610000}"/>
    <cellStyle name="Input 8 11" xfId="12353" xr:uid="{00000000-0005-0000-0000-0000C8610000}"/>
    <cellStyle name="Input 8 2" xfId="3416" xr:uid="{00000000-0005-0000-0000-0000C9610000}"/>
    <cellStyle name="Input 8 2 10" xfId="18101" xr:uid="{00000000-0005-0000-0000-0000CA610000}"/>
    <cellStyle name="Input 8 2 2" xfId="14800" xr:uid="{00000000-0005-0000-0000-0000CB610000}"/>
    <cellStyle name="Input 8 2 2 2" xfId="20121" xr:uid="{00000000-0005-0000-0000-0000CC610000}"/>
    <cellStyle name="Input 8 2 2 3" xfId="24616" xr:uid="{00000000-0005-0000-0000-0000CD610000}"/>
    <cellStyle name="Input 8 2 2 4" xfId="23948" xr:uid="{00000000-0005-0000-0000-0000CE610000}"/>
    <cellStyle name="Input 8 2 3" xfId="14501" xr:uid="{00000000-0005-0000-0000-0000CF610000}"/>
    <cellStyle name="Input 8 2 3 2" xfId="19650" xr:uid="{00000000-0005-0000-0000-0000D0610000}"/>
    <cellStyle name="Input 8 2 4" xfId="15169" xr:uid="{00000000-0005-0000-0000-0000D1610000}"/>
    <cellStyle name="Input 8 2 4 2" xfId="20557" xr:uid="{00000000-0005-0000-0000-0000D2610000}"/>
    <cellStyle name="Input 8 2 5" xfId="16496" xr:uid="{00000000-0005-0000-0000-0000D3610000}"/>
    <cellStyle name="Input 8 2 5 2" xfId="22137" xr:uid="{00000000-0005-0000-0000-0000D4610000}"/>
    <cellStyle name="Input 8 2 6" xfId="16859" xr:uid="{00000000-0005-0000-0000-0000D5610000}"/>
    <cellStyle name="Input 8 2 6 2" xfId="22510" xr:uid="{00000000-0005-0000-0000-0000D6610000}"/>
    <cellStyle name="Input 8 2 7" xfId="17579" xr:uid="{00000000-0005-0000-0000-0000D7610000}"/>
    <cellStyle name="Input 8 2 7 2" xfId="23224" xr:uid="{00000000-0005-0000-0000-0000D8610000}"/>
    <cellStyle name="Input 8 2 8" xfId="13783" xr:uid="{00000000-0005-0000-0000-0000D9610000}"/>
    <cellStyle name="Input 8 2 8 2" xfId="18757" xr:uid="{00000000-0005-0000-0000-0000DA610000}"/>
    <cellStyle name="Input 8 2 9" xfId="13110" xr:uid="{00000000-0005-0000-0000-0000DB610000}"/>
    <cellStyle name="Input 8 3" xfId="10858" xr:uid="{00000000-0005-0000-0000-0000DC610000}"/>
    <cellStyle name="Input 8 3 2" xfId="19370" xr:uid="{00000000-0005-0000-0000-0000DD610000}"/>
    <cellStyle name="Input 8 3 3" xfId="24204" xr:uid="{00000000-0005-0000-0000-0000DE610000}"/>
    <cellStyle name="Input 8 3 4" xfId="23627" xr:uid="{00000000-0005-0000-0000-0000DF610000}"/>
    <cellStyle name="Input 8 4" xfId="14146" xr:uid="{00000000-0005-0000-0000-0000E0610000}"/>
    <cellStyle name="Input 8 4 2" xfId="19133" xr:uid="{00000000-0005-0000-0000-0000E1610000}"/>
    <cellStyle name="Input 8 5" xfId="15511" xr:uid="{00000000-0005-0000-0000-0000E2610000}"/>
    <cellStyle name="Input 8 5 2" xfId="21007" xr:uid="{00000000-0005-0000-0000-0000E3610000}"/>
    <cellStyle name="Input 8 6" xfId="16038" xr:uid="{00000000-0005-0000-0000-0000E4610000}"/>
    <cellStyle name="Input 8 6 2" xfId="21532" xr:uid="{00000000-0005-0000-0000-0000E5610000}"/>
    <cellStyle name="Input 8 7" xfId="15475" xr:uid="{00000000-0005-0000-0000-0000E6610000}"/>
    <cellStyle name="Input 8 7 2" xfId="20971" xr:uid="{00000000-0005-0000-0000-0000E7610000}"/>
    <cellStyle name="Input 8 8" xfId="17262" xr:uid="{00000000-0005-0000-0000-0000E8610000}"/>
    <cellStyle name="Input 8 8 2" xfId="22906" xr:uid="{00000000-0005-0000-0000-0000E9610000}"/>
    <cellStyle name="Input 8 9" xfId="13462" xr:uid="{00000000-0005-0000-0000-0000EA610000}"/>
    <cellStyle name="Input 8 9 2" xfId="18439" xr:uid="{00000000-0005-0000-0000-0000EB610000}"/>
    <cellStyle name="Input 9" xfId="3417" xr:uid="{00000000-0005-0000-0000-0000EC610000}"/>
    <cellStyle name="Input 9 10" xfId="12768" xr:uid="{00000000-0005-0000-0000-0000ED610000}"/>
    <cellStyle name="Input 9 11" xfId="12352" xr:uid="{00000000-0005-0000-0000-0000EE610000}"/>
    <cellStyle name="Input 9 2" xfId="3418" xr:uid="{00000000-0005-0000-0000-0000EF610000}"/>
    <cellStyle name="Input 9 2 10" xfId="18102" xr:uid="{00000000-0005-0000-0000-0000F0610000}"/>
    <cellStyle name="Input 9 2 2" xfId="14801" xr:uid="{00000000-0005-0000-0000-0000F1610000}"/>
    <cellStyle name="Input 9 2 2 2" xfId="20122" xr:uid="{00000000-0005-0000-0000-0000F2610000}"/>
    <cellStyle name="Input 9 2 2 3" xfId="24617" xr:uid="{00000000-0005-0000-0000-0000F3610000}"/>
    <cellStyle name="Input 9 2 2 4" xfId="23949" xr:uid="{00000000-0005-0000-0000-0000F4610000}"/>
    <cellStyle name="Input 9 2 3" xfId="14502" xr:uid="{00000000-0005-0000-0000-0000F5610000}"/>
    <cellStyle name="Input 9 2 3 2" xfId="19651" xr:uid="{00000000-0005-0000-0000-0000F6610000}"/>
    <cellStyle name="Input 9 2 4" xfId="15168" xr:uid="{00000000-0005-0000-0000-0000F7610000}"/>
    <cellStyle name="Input 9 2 4 2" xfId="20556" xr:uid="{00000000-0005-0000-0000-0000F8610000}"/>
    <cellStyle name="Input 9 2 5" xfId="16497" xr:uid="{00000000-0005-0000-0000-0000F9610000}"/>
    <cellStyle name="Input 9 2 5 2" xfId="22138" xr:uid="{00000000-0005-0000-0000-0000FA610000}"/>
    <cellStyle name="Input 9 2 6" xfId="16860" xr:uid="{00000000-0005-0000-0000-0000FB610000}"/>
    <cellStyle name="Input 9 2 6 2" xfId="22511" xr:uid="{00000000-0005-0000-0000-0000FC610000}"/>
    <cellStyle name="Input 9 2 7" xfId="17580" xr:uid="{00000000-0005-0000-0000-0000FD610000}"/>
    <cellStyle name="Input 9 2 7 2" xfId="23225" xr:uid="{00000000-0005-0000-0000-0000FE610000}"/>
    <cellStyle name="Input 9 2 8" xfId="13784" xr:uid="{00000000-0005-0000-0000-0000FF610000}"/>
    <cellStyle name="Input 9 2 8 2" xfId="18758" xr:uid="{00000000-0005-0000-0000-000000620000}"/>
    <cellStyle name="Input 9 2 9" xfId="13111" xr:uid="{00000000-0005-0000-0000-000001620000}"/>
    <cellStyle name="Input 9 3" xfId="10859" xr:uid="{00000000-0005-0000-0000-000002620000}"/>
    <cellStyle name="Input 9 3 2" xfId="19371" xr:uid="{00000000-0005-0000-0000-000003620000}"/>
    <cellStyle name="Input 9 3 3" xfId="24203" xr:uid="{00000000-0005-0000-0000-000004620000}"/>
    <cellStyle name="Input 9 3 4" xfId="23628" xr:uid="{00000000-0005-0000-0000-000005620000}"/>
    <cellStyle name="Input 9 4" xfId="14147" xr:uid="{00000000-0005-0000-0000-000006620000}"/>
    <cellStyle name="Input 9 4 2" xfId="19134" xr:uid="{00000000-0005-0000-0000-000007620000}"/>
    <cellStyle name="Input 9 5" xfId="15510" xr:uid="{00000000-0005-0000-0000-000008620000}"/>
    <cellStyle name="Input 9 5 2" xfId="21006" xr:uid="{00000000-0005-0000-0000-000009620000}"/>
    <cellStyle name="Input 9 6" xfId="16039" xr:uid="{00000000-0005-0000-0000-00000A620000}"/>
    <cellStyle name="Input 9 6 2" xfId="21533" xr:uid="{00000000-0005-0000-0000-00000B620000}"/>
    <cellStyle name="Input 9 7" xfId="15474" xr:uid="{00000000-0005-0000-0000-00000C620000}"/>
    <cellStyle name="Input 9 7 2" xfId="20970" xr:uid="{00000000-0005-0000-0000-00000D620000}"/>
    <cellStyle name="Input 9 8" xfId="17263" xr:uid="{00000000-0005-0000-0000-00000E620000}"/>
    <cellStyle name="Input 9 8 2" xfId="22907" xr:uid="{00000000-0005-0000-0000-00000F620000}"/>
    <cellStyle name="Input 9 9" xfId="13463" xr:uid="{00000000-0005-0000-0000-000010620000}"/>
    <cellStyle name="Input 9 9 2" xfId="18440" xr:uid="{00000000-0005-0000-0000-000011620000}"/>
    <cellStyle name="InputCells" xfId="3419" xr:uid="{00000000-0005-0000-0000-000012620000}"/>
    <cellStyle name="InputCells 2" xfId="7078" xr:uid="{00000000-0005-0000-0000-000013620000}"/>
    <cellStyle name="InputCells12" xfId="7066" xr:uid="{00000000-0005-0000-0000-000014620000}"/>
    <cellStyle name="InputCells12 2" xfId="9732" xr:uid="{00000000-0005-0000-0000-000015620000}"/>
    <cellStyle name="InputCells12 2 2" xfId="45111" xr:uid="{00000000-0005-0000-0000-000016620000}"/>
    <cellStyle name="InputCells12 3" xfId="11824" xr:uid="{00000000-0005-0000-0000-000017620000}"/>
    <cellStyle name="InputCells12 3 2" xfId="46188" xr:uid="{00000000-0005-0000-0000-000018620000}"/>
    <cellStyle name="InputCells12 4" xfId="11282" xr:uid="{00000000-0005-0000-0000-000019620000}"/>
    <cellStyle name="InputCells12 4 2" xfId="45777" xr:uid="{00000000-0005-0000-0000-00001A620000}"/>
    <cellStyle name="InputCells12 5" xfId="43477" xr:uid="{00000000-0005-0000-0000-00001B620000}"/>
    <cellStyle name="InputCells12 6" xfId="44922" xr:uid="{00000000-0005-0000-0000-00001C620000}"/>
    <cellStyle name="Insatisfaisant" xfId="12327" xr:uid="{00000000-0005-0000-0000-00001D620000}"/>
    <cellStyle name="IntCells" xfId="7067" xr:uid="{00000000-0005-0000-0000-00001E620000}"/>
    <cellStyle name="Jegyzet" xfId="3126" xr:uid="{00000000-0005-0000-0000-00001F620000}"/>
    <cellStyle name="Jegyzet 10" xfId="12904" xr:uid="{00000000-0005-0000-0000-000020620000}"/>
    <cellStyle name="Jegyzet 2" xfId="14002" xr:uid="{00000000-0005-0000-0000-000021620000}"/>
    <cellStyle name="Jegyzet 2 2" xfId="18982" xr:uid="{00000000-0005-0000-0000-000022620000}"/>
    <cellStyle name="Jegyzet 2 2 2" xfId="24324" xr:uid="{00000000-0005-0000-0000-000023620000}"/>
    <cellStyle name="Jegyzet 2 3" xfId="23505" xr:uid="{00000000-0005-0000-0000-000024620000}"/>
    <cellStyle name="Jegyzet 3" xfId="15002" xr:uid="{00000000-0005-0000-0000-000025620000}"/>
    <cellStyle name="Jegyzet 3 2" xfId="20363" xr:uid="{00000000-0005-0000-0000-000026620000}"/>
    <cellStyle name="Jegyzet 4" xfId="16046" xr:uid="{00000000-0005-0000-0000-000027620000}"/>
    <cellStyle name="Jegyzet 4 2" xfId="21548" xr:uid="{00000000-0005-0000-0000-000028620000}"/>
    <cellStyle name="Jegyzet 5" xfId="15315" xr:uid="{00000000-0005-0000-0000-000029620000}"/>
    <cellStyle name="Jegyzet 5 2" xfId="20746" xr:uid="{00000000-0005-0000-0000-00002A620000}"/>
    <cellStyle name="Jegyzet 6" xfId="16360" xr:uid="{00000000-0005-0000-0000-00002B620000}"/>
    <cellStyle name="Jegyzet 6 2" xfId="21943" xr:uid="{00000000-0005-0000-0000-00002C620000}"/>
    <cellStyle name="Jegyzet 7" xfId="17080" xr:uid="{00000000-0005-0000-0000-00002D620000}"/>
    <cellStyle name="Jegyzet 7 2" xfId="22726" xr:uid="{00000000-0005-0000-0000-00002E620000}"/>
    <cellStyle name="Jegyzet 8" xfId="13339" xr:uid="{00000000-0005-0000-0000-00002F620000}"/>
    <cellStyle name="Jegyzet 8 2" xfId="18318" xr:uid="{00000000-0005-0000-0000-000030620000}"/>
    <cellStyle name="Jegyzet 9" xfId="12348" xr:uid="{00000000-0005-0000-0000-000031620000}"/>
    <cellStyle name="Jelölőszín (1)" xfId="3127" xr:uid="{00000000-0005-0000-0000-000032620000}"/>
    <cellStyle name="Jelölőszín (2)" xfId="3128" xr:uid="{00000000-0005-0000-0000-000033620000}"/>
    <cellStyle name="Jelölőszín (3)" xfId="3129" xr:uid="{00000000-0005-0000-0000-000034620000}"/>
    <cellStyle name="Jelölőszín (4)" xfId="3130" xr:uid="{00000000-0005-0000-0000-000035620000}"/>
    <cellStyle name="Jelölőszín (5)" xfId="3131" xr:uid="{00000000-0005-0000-0000-000036620000}"/>
    <cellStyle name="Jelölőszín (6)" xfId="3132" xr:uid="{00000000-0005-0000-0000-000037620000}"/>
    <cellStyle name="Jó" xfId="3133" xr:uid="{00000000-0005-0000-0000-000038620000}"/>
    <cellStyle name="Kimenet" xfId="3134" xr:uid="{00000000-0005-0000-0000-000039620000}"/>
    <cellStyle name="Kimenet 10" xfId="12903" xr:uid="{00000000-0005-0000-0000-00003A620000}"/>
    <cellStyle name="Kimenet 2" xfId="11000" xr:uid="{00000000-0005-0000-0000-00003B620000}"/>
    <cellStyle name="Kimenet 2 2" xfId="18983" xr:uid="{00000000-0005-0000-0000-00003C620000}"/>
    <cellStyle name="Kimenet 2 3" xfId="24323" xr:uid="{00000000-0005-0000-0000-00003D620000}"/>
    <cellStyle name="Kimenet 2 4" xfId="23506" xr:uid="{00000000-0005-0000-0000-00003E620000}"/>
    <cellStyle name="Kimenet 3" xfId="15050" xr:uid="{00000000-0005-0000-0000-00003F620000}"/>
    <cellStyle name="Kimenet 3 2" xfId="20418" xr:uid="{00000000-0005-0000-0000-000040620000}"/>
    <cellStyle name="Kimenet 4" xfId="16042" xr:uid="{00000000-0005-0000-0000-000041620000}"/>
    <cellStyle name="Kimenet 4 2" xfId="21544" xr:uid="{00000000-0005-0000-0000-000042620000}"/>
    <cellStyle name="Kimenet 5" xfId="15316" xr:uid="{00000000-0005-0000-0000-000043620000}"/>
    <cellStyle name="Kimenet 5 2" xfId="20747" xr:uid="{00000000-0005-0000-0000-000044620000}"/>
    <cellStyle name="Kimenet 6" xfId="16359" xr:uid="{00000000-0005-0000-0000-000045620000}"/>
    <cellStyle name="Kimenet 6 2" xfId="21942" xr:uid="{00000000-0005-0000-0000-000046620000}"/>
    <cellStyle name="Kimenet 7" xfId="17081" xr:uid="{00000000-0005-0000-0000-000047620000}"/>
    <cellStyle name="Kimenet 7 2" xfId="22727" xr:uid="{00000000-0005-0000-0000-000048620000}"/>
    <cellStyle name="Kimenet 8" xfId="13340" xr:uid="{00000000-0005-0000-0000-000049620000}"/>
    <cellStyle name="Kimenet 8 2" xfId="18319" xr:uid="{00000000-0005-0000-0000-00004A620000}"/>
    <cellStyle name="Kimenet 9" xfId="12349" xr:uid="{00000000-0005-0000-0000-00004B620000}"/>
    <cellStyle name="ligne_titre_0" xfId="3420" xr:uid="{00000000-0005-0000-0000-00004C620000}"/>
    <cellStyle name="Linked Cell 10" xfId="3421" xr:uid="{00000000-0005-0000-0000-00004D620000}"/>
    <cellStyle name="Linked Cell 11" xfId="43478" xr:uid="{00000000-0005-0000-0000-00004E620000}"/>
    <cellStyle name="Linked Cell 12" xfId="43479" xr:uid="{00000000-0005-0000-0000-00004F620000}"/>
    <cellStyle name="Linked Cell 13" xfId="43480" xr:uid="{00000000-0005-0000-0000-000050620000}"/>
    <cellStyle name="Linked Cell 14" xfId="43481" xr:uid="{00000000-0005-0000-0000-000051620000}"/>
    <cellStyle name="Linked Cell 15" xfId="43482" xr:uid="{00000000-0005-0000-0000-000052620000}"/>
    <cellStyle name="Linked Cell 16" xfId="43483" xr:uid="{00000000-0005-0000-0000-000053620000}"/>
    <cellStyle name="Linked Cell 17" xfId="43484" xr:uid="{00000000-0005-0000-0000-000054620000}"/>
    <cellStyle name="Linked Cell 18" xfId="43485" xr:uid="{00000000-0005-0000-0000-000055620000}"/>
    <cellStyle name="Linked Cell 19" xfId="43486" xr:uid="{00000000-0005-0000-0000-000056620000}"/>
    <cellStyle name="Linked Cell 2" xfId="1994" xr:uid="{00000000-0005-0000-0000-000057620000}"/>
    <cellStyle name="Linked Cell 2 10" xfId="1995" xr:uid="{00000000-0005-0000-0000-000058620000}"/>
    <cellStyle name="Linked Cell 2 10 2" xfId="8189" xr:uid="{00000000-0005-0000-0000-000059620000}"/>
    <cellStyle name="Linked Cell 2 11" xfId="1996" xr:uid="{00000000-0005-0000-0000-00005A620000}"/>
    <cellStyle name="Linked Cell 2 2" xfId="1997" xr:uid="{00000000-0005-0000-0000-00005B620000}"/>
    <cellStyle name="Linked Cell 2 2 2" xfId="8190" xr:uid="{00000000-0005-0000-0000-00005C620000}"/>
    <cellStyle name="Linked Cell 2 3" xfId="1998" xr:uid="{00000000-0005-0000-0000-00005D620000}"/>
    <cellStyle name="Linked Cell 2 3 2" xfId="8191" xr:uid="{00000000-0005-0000-0000-00005E620000}"/>
    <cellStyle name="Linked Cell 2 4" xfId="1999" xr:uid="{00000000-0005-0000-0000-00005F620000}"/>
    <cellStyle name="Linked Cell 2 4 2" xfId="8192" xr:uid="{00000000-0005-0000-0000-000060620000}"/>
    <cellStyle name="Linked Cell 2 5" xfId="2000" xr:uid="{00000000-0005-0000-0000-000061620000}"/>
    <cellStyle name="Linked Cell 2 5 2" xfId="8193" xr:uid="{00000000-0005-0000-0000-000062620000}"/>
    <cellStyle name="Linked Cell 2 6" xfId="2001" xr:uid="{00000000-0005-0000-0000-000063620000}"/>
    <cellStyle name="Linked Cell 2 6 2" xfId="8194" xr:uid="{00000000-0005-0000-0000-000064620000}"/>
    <cellStyle name="Linked Cell 2 7" xfId="2002" xr:uid="{00000000-0005-0000-0000-000065620000}"/>
    <cellStyle name="Linked Cell 2 7 2" xfId="8195" xr:uid="{00000000-0005-0000-0000-000066620000}"/>
    <cellStyle name="Linked Cell 2 8" xfId="2003" xr:uid="{00000000-0005-0000-0000-000067620000}"/>
    <cellStyle name="Linked Cell 2 8 2" xfId="8196" xr:uid="{00000000-0005-0000-0000-000068620000}"/>
    <cellStyle name="Linked Cell 2 9" xfId="2004" xr:uid="{00000000-0005-0000-0000-000069620000}"/>
    <cellStyle name="Linked Cell 2 9 2" xfId="8197" xr:uid="{00000000-0005-0000-0000-00006A620000}"/>
    <cellStyle name="Linked Cell 20" xfId="43487" xr:uid="{00000000-0005-0000-0000-00006B620000}"/>
    <cellStyle name="Linked Cell 21" xfId="43488" xr:uid="{00000000-0005-0000-0000-00006C620000}"/>
    <cellStyle name="Linked Cell 22" xfId="43489" xr:uid="{00000000-0005-0000-0000-00006D620000}"/>
    <cellStyle name="Linked Cell 23" xfId="43490" xr:uid="{00000000-0005-0000-0000-00006E620000}"/>
    <cellStyle name="Linked Cell 24" xfId="43491" xr:uid="{00000000-0005-0000-0000-00006F620000}"/>
    <cellStyle name="Linked Cell 25" xfId="43492" xr:uid="{00000000-0005-0000-0000-000070620000}"/>
    <cellStyle name="Linked Cell 26" xfId="43493" xr:uid="{00000000-0005-0000-0000-000071620000}"/>
    <cellStyle name="Linked Cell 27" xfId="43494" xr:uid="{00000000-0005-0000-0000-000072620000}"/>
    <cellStyle name="Linked Cell 28" xfId="43495" xr:uid="{00000000-0005-0000-0000-000073620000}"/>
    <cellStyle name="Linked Cell 29" xfId="43496" xr:uid="{00000000-0005-0000-0000-000074620000}"/>
    <cellStyle name="Linked Cell 3" xfId="2005" xr:uid="{00000000-0005-0000-0000-000075620000}"/>
    <cellStyle name="Linked Cell 3 10" xfId="2006" xr:uid="{00000000-0005-0000-0000-000076620000}"/>
    <cellStyle name="Linked Cell 3 11" xfId="2007" xr:uid="{00000000-0005-0000-0000-000077620000}"/>
    <cellStyle name="Linked Cell 3 12" xfId="8198" xr:uid="{00000000-0005-0000-0000-000078620000}"/>
    <cellStyle name="Linked Cell 3 2" xfId="2008" xr:uid="{00000000-0005-0000-0000-000079620000}"/>
    <cellStyle name="Linked Cell 3 2 2" xfId="43497" xr:uid="{00000000-0005-0000-0000-00007A620000}"/>
    <cellStyle name="Linked Cell 3 3" xfId="2009" xr:uid="{00000000-0005-0000-0000-00007B620000}"/>
    <cellStyle name="Linked Cell 3 4" xfId="2010" xr:uid="{00000000-0005-0000-0000-00007C620000}"/>
    <cellStyle name="Linked Cell 3 5" xfId="2011" xr:uid="{00000000-0005-0000-0000-00007D620000}"/>
    <cellStyle name="Linked Cell 3 6" xfId="2012" xr:uid="{00000000-0005-0000-0000-00007E620000}"/>
    <cellStyle name="Linked Cell 3 7" xfId="2013" xr:uid="{00000000-0005-0000-0000-00007F620000}"/>
    <cellStyle name="Linked Cell 3 8" xfId="2014" xr:uid="{00000000-0005-0000-0000-000080620000}"/>
    <cellStyle name="Linked Cell 3 9" xfId="2015" xr:uid="{00000000-0005-0000-0000-000081620000}"/>
    <cellStyle name="Linked Cell 30" xfId="43498" xr:uid="{00000000-0005-0000-0000-000082620000}"/>
    <cellStyle name="Linked Cell 31" xfId="43499" xr:uid="{00000000-0005-0000-0000-000083620000}"/>
    <cellStyle name="Linked Cell 32" xfId="43500" xr:uid="{00000000-0005-0000-0000-000084620000}"/>
    <cellStyle name="Linked Cell 33" xfId="43501" xr:uid="{00000000-0005-0000-0000-000085620000}"/>
    <cellStyle name="Linked Cell 34" xfId="43502" xr:uid="{00000000-0005-0000-0000-000086620000}"/>
    <cellStyle name="Linked Cell 35" xfId="43503" xr:uid="{00000000-0005-0000-0000-000087620000}"/>
    <cellStyle name="Linked Cell 36" xfId="43504" xr:uid="{00000000-0005-0000-0000-000088620000}"/>
    <cellStyle name="Linked Cell 37" xfId="43505" xr:uid="{00000000-0005-0000-0000-000089620000}"/>
    <cellStyle name="Linked Cell 38" xfId="43506" xr:uid="{00000000-0005-0000-0000-00008A620000}"/>
    <cellStyle name="Linked Cell 39" xfId="43507" xr:uid="{00000000-0005-0000-0000-00008B620000}"/>
    <cellStyle name="Linked Cell 4" xfId="2016" xr:uid="{00000000-0005-0000-0000-00008C620000}"/>
    <cellStyle name="Linked Cell 4 10" xfId="2017" xr:uid="{00000000-0005-0000-0000-00008D620000}"/>
    <cellStyle name="Linked Cell 4 11" xfId="2018" xr:uid="{00000000-0005-0000-0000-00008E620000}"/>
    <cellStyle name="Linked Cell 4 2" xfId="2019" xr:uid="{00000000-0005-0000-0000-00008F620000}"/>
    <cellStyle name="Linked Cell 4 3" xfId="2020" xr:uid="{00000000-0005-0000-0000-000090620000}"/>
    <cellStyle name="Linked Cell 4 4" xfId="2021" xr:uid="{00000000-0005-0000-0000-000091620000}"/>
    <cellStyle name="Linked Cell 4 5" xfId="2022" xr:uid="{00000000-0005-0000-0000-000092620000}"/>
    <cellStyle name="Linked Cell 4 6" xfId="2023" xr:uid="{00000000-0005-0000-0000-000093620000}"/>
    <cellStyle name="Linked Cell 4 7" xfId="2024" xr:uid="{00000000-0005-0000-0000-000094620000}"/>
    <cellStyle name="Linked Cell 4 8" xfId="2025" xr:uid="{00000000-0005-0000-0000-000095620000}"/>
    <cellStyle name="Linked Cell 4 9" xfId="2026" xr:uid="{00000000-0005-0000-0000-000096620000}"/>
    <cellStyle name="Linked Cell 40" xfId="43508" xr:uid="{00000000-0005-0000-0000-000097620000}"/>
    <cellStyle name="Linked Cell 41" xfId="43509" xr:uid="{00000000-0005-0000-0000-000098620000}"/>
    <cellStyle name="Linked Cell 5" xfId="2027" xr:uid="{00000000-0005-0000-0000-000099620000}"/>
    <cellStyle name="Linked Cell 5 10" xfId="2028" xr:uid="{00000000-0005-0000-0000-00009A620000}"/>
    <cellStyle name="Linked Cell 5 11" xfId="2029" xr:uid="{00000000-0005-0000-0000-00009B620000}"/>
    <cellStyle name="Linked Cell 5 2" xfId="2030" xr:uid="{00000000-0005-0000-0000-00009C620000}"/>
    <cellStyle name="Linked Cell 5 3" xfId="2031" xr:uid="{00000000-0005-0000-0000-00009D620000}"/>
    <cellStyle name="Linked Cell 5 4" xfId="2032" xr:uid="{00000000-0005-0000-0000-00009E620000}"/>
    <cellStyle name="Linked Cell 5 5" xfId="2033" xr:uid="{00000000-0005-0000-0000-00009F620000}"/>
    <cellStyle name="Linked Cell 5 6" xfId="2034" xr:uid="{00000000-0005-0000-0000-0000A0620000}"/>
    <cellStyle name="Linked Cell 5 7" xfId="2035" xr:uid="{00000000-0005-0000-0000-0000A1620000}"/>
    <cellStyle name="Linked Cell 5 8" xfId="2036" xr:uid="{00000000-0005-0000-0000-0000A2620000}"/>
    <cellStyle name="Linked Cell 5 9" xfId="2037" xr:uid="{00000000-0005-0000-0000-0000A3620000}"/>
    <cellStyle name="Linked Cell 6" xfId="2038" xr:uid="{00000000-0005-0000-0000-0000A4620000}"/>
    <cellStyle name="Linked Cell 6 10" xfId="2039" xr:uid="{00000000-0005-0000-0000-0000A5620000}"/>
    <cellStyle name="Linked Cell 6 11" xfId="2040" xr:uid="{00000000-0005-0000-0000-0000A6620000}"/>
    <cellStyle name="Linked Cell 6 2" xfId="2041" xr:uid="{00000000-0005-0000-0000-0000A7620000}"/>
    <cellStyle name="Linked Cell 6 3" xfId="2042" xr:uid="{00000000-0005-0000-0000-0000A8620000}"/>
    <cellStyle name="Linked Cell 6 4" xfId="2043" xr:uid="{00000000-0005-0000-0000-0000A9620000}"/>
    <cellStyle name="Linked Cell 6 5" xfId="2044" xr:uid="{00000000-0005-0000-0000-0000AA620000}"/>
    <cellStyle name="Linked Cell 6 6" xfId="2045" xr:uid="{00000000-0005-0000-0000-0000AB620000}"/>
    <cellStyle name="Linked Cell 6 7" xfId="2046" xr:uid="{00000000-0005-0000-0000-0000AC620000}"/>
    <cellStyle name="Linked Cell 6 8" xfId="2047" xr:uid="{00000000-0005-0000-0000-0000AD620000}"/>
    <cellStyle name="Linked Cell 6 9" xfId="2048" xr:uid="{00000000-0005-0000-0000-0000AE620000}"/>
    <cellStyle name="Linked Cell 7" xfId="2049" xr:uid="{00000000-0005-0000-0000-0000AF620000}"/>
    <cellStyle name="Linked Cell 8" xfId="2050" xr:uid="{00000000-0005-0000-0000-0000B0620000}"/>
    <cellStyle name="Linked Cell 9" xfId="3422" xr:uid="{00000000-0005-0000-0000-0000B1620000}"/>
    <cellStyle name="Magyarázó szöveg" xfId="3135" xr:uid="{00000000-0005-0000-0000-0000B2620000}"/>
    <cellStyle name="Migliaia_IND_2005_ENEA" xfId="9606" xr:uid="{00000000-0005-0000-0000-0000B3620000}"/>
    <cellStyle name="Neutral 10" xfId="3423" xr:uid="{00000000-0005-0000-0000-0000B4620000}"/>
    <cellStyle name="Neutral 11" xfId="9566" xr:uid="{00000000-0005-0000-0000-0000B5620000}"/>
    <cellStyle name="Neutral 11 2" xfId="43510" xr:uid="{00000000-0005-0000-0000-0000B6620000}"/>
    <cellStyle name="Neutral 12" xfId="43511" xr:uid="{00000000-0005-0000-0000-0000B7620000}"/>
    <cellStyle name="Neutral 13" xfId="43512" xr:uid="{00000000-0005-0000-0000-0000B8620000}"/>
    <cellStyle name="Neutral 14" xfId="43513" xr:uid="{00000000-0005-0000-0000-0000B9620000}"/>
    <cellStyle name="Neutral 15" xfId="43514" xr:uid="{00000000-0005-0000-0000-0000BA620000}"/>
    <cellStyle name="Neutral 16" xfId="43515" xr:uid="{00000000-0005-0000-0000-0000BB620000}"/>
    <cellStyle name="Neutral 17" xfId="43516" xr:uid="{00000000-0005-0000-0000-0000BC620000}"/>
    <cellStyle name="Neutral 18" xfId="43517" xr:uid="{00000000-0005-0000-0000-0000BD620000}"/>
    <cellStyle name="Neutral 19" xfId="43518" xr:uid="{00000000-0005-0000-0000-0000BE620000}"/>
    <cellStyle name="Neutral 2" xfId="2051" xr:uid="{00000000-0005-0000-0000-0000BF620000}"/>
    <cellStyle name="Neutral 2 10" xfId="2052" xr:uid="{00000000-0005-0000-0000-0000C0620000}"/>
    <cellStyle name="Neutral 2 10 2" xfId="8199" xr:uid="{00000000-0005-0000-0000-0000C1620000}"/>
    <cellStyle name="Neutral 2 11" xfId="2053" xr:uid="{00000000-0005-0000-0000-0000C2620000}"/>
    <cellStyle name="Neutral 2 2" xfId="2054" xr:uid="{00000000-0005-0000-0000-0000C3620000}"/>
    <cellStyle name="Neutral 2 2 2" xfId="8200" xr:uid="{00000000-0005-0000-0000-0000C4620000}"/>
    <cellStyle name="Neutral 2 3" xfId="2055" xr:uid="{00000000-0005-0000-0000-0000C5620000}"/>
    <cellStyle name="Neutral 2 3 2" xfId="8201" xr:uid="{00000000-0005-0000-0000-0000C6620000}"/>
    <cellStyle name="Neutral 2 4" xfId="2056" xr:uid="{00000000-0005-0000-0000-0000C7620000}"/>
    <cellStyle name="Neutral 2 4 2" xfId="8202" xr:uid="{00000000-0005-0000-0000-0000C8620000}"/>
    <cellStyle name="Neutral 2 5" xfId="2057" xr:uid="{00000000-0005-0000-0000-0000C9620000}"/>
    <cellStyle name="Neutral 2 5 2" xfId="8203" xr:uid="{00000000-0005-0000-0000-0000CA620000}"/>
    <cellStyle name="Neutral 2 6" xfId="2058" xr:uid="{00000000-0005-0000-0000-0000CB620000}"/>
    <cellStyle name="Neutral 2 6 2" xfId="8204" xr:uid="{00000000-0005-0000-0000-0000CC620000}"/>
    <cellStyle name="Neutral 2 7" xfId="2059" xr:uid="{00000000-0005-0000-0000-0000CD620000}"/>
    <cellStyle name="Neutral 2 7 2" xfId="8205" xr:uid="{00000000-0005-0000-0000-0000CE620000}"/>
    <cellStyle name="Neutral 2 8" xfId="2060" xr:uid="{00000000-0005-0000-0000-0000CF620000}"/>
    <cellStyle name="Neutral 2 8 2" xfId="8206" xr:uid="{00000000-0005-0000-0000-0000D0620000}"/>
    <cellStyle name="Neutral 2 9" xfId="2061" xr:uid="{00000000-0005-0000-0000-0000D1620000}"/>
    <cellStyle name="Neutral 2 9 2" xfId="8207" xr:uid="{00000000-0005-0000-0000-0000D2620000}"/>
    <cellStyle name="Neutral 20" xfId="43519" xr:uid="{00000000-0005-0000-0000-0000D3620000}"/>
    <cellStyle name="Neutral 21" xfId="43520" xr:uid="{00000000-0005-0000-0000-0000D4620000}"/>
    <cellStyle name="Neutral 22" xfId="43521" xr:uid="{00000000-0005-0000-0000-0000D5620000}"/>
    <cellStyle name="Neutral 23" xfId="43522" xr:uid="{00000000-0005-0000-0000-0000D6620000}"/>
    <cellStyle name="Neutral 24" xfId="43523" xr:uid="{00000000-0005-0000-0000-0000D7620000}"/>
    <cellStyle name="Neutral 25" xfId="43524" xr:uid="{00000000-0005-0000-0000-0000D8620000}"/>
    <cellStyle name="Neutral 26" xfId="43525" xr:uid="{00000000-0005-0000-0000-0000D9620000}"/>
    <cellStyle name="Neutral 27" xfId="43526" xr:uid="{00000000-0005-0000-0000-0000DA620000}"/>
    <cellStyle name="Neutral 28" xfId="43527" xr:uid="{00000000-0005-0000-0000-0000DB620000}"/>
    <cellStyle name="Neutral 29" xfId="43528" xr:uid="{00000000-0005-0000-0000-0000DC620000}"/>
    <cellStyle name="Neutral 3" xfId="2062" xr:uid="{00000000-0005-0000-0000-0000DD620000}"/>
    <cellStyle name="Neutral 3 10" xfId="2063" xr:uid="{00000000-0005-0000-0000-0000DE620000}"/>
    <cellStyle name="Neutral 3 11" xfId="2064" xr:uid="{00000000-0005-0000-0000-0000DF620000}"/>
    <cellStyle name="Neutral 3 12" xfId="6201" xr:uid="{00000000-0005-0000-0000-0000E0620000}"/>
    <cellStyle name="Neutral 3 13" xfId="8208" xr:uid="{00000000-0005-0000-0000-0000E1620000}"/>
    <cellStyle name="Neutral 3 2" xfId="2065" xr:uid="{00000000-0005-0000-0000-0000E2620000}"/>
    <cellStyle name="Neutral 3 2 2" xfId="43529" xr:uid="{00000000-0005-0000-0000-0000E3620000}"/>
    <cellStyle name="Neutral 3 3" xfId="2066" xr:uid="{00000000-0005-0000-0000-0000E4620000}"/>
    <cellStyle name="Neutral 3 3 2" xfId="43530" xr:uid="{00000000-0005-0000-0000-0000E5620000}"/>
    <cellStyle name="Neutral 3 4" xfId="2067" xr:uid="{00000000-0005-0000-0000-0000E6620000}"/>
    <cellStyle name="Neutral 3 5" xfId="2068" xr:uid="{00000000-0005-0000-0000-0000E7620000}"/>
    <cellStyle name="Neutral 3 6" xfId="2069" xr:uid="{00000000-0005-0000-0000-0000E8620000}"/>
    <cellStyle name="Neutral 3 7" xfId="2070" xr:uid="{00000000-0005-0000-0000-0000E9620000}"/>
    <cellStyle name="Neutral 3 8" xfId="2071" xr:uid="{00000000-0005-0000-0000-0000EA620000}"/>
    <cellStyle name="Neutral 3 9" xfId="2072" xr:uid="{00000000-0005-0000-0000-0000EB620000}"/>
    <cellStyle name="Neutral 30" xfId="43531" xr:uid="{00000000-0005-0000-0000-0000EC620000}"/>
    <cellStyle name="Neutral 31" xfId="43532" xr:uid="{00000000-0005-0000-0000-0000ED620000}"/>
    <cellStyle name="Neutral 32" xfId="43533" xr:uid="{00000000-0005-0000-0000-0000EE620000}"/>
    <cellStyle name="Neutral 33" xfId="43534" xr:uid="{00000000-0005-0000-0000-0000EF620000}"/>
    <cellStyle name="Neutral 34" xfId="43535" xr:uid="{00000000-0005-0000-0000-0000F0620000}"/>
    <cellStyle name="Neutral 35" xfId="43536" xr:uid="{00000000-0005-0000-0000-0000F1620000}"/>
    <cellStyle name="Neutral 36" xfId="43537" xr:uid="{00000000-0005-0000-0000-0000F2620000}"/>
    <cellStyle name="Neutral 37" xfId="43538" xr:uid="{00000000-0005-0000-0000-0000F3620000}"/>
    <cellStyle name="Neutral 38" xfId="43539" xr:uid="{00000000-0005-0000-0000-0000F4620000}"/>
    <cellStyle name="Neutral 39" xfId="43540" xr:uid="{00000000-0005-0000-0000-0000F5620000}"/>
    <cellStyle name="Neutral 4" xfId="2073" xr:uid="{00000000-0005-0000-0000-0000F6620000}"/>
    <cellStyle name="Neutral 4 10" xfId="2074" xr:uid="{00000000-0005-0000-0000-0000F7620000}"/>
    <cellStyle name="Neutral 4 11" xfId="2075" xr:uid="{00000000-0005-0000-0000-0000F8620000}"/>
    <cellStyle name="Neutral 4 2" xfId="2076" xr:uid="{00000000-0005-0000-0000-0000F9620000}"/>
    <cellStyle name="Neutral 4 3" xfId="2077" xr:uid="{00000000-0005-0000-0000-0000FA620000}"/>
    <cellStyle name="Neutral 4 4" xfId="2078" xr:uid="{00000000-0005-0000-0000-0000FB620000}"/>
    <cellStyle name="Neutral 4 5" xfId="2079" xr:uid="{00000000-0005-0000-0000-0000FC620000}"/>
    <cellStyle name="Neutral 4 6" xfId="2080" xr:uid="{00000000-0005-0000-0000-0000FD620000}"/>
    <cellStyle name="Neutral 4 7" xfId="2081" xr:uid="{00000000-0005-0000-0000-0000FE620000}"/>
    <cellStyle name="Neutral 4 8" xfId="2082" xr:uid="{00000000-0005-0000-0000-0000FF620000}"/>
    <cellStyle name="Neutral 4 9" xfId="2083" xr:uid="{00000000-0005-0000-0000-000000630000}"/>
    <cellStyle name="Neutral 40" xfId="43541" xr:uid="{00000000-0005-0000-0000-000001630000}"/>
    <cellStyle name="Neutral 41" xfId="43542" xr:uid="{00000000-0005-0000-0000-000002630000}"/>
    <cellStyle name="Neutral 42" xfId="43543" xr:uid="{00000000-0005-0000-0000-000003630000}"/>
    <cellStyle name="Neutral 43" xfId="43544" xr:uid="{00000000-0005-0000-0000-000004630000}"/>
    <cellStyle name="Neutral 5" xfId="2084" xr:uid="{00000000-0005-0000-0000-000005630000}"/>
    <cellStyle name="Neutral 5 10" xfId="2085" xr:uid="{00000000-0005-0000-0000-000006630000}"/>
    <cellStyle name="Neutral 5 11" xfId="2086" xr:uid="{00000000-0005-0000-0000-000007630000}"/>
    <cellStyle name="Neutral 5 12" xfId="10114" xr:uid="{00000000-0005-0000-0000-000008630000}"/>
    <cellStyle name="Neutral 5 2" xfId="2087" xr:uid="{00000000-0005-0000-0000-000009630000}"/>
    <cellStyle name="Neutral 5 3" xfId="2088" xr:uid="{00000000-0005-0000-0000-00000A630000}"/>
    <cellStyle name="Neutral 5 4" xfId="2089" xr:uid="{00000000-0005-0000-0000-00000B630000}"/>
    <cellStyle name="Neutral 5 5" xfId="2090" xr:uid="{00000000-0005-0000-0000-00000C630000}"/>
    <cellStyle name="Neutral 5 6" xfId="2091" xr:uid="{00000000-0005-0000-0000-00000D630000}"/>
    <cellStyle name="Neutral 5 7" xfId="2092" xr:uid="{00000000-0005-0000-0000-00000E630000}"/>
    <cellStyle name="Neutral 5 8" xfId="2093" xr:uid="{00000000-0005-0000-0000-00000F630000}"/>
    <cellStyle name="Neutral 5 9" xfId="2094" xr:uid="{00000000-0005-0000-0000-000010630000}"/>
    <cellStyle name="Neutral 6" xfId="2095" xr:uid="{00000000-0005-0000-0000-000011630000}"/>
    <cellStyle name="Neutral 6 10" xfId="2096" xr:uid="{00000000-0005-0000-0000-000012630000}"/>
    <cellStyle name="Neutral 6 11" xfId="2097" xr:uid="{00000000-0005-0000-0000-000013630000}"/>
    <cellStyle name="Neutral 6 2" xfId="2098" xr:uid="{00000000-0005-0000-0000-000014630000}"/>
    <cellStyle name="Neutral 6 3" xfId="2099" xr:uid="{00000000-0005-0000-0000-000015630000}"/>
    <cellStyle name="Neutral 6 4" xfId="2100" xr:uid="{00000000-0005-0000-0000-000016630000}"/>
    <cellStyle name="Neutral 6 5" xfId="2101" xr:uid="{00000000-0005-0000-0000-000017630000}"/>
    <cellStyle name="Neutral 6 6" xfId="2102" xr:uid="{00000000-0005-0000-0000-000018630000}"/>
    <cellStyle name="Neutral 6 7" xfId="2103" xr:uid="{00000000-0005-0000-0000-000019630000}"/>
    <cellStyle name="Neutral 6 8" xfId="2104" xr:uid="{00000000-0005-0000-0000-00001A630000}"/>
    <cellStyle name="Neutral 6 9" xfId="2105" xr:uid="{00000000-0005-0000-0000-00001B630000}"/>
    <cellStyle name="Neutral 7" xfId="2106" xr:uid="{00000000-0005-0000-0000-00001C630000}"/>
    <cellStyle name="Neutral 8" xfId="2107" xr:uid="{00000000-0005-0000-0000-00001D630000}"/>
    <cellStyle name="Neutral 9" xfId="3424" xr:uid="{00000000-0005-0000-0000-00001E630000}"/>
    <cellStyle name="Neutrale" xfId="9607" xr:uid="{00000000-0005-0000-0000-00001F630000}"/>
    <cellStyle name="Neutre" xfId="12328" xr:uid="{00000000-0005-0000-0000-000020630000}"/>
    <cellStyle name="NewStyle" xfId="9608" xr:uid="{00000000-0005-0000-0000-000021630000}"/>
    <cellStyle name="Normal" xfId="0" builtinId="0"/>
    <cellStyle name="Normal 10" xfId="2108" xr:uid="{00000000-0005-0000-0000-000023630000}"/>
    <cellStyle name="Normal 10 10" xfId="9069" xr:uid="{00000000-0005-0000-0000-000024630000}"/>
    <cellStyle name="Normal 10 10 2" xfId="26640" xr:uid="{00000000-0005-0000-0000-000025630000}"/>
    <cellStyle name="Normal 10 10 3" xfId="30853" xr:uid="{00000000-0005-0000-0000-000026630000}"/>
    <cellStyle name="Normal 10 10 4" xfId="35068" xr:uid="{00000000-0005-0000-0000-000027630000}"/>
    <cellStyle name="Normal 10 10 5" xfId="39272" xr:uid="{00000000-0005-0000-0000-000028630000}"/>
    <cellStyle name="Normal 10 11" xfId="9189" xr:uid="{00000000-0005-0000-0000-000029630000}"/>
    <cellStyle name="Normal 10 11 2" xfId="26760" xr:uid="{00000000-0005-0000-0000-00002A630000}"/>
    <cellStyle name="Normal 10 11 3" xfId="30973" xr:uid="{00000000-0005-0000-0000-00002B630000}"/>
    <cellStyle name="Normal 10 11 4" xfId="35188" xr:uid="{00000000-0005-0000-0000-00002C630000}"/>
    <cellStyle name="Normal 10 11 5" xfId="39392" xr:uid="{00000000-0005-0000-0000-00002D630000}"/>
    <cellStyle name="Normal 10 12" xfId="9310" xr:uid="{00000000-0005-0000-0000-00002E630000}"/>
    <cellStyle name="Normal 10 12 2" xfId="26881" xr:uid="{00000000-0005-0000-0000-00002F630000}"/>
    <cellStyle name="Normal 10 12 3" xfId="31094" xr:uid="{00000000-0005-0000-0000-000030630000}"/>
    <cellStyle name="Normal 10 12 4" xfId="35309" xr:uid="{00000000-0005-0000-0000-000031630000}"/>
    <cellStyle name="Normal 10 12 5" xfId="39513" xr:uid="{00000000-0005-0000-0000-000032630000}"/>
    <cellStyle name="Normal 10 13" xfId="9429" xr:uid="{00000000-0005-0000-0000-000033630000}"/>
    <cellStyle name="Normal 10 13 2" xfId="27000" xr:uid="{00000000-0005-0000-0000-000034630000}"/>
    <cellStyle name="Normal 10 13 3" xfId="31213" xr:uid="{00000000-0005-0000-0000-000035630000}"/>
    <cellStyle name="Normal 10 13 4" xfId="35428" xr:uid="{00000000-0005-0000-0000-000036630000}"/>
    <cellStyle name="Normal 10 13 5" xfId="39632" xr:uid="{00000000-0005-0000-0000-000037630000}"/>
    <cellStyle name="Normal 10 14" xfId="3136" xr:uid="{00000000-0005-0000-0000-000038630000}"/>
    <cellStyle name="Normal 10 2" xfId="3425" xr:uid="{00000000-0005-0000-0000-000039630000}"/>
    <cellStyle name="Normal 10 2 2" xfId="6202" xr:uid="{00000000-0005-0000-0000-00003A630000}"/>
    <cellStyle name="Normal 10 2 2 2" xfId="25494" xr:uid="{00000000-0005-0000-0000-00003B630000}"/>
    <cellStyle name="Normal 10 2 2 2 2" xfId="43546" xr:uid="{00000000-0005-0000-0000-00003C630000}"/>
    <cellStyle name="Normal 10 2 2 3" xfId="29706" xr:uid="{00000000-0005-0000-0000-00003D630000}"/>
    <cellStyle name="Normal 10 2 2 4" xfId="33922" xr:uid="{00000000-0005-0000-0000-00003E630000}"/>
    <cellStyle name="Normal 10 2 2 5" xfId="38126" xr:uid="{00000000-0005-0000-0000-00003F630000}"/>
    <cellStyle name="Normal 10 2 3" xfId="7008" xr:uid="{00000000-0005-0000-0000-000040630000}"/>
    <cellStyle name="Normal 10 2 3 2" xfId="43545" xr:uid="{00000000-0005-0000-0000-000041630000}"/>
    <cellStyle name="Normal 10 3" xfId="6203" xr:uid="{00000000-0005-0000-0000-000042630000}"/>
    <cellStyle name="Normal 10 3 10" xfId="9430" xr:uid="{00000000-0005-0000-0000-000043630000}"/>
    <cellStyle name="Normal 10 3 10 2" xfId="27001" xr:uid="{00000000-0005-0000-0000-000044630000}"/>
    <cellStyle name="Normal 10 3 10 3" xfId="31214" xr:uid="{00000000-0005-0000-0000-000045630000}"/>
    <cellStyle name="Normal 10 3 10 4" xfId="35429" xr:uid="{00000000-0005-0000-0000-000046630000}"/>
    <cellStyle name="Normal 10 3 10 5" xfId="39633" xr:uid="{00000000-0005-0000-0000-000047630000}"/>
    <cellStyle name="Normal 10 3 2" xfId="7080" xr:uid="{00000000-0005-0000-0000-000048630000}"/>
    <cellStyle name="Normal 10 3 2 2" xfId="25733" xr:uid="{00000000-0005-0000-0000-000049630000}"/>
    <cellStyle name="Normal 10 3 2 3" xfId="29946" xr:uid="{00000000-0005-0000-0000-00004A630000}"/>
    <cellStyle name="Normal 10 3 2 4" xfId="34161" xr:uid="{00000000-0005-0000-0000-00004B630000}"/>
    <cellStyle name="Normal 10 3 2 5" xfId="38365" xr:uid="{00000000-0005-0000-0000-00004C630000}"/>
    <cellStyle name="Normal 10 3 3" xfId="7210" xr:uid="{00000000-0005-0000-0000-00004D630000}"/>
    <cellStyle name="Normal 10 3 3 2" xfId="25843" xr:uid="{00000000-0005-0000-0000-00004E630000}"/>
    <cellStyle name="Normal 10 3 3 3" xfId="30056" xr:uid="{00000000-0005-0000-0000-00004F630000}"/>
    <cellStyle name="Normal 10 3 3 4" xfId="34271" xr:uid="{00000000-0005-0000-0000-000050630000}"/>
    <cellStyle name="Normal 10 3 3 5" xfId="38475" xr:uid="{00000000-0005-0000-0000-000051630000}"/>
    <cellStyle name="Normal 10 3 4" xfId="7329" xr:uid="{00000000-0005-0000-0000-000052630000}"/>
    <cellStyle name="Normal 10 3 4 2" xfId="25962" xr:uid="{00000000-0005-0000-0000-000053630000}"/>
    <cellStyle name="Normal 10 3 4 3" xfId="30175" xr:uid="{00000000-0005-0000-0000-000054630000}"/>
    <cellStyle name="Normal 10 3 4 4" xfId="34390" xr:uid="{00000000-0005-0000-0000-000055630000}"/>
    <cellStyle name="Normal 10 3 4 5" xfId="38594" xr:uid="{00000000-0005-0000-0000-000056630000}"/>
    <cellStyle name="Normal 10 3 5" xfId="7447" xr:uid="{00000000-0005-0000-0000-000057630000}"/>
    <cellStyle name="Normal 10 3 5 2" xfId="26080" xr:uid="{00000000-0005-0000-0000-000058630000}"/>
    <cellStyle name="Normal 10 3 5 3" xfId="30293" xr:uid="{00000000-0005-0000-0000-000059630000}"/>
    <cellStyle name="Normal 10 3 5 4" xfId="34508" xr:uid="{00000000-0005-0000-0000-00005A630000}"/>
    <cellStyle name="Normal 10 3 5 5" xfId="38712" xr:uid="{00000000-0005-0000-0000-00005B630000}"/>
    <cellStyle name="Normal 10 3 6" xfId="8948" xr:uid="{00000000-0005-0000-0000-00005C630000}"/>
    <cellStyle name="Normal 10 3 6 2" xfId="26519" xr:uid="{00000000-0005-0000-0000-00005D630000}"/>
    <cellStyle name="Normal 10 3 6 3" xfId="30732" xr:uid="{00000000-0005-0000-0000-00005E630000}"/>
    <cellStyle name="Normal 10 3 6 4" xfId="34947" xr:uid="{00000000-0005-0000-0000-00005F630000}"/>
    <cellStyle name="Normal 10 3 6 5" xfId="39151" xr:uid="{00000000-0005-0000-0000-000060630000}"/>
    <cellStyle name="Normal 10 3 7" xfId="9070" xr:uid="{00000000-0005-0000-0000-000061630000}"/>
    <cellStyle name="Normal 10 3 7 2" xfId="26641" xr:uid="{00000000-0005-0000-0000-000062630000}"/>
    <cellStyle name="Normal 10 3 7 3" xfId="30854" xr:uid="{00000000-0005-0000-0000-000063630000}"/>
    <cellStyle name="Normal 10 3 7 4" xfId="35069" xr:uid="{00000000-0005-0000-0000-000064630000}"/>
    <cellStyle name="Normal 10 3 7 5" xfId="39273" xr:uid="{00000000-0005-0000-0000-000065630000}"/>
    <cellStyle name="Normal 10 3 8" xfId="9190" xr:uid="{00000000-0005-0000-0000-000066630000}"/>
    <cellStyle name="Normal 10 3 8 2" xfId="26761" xr:uid="{00000000-0005-0000-0000-000067630000}"/>
    <cellStyle name="Normal 10 3 8 3" xfId="30974" xr:uid="{00000000-0005-0000-0000-000068630000}"/>
    <cellStyle name="Normal 10 3 8 4" xfId="35189" xr:uid="{00000000-0005-0000-0000-000069630000}"/>
    <cellStyle name="Normal 10 3 8 5" xfId="39393" xr:uid="{00000000-0005-0000-0000-00006A630000}"/>
    <cellStyle name="Normal 10 3 9" xfId="9311" xr:uid="{00000000-0005-0000-0000-00006B630000}"/>
    <cellStyle name="Normal 10 3 9 2" xfId="26882" xr:uid="{00000000-0005-0000-0000-00006C630000}"/>
    <cellStyle name="Normal 10 3 9 3" xfId="31095" xr:uid="{00000000-0005-0000-0000-00006D630000}"/>
    <cellStyle name="Normal 10 3 9 4" xfId="35310" xr:uid="{00000000-0005-0000-0000-00006E630000}"/>
    <cellStyle name="Normal 10 3 9 5" xfId="39514" xr:uid="{00000000-0005-0000-0000-00006F630000}"/>
    <cellStyle name="Normal 10 4" xfId="7018" xr:uid="{00000000-0005-0000-0000-000070630000}"/>
    <cellStyle name="Normal 10 4 10" xfId="9312" xr:uid="{00000000-0005-0000-0000-000071630000}"/>
    <cellStyle name="Normal 10 4 10 2" xfId="26883" xr:uid="{00000000-0005-0000-0000-000072630000}"/>
    <cellStyle name="Normal 10 4 10 3" xfId="31096" xr:uid="{00000000-0005-0000-0000-000073630000}"/>
    <cellStyle name="Normal 10 4 10 4" xfId="35311" xr:uid="{00000000-0005-0000-0000-000074630000}"/>
    <cellStyle name="Normal 10 4 10 5" xfId="39515" xr:uid="{00000000-0005-0000-0000-000075630000}"/>
    <cellStyle name="Normal 10 4 11" xfId="9431" xr:uid="{00000000-0005-0000-0000-000076630000}"/>
    <cellStyle name="Normal 10 4 11 2" xfId="27002" xr:uid="{00000000-0005-0000-0000-000077630000}"/>
    <cellStyle name="Normal 10 4 11 3" xfId="31215" xr:uid="{00000000-0005-0000-0000-000078630000}"/>
    <cellStyle name="Normal 10 4 11 4" xfId="35430" xr:uid="{00000000-0005-0000-0000-000079630000}"/>
    <cellStyle name="Normal 10 4 11 5" xfId="39634" xr:uid="{00000000-0005-0000-0000-00007A630000}"/>
    <cellStyle name="Normal 10 4 12" xfId="25698" xr:uid="{00000000-0005-0000-0000-00007B630000}"/>
    <cellStyle name="Normal 10 4 13" xfId="29911" xr:uid="{00000000-0005-0000-0000-00007C630000}"/>
    <cellStyle name="Normal 10 4 14" xfId="34126" xr:uid="{00000000-0005-0000-0000-00007D630000}"/>
    <cellStyle name="Normal 10 4 15" xfId="38330" xr:uid="{00000000-0005-0000-0000-00007E630000}"/>
    <cellStyle name="Normal 10 4 2" xfId="7081" xr:uid="{00000000-0005-0000-0000-00007F630000}"/>
    <cellStyle name="Normal 10 4 2 2" xfId="25734" xr:uid="{00000000-0005-0000-0000-000080630000}"/>
    <cellStyle name="Normal 10 4 2 3" xfId="29947" xr:uid="{00000000-0005-0000-0000-000081630000}"/>
    <cellStyle name="Normal 10 4 2 4" xfId="34162" xr:uid="{00000000-0005-0000-0000-000082630000}"/>
    <cellStyle name="Normal 10 4 2 5" xfId="38366" xr:uid="{00000000-0005-0000-0000-000083630000}"/>
    <cellStyle name="Normal 10 4 3" xfId="7211" xr:uid="{00000000-0005-0000-0000-000084630000}"/>
    <cellStyle name="Normal 10 4 3 2" xfId="25844" xr:uid="{00000000-0005-0000-0000-000085630000}"/>
    <cellStyle name="Normal 10 4 3 3" xfId="30057" xr:uid="{00000000-0005-0000-0000-000086630000}"/>
    <cellStyle name="Normal 10 4 3 4" xfId="34272" xr:uid="{00000000-0005-0000-0000-000087630000}"/>
    <cellStyle name="Normal 10 4 3 5" xfId="38476" xr:uid="{00000000-0005-0000-0000-000088630000}"/>
    <cellStyle name="Normal 10 4 4" xfId="7330" xr:uid="{00000000-0005-0000-0000-000089630000}"/>
    <cellStyle name="Normal 10 4 4 2" xfId="25963" xr:uid="{00000000-0005-0000-0000-00008A630000}"/>
    <cellStyle name="Normal 10 4 4 3" xfId="30176" xr:uid="{00000000-0005-0000-0000-00008B630000}"/>
    <cellStyle name="Normal 10 4 4 4" xfId="34391" xr:uid="{00000000-0005-0000-0000-00008C630000}"/>
    <cellStyle name="Normal 10 4 4 5" xfId="38595" xr:uid="{00000000-0005-0000-0000-00008D630000}"/>
    <cellStyle name="Normal 10 4 5" xfId="7448" xr:uid="{00000000-0005-0000-0000-00008E630000}"/>
    <cellStyle name="Normal 10 4 5 2" xfId="26081" xr:uid="{00000000-0005-0000-0000-00008F630000}"/>
    <cellStyle name="Normal 10 4 5 3" xfId="30294" xr:uid="{00000000-0005-0000-0000-000090630000}"/>
    <cellStyle name="Normal 10 4 5 4" xfId="34509" xr:uid="{00000000-0005-0000-0000-000091630000}"/>
    <cellStyle name="Normal 10 4 5 5" xfId="38713" xr:uid="{00000000-0005-0000-0000-000092630000}"/>
    <cellStyle name="Normal 10 4 6" xfId="8209" xr:uid="{00000000-0005-0000-0000-000093630000}"/>
    <cellStyle name="Normal 10 4 7" xfId="8949" xr:uid="{00000000-0005-0000-0000-000094630000}"/>
    <cellStyle name="Normal 10 4 7 2" xfId="26520" xr:uid="{00000000-0005-0000-0000-000095630000}"/>
    <cellStyle name="Normal 10 4 7 3" xfId="30733" xr:uid="{00000000-0005-0000-0000-000096630000}"/>
    <cellStyle name="Normal 10 4 7 4" xfId="34948" xr:uid="{00000000-0005-0000-0000-000097630000}"/>
    <cellStyle name="Normal 10 4 7 5" xfId="39152" xr:uid="{00000000-0005-0000-0000-000098630000}"/>
    <cellStyle name="Normal 10 4 8" xfId="9071" xr:uid="{00000000-0005-0000-0000-000099630000}"/>
    <cellStyle name="Normal 10 4 8 2" xfId="26642" xr:uid="{00000000-0005-0000-0000-00009A630000}"/>
    <cellStyle name="Normal 10 4 8 3" xfId="30855" xr:uid="{00000000-0005-0000-0000-00009B630000}"/>
    <cellStyle name="Normal 10 4 8 4" xfId="35070" xr:uid="{00000000-0005-0000-0000-00009C630000}"/>
    <cellStyle name="Normal 10 4 8 5" xfId="39274" xr:uid="{00000000-0005-0000-0000-00009D630000}"/>
    <cellStyle name="Normal 10 4 9" xfId="9191" xr:uid="{00000000-0005-0000-0000-00009E630000}"/>
    <cellStyle name="Normal 10 4 9 2" xfId="26762" xr:uid="{00000000-0005-0000-0000-00009F630000}"/>
    <cellStyle name="Normal 10 4 9 3" xfId="30975" xr:uid="{00000000-0005-0000-0000-0000A0630000}"/>
    <cellStyle name="Normal 10 4 9 4" xfId="35190" xr:uid="{00000000-0005-0000-0000-0000A1630000}"/>
    <cellStyle name="Normal 10 4 9 5" xfId="39394" xr:uid="{00000000-0005-0000-0000-0000A2630000}"/>
    <cellStyle name="Normal 10 5" xfId="7079" xr:uid="{00000000-0005-0000-0000-0000A3630000}"/>
    <cellStyle name="Normal 10 5 2" xfId="8210" xr:uid="{00000000-0005-0000-0000-0000A4630000}"/>
    <cellStyle name="Normal 10 5 3" xfId="25732" xr:uid="{00000000-0005-0000-0000-0000A5630000}"/>
    <cellStyle name="Normal 10 5 4" xfId="29945" xr:uid="{00000000-0005-0000-0000-0000A6630000}"/>
    <cellStyle name="Normal 10 5 5" xfId="34160" xr:uid="{00000000-0005-0000-0000-0000A7630000}"/>
    <cellStyle name="Normal 10 5 6" xfId="38364" xr:uid="{00000000-0005-0000-0000-0000A8630000}"/>
    <cellStyle name="Normal 10 6" xfId="7209" xr:uid="{00000000-0005-0000-0000-0000A9630000}"/>
    <cellStyle name="Normal 10 6 2" xfId="8211" xr:uid="{00000000-0005-0000-0000-0000AA630000}"/>
    <cellStyle name="Normal 10 6 3" xfId="25842" xr:uid="{00000000-0005-0000-0000-0000AB630000}"/>
    <cellStyle name="Normal 10 6 4" xfId="30055" xr:uid="{00000000-0005-0000-0000-0000AC630000}"/>
    <cellStyle name="Normal 10 6 5" xfId="34270" xr:uid="{00000000-0005-0000-0000-0000AD630000}"/>
    <cellStyle name="Normal 10 6 6" xfId="38474" xr:uid="{00000000-0005-0000-0000-0000AE630000}"/>
    <cellStyle name="Normal 10 7" xfId="7328" xr:uid="{00000000-0005-0000-0000-0000AF630000}"/>
    <cellStyle name="Normal 10 7 2" xfId="8212" xr:uid="{00000000-0005-0000-0000-0000B0630000}"/>
    <cellStyle name="Normal 10 7 3" xfId="25961" xr:uid="{00000000-0005-0000-0000-0000B1630000}"/>
    <cellStyle name="Normal 10 7 4" xfId="30174" xr:uid="{00000000-0005-0000-0000-0000B2630000}"/>
    <cellStyle name="Normal 10 7 5" xfId="34389" xr:uid="{00000000-0005-0000-0000-0000B3630000}"/>
    <cellStyle name="Normal 10 7 6" xfId="38593" xr:uid="{00000000-0005-0000-0000-0000B4630000}"/>
    <cellStyle name="Normal 10 8" xfId="7446" xr:uid="{00000000-0005-0000-0000-0000B5630000}"/>
    <cellStyle name="Normal 10 8 2" xfId="8213" xr:uid="{00000000-0005-0000-0000-0000B6630000}"/>
    <cellStyle name="Normal 10 8 3" xfId="26079" xr:uid="{00000000-0005-0000-0000-0000B7630000}"/>
    <cellStyle name="Normal 10 8 4" xfId="30292" xr:uid="{00000000-0005-0000-0000-0000B8630000}"/>
    <cellStyle name="Normal 10 8 5" xfId="34507" xr:uid="{00000000-0005-0000-0000-0000B9630000}"/>
    <cellStyle name="Normal 10 8 6" xfId="38711" xr:uid="{00000000-0005-0000-0000-0000BA630000}"/>
    <cellStyle name="Normal 10 9" xfId="8947" xr:uid="{00000000-0005-0000-0000-0000BB630000}"/>
    <cellStyle name="Normal 10 9 2" xfId="26518" xr:uid="{00000000-0005-0000-0000-0000BC630000}"/>
    <cellStyle name="Normal 10 9 2 2" xfId="41652" xr:uid="{00000000-0005-0000-0000-0000BD630000}"/>
    <cellStyle name="Normal 10 9 3" xfId="30731" xr:uid="{00000000-0005-0000-0000-0000BE630000}"/>
    <cellStyle name="Normal 10 9 4" xfId="34946" xr:uid="{00000000-0005-0000-0000-0000BF630000}"/>
    <cellStyle name="Normal 10 9 5" xfId="39150" xr:uid="{00000000-0005-0000-0000-0000C0630000}"/>
    <cellStyle name="Normal 11" xfId="2109" xr:uid="{00000000-0005-0000-0000-0000C1630000}"/>
    <cellStyle name="Normal 11 10" xfId="8950" xr:uid="{00000000-0005-0000-0000-0000C2630000}"/>
    <cellStyle name="Normal 11 10 2" xfId="26521" xr:uid="{00000000-0005-0000-0000-0000C3630000}"/>
    <cellStyle name="Normal 11 10 3" xfId="30734" xr:uid="{00000000-0005-0000-0000-0000C4630000}"/>
    <cellStyle name="Normal 11 10 4" xfId="34949" xr:uid="{00000000-0005-0000-0000-0000C5630000}"/>
    <cellStyle name="Normal 11 10 5" xfId="39153" xr:uid="{00000000-0005-0000-0000-0000C6630000}"/>
    <cellStyle name="Normal 11 11" xfId="9072" xr:uid="{00000000-0005-0000-0000-0000C7630000}"/>
    <cellStyle name="Normal 11 11 2" xfId="26643" xr:uid="{00000000-0005-0000-0000-0000C8630000}"/>
    <cellStyle name="Normal 11 11 3" xfId="30856" xr:uid="{00000000-0005-0000-0000-0000C9630000}"/>
    <cellStyle name="Normal 11 11 4" xfId="35071" xr:uid="{00000000-0005-0000-0000-0000CA630000}"/>
    <cellStyle name="Normal 11 11 5" xfId="39275" xr:uid="{00000000-0005-0000-0000-0000CB630000}"/>
    <cellStyle name="Normal 11 12" xfId="9192" xr:uid="{00000000-0005-0000-0000-0000CC630000}"/>
    <cellStyle name="Normal 11 12 2" xfId="26763" xr:uid="{00000000-0005-0000-0000-0000CD630000}"/>
    <cellStyle name="Normal 11 12 3" xfId="30976" xr:uid="{00000000-0005-0000-0000-0000CE630000}"/>
    <cellStyle name="Normal 11 12 4" xfId="35191" xr:uid="{00000000-0005-0000-0000-0000CF630000}"/>
    <cellStyle name="Normal 11 12 5" xfId="39395" xr:uid="{00000000-0005-0000-0000-0000D0630000}"/>
    <cellStyle name="Normal 11 13" xfId="9313" xr:uid="{00000000-0005-0000-0000-0000D1630000}"/>
    <cellStyle name="Normal 11 13 2" xfId="26884" xr:uid="{00000000-0005-0000-0000-0000D2630000}"/>
    <cellStyle name="Normal 11 13 3" xfId="31097" xr:uid="{00000000-0005-0000-0000-0000D3630000}"/>
    <cellStyle name="Normal 11 13 4" xfId="35312" xr:uid="{00000000-0005-0000-0000-0000D4630000}"/>
    <cellStyle name="Normal 11 13 5" xfId="39516" xr:uid="{00000000-0005-0000-0000-0000D5630000}"/>
    <cellStyle name="Normal 11 14" xfId="9432" xr:uid="{00000000-0005-0000-0000-0000D6630000}"/>
    <cellStyle name="Normal 11 14 2" xfId="27003" xr:uid="{00000000-0005-0000-0000-0000D7630000}"/>
    <cellStyle name="Normal 11 14 3" xfId="31216" xr:uid="{00000000-0005-0000-0000-0000D8630000}"/>
    <cellStyle name="Normal 11 14 4" xfId="35431" xr:uid="{00000000-0005-0000-0000-0000D9630000}"/>
    <cellStyle name="Normal 11 14 5" xfId="39635" xr:uid="{00000000-0005-0000-0000-0000DA630000}"/>
    <cellStyle name="Normal 11 15" xfId="9555" xr:uid="{00000000-0005-0000-0000-0000DB630000}"/>
    <cellStyle name="Normal 11 15 2" xfId="27124" xr:uid="{00000000-0005-0000-0000-0000DC630000}"/>
    <cellStyle name="Normal 11 15 3" xfId="31337" xr:uid="{00000000-0005-0000-0000-0000DD630000}"/>
    <cellStyle name="Normal 11 15 4" xfId="35552" xr:uid="{00000000-0005-0000-0000-0000DE630000}"/>
    <cellStyle name="Normal 11 15 5" xfId="39756" xr:uid="{00000000-0005-0000-0000-0000DF630000}"/>
    <cellStyle name="Normal 11 16" xfId="12231" xr:uid="{00000000-0005-0000-0000-0000E0630000}"/>
    <cellStyle name="Normal 11 16 2" xfId="28799" xr:uid="{00000000-0005-0000-0000-0000E1630000}"/>
    <cellStyle name="Normal 11 16 3" xfId="33012" xr:uid="{00000000-0005-0000-0000-0000E2630000}"/>
    <cellStyle name="Normal 11 16 4" xfId="37227" xr:uid="{00000000-0005-0000-0000-0000E3630000}"/>
    <cellStyle name="Normal 11 17" xfId="23440" xr:uid="{00000000-0005-0000-0000-0000E4630000}"/>
    <cellStyle name="Normal 11 17 2" xfId="28940" xr:uid="{00000000-0005-0000-0000-0000E5630000}"/>
    <cellStyle name="Normal 11 17 3" xfId="33157" xr:uid="{00000000-0005-0000-0000-0000E6630000}"/>
    <cellStyle name="Normal 11 17 4" xfId="37368" xr:uid="{00000000-0005-0000-0000-0000E7630000}"/>
    <cellStyle name="Normal 11 18" xfId="3426" xr:uid="{00000000-0005-0000-0000-0000E8630000}"/>
    <cellStyle name="Normal 11 19" xfId="24840" xr:uid="{00000000-0005-0000-0000-0000E9630000}"/>
    <cellStyle name="Normal 11 2" xfId="2110" xr:uid="{00000000-0005-0000-0000-0000EA630000}"/>
    <cellStyle name="Normal 11 2 10" xfId="9193" xr:uid="{00000000-0005-0000-0000-0000EB630000}"/>
    <cellStyle name="Normal 11 2 10 2" xfId="26764" xr:uid="{00000000-0005-0000-0000-0000EC630000}"/>
    <cellStyle name="Normal 11 2 10 3" xfId="30977" xr:uid="{00000000-0005-0000-0000-0000ED630000}"/>
    <cellStyle name="Normal 11 2 10 4" xfId="35192" xr:uid="{00000000-0005-0000-0000-0000EE630000}"/>
    <cellStyle name="Normal 11 2 10 5" xfId="39396" xr:uid="{00000000-0005-0000-0000-0000EF630000}"/>
    <cellStyle name="Normal 11 2 11" xfId="9314" xr:uid="{00000000-0005-0000-0000-0000F0630000}"/>
    <cellStyle name="Normal 11 2 11 2" xfId="26885" xr:uid="{00000000-0005-0000-0000-0000F1630000}"/>
    <cellStyle name="Normal 11 2 11 3" xfId="31098" xr:uid="{00000000-0005-0000-0000-0000F2630000}"/>
    <cellStyle name="Normal 11 2 11 4" xfId="35313" xr:uid="{00000000-0005-0000-0000-0000F3630000}"/>
    <cellStyle name="Normal 11 2 11 5" xfId="39517" xr:uid="{00000000-0005-0000-0000-0000F4630000}"/>
    <cellStyle name="Normal 11 2 12" xfId="9433" xr:uid="{00000000-0005-0000-0000-0000F5630000}"/>
    <cellStyle name="Normal 11 2 12 2" xfId="27004" xr:uid="{00000000-0005-0000-0000-0000F6630000}"/>
    <cellStyle name="Normal 11 2 12 3" xfId="31217" xr:uid="{00000000-0005-0000-0000-0000F7630000}"/>
    <cellStyle name="Normal 11 2 12 4" xfId="35432" xr:uid="{00000000-0005-0000-0000-0000F8630000}"/>
    <cellStyle name="Normal 11 2 12 5" xfId="39636" xr:uid="{00000000-0005-0000-0000-0000F9630000}"/>
    <cellStyle name="Normal 11 2 13" xfId="12267" xr:uid="{00000000-0005-0000-0000-0000FA630000}"/>
    <cellStyle name="Normal 11 2 13 2" xfId="28834" xr:uid="{00000000-0005-0000-0000-0000FB630000}"/>
    <cellStyle name="Normal 11 2 13 3" xfId="33047" xr:uid="{00000000-0005-0000-0000-0000FC630000}"/>
    <cellStyle name="Normal 11 2 13 4" xfId="37262" xr:uid="{00000000-0005-0000-0000-0000FD630000}"/>
    <cellStyle name="Normal 11 2 14" xfId="23476" xr:uid="{00000000-0005-0000-0000-0000FE630000}"/>
    <cellStyle name="Normal 11 2 14 2" xfId="28975" xr:uid="{00000000-0005-0000-0000-0000FF630000}"/>
    <cellStyle name="Normal 11 2 14 3" xfId="33192" xr:uid="{00000000-0005-0000-0000-000000640000}"/>
    <cellStyle name="Normal 11 2 14 4" xfId="37403" xr:uid="{00000000-0005-0000-0000-000001640000}"/>
    <cellStyle name="Normal 11 2 15" xfId="3427" xr:uid="{00000000-0005-0000-0000-000002640000}"/>
    <cellStyle name="Normal 11 2 16" xfId="24841" xr:uid="{00000000-0005-0000-0000-000003640000}"/>
    <cellStyle name="Normal 11 2 17" xfId="29052" xr:uid="{00000000-0005-0000-0000-000004640000}"/>
    <cellStyle name="Normal 11 2 18" xfId="33269" xr:uid="{00000000-0005-0000-0000-000005640000}"/>
    <cellStyle name="Normal 11 2 19" xfId="37473" xr:uid="{00000000-0005-0000-0000-000006640000}"/>
    <cellStyle name="Normal 11 2 2" xfId="4468" xr:uid="{00000000-0005-0000-0000-000007640000}"/>
    <cellStyle name="Normal 11 2 2 2" xfId="3083" xr:uid="{00000000-0005-0000-0000-000008640000}"/>
    <cellStyle name="Normal 11 2 2 2 2" xfId="6204" xr:uid="{00000000-0005-0000-0000-000009640000}"/>
    <cellStyle name="Normal 11 2 2 2 3" xfId="24827" xr:uid="{00000000-0005-0000-0000-00000A640000}"/>
    <cellStyle name="Normal 11 2 2 2 4" xfId="29038" xr:uid="{00000000-0005-0000-0000-00000B640000}"/>
    <cellStyle name="Normal 11 2 2 2 5" xfId="33255" xr:uid="{00000000-0005-0000-0000-00000C640000}"/>
    <cellStyle name="Normal 11 2 2 3" xfId="11263" xr:uid="{00000000-0005-0000-0000-00000D640000}"/>
    <cellStyle name="Normal 11 2 2 3 2" xfId="28109" xr:uid="{00000000-0005-0000-0000-00000E640000}"/>
    <cellStyle name="Normal 11 2 2 3 3" xfId="32322" xr:uid="{00000000-0005-0000-0000-00000F640000}"/>
    <cellStyle name="Normal 11 2 2 3 4" xfId="36537" xr:uid="{00000000-0005-0000-0000-000010640000}"/>
    <cellStyle name="Normal 11 2 2 3 5" xfId="40741" xr:uid="{00000000-0005-0000-0000-000011640000}"/>
    <cellStyle name="Normal 11 2 2 4" xfId="24939" xr:uid="{00000000-0005-0000-0000-000012640000}"/>
    <cellStyle name="Normal 11 2 2 5" xfId="29151" xr:uid="{00000000-0005-0000-0000-000013640000}"/>
    <cellStyle name="Normal 11 2 2 6" xfId="33367" xr:uid="{00000000-0005-0000-0000-000014640000}"/>
    <cellStyle name="Normal 11 2 2 7" xfId="37571" xr:uid="{00000000-0005-0000-0000-000015640000}"/>
    <cellStyle name="Normal 11 2 3" xfId="6901" xr:uid="{00000000-0005-0000-0000-000016640000}"/>
    <cellStyle name="Normal 11 2 3 2" xfId="25589" xr:uid="{00000000-0005-0000-0000-000017640000}"/>
    <cellStyle name="Normal 11 2 3 2 2" xfId="43547" xr:uid="{00000000-0005-0000-0000-000018640000}"/>
    <cellStyle name="Normal 11 2 3 3" xfId="29802" xr:uid="{00000000-0005-0000-0000-000019640000}"/>
    <cellStyle name="Normal 11 2 3 4" xfId="34017" xr:uid="{00000000-0005-0000-0000-00001A640000}"/>
    <cellStyle name="Normal 11 2 3 5" xfId="38221" xr:uid="{00000000-0005-0000-0000-00001B640000}"/>
    <cellStyle name="Normal 11 2 4" xfId="7083" xr:uid="{00000000-0005-0000-0000-00001C640000}"/>
    <cellStyle name="Normal 11 2 4 2" xfId="25736" xr:uid="{00000000-0005-0000-0000-00001D640000}"/>
    <cellStyle name="Normal 11 2 4 3" xfId="29949" xr:uid="{00000000-0005-0000-0000-00001E640000}"/>
    <cellStyle name="Normal 11 2 4 4" xfId="34164" xr:uid="{00000000-0005-0000-0000-00001F640000}"/>
    <cellStyle name="Normal 11 2 4 5" xfId="38368" xr:uid="{00000000-0005-0000-0000-000020640000}"/>
    <cellStyle name="Normal 11 2 5" xfId="7213" xr:uid="{00000000-0005-0000-0000-000021640000}"/>
    <cellStyle name="Normal 11 2 5 2" xfId="25846" xr:uid="{00000000-0005-0000-0000-000022640000}"/>
    <cellStyle name="Normal 11 2 5 3" xfId="30059" xr:uid="{00000000-0005-0000-0000-000023640000}"/>
    <cellStyle name="Normal 11 2 5 4" xfId="34274" xr:uid="{00000000-0005-0000-0000-000024640000}"/>
    <cellStyle name="Normal 11 2 5 5" xfId="38478" xr:uid="{00000000-0005-0000-0000-000025640000}"/>
    <cellStyle name="Normal 11 2 6" xfId="7332" xr:uid="{00000000-0005-0000-0000-000026640000}"/>
    <cellStyle name="Normal 11 2 6 2" xfId="25965" xr:uid="{00000000-0005-0000-0000-000027640000}"/>
    <cellStyle name="Normal 11 2 6 3" xfId="30178" xr:uid="{00000000-0005-0000-0000-000028640000}"/>
    <cellStyle name="Normal 11 2 6 4" xfId="34393" xr:uid="{00000000-0005-0000-0000-000029640000}"/>
    <cellStyle name="Normal 11 2 6 5" xfId="38597" xr:uid="{00000000-0005-0000-0000-00002A640000}"/>
    <cellStyle name="Normal 11 2 7" xfId="7450" xr:uid="{00000000-0005-0000-0000-00002B640000}"/>
    <cellStyle name="Normal 11 2 7 2" xfId="26083" xr:uid="{00000000-0005-0000-0000-00002C640000}"/>
    <cellStyle name="Normal 11 2 7 3" xfId="30296" xr:uid="{00000000-0005-0000-0000-00002D640000}"/>
    <cellStyle name="Normal 11 2 7 4" xfId="34511" xr:uid="{00000000-0005-0000-0000-00002E640000}"/>
    <cellStyle name="Normal 11 2 7 5" xfId="38715" xr:uid="{00000000-0005-0000-0000-00002F640000}"/>
    <cellStyle name="Normal 11 2 8" xfId="8951" xr:uid="{00000000-0005-0000-0000-000030640000}"/>
    <cellStyle name="Normal 11 2 8 2" xfId="26522" xr:uid="{00000000-0005-0000-0000-000031640000}"/>
    <cellStyle name="Normal 11 2 8 3" xfId="30735" xr:uid="{00000000-0005-0000-0000-000032640000}"/>
    <cellStyle name="Normal 11 2 8 4" xfId="34950" xr:uid="{00000000-0005-0000-0000-000033640000}"/>
    <cellStyle name="Normal 11 2 8 5" xfId="39154" xr:uid="{00000000-0005-0000-0000-000034640000}"/>
    <cellStyle name="Normal 11 2 9" xfId="9073" xr:uid="{00000000-0005-0000-0000-000035640000}"/>
    <cellStyle name="Normal 11 2 9 2" xfId="26644" xr:uid="{00000000-0005-0000-0000-000036640000}"/>
    <cellStyle name="Normal 11 2 9 3" xfId="30857" xr:uid="{00000000-0005-0000-0000-000037640000}"/>
    <cellStyle name="Normal 11 2 9 4" xfId="35072" xr:uid="{00000000-0005-0000-0000-000038640000}"/>
    <cellStyle name="Normal 11 2 9 5" xfId="39276" xr:uid="{00000000-0005-0000-0000-000039640000}"/>
    <cellStyle name="Normal 11 20" xfId="29051" xr:uid="{00000000-0005-0000-0000-00003A640000}"/>
    <cellStyle name="Normal 11 21" xfId="33268" xr:uid="{00000000-0005-0000-0000-00003B640000}"/>
    <cellStyle name="Normal 11 22" xfId="37472" xr:uid="{00000000-0005-0000-0000-00003C640000}"/>
    <cellStyle name="Normal 11 3" xfId="4431" xr:uid="{00000000-0005-0000-0000-00003D640000}"/>
    <cellStyle name="Normal 11 3 10" xfId="9434" xr:uid="{00000000-0005-0000-0000-00003E640000}"/>
    <cellStyle name="Normal 11 3 10 2" xfId="27005" xr:uid="{00000000-0005-0000-0000-00003F640000}"/>
    <cellStyle name="Normal 11 3 10 3" xfId="31218" xr:uid="{00000000-0005-0000-0000-000040640000}"/>
    <cellStyle name="Normal 11 3 10 4" xfId="35433" xr:uid="{00000000-0005-0000-0000-000041640000}"/>
    <cellStyle name="Normal 11 3 10 5" xfId="39637" xr:uid="{00000000-0005-0000-0000-000042640000}"/>
    <cellStyle name="Normal 11 3 11" xfId="24903" xr:uid="{00000000-0005-0000-0000-000043640000}"/>
    <cellStyle name="Normal 11 3 12" xfId="29115" xr:uid="{00000000-0005-0000-0000-000044640000}"/>
    <cellStyle name="Normal 11 3 13" xfId="33331" xr:uid="{00000000-0005-0000-0000-000045640000}"/>
    <cellStyle name="Normal 11 3 14" xfId="37535" xr:uid="{00000000-0005-0000-0000-000046640000}"/>
    <cellStyle name="Normal 11 3 2" xfId="6205" xr:uid="{00000000-0005-0000-0000-000047640000}"/>
    <cellStyle name="Normal 11 3 2 2" xfId="7084" xr:uid="{00000000-0005-0000-0000-000048640000}"/>
    <cellStyle name="Normal 11 3 2 2 2" xfId="25737" xr:uid="{00000000-0005-0000-0000-000049640000}"/>
    <cellStyle name="Normal 11 3 2 2 3" xfId="29950" xr:uid="{00000000-0005-0000-0000-00004A640000}"/>
    <cellStyle name="Normal 11 3 2 2 4" xfId="34165" xr:uid="{00000000-0005-0000-0000-00004B640000}"/>
    <cellStyle name="Normal 11 3 2 2 5" xfId="38369" xr:uid="{00000000-0005-0000-0000-00004C640000}"/>
    <cellStyle name="Normal 11 3 2 3" xfId="11692" xr:uid="{00000000-0005-0000-0000-00004D640000}"/>
    <cellStyle name="Normal 11 3 3" xfId="7214" xr:uid="{00000000-0005-0000-0000-00004E640000}"/>
    <cellStyle name="Normal 11 3 3 2" xfId="25847" xr:uid="{00000000-0005-0000-0000-00004F640000}"/>
    <cellStyle name="Normal 11 3 3 3" xfId="30060" xr:uid="{00000000-0005-0000-0000-000050640000}"/>
    <cellStyle name="Normal 11 3 3 4" xfId="34275" xr:uid="{00000000-0005-0000-0000-000051640000}"/>
    <cellStyle name="Normal 11 3 3 5" xfId="38479" xr:uid="{00000000-0005-0000-0000-000052640000}"/>
    <cellStyle name="Normal 11 3 4" xfId="7333" xr:uid="{00000000-0005-0000-0000-000053640000}"/>
    <cellStyle name="Normal 11 3 4 2" xfId="25966" xr:uid="{00000000-0005-0000-0000-000054640000}"/>
    <cellStyle name="Normal 11 3 4 3" xfId="30179" xr:uid="{00000000-0005-0000-0000-000055640000}"/>
    <cellStyle name="Normal 11 3 4 4" xfId="34394" xr:uid="{00000000-0005-0000-0000-000056640000}"/>
    <cellStyle name="Normal 11 3 4 5" xfId="38598" xr:uid="{00000000-0005-0000-0000-000057640000}"/>
    <cellStyle name="Normal 11 3 5" xfId="7451" xr:uid="{00000000-0005-0000-0000-000058640000}"/>
    <cellStyle name="Normal 11 3 5 2" xfId="26084" xr:uid="{00000000-0005-0000-0000-000059640000}"/>
    <cellStyle name="Normal 11 3 5 3" xfId="30297" xr:uid="{00000000-0005-0000-0000-00005A640000}"/>
    <cellStyle name="Normal 11 3 5 4" xfId="34512" xr:uid="{00000000-0005-0000-0000-00005B640000}"/>
    <cellStyle name="Normal 11 3 5 5" xfId="38716" xr:uid="{00000000-0005-0000-0000-00005C640000}"/>
    <cellStyle name="Normal 11 3 6" xfId="8952" xr:uid="{00000000-0005-0000-0000-00005D640000}"/>
    <cellStyle name="Normal 11 3 6 2" xfId="26523" xr:uid="{00000000-0005-0000-0000-00005E640000}"/>
    <cellStyle name="Normal 11 3 6 3" xfId="30736" xr:uid="{00000000-0005-0000-0000-00005F640000}"/>
    <cellStyle name="Normal 11 3 6 4" xfId="34951" xr:uid="{00000000-0005-0000-0000-000060640000}"/>
    <cellStyle name="Normal 11 3 6 5" xfId="39155" xr:uid="{00000000-0005-0000-0000-000061640000}"/>
    <cellStyle name="Normal 11 3 7" xfId="9074" xr:uid="{00000000-0005-0000-0000-000062640000}"/>
    <cellStyle name="Normal 11 3 7 2" xfId="26645" xr:uid="{00000000-0005-0000-0000-000063640000}"/>
    <cellStyle name="Normal 11 3 7 3" xfId="30858" xr:uid="{00000000-0005-0000-0000-000064640000}"/>
    <cellStyle name="Normal 11 3 7 4" xfId="35073" xr:uid="{00000000-0005-0000-0000-000065640000}"/>
    <cellStyle name="Normal 11 3 7 5" xfId="39277" xr:uid="{00000000-0005-0000-0000-000066640000}"/>
    <cellStyle name="Normal 11 3 8" xfId="9194" xr:uid="{00000000-0005-0000-0000-000067640000}"/>
    <cellStyle name="Normal 11 3 8 2" xfId="26765" xr:uid="{00000000-0005-0000-0000-000068640000}"/>
    <cellStyle name="Normal 11 3 8 3" xfId="30978" xr:uid="{00000000-0005-0000-0000-000069640000}"/>
    <cellStyle name="Normal 11 3 8 4" xfId="35193" xr:uid="{00000000-0005-0000-0000-00006A640000}"/>
    <cellStyle name="Normal 11 3 8 5" xfId="39397" xr:uid="{00000000-0005-0000-0000-00006B640000}"/>
    <cellStyle name="Normal 11 3 9" xfId="9315" xr:uid="{00000000-0005-0000-0000-00006C640000}"/>
    <cellStyle name="Normal 11 3 9 2" xfId="26886" xr:uid="{00000000-0005-0000-0000-00006D640000}"/>
    <cellStyle name="Normal 11 3 9 3" xfId="31099" xr:uid="{00000000-0005-0000-0000-00006E640000}"/>
    <cellStyle name="Normal 11 3 9 4" xfId="35314" xr:uid="{00000000-0005-0000-0000-00006F640000}"/>
    <cellStyle name="Normal 11 3 9 5" xfId="39518" xr:uid="{00000000-0005-0000-0000-000070640000}"/>
    <cellStyle name="Normal 11 4" xfId="6206" xr:uid="{00000000-0005-0000-0000-000071640000}"/>
    <cellStyle name="Normal 11 5" xfId="6900" xr:uid="{00000000-0005-0000-0000-000072640000}"/>
    <cellStyle name="Normal 11 5 2" xfId="8214" xr:uid="{00000000-0005-0000-0000-000073640000}"/>
    <cellStyle name="Normal 11 5 3" xfId="25588" xr:uid="{00000000-0005-0000-0000-000074640000}"/>
    <cellStyle name="Normal 11 5 4" xfId="29801" xr:uid="{00000000-0005-0000-0000-000075640000}"/>
    <cellStyle name="Normal 11 5 5" xfId="34016" xr:uid="{00000000-0005-0000-0000-000076640000}"/>
    <cellStyle name="Normal 11 5 6" xfId="38220" xr:uid="{00000000-0005-0000-0000-000077640000}"/>
    <cellStyle name="Normal 11 6" xfId="7082" xr:uid="{00000000-0005-0000-0000-000078640000}"/>
    <cellStyle name="Normal 11 6 2" xfId="8215" xr:uid="{00000000-0005-0000-0000-000079640000}"/>
    <cellStyle name="Normal 11 6 3" xfId="25735" xr:uid="{00000000-0005-0000-0000-00007A640000}"/>
    <cellStyle name="Normal 11 6 4" xfId="29948" xr:uid="{00000000-0005-0000-0000-00007B640000}"/>
    <cellStyle name="Normal 11 6 5" xfId="34163" xr:uid="{00000000-0005-0000-0000-00007C640000}"/>
    <cellStyle name="Normal 11 6 6" xfId="38367" xr:uid="{00000000-0005-0000-0000-00007D640000}"/>
    <cellStyle name="Normal 11 7" xfId="7212" xr:uid="{00000000-0005-0000-0000-00007E640000}"/>
    <cellStyle name="Normal 11 7 2" xfId="8216" xr:uid="{00000000-0005-0000-0000-00007F640000}"/>
    <cellStyle name="Normal 11 7 3" xfId="25845" xr:uid="{00000000-0005-0000-0000-000080640000}"/>
    <cellStyle name="Normal 11 7 4" xfId="30058" xr:uid="{00000000-0005-0000-0000-000081640000}"/>
    <cellStyle name="Normal 11 7 5" xfId="34273" xr:uid="{00000000-0005-0000-0000-000082640000}"/>
    <cellStyle name="Normal 11 7 6" xfId="38477" xr:uid="{00000000-0005-0000-0000-000083640000}"/>
    <cellStyle name="Normal 11 8" xfId="7331" xr:uid="{00000000-0005-0000-0000-000084640000}"/>
    <cellStyle name="Normal 11 8 2" xfId="8217" xr:uid="{00000000-0005-0000-0000-000085640000}"/>
    <cellStyle name="Normal 11 8 3" xfId="25964" xr:uid="{00000000-0005-0000-0000-000086640000}"/>
    <cellStyle name="Normal 11 8 4" xfId="30177" xr:uid="{00000000-0005-0000-0000-000087640000}"/>
    <cellStyle name="Normal 11 8 5" xfId="34392" xr:uid="{00000000-0005-0000-0000-000088640000}"/>
    <cellStyle name="Normal 11 8 6" xfId="38596" xr:uid="{00000000-0005-0000-0000-000089640000}"/>
    <cellStyle name="Normal 11 9" xfId="7449" xr:uid="{00000000-0005-0000-0000-00008A640000}"/>
    <cellStyle name="Normal 11 9 2" xfId="26082" xr:uid="{00000000-0005-0000-0000-00008B640000}"/>
    <cellStyle name="Normal 11 9 3" xfId="30295" xr:uid="{00000000-0005-0000-0000-00008C640000}"/>
    <cellStyle name="Normal 11 9 4" xfId="34510" xr:uid="{00000000-0005-0000-0000-00008D640000}"/>
    <cellStyle name="Normal 11 9 5" xfId="38714" xr:uid="{00000000-0005-0000-0000-00008E640000}"/>
    <cellStyle name="Normal 12" xfId="2111" xr:uid="{00000000-0005-0000-0000-00008F640000}"/>
    <cellStyle name="Normal 12 10" xfId="2112" xr:uid="{00000000-0005-0000-0000-000090640000}"/>
    <cellStyle name="Normal 12 10 2" xfId="4469" xr:uid="{00000000-0005-0000-0000-000091640000}"/>
    <cellStyle name="Normal 12 10 2 2" xfId="24940" xr:uid="{00000000-0005-0000-0000-000092640000}"/>
    <cellStyle name="Normal 12 10 2 3" xfId="29152" xr:uid="{00000000-0005-0000-0000-000093640000}"/>
    <cellStyle name="Normal 12 10 2 4" xfId="33368" xr:uid="{00000000-0005-0000-0000-000094640000}"/>
    <cellStyle name="Normal 12 10 2 5" xfId="37572" xr:uid="{00000000-0005-0000-0000-000095640000}"/>
    <cellStyle name="Normal 12 10 3" xfId="12268" xr:uid="{00000000-0005-0000-0000-000096640000}"/>
    <cellStyle name="Normal 12 10 3 2" xfId="28835" xr:uid="{00000000-0005-0000-0000-000097640000}"/>
    <cellStyle name="Normal 12 10 3 3" xfId="33048" xr:uid="{00000000-0005-0000-0000-000098640000}"/>
    <cellStyle name="Normal 12 10 3 4" xfId="37263" xr:uid="{00000000-0005-0000-0000-000099640000}"/>
    <cellStyle name="Normal 12 10 4" xfId="23477" xr:uid="{00000000-0005-0000-0000-00009A640000}"/>
    <cellStyle name="Normal 12 10 4 2" xfId="28976" xr:uid="{00000000-0005-0000-0000-00009B640000}"/>
    <cellStyle name="Normal 12 10 4 3" xfId="33193" xr:uid="{00000000-0005-0000-0000-00009C640000}"/>
    <cellStyle name="Normal 12 10 4 4" xfId="37404" xr:uid="{00000000-0005-0000-0000-00009D640000}"/>
    <cellStyle name="Normal 12 10 5" xfId="3429" xr:uid="{00000000-0005-0000-0000-00009E640000}"/>
    <cellStyle name="Normal 12 10 6" xfId="24843" xr:uid="{00000000-0005-0000-0000-00009F640000}"/>
    <cellStyle name="Normal 12 10 7" xfId="29054" xr:uid="{00000000-0005-0000-0000-0000A0640000}"/>
    <cellStyle name="Normal 12 10 8" xfId="33271" xr:uid="{00000000-0005-0000-0000-0000A1640000}"/>
    <cellStyle name="Normal 12 10 9" xfId="37475" xr:uid="{00000000-0005-0000-0000-0000A2640000}"/>
    <cellStyle name="Normal 12 11" xfId="4432" xr:uid="{00000000-0005-0000-0000-0000A3640000}"/>
    <cellStyle name="Normal 12 11 2" xfId="5225" xr:uid="{00000000-0005-0000-0000-0000A4640000}"/>
    <cellStyle name="Normal 12 11 3" xfId="5224" xr:uid="{00000000-0005-0000-0000-0000A5640000}"/>
    <cellStyle name="Normal 12 11 4" xfId="11246" xr:uid="{00000000-0005-0000-0000-0000A6640000}"/>
    <cellStyle name="Normal 12 11 4 2" xfId="28093" xr:uid="{00000000-0005-0000-0000-0000A7640000}"/>
    <cellStyle name="Normal 12 11 4 3" xfId="32306" xr:uid="{00000000-0005-0000-0000-0000A8640000}"/>
    <cellStyle name="Normal 12 11 4 4" xfId="36521" xr:uid="{00000000-0005-0000-0000-0000A9640000}"/>
    <cellStyle name="Normal 12 11 4 5" xfId="40725" xr:uid="{00000000-0005-0000-0000-0000AA640000}"/>
    <cellStyle name="Normal 12 11 5" xfId="24904" xr:uid="{00000000-0005-0000-0000-0000AB640000}"/>
    <cellStyle name="Normal 12 11 6" xfId="29116" xr:uid="{00000000-0005-0000-0000-0000AC640000}"/>
    <cellStyle name="Normal 12 11 7" xfId="33332" xr:uid="{00000000-0005-0000-0000-0000AD640000}"/>
    <cellStyle name="Normal 12 11 8" xfId="37536" xr:uid="{00000000-0005-0000-0000-0000AE640000}"/>
    <cellStyle name="Normal 12 12" xfId="6902" xr:uid="{00000000-0005-0000-0000-0000AF640000}"/>
    <cellStyle name="Normal 12 12 2" xfId="25590" xr:uid="{00000000-0005-0000-0000-0000B0640000}"/>
    <cellStyle name="Normal 12 12 3" xfId="29803" xr:uid="{00000000-0005-0000-0000-0000B1640000}"/>
    <cellStyle name="Normal 12 12 4" xfId="34018" xr:uid="{00000000-0005-0000-0000-0000B2640000}"/>
    <cellStyle name="Normal 12 12 5" xfId="38222" xr:uid="{00000000-0005-0000-0000-0000B3640000}"/>
    <cellStyle name="Normal 12 13" xfId="7085" xr:uid="{00000000-0005-0000-0000-0000B4640000}"/>
    <cellStyle name="Normal 12 13 2" xfId="25738" xr:uid="{00000000-0005-0000-0000-0000B5640000}"/>
    <cellStyle name="Normal 12 13 3" xfId="29951" xr:uid="{00000000-0005-0000-0000-0000B6640000}"/>
    <cellStyle name="Normal 12 13 4" xfId="34166" xr:uid="{00000000-0005-0000-0000-0000B7640000}"/>
    <cellStyle name="Normal 12 13 5" xfId="38370" xr:uid="{00000000-0005-0000-0000-0000B8640000}"/>
    <cellStyle name="Normal 12 14" xfId="7215" xr:uid="{00000000-0005-0000-0000-0000B9640000}"/>
    <cellStyle name="Normal 12 14 2" xfId="25848" xr:uid="{00000000-0005-0000-0000-0000BA640000}"/>
    <cellStyle name="Normal 12 14 3" xfId="30061" xr:uid="{00000000-0005-0000-0000-0000BB640000}"/>
    <cellStyle name="Normal 12 14 4" xfId="34276" xr:uid="{00000000-0005-0000-0000-0000BC640000}"/>
    <cellStyle name="Normal 12 14 5" xfId="38480" xr:uid="{00000000-0005-0000-0000-0000BD640000}"/>
    <cellStyle name="Normal 12 15" xfId="7334" xr:uid="{00000000-0005-0000-0000-0000BE640000}"/>
    <cellStyle name="Normal 12 15 2" xfId="25967" xr:uid="{00000000-0005-0000-0000-0000BF640000}"/>
    <cellStyle name="Normal 12 15 3" xfId="30180" xr:uid="{00000000-0005-0000-0000-0000C0640000}"/>
    <cellStyle name="Normal 12 15 4" xfId="34395" xr:uid="{00000000-0005-0000-0000-0000C1640000}"/>
    <cellStyle name="Normal 12 15 5" xfId="38599" xr:uid="{00000000-0005-0000-0000-0000C2640000}"/>
    <cellStyle name="Normal 12 16" xfId="7452" xr:uid="{00000000-0005-0000-0000-0000C3640000}"/>
    <cellStyle name="Normal 12 16 2" xfId="26085" xr:uid="{00000000-0005-0000-0000-0000C4640000}"/>
    <cellStyle name="Normal 12 16 3" xfId="30298" xr:uid="{00000000-0005-0000-0000-0000C5640000}"/>
    <cellStyle name="Normal 12 16 4" xfId="34513" xr:uid="{00000000-0005-0000-0000-0000C6640000}"/>
    <cellStyle name="Normal 12 16 5" xfId="38717" xr:uid="{00000000-0005-0000-0000-0000C7640000}"/>
    <cellStyle name="Normal 12 17" xfId="8953" xr:uid="{00000000-0005-0000-0000-0000C8640000}"/>
    <cellStyle name="Normal 12 17 2" xfId="26524" xr:uid="{00000000-0005-0000-0000-0000C9640000}"/>
    <cellStyle name="Normal 12 17 3" xfId="30737" xr:uid="{00000000-0005-0000-0000-0000CA640000}"/>
    <cellStyle name="Normal 12 17 4" xfId="34952" xr:uid="{00000000-0005-0000-0000-0000CB640000}"/>
    <cellStyle name="Normal 12 17 5" xfId="39156" xr:uid="{00000000-0005-0000-0000-0000CC640000}"/>
    <cellStyle name="Normal 12 18" xfId="9075" xr:uid="{00000000-0005-0000-0000-0000CD640000}"/>
    <cellStyle name="Normal 12 18 2" xfId="26646" xr:uid="{00000000-0005-0000-0000-0000CE640000}"/>
    <cellStyle name="Normal 12 18 3" xfId="30859" xr:uid="{00000000-0005-0000-0000-0000CF640000}"/>
    <cellStyle name="Normal 12 18 4" xfId="35074" xr:uid="{00000000-0005-0000-0000-0000D0640000}"/>
    <cellStyle name="Normal 12 18 5" xfId="39278" xr:uid="{00000000-0005-0000-0000-0000D1640000}"/>
    <cellStyle name="Normal 12 19" xfId="9195" xr:uid="{00000000-0005-0000-0000-0000D2640000}"/>
    <cellStyle name="Normal 12 19 2" xfId="26766" xr:uid="{00000000-0005-0000-0000-0000D3640000}"/>
    <cellStyle name="Normal 12 19 3" xfId="30979" xr:uid="{00000000-0005-0000-0000-0000D4640000}"/>
    <cellStyle name="Normal 12 19 4" xfId="35194" xr:uid="{00000000-0005-0000-0000-0000D5640000}"/>
    <cellStyle name="Normal 12 19 5" xfId="39398" xr:uid="{00000000-0005-0000-0000-0000D6640000}"/>
    <cellStyle name="Normal 12 2" xfId="2113" xr:uid="{00000000-0005-0000-0000-0000D7640000}"/>
    <cellStyle name="Normal 12 2 10" xfId="7216" xr:uid="{00000000-0005-0000-0000-0000D8640000}"/>
    <cellStyle name="Normal 12 2 10 2" xfId="25849" xr:uid="{00000000-0005-0000-0000-0000D9640000}"/>
    <cellStyle name="Normal 12 2 10 3" xfId="30062" xr:uid="{00000000-0005-0000-0000-0000DA640000}"/>
    <cellStyle name="Normal 12 2 10 4" xfId="34277" xr:uid="{00000000-0005-0000-0000-0000DB640000}"/>
    <cellStyle name="Normal 12 2 10 5" xfId="38481" xr:uid="{00000000-0005-0000-0000-0000DC640000}"/>
    <cellStyle name="Normal 12 2 11" xfId="7335" xr:uid="{00000000-0005-0000-0000-0000DD640000}"/>
    <cellStyle name="Normal 12 2 11 2" xfId="25968" xr:uid="{00000000-0005-0000-0000-0000DE640000}"/>
    <cellStyle name="Normal 12 2 11 3" xfId="30181" xr:uid="{00000000-0005-0000-0000-0000DF640000}"/>
    <cellStyle name="Normal 12 2 11 4" xfId="34396" xr:uid="{00000000-0005-0000-0000-0000E0640000}"/>
    <cellStyle name="Normal 12 2 11 5" xfId="38600" xr:uid="{00000000-0005-0000-0000-0000E1640000}"/>
    <cellStyle name="Normal 12 2 12" xfId="7453" xr:uid="{00000000-0005-0000-0000-0000E2640000}"/>
    <cellStyle name="Normal 12 2 12 2" xfId="26086" xr:uid="{00000000-0005-0000-0000-0000E3640000}"/>
    <cellStyle name="Normal 12 2 12 3" xfId="30299" xr:uid="{00000000-0005-0000-0000-0000E4640000}"/>
    <cellStyle name="Normal 12 2 12 4" xfId="34514" xr:uid="{00000000-0005-0000-0000-0000E5640000}"/>
    <cellStyle name="Normal 12 2 12 5" xfId="38718" xr:uid="{00000000-0005-0000-0000-0000E6640000}"/>
    <cellStyle name="Normal 12 2 13" xfId="8954" xr:uid="{00000000-0005-0000-0000-0000E7640000}"/>
    <cellStyle name="Normal 12 2 13 2" xfId="26525" xr:uid="{00000000-0005-0000-0000-0000E8640000}"/>
    <cellStyle name="Normal 12 2 13 3" xfId="30738" xr:uid="{00000000-0005-0000-0000-0000E9640000}"/>
    <cellStyle name="Normal 12 2 13 4" xfId="34953" xr:uid="{00000000-0005-0000-0000-0000EA640000}"/>
    <cellStyle name="Normal 12 2 13 5" xfId="39157" xr:uid="{00000000-0005-0000-0000-0000EB640000}"/>
    <cellStyle name="Normal 12 2 14" xfId="9076" xr:uid="{00000000-0005-0000-0000-0000EC640000}"/>
    <cellStyle name="Normal 12 2 14 2" xfId="26647" xr:uid="{00000000-0005-0000-0000-0000ED640000}"/>
    <cellStyle name="Normal 12 2 14 3" xfId="30860" xr:uid="{00000000-0005-0000-0000-0000EE640000}"/>
    <cellStyle name="Normal 12 2 14 4" xfId="35075" xr:uid="{00000000-0005-0000-0000-0000EF640000}"/>
    <cellStyle name="Normal 12 2 14 5" xfId="39279" xr:uid="{00000000-0005-0000-0000-0000F0640000}"/>
    <cellStyle name="Normal 12 2 15" xfId="9196" xr:uid="{00000000-0005-0000-0000-0000F1640000}"/>
    <cellStyle name="Normal 12 2 15 2" xfId="26767" xr:uid="{00000000-0005-0000-0000-0000F2640000}"/>
    <cellStyle name="Normal 12 2 15 3" xfId="30980" xr:uid="{00000000-0005-0000-0000-0000F3640000}"/>
    <cellStyle name="Normal 12 2 15 4" xfId="35195" xr:uid="{00000000-0005-0000-0000-0000F4640000}"/>
    <cellStyle name="Normal 12 2 15 5" xfId="39399" xr:uid="{00000000-0005-0000-0000-0000F5640000}"/>
    <cellStyle name="Normal 12 2 16" xfId="9317" xr:uid="{00000000-0005-0000-0000-0000F6640000}"/>
    <cellStyle name="Normal 12 2 16 2" xfId="26888" xr:uid="{00000000-0005-0000-0000-0000F7640000}"/>
    <cellStyle name="Normal 12 2 16 3" xfId="31101" xr:uid="{00000000-0005-0000-0000-0000F8640000}"/>
    <cellStyle name="Normal 12 2 16 4" xfId="35316" xr:uid="{00000000-0005-0000-0000-0000F9640000}"/>
    <cellStyle name="Normal 12 2 16 5" xfId="39520" xr:uid="{00000000-0005-0000-0000-0000FA640000}"/>
    <cellStyle name="Normal 12 2 17" xfId="9436" xr:uid="{00000000-0005-0000-0000-0000FB640000}"/>
    <cellStyle name="Normal 12 2 17 2" xfId="27007" xr:uid="{00000000-0005-0000-0000-0000FC640000}"/>
    <cellStyle name="Normal 12 2 17 3" xfId="31220" xr:uid="{00000000-0005-0000-0000-0000FD640000}"/>
    <cellStyle name="Normal 12 2 17 4" xfId="35435" xr:uid="{00000000-0005-0000-0000-0000FE640000}"/>
    <cellStyle name="Normal 12 2 17 5" xfId="39639" xr:uid="{00000000-0005-0000-0000-0000FF640000}"/>
    <cellStyle name="Normal 12 2 18" xfId="3430" xr:uid="{00000000-0005-0000-0000-000000650000}"/>
    <cellStyle name="Normal 12 2 2" xfId="2114" xr:uid="{00000000-0005-0000-0000-000001650000}"/>
    <cellStyle name="Normal 12 2 2 2" xfId="2115" xr:uid="{00000000-0005-0000-0000-000002650000}"/>
    <cellStyle name="Normal 12 2 2 2 2" xfId="3432" xr:uid="{00000000-0005-0000-0000-000003650000}"/>
    <cellStyle name="Normal 12 2 2 3" xfId="3431" xr:uid="{00000000-0005-0000-0000-000004650000}"/>
    <cellStyle name="Normal 12 2 3" xfId="2116" xr:uid="{00000000-0005-0000-0000-000005650000}"/>
    <cellStyle name="Normal 12 2 3 2" xfId="3433" xr:uid="{00000000-0005-0000-0000-000006650000}"/>
    <cellStyle name="Normal 12 2 4" xfId="2117" xr:uid="{00000000-0005-0000-0000-000007650000}"/>
    <cellStyle name="Normal 12 2 4 2" xfId="3434" xr:uid="{00000000-0005-0000-0000-000008650000}"/>
    <cellStyle name="Normal 12 2 5" xfId="2118" xr:uid="{00000000-0005-0000-0000-000009650000}"/>
    <cellStyle name="Normal 12 2 5 2" xfId="3435" xr:uid="{00000000-0005-0000-0000-00000A650000}"/>
    <cellStyle name="Normal 12 2 6" xfId="2119" xr:uid="{00000000-0005-0000-0000-00000B650000}"/>
    <cellStyle name="Normal 12 2 6 2" xfId="3436" xr:uid="{00000000-0005-0000-0000-00000C650000}"/>
    <cellStyle name="Normal 12 2 7" xfId="5226" xr:uid="{00000000-0005-0000-0000-00000D650000}"/>
    <cellStyle name="Normal 12 2 8" xfId="5227" xr:uid="{00000000-0005-0000-0000-00000E650000}"/>
    <cellStyle name="Normal 12 2 8 2" xfId="5228" xr:uid="{00000000-0005-0000-0000-00000F650000}"/>
    <cellStyle name="Normal 12 2 9" xfId="7086" xr:uid="{00000000-0005-0000-0000-000010650000}"/>
    <cellStyle name="Normal 12 2 9 2" xfId="25739" xr:uid="{00000000-0005-0000-0000-000011650000}"/>
    <cellStyle name="Normal 12 2 9 3" xfId="29952" xr:uid="{00000000-0005-0000-0000-000012650000}"/>
    <cellStyle name="Normal 12 2 9 4" xfId="34167" xr:uid="{00000000-0005-0000-0000-000013650000}"/>
    <cellStyle name="Normal 12 2 9 5" xfId="38371" xr:uid="{00000000-0005-0000-0000-000014650000}"/>
    <cellStyle name="Normal 12 20" xfId="9316" xr:uid="{00000000-0005-0000-0000-000015650000}"/>
    <cellStyle name="Normal 12 20 2" xfId="26887" xr:uid="{00000000-0005-0000-0000-000016650000}"/>
    <cellStyle name="Normal 12 20 3" xfId="31100" xr:uid="{00000000-0005-0000-0000-000017650000}"/>
    <cellStyle name="Normal 12 20 4" xfId="35315" xr:uid="{00000000-0005-0000-0000-000018650000}"/>
    <cellStyle name="Normal 12 20 5" xfId="39519" xr:uid="{00000000-0005-0000-0000-000019650000}"/>
    <cellStyle name="Normal 12 21" xfId="9435" xr:uid="{00000000-0005-0000-0000-00001A650000}"/>
    <cellStyle name="Normal 12 21 2" xfId="27006" xr:uid="{00000000-0005-0000-0000-00001B650000}"/>
    <cellStyle name="Normal 12 21 3" xfId="31219" xr:uid="{00000000-0005-0000-0000-00001C650000}"/>
    <cellStyle name="Normal 12 21 4" xfId="35434" xr:uid="{00000000-0005-0000-0000-00001D650000}"/>
    <cellStyle name="Normal 12 21 5" xfId="39638" xr:uid="{00000000-0005-0000-0000-00001E650000}"/>
    <cellStyle name="Normal 12 22" xfId="12232" xr:uid="{00000000-0005-0000-0000-00001F650000}"/>
    <cellStyle name="Normal 12 22 2" xfId="28800" xr:uid="{00000000-0005-0000-0000-000020650000}"/>
    <cellStyle name="Normal 12 22 3" xfId="33013" xr:uid="{00000000-0005-0000-0000-000021650000}"/>
    <cellStyle name="Normal 12 22 4" xfId="37228" xr:uid="{00000000-0005-0000-0000-000022650000}"/>
    <cellStyle name="Normal 12 23" xfId="23441" xr:uid="{00000000-0005-0000-0000-000023650000}"/>
    <cellStyle name="Normal 12 23 2" xfId="28941" xr:uid="{00000000-0005-0000-0000-000024650000}"/>
    <cellStyle name="Normal 12 23 3" xfId="33158" xr:uid="{00000000-0005-0000-0000-000025650000}"/>
    <cellStyle name="Normal 12 23 4" xfId="37369" xr:uid="{00000000-0005-0000-0000-000026650000}"/>
    <cellStyle name="Normal 12 24" xfId="3428" xr:uid="{00000000-0005-0000-0000-000027650000}"/>
    <cellStyle name="Normal 12 25" xfId="24842" xr:uid="{00000000-0005-0000-0000-000028650000}"/>
    <cellStyle name="Normal 12 26" xfId="29053" xr:uid="{00000000-0005-0000-0000-000029650000}"/>
    <cellStyle name="Normal 12 27" xfId="33270" xr:uid="{00000000-0005-0000-0000-00002A650000}"/>
    <cellStyle name="Normal 12 28" xfId="37474" xr:uid="{00000000-0005-0000-0000-00002B650000}"/>
    <cellStyle name="Normal 12 3" xfId="2120" xr:uid="{00000000-0005-0000-0000-00002C650000}"/>
    <cellStyle name="Normal 12 3 10" xfId="7217" xr:uid="{00000000-0005-0000-0000-00002D650000}"/>
    <cellStyle name="Normal 12 3 10 2" xfId="25850" xr:uid="{00000000-0005-0000-0000-00002E650000}"/>
    <cellStyle name="Normal 12 3 10 3" xfId="30063" xr:uid="{00000000-0005-0000-0000-00002F650000}"/>
    <cellStyle name="Normal 12 3 10 4" xfId="34278" xr:uid="{00000000-0005-0000-0000-000030650000}"/>
    <cellStyle name="Normal 12 3 10 5" xfId="38482" xr:uid="{00000000-0005-0000-0000-000031650000}"/>
    <cellStyle name="Normal 12 3 11" xfId="7336" xr:uid="{00000000-0005-0000-0000-000032650000}"/>
    <cellStyle name="Normal 12 3 11 2" xfId="25969" xr:uid="{00000000-0005-0000-0000-000033650000}"/>
    <cellStyle name="Normal 12 3 11 3" xfId="30182" xr:uid="{00000000-0005-0000-0000-000034650000}"/>
    <cellStyle name="Normal 12 3 11 4" xfId="34397" xr:uid="{00000000-0005-0000-0000-000035650000}"/>
    <cellStyle name="Normal 12 3 11 5" xfId="38601" xr:uid="{00000000-0005-0000-0000-000036650000}"/>
    <cellStyle name="Normal 12 3 12" xfId="7454" xr:uid="{00000000-0005-0000-0000-000037650000}"/>
    <cellStyle name="Normal 12 3 12 2" xfId="26087" xr:uid="{00000000-0005-0000-0000-000038650000}"/>
    <cellStyle name="Normal 12 3 12 3" xfId="30300" xr:uid="{00000000-0005-0000-0000-000039650000}"/>
    <cellStyle name="Normal 12 3 12 4" xfId="34515" xr:uid="{00000000-0005-0000-0000-00003A650000}"/>
    <cellStyle name="Normal 12 3 12 5" xfId="38719" xr:uid="{00000000-0005-0000-0000-00003B650000}"/>
    <cellStyle name="Normal 12 3 13" xfId="8955" xr:uid="{00000000-0005-0000-0000-00003C650000}"/>
    <cellStyle name="Normal 12 3 13 2" xfId="26526" xr:uid="{00000000-0005-0000-0000-00003D650000}"/>
    <cellStyle name="Normal 12 3 13 3" xfId="30739" xr:uid="{00000000-0005-0000-0000-00003E650000}"/>
    <cellStyle name="Normal 12 3 13 4" xfId="34954" xr:uid="{00000000-0005-0000-0000-00003F650000}"/>
    <cellStyle name="Normal 12 3 13 5" xfId="39158" xr:uid="{00000000-0005-0000-0000-000040650000}"/>
    <cellStyle name="Normal 12 3 14" xfId="9077" xr:uid="{00000000-0005-0000-0000-000041650000}"/>
    <cellStyle name="Normal 12 3 14 2" xfId="26648" xr:uid="{00000000-0005-0000-0000-000042650000}"/>
    <cellStyle name="Normal 12 3 14 3" xfId="30861" xr:uid="{00000000-0005-0000-0000-000043650000}"/>
    <cellStyle name="Normal 12 3 14 4" xfId="35076" xr:uid="{00000000-0005-0000-0000-000044650000}"/>
    <cellStyle name="Normal 12 3 14 5" xfId="39280" xr:uid="{00000000-0005-0000-0000-000045650000}"/>
    <cellStyle name="Normal 12 3 15" xfId="9197" xr:uid="{00000000-0005-0000-0000-000046650000}"/>
    <cellStyle name="Normal 12 3 15 2" xfId="26768" xr:uid="{00000000-0005-0000-0000-000047650000}"/>
    <cellStyle name="Normal 12 3 15 3" xfId="30981" xr:uid="{00000000-0005-0000-0000-000048650000}"/>
    <cellStyle name="Normal 12 3 15 4" xfId="35196" xr:uid="{00000000-0005-0000-0000-000049650000}"/>
    <cellStyle name="Normal 12 3 15 5" xfId="39400" xr:uid="{00000000-0005-0000-0000-00004A650000}"/>
    <cellStyle name="Normal 12 3 16" xfId="9318" xr:uid="{00000000-0005-0000-0000-00004B650000}"/>
    <cellStyle name="Normal 12 3 16 2" xfId="26889" xr:uid="{00000000-0005-0000-0000-00004C650000}"/>
    <cellStyle name="Normal 12 3 16 3" xfId="31102" xr:uid="{00000000-0005-0000-0000-00004D650000}"/>
    <cellStyle name="Normal 12 3 16 4" xfId="35317" xr:uid="{00000000-0005-0000-0000-00004E650000}"/>
    <cellStyle name="Normal 12 3 16 5" xfId="39521" xr:uid="{00000000-0005-0000-0000-00004F650000}"/>
    <cellStyle name="Normal 12 3 17" xfId="9437" xr:uid="{00000000-0005-0000-0000-000050650000}"/>
    <cellStyle name="Normal 12 3 17 2" xfId="27008" xr:uid="{00000000-0005-0000-0000-000051650000}"/>
    <cellStyle name="Normal 12 3 17 3" xfId="31221" xr:uid="{00000000-0005-0000-0000-000052650000}"/>
    <cellStyle name="Normal 12 3 17 4" xfId="35436" xr:uid="{00000000-0005-0000-0000-000053650000}"/>
    <cellStyle name="Normal 12 3 17 5" xfId="39640" xr:uid="{00000000-0005-0000-0000-000054650000}"/>
    <cellStyle name="Normal 12 3 18" xfId="3437" xr:uid="{00000000-0005-0000-0000-000055650000}"/>
    <cellStyle name="Normal 12 3 2" xfId="2121" xr:uid="{00000000-0005-0000-0000-000056650000}"/>
    <cellStyle name="Normal 12 3 2 2" xfId="2122" xr:uid="{00000000-0005-0000-0000-000057650000}"/>
    <cellStyle name="Normal 12 3 2 2 2" xfId="3439" xr:uid="{00000000-0005-0000-0000-000058650000}"/>
    <cellStyle name="Normal 12 3 2 3" xfId="3438" xr:uid="{00000000-0005-0000-0000-000059650000}"/>
    <cellStyle name="Normal 12 3 3" xfId="2123" xr:uid="{00000000-0005-0000-0000-00005A650000}"/>
    <cellStyle name="Normal 12 3 3 2" xfId="3440" xr:uid="{00000000-0005-0000-0000-00005B650000}"/>
    <cellStyle name="Normal 12 3 4" xfId="2124" xr:uid="{00000000-0005-0000-0000-00005C650000}"/>
    <cellStyle name="Normal 12 3 4 2" xfId="3441" xr:uid="{00000000-0005-0000-0000-00005D650000}"/>
    <cellStyle name="Normal 12 3 5" xfId="2125" xr:uid="{00000000-0005-0000-0000-00005E650000}"/>
    <cellStyle name="Normal 12 3 5 2" xfId="3442" xr:uid="{00000000-0005-0000-0000-00005F650000}"/>
    <cellStyle name="Normal 12 3 6" xfId="2126" xr:uid="{00000000-0005-0000-0000-000060650000}"/>
    <cellStyle name="Normal 12 3 6 2" xfId="3443" xr:uid="{00000000-0005-0000-0000-000061650000}"/>
    <cellStyle name="Normal 12 3 7" xfId="5229" xr:uid="{00000000-0005-0000-0000-000062650000}"/>
    <cellStyle name="Normal 12 3 8" xfId="5230" xr:uid="{00000000-0005-0000-0000-000063650000}"/>
    <cellStyle name="Normal 12 3 8 2" xfId="5231" xr:uid="{00000000-0005-0000-0000-000064650000}"/>
    <cellStyle name="Normal 12 3 9" xfId="7087" xr:uid="{00000000-0005-0000-0000-000065650000}"/>
    <cellStyle name="Normal 12 3 9 2" xfId="25740" xr:uid="{00000000-0005-0000-0000-000066650000}"/>
    <cellStyle name="Normal 12 3 9 3" xfId="29953" xr:uid="{00000000-0005-0000-0000-000067650000}"/>
    <cellStyle name="Normal 12 3 9 4" xfId="34168" xr:uid="{00000000-0005-0000-0000-000068650000}"/>
    <cellStyle name="Normal 12 3 9 5" xfId="38372" xr:uid="{00000000-0005-0000-0000-000069650000}"/>
    <cellStyle name="Normal 12 4" xfId="2127" xr:uid="{00000000-0005-0000-0000-00006A650000}"/>
    <cellStyle name="Normal 12 4 2" xfId="2128" xr:uid="{00000000-0005-0000-0000-00006B650000}"/>
    <cellStyle name="Normal 12 4 2 2" xfId="2129" xr:uid="{00000000-0005-0000-0000-00006C650000}"/>
    <cellStyle name="Normal 12 4 2 2 2" xfId="3446" xr:uid="{00000000-0005-0000-0000-00006D650000}"/>
    <cellStyle name="Normal 12 4 2 3" xfId="3445" xr:uid="{00000000-0005-0000-0000-00006E650000}"/>
    <cellStyle name="Normal 12 4 3" xfId="2130" xr:uid="{00000000-0005-0000-0000-00006F650000}"/>
    <cellStyle name="Normal 12 4 3 2" xfId="3447" xr:uid="{00000000-0005-0000-0000-000070650000}"/>
    <cellStyle name="Normal 12 4 4" xfId="2131" xr:uid="{00000000-0005-0000-0000-000071650000}"/>
    <cellStyle name="Normal 12 4 4 2" xfId="3448" xr:uid="{00000000-0005-0000-0000-000072650000}"/>
    <cellStyle name="Normal 12 4 5" xfId="2132" xr:uid="{00000000-0005-0000-0000-000073650000}"/>
    <cellStyle name="Normal 12 4 5 2" xfId="3449" xr:uid="{00000000-0005-0000-0000-000074650000}"/>
    <cellStyle name="Normal 12 4 6" xfId="2133" xr:uid="{00000000-0005-0000-0000-000075650000}"/>
    <cellStyle name="Normal 12 4 6 2" xfId="3450" xr:uid="{00000000-0005-0000-0000-000076650000}"/>
    <cellStyle name="Normal 12 4 7" xfId="5232" xr:uid="{00000000-0005-0000-0000-000077650000}"/>
    <cellStyle name="Normal 12 4 8" xfId="5233" xr:uid="{00000000-0005-0000-0000-000078650000}"/>
    <cellStyle name="Normal 12 4 8 2" xfId="5234" xr:uid="{00000000-0005-0000-0000-000079650000}"/>
    <cellStyle name="Normal 12 4 9" xfId="3444" xr:uid="{00000000-0005-0000-0000-00007A650000}"/>
    <cellStyle name="Normal 12 5" xfId="2134" xr:uid="{00000000-0005-0000-0000-00007B650000}"/>
    <cellStyle name="Normal 12 5 2" xfId="2135" xr:uid="{00000000-0005-0000-0000-00007C650000}"/>
    <cellStyle name="Normal 12 5 2 2" xfId="2136" xr:uid="{00000000-0005-0000-0000-00007D650000}"/>
    <cellStyle name="Normal 12 5 2 2 2" xfId="3453" xr:uid="{00000000-0005-0000-0000-00007E650000}"/>
    <cellStyle name="Normal 12 5 2 3" xfId="3452" xr:uid="{00000000-0005-0000-0000-00007F650000}"/>
    <cellStyle name="Normal 12 5 3" xfId="2137" xr:uid="{00000000-0005-0000-0000-000080650000}"/>
    <cellStyle name="Normal 12 5 3 2" xfId="3454" xr:uid="{00000000-0005-0000-0000-000081650000}"/>
    <cellStyle name="Normal 12 5 4" xfId="2138" xr:uid="{00000000-0005-0000-0000-000082650000}"/>
    <cellStyle name="Normal 12 5 4 2" xfId="3455" xr:uid="{00000000-0005-0000-0000-000083650000}"/>
    <cellStyle name="Normal 12 5 5" xfId="2139" xr:uid="{00000000-0005-0000-0000-000084650000}"/>
    <cellStyle name="Normal 12 5 5 2" xfId="3456" xr:uid="{00000000-0005-0000-0000-000085650000}"/>
    <cellStyle name="Normal 12 5 6" xfId="2140" xr:uid="{00000000-0005-0000-0000-000086650000}"/>
    <cellStyle name="Normal 12 5 6 2" xfId="3457" xr:uid="{00000000-0005-0000-0000-000087650000}"/>
    <cellStyle name="Normal 12 5 7" xfId="5235" xr:uid="{00000000-0005-0000-0000-000088650000}"/>
    <cellStyle name="Normal 12 5 8" xfId="5236" xr:uid="{00000000-0005-0000-0000-000089650000}"/>
    <cellStyle name="Normal 12 5 8 2" xfId="5237" xr:uid="{00000000-0005-0000-0000-00008A650000}"/>
    <cellStyle name="Normal 12 5 9" xfId="3451" xr:uid="{00000000-0005-0000-0000-00008B650000}"/>
    <cellStyle name="Normal 12 6" xfId="2141" xr:uid="{00000000-0005-0000-0000-00008C650000}"/>
    <cellStyle name="Normal 12 6 2" xfId="2142" xr:uid="{00000000-0005-0000-0000-00008D650000}"/>
    <cellStyle name="Normal 12 6 2 2" xfId="2143" xr:uid="{00000000-0005-0000-0000-00008E650000}"/>
    <cellStyle name="Normal 12 6 2 2 2" xfId="3460" xr:uid="{00000000-0005-0000-0000-00008F650000}"/>
    <cellStyle name="Normal 12 6 2 3" xfId="3459" xr:uid="{00000000-0005-0000-0000-000090650000}"/>
    <cellStyle name="Normal 12 6 3" xfId="2144" xr:uid="{00000000-0005-0000-0000-000091650000}"/>
    <cellStyle name="Normal 12 6 3 2" xfId="3461" xr:uid="{00000000-0005-0000-0000-000092650000}"/>
    <cellStyle name="Normal 12 6 4" xfId="2145" xr:uid="{00000000-0005-0000-0000-000093650000}"/>
    <cellStyle name="Normal 12 6 4 2" xfId="3462" xr:uid="{00000000-0005-0000-0000-000094650000}"/>
    <cellStyle name="Normal 12 6 5" xfId="2146" xr:uid="{00000000-0005-0000-0000-000095650000}"/>
    <cellStyle name="Normal 12 6 5 2" xfId="3463" xr:uid="{00000000-0005-0000-0000-000096650000}"/>
    <cellStyle name="Normal 12 6 6" xfId="2147" xr:uid="{00000000-0005-0000-0000-000097650000}"/>
    <cellStyle name="Normal 12 6 6 2" xfId="3464" xr:uid="{00000000-0005-0000-0000-000098650000}"/>
    <cellStyle name="Normal 12 6 7" xfId="5238" xr:uid="{00000000-0005-0000-0000-000099650000}"/>
    <cellStyle name="Normal 12 6 8" xfId="5239" xr:uid="{00000000-0005-0000-0000-00009A650000}"/>
    <cellStyle name="Normal 12 6 8 2" xfId="5240" xr:uid="{00000000-0005-0000-0000-00009B650000}"/>
    <cellStyle name="Normal 12 6 9" xfId="3458" xr:uid="{00000000-0005-0000-0000-00009C650000}"/>
    <cellStyle name="Normal 12 7" xfId="2148" xr:uid="{00000000-0005-0000-0000-00009D650000}"/>
    <cellStyle name="Normal 12 7 2" xfId="3465" xr:uid="{00000000-0005-0000-0000-00009E650000}"/>
    <cellStyle name="Normal 12 8" xfId="2149" xr:uid="{00000000-0005-0000-0000-00009F650000}"/>
    <cellStyle name="Normal 12 8 2" xfId="3466" xr:uid="{00000000-0005-0000-0000-0000A0650000}"/>
    <cellStyle name="Normal 12 9" xfId="2150" xr:uid="{00000000-0005-0000-0000-0000A1650000}"/>
    <cellStyle name="Normal 12 9 2" xfId="3467" xr:uid="{00000000-0005-0000-0000-0000A2650000}"/>
    <cellStyle name="Normal 13" xfId="2151" xr:uid="{00000000-0005-0000-0000-0000A3650000}"/>
    <cellStyle name="Normal 13 10" xfId="8218" xr:uid="{00000000-0005-0000-0000-0000A4650000}"/>
    <cellStyle name="Normal 13 10 2" xfId="26408" xr:uid="{00000000-0005-0000-0000-0000A5650000}"/>
    <cellStyle name="Normal 13 10 3" xfId="30621" xr:uid="{00000000-0005-0000-0000-0000A6650000}"/>
    <cellStyle name="Normal 13 10 4" xfId="34836" xr:uid="{00000000-0005-0000-0000-0000A7650000}"/>
    <cellStyle name="Normal 13 10 5" xfId="39040" xr:uid="{00000000-0005-0000-0000-0000A8650000}"/>
    <cellStyle name="Normal 13 11" xfId="8219" xr:uid="{00000000-0005-0000-0000-0000A9650000}"/>
    <cellStyle name="Normal 13 11 2" xfId="26409" xr:uid="{00000000-0005-0000-0000-0000AA650000}"/>
    <cellStyle name="Normal 13 11 3" xfId="30622" xr:uid="{00000000-0005-0000-0000-0000AB650000}"/>
    <cellStyle name="Normal 13 11 4" xfId="34837" xr:uid="{00000000-0005-0000-0000-0000AC650000}"/>
    <cellStyle name="Normal 13 11 5" xfId="39041" xr:uid="{00000000-0005-0000-0000-0000AD650000}"/>
    <cellStyle name="Normal 13 12" xfId="8220" xr:uid="{00000000-0005-0000-0000-0000AE650000}"/>
    <cellStyle name="Normal 13 13" xfId="8221" xr:uid="{00000000-0005-0000-0000-0000AF650000}"/>
    <cellStyle name="Normal 13 13 2" xfId="26410" xr:uid="{00000000-0005-0000-0000-0000B0650000}"/>
    <cellStyle name="Normal 13 13 3" xfId="30623" xr:uid="{00000000-0005-0000-0000-0000B1650000}"/>
    <cellStyle name="Normal 13 13 4" xfId="34838" xr:uid="{00000000-0005-0000-0000-0000B2650000}"/>
    <cellStyle name="Normal 13 13 5" xfId="39042" xr:uid="{00000000-0005-0000-0000-0000B3650000}"/>
    <cellStyle name="Normal 13 14" xfId="8222" xr:uid="{00000000-0005-0000-0000-0000B4650000}"/>
    <cellStyle name="Normal 13 14 2" xfId="26411" xr:uid="{00000000-0005-0000-0000-0000B5650000}"/>
    <cellStyle name="Normal 13 14 3" xfId="30624" xr:uid="{00000000-0005-0000-0000-0000B6650000}"/>
    <cellStyle name="Normal 13 14 4" xfId="34839" xr:uid="{00000000-0005-0000-0000-0000B7650000}"/>
    <cellStyle name="Normal 13 14 5" xfId="39043" xr:uid="{00000000-0005-0000-0000-0000B8650000}"/>
    <cellStyle name="Normal 13 15" xfId="8223" xr:uid="{00000000-0005-0000-0000-0000B9650000}"/>
    <cellStyle name="Normal 13 15 2" xfId="26412" xr:uid="{00000000-0005-0000-0000-0000BA650000}"/>
    <cellStyle name="Normal 13 15 3" xfId="30625" xr:uid="{00000000-0005-0000-0000-0000BB650000}"/>
    <cellStyle name="Normal 13 15 4" xfId="34840" xr:uid="{00000000-0005-0000-0000-0000BC650000}"/>
    <cellStyle name="Normal 13 15 5" xfId="39044" xr:uid="{00000000-0005-0000-0000-0000BD650000}"/>
    <cellStyle name="Normal 13 16" xfId="8224" xr:uid="{00000000-0005-0000-0000-0000BE650000}"/>
    <cellStyle name="Normal 13 16 2" xfId="26413" xr:uid="{00000000-0005-0000-0000-0000BF650000}"/>
    <cellStyle name="Normal 13 16 3" xfId="30626" xr:uid="{00000000-0005-0000-0000-0000C0650000}"/>
    <cellStyle name="Normal 13 16 4" xfId="34841" xr:uid="{00000000-0005-0000-0000-0000C1650000}"/>
    <cellStyle name="Normal 13 16 5" xfId="39045" xr:uid="{00000000-0005-0000-0000-0000C2650000}"/>
    <cellStyle name="Normal 13 17" xfId="8225" xr:uid="{00000000-0005-0000-0000-0000C3650000}"/>
    <cellStyle name="Normal 13 18" xfId="8226" xr:uid="{00000000-0005-0000-0000-0000C4650000}"/>
    <cellStyle name="Normal 13 19" xfId="8227" xr:uid="{00000000-0005-0000-0000-0000C5650000}"/>
    <cellStyle name="Normal 13 2" xfId="2152" xr:uid="{00000000-0005-0000-0000-0000C6650000}"/>
    <cellStyle name="Normal 13 2 10" xfId="3469" xr:uid="{00000000-0005-0000-0000-0000C7650000}"/>
    <cellStyle name="Normal 13 2 10 2" xfId="43548" xr:uid="{00000000-0005-0000-0000-0000C8650000}"/>
    <cellStyle name="Normal 13 2 2" xfId="8229" xr:uid="{00000000-0005-0000-0000-0000C9650000}"/>
    <cellStyle name="Normal 13 2 2 2" xfId="26414" xr:uid="{00000000-0005-0000-0000-0000CA650000}"/>
    <cellStyle name="Normal 13 2 2 3" xfId="30627" xr:uid="{00000000-0005-0000-0000-0000CB650000}"/>
    <cellStyle name="Normal 13 2 2 4" xfId="34842" xr:uid="{00000000-0005-0000-0000-0000CC650000}"/>
    <cellStyle name="Normal 13 2 2 5" xfId="39046" xr:uid="{00000000-0005-0000-0000-0000CD650000}"/>
    <cellStyle name="Normal 13 2 3" xfId="8230" xr:uid="{00000000-0005-0000-0000-0000CE650000}"/>
    <cellStyle name="Normal 13 2 3 2" xfId="26415" xr:uid="{00000000-0005-0000-0000-0000CF650000}"/>
    <cellStyle name="Normal 13 2 3 3" xfId="30628" xr:uid="{00000000-0005-0000-0000-0000D0650000}"/>
    <cellStyle name="Normal 13 2 3 4" xfId="34843" xr:uid="{00000000-0005-0000-0000-0000D1650000}"/>
    <cellStyle name="Normal 13 2 3 5" xfId="39047" xr:uid="{00000000-0005-0000-0000-0000D2650000}"/>
    <cellStyle name="Normal 13 2 4" xfId="8231" xr:uid="{00000000-0005-0000-0000-0000D3650000}"/>
    <cellStyle name="Normal 13 2 4 2" xfId="26416" xr:uid="{00000000-0005-0000-0000-0000D4650000}"/>
    <cellStyle name="Normal 13 2 4 3" xfId="30629" xr:uid="{00000000-0005-0000-0000-0000D5650000}"/>
    <cellStyle name="Normal 13 2 4 4" xfId="34844" xr:uid="{00000000-0005-0000-0000-0000D6650000}"/>
    <cellStyle name="Normal 13 2 4 5" xfId="39048" xr:uid="{00000000-0005-0000-0000-0000D7650000}"/>
    <cellStyle name="Normal 13 2 5" xfId="8232" xr:uid="{00000000-0005-0000-0000-0000D8650000}"/>
    <cellStyle name="Normal 13 2 5 2" xfId="26417" xr:uid="{00000000-0005-0000-0000-0000D9650000}"/>
    <cellStyle name="Normal 13 2 5 3" xfId="30630" xr:uid="{00000000-0005-0000-0000-0000DA650000}"/>
    <cellStyle name="Normal 13 2 5 4" xfId="34845" xr:uid="{00000000-0005-0000-0000-0000DB650000}"/>
    <cellStyle name="Normal 13 2 5 5" xfId="39049" xr:uid="{00000000-0005-0000-0000-0000DC650000}"/>
    <cellStyle name="Normal 13 2 6" xfId="8233" xr:uid="{00000000-0005-0000-0000-0000DD650000}"/>
    <cellStyle name="Normal 13 2 6 2" xfId="26418" xr:uid="{00000000-0005-0000-0000-0000DE650000}"/>
    <cellStyle name="Normal 13 2 6 3" xfId="30631" xr:uid="{00000000-0005-0000-0000-0000DF650000}"/>
    <cellStyle name="Normal 13 2 6 4" xfId="34846" xr:uid="{00000000-0005-0000-0000-0000E0650000}"/>
    <cellStyle name="Normal 13 2 6 5" xfId="39050" xr:uid="{00000000-0005-0000-0000-0000E1650000}"/>
    <cellStyle name="Normal 13 2 7" xfId="8234" xr:uid="{00000000-0005-0000-0000-0000E2650000}"/>
    <cellStyle name="Normal 13 2 7 2" xfId="26419" xr:uid="{00000000-0005-0000-0000-0000E3650000}"/>
    <cellStyle name="Normal 13 2 7 3" xfId="30632" xr:uid="{00000000-0005-0000-0000-0000E4650000}"/>
    <cellStyle name="Normal 13 2 7 4" xfId="34847" xr:uid="{00000000-0005-0000-0000-0000E5650000}"/>
    <cellStyle name="Normal 13 2 7 5" xfId="39051" xr:uid="{00000000-0005-0000-0000-0000E6650000}"/>
    <cellStyle name="Normal 13 2 8" xfId="8235" xr:uid="{00000000-0005-0000-0000-0000E7650000}"/>
    <cellStyle name="Normal 13 2 8 2" xfId="26420" xr:uid="{00000000-0005-0000-0000-0000E8650000}"/>
    <cellStyle name="Normal 13 2 8 3" xfId="30633" xr:uid="{00000000-0005-0000-0000-0000E9650000}"/>
    <cellStyle name="Normal 13 2 8 4" xfId="34848" xr:uid="{00000000-0005-0000-0000-0000EA650000}"/>
    <cellStyle name="Normal 13 2 8 5" xfId="39052" xr:uid="{00000000-0005-0000-0000-0000EB650000}"/>
    <cellStyle name="Normal 13 2 9" xfId="8228" xr:uid="{00000000-0005-0000-0000-0000EC650000}"/>
    <cellStyle name="Normal 13 20" xfId="8236" xr:uid="{00000000-0005-0000-0000-0000ED650000}"/>
    <cellStyle name="Normal 13 21" xfId="8237" xr:uid="{00000000-0005-0000-0000-0000EE650000}"/>
    <cellStyle name="Normal 13 22" xfId="8238" xr:uid="{00000000-0005-0000-0000-0000EF650000}"/>
    <cellStyle name="Normal 13 23" xfId="8239" xr:uid="{00000000-0005-0000-0000-0000F0650000}"/>
    <cellStyle name="Normal 13 24" xfId="8240" xr:uid="{00000000-0005-0000-0000-0000F1650000}"/>
    <cellStyle name="Normal 13 25" xfId="8241" xr:uid="{00000000-0005-0000-0000-0000F2650000}"/>
    <cellStyle name="Normal 13 26" xfId="8242" xr:uid="{00000000-0005-0000-0000-0000F3650000}"/>
    <cellStyle name="Normal 13 27" xfId="8243" xr:uid="{00000000-0005-0000-0000-0000F4650000}"/>
    <cellStyle name="Normal 13 28" xfId="8244" xr:uid="{00000000-0005-0000-0000-0000F5650000}"/>
    <cellStyle name="Normal 13 29" xfId="8245" xr:uid="{00000000-0005-0000-0000-0000F6650000}"/>
    <cellStyle name="Normal 13 3" xfId="3470" xr:uid="{00000000-0005-0000-0000-0000F7650000}"/>
    <cellStyle name="Normal 13 3 2" xfId="8246" xr:uid="{00000000-0005-0000-0000-0000F8650000}"/>
    <cellStyle name="Normal 13 3 2 2" xfId="26421" xr:uid="{00000000-0005-0000-0000-0000F9650000}"/>
    <cellStyle name="Normal 13 3 2 3" xfId="30634" xr:uid="{00000000-0005-0000-0000-0000FA650000}"/>
    <cellStyle name="Normal 13 3 2 4" xfId="34849" xr:uid="{00000000-0005-0000-0000-0000FB650000}"/>
    <cellStyle name="Normal 13 3 2 5" xfId="39053" xr:uid="{00000000-0005-0000-0000-0000FC650000}"/>
    <cellStyle name="Normal 13 30" xfId="8247" xr:uid="{00000000-0005-0000-0000-0000FD650000}"/>
    <cellStyle name="Normal 13 31" xfId="8248" xr:uid="{00000000-0005-0000-0000-0000FE650000}"/>
    <cellStyle name="Normal 13 32" xfId="8249" xr:uid="{00000000-0005-0000-0000-0000FF650000}"/>
    <cellStyle name="Normal 13 33" xfId="8250" xr:uid="{00000000-0005-0000-0000-000000660000}"/>
    <cellStyle name="Normal 13 34" xfId="8251" xr:uid="{00000000-0005-0000-0000-000001660000}"/>
    <cellStyle name="Normal 13 35" xfId="8252" xr:uid="{00000000-0005-0000-0000-000002660000}"/>
    <cellStyle name="Normal 13 36" xfId="8253" xr:uid="{00000000-0005-0000-0000-000003660000}"/>
    <cellStyle name="Normal 13 37" xfId="8254" xr:uid="{00000000-0005-0000-0000-000004660000}"/>
    <cellStyle name="Normal 13 38" xfId="8255" xr:uid="{00000000-0005-0000-0000-000005660000}"/>
    <cellStyle name="Normal 13 39" xfId="3468" xr:uid="{00000000-0005-0000-0000-000006660000}"/>
    <cellStyle name="Normal 13 4" xfId="5241" xr:uid="{00000000-0005-0000-0000-000007660000}"/>
    <cellStyle name="Normal 13 4 2" xfId="8256" xr:uid="{00000000-0005-0000-0000-000008660000}"/>
    <cellStyle name="Normal 13 4 2 2" xfId="26422" xr:uid="{00000000-0005-0000-0000-000009660000}"/>
    <cellStyle name="Normal 13 4 2 3" xfId="30635" xr:uid="{00000000-0005-0000-0000-00000A660000}"/>
    <cellStyle name="Normal 13 4 2 4" xfId="34850" xr:uid="{00000000-0005-0000-0000-00000B660000}"/>
    <cellStyle name="Normal 13 4 2 5" xfId="39054" xr:uid="{00000000-0005-0000-0000-00000C660000}"/>
    <cellStyle name="Normal 13 5" xfId="8257" xr:uid="{00000000-0005-0000-0000-00000D660000}"/>
    <cellStyle name="Normal 13 6" xfId="8258" xr:uid="{00000000-0005-0000-0000-00000E660000}"/>
    <cellStyle name="Normal 13 7" xfId="8259" xr:uid="{00000000-0005-0000-0000-00000F660000}"/>
    <cellStyle name="Normal 13 8" xfId="8260" xr:uid="{00000000-0005-0000-0000-000010660000}"/>
    <cellStyle name="Normal 13 9" xfId="8261" xr:uid="{00000000-0005-0000-0000-000011660000}"/>
    <cellStyle name="Normal 13 9 2" xfId="26423" xr:uid="{00000000-0005-0000-0000-000012660000}"/>
    <cellStyle name="Normal 13 9 3" xfId="30636" xr:uid="{00000000-0005-0000-0000-000013660000}"/>
    <cellStyle name="Normal 13 9 4" xfId="34851" xr:uid="{00000000-0005-0000-0000-000014660000}"/>
    <cellStyle name="Normal 13 9 5" xfId="39055" xr:uid="{00000000-0005-0000-0000-000015660000}"/>
    <cellStyle name="Normal 14" xfId="2153" xr:uid="{00000000-0005-0000-0000-000016660000}"/>
    <cellStyle name="Normal 14 10" xfId="3472" xr:uid="{00000000-0005-0000-0000-000017660000}"/>
    <cellStyle name="Normal 14 10 2" xfId="3473" xr:uid="{00000000-0005-0000-0000-000018660000}"/>
    <cellStyle name="Normal 14 10 2 2" xfId="4471" xr:uid="{00000000-0005-0000-0000-000019660000}"/>
    <cellStyle name="Normal 14 10 2 2 2" xfId="24942" xr:uid="{00000000-0005-0000-0000-00001A660000}"/>
    <cellStyle name="Normal 14 10 2 2 3" xfId="29154" xr:uid="{00000000-0005-0000-0000-00001B660000}"/>
    <cellStyle name="Normal 14 10 2 2 4" xfId="33370" xr:uid="{00000000-0005-0000-0000-00001C660000}"/>
    <cellStyle name="Normal 14 10 2 2 5" xfId="37574" xr:uid="{00000000-0005-0000-0000-00001D660000}"/>
    <cellStyle name="Normal 14 10 2 3" xfId="12270" xr:uid="{00000000-0005-0000-0000-00001E660000}"/>
    <cellStyle name="Normal 14 10 2 3 2" xfId="28837" xr:uid="{00000000-0005-0000-0000-00001F660000}"/>
    <cellStyle name="Normal 14 10 2 3 3" xfId="33050" xr:uid="{00000000-0005-0000-0000-000020660000}"/>
    <cellStyle name="Normal 14 10 2 3 4" xfId="37265" xr:uid="{00000000-0005-0000-0000-000021660000}"/>
    <cellStyle name="Normal 14 10 2 4" xfId="23479" xr:uid="{00000000-0005-0000-0000-000022660000}"/>
    <cellStyle name="Normal 14 10 2 4 2" xfId="28978" xr:uid="{00000000-0005-0000-0000-000023660000}"/>
    <cellStyle name="Normal 14 10 2 4 3" xfId="33195" xr:uid="{00000000-0005-0000-0000-000024660000}"/>
    <cellStyle name="Normal 14 10 2 4 4" xfId="37406" xr:uid="{00000000-0005-0000-0000-000025660000}"/>
    <cellStyle name="Normal 14 10 2 5" xfId="24846" xr:uid="{00000000-0005-0000-0000-000026660000}"/>
    <cellStyle name="Normal 14 10 2 6" xfId="29057" xr:uid="{00000000-0005-0000-0000-000027660000}"/>
    <cellStyle name="Normal 14 10 2 7" xfId="33274" xr:uid="{00000000-0005-0000-0000-000028660000}"/>
    <cellStyle name="Normal 14 10 2 8" xfId="37478" xr:uid="{00000000-0005-0000-0000-000029660000}"/>
    <cellStyle name="Normal 14 10 3" xfId="4434" xr:uid="{00000000-0005-0000-0000-00002A660000}"/>
    <cellStyle name="Normal 14 10 3 2" xfId="24906" xr:uid="{00000000-0005-0000-0000-00002B660000}"/>
    <cellStyle name="Normal 14 10 3 3" xfId="29118" xr:uid="{00000000-0005-0000-0000-00002C660000}"/>
    <cellStyle name="Normal 14 10 3 4" xfId="33334" xr:uid="{00000000-0005-0000-0000-00002D660000}"/>
    <cellStyle name="Normal 14 10 3 5" xfId="37538" xr:uid="{00000000-0005-0000-0000-00002E660000}"/>
    <cellStyle name="Normal 14 10 4" xfId="12234" xr:uid="{00000000-0005-0000-0000-00002F660000}"/>
    <cellStyle name="Normal 14 10 4 2" xfId="28802" xr:uid="{00000000-0005-0000-0000-000030660000}"/>
    <cellStyle name="Normal 14 10 4 3" xfId="33015" xr:uid="{00000000-0005-0000-0000-000031660000}"/>
    <cellStyle name="Normal 14 10 4 4" xfId="37230" xr:uid="{00000000-0005-0000-0000-000032660000}"/>
    <cellStyle name="Normal 14 10 5" xfId="23443" xr:uid="{00000000-0005-0000-0000-000033660000}"/>
    <cellStyle name="Normal 14 10 5 2" xfId="28943" xr:uid="{00000000-0005-0000-0000-000034660000}"/>
    <cellStyle name="Normal 14 10 5 3" xfId="33160" xr:uid="{00000000-0005-0000-0000-000035660000}"/>
    <cellStyle name="Normal 14 10 5 4" xfId="37371" xr:uid="{00000000-0005-0000-0000-000036660000}"/>
    <cellStyle name="Normal 14 10 6" xfId="24845" xr:uid="{00000000-0005-0000-0000-000037660000}"/>
    <cellStyle name="Normal 14 10 7" xfId="29056" xr:uid="{00000000-0005-0000-0000-000038660000}"/>
    <cellStyle name="Normal 14 10 8" xfId="33273" xr:uid="{00000000-0005-0000-0000-000039660000}"/>
    <cellStyle name="Normal 14 10 9" xfId="37477" xr:uid="{00000000-0005-0000-0000-00003A660000}"/>
    <cellStyle name="Normal 14 11" xfId="3474" xr:uid="{00000000-0005-0000-0000-00003B660000}"/>
    <cellStyle name="Normal 14 11 2" xfId="4470" xr:uid="{00000000-0005-0000-0000-00003C660000}"/>
    <cellStyle name="Normal 14 11 2 2" xfId="24941" xr:uid="{00000000-0005-0000-0000-00003D660000}"/>
    <cellStyle name="Normal 14 11 2 3" xfId="29153" xr:uid="{00000000-0005-0000-0000-00003E660000}"/>
    <cellStyle name="Normal 14 11 2 4" xfId="33369" xr:uid="{00000000-0005-0000-0000-00003F660000}"/>
    <cellStyle name="Normal 14 11 2 5" xfId="37573" xr:uid="{00000000-0005-0000-0000-000040660000}"/>
    <cellStyle name="Normal 14 11 3" xfId="8263" xr:uid="{00000000-0005-0000-0000-000041660000}"/>
    <cellStyle name="Normal 14 11 3 2" xfId="26424" xr:uid="{00000000-0005-0000-0000-000042660000}"/>
    <cellStyle name="Normal 14 11 3 3" xfId="30637" xr:uid="{00000000-0005-0000-0000-000043660000}"/>
    <cellStyle name="Normal 14 11 3 4" xfId="34852" xr:uid="{00000000-0005-0000-0000-000044660000}"/>
    <cellStyle name="Normal 14 11 3 5" xfId="39056" xr:uid="{00000000-0005-0000-0000-000045660000}"/>
    <cellStyle name="Normal 14 11 4" xfId="12269" xr:uid="{00000000-0005-0000-0000-000046660000}"/>
    <cellStyle name="Normal 14 11 4 2" xfId="28836" xr:uid="{00000000-0005-0000-0000-000047660000}"/>
    <cellStyle name="Normal 14 11 4 3" xfId="33049" xr:uid="{00000000-0005-0000-0000-000048660000}"/>
    <cellStyle name="Normal 14 11 4 4" xfId="37264" xr:uid="{00000000-0005-0000-0000-000049660000}"/>
    <cellStyle name="Normal 14 11 5" xfId="23478" xr:uid="{00000000-0005-0000-0000-00004A660000}"/>
    <cellStyle name="Normal 14 11 5 2" xfId="28977" xr:uid="{00000000-0005-0000-0000-00004B660000}"/>
    <cellStyle name="Normal 14 11 5 3" xfId="33194" xr:uid="{00000000-0005-0000-0000-00004C660000}"/>
    <cellStyle name="Normal 14 11 5 4" xfId="37405" xr:uid="{00000000-0005-0000-0000-00004D660000}"/>
    <cellStyle name="Normal 14 11 6" xfId="24847" xr:uid="{00000000-0005-0000-0000-00004E660000}"/>
    <cellStyle name="Normal 14 11 7" xfId="29058" xr:uid="{00000000-0005-0000-0000-00004F660000}"/>
    <cellStyle name="Normal 14 11 8" xfId="33275" xr:uid="{00000000-0005-0000-0000-000050660000}"/>
    <cellStyle name="Normal 14 11 9" xfId="37479" xr:uid="{00000000-0005-0000-0000-000051660000}"/>
    <cellStyle name="Normal 14 12" xfId="4433" xr:uid="{00000000-0005-0000-0000-000052660000}"/>
    <cellStyle name="Normal 14 12 2" xfId="5242" xr:uid="{00000000-0005-0000-0000-000053660000}"/>
    <cellStyle name="Normal 14 12 2 2" xfId="8264" xr:uid="{00000000-0005-0000-0000-000054660000}"/>
    <cellStyle name="Normal 14 12 2 2 2" xfId="26425" xr:uid="{00000000-0005-0000-0000-000055660000}"/>
    <cellStyle name="Normal 14 12 2 2 3" xfId="30638" xr:uid="{00000000-0005-0000-0000-000056660000}"/>
    <cellStyle name="Normal 14 12 2 2 4" xfId="34853" xr:uid="{00000000-0005-0000-0000-000057660000}"/>
    <cellStyle name="Normal 14 12 2 2 5" xfId="39057" xr:uid="{00000000-0005-0000-0000-000058660000}"/>
    <cellStyle name="Normal 14 12 2 3" xfId="11295" xr:uid="{00000000-0005-0000-0000-000059660000}"/>
    <cellStyle name="Normal 14 12 3" xfId="24905" xr:uid="{00000000-0005-0000-0000-00005A660000}"/>
    <cellStyle name="Normal 14 12 4" xfId="29117" xr:uid="{00000000-0005-0000-0000-00005B660000}"/>
    <cellStyle name="Normal 14 12 5" xfId="33333" xr:uid="{00000000-0005-0000-0000-00005C660000}"/>
    <cellStyle name="Normal 14 12 6" xfId="37537" xr:uid="{00000000-0005-0000-0000-00005D660000}"/>
    <cellStyle name="Normal 14 13" xfId="5243" xr:uid="{00000000-0005-0000-0000-00005E660000}"/>
    <cellStyle name="Normal 14 13 2" xfId="5244" xr:uid="{00000000-0005-0000-0000-00005F660000}"/>
    <cellStyle name="Normal 14 13 2 2" xfId="8265" xr:uid="{00000000-0005-0000-0000-000060660000}"/>
    <cellStyle name="Normal 14 13 2 2 2" xfId="26426" xr:uid="{00000000-0005-0000-0000-000061660000}"/>
    <cellStyle name="Normal 14 13 2 2 3" xfId="30639" xr:uid="{00000000-0005-0000-0000-000062660000}"/>
    <cellStyle name="Normal 14 13 2 2 4" xfId="34854" xr:uid="{00000000-0005-0000-0000-000063660000}"/>
    <cellStyle name="Normal 14 13 2 2 5" xfId="39058" xr:uid="{00000000-0005-0000-0000-000064660000}"/>
    <cellStyle name="Normal 14 13 2 3" xfId="11296" xr:uid="{00000000-0005-0000-0000-000065660000}"/>
    <cellStyle name="Normal 14 14" xfId="6903" xr:uid="{00000000-0005-0000-0000-000066660000}"/>
    <cellStyle name="Normal 14 14 2" xfId="8266" xr:uid="{00000000-0005-0000-0000-000067660000}"/>
    <cellStyle name="Normal 14 14 2 2" xfId="26427" xr:uid="{00000000-0005-0000-0000-000068660000}"/>
    <cellStyle name="Normal 14 14 2 3" xfId="30640" xr:uid="{00000000-0005-0000-0000-000069660000}"/>
    <cellStyle name="Normal 14 14 2 4" xfId="34855" xr:uid="{00000000-0005-0000-0000-00006A660000}"/>
    <cellStyle name="Normal 14 14 2 5" xfId="39059" xr:uid="{00000000-0005-0000-0000-00006B660000}"/>
    <cellStyle name="Normal 14 14 3" xfId="25591" xr:uid="{00000000-0005-0000-0000-00006C660000}"/>
    <cellStyle name="Normal 14 14 4" xfId="29804" xr:uid="{00000000-0005-0000-0000-00006D660000}"/>
    <cellStyle name="Normal 14 14 5" xfId="34019" xr:uid="{00000000-0005-0000-0000-00006E660000}"/>
    <cellStyle name="Normal 14 14 6" xfId="38223" xr:uid="{00000000-0005-0000-0000-00006F660000}"/>
    <cellStyle name="Normal 14 15" xfId="7088" xr:uid="{00000000-0005-0000-0000-000070660000}"/>
    <cellStyle name="Normal 14 15 2" xfId="8267" xr:uid="{00000000-0005-0000-0000-000071660000}"/>
    <cellStyle name="Normal 14 15 2 2" xfId="26428" xr:uid="{00000000-0005-0000-0000-000072660000}"/>
    <cellStyle name="Normal 14 15 2 3" xfId="30641" xr:uid="{00000000-0005-0000-0000-000073660000}"/>
    <cellStyle name="Normal 14 15 2 4" xfId="34856" xr:uid="{00000000-0005-0000-0000-000074660000}"/>
    <cellStyle name="Normal 14 15 2 5" xfId="39060" xr:uid="{00000000-0005-0000-0000-000075660000}"/>
    <cellStyle name="Normal 14 15 3" xfId="25741" xr:uid="{00000000-0005-0000-0000-000076660000}"/>
    <cellStyle name="Normal 14 15 4" xfId="29954" xr:uid="{00000000-0005-0000-0000-000077660000}"/>
    <cellStyle name="Normal 14 15 5" xfId="34169" xr:uid="{00000000-0005-0000-0000-000078660000}"/>
    <cellStyle name="Normal 14 15 6" xfId="38373" xr:uid="{00000000-0005-0000-0000-000079660000}"/>
    <cellStyle name="Normal 14 16" xfId="7218" xr:uid="{00000000-0005-0000-0000-00007A660000}"/>
    <cellStyle name="Normal 14 16 2" xfId="25851" xr:uid="{00000000-0005-0000-0000-00007B660000}"/>
    <cellStyle name="Normal 14 16 2 2" xfId="43549" xr:uid="{00000000-0005-0000-0000-00007C660000}"/>
    <cellStyle name="Normal 14 16 3" xfId="30064" xr:uid="{00000000-0005-0000-0000-00007D660000}"/>
    <cellStyle name="Normal 14 16 4" xfId="34279" xr:uid="{00000000-0005-0000-0000-00007E660000}"/>
    <cellStyle name="Normal 14 16 5" xfId="38483" xr:uid="{00000000-0005-0000-0000-00007F660000}"/>
    <cellStyle name="Normal 14 17" xfId="7337" xr:uid="{00000000-0005-0000-0000-000080660000}"/>
    <cellStyle name="Normal 14 17 2" xfId="25970" xr:uid="{00000000-0005-0000-0000-000081660000}"/>
    <cellStyle name="Normal 14 17 3" xfId="30183" xr:uid="{00000000-0005-0000-0000-000082660000}"/>
    <cellStyle name="Normal 14 17 4" xfId="34398" xr:uid="{00000000-0005-0000-0000-000083660000}"/>
    <cellStyle name="Normal 14 17 5" xfId="38602" xr:uid="{00000000-0005-0000-0000-000084660000}"/>
    <cellStyle name="Normal 14 18" xfId="7455" xr:uid="{00000000-0005-0000-0000-000085660000}"/>
    <cellStyle name="Normal 14 18 2" xfId="26088" xr:uid="{00000000-0005-0000-0000-000086660000}"/>
    <cellStyle name="Normal 14 18 3" xfId="30301" xr:uid="{00000000-0005-0000-0000-000087660000}"/>
    <cellStyle name="Normal 14 18 4" xfId="34516" xr:uid="{00000000-0005-0000-0000-000088660000}"/>
    <cellStyle name="Normal 14 18 5" xfId="38720" xr:uid="{00000000-0005-0000-0000-000089660000}"/>
    <cellStyle name="Normal 14 19" xfId="8262" xr:uid="{00000000-0005-0000-0000-00008A660000}"/>
    <cellStyle name="Normal 14 2" xfId="2154" xr:uid="{00000000-0005-0000-0000-00008B660000}"/>
    <cellStyle name="Normal 14 2 10" xfId="7219" xr:uid="{00000000-0005-0000-0000-00008C660000}"/>
    <cellStyle name="Normal 14 2 10 2" xfId="25852" xr:uid="{00000000-0005-0000-0000-00008D660000}"/>
    <cellStyle name="Normal 14 2 10 3" xfId="30065" xr:uid="{00000000-0005-0000-0000-00008E660000}"/>
    <cellStyle name="Normal 14 2 10 4" xfId="34280" xr:uid="{00000000-0005-0000-0000-00008F660000}"/>
    <cellStyle name="Normal 14 2 10 5" xfId="38484" xr:uid="{00000000-0005-0000-0000-000090660000}"/>
    <cellStyle name="Normal 14 2 11" xfId="7338" xr:uid="{00000000-0005-0000-0000-000091660000}"/>
    <cellStyle name="Normal 14 2 11 2" xfId="25971" xr:uid="{00000000-0005-0000-0000-000092660000}"/>
    <cellStyle name="Normal 14 2 11 3" xfId="30184" xr:uid="{00000000-0005-0000-0000-000093660000}"/>
    <cellStyle name="Normal 14 2 11 4" xfId="34399" xr:uid="{00000000-0005-0000-0000-000094660000}"/>
    <cellStyle name="Normal 14 2 11 5" xfId="38603" xr:uid="{00000000-0005-0000-0000-000095660000}"/>
    <cellStyle name="Normal 14 2 12" xfId="7456" xr:uid="{00000000-0005-0000-0000-000096660000}"/>
    <cellStyle name="Normal 14 2 12 2" xfId="26089" xr:uid="{00000000-0005-0000-0000-000097660000}"/>
    <cellStyle name="Normal 14 2 12 3" xfId="30302" xr:uid="{00000000-0005-0000-0000-000098660000}"/>
    <cellStyle name="Normal 14 2 12 4" xfId="34517" xr:uid="{00000000-0005-0000-0000-000099660000}"/>
    <cellStyle name="Normal 14 2 12 5" xfId="38721" xr:uid="{00000000-0005-0000-0000-00009A660000}"/>
    <cellStyle name="Normal 14 2 13" xfId="8268" xr:uid="{00000000-0005-0000-0000-00009B660000}"/>
    <cellStyle name="Normal 14 2 13 2" xfId="26429" xr:uid="{00000000-0005-0000-0000-00009C660000}"/>
    <cellStyle name="Normal 14 2 13 3" xfId="30642" xr:uid="{00000000-0005-0000-0000-00009D660000}"/>
    <cellStyle name="Normal 14 2 13 4" xfId="34857" xr:uid="{00000000-0005-0000-0000-00009E660000}"/>
    <cellStyle name="Normal 14 2 13 5" xfId="39061" xr:uid="{00000000-0005-0000-0000-00009F660000}"/>
    <cellStyle name="Normal 14 2 14" xfId="8957" xr:uid="{00000000-0005-0000-0000-0000A0660000}"/>
    <cellStyle name="Normal 14 2 14 2" xfId="26528" xr:uid="{00000000-0005-0000-0000-0000A1660000}"/>
    <cellStyle name="Normal 14 2 14 3" xfId="30741" xr:uid="{00000000-0005-0000-0000-0000A2660000}"/>
    <cellStyle name="Normal 14 2 14 4" xfId="34956" xr:uid="{00000000-0005-0000-0000-0000A3660000}"/>
    <cellStyle name="Normal 14 2 14 5" xfId="39160" xr:uid="{00000000-0005-0000-0000-0000A4660000}"/>
    <cellStyle name="Normal 14 2 15" xfId="9079" xr:uid="{00000000-0005-0000-0000-0000A5660000}"/>
    <cellStyle name="Normal 14 2 15 2" xfId="26650" xr:uid="{00000000-0005-0000-0000-0000A6660000}"/>
    <cellStyle name="Normal 14 2 15 3" xfId="30863" xr:uid="{00000000-0005-0000-0000-0000A7660000}"/>
    <cellStyle name="Normal 14 2 15 4" xfId="35078" xr:uid="{00000000-0005-0000-0000-0000A8660000}"/>
    <cellStyle name="Normal 14 2 15 5" xfId="39282" xr:uid="{00000000-0005-0000-0000-0000A9660000}"/>
    <cellStyle name="Normal 14 2 16" xfId="9199" xr:uid="{00000000-0005-0000-0000-0000AA660000}"/>
    <cellStyle name="Normal 14 2 16 2" xfId="26770" xr:uid="{00000000-0005-0000-0000-0000AB660000}"/>
    <cellStyle name="Normal 14 2 16 3" xfId="30983" xr:uid="{00000000-0005-0000-0000-0000AC660000}"/>
    <cellStyle name="Normal 14 2 16 4" xfId="35198" xr:uid="{00000000-0005-0000-0000-0000AD660000}"/>
    <cellStyle name="Normal 14 2 16 5" xfId="39402" xr:uid="{00000000-0005-0000-0000-0000AE660000}"/>
    <cellStyle name="Normal 14 2 17" xfId="9320" xr:uid="{00000000-0005-0000-0000-0000AF660000}"/>
    <cellStyle name="Normal 14 2 17 2" xfId="26891" xr:uid="{00000000-0005-0000-0000-0000B0660000}"/>
    <cellStyle name="Normal 14 2 17 3" xfId="31104" xr:uid="{00000000-0005-0000-0000-0000B1660000}"/>
    <cellStyle name="Normal 14 2 17 4" xfId="35319" xr:uid="{00000000-0005-0000-0000-0000B2660000}"/>
    <cellStyle name="Normal 14 2 17 5" xfId="39523" xr:uid="{00000000-0005-0000-0000-0000B3660000}"/>
    <cellStyle name="Normal 14 2 18" xfId="9439" xr:uid="{00000000-0005-0000-0000-0000B4660000}"/>
    <cellStyle name="Normal 14 2 18 2" xfId="27010" xr:uid="{00000000-0005-0000-0000-0000B5660000}"/>
    <cellStyle name="Normal 14 2 18 3" xfId="31223" xr:uid="{00000000-0005-0000-0000-0000B6660000}"/>
    <cellStyle name="Normal 14 2 18 4" xfId="35438" xr:uid="{00000000-0005-0000-0000-0000B7660000}"/>
    <cellStyle name="Normal 14 2 18 5" xfId="39642" xr:uid="{00000000-0005-0000-0000-0000B8660000}"/>
    <cellStyle name="Normal 14 2 19" xfId="3475" xr:uid="{00000000-0005-0000-0000-0000B9660000}"/>
    <cellStyle name="Normal 14 2 2" xfId="2155" xr:uid="{00000000-0005-0000-0000-0000BA660000}"/>
    <cellStyle name="Normal 14 2 2 2" xfId="2156" xr:uid="{00000000-0005-0000-0000-0000BB660000}"/>
    <cellStyle name="Normal 14 2 2 2 2" xfId="3477" xr:uid="{00000000-0005-0000-0000-0000BC660000}"/>
    <cellStyle name="Normal 14 2 2 3" xfId="3476" xr:uid="{00000000-0005-0000-0000-0000BD660000}"/>
    <cellStyle name="Normal 14 2 3" xfId="2157" xr:uid="{00000000-0005-0000-0000-0000BE660000}"/>
    <cellStyle name="Normal 14 2 3 2" xfId="3478" xr:uid="{00000000-0005-0000-0000-0000BF660000}"/>
    <cellStyle name="Normal 14 2 4" xfId="2158" xr:uid="{00000000-0005-0000-0000-0000C0660000}"/>
    <cellStyle name="Normal 14 2 4 2" xfId="3479" xr:uid="{00000000-0005-0000-0000-0000C1660000}"/>
    <cellStyle name="Normal 14 2 5" xfId="2159" xr:uid="{00000000-0005-0000-0000-0000C2660000}"/>
    <cellStyle name="Normal 14 2 5 2" xfId="3480" xr:uid="{00000000-0005-0000-0000-0000C3660000}"/>
    <cellStyle name="Normal 14 2 6" xfId="2160" xr:uid="{00000000-0005-0000-0000-0000C4660000}"/>
    <cellStyle name="Normal 14 2 6 2" xfId="3481" xr:uid="{00000000-0005-0000-0000-0000C5660000}"/>
    <cellStyle name="Normal 14 2 7" xfId="5245" xr:uid="{00000000-0005-0000-0000-0000C6660000}"/>
    <cellStyle name="Normal 14 2 8" xfId="5246" xr:uid="{00000000-0005-0000-0000-0000C7660000}"/>
    <cellStyle name="Normal 14 2 8 2" xfId="5247" xr:uid="{00000000-0005-0000-0000-0000C8660000}"/>
    <cellStyle name="Normal 14 2 8 3" xfId="43551" xr:uid="{00000000-0005-0000-0000-0000C9660000}"/>
    <cellStyle name="Normal 14 2 9" xfId="7089" xr:uid="{00000000-0005-0000-0000-0000CA660000}"/>
    <cellStyle name="Normal 14 2 9 2" xfId="25742" xr:uid="{00000000-0005-0000-0000-0000CB660000}"/>
    <cellStyle name="Normal 14 2 9 2 2" xfId="43550" xr:uid="{00000000-0005-0000-0000-0000CC660000}"/>
    <cellStyle name="Normal 14 2 9 3" xfId="29955" xr:uid="{00000000-0005-0000-0000-0000CD660000}"/>
    <cellStyle name="Normal 14 2 9 4" xfId="34170" xr:uid="{00000000-0005-0000-0000-0000CE660000}"/>
    <cellStyle name="Normal 14 2 9 5" xfId="38374" xr:uid="{00000000-0005-0000-0000-0000CF660000}"/>
    <cellStyle name="Normal 14 20" xfId="8956" xr:uid="{00000000-0005-0000-0000-0000D0660000}"/>
    <cellStyle name="Normal 14 20 2" xfId="26527" xr:uid="{00000000-0005-0000-0000-0000D1660000}"/>
    <cellStyle name="Normal 14 20 3" xfId="30740" xr:uid="{00000000-0005-0000-0000-0000D2660000}"/>
    <cellStyle name="Normal 14 20 4" xfId="34955" xr:uid="{00000000-0005-0000-0000-0000D3660000}"/>
    <cellStyle name="Normal 14 20 5" xfId="39159" xr:uid="{00000000-0005-0000-0000-0000D4660000}"/>
    <cellStyle name="Normal 14 21" xfId="9078" xr:uid="{00000000-0005-0000-0000-0000D5660000}"/>
    <cellStyle name="Normal 14 21 2" xfId="26649" xr:uid="{00000000-0005-0000-0000-0000D6660000}"/>
    <cellStyle name="Normal 14 21 3" xfId="30862" xr:uid="{00000000-0005-0000-0000-0000D7660000}"/>
    <cellStyle name="Normal 14 21 4" xfId="35077" xr:uid="{00000000-0005-0000-0000-0000D8660000}"/>
    <cellStyle name="Normal 14 21 5" xfId="39281" xr:uid="{00000000-0005-0000-0000-0000D9660000}"/>
    <cellStyle name="Normal 14 22" xfId="9198" xr:uid="{00000000-0005-0000-0000-0000DA660000}"/>
    <cellStyle name="Normal 14 22 2" xfId="26769" xr:uid="{00000000-0005-0000-0000-0000DB660000}"/>
    <cellStyle name="Normal 14 22 3" xfId="30982" xr:uid="{00000000-0005-0000-0000-0000DC660000}"/>
    <cellStyle name="Normal 14 22 4" xfId="35197" xr:uid="{00000000-0005-0000-0000-0000DD660000}"/>
    <cellStyle name="Normal 14 22 5" xfId="39401" xr:uid="{00000000-0005-0000-0000-0000DE660000}"/>
    <cellStyle name="Normal 14 23" xfId="9319" xr:uid="{00000000-0005-0000-0000-0000DF660000}"/>
    <cellStyle name="Normal 14 23 2" xfId="26890" xr:uid="{00000000-0005-0000-0000-0000E0660000}"/>
    <cellStyle name="Normal 14 23 3" xfId="31103" xr:uid="{00000000-0005-0000-0000-0000E1660000}"/>
    <cellStyle name="Normal 14 23 4" xfId="35318" xr:uid="{00000000-0005-0000-0000-0000E2660000}"/>
    <cellStyle name="Normal 14 23 5" xfId="39522" xr:uid="{00000000-0005-0000-0000-0000E3660000}"/>
    <cellStyle name="Normal 14 24" xfId="9438" xr:uid="{00000000-0005-0000-0000-0000E4660000}"/>
    <cellStyle name="Normal 14 24 2" xfId="27009" xr:uid="{00000000-0005-0000-0000-0000E5660000}"/>
    <cellStyle name="Normal 14 24 3" xfId="31222" xr:uid="{00000000-0005-0000-0000-0000E6660000}"/>
    <cellStyle name="Normal 14 24 4" xfId="35437" xr:uid="{00000000-0005-0000-0000-0000E7660000}"/>
    <cellStyle name="Normal 14 24 5" xfId="39641" xr:uid="{00000000-0005-0000-0000-0000E8660000}"/>
    <cellStyle name="Normal 14 25" xfId="12233" xr:uid="{00000000-0005-0000-0000-0000E9660000}"/>
    <cellStyle name="Normal 14 25 2" xfId="28801" xr:uid="{00000000-0005-0000-0000-0000EA660000}"/>
    <cellStyle name="Normal 14 25 3" xfId="33014" xr:uid="{00000000-0005-0000-0000-0000EB660000}"/>
    <cellStyle name="Normal 14 25 4" xfId="37229" xr:uid="{00000000-0005-0000-0000-0000EC660000}"/>
    <cellStyle name="Normal 14 26" xfId="23442" xr:uid="{00000000-0005-0000-0000-0000ED660000}"/>
    <cellStyle name="Normal 14 26 2" xfId="28942" xr:uid="{00000000-0005-0000-0000-0000EE660000}"/>
    <cellStyle name="Normal 14 26 3" xfId="33159" xr:uid="{00000000-0005-0000-0000-0000EF660000}"/>
    <cellStyle name="Normal 14 26 4" xfId="37370" xr:uid="{00000000-0005-0000-0000-0000F0660000}"/>
    <cellStyle name="Normal 14 27" xfId="3471" xr:uid="{00000000-0005-0000-0000-0000F1660000}"/>
    <cellStyle name="Normal 14 28" xfId="24844" xr:uid="{00000000-0005-0000-0000-0000F2660000}"/>
    <cellStyle name="Normal 14 29" xfId="29055" xr:uid="{00000000-0005-0000-0000-0000F3660000}"/>
    <cellStyle name="Normal 14 3" xfId="2161" xr:uid="{00000000-0005-0000-0000-0000F4660000}"/>
    <cellStyle name="Normal 14 3 10" xfId="7220" xr:uid="{00000000-0005-0000-0000-0000F5660000}"/>
    <cellStyle name="Normal 14 3 10 2" xfId="25853" xr:uid="{00000000-0005-0000-0000-0000F6660000}"/>
    <cellStyle name="Normal 14 3 10 3" xfId="30066" xr:uid="{00000000-0005-0000-0000-0000F7660000}"/>
    <cellStyle name="Normal 14 3 10 4" xfId="34281" xr:uid="{00000000-0005-0000-0000-0000F8660000}"/>
    <cellStyle name="Normal 14 3 10 5" xfId="38485" xr:uid="{00000000-0005-0000-0000-0000F9660000}"/>
    <cellStyle name="Normal 14 3 11" xfId="7339" xr:uid="{00000000-0005-0000-0000-0000FA660000}"/>
    <cellStyle name="Normal 14 3 11 2" xfId="25972" xr:uid="{00000000-0005-0000-0000-0000FB660000}"/>
    <cellStyle name="Normal 14 3 11 3" xfId="30185" xr:uid="{00000000-0005-0000-0000-0000FC660000}"/>
    <cellStyle name="Normal 14 3 11 4" xfId="34400" xr:uid="{00000000-0005-0000-0000-0000FD660000}"/>
    <cellStyle name="Normal 14 3 11 5" xfId="38604" xr:uid="{00000000-0005-0000-0000-0000FE660000}"/>
    <cellStyle name="Normal 14 3 12" xfId="7457" xr:uid="{00000000-0005-0000-0000-0000FF660000}"/>
    <cellStyle name="Normal 14 3 12 2" xfId="26090" xr:uid="{00000000-0005-0000-0000-000000670000}"/>
    <cellStyle name="Normal 14 3 12 3" xfId="30303" xr:uid="{00000000-0005-0000-0000-000001670000}"/>
    <cellStyle name="Normal 14 3 12 4" xfId="34518" xr:uid="{00000000-0005-0000-0000-000002670000}"/>
    <cellStyle name="Normal 14 3 12 5" xfId="38722" xr:uid="{00000000-0005-0000-0000-000003670000}"/>
    <cellStyle name="Normal 14 3 13" xfId="8958" xr:uid="{00000000-0005-0000-0000-000004670000}"/>
    <cellStyle name="Normal 14 3 13 2" xfId="26529" xr:uid="{00000000-0005-0000-0000-000005670000}"/>
    <cellStyle name="Normal 14 3 13 3" xfId="30742" xr:uid="{00000000-0005-0000-0000-000006670000}"/>
    <cellStyle name="Normal 14 3 13 4" xfId="34957" xr:uid="{00000000-0005-0000-0000-000007670000}"/>
    <cellStyle name="Normal 14 3 13 5" xfId="39161" xr:uid="{00000000-0005-0000-0000-000008670000}"/>
    <cellStyle name="Normal 14 3 14" xfId="9080" xr:uid="{00000000-0005-0000-0000-000009670000}"/>
    <cellStyle name="Normal 14 3 14 2" xfId="26651" xr:uid="{00000000-0005-0000-0000-00000A670000}"/>
    <cellStyle name="Normal 14 3 14 3" xfId="30864" xr:uid="{00000000-0005-0000-0000-00000B670000}"/>
    <cellStyle name="Normal 14 3 14 4" xfId="35079" xr:uid="{00000000-0005-0000-0000-00000C670000}"/>
    <cellStyle name="Normal 14 3 14 5" xfId="39283" xr:uid="{00000000-0005-0000-0000-00000D670000}"/>
    <cellStyle name="Normal 14 3 15" xfId="9200" xr:uid="{00000000-0005-0000-0000-00000E670000}"/>
    <cellStyle name="Normal 14 3 15 2" xfId="26771" xr:uid="{00000000-0005-0000-0000-00000F670000}"/>
    <cellStyle name="Normal 14 3 15 3" xfId="30984" xr:uid="{00000000-0005-0000-0000-000010670000}"/>
    <cellStyle name="Normal 14 3 15 4" xfId="35199" xr:uid="{00000000-0005-0000-0000-000011670000}"/>
    <cellStyle name="Normal 14 3 15 5" xfId="39403" xr:uid="{00000000-0005-0000-0000-000012670000}"/>
    <cellStyle name="Normal 14 3 16" xfId="9321" xr:uid="{00000000-0005-0000-0000-000013670000}"/>
    <cellStyle name="Normal 14 3 16 2" xfId="26892" xr:uid="{00000000-0005-0000-0000-000014670000}"/>
    <cellStyle name="Normal 14 3 16 3" xfId="31105" xr:uid="{00000000-0005-0000-0000-000015670000}"/>
    <cellStyle name="Normal 14 3 16 4" xfId="35320" xr:uid="{00000000-0005-0000-0000-000016670000}"/>
    <cellStyle name="Normal 14 3 16 5" xfId="39524" xr:uid="{00000000-0005-0000-0000-000017670000}"/>
    <cellStyle name="Normal 14 3 17" xfId="9440" xr:uid="{00000000-0005-0000-0000-000018670000}"/>
    <cellStyle name="Normal 14 3 17 2" xfId="27011" xr:uid="{00000000-0005-0000-0000-000019670000}"/>
    <cellStyle name="Normal 14 3 17 3" xfId="31224" xr:uid="{00000000-0005-0000-0000-00001A670000}"/>
    <cellStyle name="Normal 14 3 17 4" xfId="35439" xr:uid="{00000000-0005-0000-0000-00001B670000}"/>
    <cellStyle name="Normal 14 3 17 5" xfId="39643" xr:uid="{00000000-0005-0000-0000-00001C670000}"/>
    <cellStyle name="Normal 14 3 18" xfId="3482" xr:uid="{00000000-0005-0000-0000-00001D670000}"/>
    <cellStyle name="Normal 14 3 2" xfId="2162" xr:uid="{00000000-0005-0000-0000-00001E670000}"/>
    <cellStyle name="Normal 14 3 2 2" xfId="2163" xr:uid="{00000000-0005-0000-0000-00001F670000}"/>
    <cellStyle name="Normal 14 3 2 2 2" xfId="3484" xr:uid="{00000000-0005-0000-0000-000020670000}"/>
    <cellStyle name="Normal 14 3 2 3" xfId="3483" xr:uid="{00000000-0005-0000-0000-000021670000}"/>
    <cellStyle name="Normal 14 3 3" xfId="2164" xr:uid="{00000000-0005-0000-0000-000022670000}"/>
    <cellStyle name="Normal 14 3 3 2" xfId="3485" xr:uid="{00000000-0005-0000-0000-000023670000}"/>
    <cellStyle name="Normal 14 3 4" xfId="2165" xr:uid="{00000000-0005-0000-0000-000024670000}"/>
    <cellStyle name="Normal 14 3 4 2" xfId="3486" xr:uid="{00000000-0005-0000-0000-000025670000}"/>
    <cellStyle name="Normal 14 3 5" xfId="2166" xr:uid="{00000000-0005-0000-0000-000026670000}"/>
    <cellStyle name="Normal 14 3 5 2" xfId="3487" xr:uid="{00000000-0005-0000-0000-000027670000}"/>
    <cellStyle name="Normal 14 3 6" xfId="2167" xr:uid="{00000000-0005-0000-0000-000028670000}"/>
    <cellStyle name="Normal 14 3 6 2" xfId="3488" xr:uid="{00000000-0005-0000-0000-000029670000}"/>
    <cellStyle name="Normal 14 3 7" xfId="5248" xr:uid="{00000000-0005-0000-0000-00002A670000}"/>
    <cellStyle name="Normal 14 3 8" xfId="5249" xr:uid="{00000000-0005-0000-0000-00002B670000}"/>
    <cellStyle name="Normal 14 3 8 2" xfId="5250" xr:uid="{00000000-0005-0000-0000-00002C670000}"/>
    <cellStyle name="Normal 14 3 9" xfId="7090" xr:uid="{00000000-0005-0000-0000-00002D670000}"/>
    <cellStyle name="Normal 14 3 9 2" xfId="25743" xr:uid="{00000000-0005-0000-0000-00002E670000}"/>
    <cellStyle name="Normal 14 3 9 3" xfId="29956" xr:uid="{00000000-0005-0000-0000-00002F670000}"/>
    <cellStyle name="Normal 14 3 9 4" xfId="34171" xr:uid="{00000000-0005-0000-0000-000030670000}"/>
    <cellStyle name="Normal 14 3 9 5" xfId="38375" xr:uid="{00000000-0005-0000-0000-000031670000}"/>
    <cellStyle name="Normal 14 30" xfId="33272" xr:uid="{00000000-0005-0000-0000-000032670000}"/>
    <cellStyle name="Normal 14 31" xfId="37476" xr:uid="{00000000-0005-0000-0000-000033670000}"/>
    <cellStyle name="Normal 14 4" xfId="2168" xr:uid="{00000000-0005-0000-0000-000034670000}"/>
    <cellStyle name="Normal 14 4 10" xfId="3489" xr:uid="{00000000-0005-0000-0000-000035670000}"/>
    <cellStyle name="Normal 14 4 2" xfId="2169" xr:uid="{00000000-0005-0000-0000-000036670000}"/>
    <cellStyle name="Normal 14 4 2 2" xfId="2170" xr:uid="{00000000-0005-0000-0000-000037670000}"/>
    <cellStyle name="Normal 14 4 2 2 2" xfId="3491" xr:uid="{00000000-0005-0000-0000-000038670000}"/>
    <cellStyle name="Normal 14 4 2 3" xfId="3490" xr:uid="{00000000-0005-0000-0000-000039670000}"/>
    <cellStyle name="Normal 14 4 3" xfId="2171" xr:uid="{00000000-0005-0000-0000-00003A670000}"/>
    <cellStyle name="Normal 14 4 3 2" xfId="3492" xr:uid="{00000000-0005-0000-0000-00003B670000}"/>
    <cellStyle name="Normal 14 4 4" xfId="2172" xr:uid="{00000000-0005-0000-0000-00003C670000}"/>
    <cellStyle name="Normal 14 4 4 2" xfId="3493" xr:uid="{00000000-0005-0000-0000-00003D670000}"/>
    <cellStyle name="Normal 14 4 5" xfId="2173" xr:uid="{00000000-0005-0000-0000-00003E670000}"/>
    <cellStyle name="Normal 14 4 5 2" xfId="3494" xr:uid="{00000000-0005-0000-0000-00003F670000}"/>
    <cellStyle name="Normal 14 4 6" xfId="2174" xr:uid="{00000000-0005-0000-0000-000040670000}"/>
    <cellStyle name="Normal 14 4 6 2" xfId="3495" xr:uid="{00000000-0005-0000-0000-000041670000}"/>
    <cellStyle name="Normal 14 4 7" xfId="5251" xr:uid="{00000000-0005-0000-0000-000042670000}"/>
    <cellStyle name="Normal 14 4 8" xfId="5252" xr:uid="{00000000-0005-0000-0000-000043670000}"/>
    <cellStyle name="Normal 14 4 8 2" xfId="5253" xr:uid="{00000000-0005-0000-0000-000044670000}"/>
    <cellStyle name="Normal 14 4 9" xfId="8269" xr:uid="{00000000-0005-0000-0000-000045670000}"/>
    <cellStyle name="Normal 14 4 9 2" xfId="26430" xr:uid="{00000000-0005-0000-0000-000046670000}"/>
    <cellStyle name="Normal 14 4 9 3" xfId="30643" xr:uid="{00000000-0005-0000-0000-000047670000}"/>
    <cellStyle name="Normal 14 4 9 4" xfId="34858" xr:uid="{00000000-0005-0000-0000-000048670000}"/>
    <cellStyle name="Normal 14 4 9 5" xfId="39062" xr:uid="{00000000-0005-0000-0000-000049670000}"/>
    <cellStyle name="Normal 14 5" xfId="2175" xr:uid="{00000000-0005-0000-0000-00004A670000}"/>
    <cellStyle name="Normal 14 5 10" xfId="3496" xr:uid="{00000000-0005-0000-0000-00004B670000}"/>
    <cellStyle name="Normal 14 5 2" xfId="2176" xr:uid="{00000000-0005-0000-0000-00004C670000}"/>
    <cellStyle name="Normal 14 5 2 2" xfId="2177" xr:uid="{00000000-0005-0000-0000-00004D670000}"/>
    <cellStyle name="Normal 14 5 2 2 2" xfId="3498" xr:uid="{00000000-0005-0000-0000-00004E670000}"/>
    <cellStyle name="Normal 14 5 2 3" xfId="3497" xr:uid="{00000000-0005-0000-0000-00004F670000}"/>
    <cellStyle name="Normal 14 5 3" xfId="2178" xr:uid="{00000000-0005-0000-0000-000050670000}"/>
    <cellStyle name="Normal 14 5 3 2" xfId="3499" xr:uid="{00000000-0005-0000-0000-000051670000}"/>
    <cellStyle name="Normal 14 5 4" xfId="2179" xr:uid="{00000000-0005-0000-0000-000052670000}"/>
    <cellStyle name="Normal 14 5 4 2" xfId="3500" xr:uid="{00000000-0005-0000-0000-000053670000}"/>
    <cellStyle name="Normal 14 5 5" xfId="2180" xr:uid="{00000000-0005-0000-0000-000054670000}"/>
    <cellStyle name="Normal 14 5 5 2" xfId="3501" xr:uid="{00000000-0005-0000-0000-000055670000}"/>
    <cellStyle name="Normal 14 5 6" xfId="2181" xr:uid="{00000000-0005-0000-0000-000056670000}"/>
    <cellStyle name="Normal 14 5 6 2" xfId="3502" xr:uid="{00000000-0005-0000-0000-000057670000}"/>
    <cellStyle name="Normal 14 5 7" xfId="5254" xr:uid="{00000000-0005-0000-0000-000058670000}"/>
    <cellStyle name="Normal 14 5 8" xfId="5255" xr:uid="{00000000-0005-0000-0000-000059670000}"/>
    <cellStyle name="Normal 14 5 8 2" xfId="5256" xr:uid="{00000000-0005-0000-0000-00005A670000}"/>
    <cellStyle name="Normal 14 5 9" xfId="8270" xr:uid="{00000000-0005-0000-0000-00005B670000}"/>
    <cellStyle name="Normal 14 5 9 2" xfId="26431" xr:uid="{00000000-0005-0000-0000-00005C670000}"/>
    <cellStyle name="Normal 14 5 9 3" xfId="30644" xr:uid="{00000000-0005-0000-0000-00005D670000}"/>
    <cellStyle name="Normal 14 5 9 4" xfId="34859" xr:uid="{00000000-0005-0000-0000-00005E670000}"/>
    <cellStyle name="Normal 14 5 9 5" xfId="39063" xr:uid="{00000000-0005-0000-0000-00005F670000}"/>
    <cellStyle name="Normal 14 6" xfId="2182" xr:uid="{00000000-0005-0000-0000-000060670000}"/>
    <cellStyle name="Normal 14 6 2" xfId="2183" xr:uid="{00000000-0005-0000-0000-000061670000}"/>
    <cellStyle name="Normal 14 6 2 2" xfId="2184" xr:uid="{00000000-0005-0000-0000-000062670000}"/>
    <cellStyle name="Normal 14 6 2 2 2" xfId="3505" xr:uid="{00000000-0005-0000-0000-000063670000}"/>
    <cellStyle name="Normal 14 6 2 3" xfId="3504" xr:uid="{00000000-0005-0000-0000-000064670000}"/>
    <cellStyle name="Normal 14 6 3" xfId="2185" xr:uid="{00000000-0005-0000-0000-000065670000}"/>
    <cellStyle name="Normal 14 6 3 2" xfId="3506" xr:uid="{00000000-0005-0000-0000-000066670000}"/>
    <cellStyle name="Normal 14 6 4" xfId="2186" xr:uid="{00000000-0005-0000-0000-000067670000}"/>
    <cellStyle name="Normal 14 6 4 2" xfId="3507" xr:uid="{00000000-0005-0000-0000-000068670000}"/>
    <cellStyle name="Normal 14 6 5" xfId="2187" xr:uid="{00000000-0005-0000-0000-000069670000}"/>
    <cellStyle name="Normal 14 6 5 2" xfId="3508" xr:uid="{00000000-0005-0000-0000-00006A670000}"/>
    <cellStyle name="Normal 14 6 6" xfId="2188" xr:uid="{00000000-0005-0000-0000-00006B670000}"/>
    <cellStyle name="Normal 14 6 6 2" xfId="3509" xr:uid="{00000000-0005-0000-0000-00006C670000}"/>
    <cellStyle name="Normal 14 6 7" xfId="5257" xr:uid="{00000000-0005-0000-0000-00006D670000}"/>
    <cellStyle name="Normal 14 6 8" xfId="5258" xr:uid="{00000000-0005-0000-0000-00006E670000}"/>
    <cellStyle name="Normal 14 6 8 2" xfId="5259" xr:uid="{00000000-0005-0000-0000-00006F670000}"/>
    <cellStyle name="Normal 14 6 9" xfId="3503" xr:uid="{00000000-0005-0000-0000-000070670000}"/>
    <cellStyle name="Normal 14 7" xfId="3510" xr:uid="{00000000-0005-0000-0000-000071670000}"/>
    <cellStyle name="Normal 14 8" xfId="3511" xr:uid="{00000000-0005-0000-0000-000072670000}"/>
    <cellStyle name="Normal 14 8 2" xfId="3512" xr:uid="{00000000-0005-0000-0000-000073670000}"/>
    <cellStyle name="Normal 14 8 2 2" xfId="4472" xr:uid="{00000000-0005-0000-0000-000074670000}"/>
    <cellStyle name="Normal 14 8 2 2 2" xfId="24943" xr:uid="{00000000-0005-0000-0000-000075670000}"/>
    <cellStyle name="Normal 14 8 2 2 3" xfId="29155" xr:uid="{00000000-0005-0000-0000-000076670000}"/>
    <cellStyle name="Normal 14 8 2 2 4" xfId="33371" xr:uid="{00000000-0005-0000-0000-000077670000}"/>
    <cellStyle name="Normal 14 8 2 2 5" xfId="37575" xr:uid="{00000000-0005-0000-0000-000078670000}"/>
    <cellStyle name="Normal 14 8 2 3" xfId="12271" xr:uid="{00000000-0005-0000-0000-000079670000}"/>
    <cellStyle name="Normal 14 8 2 3 2" xfId="28838" xr:uid="{00000000-0005-0000-0000-00007A670000}"/>
    <cellStyle name="Normal 14 8 2 3 3" xfId="33051" xr:uid="{00000000-0005-0000-0000-00007B670000}"/>
    <cellStyle name="Normal 14 8 2 3 4" xfId="37266" xr:uid="{00000000-0005-0000-0000-00007C670000}"/>
    <cellStyle name="Normal 14 8 2 4" xfId="23480" xr:uid="{00000000-0005-0000-0000-00007D670000}"/>
    <cellStyle name="Normal 14 8 2 4 2" xfId="28979" xr:uid="{00000000-0005-0000-0000-00007E670000}"/>
    <cellStyle name="Normal 14 8 2 4 3" xfId="33196" xr:uid="{00000000-0005-0000-0000-00007F670000}"/>
    <cellStyle name="Normal 14 8 2 4 4" xfId="37407" xr:uid="{00000000-0005-0000-0000-000080670000}"/>
    <cellStyle name="Normal 14 8 2 5" xfId="24849" xr:uid="{00000000-0005-0000-0000-000081670000}"/>
    <cellStyle name="Normal 14 8 2 6" xfId="29060" xr:uid="{00000000-0005-0000-0000-000082670000}"/>
    <cellStyle name="Normal 14 8 2 7" xfId="33277" xr:uid="{00000000-0005-0000-0000-000083670000}"/>
    <cellStyle name="Normal 14 8 2 8" xfId="37481" xr:uid="{00000000-0005-0000-0000-000084670000}"/>
    <cellStyle name="Normal 14 8 3" xfId="4435" xr:uid="{00000000-0005-0000-0000-000085670000}"/>
    <cellStyle name="Normal 14 8 3 2" xfId="8271" xr:uid="{00000000-0005-0000-0000-000086670000}"/>
    <cellStyle name="Normal 14 8 3 3" xfId="11247" xr:uid="{00000000-0005-0000-0000-000087670000}"/>
    <cellStyle name="Normal 14 8 3 3 2" xfId="28094" xr:uid="{00000000-0005-0000-0000-000088670000}"/>
    <cellStyle name="Normal 14 8 3 3 3" xfId="32307" xr:uid="{00000000-0005-0000-0000-000089670000}"/>
    <cellStyle name="Normal 14 8 3 3 4" xfId="36522" xr:uid="{00000000-0005-0000-0000-00008A670000}"/>
    <cellStyle name="Normal 14 8 3 3 5" xfId="40726" xr:uid="{00000000-0005-0000-0000-00008B670000}"/>
    <cellStyle name="Normal 14 8 3 4" xfId="24907" xr:uid="{00000000-0005-0000-0000-00008C670000}"/>
    <cellStyle name="Normal 14 8 3 5" xfId="29119" xr:uid="{00000000-0005-0000-0000-00008D670000}"/>
    <cellStyle name="Normal 14 8 3 6" xfId="33335" xr:uid="{00000000-0005-0000-0000-00008E670000}"/>
    <cellStyle name="Normal 14 8 3 7" xfId="37539" xr:uid="{00000000-0005-0000-0000-00008F670000}"/>
    <cellStyle name="Normal 14 8 4" xfId="12235" xr:uid="{00000000-0005-0000-0000-000090670000}"/>
    <cellStyle name="Normal 14 8 4 2" xfId="28803" xr:uid="{00000000-0005-0000-0000-000091670000}"/>
    <cellStyle name="Normal 14 8 4 3" xfId="33016" xr:uid="{00000000-0005-0000-0000-000092670000}"/>
    <cellStyle name="Normal 14 8 4 4" xfId="37231" xr:uid="{00000000-0005-0000-0000-000093670000}"/>
    <cellStyle name="Normal 14 8 5" xfId="23444" xr:uid="{00000000-0005-0000-0000-000094670000}"/>
    <cellStyle name="Normal 14 8 5 2" xfId="28944" xr:uid="{00000000-0005-0000-0000-000095670000}"/>
    <cellStyle name="Normal 14 8 5 3" xfId="33161" xr:uid="{00000000-0005-0000-0000-000096670000}"/>
    <cellStyle name="Normal 14 8 5 4" xfId="37372" xr:uid="{00000000-0005-0000-0000-000097670000}"/>
    <cellStyle name="Normal 14 8 6" xfId="24848" xr:uid="{00000000-0005-0000-0000-000098670000}"/>
    <cellStyle name="Normal 14 8 7" xfId="29059" xr:uid="{00000000-0005-0000-0000-000099670000}"/>
    <cellStyle name="Normal 14 8 8" xfId="33276" xr:uid="{00000000-0005-0000-0000-00009A670000}"/>
    <cellStyle name="Normal 14 8 9" xfId="37480" xr:uid="{00000000-0005-0000-0000-00009B670000}"/>
    <cellStyle name="Normal 14 9" xfId="3513" xr:uid="{00000000-0005-0000-0000-00009C670000}"/>
    <cellStyle name="Normal 14 9 2" xfId="3514" xr:uid="{00000000-0005-0000-0000-00009D670000}"/>
    <cellStyle name="Normal 14 9 2 2" xfId="4473" xr:uid="{00000000-0005-0000-0000-00009E670000}"/>
    <cellStyle name="Normal 14 9 2 2 2" xfId="24944" xr:uid="{00000000-0005-0000-0000-00009F670000}"/>
    <cellStyle name="Normal 14 9 2 2 3" xfId="29156" xr:uid="{00000000-0005-0000-0000-0000A0670000}"/>
    <cellStyle name="Normal 14 9 2 2 4" xfId="33372" xr:uid="{00000000-0005-0000-0000-0000A1670000}"/>
    <cellStyle name="Normal 14 9 2 2 5" xfId="37576" xr:uid="{00000000-0005-0000-0000-0000A2670000}"/>
    <cellStyle name="Normal 14 9 2 3" xfId="12272" xr:uid="{00000000-0005-0000-0000-0000A3670000}"/>
    <cellStyle name="Normal 14 9 2 3 2" xfId="28839" xr:uid="{00000000-0005-0000-0000-0000A4670000}"/>
    <cellStyle name="Normal 14 9 2 3 3" xfId="33052" xr:uid="{00000000-0005-0000-0000-0000A5670000}"/>
    <cellStyle name="Normal 14 9 2 3 4" xfId="37267" xr:uid="{00000000-0005-0000-0000-0000A6670000}"/>
    <cellStyle name="Normal 14 9 2 4" xfId="23481" xr:uid="{00000000-0005-0000-0000-0000A7670000}"/>
    <cellStyle name="Normal 14 9 2 4 2" xfId="28980" xr:uid="{00000000-0005-0000-0000-0000A8670000}"/>
    <cellStyle name="Normal 14 9 2 4 3" xfId="33197" xr:uid="{00000000-0005-0000-0000-0000A9670000}"/>
    <cellStyle name="Normal 14 9 2 4 4" xfId="37408" xr:uid="{00000000-0005-0000-0000-0000AA670000}"/>
    <cellStyle name="Normal 14 9 2 5" xfId="24851" xr:uid="{00000000-0005-0000-0000-0000AB670000}"/>
    <cellStyle name="Normal 14 9 2 6" xfId="29062" xr:uid="{00000000-0005-0000-0000-0000AC670000}"/>
    <cellStyle name="Normal 14 9 2 7" xfId="33279" xr:uid="{00000000-0005-0000-0000-0000AD670000}"/>
    <cellStyle name="Normal 14 9 2 8" xfId="37483" xr:uid="{00000000-0005-0000-0000-0000AE670000}"/>
    <cellStyle name="Normal 14 9 3" xfId="4436" xr:uid="{00000000-0005-0000-0000-0000AF670000}"/>
    <cellStyle name="Normal 14 9 3 2" xfId="8272" xr:uid="{00000000-0005-0000-0000-0000B0670000}"/>
    <cellStyle name="Normal 14 9 3 3" xfId="11248" xr:uid="{00000000-0005-0000-0000-0000B1670000}"/>
    <cellStyle name="Normal 14 9 3 3 2" xfId="28095" xr:uid="{00000000-0005-0000-0000-0000B2670000}"/>
    <cellStyle name="Normal 14 9 3 3 3" xfId="32308" xr:uid="{00000000-0005-0000-0000-0000B3670000}"/>
    <cellStyle name="Normal 14 9 3 3 4" xfId="36523" xr:uid="{00000000-0005-0000-0000-0000B4670000}"/>
    <cellStyle name="Normal 14 9 3 3 5" xfId="40727" xr:uid="{00000000-0005-0000-0000-0000B5670000}"/>
    <cellStyle name="Normal 14 9 3 4" xfId="24908" xr:uid="{00000000-0005-0000-0000-0000B6670000}"/>
    <cellStyle name="Normal 14 9 3 5" xfId="29120" xr:uid="{00000000-0005-0000-0000-0000B7670000}"/>
    <cellStyle name="Normal 14 9 3 6" xfId="33336" xr:uid="{00000000-0005-0000-0000-0000B8670000}"/>
    <cellStyle name="Normal 14 9 3 7" xfId="37540" xr:uid="{00000000-0005-0000-0000-0000B9670000}"/>
    <cellStyle name="Normal 14 9 4" xfId="12236" xr:uid="{00000000-0005-0000-0000-0000BA670000}"/>
    <cellStyle name="Normal 14 9 4 2" xfId="28804" xr:uid="{00000000-0005-0000-0000-0000BB670000}"/>
    <cellStyle name="Normal 14 9 4 3" xfId="33017" xr:uid="{00000000-0005-0000-0000-0000BC670000}"/>
    <cellStyle name="Normal 14 9 4 4" xfId="37232" xr:uid="{00000000-0005-0000-0000-0000BD670000}"/>
    <cellStyle name="Normal 14 9 5" xfId="23445" xr:uid="{00000000-0005-0000-0000-0000BE670000}"/>
    <cellStyle name="Normal 14 9 5 2" xfId="28945" xr:uid="{00000000-0005-0000-0000-0000BF670000}"/>
    <cellStyle name="Normal 14 9 5 3" xfId="33162" xr:uid="{00000000-0005-0000-0000-0000C0670000}"/>
    <cellStyle name="Normal 14 9 5 4" xfId="37373" xr:uid="{00000000-0005-0000-0000-0000C1670000}"/>
    <cellStyle name="Normal 14 9 6" xfId="24850" xr:uid="{00000000-0005-0000-0000-0000C2670000}"/>
    <cellStyle name="Normal 14 9 7" xfId="29061" xr:uid="{00000000-0005-0000-0000-0000C3670000}"/>
    <cellStyle name="Normal 14 9 8" xfId="33278" xr:uid="{00000000-0005-0000-0000-0000C4670000}"/>
    <cellStyle name="Normal 14 9 9" xfId="37482" xr:uid="{00000000-0005-0000-0000-0000C5670000}"/>
    <cellStyle name="Normal 15" xfId="2189" xr:uid="{00000000-0005-0000-0000-0000C6670000}"/>
    <cellStyle name="Normal 15 10" xfId="2190" xr:uid="{00000000-0005-0000-0000-0000C7670000}"/>
    <cellStyle name="Normal 15 10 2" xfId="3516" xr:uid="{00000000-0005-0000-0000-0000C8670000}"/>
    <cellStyle name="Normal 15 11" xfId="2191" xr:uid="{00000000-0005-0000-0000-0000C9670000}"/>
    <cellStyle name="Normal 15 11 2" xfId="3517" xr:uid="{00000000-0005-0000-0000-0000CA670000}"/>
    <cellStyle name="Normal 15 12" xfId="5260" xr:uid="{00000000-0005-0000-0000-0000CB670000}"/>
    <cellStyle name="Normal 15 13" xfId="5261" xr:uid="{00000000-0005-0000-0000-0000CC670000}"/>
    <cellStyle name="Normal 15 13 2" xfId="5262" xr:uid="{00000000-0005-0000-0000-0000CD670000}"/>
    <cellStyle name="Normal 15 14" xfId="7091" xr:uid="{00000000-0005-0000-0000-0000CE670000}"/>
    <cellStyle name="Normal 15 14 2" xfId="25744" xr:uid="{00000000-0005-0000-0000-0000CF670000}"/>
    <cellStyle name="Normal 15 14 3" xfId="29957" xr:uid="{00000000-0005-0000-0000-0000D0670000}"/>
    <cellStyle name="Normal 15 14 4" xfId="34172" xr:uid="{00000000-0005-0000-0000-0000D1670000}"/>
    <cellStyle name="Normal 15 14 5" xfId="38376" xr:uid="{00000000-0005-0000-0000-0000D2670000}"/>
    <cellStyle name="Normal 15 15" xfId="7221" xr:uid="{00000000-0005-0000-0000-0000D3670000}"/>
    <cellStyle name="Normal 15 15 2" xfId="25854" xr:uid="{00000000-0005-0000-0000-0000D4670000}"/>
    <cellStyle name="Normal 15 15 3" xfId="30067" xr:uid="{00000000-0005-0000-0000-0000D5670000}"/>
    <cellStyle name="Normal 15 15 4" xfId="34282" xr:uid="{00000000-0005-0000-0000-0000D6670000}"/>
    <cellStyle name="Normal 15 15 5" xfId="38486" xr:uid="{00000000-0005-0000-0000-0000D7670000}"/>
    <cellStyle name="Normal 15 16" xfId="7340" xr:uid="{00000000-0005-0000-0000-0000D8670000}"/>
    <cellStyle name="Normal 15 16 2" xfId="25973" xr:uid="{00000000-0005-0000-0000-0000D9670000}"/>
    <cellStyle name="Normal 15 16 3" xfId="30186" xr:uid="{00000000-0005-0000-0000-0000DA670000}"/>
    <cellStyle name="Normal 15 16 4" xfId="34401" xr:uid="{00000000-0005-0000-0000-0000DB670000}"/>
    <cellStyle name="Normal 15 16 5" xfId="38605" xr:uid="{00000000-0005-0000-0000-0000DC670000}"/>
    <cellStyle name="Normal 15 17" xfId="7458" xr:uid="{00000000-0005-0000-0000-0000DD670000}"/>
    <cellStyle name="Normal 15 17 2" xfId="26091" xr:uid="{00000000-0005-0000-0000-0000DE670000}"/>
    <cellStyle name="Normal 15 17 3" xfId="30304" xr:uid="{00000000-0005-0000-0000-0000DF670000}"/>
    <cellStyle name="Normal 15 17 4" xfId="34519" xr:uid="{00000000-0005-0000-0000-0000E0670000}"/>
    <cellStyle name="Normal 15 17 5" xfId="38723" xr:uid="{00000000-0005-0000-0000-0000E1670000}"/>
    <cellStyle name="Normal 15 18" xfId="8273" xr:uid="{00000000-0005-0000-0000-0000E2670000}"/>
    <cellStyle name="Normal 15 19" xfId="8959" xr:uid="{00000000-0005-0000-0000-0000E3670000}"/>
    <cellStyle name="Normal 15 19 2" xfId="26530" xr:uid="{00000000-0005-0000-0000-0000E4670000}"/>
    <cellStyle name="Normal 15 19 3" xfId="30743" xr:uid="{00000000-0005-0000-0000-0000E5670000}"/>
    <cellStyle name="Normal 15 19 4" xfId="34958" xr:uid="{00000000-0005-0000-0000-0000E6670000}"/>
    <cellStyle name="Normal 15 19 5" xfId="39162" xr:uid="{00000000-0005-0000-0000-0000E7670000}"/>
    <cellStyle name="Normal 15 2" xfId="2192" xr:uid="{00000000-0005-0000-0000-0000E8670000}"/>
    <cellStyle name="Normal 15 2 10" xfId="7222" xr:uid="{00000000-0005-0000-0000-0000E9670000}"/>
    <cellStyle name="Normal 15 2 10 2" xfId="25855" xr:uid="{00000000-0005-0000-0000-0000EA670000}"/>
    <cellStyle name="Normal 15 2 10 3" xfId="30068" xr:uid="{00000000-0005-0000-0000-0000EB670000}"/>
    <cellStyle name="Normal 15 2 10 4" xfId="34283" xr:uid="{00000000-0005-0000-0000-0000EC670000}"/>
    <cellStyle name="Normal 15 2 10 5" xfId="38487" xr:uid="{00000000-0005-0000-0000-0000ED670000}"/>
    <cellStyle name="Normal 15 2 11" xfId="7341" xr:uid="{00000000-0005-0000-0000-0000EE670000}"/>
    <cellStyle name="Normal 15 2 11 2" xfId="25974" xr:uid="{00000000-0005-0000-0000-0000EF670000}"/>
    <cellStyle name="Normal 15 2 11 3" xfId="30187" xr:uid="{00000000-0005-0000-0000-0000F0670000}"/>
    <cellStyle name="Normal 15 2 11 4" xfId="34402" xr:uid="{00000000-0005-0000-0000-0000F1670000}"/>
    <cellStyle name="Normal 15 2 11 5" xfId="38606" xr:uid="{00000000-0005-0000-0000-0000F2670000}"/>
    <cellStyle name="Normal 15 2 12" xfId="7459" xr:uid="{00000000-0005-0000-0000-0000F3670000}"/>
    <cellStyle name="Normal 15 2 12 2" xfId="26092" xr:uid="{00000000-0005-0000-0000-0000F4670000}"/>
    <cellStyle name="Normal 15 2 12 3" xfId="30305" xr:uid="{00000000-0005-0000-0000-0000F5670000}"/>
    <cellStyle name="Normal 15 2 12 4" xfId="34520" xr:uid="{00000000-0005-0000-0000-0000F6670000}"/>
    <cellStyle name="Normal 15 2 12 5" xfId="38724" xr:uid="{00000000-0005-0000-0000-0000F7670000}"/>
    <cellStyle name="Normal 15 2 13" xfId="8960" xr:uid="{00000000-0005-0000-0000-0000F8670000}"/>
    <cellStyle name="Normal 15 2 13 2" xfId="26531" xr:uid="{00000000-0005-0000-0000-0000F9670000}"/>
    <cellStyle name="Normal 15 2 13 3" xfId="30744" xr:uid="{00000000-0005-0000-0000-0000FA670000}"/>
    <cellStyle name="Normal 15 2 13 4" xfId="34959" xr:uid="{00000000-0005-0000-0000-0000FB670000}"/>
    <cellStyle name="Normal 15 2 13 5" xfId="39163" xr:uid="{00000000-0005-0000-0000-0000FC670000}"/>
    <cellStyle name="Normal 15 2 14" xfId="9082" xr:uid="{00000000-0005-0000-0000-0000FD670000}"/>
    <cellStyle name="Normal 15 2 14 2" xfId="26653" xr:uid="{00000000-0005-0000-0000-0000FE670000}"/>
    <cellStyle name="Normal 15 2 14 3" xfId="30866" xr:uid="{00000000-0005-0000-0000-0000FF670000}"/>
    <cellStyle name="Normal 15 2 14 4" xfId="35081" xr:uid="{00000000-0005-0000-0000-000000680000}"/>
    <cellStyle name="Normal 15 2 14 5" xfId="39285" xr:uid="{00000000-0005-0000-0000-000001680000}"/>
    <cellStyle name="Normal 15 2 15" xfId="9202" xr:uid="{00000000-0005-0000-0000-000002680000}"/>
    <cellStyle name="Normal 15 2 15 2" xfId="26773" xr:uid="{00000000-0005-0000-0000-000003680000}"/>
    <cellStyle name="Normal 15 2 15 3" xfId="30986" xr:uid="{00000000-0005-0000-0000-000004680000}"/>
    <cellStyle name="Normal 15 2 15 4" xfId="35201" xr:uid="{00000000-0005-0000-0000-000005680000}"/>
    <cellStyle name="Normal 15 2 15 5" xfId="39405" xr:uid="{00000000-0005-0000-0000-000006680000}"/>
    <cellStyle name="Normal 15 2 16" xfId="9323" xr:uid="{00000000-0005-0000-0000-000007680000}"/>
    <cellStyle name="Normal 15 2 16 2" xfId="26894" xr:uid="{00000000-0005-0000-0000-000008680000}"/>
    <cellStyle name="Normal 15 2 16 3" xfId="31107" xr:uid="{00000000-0005-0000-0000-000009680000}"/>
    <cellStyle name="Normal 15 2 16 4" xfId="35322" xr:uid="{00000000-0005-0000-0000-00000A680000}"/>
    <cellStyle name="Normal 15 2 16 5" xfId="39526" xr:uid="{00000000-0005-0000-0000-00000B680000}"/>
    <cellStyle name="Normal 15 2 17" xfId="9442" xr:uid="{00000000-0005-0000-0000-00000C680000}"/>
    <cellStyle name="Normal 15 2 17 2" xfId="27013" xr:uid="{00000000-0005-0000-0000-00000D680000}"/>
    <cellStyle name="Normal 15 2 17 3" xfId="31226" xr:uid="{00000000-0005-0000-0000-00000E680000}"/>
    <cellStyle name="Normal 15 2 17 4" xfId="35441" xr:uid="{00000000-0005-0000-0000-00000F680000}"/>
    <cellStyle name="Normal 15 2 17 5" xfId="39645" xr:uid="{00000000-0005-0000-0000-000010680000}"/>
    <cellStyle name="Normal 15 2 18" xfId="3518" xr:uid="{00000000-0005-0000-0000-000011680000}"/>
    <cellStyle name="Normal 15 2 2" xfId="2193" xr:uid="{00000000-0005-0000-0000-000012680000}"/>
    <cellStyle name="Normal 15 2 2 2" xfId="2194" xr:uid="{00000000-0005-0000-0000-000013680000}"/>
    <cellStyle name="Normal 15 2 2 2 2" xfId="3520" xr:uid="{00000000-0005-0000-0000-000014680000}"/>
    <cellStyle name="Normal 15 2 2 3" xfId="3519" xr:uid="{00000000-0005-0000-0000-000015680000}"/>
    <cellStyle name="Normal 15 2 3" xfId="2195" xr:uid="{00000000-0005-0000-0000-000016680000}"/>
    <cellStyle name="Normal 15 2 3 2" xfId="3521" xr:uid="{00000000-0005-0000-0000-000017680000}"/>
    <cellStyle name="Normal 15 2 3 2 2" xfId="43552" xr:uid="{00000000-0005-0000-0000-000018680000}"/>
    <cellStyle name="Normal 15 2 4" xfId="2196" xr:uid="{00000000-0005-0000-0000-000019680000}"/>
    <cellStyle name="Normal 15 2 4 2" xfId="3522" xr:uid="{00000000-0005-0000-0000-00001A680000}"/>
    <cellStyle name="Normal 15 2 5" xfId="2197" xr:uid="{00000000-0005-0000-0000-00001B680000}"/>
    <cellStyle name="Normal 15 2 5 2" xfId="3523" xr:uid="{00000000-0005-0000-0000-00001C680000}"/>
    <cellStyle name="Normal 15 2 6" xfId="2198" xr:uid="{00000000-0005-0000-0000-00001D680000}"/>
    <cellStyle name="Normal 15 2 6 2" xfId="3524" xr:uid="{00000000-0005-0000-0000-00001E680000}"/>
    <cellStyle name="Normal 15 2 7" xfId="5263" xr:uid="{00000000-0005-0000-0000-00001F680000}"/>
    <cellStyle name="Normal 15 2 8" xfId="5264" xr:uid="{00000000-0005-0000-0000-000020680000}"/>
    <cellStyle name="Normal 15 2 8 2" xfId="5265" xr:uid="{00000000-0005-0000-0000-000021680000}"/>
    <cellStyle name="Normal 15 2 9" xfId="7092" xr:uid="{00000000-0005-0000-0000-000022680000}"/>
    <cellStyle name="Normal 15 2 9 2" xfId="25745" xr:uid="{00000000-0005-0000-0000-000023680000}"/>
    <cellStyle name="Normal 15 2 9 3" xfId="29958" xr:uid="{00000000-0005-0000-0000-000024680000}"/>
    <cellStyle name="Normal 15 2 9 4" xfId="34173" xr:uid="{00000000-0005-0000-0000-000025680000}"/>
    <cellStyle name="Normal 15 2 9 5" xfId="38377" xr:uid="{00000000-0005-0000-0000-000026680000}"/>
    <cellStyle name="Normal 15 20" xfId="9081" xr:uid="{00000000-0005-0000-0000-000027680000}"/>
    <cellStyle name="Normal 15 20 2" xfId="26652" xr:uid="{00000000-0005-0000-0000-000028680000}"/>
    <cellStyle name="Normal 15 20 3" xfId="30865" xr:uid="{00000000-0005-0000-0000-000029680000}"/>
    <cellStyle name="Normal 15 20 4" xfId="35080" xr:uid="{00000000-0005-0000-0000-00002A680000}"/>
    <cellStyle name="Normal 15 20 5" xfId="39284" xr:uid="{00000000-0005-0000-0000-00002B680000}"/>
    <cellStyle name="Normal 15 21" xfId="9201" xr:uid="{00000000-0005-0000-0000-00002C680000}"/>
    <cellStyle name="Normal 15 21 2" xfId="26772" xr:uid="{00000000-0005-0000-0000-00002D680000}"/>
    <cellStyle name="Normal 15 21 3" xfId="30985" xr:uid="{00000000-0005-0000-0000-00002E680000}"/>
    <cellStyle name="Normal 15 21 4" xfId="35200" xr:uid="{00000000-0005-0000-0000-00002F680000}"/>
    <cellStyle name="Normal 15 21 5" xfId="39404" xr:uid="{00000000-0005-0000-0000-000030680000}"/>
    <cellStyle name="Normal 15 22" xfId="9322" xr:uid="{00000000-0005-0000-0000-000031680000}"/>
    <cellStyle name="Normal 15 22 2" xfId="26893" xr:uid="{00000000-0005-0000-0000-000032680000}"/>
    <cellStyle name="Normal 15 22 3" xfId="31106" xr:uid="{00000000-0005-0000-0000-000033680000}"/>
    <cellStyle name="Normal 15 22 4" xfId="35321" xr:uid="{00000000-0005-0000-0000-000034680000}"/>
    <cellStyle name="Normal 15 22 5" xfId="39525" xr:uid="{00000000-0005-0000-0000-000035680000}"/>
    <cellStyle name="Normal 15 23" xfId="9441" xr:uid="{00000000-0005-0000-0000-000036680000}"/>
    <cellStyle name="Normal 15 23 2" xfId="27012" xr:uid="{00000000-0005-0000-0000-000037680000}"/>
    <cellStyle name="Normal 15 23 3" xfId="31225" xr:uid="{00000000-0005-0000-0000-000038680000}"/>
    <cellStyle name="Normal 15 23 4" xfId="35440" xr:uid="{00000000-0005-0000-0000-000039680000}"/>
    <cellStyle name="Normal 15 23 5" xfId="39644" xr:uid="{00000000-0005-0000-0000-00003A680000}"/>
    <cellStyle name="Normal 15 24" xfId="10116" xr:uid="{00000000-0005-0000-0000-00003B680000}"/>
    <cellStyle name="Normal 15 25" xfId="3515" xr:uid="{00000000-0005-0000-0000-00003C680000}"/>
    <cellStyle name="Normal 15 3" xfId="2199" xr:uid="{00000000-0005-0000-0000-00003D680000}"/>
    <cellStyle name="Normal 15 3 10" xfId="7223" xr:uid="{00000000-0005-0000-0000-00003E680000}"/>
    <cellStyle name="Normal 15 3 10 2" xfId="25856" xr:uid="{00000000-0005-0000-0000-00003F680000}"/>
    <cellStyle name="Normal 15 3 10 3" xfId="30069" xr:uid="{00000000-0005-0000-0000-000040680000}"/>
    <cellStyle name="Normal 15 3 10 4" xfId="34284" xr:uid="{00000000-0005-0000-0000-000041680000}"/>
    <cellStyle name="Normal 15 3 10 5" xfId="38488" xr:uid="{00000000-0005-0000-0000-000042680000}"/>
    <cellStyle name="Normal 15 3 11" xfId="7342" xr:uid="{00000000-0005-0000-0000-000043680000}"/>
    <cellStyle name="Normal 15 3 11 2" xfId="25975" xr:uid="{00000000-0005-0000-0000-000044680000}"/>
    <cellStyle name="Normal 15 3 11 3" xfId="30188" xr:uid="{00000000-0005-0000-0000-000045680000}"/>
    <cellStyle name="Normal 15 3 11 4" xfId="34403" xr:uid="{00000000-0005-0000-0000-000046680000}"/>
    <cellStyle name="Normal 15 3 11 5" xfId="38607" xr:uid="{00000000-0005-0000-0000-000047680000}"/>
    <cellStyle name="Normal 15 3 12" xfId="7460" xr:uid="{00000000-0005-0000-0000-000048680000}"/>
    <cellStyle name="Normal 15 3 12 2" xfId="26093" xr:uid="{00000000-0005-0000-0000-000049680000}"/>
    <cellStyle name="Normal 15 3 12 3" xfId="30306" xr:uid="{00000000-0005-0000-0000-00004A680000}"/>
    <cellStyle name="Normal 15 3 12 4" xfId="34521" xr:uid="{00000000-0005-0000-0000-00004B680000}"/>
    <cellStyle name="Normal 15 3 12 5" xfId="38725" xr:uid="{00000000-0005-0000-0000-00004C680000}"/>
    <cellStyle name="Normal 15 3 13" xfId="8961" xr:uid="{00000000-0005-0000-0000-00004D680000}"/>
    <cellStyle name="Normal 15 3 13 2" xfId="26532" xr:uid="{00000000-0005-0000-0000-00004E680000}"/>
    <cellStyle name="Normal 15 3 13 3" xfId="30745" xr:uid="{00000000-0005-0000-0000-00004F680000}"/>
    <cellStyle name="Normal 15 3 13 4" xfId="34960" xr:uid="{00000000-0005-0000-0000-000050680000}"/>
    <cellStyle name="Normal 15 3 13 5" xfId="39164" xr:uid="{00000000-0005-0000-0000-000051680000}"/>
    <cellStyle name="Normal 15 3 14" xfId="9083" xr:uid="{00000000-0005-0000-0000-000052680000}"/>
    <cellStyle name="Normal 15 3 14 2" xfId="26654" xr:uid="{00000000-0005-0000-0000-000053680000}"/>
    <cellStyle name="Normal 15 3 14 3" xfId="30867" xr:uid="{00000000-0005-0000-0000-000054680000}"/>
    <cellStyle name="Normal 15 3 14 4" xfId="35082" xr:uid="{00000000-0005-0000-0000-000055680000}"/>
    <cellStyle name="Normal 15 3 14 5" xfId="39286" xr:uid="{00000000-0005-0000-0000-000056680000}"/>
    <cellStyle name="Normal 15 3 15" xfId="9203" xr:uid="{00000000-0005-0000-0000-000057680000}"/>
    <cellStyle name="Normal 15 3 15 2" xfId="26774" xr:uid="{00000000-0005-0000-0000-000058680000}"/>
    <cellStyle name="Normal 15 3 15 3" xfId="30987" xr:uid="{00000000-0005-0000-0000-000059680000}"/>
    <cellStyle name="Normal 15 3 15 4" xfId="35202" xr:uid="{00000000-0005-0000-0000-00005A680000}"/>
    <cellStyle name="Normal 15 3 15 5" xfId="39406" xr:uid="{00000000-0005-0000-0000-00005B680000}"/>
    <cellStyle name="Normal 15 3 16" xfId="9324" xr:uid="{00000000-0005-0000-0000-00005C680000}"/>
    <cellStyle name="Normal 15 3 16 2" xfId="26895" xr:uid="{00000000-0005-0000-0000-00005D680000}"/>
    <cellStyle name="Normal 15 3 16 3" xfId="31108" xr:uid="{00000000-0005-0000-0000-00005E680000}"/>
    <cellStyle name="Normal 15 3 16 4" xfId="35323" xr:uid="{00000000-0005-0000-0000-00005F680000}"/>
    <cellStyle name="Normal 15 3 16 5" xfId="39527" xr:uid="{00000000-0005-0000-0000-000060680000}"/>
    <cellStyle name="Normal 15 3 17" xfId="9443" xr:uid="{00000000-0005-0000-0000-000061680000}"/>
    <cellStyle name="Normal 15 3 17 2" xfId="27014" xr:uid="{00000000-0005-0000-0000-000062680000}"/>
    <cellStyle name="Normal 15 3 17 3" xfId="31227" xr:uid="{00000000-0005-0000-0000-000063680000}"/>
    <cellStyle name="Normal 15 3 17 4" xfId="35442" xr:uid="{00000000-0005-0000-0000-000064680000}"/>
    <cellStyle name="Normal 15 3 17 5" xfId="39646" xr:uid="{00000000-0005-0000-0000-000065680000}"/>
    <cellStyle name="Normal 15 3 18" xfId="3525" xr:uid="{00000000-0005-0000-0000-000066680000}"/>
    <cellStyle name="Normal 15 3 2" xfId="2200" xr:uid="{00000000-0005-0000-0000-000067680000}"/>
    <cellStyle name="Normal 15 3 2 2" xfId="2201" xr:uid="{00000000-0005-0000-0000-000068680000}"/>
    <cellStyle name="Normal 15 3 2 2 2" xfId="3527" xr:uid="{00000000-0005-0000-0000-000069680000}"/>
    <cellStyle name="Normal 15 3 2 3" xfId="3526" xr:uid="{00000000-0005-0000-0000-00006A680000}"/>
    <cellStyle name="Normal 15 3 3" xfId="2202" xr:uid="{00000000-0005-0000-0000-00006B680000}"/>
    <cellStyle name="Normal 15 3 3 2" xfId="3528" xr:uid="{00000000-0005-0000-0000-00006C680000}"/>
    <cellStyle name="Normal 15 3 4" xfId="2203" xr:uid="{00000000-0005-0000-0000-00006D680000}"/>
    <cellStyle name="Normal 15 3 4 2" xfId="3529" xr:uid="{00000000-0005-0000-0000-00006E680000}"/>
    <cellStyle name="Normal 15 3 5" xfId="2204" xr:uid="{00000000-0005-0000-0000-00006F680000}"/>
    <cellStyle name="Normal 15 3 5 2" xfId="3530" xr:uid="{00000000-0005-0000-0000-000070680000}"/>
    <cellStyle name="Normal 15 3 6" xfId="2205" xr:uid="{00000000-0005-0000-0000-000071680000}"/>
    <cellStyle name="Normal 15 3 6 2" xfId="3531" xr:uid="{00000000-0005-0000-0000-000072680000}"/>
    <cellStyle name="Normal 15 3 7" xfId="5266" xr:uid="{00000000-0005-0000-0000-000073680000}"/>
    <cellStyle name="Normal 15 3 8" xfId="5267" xr:uid="{00000000-0005-0000-0000-000074680000}"/>
    <cellStyle name="Normal 15 3 8 2" xfId="5268" xr:uid="{00000000-0005-0000-0000-000075680000}"/>
    <cellStyle name="Normal 15 3 9" xfId="7093" xr:uid="{00000000-0005-0000-0000-000076680000}"/>
    <cellStyle name="Normal 15 3 9 2" xfId="25746" xr:uid="{00000000-0005-0000-0000-000077680000}"/>
    <cellStyle name="Normal 15 3 9 3" xfId="29959" xr:uid="{00000000-0005-0000-0000-000078680000}"/>
    <cellStyle name="Normal 15 3 9 4" xfId="34174" xr:uid="{00000000-0005-0000-0000-000079680000}"/>
    <cellStyle name="Normal 15 3 9 5" xfId="38378" xr:uid="{00000000-0005-0000-0000-00007A680000}"/>
    <cellStyle name="Normal 15 4" xfId="2206" xr:uid="{00000000-0005-0000-0000-00007B680000}"/>
    <cellStyle name="Normal 15 4 2" xfId="2207" xr:uid="{00000000-0005-0000-0000-00007C680000}"/>
    <cellStyle name="Normal 15 4 2 2" xfId="2208" xr:uid="{00000000-0005-0000-0000-00007D680000}"/>
    <cellStyle name="Normal 15 4 2 2 2" xfId="3534" xr:uid="{00000000-0005-0000-0000-00007E680000}"/>
    <cellStyle name="Normal 15 4 2 3" xfId="3533" xr:uid="{00000000-0005-0000-0000-00007F680000}"/>
    <cellStyle name="Normal 15 4 3" xfId="2209" xr:uid="{00000000-0005-0000-0000-000080680000}"/>
    <cellStyle name="Normal 15 4 3 2" xfId="3535" xr:uid="{00000000-0005-0000-0000-000081680000}"/>
    <cellStyle name="Normal 15 4 4" xfId="2210" xr:uid="{00000000-0005-0000-0000-000082680000}"/>
    <cellStyle name="Normal 15 4 4 2" xfId="3536" xr:uid="{00000000-0005-0000-0000-000083680000}"/>
    <cellStyle name="Normal 15 4 5" xfId="2211" xr:uid="{00000000-0005-0000-0000-000084680000}"/>
    <cellStyle name="Normal 15 4 5 2" xfId="3537" xr:uid="{00000000-0005-0000-0000-000085680000}"/>
    <cellStyle name="Normal 15 4 6" xfId="2212" xr:uid="{00000000-0005-0000-0000-000086680000}"/>
    <cellStyle name="Normal 15 4 6 2" xfId="3538" xr:uid="{00000000-0005-0000-0000-000087680000}"/>
    <cellStyle name="Normal 15 4 7" xfId="5269" xr:uid="{00000000-0005-0000-0000-000088680000}"/>
    <cellStyle name="Normal 15 4 8" xfId="5270" xr:uid="{00000000-0005-0000-0000-000089680000}"/>
    <cellStyle name="Normal 15 4 8 2" xfId="5271" xr:uid="{00000000-0005-0000-0000-00008A680000}"/>
    <cellStyle name="Normal 15 4 9" xfId="3532" xr:uid="{00000000-0005-0000-0000-00008B680000}"/>
    <cellStyle name="Normal 15 5" xfId="2213" xr:uid="{00000000-0005-0000-0000-00008C680000}"/>
    <cellStyle name="Normal 15 5 2" xfId="2214" xr:uid="{00000000-0005-0000-0000-00008D680000}"/>
    <cellStyle name="Normal 15 5 2 2" xfId="2215" xr:uid="{00000000-0005-0000-0000-00008E680000}"/>
    <cellStyle name="Normal 15 5 2 2 2" xfId="3541" xr:uid="{00000000-0005-0000-0000-00008F680000}"/>
    <cellStyle name="Normal 15 5 2 3" xfId="3540" xr:uid="{00000000-0005-0000-0000-000090680000}"/>
    <cellStyle name="Normal 15 5 3" xfId="2216" xr:uid="{00000000-0005-0000-0000-000091680000}"/>
    <cellStyle name="Normal 15 5 3 2" xfId="3542" xr:uid="{00000000-0005-0000-0000-000092680000}"/>
    <cellStyle name="Normal 15 5 4" xfId="2217" xr:uid="{00000000-0005-0000-0000-000093680000}"/>
    <cellStyle name="Normal 15 5 4 2" xfId="3543" xr:uid="{00000000-0005-0000-0000-000094680000}"/>
    <cellStyle name="Normal 15 5 5" xfId="2218" xr:uid="{00000000-0005-0000-0000-000095680000}"/>
    <cellStyle name="Normal 15 5 5 2" xfId="3544" xr:uid="{00000000-0005-0000-0000-000096680000}"/>
    <cellStyle name="Normal 15 5 6" xfId="2219" xr:uid="{00000000-0005-0000-0000-000097680000}"/>
    <cellStyle name="Normal 15 5 6 2" xfId="3545" xr:uid="{00000000-0005-0000-0000-000098680000}"/>
    <cellStyle name="Normal 15 5 7" xfId="5272" xr:uid="{00000000-0005-0000-0000-000099680000}"/>
    <cellStyle name="Normal 15 5 8" xfId="5273" xr:uid="{00000000-0005-0000-0000-00009A680000}"/>
    <cellStyle name="Normal 15 5 8 2" xfId="5274" xr:uid="{00000000-0005-0000-0000-00009B680000}"/>
    <cellStyle name="Normal 15 5 9" xfId="3539" xr:uid="{00000000-0005-0000-0000-00009C680000}"/>
    <cellStyle name="Normal 15 6" xfId="2220" xr:uid="{00000000-0005-0000-0000-00009D680000}"/>
    <cellStyle name="Normal 15 6 2" xfId="2221" xr:uid="{00000000-0005-0000-0000-00009E680000}"/>
    <cellStyle name="Normal 15 6 2 2" xfId="2222" xr:uid="{00000000-0005-0000-0000-00009F680000}"/>
    <cellStyle name="Normal 15 6 2 2 2" xfId="3548" xr:uid="{00000000-0005-0000-0000-0000A0680000}"/>
    <cellStyle name="Normal 15 6 2 3" xfId="3547" xr:uid="{00000000-0005-0000-0000-0000A1680000}"/>
    <cellStyle name="Normal 15 6 3" xfId="2223" xr:uid="{00000000-0005-0000-0000-0000A2680000}"/>
    <cellStyle name="Normal 15 6 3 2" xfId="3549" xr:uid="{00000000-0005-0000-0000-0000A3680000}"/>
    <cellStyle name="Normal 15 6 4" xfId="2224" xr:uid="{00000000-0005-0000-0000-0000A4680000}"/>
    <cellStyle name="Normal 15 6 4 2" xfId="3550" xr:uid="{00000000-0005-0000-0000-0000A5680000}"/>
    <cellStyle name="Normal 15 6 5" xfId="2225" xr:uid="{00000000-0005-0000-0000-0000A6680000}"/>
    <cellStyle name="Normal 15 6 5 2" xfId="3551" xr:uid="{00000000-0005-0000-0000-0000A7680000}"/>
    <cellStyle name="Normal 15 6 6" xfId="2226" xr:uid="{00000000-0005-0000-0000-0000A8680000}"/>
    <cellStyle name="Normal 15 6 6 2" xfId="3552" xr:uid="{00000000-0005-0000-0000-0000A9680000}"/>
    <cellStyle name="Normal 15 6 7" xfId="5275" xr:uid="{00000000-0005-0000-0000-0000AA680000}"/>
    <cellStyle name="Normal 15 6 8" xfId="5276" xr:uid="{00000000-0005-0000-0000-0000AB680000}"/>
    <cellStyle name="Normal 15 6 8 2" xfId="5277" xr:uid="{00000000-0005-0000-0000-0000AC680000}"/>
    <cellStyle name="Normal 15 6 9" xfId="3546" xr:uid="{00000000-0005-0000-0000-0000AD680000}"/>
    <cellStyle name="Normal 15 7" xfId="2227" xr:uid="{00000000-0005-0000-0000-0000AE680000}"/>
    <cellStyle name="Normal 15 7 2" xfId="2228" xr:uid="{00000000-0005-0000-0000-0000AF680000}"/>
    <cellStyle name="Normal 15 7 2 2" xfId="3554" xr:uid="{00000000-0005-0000-0000-0000B0680000}"/>
    <cellStyle name="Normal 15 7 3" xfId="3553" xr:uid="{00000000-0005-0000-0000-0000B1680000}"/>
    <cellStyle name="Normal 15 7 3 2" xfId="43553" xr:uid="{00000000-0005-0000-0000-0000B2680000}"/>
    <cellStyle name="Normal 15 8" xfId="2229" xr:uid="{00000000-0005-0000-0000-0000B3680000}"/>
    <cellStyle name="Normal 15 8 2" xfId="3555" xr:uid="{00000000-0005-0000-0000-0000B4680000}"/>
    <cellStyle name="Normal 15 9" xfId="2230" xr:uid="{00000000-0005-0000-0000-0000B5680000}"/>
    <cellStyle name="Normal 15 9 2" xfId="3556" xr:uid="{00000000-0005-0000-0000-0000B6680000}"/>
    <cellStyle name="Normal 16" xfId="2231" xr:uid="{00000000-0005-0000-0000-0000B7680000}"/>
    <cellStyle name="Normal 16 10" xfId="2232" xr:uid="{00000000-0005-0000-0000-0000B8680000}"/>
    <cellStyle name="Normal 16 10 2" xfId="3558" xr:uid="{00000000-0005-0000-0000-0000B9680000}"/>
    <cellStyle name="Normal 16 11" xfId="2233" xr:uid="{00000000-0005-0000-0000-0000BA680000}"/>
    <cellStyle name="Normal 16 11 2" xfId="3559" xr:uid="{00000000-0005-0000-0000-0000BB680000}"/>
    <cellStyle name="Normal 16 12" xfId="5278" xr:uid="{00000000-0005-0000-0000-0000BC680000}"/>
    <cellStyle name="Normal 16 13" xfId="5279" xr:uid="{00000000-0005-0000-0000-0000BD680000}"/>
    <cellStyle name="Normal 16 13 2" xfId="5280" xr:uid="{00000000-0005-0000-0000-0000BE680000}"/>
    <cellStyle name="Normal 16 14" xfId="7094" xr:uid="{00000000-0005-0000-0000-0000BF680000}"/>
    <cellStyle name="Normal 16 14 2" xfId="25747" xr:uid="{00000000-0005-0000-0000-0000C0680000}"/>
    <cellStyle name="Normal 16 14 3" xfId="29960" xr:uid="{00000000-0005-0000-0000-0000C1680000}"/>
    <cellStyle name="Normal 16 14 4" xfId="34175" xr:uid="{00000000-0005-0000-0000-0000C2680000}"/>
    <cellStyle name="Normal 16 14 5" xfId="38379" xr:uid="{00000000-0005-0000-0000-0000C3680000}"/>
    <cellStyle name="Normal 16 15" xfId="7224" xr:uid="{00000000-0005-0000-0000-0000C4680000}"/>
    <cellStyle name="Normal 16 15 2" xfId="25857" xr:uid="{00000000-0005-0000-0000-0000C5680000}"/>
    <cellStyle name="Normal 16 15 3" xfId="30070" xr:uid="{00000000-0005-0000-0000-0000C6680000}"/>
    <cellStyle name="Normal 16 15 4" xfId="34285" xr:uid="{00000000-0005-0000-0000-0000C7680000}"/>
    <cellStyle name="Normal 16 15 5" xfId="38489" xr:uid="{00000000-0005-0000-0000-0000C8680000}"/>
    <cellStyle name="Normal 16 16" xfId="7343" xr:uid="{00000000-0005-0000-0000-0000C9680000}"/>
    <cellStyle name="Normal 16 16 2" xfId="25976" xr:uid="{00000000-0005-0000-0000-0000CA680000}"/>
    <cellStyle name="Normal 16 16 3" xfId="30189" xr:uid="{00000000-0005-0000-0000-0000CB680000}"/>
    <cellStyle name="Normal 16 16 4" xfId="34404" xr:uid="{00000000-0005-0000-0000-0000CC680000}"/>
    <cellStyle name="Normal 16 16 5" xfId="38608" xr:uid="{00000000-0005-0000-0000-0000CD680000}"/>
    <cellStyle name="Normal 16 17" xfId="7461" xr:uid="{00000000-0005-0000-0000-0000CE680000}"/>
    <cellStyle name="Normal 16 17 2" xfId="26094" xr:uid="{00000000-0005-0000-0000-0000CF680000}"/>
    <cellStyle name="Normal 16 17 3" xfId="30307" xr:uid="{00000000-0005-0000-0000-0000D0680000}"/>
    <cellStyle name="Normal 16 17 4" xfId="34522" xr:uid="{00000000-0005-0000-0000-0000D1680000}"/>
    <cellStyle name="Normal 16 17 5" xfId="38726" xr:uid="{00000000-0005-0000-0000-0000D2680000}"/>
    <cellStyle name="Normal 16 18" xfId="8274" xr:uid="{00000000-0005-0000-0000-0000D3680000}"/>
    <cellStyle name="Normal 16 18 2" xfId="26432" xr:uid="{00000000-0005-0000-0000-0000D4680000}"/>
    <cellStyle name="Normal 16 18 3" xfId="30645" xr:uid="{00000000-0005-0000-0000-0000D5680000}"/>
    <cellStyle name="Normal 16 18 4" xfId="34860" xr:uid="{00000000-0005-0000-0000-0000D6680000}"/>
    <cellStyle name="Normal 16 18 5" xfId="39064" xr:uid="{00000000-0005-0000-0000-0000D7680000}"/>
    <cellStyle name="Normal 16 19" xfId="8962" xr:uid="{00000000-0005-0000-0000-0000D8680000}"/>
    <cellStyle name="Normal 16 19 2" xfId="26533" xr:uid="{00000000-0005-0000-0000-0000D9680000}"/>
    <cellStyle name="Normal 16 19 3" xfId="30746" xr:uid="{00000000-0005-0000-0000-0000DA680000}"/>
    <cellStyle name="Normal 16 19 4" xfId="34961" xr:uid="{00000000-0005-0000-0000-0000DB680000}"/>
    <cellStyle name="Normal 16 19 5" xfId="39165" xr:uid="{00000000-0005-0000-0000-0000DC680000}"/>
    <cellStyle name="Normal 16 2" xfId="2234" xr:uid="{00000000-0005-0000-0000-0000DD680000}"/>
    <cellStyle name="Normal 16 2 10" xfId="7225" xr:uid="{00000000-0005-0000-0000-0000DE680000}"/>
    <cellStyle name="Normal 16 2 10 2" xfId="25858" xr:uid="{00000000-0005-0000-0000-0000DF680000}"/>
    <cellStyle name="Normal 16 2 10 3" xfId="30071" xr:uid="{00000000-0005-0000-0000-0000E0680000}"/>
    <cellStyle name="Normal 16 2 10 4" xfId="34286" xr:uid="{00000000-0005-0000-0000-0000E1680000}"/>
    <cellStyle name="Normal 16 2 10 5" xfId="38490" xr:uid="{00000000-0005-0000-0000-0000E2680000}"/>
    <cellStyle name="Normal 16 2 11" xfId="7344" xr:uid="{00000000-0005-0000-0000-0000E3680000}"/>
    <cellStyle name="Normal 16 2 11 2" xfId="25977" xr:uid="{00000000-0005-0000-0000-0000E4680000}"/>
    <cellStyle name="Normal 16 2 11 3" xfId="30190" xr:uid="{00000000-0005-0000-0000-0000E5680000}"/>
    <cellStyle name="Normal 16 2 11 4" xfId="34405" xr:uid="{00000000-0005-0000-0000-0000E6680000}"/>
    <cellStyle name="Normal 16 2 11 5" xfId="38609" xr:uid="{00000000-0005-0000-0000-0000E7680000}"/>
    <cellStyle name="Normal 16 2 12" xfId="7462" xr:uid="{00000000-0005-0000-0000-0000E8680000}"/>
    <cellStyle name="Normal 16 2 12 2" xfId="26095" xr:uid="{00000000-0005-0000-0000-0000E9680000}"/>
    <cellStyle name="Normal 16 2 12 3" xfId="30308" xr:uid="{00000000-0005-0000-0000-0000EA680000}"/>
    <cellStyle name="Normal 16 2 12 4" xfId="34523" xr:uid="{00000000-0005-0000-0000-0000EB680000}"/>
    <cellStyle name="Normal 16 2 12 5" xfId="38727" xr:uid="{00000000-0005-0000-0000-0000EC680000}"/>
    <cellStyle name="Normal 16 2 13" xfId="8963" xr:uid="{00000000-0005-0000-0000-0000ED680000}"/>
    <cellStyle name="Normal 16 2 13 2" xfId="26534" xr:uid="{00000000-0005-0000-0000-0000EE680000}"/>
    <cellStyle name="Normal 16 2 13 3" xfId="30747" xr:uid="{00000000-0005-0000-0000-0000EF680000}"/>
    <cellStyle name="Normal 16 2 13 4" xfId="34962" xr:uid="{00000000-0005-0000-0000-0000F0680000}"/>
    <cellStyle name="Normal 16 2 13 5" xfId="39166" xr:uid="{00000000-0005-0000-0000-0000F1680000}"/>
    <cellStyle name="Normal 16 2 14" xfId="9085" xr:uid="{00000000-0005-0000-0000-0000F2680000}"/>
    <cellStyle name="Normal 16 2 14 2" xfId="26656" xr:uid="{00000000-0005-0000-0000-0000F3680000}"/>
    <cellStyle name="Normal 16 2 14 3" xfId="30869" xr:uid="{00000000-0005-0000-0000-0000F4680000}"/>
    <cellStyle name="Normal 16 2 14 4" xfId="35084" xr:uid="{00000000-0005-0000-0000-0000F5680000}"/>
    <cellStyle name="Normal 16 2 14 5" xfId="39288" xr:uid="{00000000-0005-0000-0000-0000F6680000}"/>
    <cellStyle name="Normal 16 2 15" xfId="9205" xr:uid="{00000000-0005-0000-0000-0000F7680000}"/>
    <cellStyle name="Normal 16 2 15 2" xfId="26776" xr:uid="{00000000-0005-0000-0000-0000F8680000}"/>
    <cellStyle name="Normal 16 2 15 3" xfId="30989" xr:uid="{00000000-0005-0000-0000-0000F9680000}"/>
    <cellStyle name="Normal 16 2 15 4" xfId="35204" xr:uid="{00000000-0005-0000-0000-0000FA680000}"/>
    <cellStyle name="Normal 16 2 15 5" xfId="39408" xr:uid="{00000000-0005-0000-0000-0000FB680000}"/>
    <cellStyle name="Normal 16 2 16" xfId="9326" xr:uid="{00000000-0005-0000-0000-0000FC680000}"/>
    <cellStyle name="Normal 16 2 16 2" xfId="26897" xr:uid="{00000000-0005-0000-0000-0000FD680000}"/>
    <cellStyle name="Normal 16 2 16 3" xfId="31110" xr:uid="{00000000-0005-0000-0000-0000FE680000}"/>
    <cellStyle name="Normal 16 2 16 4" xfId="35325" xr:uid="{00000000-0005-0000-0000-0000FF680000}"/>
    <cellStyle name="Normal 16 2 16 5" xfId="39529" xr:uid="{00000000-0005-0000-0000-000000690000}"/>
    <cellStyle name="Normal 16 2 17" xfId="9445" xr:uid="{00000000-0005-0000-0000-000001690000}"/>
    <cellStyle name="Normal 16 2 17 2" xfId="27016" xr:uid="{00000000-0005-0000-0000-000002690000}"/>
    <cellStyle name="Normal 16 2 17 3" xfId="31229" xr:uid="{00000000-0005-0000-0000-000003690000}"/>
    <cellStyle name="Normal 16 2 17 4" xfId="35444" xr:uid="{00000000-0005-0000-0000-000004690000}"/>
    <cellStyle name="Normal 16 2 17 5" xfId="39648" xr:uid="{00000000-0005-0000-0000-000005690000}"/>
    <cellStyle name="Normal 16 2 18" xfId="3560" xr:uid="{00000000-0005-0000-0000-000006690000}"/>
    <cellStyle name="Normal 16 2 2" xfId="2235" xr:uid="{00000000-0005-0000-0000-000007690000}"/>
    <cellStyle name="Normal 16 2 2 2" xfId="2236" xr:uid="{00000000-0005-0000-0000-000008690000}"/>
    <cellStyle name="Normal 16 2 2 2 2" xfId="3562" xr:uid="{00000000-0005-0000-0000-000009690000}"/>
    <cellStyle name="Normal 16 2 2 3" xfId="3561" xr:uid="{00000000-0005-0000-0000-00000A690000}"/>
    <cellStyle name="Normal 16 2 3" xfId="2237" xr:uid="{00000000-0005-0000-0000-00000B690000}"/>
    <cellStyle name="Normal 16 2 3 2" xfId="3563" xr:uid="{00000000-0005-0000-0000-00000C690000}"/>
    <cellStyle name="Normal 16 2 3 2 2" xfId="43554" xr:uid="{00000000-0005-0000-0000-00000D690000}"/>
    <cellStyle name="Normal 16 2 4" xfId="2238" xr:uid="{00000000-0005-0000-0000-00000E690000}"/>
    <cellStyle name="Normal 16 2 4 2" xfId="3564" xr:uid="{00000000-0005-0000-0000-00000F690000}"/>
    <cellStyle name="Normal 16 2 5" xfId="2239" xr:uid="{00000000-0005-0000-0000-000010690000}"/>
    <cellStyle name="Normal 16 2 5 2" xfId="3565" xr:uid="{00000000-0005-0000-0000-000011690000}"/>
    <cellStyle name="Normal 16 2 6" xfId="2240" xr:uid="{00000000-0005-0000-0000-000012690000}"/>
    <cellStyle name="Normal 16 2 6 2" xfId="3566" xr:uid="{00000000-0005-0000-0000-000013690000}"/>
    <cellStyle name="Normal 16 2 7" xfId="5281" xr:uid="{00000000-0005-0000-0000-000014690000}"/>
    <cellStyle name="Normal 16 2 8" xfId="5282" xr:uid="{00000000-0005-0000-0000-000015690000}"/>
    <cellStyle name="Normal 16 2 8 2" xfId="5283" xr:uid="{00000000-0005-0000-0000-000016690000}"/>
    <cellStyle name="Normal 16 2 9" xfId="7095" xr:uid="{00000000-0005-0000-0000-000017690000}"/>
    <cellStyle name="Normal 16 2 9 2" xfId="25748" xr:uid="{00000000-0005-0000-0000-000018690000}"/>
    <cellStyle name="Normal 16 2 9 3" xfId="29961" xr:uid="{00000000-0005-0000-0000-000019690000}"/>
    <cellStyle name="Normal 16 2 9 4" xfId="34176" xr:uid="{00000000-0005-0000-0000-00001A690000}"/>
    <cellStyle name="Normal 16 2 9 5" xfId="38380" xr:uid="{00000000-0005-0000-0000-00001B690000}"/>
    <cellStyle name="Normal 16 20" xfId="9084" xr:uid="{00000000-0005-0000-0000-00001C690000}"/>
    <cellStyle name="Normal 16 20 2" xfId="26655" xr:uid="{00000000-0005-0000-0000-00001D690000}"/>
    <cellStyle name="Normal 16 20 3" xfId="30868" xr:uid="{00000000-0005-0000-0000-00001E690000}"/>
    <cellStyle name="Normal 16 20 4" xfId="35083" xr:uid="{00000000-0005-0000-0000-00001F690000}"/>
    <cellStyle name="Normal 16 20 5" xfId="39287" xr:uid="{00000000-0005-0000-0000-000020690000}"/>
    <cellStyle name="Normal 16 21" xfId="9204" xr:uid="{00000000-0005-0000-0000-000021690000}"/>
    <cellStyle name="Normal 16 21 2" xfId="26775" xr:uid="{00000000-0005-0000-0000-000022690000}"/>
    <cellStyle name="Normal 16 21 3" xfId="30988" xr:uid="{00000000-0005-0000-0000-000023690000}"/>
    <cellStyle name="Normal 16 21 4" xfId="35203" xr:uid="{00000000-0005-0000-0000-000024690000}"/>
    <cellStyle name="Normal 16 21 5" xfId="39407" xr:uid="{00000000-0005-0000-0000-000025690000}"/>
    <cellStyle name="Normal 16 22" xfId="9325" xr:uid="{00000000-0005-0000-0000-000026690000}"/>
    <cellStyle name="Normal 16 22 2" xfId="26896" xr:uid="{00000000-0005-0000-0000-000027690000}"/>
    <cellStyle name="Normal 16 22 3" xfId="31109" xr:uid="{00000000-0005-0000-0000-000028690000}"/>
    <cellStyle name="Normal 16 22 4" xfId="35324" xr:uid="{00000000-0005-0000-0000-000029690000}"/>
    <cellStyle name="Normal 16 22 5" xfId="39528" xr:uid="{00000000-0005-0000-0000-00002A690000}"/>
    <cellStyle name="Normal 16 23" xfId="9444" xr:uid="{00000000-0005-0000-0000-00002B690000}"/>
    <cellStyle name="Normal 16 23 2" xfId="27015" xr:uid="{00000000-0005-0000-0000-00002C690000}"/>
    <cellStyle name="Normal 16 23 3" xfId="31228" xr:uid="{00000000-0005-0000-0000-00002D690000}"/>
    <cellStyle name="Normal 16 23 4" xfId="35443" xr:uid="{00000000-0005-0000-0000-00002E690000}"/>
    <cellStyle name="Normal 16 23 5" xfId="39647" xr:uid="{00000000-0005-0000-0000-00002F690000}"/>
    <cellStyle name="Normal 16 24" xfId="10115" xr:uid="{00000000-0005-0000-0000-000030690000}"/>
    <cellStyle name="Normal 16 25" xfId="3557" xr:uid="{00000000-0005-0000-0000-000031690000}"/>
    <cellStyle name="Normal 16 3" xfId="2241" xr:uid="{00000000-0005-0000-0000-000032690000}"/>
    <cellStyle name="Normal 16 3 10" xfId="7226" xr:uid="{00000000-0005-0000-0000-000033690000}"/>
    <cellStyle name="Normal 16 3 10 2" xfId="25859" xr:uid="{00000000-0005-0000-0000-000034690000}"/>
    <cellStyle name="Normal 16 3 10 3" xfId="30072" xr:uid="{00000000-0005-0000-0000-000035690000}"/>
    <cellStyle name="Normal 16 3 10 4" xfId="34287" xr:uid="{00000000-0005-0000-0000-000036690000}"/>
    <cellStyle name="Normal 16 3 10 5" xfId="38491" xr:uid="{00000000-0005-0000-0000-000037690000}"/>
    <cellStyle name="Normal 16 3 11" xfId="7345" xr:uid="{00000000-0005-0000-0000-000038690000}"/>
    <cellStyle name="Normal 16 3 11 2" xfId="25978" xr:uid="{00000000-0005-0000-0000-000039690000}"/>
    <cellStyle name="Normal 16 3 11 3" xfId="30191" xr:uid="{00000000-0005-0000-0000-00003A690000}"/>
    <cellStyle name="Normal 16 3 11 4" xfId="34406" xr:uid="{00000000-0005-0000-0000-00003B690000}"/>
    <cellStyle name="Normal 16 3 11 5" xfId="38610" xr:uid="{00000000-0005-0000-0000-00003C690000}"/>
    <cellStyle name="Normal 16 3 12" xfId="7463" xr:uid="{00000000-0005-0000-0000-00003D690000}"/>
    <cellStyle name="Normal 16 3 12 2" xfId="26096" xr:uid="{00000000-0005-0000-0000-00003E690000}"/>
    <cellStyle name="Normal 16 3 12 3" xfId="30309" xr:uid="{00000000-0005-0000-0000-00003F690000}"/>
    <cellStyle name="Normal 16 3 12 4" xfId="34524" xr:uid="{00000000-0005-0000-0000-000040690000}"/>
    <cellStyle name="Normal 16 3 12 5" xfId="38728" xr:uid="{00000000-0005-0000-0000-000041690000}"/>
    <cellStyle name="Normal 16 3 13" xfId="8964" xr:uid="{00000000-0005-0000-0000-000042690000}"/>
    <cellStyle name="Normal 16 3 13 2" xfId="26535" xr:uid="{00000000-0005-0000-0000-000043690000}"/>
    <cellStyle name="Normal 16 3 13 3" xfId="30748" xr:uid="{00000000-0005-0000-0000-000044690000}"/>
    <cellStyle name="Normal 16 3 13 4" xfId="34963" xr:uid="{00000000-0005-0000-0000-000045690000}"/>
    <cellStyle name="Normal 16 3 13 5" xfId="39167" xr:uid="{00000000-0005-0000-0000-000046690000}"/>
    <cellStyle name="Normal 16 3 14" xfId="9086" xr:uid="{00000000-0005-0000-0000-000047690000}"/>
    <cellStyle name="Normal 16 3 14 2" xfId="26657" xr:uid="{00000000-0005-0000-0000-000048690000}"/>
    <cellStyle name="Normal 16 3 14 3" xfId="30870" xr:uid="{00000000-0005-0000-0000-000049690000}"/>
    <cellStyle name="Normal 16 3 14 4" xfId="35085" xr:uid="{00000000-0005-0000-0000-00004A690000}"/>
    <cellStyle name="Normal 16 3 14 5" xfId="39289" xr:uid="{00000000-0005-0000-0000-00004B690000}"/>
    <cellStyle name="Normal 16 3 15" xfId="9206" xr:uid="{00000000-0005-0000-0000-00004C690000}"/>
    <cellStyle name="Normal 16 3 15 2" xfId="26777" xr:uid="{00000000-0005-0000-0000-00004D690000}"/>
    <cellStyle name="Normal 16 3 15 3" xfId="30990" xr:uid="{00000000-0005-0000-0000-00004E690000}"/>
    <cellStyle name="Normal 16 3 15 4" xfId="35205" xr:uid="{00000000-0005-0000-0000-00004F690000}"/>
    <cellStyle name="Normal 16 3 15 5" xfId="39409" xr:uid="{00000000-0005-0000-0000-000050690000}"/>
    <cellStyle name="Normal 16 3 16" xfId="9327" xr:uid="{00000000-0005-0000-0000-000051690000}"/>
    <cellStyle name="Normal 16 3 16 2" xfId="26898" xr:uid="{00000000-0005-0000-0000-000052690000}"/>
    <cellStyle name="Normal 16 3 16 3" xfId="31111" xr:uid="{00000000-0005-0000-0000-000053690000}"/>
    <cellStyle name="Normal 16 3 16 4" xfId="35326" xr:uid="{00000000-0005-0000-0000-000054690000}"/>
    <cellStyle name="Normal 16 3 16 5" xfId="39530" xr:uid="{00000000-0005-0000-0000-000055690000}"/>
    <cellStyle name="Normal 16 3 17" xfId="9446" xr:uid="{00000000-0005-0000-0000-000056690000}"/>
    <cellStyle name="Normal 16 3 17 2" xfId="27017" xr:uid="{00000000-0005-0000-0000-000057690000}"/>
    <cellStyle name="Normal 16 3 17 3" xfId="31230" xr:uid="{00000000-0005-0000-0000-000058690000}"/>
    <cellStyle name="Normal 16 3 17 4" xfId="35445" xr:uid="{00000000-0005-0000-0000-000059690000}"/>
    <cellStyle name="Normal 16 3 17 5" xfId="39649" xr:uid="{00000000-0005-0000-0000-00005A690000}"/>
    <cellStyle name="Normal 16 3 18" xfId="3567" xr:uid="{00000000-0005-0000-0000-00005B690000}"/>
    <cellStyle name="Normal 16 3 2" xfId="2242" xr:uid="{00000000-0005-0000-0000-00005C690000}"/>
    <cellStyle name="Normal 16 3 2 2" xfId="2243" xr:uid="{00000000-0005-0000-0000-00005D690000}"/>
    <cellStyle name="Normal 16 3 2 2 2" xfId="3569" xr:uid="{00000000-0005-0000-0000-00005E690000}"/>
    <cellStyle name="Normal 16 3 2 3" xfId="3568" xr:uid="{00000000-0005-0000-0000-00005F690000}"/>
    <cellStyle name="Normal 16 3 3" xfId="2244" xr:uid="{00000000-0005-0000-0000-000060690000}"/>
    <cellStyle name="Normal 16 3 3 2" xfId="3570" xr:uid="{00000000-0005-0000-0000-000061690000}"/>
    <cellStyle name="Normal 16 3 4" xfId="2245" xr:uid="{00000000-0005-0000-0000-000062690000}"/>
    <cellStyle name="Normal 16 3 4 2" xfId="3571" xr:uid="{00000000-0005-0000-0000-000063690000}"/>
    <cellStyle name="Normal 16 3 5" xfId="2246" xr:uid="{00000000-0005-0000-0000-000064690000}"/>
    <cellStyle name="Normal 16 3 5 2" xfId="3572" xr:uid="{00000000-0005-0000-0000-000065690000}"/>
    <cellStyle name="Normal 16 3 6" xfId="2247" xr:uid="{00000000-0005-0000-0000-000066690000}"/>
    <cellStyle name="Normal 16 3 6 2" xfId="3573" xr:uid="{00000000-0005-0000-0000-000067690000}"/>
    <cellStyle name="Normal 16 3 7" xfId="5284" xr:uid="{00000000-0005-0000-0000-000068690000}"/>
    <cellStyle name="Normal 16 3 8" xfId="5285" xr:uid="{00000000-0005-0000-0000-000069690000}"/>
    <cellStyle name="Normal 16 3 8 2" xfId="5286" xr:uid="{00000000-0005-0000-0000-00006A690000}"/>
    <cellStyle name="Normal 16 3 9" xfId="7096" xr:uid="{00000000-0005-0000-0000-00006B690000}"/>
    <cellStyle name="Normal 16 3 9 2" xfId="25749" xr:uid="{00000000-0005-0000-0000-00006C690000}"/>
    <cellStyle name="Normal 16 3 9 3" xfId="29962" xr:uid="{00000000-0005-0000-0000-00006D690000}"/>
    <cellStyle name="Normal 16 3 9 4" xfId="34177" xr:uid="{00000000-0005-0000-0000-00006E690000}"/>
    <cellStyle name="Normal 16 3 9 5" xfId="38381" xr:uid="{00000000-0005-0000-0000-00006F690000}"/>
    <cellStyle name="Normal 16 4" xfId="2248" xr:uid="{00000000-0005-0000-0000-000070690000}"/>
    <cellStyle name="Normal 16 4 2" xfId="2249" xr:uid="{00000000-0005-0000-0000-000071690000}"/>
    <cellStyle name="Normal 16 4 2 2" xfId="2250" xr:uid="{00000000-0005-0000-0000-000072690000}"/>
    <cellStyle name="Normal 16 4 2 2 2" xfId="3576" xr:uid="{00000000-0005-0000-0000-000073690000}"/>
    <cellStyle name="Normal 16 4 2 3" xfId="3575" xr:uid="{00000000-0005-0000-0000-000074690000}"/>
    <cellStyle name="Normal 16 4 3" xfId="2251" xr:uid="{00000000-0005-0000-0000-000075690000}"/>
    <cellStyle name="Normal 16 4 3 2" xfId="3577" xr:uid="{00000000-0005-0000-0000-000076690000}"/>
    <cellStyle name="Normal 16 4 4" xfId="2252" xr:uid="{00000000-0005-0000-0000-000077690000}"/>
    <cellStyle name="Normal 16 4 4 2" xfId="3578" xr:uid="{00000000-0005-0000-0000-000078690000}"/>
    <cellStyle name="Normal 16 4 5" xfId="2253" xr:uid="{00000000-0005-0000-0000-000079690000}"/>
    <cellStyle name="Normal 16 4 5 2" xfId="3579" xr:uid="{00000000-0005-0000-0000-00007A690000}"/>
    <cellStyle name="Normal 16 4 6" xfId="2254" xr:uid="{00000000-0005-0000-0000-00007B690000}"/>
    <cellStyle name="Normal 16 4 6 2" xfId="3580" xr:uid="{00000000-0005-0000-0000-00007C690000}"/>
    <cellStyle name="Normal 16 4 7" xfId="5287" xr:uid="{00000000-0005-0000-0000-00007D690000}"/>
    <cellStyle name="Normal 16 4 8" xfId="5288" xr:uid="{00000000-0005-0000-0000-00007E690000}"/>
    <cellStyle name="Normal 16 4 8 2" xfId="5289" xr:uid="{00000000-0005-0000-0000-00007F690000}"/>
    <cellStyle name="Normal 16 4 9" xfId="3574" xr:uid="{00000000-0005-0000-0000-000080690000}"/>
    <cellStyle name="Normal 16 5" xfId="2255" xr:uid="{00000000-0005-0000-0000-000081690000}"/>
    <cellStyle name="Normal 16 5 2" xfId="2256" xr:uid="{00000000-0005-0000-0000-000082690000}"/>
    <cellStyle name="Normal 16 5 2 2" xfId="2257" xr:uid="{00000000-0005-0000-0000-000083690000}"/>
    <cellStyle name="Normal 16 5 2 2 2" xfId="3583" xr:uid="{00000000-0005-0000-0000-000084690000}"/>
    <cellStyle name="Normal 16 5 2 3" xfId="3582" xr:uid="{00000000-0005-0000-0000-000085690000}"/>
    <cellStyle name="Normal 16 5 3" xfId="2258" xr:uid="{00000000-0005-0000-0000-000086690000}"/>
    <cellStyle name="Normal 16 5 3 2" xfId="3584" xr:uid="{00000000-0005-0000-0000-000087690000}"/>
    <cellStyle name="Normal 16 5 4" xfId="2259" xr:uid="{00000000-0005-0000-0000-000088690000}"/>
    <cellStyle name="Normal 16 5 4 2" xfId="3585" xr:uid="{00000000-0005-0000-0000-000089690000}"/>
    <cellStyle name="Normal 16 5 5" xfId="2260" xr:uid="{00000000-0005-0000-0000-00008A690000}"/>
    <cellStyle name="Normal 16 5 5 2" xfId="3586" xr:uid="{00000000-0005-0000-0000-00008B690000}"/>
    <cellStyle name="Normal 16 5 6" xfId="2261" xr:uid="{00000000-0005-0000-0000-00008C690000}"/>
    <cellStyle name="Normal 16 5 6 2" xfId="3587" xr:uid="{00000000-0005-0000-0000-00008D690000}"/>
    <cellStyle name="Normal 16 5 7" xfId="5290" xr:uid="{00000000-0005-0000-0000-00008E690000}"/>
    <cellStyle name="Normal 16 5 8" xfId="5291" xr:uid="{00000000-0005-0000-0000-00008F690000}"/>
    <cellStyle name="Normal 16 5 8 2" xfId="5292" xr:uid="{00000000-0005-0000-0000-000090690000}"/>
    <cellStyle name="Normal 16 5 9" xfId="3581" xr:uid="{00000000-0005-0000-0000-000091690000}"/>
    <cellStyle name="Normal 16 6" xfId="2262" xr:uid="{00000000-0005-0000-0000-000092690000}"/>
    <cellStyle name="Normal 16 6 2" xfId="2263" xr:uid="{00000000-0005-0000-0000-000093690000}"/>
    <cellStyle name="Normal 16 6 2 2" xfId="2264" xr:uid="{00000000-0005-0000-0000-000094690000}"/>
    <cellStyle name="Normal 16 6 2 2 2" xfId="3590" xr:uid="{00000000-0005-0000-0000-000095690000}"/>
    <cellStyle name="Normal 16 6 2 3" xfId="3589" xr:uid="{00000000-0005-0000-0000-000096690000}"/>
    <cellStyle name="Normal 16 6 3" xfId="2265" xr:uid="{00000000-0005-0000-0000-000097690000}"/>
    <cellStyle name="Normal 16 6 3 2" xfId="3591" xr:uid="{00000000-0005-0000-0000-000098690000}"/>
    <cellStyle name="Normal 16 6 4" xfId="2266" xr:uid="{00000000-0005-0000-0000-000099690000}"/>
    <cellStyle name="Normal 16 6 4 2" xfId="3592" xr:uid="{00000000-0005-0000-0000-00009A690000}"/>
    <cellStyle name="Normal 16 6 5" xfId="2267" xr:uid="{00000000-0005-0000-0000-00009B690000}"/>
    <cellStyle name="Normal 16 6 5 2" xfId="3593" xr:uid="{00000000-0005-0000-0000-00009C690000}"/>
    <cellStyle name="Normal 16 6 6" xfId="2268" xr:uid="{00000000-0005-0000-0000-00009D690000}"/>
    <cellStyle name="Normal 16 6 6 2" xfId="3594" xr:uid="{00000000-0005-0000-0000-00009E690000}"/>
    <cellStyle name="Normal 16 6 7" xfId="5293" xr:uid="{00000000-0005-0000-0000-00009F690000}"/>
    <cellStyle name="Normal 16 6 8" xfId="5294" xr:uid="{00000000-0005-0000-0000-0000A0690000}"/>
    <cellStyle name="Normal 16 6 8 2" xfId="5295" xr:uid="{00000000-0005-0000-0000-0000A1690000}"/>
    <cellStyle name="Normal 16 6 9" xfId="3588" xr:uid="{00000000-0005-0000-0000-0000A2690000}"/>
    <cellStyle name="Normal 16 7" xfId="2269" xr:uid="{00000000-0005-0000-0000-0000A3690000}"/>
    <cellStyle name="Normal 16 7 2" xfId="2270" xr:uid="{00000000-0005-0000-0000-0000A4690000}"/>
    <cellStyle name="Normal 16 7 2 2" xfId="3596" xr:uid="{00000000-0005-0000-0000-0000A5690000}"/>
    <cellStyle name="Normal 16 7 3" xfId="3595" xr:uid="{00000000-0005-0000-0000-0000A6690000}"/>
    <cellStyle name="Normal 16 7 3 2" xfId="43555" xr:uid="{00000000-0005-0000-0000-0000A7690000}"/>
    <cellStyle name="Normal 16 8" xfId="2271" xr:uid="{00000000-0005-0000-0000-0000A8690000}"/>
    <cellStyle name="Normal 16 8 2" xfId="3597" xr:uid="{00000000-0005-0000-0000-0000A9690000}"/>
    <cellStyle name="Normal 16 9" xfId="2272" xr:uid="{00000000-0005-0000-0000-0000AA690000}"/>
    <cellStyle name="Normal 16 9 2" xfId="3598" xr:uid="{00000000-0005-0000-0000-0000AB690000}"/>
    <cellStyle name="Normal 17" xfId="2273" xr:uid="{00000000-0005-0000-0000-0000AC690000}"/>
    <cellStyle name="Normal 17 10" xfId="2274" xr:uid="{00000000-0005-0000-0000-0000AD690000}"/>
    <cellStyle name="Normal 17 10 2" xfId="3600" xr:uid="{00000000-0005-0000-0000-0000AE690000}"/>
    <cellStyle name="Normal 17 11" xfId="2275" xr:uid="{00000000-0005-0000-0000-0000AF690000}"/>
    <cellStyle name="Normal 17 11 2" xfId="3601" xr:uid="{00000000-0005-0000-0000-0000B0690000}"/>
    <cellStyle name="Normal 17 12" xfId="5296" xr:uid="{00000000-0005-0000-0000-0000B1690000}"/>
    <cellStyle name="Normal 17 13" xfId="5297" xr:uid="{00000000-0005-0000-0000-0000B2690000}"/>
    <cellStyle name="Normal 17 13 2" xfId="5298" xr:uid="{00000000-0005-0000-0000-0000B3690000}"/>
    <cellStyle name="Normal 17 14" xfId="7097" xr:uid="{00000000-0005-0000-0000-0000B4690000}"/>
    <cellStyle name="Normal 17 14 2" xfId="25750" xr:uid="{00000000-0005-0000-0000-0000B5690000}"/>
    <cellStyle name="Normal 17 14 3" xfId="29963" xr:uid="{00000000-0005-0000-0000-0000B6690000}"/>
    <cellStyle name="Normal 17 14 4" xfId="34178" xr:uid="{00000000-0005-0000-0000-0000B7690000}"/>
    <cellStyle name="Normal 17 14 5" xfId="38382" xr:uid="{00000000-0005-0000-0000-0000B8690000}"/>
    <cellStyle name="Normal 17 15" xfId="7227" xr:uid="{00000000-0005-0000-0000-0000B9690000}"/>
    <cellStyle name="Normal 17 15 2" xfId="25860" xr:uid="{00000000-0005-0000-0000-0000BA690000}"/>
    <cellStyle name="Normal 17 15 3" xfId="30073" xr:uid="{00000000-0005-0000-0000-0000BB690000}"/>
    <cellStyle name="Normal 17 15 4" xfId="34288" xr:uid="{00000000-0005-0000-0000-0000BC690000}"/>
    <cellStyle name="Normal 17 15 5" xfId="38492" xr:uid="{00000000-0005-0000-0000-0000BD690000}"/>
    <cellStyle name="Normal 17 16" xfId="7346" xr:uid="{00000000-0005-0000-0000-0000BE690000}"/>
    <cellStyle name="Normal 17 16 2" xfId="25979" xr:uid="{00000000-0005-0000-0000-0000BF690000}"/>
    <cellStyle name="Normal 17 16 3" xfId="30192" xr:uid="{00000000-0005-0000-0000-0000C0690000}"/>
    <cellStyle name="Normal 17 16 4" xfId="34407" xr:uid="{00000000-0005-0000-0000-0000C1690000}"/>
    <cellStyle name="Normal 17 16 5" xfId="38611" xr:uid="{00000000-0005-0000-0000-0000C2690000}"/>
    <cellStyle name="Normal 17 17" xfId="7464" xr:uid="{00000000-0005-0000-0000-0000C3690000}"/>
    <cellStyle name="Normal 17 17 2" xfId="26097" xr:uid="{00000000-0005-0000-0000-0000C4690000}"/>
    <cellStyle name="Normal 17 17 3" xfId="30310" xr:uid="{00000000-0005-0000-0000-0000C5690000}"/>
    <cellStyle name="Normal 17 17 4" xfId="34525" xr:uid="{00000000-0005-0000-0000-0000C6690000}"/>
    <cellStyle name="Normal 17 17 5" xfId="38729" xr:uid="{00000000-0005-0000-0000-0000C7690000}"/>
    <cellStyle name="Normal 17 18" xfId="8275" xr:uid="{00000000-0005-0000-0000-0000C8690000}"/>
    <cellStyle name="Normal 17 18 2" xfId="26433" xr:uid="{00000000-0005-0000-0000-0000C9690000}"/>
    <cellStyle name="Normal 17 18 3" xfId="30646" xr:uid="{00000000-0005-0000-0000-0000CA690000}"/>
    <cellStyle name="Normal 17 18 4" xfId="34861" xr:uid="{00000000-0005-0000-0000-0000CB690000}"/>
    <cellStyle name="Normal 17 18 5" xfId="39065" xr:uid="{00000000-0005-0000-0000-0000CC690000}"/>
    <cellStyle name="Normal 17 19" xfId="8965" xr:uid="{00000000-0005-0000-0000-0000CD690000}"/>
    <cellStyle name="Normal 17 19 2" xfId="26536" xr:uid="{00000000-0005-0000-0000-0000CE690000}"/>
    <cellStyle name="Normal 17 19 3" xfId="30749" xr:uid="{00000000-0005-0000-0000-0000CF690000}"/>
    <cellStyle name="Normal 17 19 4" xfId="34964" xr:uid="{00000000-0005-0000-0000-0000D0690000}"/>
    <cellStyle name="Normal 17 19 5" xfId="39168" xr:uid="{00000000-0005-0000-0000-0000D1690000}"/>
    <cellStyle name="Normal 17 2" xfId="2276" xr:uid="{00000000-0005-0000-0000-0000D2690000}"/>
    <cellStyle name="Normal 17 2 10" xfId="7228" xr:uid="{00000000-0005-0000-0000-0000D3690000}"/>
    <cellStyle name="Normal 17 2 10 2" xfId="25861" xr:uid="{00000000-0005-0000-0000-0000D4690000}"/>
    <cellStyle name="Normal 17 2 10 3" xfId="30074" xr:uid="{00000000-0005-0000-0000-0000D5690000}"/>
    <cellStyle name="Normal 17 2 10 4" xfId="34289" xr:uid="{00000000-0005-0000-0000-0000D6690000}"/>
    <cellStyle name="Normal 17 2 10 5" xfId="38493" xr:uid="{00000000-0005-0000-0000-0000D7690000}"/>
    <cellStyle name="Normal 17 2 11" xfId="7347" xr:uid="{00000000-0005-0000-0000-0000D8690000}"/>
    <cellStyle name="Normal 17 2 11 2" xfId="25980" xr:uid="{00000000-0005-0000-0000-0000D9690000}"/>
    <cellStyle name="Normal 17 2 11 3" xfId="30193" xr:uid="{00000000-0005-0000-0000-0000DA690000}"/>
    <cellStyle name="Normal 17 2 11 4" xfId="34408" xr:uid="{00000000-0005-0000-0000-0000DB690000}"/>
    <cellStyle name="Normal 17 2 11 5" xfId="38612" xr:uid="{00000000-0005-0000-0000-0000DC690000}"/>
    <cellStyle name="Normal 17 2 12" xfId="7465" xr:uid="{00000000-0005-0000-0000-0000DD690000}"/>
    <cellStyle name="Normal 17 2 12 2" xfId="26098" xr:uid="{00000000-0005-0000-0000-0000DE690000}"/>
    <cellStyle name="Normal 17 2 12 3" xfId="30311" xr:uid="{00000000-0005-0000-0000-0000DF690000}"/>
    <cellStyle name="Normal 17 2 12 4" xfId="34526" xr:uid="{00000000-0005-0000-0000-0000E0690000}"/>
    <cellStyle name="Normal 17 2 12 5" xfId="38730" xr:uid="{00000000-0005-0000-0000-0000E1690000}"/>
    <cellStyle name="Normal 17 2 13" xfId="8966" xr:uid="{00000000-0005-0000-0000-0000E2690000}"/>
    <cellStyle name="Normal 17 2 13 2" xfId="26537" xr:uid="{00000000-0005-0000-0000-0000E3690000}"/>
    <cellStyle name="Normal 17 2 13 3" xfId="30750" xr:uid="{00000000-0005-0000-0000-0000E4690000}"/>
    <cellStyle name="Normal 17 2 13 4" xfId="34965" xr:uid="{00000000-0005-0000-0000-0000E5690000}"/>
    <cellStyle name="Normal 17 2 13 5" xfId="39169" xr:uid="{00000000-0005-0000-0000-0000E6690000}"/>
    <cellStyle name="Normal 17 2 14" xfId="9088" xr:uid="{00000000-0005-0000-0000-0000E7690000}"/>
    <cellStyle name="Normal 17 2 14 2" xfId="26659" xr:uid="{00000000-0005-0000-0000-0000E8690000}"/>
    <cellStyle name="Normal 17 2 14 3" xfId="30872" xr:uid="{00000000-0005-0000-0000-0000E9690000}"/>
    <cellStyle name="Normal 17 2 14 4" xfId="35087" xr:uid="{00000000-0005-0000-0000-0000EA690000}"/>
    <cellStyle name="Normal 17 2 14 5" xfId="39291" xr:uid="{00000000-0005-0000-0000-0000EB690000}"/>
    <cellStyle name="Normal 17 2 15" xfId="9208" xr:uid="{00000000-0005-0000-0000-0000EC690000}"/>
    <cellStyle name="Normal 17 2 15 2" xfId="26779" xr:uid="{00000000-0005-0000-0000-0000ED690000}"/>
    <cellStyle name="Normal 17 2 15 3" xfId="30992" xr:uid="{00000000-0005-0000-0000-0000EE690000}"/>
    <cellStyle name="Normal 17 2 15 4" xfId="35207" xr:uid="{00000000-0005-0000-0000-0000EF690000}"/>
    <cellStyle name="Normal 17 2 15 5" xfId="39411" xr:uid="{00000000-0005-0000-0000-0000F0690000}"/>
    <cellStyle name="Normal 17 2 16" xfId="9329" xr:uid="{00000000-0005-0000-0000-0000F1690000}"/>
    <cellStyle name="Normal 17 2 16 2" xfId="26900" xr:uid="{00000000-0005-0000-0000-0000F2690000}"/>
    <cellStyle name="Normal 17 2 16 3" xfId="31113" xr:uid="{00000000-0005-0000-0000-0000F3690000}"/>
    <cellStyle name="Normal 17 2 16 4" xfId="35328" xr:uid="{00000000-0005-0000-0000-0000F4690000}"/>
    <cellStyle name="Normal 17 2 16 5" xfId="39532" xr:uid="{00000000-0005-0000-0000-0000F5690000}"/>
    <cellStyle name="Normal 17 2 17" xfId="9448" xr:uid="{00000000-0005-0000-0000-0000F6690000}"/>
    <cellStyle name="Normal 17 2 17 2" xfId="27019" xr:uid="{00000000-0005-0000-0000-0000F7690000}"/>
    <cellStyle name="Normal 17 2 17 3" xfId="31232" xr:uid="{00000000-0005-0000-0000-0000F8690000}"/>
    <cellStyle name="Normal 17 2 17 4" xfId="35447" xr:uid="{00000000-0005-0000-0000-0000F9690000}"/>
    <cellStyle name="Normal 17 2 17 5" xfId="39651" xr:uid="{00000000-0005-0000-0000-0000FA690000}"/>
    <cellStyle name="Normal 17 2 18" xfId="3602" xr:uid="{00000000-0005-0000-0000-0000FB690000}"/>
    <cellStyle name="Normal 17 2 2" xfId="2277" xr:uid="{00000000-0005-0000-0000-0000FC690000}"/>
    <cellStyle name="Normal 17 2 2 2" xfId="2278" xr:uid="{00000000-0005-0000-0000-0000FD690000}"/>
    <cellStyle name="Normal 17 2 2 2 2" xfId="3604" xr:uid="{00000000-0005-0000-0000-0000FE690000}"/>
    <cellStyle name="Normal 17 2 2 3" xfId="3603" xr:uid="{00000000-0005-0000-0000-0000FF690000}"/>
    <cellStyle name="Normal 17 2 3" xfId="2279" xr:uid="{00000000-0005-0000-0000-0000006A0000}"/>
    <cellStyle name="Normal 17 2 3 2" xfId="3605" xr:uid="{00000000-0005-0000-0000-0000016A0000}"/>
    <cellStyle name="Normal 17 2 3 2 2" xfId="43556" xr:uid="{00000000-0005-0000-0000-0000026A0000}"/>
    <cellStyle name="Normal 17 2 4" xfId="2280" xr:uid="{00000000-0005-0000-0000-0000036A0000}"/>
    <cellStyle name="Normal 17 2 4 2" xfId="3606" xr:uid="{00000000-0005-0000-0000-0000046A0000}"/>
    <cellStyle name="Normal 17 2 5" xfId="2281" xr:uid="{00000000-0005-0000-0000-0000056A0000}"/>
    <cellStyle name="Normal 17 2 5 2" xfId="3607" xr:uid="{00000000-0005-0000-0000-0000066A0000}"/>
    <cellStyle name="Normal 17 2 6" xfId="2282" xr:uid="{00000000-0005-0000-0000-0000076A0000}"/>
    <cellStyle name="Normal 17 2 6 2" xfId="3608" xr:uid="{00000000-0005-0000-0000-0000086A0000}"/>
    <cellStyle name="Normal 17 2 7" xfId="5299" xr:uid="{00000000-0005-0000-0000-0000096A0000}"/>
    <cellStyle name="Normal 17 2 8" xfId="5300" xr:uid="{00000000-0005-0000-0000-00000A6A0000}"/>
    <cellStyle name="Normal 17 2 8 2" xfId="5301" xr:uid="{00000000-0005-0000-0000-00000B6A0000}"/>
    <cellStyle name="Normal 17 2 9" xfId="7098" xr:uid="{00000000-0005-0000-0000-00000C6A0000}"/>
    <cellStyle name="Normal 17 2 9 2" xfId="25751" xr:uid="{00000000-0005-0000-0000-00000D6A0000}"/>
    <cellStyle name="Normal 17 2 9 3" xfId="29964" xr:uid="{00000000-0005-0000-0000-00000E6A0000}"/>
    <cellStyle name="Normal 17 2 9 4" xfId="34179" xr:uid="{00000000-0005-0000-0000-00000F6A0000}"/>
    <cellStyle name="Normal 17 2 9 5" xfId="38383" xr:uid="{00000000-0005-0000-0000-0000106A0000}"/>
    <cellStyle name="Normal 17 20" xfId="9087" xr:uid="{00000000-0005-0000-0000-0000116A0000}"/>
    <cellStyle name="Normal 17 20 2" xfId="26658" xr:uid="{00000000-0005-0000-0000-0000126A0000}"/>
    <cellStyle name="Normal 17 20 3" xfId="30871" xr:uid="{00000000-0005-0000-0000-0000136A0000}"/>
    <cellStyle name="Normal 17 20 4" xfId="35086" xr:uid="{00000000-0005-0000-0000-0000146A0000}"/>
    <cellStyle name="Normal 17 20 5" xfId="39290" xr:uid="{00000000-0005-0000-0000-0000156A0000}"/>
    <cellStyle name="Normal 17 21" xfId="9207" xr:uid="{00000000-0005-0000-0000-0000166A0000}"/>
    <cellStyle name="Normal 17 21 2" xfId="26778" xr:uid="{00000000-0005-0000-0000-0000176A0000}"/>
    <cellStyle name="Normal 17 21 3" xfId="30991" xr:uid="{00000000-0005-0000-0000-0000186A0000}"/>
    <cellStyle name="Normal 17 21 4" xfId="35206" xr:uid="{00000000-0005-0000-0000-0000196A0000}"/>
    <cellStyle name="Normal 17 21 5" xfId="39410" xr:uid="{00000000-0005-0000-0000-00001A6A0000}"/>
    <cellStyle name="Normal 17 22" xfId="9328" xr:uid="{00000000-0005-0000-0000-00001B6A0000}"/>
    <cellStyle name="Normal 17 22 2" xfId="26899" xr:uid="{00000000-0005-0000-0000-00001C6A0000}"/>
    <cellStyle name="Normal 17 22 3" xfId="31112" xr:uid="{00000000-0005-0000-0000-00001D6A0000}"/>
    <cellStyle name="Normal 17 22 4" xfId="35327" xr:uid="{00000000-0005-0000-0000-00001E6A0000}"/>
    <cellStyle name="Normal 17 22 5" xfId="39531" xr:uid="{00000000-0005-0000-0000-00001F6A0000}"/>
    <cellStyle name="Normal 17 23" xfId="9447" xr:uid="{00000000-0005-0000-0000-0000206A0000}"/>
    <cellStyle name="Normal 17 23 2" xfId="27018" xr:uid="{00000000-0005-0000-0000-0000216A0000}"/>
    <cellStyle name="Normal 17 23 3" xfId="31231" xr:uid="{00000000-0005-0000-0000-0000226A0000}"/>
    <cellStyle name="Normal 17 23 4" xfId="35446" xr:uid="{00000000-0005-0000-0000-0000236A0000}"/>
    <cellStyle name="Normal 17 23 5" xfId="39650" xr:uid="{00000000-0005-0000-0000-0000246A0000}"/>
    <cellStyle name="Normal 17 24" xfId="3599" xr:uid="{00000000-0005-0000-0000-0000256A0000}"/>
    <cellStyle name="Normal 17 3" xfId="2283" xr:uid="{00000000-0005-0000-0000-0000266A0000}"/>
    <cellStyle name="Normal 17 3 10" xfId="7229" xr:uid="{00000000-0005-0000-0000-0000276A0000}"/>
    <cellStyle name="Normal 17 3 10 2" xfId="25862" xr:uid="{00000000-0005-0000-0000-0000286A0000}"/>
    <cellStyle name="Normal 17 3 10 3" xfId="30075" xr:uid="{00000000-0005-0000-0000-0000296A0000}"/>
    <cellStyle name="Normal 17 3 10 4" xfId="34290" xr:uid="{00000000-0005-0000-0000-00002A6A0000}"/>
    <cellStyle name="Normal 17 3 10 5" xfId="38494" xr:uid="{00000000-0005-0000-0000-00002B6A0000}"/>
    <cellStyle name="Normal 17 3 11" xfId="7348" xr:uid="{00000000-0005-0000-0000-00002C6A0000}"/>
    <cellStyle name="Normal 17 3 11 2" xfId="25981" xr:uid="{00000000-0005-0000-0000-00002D6A0000}"/>
    <cellStyle name="Normal 17 3 11 3" xfId="30194" xr:uid="{00000000-0005-0000-0000-00002E6A0000}"/>
    <cellStyle name="Normal 17 3 11 4" xfId="34409" xr:uid="{00000000-0005-0000-0000-00002F6A0000}"/>
    <cellStyle name="Normal 17 3 11 5" xfId="38613" xr:uid="{00000000-0005-0000-0000-0000306A0000}"/>
    <cellStyle name="Normal 17 3 12" xfId="7466" xr:uid="{00000000-0005-0000-0000-0000316A0000}"/>
    <cellStyle name="Normal 17 3 12 2" xfId="26099" xr:uid="{00000000-0005-0000-0000-0000326A0000}"/>
    <cellStyle name="Normal 17 3 12 3" xfId="30312" xr:uid="{00000000-0005-0000-0000-0000336A0000}"/>
    <cellStyle name="Normal 17 3 12 4" xfId="34527" xr:uid="{00000000-0005-0000-0000-0000346A0000}"/>
    <cellStyle name="Normal 17 3 12 5" xfId="38731" xr:uid="{00000000-0005-0000-0000-0000356A0000}"/>
    <cellStyle name="Normal 17 3 13" xfId="8967" xr:uid="{00000000-0005-0000-0000-0000366A0000}"/>
    <cellStyle name="Normal 17 3 13 2" xfId="26538" xr:uid="{00000000-0005-0000-0000-0000376A0000}"/>
    <cellStyle name="Normal 17 3 13 3" xfId="30751" xr:uid="{00000000-0005-0000-0000-0000386A0000}"/>
    <cellStyle name="Normal 17 3 13 4" xfId="34966" xr:uid="{00000000-0005-0000-0000-0000396A0000}"/>
    <cellStyle name="Normal 17 3 13 5" xfId="39170" xr:uid="{00000000-0005-0000-0000-00003A6A0000}"/>
    <cellStyle name="Normal 17 3 14" xfId="9089" xr:uid="{00000000-0005-0000-0000-00003B6A0000}"/>
    <cellStyle name="Normal 17 3 14 2" xfId="26660" xr:uid="{00000000-0005-0000-0000-00003C6A0000}"/>
    <cellStyle name="Normal 17 3 14 3" xfId="30873" xr:uid="{00000000-0005-0000-0000-00003D6A0000}"/>
    <cellStyle name="Normal 17 3 14 4" xfId="35088" xr:uid="{00000000-0005-0000-0000-00003E6A0000}"/>
    <cellStyle name="Normal 17 3 14 5" xfId="39292" xr:uid="{00000000-0005-0000-0000-00003F6A0000}"/>
    <cellStyle name="Normal 17 3 15" xfId="9209" xr:uid="{00000000-0005-0000-0000-0000406A0000}"/>
    <cellStyle name="Normal 17 3 15 2" xfId="26780" xr:uid="{00000000-0005-0000-0000-0000416A0000}"/>
    <cellStyle name="Normal 17 3 15 3" xfId="30993" xr:uid="{00000000-0005-0000-0000-0000426A0000}"/>
    <cellStyle name="Normal 17 3 15 4" xfId="35208" xr:uid="{00000000-0005-0000-0000-0000436A0000}"/>
    <cellStyle name="Normal 17 3 15 5" xfId="39412" xr:uid="{00000000-0005-0000-0000-0000446A0000}"/>
    <cellStyle name="Normal 17 3 16" xfId="9330" xr:uid="{00000000-0005-0000-0000-0000456A0000}"/>
    <cellStyle name="Normal 17 3 16 2" xfId="26901" xr:uid="{00000000-0005-0000-0000-0000466A0000}"/>
    <cellStyle name="Normal 17 3 16 3" xfId="31114" xr:uid="{00000000-0005-0000-0000-0000476A0000}"/>
    <cellStyle name="Normal 17 3 16 4" xfId="35329" xr:uid="{00000000-0005-0000-0000-0000486A0000}"/>
    <cellStyle name="Normal 17 3 16 5" xfId="39533" xr:uid="{00000000-0005-0000-0000-0000496A0000}"/>
    <cellStyle name="Normal 17 3 17" xfId="9449" xr:uid="{00000000-0005-0000-0000-00004A6A0000}"/>
    <cellStyle name="Normal 17 3 17 2" xfId="27020" xr:uid="{00000000-0005-0000-0000-00004B6A0000}"/>
    <cellStyle name="Normal 17 3 17 3" xfId="31233" xr:uid="{00000000-0005-0000-0000-00004C6A0000}"/>
    <cellStyle name="Normal 17 3 17 4" xfId="35448" xr:uid="{00000000-0005-0000-0000-00004D6A0000}"/>
    <cellStyle name="Normal 17 3 17 5" xfId="39652" xr:uid="{00000000-0005-0000-0000-00004E6A0000}"/>
    <cellStyle name="Normal 17 3 18" xfId="3609" xr:uid="{00000000-0005-0000-0000-00004F6A0000}"/>
    <cellStyle name="Normal 17 3 2" xfId="2284" xr:uid="{00000000-0005-0000-0000-0000506A0000}"/>
    <cellStyle name="Normal 17 3 2 2" xfId="2285" xr:uid="{00000000-0005-0000-0000-0000516A0000}"/>
    <cellStyle name="Normal 17 3 2 2 2" xfId="3611" xr:uid="{00000000-0005-0000-0000-0000526A0000}"/>
    <cellStyle name="Normal 17 3 2 3" xfId="3610" xr:uid="{00000000-0005-0000-0000-0000536A0000}"/>
    <cellStyle name="Normal 17 3 3" xfId="2286" xr:uid="{00000000-0005-0000-0000-0000546A0000}"/>
    <cellStyle name="Normal 17 3 3 2" xfId="3612" xr:uid="{00000000-0005-0000-0000-0000556A0000}"/>
    <cellStyle name="Normal 17 3 4" xfId="2287" xr:uid="{00000000-0005-0000-0000-0000566A0000}"/>
    <cellStyle name="Normal 17 3 4 2" xfId="3613" xr:uid="{00000000-0005-0000-0000-0000576A0000}"/>
    <cellStyle name="Normal 17 3 5" xfId="2288" xr:uid="{00000000-0005-0000-0000-0000586A0000}"/>
    <cellStyle name="Normal 17 3 5 2" xfId="3614" xr:uid="{00000000-0005-0000-0000-0000596A0000}"/>
    <cellStyle name="Normal 17 3 6" xfId="2289" xr:uid="{00000000-0005-0000-0000-00005A6A0000}"/>
    <cellStyle name="Normal 17 3 6 2" xfId="3615" xr:uid="{00000000-0005-0000-0000-00005B6A0000}"/>
    <cellStyle name="Normal 17 3 7" xfId="5302" xr:uid="{00000000-0005-0000-0000-00005C6A0000}"/>
    <cellStyle name="Normal 17 3 8" xfId="5303" xr:uid="{00000000-0005-0000-0000-00005D6A0000}"/>
    <cellStyle name="Normal 17 3 8 2" xfId="5304" xr:uid="{00000000-0005-0000-0000-00005E6A0000}"/>
    <cellStyle name="Normal 17 3 9" xfId="7099" xr:uid="{00000000-0005-0000-0000-00005F6A0000}"/>
    <cellStyle name="Normal 17 3 9 2" xfId="25752" xr:uid="{00000000-0005-0000-0000-0000606A0000}"/>
    <cellStyle name="Normal 17 3 9 3" xfId="29965" xr:uid="{00000000-0005-0000-0000-0000616A0000}"/>
    <cellStyle name="Normal 17 3 9 4" xfId="34180" xr:uid="{00000000-0005-0000-0000-0000626A0000}"/>
    <cellStyle name="Normal 17 3 9 5" xfId="38384" xr:uid="{00000000-0005-0000-0000-0000636A0000}"/>
    <cellStyle name="Normal 17 4" xfId="2290" xr:uid="{00000000-0005-0000-0000-0000646A0000}"/>
    <cellStyle name="Normal 17 4 2" xfId="2291" xr:uid="{00000000-0005-0000-0000-0000656A0000}"/>
    <cellStyle name="Normal 17 4 2 2" xfId="2292" xr:uid="{00000000-0005-0000-0000-0000666A0000}"/>
    <cellStyle name="Normal 17 4 2 2 2" xfId="3618" xr:uid="{00000000-0005-0000-0000-0000676A0000}"/>
    <cellStyle name="Normal 17 4 2 3" xfId="3617" xr:uid="{00000000-0005-0000-0000-0000686A0000}"/>
    <cellStyle name="Normal 17 4 3" xfId="2293" xr:uid="{00000000-0005-0000-0000-0000696A0000}"/>
    <cellStyle name="Normal 17 4 3 2" xfId="3619" xr:uid="{00000000-0005-0000-0000-00006A6A0000}"/>
    <cellStyle name="Normal 17 4 4" xfId="2294" xr:uid="{00000000-0005-0000-0000-00006B6A0000}"/>
    <cellStyle name="Normal 17 4 4 2" xfId="3620" xr:uid="{00000000-0005-0000-0000-00006C6A0000}"/>
    <cellStyle name="Normal 17 4 5" xfId="2295" xr:uid="{00000000-0005-0000-0000-00006D6A0000}"/>
    <cellStyle name="Normal 17 4 5 2" xfId="3621" xr:uid="{00000000-0005-0000-0000-00006E6A0000}"/>
    <cellStyle name="Normal 17 4 6" xfId="2296" xr:uid="{00000000-0005-0000-0000-00006F6A0000}"/>
    <cellStyle name="Normal 17 4 6 2" xfId="3622" xr:uid="{00000000-0005-0000-0000-0000706A0000}"/>
    <cellStyle name="Normal 17 4 7" xfId="5305" xr:uid="{00000000-0005-0000-0000-0000716A0000}"/>
    <cellStyle name="Normal 17 4 8" xfId="5306" xr:uid="{00000000-0005-0000-0000-0000726A0000}"/>
    <cellStyle name="Normal 17 4 8 2" xfId="5307" xr:uid="{00000000-0005-0000-0000-0000736A0000}"/>
    <cellStyle name="Normal 17 4 9" xfId="3616" xr:uid="{00000000-0005-0000-0000-0000746A0000}"/>
    <cellStyle name="Normal 17 5" xfId="2297" xr:uid="{00000000-0005-0000-0000-0000756A0000}"/>
    <cellStyle name="Normal 17 5 2" xfId="2298" xr:uid="{00000000-0005-0000-0000-0000766A0000}"/>
    <cellStyle name="Normal 17 5 2 2" xfId="2299" xr:uid="{00000000-0005-0000-0000-0000776A0000}"/>
    <cellStyle name="Normal 17 5 2 2 2" xfId="3625" xr:uid="{00000000-0005-0000-0000-0000786A0000}"/>
    <cellStyle name="Normal 17 5 2 3" xfId="3624" xr:uid="{00000000-0005-0000-0000-0000796A0000}"/>
    <cellStyle name="Normal 17 5 3" xfId="2300" xr:uid="{00000000-0005-0000-0000-00007A6A0000}"/>
    <cellStyle name="Normal 17 5 3 2" xfId="3626" xr:uid="{00000000-0005-0000-0000-00007B6A0000}"/>
    <cellStyle name="Normal 17 5 4" xfId="2301" xr:uid="{00000000-0005-0000-0000-00007C6A0000}"/>
    <cellStyle name="Normal 17 5 4 2" xfId="3627" xr:uid="{00000000-0005-0000-0000-00007D6A0000}"/>
    <cellStyle name="Normal 17 5 5" xfId="2302" xr:uid="{00000000-0005-0000-0000-00007E6A0000}"/>
    <cellStyle name="Normal 17 5 5 2" xfId="3628" xr:uid="{00000000-0005-0000-0000-00007F6A0000}"/>
    <cellStyle name="Normal 17 5 6" xfId="2303" xr:uid="{00000000-0005-0000-0000-0000806A0000}"/>
    <cellStyle name="Normal 17 5 6 2" xfId="3629" xr:uid="{00000000-0005-0000-0000-0000816A0000}"/>
    <cellStyle name="Normal 17 5 7" xfId="5308" xr:uid="{00000000-0005-0000-0000-0000826A0000}"/>
    <cellStyle name="Normal 17 5 8" xfId="5309" xr:uid="{00000000-0005-0000-0000-0000836A0000}"/>
    <cellStyle name="Normal 17 5 8 2" xfId="5310" xr:uid="{00000000-0005-0000-0000-0000846A0000}"/>
    <cellStyle name="Normal 17 5 9" xfId="3623" xr:uid="{00000000-0005-0000-0000-0000856A0000}"/>
    <cellStyle name="Normal 17 6" xfId="2304" xr:uid="{00000000-0005-0000-0000-0000866A0000}"/>
    <cellStyle name="Normal 17 6 2" xfId="2305" xr:uid="{00000000-0005-0000-0000-0000876A0000}"/>
    <cellStyle name="Normal 17 6 2 2" xfId="2306" xr:uid="{00000000-0005-0000-0000-0000886A0000}"/>
    <cellStyle name="Normal 17 6 2 2 2" xfId="3632" xr:uid="{00000000-0005-0000-0000-0000896A0000}"/>
    <cellStyle name="Normal 17 6 2 3" xfId="3631" xr:uid="{00000000-0005-0000-0000-00008A6A0000}"/>
    <cellStyle name="Normal 17 6 3" xfId="2307" xr:uid="{00000000-0005-0000-0000-00008B6A0000}"/>
    <cellStyle name="Normal 17 6 3 2" xfId="3633" xr:uid="{00000000-0005-0000-0000-00008C6A0000}"/>
    <cellStyle name="Normal 17 6 4" xfId="2308" xr:uid="{00000000-0005-0000-0000-00008D6A0000}"/>
    <cellStyle name="Normal 17 6 4 2" xfId="3634" xr:uid="{00000000-0005-0000-0000-00008E6A0000}"/>
    <cellStyle name="Normal 17 6 5" xfId="2309" xr:uid="{00000000-0005-0000-0000-00008F6A0000}"/>
    <cellStyle name="Normal 17 6 5 2" xfId="3635" xr:uid="{00000000-0005-0000-0000-0000906A0000}"/>
    <cellStyle name="Normal 17 6 6" xfId="2310" xr:uid="{00000000-0005-0000-0000-0000916A0000}"/>
    <cellStyle name="Normal 17 6 6 2" xfId="3636" xr:uid="{00000000-0005-0000-0000-0000926A0000}"/>
    <cellStyle name="Normal 17 6 7" xfId="5311" xr:uid="{00000000-0005-0000-0000-0000936A0000}"/>
    <cellStyle name="Normal 17 6 8" xfId="5312" xr:uid="{00000000-0005-0000-0000-0000946A0000}"/>
    <cellStyle name="Normal 17 6 8 2" xfId="5313" xr:uid="{00000000-0005-0000-0000-0000956A0000}"/>
    <cellStyle name="Normal 17 6 9" xfId="3630" xr:uid="{00000000-0005-0000-0000-0000966A0000}"/>
    <cellStyle name="Normal 17 7" xfId="2311" xr:uid="{00000000-0005-0000-0000-0000976A0000}"/>
    <cellStyle name="Normal 17 7 2" xfId="2312" xr:uid="{00000000-0005-0000-0000-0000986A0000}"/>
    <cellStyle name="Normal 17 7 2 2" xfId="3638" xr:uid="{00000000-0005-0000-0000-0000996A0000}"/>
    <cellStyle name="Normal 17 7 3" xfId="3637" xr:uid="{00000000-0005-0000-0000-00009A6A0000}"/>
    <cellStyle name="Normal 17 8" xfId="2313" xr:uid="{00000000-0005-0000-0000-00009B6A0000}"/>
    <cellStyle name="Normal 17 8 2" xfId="3639" xr:uid="{00000000-0005-0000-0000-00009C6A0000}"/>
    <cellStyle name="Normal 17 9" xfId="2314" xr:uid="{00000000-0005-0000-0000-00009D6A0000}"/>
    <cellStyle name="Normal 17 9 2" xfId="3640" xr:uid="{00000000-0005-0000-0000-00009E6A0000}"/>
    <cellStyle name="Normal 18" xfId="3641" xr:uid="{00000000-0005-0000-0000-00009F6A0000}"/>
    <cellStyle name="Normal 18 10" xfId="9090" xr:uid="{00000000-0005-0000-0000-0000A06A0000}"/>
    <cellStyle name="Normal 18 10 2" xfId="26661" xr:uid="{00000000-0005-0000-0000-0000A16A0000}"/>
    <cellStyle name="Normal 18 10 3" xfId="30874" xr:uid="{00000000-0005-0000-0000-0000A26A0000}"/>
    <cellStyle name="Normal 18 10 4" xfId="35089" xr:uid="{00000000-0005-0000-0000-0000A36A0000}"/>
    <cellStyle name="Normal 18 10 5" xfId="39293" xr:uid="{00000000-0005-0000-0000-0000A46A0000}"/>
    <cellStyle name="Normal 18 11" xfId="9210" xr:uid="{00000000-0005-0000-0000-0000A56A0000}"/>
    <cellStyle name="Normal 18 11 2" xfId="26781" xr:uid="{00000000-0005-0000-0000-0000A66A0000}"/>
    <cellStyle name="Normal 18 11 3" xfId="30994" xr:uid="{00000000-0005-0000-0000-0000A76A0000}"/>
    <cellStyle name="Normal 18 11 4" xfId="35209" xr:uid="{00000000-0005-0000-0000-0000A86A0000}"/>
    <cellStyle name="Normal 18 11 5" xfId="39413" xr:uid="{00000000-0005-0000-0000-0000A96A0000}"/>
    <cellStyle name="Normal 18 12" xfId="9331" xr:uid="{00000000-0005-0000-0000-0000AA6A0000}"/>
    <cellStyle name="Normal 18 12 2" xfId="26902" xr:uid="{00000000-0005-0000-0000-0000AB6A0000}"/>
    <cellStyle name="Normal 18 12 3" xfId="31115" xr:uid="{00000000-0005-0000-0000-0000AC6A0000}"/>
    <cellStyle name="Normal 18 12 4" xfId="35330" xr:uid="{00000000-0005-0000-0000-0000AD6A0000}"/>
    <cellStyle name="Normal 18 12 5" xfId="39534" xr:uid="{00000000-0005-0000-0000-0000AE6A0000}"/>
    <cellStyle name="Normal 18 13" xfId="9450" xr:uid="{00000000-0005-0000-0000-0000AF6A0000}"/>
    <cellStyle name="Normal 18 13 2" xfId="27021" xr:uid="{00000000-0005-0000-0000-0000B06A0000}"/>
    <cellStyle name="Normal 18 13 3" xfId="31234" xr:uid="{00000000-0005-0000-0000-0000B16A0000}"/>
    <cellStyle name="Normal 18 13 4" xfId="35449" xr:uid="{00000000-0005-0000-0000-0000B26A0000}"/>
    <cellStyle name="Normal 18 13 5" xfId="39653" xr:uid="{00000000-0005-0000-0000-0000B36A0000}"/>
    <cellStyle name="Normal 18 14" xfId="12237" xr:uid="{00000000-0005-0000-0000-0000B46A0000}"/>
    <cellStyle name="Normal 18 14 2" xfId="28805" xr:uid="{00000000-0005-0000-0000-0000B56A0000}"/>
    <cellStyle name="Normal 18 14 3" xfId="33018" xr:uid="{00000000-0005-0000-0000-0000B66A0000}"/>
    <cellStyle name="Normal 18 14 4" xfId="37233" xr:uid="{00000000-0005-0000-0000-0000B76A0000}"/>
    <cellStyle name="Normal 18 15" xfId="23446" xr:uid="{00000000-0005-0000-0000-0000B86A0000}"/>
    <cellStyle name="Normal 18 15 2" xfId="28946" xr:uid="{00000000-0005-0000-0000-0000B96A0000}"/>
    <cellStyle name="Normal 18 15 3" xfId="33163" xr:uid="{00000000-0005-0000-0000-0000BA6A0000}"/>
    <cellStyle name="Normal 18 15 4" xfId="37374" xr:uid="{00000000-0005-0000-0000-0000BB6A0000}"/>
    <cellStyle name="Normal 18 16" xfId="24852" xr:uid="{00000000-0005-0000-0000-0000BC6A0000}"/>
    <cellStyle name="Normal 18 17" xfId="29063" xr:uid="{00000000-0005-0000-0000-0000BD6A0000}"/>
    <cellStyle name="Normal 18 18" xfId="33280" xr:uid="{00000000-0005-0000-0000-0000BE6A0000}"/>
    <cellStyle name="Normal 18 19" xfId="37484" xr:uid="{00000000-0005-0000-0000-0000BF6A0000}"/>
    <cellStyle name="Normal 18 2" xfId="3642" xr:uid="{00000000-0005-0000-0000-0000C06A0000}"/>
    <cellStyle name="Normal 18 2 10" xfId="9451" xr:uid="{00000000-0005-0000-0000-0000C16A0000}"/>
    <cellStyle name="Normal 18 2 10 2" xfId="27022" xr:uid="{00000000-0005-0000-0000-0000C26A0000}"/>
    <cellStyle name="Normal 18 2 10 3" xfId="31235" xr:uid="{00000000-0005-0000-0000-0000C36A0000}"/>
    <cellStyle name="Normal 18 2 10 4" xfId="35450" xr:uid="{00000000-0005-0000-0000-0000C46A0000}"/>
    <cellStyle name="Normal 18 2 10 5" xfId="39654" xr:uid="{00000000-0005-0000-0000-0000C56A0000}"/>
    <cellStyle name="Normal 18 2 11" xfId="12273" xr:uid="{00000000-0005-0000-0000-0000C66A0000}"/>
    <cellStyle name="Normal 18 2 11 2" xfId="28840" xr:uid="{00000000-0005-0000-0000-0000C76A0000}"/>
    <cellStyle name="Normal 18 2 11 3" xfId="33053" xr:uid="{00000000-0005-0000-0000-0000C86A0000}"/>
    <cellStyle name="Normal 18 2 11 4" xfId="37268" xr:uid="{00000000-0005-0000-0000-0000C96A0000}"/>
    <cellStyle name="Normal 18 2 11 5" xfId="43558" xr:uid="{00000000-0005-0000-0000-0000CA6A0000}"/>
    <cellStyle name="Normal 18 2 12" xfId="23482" xr:uid="{00000000-0005-0000-0000-0000CB6A0000}"/>
    <cellStyle name="Normal 18 2 12 2" xfId="28981" xr:uid="{00000000-0005-0000-0000-0000CC6A0000}"/>
    <cellStyle name="Normal 18 2 12 3" xfId="33198" xr:uid="{00000000-0005-0000-0000-0000CD6A0000}"/>
    <cellStyle name="Normal 18 2 12 4" xfId="37409" xr:uid="{00000000-0005-0000-0000-0000CE6A0000}"/>
    <cellStyle name="Normal 18 2 13" xfId="24853" xr:uid="{00000000-0005-0000-0000-0000CF6A0000}"/>
    <cellStyle name="Normal 18 2 14" xfId="29064" xr:uid="{00000000-0005-0000-0000-0000D06A0000}"/>
    <cellStyle name="Normal 18 2 15" xfId="33281" xr:uid="{00000000-0005-0000-0000-0000D16A0000}"/>
    <cellStyle name="Normal 18 2 16" xfId="37485" xr:uid="{00000000-0005-0000-0000-0000D26A0000}"/>
    <cellStyle name="Normal 18 2 2" xfId="4474" xr:uid="{00000000-0005-0000-0000-0000D36A0000}"/>
    <cellStyle name="Normal 18 2 2 2" xfId="24945" xr:uid="{00000000-0005-0000-0000-0000D46A0000}"/>
    <cellStyle name="Normal 18 2 2 3" xfId="29157" xr:uid="{00000000-0005-0000-0000-0000D56A0000}"/>
    <cellStyle name="Normal 18 2 2 4" xfId="33373" xr:uid="{00000000-0005-0000-0000-0000D66A0000}"/>
    <cellStyle name="Normal 18 2 2 5" xfId="37577" xr:uid="{00000000-0005-0000-0000-0000D76A0000}"/>
    <cellStyle name="Normal 18 2 3" xfId="7231" xr:uid="{00000000-0005-0000-0000-0000D86A0000}"/>
    <cellStyle name="Normal 18 2 3 2" xfId="25864" xr:uid="{00000000-0005-0000-0000-0000D96A0000}"/>
    <cellStyle name="Normal 18 2 3 3" xfId="30077" xr:uid="{00000000-0005-0000-0000-0000DA6A0000}"/>
    <cellStyle name="Normal 18 2 3 4" xfId="34292" xr:uid="{00000000-0005-0000-0000-0000DB6A0000}"/>
    <cellStyle name="Normal 18 2 3 5" xfId="38496" xr:uid="{00000000-0005-0000-0000-0000DC6A0000}"/>
    <cellStyle name="Normal 18 2 4" xfId="7350" xr:uid="{00000000-0005-0000-0000-0000DD6A0000}"/>
    <cellStyle name="Normal 18 2 4 2" xfId="25983" xr:uid="{00000000-0005-0000-0000-0000DE6A0000}"/>
    <cellStyle name="Normal 18 2 4 3" xfId="30196" xr:uid="{00000000-0005-0000-0000-0000DF6A0000}"/>
    <cellStyle name="Normal 18 2 4 4" xfId="34411" xr:uid="{00000000-0005-0000-0000-0000E06A0000}"/>
    <cellStyle name="Normal 18 2 4 5" xfId="38615" xr:uid="{00000000-0005-0000-0000-0000E16A0000}"/>
    <cellStyle name="Normal 18 2 5" xfId="7468" xr:uid="{00000000-0005-0000-0000-0000E26A0000}"/>
    <cellStyle name="Normal 18 2 5 2" xfId="26101" xr:uid="{00000000-0005-0000-0000-0000E36A0000}"/>
    <cellStyle name="Normal 18 2 5 3" xfId="30314" xr:uid="{00000000-0005-0000-0000-0000E46A0000}"/>
    <cellStyle name="Normal 18 2 5 4" xfId="34529" xr:uid="{00000000-0005-0000-0000-0000E56A0000}"/>
    <cellStyle name="Normal 18 2 5 5" xfId="38733" xr:uid="{00000000-0005-0000-0000-0000E66A0000}"/>
    <cellStyle name="Normal 18 2 6" xfId="8969" xr:uid="{00000000-0005-0000-0000-0000E76A0000}"/>
    <cellStyle name="Normal 18 2 6 2" xfId="26540" xr:uid="{00000000-0005-0000-0000-0000E86A0000}"/>
    <cellStyle name="Normal 18 2 6 3" xfId="30753" xr:uid="{00000000-0005-0000-0000-0000E96A0000}"/>
    <cellStyle name="Normal 18 2 6 4" xfId="34968" xr:uid="{00000000-0005-0000-0000-0000EA6A0000}"/>
    <cellStyle name="Normal 18 2 6 5" xfId="39172" xr:uid="{00000000-0005-0000-0000-0000EB6A0000}"/>
    <cellStyle name="Normal 18 2 7" xfId="9091" xr:uid="{00000000-0005-0000-0000-0000EC6A0000}"/>
    <cellStyle name="Normal 18 2 7 2" xfId="26662" xr:uid="{00000000-0005-0000-0000-0000ED6A0000}"/>
    <cellStyle name="Normal 18 2 7 3" xfId="30875" xr:uid="{00000000-0005-0000-0000-0000EE6A0000}"/>
    <cellStyle name="Normal 18 2 7 4" xfId="35090" xr:uid="{00000000-0005-0000-0000-0000EF6A0000}"/>
    <cellStyle name="Normal 18 2 7 5" xfId="39294" xr:uid="{00000000-0005-0000-0000-0000F06A0000}"/>
    <cellStyle name="Normal 18 2 8" xfId="9211" xr:uid="{00000000-0005-0000-0000-0000F16A0000}"/>
    <cellStyle name="Normal 18 2 8 2" xfId="26782" xr:uid="{00000000-0005-0000-0000-0000F26A0000}"/>
    <cellStyle name="Normal 18 2 8 3" xfId="30995" xr:uid="{00000000-0005-0000-0000-0000F36A0000}"/>
    <cellStyle name="Normal 18 2 8 4" xfId="35210" xr:uid="{00000000-0005-0000-0000-0000F46A0000}"/>
    <cellStyle name="Normal 18 2 8 5" xfId="39414" xr:uid="{00000000-0005-0000-0000-0000F56A0000}"/>
    <cellStyle name="Normal 18 2 9" xfId="9332" xr:uid="{00000000-0005-0000-0000-0000F66A0000}"/>
    <cellStyle name="Normal 18 2 9 2" xfId="26903" xr:uid="{00000000-0005-0000-0000-0000F76A0000}"/>
    <cellStyle name="Normal 18 2 9 3" xfId="31116" xr:uid="{00000000-0005-0000-0000-0000F86A0000}"/>
    <cellStyle name="Normal 18 2 9 4" xfId="35331" xr:uid="{00000000-0005-0000-0000-0000F96A0000}"/>
    <cellStyle name="Normal 18 2 9 5" xfId="39535" xr:uid="{00000000-0005-0000-0000-0000FA6A0000}"/>
    <cellStyle name="Normal 18 3" xfId="4437" xr:uid="{00000000-0005-0000-0000-0000FB6A0000}"/>
    <cellStyle name="Normal 18 3 10" xfId="9452" xr:uid="{00000000-0005-0000-0000-0000FC6A0000}"/>
    <cellStyle name="Normal 18 3 10 2" xfId="27023" xr:uid="{00000000-0005-0000-0000-0000FD6A0000}"/>
    <cellStyle name="Normal 18 3 10 3" xfId="31236" xr:uid="{00000000-0005-0000-0000-0000FE6A0000}"/>
    <cellStyle name="Normal 18 3 10 4" xfId="35451" xr:uid="{00000000-0005-0000-0000-0000FF6A0000}"/>
    <cellStyle name="Normal 18 3 10 5" xfId="39655" xr:uid="{00000000-0005-0000-0000-0000006B0000}"/>
    <cellStyle name="Normal 18 3 11" xfId="24909" xr:uid="{00000000-0005-0000-0000-0000016B0000}"/>
    <cellStyle name="Normal 18 3 12" xfId="29121" xr:uid="{00000000-0005-0000-0000-0000026B0000}"/>
    <cellStyle name="Normal 18 3 13" xfId="33337" xr:uid="{00000000-0005-0000-0000-0000036B0000}"/>
    <cellStyle name="Normal 18 3 14" xfId="37541" xr:uid="{00000000-0005-0000-0000-0000046B0000}"/>
    <cellStyle name="Normal 18 3 2" xfId="7101" xr:uid="{00000000-0005-0000-0000-0000056B0000}"/>
    <cellStyle name="Normal 18 3 2 2" xfId="25754" xr:uid="{00000000-0005-0000-0000-0000066B0000}"/>
    <cellStyle name="Normal 18 3 2 3" xfId="29967" xr:uid="{00000000-0005-0000-0000-0000076B0000}"/>
    <cellStyle name="Normal 18 3 2 4" xfId="34182" xr:uid="{00000000-0005-0000-0000-0000086B0000}"/>
    <cellStyle name="Normal 18 3 2 5" xfId="38386" xr:uid="{00000000-0005-0000-0000-0000096B0000}"/>
    <cellStyle name="Normal 18 3 3" xfId="7232" xr:uid="{00000000-0005-0000-0000-00000A6B0000}"/>
    <cellStyle name="Normal 18 3 3 2" xfId="25865" xr:uid="{00000000-0005-0000-0000-00000B6B0000}"/>
    <cellStyle name="Normal 18 3 3 3" xfId="30078" xr:uid="{00000000-0005-0000-0000-00000C6B0000}"/>
    <cellStyle name="Normal 18 3 3 4" xfId="34293" xr:uid="{00000000-0005-0000-0000-00000D6B0000}"/>
    <cellStyle name="Normal 18 3 3 5" xfId="38497" xr:uid="{00000000-0005-0000-0000-00000E6B0000}"/>
    <cellStyle name="Normal 18 3 4" xfId="7351" xr:uid="{00000000-0005-0000-0000-00000F6B0000}"/>
    <cellStyle name="Normal 18 3 4 2" xfId="25984" xr:uid="{00000000-0005-0000-0000-0000106B0000}"/>
    <cellStyle name="Normal 18 3 4 3" xfId="30197" xr:uid="{00000000-0005-0000-0000-0000116B0000}"/>
    <cellStyle name="Normal 18 3 4 4" xfId="34412" xr:uid="{00000000-0005-0000-0000-0000126B0000}"/>
    <cellStyle name="Normal 18 3 4 5" xfId="38616" xr:uid="{00000000-0005-0000-0000-0000136B0000}"/>
    <cellStyle name="Normal 18 3 5" xfId="7469" xr:uid="{00000000-0005-0000-0000-0000146B0000}"/>
    <cellStyle name="Normal 18 3 5 2" xfId="26102" xr:uid="{00000000-0005-0000-0000-0000156B0000}"/>
    <cellStyle name="Normal 18 3 5 3" xfId="30315" xr:uid="{00000000-0005-0000-0000-0000166B0000}"/>
    <cellStyle name="Normal 18 3 5 4" xfId="34530" xr:uid="{00000000-0005-0000-0000-0000176B0000}"/>
    <cellStyle name="Normal 18 3 5 5" xfId="38734" xr:uid="{00000000-0005-0000-0000-0000186B0000}"/>
    <cellStyle name="Normal 18 3 6" xfId="8970" xr:uid="{00000000-0005-0000-0000-0000196B0000}"/>
    <cellStyle name="Normal 18 3 6 2" xfId="26541" xr:uid="{00000000-0005-0000-0000-00001A6B0000}"/>
    <cellStyle name="Normal 18 3 6 3" xfId="30754" xr:uid="{00000000-0005-0000-0000-00001B6B0000}"/>
    <cellStyle name="Normal 18 3 6 4" xfId="34969" xr:uid="{00000000-0005-0000-0000-00001C6B0000}"/>
    <cellStyle name="Normal 18 3 6 5" xfId="39173" xr:uid="{00000000-0005-0000-0000-00001D6B0000}"/>
    <cellStyle name="Normal 18 3 7" xfId="9092" xr:uid="{00000000-0005-0000-0000-00001E6B0000}"/>
    <cellStyle name="Normal 18 3 7 2" xfId="26663" xr:uid="{00000000-0005-0000-0000-00001F6B0000}"/>
    <cellStyle name="Normal 18 3 7 3" xfId="30876" xr:uid="{00000000-0005-0000-0000-0000206B0000}"/>
    <cellStyle name="Normal 18 3 7 4" xfId="35091" xr:uid="{00000000-0005-0000-0000-0000216B0000}"/>
    <cellStyle name="Normal 18 3 7 5" xfId="39295" xr:uid="{00000000-0005-0000-0000-0000226B0000}"/>
    <cellStyle name="Normal 18 3 8" xfId="9212" xr:uid="{00000000-0005-0000-0000-0000236B0000}"/>
    <cellStyle name="Normal 18 3 8 2" xfId="26783" xr:uid="{00000000-0005-0000-0000-0000246B0000}"/>
    <cellStyle name="Normal 18 3 8 3" xfId="30996" xr:uid="{00000000-0005-0000-0000-0000256B0000}"/>
    <cellStyle name="Normal 18 3 8 4" xfId="35211" xr:uid="{00000000-0005-0000-0000-0000266B0000}"/>
    <cellStyle name="Normal 18 3 8 5" xfId="39415" xr:uid="{00000000-0005-0000-0000-0000276B0000}"/>
    <cellStyle name="Normal 18 3 9" xfId="9333" xr:uid="{00000000-0005-0000-0000-0000286B0000}"/>
    <cellStyle name="Normal 18 3 9 2" xfId="26904" xr:uid="{00000000-0005-0000-0000-0000296B0000}"/>
    <cellStyle name="Normal 18 3 9 3" xfId="31117" xr:uid="{00000000-0005-0000-0000-00002A6B0000}"/>
    <cellStyle name="Normal 18 3 9 4" xfId="35332" xr:uid="{00000000-0005-0000-0000-00002B6B0000}"/>
    <cellStyle name="Normal 18 3 9 5" xfId="39536" xr:uid="{00000000-0005-0000-0000-00002C6B0000}"/>
    <cellStyle name="Normal 18 4" xfId="7100" xr:uid="{00000000-0005-0000-0000-00002D6B0000}"/>
    <cellStyle name="Normal 18 4 2" xfId="25753" xr:uid="{00000000-0005-0000-0000-00002E6B0000}"/>
    <cellStyle name="Normal 18 4 2 2" xfId="43557" xr:uid="{00000000-0005-0000-0000-00002F6B0000}"/>
    <cellStyle name="Normal 18 4 3" xfId="29966" xr:uid="{00000000-0005-0000-0000-0000306B0000}"/>
    <cellStyle name="Normal 18 4 4" xfId="34181" xr:uid="{00000000-0005-0000-0000-0000316B0000}"/>
    <cellStyle name="Normal 18 4 5" xfId="38385" xr:uid="{00000000-0005-0000-0000-0000326B0000}"/>
    <cellStyle name="Normal 18 5" xfId="7230" xr:uid="{00000000-0005-0000-0000-0000336B0000}"/>
    <cellStyle name="Normal 18 5 2" xfId="25863" xr:uid="{00000000-0005-0000-0000-0000346B0000}"/>
    <cellStyle name="Normal 18 5 3" xfId="30076" xr:uid="{00000000-0005-0000-0000-0000356B0000}"/>
    <cellStyle name="Normal 18 5 4" xfId="34291" xr:uid="{00000000-0005-0000-0000-0000366B0000}"/>
    <cellStyle name="Normal 18 5 5" xfId="38495" xr:uid="{00000000-0005-0000-0000-0000376B0000}"/>
    <cellStyle name="Normal 18 6" xfId="7349" xr:uid="{00000000-0005-0000-0000-0000386B0000}"/>
    <cellStyle name="Normal 18 6 2" xfId="25982" xr:uid="{00000000-0005-0000-0000-0000396B0000}"/>
    <cellStyle name="Normal 18 6 3" xfId="30195" xr:uid="{00000000-0005-0000-0000-00003A6B0000}"/>
    <cellStyle name="Normal 18 6 4" xfId="34410" xr:uid="{00000000-0005-0000-0000-00003B6B0000}"/>
    <cellStyle name="Normal 18 6 5" xfId="38614" xr:uid="{00000000-0005-0000-0000-00003C6B0000}"/>
    <cellStyle name="Normal 18 7" xfId="7467" xr:uid="{00000000-0005-0000-0000-00003D6B0000}"/>
    <cellStyle name="Normal 18 7 2" xfId="26100" xr:uid="{00000000-0005-0000-0000-00003E6B0000}"/>
    <cellStyle name="Normal 18 7 3" xfId="30313" xr:uid="{00000000-0005-0000-0000-00003F6B0000}"/>
    <cellStyle name="Normal 18 7 4" xfId="34528" xr:uid="{00000000-0005-0000-0000-0000406B0000}"/>
    <cellStyle name="Normal 18 7 5" xfId="38732" xr:uid="{00000000-0005-0000-0000-0000416B0000}"/>
    <cellStyle name="Normal 18 8" xfId="8276" xr:uid="{00000000-0005-0000-0000-0000426B0000}"/>
    <cellStyle name="Normal 18 8 2" xfId="26434" xr:uid="{00000000-0005-0000-0000-0000436B0000}"/>
    <cellStyle name="Normal 18 8 3" xfId="30647" xr:uid="{00000000-0005-0000-0000-0000446B0000}"/>
    <cellStyle name="Normal 18 8 4" xfId="34862" xr:uid="{00000000-0005-0000-0000-0000456B0000}"/>
    <cellStyle name="Normal 18 8 5" xfId="39066" xr:uid="{00000000-0005-0000-0000-0000466B0000}"/>
    <cellStyle name="Normal 18 9" xfId="8968" xr:uid="{00000000-0005-0000-0000-0000476B0000}"/>
    <cellStyle name="Normal 18 9 2" xfId="26539" xr:uid="{00000000-0005-0000-0000-0000486B0000}"/>
    <cellStyle name="Normal 18 9 3" xfId="30752" xr:uid="{00000000-0005-0000-0000-0000496B0000}"/>
    <cellStyle name="Normal 18 9 4" xfId="34967" xr:uid="{00000000-0005-0000-0000-00004A6B0000}"/>
    <cellStyle name="Normal 18 9 5" xfId="39171" xr:uid="{00000000-0005-0000-0000-00004B6B0000}"/>
    <cellStyle name="Normal 19" xfId="2315" xr:uid="{00000000-0005-0000-0000-00004C6B0000}"/>
    <cellStyle name="Normal 19 10" xfId="2316" xr:uid="{00000000-0005-0000-0000-00004D6B0000}"/>
    <cellStyle name="Normal 19 10 2" xfId="3644" xr:uid="{00000000-0005-0000-0000-00004E6B0000}"/>
    <cellStyle name="Normal 19 11" xfId="2317" xr:uid="{00000000-0005-0000-0000-00004F6B0000}"/>
    <cellStyle name="Normal 19 11 2" xfId="3645" xr:uid="{00000000-0005-0000-0000-0000506B0000}"/>
    <cellStyle name="Normal 19 12" xfId="5314" xr:uid="{00000000-0005-0000-0000-0000516B0000}"/>
    <cellStyle name="Normal 19 13" xfId="5315" xr:uid="{00000000-0005-0000-0000-0000526B0000}"/>
    <cellStyle name="Normal 19 13 2" xfId="5316" xr:uid="{00000000-0005-0000-0000-0000536B0000}"/>
    <cellStyle name="Normal 19 14" xfId="7102" xr:uid="{00000000-0005-0000-0000-0000546B0000}"/>
    <cellStyle name="Normal 19 14 2" xfId="25755" xr:uid="{00000000-0005-0000-0000-0000556B0000}"/>
    <cellStyle name="Normal 19 14 3" xfId="29968" xr:uid="{00000000-0005-0000-0000-0000566B0000}"/>
    <cellStyle name="Normal 19 14 4" xfId="34183" xr:uid="{00000000-0005-0000-0000-0000576B0000}"/>
    <cellStyle name="Normal 19 14 5" xfId="38387" xr:uid="{00000000-0005-0000-0000-0000586B0000}"/>
    <cellStyle name="Normal 19 15" xfId="7233" xr:uid="{00000000-0005-0000-0000-0000596B0000}"/>
    <cellStyle name="Normal 19 15 2" xfId="25866" xr:uid="{00000000-0005-0000-0000-00005A6B0000}"/>
    <cellStyle name="Normal 19 15 3" xfId="30079" xr:uid="{00000000-0005-0000-0000-00005B6B0000}"/>
    <cellStyle name="Normal 19 15 4" xfId="34294" xr:uid="{00000000-0005-0000-0000-00005C6B0000}"/>
    <cellStyle name="Normal 19 15 5" xfId="38498" xr:uid="{00000000-0005-0000-0000-00005D6B0000}"/>
    <cellStyle name="Normal 19 16" xfId="7352" xr:uid="{00000000-0005-0000-0000-00005E6B0000}"/>
    <cellStyle name="Normal 19 16 2" xfId="25985" xr:uid="{00000000-0005-0000-0000-00005F6B0000}"/>
    <cellStyle name="Normal 19 16 3" xfId="30198" xr:uid="{00000000-0005-0000-0000-0000606B0000}"/>
    <cellStyle name="Normal 19 16 4" xfId="34413" xr:uid="{00000000-0005-0000-0000-0000616B0000}"/>
    <cellStyle name="Normal 19 16 5" xfId="38617" xr:uid="{00000000-0005-0000-0000-0000626B0000}"/>
    <cellStyle name="Normal 19 17" xfId="7470" xr:uid="{00000000-0005-0000-0000-0000636B0000}"/>
    <cellStyle name="Normal 19 17 2" xfId="26103" xr:uid="{00000000-0005-0000-0000-0000646B0000}"/>
    <cellStyle name="Normal 19 17 3" xfId="30316" xr:uid="{00000000-0005-0000-0000-0000656B0000}"/>
    <cellStyle name="Normal 19 17 4" xfId="34531" xr:uid="{00000000-0005-0000-0000-0000666B0000}"/>
    <cellStyle name="Normal 19 17 5" xfId="38735" xr:uid="{00000000-0005-0000-0000-0000676B0000}"/>
    <cellStyle name="Normal 19 18" xfId="8971" xr:uid="{00000000-0005-0000-0000-0000686B0000}"/>
    <cellStyle name="Normal 19 18 2" xfId="26542" xr:uid="{00000000-0005-0000-0000-0000696B0000}"/>
    <cellStyle name="Normal 19 18 3" xfId="30755" xr:uid="{00000000-0005-0000-0000-00006A6B0000}"/>
    <cellStyle name="Normal 19 18 4" xfId="34970" xr:uid="{00000000-0005-0000-0000-00006B6B0000}"/>
    <cellStyle name="Normal 19 18 5" xfId="39174" xr:uid="{00000000-0005-0000-0000-00006C6B0000}"/>
    <cellStyle name="Normal 19 19" xfId="9093" xr:uid="{00000000-0005-0000-0000-00006D6B0000}"/>
    <cellStyle name="Normal 19 19 2" xfId="26664" xr:uid="{00000000-0005-0000-0000-00006E6B0000}"/>
    <cellStyle name="Normal 19 19 3" xfId="30877" xr:uid="{00000000-0005-0000-0000-00006F6B0000}"/>
    <cellStyle name="Normal 19 19 4" xfId="35092" xr:uid="{00000000-0005-0000-0000-0000706B0000}"/>
    <cellStyle name="Normal 19 19 5" xfId="39296" xr:uid="{00000000-0005-0000-0000-0000716B0000}"/>
    <cellStyle name="Normal 19 2" xfId="2318" xr:uid="{00000000-0005-0000-0000-0000726B0000}"/>
    <cellStyle name="Normal 19 2 10" xfId="7234" xr:uid="{00000000-0005-0000-0000-0000736B0000}"/>
    <cellStyle name="Normal 19 2 10 2" xfId="25867" xr:uid="{00000000-0005-0000-0000-0000746B0000}"/>
    <cellStyle name="Normal 19 2 10 3" xfId="30080" xr:uid="{00000000-0005-0000-0000-0000756B0000}"/>
    <cellStyle name="Normal 19 2 10 4" xfId="34295" xr:uid="{00000000-0005-0000-0000-0000766B0000}"/>
    <cellStyle name="Normal 19 2 10 5" xfId="38499" xr:uid="{00000000-0005-0000-0000-0000776B0000}"/>
    <cellStyle name="Normal 19 2 11" xfId="7353" xr:uid="{00000000-0005-0000-0000-0000786B0000}"/>
    <cellStyle name="Normal 19 2 11 2" xfId="25986" xr:uid="{00000000-0005-0000-0000-0000796B0000}"/>
    <cellStyle name="Normal 19 2 11 3" xfId="30199" xr:uid="{00000000-0005-0000-0000-00007A6B0000}"/>
    <cellStyle name="Normal 19 2 11 4" xfId="34414" xr:uid="{00000000-0005-0000-0000-00007B6B0000}"/>
    <cellStyle name="Normal 19 2 11 5" xfId="38618" xr:uid="{00000000-0005-0000-0000-00007C6B0000}"/>
    <cellStyle name="Normal 19 2 12" xfId="7471" xr:uid="{00000000-0005-0000-0000-00007D6B0000}"/>
    <cellStyle name="Normal 19 2 12 2" xfId="26104" xr:uid="{00000000-0005-0000-0000-00007E6B0000}"/>
    <cellStyle name="Normal 19 2 12 3" xfId="30317" xr:uid="{00000000-0005-0000-0000-00007F6B0000}"/>
    <cellStyle name="Normal 19 2 12 4" xfId="34532" xr:uid="{00000000-0005-0000-0000-0000806B0000}"/>
    <cellStyle name="Normal 19 2 12 5" xfId="38736" xr:uid="{00000000-0005-0000-0000-0000816B0000}"/>
    <cellStyle name="Normal 19 2 13" xfId="8972" xr:uid="{00000000-0005-0000-0000-0000826B0000}"/>
    <cellStyle name="Normal 19 2 13 2" xfId="26543" xr:uid="{00000000-0005-0000-0000-0000836B0000}"/>
    <cellStyle name="Normal 19 2 13 3" xfId="30756" xr:uid="{00000000-0005-0000-0000-0000846B0000}"/>
    <cellStyle name="Normal 19 2 13 4" xfId="34971" xr:uid="{00000000-0005-0000-0000-0000856B0000}"/>
    <cellStyle name="Normal 19 2 13 5" xfId="39175" xr:uid="{00000000-0005-0000-0000-0000866B0000}"/>
    <cellStyle name="Normal 19 2 14" xfId="9094" xr:uid="{00000000-0005-0000-0000-0000876B0000}"/>
    <cellStyle name="Normal 19 2 14 2" xfId="26665" xr:uid="{00000000-0005-0000-0000-0000886B0000}"/>
    <cellStyle name="Normal 19 2 14 3" xfId="30878" xr:uid="{00000000-0005-0000-0000-0000896B0000}"/>
    <cellStyle name="Normal 19 2 14 4" xfId="35093" xr:uid="{00000000-0005-0000-0000-00008A6B0000}"/>
    <cellStyle name="Normal 19 2 14 5" xfId="39297" xr:uid="{00000000-0005-0000-0000-00008B6B0000}"/>
    <cellStyle name="Normal 19 2 15" xfId="9214" xr:uid="{00000000-0005-0000-0000-00008C6B0000}"/>
    <cellStyle name="Normal 19 2 15 2" xfId="26785" xr:uid="{00000000-0005-0000-0000-00008D6B0000}"/>
    <cellStyle name="Normal 19 2 15 3" xfId="30998" xr:uid="{00000000-0005-0000-0000-00008E6B0000}"/>
    <cellStyle name="Normal 19 2 15 4" xfId="35213" xr:uid="{00000000-0005-0000-0000-00008F6B0000}"/>
    <cellStyle name="Normal 19 2 15 5" xfId="39417" xr:uid="{00000000-0005-0000-0000-0000906B0000}"/>
    <cellStyle name="Normal 19 2 16" xfId="9335" xr:uid="{00000000-0005-0000-0000-0000916B0000}"/>
    <cellStyle name="Normal 19 2 16 2" xfId="26906" xr:uid="{00000000-0005-0000-0000-0000926B0000}"/>
    <cellStyle name="Normal 19 2 16 3" xfId="31119" xr:uid="{00000000-0005-0000-0000-0000936B0000}"/>
    <cellStyle name="Normal 19 2 16 4" xfId="35334" xr:uid="{00000000-0005-0000-0000-0000946B0000}"/>
    <cellStyle name="Normal 19 2 16 5" xfId="39538" xr:uid="{00000000-0005-0000-0000-0000956B0000}"/>
    <cellStyle name="Normal 19 2 17" xfId="9454" xr:uid="{00000000-0005-0000-0000-0000966B0000}"/>
    <cellStyle name="Normal 19 2 17 2" xfId="27025" xr:uid="{00000000-0005-0000-0000-0000976B0000}"/>
    <cellStyle name="Normal 19 2 17 3" xfId="31238" xr:uid="{00000000-0005-0000-0000-0000986B0000}"/>
    <cellStyle name="Normal 19 2 17 4" xfId="35453" xr:uid="{00000000-0005-0000-0000-0000996B0000}"/>
    <cellStyle name="Normal 19 2 17 5" xfId="39657" xr:uid="{00000000-0005-0000-0000-00009A6B0000}"/>
    <cellStyle name="Normal 19 2 18" xfId="3646" xr:uid="{00000000-0005-0000-0000-00009B6B0000}"/>
    <cellStyle name="Normal 19 2 2" xfId="2319" xr:uid="{00000000-0005-0000-0000-00009C6B0000}"/>
    <cellStyle name="Normal 19 2 2 2" xfId="2320" xr:uid="{00000000-0005-0000-0000-00009D6B0000}"/>
    <cellStyle name="Normal 19 2 2 2 2" xfId="3648" xr:uid="{00000000-0005-0000-0000-00009E6B0000}"/>
    <cellStyle name="Normal 19 2 2 3" xfId="3647" xr:uid="{00000000-0005-0000-0000-00009F6B0000}"/>
    <cellStyle name="Normal 19 2 3" xfId="2321" xr:uid="{00000000-0005-0000-0000-0000A06B0000}"/>
    <cellStyle name="Normal 19 2 3 2" xfId="3649" xr:uid="{00000000-0005-0000-0000-0000A16B0000}"/>
    <cellStyle name="Normal 19 2 4" xfId="2322" xr:uid="{00000000-0005-0000-0000-0000A26B0000}"/>
    <cellStyle name="Normal 19 2 4 2" xfId="3650" xr:uid="{00000000-0005-0000-0000-0000A36B0000}"/>
    <cellStyle name="Normal 19 2 5" xfId="2323" xr:uid="{00000000-0005-0000-0000-0000A46B0000}"/>
    <cellStyle name="Normal 19 2 5 2" xfId="3651" xr:uid="{00000000-0005-0000-0000-0000A56B0000}"/>
    <cellStyle name="Normal 19 2 6" xfId="2324" xr:uid="{00000000-0005-0000-0000-0000A66B0000}"/>
    <cellStyle name="Normal 19 2 6 2" xfId="3652" xr:uid="{00000000-0005-0000-0000-0000A76B0000}"/>
    <cellStyle name="Normal 19 2 7" xfId="5317" xr:uid="{00000000-0005-0000-0000-0000A86B0000}"/>
    <cellStyle name="Normal 19 2 8" xfId="5318" xr:uid="{00000000-0005-0000-0000-0000A96B0000}"/>
    <cellStyle name="Normal 19 2 8 2" xfId="5319" xr:uid="{00000000-0005-0000-0000-0000AA6B0000}"/>
    <cellStyle name="Normal 19 2 9" xfId="7103" xr:uid="{00000000-0005-0000-0000-0000AB6B0000}"/>
    <cellStyle name="Normal 19 2 9 2" xfId="25756" xr:uid="{00000000-0005-0000-0000-0000AC6B0000}"/>
    <cellStyle name="Normal 19 2 9 3" xfId="29969" xr:uid="{00000000-0005-0000-0000-0000AD6B0000}"/>
    <cellStyle name="Normal 19 2 9 4" xfId="34184" xr:uid="{00000000-0005-0000-0000-0000AE6B0000}"/>
    <cellStyle name="Normal 19 2 9 5" xfId="38388" xr:uid="{00000000-0005-0000-0000-0000AF6B0000}"/>
    <cellStyle name="Normal 19 20" xfId="9213" xr:uid="{00000000-0005-0000-0000-0000B06B0000}"/>
    <cellStyle name="Normal 19 20 2" xfId="26784" xr:uid="{00000000-0005-0000-0000-0000B16B0000}"/>
    <cellStyle name="Normal 19 20 3" xfId="30997" xr:uid="{00000000-0005-0000-0000-0000B26B0000}"/>
    <cellStyle name="Normal 19 20 4" xfId="35212" xr:uid="{00000000-0005-0000-0000-0000B36B0000}"/>
    <cellStyle name="Normal 19 20 5" xfId="39416" xr:uid="{00000000-0005-0000-0000-0000B46B0000}"/>
    <cellStyle name="Normal 19 21" xfId="9334" xr:uid="{00000000-0005-0000-0000-0000B56B0000}"/>
    <cellStyle name="Normal 19 21 2" xfId="26905" xr:uid="{00000000-0005-0000-0000-0000B66B0000}"/>
    <cellStyle name="Normal 19 21 3" xfId="31118" xr:uid="{00000000-0005-0000-0000-0000B76B0000}"/>
    <cellStyle name="Normal 19 21 4" xfId="35333" xr:uid="{00000000-0005-0000-0000-0000B86B0000}"/>
    <cellStyle name="Normal 19 21 5" xfId="39537" xr:uid="{00000000-0005-0000-0000-0000B96B0000}"/>
    <cellStyle name="Normal 19 22" xfId="9453" xr:uid="{00000000-0005-0000-0000-0000BA6B0000}"/>
    <cellStyle name="Normal 19 22 2" xfId="27024" xr:uid="{00000000-0005-0000-0000-0000BB6B0000}"/>
    <cellStyle name="Normal 19 22 3" xfId="31237" xr:uid="{00000000-0005-0000-0000-0000BC6B0000}"/>
    <cellStyle name="Normal 19 22 4" xfId="35452" xr:uid="{00000000-0005-0000-0000-0000BD6B0000}"/>
    <cellStyle name="Normal 19 22 5" xfId="39656" xr:uid="{00000000-0005-0000-0000-0000BE6B0000}"/>
    <cellStyle name="Normal 19 23" xfId="3643" xr:uid="{00000000-0005-0000-0000-0000BF6B0000}"/>
    <cellStyle name="Normal 19 3" xfId="2325" xr:uid="{00000000-0005-0000-0000-0000C06B0000}"/>
    <cellStyle name="Normal 19 3 10" xfId="7235" xr:uid="{00000000-0005-0000-0000-0000C16B0000}"/>
    <cellStyle name="Normal 19 3 10 2" xfId="25868" xr:uid="{00000000-0005-0000-0000-0000C26B0000}"/>
    <cellStyle name="Normal 19 3 10 3" xfId="30081" xr:uid="{00000000-0005-0000-0000-0000C36B0000}"/>
    <cellStyle name="Normal 19 3 10 4" xfId="34296" xr:uid="{00000000-0005-0000-0000-0000C46B0000}"/>
    <cellStyle name="Normal 19 3 10 5" xfId="38500" xr:uid="{00000000-0005-0000-0000-0000C56B0000}"/>
    <cellStyle name="Normal 19 3 11" xfId="7354" xr:uid="{00000000-0005-0000-0000-0000C66B0000}"/>
    <cellStyle name="Normal 19 3 11 2" xfId="25987" xr:uid="{00000000-0005-0000-0000-0000C76B0000}"/>
    <cellStyle name="Normal 19 3 11 3" xfId="30200" xr:uid="{00000000-0005-0000-0000-0000C86B0000}"/>
    <cellStyle name="Normal 19 3 11 4" xfId="34415" xr:uid="{00000000-0005-0000-0000-0000C96B0000}"/>
    <cellStyle name="Normal 19 3 11 5" xfId="38619" xr:uid="{00000000-0005-0000-0000-0000CA6B0000}"/>
    <cellStyle name="Normal 19 3 12" xfId="7472" xr:uid="{00000000-0005-0000-0000-0000CB6B0000}"/>
    <cellStyle name="Normal 19 3 12 2" xfId="26105" xr:uid="{00000000-0005-0000-0000-0000CC6B0000}"/>
    <cellStyle name="Normal 19 3 12 3" xfId="30318" xr:uid="{00000000-0005-0000-0000-0000CD6B0000}"/>
    <cellStyle name="Normal 19 3 12 4" xfId="34533" xr:uid="{00000000-0005-0000-0000-0000CE6B0000}"/>
    <cellStyle name="Normal 19 3 12 5" xfId="38737" xr:uid="{00000000-0005-0000-0000-0000CF6B0000}"/>
    <cellStyle name="Normal 19 3 13" xfId="8973" xr:uid="{00000000-0005-0000-0000-0000D06B0000}"/>
    <cellStyle name="Normal 19 3 13 2" xfId="26544" xr:uid="{00000000-0005-0000-0000-0000D16B0000}"/>
    <cellStyle name="Normal 19 3 13 3" xfId="30757" xr:uid="{00000000-0005-0000-0000-0000D26B0000}"/>
    <cellStyle name="Normal 19 3 13 4" xfId="34972" xr:uid="{00000000-0005-0000-0000-0000D36B0000}"/>
    <cellStyle name="Normal 19 3 13 5" xfId="39176" xr:uid="{00000000-0005-0000-0000-0000D46B0000}"/>
    <cellStyle name="Normal 19 3 14" xfId="9095" xr:uid="{00000000-0005-0000-0000-0000D56B0000}"/>
    <cellStyle name="Normal 19 3 14 2" xfId="26666" xr:uid="{00000000-0005-0000-0000-0000D66B0000}"/>
    <cellStyle name="Normal 19 3 14 3" xfId="30879" xr:uid="{00000000-0005-0000-0000-0000D76B0000}"/>
    <cellStyle name="Normal 19 3 14 4" xfId="35094" xr:uid="{00000000-0005-0000-0000-0000D86B0000}"/>
    <cellStyle name="Normal 19 3 14 5" xfId="39298" xr:uid="{00000000-0005-0000-0000-0000D96B0000}"/>
    <cellStyle name="Normal 19 3 15" xfId="9215" xr:uid="{00000000-0005-0000-0000-0000DA6B0000}"/>
    <cellStyle name="Normal 19 3 15 2" xfId="26786" xr:uid="{00000000-0005-0000-0000-0000DB6B0000}"/>
    <cellStyle name="Normal 19 3 15 3" xfId="30999" xr:uid="{00000000-0005-0000-0000-0000DC6B0000}"/>
    <cellStyle name="Normal 19 3 15 4" xfId="35214" xr:uid="{00000000-0005-0000-0000-0000DD6B0000}"/>
    <cellStyle name="Normal 19 3 15 5" xfId="39418" xr:uid="{00000000-0005-0000-0000-0000DE6B0000}"/>
    <cellStyle name="Normal 19 3 16" xfId="9336" xr:uid="{00000000-0005-0000-0000-0000DF6B0000}"/>
    <cellStyle name="Normal 19 3 16 2" xfId="26907" xr:uid="{00000000-0005-0000-0000-0000E06B0000}"/>
    <cellStyle name="Normal 19 3 16 3" xfId="31120" xr:uid="{00000000-0005-0000-0000-0000E16B0000}"/>
    <cellStyle name="Normal 19 3 16 4" xfId="35335" xr:uid="{00000000-0005-0000-0000-0000E26B0000}"/>
    <cellStyle name="Normal 19 3 16 5" xfId="39539" xr:uid="{00000000-0005-0000-0000-0000E36B0000}"/>
    <cellStyle name="Normal 19 3 17" xfId="9455" xr:uid="{00000000-0005-0000-0000-0000E46B0000}"/>
    <cellStyle name="Normal 19 3 17 2" xfId="27026" xr:uid="{00000000-0005-0000-0000-0000E56B0000}"/>
    <cellStyle name="Normal 19 3 17 3" xfId="31239" xr:uid="{00000000-0005-0000-0000-0000E66B0000}"/>
    <cellStyle name="Normal 19 3 17 4" xfId="35454" xr:uid="{00000000-0005-0000-0000-0000E76B0000}"/>
    <cellStyle name="Normal 19 3 17 5" xfId="39658" xr:uid="{00000000-0005-0000-0000-0000E86B0000}"/>
    <cellStyle name="Normal 19 3 18" xfId="3653" xr:uid="{00000000-0005-0000-0000-0000E96B0000}"/>
    <cellStyle name="Normal 19 3 2" xfId="2326" xr:uid="{00000000-0005-0000-0000-0000EA6B0000}"/>
    <cellStyle name="Normal 19 3 2 2" xfId="2327" xr:uid="{00000000-0005-0000-0000-0000EB6B0000}"/>
    <cellStyle name="Normal 19 3 2 2 2" xfId="3655" xr:uid="{00000000-0005-0000-0000-0000EC6B0000}"/>
    <cellStyle name="Normal 19 3 2 3" xfId="3654" xr:uid="{00000000-0005-0000-0000-0000ED6B0000}"/>
    <cellStyle name="Normal 19 3 3" xfId="2328" xr:uid="{00000000-0005-0000-0000-0000EE6B0000}"/>
    <cellStyle name="Normal 19 3 3 2" xfId="3656" xr:uid="{00000000-0005-0000-0000-0000EF6B0000}"/>
    <cellStyle name="Normal 19 3 4" xfId="2329" xr:uid="{00000000-0005-0000-0000-0000F06B0000}"/>
    <cellStyle name="Normal 19 3 4 2" xfId="3657" xr:uid="{00000000-0005-0000-0000-0000F16B0000}"/>
    <cellStyle name="Normal 19 3 5" xfId="2330" xr:uid="{00000000-0005-0000-0000-0000F26B0000}"/>
    <cellStyle name="Normal 19 3 5 2" xfId="3658" xr:uid="{00000000-0005-0000-0000-0000F36B0000}"/>
    <cellStyle name="Normal 19 3 6" xfId="2331" xr:uid="{00000000-0005-0000-0000-0000F46B0000}"/>
    <cellStyle name="Normal 19 3 6 2" xfId="3659" xr:uid="{00000000-0005-0000-0000-0000F56B0000}"/>
    <cellStyle name="Normal 19 3 7" xfId="5320" xr:uid="{00000000-0005-0000-0000-0000F66B0000}"/>
    <cellStyle name="Normal 19 3 8" xfId="5321" xr:uid="{00000000-0005-0000-0000-0000F76B0000}"/>
    <cellStyle name="Normal 19 3 8 2" xfId="5322" xr:uid="{00000000-0005-0000-0000-0000F86B0000}"/>
    <cellStyle name="Normal 19 3 9" xfId="7104" xr:uid="{00000000-0005-0000-0000-0000F96B0000}"/>
    <cellStyle name="Normal 19 3 9 2" xfId="25757" xr:uid="{00000000-0005-0000-0000-0000FA6B0000}"/>
    <cellStyle name="Normal 19 3 9 3" xfId="29970" xr:uid="{00000000-0005-0000-0000-0000FB6B0000}"/>
    <cellStyle name="Normal 19 3 9 4" xfId="34185" xr:uid="{00000000-0005-0000-0000-0000FC6B0000}"/>
    <cellStyle name="Normal 19 3 9 5" xfId="38389" xr:uid="{00000000-0005-0000-0000-0000FD6B0000}"/>
    <cellStyle name="Normal 19 4" xfId="2332" xr:uid="{00000000-0005-0000-0000-0000FE6B0000}"/>
    <cellStyle name="Normal 19 4 2" xfId="2333" xr:uid="{00000000-0005-0000-0000-0000FF6B0000}"/>
    <cellStyle name="Normal 19 4 2 2" xfId="2334" xr:uid="{00000000-0005-0000-0000-0000006C0000}"/>
    <cellStyle name="Normal 19 4 2 2 2" xfId="3662" xr:uid="{00000000-0005-0000-0000-0000016C0000}"/>
    <cellStyle name="Normal 19 4 2 3" xfId="3661" xr:uid="{00000000-0005-0000-0000-0000026C0000}"/>
    <cellStyle name="Normal 19 4 3" xfId="2335" xr:uid="{00000000-0005-0000-0000-0000036C0000}"/>
    <cellStyle name="Normal 19 4 3 2" xfId="3663" xr:uid="{00000000-0005-0000-0000-0000046C0000}"/>
    <cellStyle name="Normal 19 4 4" xfId="2336" xr:uid="{00000000-0005-0000-0000-0000056C0000}"/>
    <cellStyle name="Normal 19 4 4 2" xfId="3664" xr:uid="{00000000-0005-0000-0000-0000066C0000}"/>
    <cellStyle name="Normal 19 4 5" xfId="2337" xr:uid="{00000000-0005-0000-0000-0000076C0000}"/>
    <cellStyle name="Normal 19 4 5 2" xfId="3665" xr:uid="{00000000-0005-0000-0000-0000086C0000}"/>
    <cellStyle name="Normal 19 4 6" xfId="2338" xr:uid="{00000000-0005-0000-0000-0000096C0000}"/>
    <cellStyle name="Normal 19 4 6 2" xfId="3666" xr:uid="{00000000-0005-0000-0000-00000A6C0000}"/>
    <cellStyle name="Normal 19 4 7" xfId="5323" xr:uid="{00000000-0005-0000-0000-00000B6C0000}"/>
    <cellStyle name="Normal 19 4 8" xfId="5324" xr:uid="{00000000-0005-0000-0000-00000C6C0000}"/>
    <cellStyle name="Normal 19 4 8 2" xfId="5325" xr:uid="{00000000-0005-0000-0000-00000D6C0000}"/>
    <cellStyle name="Normal 19 4 9" xfId="3660" xr:uid="{00000000-0005-0000-0000-00000E6C0000}"/>
    <cellStyle name="Normal 19 5" xfId="2339" xr:uid="{00000000-0005-0000-0000-00000F6C0000}"/>
    <cellStyle name="Normal 19 5 2" xfId="2340" xr:uid="{00000000-0005-0000-0000-0000106C0000}"/>
    <cellStyle name="Normal 19 5 2 2" xfId="2341" xr:uid="{00000000-0005-0000-0000-0000116C0000}"/>
    <cellStyle name="Normal 19 5 2 2 2" xfId="3669" xr:uid="{00000000-0005-0000-0000-0000126C0000}"/>
    <cellStyle name="Normal 19 5 2 3" xfId="3668" xr:uid="{00000000-0005-0000-0000-0000136C0000}"/>
    <cellStyle name="Normal 19 5 3" xfId="2342" xr:uid="{00000000-0005-0000-0000-0000146C0000}"/>
    <cellStyle name="Normal 19 5 3 2" xfId="3670" xr:uid="{00000000-0005-0000-0000-0000156C0000}"/>
    <cellStyle name="Normal 19 5 4" xfId="2343" xr:uid="{00000000-0005-0000-0000-0000166C0000}"/>
    <cellStyle name="Normal 19 5 4 2" xfId="3671" xr:uid="{00000000-0005-0000-0000-0000176C0000}"/>
    <cellStyle name="Normal 19 5 5" xfId="2344" xr:uid="{00000000-0005-0000-0000-0000186C0000}"/>
    <cellStyle name="Normal 19 5 5 2" xfId="3672" xr:uid="{00000000-0005-0000-0000-0000196C0000}"/>
    <cellStyle name="Normal 19 5 6" xfId="2345" xr:uid="{00000000-0005-0000-0000-00001A6C0000}"/>
    <cellStyle name="Normal 19 5 6 2" xfId="3673" xr:uid="{00000000-0005-0000-0000-00001B6C0000}"/>
    <cellStyle name="Normal 19 5 7" xfId="5326" xr:uid="{00000000-0005-0000-0000-00001C6C0000}"/>
    <cellStyle name="Normal 19 5 8" xfId="5327" xr:uid="{00000000-0005-0000-0000-00001D6C0000}"/>
    <cellStyle name="Normal 19 5 8 2" xfId="5328" xr:uid="{00000000-0005-0000-0000-00001E6C0000}"/>
    <cellStyle name="Normal 19 5 9" xfId="3667" xr:uid="{00000000-0005-0000-0000-00001F6C0000}"/>
    <cellStyle name="Normal 19 6" xfId="2346" xr:uid="{00000000-0005-0000-0000-0000206C0000}"/>
    <cellStyle name="Normal 19 6 2" xfId="2347" xr:uid="{00000000-0005-0000-0000-0000216C0000}"/>
    <cellStyle name="Normal 19 6 2 2" xfId="2348" xr:uid="{00000000-0005-0000-0000-0000226C0000}"/>
    <cellStyle name="Normal 19 6 2 2 2" xfId="3676" xr:uid="{00000000-0005-0000-0000-0000236C0000}"/>
    <cellStyle name="Normal 19 6 2 3" xfId="3675" xr:uid="{00000000-0005-0000-0000-0000246C0000}"/>
    <cellStyle name="Normal 19 6 3" xfId="2349" xr:uid="{00000000-0005-0000-0000-0000256C0000}"/>
    <cellStyle name="Normal 19 6 3 2" xfId="3677" xr:uid="{00000000-0005-0000-0000-0000266C0000}"/>
    <cellStyle name="Normal 19 6 4" xfId="2350" xr:uid="{00000000-0005-0000-0000-0000276C0000}"/>
    <cellStyle name="Normal 19 6 4 2" xfId="3678" xr:uid="{00000000-0005-0000-0000-0000286C0000}"/>
    <cellStyle name="Normal 19 6 5" xfId="2351" xr:uid="{00000000-0005-0000-0000-0000296C0000}"/>
    <cellStyle name="Normal 19 6 5 2" xfId="3679" xr:uid="{00000000-0005-0000-0000-00002A6C0000}"/>
    <cellStyle name="Normal 19 6 6" xfId="2352" xr:uid="{00000000-0005-0000-0000-00002B6C0000}"/>
    <cellStyle name="Normal 19 6 6 2" xfId="3680" xr:uid="{00000000-0005-0000-0000-00002C6C0000}"/>
    <cellStyle name="Normal 19 6 7" xfId="5329" xr:uid="{00000000-0005-0000-0000-00002D6C0000}"/>
    <cellStyle name="Normal 19 6 8" xfId="5330" xr:uid="{00000000-0005-0000-0000-00002E6C0000}"/>
    <cellStyle name="Normal 19 6 8 2" xfId="5331" xr:uid="{00000000-0005-0000-0000-00002F6C0000}"/>
    <cellStyle name="Normal 19 6 9" xfId="3674" xr:uid="{00000000-0005-0000-0000-0000306C0000}"/>
    <cellStyle name="Normal 19 7" xfId="2353" xr:uid="{00000000-0005-0000-0000-0000316C0000}"/>
    <cellStyle name="Normal 19 7 2" xfId="2354" xr:uid="{00000000-0005-0000-0000-0000326C0000}"/>
    <cellStyle name="Normal 19 7 2 2" xfId="3682" xr:uid="{00000000-0005-0000-0000-0000336C0000}"/>
    <cellStyle name="Normal 19 7 3" xfId="3681" xr:uid="{00000000-0005-0000-0000-0000346C0000}"/>
    <cellStyle name="Normal 19 8" xfId="2355" xr:uid="{00000000-0005-0000-0000-0000356C0000}"/>
    <cellStyle name="Normal 19 8 2" xfId="3683" xr:uid="{00000000-0005-0000-0000-0000366C0000}"/>
    <cellStyle name="Normal 19 9" xfId="2356" xr:uid="{00000000-0005-0000-0000-0000376C0000}"/>
    <cellStyle name="Normal 19 9 2" xfId="3684" xr:uid="{00000000-0005-0000-0000-0000386C0000}"/>
    <cellStyle name="Normal 2" xfId="2357" xr:uid="{00000000-0005-0000-0000-0000396C0000}"/>
    <cellStyle name="Normál 2" xfId="3137" xr:uid="{00000000-0005-0000-0000-00003A6C0000}"/>
    <cellStyle name="Normal 2 10" xfId="2358" xr:uid="{00000000-0005-0000-0000-00003B6C0000}"/>
    <cellStyle name="Normal 2 10 2" xfId="6207" xr:uid="{00000000-0005-0000-0000-00003C6C0000}"/>
    <cellStyle name="Normal 2 10 2 2" xfId="6904" xr:uid="{00000000-0005-0000-0000-00003D6C0000}"/>
    <cellStyle name="Normal 2 10 2 2 2" xfId="25592" xr:uid="{00000000-0005-0000-0000-00003E6C0000}"/>
    <cellStyle name="Normal 2 10 2 2 3" xfId="29805" xr:uid="{00000000-0005-0000-0000-00003F6C0000}"/>
    <cellStyle name="Normal 2 10 2 2 4" xfId="34020" xr:uid="{00000000-0005-0000-0000-0000406C0000}"/>
    <cellStyle name="Normal 2 10 2 2 5" xfId="38224" xr:uid="{00000000-0005-0000-0000-0000416C0000}"/>
    <cellStyle name="Normal 2 10 2 3" xfId="25495" xr:uid="{00000000-0005-0000-0000-0000426C0000}"/>
    <cellStyle name="Normal 2 10 2 4" xfId="29707" xr:uid="{00000000-0005-0000-0000-0000436C0000}"/>
    <cellStyle name="Normal 2 10 2 5" xfId="33923" xr:uid="{00000000-0005-0000-0000-0000446C0000}"/>
    <cellStyle name="Normal 2 10 2 6" xfId="38127" xr:uid="{00000000-0005-0000-0000-0000456C0000}"/>
    <cellStyle name="Normal 2 10 3" xfId="3685" xr:uid="{00000000-0005-0000-0000-0000466C0000}"/>
    <cellStyle name="Normal 2 11" xfId="2359" xr:uid="{00000000-0005-0000-0000-0000476C0000}"/>
    <cellStyle name="Normal 2 11 2" xfId="3686" xr:uid="{00000000-0005-0000-0000-0000486C0000}"/>
    <cellStyle name="Normal 2 12" xfId="2360" xr:uid="{00000000-0005-0000-0000-0000496C0000}"/>
    <cellStyle name="Normal 2 12 2" xfId="3687" xr:uid="{00000000-0005-0000-0000-00004A6C0000}"/>
    <cellStyle name="Normal 2 13" xfId="2361" xr:uid="{00000000-0005-0000-0000-00004B6C0000}"/>
    <cellStyle name="Normal 2 13 2" xfId="3688" xr:uid="{00000000-0005-0000-0000-00004C6C0000}"/>
    <cellStyle name="Normal 2 14" xfId="2362" xr:uid="{00000000-0005-0000-0000-00004D6C0000}"/>
    <cellStyle name="Normal 2 14 2" xfId="3689" xr:uid="{00000000-0005-0000-0000-00004E6C0000}"/>
    <cellStyle name="Normal 2 15" xfId="2363" xr:uid="{00000000-0005-0000-0000-00004F6C0000}"/>
    <cellStyle name="Normal 2 15 2" xfId="3690" xr:uid="{00000000-0005-0000-0000-0000506C0000}"/>
    <cellStyle name="Normal 2 16" xfId="2364" xr:uid="{00000000-0005-0000-0000-0000516C0000}"/>
    <cellStyle name="Normal 2 16 2" xfId="3691" xr:uid="{00000000-0005-0000-0000-0000526C0000}"/>
    <cellStyle name="Normal 2 17" xfId="2365" xr:uid="{00000000-0005-0000-0000-0000536C0000}"/>
    <cellStyle name="Normal 2 17 2" xfId="3692" xr:uid="{00000000-0005-0000-0000-0000546C0000}"/>
    <cellStyle name="Normal 2 18" xfId="3693" xr:uid="{00000000-0005-0000-0000-0000556C0000}"/>
    <cellStyle name="Normal 2 18 2" xfId="5332" xr:uid="{00000000-0005-0000-0000-0000566C0000}"/>
    <cellStyle name="Normal 2 18 2 2" xfId="8278" xr:uid="{00000000-0005-0000-0000-0000576C0000}"/>
    <cellStyle name="Normal 2 18 2 3" xfId="11300" xr:uid="{00000000-0005-0000-0000-0000586C0000}"/>
    <cellStyle name="Normal 2 18 2 4" xfId="43560" xr:uid="{00000000-0005-0000-0000-0000596C0000}"/>
    <cellStyle name="Normal 2 18 3" xfId="11094" xr:uid="{00000000-0005-0000-0000-00005A6C0000}"/>
    <cellStyle name="Normal 2 18 3 2" xfId="43561" xr:uid="{00000000-0005-0000-0000-00005B6C0000}"/>
    <cellStyle name="Normal 2 18 4" xfId="41654" xr:uid="{00000000-0005-0000-0000-00005C6C0000}"/>
    <cellStyle name="Normal 2 18 4 2" xfId="43559" xr:uid="{00000000-0005-0000-0000-00005D6C0000}"/>
    <cellStyle name="Normal 2 19" xfId="4428" xr:uid="{00000000-0005-0000-0000-00005E6C0000}"/>
    <cellStyle name="Normal 2 19 2" xfId="5333" xr:uid="{00000000-0005-0000-0000-00005F6C0000}"/>
    <cellStyle name="Normal 2 19 2 2" xfId="43562" xr:uid="{00000000-0005-0000-0000-0000606C0000}"/>
    <cellStyle name="Normal 2 19 3" xfId="11243" xr:uid="{00000000-0005-0000-0000-0000616C0000}"/>
    <cellStyle name="Normal 2 2" xfId="2366" xr:uid="{00000000-0005-0000-0000-0000626C0000}"/>
    <cellStyle name="Normal 2 2 10" xfId="2367" xr:uid="{00000000-0005-0000-0000-0000636C0000}"/>
    <cellStyle name="Normal 2 2 10 2" xfId="8279" xr:uid="{00000000-0005-0000-0000-0000646C0000}"/>
    <cellStyle name="Normal 2 2 10 2 2" xfId="26435" xr:uid="{00000000-0005-0000-0000-0000656C0000}"/>
    <cellStyle name="Normal 2 2 10 2 3" xfId="30648" xr:uid="{00000000-0005-0000-0000-0000666C0000}"/>
    <cellStyle name="Normal 2 2 10 2 4" xfId="34863" xr:uid="{00000000-0005-0000-0000-0000676C0000}"/>
    <cellStyle name="Normal 2 2 10 2 5" xfId="39067" xr:uid="{00000000-0005-0000-0000-0000686C0000}"/>
    <cellStyle name="Normal 2 2 10 3" xfId="3694" xr:uid="{00000000-0005-0000-0000-0000696C0000}"/>
    <cellStyle name="Normal 2 2 11" xfId="3695" xr:uid="{00000000-0005-0000-0000-00006A6C0000}"/>
    <cellStyle name="Normal 2 2 11 2" xfId="3696" xr:uid="{00000000-0005-0000-0000-00006B6C0000}"/>
    <cellStyle name="Normal 2 2 11 2 2" xfId="4475" xr:uid="{00000000-0005-0000-0000-00006C6C0000}"/>
    <cellStyle name="Normal 2 2 11 2 2 2" xfId="24946" xr:uid="{00000000-0005-0000-0000-00006D6C0000}"/>
    <cellStyle name="Normal 2 2 11 2 2 3" xfId="29158" xr:uid="{00000000-0005-0000-0000-00006E6C0000}"/>
    <cellStyle name="Normal 2 2 11 2 2 4" xfId="33374" xr:uid="{00000000-0005-0000-0000-00006F6C0000}"/>
    <cellStyle name="Normal 2 2 11 2 2 5" xfId="37578" xr:uid="{00000000-0005-0000-0000-0000706C0000}"/>
    <cellStyle name="Normal 2 2 11 2 3" xfId="12274" xr:uid="{00000000-0005-0000-0000-0000716C0000}"/>
    <cellStyle name="Normal 2 2 11 2 3 2" xfId="28841" xr:uid="{00000000-0005-0000-0000-0000726C0000}"/>
    <cellStyle name="Normal 2 2 11 2 3 3" xfId="33054" xr:uid="{00000000-0005-0000-0000-0000736C0000}"/>
    <cellStyle name="Normal 2 2 11 2 3 4" xfId="37269" xr:uid="{00000000-0005-0000-0000-0000746C0000}"/>
    <cellStyle name="Normal 2 2 11 2 4" xfId="23483" xr:uid="{00000000-0005-0000-0000-0000756C0000}"/>
    <cellStyle name="Normal 2 2 11 2 4 2" xfId="28982" xr:uid="{00000000-0005-0000-0000-0000766C0000}"/>
    <cellStyle name="Normal 2 2 11 2 4 3" xfId="33199" xr:uid="{00000000-0005-0000-0000-0000776C0000}"/>
    <cellStyle name="Normal 2 2 11 2 4 4" xfId="37410" xr:uid="{00000000-0005-0000-0000-0000786C0000}"/>
    <cellStyle name="Normal 2 2 11 2 5" xfId="24855" xr:uid="{00000000-0005-0000-0000-0000796C0000}"/>
    <cellStyle name="Normal 2 2 11 2 6" xfId="29066" xr:uid="{00000000-0005-0000-0000-00007A6C0000}"/>
    <cellStyle name="Normal 2 2 11 2 7" xfId="33283" xr:uid="{00000000-0005-0000-0000-00007B6C0000}"/>
    <cellStyle name="Normal 2 2 11 2 8" xfId="37487" xr:uid="{00000000-0005-0000-0000-00007C6C0000}"/>
    <cellStyle name="Normal 2 2 11 3" xfId="4438" xr:uid="{00000000-0005-0000-0000-00007D6C0000}"/>
    <cellStyle name="Normal 2 2 11 3 2" xfId="24910" xr:uid="{00000000-0005-0000-0000-00007E6C0000}"/>
    <cellStyle name="Normal 2 2 11 3 3" xfId="29122" xr:uid="{00000000-0005-0000-0000-00007F6C0000}"/>
    <cellStyle name="Normal 2 2 11 3 4" xfId="33338" xr:uid="{00000000-0005-0000-0000-0000806C0000}"/>
    <cellStyle name="Normal 2 2 11 3 5" xfId="37542" xr:uid="{00000000-0005-0000-0000-0000816C0000}"/>
    <cellStyle name="Normal 2 2 11 4" xfId="12238" xr:uid="{00000000-0005-0000-0000-0000826C0000}"/>
    <cellStyle name="Normal 2 2 11 4 2" xfId="28806" xr:uid="{00000000-0005-0000-0000-0000836C0000}"/>
    <cellStyle name="Normal 2 2 11 4 3" xfId="33019" xr:uid="{00000000-0005-0000-0000-0000846C0000}"/>
    <cellStyle name="Normal 2 2 11 4 4" xfId="37234" xr:uid="{00000000-0005-0000-0000-0000856C0000}"/>
    <cellStyle name="Normal 2 2 11 5" xfId="23447" xr:uid="{00000000-0005-0000-0000-0000866C0000}"/>
    <cellStyle name="Normal 2 2 11 5 2" xfId="28947" xr:uid="{00000000-0005-0000-0000-0000876C0000}"/>
    <cellStyle name="Normal 2 2 11 5 3" xfId="33164" xr:uid="{00000000-0005-0000-0000-0000886C0000}"/>
    <cellStyle name="Normal 2 2 11 5 4" xfId="37375" xr:uid="{00000000-0005-0000-0000-0000896C0000}"/>
    <cellStyle name="Normal 2 2 11 6" xfId="24854" xr:uid="{00000000-0005-0000-0000-00008A6C0000}"/>
    <cellStyle name="Normal 2 2 11 7" xfId="29065" xr:uid="{00000000-0005-0000-0000-00008B6C0000}"/>
    <cellStyle name="Normal 2 2 11 8" xfId="33282" xr:uid="{00000000-0005-0000-0000-00008C6C0000}"/>
    <cellStyle name="Normal 2 2 11 9" xfId="37486" xr:uid="{00000000-0005-0000-0000-00008D6C0000}"/>
    <cellStyle name="Normal 2 2 12" xfId="3697" xr:uid="{00000000-0005-0000-0000-00008E6C0000}"/>
    <cellStyle name="Normal 2 2 12 2" xfId="8280" xr:uid="{00000000-0005-0000-0000-00008F6C0000}"/>
    <cellStyle name="Normal 2 2 12 2 2" xfId="26436" xr:uid="{00000000-0005-0000-0000-0000906C0000}"/>
    <cellStyle name="Normal 2 2 12 2 3" xfId="30649" xr:uid="{00000000-0005-0000-0000-0000916C0000}"/>
    <cellStyle name="Normal 2 2 12 2 4" xfId="34864" xr:uid="{00000000-0005-0000-0000-0000926C0000}"/>
    <cellStyle name="Normal 2 2 12 2 5" xfId="39068" xr:uid="{00000000-0005-0000-0000-0000936C0000}"/>
    <cellStyle name="Normal 2 2 13" xfId="3698" xr:uid="{00000000-0005-0000-0000-0000946C0000}"/>
    <cellStyle name="Normal 2 2 13 2" xfId="4458" xr:uid="{00000000-0005-0000-0000-0000956C0000}"/>
    <cellStyle name="Normal 2 2 13 2 2" xfId="24929" xr:uid="{00000000-0005-0000-0000-0000966C0000}"/>
    <cellStyle name="Normal 2 2 13 2 3" xfId="29141" xr:uid="{00000000-0005-0000-0000-0000976C0000}"/>
    <cellStyle name="Normal 2 2 13 2 4" xfId="33357" xr:uid="{00000000-0005-0000-0000-0000986C0000}"/>
    <cellStyle name="Normal 2 2 13 2 5" xfId="37561" xr:uid="{00000000-0005-0000-0000-0000996C0000}"/>
    <cellStyle name="Normal 2 2 13 3" xfId="12257" xr:uid="{00000000-0005-0000-0000-00009A6C0000}"/>
    <cellStyle name="Normal 2 2 13 3 2" xfId="28824" xr:uid="{00000000-0005-0000-0000-00009B6C0000}"/>
    <cellStyle name="Normal 2 2 13 3 3" xfId="33037" xr:uid="{00000000-0005-0000-0000-00009C6C0000}"/>
    <cellStyle name="Normal 2 2 13 3 4" xfId="37252" xr:uid="{00000000-0005-0000-0000-00009D6C0000}"/>
    <cellStyle name="Normal 2 2 13 4" xfId="23465" xr:uid="{00000000-0005-0000-0000-00009E6C0000}"/>
    <cellStyle name="Normal 2 2 13 4 2" xfId="28965" xr:uid="{00000000-0005-0000-0000-00009F6C0000}"/>
    <cellStyle name="Normal 2 2 13 4 3" xfId="33182" xr:uid="{00000000-0005-0000-0000-0000A06C0000}"/>
    <cellStyle name="Normal 2 2 13 4 4" xfId="37393" xr:uid="{00000000-0005-0000-0000-0000A16C0000}"/>
    <cellStyle name="Normal 2 2 13 5" xfId="24856" xr:uid="{00000000-0005-0000-0000-0000A26C0000}"/>
    <cellStyle name="Normal 2 2 13 6" xfId="29067" xr:uid="{00000000-0005-0000-0000-0000A36C0000}"/>
    <cellStyle name="Normal 2 2 13 7" xfId="33284" xr:uid="{00000000-0005-0000-0000-0000A46C0000}"/>
    <cellStyle name="Normal 2 2 13 8" xfId="37488" xr:uid="{00000000-0005-0000-0000-0000A56C0000}"/>
    <cellStyle name="Normal 2 2 14" xfId="7105" xr:uid="{00000000-0005-0000-0000-0000A66C0000}"/>
    <cellStyle name="Normal 2 2 14 2" xfId="12769" xr:uid="{00000000-0005-0000-0000-0000A76C0000}"/>
    <cellStyle name="Normal 2 2 14 3" xfId="25758" xr:uid="{00000000-0005-0000-0000-0000A86C0000}"/>
    <cellStyle name="Normal 2 2 14 4" xfId="29971" xr:uid="{00000000-0005-0000-0000-0000A96C0000}"/>
    <cellStyle name="Normal 2 2 14 5" xfId="34186" xr:uid="{00000000-0005-0000-0000-0000AA6C0000}"/>
    <cellStyle name="Normal 2 2 14 6" xfId="38390" xr:uid="{00000000-0005-0000-0000-0000AB6C0000}"/>
    <cellStyle name="Normal 2 2 15" xfId="7237" xr:uid="{00000000-0005-0000-0000-0000AC6C0000}"/>
    <cellStyle name="Normal 2 2 15 2" xfId="12329" xr:uid="{00000000-0005-0000-0000-0000AD6C0000}"/>
    <cellStyle name="Normal 2 2 15 2 2" xfId="43563" xr:uid="{00000000-0005-0000-0000-0000AE6C0000}"/>
    <cellStyle name="Normal 2 2 15 3" xfId="25870" xr:uid="{00000000-0005-0000-0000-0000AF6C0000}"/>
    <cellStyle name="Normal 2 2 15 4" xfId="30083" xr:uid="{00000000-0005-0000-0000-0000B06C0000}"/>
    <cellStyle name="Normal 2 2 15 5" xfId="34298" xr:uid="{00000000-0005-0000-0000-0000B16C0000}"/>
    <cellStyle name="Normal 2 2 15 6" xfId="38502" xr:uid="{00000000-0005-0000-0000-0000B26C0000}"/>
    <cellStyle name="Normal 2 2 16" xfId="7356" xr:uid="{00000000-0005-0000-0000-0000B36C0000}"/>
    <cellStyle name="Normal 2 2 16 2" xfId="25989" xr:uid="{00000000-0005-0000-0000-0000B46C0000}"/>
    <cellStyle name="Normal 2 2 16 3" xfId="30202" xr:uid="{00000000-0005-0000-0000-0000B56C0000}"/>
    <cellStyle name="Normal 2 2 16 4" xfId="34417" xr:uid="{00000000-0005-0000-0000-0000B66C0000}"/>
    <cellStyle name="Normal 2 2 16 5" xfId="38621" xr:uid="{00000000-0005-0000-0000-0000B76C0000}"/>
    <cellStyle name="Normal 2 2 17" xfId="7474" xr:uid="{00000000-0005-0000-0000-0000B86C0000}"/>
    <cellStyle name="Normal 2 2 17 2" xfId="26107" xr:uid="{00000000-0005-0000-0000-0000B96C0000}"/>
    <cellStyle name="Normal 2 2 17 3" xfId="30320" xr:uid="{00000000-0005-0000-0000-0000BA6C0000}"/>
    <cellStyle name="Normal 2 2 17 4" xfId="34535" xr:uid="{00000000-0005-0000-0000-0000BB6C0000}"/>
    <cellStyle name="Normal 2 2 17 5" xfId="38739" xr:uid="{00000000-0005-0000-0000-0000BC6C0000}"/>
    <cellStyle name="Normal 2 2 18" xfId="8975" xr:uid="{00000000-0005-0000-0000-0000BD6C0000}"/>
    <cellStyle name="Normal 2 2 18 2" xfId="26546" xr:uid="{00000000-0005-0000-0000-0000BE6C0000}"/>
    <cellStyle name="Normal 2 2 18 3" xfId="30759" xr:uid="{00000000-0005-0000-0000-0000BF6C0000}"/>
    <cellStyle name="Normal 2 2 18 4" xfId="34974" xr:uid="{00000000-0005-0000-0000-0000C06C0000}"/>
    <cellStyle name="Normal 2 2 18 5" xfId="39178" xr:uid="{00000000-0005-0000-0000-0000C16C0000}"/>
    <cellStyle name="Normal 2 2 19" xfId="9097" xr:uid="{00000000-0005-0000-0000-0000C26C0000}"/>
    <cellStyle name="Normal 2 2 19 2" xfId="26668" xr:uid="{00000000-0005-0000-0000-0000C36C0000}"/>
    <cellStyle name="Normal 2 2 19 3" xfId="30881" xr:uid="{00000000-0005-0000-0000-0000C46C0000}"/>
    <cellStyle name="Normal 2 2 19 4" xfId="35096" xr:uid="{00000000-0005-0000-0000-0000C56C0000}"/>
    <cellStyle name="Normal 2 2 19 5" xfId="39300" xr:uid="{00000000-0005-0000-0000-0000C66C0000}"/>
    <cellStyle name="Normal 2 2 2" xfId="2368" xr:uid="{00000000-0005-0000-0000-0000C76C0000}"/>
    <cellStyle name="Normal 2 2 2 10" xfId="3699" xr:uid="{00000000-0005-0000-0000-0000C86C0000}"/>
    <cellStyle name="Normal 2 2 2 2" xfId="2369" xr:uid="{00000000-0005-0000-0000-0000C96C0000}"/>
    <cellStyle name="Normal 2 2 2 2 10" xfId="9296" xr:uid="{00000000-0005-0000-0000-0000CA6C0000}"/>
    <cellStyle name="Normal 2 2 2 2 10 2" xfId="26867" xr:uid="{00000000-0005-0000-0000-0000CB6C0000}"/>
    <cellStyle name="Normal 2 2 2 2 10 3" xfId="31080" xr:uid="{00000000-0005-0000-0000-0000CC6C0000}"/>
    <cellStyle name="Normal 2 2 2 2 10 4" xfId="35295" xr:uid="{00000000-0005-0000-0000-0000CD6C0000}"/>
    <cellStyle name="Normal 2 2 2 2 10 5" xfId="39499" xr:uid="{00000000-0005-0000-0000-0000CE6C0000}"/>
    <cellStyle name="Normal 2 2 2 2 11" xfId="9417" xr:uid="{00000000-0005-0000-0000-0000CF6C0000}"/>
    <cellStyle name="Normal 2 2 2 2 11 2" xfId="26988" xr:uid="{00000000-0005-0000-0000-0000D06C0000}"/>
    <cellStyle name="Normal 2 2 2 2 11 3" xfId="31201" xr:uid="{00000000-0005-0000-0000-0000D16C0000}"/>
    <cellStyle name="Normal 2 2 2 2 11 4" xfId="35416" xr:uid="{00000000-0005-0000-0000-0000D26C0000}"/>
    <cellStyle name="Normal 2 2 2 2 11 5" xfId="39620" xr:uid="{00000000-0005-0000-0000-0000D36C0000}"/>
    <cellStyle name="Normal 2 2 2 2 12" xfId="9536" xr:uid="{00000000-0005-0000-0000-0000D46C0000}"/>
    <cellStyle name="Normal 2 2 2 2 12 2" xfId="27107" xr:uid="{00000000-0005-0000-0000-0000D56C0000}"/>
    <cellStyle name="Normal 2 2 2 2 12 3" xfId="31320" xr:uid="{00000000-0005-0000-0000-0000D66C0000}"/>
    <cellStyle name="Normal 2 2 2 2 12 4" xfId="35535" xr:uid="{00000000-0005-0000-0000-0000D76C0000}"/>
    <cellStyle name="Normal 2 2 2 2 12 5" xfId="39739" xr:uid="{00000000-0005-0000-0000-0000D86C0000}"/>
    <cellStyle name="Normal 2 2 2 2 13" xfId="12239" xr:uid="{00000000-0005-0000-0000-0000D96C0000}"/>
    <cellStyle name="Normal 2 2 2 2 13 2" xfId="28807" xr:uid="{00000000-0005-0000-0000-0000DA6C0000}"/>
    <cellStyle name="Normal 2 2 2 2 13 3" xfId="33020" xr:uid="{00000000-0005-0000-0000-0000DB6C0000}"/>
    <cellStyle name="Normal 2 2 2 2 13 4" xfId="37235" xr:uid="{00000000-0005-0000-0000-0000DC6C0000}"/>
    <cellStyle name="Normal 2 2 2 2 13 5" xfId="43565" xr:uid="{00000000-0005-0000-0000-0000DD6C0000}"/>
    <cellStyle name="Normal 2 2 2 2 14" xfId="23448" xr:uid="{00000000-0005-0000-0000-0000DE6C0000}"/>
    <cellStyle name="Normal 2 2 2 2 14 2" xfId="28948" xr:uid="{00000000-0005-0000-0000-0000DF6C0000}"/>
    <cellStyle name="Normal 2 2 2 2 14 3" xfId="33165" xr:uid="{00000000-0005-0000-0000-0000E06C0000}"/>
    <cellStyle name="Normal 2 2 2 2 14 4" xfId="37376" xr:uid="{00000000-0005-0000-0000-0000E16C0000}"/>
    <cellStyle name="Normal 2 2 2 2 15" xfId="3700" xr:uid="{00000000-0005-0000-0000-0000E26C0000}"/>
    <cellStyle name="Normal 2 2 2 2 16" xfId="24857" xr:uid="{00000000-0005-0000-0000-0000E36C0000}"/>
    <cellStyle name="Normal 2 2 2 2 17" xfId="29068" xr:uid="{00000000-0005-0000-0000-0000E46C0000}"/>
    <cellStyle name="Normal 2 2 2 2 18" xfId="33285" xr:uid="{00000000-0005-0000-0000-0000E56C0000}"/>
    <cellStyle name="Normal 2 2 2 2 19" xfId="37489" xr:uid="{00000000-0005-0000-0000-0000E66C0000}"/>
    <cellStyle name="Normal 2 2 2 2 2" xfId="3701" xr:uid="{00000000-0005-0000-0000-0000E76C0000}"/>
    <cellStyle name="Normal 2 2 2 2 2 10" xfId="37490" xr:uid="{00000000-0005-0000-0000-0000E86C0000}"/>
    <cellStyle name="Normal 2 2 2 2 2 2" xfId="4476" xr:uid="{00000000-0005-0000-0000-0000E96C0000}"/>
    <cellStyle name="Normal 2 2 2 2 2 2 2" xfId="24947" xr:uid="{00000000-0005-0000-0000-0000EA6C0000}"/>
    <cellStyle name="Normal 2 2 2 2 2 2 3" xfId="29159" xr:uid="{00000000-0005-0000-0000-0000EB6C0000}"/>
    <cellStyle name="Normal 2 2 2 2 2 2 4" xfId="33375" xr:uid="{00000000-0005-0000-0000-0000EC6C0000}"/>
    <cellStyle name="Normal 2 2 2 2 2 2 5" xfId="37579" xr:uid="{00000000-0005-0000-0000-0000ED6C0000}"/>
    <cellStyle name="Normal 2 2 2 2 2 3" xfId="6208" xr:uid="{00000000-0005-0000-0000-0000EE6C0000}"/>
    <cellStyle name="Normal 2 2 2 2 2 4" xfId="11095" xr:uid="{00000000-0005-0000-0000-0000EF6C0000}"/>
    <cellStyle name="Normal 2 2 2 2 2 4 2" xfId="28078" xr:uid="{00000000-0005-0000-0000-0000F06C0000}"/>
    <cellStyle name="Normal 2 2 2 2 2 4 3" xfId="32291" xr:uid="{00000000-0005-0000-0000-0000F16C0000}"/>
    <cellStyle name="Normal 2 2 2 2 2 4 4" xfId="36506" xr:uid="{00000000-0005-0000-0000-0000F26C0000}"/>
    <cellStyle name="Normal 2 2 2 2 2 4 5" xfId="40710" xr:uid="{00000000-0005-0000-0000-0000F36C0000}"/>
    <cellStyle name="Normal 2 2 2 2 2 5" xfId="12275" xr:uid="{00000000-0005-0000-0000-0000F46C0000}"/>
    <cellStyle name="Normal 2 2 2 2 2 5 2" xfId="28842" xr:uid="{00000000-0005-0000-0000-0000F56C0000}"/>
    <cellStyle name="Normal 2 2 2 2 2 5 3" xfId="33055" xr:uid="{00000000-0005-0000-0000-0000F66C0000}"/>
    <cellStyle name="Normal 2 2 2 2 2 5 4" xfId="37270" xr:uid="{00000000-0005-0000-0000-0000F76C0000}"/>
    <cellStyle name="Normal 2 2 2 2 2 6" xfId="23484" xr:uid="{00000000-0005-0000-0000-0000F86C0000}"/>
    <cellStyle name="Normal 2 2 2 2 2 6 2" xfId="28983" xr:uid="{00000000-0005-0000-0000-0000F96C0000}"/>
    <cellStyle name="Normal 2 2 2 2 2 6 3" xfId="33200" xr:uid="{00000000-0005-0000-0000-0000FA6C0000}"/>
    <cellStyle name="Normal 2 2 2 2 2 6 4" xfId="37411" xr:uid="{00000000-0005-0000-0000-0000FB6C0000}"/>
    <cellStyle name="Normal 2 2 2 2 2 7" xfId="24858" xr:uid="{00000000-0005-0000-0000-0000FC6C0000}"/>
    <cellStyle name="Normal 2 2 2 2 2 8" xfId="29069" xr:uid="{00000000-0005-0000-0000-0000FD6C0000}"/>
    <cellStyle name="Normal 2 2 2 2 2 9" xfId="33286" xr:uid="{00000000-0005-0000-0000-0000FE6C0000}"/>
    <cellStyle name="Normal 2 2 2 2 3" xfId="4439" xr:uid="{00000000-0005-0000-0000-0000FF6C0000}"/>
    <cellStyle name="Normal 2 2 2 2 3 2" xfId="24911" xr:uid="{00000000-0005-0000-0000-0000006D0000}"/>
    <cellStyle name="Normal 2 2 2 2 3 3" xfId="29123" xr:uid="{00000000-0005-0000-0000-0000016D0000}"/>
    <cellStyle name="Normal 2 2 2 2 3 4" xfId="33339" xr:uid="{00000000-0005-0000-0000-0000026D0000}"/>
    <cellStyle name="Normal 2 2 2 2 3 5" xfId="37543" xr:uid="{00000000-0005-0000-0000-0000036D0000}"/>
    <cellStyle name="Normal 2 2 2 2 4" xfId="7186" xr:uid="{00000000-0005-0000-0000-0000046D0000}"/>
    <cellStyle name="Normal 2 2 2 2 4 2" xfId="25834" xr:uid="{00000000-0005-0000-0000-0000056D0000}"/>
    <cellStyle name="Normal 2 2 2 2 4 3" xfId="30047" xr:uid="{00000000-0005-0000-0000-0000066D0000}"/>
    <cellStyle name="Normal 2 2 2 2 4 4" xfId="34262" xr:uid="{00000000-0005-0000-0000-0000076D0000}"/>
    <cellStyle name="Normal 2 2 2 2 4 5" xfId="38466" xr:uid="{00000000-0005-0000-0000-0000086D0000}"/>
    <cellStyle name="Normal 2 2 2 2 5" xfId="7316" xr:uid="{00000000-0005-0000-0000-0000096D0000}"/>
    <cellStyle name="Normal 2 2 2 2 5 2" xfId="25949" xr:uid="{00000000-0005-0000-0000-00000A6D0000}"/>
    <cellStyle name="Normal 2 2 2 2 5 3" xfId="30162" xr:uid="{00000000-0005-0000-0000-00000B6D0000}"/>
    <cellStyle name="Normal 2 2 2 2 5 4" xfId="34377" xr:uid="{00000000-0005-0000-0000-00000C6D0000}"/>
    <cellStyle name="Normal 2 2 2 2 5 5" xfId="38581" xr:uid="{00000000-0005-0000-0000-00000D6D0000}"/>
    <cellStyle name="Normal 2 2 2 2 6" xfId="7434" xr:uid="{00000000-0005-0000-0000-00000E6D0000}"/>
    <cellStyle name="Normal 2 2 2 2 6 2" xfId="26067" xr:uid="{00000000-0005-0000-0000-00000F6D0000}"/>
    <cellStyle name="Normal 2 2 2 2 6 3" xfId="30280" xr:uid="{00000000-0005-0000-0000-0000106D0000}"/>
    <cellStyle name="Normal 2 2 2 2 6 4" xfId="34495" xr:uid="{00000000-0005-0000-0000-0000116D0000}"/>
    <cellStyle name="Normal 2 2 2 2 6 5" xfId="38699" xr:uid="{00000000-0005-0000-0000-0000126D0000}"/>
    <cellStyle name="Normal 2 2 2 2 7" xfId="7552" xr:uid="{00000000-0005-0000-0000-0000136D0000}"/>
    <cellStyle name="Normal 2 2 2 2 7 2" xfId="26185" xr:uid="{00000000-0005-0000-0000-0000146D0000}"/>
    <cellStyle name="Normal 2 2 2 2 7 3" xfId="30398" xr:uid="{00000000-0005-0000-0000-0000156D0000}"/>
    <cellStyle name="Normal 2 2 2 2 7 4" xfId="34613" xr:uid="{00000000-0005-0000-0000-0000166D0000}"/>
    <cellStyle name="Normal 2 2 2 2 7 5" xfId="38817" xr:uid="{00000000-0005-0000-0000-0000176D0000}"/>
    <cellStyle name="Normal 2 2 2 2 8" xfId="9054" xr:uid="{00000000-0005-0000-0000-0000186D0000}"/>
    <cellStyle name="Normal 2 2 2 2 8 2" xfId="26625" xr:uid="{00000000-0005-0000-0000-0000196D0000}"/>
    <cellStyle name="Normal 2 2 2 2 8 3" xfId="30838" xr:uid="{00000000-0005-0000-0000-00001A6D0000}"/>
    <cellStyle name="Normal 2 2 2 2 8 4" xfId="35053" xr:uid="{00000000-0005-0000-0000-00001B6D0000}"/>
    <cellStyle name="Normal 2 2 2 2 8 5" xfId="39257" xr:uid="{00000000-0005-0000-0000-00001C6D0000}"/>
    <cellStyle name="Normal 2 2 2 2 9" xfId="9176" xr:uid="{00000000-0005-0000-0000-00001D6D0000}"/>
    <cellStyle name="Normal 2 2 2 2 9 2" xfId="26747" xr:uid="{00000000-0005-0000-0000-00001E6D0000}"/>
    <cellStyle name="Normal 2 2 2 2 9 3" xfId="30960" xr:uid="{00000000-0005-0000-0000-00001F6D0000}"/>
    <cellStyle name="Normal 2 2 2 2 9 4" xfId="35175" xr:uid="{00000000-0005-0000-0000-0000206D0000}"/>
    <cellStyle name="Normal 2 2 2 2 9 5" xfId="39379" xr:uid="{00000000-0005-0000-0000-0000216D0000}"/>
    <cellStyle name="Normal 2 2 2 3" xfId="2370" xr:uid="{00000000-0005-0000-0000-0000226D0000}"/>
    <cellStyle name="Normal 2 2 2 3 10" xfId="9418" xr:uid="{00000000-0005-0000-0000-0000236D0000}"/>
    <cellStyle name="Normal 2 2 2 3 10 2" xfId="26989" xr:uid="{00000000-0005-0000-0000-0000246D0000}"/>
    <cellStyle name="Normal 2 2 2 3 10 3" xfId="31202" xr:uid="{00000000-0005-0000-0000-0000256D0000}"/>
    <cellStyle name="Normal 2 2 2 3 10 4" xfId="35417" xr:uid="{00000000-0005-0000-0000-0000266D0000}"/>
    <cellStyle name="Normal 2 2 2 3 10 5" xfId="39621" xr:uid="{00000000-0005-0000-0000-0000276D0000}"/>
    <cellStyle name="Normal 2 2 2 3 11" xfId="9537" xr:uid="{00000000-0005-0000-0000-0000286D0000}"/>
    <cellStyle name="Normal 2 2 2 3 11 2" xfId="27108" xr:uid="{00000000-0005-0000-0000-0000296D0000}"/>
    <cellStyle name="Normal 2 2 2 3 11 3" xfId="31321" xr:uid="{00000000-0005-0000-0000-00002A6D0000}"/>
    <cellStyle name="Normal 2 2 2 3 11 4" xfId="35536" xr:uid="{00000000-0005-0000-0000-00002B6D0000}"/>
    <cellStyle name="Normal 2 2 2 3 11 5" xfId="39740" xr:uid="{00000000-0005-0000-0000-00002C6D0000}"/>
    <cellStyle name="Normal 2 2 2 3 12" xfId="12240" xr:uid="{00000000-0005-0000-0000-00002D6D0000}"/>
    <cellStyle name="Normal 2 2 2 3 12 2" xfId="28808" xr:uid="{00000000-0005-0000-0000-00002E6D0000}"/>
    <cellStyle name="Normal 2 2 2 3 12 3" xfId="33021" xr:uid="{00000000-0005-0000-0000-00002F6D0000}"/>
    <cellStyle name="Normal 2 2 2 3 12 4" xfId="37236" xr:uid="{00000000-0005-0000-0000-0000306D0000}"/>
    <cellStyle name="Normal 2 2 2 3 13" xfId="23449" xr:uid="{00000000-0005-0000-0000-0000316D0000}"/>
    <cellStyle name="Normal 2 2 2 3 13 2" xfId="28949" xr:uid="{00000000-0005-0000-0000-0000326D0000}"/>
    <cellStyle name="Normal 2 2 2 3 13 3" xfId="33166" xr:uid="{00000000-0005-0000-0000-0000336D0000}"/>
    <cellStyle name="Normal 2 2 2 3 13 4" xfId="37377" xr:uid="{00000000-0005-0000-0000-0000346D0000}"/>
    <cellStyle name="Normal 2 2 2 3 14" xfId="3702" xr:uid="{00000000-0005-0000-0000-0000356D0000}"/>
    <cellStyle name="Normal 2 2 2 3 15" xfId="24859" xr:uid="{00000000-0005-0000-0000-0000366D0000}"/>
    <cellStyle name="Normal 2 2 2 3 16" xfId="29070" xr:uid="{00000000-0005-0000-0000-0000376D0000}"/>
    <cellStyle name="Normal 2 2 2 3 17" xfId="33287" xr:uid="{00000000-0005-0000-0000-0000386D0000}"/>
    <cellStyle name="Normal 2 2 2 3 18" xfId="37491" xr:uid="{00000000-0005-0000-0000-0000396D0000}"/>
    <cellStyle name="Normal 2 2 2 3 2" xfId="3703" xr:uid="{00000000-0005-0000-0000-00003A6D0000}"/>
    <cellStyle name="Normal 2 2 2 3 2 2" xfId="4477" xr:uid="{00000000-0005-0000-0000-00003B6D0000}"/>
    <cellStyle name="Normal 2 2 2 3 2 2 2" xfId="24948" xr:uid="{00000000-0005-0000-0000-00003C6D0000}"/>
    <cellStyle name="Normal 2 2 2 3 2 2 3" xfId="29160" xr:uid="{00000000-0005-0000-0000-00003D6D0000}"/>
    <cellStyle name="Normal 2 2 2 3 2 2 4" xfId="33376" xr:uid="{00000000-0005-0000-0000-00003E6D0000}"/>
    <cellStyle name="Normal 2 2 2 3 2 2 5" xfId="37580" xr:uid="{00000000-0005-0000-0000-00003F6D0000}"/>
    <cellStyle name="Normal 2 2 2 3 2 3" xfId="12276" xr:uid="{00000000-0005-0000-0000-0000406D0000}"/>
    <cellStyle name="Normal 2 2 2 3 2 3 2" xfId="28843" xr:uid="{00000000-0005-0000-0000-0000416D0000}"/>
    <cellStyle name="Normal 2 2 2 3 2 3 3" xfId="33056" xr:uid="{00000000-0005-0000-0000-0000426D0000}"/>
    <cellStyle name="Normal 2 2 2 3 2 3 4" xfId="37271" xr:uid="{00000000-0005-0000-0000-0000436D0000}"/>
    <cellStyle name="Normal 2 2 2 3 2 4" xfId="23485" xr:uid="{00000000-0005-0000-0000-0000446D0000}"/>
    <cellStyle name="Normal 2 2 2 3 2 4 2" xfId="28984" xr:uid="{00000000-0005-0000-0000-0000456D0000}"/>
    <cellStyle name="Normal 2 2 2 3 2 4 3" xfId="33201" xr:uid="{00000000-0005-0000-0000-0000466D0000}"/>
    <cellStyle name="Normal 2 2 2 3 2 4 4" xfId="37412" xr:uid="{00000000-0005-0000-0000-0000476D0000}"/>
    <cellStyle name="Normal 2 2 2 3 2 5" xfId="24860" xr:uid="{00000000-0005-0000-0000-0000486D0000}"/>
    <cellStyle name="Normal 2 2 2 3 2 6" xfId="29071" xr:uid="{00000000-0005-0000-0000-0000496D0000}"/>
    <cellStyle name="Normal 2 2 2 3 2 7" xfId="33288" xr:uid="{00000000-0005-0000-0000-00004A6D0000}"/>
    <cellStyle name="Normal 2 2 2 3 2 8" xfId="37492" xr:uid="{00000000-0005-0000-0000-00004B6D0000}"/>
    <cellStyle name="Normal 2 2 2 3 3" xfId="4440" xr:uid="{00000000-0005-0000-0000-00004C6D0000}"/>
    <cellStyle name="Normal 2 2 2 3 3 2" xfId="24912" xr:uid="{00000000-0005-0000-0000-00004D6D0000}"/>
    <cellStyle name="Normal 2 2 2 3 3 3" xfId="29124" xr:uid="{00000000-0005-0000-0000-00004E6D0000}"/>
    <cellStyle name="Normal 2 2 2 3 3 4" xfId="33340" xr:uid="{00000000-0005-0000-0000-00004F6D0000}"/>
    <cellStyle name="Normal 2 2 2 3 3 5" xfId="37544" xr:uid="{00000000-0005-0000-0000-0000506D0000}"/>
    <cellStyle name="Normal 2 2 2 3 4" xfId="7317" xr:uid="{00000000-0005-0000-0000-0000516D0000}"/>
    <cellStyle name="Normal 2 2 2 3 4 2" xfId="25950" xr:uid="{00000000-0005-0000-0000-0000526D0000}"/>
    <cellStyle name="Normal 2 2 2 3 4 3" xfId="30163" xr:uid="{00000000-0005-0000-0000-0000536D0000}"/>
    <cellStyle name="Normal 2 2 2 3 4 4" xfId="34378" xr:uid="{00000000-0005-0000-0000-0000546D0000}"/>
    <cellStyle name="Normal 2 2 2 3 4 5" xfId="38582" xr:uid="{00000000-0005-0000-0000-0000556D0000}"/>
    <cellStyle name="Normal 2 2 2 3 5" xfId="7435" xr:uid="{00000000-0005-0000-0000-0000566D0000}"/>
    <cellStyle name="Normal 2 2 2 3 5 2" xfId="26068" xr:uid="{00000000-0005-0000-0000-0000576D0000}"/>
    <cellStyle name="Normal 2 2 2 3 5 3" xfId="30281" xr:uid="{00000000-0005-0000-0000-0000586D0000}"/>
    <cellStyle name="Normal 2 2 2 3 5 4" xfId="34496" xr:uid="{00000000-0005-0000-0000-0000596D0000}"/>
    <cellStyle name="Normal 2 2 2 3 5 5" xfId="38700" xr:uid="{00000000-0005-0000-0000-00005A6D0000}"/>
    <cellStyle name="Normal 2 2 2 3 6" xfId="7553" xr:uid="{00000000-0005-0000-0000-00005B6D0000}"/>
    <cellStyle name="Normal 2 2 2 3 6 2" xfId="26186" xr:uid="{00000000-0005-0000-0000-00005C6D0000}"/>
    <cellStyle name="Normal 2 2 2 3 6 3" xfId="30399" xr:uid="{00000000-0005-0000-0000-00005D6D0000}"/>
    <cellStyle name="Normal 2 2 2 3 6 4" xfId="34614" xr:uid="{00000000-0005-0000-0000-00005E6D0000}"/>
    <cellStyle name="Normal 2 2 2 3 6 5" xfId="38818" xr:uid="{00000000-0005-0000-0000-00005F6D0000}"/>
    <cellStyle name="Normal 2 2 2 3 7" xfId="9055" xr:uid="{00000000-0005-0000-0000-0000606D0000}"/>
    <cellStyle name="Normal 2 2 2 3 7 2" xfId="26626" xr:uid="{00000000-0005-0000-0000-0000616D0000}"/>
    <cellStyle name="Normal 2 2 2 3 7 3" xfId="30839" xr:uid="{00000000-0005-0000-0000-0000626D0000}"/>
    <cellStyle name="Normal 2 2 2 3 7 4" xfId="35054" xr:uid="{00000000-0005-0000-0000-0000636D0000}"/>
    <cellStyle name="Normal 2 2 2 3 7 5" xfId="39258" xr:uid="{00000000-0005-0000-0000-0000646D0000}"/>
    <cellStyle name="Normal 2 2 2 3 8" xfId="9177" xr:uid="{00000000-0005-0000-0000-0000656D0000}"/>
    <cellStyle name="Normal 2 2 2 3 8 2" xfId="26748" xr:uid="{00000000-0005-0000-0000-0000666D0000}"/>
    <cellStyle name="Normal 2 2 2 3 8 3" xfId="30961" xr:uid="{00000000-0005-0000-0000-0000676D0000}"/>
    <cellStyle name="Normal 2 2 2 3 8 4" xfId="35176" xr:uid="{00000000-0005-0000-0000-0000686D0000}"/>
    <cellStyle name="Normal 2 2 2 3 8 5" xfId="39380" xr:uid="{00000000-0005-0000-0000-0000696D0000}"/>
    <cellStyle name="Normal 2 2 2 3 9" xfId="9297" xr:uid="{00000000-0005-0000-0000-00006A6D0000}"/>
    <cellStyle name="Normal 2 2 2 3 9 2" xfId="26868" xr:uid="{00000000-0005-0000-0000-00006B6D0000}"/>
    <cellStyle name="Normal 2 2 2 3 9 3" xfId="31081" xr:uid="{00000000-0005-0000-0000-00006C6D0000}"/>
    <cellStyle name="Normal 2 2 2 3 9 4" xfId="35296" xr:uid="{00000000-0005-0000-0000-00006D6D0000}"/>
    <cellStyle name="Normal 2 2 2 3 9 5" xfId="39500" xr:uid="{00000000-0005-0000-0000-00006E6D0000}"/>
    <cellStyle name="Normal 2 2 2 4" xfId="2371" xr:uid="{00000000-0005-0000-0000-00006F6D0000}"/>
    <cellStyle name="Normal 2 2 2 4 10" xfId="9419" xr:uid="{00000000-0005-0000-0000-0000706D0000}"/>
    <cellStyle name="Normal 2 2 2 4 10 2" xfId="26990" xr:uid="{00000000-0005-0000-0000-0000716D0000}"/>
    <cellStyle name="Normal 2 2 2 4 10 3" xfId="31203" xr:uid="{00000000-0005-0000-0000-0000726D0000}"/>
    <cellStyle name="Normal 2 2 2 4 10 4" xfId="35418" xr:uid="{00000000-0005-0000-0000-0000736D0000}"/>
    <cellStyle name="Normal 2 2 2 4 10 5" xfId="39622" xr:uid="{00000000-0005-0000-0000-0000746D0000}"/>
    <cellStyle name="Normal 2 2 2 4 11" xfId="9538" xr:uid="{00000000-0005-0000-0000-0000756D0000}"/>
    <cellStyle name="Normal 2 2 2 4 11 2" xfId="27109" xr:uid="{00000000-0005-0000-0000-0000766D0000}"/>
    <cellStyle name="Normal 2 2 2 4 11 3" xfId="31322" xr:uid="{00000000-0005-0000-0000-0000776D0000}"/>
    <cellStyle name="Normal 2 2 2 4 11 4" xfId="35537" xr:uid="{00000000-0005-0000-0000-0000786D0000}"/>
    <cellStyle name="Normal 2 2 2 4 11 5" xfId="39741" xr:uid="{00000000-0005-0000-0000-0000796D0000}"/>
    <cellStyle name="Normal 2 2 2 4 12" xfId="12241" xr:uid="{00000000-0005-0000-0000-00007A6D0000}"/>
    <cellStyle name="Normal 2 2 2 4 12 2" xfId="28809" xr:uid="{00000000-0005-0000-0000-00007B6D0000}"/>
    <cellStyle name="Normal 2 2 2 4 12 3" xfId="33022" xr:uid="{00000000-0005-0000-0000-00007C6D0000}"/>
    <cellStyle name="Normal 2 2 2 4 12 4" xfId="37237" xr:uid="{00000000-0005-0000-0000-00007D6D0000}"/>
    <cellStyle name="Normal 2 2 2 4 12 5" xfId="43564" xr:uid="{00000000-0005-0000-0000-00007E6D0000}"/>
    <cellStyle name="Normal 2 2 2 4 13" xfId="23450" xr:uid="{00000000-0005-0000-0000-00007F6D0000}"/>
    <cellStyle name="Normal 2 2 2 4 13 2" xfId="28950" xr:uid="{00000000-0005-0000-0000-0000806D0000}"/>
    <cellStyle name="Normal 2 2 2 4 13 3" xfId="33167" xr:uid="{00000000-0005-0000-0000-0000816D0000}"/>
    <cellStyle name="Normal 2 2 2 4 13 4" xfId="37378" xr:uid="{00000000-0005-0000-0000-0000826D0000}"/>
    <cellStyle name="Normal 2 2 2 4 14" xfId="3704" xr:uid="{00000000-0005-0000-0000-0000836D0000}"/>
    <cellStyle name="Normal 2 2 2 4 15" xfId="24861" xr:uid="{00000000-0005-0000-0000-0000846D0000}"/>
    <cellStyle name="Normal 2 2 2 4 16" xfId="29072" xr:uid="{00000000-0005-0000-0000-0000856D0000}"/>
    <cellStyle name="Normal 2 2 2 4 17" xfId="33289" xr:uid="{00000000-0005-0000-0000-0000866D0000}"/>
    <cellStyle name="Normal 2 2 2 4 18" xfId="37493" xr:uid="{00000000-0005-0000-0000-0000876D0000}"/>
    <cellStyle name="Normal 2 2 2 4 2" xfId="3705" xr:uid="{00000000-0005-0000-0000-0000886D0000}"/>
    <cellStyle name="Normal 2 2 2 4 2 2" xfId="4478" xr:uid="{00000000-0005-0000-0000-0000896D0000}"/>
    <cellStyle name="Normal 2 2 2 4 2 2 2" xfId="24949" xr:uid="{00000000-0005-0000-0000-00008A6D0000}"/>
    <cellStyle name="Normal 2 2 2 4 2 2 3" xfId="29161" xr:uid="{00000000-0005-0000-0000-00008B6D0000}"/>
    <cellStyle name="Normal 2 2 2 4 2 2 4" xfId="33377" xr:uid="{00000000-0005-0000-0000-00008C6D0000}"/>
    <cellStyle name="Normal 2 2 2 4 2 2 5" xfId="37581" xr:uid="{00000000-0005-0000-0000-00008D6D0000}"/>
    <cellStyle name="Normal 2 2 2 4 2 3" xfId="12277" xr:uid="{00000000-0005-0000-0000-00008E6D0000}"/>
    <cellStyle name="Normal 2 2 2 4 2 3 2" xfId="28844" xr:uid="{00000000-0005-0000-0000-00008F6D0000}"/>
    <cellStyle name="Normal 2 2 2 4 2 3 3" xfId="33057" xr:uid="{00000000-0005-0000-0000-0000906D0000}"/>
    <cellStyle name="Normal 2 2 2 4 2 3 4" xfId="37272" xr:uid="{00000000-0005-0000-0000-0000916D0000}"/>
    <cellStyle name="Normal 2 2 2 4 2 4" xfId="23486" xr:uid="{00000000-0005-0000-0000-0000926D0000}"/>
    <cellStyle name="Normal 2 2 2 4 2 4 2" xfId="28985" xr:uid="{00000000-0005-0000-0000-0000936D0000}"/>
    <cellStyle name="Normal 2 2 2 4 2 4 3" xfId="33202" xr:uid="{00000000-0005-0000-0000-0000946D0000}"/>
    <cellStyle name="Normal 2 2 2 4 2 4 4" xfId="37413" xr:uid="{00000000-0005-0000-0000-0000956D0000}"/>
    <cellStyle name="Normal 2 2 2 4 2 5" xfId="24862" xr:uid="{00000000-0005-0000-0000-0000966D0000}"/>
    <cellStyle name="Normal 2 2 2 4 2 6" xfId="29073" xr:uid="{00000000-0005-0000-0000-0000976D0000}"/>
    <cellStyle name="Normal 2 2 2 4 2 7" xfId="33290" xr:uid="{00000000-0005-0000-0000-0000986D0000}"/>
    <cellStyle name="Normal 2 2 2 4 2 8" xfId="37494" xr:uid="{00000000-0005-0000-0000-0000996D0000}"/>
    <cellStyle name="Normal 2 2 2 4 3" xfId="4441" xr:uid="{00000000-0005-0000-0000-00009A6D0000}"/>
    <cellStyle name="Normal 2 2 2 4 3 2" xfId="24913" xr:uid="{00000000-0005-0000-0000-00009B6D0000}"/>
    <cellStyle name="Normal 2 2 2 4 3 3" xfId="29125" xr:uid="{00000000-0005-0000-0000-00009C6D0000}"/>
    <cellStyle name="Normal 2 2 2 4 3 4" xfId="33341" xr:uid="{00000000-0005-0000-0000-00009D6D0000}"/>
    <cellStyle name="Normal 2 2 2 4 3 5" xfId="37545" xr:uid="{00000000-0005-0000-0000-00009E6D0000}"/>
    <cellStyle name="Normal 2 2 2 4 4" xfId="7318" xr:uid="{00000000-0005-0000-0000-00009F6D0000}"/>
    <cellStyle name="Normal 2 2 2 4 4 2" xfId="25951" xr:uid="{00000000-0005-0000-0000-0000A06D0000}"/>
    <cellStyle name="Normal 2 2 2 4 4 3" xfId="30164" xr:uid="{00000000-0005-0000-0000-0000A16D0000}"/>
    <cellStyle name="Normal 2 2 2 4 4 4" xfId="34379" xr:uid="{00000000-0005-0000-0000-0000A26D0000}"/>
    <cellStyle name="Normal 2 2 2 4 4 5" xfId="38583" xr:uid="{00000000-0005-0000-0000-0000A36D0000}"/>
    <cellStyle name="Normal 2 2 2 4 5" xfId="7436" xr:uid="{00000000-0005-0000-0000-0000A46D0000}"/>
    <cellStyle name="Normal 2 2 2 4 5 2" xfId="26069" xr:uid="{00000000-0005-0000-0000-0000A56D0000}"/>
    <cellStyle name="Normal 2 2 2 4 5 3" xfId="30282" xr:uid="{00000000-0005-0000-0000-0000A66D0000}"/>
    <cellStyle name="Normal 2 2 2 4 5 4" xfId="34497" xr:uid="{00000000-0005-0000-0000-0000A76D0000}"/>
    <cellStyle name="Normal 2 2 2 4 5 5" xfId="38701" xr:uid="{00000000-0005-0000-0000-0000A86D0000}"/>
    <cellStyle name="Normal 2 2 2 4 6" xfId="7554" xr:uid="{00000000-0005-0000-0000-0000A96D0000}"/>
    <cellStyle name="Normal 2 2 2 4 6 2" xfId="26187" xr:uid="{00000000-0005-0000-0000-0000AA6D0000}"/>
    <cellStyle name="Normal 2 2 2 4 6 3" xfId="30400" xr:uid="{00000000-0005-0000-0000-0000AB6D0000}"/>
    <cellStyle name="Normal 2 2 2 4 6 4" xfId="34615" xr:uid="{00000000-0005-0000-0000-0000AC6D0000}"/>
    <cellStyle name="Normal 2 2 2 4 6 5" xfId="38819" xr:uid="{00000000-0005-0000-0000-0000AD6D0000}"/>
    <cellStyle name="Normal 2 2 2 4 7" xfId="9056" xr:uid="{00000000-0005-0000-0000-0000AE6D0000}"/>
    <cellStyle name="Normal 2 2 2 4 7 2" xfId="26627" xr:uid="{00000000-0005-0000-0000-0000AF6D0000}"/>
    <cellStyle name="Normal 2 2 2 4 7 3" xfId="30840" xr:uid="{00000000-0005-0000-0000-0000B06D0000}"/>
    <cellStyle name="Normal 2 2 2 4 7 4" xfId="35055" xr:uid="{00000000-0005-0000-0000-0000B16D0000}"/>
    <cellStyle name="Normal 2 2 2 4 7 5" xfId="39259" xr:uid="{00000000-0005-0000-0000-0000B26D0000}"/>
    <cellStyle name="Normal 2 2 2 4 8" xfId="9178" xr:uid="{00000000-0005-0000-0000-0000B36D0000}"/>
    <cellStyle name="Normal 2 2 2 4 8 2" xfId="26749" xr:uid="{00000000-0005-0000-0000-0000B46D0000}"/>
    <cellStyle name="Normal 2 2 2 4 8 3" xfId="30962" xr:uid="{00000000-0005-0000-0000-0000B56D0000}"/>
    <cellStyle name="Normal 2 2 2 4 8 4" xfId="35177" xr:uid="{00000000-0005-0000-0000-0000B66D0000}"/>
    <cellStyle name="Normal 2 2 2 4 8 5" xfId="39381" xr:uid="{00000000-0005-0000-0000-0000B76D0000}"/>
    <cellStyle name="Normal 2 2 2 4 9" xfId="9298" xr:uid="{00000000-0005-0000-0000-0000B86D0000}"/>
    <cellStyle name="Normal 2 2 2 4 9 2" xfId="26869" xr:uid="{00000000-0005-0000-0000-0000B96D0000}"/>
    <cellStyle name="Normal 2 2 2 4 9 3" xfId="31082" xr:uid="{00000000-0005-0000-0000-0000BA6D0000}"/>
    <cellStyle name="Normal 2 2 2 4 9 4" xfId="35297" xr:uid="{00000000-0005-0000-0000-0000BB6D0000}"/>
    <cellStyle name="Normal 2 2 2 4 9 5" xfId="39501" xr:uid="{00000000-0005-0000-0000-0000BC6D0000}"/>
    <cellStyle name="Normal 2 2 2 5" xfId="2372" xr:uid="{00000000-0005-0000-0000-0000BD6D0000}"/>
    <cellStyle name="Normal 2 2 2 5 10" xfId="9420" xr:uid="{00000000-0005-0000-0000-0000BE6D0000}"/>
    <cellStyle name="Normal 2 2 2 5 10 2" xfId="26991" xr:uid="{00000000-0005-0000-0000-0000BF6D0000}"/>
    <cellStyle name="Normal 2 2 2 5 10 3" xfId="31204" xr:uid="{00000000-0005-0000-0000-0000C06D0000}"/>
    <cellStyle name="Normal 2 2 2 5 10 4" xfId="35419" xr:uid="{00000000-0005-0000-0000-0000C16D0000}"/>
    <cellStyle name="Normal 2 2 2 5 10 5" xfId="39623" xr:uid="{00000000-0005-0000-0000-0000C26D0000}"/>
    <cellStyle name="Normal 2 2 2 5 11" xfId="9539" xr:uid="{00000000-0005-0000-0000-0000C36D0000}"/>
    <cellStyle name="Normal 2 2 2 5 11 2" xfId="27110" xr:uid="{00000000-0005-0000-0000-0000C46D0000}"/>
    <cellStyle name="Normal 2 2 2 5 11 3" xfId="31323" xr:uid="{00000000-0005-0000-0000-0000C56D0000}"/>
    <cellStyle name="Normal 2 2 2 5 11 4" xfId="35538" xr:uid="{00000000-0005-0000-0000-0000C66D0000}"/>
    <cellStyle name="Normal 2 2 2 5 11 5" xfId="39742" xr:uid="{00000000-0005-0000-0000-0000C76D0000}"/>
    <cellStyle name="Normal 2 2 2 5 12" xfId="12242" xr:uid="{00000000-0005-0000-0000-0000C86D0000}"/>
    <cellStyle name="Normal 2 2 2 5 12 2" xfId="28810" xr:uid="{00000000-0005-0000-0000-0000C96D0000}"/>
    <cellStyle name="Normal 2 2 2 5 12 3" xfId="33023" xr:uid="{00000000-0005-0000-0000-0000CA6D0000}"/>
    <cellStyle name="Normal 2 2 2 5 12 4" xfId="37238" xr:uid="{00000000-0005-0000-0000-0000CB6D0000}"/>
    <cellStyle name="Normal 2 2 2 5 13" xfId="23451" xr:uid="{00000000-0005-0000-0000-0000CC6D0000}"/>
    <cellStyle name="Normal 2 2 2 5 13 2" xfId="28951" xr:uid="{00000000-0005-0000-0000-0000CD6D0000}"/>
    <cellStyle name="Normal 2 2 2 5 13 3" xfId="33168" xr:uid="{00000000-0005-0000-0000-0000CE6D0000}"/>
    <cellStyle name="Normal 2 2 2 5 13 4" xfId="37379" xr:uid="{00000000-0005-0000-0000-0000CF6D0000}"/>
    <cellStyle name="Normal 2 2 2 5 14" xfId="3706" xr:uid="{00000000-0005-0000-0000-0000D06D0000}"/>
    <cellStyle name="Normal 2 2 2 5 15" xfId="24863" xr:uid="{00000000-0005-0000-0000-0000D16D0000}"/>
    <cellStyle name="Normal 2 2 2 5 16" xfId="29074" xr:uid="{00000000-0005-0000-0000-0000D26D0000}"/>
    <cellStyle name="Normal 2 2 2 5 17" xfId="33291" xr:uid="{00000000-0005-0000-0000-0000D36D0000}"/>
    <cellStyle name="Normal 2 2 2 5 18" xfId="37495" xr:uid="{00000000-0005-0000-0000-0000D46D0000}"/>
    <cellStyle name="Normal 2 2 2 5 2" xfId="3707" xr:uid="{00000000-0005-0000-0000-0000D56D0000}"/>
    <cellStyle name="Normal 2 2 2 5 2 2" xfId="4479" xr:uid="{00000000-0005-0000-0000-0000D66D0000}"/>
    <cellStyle name="Normal 2 2 2 5 2 2 2" xfId="24950" xr:uid="{00000000-0005-0000-0000-0000D76D0000}"/>
    <cellStyle name="Normal 2 2 2 5 2 2 3" xfId="29162" xr:uid="{00000000-0005-0000-0000-0000D86D0000}"/>
    <cellStyle name="Normal 2 2 2 5 2 2 4" xfId="33378" xr:uid="{00000000-0005-0000-0000-0000D96D0000}"/>
    <cellStyle name="Normal 2 2 2 5 2 2 5" xfId="37582" xr:uid="{00000000-0005-0000-0000-0000DA6D0000}"/>
    <cellStyle name="Normal 2 2 2 5 2 3" xfId="12278" xr:uid="{00000000-0005-0000-0000-0000DB6D0000}"/>
    <cellStyle name="Normal 2 2 2 5 2 3 2" xfId="28845" xr:uid="{00000000-0005-0000-0000-0000DC6D0000}"/>
    <cellStyle name="Normal 2 2 2 5 2 3 3" xfId="33058" xr:uid="{00000000-0005-0000-0000-0000DD6D0000}"/>
    <cellStyle name="Normal 2 2 2 5 2 3 4" xfId="37273" xr:uid="{00000000-0005-0000-0000-0000DE6D0000}"/>
    <cellStyle name="Normal 2 2 2 5 2 4" xfId="23487" xr:uid="{00000000-0005-0000-0000-0000DF6D0000}"/>
    <cellStyle name="Normal 2 2 2 5 2 4 2" xfId="28986" xr:uid="{00000000-0005-0000-0000-0000E06D0000}"/>
    <cellStyle name="Normal 2 2 2 5 2 4 3" xfId="33203" xr:uid="{00000000-0005-0000-0000-0000E16D0000}"/>
    <cellStyle name="Normal 2 2 2 5 2 4 4" xfId="37414" xr:uid="{00000000-0005-0000-0000-0000E26D0000}"/>
    <cellStyle name="Normal 2 2 2 5 2 5" xfId="24864" xr:uid="{00000000-0005-0000-0000-0000E36D0000}"/>
    <cellStyle name="Normal 2 2 2 5 2 6" xfId="29075" xr:uid="{00000000-0005-0000-0000-0000E46D0000}"/>
    <cellStyle name="Normal 2 2 2 5 2 7" xfId="33292" xr:uid="{00000000-0005-0000-0000-0000E56D0000}"/>
    <cellStyle name="Normal 2 2 2 5 2 8" xfId="37496" xr:uid="{00000000-0005-0000-0000-0000E66D0000}"/>
    <cellStyle name="Normal 2 2 2 5 3" xfId="4442" xr:uid="{00000000-0005-0000-0000-0000E76D0000}"/>
    <cellStyle name="Normal 2 2 2 5 3 2" xfId="24914" xr:uid="{00000000-0005-0000-0000-0000E86D0000}"/>
    <cellStyle name="Normal 2 2 2 5 3 3" xfId="29126" xr:uid="{00000000-0005-0000-0000-0000E96D0000}"/>
    <cellStyle name="Normal 2 2 2 5 3 4" xfId="33342" xr:uid="{00000000-0005-0000-0000-0000EA6D0000}"/>
    <cellStyle name="Normal 2 2 2 5 3 5" xfId="37546" xr:uid="{00000000-0005-0000-0000-0000EB6D0000}"/>
    <cellStyle name="Normal 2 2 2 5 4" xfId="7319" xr:uid="{00000000-0005-0000-0000-0000EC6D0000}"/>
    <cellStyle name="Normal 2 2 2 5 4 2" xfId="25952" xr:uid="{00000000-0005-0000-0000-0000ED6D0000}"/>
    <cellStyle name="Normal 2 2 2 5 4 3" xfId="30165" xr:uid="{00000000-0005-0000-0000-0000EE6D0000}"/>
    <cellStyle name="Normal 2 2 2 5 4 4" xfId="34380" xr:uid="{00000000-0005-0000-0000-0000EF6D0000}"/>
    <cellStyle name="Normal 2 2 2 5 4 5" xfId="38584" xr:uid="{00000000-0005-0000-0000-0000F06D0000}"/>
    <cellStyle name="Normal 2 2 2 5 5" xfId="7437" xr:uid="{00000000-0005-0000-0000-0000F16D0000}"/>
    <cellStyle name="Normal 2 2 2 5 5 2" xfId="26070" xr:uid="{00000000-0005-0000-0000-0000F26D0000}"/>
    <cellStyle name="Normal 2 2 2 5 5 3" xfId="30283" xr:uid="{00000000-0005-0000-0000-0000F36D0000}"/>
    <cellStyle name="Normal 2 2 2 5 5 4" xfId="34498" xr:uid="{00000000-0005-0000-0000-0000F46D0000}"/>
    <cellStyle name="Normal 2 2 2 5 5 5" xfId="38702" xr:uid="{00000000-0005-0000-0000-0000F56D0000}"/>
    <cellStyle name="Normal 2 2 2 5 6" xfId="7555" xr:uid="{00000000-0005-0000-0000-0000F66D0000}"/>
    <cellStyle name="Normal 2 2 2 5 6 2" xfId="26188" xr:uid="{00000000-0005-0000-0000-0000F76D0000}"/>
    <cellStyle name="Normal 2 2 2 5 6 3" xfId="30401" xr:uid="{00000000-0005-0000-0000-0000F86D0000}"/>
    <cellStyle name="Normal 2 2 2 5 6 4" xfId="34616" xr:uid="{00000000-0005-0000-0000-0000F96D0000}"/>
    <cellStyle name="Normal 2 2 2 5 6 5" xfId="38820" xr:uid="{00000000-0005-0000-0000-0000FA6D0000}"/>
    <cellStyle name="Normal 2 2 2 5 7" xfId="9057" xr:uid="{00000000-0005-0000-0000-0000FB6D0000}"/>
    <cellStyle name="Normal 2 2 2 5 7 2" xfId="26628" xr:uid="{00000000-0005-0000-0000-0000FC6D0000}"/>
    <cellStyle name="Normal 2 2 2 5 7 3" xfId="30841" xr:uid="{00000000-0005-0000-0000-0000FD6D0000}"/>
    <cellStyle name="Normal 2 2 2 5 7 4" xfId="35056" xr:uid="{00000000-0005-0000-0000-0000FE6D0000}"/>
    <cellStyle name="Normal 2 2 2 5 7 5" xfId="39260" xr:uid="{00000000-0005-0000-0000-0000FF6D0000}"/>
    <cellStyle name="Normal 2 2 2 5 8" xfId="9179" xr:uid="{00000000-0005-0000-0000-0000006E0000}"/>
    <cellStyle name="Normal 2 2 2 5 8 2" xfId="26750" xr:uid="{00000000-0005-0000-0000-0000016E0000}"/>
    <cellStyle name="Normal 2 2 2 5 8 3" xfId="30963" xr:uid="{00000000-0005-0000-0000-0000026E0000}"/>
    <cellStyle name="Normal 2 2 2 5 8 4" xfId="35178" xr:uid="{00000000-0005-0000-0000-0000036E0000}"/>
    <cellStyle name="Normal 2 2 2 5 8 5" xfId="39382" xr:uid="{00000000-0005-0000-0000-0000046E0000}"/>
    <cellStyle name="Normal 2 2 2 5 9" xfId="9299" xr:uid="{00000000-0005-0000-0000-0000056E0000}"/>
    <cellStyle name="Normal 2 2 2 5 9 2" xfId="26870" xr:uid="{00000000-0005-0000-0000-0000066E0000}"/>
    <cellStyle name="Normal 2 2 2 5 9 3" xfId="31083" xr:uid="{00000000-0005-0000-0000-0000076E0000}"/>
    <cellStyle name="Normal 2 2 2 5 9 4" xfId="35298" xr:uid="{00000000-0005-0000-0000-0000086E0000}"/>
    <cellStyle name="Normal 2 2 2 5 9 5" xfId="39502" xr:uid="{00000000-0005-0000-0000-0000096E0000}"/>
    <cellStyle name="Normal 2 2 2 6" xfId="2373" xr:uid="{00000000-0005-0000-0000-00000A6E0000}"/>
    <cellStyle name="Normal 2 2 2 6 10" xfId="9421" xr:uid="{00000000-0005-0000-0000-00000B6E0000}"/>
    <cellStyle name="Normal 2 2 2 6 10 2" xfId="26992" xr:uid="{00000000-0005-0000-0000-00000C6E0000}"/>
    <cellStyle name="Normal 2 2 2 6 10 3" xfId="31205" xr:uid="{00000000-0005-0000-0000-00000D6E0000}"/>
    <cellStyle name="Normal 2 2 2 6 10 4" xfId="35420" xr:uid="{00000000-0005-0000-0000-00000E6E0000}"/>
    <cellStyle name="Normal 2 2 2 6 10 5" xfId="39624" xr:uid="{00000000-0005-0000-0000-00000F6E0000}"/>
    <cellStyle name="Normal 2 2 2 6 11" xfId="9540" xr:uid="{00000000-0005-0000-0000-0000106E0000}"/>
    <cellStyle name="Normal 2 2 2 6 11 2" xfId="27111" xr:uid="{00000000-0005-0000-0000-0000116E0000}"/>
    <cellStyle name="Normal 2 2 2 6 11 3" xfId="31324" xr:uid="{00000000-0005-0000-0000-0000126E0000}"/>
    <cellStyle name="Normal 2 2 2 6 11 4" xfId="35539" xr:uid="{00000000-0005-0000-0000-0000136E0000}"/>
    <cellStyle name="Normal 2 2 2 6 11 5" xfId="39743" xr:uid="{00000000-0005-0000-0000-0000146E0000}"/>
    <cellStyle name="Normal 2 2 2 6 12" xfId="12243" xr:uid="{00000000-0005-0000-0000-0000156E0000}"/>
    <cellStyle name="Normal 2 2 2 6 12 2" xfId="28811" xr:uid="{00000000-0005-0000-0000-0000166E0000}"/>
    <cellStyle name="Normal 2 2 2 6 12 3" xfId="33024" xr:uid="{00000000-0005-0000-0000-0000176E0000}"/>
    <cellStyle name="Normal 2 2 2 6 12 4" xfId="37239" xr:uid="{00000000-0005-0000-0000-0000186E0000}"/>
    <cellStyle name="Normal 2 2 2 6 13" xfId="23452" xr:uid="{00000000-0005-0000-0000-0000196E0000}"/>
    <cellStyle name="Normal 2 2 2 6 13 2" xfId="28952" xr:uid="{00000000-0005-0000-0000-00001A6E0000}"/>
    <cellStyle name="Normal 2 2 2 6 13 3" xfId="33169" xr:uid="{00000000-0005-0000-0000-00001B6E0000}"/>
    <cellStyle name="Normal 2 2 2 6 13 4" xfId="37380" xr:uid="{00000000-0005-0000-0000-00001C6E0000}"/>
    <cellStyle name="Normal 2 2 2 6 14" xfId="3708" xr:uid="{00000000-0005-0000-0000-00001D6E0000}"/>
    <cellStyle name="Normal 2 2 2 6 15" xfId="24865" xr:uid="{00000000-0005-0000-0000-00001E6E0000}"/>
    <cellStyle name="Normal 2 2 2 6 16" xfId="29076" xr:uid="{00000000-0005-0000-0000-00001F6E0000}"/>
    <cellStyle name="Normal 2 2 2 6 17" xfId="33293" xr:uid="{00000000-0005-0000-0000-0000206E0000}"/>
    <cellStyle name="Normal 2 2 2 6 18" xfId="37497" xr:uid="{00000000-0005-0000-0000-0000216E0000}"/>
    <cellStyle name="Normal 2 2 2 6 2" xfId="3709" xr:uid="{00000000-0005-0000-0000-0000226E0000}"/>
    <cellStyle name="Normal 2 2 2 6 2 2" xfId="4480" xr:uid="{00000000-0005-0000-0000-0000236E0000}"/>
    <cellStyle name="Normal 2 2 2 6 2 2 2" xfId="24951" xr:uid="{00000000-0005-0000-0000-0000246E0000}"/>
    <cellStyle name="Normal 2 2 2 6 2 2 3" xfId="29163" xr:uid="{00000000-0005-0000-0000-0000256E0000}"/>
    <cellStyle name="Normal 2 2 2 6 2 2 4" xfId="33379" xr:uid="{00000000-0005-0000-0000-0000266E0000}"/>
    <cellStyle name="Normal 2 2 2 6 2 2 5" xfId="37583" xr:uid="{00000000-0005-0000-0000-0000276E0000}"/>
    <cellStyle name="Normal 2 2 2 6 2 3" xfId="12279" xr:uid="{00000000-0005-0000-0000-0000286E0000}"/>
    <cellStyle name="Normal 2 2 2 6 2 3 2" xfId="28846" xr:uid="{00000000-0005-0000-0000-0000296E0000}"/>
    <cellStyle name="Normal 2 2 2 6 2 3 3" xfId="33059" xr:uid="{00000000-0005-0000-0000-00002A6E0000}"/>
    <cellStyle name="Normal 2 2 2 6 2 3 4" xfId="37274" xr:uid="{00000000-0005-0000-0000-00002B6E0000}"/>
    <cellStyle name="Normal 2 2 2 6 2 4" xfId="23488" xr:uid="{00000000-0005-0000-0000-00002C6E0000}"/>
    <cellStyle name="Normal 2 2 2 6 2 4 2" xfId="28987" xr:uid="{00000000-0005-0000-0000-00002D6E0000}"/>
    <cellStyle name="Normal 2 2 2 6 2 4 3" xfId="33204" xr:uid="{00000000-0005-0000-0000-00002E6E0000}"/>
    <cellStyle name="Normal 2 2 2 6 2 4 4" xfId="37415" xr:uid="{00000000-0005-0000-0000-00002F6E0000}"/>
    <cellStyle name="Normal 2 2 2 6 2 5" xfId="24866" xr:uid="{00000000-0005-0000-0000-0000306E0000}"/>
    <cellStyle name="Normal 2 2 2 6 2 6" xfId="29077" xr:uid="{00000000-0005-0000-0000-0000316E0000}"/>
    <cellStyle name="Normal 2 2 2 6 2 7" xfId="33294" xr:uid="{00000000-0005-0000-0000-0000326E0000}"/>
    <cellStyle name="Normal 2 2 2 6 2 8" xfId="37498" xr:uid="{00000000-0005-0000-0000-0000336E0000}"/>
    <cellStyle name="Normal 2 2 2 6 3" xfId="4443" xr:uid="{00000000-0005-0000-0000-0000346E0000}"/>
    <cellStyle name="Normal 2 2 2 6 3 2" xfId="24915" xr:uid="{00000000-0005-0000-0000-0000356E0000}"/>
    <cellStyle name="Normal 2 2 2 6 3 3" xfId="29127" xr:uid="{00000000-0005-0000-0000-0000366E0000}"/>
    <cellStyle name="Normal 2 2 2 6 3 4" xfId="33343" xr:uid="{00000000-0005-0000-0000-0000376E0000}"/>
    <cellStyle name="Normal 2 2 2 6 3 5" xfId="37547" xr:uid="{00000000-0005-0000-0000-0000386E0000}"/>
    <cellStyle name="Normal 2 2 2 6 4" xfId="7320" xr:uid="{00000000-0005-0000-0000-0000396E0000}"/>
    <cellStyle name="Normal 2 2 2 6 4 2" xfId="25953" xr:uid="{00000000-0005-0000-0000-00003A6E0000}"/>
    <cellStyle name="Normal 2 2 2 6 4 3" xfId="30166" xr:uid="{00000000-0005-0000-0000-00003B6E0000}"/>
    <cellStyle name="Normal 2 2 2 6 4 4" xfId="34381" xr:uid="{00000000-0005-0000-0000-00003C6E0000}"/>
    <cellStyle name="Normal 2 2 2 6 4 5" xfId="38585" xr:uid="{00000000-0005-0000-0000-00003D6E0000}"/>
    <cellStyle name="Normal 2 2 2 6 5" xfId="7438" xr:uid="{00000000-0005-0000-0000-00003E6E0000}"/>
    <cellStyle name="Normal 2 2 2 6 5 2" xfId="26071" xr:uid="{00000000-0005-0000-0000-00003F6E0000}"/>
    <cellStyle name="Normal 2 2 2 6 5 3" xfId="30284" xr:uid="{00000000-0005-0000-0000-0000406E0000}"/>
    <cellStyle name="Normal 2 2 2 6 5 4" xfId="34499" xr:uid="{00000000-0005-0000-0000-0000416E0000}"/>
    <cellStyle name="Normal 2 2 2 6 5 5" xfId="38703" xr:uid="{00000000-0005-0000-0000-0000426E0000}"/>
    <cellStyle name="Normal 2 2 2 6 6" xfId="7556" xr:uid="{00000000-0005-0000-0000-0000436E0000}"/>
    <cellStyle name="Normal 2 2 2 6 6 2" xfId="26189" xr:uid="{00000000-0005-0000-0000-0000446E0000}"/>
    <cellStyle name="Normal 2 2 2 6 6 3" xfId="30402" xr:uid="{00000000-0005-0000-0000-0000456E0000}"/>
    <cellStyle name="Normal 2 2 2 6 6 4" xfId="34617" xr:uid="{00000000-0005-0000-0000-0000466E0000}"/>
    <cellStyle name="Normal 2 2 2 6 6 5" xfId="38821" xr:uid="{00000000-0005-0000-0000-0000476E0000}"/>
    <cellStyle name="Normal 2 2 2 6 7" xfId="9058" xr:uid="{00000000-0005-0000-0000-0000486E0000}"/>
    <cellStyle name="Normal 2 2 2 6 7 2" xfId="26629" xr:uid="{00000000-0005-0000-0000-0000496E0000}"/>
    <cellStyle name="Normal 2 2 2 6 7 3" xfId="30842" xr:uid="{00000000-0005-0000-0000-00004A6E0000}"/>
    <cellStyle name="Normal 2 2 2 6 7 4" xfId="35057" xr:uid="{00000000-0005-0000-0000-00004B6E0000}"/>
    <cellStyle name="Normal 2 2 2 6 7 5" xfId="39261" xr:uid="{00000000-0005-0000-0000-00004C6E0000}"/>
    <cellStyle name="Normal 2 2 2 6 8" xfId="9180" xr:uid="{00000000-0005-0000-0000-00004D6E0000}"/>
    <cellStyle name="Normal 2 2 2 6 8 2" xfId="26751" xr:uid="{00000000-0005-0000-0000-00004E6E0000}"/>
    <cellStyle name="Normal 2 2 2 6 8 3" xfId="30964" xr:uid="{00000000-0005-0000-0000-00004F6E0000}"/>
    <cellStyle name="Normal 2 2 2 6 8 4" xfId="35179" xr:uid="{00000000-0005-0000-0000-0000506E0000}"/>
    <cellStyle name="Normal 2 2 2 6 8 5" xfId="39383" xr:uid="{00000000-0005-0000-0000-0000516E0000}"/>
    <cellStyle name="Normal 2 2 2 6 9" xfId="9300" xr:uid="{00000000-0005-0000-0000-0000526E0000}"/>
    <cellStyle name="Normal 2 2 2 6 9 2" xfId="26871" xr:uid="{00000000-0005-0000-0000-0000536E0000}"/>
    <cellStyle name="Normal 2 2 2 6 9 3" xfId="31084" xr:uid="{00000000-0005-0000-0000-0000546E0000}"/>
    <cellStyle name="Normal 2 2 2 6 9 4" xfId="35299" xr:uid="{00000000-0005-0000-0000-0000556E0000}"/>
    <cellStyle name="Normal 2 2 2 6 9 5" xfId="39503" xr:uid="{00000000-0005-0000-0000-0000566E0000}"/>
    <cellStyle name="Normal 2 2 2 7" xfId="2374" xr:uid="{00000000-0005-0000-0000-0000576E0000}"/>
    <cellStyle name="Normal 2 2 2 7 10" xfId="37499" xr:uid="{00000000-0005-0000-0000-0000586E0000}"/>
    <cellStyle name="Normal 2 2 2 7 2" xfId="3711" xr:uid="{00000000-0005-0000-0000-0000596E0000}"/>
    <cellStyle name="Normal 2 2 2 7 2 2" xfId="4481" xr:uid="{00000000-0005-0000-0000-00005A6E0000}"/>
    <cellStyle name="Normal 2 2 2 7 2 2 2" xfId="24952" xr:uid="{00000000-0005-0000-0000-00005B6E0000}"/>
    <cellStyle name="Normal 2 2 2 7 2 2 3" xfId="29164" xr:uid="{00000000-0005-0000-0000-00005C6E0000}"/>
    <cellStyle name="Normal 2 2 2 7 2 2 4" xfId="33380" xr:uid="{00000000-0005-0000-0000-00005D6E0000}"/>
    <cellStyle name="Normal 2 2 2 7 2 2 5" xfId="37584" xr:uid="{00000000-0005-0000-0000-00005E6E0000}"/>
    <cellStyle name="Normal 2 2 2 7 2 3" xfId="12280" xr:uid="{00000000-0005-0000-0000-00005F6E0000}"/>
    <cellStyle name="Normal 2 2 2 7 2 3 2" xfId="28847" xr:uid="{00000000-0005-0000-0000-0000606E0000}"/>
    <cellStyle name="Normal 2 2 2 7 2 3 3" xfId="33060" xr:uid="{00000000-0005-0000-0000-0000616E0000}"/>
    <cellStyle name="Normal 2 2 2 7 2 3 4" xfId="37275" xr:uid="{00000000-0005-0000-0000-0000626E0000}"/>
    <cellStyle name="Normal 2 2 2 7 2 4" xfId="23489" xr:uid="{00000000-0005-0000-0000-0000636E0000}"/>
    <cellStyle name="Normal 2 2 2 7 2 4 2" xfId="28988" xr:uid="{00000000-0005-0000-0000-0000646E0000}"/>
    <cellStyle name="Normal 2 2 2 7 2 4 3" xfId="33205" xr:uid="{00000000-0005-0000-0000-0000656E0000}"/>
    <cellStyle name="Normal 2 2 2 7 2 4 4" xfId="37416" xr:uid="{00000000-0005-0000-0000-0000666E0000}"/>
    <cellStyle name="Normal 2 2 2 7 2 5" xfId="24868" xr:uid="{00000000-0005-0000-0000-0000676E0000}"/>
    <cellStyle name="Normal 2 2 2 7 2 6" xfId="29079" xr:uid="{00000000-0005-0000-0000-0000686E0000}"/>
    <cellStyle name="Normal 2 2 2 7 2 7" xfId="33296" xr:uid="{00000000-0005-0000-0000-0000696E0000}"/>
    <cellStyle name="Normal 2 2 2 7 2 8" xfId="37500" xr:uid="{00000000-0005-0000-0000-00006A6E0000}"/>
    <cellStyle name="Normal 2 2 2 7 3" xfId="4444" xr:uid="{00000000-0005-0000-0000-00006B6E0000}"/>
    <cellStyle name="Normal 2 2 2 7 3 2" xfId="24916" xr:uid="{00000000-0005-0000-0000-00006C6E0000}"/>
    <cellStyle name="Normal 2 2 2 7 3 3" xfId="29128" xr:uid="{00000000-0005-0000-0000-00006D6E0000}"/>
    <cellStyle name="Normal 2 2 2 7 3 4" xfId="33344" xr:uid="{00000000-0005-0000-0000-00006E6E0000}"/>
    <cellStyle name="Normal 2 2 2 7 3 5" xfId="37548" xr:uid="{00000000-0005-0000-0000-00006F6E0000}"/>
    <cellStyle name="Normal 2 2 2 7 4" xfId="12244" xr:uid="{00000000-0005-0000-0000-0000706E0000}"/>
    <cellStyle name="Normal 2 2 2 7 4 2" xfId="28812" xr:uid="{00000000-0005-0000-0000-0000716E0000}"/>
    <cellStyle name="Normal 2 2 2 7 4 3" xfId="33025" xr:uid="{00000000-0005-0000-0000-0000726E0000}"/>
    <cellStyle name="Normal 2 2 2 7 4 4" xfId="37240" xr:uid="{00000000-0005-0000-0000-0000736E0000}"/>
    <cellStyle name="Normal 2 2 2 7 5" xfId="23453" xr:uid="{00000000-0005-0000-0000-0000746E0000}"/>
    <cellStyle name="Normal 2 2 2 7 5 2" xfId="28953" xr:uid="{00000000-0005-0000-0000-0000756E0000}"/>
    <cellStyle name="Normal 2 2 2 7 5 3" xfId="33170" xr:uid="{00000000-0005-0000-0000-0000766E0000}"/>
    <cellStyle name="Normal 2 2 2 7 5 4" xfId="37381" xr:uid="{00000000-0005-0000-0000-0000776E0000}"/>
    <cellStyle name="Normal 2 2 2 7 6" xfId="3710" xr:uid="{00000000-0005-0000-0000-0000786E0000}"/>
    <cellStyle name="Normal 2 2 2 7 7" xfId="24867" xr:uid="{00000000-0005-0000-0000-0000796E0000}"/>
    <cellStyle name="Normal 2 2 2 7 8" xfId="29078" xr:uid="{00000000-0005-0000-0000-00007A6E0000}"/>
    <cellStyle name="Normal 2 2 2 7 9" xfId="33295" xr:uid="{00000000-0005-0000-0000-00007B6E0000}"/>
    <cellStyle name="Normal 2 2 2 8" xfId="2375" xr:uid="{00000000-0005-0000-0000-00007C6E0000}"/>
    <cellStyle name="Normal 2 2 2 8 10" xfId="37501" xr:uid="{00000000-0005-0000-0000-00007D6E0000}"/>
    <cellStyle name="Normal 2 2 2 8 2" xfId="3713" xr:uid="{00000000-0005-0000-0000-00007E6E0000}"/>
    <cellStyle name="Normal 2 2 2 8 2 2" xfId="4482" xr:uid="{00000000-0005-0000-0000-00007F6E0000}"/>
    <cellStyle name="Normal 2 2 2 8 2 2 2" xfId="24953" xr:uid="{00000000-0005-0000-0000-0000806E0000}"/>
    <cellStyle name="Normal 2 2 2 8 2 2 3" xfId="29165" xr:uid="{00000000-0005-0000-0000-0000816E0000}"/>
    <cellStyle name="Normal 2 2 2 8 2 2 4" xfId="33381" xr:uid="{00000000-0005-0000-0000-0000826E0000}"/>
    <cellStyle name="Normal 2 2 2 8 2 2 5" xfId="37585" xr:uid="{00000000-0005-0000-0000-0000836E0000}"/>
    <cellStyle name="Normal 2 2 2 8 2 3" xfId="12281" xr:uid="{00000000-0005-0000-0000-0000846E0000}"/>
    <cellStyle name="Normal 2 2 2 8 2 3 2" xfId="28848" xr:uid="{00000000-0005-0000-0000-0000856E0000}"/>
    <cellStyle name="Normal 2 2 2 8 2 3 3" xfId="33061" xr:uid="{00000000-0005-0000-0000-0000866E0000}"/>
    <cellStyle name="Normal 2 2 2 8 2 3 4" xfId="37276" xr:uid="{00000000-0005-0000-0000-0000876E0000}"/>
    <cellStyle name="Normal 2 2 2 8 2 4" xfId="23490" xr:uid="{00000000-0005-0000-0000-0000886E0000}"/>
    <cellStyle name="Normal 2 2 2 8 2 4 2" xfId="28989" xr:uid="{00000000-0005-0000-0000-0000896E0000}"/>
    <cellStyle name="Normal 2 2 2 8 2 4 3" xfId="33206" xr:uid="{00000000-0005-0000-0000-00008A6E0000}"/>
    <cellStyle name="Normal 2 2 2 8 2 4 4" xfId="37417" xr:uid="{00000000-0005-0000-0000-00008B6E0000}"/>
    <cellStyle name="Normal 2 2 2 8 2 5" xfId="24870" xr:uid="{00000000-0005-0000-0000-00008C6E0000}"/>
    <cellStyle name="Normal 2 2 2 8 2 6" xfId="29081" xr:uid="{00000000-0005-0000-0000-00008D6E0000}"/>
    <cellStyle name="Normal 2 2 2 8 2 7" xfId="33298" xr:uid="{00000000-0005-0000-0000-00008E6E0000}"/>
    <cellStyle name="Normal 2 2 2 8 2 8" xfId="37502" xr:uid="{00000000-0005-0000-0000-00008F6E0000}"/>
    <cellStyle name="Normal 2 2 2 8 3" xfId="4445" xr:uid="{00000000-0005-0000-0000-0000906E0000}"/>
    <cellStyle name="Normal 2 2 2 8 3 2" xfId="24917" xr:uid="{00000000-0005-0000-0000-0000916E0000}"/>
    <cellStyle name="Normal 2 2 2 8 3 3" xfId="29129" xr:uid="{00000000-0005-0000-0000-0000926E0000}"/>
    <cellStyle name="Normal 2 2 2 8 3 4" xfId="33345" xr:uid="{00000000-0005-0000-0000-0000936E0000}"/>
    <cellStyle name="Normal 2 2 2 8 3 5" xfId="37549" xr:uid="{00000000-0005-0000-0000-0000946E0000}"/>
    <cellStyle name="Normal 2 2 2 8 4" xfId="12245" xr:uid="{00000000-0005-0000-0000-0000956E0000}"/>
    <cellStyle name="Normal 2 2 2 8 4 2" xfId="28813" xr:uid="{00000000-0005-0000-0000-0000966E0000}"/>
    <cellStyle name="Normal 2 2 2 8 4 3" xfId="33026" xr:uid="{00000000-0005-0000-0000-0000976E0000}"/>
    <cellStyle name="Normal 2 2 2 8 4 4" xfId="37241" xr:uid="{00000000-0005-0000-0000-0000986E0000}"/>
    <cellStyle name="Normal 2 2 2 8 5" xfId="23454" xr:uid="{00000000-0005-0000-0000-0000996E0000}"/>
    <cellStyle name="Normal 2 2 2 8 5 2" xfId="28954" xr:uid="{00000000-0005-0000-0000-00009A6E0000}"/>
    <cellStyle name="Normal 2 2 2 8 5 3" xfId="33171" xr:uid="{00000000-0005-0000-0000-00009B6E0000}"/>
    <cellStyle name="Normal 2 2 2 8 5 4" xfId="37382" xr:uid="{00000000-0005-0000-0000-00009C6E0000}"/>
    <cellStyle name="Normal 2 2 2 8 6" xfId="3712" xr:uid="{00000000-0005-0000-0000-00009D6E0000}"/>
    <cellStyle name="Normal 2 2 2 8 7" xfId="24869" xr:uid="{00000000-0005-0000-0000-00009E6E0000}"/>
    <cellStyle name="Normal 2 2 2 8 8" xfId="29080" xr:uid="{00000000-0005-0000-0000-00009F6E0000}"/>
    <cellStyle name="Normal 2 2 2 8 9" xfId="33297" xr:uid="{00000000-0005-0000-0000-0000A06E0000}"/>
    <cellStyle name="Normal 2 2 2 9" xfId="8281" xr:uid="{00000000-0005-0000-0000-0000A16E0000}"/>
    <cellStyle name="Normal 2 2 2 9 2" xfId="9609" xr:uid="{00000000-0005-0000-0000-0000A26E0000}"/>
    <cellStyle name="Normal 2 2 2 9 3" xfId="26437" xr:uid="{00000000-0005-0000-0000-0000A36E0000}"/>
    <cellStyle name="Normal 2 2 2 9 4" xfId="30650" xr:uid="{00000000-0005-0000-0000-0000A46E0000}"/>
    <cellStyle name="Normal 2 2 2 9 5" xfId="34865" xr:uid="{00000000-0005-0000-0000-0000A56E0000}"/>
    <cellStyle name="Normal 2 2 2 9 6" xfId="39069" xr:uid="{00000000-0005-0000-0000-0000A66E0000}"/>
    <cellStyle name="Normal 2 2 20" xfId="9217" xr:uid="{00000000-0005-0000-0000-0000A76E0000}"/>
    <cellStyle name="Normal 2 2 20 2" xfId="26788" xr:uid="{00000000-0005-0000-0000-0000A86E0000}"/>
    <cellStyle name="Normal 2 2 20 3" xfId="31001" xr:uid="{00000000-0005-0000-0000-0000A96E0000}"/>
    <cellStyle name="Normal 2 2 20 4" xfId="35216" xr:uid="{00000000-0005-0000-0000-0000AA6E0000}"/>
    <cellStyle name="Normal 2 2 20 5" xfId="39420" xr:uid="{00000000-0005-0000-0000-0000AB6E0000}"/>
    <cellStyle name="Normal 2 2 21" xfId="9338" xr:uid="{00000000-0005-0000-0000-0000AC6E0000}"/>
    <cellStyle name="Normal 2 2 21 2" xfId="26909" xr:uid="{00000000-0005-0000-0000-0000AD6E0000}"/>
    <cellStyle name="Normal 2 2 21 3" xfId="31122" xr:uid="{00000000-0005-0000-0000-0000AE6E0000}"/>
    <cellStyle name="Normal 2 2 21 4" xfId="35337" xr:uid="{00000000-0005-0000-0000-0000AF6E0000}"/>
    <cellStyle name="Normal 2 2 21 5" xfId="39541" xr:uid="{00000000-0005-0000-0000-0000B06E0000}"/>
    <cellStyle name="Normal 2 2 22" xfId="9457" xr:uid="{00000000-0005-0000-0000-0000B16E0000}"/>
    <cellStyle name="Normal 2 2 22 2" xfId="27028" xr:uid="{00000000-0005-0000-0000-0000B26E0000}"/>
    <cellStyle name="Normal 2 2 22 3" xfId="31241" xr:uid="{00000000-0005-0000-0000-0000B36E0000}"/>
    <cellStyle name="Normal 2 2 22 4" xfId="35456" xr:uid="{00000000-0005-0000-0000-0000B46E0000}"/>
    <cellStyle name="Normal 2 2 22 5" xfId="39660" xr:uid="{00000000-0005-0000-0000-0000B56E0000}"/>
    <cellStyle name="Normal 2 2 23" xfId="9549" xr:uid="{00000000-0005-0000-0000-0000B66E0000}"/>
    <cellStyle name="Normal 2 2 23 2" xfId="27120" xr:uid="{00000000-0005-0000-0000-0000B76E0000}"/>
    <cellStyle name="Normal 2 2 23 3" xfId="31333" xr:uid="{00000000-0005-0000-0000-0000B86E0000}"/>
    <cellStyle name="Normal 2 2 23 4" xfId="35548" xr:uid="{00000000-0005-0000-0000-0000B96E0000}"/>
    <cellStyle name="Normal 2 2 23 5" xfId="39752" xr:uid="{00000000-0005-0000-0000-0000BA6E0000}"/>
    <cellStyle name="Normal 2 2 24" xfId="3091" xr:uid="{00000000-0005-0000-0000-0000BB6E0000}"/>
    <cellStyle name="Normal 2 2 25" xfId="3066" xr:uid="{00000000-0005-0000-0000-0000BC6E0000}"/>
    <cellStyle name="Normal 2 2 26" xfId="24823" xr:uid="{00000000-0005-0000-0000-0000BD6E0000}"/>
    <cellStyle name="Normal 2 2 27" xfId="29034" xr:uid="{00000000-0005-0000-0000-0000BE6E0000}"/>
    <cellStyle name="Normal 2 2 28" xfId="33251" xr:uid="{00000000-0005-0000-0000-0000BF6E0000}"/>
    <cellStyle name="Normal 2 2 3" xfId="2376" xr:uid="{00000000-0005-0000-0000-0000C06E0000}"/>
    <cellStyle name="Normal 2 2 3 2" xfId="6209" xr:uid="{00000000-0005-0000-0000-0000C16E0000}"/>
    <cellStyle name="Normal 2 2 3 2 2" xfId="43567" xr:uid="{00000000-0005-0000-0000-0000C26E0000}"/>
    <cellStyle name="Normal 2 2 3 3" xfId="8282" xr:uid="{00000000-0005-0000-0000-0000C36E0000}"/>
    <cellStyle name="Normal 2 2 3 3 2" xfId="26438" xr:uid="{00000000-0005-0000-0000-0000C46E0000}"/>
    <cellStyle name="Normal 2 2 3 3 2 2" xfId="43566" xr:uid="{00000000-0005-0000-0000-0000C56E0000}"/>
    <cellStyle name="Normal 2 2 3 3 3" xfId="30651" xr:uid="{00000000-0005-0000-0000-0000C66E0000}"/>
    <cellStyle name="Normal 2 2 3 3 4" xfId="34866" xr:uid="{00000000-0005-0000-0000-0000C76E0000}"/>
    <cellStyle name="Normal 2 2 3 3 5" xfId="39070" xr:uid="{00000000-0005-0000-0000-0000C86E0000}"/>
    <cellStyle name="Normal 2 2 3 4" xfId="3714" xr:uid="{00000000-0005-0000-0000-0000C96E0000}"/>
    <cellStyle name="Normal 2 2 4" xfId="2377" xr:uid="{00000000-0005-0000-0000-0000CA6E0000}"/>
    <cellStyle name="Normal 2 2 4 2" xfId="8283" xr:uid="{00000000-0005-0000-0000-0000CB6E0000}"/>
    <cellStyle name="Normal 2 2 4 2 2" xfId="26439" xr:uid="{00000000-0005-0000-0000-0000CC6E0000}"/>
    <cellStyle name="Normal 2 2 4 2 3" xfId="30652" xr:uid="{00000000-0005-0000-0000-0000CD6E0000}"/>
    <cellStyle name="Normal 2 2 4 2 4" xfId="34867" xr:uid="{00000000-0005-0000-0000-0000CE6E0000}"/>
    <cellStyle name="Normal 2 2 4 2 5" xfId="39071" xr:uid="{00000000-0005-0000-0000-0000CF6E0000}"/>
    <cellStyle name="Normal 2 2 4 3" xfId="3715" xr:uid="{00000000-0005-0000-0000-0000D06E0000}"/>
    <cellStyle name="Normal 2 2 4 3 2" xfId="43568" xr:uid="{00000000-0005-0000-0000-0000D16E0000}"/>
    <cellStyle name="Normal 2 2 5" xfId="2378" xr:uid="{00000000-0005-0000-0000-0000D26E0000}"/>
    <cellStyle name="Normal 2 2 5 2" xfId="8284" xr:uid="{00000000-0005-0000-0000-0000D36E0000}"/>
    <cellStyle name="Normal 2 2 5 2 2" xfId="26440" xr:uid="{00000000-0005-0000-0000-0000D46E0000}"/>
    <cellStyle name="Normal 2 2 5 2 3" xfId="30653" xr:uid="{00000000-0005-0000-0000-0000D56E0000}"/>
    <cellStyle name="Normal 2 2 5 2 4" xfId="34868" xr:uid="{00000000-0005-0000-0000-0000D66E0000}"/>
    <cellStyle name="Normal 2 2 5 2 5" xfId="39072" xr:uid="{00000000-0005-0000-0000-0000D76E0000}"/>
    <cellStyle name="Normal 2 2 5 3" xfId="3716" xr:uid="{00000000-0005-0000-0000-0000D86E0000}"/>
    <cellStyle name="Normal 2 2 6" xfId="2379" xr:uid="{00000000-0005-0000-0000-0000D96E0000}"/>
    <cellStyle name="Normal 2 2 6 2" xfId="8285" xr:uid="{00000000-0005-0000-0000-0000DA6E0000}"/>
    <cellStyle name="Normal 2 2 6 2 2" xfId="26441" xr:uid="{00000000-0005-0000-0000-0000DB6E0000}"/>
    <cellStyle name="Normal 2 2 6 2 3" xfId="30654" xr:uid="{00000000-0005-0000-0000-0000DC6E0000}"/>
    <cellStyle name="Normal 2 2 6 2 4" xfId="34869" xr:uid="{00000000-0005-0000-0000-0000DD6E0000}"/>
    <cellStyle name="Normal 2 2 6 2 5" xfId="39073" xr:uid="{00000000-0005-0000-0000-0000DE6E0000}"/>
    <cellStyle name="Normal 2 2 6 3" xfId="3717" xr:uid="{00000000-0005-0000-0000-0000DF6E0000}"/>
    <cellStyle name="Normal 2 2 7" xfId="2380" xr:uid="{00000000-0005-0000-0000-0000E06E0000}"/>
    <cellStyle name="Normal 2 2 7 2" xfId="8286" xr:uid="{00000000-0005-0000-0000-0000E16E0000}"/>
    <cellStyle name="Normal 2 2 7 2 2" xfId="26442" xr:uid="{00000000-0005-0000-0000-0000E26E0000}"/>
    <cellStyle name="Normal 2 2 7 2 3" xfId="30655" xr:uid="{00000000-0005-0000-0000-0000E36E0000}"/>
    <cellStyle name="Normal 2 2 7 2 4" xfId="34870" xr:uid="{00000000-0005-0000-0000-0000E46E0000}"/>
    <cellStyle name="Normal 2 2 7 2 5" xfId="39074" xr:uid="{00000000-0005-0000-0000-0000E56E0000}"/>
    <cellStyle name="Normal 2 2 7 3" xfId="3718" xr:uid="{00000000-0005-0000-0000-0000E66E0000}"/>
    <cellStyle name="Normal 2 2 8" xfId="2381" xr:uid="{00000000-0005-0000-0000-0000E76E0000}"/>
    <cellStyle name="Normal 2 2 8 2" xfId="8287" xr:uid="{00000000-0005-0000-0000-0000E86E0000}"/>
    <cellStyle name="Normal 2 2 8 2 2" xfId="26443" xr:uid="{00000000-0005-0000-0000-0000E96E0000}"/>
    <cellStyle name="Normal 2 2 8 2 3" xfId="30656" xr:uid="{00000000-0005-0000-0000-0000EA6E0000}"/>
    <cellStyle name="Normal 2 2 8 2 4" xfId="34871" xr:uid="{00000000-0005-0000-0000-0000EB6E0000}"/>
    <cellStyle name="Normal 2 2 8 2 5" xfId="39075" xr:uid="{00000000-0005-0000-0000-0000EC6E0000}"/>
    <cellStyle name="Normal 2 2 8 3" xfId="3719" xr:uid="{00000000-0005-0000-0000-0000ED6E0000}"/>
    <cellStyle name="Normal 2 2 9" xfId="2382" xr:uid="{00000000-0005-0000-0000-0000EE6E0000}"/>
    <cellStyle name="Normal 2 2 9 2" xfId="8288" xr:uid="{00000000-0005-0000-0000-0000EF6E0000}"/>
    <cellStyle name="Normal 2 2 9 2 2" xfId="26444" xr:uid="{00000000-0005-0000-0000-0000F06E0000}"/>
    <cellStyle name="Normal 2 2 9 2 3" xfId="30657" xr:uid="{00000000-0005-0000-0000-0000F16E0000}"/>
    <cellStyle name="Normal 2 2 9 2 4" xfId="34872" xr:uid="{00000000-0005-0000-0000-0000F26E0000}"/>
    <cellStyle name="Normal 2 2 9 2 5" xfId="39076" xr:uid="{00000000-0005-0000-0000-0000F36E0000}"/>
    <cellStyle name="Normal 2 2 9 3" xfId="3720" xr:uid="{00000000-0005-0000-0000-0000F46E0000}"/>
    <cellStyle name="Normal 2 2_Copy of Commissioning date correction" xfId="3721" xr:uid="{00000000-0005-0000-0000-0000F56E0000}"/>
    <cellStyle name="Normal 2 20" xfId="4425" xr:uid="{00000000-0005-0000-0000-0000F66E0000}"/>
    <cellStyle name="Normal 2 20 2" xfId="12299" xr:uid="{00000000-0005-0000-0000-0000F76E0000}"/>
    <cellStyle name="Normal 2 20 2 2" xfId="28866" xr:uid="{00000000-0005-0000-0000-0000F86E0000}"/>
    <cellStyle name="Normal 2 20 2 3" xfId="33079" xr:uid="{00000000-0005-0000-0000-0000F96E0000}"/>
    <cellStyle name="Normal 2 20 2 4" xfId="37294" xr:uid="{00000000-0005-0000-0000-0000FA6E0000}"/>
    <cellStyle name="Normal 2 20 2 5" xfId="43569" xr:uid="{00000000-0005-0000-0000-0000FB6E0000}"/>
    <cellStyle name="Normal 2 20 3" xfId="23503" xr:uid="{00000000-0005-0000-0000-0000FC6E0000}"/>
    <cellStyle name="Normal 2 20 4" xfId="24898" xr:uid="{00000000-0005-0000-0000-0000FD6E0000}"/>
    <cellStyle name="Normal 2 20 5" xfId="29110" xr:uid="{00000000-0005-0000-0000-0000FE6E0000}"/>
    <cellStyle name="Normal 2 20 6" xfId="33326" xr:uid="{00000000-0005-0000-0000-0000FF6E0000}"/>
    <cellStyle name="Normal 2 20 7" xfId="37530" xr:uid="{00000000-0005-0000-0000-0000006F0000}"/>
    <cellStyle name="Normal 2 21" xfId="4456" xr:uid="{00000000-0005-0000-0000-0000016F0000}"/>
    <cellStyle name="Normal 2 21 2" xfId="7236" xr:uid="{00000000-0005-0000-0000-0000026F0000}"/>
    <cellStyle name="Normal 2 21 2 2" xfId="25869" xr:uid="{00000000-0005-0000-0000-0000036F0000}"/>
    <cellStyle name="Normal 2 21 2 3" xfId="30082" xr:uid="{00000000-0005-0000-0000-0000046F0000}"/>
    <cellStyle name="Normal 2 21 2 4" xfId="34297" xr:uid="{00000000-0005-0000-0000-0000056F0000}"/>
    <cellStyle name="Normal 2 21 2 5" xfId="38501" xr:uid="{00000000-0005-0000-0000-0000066F0000}"/>
    <cellStyle name="Normal 2 21 3" xfId="11254" xr:uid="{00000000-0005-0000-0000-0000076F0000}"/>
    <cellStyle name="Normal 2 21 4" xfId="12978" xr:uid="{00000000-0005-0000-0000-0000086F0000}"/>
    <cellStyle name="Normal 2 21 4 2" xfId="28874" xr:uid="{00000000-0005-0000-0000-0000096F0000}"/>
    <cellStyle name="Normal 2 21 4 3" xfId="33087" xr:uid="{00000000-0005-0000-0000-00000A6F0000}"/>
    <cellStyle name="Normal 2 21 4 4" xfId="37302" xr:uid="{00000000-0005-0000-0000-00000B6F0000}"/>
    <cellStyle name="Normal 2 22" xfId="7355" xr:uid="{00000000-0005-0000-0000-00000C6F0000}"/>
    <cellStyle name="Normal 2 22 2" xfId="24155" xr:uid="{00000000-0005-0000-0000-00000D6F0000}"/>
    <cellStyle name="Normal 2 22 3" xfId="25988" xr:uid="{00000000-0005-0000-0000-00000E6F0000}"/>
    <cellStyle name="Normal 2 22 4" xfId="30201" xr:uid="{00000000-0005-0000-0000-00000F6F0000}"/>
    <cellStyle name="Normal 2 22 5" xfId="34416" xr:uid="{00000000-0005-0000-0000-0000106F0000}"/>
    <cellStyle name="Normal 2 22 6" xfId="38620" xr:uid="{00000000-0005-0000-0000-0000116F0000}"/>
    <cellStyle name="Normal 2 23" xfId="7473" xr:uid="{00000000-0005-0000-0000-0000126F0000}"/>
    <cellStyle name="Normal 2 23 2" xfId="24806" xr:uid="{00000000-0005-0000-0000-0000136F0000}"/>
    <cellStyle name="Normal 2 23 3" xfId="26106" xr:uid="{00000000-0005-0000-0000-0000146F0000}"/>
    <cellStyle name="Normal 2 23 4" xfId="30319" xr:uid="{00000000-0005-0000-0000-0000156F0000}"/>
    <cellStyle name="Normal 2 23 5" xfId="34534" xr:uid="{00000000-0005-0000-0000-0000166F0000}"/>
    <cellStyle name="Normal 2 23 6" xfId="38738" xr:uid="{00000000-0005-0000-0000-0000176F0000}"/>
    <cellStyle name="Normal 2 24" xfId="8277" xr:uid="{00000000-0005-0000-0000-0000186F0000}"/>
    <cellStyle name="Normal 2 24 2" xfId="24809" xr:uid="{00000000-0005-0000-0000-0000196F0000}"/>
    <cellStyle name="Normal 2 25" xfId="8943" xr:uid="{00000000-0005-0000-0000-00001A6F0000}"/>
    <cellStyle name="Normal 2 25 2" xfId="43570" xr:uid="{00000000-0005-0000-0000-00001B6F0000}"/>
    <cellStyle name="Normal 2 26" xfId="8942" xr:uid="{00000000-0005-0000-0000-00001C6F0000}"/>
    <cellStyle name="Normal 2 26 2" xfId="43571" xr:uid="{00000000-0005-0000-0000-00001D6F0000}"/>
    <cellStyle name="Normal 2 27" xfId="8944" xr:uid="{00000000-0005-0000-0000-00001E6F0000}"/>
    <cellStyle name="Normal 2 27 2" xfId="43572" xr:uid="{00000000-0005-0000-0000-00001F6F0000}"/>
    <cellStyle name="Normal 2 28" xfId="8974" xr:uid="{00000000-0005-0000-0000-0000206F0000}"/>
    <cellStyle name="Normal 2 28 2" xfId="26545" xr:uid="{00000000-0005-0000-0000-0000216F0000}"/>
    <cellStyle name="Normal 2 28 2 2" xfId="43573" xr:uid="{00000000-0005-0000-0000-0000226F0000}"/>
    <cellStyle name="Normal 2 28 3" xfId="30758" xr:uid="{00000000-0005-0000-0000-0000236F0000}"/>
    <cellStyle name="Normal 2 28 4" xfId="34973" xr:uid="{00000000-0005-0000-0000-0000246F0000}"/>
    <cellStyle name="Normal 2 28 5" xfId="39177" xr:uid="{00000000-0005-0000-0000-0000256F0000}"/>
    <cellStyle name="Normal 2 29" xfId="9096" xr:uid="{00000000-0005-0000-0000-0000266F0000}"/>
    <cellStyle name="Normal 2 29 2" xfId="26667" xr:uid="{00000000-0005-0000-0000-0000276F0000}"/>
    <cellStyle name="Normal 2 29 2 2" xfId="43574" xr:uid="{00000000-0005-0000-0000-0000286F0000}"/>
    <cellStyle name="Normal 2 29 3" xfId="30880" xr:uid="{00000000-0005-0000-0000-0000296F0000}"/>
    <cellStyle name="Normal 2 29 4" xfId="35095" xr:uid="{00000000-0005-0000-0000-00002A6F0000}"/>
    <cellStyle name="Normal 2 29 5" xfId="39299" xr:uid="{00000000-0005-0000-0000-00002B6F0000}"/>
    <cellStyle name="Normal 2 3" xfId="2383" xr:uid="{00000000-0005-0000-0000-00002C6F0000}"/>
    <cellStyle name="Normal 2 3 10" xfId="8289" xr:uid="{00000000-0005-0000-0000-00002D6F0000}"/>
    <cellStyle name="Normal 2 3 10 2" xfId="26445" xr:uid="{00000000-0005-0000-0000-00002E6F0000}"/>
    <cellStyle name="Normal 2 3 10 3" xfId="30658" xr:uid="{00000000-0005-0000-0000-00002F6F0000}"/>
    <cellStyle name="Normal 2 3 10 4" xfId="34873" xr:uid="{00000000-0005-0000-0000-0000306F0000}"/>
    <cellStyle name="Normal 2 3 10 5" xfId="39077" xr:uid="{00000000-0005-0000-0000-0000316F0000}"/>
    <cellStyle name="Normal 2 3 11" xfId="8290" xr:uid="{00000000-0005-0000-0000-0000326F0000}"/>
    <cellStyle name="Normal 2 3 11 2" xfId="26446" xr:uid="{00000000-0005-0000-0000-0000336F0000}"/>
    <cellStyle name="Normal 2 3 11 3" xfId="30659" xr:uid="{00000000-0005-0000-0000-0000346F0000}"/>
    <cellStyle name="Normal 2 3 11 4" xfId="34874" xr:uid="{00000000-0005-0000-0000-0000356F0000}"/>
    <cellStyle name="Normal 2 3 11 5" xfId="39078" xr:uid="{00000000-0005-0000-0000-0000366F0000}"/>
    <cellStyle name="Normal 2 3 12" xfId="8291" xr:uid="{00000000-0005-0000-0000-0000376F0000}"/>
    <cellStyle name="Normal 2 3 12 2" xfId="26447" xr:uid="{00000000-0005-0000-0000-0000386F0000}"/>
    <cellStyle name="Normal 2 3 12 3" xfId="30660" xr:uid="{00000000-0005-0000-0000-0000396F0000}"/>
    <cellStyle name="Normal 2 3 12 4" xfId="34875" xr:uid="{00000000-0005-0000-0000-00003A6F0000}"/>
    <cellStyle name="Normal 2 3 12 5" xfId="39079" xr:uid="{00000000-0005-0000-0000-00003B6F0000}"/>
    <cellStyle name="Normal 2 3 13" xfId="8292" xr:uid="{00000000-0005-0000-0000-00003C6F0000}"/>
    <cellStyle name="Normal 2 3 13 2" xfId="26448" xr:uid="{00000000-0005-0000-0000-00003D6F0000}"/>
    <cellStyle name="Normal 2 3 13 3" xfId="30661" xr:uid="{00000000-0005-0000-0000-00003E6F0000}"/>
    <cellStyle name="Normal 2 3 13 4" xfId="34876" xr:uid="{00000000-0005-0000-0000-00003F6F0000}"/>
    <cellStyle name="Normal 2 3 13 5" xfId="39080" xr:uid="{00000000-0005-0000-0000-0000406F0000}"/>
    <cellStyle name="Normal 2 3 14" xfId="8976" xr:uid="{00000000-0005-0000-0000-0000416F0000}"/>
    <cellStyle name="Normal 2 3 14 2" xfId="26547" xr:uid="{00000000-0005-0000-0000-0000426F0000}"/>
    <cellStyle name="Normal 2 3 14 2 2" xfId="41655" xr:uid="{00000000-0005-0000-0000-0000436F0000}"/>
    <cellStyle name="Normal 2 3 14 3" xfId="30760" xr:uid="{00000000-0005-0000-0000-0000446F0000}"/>
    <cellStyle name="Normal 2 3 14 4" xfId="34975" xr:uid="{00000000-0005-0000-0000-0000456F0000}"/>
    <cellStyle name="Normal 2 3 14 5" xfId="39179" xr:uid="{00000000-0005-0000-0000-0000466F0000}"/>
    <cellStyle name="Normal 2 3 15" xfId="9098" xr:uid="{00000000-0005-0000-0000-0000476F0000}"/>
    <cellStyle name="Normal 2 3 15 2" xfId="26669" xr:uid="{00000000-0005-0000-0000-0000486F0000}"/>
    <cellStyle name="Normal 2 3 15 3" xfId="30882" xr:uid="{00000000-0005-0000-0000-0000496F0000}"/>
    <cellStyle name="Normal 2 3 15 4" xfId="35097" xr:uid="{00000000-0005-0000-0000-00004A6F0000}"/>
    <cellStyle name="Normal 2 3 15 5" xfId="39301" xr:uid="{00000000-0005-0000-0000-00004B6F0000}"/>
    <cellStyle name="Normal 2 3 16" xfId="9218" xr:uid="{00000000-0005-0000-0000-00004C6F0000}"/>
    <cellStyle name="Normal 2 3 16 2" xfId="26789" xr:uid="{00000000-0005-0000-0000-00004D6F0000}"/>
    <cellStyle name="Normal 2 3 16 3" xfId="31002" xr:uid="{00000000-0005-0000-0000-00004E6F0000}"/>
    <cellStyle name="Normal 2 3 16 4" xfId="35217" xr:uid="{00000000-0005-0000-0000-00004F6F0000}"/>
    <cellStyle name="Normal 2 3 16 5" xfId="39421" xr:uid="{00000000-0005-0000-0000-0000506F0000}"/>
    <cellStyle name="Normal 2 3 17" xfId="9339" xr:uid="{00000000-0005-0000-0000-0000516F0000}"/>
    <cellStyle name="Normal 2 3 17 2" xfId="26910" xr:uid="{00000000-0005-0000-0000-0000526F0000}"/>
    <cellStyle name="Normal 2 3 17 3" xfId="31123" xr:uid="{00000000-0005-0000-0000-0000536F0000}"/>
    <cellStyle name="Normal 2 3 17 4" xfId="35338" xr:uid="{00000000-0005-0000-0000-0000546F0000}"/>
    <cellStyle name="Normal 2 3 17 5" xfId="39542" xr:uid="{00000000-0005-0000-0000-0000556F0000}"/>
    <cellStyle name="Normal 2 3 18" xfId="9458" xr:uid="{00000000-0005-0000-0000-0000566F0000}"/>
    <cellStyle name="Normal 2 3 18 2" xfId="27029" xr:uid="{00000000-0005-0000-0000-0000576F0000}"/>
    <cellStyle name="Normal 2 3 18 3" xfId="31242" xr:uid="{00000000-0005-0000-0000-0000586F0000}"/>
    <cellStyle name="Normal 2 3 18 4" xfId="35457" xr:uid="{00000000-0005-0000-0000-0000596F0000}"/>
    <cellStyle name="Normal 2 3 18 5" xfId="39661" xr:uid="{00000000-0005-0000-0000-00005A6F0000}"/>
    <cellStyle name="Normal 2 3 19" xfId="3095" xr:uid="{00000000-0005-0000-0000-00005B6F0000}"/>
    <cellStyle name="Normal 2 3 2" xfId="3722" xr:uid="{00000000-0005-0000-0000-00005C6F0000}"/>
    <cellStyle name="Normal 2 3 2 10" xfId="37503" xr:uid="{00000000-0005-0000-0000-00005D6F0000}"/>
    <cellStyle name="Normal 2 3 2 2" xfId="3723" xr:uid="{00000000-0005-0000-0000-00005E6F0000}"/>
    <cellStyle name="Normal 2 3 2 2 2" xfId="4484" xr:uid="{00000000-0005-0000-0000-00005F6F0000}"/>
    <cellStyle name="Normal 2 3 2 2 2 2" xfId="24955" xr:uid="{00000000-0005-0000-0000-0000606F0000}"/>
    <cellStyle name="Normal 2 3 2 2 2 3" xfId="29167" xr:uid="{00000000-0005-0000-0000-0000616F0000}"/>
    <cellStyle name="Normal 2 3 2 2 2 4" xfId="33383" xr:uid="{00000000-0005-0000-0000-0000626F0000}"/>
    <cellStyle name="Normal 2 3 2 2 2 5" xfId="37587" xr:uid="{00000000-0005-0000-0000-0000636F0000}"/>
    <cellStyle name="Normal 2 3 2 2 3" xfId="12283" xr:uid="{00000000-0005-0000-0000-0000646F0000}"/>
    <cellStyle name="Normal 2 3 2 2 3 2" xfId="28850" xr:uid="{00000000-0005-0000-0000-0000656F0000}"/>
    <cellStyle name="Normal 2 3 2 2 3 3" xfId="33063" xr:uid="{00000000-0005-0000-0000-0000666F0000}"/>
    <cellStyle name="Normal 2 3 2 2 3 4" xfId="37278" xr:uid="{00000000-0005-0000-0000-0000676F0000}"/>
    <cellStyle name="Normal 2 3 2 2 4" xfId="23492" xr:uid="{00000000-0005-0000-0000-0000686F0000}"/>
    <cellStyle name="Normal 2 3 2 2 4 2" xfId="28991" xr:uid="{00000000-0005-0000-0000-0000696F0000}"/>
    <cellStyle name="Normal 2 3 2 2 4 3" xfId="33208" xr:uid="{00000000-0005-0000-0000-00006A6F0000}"/>
    <cellStyle name="Normal 2 3 2 2 4 4" xfId="37419" xr:uid="{00000000-0005-0000-0000-00006B6F0000}"/>
    <cellStyle name="Normal 2 3 2 2 5" xfId="24872" xr:uid="{00000000-0005-0000-0000-00006C6F0000}"/>
    <cellStyle name="Normal 2 3 2 2 6" xfId="29083" xr:uid="{00000000-0005-0000-0000-00006D6F0000}"/>
    <cellStyle name="Normal 2 3 2 2 7" xfId="33300" xr:uid="{00000000-0005-0000-0000-00006E6F0000}"/>
    <cellStyle name="Normal 2 3 2 2 8" xfId="37504" xr:uid="{00000000-0005-0000-0000-00006F6F0000}"/>
    <cellStyle name="Normal 2 3 2 3" xfId="4447" xr:uid="{00000000-0005-0000-0000-0000706F0000}"/>
    <cellStyle name="Normal 2 3 2 3 2" xfId="24919" xr:uid="{00000000-0005-0000-0000-0000716F0000}"/>
    <cellStyle name="Normal 2 3 2 3 3" xfId="29131" xr:uid="{00000000-0005-0000-0000-0000726F0000}"/>
    <cellStyle name="Normal 2 3 2 3 4" xfId="33347" xr:uid="{00000000-0005-0000-0000-0000736F0000}"/>
    <cellStyle name="Normal 2 3 2 3 5" xfId="37551" xr:uid="{00000000-0005-0000-0000-0000746F0000}"/>
    <cellStyle name="Normal 2 3 2 4" xfId="10168" xr:uid="{00000000-0005-0000-0000-0000756F0000}"/>
    <cellStyle name="Normal 2 3 2 5" xfId="12247" xr:uid="{00000000-0005-0000-0000-0000766F0000}"/>
    <cellStyle name="Normal 2 3 2 5 2" xfId="28815" xr:uid="{00000000-0005-0000-0000-0000776F0000}"/>
    <cellStyle name="Normal 2 3 2 5 3" xfId="33028" xr:uid="{00000000-0005-0000-0000-0000786F0000}"/>
    <cellStyle name="Normal 2 3 2 5 4" xfId="37243" xr:uid="{00000000-0005-0000-0000-0000796F0000}"/>
    <cellStyle name="Normal 2 3 2 6" xfId="23456" xr:uid="{00000000-0005-0000-0000-00007A6F0000}"/>
    <cellStyle name="Normal 2 3 2 6 2" xfId="28956" xr:uid="{00000000-0005-0000-0000-00007B6F0000}"/>
    <cellStyle name="Normal 2 3 2 6 3" xfId="33173" xr:uid="{00000000-0005-0000-0000-00007C6F0000}"/>
    <cellStyle name="Normal 2 3 2 6 4" xfId="37384" xr:uid="{00000000-0005-0000-0000-00007D6F0000}"/>
    <cellStyle name="Normal 2 3 2 7" xfId="24871" xr:uid="{00000000-0005-0000-0000-00007E6F0000}"/>
    <cellStyle name="Normal 2 3 2 8" xfId="29082" xr:uid="{00000000-0005-0000-0000-00007F6F0000}"/>
    <cellStyle name="Normal 2 3 2 9" xfId="33299" xr:uid="{00000000-0005-0000-0000-0000806F0000}"/>
    <cellStyle name="Normal 2 3 20" xfId="12246" xr:uid="{00000000-0005-0000-0000-0000816F0000}"/>
    <cellStyle name="Normal 2 3 20 2" xfId="28814" xr:uid="{00000000-0005-0000-0000-0000826F0000}"/>
    <cellStyle name="Normal 2 3 20 3" xfId="33027" xr:uid="{00000000-0005-0000-0000-0000836F0000}"/>
    <cellStyle name="Normal 2 3 20 4" xfId="37242" xr:uid="{00000000-0005-0000-0000-0000846F0000}"/>
    <cellStyle name="Normal 2 3 21" xfId="23455" xr:uid="{00000000-0005-0000-0000-0000856F0000}"/>
    <cellStyle name="Normal 2 3 21 2" xfId="28955" xr:uid="{00000000-0005-0000-0000-0000866F0000}"/>
    <cellStyle name="Normal 2 3 21 3" xfId="33172" xr:uid="{00000000-0005-0000-0000-0000876F0000}"/>
    <cellStyle name="Normal 2 3 21 4" xfId="37383" xr:uid="{00000000-0005-0000-0000-0000886F0000}"/>
    <cellStyle name="Normal 2 3 22" xfId="3067" xr:uid="{00000000-0005-0000-0000-0000896F0000}"/>
    <cellStyle name="Normal 2 3 3" xfId="3724" xr:uid="{00000000-0005-0000-0000-00008A6F0000}"/>
    <cellStyle name="Normal 2 3 3 2" xfId="8293" xr:uid="{00000000-0005-0000-0000-00008B6F0000}"/>
    <cellStyle name="Normal 2 3 3 2 2" xfId="26449" xr:uid="{00000000-0005-0000-0000-00008C6F0000}"/>
    <cellStyle name="Normal 2 3 3 2 3" xfId="30662" xr:uid="{00000000-0005-0000-0000-00008D6F0000}"/>
    <cellStyle name="Normal 2 3 3 2 4" xfId="34877" xr:uid="{00000000-0005-0000-0000-00008E6F0000}"/>
    <cellStyle name="Normal 2 3 3 2 5" xfId="39081" xr:uid="{00000000-0005-0000-0000-00008F6F0000}"/>
    <cellStyle name="Normal 2 3 4" xfId="3725" xr:uid="{00000000-0005-0000-0000-0000906F0000}"/>
    <cellStyle name="Normal 2 3 4 2" xfId="4483" xr:uid="{00000000-0005-0000-0000-0000916F0000}"/>
    <cellStyle name="Normal 2 3 4 2 2" xfId="24954" xr:uid="{00000000-0005-0000-0000-0000926F0000}"/>
    <cellStyle name="Normal 2 3 4 2 3" xfId="29166" xr:uid="{00000000-0005-0000-0000-0000936F0000}"/>
    <cellStyle name="Normal 2 3 4 2 4" xfId="33382" xr:uid="{00000000-0005-0000-0000-0000946F0000}"/>
    <cellStyle name="Normal 2 3 4 2 5" xfId="37586" xr:uid="{00000000-0005-0000-0000-0000956F0000}"/>
    <cellStyle name="Normal 2 3 4 3" xfId="8294" xr:uid="{00000000-0005-0000-0000-0000966F0000}"/>
    <cellStyle name="Normal 2 3 4 3 2" xfId="26450" xr:uid="{00000000-0005-0000-0000-0000976F0000}"/>
    <cellStyle name="Normal 2 3 4 3 3" xfId="30663" xr:uid="{00000000-0005-0000-0000-0000986F0000}"/>
    <cellStyle name="Normal 2 3 4 3 4" xfId="34878" xr:uid="{00000000-0005-0000-0000-0000996F0000}"/>
    <cellStyle name="Normal 2 3 4 3 5" xfId="39082" xr:uid="{00000000-0005-0000-0000-00009A6F0000}"/>
    <cellStyle name="Normal 2 3 4 4" xfId="12282" xr:uid="{00000000-0005-0000-0000-00009B6F0000}"/>
    <cellStyle name="Normal 2 3 4 4 2" xfId="28849" xr:uid="{00000000-0005-0000-0000-00009C6F0000}"/>
    <cellStyle name="Normal 2 3 4 4 3" xfId="33062" xr:uid="{00000000-0005-0000-0000-00009D6F0000}"/>
    <cellStyle name="Normal 2 3 4 4 4" xfId="37277" xr:uid="{00000000-0005-0000-0000-00009E6F0000}"/>
    <cellStyle name="Normal 2 3 4 5" xfId="23491" xr:uid="{00000000-0005-0000-0000-00009F6F0000}"/>
    <cellStyle name="Normal 2 3 4 5 2" xfId="28990" xr:uid="{00000000-0005-0000-0000-0000A06F0000}"/>
    <cellStyle name="Normal 2 3 4 5 3" xfId="33207" xr:uid="{00000000-0005-0000-0000-0000A16F0000}"/>
    <cellStyle name="Normal 2 3 4 5 4" xfId="37418" xr:uid="{00000000-0005-0000-0000-0000A26F0000}"/>
    <cellStyle name="Normal 2 3 4 6" xfId="24873" xr:uid="{00000000-0005-0000-0000-0000A36F0000}"/>
    <cellStyle name="Normal 2 3 4 7" xfId="29084" xr:uid="{00000000-0005-0000-0000-0000A46F0000}"/>
    <cellStyle name="Normal 2 3 4 8" xfId="33301" xr:uid="{00000000-0005-0000-0000-0000A56F0000}"/>
    <cellStyle name="Normal 2 3 4 9" xfId="37505" xr:uid="{00000000-0005-0000-0000-0000A66F0000}"/>
    <cellStyle name="Normal 2 3 5" xfId="4446" xr:uid="{00000000-0005-0000-0000-0000A76F0000}"/>
    <cellStyle name="Normal 2 3 5 2" xfId="8295" xr:uid="{00000000-0005-0000-0000-0000A86F0000}"/>
    <cellStyle name="Normal 2 3 5 2 2" xfId="26451" xr:uid="{00000000-0005-0000-0000-0000A96F0000}"/>
    <cellStyle name="Normal 2 3 5 2 3" xfId="30664" xr:uid="{00000000-0005-0000-0000-0000AA6F0000}"/>
    <cellStyle name="Normal 2 3 5 2 4" xfId="34879" xr:uid="{00000000-0005-0000-0000-0000AB6F0000}"/>
    <cellStyle name="Normal 2 3 5 2 5" xfId="39083" xr:uid="{00000000-0005-0000-0000-0000AC6F0000}"/>
    <cellStyle name="Normal 2 3 5 3" xfId="12770" xr:uid="{00000000-0005-0000-0000-0000AD6F0000}"/>
    <cellStyle name="Normal 2 3 5 3 2" xfId="28873" xr:uid="{00000000-0005-0000-0000-0000AE6F0000}"/>
    <cellStyle name="Normal 2 3 5 3 3" xfId="33086" xr:uid="{00000000-0005-0000-0000-0000AF6F0000}"/>
    <cellStyle name="Normal 2 3 5 3 4" xfId="37301" xr:uid="{00000000-0005-0000-0000-0000B06F0000}"/>
    <cellStyle name="Normal 2 3 5 4" xfId="24918" xr:uid="{00000000-0005-0000-0000-0000B16F0000}"/>
    <cellStyle name="Normal 2 3 5 5" xfId="29130" xr:uid="{00000000-0005-0000-0000-0000B26F0000}"/>
    <cellStyle name="Normal 2 3 5 6" xfId="33346" xr:uid="{00000000-0005-0000-0000-0000B36F0000}"/>
    <cellStyle name="Normal 2 3 5 7" xfId="37550" xr:uid="{00000000-0005-0000-0000-0000B46F0000}"/>
    <cellStyle name="Normal 2 3 6" xfId="7238" xr:uid="{00000000-0005-0000-0000-0000B56F0000}"/>
    <cellStyle name="Normal 2 3 6 2" xfId="8296" xr:uid="{00000000-0005-0000-0000-0000B66F0000}"/>
    <cellStyle name="Normal 2 3 6 2 2" xfId="26452" xr:uid="{00000000-0005-0000-0000-0000B76F0000}"/>
    <cellStyle name="Normal 2 3 6 2 3" xfId="30665" xr:uid="{00000000-0005-0000-0000-0000B86F0000}"/>
    <cellStyle name="Normal 2 3 6 2 4" xfId="34880" xr:uid="{00000000-0005-0000-0000-0000B96F0000}"/>
    <cellStyle name="Normal 2 3 6 2 5" xfId="39084" xr:uid="{00000000-0005-0000-0000-0000BA6F0000}"/>
    <cellStyle name="Normal 2 3 6 3" xfId="25871" xr:uid="{00000000-0005-0000-0000-0000BB6F0000}"/>
    <cellStyle name="Normal 2 3 6 4" xfId="30084" xr:uid="{00000000-0005-0000-0000-0000BC6F0000}"/>
    <cellStyle name="Normal 2 3 6 5" xfId="34299" xr:uid="{00000000-0005-0000-0000-0000BD6F0000}"/>
    <cellStyle name="Normal 2 3 6 6" xfId="38503" xr:uid="{00000000-0005-0000-0000-0000BE6F0000}"/>
    <cellStyle name="Normal 2 3 7" xfId="7357" xr:uid="{00000000-0005-0000-0000-0000BF6F0000}"/>
    <cellStyle name="Normal 2 3 7 2" xfId="8297" xr:uid="{00000000-0005-0000-0000-0000C06F0000}"/>
    <cellStyle name="Normal 2 3 7 2 2" xfId="26453" xr:uid="{00000000-0005-0000-0000-0000C16F0000}"/>
    <cellStyle name="Normal 2 3 7 2 3" xfId="30666" xr:uid="{00000000-0005-0000-0000-0000C26F0000}"/>
    <cellStyle name="Normal 2 3 7 2 4" xfId="34881" xr:uid="{00000000-0005-0000-0000-0000C36F0000}"/>
    <cellStyle name="Normal 2 3 7 2 5" xfId="39085" xr:uid="{00000000-0005-0000-0000-0000C46F0000}"/>
    <cellStyle name="Normal 2 3 7 3" xfId="25990" xr:uid="{00000000-0005-0000-0000-0000C56F0000}"/>
    <cellStyle name="Normal 2 3 7 4" xfId="30203" xr:uid="{00000000-0005-0000-0000-0000C66F0000}"/>
    <cellStyle name="Normal 2 3 7 5" xfId="34418" xr:uid="{00000000-0005-0000-0000-0000C76F0000}"/>
    <cellStyle name="Normal 2 3 7 6" xfId="38622" xr:uid="{00000000-0005-0000-0000-0000C86F0000}"/>
    <cellStyle name="Normal 2 3 8" xfId="7475" xr:uid="{00000000-0005-0000-0000-0000C96F0000}"/>
    <cellStyle name="Normal 2 3 8 2" xfId="8298" xr:uid="{00000000-0005-0000-0000-0000CA6F0000}"/>
    <cellStyle name="Normal 2 3 8 2 2" xfId="26454" xr:uid="{00000000-0005-0000-0000-0000CB6F0000}"/>
    <cellStyle name="Normal 2 3 8 2 3" xfId="30667" xr:uid="{00000000-0005-0000-0000-0000CC6F0000}"/>
    <cellStyle name="Normal 2 3 8 2 4" xfId="34882" xr:uid="{00000000-0005-0000-0000-0000CD6F0000}"/>
    <cellStyle name="Normal 2 3 8 2 5" xfId="39086" xr:uid="{00000000-0005-0000-0000-0000CE6F0000}"/>
    <cellStyle name="Normal 2 3 8 3" xfId="26108" xr:uid="{00000000-0005-0000-0000-0000CF6F0000}"/>
    <cellStyle name="Normal 2 3 8 4" xfId="30321" xr:uid="{00000000-0005-0000-0000-0000D06F0000}"/>
    <cellStyle name="Normal 2 3 8 5" xfId="34536" xr:uid="{00000000-0005-0000-0000-0000D16F0000}"/>
    <cellStyle name="Normal 2 3 8 6" xfId="38740" xr:uid="{00000000-0005-0000-0000-0000D26F0000}"/>
    <cellStyle name="Normal 2 3 9" xfId="8299" xr:uid="{00000000-0005-0000-0000-0000D36F0000}"/>
    <cellStyle name="Normal 2 3 9 2" xfId="26455" xr:uid="{00000000-0005-0000-0000-0000D46F0000}"/>
    <cellStyle name="Normal 2 3 9 3" xfId="30668" xr:uid="{00000000-0005-0000-0000-0000D56F0000}"/>
    <cellStyle name="Normal 2 3 9 4" xfId="34883" xr:uid="{00000000-0005-0000-0000-0000D66F0000}"/>
    <cellStyle name="Normal 2 3 9 5" xfId="39087" xr:uid="{00000000-0005-0000-0000-0000D76F0000}"/>
    <cellStyle name="Normal 2 30" xfId="9216" xr:uid="{00000000-0005-0000-0000-0000D86F0000}"/>
    <cellStyle name="Normal 2 30 2" xfId="26787" xr:uid="{00000000-0005-0000-0000-0000D96F0000}"/>
    <cellStyle name="Normal 2 30 2 2" xfId="43575" xr:uid="{00000000-0005-0000-0000-0000DA6F0000}"/>
    <cellStyle name="Normal 2 30 3" xfId="31000" xr:uid="{00000000-0005-0000-0000-0000DB6F0000}"/>
    <cellStyle name="Normal 2 30 4" xfId="35215" xr:uid="{00000000-0005-0000-0000-0000DC6F0000}"/>
    <cellStyle name="Normal 2 30 5" xfId="39419" xr:uid="{00000000-0005-0000-0000-0000DD6F0000}"/>
    <cellStyle name="Normal 2 31" xfId="9337" xr:uid="{00000000-0005-0000-0000-0000DE6F0000}"/>
    <cellStyle name="Normal 2 31 2" xfId="26908" xr:uid="{00000000-0005-0000-0000-0000DF6F0000}"/>
    <cellStyle name="Normal 2 31 2 2" xfId="43576" xr:uid="{00000000-0005-0000-0000-0000E06F0000}"/>
    <cellStyle name="Normal 2 31 3" xfId="31121" xr:uid="{00000000-0005-0000-0000-0000E16F0000}"/>
    <cellStyle name="Normal 2 31 4" xfId="35336" xr:uid="{00000000-0005-0000-0000-0000E26F0000}"/>
    <cellStyle name="Normal 2 31 5" xfId="39540" xr:uid="{00000000-0005-0000-0000-0000E36F0000}"/>
    <cellStyle name="Normal 2 32" xfId="9456" xr:uid="{00000000-0005-0000-0000-0000E46F0000}"/>
    <cellStyle name="Normal 2 32 2" xfId="27027" xr:uid="{00000000-0005-0000-0000-0000E56F0000}"/>
    <cellStyle name="Normal 2 32 2 2" xfId="43577" xr:uid="{00000000-0005-0000-0000-0000E66F0000}"/>
    <cellStyle name="Normal 2 32 3" xfId="31240" xr:uid="{00000000-0005-0000-0000-0000E76F0000}"/>
    <cellStyle name="Normal 2 32 4" xfId="35455" xr:uid="{00000000-0005-0000-0000-0000E86F0000}"/>
    <cellStyle name="Normal 2 32 5" xfId="39659" xr:uid="{00000000-0005-0000-0000-0000E96F0000}"/>
    <cellStyle name="Normal 2 33" xfId="6360" xr:uid="{00000000-0005-0000-0000-0000EA6F0000}"/>
    <cellStyle name="Normal 2 33 2" xfId="43578" xr:uid="{00000000-0005-0000-0000-0000EB6F0000}"/>
    <cellStyle name="Normal 2 34" xfId="6322" xr:uid="{00000000-0005-0000-0000-0000EC6F0000}"/>
    <cellStyle name="Normal 2 34 2" xfId="43579" xr:uid="{00000000-0005-0000-0000-0000ED6F0000}"/>
    <cellStyle name="Normal 2 35" xfId="9665" xr:uid="{00000000-0005-0000-0000-0000EE6F0000}"/>
    <cellStyle name="Normal 2 35 2" xfId="11367" xr:uid="{00000000-0005-0000-0000-0000EF6F0000}"/>
    <cellStyle name="Normal 2 36" xfId="11003" xr:uid="{00000000-0005-0000-0000-0000F06F0000}"/>
    <cellStyle name="Normal 2 37" xfId="12159" xr:uid="{00000000-0005-0000-0000-0000F16F0000}"/>
    <cellStyle name="Normal 2 38" xfId="10254" xr:uid="{00000000-0005-0000-0000-0000F26F0000}"/>
    <cellStyle name="Normal 2 38 2" xfId="43580" xr:uid="{00000000-0005-0000-0000-0000F36F0000}"/>
    <cellStyle name="Normal 2 39" xfId="3090" xr:uid="{00000000-0005-0000-0000-0000F46F0000}"/>
    <cellStyle name="Normal 2 39 2" xfId="43581" xr:uid="{00000000-0005-0000-0000-0000F56F0000}"/>
    <cellStyle name="Normal 2 39 3" xfId="41653" xr:uid="{00000000-0005-0000-0000-0000F66F0000}"/>
    <cellStyle name="Normal 2 4" xfId="2384" xr:uid="{00000000-0005-0000-0000-0000F76F0000}"/>
    <cellStyle name="Normal 2 4 10" xfId="8300" xr:uid="{00000000-0005-0000-0000-0000F86F0000}"/>
    <cellStyle name="Normal 2 4 10 2" xfId="26456" xr:uid="{00000000-0005-0000-0000-0000F96F0000}"/>
    <cellStyle name="Normal 2 4 10 3" xfId="30669" xr:uid="{00000000-0005-0000-0000-0000FA6F0000}"/>
    <cellStyle name="Normal 2 4 10 4" xfId="34884" xr:uid="{00000000-0005-0000-0000-0000FB6F0000}"/>
    <cellStyle name="Normal 2 4 10 5" xfId="39088" xr:uid="{00000000-0005-0000-0000-0000FC6F0000}"/>
    <cellStyle name="Normal 2 4 11" xfId="8301" xr:uid="{00000000-0005-0000-0000-0000FD6F0000}"/>
    <cellStyle name="Normal 2 4 11 2" xfId="26457" xr:uid="{00000000-0005-0000-0000-0000FE6F0000}"/>
    <cellStyle name="Normal 2 4 11 3" xfId="30670" xr:uid="{00000000-0005-0000-0000-0000FF6F0000}"/>
    <cellStyle name="Normal 2 4 11 4" xfId="34885" xr:uid="{00000000-0005-0000-0000-000000700000}"/>
    <cellStyle name="Normal 2 4 11 5" xfId="39089" xr:uid="{00000000-0005-0000-0000-000001700000}"/>
    <cellStyle name="Normal 2 4 12" xfId="8302" xr:uid="{00000000-0005-0000-0000-000002700000}"/>
    <cellStyle name="Normal 2 4 12 2" xfId="26458" xr:uid="{00000000-0005-0000-0000-000003700000}"/>
    <cellStyle name="Normal 2 4 12 3" xfId="30671" xr:uid="{00000000-0005-0000-0000-000004700000}"/>
    <cellStyle name="Normal 2 4 12 4" xfId="34886" xr:uid="{00000000-0005-0000-0000-000005700000}"/>
    <cellStyle name="Normal 2 4 12 5" xfId="39090" xr:uid="{00000000-0005-0000-0000-000006700000}"/>
    <cellStyle name="Normal 2 4 13" xfId="8303" xr:uid="{00000000-0005-0000-0000-000007700000}"/>
    <cellStyle name="Normal 2 4 13 2" xfId="26459" xr:uid="{00000000-0005-0000-0000-000008700000}"/>
    <cellStyle name="Normal 2 4 13 3" xfId="30672" xr:uid="{00000000-0005-0000-0000-000009700000}"/>
    <cellStyle name="Normal 2 4 13 4" xfId="34887" xr:uid="{00000000-0005-0000-0000-00000A700000}"/>
    <cellStyle name="Normal 2 4 13 5" xfId="39091" xr:uid="{00000000-0005-0000-0000-00000B700000}"/>
    <cellStyle name="Normal 2 4 14" xfId="3726" xr:uid="{00000000-0005-0000-0000-00000C700000}"/>
    <cellStyle name="Normal 2 4 2" xfId="2385" xr:uid="{00000000-0005-0000-0000-00000D700000}"/>
    <cellStyle name="Normal 2 4 2 2" xfId="6210" xr:uid="{00000000-0005-0000-0000-00000E700000}"/>
    <cellStyle name="Normal 2 4 2 3" xfId="8304" xr:uid="{00000000-0005-0000-0000-00000F700000}"/>
    <cellStyle name="Normal 2 4 2 3 2" xfId="26460" xr:uid="{00000000-0005-0000-0000-000010700000}"/>
    <cellStyle name="Normal 2 4 2 3 3" xfId="30673" xr:uid="{00000000-0005-0000-0000-000011700000}"/>
    <cellStyle name="Normal 2 4 2 3 4" xfId="34888" xr:uid="{00000000-0005-0000-0000-000012700000}"/>
    <cellStyle name="Normal 2 4 2 3 5" xfId="39092" xr:uid="{00000000-0005-0000-0000-000013700000}"/>
    <cellStyle name="Normal 2 4 2 4" xfId="3727" xr:uid="{00000000-0005-0000-0000-000014700000}"/>
    <cellStyle name="Normal 2 4 3" xfId="2386" xr:uid="{00000000-0005-0000-0000-000015700000}"/>
    <cellStyle name="Normal 2 4 3 2" xfId="8305" xr:uid="{00000000-0005-0000-0000-000016700000}"/>
    <cellStyle name="Normal 2 4 3 2 2" xfId="26461" xr:uid="{00000000-0005-0000-0000-000017700000}"/>
    <cellStyle name="Normal 2 4 3 2 3" xfId="30674" xr:uid="{00000000-0005-0000-0000-000018700000}"/>
    <cellStyle name="Normal 2 4 3 2 4" xfId="34889" xr:uid="{00000000-0005-0000-0000-000019700000}"/>
    <cellStyle name="Normal 2 4 3 2 5" xfId="39093" xr:uid="{00000000-0005-0000-0000-00001A700000}"/>
    <cellStyle name="Normal 2 4 3 3" xfId="3728" xr:uid="{00000000-0005-0000-0000-00001B700000}"/>
    <cellStyle name="Normal 2 4 4" xfId="2387" xr:uid="{00000000-0005-0000-0000-00001C700000}"/>
    <cellStyle name="Normal 2 4 4 2" xfId="5700" xr:uid="{00000000-0005-0000-0000-00001D700000}"/>
    <cellStyle name="Normal 2 4 4 2 2" xfId="8306" xr:uid="{00000000-0005-0000-0000-00001E700000}"/>
    <cellStyle name="Normal 2 4 4 2 2 2" xfId="26462" xr:uid="{00000000-0005-0000-0000-00001F700000}"/>
    <cellStyle name="Normal 2 4 4 2 2 3" xfId="30675" xr:uid="{00000000-0005-0000-0000-000020700000}"/>
    <cellStyle name="Normal 2 4 4 2 2 4" xfId="34890" xr:uid="{00000000-0005-0000-0000-000021700000}"/>
    <cellStyle name="Normal 2 4 4 2 2 5" xfId="39094" xr:uid="{00000000-0005-0000-0000-000022700000}"/>
    <cellStyle name="Normal 2 4 4 2 3" xfId="11358" xr:uid="{00000000-0005-0000-0000-000023700000}"/>
    <cellStyle name="Normal 2 4 4 3" xfId="3729" xr:uid="{00000000-0005-0000-0000-000024700000}"/>
    <cellStyle name="Normal 2 4 5" xfId="2388" xr:uid="{00000000-0005-0000-0000-000025700000}"/>
    <cellStyle name="Normal 2 4 5 2" xfId="5701" xr:uid="{00000000-0005-0000-0000-000026700000}"/>
    <cellStyle name="Normal 2 4 5 2 2" xfId="8307" xr:uid="{00000000-0005-0000-0000-000027700000}"/>
    <cellStyle name="Normal 2 4 5 2 2 2" xfId="26463" xr:uid="{00000000-0005-0000-0000-000028700000}"/>
    <cellStyle name="Normal 2 4 5 2 2 3" xfId="30676" xr:uid="{00000000-0005-0000-0000-000029700000}"/>
    <cellStyle name="Normal 2 4 5 2 2 4" xfId="34891" xr:uid="{00000000-0005-0000-0000-00002A700000}"/>
    <cellStyle name="Normal 2 4 5 2 2 5" xfId="39095" xr:uid="{00000000-0005-0000-0000-00002B700000}"/>
    <cellStyle name="Normal 2 4 5 2 3" xfId="11359" xr:uid="{00000000-0005-0000-0000-00002C700000}"/>
    <cellStyle name="Normal 2 4 5 3" xfId="3730" xr:uid="{00000000-0005-0000-0000-00002D700000}"/>
    <cellStyle name="Normal 2 4 6" xfId="2389" xr:uid="{00000000-0005-0000-0000-00002E700000}"/>
    <cellStyle name="Normal 2 4 6 2" xfId="5702" xr:uid="{00000000-0005-0000-0000-00002F700000}"/>
    <cellStyle name="Normal 2 4 6 2 2" xfId="8308" xr:uid="{00000000-0005-0000-0000-000030700000}"/>
    <cellStyle name="Normal 2 4 6 2 2 2" xfId="26464" xr:uid="{00000000-0005-0000-0000-000031700000}"/>
    <cellStyle name="Normal 2 4 6 2 2 3" xfId="30677" xr:uid="{00000000-0005-0000-0000-000032700000}"/>
    <cellStyle name="Normal 2 4 6 2 2 4" xfId="34892" xr:uid="{00000000-0005-0000-0000-000033700000}"/>
    <cellStyle name="Normal 2 4 6 2 2 5" xfId="39096" xr:uid="{00000000-0005-0000-0000-000034700000}"/>
    <cellStyle name="Normal 2 4 6 2 3" xfId="11360" xr:uid="{00000000-0005-0000-0000-000035700000}"/>
    <cellStyle name="Normal 2 4 6 3" xfId="3731" xr:uid="{00000000-0005-0000-0000-000036700000}"/>
    <cellStyle name="Normal 2 4 7" xfId="5334" xr:uid="{00000000-0005-0000-0000-000037700000}"/>
    <cellStyle name="Normal 2 4 7 2" xfId="8309" xr:uid="{00000000-0005-0000-0000-000038700000}"/>
    <cellStyle name="Normal 2 4 7 2 2" xfId="26465" xr:uid="{00000000-0005-0000-0000-000039700000}"/>
    <cellStyle name="Normal 2 4 7 2 3" xfId="30678" xr:uid="{00000000-0005-0000-0000-00003A700000}"/>
    <cellStyle name="Normal 2 4 7 2 4" xfId="34893" xr:uid="{00000000-0005-0000-0000-00003B700000}"/>
    <cellStyle name="Normal 2 4 7 2 5" xfId="39097" xr:uid="{00000000-0005-0000-0000-00003C700000}"/>
    <cellStyle name="Normal 2 4 8" xfId="6211" xr:uid="{00000000-0005-0000-0000-00003D700000}"/>
    <cellStyle name="Normal 2 4 8 2" xfId="8310" xr:uid="{00000000-0005-0000-0000-00003E700000}"/>
    <cellStyle name="Normal 2 4 8 2 2" xfId="26466" xr:uid="{00000000-0005-0000-0000-00003F700000}"/>
    <cellStyle name="Normal 2 4 8 2 3" xfId="30679" xr:uid="{00000000-0005-0000-0000-000040700000}"/>
    <cellStyle name="Normal 2 4 8 2 4" xfId="34894" xr:uid="{00000000-0005-0000-0000-000041700000}"/>
    <cellStyle name="Normal 2 4 8 2 5" xfId="39098" xr:uid="{00000000-0005-0000-0000-000042700000}"/>
    <cellStyle name="Normal 2 4 9" xfId="8311" xr:uid="{00000000-0005-0000-0000-000043700000}"/>
    <cellStyle name="Normal 2 4 9 2" xfId="26467" xr:uid="{00000000-0005-0000-0000-000044700000}"/>
    <cellStyle name="Normal 2 4 9 3" xfId="30680" xr:uid="{00000000-0005-0000-0000-000045700000}"/>
    <cellStyle name="Normal 2 4 9 4" xfId="34895" xr:uid="{00000000-0005-0000-0000-000046700000}"/>
    <cellStyle name="Normal 2 4 9 5" xfId="39099" xr:uid="{00000000-0005-0000-0000-000047700000}"/>
    <cellStyle name="Normal 2 40" xfId="3087" xr:uid="{00000000-0005-0000-0000-000048700000}"/>
    <cellStyle name="Normal 2 41" xfId="12228" xr:uid="{00000000-0005-0000-0000-000049700000}"/>
    <cellStyle name="Normal 2 42" xfId="12256" xr:uid="{00000000-0005-0000-0000-00004A700000}"/>
    <cellStyle name="Normal 2 43" xfId="23435" xr:uid="{00000000-0005-0000-0000-00004B700000}"/>
    <cellStyle name="Normal 2 43 2" xfId="28935" xr:uid="{00000000-0005-0000-0000-00004C700000}"/>
    <cellStyle name="Normal 2 43 3" xfId="33152" xr:uid="{00000000-0005-0000-0000-00004D700000}"/>
    <cellStyle name="Normal 2 43 4" xfId="37363" xr:uid="{00000000-0005-0000-0000-00004E700000}"/>
    <cellStyle name="Normal 2 43 5" xfId="43582" xr:uid="{00000000-0005-0000-0000-00004F700000}"/>
    <cellStyle name="Normal 2 44" xfId="3065" xr:uid="{00000000-0005-0000-0000-000050700000}"/>
    <cellStyle name="Normal 2 44 2" xfId="43583" xr:uid="{00000000-0005-0000-0000-000051700000}"/>
    <cellStyle name="Normal 2 45" xfId="4356" xr:uid="{00000000-0005-0000-0000-000052700000}"/>
    <cellStyle name="Normal 2 45 2" xfId="41919" xr:uid="{00000000-0005-0000-0000-000053700000}"/>
    <cellStyle name="Normal 2 46" xfId="24819" xr:uid="{00000000-0005-0000-0000-000054700000}"/>
    <cellStyle name="Normal 2 47" xfId="24822" xr:uid="{00000000-0005-0000-0000-000055700000}"/>
    <cellStyle name="Normal 2 48" xfId="29033" xr:uid="{00000000-0005-0000-0000-000056700000}"/>
    <cellStyle name="Normal 2 49" xfId="29107" xr:uid="{00000000-0005-0000-0000-000057700000}"/>
    <cellStyle name="Normal 2 5" xfId="2390" xr:uid="{00000000-0005-0000-0000-000058700000}"/>
    <cellStyle name="Normal 2 5 10" xfId="43585" xr:uid="{00000000-0005-0000-0000-000059700000}"/>
    <cellStyle name="Normal 2 5 11" xfId="43586" xr:uid="{00000000-0005-0000-0000-00005A700000}"/>
    <cellStyle name="Normal 2 5 12" xfId="43587" xr:uid="{00000000-0005-0000-0000-00005B700000}"/>
    <cellStyle name="Normal 2 5 13" xfId="43588" xr:uid="{00000000-0005-0000-0000-00005C700000}"/>
    <cellStyle name="Normal 2 5 14" xfId="43589" xr:uid="{00000000-0005-0000-0000-00005D700000}"/>
    <cellStyle name="Normal 2 5 15" xfId="43590" xr:uid="{00000000-0005-0000-0000-00005E700000}"/>
    <cellStyle name="Normal 2 5 16" xfId="43584" xr:uid="{00000000-0005-0000-0000-00005F700000}"/>
    <cellStyle name="Normal 2 5 2" xfId="2391" xr:uid="{00000000-0005-0000-0000-000060700000}"/>
    <cellStyle name="Normal 2 5 2 2" xfId="6212" xr:uid="{00000000-0005-0000-0000-000061700000}"/>
    <cellStyle name="Normal 2 5 2 2 2" xfId="6905" xr:uid="{00000000-0005-0000-0000-000062700000}"/>
    <cellStyle name="Normal 2 5 2 2 2 2" xfId="25593" xr:uid="{00000000-0005-0000-0000-000063700000}"/>
    <cellStyle name="Normal 2 5 2 2 2 3" xfId="29806" xr:uid="{00000000-0005-0000-0000-000064700000}"/>
    <cellStyle name="Normal 2 5 2 2 2 4" xfId="34021" xr:uid="{00000000-0005-0000-0000-000065700000}"/>
    <cellStyle name="Normal 2 5 2 2 2 5" xfId="38225" xr:uid="{00000000-0005-0000-0000-000066700000}"/>
    <cellStyle name="Normal 2 5 2 2 3" xfId="7106" xr:uid="{00000000-0005-0000-0000-000067700000}"/>
    <cellStyle name="Normal 2 5 2 2 4" xfId="25496" xr:uid="{00000000-0005-0000-0000-000068700000}"/>
    <cellStyle name="Normal 2 5 2 2 5" xfId="29708" xr:uid="{00000000-0005-0000-0000-000069700000}"/>
    <cellStyle name="Normal 2 5 2 2 6" xfId="33924" xr:uid="{00000000-0005-0000-0000-00006A700000}"/>
    <cellStyle name="Normal 2 5 2 2 7" xfId="38128" xr:uid="{00000000-0005-0000-0000-00006B700000}"/>
    <cellStyle name="Normal 2 5 2 3" xfId="7019" xr:uid="{00000000-0005-0000-0000-00006C700000}"/>
    <cellStyle name="Normal 2 5 2 4" xfId="3733" xr:uid="{00000000-0005-0000-0000-00006D700000}"/>
    <cellStyle name="Normal 2 5 3" xfId="2392" xr:uid="{00000000-0005-0000-0000-00006E700000}"/>
    <cellStyle name="Normal 2 5 3 2" xfId="3734" xr:uid="{00000000-0005-0000-0000-00006F700000}"/>
    <cellStyle name="Normal 2 5 4" xfId="2393" xr:uid="{00000000-0005-0000-0000-000070700000}"/>
    <cellStyle name="Normal 2 5 4 2" xfId="5703" xr:uid="{00000000-0005-0000-0000-000071700000}"/>
    <cellStyle name="Normal 2 5 4 3" xfId="3735" xr:uid="{00000000-0005-0000-0000-000072700000}"/>
    <cellStyle name="Normal 2 5 5" xfId="2394" xr:uid="{00000000-0005-0000-0000-000073700000}"/>
    <cellStyle name="Normal 2 5 5 2" xfId="5704" xr:uid="{00000000-0005-0000-0000-000074700000}"/>
    <cellStyle name="Normal 2 5 5 3" xfId="3736" xr:uid="{00000000-0005-0000-0000-000075700000}"/>
    <cellStyle name="Normal 2 5 6" xfId="2395" xr:uid="{00000000-0005-0000-0000-000076700000}"/>
    <cellStyle name="Normal 2 5 6 2" xfId="5705" xr:uid="{00000000-0005-0000-0000-000077700000}"/>
    <cellStyle name="Normal 2 5 6 3" xfId="3737" xr:uid="{00000000-0005-0000-0000-000078700000}"/>
    <cellStyle name="Normal 2 5 7" xfId="5335" xr:uid="{00000000-0005-0000-0000-000079700000}"/>
    <cellStyle name="Normal 2 5 8" xfId="6213" xr:uid="{00000000-0005-0000-0000-00007A700000}"/>
    <cellStyle name="Normal 2 5 8 2" xfId="43591" xr:uid="{00000000-0005-0000-0000-00007B700000}"/>
    <cellStyle name="Normal 2 5 9" xfId="3732" xr:uid="{00000000-0005-0000-0000-00007C700000}"/>
    <cellStyle name="Normal 2 50" xfId="33144" xr:uid="{00000000-0005-0000-0000-00007D700000}"/>
    <cellStyle name="Normal 2 51" xfId="33121" xr:uid="{00000000-0005-0000-0000-00007E700000}"/>
    <cellStyle name="Normal 2 52" xfId="33250" xr:uid="{00000000-0005-0000-0000-00007F700000}"/>
    <cellStyle name="Normal 2 53" xfId="37461" xr:uid="{00000000-0005-0000-0000-000080700000}"/>
    <cellStyle name="Normal 2 54" xfId="46481" xr:uid="{D1666F6B-69B2-4CFF-842C-BD419677C5FB}"/>
    <cellStyle name="Normal 2 55" xfId="46491" xr:uid="{C662662C-C3A3-4F55-98B5-68BE72AA2831}"/>
    <cellStyle name="Normal 2 6" xfId="2396" xr:uid="{00000000-0005-0000-0000-000081700000}"/>
    <cellStyle name="Normal 2 6 10" xfId="3738" xr:uid="{00000000-0005-0000-0000-000082700000}"/>
    <cellStyle name="Normal 2 6 11" xfId="43593" xr:uid="{00000000-0005-0000-0000-000083700000}"/>
    <cellStyle name="Normal 2 6 12" xfId="43594" xr:uid="{00000000-0005-0000-0000-000084700000}"/>
    <cellStyle name="Normal 2 6 13" xfId="43595" xr:uid="{00000000-0005-0000-0000-000085700000}"/>
    <cellStyle name="Normal 2 6 14" xfId="43596" xr:uid="{00000000-0005-0000-0000-000086700000}"/>
    <cellStyle name="Normal 2 6 15" xfId="43597" xr:uid="{00000000-0005-0000-0000-000087700000}"/>
    <cellStyle name="Normal 2 6 16" xfId="43592" xr:uid="{00000000-0005-0000-0000-000088700000}"/>
    <cellStyle name="Normal 2 6 2" xfId="2397" xr:uid="{00000000-0005-0000-0000-000089700000}"/>
    <cellStyle name="Normal 2 6 2 2" xfId="3739" xr:uid="{00000000-0005-0000-0000-00008A700000}"/>
    <cellStyle name="Normal 2 6 2 2 2" xfId="41656" xr:uid="{00000000-0005-0000-0000-00008B700000}"/>
    <cellStyle name="Normal 2 6 3" xfId="2398" xr:uid="{00000000-0005-0000-0000-00008C700000}"/>
    <cellStyle name="Normal 2 6 3 2" xfId="3740" xr:uid="{00000000-0005-0000-0000-00008D700000}"/>
    <cellStyle name="Normal 2 6 4" xfId="2399" xr:uid="{00000000-0005-0000-0000-00008E700000}"/>
    <cellStyle name="Normal 2 6 4 2" xfId="5706" xr:uid="{00000000-0005-0000-0000-00008F700000}"/>
    <cellStyle name="Normal 2 6 4 3" xfId="3741" xr:uid="{00000000-0005-0000-0000-000090700000}"/>
    <cellStyle name="Normal 2 6 5" xfId="2400" xr:uid="{00000000-0005-0000-0000-000091700000}"/>
    <cellStyle name="Normal 2 6 5 2" xfId="5707" xr:uid="{00000000-0005-0000-0000-000092700000}"/>
    <cellStyle name="Normal 2 6 5 3" xfId="3742" xr:uid="{00000000-0005-0000-0000-000093700000}"/>
    <cellStyle name="Normal 2 6 6" xfId="2401" xr:uid="{00000000-0005-0000-0000-000094700000}"/>
    <cellStyle name="Normal 2 6 6 2" xfId="5708" xr:uid="{00000000-0005-0000-0000-000095700000}"/>
    <cellStyle name="Normal 2 6 6 3" xfId="3743" xr:uid="{00000000-0005-0000-0000-000096700000}"/>
    <cellStyle name="Normal 2 6 7" xfId="5336" xr:uid="{00000000-0005-0000-0000-000097700000}"/>
    <cellStyle name="Normal 2 6 8" xfId="6214" xr:uid="{00000000-0005-0000-0000-000098700000}"/>
    <cellStyle name="Normal 2 6 8 2" xfId="6906" xr:uid="{00000000-0005-0000-0000-000099700000}"/>
    <cellStyle name="Normal 2 6 8 2 2" xfId="25594" xr:uid="{00000000-0005-0000-0000-00009A700000}"/>
    <cellStyle name="Normal 2 6 8 2 3" xfId="29807" xr:uid="{00000000-0005-0000-0000-00009B700000}"/>
    <cellStyle name="Normal 2 6 8 2 4" xfId="34022" xr:uid="{00000000-0005-0000-0000-00009C700000}"/>
    <cellStyle name="Normal 2 6 8 2 5" xfId="38226" xr:uid="{00000000-0005-0000-0000-00009D700000}"/>
    <cellStyle name="Normal 2 6 8 3" xfId="25497" xr:uid="{00000000-0005-0000-0000-00009E700000}"/>
    <cellStyle name="Normal 2 6 8 3 2" xfId="43598" xr:uid="{00000000-0005-0000-0000-00009F700000}"/>
    <cellStyle name="Normal 2 6 8 4" xfId="29709" xr:uid="{00000000-0005-0000-0000-0000A0700000}"/>
    <cellStyle name="Normal 2 6 8 5" xfId="33925" xr:uid="{00000000-0005-0000-0000-0000A1700000}"/>
    <cellStyle name="Normal 2 6 8 6" xfId="38129" xr:uid="{00000000-0005-0000-0000-0000A2700000}"/>
    <cellStyle name="Normal 2 6 9" xfId="10167" xr:uid="{00000000-0005-0000-0000-0000A3700000}"/>
    <cellStyle name="Normal 2 6 9 2" xfId="43599" xr:uid="{00000000-0005-0000-0000-0000A4700000}"/>
    <cellStyle name="Normal 2 7" xfId="2402" xr:uid="{00000000-0005-0000-0000-0000A5700000}"/>
    <cellStyle name="Normal 2 7 2" xfId="2403" xr:uid="{00000000-0005-0000-0000-0000A6700000}"/>
    <cellStyle name="Normal 2 7 2 2" xfId="3745" xr:uid="{00000000-0005-0000-0000-0000A7700000}"/>
    <cellStyle name="Normal 2 7 3" xfId="2404" xr:uid="{00000000-0005-0000-0000-0000A8700000}"/>
    <cellStyle name="Normal 2 7 3 2" xfId="3746" xr:uid="{00000000-0005-0000-0000-0000A9700000}"/>
    <cellStyle name="Normal 2 7 4" xfId="2405" xr:uid="{00000000-0005-0000-0000-0000AA700000}"/>
    <cellStyle name="Normal 2 7 4 2" xfId="5709" xr:uid="{00000000-0005-0000-0000-0000AB700000}"/>
    <cellStyle name="Normal 2 7 4 3" xfId="3747" xr:uid="{00000000-0005-0000-0000-0000AC700000}"/>
    <cellStyle name="Normal 2 7 5" xfId="2406" xr:uid="{00000000-0005-0000-0000-0000AD700000}"/>
    <cellStyle name="Normal 2 7 5 2" xfId="5710" xr:uid="{00000000-0005-0000-0000-0000AE700000}"/>
    <cellStyle name="Normal 2 7 5 3" xfId="3748" xr:uid="{00000000-0005-0000-0000-0000AF700000}"/>
    <cellStyle name="Normal 2 7 6" xfId="2407" xr:uid="{00000000-0005-0000-0000-0000B0700000}"/>
    <cellStyle name="Normal 2 7 6 2" xfId="5711" xr:uid="{00000000-0005-0000-0000-0000B1700000}"/>
    <cellStyle name="Normal 2 7 6 3" xfId="3749" xr:uid="{00000000-0005-0000-0000-0000B2700000}"/>
    <cellStyle name="Normal 2 7 7" xfId="5337" xr:uid="{00000000-0005-0000-0000-0000B3700000}"/>
    <cellStyle name="Normal 2 7 8" xfId="3744" xr:uid="{00000000-0005-0000-0000-0000B4700000}"/>
    <cellStyle name="Normal 2 8" xfId="2408" xr:uid="{00000000-0005-0000-0000-0000B5700000}"/>
    <cellStyle name="Normal 2 8 2" xfId="2409" xr:uid="{00000000-0005-0000-0000-0000B6700000}"/>
    <cellStyle name="Normal 2 8 2 2" xfId="3751" xr:uid="{00000000-0005-0000-0000-0000B7700000}"/>
    <cellStyle name="Normal 2 8 3" xfId="2410" xr:uid="{00000000-0005-0000-0000-0000B8700000}"/>
    <cellStyle name="Normal 2 8 3 2" xfId="3752" xr:uid="{00000000-0005-0000-0000-0000B9700000}"/>
    <cellStyle name="Normal 2 8 4" xfId="2411" xr:uid="{00000000-0005-0000-0000-0000BA700000}"/>
    <cellStyle name="Normal 2 8 4 2" xfId="5712" xr:uid="{00000000-0005-0000-0000-0000BB700000}"/>
    <cellStyle name="Normal 2 8 4 3" xfId="3753" xr:uid="{00000000-0005-0000-0000-0000BC700000}"/>
    <cellStyle name="Normal 2 8 5" xfId="2412" xr:uid="{00000000-0005-0000-0000-0000BD700000}"/>
    <cellStyle name="Normal 2 8 5 2" xfId="5713" xr:uid="{00000000-0005-0000-0000-0000BE700000}"/>
    <cellStyle name="Normal 2 8 5 3" xfId="3754" xr:uid="{00000000-0005-0000-0000-0000BF700000}"/>
    <cellStyle name="Normal 2 8 6" xfId="2413" xr:uid="{00000000-0005-0000-0000-0000C0700000}"/>
    <cellStyle name="Normal 2 8 6 2" xfId="5714" xr:uid="{00000000-0005-0000-0000-0000C1700000}"/>
    <cellStyle name="Normal 2 8 6 3" xfId="3755" xr:uid="{00000000-0005-0000-0000-0000C2700000}"/>
    <cellStyle name="Normal 2 8 7" xfId="5338" xr:uid="{00000000-0005-0000-0000-0000C3700000}"/>
    <cellStyle name="Normal 2 8 8" xfId="3750" xr:uid="{00000000-0005-0000-0000-0000C4700000}"/>
    <cellStyle name="Normal 2 9" xfId="2414" xr:uid="{00000000-0005-0000-0000-0000C5700000}"/>
    <cellStyle name="Normal 2 9 2" xfId="6215" xr:uid="{00000000-0005-0000-0000-0000C6700000}"/>
    <cellStyle name="Normal 2 9 2 2" xfId="6907" xr:uid="{00000000-0005-0000-0000-0000C7700000}"/>
    <cellStyle name="Normal 2 9 2 2 2" xfId="25595" xr:uid="{00000000-0005-0000-0000-0000C8700000}"/>
    <cellStyle name="Normal 2 9 2 2 3" xfId="29808" xr:uid="{00000000-0005-0000-0000-0000C9700000}"/>
    <cellStyle name="Normal 2 9 2 2 4" xfId="34023" xr:uid="{00000000-0005-0000-0000-0000CA700000}"/>
    <cellStyle name="Normal 2 9 2 2 5" xfId="38227" xr:uid="{00000000-0005-0000-0000-0000CB700000}"/>
    <cellStyle name="Normal 2 9 2 3" xfId="25498" xr:uid="{00000000-0005-0000-0000-0000CC700000}"/>
    <cellStyle name="Normal 2 9 2 4" xfId="29710" xr:uid="{00000000-0005-0000-0000-0000CD700000}"/>
    <cellStyle name="Normal 2 9 2 5" xfId="33926" xr:uid="{00000000-0005-0000-0000-0000CE700000}"/>
    <cellStyle name="Normal 2 9 2 6" xfId="38130" xr:uid="{00000000-0005-0000-0000-0000CF700000}"/>
    <cellStyle name="Normal 2 9 3" xfId="3756" xr:uid="{00000000-0005-0000-0000-0000D0700000}"/>
    <cellStyle name="Normal 2_Copy of Commissioning date correction" xfId="3757" xr:uid="{00000000-0005-0000-0000-0000D1700000}"/>
    <cellStyle name="Normal 20" xfId="2415" xr:uid="{00000000-0005-0000-0000-0000D2700000}"/>
    <cellStyle name="Normal 20 10" xfId="7239" xr:uid="{00000000-0005-0000-0000-0000D3700000}"/>
    <cellStyle name="Normal 20 10 2" xfId="25872" xr:uid="{00000000-0005-0000-0000-0000D4700000}"/>
    <cellStyle name="Normal 20 10 3" xfId="30085" xr:uid="{00000000-0005-0000-0000-0000D5700000}"/>
    <cellStyle name="Normal 20 10 4" xfId="34300" xr:uid="{00000000-0005-0000-0000-0000D6700000}"/>
    <cellStyle name="Normal 20 10 5" xfId="38504" xr:uid="{00000000-0005-0000-0000-0000D7700000}"/>
    <cellStyle name="Normal 20 11" xfId="7358" xr:uid="{00000000-0005-0000-0000-0000D8700000}"/>
    <cellStyle name="Normal 20 11 2" xfId="25991" xr:uid="{00000000-0005-0000-0000-0000D9700000}"/>
    <cellStyle name="Normal 20 11 3" xfId="30204" xr:uid="{00000000-0005-0000-0000-0000DA700000}"/>
    <cellStyle name="Normal 20 11 4" xfId="34419" xr:uid="{00000000-0005-0000-0000-0000DB700000}"/>
    <cellStyle name="Normal 20 11 5" xfId="38623" xr:uid="{00000000-0005-0000-0000-0000DC700000}"/>
    <cellStyle name="Normal 20 12" xfId="7476" xr:uid="{00000000-0005-0000-0000-0000DD700000}"/>
    <cellStyle name="Normal 20 12 2" xfId="26109" xr:uid="{00000000-0005-0000-0000-0000DE700000}"/>
    <cellStyle name="Normal 20 12 3" xfId="30322" xr:uid="{00000000-0005-0000-0000-0000DF700000}"/>
    <cellStyle name="Normal 20 12 4" xfId="34537" xr:uid="{00000000-0005-0000-0000-0000E0700000}"/>
    <cellStyle name="Normal 20 12 5" xfId="38741" xr:uid="{00000000-0005-0000-0000-0000E1700000}"/>
    <cellStyle name="Normal 20 13" xfId="8312" xr:uid="{00000000-0005-0000-0000-0000E2700000}"/>
    <cellStyle name="Normal 20 14" xfId="8977" xr:uid="{00000000-0005-0000-0000-0000E3700000}"/>
    <cellStyle name="Normal 20 14 2" xfId="26548" xr:uid="{00000000-0005-0000-0000-0000E4700000}"/>
    <cellStyle name="Normal 20 14 3" xfId="30761" xr:uid="{00000000-0005-0000-0000-0000E5700000}"/>
    <cellStyle name="Normal 20 14 4" xfId="34976" xr:uid="{00000000-0005-0000-0000-0000E6700000}"/>
    <cellStyle name="Normal 20 14 5" xfId="39180" xr:uid="{00000000-0005-0000-0000-0000E7700000}"/>
    <cellStyle name="Normal 20 15" xfId="9099" xr:uid="{00000000-0005-0000-0000-0000E8700000}"/>
    <cellStyle name="Normal 20 15 2" xfId="26670" xr:uid="{00000000-0005-0000-0000-0000E9700000}"/>
    <cellStyle name="Normal 20 15 3" xfId="30883" xr:uid="{00000000-0005-0000-0000-0000EA700000}"/>
    <cellStyle name="Normal 20 15 4" xfId="35098" xr:uid="{00000000-0005-0000-0000-0000EB700000}"/>
    <cellStyle name="Normal 20 15 5" xfId="39302" xr:uid="{00000000-0005-0000-0000-0000EC700000}"/>
    <cellStyle name="Normal 20 16" xfId="9219" xr:uid="{00000000-0005-0000-0000-0000ED700000}"/>
    <cellStyle name="Normal 20 16 2" xfId="26790" xr:uid="{00000000-0005-0000-0000-0000EE700000}"/>
    <cellStyle name="Normal 20 16 3" xfId="31003" xr:uid="{00000000-0005-0000-0000-0000EF700000}"/>
    <cellStyle name="Normal 20 16 4" xfId="35218" xr:uid="{00000000-0005-0000-0000-0000F0700000}"/>
    <cellStyle name="Normal 20 16 5" xfId="39422" xr:uid="{00000000-0005-0000-0000-0000F1700000}"/>
    <cellStyle name="Normal 20 17" xfId="9340" xr:uid="{00000000-0005-0000-0000-0000F2700000}"/>
    <cellStyle name="Normal 20 17 2" xfId="26911" xr:uid="{00000000-0005-0000-0000-0000F3700000}"/>
    <cellStyle name="Normal 20 17 3" xfId="31124" xr:uid="{00000000-0005-0000-0000-0000F4700000}"/>
    <cellStyle name="Normal 20 17 4" xfId="35339" xr:uid="{00000000-0005-0000-0000-0000F5700000}"/>
    <cellStyle name="Normal 20 17 5" xfId="39543" xr:uid="{00000000-0005-0000-0000-0000F6700000}"/>
    <cellStyle name="Normal 20 18" xfId="9459" xr:uid="{00000000-0005-0000-0000-0000F7700000}"/>
    <cellStyle name="Normal 20 18 2" xfId="27030" xr:uid="{00000000-0005-0000-0000-0000F8700000}"/>
    <cellStyle name="Normal 20 18 3" xfId="31243" xr:uid="{00000000-0005-0000-0000-0000F9700000}"/>
    <cellStyle name="Normal 20 18 4" xfId="35458" xr:uid="{00000000-0005-0000-0000-0000FA700000}"/>
    <cellStyle name="Normal 20 18 5" xfId="39662" xr:uid="{00000000-0005-0000-0000-0000FB700000}"/>
    <cellStyle name="Normal 20 19" xfId="3758" xr:uid="{00000000-0005-0000-0000-0000FC700000}"/>
    <cellStyle name="Normal 20 2" xfId="2416" xr:uid="{00000000-0005-0000-0000-0000FD700000}"/>
    <cellStyle name="Normal 20 2 10" xfId="7240" xr:uid="{00000000-0005-0000-0000-0000FE700000}"/>
    <cellStyle name="Normal 20 2 10 2" xfId="25873" xr:uid="{00000000-0005-0000-0000-0000FF700000}"/>
    <cellStyle name="Normal 20 2 10 3" xfId="30086" xr:uid="{00000000-0005-0000-0000-000000710000}"/>
    <cellStyle name="Normal 20 2 10 4" xfId="34301" xr:uid="{00000000-0005-0000-0000-000001710000}"/>
    <cellStyle name="Normal 20 2 10 5" xfId="38505" xr:uid="{00000000-0005-0000-0000-000002710000}"/>
    <cellStyle name="Normal 20 2 11" xfId="7359" xr:uid="{00000000-0005-0000-0000-000003710000}"/>
    <cellStyle name="Normal 20 2 11 2" xfId="25992" xr:uid="{00000000-0005-0000-0000-000004710000}"/>
    <cellStyle name="Normal 20 2 11 3" xfId="30205" xr:uid="{00000000-0005-0000-0000-000005710000}"/>
    <cellStyle name="Normal 20 2 11 4" xfId="34420" xr:uid="{00000000-0005-0000-0000-000006710000}"/>
    <cellStyle name="Normal 20 2 11 5" xfId="38624" xr:uid="{00000000-0005-0000-0000-000007710000}"/>
    <cellStyle name="Normal 20 2 12" xfId="7477" xr:uid="{00000000-0005-0000-0000-000008710000}"/>
    <cellStyle name="Normal 20 2 12 2" xfId="26110" xr:uid="{00000000-0005-0000-0000-000009710000}"/>
    <cellStyle name="Normal 20 2 12 3" xfId="30323" xr:uid="{00000000-0005-0000-0000-00000A710000}"/>
    <cellStyle name="Normal 20 2 12 4" xfId="34538" xr:uid="{00000000-0005-0000-0000-00000B710000}"/>
    <cellStyle name="Normal 20 2 12 5" xfId="38742" xr:uid="{00000000-0005-0000-0000-00000C710000}"/>
    <cellStyle name="Normal 20 2 13" xfId="8978" xr:uid="{00000000-0005-0000-0000-00000D710000}"/>
    <cellStyle name="Normal 20 2 13 2" xfId="26549" xr:uid="{00000000-0005-0000-0000-00000E710000}"/>
    <cellStyle name="Normal 20 2 13 3" xfId="30762" xr:uid="{00000000-0005-0000-0000-00000F710000}"/>
    <cellStyle name="Normal 20 2 13 4" xfId="34977" xr:uid="{00000000-0005-0000-0000-000010710000}"/>
    <cellStyle name="Normal 20 2 13 5" xfId="39181" xr:uid="{00000000-0005-0000-0000-000011710000}"/>
    <cellStyle name="Normal 20 2 14" xfId="9100" xr:uid="{00000000-0005-0000-0000-000012710000}"/>
    <cellStyle name="Normal 20 2 14 2" xfId="26671" xr:uid="{00000000-0005-0000-0000-000013710000}"/>
    <cellStyle name="Normal 20 2 14 3" xfId="30884" xr:uid="{00000000-0005-0000-0000-000014710000}"/>
    <cellStyle name="Normal 20 2 14 4" xfId="35099" xr:uid="{00000000-0005-0000-0000-000015710000}"/>
    <cellStyle name="Normal 20 2 14 5" xfId="39303" xr:uid="{00000000-0005-0000-0000-000016710000}"/>
    <cellStyle name="Normal 20 2 15" xfId="9220" xr:uid="{00000000-0005-0000-0000-000017710000}"/>
    <cellStyle name="Normal 20 2 15 2" xfId="26791" xr:uid="{00000000-0005-0000-0000-000018710000}"/>
    <cellStyle name="Normal 20 2 15 3" xfId="31004" xr:uid="{00000000-0005-0000-0000-000019710000}"/>
    <cellStyle name="Normal 20 2 15 4" xfId="35219" xr:uid="{00000000-0005-0000-0000-00001A710000}"/>
    <cellStyle name="Normal 20 2 15 5" xfId="39423" xr:uid="{00000000-0005-0000-0000-00001B710000}"/>
    <cellStyle name="Normal 20 2 16" xfId="9341" xr:uid="{00000000-0005-0000-0000-00001C710000}"/>
    <cellStyle name="Normal 20 2 16 2" xfId="26912" xr:uid="{00000000-0005-0000-0000-00001D710000}"/>
    <cellStyle name="Normal 20 2 16 3" xfId="31125" xr:uid="{00000000-0005-0000-0000-00001E710000}"/>
    <cellStyle name="Normal 20 2 16 4" xfId="35340" xr:uid="{00000000-0005-0000-0000-00001F710000}"/>
    <cellStyle name="Normal 20 2 16 5" xfId="39544" xr:uid="{00000000-0005-0000-0000-000020710000}"/>
    <cellStyle name="Normal 20 2 17" xfId="9460" xr:uid="{00000000-0005-0000-0000-000021710000}"/>
    <cellStyle name="Normal 20 2 17 2" xfId="27031" xr:uid="{00000000-0005-0000-0000-000022710000}"/>
    <cellStyle name="Normal 20 2 17 3" xfId="31244" xr:uid="{00000000-0005-0000-0000-000023710000}"/>
    <cellStyle name="Normal 20 2 17 4" xfId="35459" xr:uid="{00000000-0005-0000-0000-000024710000}"/>
    <cellStyle name="Normal 20 2 17 5" xfId="39663" xr:uid="{00000000-0005-0000-0000-000025710000}"/>
    <cellStyle name="Normal 20 2 18" xfId="3759" xr:uid="{00000000-0005-0000-0000-000026710000}"/>
    <cellStyle name="Normal 20 2 18 2" xfId="43600" xr:uid="{00000000-0005-0000-0000-000027710000}"/>
    <cellStyle name="Normal 20 2 2" xfId="2417" xr:uid="{00000000-0005-0000-0000-000028710000}"/>
    <cellStyle name="Normal 20 2 2 2" xfId="2418" xr:uid="{00000000-0005-0000-0000-000029710000}"/>
    <cellStyle name="Normal 20 2 2 2 2" xfId="3761" xr:uid="{00000000-0005-0000-0000-00002A710000}"/>
    <cellStyle name="Normal 20 2 2 3" xfId="3760" xr:uid="{00000000-0005-0000-0000-00002B710000}"/>
    <cellStyle name="Normal 20 2 3" xfId="2419" xr:uid="{00000000-0005-0000-0000-00002C710000}"/>
    <cellStyle name="Normal 20 2 3 2" xfId="3762" xr:uid="{00000000-0005-0000-0000-00002D710000}"/>
    <cellStyle name="Normal 20 2 4" xfId="2420" xr:uid="{00000000-0005-0000-0000-00002E710000}"/>
    <cellStyle name="Normal 20 2 4 2" xfId="3763" xr:uid="{00000000-0005-0000-0000-00002F710000}"/>
    <cellStyle name="Normal 20 2 5" xfId="2421" xr:uid="{00000000-0005-0000-0000-000030710000}"/>
    <cellStyle name="Normal 20 2 5 2" xfId="3764" xr:uid="{00000000-0005-0000-0000-000031710000}"/>
    <cellStyle name="Normal 20 2 6" xfId="2422" xr:uid="{00000000-0005-0000-0000-000032710000}"/>
    <cellStyle name="Normal 20 2 6 2" xfId="3765" xr:uid="{00000000-0005-0000-0000-000033710000}"/>
    <cellStyle name="Normal 20 2 7" xfId="5339" xr:uid="{00000000-0005-0000-0000-000034710000}"/>
    <cellStyle name="Normal 20 2 8" xfId="5340" xr:uid="{00000000-0005-0000-0000-000035710000}"/>
    <cellStyle name="Normal 20 2 8 2" xfId="5341" xr:uid="{00000000-0005-0000-0000-000036710000}"/>
    <cellStyle name="Normal 20 2 9" xfId="7108" xr:uid="{00000000-0005-0000-0000-000037710000}"/>
    <cellStyle name="Normal 20 2 9 2" xfId="25760" xr:uid="{00000000-0005-0000-0000-000038710000}"/>
    <cellStyle name="Normal 20 2 9 3" xfId="29973" xr:uid="{00000000-0005-0000-0000-000039710000}"/>
    <cellStyle name="Normal 20 2 9 4" xfId="34188" xr:uid="{00000000-0005-0000-0000-00003A710000}"/>
    <cellStyle name="Normal 20 2 9 5" xfId="38392" xr:uid="{00000000-0005-0000-0000-00003B710000}"/>
    <cellStyle name="Normal 20 3" xfId="2423" xr:uid="{00000000-0005-0000-0000-00003C710000}"/>
    <cellStyle name="Normal 20 3 10" xfId="7241" xr:uid="{00000000-0005-0000-0000-00003D710000}"/>
    <cellStyle name="Normal 20 3 10 2" xfId="25874" xr:uid="{00000000-0005-0000-0000-00003E710000}"/>
    <cellStyle name="Normal 20 3 10 3" xfId="30087" xr:uid="{00000000-0005-0000-0000-00003F710000}"/>
    <cellStyle name="Normal 20 3 10 4" xfId="34302" xr:uid="{00000000-0005-0000-0000-000040710000}"/>
    <cellStyle name="Normal 20 3 10 5" xfId="38506" xr:uid="{00000000-0005-0000-0000-000041710000}"/>
    <cellStyle name="Normal 20 3 11" xfId="7360" xr:uid="{00000000-0005-0000-0000-000042710000}"/>
    <cellStyle name="Normal 20 3 11 2" xfId="25993" xr:uid="{00000000-0005-0000-0000-000043710000}"/>
    <cellStyle name="Normal 20 3 11 3" xfId="30206" xr:uid="{00000000-0005-0000-0000-000044710000}"/>
    <cellStyle name="Normal 20 3 11 4" xfId="34421" xr:uid="{00000000-0005-0000-0000-000045710000}"/>
    <cellStyle name="Normal 20 3 11 5" xfId="38625" xr:uid="{00000000-0005-0000-0000-000046710000}"/>
    <cellStyle name="Normal 20 3 12" xfId="7478" xr:uid="{00000000-0005-0000-0000-000047710000}"/>
    <cellStyle name="Normal 20 3 12 2" xfId="26111" xr:uid="{00000000-0005-0000-0000-000048710000}"/>
    <cellStyle name="Normal 20 3 12 3" xfId="30324" xr:uid="{00000000-0005-0000-0000-000049710000}"/>
    <cellStyle name="Normal 20 3 12 4" xfId="34539" xr:uid="{00000000-0005-0000-0000-00004A710000}"/>
    <cellStyle name="Normal 20 3 12 5" xfId="38743" xr:uid="{00000000-0005-0000-0000-00004B710000}"/>
    <cellStyle name="Normal 20 3 13" xfId="8979" xr:uid="{00000000-0005-0000-0000-00004C710000}"/>
    <cellStyle name="Normal 20 3 13 2" xfId="26550" xr:uid="{00000000-0005-0000-0000-00004D710000}"/>
    <cellStyle name="Normal 20 3 13 3" xfId="30763" xr:uid="{00000000-0005-0000-0000-00004E710000}"/>
    <cellStyle name="Normal 20 3 13 4" xfId="34978" xr:uid="{00000000-0005-0000-0000-00004F710000}"/>
    <cellStyle name="Normal 20 3 13 5" xfId="39182" xr:uid="{00000000-0005-0000-0000-000050710000}"/>
    <cellStyle name="Normal 20 3 14" xfId="9101" xr:uid="{00000000-0005-0000-0000-000051710000}"/>
    <cellStyle name="Normal 20 3 14 2" xfId="26672" xr:uid="{00000000-0005-0000-0000-000052710000}"/>
    <cellStyle name="Normal 20 3 14 3" xfId="30885" xr:uid="{00000000-0005-0000-0000-000053710000}"/>
    <cellStyle name="Normal 20 3 14 4" xfId="35100" xr:uid="{00000000-0005-0000-0000-000054710000}"/>
    <cellStyle name="Normal 20 3 14 5" xfId="39304" xr:uid="{00000000-0005-0000-0000-000055710000}"/>
    <cellStyle name="Normal 20 3 15" xfId="9221" xr:uid="{00000000-0005-0000-0000-000056710000}"/>
    <cellStyle name="Normal 20 3 15 2" xfId="26792" xr:uid="{00000000-0005-0000-0000-000057710000}"/>
    <cellStyle name="Normal 20 3 15 3" xfId="31005" xr:uid="{00000000-0005-0000-0000-000058710000}"/>
    <cellStyle name="Normal 20 3 15 4" xfId="35220" xr:uid="{00000000-0005-0000-0000-000059710000}"/>
    <cellStyle name="Normal 20 3 15 5" xfId="39424" xr:uid="{00000000-0005-0000-0000-00005A710000}"/>
    <cellStyle name="Normal 20 3 16" xfId="9342" xr:uid="{00000000-0005-0000-0000-00005B710000}"/>
    <cellStyle name="Normal 20 3 16 2" xfId="26913" xr:uid="{00000000-0005-0000-0000-00005C710000}"/>
    <cellStyle name="Normal 20 3 16 3" xfId="31126" xr:uid="{00000000-0005-0000-0000-00005D710000}"/>
    <cellStyle name="Normal 20 3 16 4" xfId="35341" xr:uid="{00000000-0005-0000-0000-00005E710000}"/>
    <cellStyle name="Normal 20 3 16 5" xfId="39545" xr:uid="{00000000-0005-0000-0000-00005F710000}"/>
    <cellStyle name="Normal 20 3 17" xfId="9461" xr:uid="{00000000-0005-0000-0000-000060710000}"/>
    <cellStyle name="Normal 20 3 17 2" xfId="27032" xr:uid="{00000000-0005-0000-0000-000061710000}"/>
    <cellStyle name="Normal 20 3 17 3" xfId="31245" xr:uid="{00000000-0005-0000-0000-000062710000}"/>
    <cellStyle name="Normal 20 3 17 4" xfId="35460" xr:uid="{00000000-0005-0000-0000-000063710000}"/>
    <cellStyle name="Normal 20 3 17 5" xfId="39664" xr:uid="{00000000-0005-0000-0000-000064710000}"/>
    <cellStyle name="Normal 20 3 18" xfId="3766" xr:uid="{00000000-0005-0000-0000-000065710000}"/>
    <cellStyle name="Normal 20 3 18 2" xfId="43601" xr:uid="{00000000-0005-0000-0000-000066710000}"/>
    <cellStyle name="Normal 20 3 2" xfId="2424" xr:uid="{00000000-0005-0000-0000-000067710000}"/>
    <cellStyle name="Normal 20 3 2 2" xfId="2425" xr:uid="{00000000-0005-0000-0000-000068710000}"/>
    <cellStyle name="Normal 20 3 2 2 2" xfId="3768" xr:uid="{00000000-0005-0000-0000-000069710000}"/>
    <cellStyle name="Normal 20 3 2 3" xfId="3767" xr:uid="{00000000-0005-0000-0000-00006A710000}"/>
    <cellStyle name="Normal 20 3 3" xfId="2426" xr:uid="{00000000-0005-0000-0000-00006B710000}"/>
    <cellStyle name="Normal 20 3 3 2" xfId="3769" xr:uid="{00000000-0005-0000-0000-00006C710000}"/>
    <cellStyle name="Normal 20 3 4" xfId="2427" xr:uid="{00000000-0005-0000-0000-00006D710000}"/>
    <cellStyle name="Normal 20 3 4 2" xfId="3770" xr:uid="{00000000-0005-0000-0000-00006E710000}"/>
    <cellStyle name="Normal 20 3 5" xfId="2428" xr:uid="{00000000-0005-0000-0000-00006F710000}"/>
    <cellStyle name="Normal 20 3 5 2" xfId="3771" xr:uid="{00000000-0005-0000-0000-000070710000}"/>
    <cellStyle name="Normal 20 3 6" xfId="2429" xr:uid="{00000000-0005-0000-0000-000071710000}"/>
    <cellStyle name="Normal 20 3 6 2" xfId="3772" xr:uid="{00000000-0005-0000-0000-000072710000}"/>
    <cellStyle name="Normal 20 3 7" xfId="5342" xr:uid="{00000000-0005-0000-0000-000073710000}"/>
    <cellStyle name="Normal 20 3 8" xfId="5343" xr:uid="{00000000-0005-0000-0000-000074710000}"/>
    <cellStyle name="Normal 20 3 8 2" xfId="5344" xr:uid="{00000000-0005-0000-0000-000075710000}"/>
    <cellStyle name="Normal 20 3 9" xfId="7109" xr:uid="{00000000-0005-0000-0000-000076710000}"/>
    <cellStyle name="Normal 20 3 9 2" xfId="25761" xr:uid="{00000000-0005-0000-0000-000077710000}"/>
    <cellStyle name="Normal 20 3 9 3" xfId="29974" xr:uid="{00000000-0005-0000-0000-000078710000}"/>
    <cellStyle name="Normal 20 3 9 4" xfId="34189" xr:uid="{00000000-0005-0000-0000-000079710000}"/>
    <cellStyle name="Normal 20 3 9 5" xfId="38393" xr:uid="{00000000-0005-0000-0000-00007A710000}"/>
    <cellStyle name="Normal 20 4" xfId="2430" xr:uid="{00000000-0005-0000-0000-00007B710000}"/>
    <cellStyle name="Normal 20 4 2" xfId="2431" xr:uid="{00000000-0005-0000-0000-00007C710000}"/>
    <cellStyle name="Normal 20 4 2 2" xfId="2432" xr:uid="{00000000-0005-0000-0000-00007D710000}"/>
    <cellStyle name="Normal 20 4 2 2 2" xfId="3775" xr:uid="{00000000-0005-0000-0000-00007E710000}"/>
    <cellStyle name="Normal 20 4 2 3" xfId="3774" xr:uid="{00000000-0005-0000-0000-00007F710000}"/>
    <cellStyle name="Normal 20 4 3" xfId="2433" xr:uid="{00000000-0005-0000-0000-000080710000}"/>
    <cellStyle name="Normal 20 4 3 2" xfId="3776" xr:uid="{00000000-0005-0000-0000-000081710000}"/>
    <cellStyle name="Normal 20 4 4" xfId="2434" xr:uid="{00000000-0005-0000-0000-000082710000}"/>
    <cellStyle name="Normal 20 4 4 2" xfId="3777" xr:uid="{00000000-0005-0000-0000-000083710000}"/>
    <cellStyle name="Normal 20 4 5" xfId="2435" xr:uid="{00000000-0005-0000-0000-000084710000}"/>
    <cellStyle name="Normal 20 4 5 2" xfId="3778" xr:uid="{00000000-0005-0000-0000-000085710000}"/>
    <cellStyle name="Normal 20 4 6" xfId="2436" xr:uid="{00000000-0005-0000-0000-000086710000}"/>
    <cellStyle name="Normal 20 4 6 2" xfId="3779" xr:uid="{00000000-0005-0000-0000-000087710000}"/>
    <cellStyle name="Normal 20 4 7" xfId="5345" xr:uid="{00000000-0005-0000-0000-000088710000}"/>
    <cellStyle name="Normal 20 4 8" xfId="5346" xr:uid="{00000000-0005-0000-0000-000089710000}"/>
    <cellStyle name="Normal 20 4 8 2" xfId="5347" xr:uid="{00000000-0005-0000-0000-00008A710000}"/>
    <cellStyle name="Normal 20 4 9" xfId="3773" xr:uid="{00000000-0005-0000-0000-00008B710000}"/>
    <cellStyle name="Normal 20 5" xfId="2437" xr:uid="{00000000-0005-0000-0000-00008C710000}"/>
    <cellStyle name="Normal 20 5 2" xfId="2438" xr:uid="{00000000-0005-0000-0000-00008D710000}"/>
    <cellStyle name="Normal 20 5 2 2" xfId="2439" xr:uid="{00000000-0005-0000-0000-00008E710000}"/>
    <cellStyle name="Normal 20 5 2 2 2" xfId="3782" xr:uid="{00000000-0005-0000-0000-00008F710000}"/>
    <cellStyle name="Normal 20 5 2 3" xfId="3781" xr:uid="{00000000-0005-0000-0000-000090710000}"/>
    <cellStyle name="Normal 20 5 3" xfId="2440" xr:uid="{00000000-0005-0000-0000-000091710000}"/>
    <cellStyle name="Normal 20 5 3 2" xfId="3783" xr:uid="{00000000-0005-0000-0000-000092710000}"/>
    <cellStyle name="Normal 20 5 4" xfId="2441" xr:uid="{00000000-0005-0000-0000-000093710000}"/>
    <cellStyle name="Normal 20 5 4 2" xfId="3784" xr:uid="{00000000-0005-0000-0000-000094710000}"/>
    <cellStyle name="Normal 20 5 5" xfId="2442" xr:uid="{00000000-0005-0000-0000-000095710000}"/>
    <cellStyle name="Normal 20 5 5 2" xfId="3785" xr:uid="{00000000-0005-0000-0000-000096710000}"/>
    <cellStyle name="Normal 20 5 6" xfId="2443" xr:uid="{00000000-0005-0000-0000-000097710000}"/>
    <cellStyle name="Normal 20 5 6 2" xfId="3786" xr:uid="{00000000-0005-0000-0000-000098710000}"/>
    <cellStyle name="Normal 20 5 7" xfId="5348" xr:uid="{00000000-0005-0000-0000-000099710000}"/>
    <cellStyle name="Normal 20 5 8" xfId="5349" xr:uid="{00000000-0005-0000-0000-00009A710000}"/>
    <cellStyle name="Normal 20 5 8 2" xfId="5350" xr:uid="{00000000-0005-0000-0000-00009B710000}"/>
    <cellStyle name="Normal 20 5 9" xfId="3780" xr:uid="{00000000-0005-0000-0000-00009C710000}"/>
    <cellStyle name="Normal 20 6" xfId="2444" xr:uid="{00000000-0005-0000-0000-00009D710000}"/>
    <cellStyle name="Normal 20 6 2" xfId="2445" xr:uid="{00000000-0005-0000-0000-00009E710000}"/>
    <cellStyle name="Normal 20 6 2 2" xfId="2446" xr:uid="{00000000-0005-0000-0000-00009F710000}"/>
    <cellStyle name="Normal 20 6 2 2 2" xfId="3789" xr:uid="{00000000-0005-0000-0000-0000A0710000}"/>
    <cellStyle name="Normal 20 6 2 3" xfId="3788" xr:uid="{00000000-0005-0000-0000-0000A1710000}"/>
    <cellStyle name="Normal 20 6 3" xfId="2447" xr:uid="{00000000-0005-0000-0000-0000A2710000}"/>
    <cellStyle name="Normal 20 6 3 2" xfId="3790" xr:uid="{00000000-0005-0000-0000-0000A3710000}"/>
    <cellStyle name="Normal 20 6 4" xfId="2448" xr:uid="{00000000-0005-0000-0000-0000A4710000}"/>
    <cellStyle name="Normal 20 6 4 2" xfId="3791" xr:uid="{00000000-0005-0000-0000-0000A5710000}"/>
    <cellStyle name="Normal 20 6 5" xfId="2449" xr:uid="{00000000-0005-0000-0000-0000A6710000}"/>
    <cellStyle name="Normal 20 6 5 2" xfId="3792" xr:uid="{00000000-0005-0000-0000-0000A7710000}"/>
    <cellStyle name="Normal 20 6 6" xfId="2450" xr:uid="{00000000-0005-0000-0000-0000A8710000}"/>
    <cellStyle name="Normal 20 6 6 2" xfId="3793" xr:uid="{00000000-0005-0000-0000-0000A9710000}"/>
    <cellStyle name="Normal 20 6 7" xfId="5351" xr:uid="{00000000-0005-0000-0000-0000AA710000}"/>
    <cellStyle name="Normal 20 6 8" xfId="5352" xr:uid="{00000000-0005-0000-0000-0000AB710000}"/>
    <cellStyle name="Normal 20 6 8 2" xfId="5353" xr:uid="{00000000-0005-0000-0000-0000AC710000}"/>
    <cellStyle name="Normal 20 6 9" xfId="3787" xr:uid="{00000000-0005-0000-0000-0000AD710000}"/>
    <cellStyle name="Normal 20 7" xfId="5354" xr:uid="{00000000-0005-0000-0000-0000AE710000}"/>
    <cellStyle name="Normal 20 8" xfId="5355" xr:uid="{00000000-0005-0000-0000-0000AF710000}"/>
    <cellStyle name="Normal 20 8 2" xfId="5356" xr:uid="{00000000-0005-0000-0000-0000B0710000}"/>
    <cellStyle name="Normal 20 9" xfId="7107" xr:uid="{00000000-0005-0000-0000-0000B1710000}"/>
    <cellStyle name="Normal 20 9 2" xfId="25759" xr:uid="{00000000-0005-0000-0000-0000B2710000}"/>
    <cellStyle name="Normal 20 9 3" xfId="29972" xr:uid="{00000000-0005-0000-0000-0000B3710000}"/>
    <cellStyle name="Normal 20 9 4" xfId="34187" xr:uid="{00000000-0005-0000-0000-0000B4710000}"/>
    <cellStyle name="Normal 20 9 5" xfId="38391" xr:uid="{00000000-0005-0000-0000-0000B5710000}"/>
    <cellStyle name="Normal 21" xfId="2451" xr:uid="{00000000-0005-0000-0000-0000B6710000}"/>
    <cellStyle name="Normal 21 10" xfId="7242" xr:uid="{00000000-0005-0000-0000-0000B7710000}"/>
    <cellStyle name="Normal 21 10 2" xfId="25875" xr:uid="{00000000-0005-0000-0000-0000B8710000}"/>
    <cellStyle name="Normal 21 10 3" xfId="30088" xr:uid="{00000000-0005-0000-0000-0000B9710000}"/>
    <cellStyle name="Normal 21 10 4" xfId="34303" xr:uid="{00000000-0005-0000-0000-0000BA710000}"/>
    <cellStyle name="Normal 21 10 5" xfId="38507" xr:uid="{00000000-0005-0000-0000-0000BB710000}"/>
    <cellStyle name="Normal 21 11" xfId="7361" xr:uid="{00000000-0005-0000-0000-0000BC710000}"/>
    <cellStyle name="Normal 21 11 2" xfId="25994" xr:uid="{00000000-0005-0000-0000-0000BD710000}"/>
    <cellStyle name="Normal 21 11 3" xfId="30207" xr:uid="{00000000-0005-0000-0000-0000BE710000}"/>
    <cellStyle name="Normal 21 11 4" xfId="34422" xr:uid="{00000000-0005-0000-0000-0000BF710000}"/>
    <cellStyle name="Normal 21 11 5" xfId="38626" xr:uid="{00000000-0005-0000-0000-0000C0710000}"/>
    <cellStyle name="Normal 21 12" xfId="7479" xr:uid="{00000000-0005-0000-0000-0000C1710000}"/>
    <cellStyle name="Normal 21 12 2" xfId="26112" xr:uid="{00000000-0005-0000-0000-0000C2710000}"/>
    <cellStyle name="Normal 21 12 3" xfId="30325" xr:uid="{00000000-0005-0000-0000-0000C3710000}"/>
    <cellStyle name="Normal 21 12 4" xfId="34540" xr:uid="{00000000-0005-0000-0000-0000C4710000}"/>
    <cellStyle name="Normal 21 12 5" xfId="38744" xr:uid="{00000000-0005-0000-0000-0000C5710000}"/>
    <cellStyle name="Normal 21 13" xfId="8980" xr:uid="{00000000-0005-0000-0000-0000C6710000}"/>
    <cellStyle name="Normal 21 13 2" xfId="26551" xr:uid="{00000000-0005-0000-0000-0000C7710000}"/>
    <cellStyle name="Normal 21 13 3" xfId="30764" xr:uid="{00000000-0005-0000-0000-0000C8710000}"/>
    <cellStyle name="Normal 21 13 4" xfId="34979" xr:uid="{00000000-0005-0000-0000-0000C9710000}"/>
    <cellStyle name="Normal 21 13 5" xfId="39183" xr:uid="{00000000-0005-0000-0000-0000CA710000}"/>
    <cellStyle name="Normal 21 14" xfId="9102" xr:uid="{00000000-0005-0000-0000-0000CB710000}"/>
    <cellStyle name="Normal 21 14 2" xfId="26673" xr:uid="{00000000-0005-0000-0000-0000CC710000}"/>
    <cellStyle name="Normal 21 14 3" xfId="30886" xr:uid="{00000000-0005-0000-0000-0000CD710000}"/>
    <cellStyle name="Normal 21 14 4" xfId="35101" xr:uid="{00000000-0005-0000-0000-0000CE710000}"/>
    <cellStyle name="Normal 21 14 5" xfId="39305" xr:uid="{00000000-0005-0000-0000-0000CF710000}"/>
    <cellStyle name="Normal 21 15" xfId="9222" xr:uid="{00000000-0005-0000-0000-0000D0710000}"/>
    <cellStyle name="Normal 21 15 2" xfId="26793" xr:uid="{00000000-0005-0000-0000-0000D1710000}"/>
    <cellStyle name="Normal 21 15 3" xfId="31006" xr:uid="{00000000-0005-0000-0000-0000D2710000}"/>
    <cellStyle name="Normal 21 15 4" xfId="35221" xr:uid="{00000000-0005-0000-0000-0000D3710000}"/>
    <cellStyle name="Normal 21 15 5" xfId="39425" xr:uid="{00000000-0005-0000-0000-0000D4710000}"/>
    <cellStyle name="Normal 21 16" xfId="9343" xr:uid="{00000000-0005-0000-0000-0000D5710000}"/>
    <cellStyle name="Normal 21 16 2" xfId="26914" xr:uid="{00000000-0005-0000-0000-0000D6710000}"/>
    <cellStyle name="Normal 21 16 3" xfId="31127" xr:uid="{00000000-0005-0000-0000-0000D7710000}"/>
    <cellStyle name="Normal 21 16 4" xfId="35342" xr:uid="{00000000-0005-0000-0000-0000D8710000}"/>
    <cellStyle name="Normal 21 16 5" xfId="39546" xr:uid="{00000000-0005-0000-0000-0000D9710000}"/>
    <cellStyle name="Normal 21 17" xfId="9462" xr:uid="{00000000-0005-0000-0000-0000DA710000}"/>
    <cellStyle name="Normal 21 17 2" xfId="27033" xr:uid="{00000000-0005-0000-0000-0000DB710000}"/>
    <cellStyle name="Normal 21 17 3" xfId="31246" xr:uid="{00000000-0005-0000-0000-0000DC710000}"/>
    <cellStyle name="Normal 21 17 4" xfId="35461" xr:uid="{00000000-0005-0000-0000-0000DD710000}"/>
    <cellStyle name="Normal 21 17 5" xfId="39665" xr:uid="{00000000-0005-0000-0000-0000DE710000}"/>
    <cellStyle name="Normal 21 18" xfId="3794" xr:uid="{00000000-0005-0000-0000-0000DF710000}"/>
    <cellStyle name="Normal 21 2" xfId="2452" xr:uid="{00000000-0005-0000-0000-0000E0710000}"/>
    <cellStyle name="Normal 21 2 10" xfId="7243" xr:uid="{00000000-0005-0000-0000-0000E1710000}"/>
    <cellStyle name="Normal 21 2 10 2" xfId="25876" xr:uid="{00000000-0005-0000-0000-0000E2710000}"/>
    <cellStyle name="Normal 21 2 10 3" xfId="30089" xr:uid="{00000000-0005-0000-0000-0000E3710000}"/>
    <cellStyle name="Normal 21 2 10 4" xfId="34304" xr:uid="{00000000-0005-0000-0000-0000E4710000}"/>
    <cellStyle name="Normal 21 2 10 5" xfId="38508" xr:uid="{00000000-0005-0000-0000-0000E5710000}"/>
    <cellStyle name="Normal 21 2 11" xfId="7362" xr:uid="{00000000-0005-0000-0000-0000E6710000}"/>
    <cellStyle name="Normal 21 2 11 2" xfId="25995" xr:uid="{00000000-0005-0000-0000-0000E7710000}"/>
    <cellStyle name="Normal 21 2 11 3" xfId="30208" xr:uid="{00000000-0005-0000-0000-0000E8710000}"/>
    <cellStyle name="Normal 21 2 11 4" xfId="34423" xr:uid="{00000000-0005-0000-0000-0000E9710000}"/>
    <cellStyle name="Normal 21 2 11 5" xfId="38627" xr:uid="{00000000-0005-0000-0000-0000EA710000}"/>
    <cellStyle name="Normal 21 2 12" xfId="7480" xr:uid="{00000000-0005-0000-0000-0000EB710000}"/>
    <cellStyle name="Normal 21 2 12 2" xfId="26113" xr:uid="{00000000-0005-0000-0000-0000EC710000}"/>
    <cellStyle name="Normal 21 2 12 3" xfId="30326" xr:uid="{00000000-0005-0000-0000-0000ED710000}"/>
    <cellStyle name="Normal 21 2 12 4" xfId="34541" xr:uid="{00000000-0005-0000-0000-0000EE710000}"/>
    <cellStyle name="Normal 21 2 12 5" xfId="38745" xr:uid="{00000000-0005-0000-0000-0000EF710000}"/>
    <cellStyle name="Normal 21 2 13" xfId="8981" xr:uid="{00000000-0005-0000-0000-0000F0710000}"/>
    <cellStyle name="Normal 21 2 13 2" xfId="26552" xr:uid="{00000000-0005-0000-0000-0000F1710000}"/>
    <cellStyle name="Normal 21 2 13 3" xfId="30765" xr:uid="{00000000-0005-0000-0000-0000F2710000}"/>
    <cellStyle name="Normal 21 2 13 4" xfId="34980" xr:uid="{00000000-0005-0000-0000-0000F3710000}"/>
    <cellStyle name="Normal 21 2 13 5" xfId="39184" xr:uid="{00000000-0005-0000-0000-0000F4710000}"/>
    <cellStyle name="Normal 21 2 14" xfId="9103" xr:uid="{00000000-0005-0000-0000-0000F5710000}"/>
    <cellStyle name="Normal 21 2 14 2" xfId="26674" xr:uid="{00000000-0005-0000-0000-0000F6710000}"/>
    <cellStyle name="Normal 21 2 14 3" xfId="30887" xr:uid="{00000000-0005-0000-0000-0000F7710000}"/>
    <cellStyle name="Normal 21 2 14 4" xfId="35102" xr:uid="{00000000-0005-0000-0000-0000F8710000}"/>
    <cellStyle name="Normal 21 2 14 5" xfId="39306" xr:uid="{00000000-0005-0000-0000-0000F9710000}"/>
    <cellStyle name="Normal 21 2 15" xfId="9223" xr:uid="{00000000-0005-0000-0000-0000FA710000}"/>
    <cellStyle name="Normal 21 2 15 2" xfId="26794" xr:uid="{00000000-0005-0000-0000-0000FB710000}"/>
    <cellStyle name="Normal 21 2 15 3" xfId="31007" xr:uid="{00000000-0005-0000-0000-0000FC710000}"/>
    <cellStyle name="Normal 21 2 15 4" xfId="35222" xr:uid="{00000000-0005-0000-0000-0000FD710000}"/>
    <cellStyle name="Normal 21 2 15 5" xfId="39426" xr:uid="{00000000-0005-0000-0000-0000FE710000}"/>
    <cellStyle name="Normal 21 2 16" xfId="9344" xr:uid="{00000000-0005-0000-0000-0000FF710000}"/>
    <cellStyle name="Normal 21 2 16 2" xfId="26915" xr:uid="{00000000-0005-0000-0000-000000720000}"/>
    <cellStyle name="Normal 21 2 16 3" xfId="31128" xr:uid="{00000000-0005-0000-0000-000001720000}"/>
    <cellStyle name="Normal 21 2 16 4" xfId="35343" xr:uid="{00000000-0005-0000-0000-000002720000}"/>
    <cellStyle name="Normal 21 2 16 5" xfId="39547" xr:uid="{00000000-0005-0000-0000-000003720000}"/>
    <cellStyle name="Normal 21 2 17" xfId="9463" xr:uid="{00000000-0005-0000-0000-000004720000}"/>
    <cellStyle name="Normal 21 2 17 2" xfId="27034" xr:uid="{00000000-0005-0000-0000-000005720000}"/>
    <cellStyle name="Normal 21 2 17 3" xfId="31247" xr:uid="{00000000-0005-0000-0000-000006720000}"/>
    <cellStyle name="Normal 21 2 17 4" xfId="35462" xr:uid="{00000000-0005-0000-0000-000007720000}"/>
    <cellStyle name="Normal 21 2 17 5" xfId="39666" xr:uid="{00000000-0005-0000-0000-000008720000}"/>
    <cellStyle name="Normal 21 2 18" xfId="3795" xr:uid="{00000000-0005-0000-0000-000009720000}"/>
    <cellStyle name="Normal 21 2 18 2" xfId="43603" xr:uid="{00000000-0005-0000-0000-00000A720000}"/>
    <cellStyle name="Normal 21 2 2" xfId="2453" xr:uid="{00000000-0005-0000-0000-00000B720000}"/>
    <cellStyle name="Normal 21 2 2 2" xfId="2454" xr:uid="{00000000-0005-0000-0000-00000C720000}"/>
    <cellStyle name="Normal 21 2 2 2 2" xfId="3797" xr:uid="{00000000-0005-0000-0000-00000D720000}"/>
    <cellStyle name="Normal 21 2 2 3" xfId="3796" xr:uid="{00000000-0005-0000-0000-00000E720000}"/>
    <cellStyle name="Normal 21 2 3" xfId="2455" xr:uid="{00000000-0005-0000-0000-00000F720000}"/>
    <cellStyle name="Normal 21 2 3 2" xfId="3798" xr:uid="{00000000-0005-0000-0000-000010720000}"/>
    <cellStyle name="Normal 21 2 4" xfId="2456" xr:uid="{00000000-0005-0000-0000-000011720000}"/>
    <cellStyle name="Normal 21 2 4 2" xfId="3799" xr:uid="{00000000-0005-0000-0000-000012720000}"/>
    <cellStyle name="Normal 21 2 5" xfId="2457" xr:uid="{00000000-0005-0000-0000-000013720000}"/>
    <cellStyle name="Normal 21 2 5 2" xfId="3800" xr:uid="{00000000-0005-0000-0000-000014720000}"/>
    <cellStyle name="Normal 21 2 6" xfId="2458" xr:uid="{00000000-0005-0000-0000-000015720000}"/>
    <cellStyle name="Normal 21 2 6 2" xfId="3801" xr:uid="{00000000-0005-0000-0000-000016720000}"/>
    <cellStyle name="Normal 21 2 7" xfId="5357" xr:uid="{00000000-0005-0000-0000-000017720000}"/>
    <cellStyle name="Normal 21 2 8" xfId="5358" xr:uid="{00000000-0005-0000-0000-000018720000}"/>
    <cellStyle name="Normal 21 2 8 2" xfId="5359" xr:uid="{00000000-0005-0000-0000-000019720000}"/>
    <cellStyle name="Normal 21 2 9" xfId="7111" xr:uid="{00000000-0005-0000-0000-00001A720000}"/>
    <cellStyle name="Normal 21 2 9 2" xfId="25763" xr:uid="{00000000-0005-0000-0000-00001B720000}"/>
    <cellStyle name="Normal 21 2 9 3" xfId="29976" xr:uid="{00000000-0005-0000-0000-00001C720000}"/>
    <cellStyle name="Normal 21 2 9 4" xfId="34191" xr:uid="{00000000-0005-0000-0000-00001D720000}"/>
    <cellStyle name="Normal 21 2 9 5" xfId="38395" xr:uid="{00000000-0005-0000-0000-00001E720000}"/>
    <cellStyle name="Normal 21 3" xfId="2459" xr:uid="{00000000-0005-0000-0000-00001F720000}"/>
    <cellStyle name="Normal 21 3 10" xfId="7244" xr:uid="{00000000-0005-0000-0000-000020720000}"/>
    <cellStyle name="Normal 21 3 10 2" xfId="25877" xr:uid="{00000000-0005-0000-0000-000021720000}"/>
    <cellStyle name="Normal 21 3 10 3" xfId="30090" xr:uid="{00000000-0005-0000-0000-000022720000}"/>
    <cellStyle name="Normal 21 3 10 4" xfId="34305" xr:uid="{00000000-0005-0000-0000-000023720000}"/>
    <cellStyle name="Normal 21 3 10 5" xfId="38509" xr:uid="{00000000-0005-0000-0000-000024720000}"/>
    <cellStyle name="Normal 21 3 11" xfId="7363" xr:uid="{00000000-0005-0000-0000-000025720000}"/>
    <cellStyle name="Normal 21 3 11 2" xfId="25996" xr:uid="{00000000-0005-0000-0000-000026720000}"/>
    <cellStyle name="Normal 21 3 11 3" xfId="30209" xr:uid="{00000000-0005-0000-0000-000027720000}"/>
    <cellStyle name="Normal 21 3 11 4" xfId="34424" xr:uid="{00000000-0005-0000-0000-000028720000}"/>
    <cellStyle name="Normal 21 3 11 5" xfId="38628" xr:uid="{00000000-0005-0000-0000-000029720000}"/>
    <cellStyle name="Normal 21 3 12" xfId="7481" xr:uid="{00000000-0005-0000-0000-00002A720000}"/>
    <cellStyle name="Normal 21 3 12 2" xfId="26114" xr:uid="{00000000-0005-0000-0000-00002B720000}"/>
    <cellStyle name="Normal 21 3 12 3" xfId="30327" xr:uid="{00000000-0005-0000-0000-00002C720000}"/>
    <cellStyle name="Normal 21 3 12 4" xfId="34542" xr:uid="{00000000-0005-0000-0000-00002D720000}"/>
    <cellStyle name="Normal 21 3 12 5" xfId="38746" xr:uid="{00000000-0005-0000-0000-00002E720000}"/>
    <cellStyle name="Normal 21 3 13" xfId="8982" xr:uid="{00000000-0005-0000-0000-00002F720000}"/>
    <cellStyle name="Normal 21 3 13 2" xfId="26553" xr:uid="{00000000-0005-0000-0000-000030720000}"/>
    <cellStyle name="Normal 21 3 13 3" xfId="30766" xr:uid="{00000000-0005-0000-0000-000031720000}"/>
    <cellStyle name="Normal 21 3 13 4" xfId="34981" xr:uid="{00000000-0005-0000-0000-000032720000}"/>
    <cellStyle name="Normal 21 3 13 5" xfId="39185" xr:uid="{00000000-0005-0000-0000-000033720000}"/>
    <cellStyle name="Normal 21 3 14" xfId="9104" xr:uid="{00000000-0005-0000-0000-000034720000}"/>
    <cellStyle name="Normal 21 3 14 2" xfId="26675" xr:uid="{00000000-0005-0000-0000-000035720000}"/>
    <cellStyle name="Normal 21 3 14 3" xfId="30888" xr:uid="{00000000-0005-0000-0000-000036720000}"/>
    <cellStyle name="Normal 21 3 14 4" xfId="35103" xr:uid="{00000000-0005-0000-0000-000037720000}"/>
    <cellStyle name="Normal 21 3 14 5" xfId="39307" xr:uid="{00000000-0005-0000-0000-000038720000}"/>
    <cellStyle name="Normal 21 3 15" xfId="9224" xr:uid="{00000000-0005-0000-0000-000039720000}"/>
    <cellStyle name="Normal 21 3 15 2" xfId="26795" xr:uid="{00000000-0005-0000-0000-00003A720000}"/>
    <cellStyle name="Normal 21 3 15 3" xfId="31008" xr:uid="{00000000-0005-0000-0000-00003B720000}"/>
    <cellStyle name="Normal 21 3 15 4" xfId="35223" xr:uid="{00000000-0005-0000-0000-00003C720000}"/>
    <cellStyle name="Normal 21 3 15 5" xfId="39427" xr:uid="{00000000-0005-0000-0000-00003D720000}"/>
    <cellStyle name="Normal 21 3 16" xfId="9345" xr:uid="{00000000-0005-0000-0000-00003E720000}"/>
    <cellStyle name="Normal 21 3 16 2" xfId="26916" xr:uid="{00000000-0005-0000-0000-00003F720000}"/>
    <cellStyle name="Normal 21 3 16 3" xfId="31129" xr:uid="{00000000-0005-0000-0000-000040720000}"/>
    <cellStyle name="Normal 21 3 16 4" xfId="35344" xr:uid="{00000000-0005-0000-0000-000041720000}"/>
    <cellStyle name="Normal 21 3 16 5" xfId="39548" xr:uid="{00000000-0005-0000-0000-000042720000}"/>
    <cellStyle name="Normal 21 3 17" xfId="9464" xr:uid="{00000000-0005-0000-0000-000043720000}"/>
    <cellStyle name="Normal 21 3 17 2" xfId="27035" xr:uid="{00000000-0005-0000-0000-000044720000}"/>
    <cellStyle name="Normal 21 3 17 3" xfId="31248" xr:uid="{00000000-0005-0000-0000-000045720000}"/>
    <cellStyle name="Normal 21 3 17 4" xfId="35463" xr:uid="{00000000-0005-0000-0000-000046720000}"/>
    <cellStyle name="Normal 21 3 17 5" xfId="39667" xr:uid="{00000000-0005-0000-0000-000047720000}"/>
    <cellStyle name="Normal 21 3 18" xfId="3802" xr:uid="{00000000-0005-0000-0000-000048720000}"/>
    <cellStyle name="Normal 21 3 2" xfId="2460" xr:uid="{00000000-0005-0000-0000-000049720000}"/>
    <cellStyle name="Normal 21 3 2 2" xfId="2461" xr:uid="{00000000-0005-0000-0000-00004A720000}"/>
    <cellStyle name="Normal 21 3 2 2 2" xfId="3804" xr:uid="{00000000-0005-0000-0000-00004B720000}"/>
    <cellStyle name="Normal 21 3 2 3" xfId="3803" xr:uid="{00000000-0005-0000-0000-00004C720000}"/>
    <cellStyle name="Normal 21 3 3" xfId="2462" xr:uid="{00000000-0005-0000-0000-00004D720000}"/>
    <cellStyle name="Normal 21 3 3 2" xfId="3805" xr:uid="{00000000-0005-0000-0000-00004E720000}"/>
    <cellStyle name="Normal 21 3 4" xfId="2463" xr:uid="{00000000-0005-0000-0000-00004F720000}"/>
    <cellStyle name="Normal 21 3 4 2" xfId="3806" xr:uid="{00000000-0005-0000-0000-000050720000}"/>
    <cellStyle name="Normal 21 3 5" xfId="2464" xr:uid="{00000000-0005-0000-0000-000051720000}"/>
    <cellStyle name="Normal 21 3 5 2" xfId="3807" xr:uid="{00000000-0005-0000-0000-000052720000}"/>
    <cellStyle name="Normal 21 3 6" xfId="2465" xr:uid="{00000000-0005-0000-0000-000053720000}"/>
    <cellStyle name="Normal 21 3 6 2" xfId="3808" xr:uid="{00000000-0005-0000-0000-000054720000}"/>
    <cellStyle name="Normal 21 3 7" xfId="5360" xr:uid="{00000000-0005-0000-0000-000055720000}"/>
    <cellStyle name="Normal 21 3 8" xfId="5361" xr:uid="{00000000-0005-0000-0000-000056720000}"/>
    <cellStyle name="Normal 21 3 8 2" xfId="5362" xr:uid="{00000000-0005-0000-0000-000057720000}"/>
    <cellStyle name="Normal 21 3 9" xfId="7112" xr:uid="{00000000-0005-0000-0000-000058720000}"/>
    <cellStyle name="Normal 21 3 9 2" xfId="25764" xr:uid="{00000000-0005-0000-0000-000059720000}"/>
    <cellStyle name="Normal 21 3 9 3" xfId="29977" xr:uid="{00000000-0005-0000-0000-00005A720000}"/>
    <cellStyle name="Normal 21 3 9 4" xfId="34192" xr:uid="{00000000-0005-0000-0000-00005B720000}"/>
    <cellStyle name="Normal 21 3 9 5" xfId="38396" xr:uid="{00000000-0005-0000-0000-00005C720000}"/>
    <cellStyle name="Normal 21 4" xfId="2466" xr:uid="{00000000-0005-0000-0000-00005D720000}"/>
    <cellStyle name="Normal 21 4 2" xfId="2467" xr:uid="{00000000-0005-0000-0000-00005E720000}"/>
    <cellStyle name="Normal 21 4 2 2" xfId="2468" xr:uid="{00000000-0005-0000-0000-00005F720000}"/>
    <cellStyle name="Normal 21 4 2 2 2" xfId="3811" xr:uid="{00000000-0005-0000-0000-000060720000}"/>
    <cellStyle name="Normal 21 4 2 3" xfId="3810" xr:uid="{00000000-0005-0000-0000-000061720000}"/>
    <cellStyle name="Normal 21 4 3" xfId="2469" xr:uid="{00000000-0005-0000-0000-000062720000}"/>
    <cellStyle name="Normal 21 4 3 2" xfId="3812" xr:uid="{00000000-0005-0000-0000-000063720000}"/>
    <cellStyle name="Normal 21 4 4" xfId="2470" xr:uid="{00000000-0005-0000-0000-000064720000}"/>
    <cellStyle name="Normal 21 4 4 2" xfId="3813" xr:uid="{00000000-0005-0000-0000-000065720000}"/>
    <cellStyle name="Normal 21 4 5" xfId="2471" xr:uid="{00000000-0005-0000-0000-000066720000}"/>
    <cellStyle name="Normal 21 4 5 2" xfId="3814" xr:uid="{00000000-0005-0000-0000-000067720000}"/>
    <cellStyle name="Normal 21 4 6" xfId="2472" xr:uid="{00000000-0005-0000-0000-000068720000}"/>
    <cellStyle name="Normal 21 4 6 2" xfId="3815" xr:uid="{00000000-0005-0000-0000-000069720000}"/>
    <cellStyle name="Normal 21 4 7" xfId="5363" xr:uid="{00000000-0005-0000-0000-00006A720000}"/>
    <cellStyle name="Normal 21 4 8" xfId="5364" xr:uid="{00000000-0005-0000-0000-00006B720000}"/>
    <cellStyle name="Normal 21 4 8 2" xfId="5365" xr:uid="{00000000-0005-0000-0000-00006C720000}"/>
    <cellStyle name="Normal 21 4 9" xfId="3809" xr:uid="{00000000-0005-0000-0000-00006D720000}"/>
    <cellStyle name="Normal 21 4 9 2" xfId="43602" xr:uid="{00000000-0005-0000-0000-00006E720000}"/>
    <cellStyle name="Normal 21 5" xfId="2473" xr:uid="{00000000-0005-0000-0000-00006F720000}"/>
    <cellStyle name="Normal 21 5 2" xfId="2474" xr:uid="{00000000-0005-0000-0000-000070720000}"/>
    <cellStyle name="Normal 21 5 2 2" xfId="2475" xr:uid="{00000000-0005-0000-0000-000071720000}"/>
    <cellStyle name="Normal 21 5 2 2 2" xfId="3818" xr:uid="{00000000-0005-0000-0000-000072720000}"/>
    <cellStyle name="Normal 21 5 2 3" xfId="3817" xr:uid="{00000000-0005-0000-0000-000073720000}"/>
    <cellStyle name="Normal 21 5 3" xfId="2476" xr:uid="{00000000-0005-0000-0000-000074720000}"/>
    <cellStyle name="Normal 21 5 3 2" xfId="3819" xr:uid="{00000000-0005-0000-0000-000075720000}"/>
    <cellStyle name="Normal 21 5 4" xfId="2477" xr:uid="{00000000-0005-0000-0000-000076720000}"/>
    <cellStyle name="Normal 21 5 4 2" xfId="3820" xr:uid="{00000000-0005-0000-0000-000077720000}"/>
    <cellStyle name="Normal 21 5 5" xfId="2478" xr:uid="{00000000-0005-0000-0000-000078720000}"/>
    <cellStyle name="Normal 21 5 5 2" xfId="3821" xr:uid="{00000000-0005-0000-0000-000079720000}"/>
    <cellStyle name="Normal 21 5 6" xfId="2479" xr:uid="{00000000-0005-0000-0000-00007A720000}"/>
    <cellStyle name="Normal 21 5 6 2" xfId="3822" xr:uid="{00000000-0005-0000-0000-00007B720000}"/>
    <cellStyle name="Normal 21 5 7" xfId="5366" xr:uid="{00000000-0005-0000-0000-00007C720000}"/>
    <cellStyle name="Normal 21 5 8" xfId="5367" xr:uid="{00000000-0005-0000-0000-00007D720000}"/>
    <cellStyle name="Normal 21 5 8 2" xfId="5368" xr:uid="{00000000-0005-0000-0000-00007E720000}"/>
    <cellStyle name="Normal 21 5 9" xfId="3816" xr:uid="{00000000-0005-0000-0000-00007F720000}"/>
    <cellStyle name="Normal 21 6" xfId="2480" xr:uid="{00000000-0005-0000-0000-000080720000}"/>
    <cellStyle name="Normal 21 6 2" xfId="2481" xr:uid="{00000000-0005-0000-0000-000081720000}"/>
    <cellStyle name="Normal 21 6 2 2" xfId="2482" xr:uid="{00000000-0005-0000-0000-000082720000}"/>
    <cellStyle name="Normal 21 6 2 2 2" xfId="3825" xr:uid="{00000000-0005-0000-0000-000083720000}"/>
    <cellStyle name="Normal 21 6 2 3" xfId="3824" xr:uid="{00000000-0005-0000-0000-000084720000}"/>
    <cellStyle name="Normal 21 6 3" xfId="2483" xr:uid="{00000000-0005-0000-0000-000085720000}"/>
    <cellStyle name="Normal 21 6 3 2" xfId="3826" xr:uid="{00000000-0005-0000-0000-000086720000}"/>
    <cellStyle name="Normal 21 6 4" xfId="2484" xr:uid="{00000000-0005-0000-0000-000087720000}"/>
    <cellStyle name="Normal 21 6 4 2" xfId="3827" xr:uid="{00000000-0005-0000-0000-000088720000}"/>
    <cellStyle name="Normal 21 6 5" xfId="2485" xr:uid="{00000000-0005-0000-0000-000089720000}"/>
    <cellStyle name="Normal 21 6 5 2" xfId="3828" xr:uid="{00000000-0005-0000-0000-00008A720000}"/>
    <cellStyle name="Normal 21 6 6" xfId="2486" xr:uid="{00000000-0005-0000-0000-00008B720000}"/>
    <cellStyle name="Normal 21 6 6 2" xfId="3829" xr:uid="{00000000-0005-0000-0000-00008C720000}"/>
    <cellStyle name="Normal 21 6 7" xfId="5369" xr:uid="{00000000-0005-0000-0000-00008D720000}"/>
    <cellStyle name="Normal 21 6 8" xfId="5370" xr:uid="{00000000-0005-0000-0000-00008E720000}"/>
    <cellStyle name="Normal 21 6 8 2" xfId="5371" xr:uid="{00000000-0005-0000-0000-00008F720000}"/>
    <cellStyle name="Normal 21 6 9" xfId="3823" xr:uid="{00000000-0005-0000-0000-000090720000}"/>
    <cellStyle name="Normal 21 7" xfId="5372" xr:uid="{00000000-0005-0000-0000-000091720000}"/>
    <cellStyle name="Normal 21 8" xfId="5373" xr:uid="{00000000-0005-0000-0000-000092720000}"/>
    <cellStyle name="Normal 21 8 2" xfId="5374" xr:uid="{00000000-0005-0000-0000-000093720000}"/>
    <cellStyle name="Normal 21 9" xfId="7110" xr:uid="{00000000-0005-0000-0000-000094720000}"/>
    <cellStyle name="Normal 21 9 2" xfId="25762" xr:uid="{00000000-0005-0000-0000-000095720000}"/>
    <cellStyle name="Normal 21 9 3" xfId="29975" xr:uid="{00000000-0005-0000-0000-000096720000}"/>
    <cellStyle name="Normal 21 9 4" xfId="34190" xr:uid="{00000000-0005-0000-0000-000097720000}"/>
    <cellStyle name="Normal 21 9 5" xfId="38394" xr:uid="{00000000-0005-0000-0000-000098720000}"/>
    <cellStyle name="Normal 21_Scen_XBase" xfId="43604" xr:uid="{00000000-0005-0000-0000-000099720000}"/>
    <cellStyle name="Normal 22" xfId="2487" xr:uid="{00000000-0005-0000-0000-00009A720000}"/>
    <cellStyle name="Normal 22 10" xfId="2488" xr:uid="{00000000-0005-0000-0000-00009B720000}"/>
    <cellStyle name="Normal 22 10 2" xfId="3831" xr:uid="{00000000-0005-0000-0000-00009C720000}"/>
    <cellStyle name="Normal 22 11" xfId="5375" xr:uid="{00000000-0005-0000-0000-00009D720000}"/>
    <cellStyle name="Normal 22 12" xfId="5376" xr:uid="{00000000-0005-0000-0000-00009E720000}"/>
    <cellStyle name="Normal 22 12 2" xfId="5377" xr:uid="{00000000-0005-0000-0000-00009F720000}"/>
    <cellStyle name="Normal 22 13" xfId="7113" xr:uid="{00000000-0005-0000-0000-0000A0720000}"/>
    <cellStyle name="Normal 22 13 2" xfId="25765" xr:uid="{00000000-0005-0000-0000-0000A1720000}"/>
    <cellStyle name="Normal 22 13 3" xfId="29978" xr:uid="{00000000-0005-0000-0000-0000A2720000}"/>
    <cellStyle name="Normal 22 13 4" xfId="34193" xr:uid="{00000000-0005-0000-0000-0000A3720000}"/>
    <cellStyle name="Normal 22 13 5" xfId="38397" xr:uid="{00000000-0005-0000-0000-0000A4720000}"/>
    <cellStyle name="Normal 22 14" xfId="7245" xr:uid="{00000000-0005-0000-0000-0000A5720000}"/>
    <cellStyle name="Normal 22 14 2" xfId="25878" xr:uid="{00000000-0005-0000-0000-0000A6720000}"/>
    <cellStyle name="Normal 22 14 3" xfId="30091" xr:uid="{00000000-0005-0000-0000-0000A7720000}"/>
    <cellStyle name="Normal 22 14 4" xfId="34306" xr:uid="{00000000-0005-0000-0000-0000A8720000}"/>
    <cellStyle name="Normal 22 14 5" xfId="38510" xr:uid="{00000000-0005-0000-0000-0000A9720000}"/>
    <cellStyle name="Normal 22 15" xfId="7364" xr:uid="{00000000-0005-0000-0000-0000AA720000}"/>
    <cellStyle name="Normal 22 15 2" xfId="25997" xr:uid="{00000000-0005-0000-0000-0000AB720000}"/>
    <cellStyle name="Normal 22 15 3" xfId="30210" xr:uid="{00000000-0005-0000-0000-0000AC720000}"/>
    <cellStyle name="Normal 22 15 4" xfId="34425" xr:uid="{00000000-0005-0000-0000-0000AD720000}"/>
    <cellStyle name="Normal 22 15 5" xfId="38629" xr:uid="{00000000-0005-0000-0000-0000AE720000}"/>
    <cellStyle name="Normal 22 16" xfId="7482" xr:uid="{00000000-0005-0000-0000-0000AF720000}"/>
    <cellStyle name="Normal 22 16 2" xfId="26115" xr:uid="{00000000-0005-0000-0000-0000B0720000}"/>
    <cellStyle name="Normal 22 16 3" xfId="30328" xr:uid="{00000000-0005-0000-0000-0000B1720000}"/>
    <cellStyle name="Normal 22 16 4" xfId="34543" xr:uid="{00000000-0005-0000-0000-0000B2720000}"/>
    <cellStyle name="Normal 22 16 5" xfId="38747" xr:uid="{00000000-0005-0000-0000-0000B3720000}"/>
    <cellStyle name="Normal 22 17" xfId="8983" xr:uid="{00000000-0005-0000-0000-0000B4720000}"/>
    <cellStyle name="Normal 22 17 2" xfId="26554" xr:uid="{00000000-0005-0000-0000-0000B5720000}"/>
    <cellStyle name="Normal 22 17 3" xfId="30767" xr:uid="{00000000-0005-0000-0000-0000B6720000}"/>
    <cellStyle name="Normal 22 17 4" xfId="34982" xr:uid="{00000000-0005-0000-0000-0000B7720000}"/>
    <cellStyle name="Normal 22 17 5" xfId="39186" xr:uid="{00000000-0005-0000-0000-0000B8720000}"/>
    <cellStyle name="Normal 22 18" xfId="9105" xr:uid="{00000000-0005-0000-0000-0000B9720000}"/>
    <cellStyle name="Normal 22 18 2" xfId="26676" xr:uid="{00000000-0005-0000-0000-0000BA720000}"/>
    <cellStyle name="Normal 22 18 3" xfId="30889" xr:uid="{00000000-0005-0000-0000-0000BB720000}"/>
    <cellStyle name="Normal 22 18 4" xfId="35104" xr:uid="{00000000-0005-0000-0000-0000BC720000}"/>
    <cellStyle name="Normal 22 18 5" xfId="39308" xr:uid="{00000000-0005-0000-0000-0000BD720000}"/>
    <cellStyle name="Normal 22 19" xfId="9225" xr:uid="{00000000-0005-0000-0000-0000BE720000}"/>
    <cellStyle name="Normal 22 19 2" xfId="26796" xr:uid="{00000000-0005-0000-0000-0000BF720000}"/>
    <cellStyle name="Normal 22 19 3" xfId="31009" xr:uid="{00000000-0005-0000-0000-0000C0720000}"/>
    <cellStyle name="Normal 22 19 4" xfId="35224" xr:uid="{00000000-0005-0000-0000-0000C1720000}"/>
    <cellStyle name="Normal 22 19 5" xfId="39428" xr:uid="{00000000-0005-0000-0000-0000C2720000}"/>
    <cellStyle name="Normal 22 2" xfId="2489" xr:uid="{00000000-0005-0000-0000-0000C3720000}"/>
    <cellStyle name="Normal 22 2 10" xfId="7246" xr:uid="{00000000-0005-0000-0000-0000C4720000}"/>
    <cellStyle name="Normal 22 2 10 2" xfId="25879" xr:uid="{00000000-0005-0000-0000-0000C5720000}"/>
    <cellStyle name="Normal 22 2 10 3" xfId="30092" xr:uid="{00000000-0005-0000-0000-0000C6720000}"/>
    <cellStyle name="Normal 22 2 10 4" xfId="34307" xr:uid="{00000000-0005-0000-0000-0000C7720000}"/>
    <cellStyle name="Normal 22 2 10 5" xfId="38511" xr:uid="{00000000-0005-0000-0000-0000C8720000}"/>
    <cellStyle name="Normal 22 2 11" xfId="7365" xr:uid="{00000000-0005-0000-0000-0000C9720000}"/>
    <cellStyle name="Normal 22 2 11 2" xfId="25998" xr:uid="{00000000-0005-0000-0000-0000CA720000}"/>
    <cellStyle name="Normal 22 2 11 3" xfId="30211" xr:uid="{00000000-0005-0000-0000-0000CB720000}"/>
    <cellStyle name="Normal 22 2 11 4" xfId="34426" xr:uid="{00000000-0005-0000-0000-0000CC720000}"/>
    <cellStyle name="Normal 22 2 11 5" xfId="38630" xr:uid="{00000000-0005-0000-0000-0000CD720000}"/>
    <cellStyle name="Normal 22 2 12" xfId="7483" xr:uid="{00000000-0005-0000-0000-0000CE720000}"/>
    <cellStyle name="Normal 22 2 12 2" xfId="26116" xr:uid="{00000000-0005-0000-0000-0000CF720000}"/>
    <cellStyle name="Normal 22 2 12 3" xfId="30329" xr:uid="{00000000-0005-0000-0000-0000D0720000}"/>
    <cellStyle name="Normal 22 2 12 4" xfId="34544" xr:uid="{00000000-0005-0000-0000-0000D1720000}"/>
    <cellStyle name="Normal 22 2 12 5" xfId="38748" xr:uid="{00000000-0005-0000-0000-0000D2720000}"/>
    <cellStyle name="Normal 22 2 13" xfId="8984" xr:uid="{00000000-0005-0000-0000-0000D3720000}"/>
    <cellStyle name="Normal 22 2 13 2" xfId="26555" xr:uid="{00000000-0005-0000-0000-0000D4720000}"/>
    <cellStyle name="Normal 22 2 13 3" xfId="30768" xr:uid="{00000000-0005-0000-0000-0000D5720000}"/>
    <cellStyle name="Normal 22 2 13 4" xfId="34983" xr:uid="{00000000-0005-0000-0000-0000D6720000}"/>
    <cellStyle name="Normal 22 2 13 5" xfId="39187" xr:uid="{00000000-0005-0000-0000-0000D7720000}"/>
    <cellStyle name="Normal 22 2 14" xfId="9106" xr:uid="{00000000-0005-0000-0000-0000D8720000}"/>
    <cellStyle name="Normal 22 2 14 2" xfId="26677" xr:uid="{00000000-0005-0000-0000-0000D9720000}"/>
    <cellStyle name="Normal 22 2 14 3" xfId="30890" xr:uid="{00000000-0005-0000-0000-0000DA720000}"/>
    <cellStyle name="Normal 22 2 14 4" xfId="35105" xr:uid="{00000000-0005-0000-0000-0000DB720000}"/>
    <cellStyle name="Normal 22 2 14 5" xfId="39309" xr:uid="{00000000-0005-0000-0000-0000DC720000}"/>
    <cellStyle name="Normal 22 2 15" xfId="9226" xr:uid="{00000000-0005-0000-0000-0000DD720000}"/>
    <cellStyle name="Normal 22 2 15 2" xfId="26797" xr:uid="{00000000-0005-0000-0000-0000DE720000}"/>
    <cellStyle name="Normal 22 2 15 3" xfId="31010" xr:uid="{00000000-0005-0000-0000-0000DF720000}"/>
    <cellStyle name="Normal 22 2 15 4" xfId="35225" xr:uid="{00000000-0005-0000-0000-0000E0720000}"/>
    <cellStyle name="Normal 22 2 15 5" xfId="39429" xr:uid="{00000000-0005-0000-0000-0000E1720000}"/>
    <cellStyle name="Normal 22 2 16" xfId="9347" xr:uid="{00000000-0005-0000-0000-0000E2720000}"/>
    <cellStyle name="Normal 22 2 16 2" xfId="26918" xr:uid="{00000000-0005-0000-0000-0000E3720000}"/>
    <cellStyle name="Normal 22 2 16 3" xfId="31131" xr:uid="{00000000-0005-0000-0000-0000E4720000}"/>
    <cellStyle name="Normal 22 2 16 4" xfId="35346" xr:uid="{00000000-0005-0000-0000-0000E5720000}"/>
    <cellStyle name="Normal 22 2 16 5" xfId="39550" xr:uid="{00000000-0005-0000-0000-0000E6720000}"/>
    <cellStyle name="Normal 22 2 17" xfId="9466" xr:uid="{00000000-0005-0000-0000-0000E7720000}"/>
    <cellStyle name="Normal 22 2 17 2" xfId="27037" xr:uid="{00000000-0005-0000-0000-0000E8720000}"/>
    <cellStyle name="Normal 22 2 17 3" xfId="31250" xr:uid="{00000000-0005-0000-0000-0000E9720000}"/>
    <cellStyle name="Normal 22 2 17 4" xfId="35465" xr:uid="{00000000-0005-0000-0000-0000EA720000}"/>
    <cellStyle name="Normal 22 2 17 5" xfId="39669" xr:uid="{00000000-0005-0000-0000-0000EB720000}"/>
    <cellStyle name="Normal 22 2 18" xfId="3832" xr:uid="{00000000-0005-0000-0000-0000EC720000}"/>
    <cellStyle name="Normal 22 2 2" xfId="2490" xr:uid="{00000000-0005-0000-0000-0000ED720000}"/>
    <cellStyle name="Normal 22 2 2 2" xfId="2491" xr:uid="{00000000-0005-0000-0000-0000EE720000}"/>
    <cellStyle name="Normal 22 2 2 2 2" xfId="3834" xr:uid="{00000000-0005-0000-0000-0000EF720000}"/>
    <cellStyle name="Normal 22 2 2 3" xfId="3833" xr:uid="{00000000-0005-0000-0000-0000F0720000}"/>
    <cellStyle name="Normal 22 2 3" xfId="2492" xr:uid="{00000000-0005-0000-0000-0000F1720000}"/>
    <cellStyle name="Normal 22 2 3 2" xfId="3835" xr:uid="{00000000-0005-0000-0000-0000F2720000}"/>
    <cellStyle name="Normal 22 2 4" xfId="2493" xr:uid="{00000000-0005-0000-0000-0000F3720000}"/>
    <cellStyle name="Normal 22 2 4 2" xfId="3836" xr:uid="{00000000-0005-0000-0000-0000F4720000}"/>
    <cellStyle name="Normal 22 2 5" xfId="2494" xr:uid="{00000000-0005-0000-0000-0000F5720000}"/>
    <cellStyle name="Normal 22 2 5 2" xfId="3837" xr:uid="{00000000-0005-0000-0000-0000F6720000}"/>
    <cellStyle name="Normal 22 2 6" xfId="2495" xr:uid="{00000000-0005-0000-0000-0000F7720000}"/>
    <cellStyle name="Normal 22 2 6 2" xfId="3838" xr:uid="{00000000-0005-0000-0000-0000F8720000}"/>
    <cellStyle name="Normal 22 2 7" xfId="5378" xr:uid="{00000000-0005-0000-0000-0000F9720000}"/>
    <cellStyle name="Normal 22 2 8" xfId="5379" xr:uid="{00000000-0005-0000-0000-0000FA720000}"/>
    <cellStyle name="Normal 22 2 8 2" xfId="5380" xr:uid="{00000000-0005-0000-0000-0000FB720000}"/>
    <cellStyle name="Normal 22 2 9" xfId="7114" xr:uid="{00000000-0005-0000-0000-0000FC720000}"/>
    <cellStyle name="Normal 22 2 9 2" xfId="25766" xr:uid="{00000000-0005-0000-0000-0000FD720000}"/>
    <cellStyle name="Normal 22 2 9 3" xfId="29979" xr:uid="{00000000-0005-0000-0000-0000FE720000}"/>
    <cellStyle name="Normal 22 2 9 4" xfId="34194" xr:uid="{00000000-0005-0000-0000-0000FF720000}"/>
    <cellStyle name="Normal 22 2 9 5" xfId="38398" xr:uid="{00000000-0005-0000-0000-000000730000}"/>
    <cellStyle name="Normal 22 20" xfId="9346" xr:uid="{00000000-0005-0000-0000-000001730000}"/>
    <cellStyle name="Normal 22 20 2" xfId="26917" xr:uid="{00000000-0005-0000-0000-000002730000}"/>
    <cellStyle name="Normal 22 20 3" xfId="31130" xr:uid="{00000000-0005-0000-0000-000003730000}"/>
    <cellStyle name="Normal 22 20 4" xfId="35345" xr:uid="{00000000-0005-0000-0000-000004730000}"/>
    <cellStyle name="Normal 22 20 5" xfId="39549" xr:uid="{00000000-0005-0000-0000-000005730000}"/>
    <cellStyle name="Normal 22 21" xfId="9465" xr:uid="{00000000-0005-0000-0000-000006730000}"/>
    <cellStyle name="Normal 22 21 2" xfId="27036" xr:uid="{00000000-0005-0000-0000-000007730000}"/>
    <cellStyle name="Normal 22 21 3" xfId="31249" xr:uid="{00000000-0005-0000-0000-000008730000}"/>
    <cellStyle name="Normal 22 21 4" xfId="35464" xr:uid="{00000000-0005-0000-0000-000009730000}"/>
    <cellStyle name="Normal 22 21 5" xfId="39668" xr:uid="{00000000-0005-0000-0000-00000A730000}"/>
    <cellStyle name="Normal 22 22" xfId="3830" xr:uid="{00000000-0005-0000-0000-00000B730000}"/>
    <cellStyle name="Normal 22 3" xfId="2496" xr:uid="{00000000-0005-0000-0000-00000C730000}"/>
    <cellStyle name="Normal 22 3 10" xfId="7247" xr:uid="{00000000-0005-0000-0000-00000D730000}"/>
    <cellStyle name="Normal 22 3 10 2" xfId="25880" xr:uid="{00000000-0005-0000-0000-00000E730000}"/>
    <cellStyle name="Normal 22 3 10 3" xfId="30093" xr:uid="{00000000-0005-0000-0000-00000F730000}"/>
    <cellStyle name="Normal 22 3 10 4" xfId="34308" xr:uid="{00000000-0005-0000-0000-000010730000}"/>
    <cellStyle name="Normal 22 3 10 5" xfId="38512" xr:uid="{00000000-0005-0000-0000-000011730000}"/>
    <cellStyle name="Normal 22 3 11" xfId="7366" xr:uid="{00000000-0005-0000-0000-000012730000}"/>
    <cellStyle name="Normal 22 3 11 2" xfId="25999" xr:uid="{00000000-0005-0000-0000-000013730000}"/>
    <cellStyle name="Normal 22 3 11 3" xfId="30212" xr:uid="{00000000-0005-0000-0000-000014730000}"/>
    <cellStyle name="Normal 22 3 11 4" xfId="34427" xr:uid="{00000000-0005-0000-0000-000015730000}"/>
    <cellStyle name="Normal 22 3 11 5" xfId="38631" xr:uid="{00000000-0005-0000-0000-000016730000}"/>
    <cellStyle name="Normal 22 3 12" xfId="7484" xr:uid="{00000000-0005-0000-0000-000017730000}"/>
    <cellStyle name="Normal 22 3 12 2" xfId="26117" xr:uid="{00000000-0005-0000-0000-000018730000}"/>
    <cellStyle name="Normal 22 3 12 3" xfId="30330" xr:uid="{00000000-0005-0000-0000-000019730000}"/>
    <cellStyle name="Normal 22 3 12 4" xfId="34545" xr:uid="{00000000-0005-0000-0000-00001A730000}"/>
    <cellStyle name="Normal 22 3 12 5" xfId="38749" xr:uid="{00000000-0005-0000-0000-00001B730000}"/>
    <cellStyle name="Normal 22 3 13" xfId="8985" xr:uid="{00000000-0005-0000-0000-00001C730000}"/>
    <cellStyle name="Normal 22 3 13 2" xfId="26556" xr:uid="{00000000-0005-0000-0000-00001D730000}"/>
    <cellStyle name="Normal 22 3 13 3" xfId="30769" xr:uid="{00000000-0005-0000-0000-00001E730000}"/>
    <cellStyle name="Normal 22 3 13 4" xfId="34984" xr:uid="{00000000-0005-0000-0000-00001F730000}"/>
    <cellStyle name="Normal 22 3 13 5" xfId="39188" xr:uid="{00000000-0005-0000-0000-000020730000}"/>
    <cellStyle name="Normal 22 3 14" xfId="9107" xr:uid="{00000000-0005-0000-0000-000021730000}"/>
    <cellStyle name="Normal 22 3 14 2" xfId="26678" xr:uid="{00000000-0005-0000-0000-000022730000}"/>
    <cellStyle name="Normal 22 3 14 3" xfId="30891" xr:uid="{00000000-0005-0000-0000-000023730000}"/>
    <cellStyle name="Normal 22 3 14 4" xfId="35106" xr:uid="{00000000-0005-0000-0000-000024730000}"/>
    <cellStyle name="Normal 22 3 14 5" xfId="39310" xr:uid="{00000000-0005-0000-0000-000025730000}"/>
    <cellStyle name="Normal 22 3 15" xfId="9227" xr:uid="{00000000-0005-0000-0000-000026730000}"/>
    <cellStyle name="Normal 22 3 15 2" xfId="26798" xr:uid="{00000000-0005-0000-0000-000027730000}"/>
    <cellStyle name="Normal 22 3 15 3" xfId="31011" xr:uid="{00000000-0005-0000-0000-000028730000}"/>
    <cellStyle name="Normal 22 3 15 4" xfId="35226" xr:uid="{00000000-0005-0000-0000-000029730000}"/>
    <cellStyle name="Normal 22 3 15 5" xfId="39430" xr:uid="{00000000-0005-0000-0000-00002A730000}"/>
    <cellStyle name="Normal 22 3 16" xfId="9348" xr:uid="{00000000-0005-0000-0000-00002B730000}"/>
    <cellStyle name="Normal 22 3 16 2" xfId="26919" xr:uid="{00000000-0005-0000-0000-00002C730000}"/>
    <cellStyle name="Normal 22 3 16 3" xfId="31132" xr:uid="{00000000-0005-0000-0000-00002D730000}"/>
    <cellStyle name="Normal 22 3 16 4" xfId="35347" xr:uid="{00000000-0005-0000-0000-00002E730000}"/>
    <cellStyle name="Normal 22 3 16 5" xfId="39551" xr:uid="{00000000-0005-0000-0000-00002F730000}"/>
    <cellStyle name="Normal 22 3 17" xfId="9467" xr:uid="{00000000-0005-0000-0000-000030730000}"/>
    <cellStyle name="Normal 22 3 17 2" xfId="27038" xr:uid="{00000000-0005-0000-0000-000031730000}"/>
    <cellStyle name="Normal 22 3 17 3" xfId="31251" xr:uid="{00000000-0005-0000-0000-000032730000}"/>
    <cellStyle name="Normal 22 3 17 4" xfId="35466" xr:uid="{00000000-0005-0000-0000-000033730000}"/>
    <cellStyle name="Normal 22 3 17 5" xfId="39670" xr:uid="{00000000-0005-0000-0000-000034730000}"/>
    <cellStyle name="Normal 22 3 18" xfId="3839" xr:uid="{00000000-0005-0000-0000-000035730000}"/>
    <cellStyle name="Normal 22 3 2" xfId="2497" xr:uid="{00000000-0005-0000-0000-000036730000}"/>
    <cellStyle name="Normal 22 3 2 2" xfId="2498" xr:uid="{00000000-0005-0000-0000-000037730000}"/>
    <cellStyle name="Normal 22 3 2 2 2" xfId="3841" xr:uid="{00000000-0005-0000-0000-000038730000}"/>
    <cellStyle name="Normal 22 3 2 3" xfId="3840" xr:uid="{00000000-0005-0000-0000-000039730000}"/>
    <cellStyle name="Normal 22 3 3" xfId="2499" xr:uid="{00000000-0005-0000-0000-00003A730000}"/>
    <cellStyle name="Normal 22 3 3 2" xfId="3842" xr:uid="{00000000-0005-0000-0000-00003B730000}"/>
    <cellStyle name="Normal 22 3 4" xfId="2500" xr:uid="{00000000-0005-0000-0000-00003C730000}"/>
    <cellStyle name="Normal 22 3 4 2" xfId="3843" xr:uid="{00000000-0005-0000-0000-00003D730000}"/>
    <cellStyle name="Normal 22 3 5" xfId="2501" xr:uid="{00000000-0005-0000-0000-00003E730000}"/>
    <cellStyle name="Normal 22 3 5 2" xfId="3844" xr:uid="{00000000-0005-0000-0000-00003F730000}"/>
    <cellStyle name="Normal 22 3 6" xfId="2502" xr:uid="{00000000-0005-0000-0000-000040730000}"/>
    <cellStyle name="Normal 22 3 6 2" xfId="3845" xr:uid="{00000000-0005-0000-0000-000041730000}"/>
    <cellStyle name="Normal 22 3 7" xfId="5381" xr:uid="{00000000-0005-0000-0000-000042730000}"/>
    <cellStyle name="Normal 22 3 8" xfId="5382" xr:uid="{00000000-0005-0000-0000-000043730000}"/>
    <cellStyle name="Normal 22 3 8 2" xfId="5383" xr:uid="{00000000-0005-0000-0000-000044730000}"/>
    <cellStyle name="Normal 22 3 9" xfId="7115" xr:uid="{00000000-0005-0000-0000-000045730000}"/>
    <cellStyle name="Normal 22 3 9 2" xfId="25767" xr:uid="{00000000-0005-0000-0000-000046730000}"/>
    <cellStyle name="Normal 22 3 9 3" xfId="29980" xr:uid="{00000000-0005-0000-0000-000047730000}"/>
    <cellStyle name="Normal 22 3 9 4" xfId="34195" xr:uid="{00000000-0005-0000-0000-000048730000}"/>
    <cellStyle name="Normal 22 3 9 5" xfId="38399" xr:uid="{00000000-0005-0000-0000-000049730000}"/>
    <cellStyle name="Normal 22 4" xfId="2503" xr:uid="{00000000-0005-0000-0000-00004A730000}"/>
    <cellStyle name="Normal 22 4 2" xfId="2504" xr:uid="{00000000-0005-0000-0000-00004B730000}"/>
    <cellStyle name="Normal 22 4 2 2" xfId="2505" xr:uid="{00000000-0005-0000-0000-00004C730000}"/>
    <cellStyle name="Normal 22 4 2 2 2" xfId="3848" xr:uid="{00000000-0005-0000-0000-00004D730000}"/>
    <cellStyle name="Normal 22 4 2 3" xfId="3847" xr:uid="{00000000-0005-0000-0000-00004E730000}"/>
    <cellStyle name="Normal 22 4 3" xfId="2506" xr:uid="{00000000-0005-0000-0000-00004F730000}"/>
    <cellStyle name="Normal 22 4 3 2" xfId="3849" xr:uid="{00000000-0005-0000-0000-000050730000}"/>
    <cellStyle name="Normal 22 4 4" xfId="2507" xr:uid="{00000000-0005-0000-0000-000051730000}"/>
    <cellStyle name="Normal 22 4 4 2" xfId="3850" xr:uid="{00000000-0005-0000-0000-000052730000}"/>
    <cellStyle name="Normal 22 4 5" xfId="2508" xr:uid="{00000000-0005-0000-0000-000053730000}"/>
    <cellStyle name="Normal 22 4 5 2" xfId="3851" xr:uid="{00000000-0005-0000-0000-000054730000}"/>
    <cellStyle name="Normal 22 4 6" xfId="2509" xr:uid="{00000000-0005-0000-0000-000055730000}"/>
    <cellStyle name="Normal 22 4 6 2" xfId="3852" xr:uid="{00000000-0005-0000-0000-000056730000}"/>
    <cellStyle name="Normal 22 4 7" xfId="5384" xr:uid="{00000000-0005-0000-0000-000057730000}"/>
    <cellStyle name="Normal 22 4 8" xfId="5385" xr:uid="{00000000-0005-0000-0000-000058730000}"/>
    <cellStyle name="Normal 22 4 8 2" xfId="5386" xr:uid="{00000000-0005-0000-0000-000059730000}"/>
    <cellStyle name="Normal 22 4 9" xfId="3846" xr:uid="{00000000-0005-0000-0000-00005A730000}"/>
    <cellStyle name="Normal 22 5" xfId="2510" xr:uid="{00000000-0005-0000-0000-00005B730000}"/>
    <cellStyle name="Normal 22 5 2" xfId="2511" xr:uid="{00000000-0005-0000-0000-00005C730000}"/>
    <cellStyle name="Normal 22 5 2 2" xfId="2512" xr:uid="{00000000-0005-0000-0000-00005D730000}"/>
    <cellStyle name="Normal 22 5 2 2 2" xfId="3855" xr:uid="{00000000-0005-0000-0000-00005E730000}"/>
    <cellStyle name="Normal 22 5 2 3" xfId="3854" xr:uid="{00000000-0005-0000-0000-00005F730000}"/>
    <cellStyle name="Normal 22 5 3" xfId="2513" xr:uid="{00000000-0005-0000-0000-000060730000}"/>
    <cellStyle name="Normal 22 5 3 2" xfId="3856" xr:uid="{00000000-0005-0000-0000-000061730000}"/>
    <cellStyle name="Normal 22 5 4" xfId="2514" xr:uid="{00000000-0005-0000-0000-000062730000}"/>
    <cellStyle name="Normal 22 5 4 2" xfId="3857" xr:uid="{00000000-0005-0000-0000-000063730000}"/>
    <cellStyle name="Normal 22 5 5" xfId="2515" xr:uid="{00000000-0005-0000-0000-000064730000}"/>
    <cellStyle name="Normal 22 5 5 2" xfId="3858" xr:uid="{00000000-0005-0000-0000-000065730000}"/>
    <cellStyle name="Normal 22 5 6" xfId="2516" xr:uid="{00000000-0005-0000-0000-000066730000}"/>
    <cellStyle name="Normal 22 5 6 2" xfId="3859" xr:uid="{00000000-0005-0000-0000-000067730000}"/>
    <cellStyle name="Normal 22 5 7" xfId="5387" xr:uid="{00000000-0005-0000-0000-000068730000}"/>
    <cellStyle name="Normal 22 5 8" xfId="5388" xr:uid="{00000000-0005-0000-0000-000069730000}"/>
    <cellStyle name="Normal 22 5 8 2" xfId="5389" xr:uid="{00000000-0005-0000-0000-00006A730000}"/>
    <cellStyle name="Normal 22 5 9" xfId="3853" xr:uid="{00000000-0005-0000-0000-00006B730000}"/>
    <cellStyle name="Normal 22 6" xfId="2517" xr:uid="{00000000-0005-0000-0000-00006C730000}"/>
    <cellStyle name="Normal 22 6 2" xfId="2518" xr:uid="{00000000-0005-0000-0000-00006D730000}"/>
    <cellStyle name="Normal 22 6 2 2" xfId="2519" xr:uid="{00000000-0005-0000-0000-00006E730000}"/>
    <cellStyle name="Normal 22 6 2 2 2" xfId="3862" xr:uid="{00000000-0005-0000-0000-00006F730000}"/>
    <cellStyle name="Normal 22 6 2 3" xfId="3861" xr:uid="{00000000-0005-0000-0000-000070730000}"/>
    <cellStyle name="Normal 22 6 3" xfId="2520" xr:uid="{00000000-0005-0000-0000-000071730000}"/>
    <cellStyle name="Normal 22 6 3 2" xfId="3863" xr:uid="{00000000-0005-0000-0000-000072730000}"/>
    <cellStyle name="Normal 22 6 4" xfId="2521" xr:uid="{00000000-0005-0000-0000-000073730000}"/>
    <cellStyle name="Normal 22 6 4 2" xfId="3864" xr:uid="{00000000-0005-0000-0000-000074730000}"/>
    <cellStyle name="Normal 22 6 5" xfId="2522" xr:uid="{00000000-0005-0000-0000-000075730000}"/>
    <cellStyle name="Normal 22 6 5 2" xfId="3865" xr:uid="{00000000-0005-0000-0000-000076730000}"/>
    <cellStyle name="Normal 22 6 6" xfId="2523" xr:uid="{00000000-0005-0000-0000-000077730000}"/>
    <cellStyle name="Normal 22 6 6 2" xfId="3866" xr:uid="{00000000-0005-0000-0000-000078730000}"/>
    <cellStyle name="Normal 22 6 7" xfId="5390" xr:uid="{00000000-0005-0000-0000-000079730000}"/>
    <cellStyle name="Normal 22 6 8" xfId="5391" xr:uid="{00000000-0005-0000-0000-00007A730000}"/>
    <cellStyle name="Normal 22 6 8 2" xfId="5392" xr:uid="{00000000-0005-0000-0000-00007B730000}"/>
    <cellStyle name="Normal 22 6 9" xfId="3860" xr:uid="{00000000-0005-0000-0000-00007C730000}"/>
    <cellStyle name="Normal 22 7" xfId="2524" xr:uid="{00000000-0005-0000-0000-00007D730000}"/>
    <cellStyle name="Normal 22 7 2" xfId="3867" xr:uid="{00000000-0005-0000-0000-00007E730000}"/>
    <cellStyle name="Normal 22 8" xfId="2525" xr:uid="{00000000-0005-0000-0000-00007F730000}"/>
    <cellStyle name="Normal 22 8 2" xfId="3868" xr:uid="{00000000-0005-0000-0000-000080730000}"/>
    <cellStyle name="Normal 22 9" xfId="2526" xr:uid="{00000000-0005-0000-0000-000081730000}"/>
    <cellStyle name="Normal 22 9 2" xfId="3869" xr:uid="{00000000-0005-0000-0000-000082730000}"/>
    <cellStyle name="Normal 23" xfId="2527" xr:uid="{00000000-0005-0000-0000-000083730000}"/>
    <cellStyle name="Normal 23 10" xfId="7248" xr:uid="{00000000-0005-0000-0000-000084730000}"/>
    <cellStyle name="Normal 23 10 2" xfId="25881" xr:uid="{00000000-0005-0000-0000-000085730000}"/>
    <cellStyle name="Normal 23 10 3" xfId="30094" xr:uid="{00000000-0005-0000-0000-000086730000}"/>
    <cellStyle name="Normal 23 10 4" xfId="34309" xr:uid="{00000000-0005-0000-0000-000087730000}"/>
    <cellStyle name="Normal 23 10 5" xfId="38513" xr:uid="{00000000-0005-0000-0000-000088730000}"/>
    <cellStyle name="Normal 23 11" xfId="7367" xr:uid="{00000000-0005-0000-0000-000089730000}"/>
    <cellStyle name="Normal 23 11 2" xfId="26000" xr:uid="{00000000-0005-0000-0000-00008A730000}"/>
    <cellStyle name="Normal 23 11 3" xfId="30213" xr:uid="{00000000-0005-0000-0000-00008B730000}"/>
    <cellStyle name="Normal 23 11 4" xfId="34428" xr:uid="{00000000-0005-0000-0000-00008C730000}"/>
    <cellStyle name="Normal 23 11 5" xfId="38632" xr:uid="{00000000-0005-0000-0000-00008D730000}"/>
    <cellStyle name="Normal 23 12" xfId="7485" xr:uid="{00000000-0005-0000-0000-00008E730000}"/>
    <cellStyle name="Normal 23 12 2" xfId="26118" xr:uid="{00000000-0005-0000-0000-00008F730000}"/>
    <cellStyle name="Normal 23 12 3" xfId="30331" xr:uid="{00000000-0005-0000-0000-000090730000}"/>
    <cellStyle name="Normal 23 12 4" xfId="34546" xr:uid="{00000000-0005-0000-0000-000091730000}"/>
    <cellStyle name="Normal 23 12 5" xfId="38750" xr:uid="{00000000-0005-0000-0000-000092730000}"/>
    <cellStyle name="Normal 23 13" xfId="8986" xr:uid="{00000000-0005-0000-0000-000093730000}"/>
    <cellStyle name="Normal 23 13 2" xfId="26557" xr:uid="{00000000-0005-0000-0000-000094730000}"/>
    <cellStyle name="Normal 23 13 3" xfId="30770" xr:uid="{00000000-0005-0000-0000-000095730000}"/>
    <cellStyle name="Normal 23 13 4" xfId="34985" xr:uid="{00000000-0005-0000-0000-000096730000}"/>
    <cellStyle name="Normal 23 13 5" xfId="39189" xr:uid="{00000000-0005-0000-0000-000097730000}"/>
    <cellStyle name="Normal 23 14" xfId="9108" xr:uid="{00000000-0005-0000-0000-000098730000}"/>
    <cellStyle name="Normal 23 14 2" xfId="26679" xr:uid="{00000000-0005-0000-0000-000099730000}"/>
    <cellStyle name="Normal 23 14 3" xfId="30892" xr:uid="{00000000-0005-0000-0000-00009A730000}"/>
    <cellStyle name="Normal 23 14 4" xfId="35107" xr:uid="{00000000-0005-0000-0000-00009B730000}"/>
    <cellStyle name="Normal 23 14 5" xfId="39311" xr:uid="{00000000-0005-0000-0000-00009C730000}"/>
    <cellStyle name="Normal 23 15" xfId="9228" xr:uid="{00000000-0005-0000-0000-00009D730000}"/>
    <cellStyle name="Normal 23 15 2" xfId="26799" xr:uid="{00000000-0005-0000-0000-00009E730000}"/>
    <cellStyle name="Normal 23 15 3" xfId="31012" xr:uid="{00000000-0005-0000-0000-00009F730000}"/>
    <cellStyle name="Normal 23 15 4" xfId="35227" xr:uid="{00000000-0005-0000-0000-0000A0730000}"/>
    <cellStyle name="Normal 23 15 5" xfId="39431" xr:uid="{00000000-0005-0000-0000-0000A1730000}"/>
    <cellStyle name="Normal 23 16" xfId="9349" xr:uid="{00000000-0005-0000-0000-0000A2730000}"/>
    <cellStyle name="Normal 23 16 2" xfId="26920" xr:uid="{00000000-0005-0000-0000-0000A3730000}"/>
    <cellStyle name="Normal 23 16 3" xfId="31133" xr:uid="{00000000-0005-0000-0000-0000A4730000}"/>
    <cellStyle name="Normal 23 16 4" xfId="35348" xr:uid="{00000000-0005-0000-0000-0000A5730000}"/>
    <cellStyle name="Normal 23 16 5" xfId="39552" xr:uid="{00000000-0005-0000-0000-0000A6730000}"/>
    <cellStyle name="Normal 23 17" xfId="9468" xr:uid="{00000000-0005-0000-0000-0000A7730000}"/>
    <cellStyle name="Normal 23 17 2" xfId="27039" xr:uid="{00000000-0005-0000-0000-0000A8730000}"/>
    <cellStyle name="Normal 23 17 3" xfId="31252" xr:uid="{00000000-0005-0000-0000-0000A9730000}"/>
    <cellStyle name="Normal 23 17 4" xfId="35467" xr:uid="{00000000-0005-0000-0000-0000AA730000}"/>
    <cellStyle name="Normal 23 17 5" xfId="39671" xr:uid="{00000000-0005-0000-0000-0000AB730000}"/>
    <cellStyle name="Normal 23 18" xfId="3870" xr:uid="{00000000-0005-0000-0000-0000AC730000}"/>
    <cellStyle name="Normal 23 2" xfId="2528" xr:uid="{00000000-0005-0000-0000-0000AD730000}"/>
    <cellStyle name="Normal 23 2 10" xfId="7249" xr:uid="{00000000-0005-0000-0000-0000AE730000}"/>
    <cellStyle name="Normal 23 2 10 2" xfId="25882" xr:uid="{00000000-0005-0000-0000-0000AF730000}"/>
    <cellStyle name="Normal 23 2 10 3" xfId="30095" xr:uid="{00000000-0005-0000-0000-0000B0730000}"/>
    <cellStyle name="Normal 23 2 10 4" xfId="34310" xr:uid="{00000000-0005-0000-0000-0000B1730000}"/>
    <cellStyle name="Normal 23 2 10 5" xfId="38514" xr:uid="{00000000-0005-0000-0000-0000B2730000}"/>
    <cellStyle name="Normal 23 2 11" xfId="7368" xr:uid="{00000000-0005-0000-0000-0000B3730000}"/>
    <cellStyle name="Normal 23 2 11 2" xfId="26001" xr:uid="{00000000-0005-0000-0000-0000B4730000}"/>
    <cellStyle name="Normal 23 2 11 3" xfId="30214" xr:uid="{00000000-0005-0000-0000-0000B5730000}"/>
    <cellStyle name="Normal 23 2 11 4" xfId="34429" xr:uid="{00000000-0005-0000-0000-0000B6730000}"/>
    <cellStyle name="Normal 23 2 11 5" xfId="38633" xr:uid="{00000000-0005-0000-0000-0000B7730000}"/>
    <cellStyle name="Normal 23 2 12" xfId="7486" xr:uid="{00000000-0005-0000-0000-0000B8730000}"/>
    <cellStyle name="Normal 23 2 12 2" xfId="26119" xr:uid="{00000000-0005-0000-0000-0000B9730000}"/>
    <cellStyle name="Normal 23 2 12 3" xfId="30332" xr:uid="{00000000-0005-0000-0000-0000BA730000}"/>
    <cellStyle name="Normal 23 2 12 4" xfId="34547" xr:uid="{00000000-0005-0000-0000-0000BB730000}"/>
    <cellStyle name="Normal 23 2 12 5" xfId="38751" xr:uid="{00000000-0005-0000-0000-0000BC730000}"/>
    <cellStyle name="Normal 23 2 13" xfId="8987" xr:uid="{00000000-0005-0000-0000-0000BD730000}"/>
    <cellStyle name="Normal 23 2 13 2" xfId="26558" xr:uid="{00000000-0005-0000-0000-0000BE730000}"/>
    <cellStyle name="Normal 23 2 13 3" xfId="30771" xr:uid="{00000000-0005-0000-0000-0000BF730000}"/>
    <cellStyle name="Normal 23 2 13 4" xfId="34986" xr:uid="{00000000-0005-0000-0000-0000C0730000}"/>
    <cellStyle name="Normal 23 2 13 5" xfId="39190" xr:uid="{00000000-0005-0000-0000-0000C1730000}"/>
    <cellStyle name="Normal 23 2 14" xfId="9109" xr:uid="{00000000-0005-0000-0000-0000C2730000}"/>
    <cellStyle name="Normal 23 2 14 2" xfId="26680" xr:uid="{00000000-0005-0000-0000-0000C3730000}"/>
    <cellStyle name="Normal 23 2 14 3" xfId="30893" xr:uid="{00000000-0005-0000-0000-0000C4730000}"/>
    <cellStyle name="Normal 23 2 14 4" xfId="35108" xr:uid="{00000000-0005-0000-0000-0000C5730000}"/>
    <cellStyle name="Normal 23 2 14 5" xfId="39312" xr:uid="{00000000-0005-0000-0000-0000C6730000}"/>
    <cellStyle name="Normal 23 2 15" xfId="9229" xr:uid="{00000000-0005-0000-0000-0000C7730000}"/>
    <cellStyle name="Normal 23 2 15 2" xfId="26800" xr:uid="{00000000-0005-0000-0000-0000C8730000}"/>
    <cellStyle name="Normal 23 2 15 3" xfId="31013" xr:uid="{00000000-0005-0000-0000-0000C9730000}"/>
    <cellStyle name="Normal 23 2 15 4" xfId="35228" xr:uid="{00000000-0005-0000-0000-0000CA730000}"/>
    <cellStyle name="Normal 23 2 15 5" xfId="39432" xr:uid="{00000000-0005-0000-0000-0000CB730000}"/>
    <cellStyle name="Normal 23 2 16" xfId="9350" xr:uid="{00000000-0005-0000-0000-0000CC730000}"/>
    <cellStyle name="Normal 23 2 16 2" xfId="26921" xr:uid="{00000000-0005-0000-0000-0000CD730000}"/>
    <cellStyle name="Normal 23 2 16 3" xfId="31134" xr:uid="{00000000-0005-0000-0000-0000CE730000}"/>
    <cellStyle name="Normal 23 2 16 4" xfId="35349" xr:uid="{00000000-0005-0000-0000-0000CF730000}"/>
    <cellStyle name="Normal 23 2 16 5" xfId="39553" xr:uid="{00000000-0005-0000-0000-0000D0730000}"/>
    <cellStyle name="Normal 23 2 17" xfId="9469" xr:uid="{00000000-0005-0000-0000-0000D1730000}"/>
    <cellStyle name="Normal 23 2 17 2" xfId="27040" xr:uid="{00000000-0005-0000-0000-0000D2730000}"/>
    <cellStyle name="Normal 23 2 17 3" xfId="31253" xr:uid="{00000000-0005-0000-0000-0000D3730000}"/>
    <cellStyle name="Normal 23 2 17 4" xfId="35468" xr:uid="{00000000-0005-0000-0000-0000D4730000}"/>
    <cellStyle name="Normal 23 2 17 5" xfId="39672" xr:uid="{00000000-0005-0000-0000-0000D5730000}"/>
    <cellStyle name="Normal 23 2 18" xfId="3871" xr:uid="{00000000-0005-0000-0000-0000D6730000}"/>
    <cellStyle name="Normal 23 2 2" xfId="2529" xr:uid="{00000000-0005-0000-0000-0000D7730000}"/>
    <cellStyle name="Normal 23 2 2 2" xfId="2530" xr:uid="{00000000-0005-0000-0000-0000D8730000}"/>
    <cellStyle name="Normal 23 2 2 2 2" xfId="3873" xr:uid="{00000000-0005-0000-0000-0000D9730000}"/>
    <cellStyle name="Normal 23 2 2 3" xfId="3872" xr:uid="{00000000-0005-0000-0000-0000DA730000}"/>
    <cellStyle name="Normal 23 2 3" xfId="2531" xr:uid="{00000000-0005-0000-0000-0000DB730000}"/>
    <cellStyle name="Normal 23 2 3 2" xfId="3874" xr:uid="{00000000-0005-0000-0000-0000DC730000}"/>
    <cellStyle name="Normal 23 2 4" xfId="2532" xr:uid="{00000000-0005-0000-0000-0000DD730000}"/>
    <cellStyle name="Normal 23 2 4 2" xfId="3875" xr:uid="{00000000-0005-0000-0000-0000DE730000}"/>
    <cellStyle name="Normal 23 2 5" xfId="2533" xr:uid="{00000000-0005-0000-0000-0000DF730000}"/>
    <cellStyle name="Normal 23 2 5 2" xfId="3876" xr:uid="{00000000-0005-0000-0000-0000E0730000}"/>
    <cellStyle name="Normal 23 2 6" xfId="2534" xr:uid="{00000000-0005-0000-0000-0000E1730000}"/>
    <cellStyle name="Normal 23 2 6 2" xfId="3877" xr:uid="{00000000-0005-0000-0000-0000E2730000}"/>
    <cellStyle name="Normal 23 2 7" xfId="5393" xr:uid="{00000000-0005-0000-0000-0000E3730000}"/>
    <cellStyle name="Normal 23 2 8" xfId="5394" xr:uid="{00000000-0005-0000-0000-0000E4730000}"/>
    <cellStyle name="Normal 23 2 8 2" xfId="5395" xr:uid="{00000000-0005-0000-0000-0000E5730000}"/>
    <cellStyle name="Normal 23 2 9" xfId="7117" xr:uid="{00000000-0005-0000-0000-0000E6730000}"/>
    <cellStyle name="Normal 23 2 9 2" xfId="25769" xr:uid="{00000000-0005-0000-0000-0000E7730000}"/>
    <cellStyle name="Normal 23 2 9 3" xfId="29982" xr:uid="{00000000-0005-0000-0000-0000E8730000}"/>
    <cellStyle name="Normal 23 2 9 4" xfId="34197" xr:uid="{00000000-0005-0000-0000-0000E9730000}"/>
    <cellStyle name="Normal 23 2 9 5" xfId="38401" xr:uid="{00000000-0005-0000-0000-0000EA730000}"/>
    <cellStyle name="Normal 23 3" xfId="2535" xr:uid="{00000000-0005-0000-0000-0000EB730000}"/>
    <cellStyle name="Normal 23 3 10" xfId="7250" xr:uid="{00000000-0005-0000-0000-0000EC730000}"/>
    <cellStyle name="Normal 23 3 10 2" xfId="25883" xr:uid="{00000000-0005-0000-0000-0000ED730000}"/>
    <cellStyle name="Normal 23 3 10 3" xfId="30096" xr:uid="{00000000-0005-0000-0000-0000EE730000}"/>
    <cellStyle name="Normal 23 3 10 4" xfId="34311" xr:uid="{00000000-0005-0000-0000-0000EF730000}"/>
    <cellStyle name="Normal 23 3 10 5" xfId="38515" xr:uid="{00000000-0005-0000-0000-0000F0730000}"/>
    <cellStyle name="Normal 23 3 11" xfId="7369" xr:uid="{00000000-0005-0000-0000-0000F1730000}"/>
    <cellStyle name="Normal 23 3 11 2" xfId="26002" xr:uid="{00000000-0005-0000-0000-0000F2730000}"/>
    <cellStyle name="Normal 23 3 11 3" xfId="30215" xr:uid="{00000000-0005-0000-0000-0000F3730000}"/>
    <cellStyle name="Normal 23 3 11 4" xfId="34430" xr:uid="{00000000-0005-0000-0000-0000F4730000}"/>
    <cellStyle name="Normal 23 3 11 5" xfId="38634" xr:uid="{00000000-0005-0000-0000-0000F5730000}"/>
    <cellStyle name="Normal 23 3 12" xfId="7487" xr:uid="{00000000-0005-0000-0000-0000F6730000}"/>
    <cellStyle name="Normal 23 3 12 2" xfId="26120" xr:uid="{00000000-0005-0000-0000-0000F7730000}"/>
    <cellStyle name="Normal 23 3 12 3" xfId="30333" xr:uid="{00000000-0005-0000-0000-0000F8730000}"/>
    <cellStyle name="Normal 23 3 12 4" xfId="34548" xr:uid="{00000000-0005-0000-0000-0000F9730000}"/>
    <cellStyle name="Normal 23 3 12 5" xfId="38752" xr:uid="{00000000-0005-0000-0000-0000FA730000}"/>
    <cellStyle name="Normal 23 3 13" xfId="8988" xr:uid="{00000000-0005-0000-0000-0000FB730000}"/>
    <cellStyle name="Normal 23 3 13 2" xfId="26559" xr:uid="{00000000-0005-0000-0000-0000FC730000}"/>
    <cellStyle name="Normal 23 3 13 3" xfId="30772" xr:uid="{00000000-0005-0000-0000-0000FD730000}"/>
    <cellStyle name="Normal 23 3 13 4" xfId="34987" xr:uid="{00000000-0005-0000-0000-0000FE730000}"/>
    <cellStyle name="Normal 23 3 13 5" xfId="39191" xr:uid="{00000000-0005-0000-0000-0000FF730000}"/>
    <cellStyle name="Normal 23 3 14" xfId="9110" xr:uid="{00000000-0005-0000-0000-000000740000}"/>
    <cellStyle name="Normal 23 3 14 2" xfId="26681" xr:uid="{00000000-0005-0000-0000-000001740000}"/>
    <cellStyle name="Normal 23 3 14 3" xfId="30894" xr:uid="{00000000-0005-0000-0000-000002740000}"/>
    <cellStyle name="Normal 23 3 14 4" xfId="35109" xr:uid="{00000000-0005-0000-0000-000003740000}"/>
    <cellStyle name="Normal 23 3 14 5" xfId="39313" xr:uid="{00000000-0005-0000-0000-000004740000}"/>
    <cellStyle name="Normal 23 3 15" xfId="9230" xr:uid="{00000000-0005-0000-0000-000005740000}"/>
    <cellStyle name="Normal 23 3 15 2" xfId="26801" xr:uid="{00000000-0005-0000-0000-000006740000}"/>
    <cellStyle name="Normal 23 3 15 3" xfId="31014" xr:uid="{00000000-0005-0000-0000-000007740000}"/>
    <cellStyle name="Normal 23 3 15 4" xfId="35229" xr:uid="{00000000-0005-0000-0000-000008740000}"/>
    <cellStyle name="Normal 23 3 15 5" xfId="39433" xr:uid="{00000000-0005-0000-0000-000009740000}"/>
    <cellStyle name="Normal 23 3 16" xfId="9351" xr:uid="{00000000-0005-0000-0000-00000A740000}"/>
    <cellStyle name="Normal 23 3 16 2" xfId="26922" xr:uid="{00000000-0005-0000-0000-00000B740000}"/>
    <cellStyle name="Normal 23 3 16 3" xfId="31135" xr:uid="{00000000-0005-0000-0000-00000C740000}"/>
    <cellStyle name="Normal 23 3 16 4" xfId="35350" xr:uid="{00000000-0005-0000-0000-00000D740000}"/>
    <cellStyle name="Normal 23 3 16 5" xfId="39554" xr:uid="{00000000-0005-0000-0000-00000E740000}"/>
    <cellStyle name="Normal 23 3 17" xfId="9470" xr:uid="{00000000-0005-0000-0000-00000F740000}"/>
    <cellStyle name="Normal 23 3 17 2" xfId="27041" xr:uid="{00000000-0005-0000-0000-000010740000}"/>
    <cellStyle name="Normal 23 3 17 3" xfId="31254" xr:uid="{00000000-0005-0000-0000-000011740000}"/>
    <cellStyle name="Normal 23 3 17 4" xfId="35469" xr:uid="{00000000-0005-0000-0000-000012740000}"/>
    <cellStyle name="Normal 23 3 17 5" xfId="39673" xr:uid="{00000000-0005-0000-0000-000013740000}"/>
    <cellStyle name="Normal 23 3 18" xfId="3878" xr:uid="{00000000-0005-0000-0000-000014740000}"/>
    <cellStyle name="Normal 23 3 2" xfId="2536" xr:uid="{00000000-0005-0000-0000-000015740000}"/>
    <cellStyle name="Normal 23 3 2 2" xfId="2537" xr:uid="{00000000-0005-0000-0000-000016740000}"/>
    <cellStyle name="Normal 23 3 2 2 2" xfId="3880" xr:uid="{00000000-0005-0000-0000-000017740000}"/>
    <cellStyle name="Normal 23 3 2 3" xfId="3879" xr:uid="{00000000-0005-0000-0000-000018740000}"/>
    <cellStyle name="Normal 23 3 3" xfId="2538" xr:uid="{00000000-0005-0000-0000-000019740000}"/>
    <cellStyle name="Normal 23 3 3 2" xfId="3881" xr:uid="{00000000-0005-0000-0000-00001A740000}"/>
    <cellStyle name="Normal 23 3 4" xfId="2539" xr:uid="{00000000-0005-0000-0000-00001B740000}"/>
    <cellStyle name="Normal 23 3 4 2" xfId="3882" xr:uid="{00000000-0005-0000-0000-00001C740000}"/>
    <cellStyle name="Normal 23 3 5" xfId="2540" xr:uid="{00000000-0005-0000-0000-00001D740000}"/>
    <cellStyle name="Normal 23 3 5 2" xfId="3883" xr:uid="{00000000-0005-0000-0000-00001E740000}"/>
    <cellStyle name="Normal 23 3 6" xfId="2541" xr:uid="{00000000-0005-0000-0000-00001F740000}"/>
    <cellStyle name="Normal 23 3 6 2" xfId="3884" xr:uid="{00000000-0005-0000-0000-000020740000}"/>
    <cellStyle name="Normal 23 3 7" xfId="5396" xr:uid="{00000000-0005-0000-0000-000021740000}"/>
    <cellStyle name="Normal 23 3 8" xfId="5397" xr:uid="{00000000-0005-0000-0000-000022740000}"/>
    <cellStyle name="Normal 23 3 8 2" xfId="5398" xr:uid="{00000000-0005-0000-0000-000023740000}"/>
    <cellStyle name="Normal 23 3 9" xfId="7118" xr:uid="{00000000-0005-0000-0000-000024740000}"/>
    <cellStyle name="Normal 23 3 9 2" xfId="25770" xr:uid="{00000000-0005-0000-0000-000025740000}"/>
    <cellStyle name="Normal 23 3 9 3" xfId="29983" xr:uid="{00000000-0005-0000-0000-000026740000}"/>
    <cellStyle name="Normal 23 3 9 4" xfId="34198" xr:uid="{00000000-0005-0000-0000-000027740000}"/>
    <cellStyle name="Normal 23 3 9 5" xfId="38402" xr:uid="{00000000-0005-0000-0000-000028740000}"/>
    <cellStyle name="Normal 23 4" xfId="2542" xr:uid="{00000000-0005-0000-0000-000029740000}"/>
    <cellStyle name="Normal 23 4 2" xfId="2543" xr:uid="{00000000-0005-0000-0000-00002A740000}"/>
    <cellStyle name="Normal 23 4 2 2" xfId="2544" xr:uid="{00000000-0005-0000-0000-00002B740000}"/>
    <cellStyle name="Normal 23 4 2 2 2" xfId="3887" xr:uid="{00000000-0005-0000-0000-00002C740000}"/>
    <cellStyle name="Normal 23 4 2 3" xfId="3886" xr:uid="{00000000-0005-0000-0000-00002D740000}"/>
    <cellStyle name="Normal 23 4 3" xfId="2545" xr:uid="{00000000-0005-0000-0000-00002E740000}"/>
    <cellStyle name="Normal 23 4 3 2" xfId="3888" xr:uid="{00000000-0005-0000-0000-00002F740000}"/>
    <cellStyle name="Normal 23 4 4" xfId="2546" xr:uid="{00000000-0005-0000-0000-000030740000}"/>
    <cellStyle name="Normal 23 4 4 2" xfId="3889" xr:uid="{00000000-0005-0000-0000-000031740000}"/>
    <cellStyle name="Normal 23 4 5" xfId="2547" xr:uid="{00000000-0005-0000-0000-000032740000}"/>
    <cellStyle name="Normal 23 4 5 2" xfId="3890" xr:uid="{00000000-0005-0000-0000-000033740000}"/>
    <cellStyle name="Normal 23 4 6" xfId="2548" xr:uid="{00000000-0005-0000-0000-000034740000}"/>
    <cellStyle name="Normal 23 4 6 2" xfId="3891" xr:uid="{00000000-0005-0000-0000-000035740000}"/>
    <cellStyle name="Normal 23 4 7" xfId="5399" xr:uid="{00000000-0005-0000-0000-000036740000}"/>
    <cellStyle name="Normal 23 4 8" xfId="5400" xr:uid="{00000000-0005-0000-0000-000037740000}"/>
    <cellStyle name="Normal 23 4 8 2" xfId="5401" xr:uid="{00000000-0005-0000-0000-000038740000}"/>
    <cellStyle name="Normal 23 4 9" xfId="3885" xr:uid="{00000000-0005-0000-0000-000039740000}"/>
    <cellStyle name="Normal 23 5" xfId="2549" xr:uid="{00000000-0005-0000-0000-00003A740000}"/>
    <cellStyle name="Normal 23 5 2" xfId="2550" xr:uid="{00000000-0005-0000-0000-00003B740000}"/>
    <cellStyle name="Normal 23 5 2 2" xfId="2551" xr:uid="{00000000-0005-0000-0000-00003C740000}"/>
    <cellStyle name="Normal 23 5 2 2 2" xfId="3894" xr:uid="{00000000-0005-0000-0000-00003D740000}"/>
    <cellStyle name="Normal 23 5 2 3" xfId="3893" xr:uid="{00000000-0005-0000-0000-00003E740000}"/>
    <cellStyle name="Normal 23 5 3" xfId="2552" xr:uid="{00000000-0005-0000-0000-00003F740000}"/>
    <cellStyle name="Normal 23 5 3 2" xfId="3895" xr:uid="{00000000-0005-0000-0000-000040740000}"/>
    <cellStyle name="Normal 23 5 4" xfId="2553" xr:uid="{00000000-0005-0000-0000-000041740000}"/>
    <cellStyle name="Normal 23 5 4 2" xfId="3896" xr:uid="{00000000-0005-0000-0000-000042740000}"/>
    <cellStyle name="Normal 23 5 5" xfId="2554" xr:uid="{00000000-0005-0000-0000-000043740000}"/>
    <cellStyle name="Normal 23 5 5 2" xfId="3897" xr:uid="{00000000-0005-0000-0000-000044740000}"/>
    <cellStyle name="Normal 23 5 6" xfId="2555" xr:uid="{00000000-0005-0000-0000-000045740000}"/>
    <cellStyle name="Normal 23 5 6 2" xfId="3898" xr:uid="{00000000-0005-0000-0000-000046740000}"/>
    <cellStyle name="Normal 23 5 7" xfId="5402" xr:uid="{00000000-0005-0000-0000-000047740000}"/>
    <cellStyle name="Normal 23 5 8" xfId="5403" xr:uid="{00000000-0005-0000-0000-000048740000}"/>
    <cellStyle name="Normal 23 5 8 2" xfId="5404" xr:uid="{00000000-0005-0000-0000-000049740000}"/>
    <cellStyle name="Normal 23 5 9" xfId="3892" xr:uid="{00000000-0005-0000-0000-00004A740000}"/>
    <cellStyle name="Normal 23 6" xfId="2556" xr:uid="{00000000-0005-0000-0000-00004B740000}"/>
    <cellStyle name="Normal 23 6 2" xfId="2557" xr:uid="{00000000-0005-0000-0000-00004C740000}"/>
    <cellStyle name="Normal 23 6 2 2" xfId="2558" xr:uid="{00000000-0005-0000-0000-00004D740000}"/>
    <cellStyle name="Normal 23 6 2 2 2" xfId="3901" xr:uid="{00000000-0005-0000-0000-00004E740000}"/>
    <cellStyle name="Normal 23 6 2 3" xfId="3900" xr:uid="{00000000-0005-0000-0000-00004F740000}"/>
    <cellStyle name="Normal 23 6 3" xfId="2559" xr:uid="{00000000-0005-0000-0000-000050740000}"/>
    <cellStyle name="Normal 23 6 3 2" xfId="3902" xr:uid="{00000000-0005-0000-0000-000051740000}"/>
    <cellStyle name="Normal 23 6 4" xfId="2560" xr:uid="{00000000-0005-0000-0000-000052740000}"/>
    <cellStyle name="Normal 23 6 4 2" xfId="3903" xr:uid="{00000000-0005-0000-0000-000053740000}"/>
    <cellStyle name="Normal 23 6 5" xfId="2561" xr:uid="{00000000-0005-0000-0000-000054740000}"/>
    <cellStyle name="Normal 23 6 5 2" xfId="3904" xr:uid="{00000000-0005-0000-0000-000055740000}"/>
    <cellStyle name="Normal 23 6 6" xfId="2562" xr:uid="{00000000-0005-0000-0000-000056740000}"/>
    <cellStyle name="Normal 23 6 6 2" xfId="3905" xr:uid="{00000000-0005-0000-0000-000057740000}"/>
    <cellStyle name="Normal 23 6 7" xfId="5405" xr:uid="{00000000-0005-0000-0000-000058740000}"/>
    <cellStyle name="Normal 23 6 8" xfId="5406" xr:uid="{00000000-0005-0000-0000-000059740000}"/>
    <cellStyle name="Normal 23 6 8 2" xfId="5407" xr:uid="{00000000-0005-0000-0000-00005A740000}"/>
    <cellStyle name="Normal 23 6 9" xfId="3899" xr:uid="{00000000-0005-0000-0000-00005B740000}"/>
    <cellStyle name="Normal 23 7" xfId="5408" xr:uid="{00000000-0005-0000-0000-00005C740000}"/>
    <cellStyle name="Normal 23 8" xfId="5409" xr:uid="{00000000-0005-0000-0000-00005D740000}"/>
    <cellStyle name="Normal 23 8 2" xfId="5410" xr:uid="{00000000-0005-0000-0000-00005E740000}"/>
    <cellStyle name="Normal 23 9" xfId="7116" xr:uid="{00000000-0005-0000-0000-00005F740000}"/>
    <cellStyle name="Normal 23 9 2" xfId="25768" xr:uid="{00000000-0005-0000-0000-000060740000}"/>
    <cellStyle name="Normal 23 9 3" xfId="29981" xr:uid="{00000000-0005-0000-0000-000061740000}"/>
    <cellStyle name="Normal 23 9 4" xfId="34196" xr:uid="{00000000-0005-0000-0000-000062740000}"/>
    <cellStyle name="Normal 23 9 5" xfId="38400" xr:uid="{00000000-0005-0000-0000-000063740000}"/>
    <cellStyle name="Normal 24" xfId="2563" xr:uid="{00000000-0005-0000-0000-000064740000}"/>
    <cellStyle name="Normal 24 10" xfId="2564" xr:uid="{00000000-0005-0000-0000-000065740000}"/>
    <cellStyle name="Normal 24 10 2" xfId="3907" xr:uid="{00000000-0005-0000-0000-000066740000}"/>
    <cellStyle name="Normal 24 10 2 2" xfId="43605" xr:uid="{00000000-0005-0000-0000-000067740000}"/>
    <cellStyle name="Normal 24 11" xfId="2565" xr:uid="{00000000-0005-0000-0000-000068740000}"/>
    <cellStyle name="Normal 24 11 2" xfId="3908" xr:uid="{00000000-0005-0000-0000-000069740000}"/>
    <cellStyle name="Normal 24 11 2 2" xfId="43606" xr:uid="{00000000-0005-0000-0000-00006A740000}"/>
    <cellStyle name="Normal 24 12" xfId="5411" xr:uid="{00000000-0005-0000-0000-00006B740000}"/>
    <cellStyle name="Normal 24 12 2" xfId="43607" xr:uid="{00000000-0005-0000-0000-00006C740000}"/>
    <cellStyle name="Normal 24 13" xfId="5412" xr:uid="{00000000-0005-0000-0000-00006D740000}"/>
    <cellStyle name="Normal 24 13 2" xfId="5413" xr:uid="{00000000-0005-0000-0000-00006E740000}"/>
    <cellStyle name="Normal 24 13 3" xfId="43608" xr:uid="{00000000-0005-0000-0000-00006F740000}"/>
    <cellStyle name="Normal 24 14" xfId="7119" xr:uid="{00000000-0005-0000-0000-000070740000}"/>
    <cellStyle name="Normal 24 14 2" xfId="25771" xr:uid="{00000000-0005-0000-0000-000071740000}"/>
    <cellStyle name="Normal 24 14 2 2" xfId="43609" xr:uid="{00000000-0005-0000-0000-000072740000}"/>
    <cellStyle name="Normal 24 14 3" xfId="29984" xr:uid="{00000000-0005-0000-0000-000073740000}"/>
    <cellStyle name="Normal 24 14 4" xfId="34199" xr:uid="{00000000-0005-0000-0000-000074740000}"/>
    <cellStyle name="Normal 24 14 5" xfId="38403" xr:uid="{00000000-0005-0000-0000-000075740000}"/>
    <cellStyle name="Normal 24 15" xfId="7251" xr:uid="{00000000-0005-0000-0000-000076740000}"/>
    <cellStyle name="Normal 24 15 2" xfId="25884" xr:uid="{00000000-0005-0000-0000-000077740000}"/>
    <cellStyle name="Normal 24 15 2 2" xfId="43610" xr:uid="{00000000-0005-0000-0000-000078740000}"/>
    <cellStyle name="Normal 24 15 3" xfId="30097" xr:uid="{00000000-0005-0000-0000-000079740000}"/>
    <cellStyle name="Normal 24 15 4" xfId="34312" xr:uid="{00000000-0005-0000-0000-00007A740000}"/>
    <cellStyle name="Normal 24 15 5" xfId="38516" xr:uid="{00000000-0005-0000-0000-00007B740000}"/>
    <cellStyle name="Normal 24 16" xfId="7370" xr:uid="{00000000-0005-0000-0000-00007C740000}"/>
    <cellStyle name="Normal 24 16 2" xfId="26003" xr:uid="{00000000-0005-0000-0000-00007D740000}"/>
    <cellStyle name="Normal 24 16 2 2" xfId="43611" xr:uid="{00000000-0005-0000-0000-00007E740000}"/>
    <cellStyle name="Normal 24 16 3" xfId="30216" xr:uid="{00000000-0005-0000-0000-00007F740000}"/>
    <cellStyle name="Normal 24 16 4" xfId="34431" xr:uid="{00000000-0005-0000-0000-000080740000}"/>
    <cellStyle name="Normal 24 16 5" xfId="38635" xr:uid="{00000000-0005-0000-0000-000081740000}"/>
    <cellStyle name="Normal 24 17" xfId="7488" xr:uid="{00000000-0005-0000-0000-000082740000}"/>
    <cellStyle name="Normal 24 17 2" xfId="26121" xr:uid="{00000000-0005-0000-0000-000083740000}"/>
    <cellStyle name="Normal 24 17 2 2" xfId="43612" xr:uid="{00000000-0005-0000-0000-000084740000}"/>
    <cellStyle name="Normal 24 17 3" xfId="30334" xr:uid="{00000000-0005-0000-0000-000085740000}"/>
    <cellStyle name="Normal 24 17 4" xfId="34549" xr:uid="{00000000-0005-0000-0000-000086740000}"/>
    <cellStyle name="Normal 24 17 5" xfId="38753" xr:uid="{00000000-0005-0000-0000-000087740000}"/>
    <cellStyle name="Normal 24 18" xfId="8989" xr:uid="{00000000-0005-0000-0000-000088740000}"/>
    <cellStyle name="Normal 24 18 2" xfId="26560" xr:uid="{00000000-0005-0000-0000-000089740000}"/>
    <cellStyle name="Normal 24 18 2 2" xfId="43613" xr:uid="{00000000-0005-0000-0000-00008A740000}"/>
    <cellStyle name="Normal 24 18 3" xfId="30773" xr:uid="{00000000-0005-0000-0000-00008B740000}"/>
    <cellStyle name="Normal 24 18 4" xfId="34988" xr:uid="{00000000-0005-0000-0000-00008C740000}"/>
    <cellStyle name="Normal 24 18 5" xfId="39192" xr:uid="{00000000-0005-0000-0000-00008D740000}"/>
    <cellStyle name="Normal 24 19" xfId="9111" xr:uid="{00000000-0005-0000-0000-00008E740000}"/>
    <cellStyle name="Normal 24 19 2" xfId="26682" xr:uid="{00000000-0005-0000-0000-00008F740000}"/>
    <cellStyle name="Normal 24 19 2 2" xfId="43614" xr:uid="{00000000-0005-0000-0000-000090740000}"/>
    <cellStyle name="Normal 24 19 3" xfId="30895" xr:uid="{00000000-0005-0000-0000-000091740000}"/>
    <cellStyle name="Normal 24 19 4" xfId="35110" xr:uid="{00000000-0005-0000-0000-000092740000}"/>
    <cellStyle name="Normal 24 19 5" xfId="39314" xr:uid="{00000000-0005-0000-0000-000093740000}"/>
    <cellStyle name="Normal 24 2" xfId="2566" xr:uid="{00000000-0005-0000-0000-000094740000}"/>
    <cellStyle name="Normal 24 2 10" xfId="7252" xr:uid="{00000000-0005-0000-0000-000095740000}"/>
    <cellStyle name="Normal 24 2 10 2" xfId="25885" xr:uid="{00000000-0005-0000-0000-000096740000}"/>
    <cellStyle name="Normal 24 2 10 3" xfId="30098" xr:uid="{00000000-0005-0000-0000-000097740000}"/>
    <cellStyle name="Normal 24 2 10 4" xfId="34313" xr:uid="{00000000-0005-0000-0000-000098740000}"/>
    <cellStyle name="Normal 24 2 10 5" xfId="38517" xr:uid="{00000000-0005-0000-0000-000099740000}"/>
    <cellStyle name="Normal 24 2 11" xfId="7371" xr:uid="{00000000-0005-0000-0000-00009A740000}"/>
    <cellStyle name="Normal 24 2 11 2" xfId="26004" xr:uid="{00000000-0005-0000-0000-00009B740000}"/>
    <cellStyle name="Normal 24 2 11 3" xfId="30217" xr:uid="{00000000-0005-0000-0000-00009C740000}"/>
    <cellStyle name="Normal 24 2 11 4" xfId="34432" xr:uid="{00000000-0005-0000-0000-00009D740000}"/>
    <cellStyle name="Normal 24 2 11 5" xfId="38636" xr:uid="{00000000-0005-0000-0000-00009E740000}"/>
    <cellStyle name="Normal 24 2 12" xfId="7489" xr:uid="{00000000-0005-0000-0000-00009F740000}"/>
    <cellStyle name="Normal 24 2 12 2" xfId="26122" xr:uid="{00000000-0005-0000-0000-0000A0740000}"/>
    <cellStyle name="Normal 24 2 12 3" xfId="30335" xr:uid="{00000000-0005-0000-0000-0000A1740000}"/>
    <cellStyle name="Normal 24 2 12 4" xfId="34550" xr:uid="{00000000-0005-0000-0000-0000A2740000}"/>
    <cellStyle name="Normal 24 2 12 5" xfId="38754" xr:uid="{00000000-0005-0000-0000-0000A3740000}"/>
    <cellStyle name="Normal 24 2 13" xfId="8990" xr:uid="{00000000-0005-0000-0000-0000A4740000}"/>
    <cellStyle name="Normal 24 2 13 2" xfId="26561" xr:uid="{00000000-0005-0000-0000-0000A5740000}"/>
    <cellStyle name="Normal 24 2 13 3" xfId="30774" xr:uid="{00000000-0005-0000-0000-0000A6740000}"/>
    <cellStyle name="Normal 24 2 13 4" xfId="34989" xr:uid="{00000000-0005-0000-0000-0000A7740000}"/>
    <cellStyle name="Normal 24 2 13 5" xfId="39193" xr:uid="{00000000-0005-0000-0000-0000A8740000}"/>
    <cellStyle name="Normal 24 2 14" xfId="9112" xr:uid="{00000000-0005-0000-0000-0000A9740000}"/>
    <cellStyle name="Normal 24 2 14 2" xfId="26683" xr:uid="{00000000-0005-0000-0000-0000AA740000}"/>
    <cellStyle name="Normal 24 2 14 3" xfId="30896" xr:uid="{00000000-0005-0000-0000-0000AB740000}"/>
    <cellStyle name="Normal 24 2 14 4" xfId="35111" xr:uid="{00000000-0005-0000-0000-0000AC740000}"/>
    <cellStyle name="Normal 24 2 14 5" xfId="39315" xr:uid="{00000000-0005-0000-0000-0000AD740000}"/>
    <cellStyle name="Normal 24 2 15" xfId="9232" xr:uid="{00000000-0005-0000-0000-0000AE740000}"/>
    <cellStyle name="Normal 24 2 15 2" xfId="26803" xr:uid="{00000000-0005-0000-0000-0000AF740000}"/>
    <cellStyle name="Normal 24 2 15 3" xfId="31016" xr:uid="{00000000-0005-0000-0000-0000B0740000}"/>
    <cellStyle name="Normal 24 2 15 4" xfId="35231" xr:uid="{00000000-0005-0000-0000-0000B1740000}"/>
    <cellStyle name="Normal 24 2 15 5" xfId="39435" xr:uid="{00000000-0005-0000-0000-0000B2740000}"/>
    <cellStyle name="Normal 24 2 16" xfId="9353" xr:uid="{00000000-0005-0000-0000-0000B3740000}"/>
    <cellStyle name="Normal 24 2 16 2" xfId="26924" xr:uid="{00000000-0005-0000-0000-0000B4740000}"/>
    <cellStyle name="Normal 24 2 16 3" xfId="31137" xr:uid="{00000000-0005-0000-0000-0000B5740000}"/>
    <cellStyle name="Normal 24 2 16 4" xfId="35352" xr:uid="{00000000-0005-0000-0000-0000B6740000}"/>
    <cellStyle name="Normal 24 2 16 5" xfId="39556" xr:uid="{00000000-0005-0000-0000-0000B7740000}"/>
    <cellStyle name="Normal 24 2 17" xfId="9472" xr:uid="{00000000-0005-0000-0000-0000B8740000}"/>
    <cellStyle name="Normal 24 2 17 2" xfId="27043" xr:uid="{00000000-0005-0000-0000-0000B9740000}"/>
    <cellStyle name="Normal 24 2 17 3" xfId="31256" xr:uid="{00000000-0005-0000-0000-0000BA740000}"/>
    <cellStyle name="Normal 24 2 17 4" xfId="35471" xr:uid="{00000000-0005-0000-0000-0000BB740000}"/>
    <cellStyle name="Normal 24 2 17 5" xfId="39675" xr:uid="{00000000-0005-0000-0000-0000BC740000}"/>
    <cellStyle name="Normal 24 2 18" xfId="3909" xr:uid="{00000000-0005-0000-0000-0000BD740000}"/>
    <cellStyle name="Normal 24 2 18 2" xfId="43615" xr:uid="{00000000-0005-0000-0000-0000BE740000}"/>
    <cellStyle name="Normal 24 2 2" xfId="2567" xr:uid="{00000000-0005-0000-0000-0000BF740000}"/>
    <cellStyle name="Normal 24 2 2 2" xfId="2568" xr:uid="{00000000-0005-0000-0000-0000C0740000}"/>
    <cellStyle name="Normal 24 2 2 2 2" xfId="3911" xr:uid="{00000000-0005-0000-0000-0000C1740000}"/>
    <cellStyle name="Normal 24 2 2 3" xfId="3910" xr:uid="{00000000-0005-0000-0000-0000C2740000}"/>
    <cellStyle name="Normal 24 2 3" xfId="2569" xr:uid="{00000000-0005-0000-0000-0000C3740000}"/>
    <cellStyle name="Normal 24 2 3 2" xfId="3912" xr:uid="{00000000-0005-0000-0000-0000C4740000}"/>
    <cellStyle name="Normal 24 2 4" xfId="2570" xr:uid="{00000000-0005-0000-0000-0000C5740000}"/>
    <cellStyle name="Normal 24 2 4 2" xfId="3913" xr:uid="{00000000-0005-0000-0000-0000C6740000}"/>
    <cellStyle name="Normal 24 2 5" xfId="2571" xr:uid="{00000000-0005-0000-0000-0000C7740000}"/>
    <cellStyle name="Normal 24 2 5 2" xfId="3914" xr:uid="{00000000-0005-0000-0000-0000C8740000}"/>
    <cellStyle name="Normal 24 2 6" xfId="2572" xr:uid="{00000000-0005-0000-0000-0000C9740000}"/>
    <cellStyle name="Normal 24 2 6 2" xfId="3915" xr:uid="{00000000-0005-0000-0000-0000CA740000}"/>
    <cellStyle name="Normal 24 2 7" xfId="5414" xr:uid="{00000000-0005-0000-0000-0000CB740000}"/>
    <cellStyle name="Normal 24 2 8" xfId="5415" xr:uid="{00000000-0005-0000-0000-0000CC740000}"/>
    <cellStyle name="Normal 24 2 8 2" xfId="5416" xr:uid="{00000000-0005-0000-0000-0000CD740000}"/>
    <cellStyle name="Normal 24 2 9" xfId="7120" xr:uid="{00000000-0005-0000-0000-0000CE740000}"/>
    <cellStyle name="Normal 24 2 9 2" xfId="25772" xr:uid="{00000000-0005-0000-0000-0000CF740000}"/>
    <cellStyle name="Normal 24 2 9 3" xfId="29985" xr:uid="{00000000-0005-0000-0000-0000D0740000}"/>
    <cellStyle name="Normal 24 2 9 4" xfId="34200" xr:uid="{00000000-0005-0000-0000-0000D1740000}"/>
    <cellStyle name="Normal 24 2 9 5" xfId="38404" xr:uid="{00000000-0005-0000-0000-0000D2740000}"/>
    <cellStyle name="Normal 24 20" xfId="9231" xr:uid="{00000000-0005-0000-0000-0000D3740000}"/>
    <cellStyle name="Normal 24 20 2" xfId="26802" xr:uid="{00000000-0005-0000-0000-0000D4740000}"/>
    <cellStyle name="Normal 24 20 2 2" xfId="43616" xr:uid="{00000000-0005-0000-0000-0000D5740000}"/>
    <cellStyle name="Normal 24 20 3" xfId="31015" xr:uid="{00000000-0005-0000-0000-0000D6740000}"/>
    <cellStyle name="Normal 24 20 4" xfId="35230" xr:uid="{00000000-0005-0000-0000-0000D7740000}"/>
    <cellStyle name="Normal 24 20 5" xfId="39434" xr:uid="{00000000-0005-0000-0000-0000D8740000}"/>
    <cellStyle name="Normal 24 21" xfId="9352" xr:uid="{00000000-0005-0000-0000-0000D9740000}"/>
    <cellStyle name="Normal 24 21 2" xfId="26923" xr:uid="{00000000-0005-0000-0000-0000DA740000}"/>
    <cellStyle name="Normal 24 21 3" xfId="31136" xr:uid="{00000000-0005-0000-0000-0000DB740000}"/>
    <cellStyle name="Normal 24 21 4" xfId="35351" xr:uid="{00000000-0005-0000-0000-0000DC740000}"/>
    <cellStyle name="Normal 24 21 5" xfId="39555" xr:uid="{00000000-0005-0000-0000-0000DD740000}"/>
    <cellStyle name="Normal 24 22" xfId="9471" xr:uid="{00000000-0005-0000-0000-0000DE740000}"/>
    <cellStyle name="Normal 24 22 2" xfId="27042" xr:uid="{00000000-0005-0000-0000-0000DF740000}"/>
    <cellStyle name="Normal 24 22 3" xfId="31255" xr:uid="{00000000-0005-0000-0000-0000E0740000}"/>
    <cellStyle name="Normal 24 22 4" xfId="35470" xr:uid="{00000000-0005-0000-0000-0000E1740000}"/>
    <cellStyle name="Normal 24 22 5" xfId="39674" xr:uid="{00000000-0005-0000-0000-0000E2740000}"/>
    <cellStyle name="Normal 24 23" xfId="3906" xr:uid="{00000000-0005-0000-0000-0000E3740000}"/>
    <cellStyle name="Normal 24 3" xfId="2573" xr:uid="{00000000-0005-0000-0000-0000E4740000}"/>
    <cellStyle name="Normal 24 3 10" xfId="7253" xr:uid="{00000000-0005-0000-0000-0000E5740000}"/>
    <cellStyle name="Normal 24 3 10 2" xfId="25886" xr:uid="{00000000-0005-0000-0000-0000E6740000}"/>
    <cellStyle name="Normal 24 3 10 3" xfId="30099" xr:uid="{00000000-0005-0000-0000-0000E7740000}"/>
    <cellStyle name="Normal 24 3 10 4" xfId="34314" xr:uid="{00000000-0005-0000-0000-0000E8740000}"/>
    <cellStyle name="Normal 24 3 10 5" xfId="38518" xr:uid="{00000000-0005-0000-0000-0000E9740000}"/>
    <cellStyle name="Normal 24 3 11" xfId="7372" xr:uid="{00000000-0005-0000-0000-0000EA740000}"/>
    <cellStyle name="Normal 24 3 11 2" xfId="26005" xr:uid="{00000000-0005-0000-0000-0000EB740000}"/>
    <cellStyle name="Normal 24 3 11 3" xfId="30218" xr:uid="{00000000-0005-0000-0000-0000EC740000}"/>
    <cellStyle name="Normal 24 3 11 4" xfId="34433" xr:uid="{00000000-0005-0000-0000-0000ED740000}"/>
    <cellStyle name="Normal 24 3 11 5" xfId="38637" xr:uid="{00000000-0005-0000-0000-0000EE740000}"/>
    <cellStyle name="Normal 24 3 12" xfId="7490" xr:uid="{00000000-0005-0000-0000-0000EF740000}"/>
    <cellStyle name="Normal 24 3 12 2" xfId="26123" xr:uid="{00000000-0005-0000-0000-0000F0740000}"/>
    <cellStyle name="Normal 24 3 12 3" xfId="30336" xr:uid="{00000000-0005-0000-0000-0000F1740000}"/>
    <cellStyle name="Normal 24 3 12 4" xfId="34551" xr:uid="{00000000-0005-0000-0000-0000F2740000}"/>
    <cellStyle name="Normal 24 3 12 5" xfId="38755" xr:uid="{00000000-0005-0000-0000-0000F3740000}"/>
    <cellStyle name="Normal 24 3 13" xfId="8991" xr:uid="{00000000-0005-0000-0000-0000F4740000}"/>
    <cellStyle name="Normal 24 3 13 2" xfId="26562" xr:uid="{00000000-0005-0000-0000-0000F5740000}"/>
    <cellStyle name="Normal 24 3 13 3" xfId="30775" xr:uid="{00000000-0005-0000-0000-0000F6740000}"/>
    <cellStyle name="Normal 24 3 13 4" xfId="34990" xr:uid="{00000000-0005-0000-0000-0000F7740000}"/>
    <cellStyle name="Normal 24 3 13 5" xfId="39194" xr:uid="{00000000-0005-0000-0000-0000F8740000}"/>
    <cellStyle name="Normal 24 3 14" xfId="9113" xr:uid="{00000000-0005-0000-0000-0000F9740000}"/>
    <cellStyle name="Normal 24 3 14 2" xfId="26684" xr:uid="{00000000-0005-0000-0000-0000FA740000}"/>
    <cellStyle name="Normal 24 3 14 3" xfId="30897" xr:uid="{00000000-0005-0000-0000-0000FB740000}"/>
    <cellStyle name="Normal 24 3 14 4" xfId="35112" xr:uid="{00000000-0005-0000-0000-0000FC740000}"/>
    <cellStyle name="Normal 24 3 14 5" xfId="39316" xr:uid="{00000000-0005-0000-0000-0000FD740000}"/>
    <cellStyle name="Normal 24 3 15" xfId="9233" xr:uid="{00000000-0005-0000-0000-0000FE740000}"/>
    <cellStyle name="Normal 24 3 15 2" xfId="26804" xr:uid="{00000000-0005-0000-0000-0000FF740000}"/>
    <cellStyle name="Normal 24 3 15 3" xfId="31017" xr:uid="{00000000-0005-0000-0000-000000750000}"/>
    <cellStyle name="Normal 24 3 15 4" xfId="35232" xr:uid="{00000000-0005-0000-0000-000001750000}"/>
    <cellStyle name="Normal 24 3 15 5" xfId="39436" xr:uid="{00000000-0005-0000-0000-000002750000}"/>
    <cellStyle name="Normal 24 3 16" xfId="9354" xr:uid="{00000000-0005-0000-0000-000003750000}"/>
    <cellStyle name="Normal 24 3 16 2" xfId="26925" xr:uid="{00000000-0005-0000-0000-000004750000}"/>
    <cellStyle name="Normal 24 3 16 3" xfId="31138" xr:uid="{00000000-0005-0000-0000-000005750000}"/>
    <cellStyle name="Normal 24 3 16 4" xfId="35353" xr:uid="{00000000-0005-0000-0000-000006750000}"/>
    <cellStyle name="Normal 24 3 16 5" xfId="39557" xr:uid="{00000000-0005-0000-0000-000007750000}"/>
    <cellStyle name="Normal 24 3 17" xfId="9473" xr:uid="{00000000-0005-0000-0000-000008750000}"/>
    <cellStyle name="Normal 24 3 17 2" xfId="27044" xr:uid="{00000000-0005-0000-0000-000009750000}"/>
    <cellStyle name="Normal 24 3 17 3" xfId="31257" xr:uid="{00000000-0005-0000-0000-00000A750000}"/>
    <cellStyle name="Normal 24 3 17 4" xfId="35472" xr:uid="{00000000-0005-0000-0000-00000B750000}"/>
    <cellStyle name="Normal 24 3 17 5" xfId="39676" xr:uid="{00000000-0005-0000-0000-00000C750000}"/>
    <cellStyle name="Normal 24 3 18" xfId="3916" xr:uid="{00000000-0005-0000-0000-00000D750000}"/>
    <cellStyle name="Normal 24 3 18 2" xfId="43617" xr:uid="{00000000-0005-0000-0000-00000E750000}"/>
    <cellStyle name="Normal 24 3 2" xfId="2574" xr:uid="{00000000-0005-0000-0000-00000F750000}"/>
    <cellStyle name="Normal 24 3 2 2" xfId="2575" xr:uid="{00000000-0005-0000-0000-000010750000}"/>
    <cellStyle name="Normal 24 3 2 2 2" xfId="3918" xr:uid="{00000000-0005-0000-0000-000011750000}"/>
    <cellStyle name="Normal 24 3 2 3" xfId="3917" xr:uid="{00000000-0005-0000-0000-000012750000}"/>
    <cellStyle name="Normal 24 3 3" xfId="2576" xr:uid="{00000000-0005-0000-0000-000013750000}"/>
    <cellStyle name="Normal 24 3 3 2" xfId="3919" xr:uid="{00000000-0005-0000-0000-000014750000}"/>
    <cellStyle name="Normal 24 3 4" xfId="2577" xr:uid="{00000000-0005-0000-0000-000015750000}"/>
    <cellStyle name="Normal 24 3 4 2" xfId="3920" xr:uid="{00000000-0005-0000-0000-000016750000}"/>
    <cellStyle name="Normal 24 3 5" xfId="2578" xr:uid="{00000000-0005-0000-0000-000017750000}"/>
    <cellStyle name="Normal 24 3 5 2" xfId="3921" xr:uid="{00000000-0005-0000-0000-000018750000}"/>
    <cellStyle name="Normal 24 3 6" xfId="2579" xr:uid="{00000000-0005-0000-0000-000019750000}"/>
    <cellStyle name="Normal 24 3 6 2" xfId="3922" xr:uid="{00000000-0005-0000-0000-00001A750000}"/>
    <cellStyle name="Normal 24 3 7" xfId="5417" xr:uid="{00000000-0005-0000-0000-00001B750000}"/>
    <cellStyle name="Normal 24 3 8" xfId="5418" xr:uid="{00000000-0005-0000-0000-00001C750000}"/>
    <cellStyle name="Normal 24 3 8 2" xfId="5419" xr:uid="{00000000-0005-0000-0000-00001D750000}"/>
    <cellStyle name="Normal 24 3 9" xfId="7121" xr:uid="{00000000-0005-0000-0000-00001E750000}"/>
    <cellStyle name="Normal 24 3 9 2" xfId="25773" xr:uid="{00000000-0005-0000-0000-00001F750000}"/>
    <cellStyle name="Normal 24 3 9 3" xfId="29986" xr:uid="{00000000-0005-0000-0000-000020750000}"/>
    <cellStyle name="Normal 24 3 9 4" xfId="34201" xr:uid="{00000000-0005-0000-0000-000021750000}"/>
    <cellStyle name="Normal 24 3 9 5" xfId="38405" xr:uid="{00000000-0005-0000-0000-000022750000}"/>
    <cellStyle name="Normal 24 4" xfId="2580" xr:uid="{00000000-0005-0000-0000-000023750000}"/>
    <cellStyle name="Normal 24 4 2" xfId="2581" xr:uid="{00000000-0005-0000-0000-000024750000}"/>
    <cellStyle name="Normal 24 4 2 2" xfId="2582" xr:uid="{00000000-0005-0000-0000-000025750000}"/>
    <cellStyle name="Normal 24 4 2 2 2" xfId="3925" xr:uid="{00000000-0005-0000-0000-000026750000}"/>
    <cellStyle name="Normal 24 4 2 3" xfId="3924" xr:uid="{00000000-0005-0000-0000-000027750000}"/>
    <cellStyle name="Normal 24 4 3" xfId="2583" xr:uid="{00000000-0005-0000-0000-000028750000}"/>
    <cellStyle name="Normal 24 4 3 2" xfId="3926" xr:uid="{00000000-0005-0000-0000-000029750000}"/>
    <cellStyle name="Normal 24 4 4" xfId="2584" xr:uid="{00000000-0005-0000-0000-00002A750000}"/>
    <cellStyle name="Normal 24 4 4 2" xfId="3927" xr:uid="{00000000-0005-0000-0000-00002B750000}"/>
    <cellStyle name="Normal 24 4 5" xfId="2585" xr:uid="{00000000-0005-0000-0000-00002C750000}"/>
    <cellStyle name="Normal 24 4 5 2" xfId="3928" xr:uid="{00000000-0005-0000-0000-00002D750000}"/>
    <cellStyle name="Normal 24 4 6" xfId="2586" xr:uid="{00000000-0005-0000-0000-00002E750000}"/>
    <cellStyle name="Normal 24 4 6 2" xfId="3929" xr:uid="{00000000-0005-0000-0000-00002F750000}"/>
    <cellStyle name="Normal 24 4 7" xfId="5420" xr:uid="{00000000-0005-0000-0000-000030750000}"/>
    <cellStyle name="Normal 24 4 8" xfId="5421" xr:uid="{00000000-0005-0000-0000-000031750000}"/>
    <cellStyle name="Normal 24 4 8 2" xfId="5422" xr:uid="{00000000-0005-0000-0000-000032750000}"/>
    <cellStyle name="Normal 24 4 9" xfId="3923" xr:uid="{00000000-0005-0000-0000-000033750000}"/>
    <cellStyle name="Normal 24 4 9 2" xfId="43618" xr:uid="{00000000-0005-0000-0000-000034750000}"/>
    <cellStyle name="Normal 24 5" xfId="2587" xr:uid="{00000000-0005-0000-0000-000035750000}"/>
    <cellStyle name="Normal 24 5 2" xfId="2588" xr:uid="{00000000-0005-0000-0000-000036750000}"/>
    <cellStyle name="Normal 24 5 2 2" xfId="2589" xr:uid="{00000000-0005-0000-0000-000037750000}"/>
    <cellStyle name="Normal 24 5 2 2 2" xfId="3932" xr:uid="{00000000-0005-0000-0000-000038750000}"/>
    <cellStyle name="Normal 24 5 2 3" xfId="3931" xr:uid="{00000000-0005-0000-0000-000039750000}"/>
    <cellStyle name="Normal 24 5 3" xfId="2590" xr:uid="{00000000-0005-0000-0000-00003A750000}"/>
    <cellStyle name="Normal 24 5 3 2" xfId="3933" xr:uid="{00000000-0005-0000-0000-00003B750000}"/>
    <cellStyle name="Normal 24 5 4" xfId="2591" xr:uid="{00000000-0005-0000-0000-00003C750000}"/>
    <cellStyle name="Normal 24 5 4 2" xfId="3934" xr:uid="{00000000-0005-0000-0000-00003D750000}"/>
    <cellStyle name="Normal 24 5 5" xfId="2592" xr:uid="{00000000-0005-0000-0000-00003E750000}"/>
    <cellStyle name="Normal 24 5 5 2" xfId="3935" xr:uid="{00000000-0005-0000-0000-00003F750000}"/>
    <cellStyle name="Normal 24 5 6" xfId="2593" xr:uid="{00000000-0005-0000-0000-000040750000}"/>
    <cellStyle name="Normal 24 5 6 2" xfId="3936" xr:uid="{00000000-0005-0000-0000-000041750000}"/>
    <cellStyle name="Normal 24 5 7" xfId="5423" xr:uid="{00000000-0005-0000-0000-000042750000}"/>
    <cellStyle name="Normal 24 5 8" xfId="5424" xr:uid="{00000000-0005-0000-0000-000043750000}"/>
    <cellStyle name="Normal 24 5 8 2" xfId="5425" xr:uid="{00000000-0005-0000-0000-000044750000}"/>
    <cellStyle name="Normal 24 5 9" xfId="3930" xr:uid="{00000000-0005-0000-0000-000045750000}"/>
    <cellStyle name="Normal 24 5 9 2" xfId="43619" xr:uid="{00000000-0005-0000-0000-000046750000}"/>
    <cellStyle name="Normal 24 6" xfId="2594" xr:uid="{00000000-0005-0000-0000-000047750000}"/>
    <cellStyle name="Normal 24 6 2" xfId="2595" xr:uid="{00000000-0005-0000-0000-000048750000}"/>
    <cellStyle name="Normal 24 6 2 2" xfId="2596" xr:uid="{00000000-0005-0000-0000-000049750000}"/>
    <cellStyle name="Normal 24 6 2 2 2" xfId="3939" xr:uid="{00000000-0005-0000-0000-00004A750000}"/>
    <cellStyle name="Normal 24 6 2 3" xfId="3938" xr:uid="{00000000-0005-0000-0000-00004B750000}"/>
    <cellStyle name="Normal 24 6 3" xfId="2597" xr:uid="{00000000-0005-0000-0000-00004C750000}"/>
    <cellStyle name="Normal 24 6 3 2" xfId="3940" xr:uid="{00000000-0005-0000-0000-00004D750000}"/>
    <cellStyle name="Normal 24 6 4" xfId="2598" xr:uid="{00000000-0005-0000-0000-00004E750000}"/>
    <cellStyle name="Normal 24 6 4 2" xfId="3941" xr:uid="{00000000-0005-0000-0000-00004F750000}"/>
    <cellStyle name="Normal 24 6 5" xfId="2599" xr:uid="{00000000-0005-0000-0000-000050750000}"/>
    <cellStyle name="Normal 24 6 5 2" xfId="3942" xr:uid="{00000000-0005-0000-0000-000051750000}"/>
    <cellStyle name="Normal 24 6 6" xfId="2600" xr:uid="{00000000-0005-0000-0000-000052750000}"/>
    <cellStyle name="Normal 24 6 6 2" xfId="3943" xr:uid="{00000000-0005-0000-0000-000053750000}"/>
    <cellStyle name="Normal 24 6 7" xfId="5426" xr:uid="{00000000-0005-0000-0000-000054750000}"/>
    <cellStyle name="Normal 24 6 8" xfId="5427" xr:uid="{00000000-0005-0000-0000-000055750000}"/>
    <cellStyle name="Normal 24 6 8 2" xfId="5428" xr:uid="{00000000-0005-0000-0000-000056750000}"/>
    <cellStyle name="Normal 24 6 9" xfId="3937" xr:uid="{00000000-0005-0000-0000-000057750000}"/>
    <cellStyle name="Normal 24 6 9 2" xfId="43620" xr:uid="{00000000-0005-0000-0000-000058750000}"/>
    <cellStyle name="Normal 24 7" xfId="2601" xr:uid="{00000000-0005-0000-0000-000059750000}"/>
    <cellStyle name="Normal 24 7 2" xfId="2602" xr:uid="{00000000-0005-0000-0000-00005A750000}"/>
    <cellStyle name="Normal 24 7 2 2" xfId="3945" xr:uid="{00000000-0005-0000-0000-00005B750000}"/>
    <cellStyle name="Normal 24 7 3" xfId="3944" xr:uid="{00000000-0005-0000-0000-00005C750000}"/>
    <cellStyle name="Normal 24 7 3 2" xfId="43621" xr:uid="{00000000-0005-0000-0000-00005D750000}"/>
    <cellStyle name="Normal 24 8" xfId="2603" xr:uid="{00000000-0005-0000-0000-00005E750000}"/>
    <cellStyle name="Normal 24 8 2" xfId="3946" xr:uid="{00000000-0005-0000-0000-00005F750000}"/>
    <cellStyle name="Normal 24 8 2 2" xfId="43622" xr:uid="{00000000-0005-0000-0000-000060750000}"/>
    <cellStyle name="Normal 24 9" xfId="2604" xr:uid="{00000000-0005-0000-0000-000061750000}"/>
    <cellStyle name="Normal 24 9 2" xfId="3947" xr:uid="{00000000-0005-0000-0000-000062750000}"/>
    <cellStyle name="Normal 24 9 2 2" xfId="43623" xr:uid="{00000000-0005-0000-0000-000063750000}"/>
    <cellStyle name="Normal 25" xfId="3948" xr:uid="{00000000-0005-0000-0000-000064750000}"/>
    <cellStyle name="Normal 25 10" xfId="7491" xr:uid="{00000000-0005-0000-0000-000065750000}"/>
    <cellStyle name="Normal 25 10 2" xfId="26124" xr:uid="{00000000-0005-0000-0000-000066750000}"/>
    <cellStyle name="Normal 25 10 3" xfId="30337" xr:uid="{00000000-0005-0000-0000-000067750000}"/>
    <cellStyle name="Normal 25 10 4" xfId="34552" xr:uid="{00000000-0005-0000-0000-000068750000}"/>
    <cellStyle name="Normal 25 10 5" xfId="38756" xr:uid="{00000000-0005-0000-0000-000069750000}"/>
    <cellStyle name="Normal 25 11" xfId="8992" xr:uid="{00000000-0005-0000-0000-00006A750000}"/>
    <cellStyle name="Normal 25 11 2" xfId="26563" xr:uid="{00000000-0005-0000-0000-00006B750000}"/>
    <cellStyle name="Normal 25 11 3" xfId="30776" xr:uid="{00000000-0005-0000-0000-00006C750000}"/>
    <cellStyle name="Normal 25 11 4" xfId="34991" xr:uid="{00000000-0005-0000-0000-00006D750000}"/>
    <cellStyle name="Normal 25 11 5" xfId="39195" xr:uid="{00000000-0005-0000-0000-00006E750000}"/>
    <cellStyle name="Normal 25 12" xfId="9114" xr:uid="{00000000-0005-0000-0000-00006F750000}"/>
    <cellStyle name="Normal 25 12 2" xfId="26685" xr:uid="{00000000-0005-0000-0000-000070750000}"/>
    <cellStyle name="Normal 25 12 3" xfId="30898" xr:uid="{00000000-0005-0000-0000-000071750000}"/>
    <cellStyle name="Normal 25 12 4" xfId="35113" xr:uid="{00000000-0005-0000-0000-000072750000}"/>
    <cellStyle name="Normal 25 12 5" xfId="39317" xr:uid="{00000000-0005-0000-0000-000073750000}"/>
    <cellStyle name="Normal 25 13" xfId="9234" xr:uid="{00000000-0005-0000-0000-000074750000}"/>
    <cellStyle name="Normal 25 13 2" xfId="26805" xr:uid="{00000000-0005-0000-0000-000075750000}"/>
    <cellStyle name="Normal 25 13 3" xfId="31018" xr:uid="{00000000-0005-0000-0000-000076750000}"/>
    <cellStyle name="Normal 25 13 4" xfId="35233" xr:uid="{00000000-0005-0000-0000-000077750000}"/>
    <cellStyle name="Normal 25 13 5" xfId="39437" xr:uid="{00000000-0005-0000-0000-000078750000}"/>
    <cellStyle name="Normal 25 14" xfId="9355" xr:uid="{00000000-0005-0000-0000-000079750000}"/>
    <cellStyle name="Normal 25 14 2" xfId="26926" xr:uid="{00000000-0005-0000-0000-00007A750000}"/>
    <cellStyle name="Normal 25 14 3" xfId="31139" xr:uid="{00000000-0005-0000-0000-00007B750000}"/>
    <cellStyle name="Normal 25 14 4" xfId="35354" xr:uid="{00000000-0005-0000-0000-00007C750000}"/>
    <cellStyle name="Normal 25 14 5" xfId="39558" xr:uid="{00000000-0005-0000-0000-00007D750000}"/>
    <cellStyle name="Normal 25 15" xfId="9474" xr:uid="{00000000-0005-0000-0000-00007E750000}"/>
    <cellStyle name="Normal 25 15 2" xfId="27045" xr:uid="{00000000-0005-0000-0000-00007F750000}"/>
    <cellStyle name="Normal 25 15 3" xfId="31258" xr:uid="{00000000-0005-0000-0000-000080750000}"/>
    <cellStyle name="Normal 25 15 4" xfId="35473" xr:uid="{00000000-0005-0000-0000-000081750000}"/>
    <cellStyle name="Normal 25 15 5" xfId="39677" xr:uid="{00000000-0005-0000-0000-000082750000}"/>
    <cellStyle name="Normal 25 16" xfId="11127" xr:uid="{00000000-0005-0000-0000-000083750000}"/>
    <cellStyle name="Normal 25 2" xfId="2605" xr:uid="{00000000-0005-0000-0000-000084750000}"/>
    <cellStyle name="Normal 25 2 10" xfId="9356" xr:uid="{00000000-0005-0000-0000-000085750000}"/>
    <cellStyle name="Normal 25 2 10 2" xfId="26927" xr:uid="{00000000-0005-0000-0000-000086750000}"/>
    <cellStyle name="Normal 25 2 10 3" xfId="31140" xr:uid="{00000000-0005-0000-0000-000087750000}"/>
    <cellStyle name="Normal 25 2 10 4" xfId="35355" xr:uid="{00000000-0005-0000-0000-000088750000}"/>
    <cellStyle name="Normal 25 2 10 5" xfId="39559" xr:uid="{00000000-0005-0000-0000-000089750000}"/>
    <cellStyle name="Normal 25 2 11" xfId="9475" xr:uid="{00000000-0005-0000-0000-00008A750000}"/>
    <cellStyle name="Normal 25 2 11 2" xfId="27046" xr:uid="{00000000-0005-0000-0000-00008B750000}"/>
    <cellStyle name="Normal 25 2 11 3" xfId="31259" xr:uid="{00000000-0005-0000-0000-00008C750000}"/>
    <cellStyle name="Normal 25 2 11 4" xfId="35474" xr:uid="{00000000-0005-0000-0000-00008D750000}"/>
    <cellStyle name="Normal 25 2 11 5" xfId="39678" xr:uid="{00000000-0005-0000-0000-00008E750000}"/>
    <cellStyle name="Normal 25 2 12" xfId="3949" xr:uid="{00000000-0005-0000-0000-00008F750000}"/>
    <cellStyle name="Normal 25 2 2" xfId="2606" xr:uid="{00000000-0005-0000-0000-000090750000}"/>
    <cellStyle name="Normal 25 2 2 2" xfId="3950" xr:uid="{00000000-0005-0000-0000-000091750000}"/>
    <cellStyle name="Normal 25 2 3" xfId="7123" xr:uid="{00000000-0005-0000-0000-000092750000}"/>
    <cellStyle name="Normal 25 2 3 2" xfId="25775" xr:uid="{00000000-0005-0000-0000-000093750000}"/>
    <cellStyle name="Normal 25 2 3 3" xfId="29988" xr:uid="{00000000-0005-0000-0000-000094750000}"/>
    <cellStyle name="Normal 25 2 3 4" xfId="34203" xr:uid="{00000000-0005-0000-0000-000095750000}"/>
    <cellStyle name="Normal 25 2 3 5" xfId="38407" xr:uid="{00000000-0005-0000-0000-000096750000}"/>
    <cellStyle name="Normal 25 2 4" xfId="7255" xr:uid="{00000000-0005-0000-0000-000097750000}"/>
    <cellStyle name="Normal 25 2 4 2" xfId="25888" xr:uid="{00000000-0005-0000-0000-000098750000}"/>
    <cellStyle name="Normal 25 2 4 3" xfId="30101" xr:uid="{00000000-0005-0000-0000-000099750000}"/>
    <cellStyle name="Normal 25 2 4 4" xfId="34316" xr:uid="{00000000-0005-0000-0000-00009A750000}"/>
    <cellStyle name="Normal 25 2 4 5" xfId="38520" xr:uid="{00000000-0005-0000-0000-00009B750000}"/>
    <cellStyle name="Normal 25 2 5" xfId="7374" xr:uid="{00000000-0005-0000-0000-00009C750000}"/>
    <cellStyle name="Normal 25 2 5 2" xfId="26007" xr:uid="{00000000-0005-0000-0000-00009D750000}"/>
    <cellStyle name="Normal 25 2 5 3" xfId="30220" xr:uid="{00000000-0005-0000-0000-00009E750000}"/>
    <cellStyle name="Normal 25 2 5 4" xfId="34435" xr:uid="{00000000-0005-0000-0000-00009F750000}"/>
    <cellStyle name="Normal 25 2 5 5" xfId="38639" xr:uid="{00000000-0005-0000-0000-0000A0750000}"/>
    <cellStyle name="Normal 25 2 6" xfId="7492" xr:uid="{00000000-0005-0000-0000-0000A1750000}"/>
    <cellStyle name="Normal 25 2 6 2" xfId="26125" xr:uid="{00000000-0005-0000-0000-0000A2750000}"/>
    <cellStyle name="Normal 25 2 6 3" xfId="30338" xr:uid="{00000000-0005-0000-0000-0000A3750000}"/>
    <cellStyle name="Normal 25 2 6 4" xfId="34553" xr:uid="{00000000-0005-0000-0000-0000A4750000}"/>
    <cellStyle name="Normal 25 2 6 5" xfId="38757" xr:uid="{00000000-0005-0000-0000-0000A5750000}"/>
    <cellStyle name="Normal 25 2 7" xfId="8993" xr:uid="{00000000-0005-0000-0000-0000A6750000}"/>
    <cellStyle name="Normal 25 2 7 2" xfId="26564" xr:uid="{00000000-0005-0000-0000-0000A7750000}"/>
    <cellStyle name="Normal 25 2 7 3" xfId="30777" xr:uid="{00000000-0005-0000-0000-0000A8750000}"/>
    <cellStyle name="Normal 25 2 7 4" xfId="34992" xr:uid="{00000000-0005-0000-0000-0000A9750000}"/>
    <cellStyle name="Normal 25 2 7 5" xfId="39196" xr:uid="{00000000-0005-0000-0000-0000AA750000}"/>
    <cellStyle name="Normal 25 2 8" xfId="9115" xr:uid="{00000000-0005-0000-0000-0000AB750000}"/>
    <cellStyle name="Normal 25 2 8 2" xfId="26686" xr:uid="{00000000-0005-0000-0000-0000AC750000}"/>
    <cellStyle name="Normal 25 2 8 3" xfId="30899" xr:uid="{00000000-0005-0000-0000-0000AD750000}"/>
    <cellStyle name="Normal 25 2 8 4" xfId="35114" xr:uid="{00000000-0005-0000-0000-0000AE750000}"/>
    <cellStyle name="Normal 25 2 8 5" xfId="39318" xr:uid="{00000000-0005-0000-0000-0000AF750000}"/>
    <cellStyle name="Normal 25 2 9" xfId="9235" xr:uid="{00000000-0005-0000-0000-0000B0750000}"/>
    <cellStyle name="Normal 25 2 9 2" xfId="26806" xr:uid="{00000000-0005-0000-0000-0000B1750000}"/>
    <cellStyle name="Normal 25 2 9 3" xfId="31019" xr:uid="{00000000-0005-0000-0000-0000B2750000}"/>
    <cellStyle name="Normal 25 2 9 4" xfId="35234" xr:uid="{00000000-0005-0000-0000-0000B3750000}"/>
    <cellStyle name="Normal 25 2 9 5" xfId="39438" xr:uid="{00000000-0005-0000-0000-0000B4750000}"/>
    <cellStyle name="Normal 25 3" xfId="2607" xr:uid="{00000000-0005-0000-0000-0000B5750000}"/>
    <cellStyle name="Normal 25 3 10" xfId="9476" xr:uid="{00000000-0005-0000-0000-0000B6750000}"/>
    <cellStyle name="Normal 25 3 10 2" xfId="27047" xr:uid="{00000000-0005-0000-0000-0000B7750000}"/>
    <cellStyle name="Normal 25 3 10 3" xfId="31260" xr:uid="{00000000-0005-0000-0000-0000B8750000}"/>
    <cellStyle name="Normal 25 3 10 4" xfId="35475" xr:uid="{00000000-0005-0000-0000-0000B9750000}"/>
    <cellStyle name="Normal 25 3 10 5" xfId="39679" xr:uid="{00000000-0005-0000-0000-0000BA750000}"/>
    <cellStyle name="Normal 25 3 11" xfId="3951" xr:uid="{00000000-0005-0000-0000-0000BB750000}"/>
    <cellStyle name="Normal 25 3 2" xfId="7124" xr:uid="{00000000-0005-0000-0000-0000BC750000}"/>
    <cellStyle name="Normal 25 3 2 2" xfId="25776" xr:uid="{00000000-0005-0000-0000-0000BD750000}"/>
    <cellStyle name="Normal 25 3 2 3" xfId="29989" xr:uid="{00000000-0005-0000-0000-0000BE750000}"/>
    <cellStyle name="Normal 25 3 2 4" xfId="34204" xr:uid="{00000000-0005-0000-0000-0000BF750000}"/>
    <cellStyle name="Normal 25 3 2 5" xfId="38408" xr:uid="{00000000-0005-0000-0000-0000C0750000}"/>
    <cellStyle name="Normal 25 3 3" xfId="7256" xr:uid="{00000000-0005-0000-0000-0000C1750000}"/>
    <cellStyle name="Normal 25 3 3 2" xfId="25889" xr:uid="{00000000-0005-0000-0000-0000C2750000}"/>
    <cellStyle name="Normal 25 3 3 3" xfId="30102" xr:uid="{00000000-0005-0000-0000-0000C3750000}"/>
    <cellStyle name="Normal 25 3 3 4" xfId="34317" xr:uid="{00000000-0005-0000-0000-0000C4750000}"/>
    <cellStyle name="Normal 25 3 3 5" xfId="38521" xr:uid="{00000000-0005-0000-0000-0000C5750000}"/>
    <cellStyle name="Normal 25 3 4" xfId="7375" xr:uid="{00000000-0005-0000-0000-0000C6750000}"/>
    <cellStyle name="Normal 25 3 4 2" xfId="26008" xr:uid="{00000000-0005-0000-0000-0000C7750000}"/>
    <cellStyle name="Normal 25 3 4 3" xfId="30221" xr:uid="{00000000-0005-0000-0000-0000C8750000}"/>
    <cellStyle name="Normal 25 3 4 4" xfId="34436" xr:uid="{00000000-0005-0000-0000-0000C9750000}"/>
    <cellStyle name="Normal 25 3 4 5" xfId="38640" xr:uid="{00000000-0005-0000-0000-0000CA750000}"/>
    <cellStyle name="Normal 25 3 5" xfId="7493" xr:uid="{00000000-0005-0000-0000-0000CB750000}"/>
    <cellStyle name="Normal 25 3 5 2" xfId="26126" xr:uid="{00000000-0005-0000-0000-0000CC750000}"/>
    <cellStyle name="Normal 25 3 5 3" xfId="30339" xr:uid="{00000000-0005-0000-0000-0000CD750000}"/>
    <cellStyle name="Normal 25 3 5 4" xfId="34554" xr:uid="{00000000-0005-0000-0000-0000CE750000}"/>
    <cellStyle name="Normal 25 3 5 5" xfId="38758" xr:uid="{00000000-0005-0000-0000-0000CF750000}"/>
    <cellStyle name="Normal 25 3 6" xfId="8994" xr:uid="{00000000-0005-0000-0000-0000D0750000}"/>
    <cellStyle name="Normal 25 3 6 2" xfId="26565" xr:uid="{00000000-0005-0000-0000-0000D1750000}"/>
    <cellStyle name="Normal 25 3 6 3" xfId="30778" xr:uid="{00000000-0005-0000-0000-0000D2750000}"/>
    <cellStyle name="Normal 25 3 6 4" xfId="34993" xr:uid="{00000000-0005-0000-0000-0000D3750000}"/>
    <cellStyle name="Normal 25 3 6 5" xfId="39197" xr:uid="{00000000-0005-0000-0000-0000D4750000}"/>
    <cellStyle name="Normal 25 3 7" xfId="9116" xr:uid="{00000000-0005-0000-0000-0000D5750000}"/>
    <cellStyle name="Normal 25 3 7 2" xfId="26687" xr:uid="{00000000-0005-0000-0000-0000D6750000}"/>
    <cellStyle name="Normal 25 3 7 3" xfId="30900" xr:uid="{00000000-0005-0000-0000-0000D7750000}"/>
    <cellStyle name="Normal 25 3 7 4" xfId="35115" xr:uid="{00000000-0005-0000-0000-0000D8750000}"/>
    <cellStyle name="Normal 25 3 7 5" xfId="39319" xr:uid="{00000000-0005-0000-0000-0000D9750000}"/>
    <cellStyle name="Normal 25 3 8" xfId="9236" xr:uid="{00000000-0005-0000-0000-0000DA750000}"/>
    <cellStyle name="Normal 25 3 8 2" xfId="26807" xr:uid="{00000000-0005-0000-0000-0000DB750000}"/>
    <cellStyle name="Normal 25 3 8 3" xfId="31020" xr:uid="{00000000-0005-0000-0000-0000DC750000}"/>
    <cellStyle name="Normal 25 3 8 4" xfId="35235" xr:uid="{00000000-0005-0000-0000-0000DD750000}"/>
    <cellStyle name="Normal 25 3 8 5" xfId="39439" xr:uid="{00000000-0005-0000-0000-0000DE750000}"/>
    <cellStyle name="Normal 25 3 9" xfId="9357" xr:uid="{00000000-0005-0000-0000-0000DF750000}"/>
    <cellStyle name="Normal 25 3 9 2" xfId="26928" xr:uid="{00000000-0005-0000-0000-0000E0750000}"/>
    <cellStyle name="Normal 25 3 9 3" xfId="31141" xr:uid="{00000000-0005-0000-0000-0000E1750000}"/>
    <cellStyle name="Normal 25 3 9 4" xfId="35356" xr:uid="{00000000-0005-0000-0000-0000E2750000}"/>
    <cellStyle name="Normal 25 3 9 5" xfId="39560" xr:uid="{00000000-0005-0000-0000-0000E3750000}"/>
    <cellStyle name="Normal 25 4" xfId="2608" xr:uid="{00000000-0005-0000-0000-0000E4750000}"/>
    <cellStyle name="Normal 25 4 2" xfId="3952" xr:uid="{00000000-0005-0000-0000-0000E5750000}"/>
    <cellStyle name="Normal 25 5" xfId="2609" xr:uid="{00000000-0005-0000-0000-0000E6750000}"/>
    <cellStyle name="Normal 25 5 2" xfId="3953" xr:uid="{00000000-0005-0000-0000-0000E7750000}"/>
    <cellStyle name="Normal 25 6" xfId="2610" xr:uid="{00000000-0005-0000-0000-0000E8750000}"/>
    <cellStyle name="Normal 25 6 2" xfId="3954" xr:uid="{00000000-0005-0000-0000-0000E9750000}"/>
    <cellStyle name="Normal 25 7" xfId="7122" xr:uid="{00000000-0005-0000-0000-0000EA750000}"/>
    <cellStyle name="Normal 25 7 2" xfId="25774" xr:uid="{00000000-0005-0000-0000-0000EB750000}"/>
    <cellStyle name="Normal 25 7 3" xfId="29987" xr:uid="{00000000-0005-0000-0000-0000EC750000}"/>
    <cellStyle name="Normal 25 7 4" xfId="34202" xr:uid="{00000000-0005-0000-0000-0000ED750000}"/>
    <cellStyle name="Normal 25 7 5" xfId="38406" xr:uid="{00000000-0005-0000-0000-0000EE750000}"/>
    <cellStyle name="Normal 25 8" xfId="7254" xr:uid="{00000000-0005-0000-0000-0000EF750000}"/>
    <cellStyle name="Normal 25 8 2" xfId="25887" xr:uid="{00000000-0005-0000-0000-0000F0750000}"/>
    <cellStyle name="Normal 25 8 3" xfId="30100" xr:uid="{00000000-0005-0000-0000-0000F1750000}"/>
    <cellStyle name="Normal 25 8 4" xfId="34315" xr:uid="{00000000-0005-0000-0000-0000F2750000}"/>
    <cellStyle name="Normal 25 8 5" xfId="38519" xr:uid="{00000000-0005-0000-0000-0000F3750000}"/>
    <cellStyle name="Normal 25 9" xfId="7373" xr:uid="{00000000-0005-0000-0000-0000F4750000}"/>
    <cellStyle name="Normal 25 9 2" xfId="26006" xr:uid="{00000000-0005-0000-0000-0000F5750000}"/>
    <cellStyle name="Normal 25 9 3" xfId="30219" xr:uid="{00000000-0005-0000-0000-0000F6750000}"/>
    <cellStyle name="Normal 25 9 4" xfId="34434" xr:uid="{00000000-0005-0000-0000-0000F7750000}"/>
    <cellStyle name="Normal 25 9 5" xfId="38638" xr:uid="{00000000-0005-0000-0000-0000F8750000}"/>
    <cellStyle name="Normal 26" xfId="3955" xr:uid="{00000000-0005-0000-0000-0000F9750000}"/>
    <cellStyle name="Normal 26 10" xfId="9237" xr:uid="{00000000-0005-0000-0000-0000FA750000}"/>
    <cellStyle name="Normal 26 10 2" xfId="26808" xr:uid="{00000000-0005-0000-0000-0000FB750000}"/>
    <cellStyle name="Normal 26 10 3" xfId="31021" xr:uid="{00000000-0005-0000-0000-0000FC750000}"/>
    <cellStyle name="Normal 26 10 4" xfId="35236" xr:uid="{00000000-0005-0000-0000-0000FD750000}"/>
    <cellStyle name="Normal 26 10 5" xfId="39440" xr:uid="{00000000-0005-0000-0000-0000FE750000}"/>
    <cellStyle name="Normal 26 11" xfId="9358" xr:uid="{00000000-0005-0000-0000-0000FF750000}"/>
    <cellStyle name="Normal 26 11 2" xfId="26929" xr:uid="{00000000-0005-0000-0000-000000760000}"/>
    <cellStyle name="Normal 26 11 3" xfId="31142" xr:uid="{00000000-0005-0000-0000-000001760000}"/>
    <cellStyle name="Normal 26 11 4" xfId="35357" xr:uid="{00000000-0005-0000-0000-000002760000}"/>
    <cellStyle name="Normal 26 11 5" xfId="39561" xr:uid="{00000000-0005-0000-0000-000003760000}"/>
    <cellStyle name="Normal 26 12" xfId="9477" xr:uid="{00000000-0005-0000-0000-000004760000}"/>
    <cellStyle name="Normal 26 12 2" xfId="27048" xr:uid="{00000000-0005-0000-0000-000005760000}"/>
    <cellStyle name="Normal 26 12 3" xfId="31261" xr:uid="{00000000-0005-0000-0000-000006760000}"/>
    <cellStyle name="Normal 26 12 4" xfId="35476" xr:uid="{00000000-0005-0000-0000-000007760000}"/>
    <cellStyle name="Normal 26 12 5" xfId="39680" xr:uid="{00000000-0005-0000-0000-000008760000}"/>
    <cellStyle name="Normal 26 2" xfId="7020" xr:uid="{00000000-0005-0000-0000-000009760000}"/>
    <cellStyle name="Normal 26 2 10" xfId="9478" xr:uid="{00000000-0005-0000-0000-00000A760000}"/>
    <cellStyle name="Normal 26 2 10 2" xfId="27049" xr:uid="{00000000-0005-0000-0000-00000B760000}"/>
    <cellStyle name="Normal 26 2 10 3" xfId="31262" xr:uid="{00000000-0005-0000-0000-00000C760000}"/>
    <cellStyle name="Normal 26 2 10 4" xfId="35477" xr:uid="{00000000-0005-0000-0000-00000D760000}"/>
    <cellStyle name="Normal 26 2 10 5" xfId="39681" xr:uid="{00000000-0005-0000-0000-00000E760000}"/>
    <cellStyle name="Normal 26 2 11" xfId="25699" xr:uid="{00000000-0005-0000-0000-00000F760000}"/>
    <cellStyle name="Normal 26 2 11 2" xfId="43625" xr:uid="{00000000-0005-0000-0000-000010760000}"/>
    <cellStyle name="Normal 26 2 12" xfId="29912" xr:uid="{00000000-0005-0000-0000-000011760000}"/>
    <cellStyle name="Normal 26 2 13" xfId="34127" xr:uid="{00000000-0005-0000-0000-000012760000}"/>
    <cellStyle name="Normal 26 2 14" xfId="38331" xr:uid="{00000000-0005-0000-0000-000013760000}"/>
    <cellStyle name="Normal 26 2 2" xfId="7126" xr:uid="{00000000-0005-0000-0000-000014760000}"/>
    <cellStyle name="Normal 26 2 2 2" xfId="25778" xr:uid="{00000000-0005-0000-0000-000015760000}"/>
    <cellStyle name="Normal 26 2 2 3" xfId="29991" xr:uid="{00000000-0005-0000-0000-000016760000}"/>
    <cellStyle name="Normal 26 2 2 4" xfId="34206" xr:uid="{00000000-0005-0000-0000-000017760000}"/>
    <cellStyle name="Normal 26 2 2 5" xfId="38410" xr:uid="{00000000-0005-0000-0000-000018760000}"/>
    <cellStyle name="Normal 26 2 3" xfId="7258" xr:uid="{00000000-0005-0000-0000-000019760000}"/>
    <cellStyle name="Normal 26 2 3 2" xfId="25891" xr:uid="{00000000-0005-0000-0000-00001A760000}"/>
    <cellStyle name="Normal 26 2 3 3" xfId="30104" xr:uid="{00000000-0005-0000-0000-00001B760000}"/>
    <cellStyle name="Normal 26 2 3 4" xfId="34319" xr:uid="{00000000-0005-0000-0000-00001C760000}"/>
    <cellStyle name="Normal 26 2 3 5" xfId="38523" xr:uid="{00000000-0005-0000-0000-00001D760000}"/>
    <cellStyle name="Normal 26 2 4" xfId="7377" xr:uid="{00000000-0005-0000-0000-00001E760000}"/>
    <cellStyle name="Normal 26 2 4 2" xfId="26010" xr:uid="{00000000-0005-0000-0000-00001F760000}"/>
    <cellStyle name="Normal 26 2 4 3" xfId="30223" xr:uid="{00000000-0005-0000-0000-000020760000}"/>
    <cellStyle name="Normal 26 2 4 4" xfId="34438" xr:uid="{00000000-0005-0000-0000-000021760000}"/>
    <cellStyle name="Normal 26 2 4 5" xfId="38642" xr:uid="{00000000-0005-0000-0000-000022760000}"/>
    <cellStyle name="Normal 26 2 5" xfId="7495" xr:uid="{00000000-0005-0000-0000-000023760000}"/>
    <cellStyle name="Normal 26 2 5 2" xfId="26128" xr:uid="{00000000-0005-0000-0000-000024760000}"/>
    <cellStyle name="Normal 26 2 5 3" xfId="30341" xr:uid="{00000000-0005-0000-0000-000025760000}"/>
    <cellStyle name="Normal 26 2 5 4" xfId="34556" xr:uid="{00000000-0005-0000-0000-000026760000}"/>
    <cellStyle name="Normal 26 2 5 5" xfId="38760" xr:uid="{00000000-0005-0000-0000-000027760000}"/>
    <cellStyle name="Normal 26 2 6" xfId="8996" xr:uid="{00000000-0005-0000-0000-000028760000}"/>
    <cellStyle name="Normal 26 2 6 2" xfId="26567" xr:uid="{00000000-0005-0000-0000-000029760000}"/>
    <cellStyle name="Normal 26 2 6 3" xfId="30780" xr:uid="{00000000-0005-0000-0000-00002A760000}"/>
    <cellStyle name="Normal 26 2 6 4" xfId="34995" xr:uid="{00000000-0005-0000-0000-00002B760000}"/>
    <cellStyle name="Normal 26 2 6 5" xfId="39199" xr:uid="{00000000-0005-0000-0000-00002C760000}"/>
    <cellStyle name="Normal 26 2 7" xfId="9118" xr:uid="{00000000-0005-0000-0000-00002D760000}"/>
    <cellStyle name="Normal 26 2 7 2" xfId="26689" xr:uid="{00000000-0005-0000-0000-00002E760000}"/>
    <cellStyle name="Normal 26 2 7 3" xfId="30902" xr:uid="{00000000-0005-0000-0000-00002F760000}"/>
    <cellStyle name="Normal 26 2 7 4" xfId="35117" xr:uid="{00000000-0005-0000-0000-000030760000}"/>
    <cellStyle name="Normal 26 2 7 5" xfId="39321" xr:uid="{00000000-0005-0000-0000-000031760000}"/>
    <cellStyle name="Normal 26 2 8" xfId="9238" xr:uid="{00000000-0005-0000-0000-000032760000}"/>
    <cellStyle name="Normal 26 2 8 2" xfId="26809" xr:uid="{00000000-0005-0000-0000-000033760000}"/>
    <cellStyle name="Normal 26 2 8 3" xfId="31022" xr:uid="{00000000-0005-0000-0000-000034760000}"/>
    <cellStyle name="Normal 26 2 8 4" xfId="35237" xr:uid="{00000000-0005-0000-0000-000035760000}"/>
    <cellStyle name="Normal 26 2 8 5" xfId="39441" xr:uid="{00000000-0005-0000-0000-000036760000}"/>
    <cellStyle name="Normal 26 2 9" xfId="9359" xr:uid="{00000000-0005-0000-0000-000037760000}"/>
    <cellStyle name="Normal 26 2 9 2" xfId="26930" xr:uid="{00000000-0005-0000-0000-000038760000}"/>
    <cellStyle name="Normal 26 2 9 3" xfId="31143" xr:uid="{00000000-0005-0000-0000-000039760000}"/>
    <cellStyle name="Normal 26 2 9 4" xfId="35358" xr:uid="{00000000-0005-0000-0000-00003A760000}"/>
    <cellStyle name="Normal 26 2 9 5" xfId="39562" xr:uid="{00000000-0005-0000-0000-00003B760000}"/>
    <cellStyle name="Normal 26 3" xfId="7021" xr:uid="{00000000-0005-0000-0000-00003C760000}"/>
    <cellStyle name="Normal 26 3 10" xfId="9479" xr:uid="{00000000-0005-0000-0000-00003D760000}"/>
    <cellStyle name="Normal 26 3 10 2" xfId="27050" xr:uid="{00000000-0005-0000-0000-00003E760000}"/>
    <cellStyle name="Normal 26 3 10 3" xfId="31263" xr:uid="{00000000-0005-0000-0000-00003F760000}"/>
    <cellStyle name="Normal 26 3 10 4" xfId="35478" xr:uid="{00000000-0005-0000-0000-000040760000}"/>
    <cellStyle name="Normal 26 3 10 5" xfId="39682" xr:uid="{00000000-0005-0000-0000-000041760000}"/>
    <cellStyle name="Normal 26 3 11" xfId="25700" xr:uid="{00000000-0005-0000-0000-000042760000}"/>
    <cellStyle name="Normal 26 3 11 2" xfId="43624" xr:uid="{00000000-0005-0000-0000-000043760000}"/>
    <cellStyle name="Normal 26 3 12" xfId="29913" xr:uid="{00000000-0005-0000-0000-000044760000}"/>
    <cellStyle name="Normal 26 3 13" xfId="34128" xr:uid="{00000000-0005-0000-0000-000045760000}"/>
    <cellStyle name="Normal 26 3 14" xfId="38332" xr:uid="{00000000-0005-0000-0000-000046760000}"/>
    <cellStyle name="Normal 26 3 2" xfId="7127" xr:uid="{00000000-0005-0000-0000-000047760000}"/>
    <cellStyle name="Normal 26 3 2 2" xfId="25779" xr:uid="{00000000-0005-0000-0000-000048760000}"/>
    <cellStyle name="Normal 26 3 2 3" xfId="29992" xr:uid="{00000000-0005-0000-0000-000049760000}"/>
    <cellStyle name="Normal 26 3 2 4" xfId="34207" xr:uid="{00000000-0005-0000-0000-00004A760000}"/>
    <cellStyle name="Normal 26 3 2 5" xfId="38411" xr:uid="{00000000-0005-0000-0000-00004B760000}"/>
    <cellStyle name="Normal 26 3 3" xfId="7259" xr:uid="{00000000-0005-0000-0000-00004C760000}"/>
    <cellStyle name="Normal 26 3 3 2" xfId="25892" xr:uid="{00000000-0005-0000-0000-00004D760000}"/>
    <cellStyle name="Normal 26 3 3 3" xfId="30105" xr:uid="{00000000-0005-0000-0000-00004E760000}"/>
    <cellStyle name="Normal 26 3 3 4" xfId="34320" xr:uid="{00000000-0005-0000-0000-00004F760000}"/>
    <cellStyle name="Normal 26 3 3 5" xfId="38524" xr:uid="{00000000-0005-0000-0000-000050760000}"/>
    <cellStyle name="Normal 26 3 4" xfId="7378" xr:uid="{00000000-0005-0000-0000-000051760000}"/>
    <cellStyle name="Normal 26 3 4 2" xfId="26011" xr:uid="{00000000-0005-0000-0000-000052760000}"/>
    <cellStyle name="Normal 26 3 4 3" xfId="30224" xr:uid="{00000000-0005-0000-0000-000053760000}"/>
    <cellStyle name="Normal 26 3 4 4" xfId="34439" xr:uid="{00000000-0005-0000-0000-000054760000}"/>
    <cellStyle name="Normal 26 3 4 5" xfId="38643" xr:uid="{00000000-0005-0000-0000-000055760000}"/>
    <cellStyle name="Normal 26 3 5" xfId="7496" xr:uid="{00000000-0005-0000-0000-000056760000}"/>
    <cellStyle name="Normal 26 3 5 2" xfId="26129" xr:uid="{00000000-0005-0000-0000-000057760000}"/>
    <cellStyle name="Normal 26 3 5 3" xfId="30342" xr:uid="{00000000-0005-0000-0000-000058760000}"/>
    <cellStyle name="Normal 26 3 5 4" xfId="34557" xr:uid="{00000000-0005-0000-0000-000059760000}"/>
    <cellStyle name="Normal 26 3 5 5" xfId="38761" xr:uid="{00000000-0005-0000-0000-00005A760000}"/>
    <cellStyle name="Normal 26 3 6" xfId="8997" xr:uid="{00000000-0005-0000-0000-00005B760000}"/>
    <cellStyle name="Normal 26 3 6 2" xfId="26568" xr:uid="{00000000-0005-0000-0000-00005C760000}"/>
    <cellStyle name="Normal 26 3 6 3" xfId="30781" xr:uid="{00000000-0005-0000-0000-00005D760000}"/>
    <cellStyle name="Normal 26 3 6 4" xfId="34996" xr:uid="{00000000-0005-0000-0000-00005E760000}"/>
    <cellStyle name="Normal 26 3 6 5" xfId="39200" xr:uid="{00000000-0005-0000-0000-00005F760000}"/>
    <cellStyle name="Normal 26 3 7" xfId="9119" xr:uid="{00000000-0005-0000-0000-000060760000}"/>
    <cellStyle name="Normal 26 3 7 2" xfId="26690" xr:uid="{00000000-0005-0000-0000-000061760000}"/>
    <cellStyle name="Normal 26 3 7 3" xfId="30903" xr:uid="{00000000-0005-0000-0000-000062760000}"/>
    <cellStyle name="Normal 26 3 7 4" xfId="35118" xr:uid="{00000000-0005-0000-0000-000063760000}"/>
    <cellStyle name="Normal 26 3 7 5" xfId="39322" xr:uid="{00000000-0005-0000-0000-000064760000}"/>
    <cellStyle name="Normal 26 3 8" xfId="9239" xr:uid="{00000000-0005-0000-0000-000065760000}"/>
    <cellStyle name="Normal 26 3 8 2" xfId="26810" xr:uid="{00000000-0005-0000-0000-000066760000}"/>
    <cellStyle name="Normal 26 3 8 3" xfId="31023" xr:uid="{00000000-0005-0000-0000-000067760000}"/>
    <cellStyle name="Normal 26 3 8 4" xfId="35238" xr:uid="{00000000-0005-0000-0000-000068760000}"/>
    <cellStyle name="Normal 26 3 8 5" xfId="39442" xr:uid="{00000000-0005-0000-0000-000069760000}"/>
    <cellStyle name="Normal 26 3 9" xfId="9360" xr:uid="{00000000-0005-0000-0000-00006A760000}"/>
    <cellStyle name="Normal 26 3 9 2" xfId="26931" xr:uid="{00000000-0005-0000-0000-00006B760000}"/>
    <cellStyle name="Normal 26 3 9 3" xfId="31144" xr:uid="{00000000-0005-0000-0000-00006C760000}"/>
    <cellStyle name="Normal 26 3 9 4" xfId="35359" xr:uid="{00000000-0005-0000-0000-00006D760000}"/>
    <cellStyle name="Normal 26 3 9 5" xfId="39563" xr:uid="{00000000-0005-0000-0000-00006E760000}"/>
    <cellStyle name="Normal 26 4" xfId="7125" xr:uid="{00000000-0005-0000-0000-00006F760000}"/>
    <cellStyle name="Normal 26 4 2" xfId="25777" xr:uid="{00000000-0005-0000-0000-000070760000}"/>
    <cellStyle name="Normal 26 4 3" xfId="29990" xr:uid="{00000000-0005-0000-0000-000071760000}"/>
    <cellStyle name="Normal 26 4 4" xfId="34205" xr:uid="{00000000-0005-0000-0000-000072760000}"/>
    <cellStyle name="Normal 26 4 5" xfId="38409" xr:uid="{00000000-0005-0000-0000-000073760000}"/>
    <cellStyle name="Normal 26 5" xfId="7257" xr:uid="{00000000-0005-0000-0000-000074760000}"/>
    <cellStyle name="Normal 26 5 2" xfId="25890" xr:uid="{00000000-0005-0000-0000-000075760000}"/>
    <cellStyle name="Normal 26 5 3" xfId="30103" xr:uid="{00000000-0005-0000-0000-000076760000}"/>
    <cellStyle name="Normal 26 5 4" xfId="34318" xr:uid="{00000000-0005-0000-0000-000077760000}"/>
    <cellStyle name="Normal 26 5 5" xfId="38522" xr:uid="{00000000-0005-0000-0000-000078760000}"/>
    <cellStyle name="Normal 26 6" xfId="7376" xr:uid="{00000000-0005-0000-0000-000079760000}"/>
    <cellStyle name="Normal 26 6 2" xfId="26009" xr:uid="{00000000-0005-0000-0000-00007A760000}"/>
    <cellStyle name="Normal 26 6 3" xfId="30222" xr:uid="{00000000-0005-0000-0000-00007B760000}"/>
    <cellStyle name="Normal 26 6 4" xfId="34437" xr:uid="{00000000-0005-0000-0000-00007C760000}"/>
    <cellStyle name="Normal 26 6 5" xfId="38641" xr:uid="{00000000-0005-0000-0000-00007D760000}"/>
    <cellStyle name="Normal 26 7" xfId="7494" xr:uid="{00000000-0005-0000-0000-00007E760000}"/>
    <cellStyle name="Normal 26 7 2" xfId="26127" xr:uid="{00000000-0005-0000-0000-00007F760000}"/>
    <cellStyle name="Normal 26 7 3" xfId="30340" xr:uid="{00000000-0005-0000-0000-000080760000}"/>
    <cellStyle name="Normal 26 7 4" xfId="34555" xr:uid="{00000000-0005-0000-0000-000081760000}"/>
    <cellStyle name="Normal 26 7 5" xfId="38759" xr:uid="{00000000-0005-0000-0000-000082760000}"/>
    <cellStyle name="Normal 26 8" xfId="8995" xr:uid="{00000000-0005-0000-0000-000083760000}"/>
    <cellStyle name="Normal 26 8 2" xfId="26566" xr:uid="{00000000-0005-0000-0000-000084760000}"/>
    <cellStyle name="Normal 26 8 3" xfId="30779" xr:uid="{00000000-0005-0000-0000-000085760000}"/>
    <cellStyle name="Normal 26 8 4" xfId="34994" xr:uid="{00000000-0005-0000-0000-000086760000}"/>
    <cellStyle name="Normal 26 8 5" xfId="39198" xr:uid="{00000000-0005-0000-0000-000087760000}"/>
    <cellStyle name="Normal 26 9" xfId="9117" xr:uid="{00000000-0005-0000-0000-000088760000}"/>
    <cellStyle name="Normal 26 9 2" xfId="26688" xr:uid="{00000000-0005-0000-0000-000089760000}"/>
    <cellStyle name="Normal 26 9 3" xfId="30901" xr:uid="{00000000-0005-0000-0000-00008A760000}"/>
    <cellStyle name="Normal 26 9 4" xfId="35116" xr:uid="{00000000-0005-0000-0000-00008B760000}"/>
    <cellStyle name="Normal 26 9 5" xfId="39320" xr:uid="{00000000-0005-0000-0000-00008C760000}"/>
    <cellStyle name="Normal 27" xfId="3956" xr:uid="{00000000-0005-0000-0000-00008D760000}"/>
    <cellStyle name="Normal 27 10" xfId="9240" xr:uid="{00000000-0005-0000-0000-00008E760000}"/>
    <cellStyle name="Normal 27 10 2" xfId="26811" xr:uid="{00000000-0005-0000-0000-00008F760000}"/>
    <cellStyle name="Normal 27 10 3" xfId="31024" xr:uid="{00000000-0005-0000-0000-000090760000}"/>
    <cellStyle name="Normal 27 10 4" xfId="35239" xr:uid="{00000000-0005-0000-0000-000091760000}"/>
    <cellStyle name="Normal 27 10 5" xfId="39443" xr:uid="{00000000-0005-0000-0000-000092760000}"/>
    <cellStyle name="Normal 27 11" xfId="9361" xr:uid="{00000000-0005-0000-0000-000093760000}"/>
    <cellStyle name="Normal 27 11 2" xfId="26932" xr:uid="{00000000-0005-0000-0000-000094760000}"/>
    <cellStyle name="Normal 27 11 3" xfId="31145" xr:uid="{00000000-0005-0000-0000-000095760000}"/>
    <cellStyle name="Normal 27 11 4" xfId="35360" xr:uid="{00000000-0005-0000-0000-000096760000}"/>
    <cellStyle name="Normal 27 11 5" xfId="39564" xr:uid="{00000000-0005-0000-0000-000097760000}"/>
    <cellStyle name="Normal 27 12" xfId="9480" xr:uid="{00000000-0005-0000-0000-000098760000}"/>
    <cellStyle name="Normal 27 12 2" xfId="27051" xr:uid="{00000000-0005-0000-0000-000099760000}"/>
    <cellStyle name="Normal 27 12 3" xfId="31264" xr:uid="{00000000-0005-0000-0000-00009A760000}"/>
    <cellStyle name="Normal 27 12 4" xfId="35479" xr:uid="{00000000-0005-0000-0000-00009B760000}"/>
    <cellStyle name="Normal 27 12 5" xfId="39683" xr:uid="{00000000-0005-0000-0000-00009C760000}"/>
    <cellStyle name="Normal 27 2" xfId="7022" xr:uid="{00000000-0005-0000-0000-00009D760000}"/>
    <cellStyle name="Normal 27 2 10" xfId="9481" xr:uid="{00000000-0005-0000-0000-00009E760000}"/>
    <cellStyle name="Normal 27 2 10 2" xfId="27052" xr:uid="{00000000-0005-0000-0000-00009F760000}"/>
    <cellStyle name="Normal 27 2 10 3" xfId="31265" xr:uid="{00000000-0005-0000-0000-0000A0760000}"/>
    <cellStyle name="Normal 27 2 10 4" xfId="35480" xr:uid="{00000000-0005-0000-0000-0000A1760000}"/>
    <cellStyle name="Normal 27 2 10 5" xfId="39684" xr:uid="{00000000-0005-0000-0000-0000A2760000}"/>
    <cellStyle name="Normal 27 2 11" xfId="25701" xr:uid="{00000000-0005-0000-0000-0000A3760000}"/>
    <cellStyle name="Normal 27 2 11 2" xfId="43626" xr:uid="{00000000-0005-0000-0000-0000A4760000}"/>
    <cellStyle name="Normal 27 2 12" xfId="29914" xr:uid="{00000000-0005-0000-0000-0000A5760000}"/>
    <cellStyle name="Normal 27 2 13" xfId="34129" xr:uid="{00000000-0005-0000-0000-0000A6760000}"/>
    <cellStyle name="Normal 27 2 14" xfId="38333" xr:uid="{00000000-0005-0000-0000-0000A7760000}"/>
    <cellStyle name="Normal 27 2 2" xfId="7129" xr:uid="{00000000-0005-0000-0000-0000A8760000}"/>
    <cellStyle name="Normal 27 2 2 2" xfId="25781" xr:uid="{00000000-0005-0000-0000-0000A9760000}"/>
    <cellStyle name="Normal 27 2 2 3" xfId="29994" xr:uid="{00000000-0005-0000-0000-0000AA760000}"/>
    <cellStyle name="Normal 27 2 2 4" xfId="34209" xr:uid="{00000000-0005-0000-0000-0000AB760000}"/>
    <cellStyle name="Normal 27 2 2 5" xfId="38413" xr:uid="{00000000-0005-0000-0000-0000AC760000}"/>
    <cellStyle name="Normal 27 2 3" xfId="7261" xr:uid="{00000000-0005-0000-0000-0000AD760000}"/>
    <cellStyle name="Normal 27 2 3 2" xfId="25894" xr:uid="{00000000-0005-0000-0000-0000AE760000}"/>
    <cellStyle name="Normal 27 2 3 3" xfId="30107" xr:uid="{00000000-0005-0000-0000-0000AF760000}"/>
    <cellStyle name="Normal 27 2 3 4" xfId="34322" xr:uid="{00000000-0005-0000-0000-0000B0760000}"/>
    <cellStyle name="Normal 27 2 3 5" xfId="38526" xr:uid="{00000000-0005-0000-0000-0000B1760000}"/>
    <cellStyle name="Normal 27 2 4" xfId="7380" xr:uid="{00000000-0005-0000-0000-0000B2760000}"/>
    <cellStyle name="Normal 27 2 4 2" xfId="26013" xr:uid="{00000000-0005-0000-0000-0000B3760000}"/>
    <cellStyle name="Normal 27 2 4 3" xfId="30226" xr:uid="{00000000-0005-0000-0000-0000B4760000}"/>
    <cellStyle name="Normal 27 2 4 4" xfId="34441" xr:uid="{00000000-0005-0000-0000-0000B5760000}"/>
    <cellStyle name="Normal 27 2 4 5" xfId="38645" xr:uid="{00000000-0005-0000-0000-0000B6760000}"/>
    <cellStyle name="Normal 27 2 5" xfId="7498" xr:uid="{00000000-0005-0000-0000-0000B7760000}"/>
    <cellStyle name="Normal 27 2 5 2" xfId="26131" xr:uid="{00000000-0005-0000-0000-0000B8760000}"/>
    <cellStyle name="Normal 27 2 5 3" xfId="30344" xr:uid="{00000000-0005-0000-0000-0000B9760000}"/>
    <cellStyle name="Normal 27 2 5 4" xfId="34559" xr:uid="{00000000-0005-0000-0000-0000BA760000}"/>
    <cellStyle name="Normal 27 2 5 5" xfId="38763" xr:uid="{00000000-0005-0000-0000-0000BB760000}"/>
    <cellStyle name="Normal 27 2 6" xfId="8999" xr:uid="{00000000-0005-0000-0000-0000BC760000}"/>
    <cellStyle name="Normal 27 2 6 2" xfId="26570" xr:uid="{00000000-0005-0000-0000-0000BD760000}"/>
    <cellStyle name="Normal 27 2 6 3" xfId="30783" xr:uid="{00000000-0005-0000-0000-0000BE760000}"/>
    <cellStyle name="Normal 27 2 6 4" xfId="34998" xr:uid="{00000000-0005-0000-0000-0000BF760000}"/>
    <cellStyle name="Normal 27 2 6 5" xfId="39202" xr:uid="{00000000-0005-0000-0000-0000C0760000}"/>
    <cellStyle name="Normal 27 2 7" xfId="9121" xr:uid="{00000000-0005-0000-0000-0000C1760000}"/>
    <cellStyle name="Normal 27 2 7 2" xfId="26692" xr:uid="{00000000-0005-0000-0000-0000C2760000}"/>
    <cellStyle name="Normal 27 2 7 3" xfId="30905" xr:uid="{00000000-0005-0000-0000-0000C3760000}"/>
    <cellStyle name="Normal 27 2 7 4" xfId="35120" xr:uid="{00000000-0005-0000-0000-0000C4760000}"/>
    <cellStyle name="Normal 27 2 7 5" xfId="39324" xr:uid="{00000000-0005-0000-0000-0000C5760000}"/>
    <cellStyle name="Normal 27 2 8" xfId="9241" xr:uid="{00000000-0005-0000-0000-0000C6760000}"/>
    <cellStyle name="Normal 27 2 8 2" xfId="26812" xr:uid="{00000000-0005-0000-0000-0000C7760000}"/>
    <cellStyle name="Normal 27 2 8 3" xfId="31025" xr:uid="{00000000-0005-0000-0000-0000C8760000}"/>
    <cellStyle name="Normal 27 2 8 4" xfId="35240" xr:uid="{00000000-0005-0000-0000-0000C9760000}"/>
    <cellStyle name="Normal 27 2 8 5" xfId="39444" xr:uid="{00000000-0005-0000-0000-0000CA760000}"/>
    <cellStyle name="Normal 27 2 9" xfId="9362" xr:uid="{00000000-0005-0000-0000-0000CB760000}"/>
    <cellStyle name="Normal 27 2 9 2" xfId="26933" xr:uid="{00000000-0005-0000-0000-0000CC760000}"/>
    <cellStyle name="Normal 27 2 9 3" xfId="31146" xr:uid="{00000000-0005-0000-0000-0000CD760000}"/>
    <cellStyle name="Normal 27 2 9 4" xfId="35361" xr:uid="{00000000-0005-0000-0000-0000CE760000}"/>
    <cellStyle name="Normal 27 2 9 5" xfId="39565" xr:uid="{00000000-0005-0000-0000-0000CF760000}"/>
    <cellStyle name="Normal 27 3" xfId="7023" xr:uid="{00000000-0005-0000-0000-0000D0760000}"/>
    <cellStyle name="Normal 27 3 10" xfId="9482" xr:uid="{00000000-0005-0000-0000-0000D1760000}"/>
    <cellStyle name="Normal 27 3 10 2" xfId="27053" xr:uid="{00000000-0005-0000-0000-0000D2760000}"/>
    <cellStyle name="Normal 27 3 10 3" xfId="31266" xr:uid="{00000000-0005-0000-0000-0000D3760000}"/>
    <cellStyle name="Normal 27 3 10 4" xfId="35481" xr:uid="{00000000-0005-0000-0000-0000D4760000}"/>
    <cellStyle name="Normal 27 3 10 5" xfId="39685" xr:uid="{00000000-0005-0000-0000-0000D5760000}"/>
    <cellStyle name="Normal 27 3 11" xfId="25702" xr:uid="{00000000-0005-0000-0000-0000D6760000}"/>
    <cellStyle name="Normal 27 3 12" xfId="29915" xr:uid="{00000000-0005-0000-0000-0000D7760000}"/>
    <cellStyle name="Normal 27 3 13" xfId="34130" xr:uid="{00000000-0005-0000-0000-0000D8760000}"/>
    <cellStyle name="Normal 27 3 14" xfId="38334" xr:uid="{00000000-0005-0000-0000-0000D9760000}"/>
    <cellStyle name="Normal 27 3 2" xfId="7130" xr:uid="{00000000-0005-0000-0000-0000DA760000}"/>
    <cellStyle name="Normal 27 3 2 2" xfId="25782" xr:uid="{00000000-0005-0000-0000-0000DB760000}"/>
    <cellStyle name="Normal 27 3 2 3" xfId="29995" xr:uid="{00000000-0005-0000-0000-0000DC760000}"/>
    <cellStyle name="Normal 27 3 2 4" xfId="34210" xr:uid="{00000000-0005-0000-0000-0000DD760000}"/>
    <cellStyle name="Normal 27 3 2 5" xfId="38414" xr:uid="{00000000-0005-0000-0000-0000DE760000}"/>
    <cellStyle name="Normal 27 3 3" xfId="7262" xr:uid="{00000000-0005-0000-0000-0000DF760000}"/>
    <cellStyle name="Normal 27 3 3 2" xfId="25895" xr:uid="{00000000-0005-0000-0000-0000E0760000}"/>
    <cellStyle name="Normal 27 3 3 3" xfId="30108" xr:uid="{00000000-0005-0000-0000-0000E1760000}"/>
    <cellStyle name="Normal 27 3 3 4" xfId="34323" xr:uid="{00000000-0005-0000-0000-0000E2760000}"/>
    <cellStyle name="Normal 27 3 3 5" xfId="38527" xr:uid="{00000000-0005-0000-0000-0000E3760000}"/>
    <cellStyle name="Normal 27 3 4" xfId="7381" xr:uid="{00000000-0005-0000-0000-0000E4760000}"/>
    <cellStyle name="Normal 27 3 4 2" xfId="26014" xr:uid="{00000000-0005-0000-0000-0000E5760000}"/>
    <cellStyle name="Normal 27 3 4 3" xfId="30227" xr:uid="{00000000-0005-0000-0000-0000E6760000}"/>
    <cellStyle name="Normal 27 3 4 4" xfId="34442" xr:uid="{00000000-0005-0000-0000-0000E7760000}"/>
    <cellStyle name="Normal 27 3 4 5" xfId="38646" xr:uid="{00000000-0005-0000-0000-0000E8760000}"/>
    <cellStyle name="Normal 27 3 5" xfId="7499" xr:uid="{00000000-0005-0000-0000-0000E9760000}"/>
    <cellStyle name="Normal 27 3 5 2" xfId="26132" xr:uid="{00000000-0005-0000-0000-0000EA760000}"/>
    <cellStyle name="Normal 27 3 5 3" xfId="30345" xr:uid="{00000000-0005-0000-0000-0000EB760000}"/>
    <cellStyle name="Normal 27 3 5 4" xfId="34560" xr:uid="{00000000-0005-0000-0000-0000EC760000}"/>
    <cellStyle name="Normal 27 3 5 5" xfId="38764" xr:uid="{00000000-0005-0000-0000-0000ED760000}"/>
    <cellStyle name="Normal 27 3 6" xfId="9000" xr:uid="{00000000-0005-0000-0000-0000EE760000}"/>
    <cellStyle name="Normal 27 3 6 2" xfId="26571" xr:uid="{00000000-0005-0000-0000-0000EF760000}"/>
    <cellStyle name="Normal 27 3 6 3" xfId="30784" xr:uid="{00000000-0005-0000-0000-0000F0760000}"/>
    <cellStyle name="Normal 27 3 6 4" xfId="34999" xr:uid="{00000000-0005-0000-0000-0000F1760000}"/>
    <cellStyle name="Normal 27 3 6 5" xfId="39203" xr:uid="{00000000-0005-0000-0000-0000F2760000}"/>
    <cellStyle name="Normal 27 3 7" xfId="9122" xr:uid="{00000000-0005-0000-0000-0000F3760000}"/>
    <cellStyle name="Normal 27 3 7 2" xfId="26693" xr:uid="{00000000-0005-0000-0000-0000F4760000}"/>
    <cellStyle name="Normal 27 3 7 3" xfId="30906" xr:uid="{00000000-0005-0000-0000-0000F5760000}"/>
    <cellStyle name="Normal 27 3 7 4" xfId="35121" xr:uid="{00000000-0005-0000-0000-0000F6760000}"/>
    <cellStyle name="Normal 27 3 7 5" xfId="39325" xr:uid="{00000000-0005-0000-0000-0000F7760000}"/>
    <cellStyle name="Normal 27 3 8" xfId="9242" xr:uid="{00000000-0005-0000-0000-0000F8760000}"/>
    <cellStyle name="Normal 27 3 8 2" xfId="26813" xr:uid="{00000000-0005-0000-0000-0000F9760000}"/>
    <cellStyle name="Normal 27 3 8 3" xfId="31026" xr:uid="{00000000-0005-0000-0000-0000FA760000}"/>
    <cellStyle name="Normal 27 3 8 4" xfId="35241" xr:uid="{00000000-0005-0000-0000-0000FB760000}"/>
    <cellStyle name="Normal 27 3 8 5" xfId="39445" xr:uid="{00000000-0005-0000-0000-0000FC760000}"/>
    <cellStyle name="Normal 27 3 9" xfId="9363" xr:uid="{00000000-0005-0000-0000-0000FD760000}"/>
    <cellStyle name="Normal 27 3 9 2" xfId="26934" xr:uid="{00000000-0005-0000-0000-0000FE760000}"/>
    <cellStyle name="Normal 27 3 9 3" xfId="31147" xr:uid="{00000000-0005-0000-0000-0000FF760000}"/>
    <cellStyle name="Normal 27 3 9 4" xfId="35362" xr:uid="{00000000-0005-0000-0000-000000770000}"/>
    <cellStyle name="Normal 27 3 9 5" xfId="39566" xr:uid="{00000000-0005-0000-0000-000001770000}"/>
    <cellStyle name="Normal 27 4" xfId="7128" xr:uid="{00000000-0005-0000-0000-000002770000}"/>
    <cellStyle name="Normal 27 4 2" xfId="25780" xr:uid="{00000000-0005-0000-0000-000003770000}"/>
    <cellStyle name="Normal 27 4 3" xfId="29993" xr:uid="{00000000-0005-0000-0000-000004770000}"/>
    <cellStyle name="Normal 27 4 4" xfId="34208" xr:uid="{00000000-0005-0000-0000-000005770000}"/>
    <cellStyle name="Normal 27 4 5" xfId="38412" xr:uid="{00000000-0005-0000-0000-000006770000}"/>
    <cellStyle name="Normal 27 5" xfId="7260" xr:uid="{00000000-0005-0000-0000-000007770000}"/>
    <cellStyle name="Normal 27 5 2" xfId="25893" xr:uid="{00000000-0005-0000-0000-000008770000}"/>
    <cellStyle name="Normal 27 5 3" xfId="30106" xr:uid="{00000000-0005-0000-0000-000009770000}"/>
    <cellStyle name="Normal 27 5 4" xfId="34321" xr:uid="{00000000-0005-0000-0000-00000A770000}"/>
    <cellStyle name="Normal 27 5 5" xfId="38525" xr:uid="{00000000-0005-0000-0000-00000B770000}"/>
    <cellStyle name="Normal 27 6" xfId="7379" xr:uid="{00000000-0005-0000-0000-00000C770000}"/>
    <cellStyle name="Normal 27 6 2" xfId="26012" xr:uid="{00000000-0005-0000-0000-00000D770000}"/>
    <cellStyle name="Normal 27 6 3" xfId="30225" xr:uid="{00000000-0005-0000-0000-00000E770000}"/>
    <cellStyle name="Normal 27 6 4" xfId="34440" xr:uid="{00000000-0005-0000-0000-00000F770000}"/>
    <cellStyle name="Normal 27 6 5" xfId="38644" xr:uid="{00000000-0005-0000-0000-000010770000}"/>
    <cellStyle name="Normal 27 7" xfId="7497" xr:uid="{00000000-0005-0000-0000-000011770000}"/>
    <cellStyle name="Normal 27 7 2" xfId="26130" xr:uid="{00000000-0005-0000-0000-000012770000}"/>
    <cellStyle name="Normal 27 7 3" xfId="30343" xr:uid="{00000000-0005-0000-0000-000013770000}"/>
    <cellStyle name="Normal 27 7 4" xfId="34558" xr:uid="{00000000-0005-0000-0000-000014770000}"/>
    <cellStyle name="Normal 27 7 5" xfId="38762" xr:uid="{00000000-0005-0000-0000-000015770000}"/>
    <cellStyle name="Normal 27 8" xfId="8998" xr:uid="{00000000-0005-0000-0000-000016770000}"/>
    <cellStyle name="Normal 27 8 2" xfId="26569" xr:uid="{00000000-0005-0000-0000-000017770000}"/>
    <cellStyle name="Normal 27 8 3" xfId="30782" xr:uid="{00000000-0005-0000-0000-000018770000}"/>
    <cellStyle name="Normal 27 8 4" xfId="34997" xr:uid="{00000000-0005-0000-0000-000019770000}"/>
    <cellStyle name="Normal 27 8 5" xfId="39201" xr:uid="{00000000-0005-0000-0000-00001A770000}"/>
    <cellStyle name="Normal 27 9" xfId="9120" xr:uid="{00000000-0005-0000-0000-00001B770000}"/>
    <cellStyle name="Normal 27 9 2" xfId="26691" xr:uid="{00000000-0005-0000-0000-00001C770000}"/>
    <cellStyle name="Normal 27 9 3" xfId="30904" xr:uid="{00000000-0005-0000-0000-00001D770000}"/>
    <cellStyle name="Normal 27 9 4" xfId="35119" xr:uid="{00000000-0005-0000-0000-00001E770000}"/>
    <cellStyle name="Normal 27 9 5" xfId="39323" xr:uid="{00000000-0005-0000-0000-00001F770000}"/>
    <cellStyle name="Normal 28" xfId="3957" xr:uid="{00000000-0005-0000-0000-000020770000}"/>
    <cellStyle name="Normal 28 10" xfId="9243" xr:uid="{00000000-0005-0000-0000-000021770000}"/>
    <cellStyle name="Normal 28 10 2" xfId="26814" xr:uid="{00000000-0005-0000-0000-000022770000}"/>
    <cellStyle name="Normal 28 10 3" xfId="31027" xr:uid="{00000000-0005-0000-0000-000023770000}"/>
    <cellStyle name="Normal 28 10 4" xfId="35242" xr:uid="{00000000-0005-0000-0000-000024770000}"/>
    <cellStyle name="Normal 28 10 5" xfId="39446" xr:uid="{00000000-0005-0000-0000-000025770000}"/>
    <cellStyle name="Normal 28 11" xfId="9364" xr:uid="{00000000-0005-0000-0000-000026770000}"/>
    <cellStyle name="Normal 28 11 2" xfId="26935" xr:uid="{00000000-0005-0000-0000-000027770000}"/>
    <cellStyle name="Normal 28 11 3" xfId="31148" xr:uid="{00000000-0005-0000-0000-000028770000}"/>
    <cellStyle name="Normal 28 11 4" xfId="35363" xr:uid="{00000000-0005-0000-0000-000029770000}"/>
    <cellStyle name="Normal 28 11 5" xfId="39567" xr:uid="{00000000-0005-0000-0000-00002A770000}"/>
    <cellStyle name="Normal 28 12" xfId="9483" xr:uid="{00000000-0005-0000-0000-00002B770000}"/>
    <cellStyle name="Normal 28 12 2" xfId="27054" xr:uid="{00000000-0005-0000-0000-00002C770000}"/>
    <cellStyle name="Normal 28 12 3" xfId="31267" xr:uid="{00000000-0005-0000-0000-00002D770000}"/>
    <cellStyle name="Normal 28 12 4" xfId="35482" xr:uid="{00000000-0005-0000-0000-00002E770000}"/>
    <cellStyle name="Normal 28 12 5" xfId="39686" xr:uid="{00000000-0005-0000-0000-00002F770000}"/>
    <cellStyle name="Normal 28 13" xfId="11135" xr:uid="{00000000-0005-0000-0000-000030770000}"/>
    <cellStyle name="Normal 28 2" xfId="5430" xr:uid="{00000000-0005-0000-0000-000031770000}"/>
    <cellStyle name="Normal 28 2 10" xfId="9484" xr:uid="{00000000-0005-0000-0000-000032770000}"/>
    <cellStyle name="Normal 28 2 10 2" xfId="27055" xr:uid="{00000000-0005-0000-0000-000033770000}"/>
    <cellStyle name="Normal 28 2 10 3" xfId="31268" xr:uid="{00000000-0005-0000-0000-000034770000}"/>
    <cellStyle name="Normal 28 2 10 4" xfId="35483" xr:uid="{00000000-0005-0000-0000-000035770000}"/>
    <cellStyle name="Normal 28 2 10 5" xfId="39687" xr:uid="{00000000-0005-0000-0000-000036770000}"/>
    <cellStyle name="Normal 28 2 11" xfId="7024" xr:uid="{00000000-0005-0000-0000-000037770000}"/>
    <cellStyle name="Normal 28 2 11 2" xfId="25703" xr:uid="{00000000-0005-0000-0000-000038770000}"/>
    <cellStyle name="Normal 28 2 11 3" xfId="29916" xr:uid="{00000000-0005-0000-0000-000039770000}"/>
    <cellStyle name="Normal 28 2 11 4" xfId="34131" xr:uid="{00000000-0005-0000-0000-00003A770000}"/>
    <cellStyle name="Normal 28 2 11 5" xfId="38335" xr:uid="{00000000-0005-0000-0000-00003B770000}"/>
    <cellStyle name="Normal 28 2 12" xfId="11330" xr:uid="{00000000-0005-0000-0000-00003C770000}"/>
    <cellStyle name="Normal 28 2 2" xfId="7132" xr:uid="{00000000-0005-0000-0000-00003D770000}"/>
    <cellStyle name="Normal 28 2 2 2" xfId="25784" xr:uid="{00000000-0005-0000-0000-00003E770000}"/>
    <cellStyle name="Normal 28 2 2 3" xfId="29997" xr:uid="{00000000-0005-0000-0000-00003F770000}"/>
    <cellStyle name="Normal 28 2 2 4" xfId="34212" xr:uid="{00000000-0005-0000-0000-000040770000}"/>
    <cellStyle name="Normal 28 2 2 5" xfId="38416" xr:uid="{00000000-0005-0000-0000-000041770000}"/>
    <cellStyle name="Normal 28 2 3" xfId="7264" xr:uid="{00000000-0005-0000-0000-000042770000}"/>
    <cellStyle name="Normal 28 2 3 2" xfId="25897" xr:uid="{00000000-0005-0000-0000-000043770000}"/>
    <cellStyle name="Normal 28 2 3 3" xfId="30110" xr:uid="{00000000-0005-0000-0000-000044770000}"/>
    <cellStyle name="Normal 28 2 3 4" xfId="34325" xr:uid="{00000000-0005-0000-0000-000045770000}"/>
    <cellStyle name="Normal 28 2 3 5" xfId="38529" xr:uid="{00000000-0005-0000-0000-000046770000}"/>
    <cellStyle name="Normal 28 2 4" xfId="7383" xr:uid="{00000000-0005-0000-0000-000047770000}"/>
    <cellStyle name="Normal 28 2 4 2" xfId="26016" xr:uid="{00000000-0005-0000-0000-000048770000}"/>
    <cellStyle name="Normal 28 2 4 3" xfId="30229" xr:uid="{00000000-0005-0000-0000-000049770000}"/>
    <cellStyle name="Normal 28 2 4 4" xfId="34444" xr:uid="{00000000-0005-0000-0000-00004A770000}"/>
    <cellStyle name="Normal 28 2 4 5" xfId="38648" xr:uid="{00000000-0005-0000-0000-00004B770000}"/>
    <cellStyle name="Normal 28 2 5" xfId="7501" xr:uid="{00000000-0005-0000-0000-00004C770000}"/>
    <cellStyle name="Normal 28 2 5 2" xfId="26134" xr:uid="{00000000-0005-0000-0000-00004D770000}"/>
    <cellStyle name="Normal 28 2 5 3" xfId="30347" xr:uid="{00000000-0005-0000-0000-00004E770000}"/>
    <cellStyle name="Normal 28 2 5 4" xfId="34562" xr:uid="{00000000-0005-0000-0000-00004F770000}"/>
    <cellStyle name="Normal 28 2 5 5" xfId="38766" xr:uid="{00000000-0005-0000-0000-000050770000}"/>
    <cellStyle name="Normal 28 2 6" xfId="9002" xr:uid="{00000000-0005-0000-0000-000051770000}"/>
    <cellStyle name="Normal 28 2 6 2" xfId="26573" xr:uid="{00000000-0005-0000-0000-000052770000}"/>
    <cellStyle name="Normal 28 2 6 3" xfId="30786" xr:uid="{00000000-0005-0000-0000-000053770000}"/>
    <cellStyle name="Normal 28 2 6 4" xfId="35001" xr:uid="{00000000-0005-0000-0000-000054770000}"/>
    <cellStyle name="Normal 28 2 6 5" xfId="39205" xr:uid="{00000000-0005-0000-0000-000055770000}"/>
    <cellStyle name="Normal 28 2 7" xfId="9124" xr:uid="{00000000-0005-0000-0000-000056770000}"/>
    <cellStyle name="Normal 28 2 7 2" xfId="26695" xr:uid="{00000000-0005-0000-0000-000057770000}"/>
    <cellStyle name="Normal 28 2 7 3" xfId="30908" xr:uid="{00000000-0005-0000-0000-000058770000}"/>
    <cellStyle name="Normal 28 2 7 4" xfId="35123" xr:uid="{00000000-0005-0000-0000-000059770000}"/>
    <cellStyle name="Normal 28 2 7 5" xfId="39327" xr:uid="{00000000-0005-0000-0000-00005A770000}"/>
    <cellStyle name="Normal 28 2 8" xfId="9244" xr:uid="{00000000-0005-0000-0000-00005B770000}"/>
    <cellStyle name="Normal 28 2 8 2" xfId="26815" xr:uid="{00000000-0005-0000-0000-00005C770000}"/>
    <cellStyle name="Normal 28 2 8 3" xfId="31028" xr:uid="{00000000-0005-0000-0000-00005D770000}"/>
    <cellStyle name="Normal 28 2 8 4" xfId="35243" xr:uid="{00000000-0005-0000-0000-00005E770000}"/>
    <cellStyle name="Normal 28 2 8 5" xfId="39447" xr:uid="{00000000-0005-0000-0000-00005F770000}"/>
    <cellStyle name="Normal 28 2 9" xfId="9365" xr:uid="{00000000-0005-0000-0000-000060770000}"/>
    <cellStyle name="Normal 28 2 9 2" xfId="26936" xr:uid="{00000000-0005-0000-0000-000061770000}"/>
    <cellStyle name="Normal 28 2 9 3" xfId="31149" xr:uid="{00000000-0005-0000-0000-000062770000}"/>
    <cellStyle name="Normal 28 2 9 4" xfId="35364" xr:uid="{00000000-0005-0000-0000-000063770000}"/>
    <cellStyle name="Normal 28 2 9 5" xfId="39568" xr:uid="{00000000-0005-0000-0000-000064770000}"/>
    <cellStyle name="Normal 28 3" xfId="5429" xr:uid="{00000000-0005-0000-0000-000065770000}"/>
    <cellStyle name="Normal 28 3 10" xfId="9485" xr:uid="{00000000-0005-0000-0000-000066770000}"/>
    <cellStyle name="Normal 28 3 10 2" xfId="27056" xr:uid="{00000000-0005-0000-0000-000067770000}"/>
    <cellStyle name="Normal 28 3 10 3" xfId="31269" xr:uid="{00000000-0005-0000-0000-000068770000}"/>
    <cellStyle name="Normal 28 3 10 4" xfId="35484" xr:uid="{00000000-0005-0000-0000-000069770000}"/>
    <cellStyle name="Normal 28 3 10 5" xfId="39688" xr:uid="{00000000-0005-0000-0000-00006A770000}"/>
    <cellStyle name="Normal 28 3 11" xfId="7025" xr:uid="{00000000-0005-0000-0000-00006B770000}"/>
    <cellStyle name="Normal 28 3 11 2" xfId="25704" xr:uid="{00000000-0005-0000-0000-00006C770000}"/>
    <cellStyle name="Normal 28 3 11 3" xfId="29917" xr:uid="{00000000-0005-0000-0000-00006D770000}"/>
    <cellStyle name="Normal 28 3 11 4" xfId="34132" xr:uid="{00000000-0005-0000-0000-00006E770000}"/>
    <cellStyle name="Normal 28 3 11 5" xfId="38336" xr:uid="{00000000-0005-0000-0000-00006F770000}"/>
    <cellStyle name="Normal 28 3 12" xfId="11329" xr:uid="{00000000-0005-0000-0000-000070770000}"/>
    <cellStyle name="Normal 28 3 2" xfId="7133" xr:uid="{00000000-0005-0000-0000-000071770000}"/>
    <cellStyle name="Normal 28 3 2 2" xfId="25785" xr:uid="{00000000-0005-0000-0000-000072770000}"/>
    <cellStyle name="Normal 28 3 2 3" xfId="29998" xr:uid="{00000000-0005-0000-0000-000073770000}"/>
    <cellStyle name="Normal 28 3 2 4" xfId="34213" xr:uid="{00000000-0005-0000-0000-000074770000}"/>
    <cellStyle name="Normal 28 3 2 5" xfId="38417" xr:uid="{00000000-0005-0000-0000-000075770000}"/>
    <cellStyle name="Normal 28 3 3" xfId="7265" xr:uid="{00000000-0005-0000-0000-000076770000}"/>
    <cellStyle name="Normal 28 3 3 2" xfId="25898" xr:uid="{00000000-0005-0000-0000-000077770000}"/>
    <cellStyle name="Normal 28 3 3 3" xfId="30111" xr:uid="{00000000-0005-0000-0000-000078770000}"/>
    <cellStyle name="Normal 28 3 3 4" xfId="34326" xr:uid="{00000000-0005-0000-0000-000079770000}"/>
    <cellStyle name="Normal 28 3 3 5" xfId="38530" xr:uid="{00000000-0005-0000-0000-00007A770000}"/>
    <cellStyle name="Normal 28 3 4" xfId="7384" xr:uid="{00000000-0005-0000-0000-00007B770000}"/>
    <cellStyle name="Normal 28 3 4 2" xfId="26017" xr:uid="{00000000-0005-0000-0000-00007C770000}"/>
    <cellStyle name="Normal 28 3 4 3" xfId="30230" xr:uid="{00000000-0005-0000-0000-00007D770000}"/>
    <cellStyle name="Normal 28 3 4 4" xfId="34445" xr:uid="{00000000-0005-0000-0000-00007E770000}"/>
    <cellStyle name="Normal 28 3 4 5" xfId="38649" xr:uid="{00000000-0005-0000-0000-00007F770000}"/>
    <cellStyle name="Normal 28 3 5" xfId="7502" xr:uid="{00000000-0005-0000-0000-000080770000}"/>
    <cellStyle name="Normal 28 3 5 2" xfId="26135" xr:uid="{00000000-0005-0000-0000-000081770000}"/>
    <cellStyle name="Normal 28 3 5 3" xfId="30348" xr:uid="{00000000-0005-0000-0000-000082770000}"/>
    <cellStyle name="Normal 28 3 5 4" xfId="34563" xr:uid="{00000000-0005-0000-0000-000083770000}"/>
    <cellStyle name="Normal 28 3 5 5" xfId="38767" xr:uid="{00000000-0005-0000-0000-000084770000}"/>
    <cellStyle name="Normal 28 3 6" xfId="9003" xr:uid="{00000000-0005-0000-0000-000085770000}"/>
    <cellStyle name="Normal 28 3 6 2" xfId="26574" xr:uid="{00000000-0005-0000-0000-000086770000}"/>
    <cellStyle name="Normal 28 3 6 3" xfId="30787" xr:uid="{00000000-0005-0000-0000-000087770000}"/>
    <cellStyle name="Normal 28 3 6 4" xfId="35002" xr:uid="{00000000-0005-0000-0000-000088770000}"/>
    <cellStyle name="Normal 28 3 6 5" xfId="39206" xr:uid="{00000000-0005-0000-0000-000089770000}"/>
    <cellStyle name="Normal 28 3 7" xfId="9125" xr:uid="{00000000-0005-0000-0000-00008A770000}"/>
    <cellStyle name="Normal 28 3 7 2" xfId="26696" xr:uid="{00000000-0005-0000-0000-00008B770000}"/>
    <cellStyle name="Normal 28 3 7 3" xfId="30909" xr:uid="{00000000-0005-0000-0000-00008C770000}"/>
    <cellStyle name="Normal 28 3 7 4" xfId="35124" xr:uid="{00000000-0005-0000-0000-00008D770000}"/>
    <cellStyle name="Normal 28 3 7 5" xfId="39328" xr:uid="{00000000-0005-0000-0000-00008E770000}"/>
    <cellStyle name="Normal 28 3 8" xfId="9245" xr:uid="{00000000-0005-0000-0000-00008F770000}"/>
    <cellStyle name="Normal 28 3 8 2" xfId="26816" xr:uid="{00000000-0005-0000-0000-000090770000}"/>
    <cellStyle name="Normal 28 3 8 3" xfId="31029" xr:uid="{00000000-0005-0000-0000-000091770000}"/>
    <cellStyle name="Normal 28 3 8 4" xfId="35244" xr:uid="{00000000-0005-0000-0000-000092770000}"/>
    <cellStyle name="Normal 28 3 8 5" xfId="39448" xr:uid="{00000000-0005-0000-0000-000093770000}"/>
    <cellStyle name="Normal 28 3 9" xfId="9366" xr:uid="{00000000-0005-0000-0000-000094770000}"/>
    <cellStyle name="Normal 28 3 9 2" xfId="26937" xr:uid="{00000000-0005-0000-0000-000095770000}"/>
    <cellStyle name="Normal 28 3 9 3" xfId="31150" xr:uid="{00000000-0005-0000-0000-000096770000}"/>
    <cellStyle name="Normal 28 3 9 4" xfId="35365" xr:uid="{00000000-0005-0000-0000-000097770000}"/>
    <cellStyle name="Normal 28 3 9 5" xfId="39569" xr:uid="{00000000-0005-0000-0000-000098770000}"/>
    <cellStyle name="Normal 28 4" xfId="7131" xr:uid="{00000000-0005-0000-0000-000099770000}"/>
    <cellStyle name="Normal 28 4 2" xfId="25783" xr:uid="{00000000-0005-0000-0000-00009A770000}"/>
    <cellStyle name="Normal 28 4 3" xfId="29996" xr:uid="{00000000-0005-0000-0000-00009B770000}"/>
    <cellStyle name="Normal 28 4 4" xfId="34211" xr:uid="{00000000-0005-0000-0000-00009C770000}"/>
    <cellStyle name="Normal 28 4 5" xfId="38415" xr:uid="{00000000-0005-0000-0000-00009D770000}"/>
    <cellStyle name="Normal 28 5" xfId="7263" xr:uid="{00000000-0005-0000-0000-00009E770000}"/>
    <cellStyle name="Normal 28 5 2" xfId="25896" xr:uid="{00000000-0005-0000-0000-00009F770000}"/>
    <cellStyle name="Normal 28 5 3" xfId="30109" xr:uid="{00000000-0005-0000-0000-0000A0770000}"/>
    <cellStyle name="Normal 28 5 4" xfId="34324" xr:uid="{00000000-0005-0000-0000-0000A1770000}"/>
    <cellStyle name="Normal 28 5 5" xfId="38528" xr:uid="{00000000-0005-0000-0000-0000A2770000}"/>
    <cellStyle name="Normal 28 6" xfId="7382" xr:uid="{00000000-0005-0000-0000-0000A3770000}"/>
    <cellStyle name="Normal 28 6 2" xfId="26015" xr:uid="{00000000-0005-0000-0000-0000A4770000}"/>
    <cellStyle name="Normal 28 6 3" xfId="30228" xr:uid="{00000000-0005-0000-0000-0000A5770000}"/>
    <cellStyle name="Normal 28 6 4" xfId="34443" xr:uid="{00000000-0005-0000-0000-0000A6770000}"/>
    <cellStyle name="Normal 28 6 5" xfId="38647" xr:uid="{00000000-0005-0000-0000-0000A7770000}"/>
    <cellStyle name="Normal 28 7" xfId="7500" xr:uid="{00000000-0005-0000-0000-0000A8770000}"/>
    <cellStyle name="Normal 28 7 2" xfId="26133" xr:uid="{00000000-0005-0000-0000-0000A9770000}"/>
    <cellStyle name="Normal 28 7 3" xfId="30346" xr:uid="{00000000-0005-0000-0000-0000AA770000}"/>
    <cellStyle name="Normal 28 7 4" xfId="34561" xr:uid="{00000000-0005-0000-0000-0000AB770000}"/>
    <cellStyle name="Normal 28 7 5" xfId="38765" xr:uid="{00000000-0005-0000-0000-0000AC770000}"/>
    <cellStyle name="Normal 28 8" xfId="9001" xr:uid="{00000000-0005-0000-0000-0000AD770000}"/>
    <cellStyle name="Normal 28 8 2" xfId="26572" xr:uid="{00000000-0005-0000-0000-0000AE770000}"/>
    <cellStyle name="Normal 28 8 3" xfId="30785" xr:uid="{00000000-0005-0000-0000-0000AF770000}"/>
    <cellStyle name="Normal 28 8 4" xfId="35000" xr:uid="{00000000-0005-0000-0000-0000B0770000}"/>
    <cellStyle name="Normal 28 8 5" xfId="39204" xr:uid="{00000000-0005-0000-0000-0000B1770000}"/>
    <cellStyle name="Normal 28 9" xfId="9123" xr:uid="{00000000-0005-0000-0000-0000B2770000}"/>
    <cellStyle name="Normal 28 9 2" xfId="26694" xr:uid="{00000000-0005-0000-0000-0000B3770000}"/>
    <cellStyle name="Normal 28 9 3" xfId="30907" xr:uid="{00000000-0005-0000-0000-0000B4770000}"/>
    <cellStyle name="Normal 28 9 4" xfId="35122" xr:uid="{00000000-0005-0000-0000-0000B5770000}"/>
    <cellStyle name="Normal 28 9 5" xfId="39326" xr:uid="{00000000-0005-0000-0000-0000B6770000}"/>
    <cellStyle name="Normal 29" xfId="3958" xr:uid="{00000000-0005-0000-0000-0000B7770000}"/>
    <cellStyle name="Normal 29 10" xfId="9246" xr:uid="{00000000-0005-0000-0000-0000B8770000}"/>
    <cellStyle name="Normal 29 10 2" xfId="26817" xr:uid="{00000000-0005-0000-0000-0000B9770000}"/>
    <cellStyle name="Normal 29 10 3" xfId="31030" xr:uid="{00000000-0005-0000-0000-0000BA770000}"/>
    <cellStyle name="Normal 29 10 4" xfId="35245" xr:uid="{00000000-0005-0000-0000-0000BB770000}"/>
    <cellStyle name="Normal 29 10 5" xfId="39449" xr:uid="{00000000-0005-0000-0000-0000BC770000}"/>
    <cellStyle name="Normal 29 11" xfId="9367" xr:uid="{00000000-0005-0000-0000-0000BD770000}"/>
    <cellStyle name="Normal 29 11 2" xfId="26938" xr:uid="{00000000-0005-0000-0000-0000BE770000}"/>
    <cellStyle name="Normal 29 11 3" xfId="31151" xr:uid="{00000000-0005-0000-0000-0000BF770000}"/>
    <cellStyle name="Normal 29 11 4" xfId="35366" xr:uid="{00000000-0005-0000-0000-0000C0770000}"/>
    <cellStyle name="Normal 29 11 5" xfId="39570" xr:uid="{00000000-0005-0000-0000-0000C1770000}"/>
    <cellStyle name="Normal 29 12" xfId="9486" xr:uid="{00000000-0005-0000-0000-0000C2770000}"/>
    <cellStyle name="Normal 29 12 2" xfId="27057" xr:uid="{00000000-0005-0000-0000-0000C3770000}"/>
    <cellStyle name="Normal 29 12 3" xfId="31270" xr:uid="{00000000-0005-0000-0000-0000C4770000}"/>
    <cellStyle name="Normal 29 12 4" xfId="35485" xr:uid="{00000000-0005-0000-0000-0000C5770000}"/>
    <cellStyle name="Normal 29 12 5" xfId="39689" xr:uid="{00000000-0005-0000-0000-0000C6770000}"/>
    <cellStyle name="Normal 29 13" xfId="11136" xr:uid="{00000000-0005-0000-0000-0000C7770000}"/>
    <cellStyle name="Normal 29 2" xfId="5432" xr:uid="{00000000-0005-0000-0000-0000C8770000}"/>
    <cellStyle name="Normal 29 2 10" xfId="9487" xr:uid="{00000000-0005-0000-0000-0000C9770000}"/>
    <cellStyle name="Normal 29 2 10 2" xfId="27058" xr:uid="{00000000-0005-0000-0000-0000CA770000}"/>
    <cellStyle name="Normal 29 2 10 3" xfId="31271" xr:uid="{00000000-0005-0000-0000-0000CB770000}"/>
    <cellStyle name="Normal 29 2 10 4" xfId="35486" xr:uid="{00000000-0005-0000-0000-0000CC770000}"/>
    <cellStyle name="Normal 29 2 10 5" xfId="39690" xr:uid="{00000000-0005-0000-0000-0000CD770000}"/>
    <cellStyle name="Normal 29 2 11" xfId="7026" xr:uid="{00000000-0005-0000-0000-0000CE770000}"/>
    <cellStyle name="Normal 29 2 11 2" xfId="25705" xr:uid="{00000000-0005-0000-0000-0000CF770000}"/>
    <cellStyle name="Normal 29 2 11 3" xfId="29918" xr:uid="{00000000-0005-0000-0000-0000D0770000}"/>
    <cellStyle name="Normal 29 2 11 4" xfId="34133" xr:uid="{00000000-0005-0000-0000-0000D1770000}"/>
    <cellStyle name="Normal 29 2 11 5" xfId="38337" xr:uid="{00000000-0005-0000-0000-0000D2770000}"/>
    <cellStyle name="Normal 29 2 12" xfId="11332" xr:uid="{00000000-0005-0000-0000-0000D3770000}"/>
    <cellStyle name="Normal 29 2 2" xfId="7135" xr:uid="{00000000-0005-0000-0000-0000D4770000}"/>
    <cellStyle name="Normal 29 2 2 2" xfId="25787" xr:uid="{00000000-0005-0000-0000-0000D5770000}"/>
    <cellStyle name="Normal 29 2 2 3" xfId="30000" xr:uid="{00000000-0005-0000-0000-0000D6770000}"/>
    <cellStyle name="Normal 29 2 2 4" xfId="34215" xr:uid="{00000000-0005-0000-0000-0000D7770000}"/>
    <cellStyle name="Normal 29 2 2 5" xfId="38419" xr:uid="{00000000-0005-0000-0000-0000D8770000}"/>
    <cellStyle name="Normal 29 2 3" xfId="7267" xr:uid="{00000000-0005-0000-0000-0000D9770000}"/>
    <cellStyle name="Normal 29 2 3 2" xfId="25900" xr:uid="{00000000-0005-0000-0000-0000DA770000}"/>
    <cellStyle name="Normal 29 2 3 3" xfId="30113" xr:uid="{00000000-0005-0000-0000-0000DB770000}"/>
    <cellStyle name="Normal 29 2 3 4" xfId="34328" xr:uid="{00000000-0005-0000-0000-0000DC770000}"/>
    <cellStyle name="Normal 29 2 3 5" xfId="38532" xr:uid="{00000000-0005-0000-0000-0000DD770000}"/>
    <cellStyle name="Normal 29 2 4" xfId="7386" xr:uid="{00000000-0005-0000-0000-0000DE770000}"/>
    <cellStyle name="Normal 29 2 4 2" xfId="26019" xr:uid="{00000000-0005-0000-0000-0000DF770000}"/>
    <cellStyle name="Normal 29 2 4 3" xfId="30232" xr:uid="{00000000-0005-0000-0000-0000E0770000}"/>
    <cellStyle name="Normal 29 2 4 4" xfId="34447" xr:uid="{00000000-0005-0000-0000-0000E1770000}"/>
    <cellStyle name="Normal 29 2 4 5" xfId="38651" xr:uid="{00000000-0005-0000-0000-0000E2770000}"/>
    <cellStyle name="Normal 29 2 5" xfId="7504" xr:uid="{00000000-0005-0000-0000-0000E3770000}"/>
    <cellStyle name="Normal 29 2 5 2" xfId="26137" xr:uid="{00000000-0005-0000-0000-0000E4770000}"/>
    <cellStyle name="Normal 29 2 5 3" xfId="30350" xr:uid="{00000000-0005-0000-0000-0000E5770000}"/>
    <cellStyle name="Normal 29 2 5 4" xfId="34565" xr:uid="{00000000-0005-0000-0000-0000E6770000}"/>
    <cellStyle name="Normal 29 2 5 5" xfId="38769" xr:uid="{00000000-0005-0000-0000-0000E7770000}"/>
    <cellStyle name="Normal 29 2 6" xfId="9005" xr:uid="{00000000-0005-0000-0000-0000E8770000}"/>
    <cellStyle name="Normal 29 2 6 2" xfId="26576" xr:uid="{00000000-0005-0000-0000-0000E9770000}"/>
    <cellStyle name="Normal 29 2 6 3" xfId="30789" xr:uid="{00000000-0005-0000-0000-0000EA770000}"/>
    <cellStyle name="Normal 29 2 6 4" xfId="35004" xr:uid="{00000000-0005-0000-0000-0000EB770000}"/>
    <cellStyle name="Normal 29 2 6 5" xfId="39208" xr:uid="{00000000-0005-0000-0000-0000EC770000}"/>
    <cellStyle name="Normal 29 2 7" xfId="9127" xr:uid="{00000000-0005-0000-0000-0000ED770000}"/>
    <cellStyle name="Normal 29 2 7 2" xfId="26698" xr:uid="{00000000-0005-0000-0000-0000EE770000}"/>
    <cellStyle name="Normal 29 2 7 3" xfId="30911" xr:uid="{00000000-0005-0000-0000-0000EF770000}"/>
    <cellStyle name="Normal 29 2 7 4" xfId="35126" xr:uid="{00000000-0005-0000-0000-0000F0770000}"/>
    <cellStyle name="Normal 29 2 7 5" xfId="39330" xr:uid="{00000000-0005-0000-0000-0000F1770000}"/>
    <cellStyle name="Normal 29 2 8" xfId="9247" xr:uid="{00000000-0005-0000-0000-0000F2770000}"/>
    <cellStyle name="Normal 29 2 8 2" xfId="26818" xr:uid="{00000000-0005-0000-0000-0000F3770000}"/>
    <cellStyle name="Normal 29 2 8 3" xfId="31031" xr:uid="{00000000-0005-0000-0000-0000F4770000}"/>
    <cellStyle name="Normal 29 2 8 4" xfId="35246" xr:uid="{00000000-0005-0000-0000-0000F5770000}"/>
    <cellStyle name="Normal 29 2 8 5" xfId="39450" xr:uid="{00000000-0005-0000-0000-0000F6770000}"/>
    <cellStyle name="Normal 29 2 9" xfId="9368" xr:uid="{00000000-0005-0000-0000-0000F7770000}"/>
    <cellStyle name="Normal 29 2 9 2" xfId="26939" xr:uid="{00000000-0005-0000-0000-0000F8770000}"/>
    <cellStyle name="Normal 29 2 9 3" xfId="31152" xr:uid="{00000000-0005-0000-0000-0000F9770000}"/>
    <cellStyle name="Normal 29 2 9 4" xfId="35367" xr:uid="{00000000-0005-0000-0000-0000FA770000}"/>
    <cellStyle name="Normal 29 2 9 5" xfId="39571" xr:uid="{00000000-0005-0000-0000-0000FB770000}"/>
    <cellStyle name="Normal 29 3" xfId="5431" xr:uid="{00000000-0005-0000-0000-0000FC770000}"/>
    <cellStyle name="Normal 29 3 10" xfId="9488" xr:uid="{00000000-0005-0000-0000-0000FD770000}"/>
    <cellStyle name="Normal 29 3 10 2" xfId="27059" xr:uid="{00000000-0005-0000-0000-0000FE770000}"/>
    <cellStyle name="Normal 29 3 10 3" xfId="31272" xr:uid="{00000000-0005-0000-0000-0000FF770000}"/>
    <cellStyle name="Normal 29 3 10 4" xfId="35487" xr:uid="{00000000-0005-0000-0000-000000780000}"/>
    <cellStyle name="Normal 29 3 10 5" xfId="39691" xr:uid="{00000000-0005-0000-0000-000001780000}"/>
    <cellStyle name="Normal 29 3 11" xfId="7027" xr:uid="{00000000-0005-0000-0000-000002780000}"/>
    <cellStyle name="Normal 29 3 11 2" xfId="25706" xr:uid="{00000000-0005-0000-0000-000003780000}"/>
    <cellStyle name="Normal 29 3 11 3" xfId="29919" xr:uid="{00000000-0005-0000-0000-000004780000}"/>
    <cellStyle name="Normal 29 3 11 4" xfId="34134" xr:uid="{00000000-0005-0000-0000-000005780000}"/>
    <cellStyle name="Normal 29 3 11 5" xfId="38338" xr:uid="{00000000-0005-0000-0000-000006780000}"/>
    <cellStyle name="Normal 29 3 12" xfId="11331" xr:uid="{00000000-0005-0000-0000-000007780000}"/>
    <cellStyle name="Normal 29 3 2" xfId="7136" xr:uid="{00000000-0005-0000-0000-000008780000}"/>
    <cellStyle name="Normal 29 3 2 2" xfId="25788" xr:uid="{00000000-0005-0000-0000-000009780000}"/>
    <cellStyle name="Normal 29 3 2 3" xfId="30001" xr:uid="{00000000-0005-0000-0000-00000A780000}"/>
    <cellStyle name="Normal 29 3 2 4" xfId="34216" xr:uid="{00000000-0005-0000-0000-00000B780000}"/>
    <cellStyle name="Normal 29 3 2 5" xfId="38420" xr:uid="{00000000-0005-0000-0000-00000C780000}"/>
    <cellStyle name="Normal 29 3 3" xfId="7268" xr:uid="{00000000-0005-0000-0000-00000D780000}"/>
    <cellStyle name="Normal 29 3 3 2" xfId="25901" xr:uid="{00000000-0005-0000-0000-00000E780000}"/>
    <cellStyle name="Normal 29 3 3 3" xfId="30114" xr:uid="{00000000-0005-0000-0000-00000F780000}"/>
    <cellStyle name="Normal 29 3 3 4" xfId="34329" xr:uid="{00000000-0005-0000-0000-000010780000}"/>
    <cellStyle name="Normal 29 3 3 5" xfId="38533" xr:uid="{00000000-0005-0000-0000-000011780000}"/>
    <cellStyle name="Normal 29 3 4" xfId="7387" xr:uid="{00000000-0005-0000-0000-000012780000}"/>
    <cellStyle name="Normal 29 3 4 2" xfId="26020" xr:uid="{00000000-0005-0000-0000-000013780000}"/>
    <cellStyle name="Normal 29 3 4 3" xfId="30233" xr:uid="{00000000-0005-0000-0000-000014780000}"/>
    <cellStyle name="Normal 29 3 4 4" xfId="34448" xr:uid="{00000000-0005-0000-0000-000015780000}"/>
    <cellStyle name="Normal 29 3 4 5" xfId="38652" xr:uid="{00000000-0005-0000-0000-000016780000}"/>
    <cellStyle name="Normal 29 3 5" xfId="7505" xr:uid="{00000000-0005-0000-0000-000017780000}"/>
    <cellStyle name="Normal 29 3 5 2" xfId="26138" xr:uid="{00000000-0005-0000-0000-000018780000}"/>
    <cellStyle name="Normal 29 3 5 3" xfId="30351" xr:uid="{00000000-0005-0000-0000-000019780000}"/>
    <cellStyle name="Normal 29 3 5 4" xfId="34566" xr:uid="{00000000-0005-0000-0000-00001A780000}"/>
    <cellStyle name="Normal 29 3 5 5" xfId="38770" xr:uid="{00000000-0005-0000-0000-00001B780000}"/>
    <cellStyle name="Normal 29 3 6" xfId="9006" xr:uid="{00000000-0005-0000-0000-00001C780000}"/>
    <cellStyle name="Normal 29 3 6 2" xfId="26577" xr:uid="{00000000-0005-0000-0000-00001D780000}"/>
    <cellStyle name="Normal 29 3 6 3" xfId="30790" xr:uid="{00000000-0005-0000-0000-00001E780000}"/>
    <cellStyle name="Normal 29 3 6 4" xfId="35005" xr:uid="{00000000-0005-0000-0000-00001F780000}"/>
    <cellStyle name="Normal 29 3 6 5" xfId="39209" xr:uid="{00000000-0005-0000-0000-000020780000}"/>
    <cellStyle name="Normal 29 3 7" xfId="9128" xr:uid="{00000000-0005-0000-0000-000021780000}"/>
    <cellStyle name="Normal 29 3 7 2" xfId="26699" xr:uid="{00000000-0005-0000-0000-000022780000}"/>
    <cellStyle name="Normal 29 3 7 3" xfId="30912" xr:uid="{00000000-0005-0000-0000-000023780000}"/>
    <cellStyle name="Normal 29 3 7 4" xfId="35127" xr:uid="{00000000-0005-0000-0000-000024780000}"/>
    <cellStyle name="Normal 29 3 7 5" xfId="39331" xr:uid="{00000000-0005-0000-0000-000025780000}"/>
    <cellStyle name="Normal 29 3 8" xfId="9248" xr:uid="{00000000-0005-0000-0000-000026780000}"/>
    <cellStyle name="Normal 29 3 8 2" xfId="26819" xr:uid="{00000000-0005-0000-0000-000027780000}"/>
    <cellStyle name="Normal 29 3 8 3" xfId="31032" xr:uid="{00000000-0005-0000-0000-000028780000}"/>
    <cellStyle name="Normal 29 3 8 4" xfId="35247" xr:uid="{00000000-0005-0000-0000-000029780000}"/>
    <cellStyle name="Normal 29 3 8 5" xfId="39451" xr:uid="{00000000-0005-0000-0000-00002A780000}"/>
    <cellStyle name="Normal 29 3 9" xfId="9369" xr:uid="{00000000-0005-0000-0000-00002B780000}"/>
    <cellStyle name="Normal 29 3 9 2" xfId="26940" xr:uid="{00000000-0005-0000-0000-00002C780000}"/>
    <cellStyle name="Normal 29 3 9 3" xfId="31153" xr:uid="{00000000-0005-0000-0000-00002D780000}"/>
    <cellStyle name="Normal 29 3 9 4" xfId="35368" xr:uid="{00000000-0005-0000-0000-00002E780000}"/>
    <cellStyle name="Normal 29 3 9 5" xfId="39572" xr:uid="{00000000-0005-0000-0000-00002F780000}"/>
    <cellStyle name="Normal 29 4" xfId="7134" xr:uid="{00000000-0005-0000-0000-000030780000}"/>
    <cellStyle name="Normal 29 4 2" xfId="25786" xr:uid="{00000000-0005-0000-0000-000031780000}"/>
    <cellStyle name="Normal 29 4 3" xfId="29999" xr:uid="{00000000-0005-0000-0000-000032780000}"/>
    <cellStyle name="Normal 29 4 4" xfId="34214" xr:uid="{00000000-0005-0000-0000-000033780000}"/>
    <cellStyle name="Normal 29 4 5" xfId="38418" xr:uid="{00000000-0005-0000-0000-000034780000}"/>
    <cellStyle name="Normal 29 5" xfId="7266" xr:uid="{00000000-0005-0000-0000-000035780000}"/>
    <cellStyle name="Normal 29 5 2" xfId="25899" xr:uid="{00000000-0005-0000-0000-000036780000}"/>
    <cellStyle name="Normal 29 5 3" xfId="30112" xr:uid="{00000000-0005-0000-0000-000037780000}"/>
    <cellStyle name="Normal 29 5 4" xfId="34327" xr:uid="{00000000-0005-0000-0000-000038780000}"/>
    <cellStyle name="Normal 29 5 5" xfId="38531" xr:uid="{00000000-0005-0000-0000-000039780000}"/>
    <cellStyle name="Normal 29 6" xfId="7385" xr:uid="{00000000-0005-0000-0000-00003A780000}"/>
    <cellStyle name="Normal 29 6 2" xfId="26018" xr:uid="{00000000-0005-0000-0000-00003B780000}"/>
    <cellStyle name="Normal 29 6 3" xfId="30231" xr:uid="{00000000-0005-0000-0000-00003C780000}"/>
    <cellStyle name="Normal 29 6 4" xfId="34446" xr:uid="{00000000-0005-0000-0000-00003D780000}"/>
    <cellStyle name="Normal 29 6 5" xfId="38650" xr:uid="{00000000-0005-0000-0000-00003E780000}"/>
    <cellStyle name="Normal 29 7" xfId="7503" xr:uid="{00000000-0005-0000-0000-00003F780000}"/>
    <cellStyle name="Normal 29 7 2" xfId="26136" xr:uid="{00000000-0005-0000-0000-000040780000}"/>
    <cellStyle name="Normal 29 7 3" xfId="30349" xr:uid="{00000000-0005-0000-0000-000041780000}"/>
    <cellStyle name="Normal 29 7 4" xfId="34564" xr:uid="{00000000-0005-0000-0000-000042780000}"/>
    <cellStyle name="Normal 29 7 5" xfId="38768" xr:uid="{00000000-0005-0000-0000-000043780000}"/>
    <cellStyle name="Normal 29 8" xfId="9004" xr:uid="{00000000-0005-0000-0000-000044780000}"/>
    <cellStyle name="Normal 29 8 2" xfId="26575" xr:uid="{00000000-0005-0000-0000-000045780000}"/>
    <cellStyle name="Normal 29 8 3" xfId="30788" xr:uid="{00000000-0005-0000-0000-000046780000}"/>
    <cellStyle name="Normal 29 8 4" xfId="35003" xr:uid="{00000000-0005-0000-0000-000047780000}"/>
    <cellStyle name="Normal 29 8 5" xfId="39207" xr:uid="{00000000-0005-0000-0000-000048780000}"/>
    <cellStyle name="Normal 29 9" xfId="9126" xr:uid="{00000000-0005-0000-0000-000049780000}"/>
    <cellStyle name="Normal 29 9 2" xfId="26697" xr:uid="{00000000-0005-0000-0000-00004A780000}"/>
    <cellStyle name="Normal 29 9 3" xfId="30910" xr:uid="{00000000-0005-0000-0000-00004B780000}"/>
    <cellStyle name="Normal 29 9 4" xfId="35125" xr:uid="{00000000-0005-0000-0000-00004C780000}"/>
    <cellStyle name="Normal 29 9 5" xfId="39329" xr:uid="{00000000-0005-0000-0000-00004D780000}"/>
    <cellStyle name="Normal 3" xfId="2611" xr:uid="{00000000-0005-0000-0000-00004E780000}"/>
    <cellStyle name="Normal 3 10" xfId="3959" xr:uid="{00000000-0005-0000-0000-00004F780000}"/>
    <cellStyle name="Normal 3 10 2" xfId="4485" xr:uid="{00000000-0005-0000-0000-000050780000}"/>
    <cellStyle name="Normal 3 10 2 2" xfId="8313" xr:uid="{00000000-0005-0000-0000-000051780000}"/>
    <cellStyle name="Normal 3 10 2 3" xfId="11264" xr:uid="{00000000-0005-0000-0000-000052780000}"/>
    <cellStyle name="Normal 3 10 2 3 2" xfId="28110" xr:uid="{00000000-0005-0000-0000-000053780000}"/>
    <cellStyle name="Normal 3 10 2 3 3" xfId="32323" xr:uid="{00000000-0005-0000-0000-000054780000}"/>
    <cellStyle name="Normal 3 10 2 3 4" xfId="36538" xr:uid="{00000000-0005-0000-0000-000055780000}"/>
    <cellStyle name="Normal 3 10 2 3 5" xfId="40742" xr:uid="{00000000-0005-0000-0000-000056780000}"/>
    <cellStyle name="Normal 3 10 2 4" xfId="24956" xr:uid="{00000000-0005-0000-0000-000057780000}"/>
    <cellStyle name="Normal 3 10 2 5" xfId="29168" xr:uid="{00000000-0005-0000-0000-000058780000}"/>
    <cellStyle name="Normal 3 10 2 6" xfId="33384" xr:uid="{00000000-0005-0000-0000-000059780000}"/>
    <cellStyle name="Normal 3 10 2 7" xfId="37588" xr:uid="{00000000-0005-0000-0000-00005A780000}"/>
    <cellStyle name="Normal 3 10 3" xfId="12284" xr:uid="{00000000-0005-0000-0000-00005B780000}"/>
    <cellStyle name="Normal 3 10 3 2" xfId="28851" xr:uid="{00000000-0005-0000-0000-00005C780000}"/>
    <cellStyle name="Normal 3 10 3 3" xfId="33064" xr:uid="{00000000-0005-0000-0000-00005D780000}"/>
    <cellStyle name="Normal 3 10 3 4" xfId="37279" xr:uid="{00000000-0005-0000-0000-00005E780000}"/>
    <cellStyle name="Normal 3 10 4" xfId="23493" xr:uid="{00000000-0005-0000-0000-00005F780000}"/>
    <cellStyle name="Normal 3 10 4 2" xfId="28992" xr:uid="{00000000-0005-0000-0000-000060780000}"/>
    <cellStyle name="Normal 3 10 4 3" xfId="33209" xr:uid="{00000000-0005-0000-0000-000061780000}"/>
    <cellStyle name="Normal 3 10 4 4" xfId="37420" xr:uid="{00000000-0005-0000-0000-000062780000}"/>
    <cellStyle name="Normal 3 10 5" xfId="24874" xr:uid="{00000000-0005-0000-0000-000063780000}"/>
    <cellStyle name="Normal 3 10 6" xfId="29085" xr:uid="{00000000-0005-0000-0000-000064780000}"/>
    <cellStyle name="Normal 3 10 7" xfId="33302" xr:uid="{00000000-0005-0000-0000-000065780000}"/>
    <cellStyle name="Normal 3 10 8" xfId="37506" xr:uid="{00000000-0005-0000-0000-000066780000}"/>
    <cellStyle name="Normal 3 11" xfId="4426" xr:uid="{00000000-0005-0000-0000-000067780000}"/>
    <cellStyle name="Normal 3 11 2" xfId="8314" xr:uid="{00000000-0005-0000-0000-000068780000}"/>
    <cellStyle name="Normal 3 11 3" xfId="24899" xr:uid="{00000000-0005-0000-0000-000069780000}"/>
    <cellStyle name="Normal 3 11 4" xfId="29111" xr:uid="{00000000-0005-0000-0000-00006A780000}"/>
    <cellStyle name="Normal 3 11 5" xfId="33327" xr:uid="{00000000-0005-0000-0000-00006B780000}"/>
    <cellStyle name="Normal 3 11 6" xfId="37531" xr:uid="{00000000-0005-0000-0000-00006C780000}"/>
    <cellStyle name="Normal 3 12" xfId="8315" xr:uid="{00000000-0005-0000-0000-00006D780000}"/>
    <cellStyle name="Normal 3 13" xfId="8316" xr:uid="{00000000-0005-0000-0000-00006E780000}"/>
    <cellStyle name="Normal 3 13 2" xfId="43628" xr:uid="{00000000-0005-0000-0000-00006F780000}"/>
    <cellStyle name="Normal 3 14" xfId="9007" xr:uid="{00000000-0005-0000-0000-000070780000}"/>
    <cellStyle name="Normal 3 14 2" xfId="26578" xr:uid="{00000000-0005-0000-0000-000071780000}"/>
    <cellStyle name="Normal 3 14 2 2" xfId="43629" xr:uid="{00000000-0005-0000-0000-000072780000}"/>
    <cellStyle name="Normal 3 14 3" xfId="30791" xr:uid="{00000000-0005-0000-0000-000073780000}"/>
    <cellStyle name="Normal 3 14 4" xfId="35006" xr:uid="{00000000-0005-0000-0000-000074780000}"/>
    <cellStyle name="Normal 3 14 5" xfId="39210" xr:uid="{00000000-0005-0000-0000-000075780000}"/>
    <cellStyle name="Normal 3 15" xfId="9129" xr:uid="{00000000-0005-0000-0000-000076780000}"/>
    <cellStyle name="Normal 3 15 2" xfId="26700" xr:uid="{00000000-0005-0000-0000-000077780000}"/>
    <cellStyle name="Normal 3 15 2 2" xfId="43630" xr:uid="{00000000-0005-0000-0000-000078780000}"/>
    <cellStyle name="Normal 3 15 3" xfId="30913" xr:uid="{00000000-0005-0000-0000-000079780000}"/>
    <cellStyle name="Normal 3 15 4" xfId="35128" xr:uid="{00000000-0005-0000-0000-00007A780000}"/>
    <cellStyle name="Normal 3 15 5" xfId="39332" xr:uid="{00000000-0005-0000-0000-00007B780000}"/>
    <cellStyle name="Normal 3 16" xfId="9249" xr:uid="{00000000-0005-0000-0000-00007C780000}"/>
    <cellStyle name="Normal 3 16 2" xfId="26820" xr:uid="{00000000-0005-0000-0000-00007D780000}"/>
    <cellStyle name="Normal 3 16 2 2" xfId="43631" xr:uid="{00000000-0005-0000-0000-00007E780000}"/>
    <cellStyle name="Normal 3 16 3" xfId="31033" xr:uid="{00000000-0005-0000-0000-00007F780000}"/>
    <cellStyle name="Normal 3 16 4" xfId="35248" xr:uid="{00000000-0005-0000-0000-000080780000}"/>
    <cellStyle name="Normal 3 16 5" xfId="39452" xr:uid="{00000000-0005-0000-0000-000081780000}"/>
    <cellStyle name="Normal 3 17" xfId="9370" xr:uid="{00000000-0005-0000-0000-000082780000}"/>
    <cellStyle name="Normal 3 17 2" xfId="26941" xr:uid="{00000000-0005-0000-0000-000083780000}"/>
    <cellStyle name="Normal 3 17 2 2" xfId="43632" xr:uid="{00000000-0005-0000-0000-000084780000}"/>
    <cellStyle name="Normal 3 17 3" xfId="31154" xr:uid="{00000000-0005-0000-0000-000085780000}"/>
    <cellStyle name="Normal 3 17 4" xfId="35369" xr:uid="{00000000-0005-0000-0000-000086780000}"/>
    <cellStyle name="Normal 3 17 5" xfId="39573" xr:uid="{00000000-0005-0000-0000-000087780000}"/>
    <cellStyle name="Normal 3 18" xfId="9489" xr:uid="{00000000-0005-0000-0000-000088780000}"/>
    <cellStyle name="Normal 3 18 2" xfId="27060" xr:uid="{00000000-0005-0000-0000-000089780000}"/>
    <cellStyle name="Normal 3 18 2 2" xfId="43633" xr:uid="{00000000-0005-0000-0000-00008A780000}"/>
    <cellStyle name="Normal 3 18 3" xfId="31273" xr:uid="{00000000-0005-0000-0000-00008B780000}"/>
    <cellStyle name="Normal 3 18 4" xfId="35488" xr:uid="{00000000-0005-0000-0000-00008C780000}"/>
    <cellStyle name="Normal 3 18 5" xfId="39692" xr:uid="{00000000-0005-0000-0000-00008D780000}"/>
    <cellStyle name="Normal 3 19" xfId="3092" xr:uid="{00000000-0005-0000-0000-00008E780000}"/>
    <cellStyle name="Normal 3 2" xfId="2612" xr:uid="{00000000-0005-0000-0000-00008F780000}"/>
    <cellStyle name="Normal 3 2 10" xfId="7506" xr:uid="{00000000-0005-0000-0000-000090780000}"/>
    <cellStyle name="Normal 3 2 10 2" xfId="26139" xr:uid="{00000000-0005-0000-0000-000091780000}"/>
    <cellStyle name="Normal 3 2 10 2 2" xfId="41657" xr:uid="{00000000-0005-0000-0000-000092780000}"/>
    <cellStyle name="Normal 3 2 10 3" xfId="30352" xr:uid="{00000000-0005-0000-0000-000093780000}"/>
    <cellStyle name="Normal 3 2 10 3 2" xfId="43634" xr:uid="{00000000-0005-0000-0000-000094780000}"/>
    <cellStyle name="Normal 3 2 10 4" xfId="34567" xr:uid="{00000000-0005-0000-0000-000095780000}"/>
    <cellStyle name="Normal 3 2 10 5" xfId="38771" xr:uid="{00000000-0005-0000-0000-000096780000}"/>
    <cellStyle name="Normal 3 2 11" xfId="9008" xr:uid="{00000000-0005-0000-0000-000097780000}"/>
    <cellStyle name="Normal 3 2 11 2" xfId="26579" xr:uid="{00000000-0005-0000-0000-000098780000}"/>
    <cellStyle name="Normal 3 2 11 3" xfId="30792" xr:uid="{00000000-0005-0000-0000-000099780000}"/>
    <cellStyle name="Normal 3 2 11 4" xfId="35007" xr:uid="{00000000-0005-0000-0000-00009A780000}"/>
    <cellStyle name="Normal 3 2 11 5" xfId="39211" xr:uid="{00000000-0005-0000-0000-00009B780000}"/>
    <cellStyle name="Normal 3 2 12" xfId="9130" xr:uid="{00000000-0005-0000-0000-00009C780000}"/>
    <cellStyle name="Normal 3 2 12 2" xfId="26701" xr:uid="{00000000-0005-0000-0000-00009D780000}"/>
    <cellStyle name="Normal 3 2 12 3" xfId="30914" xr:uid="{00000000-0005-0000-0000-00009E780000}"/>
    <cellStyle name="Normal 3 2 12 4" xfId="35129" xr:uid="{00000000-0005-0000-0000-00009F780000}"/>
    <cellStyle name="Normal 3 2 12 5" xfId="39333" xr:uid="{00000000-0005-0000-0000-0000A0780000}"/>
    <cellStyle name="Normal 3 2 13" xfId="9250" xr:uid="{00000000-0005-0000-0000-0000A1780000}"/>
    <cellStyle name="Normal 3 2 13 2" xfId="26821" xr:uid="{00000000-0005-0000-0000-0000A2780000}"/>
    <cellStyle name="Normal 3 2 13 3" xfId="31034" xr:uid="{00000000-0005-0000-0000-0000A3780000}"/>
    <cellStyle name="Normal 3 2 13 4" xfId="35249" xr:uid="{00000000-0005-0000-0000-0000A4780000}"/>
    <cellStyle name="Normal 3 2 13 5" xfId="39453" xr:uid="{00000000-0005-0000-0000-0000A5780000}"/>
    <cellStyle name="Normal 3 2 14" xfId="9371" xr:uid="{00000000-0005-0000-0000-0000A6780000}"/>
    <cellStyle name="Normal 3 2 14 2" xfId="26942" xr:uid="{00000000-0005-0000-0000-0000A7780000}"/>
    <cellStyle name="Normal 3 2 14 3" xfId="31155" xr:uid="{00000000-0005-0000-0000-0000A8780000}"/>
    <cellStyle name="Normal 3 2 14 4" xfId="35370" xr:uid="{00000000-0005-0000-0000-0000A9780000}"/>
    <cellStyle name="Normal 3 2 14 5" xfId="39574" xr:uid="{00000000-0005-0000-0000-0000AA780000}"/>
    <cellStyle name="Normal 3 2 15" xfId="9490" xr:uid="{00000000-0005-0000-0000-0000AB780000}"/>
    <cellStyle name="Normal 3 2 15 2" xfId="27061" xr:uid="{00000000-0005-0000-0000-0000AC780000}"/>
    <cellStyle name="Normal 3 2 15 3" xfId="31274" xr:uid="{00000000-0005-0000-0000-0000AD780000}"/>
    <cellStyle name="Normal 3 2 15 4" xfId="35489" xr:uid="{00000000-0005-0000-0000-0000AE780000}"/>
    <cellStyle name="Normal 3 2 15 5" xfId="39693" xr:uid="{00000000-0005-0000-0000-0000AF780000}"/>
    <cellStyle name="Normal 3 2 16" xfId="9550" xr:uid="{00000000-0005-0000-0000-0000B0780000}"/>
    <cellStyle name="Normal 3 2 16 2" xfId="27121" xr:uid="{00000000-0005-0000-0000-0000B1780000}"/>
    <cellStyle name="Normal 3 2 16 3" xfId="31334" xr:uid="{00000000-0005-0000-0000-0000B2780000}"/>
    <cellStyle name="Normal 3 2 16 4" xfId="35549" xr:uid="{00000000-0005-0000-0000-0000B3780000}"/>
    <cellStyle name="Normal 3 2 16 5" xfId="39753" xr:uid="{00000000-0005-0000-0000-0000B4780000}"/>
    <cellStyle name="Normal 3 2 17" xfId="3960" xr:uid="{00000000-0005-0000-0000-0000B5780000}"/>
    <cellStyle name="Normal 3 2 17 2" xfId="24875" xr:uid="{00000000-0005-0000-0000-0000B6780000}"/>
    <cellStyle name="Normal 3 2 17 3" xfId="29086" xr:uid="{00000000-0005-0000-0000-0000B7780000}"/>
    <cellStyle name="Normal 3 2 17 4" xfId="33303" xr:uid="{00000000-0005-0000-0000-0000B8780000}"/>
    <cellStyle name="Normal 3 2 18" xfId="12248" xr:uid="{00000000-0005-0000-0000-0000B9780000}"/>
    <cellStyle name="Normal 3 2 18 2" xfId="28816" xr:uid="{00000000-0005-0000-0000-0000BA780000}"/>
    <cellStyle name="Normal 3 2 18 3" xfId="33029" xr:uid="{00000000-0005-0000-0000-0000BB780000}"/>
    <cellStyle name="Normal 3 2 18 4" xfId="37244" xr:uid="{00000000-0005-0000-0000-0000BC780000}"/>
    <cellStyle name="Normal 3 2 19" xfId="23457" xr:uid="{00000000-0005-0000-0000-0000BD780000}"/>
    <cellStyle name="Normal 3 2 19 2" xfId="28957" xr:uid="{00000000-0005-0000-0000-0000BE780000}"/>
    <cellStyle name="Normal 3 2 19 3" xfId="33174" xr:uid="{00000000-0005-0000-0000-0000BF780000}"/>
    <cellStyle name="Normal 3 2 19 4" xfId="37385" xr:uid="{00000000-0005-0000-0000-0000C0780000}"/>
    <cellStyle name="Normal 3 2 2" xfId="2613" xr:uid="{00000000-0005-0000-0000-0000C1780000}"/>
    <cellStyle name="Normal 3 2 2 2" xfId="10169" xr:uid="{00000000-0005-0000-0000-0000C2780000}"/>
    <cellStyle name="Normal 3 2 2 2 2" xfId="24808" xr:uid="{00000000-0005-0000-0000-0000C3780000}"/>
    <cellStyle name="Normal 3 2 2 2 2 2" xfId="43636" xr:uid="{00000000-0005-0000-0000-0000C4780000}"/>
    <cellStyle name="Normal 3 2 2 3" xfId="3961" xr:uid="{00000000-0005-0000-0000-0000C5780000}"/>
    <cellStyle name="Normal 3 2 2 3 2" xfId="43635" xr:uid="{00000000-0005-0000-0000-0000C6780000}"/>
    <cellStyle name="Normal 3 2 2 4" xfId="3082" xr:uid="{00000000-0005-0000-0000-0000C7780000}"/>
    <cellStyle name="Normal 3 2 20" xfId="3068" xr:uid="{00000000-0005-0000-0000-0000C8780000}"/>
    <cellStyle name="Normal 3 2 21" xfId="24824" xr:uid="{00000000-0005-0000-0000-0000C9780000}"/>
    <cellStyle name="Normal 3 2 22" xfId="29035" xr:uid="{00000000-0005-0000-0000-0000CA780000}"/>
    <cellStyle name="Normal 3 2 23" xfId="33252" xr:uid="{00000000-0005-0000-0000-0000CB780000}"/>
    <cellStyle name="Normal 3 2 24" xfId="37507" xr:uid="{00000000-0005-0000-0000-0000CC780000}"/>
    <cellStyle name="Normal 3 2 3" xfId="2614" xr:uid="{00000000-0005-0000-0000-0000CD780000}"/>
    <cellStyle name="Normal 3 2 3 2" xfId="5433" xr:uid="{00000000-0005-0000-0000-0000CE780000}"/>
    <cellStyle name="Normal 3 2 3 2 2" xfId="6908" xr:uid="{00000000-0005-0000-0000-0000CF780000}"/>
    <cellStyle name="Normal 3 2 3 2 2 2" xfId="25596" xr:uid="{00000000-0005-0000-0000-0000D0780000}"/>
    <cellStyle name="Normal 3 2 3 2 2 3" xfId="29809" xr:uid="{00000000-0005-0000-0000-0000D1780000}"/>
    <cellStyle name="Normal 3 2 3 2 2 4" xfId="34024" xr:uid="{00000000-0005-0000-0000-0000D2780000}"/>
    <cellStyle name="Normal 3 2 3 2 2 5" xfId="38228" xr:uid="{00000000-0005-0000-0000-0000D3780000}"/>
    <cellStyle name="Normal 3 2 3 2 3" xfId="24975" xr:uid="{00000000-0005-0000-0000-0000D4780000}"/>
    <cellStyle name="Normal 3 2 3 2 3 2" xfId="43638" xr:uid="{00000000-0005-0000-0000-0000D5780000}"/>
    <cellStyle name="Normal 3 2 3 2 4" xfId="29187" xr:uid="{00000000-0005-0000-0000-0000D6780000}"/>
    <cellStyle name="Normal 3 2 3 2 5" xfId="33403" xr:uid="{00000000-0005-0000-0000-0000D7780000}"/>
    <cellStyle name="Normal 3 2 3 2 6" xfId="37607" xr:uid="{00000000-0005-0000-0000-0000D8780000}"/>
    <cellStyle name="Normal 3 2 3 3" xfId="3962" xr:uid="{00000000-0005-0000-0000-0000D9780000}"/>
    <cellStyle name="Normal 3 2 3 3 2" xfId="43637" xr:uid="{00000000-0005-0000-0000-0000DA780000}"/>
    <cellStyle name="Normal 3 2 4" xfId="2615" xr:uid="{00000000-0005-0000-0000-0000DB780000}"/>
    <cellStyle name="Normal 3 2 4 2" xfId="3963" xr:uid="{00000000-0005-0000-0000-0000DC780000}"/>
    <cellStyle name="Normal 3 2 5" xfId="3964" xr:uid="{00000000-0005-0000-0000-0000DD780000}"/>
    <cellStyle name="Normal 3 2 5 10" xfId="37508" xr:uid="{00000000-0005-0000-0000-0000DE780000}"/>
    <cellStyle name="Normal 3 2 5 2" xfId="4486" xr:uid="{00000000-0005-0000-0000-0000DF780000}"/>
    <cellStyle name="Normal 3 2 5 2 2" xfId="8317" xr:uid="{00000000-0005-0000-0000-0000E0780000}"/>
    <cellStyle name="Normal 3 2 5 2 3" xfId="11265" xr:uid="{00000000-0005-0000-0000-0000E1780000}"/>
    <cellStyle name="Normal 3 2 5 2 3 2" xfId="28111" xr:uid="{00000000-0005-0000-0000-0000E2780000}"/>
    <cellStyle name="Normal 3 2 5 2 3 3" xfId="32324" xr:uid="{00000000-0005-0000-0000-0000E3780000}"/>
    <cellStyle name="Normal 3 2 5 2 3 4" xfId="36539" xr:uid="{00000000-0005-0000-0000-0000E4780000}"/>
    <cellStyle name="Normal 3 2 5 2 3 5" xfId="40743" xr:uid="{00000000-0005-0000-0000-0000E5780000}"/>
    <cellStyle name="Normal 3 2 5 2 4" xfId="24957" xr:uid="{00000000-0005-0000-0000-0000E6780000}"/>
    <cellStyle name="Normal 3 2 5 2 5" xfId="29169" xr:uid="{00000000-0005-0000-0000-0000E7780000}"/>
    <cellStyle name="Normal 3 2 5 2 6" xfId="33385" xr:uid="{00000000-0005-0000-0000-0000E8780000}"/>
    <cellStyle name="Normal 3 2 5 2 7" xfId="37589" xr:uid="{00000000-0005-0000-0000-0000E9780000}"/>
    <cellStyle name="Normal 3 2 5 3" xfId="6216" xr:uid="{00000000-0005-0000-0000-0000EA780000}"/>
    <cellStyle name="Normal 3 2 5 4" xfId="11137" xr:uid="{00000000-0005-0000-0000-0000EB780000}"/>
    <cellStyle name="Normal 3 2 5 4 2" xfId="28079" xr:uid="{00000000-0005-0000-0000-0000EC780000}"/>
    <cellStyle name="Normal 3 2 5 4 3" xfId="32292" xr:uid="{00000000-0005-0000-0000-0000ED780000}"/>
    <cellStyle name="Normal 3 2 5 4 4" xfId="36507" xr:uid="{00000000-0005-0000-0000-0000EE780000}"/>
    <cellStyle name="Normal 3 2 5 4 5" xfId="40711" xr:uid="{00000000-0005-0000-0000-0000EF780000}"/>
    <cellStyle name="Normal 3 2 5 5" xfId="12285" xr:uid="{00000000-0005-0000-0000-0000F0780000}"/>
    <cellStyle name="Normal 3 2 5 5 2" xfId="28852" xr:uid="{00000000-0005-0000-0000-0000F1780000}"/>
    <cellStyle name="Normal 3 2 5 5 3" xfId="33065" xr:uid="{00000000-0005-0000-0000-0000F2780000}"/>
    <cellStyle name="Normal 3 2 5 5 4" xfId="37280" xr:uid="{00000000-0005-0000-0000-0000F3780000}"/>
    <cellStyle name="Normal 3 2 5 6" xfId="23494" xr:uid="{00000000-0005-0000-0000-0000F4780000}"/>
    <cellStyle name="Normal 3 2 5 6 2" xfId="28993" xr:uid="{00000000-0005-0000-0000-0000F5780000}"/>
    <cellStyle name="Normal 3 2 5 6 3" xfId="33210" xr:uid="{00000000-0005-0000-0000-0000F6780000}"/>
    <cellStyle name="Normal 3 2 5 6 4" xfId="37421" xr:uid="{00000000-0005-0000-0000-0000F7780000}"/>
    <cellStyle name="Normal 3 2 5 7" xfId="24876" xr:uid="{00000000-0005-0000-0000-0000F8780000}"/>
    <cellStyle name="Normal 3 2 5 8" xfId="29087" xr:uid="{00000000-0005-0000-0000-0000F9780000}"/>
    <cellStyle name="Normal 3 2 5 9" xfId="33304" xr:uid="{00000000-0005-0000-0000-0000FA780000}"/>
    <cellStyle name="Normal 3 2 6" xfId="4448" xr:uid="{00000000-0005-0000-0000-0000FB780000}"/>
    <cellStyle name="Normal 3 2 6 2" xfId="8318" xr:uid="{00000000-0005-0000-0000-0000FC780000}"/>
    <cellStyle name="Normal 3 2 6 3" xfId="24920" xr:uid="{00000000-0005-0000-0000-0000FD780000}"/>
    <cellStyle name="Normal 3 2 6 4" xfId="29132" xr:uid="{00000000-0005-0000-0000-0000FE780000}"/>
    <cellStyle name="Normal 3 2 6 5" xfId="33348" xr:uid="{00000000-0005-0000-0000-0000FF780000}"/>
    <cellStyle name="Normal 3 2 6 6" xfId="37552" xr:uid="{00000000-0005-0000-0000-000000790000}"/>
    <cellStyle name="Normal 3 2 7" xfId="7137" xr:uid="{00000000-0005-0000-0000-000001790000}"/>
    <cellStyle name="Normal 3 2 7 2" xfId="8319" xr:uid="{00000000-0005-0000-0000-000002790000}"/>
    <cellStyle name="Normal 3 2 7 3" xfId="25789" xr:uid="{00000000-0005-0000-0000-000003790000}"/>
    <cellStyle name="Normal 3 2 7 4" xfId="30002" xr:uid="{00000000-0005-0000-0000-000004790000}"/>
    <cellStyle name="Normal 3 2 7 5" xfId="34217" xr:uid="{00000000-0005-0000-0000-000005790000}"/>
    <cellStyle name="Normal 3 2 7 6" xfId="38421" xr:uid="{00000000-0005-0000-0000-000006790000}"/>
    <cellStyle name="Normal 3 2 8" xfId="7270" xr:uid="{00000000-0005-0000-0000-000007790000}"/>
    <cellStyle name="Normal 3 2 8 2" xfId="8320" xr:uid="{00000000-0005-0000-0000-000008790000}"/>
    <cellStyle name="Normal 3 2 8 3" xfId="25903" xr:uid="{00000000-0005-0000-0000-000009790000}"/>
    <cellStyle name="Normal 3 2 8 4" xfId="30116" xr:uid="{00000000-0005-0000-0000-00000A790000}"/>
    <cellStyle name="Normal 3 2 8 5" xfId="34331" xr:uid="{00000000-0005-0000-0000-00000B790000}"/>
    <cellStyle name="Normal 3 2 8 6" xfId="38535" xr:uid="{00000000-0005-0000-0000-00000C790000}"/>
    <cellStyle name="Normal 3 2 9" xfId="7388" xr:uid="{00000000-0005-0000-0000-00000D790000}"/>
    <cellStyle name="Normal 3 2 9 2" xfId="26021" xr:uid="{00000000-0005-0000-0000-00000E790000}"/>
    <cellStyle name="Normal 3 2 9 2 2" xfId="41659" xr:uid="{00000000-0005-0000-0000-00000F790000}"/>
    <cellStyle name="Normal 3 2 9 3" xfId="30234" xr:uid="{00000000-0005-0000-0000-000010790000}"/>
    <cellStyle name="Normal 3 2 9 3 2" xfId="41658" xr:uid="{00000000-0005-0000-0000-000011790000}"/>
    <cellStyle name="Normal 3 2 9 4" xfId="34449" xr:uid="{00000000-0005-0000-0000-000012790000}"/>
    <cellStyle name="Normal 3 2 9 5" xfId="38653" xr:uid="{00000000-0005-0000-0000-000013790000}"/>
    <cellStyle name="Normal 3 2_ELC" xfId="43639" xr:uid="{00000000-0005-0000-0000-000014790000}"/>
    <cellStyle name="Normal 3 20" xfId="12225" xr:uid="{00000000-0005-0000-0000-000015790000}"/>
    <cellStyle name="Normal 3 20 2" xfId="28794" xr:uid="{00000000-0005-0000-0000-000016790000}"/>
    <cellStyle name="Normal 3 20 3" xfId="33007" xr:uid="{00000000-0005-0000-0000-000017790000}"/>
    <cellStyle name="Normal 3 20 4" xfId="37222" xr:uid="{00000000-0005-0000-0000-000018790000}"/>
    <cellStyle name="Normal 3 20 5" xfId="43640" xr:uid="{00000000-0005-0000-0000-000019790000}"/>
    <cellStyle name="Normal 3 21" xfId="23436" xr:uid="{00000000-0005-0000-0000-00001A790000}"/>
    <cellStyle name="Normal 3 21 2" xfId="28936" xr:uid="{00000000-0005-0000-0000-00001B790000}"/>
    <cellStyle name="Normal 3 21 3" xfId="33153" xr:uid="{00000000-0005-0000-0000-00001C790000}"/>
    <cellStyle name="Normal 3 21 4" xfId="37364" xr:uid="{00000000-0005-0000-0000-00001D790000}"/>
    <cellStyle name="Normal 3 21 5" xfId="43641" xr:uid="{00000000-0005-0000-0000-00001E790000}"/>
    <cellStyle name="Normal 3 22" xfId="3081" xr:uid="{00000000-0005-0000-0000-00001F790000}"/>
    <cellStyle name="Normal 3 22 2" xfId="43642" xr:uid="{00000000-0005-0000-0000-000020790000}"/>
    <cellStyle name="Normal 3 23" xfId="24826" xr:uid="{00000000-0005-0000-0000-000021790000}"/>
    <cellStyle name="Normal 3 23 2" xfId="43643" xr:uid="{00000000-0005-0000-0000-000022790000}"/>
    <cellStyle name="Normal 3 24" xfId="29037" xr:uid="{00000000-0005-0000-0000-000023790000}"/>
    <cellStyle name="Normal 3 24 2" xfId="43644" xr:uid="{00000000-0005-0000-0000-000024790000}"/>
    <cellStyle name="Normal 3 25" xfId="33254" xr:uid="{00000000-0005-0000-0000-000025790000}"/>
    <cellStyle name="Normal 3 25 2" xfId="43645" xr:uid="{00000000-0005-0000-0000-000026790000}"/>
    <cellStyle name="Normal 3 26" xfId="43646" xr:uid="{00000000-0005-0000-0000-000027790000}"/>
    <cellStyle name="Normal 3 27" xfId="43627" xr:uid="{00000000-0005-0000-0000-000028790000}"/>
    <cellStyle name="Normal 3 28" xfId="46465" xr:uid="{00000000-0005-0000-0000-000029790000}"/>
    <cellStyle name="Normal 3 29" xfId="46482" xr:uid="{0331DEC3-113F-4F09-8AFA-6F3BCC581A70}"/>
    <cellStyle name="Normal 3 3" xfId="2616" xr:uid="{00000000-0005-0000-0000-00002A790000}"/>
    <cellStyle name="Normal 3 3 10" xfId="9131" xr:uid="{00000000-0005-0000-0000-00002B790000}"/>
    <cellStyle name="Normal 3 3 10 2" xfId="26702" xr:uid="{00000000-0005-0000-0000-00002C790000}"/>
    <cellStyle name="Normal 3 3 10 3" xfId="30915" xr:uid="{00000000-0005-0000-0000-00002D790000}"/>
    <cellStyle name="Normal 3 3 10 4" xfId="35130" xr:uid="{00000000-0005-0000-0000-00002E790000}"/>
    <cellStyle name="Normal 3 3 10 5" xfId="39334" xr:uid="{00000000-0005-0000-0000-00002F790000}"/>
    <cellStyle name="Normal 3 3 11" xfId="9251" xr:uid="{00000000-0005-0000-0000-000030790000}"/>
    <cellStyle name="Normal 3 3 11 2" xfId="26822" xr:uid="{00000000-0005-0000-0000-000031790000}"/>
    <cellStyle name="Normal 3 3 11 3" xfId="31035" xr:uid="{00000000-0005-0000-0000-000032790000}"/>
    <cellStyle name="Normal 3 3 11 4" xfId="35250" xr:uid="{00000000-0005-0000-0000-000033790000}"/>
    <cellStyle name="Normal 3 3 11 5" xfId="39454" xr:uid="{00000000-0005-0000-0000-000034790000}"/>
    <cellStyle name="Normal 3 3 12" xfId="9372" xr:uid="{00000000-0005-0000-0000-000035790000}"/>
    <cellStyle name="Normal 3 3 12 2" xfId="26943" xr:uid="{00000000-0005-0000-0000-000036790000}"/>
    <cellStyle name="Normal 3 3 12 3" xfId="31156" xr:uid="{00000000-0005-0000-0000-000037790000}"/>
    <cellStyle name="Normal 3 3 12 4" xfId="35371" xr:uid="{00000000-0005-0000-0000-000038790000}"/>
    <cellStyle name="Normal 3 3 12 5" xfId="39575" xr:uid="{00000000-0005-0000-0000-000039790000}"/>
    <cellStyle name="Normal 3 3 13" xfId="9491" xr:uid="{00000000-0005-0000-0000-00003A790000}"/>
    <cellStyle name="Normal 3 3 13 2" xfId="27062" xr:uid="{00000000-0005-0000-0000-00003B790000}"/>
    <cellStyle name="Normal 3 3 13 3" xfId="31275" xr:uid="{00000000-0005-0000-0000-00003C790000}"/>
    <cellStyle name="Normal 3 3 13 4" xfId="35490" xr:uid="{00000000-0005-0000-0000-00003D790000}"/>
    <cellStyle name="Normal 3 3 13 5" xfId="39694" xr:uid="{00000000-0005-0000-0000-00003E790000}"/>
    <cellStyle name="Normal 3 3 14" xfId="3965" xr:uid="{00000000-0005-0000-0000-00003F790000}"/>
    <cellStyle name="Normal 3 3 15" xfId="3069" xr:uid="{00000000-0005-0000-0000-000040790000}"/>
    <cellStyle name="Normal 3 3 2" xfId="6217" xr:uid="{00000000-0005-0000-0000-000041790000}"/>
    <cellStyle name="Normal 3 3 2 2" xfId="8321" xr:uid="{00000000-0005-0000-0000-000042790000}"/>
    <cellStyle name="Normal 3 3 3" xfId="7138" xr:uid="{00000000-0005-0000-0000-000043790000}"/>
    <cellStyle name="Normal 3 3 3 2" xfId="8322" xr:uid="{00000000-0005-0000-0000-000044790000}"/>
    <cellStyle name="Normal 3 3 3 3" xfId="25790" xr:uid="{00000000-0005-0000-0000-000045790000}"/>
    <cellStyle name="Normal 3 3 3 4" xfId="30003" xr:uid="{00000000-0005-0000-0000-000046790000}"/>
    <cellStyle name="Normal 3 3 3 5" xfId="34218" xr:uid="{00000000-0005-0000-0000-000047790000}"/>
    <cellStyle name="Normal 3 3 3 6" xfId="38422" xr:uid="{00000000-0005-0000-0000-000048790000}"/>
    <cellStyle name="Normal 3 3 4" xfId="7271" xr:uid="{00000000-0005-0000-0000-000049790000}"/>
    <cellStyle name="Normal 3 3 4 2" xfId="8323" xr:uid="{00000000-0005-0000-0000-00004A790000}"/>
    <cellStyle name="Normal 3 3 4 3" xfId="25904" xr:uid="{00000000-0005-0000-0000-00004B790000}"/>
    <cellStyle name="Normal 3 3 4 4" xfId="30117" xr:uid="{00000000-0005-0000-0000-00004C790000}"/>
    <cellStyle name="Normal 3 3 4 5" xfId="34332" xr:uid="{00000000-0005-0000-0000-00004D790000}"/>
    <cellStyle name="Normal 3 3 4 6" xfId="38536" xr:uid="{00000000-0005-0000-0000-00004E790000}"/>
    <cellStyle name="Normal 3 3 5" xfId="7389" xr:uid="{00000000-0005-0000-0000-00004F790000}"/>
    <cellStyle name="Normal 3 3 5 2" xfId="8324" xr:uid="{00000000-0005-0000-0000-000050790000}"/>
    <cellStyle name="Normal 3 3 5 3" xfId="26022" xr:uid="{00000000-0005-0000-0000-000051790000}"/>
    <cellStyle name="Normal 3 3 5 4" xfId="30235" xr:uid="{00000000-0005-0000-0000-000052790000}"/>
    <cellStyle name="Normal 3 3 5 5" xfId="34450" xr:uid="{00000000-0005-0000-0000-000053790000}"/>
    <cellStyle name="Normal 3 3 5 6" xfId="38654" xr:uid="{00000000-0005-0000-0000-000054790000}"/>
    <cellStyle name="Normal 3 3 6" xfId="7507" xr:uid="{00000000-0005-0000-0000-000055790000}"/>
    <cellStyle name="Normal 3 3 6 2" xfId="8325" xr:uid="{00000000-0005-0000-0000-000056790000}"/>
    <cellStyle name="Normal 3 3 6 3" xfId="26140" xr:uid="{00000000-0005-0000-0000-000057790000}"/>
    <cellStyle name="Normal 3 3 6 4" xfId="30353" xr:uid="{00000000-0005-0000-0000-000058790000}"/>
    <cellStyle name="Normal 3 3 6 5" xfId="34568" xr:uid="{00000000-0005-0000-0000-000059790000}"/>
    <cellStyle name="Normal 3 3 6 6" xfId="38772" xr:uid="{00000000-0005-0000-0000-00005A790000}"/>
    <cellStyle name="Normal 3 3 7" xfId="8326" xr:uid="{00000000-0005-0000-0000-00005B790000}"/>
    <cellStyle name="Normal 3 3 8" xfId="8327" xr:uid="{00000000-0005-0000-0000-00005C790000}"/>
    <cellStyle name="Normal 3 3 9" xfId="9009" xr:uid="{00000000-0005-0000-0000-00005D790000}"/>
    <cellStyle name="Normal 3 3 9 2" xfId="26580" xr:uid="{00000000-0005-0000-0000-00005E790000}"/>
    <cellStyle name="Normal 3 3 9 2 2" xfId="41660" xr:uid="{00000000-0005-0000-0000-00005F790000}"/>
    <cellStyle name="Normal 3 3 9 3" xfId="30793" xr:uid="{00000000-0005-0000-0000-000060790000}"/>
    <cellStyle name="Normal 3 3 9 4" xfId="35008" xr:uid="{00000000-0005-0000-0000-000061790000}"/>
    <cellStyle name="Normal 3 3 9 5" xfId="39212" xr:uid="{00000000-0005-0000-0000-000062790000}"/>
    <cellStyle name="Normal 3 30" xfId="46492" xr:uid="{29DFD8EC-AB80-407B-BC05-238F73052FEF}"/>
    <cellStyle name="Normal 3 4" xfId="2617" xr:uid="{00000000-0005-0000-0000-000063790000}"/>
    <cellStyle name="Normal 3 4 10" xfId="3966" xr:uid="{00000000-0005-0000-0000-000064790000}"/>
    <cellStyle name="Normal 3 4 2" xfId="6218" xr:uid="{00000000-0005-0000-0000-000065790000}"/>
    <cellStyle name="Normal 3 4 3" xfId="6219" xr:uid="{00000000-0005-0000-0000-000066790000}"/>
    <cellStyle name="Normal 3 4 4" xfId="8328" xr:uid="{00000000-0005-0000-0000-000067790000}"/>
    <cellStyle name="Normal 3 4 5" xfId="8329" xr:uid="{00000000-0005-0000-0000-000068790000}"/>
    <cellStyle name="Normal 3 4 6" xfId="8330" xr:uid="{00000000-0005-0000-0000-000069790000}"/>
    <cellStyle name="Normal 3 4 7" xfId="8331" xr:uid="{00000000-0005-0000-0000-00006A790000}"/>
    <cellStyle name="Normal 3 4 8" xfId="8332" xr:uid="{00000000-0005-0000-0000-00006B790000}"/>
    <cellStyle name="Normal 3 4 9" xfId="10170" xr:uid="{00000000-0005-0000-0000-00006C790000}"/>
    <cellStyle name="Normal 3 5" xfId="2618" xr:uid="{00000000-0005-0000-0000-00006D790000}"/>
    <cellStyle name="Normal 3 5 2" xfId="6220" xr:uid="{00000000-0005-0000-0000-00006E790000}"/>
    <cellStyle name="Normal 3 5 2 2" xfId="8333" xr:uid="{00000000-0005-0000-0000-00006F790000}"/>
    <cellStyle name="Normal 3 5 3" xfId="8334" xr:uid="{00000000-0005-0000-0000-000070790000}"/>
    <cellStyle name="Normal 3 5 4" xfId="8335" xr:uid="{00000000-0005-0000-0000-000071790000}"/>
    <cellStyle name="Normal 3 5 5" xfId="8336" xr:uid="{00000000-0005-0000-0000-000072790000}"/>
    <cellStyle name="Normal 3 5 6" xfId="8337" xr:uid="{00000000-0005-0000-0000-000073790000}"/>
    <cellStyle name="Normal 3 5 7" xfId="8338" xr:uid="{00000000-0005-0000-0000-000074790000}"/>
    <cellStyle name="Normal 3 5 8" xfId="8339" xr:uid="{00000000-0005-0000-0000-000075790000}"/>
    <cellStyle name="Normal 3 5 9" xfId="3967" xr:uid="{00000000-0005-0000-0000-000076790000}"/>
    <cellStyle name="Normal 3 6" xfId="2619" xr:uid="{00000000-0005-0000-0000-000077790000}"/>
    <cellStyle name="Normal 3 6 2" xfId="3968" xr:uid="{00000000-0005-0000-0000-000078790000}"/>
    <cellStyle name="Normal 3 7" xfId="3969" xr:uid="{00000000-0005-0000-0000-000079790000}"/>
    <cellStyle name="Normal 3 7 2" xfId="7563" xr:uid="{00000000-0005-0000-0000-00007A790000}"/>
    <cellStyle name="Normal 3 7 2 2" xfId="26196" xr:uid="{00000000-0005-0000-0000-00007B790000}"/>
    <cellStyle name="Normal 3 7 2 3" xfId="30409" xr:uid="{00000000-0005-0000-0000-00007C790000}"/>
    <cellStyle name="Normal 3 7 2 4" xfId="34624" xr:uid="{00000000-0005-0000-0000-00007D790000}"/>
    <cellStyle name="Normal 3 7 2 5" xfId="38828" xr:uid="{00000000-0005-0000-0000-00007E790000}"/>
    <cellStyle name="Normal 3 7 3" xfId="8340" xr:uid="{00000000-0005-0000-0000-00007F790000}"/>
    <cellStyle name="Normal 3 7 4" xfId="7009" xr:uid="{00000000-0005-0000-0000-000080790000}"/>
    <cellStyle name="Normal 3 7 4 2" xfId="25696" xr:uid="{00000000-0005-0000-0000-000081790000}"/>
    <cellStyle name="Normal 3 7 4 3" xfId="29909" xr:uid="{00000000-0005-0000-0000-000082790000}"/>
    <cellStyle name="Normal 3 7 4 4" xfId="34124" xr:uid="{00000000-0005-0000-0000-000083790000}"/>
    <cellStyle name="Normal 3 7 4 5" xfId="38328" xr:uid="{00000000-0005-0000-0000-000084790000}"/>
    <cellStyle name="Normal 3 8" xfId="3970" xr:uid="{00000000-0005-0000-0000-000085790000}"/>
    <cellStyle name="Normal 3 8 2" xfId="4459" xr:uid="{00000000-0005-0000-0000-000086790000}"/>
    <cellStyle name="Normal 3 8 2 2" xfId="8341" xr:uid="{00000000-0005-0000-0000-000087790000}"/>
    <cellStyle name="Normal 3 8 2 3" xfId="11256" xr:uid="{00000000-0005-0000-0000-000088790000}"/>
    <cellStyle name="Normal 3 8 2 3 2" xfId="28102" xr:uid="{00000000-0005-0000-0000-000089790000}"/>
    <cellStyle name="Normal 3 8 2 3 3" xfId="32315" xr:uid="{00000000-0005-0000-0000-00008A790000}"/>
    <cellStyle name="Normal 3 8 2 3 4" xfId="36530" xr:uid="{00000000-0005-0000-0000-00008B790000}"/>
    <cellStyle name="Normal 3 8 2 3 5" xfId="40734" xr:uid="{00000000-0005-0000-0000-00008C790000}"/>
    <cellStyle name="Normal 3 8 2 4" xfId="24930" xr:uid="{00000000-0005-0000-0000-00008D790000}"/>
    <cellStyle name="Normal 3 8 2 5" xfId="29142" xr:uid="{00000000-0005-0000-0000-00008E790000}"/>
    <cellStyle name="Normal 3 8 2 6" xfId="33358" xr:uid="{00000000-0005-0000-0000-00008F790000}"/>
    <cellStyle name="Normal 3 8 2 7" xfId="37562" xr:uid="{00000000-0005-0000-0000-000090790000}"/>
    <cellStyle name="Normal 3 8 3" xfId="12258" xr:uid="{00000000-0005-0000-0000-000091790000}"/>
    <cellStyle name="Normal 3 8 3 2" xfId="28825" xr:uid="{00000000-0005-0000-0000-000092790000}"/>
    <cellStyle name="Normal 3 8 3 3" xfId="33038" xr:uid="{00000000-0005-0000-0000-000093790000}"/>
    <cellStyle name="Normal 3 8 3 4" xfId="37253" xr:uid="{00000000-0005-0000-0000-000094790000}"/>
    <cellStyle name="Normal 3 8 4" xfId="23466" xr:uid="{00000000-0005-0000-0000-000095790000}"/>
    <cellStyle name="Normal 3 8 4 2" xfId="28966" xr:uid="{00000000-0005-0000-0000-000096790000}"/>
    <cellStyle name="Normal 3 8 4 3" xfId="33183" xr:uid="{00000000-0005-0000-0000-000097790000}"/>
    <cellStyle name="Normal 3 8 4 4" xfId="37394" xr:uid="{00000000-0005-0000-0000-000098790000}"/>
    <cellStyle name="Normal 3 8 5" xfId="24877" xr:uid="{00000000-0005-0000-0000-000099790000}"/>
    <cellStyle name="Normal 3 8 6" xfId="29088" xr:uid="{00000000-0005-0000-0000-00009A790000}"/>
    <cellStyle name="Normal 3 8 7" xfId="33305" xr:uid="{00000000-0005-0000-0000-00009B790000}"/>
    <cellStyle name="Normal 3 8 8" xfId="37509" xr:uid="{00000000-0005-0000-0000-00009C790000}"/>
    <cellStyle name="Normal 3 9" xfId="3971" xr:uid="{00000000-0005-0000-0000-00009D790000}"/>
    <cellStyle name="Normal 3 9 10" xfId="37510" xr:uid="{00000000-0005-0000-0000-00009E790000}"/>
    <cellStyle name="Normal 3 9 2" xfId="4464" xr:uid="{00000000-0005-0000-0000-00009F790000}"/>
    <cellStyle name="Normal 3 9 2 2" xfId="8342" xr:uid="{00000000-0005-0000-0000-0000A0790000}"/>
    <cellStyle name="Normal 3 9 2 3" xfId="11259" xr:uid="{00000000-0005-0000-0000-0000A1790000}"/>
    <cellStyle name="Normal 3 9 2 3 2" xfId="28105" xr:uid="{00000000-0005-0000-0000-0000A2790000}"/>
    <cellStyle name="Normal 3 9 2 3 3" xfId="32318" xr:uid="{00000000-0005-0000-0000-0000A3790000}"/>
    <cellStyle name="Normal 3 9 2 3 4" xfId="36533" xr:uid="{00000000-0005-0000-0000-0000A4790000}"/>
    <cellStyle name="Normal 3 9 2 3 5" xfId="40737" xr:uid="{00000000-0005-0000-0000-0000A5790000}"/>
    <cellStyle name="Normal 3 9 2 4" xfId="24935" xr:uid="{00000000-0005-0000-0000-0000A6790000}"/>
    <cellStyle name="Normal 3 9 2 5" xfId="29147" xr:uid="{00000000-0005-0000-0000-0000A7790000}"/>
    <cellStyle name="Normal 3 9 2 6" xfId="33363" xr:uid="{00000000-0005-0000-0000-0000A8790000}"/>
    <cellStyle name="Normal 3 9 2 7" xfId="37567" xr:uid="{00000000-0005-0000-0000-0000A9790000}"/>
    <cellStyle name="Normal 3 9 3" xfId="7269" xr:uid="{00000000-0005-0000-0000-0000AA790000}"/>
    <cellStyle name="Normal 3 9 3 2" xfId="25902" xr:uid="{00000000-0005-0000-0000-0000AB790000}"/>
    <cellStyle name="Normal 3 9 3 3" xfId="30115" xr:uid="{00000000-0005-0000-0000-0000AC790000}"/>
    <cellStyle name="Normal 3 9 3 4" xfId="34330" xr:uid="{00000000-0005-0000-0000-0000AD790000}"/>
    <cellStyle name="Normal 3 9 3 5" xfId="38534" xr:uid="{00000000-0005-0000-0000-0000AE790000}"/>
    <cellStyle name="Normal 3 9 4" xfId="11138" xr:uid="{00000000-0005-0000-0000-0000AF790000}"/>
    <cellStyle name="Normal 3 9 4 2" xfId="28080" xr:uid="{00000000-0005-0000-0000-0000B0790000}"/>
    <cellStyle name="Normal 3 9 4 3" xfId="32293" xr:uid="{00000000-0005-0000-0000-0000B1790000}"/>
    <cellStyle name="Normal 3 9 4 4" xfId="36508" xr:uid="{00000000-0005-0000-0000-0000B2790000}"/>
    <cellStyle name="Normal 3 9 4 5" xfId="40712" xr:uid="{00000000-0005-0000-0000-0000B3790000}"/>
    <cellStyle name="Normal 3 9 5" xfId="12263" xr:uid="{00000000-0005-0000-0000-0000B4790000}"/>
    <cellStyle name="Normal 3 9 5 2" xfId="28830" xr:uid="{00000000-0005-0000-0000-0000B5790000}"/>
    <cellStyle name="Normal 3 9 5 3" xfId="33043" xr:uid="{00000000-0005-0000-0000-0000B6790000}"/>
    <cellStyle name="Normal 3 9 5 4" xfId="37258" xr:uid="{00000000-0005-0000-0000-0000B7790000}"/>
    <cellStyle name="Normal 3 9 6" xfId="23472" xr:uid="{00000000-0005-0000-0000-0000B8790000}"/>
    <cellStyle name="Normal 3 9 6 2" xfId="28971" xr:uid="{00000000-0005-0000-0000-0000B9790000}"/>
    <cellStyle name="Normal 3 9 6 3" xfId="33188" xr:uid="{00000000-0005-0000-0000-0000BA790000}"/>
    <cellStyle name="Normal 3 9 6 4" xfId="37399" xr:uid="{00000000-0005-0000-0000-0000BB790000}"/>
    <cellStyle name="Normal 3 9 7" xfId="24878" xr:uid="{00000000-0005-0000-0000-0000BC790000}"/>
    <cellStyle name="Normal 3 9 8" xfId="29089" xr:uid="{00000000-0005-0000-0000-0000BD790000}"/>
    <cellStyle name="Normal 3 9 9" xfId="33306" xr:uid="{00000000-0005-0000-0000-0000BE790000}"/>
    <cellStyle name="Normal 3_Copy of Commissioning date correction" xfId="3972" xr:uid="{00000000-0005-0000-0000-0000BF790000}"/>
    <cellStyle name="Normal 30" xfId="3973" xr:uid="{00000000-0005-0000-0000-0000C0790000}"/>
    <cellStyle name="Normal 30 10" xfId="9252" xr:uid="{00000000-0005-0000-0000-0000C1790000}"/>
    <cellStyle name="Normal 30 10 2" xfId="26823" xr:uid="{00000000-0005-0000-0000-0000C2790000}"/>
    <cellStyle name="Normal 30 10 3" xfId="31036" xr:uid="{00000000-0005-0000-0000-0000C3790000}"/>
    <cellStyle name="Normal 30 10 4" xfId="35251" xr:uid="{00000000-0005-0000-0000-0000C4790000}"/>
    <cellStyle name="Normal 30 10 5" xfId="39455" xr:uid="{00000000-0005-0000-0000-0000C5790000}"/>
    <cellStyle name="Normal 30 11" xfId="9373" xr:uid="{00000000-0005-0000-0000-0000C6790000}"/>
    <cellStyle name="Normal 30 11 2" xfId="26944" xr:uid="{00000000-0005-0000-0000-0000C7790000}"/>
    <cellStyle name="Normal 30 11 3" xfId="31157" xr:uid="{00000000-0005-0000-0000-0000C8790000}"/>
    <cellStyle name="Normal 30 11 4" xfId="35372" xr:uid="{00000000-0005-0000-0000-0000C9790000}"/>
    <cellStyle name="Normal 30 11 5" xfId="39576" xr:uid="{00000000-0005-0000-0000-0000CA790000}"/>
    <cellStyle name="Normal 30 12" xfId="9492" xr:uid="{00000000-0005-0000-0000-0000CB790000}"/>
    <cellStyle name="Normal 30 12 2" xfId="27063" xr:uid="{00000000-0005-0000-0000-0000CC790000}"/>
    <cellStyle name="Normal 30 12 3" xfId="31276" xr:uid="{00000000-0005-0000-0000-0000CD790000}"/>
    <cellStyle name="Normal 30 12 4" xfId="35491" xr:uid="{00000000-0005-0000-0000-0000CE790000}"/>
    <cellStyle name="Normal 30 12 5" xfId="39695" xr:uid="{00000000-0005-0000-0000-0000CF790000}"/>
    <cellStyle name="Normal 30 13" xfId="11139" xr:uid="{00000000-0005-0000-0000-0000D0790000}"/>
    <cellStyle name="Normal 30 2" xfId="5435" xr:uid="{00000000-0005-0000-0000-0000D1790000}"/>
    <cellStyle name="Normal 30 2 10" xfId="9493" xr:uid="{00000000-0005-0000-0000-0000D2790000}"/>
    <cellStyle name="Normal 30 2 10 2" xfId="27064" xr:uid="{00000000-0005-0000-0000-0000D3790000}"/>
    <cellStyle name="Normal 30 2 10 3" xfId="31277" xr:uid="{00000000-0005-0000-0000-0000D4790000}"/>
    <cellStyle name="Normal 30 2 10 4" xfId="35492" xr:uid="{00000000-0005-0000-0000-0000D5790000}"/>
    <cellStyle name="Normal 30 2 10 5" xfId="39696" xr:uid="{00000000-0005-0000-0000-0000D6790000}"/>
    <cellStyle name="Normal 30 2 11" xfId="7028" xr:uid="{00000000-0005-0000-0000-0000D7790000}"/>
    <cellStyle name="Normal 30 2 11 2" xfId="25707" xr:uid="{00000000-0005-0000-0000-0000D8790000}"/>
    <cellStyle name="Normal 30 2 11 3" xfId="29920" xr:uid="{00000000-0005-0000-0000-0000D9790000}"/>
    <cellStyle name="Normal 30 2 11 4" xfId="34135" xr:uid="{00000000-0005-0000-0000-0000DA790000}"/>
    <cellStyle name="Normal 30 2 11 5" xfId="38339" xr:uid="{00000000-0005-0000-0000-0000DB790000}"/>
    <cellStyle name="Normal 30 2 12" xfId="11334" xr:uid="{00000000-0005-0000-0000-0000DC790000}"/>
    <cellStyle name="Normal 30 2 2" xfId="5847" xr:uid="{00000000-0005-0000-0000-0000DD790000}"/>
    <cellStyle name="Normal 30 2 2 2" xfId="7140" xr:uid="{00000000-0005-0000-0000-0000DE790000}"/>
    <cellStyle name="Normal 30 2 2 2 2" xfId="25792" xr:uid="{00000000-0005-0000-0000-0000DF790000}"/>
    <cellStyle name="Normal 30 2 2 2 3" xfId="30005" xr:uid="{00000000-0005-0000-0000-0000E0790000}"/>
    <cellStyle name="Normal 30 2 2 2 4" xfId="34220" xr:uid="{00000000-0005-0000-0000-0000E1790000}"/>
    <cellStyle name="Normal 30 2 2 2 5" xfId="38424" xr:uid="{00000000-0005-0000-0000-0000E2790000}"/>
    <cellStyle name="Normal 30 2 2 3" xfId="11372" xr:uid="{00000000-0005-0000-0000-0000E3790000}"/>
    <cellStyle name="Normal 30 2 3" xfId="7273" xr:uid="{00000000-0005-0000-0000-0000E4790000}"/>
    <cellStyle name="Normal 30 2 3 2" xfId="25906" xr:uid="{00000000-0005-0000-0000-0000E5790000}"/>
    <cellStyle name="Normal 30 2 3 3" xfId="30119" xr:uid="{00000000-0005-0000-0000-0000E6790000}"/>
    <cellStyle name="Normal 30 2 3 4" xfId="34334" xr:uid="{00000000-0005-0000-0000-0000E7790000}"/>
    <cellStyle name="Normal 30 2 3 5" xfId="38538" xr:uid="{00000000-0005-0000-0000-0000E8790000}"/>
    <cellStyle name="Normal 30 2 4" xfId="7391" xr:uid="{00000000-0005-0000-0000-0000E9790000}"/>
    <cellStyle name="Normal 30 2 4 2" xfId="26024" xr:uid="{00000000-0005-0000-0000-0000EA790000}"/>
    <cellStyle name="Normal 30 2 4 3" xfId="30237" xr:uid="{00000000-0005-0000-0000-0000EB790000}"/>
    <cellStyle name="Normal 30 2 4 4" xfId="34452" xr:uid="{00000000-0005-0000-0000-0000EC790000}"/>
    <cellStyle name="Normal 30 2 4 5" xfId="38656" xr:uid="{00000000-0005-0000-0000-0000ED790000}"/>
    <cellStyle name="Normal 30 2 5" xfId="7509" xr:uid="{00000000-0005-0000-0000-0000EE790000}"/>
    <cellStyle name="Normal 30 2 5 2" xfId="26142" xr:uid="{00000000-0005-0000-0000-0000EF790000}"/>
    <cellStyle name="Normal 30 2 5 3" xfId="30355" xr:uid="{00000000-0005-0000-0000-0000F0790000}"/>
    <cellStyle name="Normal 30 2 5 4" xfId="34570" xr:uid="{00000000-0005-0000-0000-0000F1790000}"/>
    <cellStyle name="Normal 30 2 5 5" xfId="38774" xr:uid="{00000000-0005-0000-0000-0000F2790000}"/>
    <cellStyle name="Normal 30 2 6" xfId="9011" xr:uid="{00000000-0005-0000-0000-0000F3790000}"/>
    <cellStyle name="Normal 30 2 6 2" xfId="26582" xr:uid="{00000000-0005-0000-0000-0000F4790000}"/>
    <cellStyle name="Normal 30 2 6 3" xfId="30795" xr:uid="{00000000-0005-0000-0000-0000F5790000}"/>
    <cellStyle name="Normal 30 2 6 4" xfId="35010" xr:uid="{00000000-0005-0000-0000-0000F6790000}"/>
    <cellStyle name="Normal 30 2 6 5" xfId="39214" xr:uid="{00000000-0005-0000-0000-0000F7790000}"/>
    <cellStyle name="Normal 30 2 7" xfId="9133" xr:uid="{00000000-0005-0000-0000-0000F8790000}"/>
    <cellStyle name="Normal 30 2 7 2" xfId="26704" xr:uid="{00000000-0005-0000-0000-0000F9790000}"/>
    <cellStyle name="Normal 30 2 7 3" xfId="30917" xr:uid="{00000000-0005-0000-0000-0000FA790000}"/>
    <cellStyle name="Normal 30 2 7 4" xfId="35132" xr:uid="{00000000-0005-0000-0000-0000FB790000}"/>
    <cellStyle name="Normal 30 2 7 5" xfId="39336" xr:uid="{00000000-0005-0000-0000-0000FC790000}"/>
    <cellStyle name="Normal 30 2 8" xfId="9253" xr:uid="{00000000-0005-0000-0000-0000FD790000}"/>
    <cellStyle name="Normal 30 2 8 2" xfId="26824" xr:uid="{00000000-0005-0000-0000-0000FE790000}"/>
    <cellStyle name="Normal 30 2 8 3" xfId="31037" xr:uid="{00000000-0005-0000-0000-0000FF790000}"/>
    <cellStyle name="Normal 30 2 8 4" xfId="35252" xr:uid="{00000000-0005-0000-0000-0000007A0000}"/>
    <cellStyle name="Normal 30 2 8 5" xfId="39456" xr:uid="{00000000-0005-0000-0000-0000017A0000}"/>
    <cellStyle name="Normal 30 2 9" xfId="9374" xr:uid="{00000000-0005-0000-0000-0000027A0000}"/>
    <cellStyle name="Normal 30 2 9 2" xfId="26945" xr:uid="{00000000-0005-0000-0000-0000037A0000}"/>
    <cellStyle name="Normal 30 2 9 3" xfId="31158" xr:uid="{00000000-0005-0000-0000-0000047A0000}"/>
    <cellStyle name="Normal 30 2 9 4" xfId="35373" xr:uid="{00000000-0005-0000-0000-0000057A0000}"/>
    <cellStyle name="Normal 30 2 9 5" xfId="39577" xr:uid="{00000000-0005-0000-0000-0000067A0000}"/>
    <cellStyle name="Normal 30 3" xfId="5846" xr:uid="{00000000-0005-0000-0000-0000077A0000}"/>
    <cellStyle name="Normal 30 3 10" xfId="9494" xr:uid="{00000000-0005-0000-0000-0000087A0000}"/>
    <cellStyle name="Normal 30 3 10 2" xfId="27065" xr:uid="{00000000-0005-0000-0000-0000097A0000}"/>
    <cellStyle name="Normal 30 3 10 3" xfId="31278" xr:uid="{00000000-0005-0000-0000-00000A7A0000}"/>
    <cellStyle name="Normal 30 3 10 4" xfId="35493" xr:uid="{00000000-0005-0000-0000-00000B7A0000}"/>
    <cellStyle name="Normal 30 3 10 5" xfId="39697" xr:uid="{00000000-0005-0000-0000-00000C7A0000}"/>
    <cellStyle name="Normal 30 3 11" xfId="7029" xr:uid="{00000000-0005-0000-0000-00000D7A0000}"/>
    <cellStyle name="Normal 30 3 11 2" xfId="25708" xr:uid="{00000000-0005-0000-0000-00000E7A0000}"/>
    <cellStyle name="Normal 30 3 11 3" xfId="29921" xr:uid="{00000000-0005-0000-0000-00000F7A0000}"/>
    <cellStyle name="Normal 30 3 11 4" xfId="34136" xr:uid="{00000000-0005-0000-0000-0000107A0000}"/>
    <cellStyle name="Normal 30 3 11 5" xfId="38340" xr:uid="{00000000-0005-0000-0000-0000117A0000}"/>
    <cellStyle name="Normal 30 3 12" xfId="11371" xr:uid="{00000000-0005-0000-0000-0000127A0000}"/>
    <cellStyle name="Normal 30 3 2" xfId="7141" xr:uid="{00000000-0005-0000-0000-0000137A0000}"/>
    <cellStyle name="Normal 30 3 2 2" xfId="25793" xr:uid="{00000000-0005-0000-0000-0000147A0000}"/>
    <cellStyle name="Normal 30 3 2 3" xfId="30006" xr:uid="{00000000-0005-0000-0000-0000157A0000}"/>
    <cellStyle name="Normal 30 3 2 4" xfId="34221" xr:uid="{00000000-0005-0000-0000-0000167A0000}"/>
    <cellStyle name="Normal 30 3 2 5" xfId="38425" xr:uid="{00000000-0005-0000-0000-0000177A0000}"/>
    <cellStyle name="Normal 30 3 3" xfId="7274" xr:uid="{00000000-0005-0000-0000-0000187A0000}"/>
    <cellStyle name="Normal 30 3 3 2" xfId="25907" xr:uid="{00000000-0005-0000-0000-0000197A0000}"/>
    <cellStyle name="Normal 30 3 3 3" xfId="30120" xr:uid="{00000000-0005-0000-0000-00001A7A0000}"/>
    <cellStyle name="Normal 30 3 3 4" xfId="34335" xr:uid="{00000000-0005-0000-0000-00001B7A0000}"/>
    <cellStyle name="Normal 30 3 3 5" xfId="38539" xr:uid="{00000000-0005-0000-0000-00001C7A0000}"/>
    <cellStyle name="Normal 30 3 4" xfId="7392" xr:uid="{00000000-0005-0000-0000-00001D7A0000}"/>
    <cellStyle name="Normal 30 3 4 2" xfId="26025" xr:uid="{00000000-0005-0000-0000-00001E7A0000}"/>
    <cellStyle name="Normal 30 3 4 3" xfId="30238" xr:uid="{00000000-0005-0000-0000-00001F7A0000}"/>
    <cellStyle name="Normal 30 3 4 4" xfId="34453" xr:uid="{00000000-0005-0000-0000-0000207A0000}"/>
    <cellStyle name="Normal 30 3 4 5" xfId="38657" xr:uid="{00000000-0005-0000-0000-0000217A0000}"/>
    <cellStyle name="Normal 30 3 5" xfId="7510" xr:uid="{00000000-0005-0000-0000-0000227A0000}"/>
    <cellStyle name="Normal 30 3 5 2" xfId="26143" xr:uid="{00000000-0005-0000-0000-0000237A0000}"/>
    <cellStyle name="Normal 30 3 5 3" xfId="30356" xr:uid="{00000000-0005-0000-0000-0000247A0000}"/>
    <cellStyle name="Normal 30 3 5 4" xfId="34571" xr:uid="{00000000-0005-0000-0000-0000257A0000}"/>
    <cellStyle name="Normal 30 3 5 5" xfId="38775" xr:uid="{00000000-0005-0000-0000-0000267A0000}"/>
    <cellStyle name="Normal 30 3 6" xfId="9012" xr:uid="{00000000-0005-0000-0000-0000277A0000}"/>
    <cellStyle name="Normal 30 3 6 2" xfId="26583" xr:uid="{00000000-0005-0000-0000-0000287A0000}"/>
    <cellStyle name="Normal 30 3 6 3" xfId="30796" xr:uid="{00000000-0005-0000-0000-0000297A0000}"/>
    <cellStyle name="Normal 30 3 6 4" xfId="35011" xr:uid="{00000000-0005-0000-0000-00002A7A0000}"/>
    <cellStyle name="Normal 30 3 6 5" xfId="39215" xr:uid="{00000000-0005-0000-0000-00002B7A0000}"/>
    <cellStyle name="Normal 30 3 7" xfId="9134" xr:uid="{00000000-0005-0000-0000-00002C7A0000}"/>
    <cellStyle name="Normal 30 3 7 2" xfId="26705" xr:uid="{00000000-0005-0000-0000-00002D7A0000}"/>
    <cellStyle name="Normal 30 3 7 3" xfId="30918" xr:uid="{00000000-0005-0000-0000-00002E7A0000}"/>
    <cellStyle name="Normal 30 3 7 4" xfId="35133" xr:uid="{00000000-0005-0000-0000-00002F7A0000}"/>
    <cellStyle name="Normal 30 3 7 5" xfId="39337" xr:uid="{00000000-0005-0000-0000-0000307A0000}"/>
    <cellStyle name="Normal 30 3 8" xfId="9254" xr:uid="{00000000-0005-0000-0000-0000317A0000}"/>
    <cellStyle name="Normal 30 3 8 2" xfId="26825" xr:uid="{00000000-0005-0000-0000-0000327A0000}"/>
    <cellStyle name="Normal 30 3 8 3" xfId="31038" xr:uid="{00000000-0005-0000-0000-0000337A0000}"/>
    <cellStyle name="Normal 30 3 8 4" xfId="35253" xr:uid="{00000000-0005-0000-0000-0000347A0000}"/>
    <cellStyle name="Normal 30 3 8 5" xfId="39457" xr:uid="{00000000-0005-0000-0000-0000357A0000}"/>
    <cellStyle name="Normal 30 3 9" xfId="9375" xr:uid="{00000000-0005-0000-0000-0000367A0000}"/>
    <cellStyle name="Normal 30 3 9 2" xfId="26946" xr:uid="{00000000-0005-0000-0000-0000377A0000}"/>
    <cellStyle name="Normal 30 3 9 3" xfId="31159" xr:uid="{00000000-0005-0000-0000-0000387A0000}"/>
    <cellStyle name="Normal 30 3 9 4" xfId="35374" xr:uid="{00000000-0005-0000-0000-0000397A0000}"/>
    <cellStyle name="Normal 30 3 9 5" xfId="39578" xr:uid="{00000000-0005-0000-0000-00003A7A0000}"/>
    <cellStyle name="Normal 30 4" xfId="5434" xr:uid="{00000000-0005-0000-0000-00003B7A0000}"/>
    <cellStyle name="Normal 30 4 2" xfId="7139" xr:uid="{00000000-0005-0000-0000-00003C7A0000}"/>
    <cellStyle name="Normal 30 4 2 2" xfId="25791" xr:uid="{00000000-0005-0000-0000-00003D7A0000}"/>
    <cellStyle name="Normal 30 4 2 3" xfId="30004" xr:uid="{00000000-0005-0000-0000-00003E7A0000}"/>
    <cellStyle name="Normal 30 4 2 4" xfId="34219" xr:uid="{00000000-0005-0000-0000-00003F7A0000}"/>
    <cellStyle name="Normal 30 4 2 5" xfId="38423" xr:uid="{00000000-0005-0000-0000-0000407A0000}"/>
    <cellStyle name="Normal 30 4 3" xfId="11333" xr:uid="{00000000-0005-0000-0000-0000417A0000}"/>
    <cellStyle name="Normal 30 5" xfId="7272" xr:uid="{00000000-0005-0000-0000-0000427A0000}"/>
    <cellStyle name="Normal 30 5 2" xfId="25905" xr:uid="{00000000-0005-0000-0000-0000437A0000}"/>
    <cellStyle name="Normal 30 5 3" xfId="30118" xr:uid="{00000000-0005-0000-0000-0000447A0000}"/>
    <cellStyle name="Normal 30 5 4" xfId="34333" xr:uid="{00000000-0005-0000-0000-0000457A0000}"/>
    <cellStyle name="Normal 30 5 5" xfId="38537" xr:uid="{00000000-0005-0000-0000-0000467A0000}"/>
    <cellStyle name="Normal 30 6" xfId="7390" xr:uid="{00000000-0005-0000-0000-0000477A0000}"/>
    <cellStyle name="Normal 30 6 2" xfId="26023" xr:uid="{00000000-0005-0000-0000-0000487A0000}"/>
    <cellStyle name="Normal 30 6 3" xfId="30236" xr:uid="{00000000-0005-0000-0000-0000497A0000}"/>
    <cellStyle name="Normal 30 6 4" xfId="34451" xr:uid="{00000000-0005-0000-0000-00004A7A0000}"/>
    <cellStyle name="Normal 30 6 5" xfId="38655" xr:uid="{00000000-0005-0000-0000-00004B7A0000}"/>
    <cellStyle name="Normal 30 7" xfId="7508" xr:uid="{00000000-0005-0000-0000-00004C7A0000}"/>
    <cellStyle name="Normal 30 7 2" xfId="26141" xr:uid="{00000000-0005-0000-0000-00004D7A0000}"/>
    <cellStyle name="Normal 30 7 3" xfId="30354" xr:uid="{00000000-0005-0000-0000-00004E7A0000}"/>
    <cellStyle name="Normal 30 7 4" xfId="34569" xr:uid="{00000000-0005-0000-0000-00004F7A0000}"/>
    <cellStyle name="Normal 30 7 5" xfId="38773" xr:uid="{00000000-0005-0000-0000-0000507A0000}"/>
    <cellStyle name="Normal 30 8" xfId="9010" xr:uid="{00000000-0005-0000-0000-0000517A0000}"/>
    <cellStyle name="Normal 30 8 2" xfId="26581" xr:uid="{00000000-0005-0000-0000-0000527A0000}"/>
    <cellStyle name="Normal 30 8 3" xfId="30794" xr:uid="{00000000-0005-0000-0000-0000537A0000}"/>
    <cellStyle name="Normal 30 8 4" xfId="35009" xr:uid="{00000000-0005-0000-0000-0000547A0000}"/>
    <cellStyle name="Normal 30 8 5" xfId="39213" xr:uid="{00000000-0005-0000-0000-0000557A0000}"/>
    <cellStyle name="Normal 30 9" xfId="9132" xr:uid="{00000000-0005-0000-0000-0000567A0000}"/>
    <cellStyle name="Normal 30 9 2" xfId="26703" xr:uid="{00000000-0005-0000-0000-0000577A0000}"/>
    <cellStyle name="Normal 30 9 3" xfId="30916" xr:uid="{00000000-0005-0000-0000-0000587A0000}"/>
    <cellStyle name="Normal 30 9 4" xfId="35131" xr:uid="{00000000-0005-0000-0000-0000597A0000}"/>
    <cellStyle name="Normal 30 9 5" xfId="39335" xr:uid="{00000000-0005-0000-0000-00005A7A0000}"/>
    <cellStyle name="Normal 31" xfId="3974" xr:uid="{00000000-0005-0000-0000-00005B7A0000}"/>
    <cellStyle name="Normal 31 10" xfId="9255" xr:uid="{00000000-0005-0000-0000-00005C7A0000}"/>
    <cellStyle name="Normal 31 10 2" xfId="26826" xr:uid="{00000000-0005-0000-0000-00005D7A0000}"/>
    <cellStyle name="Normal 31 10 3" xfId="31039" xr:uid="{00000000-0005-0000-0000-00005E7A0000}"/>
    <cellStyle name="Normal 31 10 4" xfId="35254" xr:uid="{00000000-0005-0000-0000-00005F7A0000}"/>
    <cellStyle name="Normal 31 10 5" xfId="39458" xr:uid="{00000000-0005-0000-0000-0000607A0000}"/>
    <cellStyle name="Normal 31 11" xfId="9376" xr:uid="{00000000-0005-0000-0000-0000617A0000}"/>
    <cellStyle name="Normal 31 11 2" xfId="26947" xr:uid="{00000000-0005-0000-0000-0000627A0000}"/>
    <cellStyle name="Normal 31 11 3" xfId="31160" xr:uid="{00000000-0005-0000-0000-0000637A0000}"/>
    <cellStyle name="Normal 31 11 4" xfId="35375" xr:uid="{00000000-0005-0000-0000-0000647A0000}"/>
    <cellStyle name="Normal 31 11 5" xfId="39579" xr:uid="{00000000-0005-0000-0000-0000657A0000}"/>
    <cellStyle name="Normal 31 12" xfId="9495" xr:uid="{00000000-0005-0000-0000-0000667A0000}"/>
    <cellStyle name="Normal 31 12 2" xfId="27066" xr:uid="{00000000-0005-0000-0000-0000677A0000}"/>
    <cellStyle name="Normal 31 12 3" xfId="31279" xr:uid="{00000000-0005-0000-0000-0000687A0000}"/>
    <cellStyle name="Normal 31 12 4" xfId="35494" xr:uid="{00000000-0005-0000-0000-0000697A0000}"/>
    <cellStyle name="Normal 31 12 5" xfId="39698" xr:uid="{00000000-0005-0000-0000-00006A7A0000}"/>
    <cellStyle name="Normal 31 13" xfId="3147" xr:uid="{00000000-0005-0000-0000-00006B7A0000}"/>
    <cellStyle name="Normal 31 13 2" xfId="24833" xr:uid="{00000000-0005-0000-0000-00006C7A0000}"/>
    <cellStyle name="Normal 31 13 3" xfId="29044" xr:uid="{00000000-0005-0000-0000-00006D7A0000}"/>
    <cellStyle name="Normal 31 13 4" xfId="33261" xr:uid="{00000000-0005-0000-0000-00006E7A0000}"/>
    <cellStyle name="Normal 31 13 5" xfId="37465" xr:uid="{00000000-0005-0000-0000-00006F7A0000}"/>
    <cellStyle name="Normal 31 14" xfId="11140" xr:uid="{00000000-0005-0000-0000-0000707A0000}"/>
    <cellStyle name="Normal 31 2" xfId="5902" xr:uid="{00000000-0005-0000-0000-0000717A0000}"/>
    <cellStyle name="Normal 31 2 10" xfId="9496" xr:uid="{00000000-0005-0000-0000-0000727A0000}"/>
    <cellStyle name="Normal 31 2 10 2" xfId="27067" xr:uid="{00000000-0005-0000-0000-0000737A0000}"/>
    <cellStyle name="Normal 31 2 10 3" xfId="31280" xr:uid="{00000000-0005-0000-0000-0000747A0000}"/>
    <cellStyle name="Normal 31 2 10 4" xfId="35495" xr:uid="{00000000-0005-0000-0000-0000757A0000}"/>
    <cellStyle name="Normal 31 2 10 5" xfId="39699" xr:uid="{00000000-0005-0000-0000-0000767A0000}"/>
    <cellStyle name="Normal 31 2 11" xfId="6909" xr:uid="{00000000-0005-0000-0000-0000777A0000}"/>
    <cellStyle name="Normal 31 2 11 2" xfId="25597" xr:uid="{00000000-0005-0000-0000-0000787A0000}"/>
    <cellStyle name="Normal 31 2 11 3" xfId="29810" xr:uid="{00000000-0005-0000-0000-0000797A0000}"/>
    <cellStyle name="Normal 31 2 11 4" xfId="34025" xr:uid="{00000000-0005-0000-0000-00007A7A0000}"/>
    <cellStyle name="Normal 31 2 11 5" xfId="38229" xr:uid="{00000000-0005-0000-0000-00007B7A0000}"/>
    <cellStyle name="Normal 31 2 12" xfId="11411" xr:uid="{00000000-0005-0000-0000-00007C7A0000}"/>
    <cellStyle name="Normal 31 2 13" xfId="43647" xr:uid="{00000000-0005-0000-0000-00007D7A0000}"/>
    <cellStyle name="Normal 31 2 2" xfId="7143" xr:uid="{00000000-0005-0000-0000-00007E7A0000}"/>
    <cellStyle name="Normal 31 2 2 2" xfId="25795" xr:uid="{00000000-0005-0000-0000-00007F7A0000}"/>
    <cellStyle name="Normal 31 2 2 3" xfId="30008" xr:uid="{00000000-0005-0000-0000-0000807A0000}"/>
    <cellStyle name="Normal 31 2 2 4" xfId="34223" xr:uid="{00000000-0005-0000-0000-0000817A0000}"/>
    <cellStyle name="Normal 31 2 2 5" xfId="38427" xr:uid="{00000000-0005-0000-0000-0000827A0000}"/>
    <cellStyle name="Normal 31 2 3" xfId="7276" xr:uid="{00000000-0005-0000-0000-0000837A0000}"/>
    <cellStyle name="Normal 31 2 3 2" xfId="25909" xr:uid="{00000000-0005-0000-0000-0000847A0000}"/>
    <cellStyle name="Normal 31 2 3 3" xfId="30122" xr:uid="{00000000-0005-0000-0000-0000857A0000}"/>
    <cellStyle name="Normal 31 2 3 4" xfId="34337" xr:uid="{00000000-0005-0000-0000-0000867A0000}"/>
    <cellStyle name="Normal 31 2 3 5" xfId="38541" xr:uid="{00000000-0005-0000-0000-0000877A0000}"/>
    <cellStyle name="Normal 31 2 4" xfId="7394" xr:uid="{00000000-0005-0000-0000-0000887A0000}"/>
    <cellStyle name="Normal 31 2 4 2" xfId="26027" xr:uid="{00000000-0005-0000-0000-0000897A0000}"/>
    <cellStyle name="Normal 31 2 4 3" xfId="30240" xr:uid="{00000000-0005-0000-0000-00008A7A0000}"/>
    <cellStyle name="Normal 31 2 4 4" xfId="34455" xr:uid="{00000000-0005-0000-0000-00008B7A0000}"/>
    <cellStyle name="Normal 31 2 4 5" xfId="38659" xr:uid="{00000000-0005-0000-0000-00008C7A0000}"/>
    <cellStyle name="Normal 31 2 5" xfId="7512" xr:uid="{00000000-0005-0000-0000-00008D7A0000}"/>
    <cellStyle name="Normal 31 2 5 2" xfId="26145" xr:uid="{00000000-0005-0000-0000-00008E7A0000}"/>
    <cellStyle name="Normal 31 2 5 3" xfId="30358" xr:uid="{00000000-0005-0000-0000-00008F7A0000}"/>
    <cellStyle name="Normal 31 2 5 4" xfId="34573" xr:uid="{00000000-0005-0000-0000-0000907A0000}"/>
    <cellStyle name="Normal 31 2 5 5" xfId="38777" xr:uid="{00000000-0005-0000-0000-0000917A0000}"/>
    <cellStyle name="Normal 31 2 6" xfId="9014" xr:uid="{00000000-0005-0000-0000-0000927A0000}"/>
    <cellStyle name="Normal 31 2 6 2" xfId="26585" xr:uid="{00000000-0005-0000-0000-0000937A0000}"/>
    <cellStyle name="Normal 31 2 6 3" xfId="30798" xr:uid="{00000000-0005-0000-0000-0000947A0000}"/>
    <cellStyle name="Normal 31 2 6 4" xfId="35013" xr:uid="{00000000-0005-0000-0000-0000957A0000}"/>
    <cellStyle name="Normal 31 2 6 5" xfId="39217" xr:uid="{00000000-0005-0000-0000-0000967A0000}"/>
    <cellStyle name="Normal 31 2 7" xfId="9136" xr:uid="{00000000-0005-0000-0000-0000977A0000}"/>
    <cellStyle name="Normal 31 2 7 2" xfId="26707" xr:uid="{00000000-0005-0000-0000-0000987A0000}"/>
    <cellStyle name="Normal 31 2 7 3" xfId="30920" xr:uid="{00000000-0005-0000-0000-0000997A0000}"/>
    <cellStyle name="Normal 31 2 7 4" xfId="35135" xr:uid="{00000000-0005-0000-0000-00009A7A0000}"/>
    <cellStyle name="Normal 31 2 7 5" xfId="39339" xr:uid="{00000000-0005-0000-0000-00009B7A0000}"/>
    <cellStyle name="Normal 31 2 8" xfId="9256" xr:uid="{00000000-0005-0000-0000-00009C7A0000}"/>
    <cellStyle name="Normal 31 2 8 2" xfId="26827" xr:uid="{00000000-0005-0000-0000-00009D7A0000}"/>
    <cellStyle name="Normal 31 2 8 3" xfId="31040" xr:uid="{00000000-0005-0000-0000-00009E7A0000}"/>
    <cellStyle name="Normal 31 2 8 4" xfId="35255" xr:uid="{00000000-0005-0000-0000-00009F7A0000}"/>
    <cellStyle name="Normal 31 2 8 5" xfId="39459" xr:uid="{00000000-0005-0000-0000-0000A07A0000}"/>
    <cellStyle name="Normal 31 2 9" xfId="9377" xr:uid="{00000000-0005-0000-0000-0000A17A0000}"/>
    <cellStyle name="Normal 31 2 9 2" xfId="26948" xr:uid="{00000000-0005-0000-0000-0000A27A0000}"/>
    <cellStyle name="Normal 31 2 9 3" xfId="31161" xr:uid="{00000000-0005-0000-0000-0000A37A0000}"/>
    <cellStyle name="Normal 31 2 9 4" xfId="35376" xr:uid="{00000000-0005-0000-0000-0000A47A0000}"/>
    <cellStyle name="Normal 31 2 9 5" xfId="39580" xr:uid="{00000000-0005-0000-0000-0000A57A0000}"/>
    <cellStyle name="Normal 31 3" xfId="5884" xr:uid="{00000000-0005-0000-0000-0000A67A0000}"/>
    <cellStyle name="Normal 31 3 10" xfId="9497" xr:uid="{00000000-0005-0000-0000-0000A77A0000}"/>
    <cellStyle name="Normal 31 3 10 2" xfId="27068" xr:uid="{00000000-0005-0000-0000-0000A87A0000}"/>
    <cellStyle name="Normal 31 3 10 3" xfId="31281" xr:uid="{00000000-0005-0000-0000-0000A97A0000}"/>
    <cellStyle name="Normal 31 3 10 4" xfId="35496" xr:uid="{00000000-0005-0000-0000-0000AA7A0000}"/>
    <cellStyle name="Normal 31 3 10 5" xfId="39700" xr:uid="{00000000-0005-0000-0000-0000AB7A0000}"/>
    <cellStyle name="Normal 31 3 11" xfId="25210" xr:uid="{00000000-0005-0000-0000-0000AC7A0000}"/>
    <cellStyle name="Normal 31 3 12" xfId="29422" xr:uid="{00000000-0005-0000-0000-0000AD7A0000}"/>
    <cellStyle name="Normal 31 3 13" xfId="33638" xr:uid="{00000000-0005-0000-0000-0000AE7A0000}"/>
    <cellStyle name="Normal 31 3 14" xfId="37842" xr:uid="{00000000-0005-0000-0000-0000AF7A0000}"/>
    <cellStyle name="Normal 31 3 2" xfId="7144" xr:uid="{00000000-0005-0000-0000-0000B07A0000}"/>
    <cellStyle name="Normal 31 3 2 2" xfId="25796" xr:uid="{00000000-0005-0000-0000-0000B17A0000}"/>
    <cellStyle name="Normal 31 3 2 3" xfId="30009" xr:uid="{00000000-0005-0000-0000-0000B27A0000}"/>
    <cellStyle name="Normal 31 3 2 4" xfId="34224" xr:uid="{00000000-0005-0000-0000-0000B37A0000}"/>
    <cellStyle name="Normal 31 3 2 5" xfId="38428" xr:uid="{00000000-0005-0000-0000-0000B47A0000}"/>
    <cellStyle name="Normal 31 3 3" xfId="7277" xr:uid="{00000000-0005-0000-0000-0000B57A0000}"/>
    <cellStyle name="Normal 31 3 3 2" xfId="25910" xr:uid="{00000000-0005-0000-0000-0000B67A0000}"/>
    <cellStyle name="Normal 31 3 3 3" xfId="30123" xr:uid="{00000000-0005-0000-0000-0000B77A0000}"/>
    <cellStyle name="Normal 31 3 3 4" xfId="34338" xr:uid="{00000000-0005-0000-0000-0000B87A0000}"/>
    <cellStyle name="Normal 31 3 3 5" xfId="38542" xr:uid="{00000000-0005-0000-0000-0000B97A0000}"/>
    <cellStyle name="Normal 31 3 4" xfId="7395" xr:uid="{00000000-0005-0000-0000-0000BA7A0000}"/>
    <cellStyle name="Normal 31 3 4 2" xfId="26028" xr:uid="{00000000-0005-0000-0000-0000BB7A0000}"/>
    <cellStyle name="Normal 31 3 4 3" xfId="30241" xr:uid="{00000000-0005-0000-0000-0000BC7A0000}"/>
    <cellStyle name="Normal 31 3 4 4" xfId="34456" xr:uid="{00000000-0005-0000-0000-0000BD7A0000}"/>
    <cellStyle name="Normal 31 3 4 5" xfId="38660" xr:uid="{00000000-0005-0000-0000-0000BE7A0000}"/>
    <cellStyle name="Normal 31 3 5" xfId="7513" xr:uid="{00000000-0005-0000-0000-0000BF7A0000}"/>
    <cellStyle name="Normal 31 3 5 2" xfId="26146" xr:uid="{00000000-0005-0000-0000-0000C07A0000}"/>
    <cellStyle name="Normal 31 3 5 3" xfId="30359" xr:uid="{00000000-0005-0000-0000-0000C17A0000}"/>
    <cellStyle name="Normal 31 3 5 4" xfId="34574" xr:uid="{00000000-0005-0000-0000-0000C27A0000}"/>
    <cellStyle name="Normal 31 3 5 5" xfId="38778" xr:uid="{00000000-0005-0000-0000-0000C37A0000}"/>
    <cellStyle name="Normal 31 3 6" xfId="9015" xr:uid="{00000000-0005-0000-0000-0000C47A0000}"/>
    <cellStyle name="Normal 31 3 6 2" xfId="26586" xr:uid="{00000000-0005-0000-0000-0000C57A0000}"/>
    <cellStyle name="Normal 31 3 6 3" xfId="30799" xr:uid="{00000000-0005-0000-0000-0000C67A0000}"/>
    <cellStyle name="Normal 31 3 6 4" xfId="35014" xr:uid="{00000000-0005-0000-0000-0000C77A0000}"/>
    <cellStyle name="Normal 31 3 6 5" xfId="39218" xr:uid="{00000000-0005-0000-0000-0000C87A0000}"/>
    <cellStyle name="Normal 31 3 7" xfId="9137" xr:uid="{00000000-0005-0000-0000-0000C97A0000}"/>
    <cellStyle name="Normal 31 3 7 2" xfId="26708" xr:uid="{00000000-0005-0000-0000-0000CA7A0000}"/>
    <cellStyle name="Normal 31 3 7 3" xfId="30921" xr:uid="{00000000-0005-0000-0000-0000CB7A0000}"/>
    <cellStyle name="Normal 31 3 7 4" xfId="35136" xr:uid="{00000000-0005-0000-0000-0000CC7A0000}"/>
    <cellStyle name="Normal 31 3 7 5" xfId="39340" xr:uid="{00000000-0005-0000-0000-0000CD7A0000}"/>
    <cellStyle name="Normal 31 3 8" xfId="9257" xr:uid="{00000000-0005-0000-0000-0000CE7A0000}"/>
    <cellStyle name="Normal 31 3 8 2" xfId="26828" xr:uid="{00000000-0005-0000-0000-0000CF7A0000}"/>
    <cellStyle name="Normal 31 3 8 3" xfId="31041" xr:uid="{00000000-0005-0000-0000-0000D07A0000}"/>
    <cellStyle name="Normal 31 3 8 4" xfId="35256" xr:uid="{00000000-0005-0000-0000-0000D17A0000}"/>
    <cellStyle name="Normal 31 3 8 5" xfId="39460" xr:uid="{00000000-0005-0000-0000-0000D27A0000}"/>
    <cellStyle name="Normal 31 3 9" xfId="9378" xr:uid="{00000000-0005-0000-0000-0000D37A0000}"/>
    <cellStyle name="Normal 31 3 9 2" xfId="26949" xr:uid="{00000000-0005-0000-0000-0000D47A0000}"/>
    <cellStyle name="Normal 31 3 9 3" xfId="31162" xr:uid="{00000000-0005-0000-0000-0000D57A0000}"/>
    <cellStyle name="Normal 31 3 9 4" xfId="35377" xr:uid="{00000000-0005-0000-0000-0000D67A0000}"/>
    <cellStyle name="Normal 31 3 9 5" xfId="39581" xr:uid="{00000000-0005-0000-0000-0000D77A0000}"/>
    <cellStyle name="Normal 31 4" xfId="5697" xr:uid="{00000000-0005-0000-0000-0000D87A0000}"/>
    <cellStyle name="Normal 31 4 2" xfId="7142" xr:uid="{00000000-0005-0000-0000-0000D97A0000}"/>
    <cellStyle name="Normal 31 4 2 2" xfId="25794" xr:uid="{00000000-0005-0000-0000-0000DA7A0000}"/>
    <cellStyle name="Normal 31 4 2 3" xfId="30007" xr:uid="{00000000-0005-0000-0000-0000DB7A0000}"/>
    <cellStyle name="Normal 31 4 2 4" xfId="34222" xr:uid="{00000000-0005-0000-0000-0000DC7A0000}"/>
    <cellStyle name="Normal 31 4 2 5" xfId="38426" xr:uid="{00000000-0005-0000-0000-0000DD7A0000}"/>
    <cellStyle name="Normal 31 4 3" xfId="11355" xr:uid="{00000000-0005-0000-0000-0000DE7A0000}"/>
    <cellStyle name="Normal 31 5" xfId="7275" xr:uid="{00000000-0005-0000-0000-0000DF7A0000}"/>
    <cellStyle name="Normal 31 5 2" xfId="25908" xr:uid="{00000000-0005-0000-0000-0000E07A0000}"/>
    <cellStyle name="Normal 31 5 3" xfId="30121" xr:uid="{00000000-0005-0000-0000-0000E17A0000}"/>
    <cellStyle name="Normal 31 5 4" xfId="34336" xr:uid="{00000000-0005-0000-0000-0000E27A0000}"/>
    <cellStyle name="Normal 31 5 5" xfId="38540" xr:uid="{00000000-0005-0000-0000-0000E37A0000}"/>
    <cellStyle name="Normal 31 6" xfId="7393" xr:uid="{00000000-0005-0000-0000-0000E47A0000}"/>
    <cellStyle name="Normal 31 6 2" xfId="26026" xr:uid="{00000000-0005-0000-0000-0000E57A0000}"/>
    <cellStyle name="Normal 31 6 3" xfId="30239" xr:uid="{00000000-0005-0000-0000-0000E67A0000}"/>
    <cellStyle name="Normal 31 6 4" xfId="34454" xr:uid="{00000000-0005-0000-0000-0000E77A0000}"/>
    <cellStyle name="Normal 31 6 5" xfId="38658" xr:uid="{00000000-0005-0000-0000-0000E87A0000}"/>
    <cellStyle name="Normal 31 7" xfId="7511" xr:uid="{00000000-0005-0000-0000-0000E97A0000}"/>
    <cellStyle name="Normal 31 7 2" xfId="26144" xr:uid="{00000000-0005-0000-0000-0000EA7A0000}"/>
    <cellStyle name="Normal 31 7 3" xfId="30357" xr:uid="{00000000-0005-0000-0000-0000EB7A0000}"/>
    <cellStyle name="Normal 31 7 4" xfId="34572" xr:uid="{00000000-0005-0000-0000-0000EC7A0000}"/>
    <cellStyle name="Normal 31 7 5" xfId="38776" xr:uid="{00000000-0005-0000-0000-0000ED7A0000}"/>
    <cellStyle name="Normal 31 8" xfId="9013" xr:uid="{00000000-0005-0000-0000-0000EE7A0000}"/>
    <cellStyle name="Normal 31 8 2" xfId="26584" xr:uid="{00000000-0005-0000-0000-0000EF7A0000}"/>
    <cellStyle name="Normal 31 8 3" xfId="30797" xr:uid="{00000000-0005-0000-0000-0000F07A0000}"/>
    <cellStyle name="Normal 31 8 4" xfId="35012" xr:uid="{00000000-0005-0000-0000-0000F17A0000}"/>
    <cellStyle name="Normal 31 8 5" xfId="39216" xr:uid="{00000000-0005-0000-0000-0000F27A0000}"/>
    <cellStyle name="Normal 31 9" xfId="9135" xr:uid="{00000000-0005-0000-0000-0000F37A0000}"/>
    <cellStyle name="Normal 31 9 2" xfId="26706" xr:uid="{00000000-0005-0000-0000-0000F47A0000}"/>
    <cellStyle name="Normal 31 9 3" xfId="30919" xr:uid="{00000000-0005-0000-0000-0000F57A0000}"/>
    <cellStyle name="Normal 31 9 4" xfId="35134" xr:uid="{00000000-0005-0000-0000-0000F67A0000}"/>
    <cellStyle name="Normal 31 9 5" xfId="39338" xr:uid="{00000000-0005-0000-0000-0000F77A0000}"/>
    <cellStyle name="Normal 32" xfId="3975" xr:uid="{00000000-0005-0000-0000-0000F87A0000}"/>
    <cellStyle name="Normal 32 10" xfId="9258" xr:uid="{00000000-0005-0000-0000-0000F97A0000}"/>
    <cellStyle name="Normal 32 10 2" xfId="26829" xr:uid="{00000000-0005-0000-0000-0000FA7A0000}"/>
    <cellStyle name="Normal 32 10 3" xfId="31042" xr:uid="{00000000-0005-0000-0000-0000FB7A0000}"/>
    <cellStyle name="Normal 32 10 4" xfId="35257" xr:uid="{00000000-0005-0000-0000-0000FC7A0000}"/>
    <cellStyle name="Normal 32 10 5" xfId="39461" xr:uid="{00000000-0005-0000-0000-0000FD7A0000}"/>
    <cellStyle name="Normal 32 11" xfId="9379" xr:uid="{00000000-0005-0000-0000-0000FE7A0000}"/>
    <cellStyle name="Normal 32 11 2" xfId="26950" xr:uid="{00000000-0005-0000-0000-0000FF7A0000}"/>
    <cellStyle name="Normal 32 11 3" xfId="31163" xr:uid="{00000000-0005-0000-0000-0000007B0000}"/>
    <cellStyle name="Normal 32 11 4" xfId="35378" xr:uid="{00000000-0005-0000-0000-0000017B0000}"/>
    <cellStyle name="Normal 32 11 5" xfId="39582" xr:uid="{00000000-0005-0000-0000-0000027B0000}"/>
    <cellStyle name="Normal 32 12" xfId="9498" xr:uid="{00000000-0005-0000-0000-0000037B0000}"/>
    <cellStyle name="Normal 32 12 2" xfId="27069" xr:uid="{00000000-0005-0000-0000-0000047B0000}"/>
    <cellStyle name="Normal 32 12 3" xfId="31282" xr:uid="{00000000-0005-0000-0000-0000057B0000}"/>
    <cellStyle name="Normal 32 12 4" xfId="35497" xr:uid="{00000000-0005-0000-0000-0000067B0000}"/>
    <cellStyle name="Normal 32 12 5" xfId="39701" xr:uid="{00000000-0005-0000-0000-0000077B0000}"/>
    <cellStyle name="Normal 32 13" xfId="6862" xr:uid="{00000000-0005-0000-0000-0000087B0000}"/>
    <cellStyle name="Normal 32 13 2" xfId="25550" xr:uid="{00000000-0005-0000-0000-0000097B0000}"/>
    <cellStyle name="Normal 32 13 3" xfId="29763" xr:uid="{00000000-0005-0000-0000-00000A7B0000}"/>
    <cellStyle name="Normal 32 13 4" xfId="33978" xr:uid="{00000000-0005-0000-0000-00000B7B0000}"/>
    <cellStyle name="Normal 32 13 5" xfId="38182" xr:uid="{00000000-0005-0000-0000-00000C7B0000}"/>
    <cellStyle name="Normal 32 14" xfId="11141" xr:uid="{00000000-0005-0000-0000-00000D7B0000}"/>
    <cellStyle name="Normal 32 2" xfId="5905" xr:uid="{00000000-0005-0000-0000-00000E7B0000}"/>
    <cellStyle name="Normal 32 2 10" xfId="9499" xr:uid="{00000000-0005-0000-0000-00000F7B0000}"/>
    <cellStyle name="Normal 32 2 10 2" xfId="27070" xr:uid="{00000000-0005-0000-0000-0000107B0000}"/>
    <cellStyle name="Normal 32 2 10 3" xfId="31283" xr:uid="{00000000-0005-0000-0000-0000117B0000}"/>
    <cellStyle name="Normal 32 2 10 4" xfId="35498" xr:uid="{00000000-0005-0000-0000-0000127B0000}"/>
    <cellStyle name="Normal 32 2 10 5" xfId="39702" xr:uid="{00000000-0005-0000-0000-0000137B0000}"/>
    <cellStyle name="Normal 32 2 11" xfId="7030" xr:uid="{00000000-0005-0000-0000-0000147B0000}"/>
    <cellStyle name="Normal 32 2 11 2" xfId="25709" xr:uid="{00000000-0005-0000-0000-0000157B0000}"/>
    <cellStyle name="Normal 32 2 11 3" xfId="29922" xr:uid="{00000000-0005-0000-0000-0000167B0000}"/>
    <cellStyle name="Normal 32 2 11 4" xfId="34137" xr:uid="{00000000-0005-0000-0000-0000177B0000}"/>
    <cellStyle name="Normal 32 2 11 5" xfId="38341" xr:uid="{00000000-0005-0000-0000-0000187B0000}"/>
    <cellStyle name="Normal 32 2 12" xfId="11414" xr:uid="{00000000-0005-0000-0000-0000197B0000}"/>
    <cellStyle name="Normal 32 2 2" xfId="7146" xr:uid="{00000000-0005-0000-0000-00001A7B0000}"/>
    <cellStyle name="Normal 32 2 2 2" xfId="25798" xr:uid="{00000000-0005-0000-0000-00001B7B0000}"/>
    <cellStyle name="Normal 32 2 2 3" xfId="30011" xr:uid="{00000000-0005-0000-0000-00001C7B0000}"/>
    <cellStyle name="Normal 32 2 2 4" xfId="34226" xr:uid="{00000000-0005-0000-0000-00001D7B0000}"/>
    <cellStyle name="Normal 32 2 2 5" xfId="38430" xr:uid="{00000000-0005-0000-0000-00001E7B0000}"/>
    <cellStyle name="Normal 32 2 3" xfId="7279" xr:uid="{00000000-0005-0000-0000-00001F7B0000}"/>
    <cellStyle name="Normal 32 2 3 2" xfId="25912" xr:uid="{00000000-0005-0000-0000-0000207B0000}"/>
    <cellStyle name="Normal 32 2 3 3" xfId="30125" xr:uid="{00000000-0005-0000-0000-0000217B0000}"/>
    <cellStyle name="Normal 32 2 3 4" xfId="34340" xr:uid="{00000000-0005-0000-0000-0000227B0000}"/>
    <cellStyle name="Normal 32 2 3 5" xfId="38544" xr:uid="{00000000-0005-0000-0000-0000237B0000}"/>
    <cellStyle name="Normal 32 2 4" xfId="7397" xr:uid="{00000000-0005-0000-0000-0000247B0000}"/>
    <cellStyle name="Normal 32 2 4 2" xfId="26030" xr:uid="{00000000-0005-0000-0000-0000257B0000}"/>
    <cellStyle name="Normal 32 2 4 3" xfId="30243" xr:uid="{00000000-0005-0000-0000-0000267B0000}"/>
    <cellStyle name="Normal 32 2 4 4" xfId="34458" xr:uid="{00000000-0005-0000-0000-0000277B0000}"/>
    <cellStyle name="Normal 32 2 4 5" xfId="38662" xr:uid="{00000000-0005-0000-0000-0000287B0000}"/>
    <cellStyle name="Normal 32 2 5" xfId="7515" xr:uid="{00000000-0005-0000-0000-0000297B0000}"/>
    <cellStyle name="Normal 32 2 5 2" xfId="26148" xr:uid="{00000000-0005-0000-0000-00002A7B0000}"/>
    <cellStyle name="Normal 32 2 5 3" xfId="30361" xr:uid="{00000000-0005-0000-0000-00002B7B0000}"/>
    <cellStyle name="Normal 32 2 5 4" xfId="34576" xr:uid="{00000000-0005-0000-0000-00002C7B0000}"/>
    <cellStyle name="Normal 32 2 5 5" xfId="38780" xr:uid="{00000000-0005-0000-0000-00002D7B0000}"/>
    <cellStyle name="Normal 32 2 6" xfId="9017" xr:uid="{00000000-0005-0000-0000-00002E7B0000}"/>
    <cellStyle name="Normal 32 2 6 2" xfId="26588" xr:uid="{00000000-0005-0000-0000-00002F7B0000}"/>
    <cellStyle name="Normal 32 2 6 3" xfId="30801" xr:uid="{00000000-0005-0000-0000-0000307B0000}"/>
    <cellStyle name="Normal 32 2 6 4" xfId="35016" xr:uid="{00000000-0005-0000-0000-0000317B0000}"/>
    <cellStyle name="Normal 32 2 6 5" xfId="39220" xr:uid="{00000000-0005-0000-0000-0000327B0000}"/>
    <cellStyle name="Normal 32 2 7" xfId="9139" xr:uid="{00000000-0005-0000-0000-0000337B0000}"/>
    <cellStyle name="Normal 32 2 7 2" xfId="26710" xr:uid="{00000000-0005-0000-0000-0000347B0000}"/>
    <cellStyle name="Normal 32 2 7 3" xfId="30923" xr:uid="{00000000-0005-0000-0000-0000357B0000}"/>
    <cellStyle name="Normal 32 2 7 4" xfId="35138" xr:uid="{00000000-0005-0000-0000-0000367B0000}"/>
    <cellStyle name="Normal 32 2 7 5" xfId="39342" xr:uid="{00000000-0005-0000-0000-0000377B0000}"/>
    <cellStyle name="Normal 32 2 8" xfId="9259" xr:uid="{00000000-0005-0000-0000-0000387B0000}"/>
    <cellStyle name="Normal 32 2 8 2" xfId="26830" xr:uid="{00000000-0005-0000-0000-0000397B0000}"/>
    <cellStyle name="Normal 32 2 8 3" xfId="31043" xr:uid="{00000000-0005-0000-0000-00003A7B0000}"/>
    <cellStyle name="Normal 32 2 8 4" xfId="35258" xr:uid="{00000000-0005-0000-0000-00003B7B0000}"/>
    <cellStyle name="Normal 32 2 8 5" xfId="39462" xr:uid="{00000000-0005-0000-0000-00003C7B0000}"/>
    <cellStyle name="Normal 32 2 9" xfId="9380" xr:uid="{00000000-0005-0000-0000-00003D7B0000}"/>
    <cellStyle name="Normal 32 2 9 2" xfId="26951" xr:uid="{00000000-0005-0000-0000-00003E7B0000}"/>
    <cellStyle name="Normal 32 2 9 3" xfId="31164" xr:uid="{00000000-0005-0000-0000-00003F7B0000}"/>
    <cellStyle name="Normal 32 2 9 4" xfId="35379" xr:uid="{00000000-0005-0000-0000-0000407B0000}"/>
    <cellStyle name="Normal 32 2 9 5" xfId="39583" xr:uid="{00000000-0005-0000-0000-0000417B0000}"/>
    <cellStyle name="Normal 32 3" xfId="5715" xr:uid="{00000000-0005-0000-0000-0000427B0000}"/>
    <cellStyle name="Normal 32 3 10" xfId="9500" xr:uid="{00000000-0005-0000-0000-0000437B0000}"/>
    <cellStyle name="Normal 32 3 10 2" xfId="27071" xr:uid="{00000000-0005-0000-0000-0000447B0000}"/>
    <cellStyle name="Normal 32 3 10 3" xfId="31284" xr:uid="{00000000-0005-0000-0000-0000457B0000}"/>
    <cellStyle name="Normal 32 3 10 4" xfId="35499" xr:uid="{00000000-0005-0000-0000-0000467B0000}"/>
    <cellStyle name="Normal 32 3 10 5" xfId="39703" xr:uid="{00000000-0005-0000-0000-0000477B0000}"/>
    <cellStyle name="Normal 32 3 11" xfId="7031" xr:uid="{00000000-0005-0000-0000-0000487B0000}"/>
    <cellStyle name="Normal 32 3 11 2" xfId="25710" xr:uid="{00000000-0005-0000-0000-0000497B0000}"/>
    <cellStyle name="Normal 32 3 11 3" xfId="29923" xr:uid="{00000000-0005-0000-0000-00004A7B0000}"/>
    <cellStyle name="Normal 32 3 11 4" xfId="34138" xr:uid="{00000000-0005-0000-0000-00004B7B0000}"/>
    <cellStyle name="Normal 32 3 11 5" xfId="38342" xr:uid="{00000000-0005-0000-0000-00004C7B0000}"/>
    <cellStyle name="Normal 32 3 12" xfId="11361" xr:uid="{00000000-0005-0000-0000-00004D7B0000}"/>
    <cellStyle name="Normal 32 3 2" xfId="7147" xr:uid="{00000000-0005-0000-0000-00004E7B0000}"/>
    <cellStyle name="Normal 32 3 2 2" xfId="25799" xr:uid="{00000000-0005-0000-0000-00004F7B0000}"/>
    <cellStyle name="Normal 32 3 2 3" xfId="30012" xr:uid="{00000000-0005-0000-0000-0000507B0000}"/>
    <cellStyle name="Normal 32 3 2 4" xfId="34227" xr:uid="{00000000-0005-0000-0000-0000517B0000}"/>
    <cellStyle name="Normal 32 3 2 5" xfId="38431" xr:uid="{00000000-0005-0000-0000-0000527B0000}"/>
    <cellStyle name="Normal 32 3 3" xfId="7280" xr:uid="{00000000-0005-0000-0000-0000537B0000}"/>
    <cellStyle name="Normal 32 3 3 2" xfId="25913" xr:uid="{00000000-0005-0000-0000-0000547B0000}"/>
    <cellStyle name="Normal 32 3 3 3" xfId="30126" xr:uid="{00000000-0005-0000-0000-0000557B0000}"/>
    <cellStyle name="Normal 32 3 3 4" xfId="34341" xr:uid="{00000000-0005-0000-0000-0000567B0000}"/>
    <cellStyle name="Normal 32 3 3 5" xfId="38545" xr:uid="{00000000-0005-0000-0000-0000577B0000}"/>
    <cellStyle name="Normal 32 3 4" xfId="7398" xr:uid="{00000000-0005-0000-0000-0000587B0000}"/>
    <cellStyle name="Normal 32 3 4 2" xfId="26031" xr:uid="{00000000-0005-0000-0000-0000597B0000}"/>
    <cellStyle name="Normal 32 3 4 3" xfId="30244" xr:uid="{00000000-0005-0000-0000-00005A7B0000}"/>
    <cellStyle name="Normal 32 3 4 4" xfId="34459" xr:uid="{00000000-0005-0000-0000-00005B7B0000}"/>
    <cellStyle name="Normal 32 3 4 5" xfId="38663" xr:uid="{00000000-0005-0000-0000-00005C7B0000}"/>
    <cellStyle name="Normal 32 3 5" xfId="7516" xr:uid="{00000000-0005-0000-0000-00005D7B0000}"/>
    <cellStyle name="Normal 32 3 5 2" xfId="26149" xr:uid="{00000000-0005-0000-0000-00005E7B0000}"/>
    <cellStyle name="Normal 32 3 5 3" xfId="30362" xr:uid="{00000000-0005-0000-0000-00005F7B0000}"/>
    <cellStyle name="Normal 32 3 5 4" xfId="34577" xr:uid="{00000000-0005-0000-0000-0000607B0000}"/>
    <cellStyle name="Normal 32 3 5 5" xfId="38781" xr:uid="{00000000-0005-0000-0000-0000617B0000}"/>
    <cellStyle name="Normal 32 3 6" xfId="9018" xr:uid="{00000000-0005-0000-0000-0000627B0000}"/>
    <cellStyle name="Normal 32 3 6 2" xfId="26589" xr:uid="{00000000-0005-0000-0000-0000637B0000}"/>
    <cellStyle name="Normal 32 3 6 3" xfId="30802" xr:uid="{00000000-0005-0000-0000-0000647B0000}"/>
    <cellStyle name="Normal 32 3 6 4" xfId="35017" xr:uid="{00000000-0005-0000-0000-0000657B0000}"/>
    <cellStyle name="Normal 32 3 6 5" xfId="39221" xr:uid="{00000000-0005-0000-0000-0000667B0000}"/>
    <cellStyle name="Normal 32 3 7" xfId="9140" xr:uid="{00000000-0005-0000-0000-0000677B0000}"/>
    <cellStyle name="Normal 32 3 7 2" xfId="26711" xr:uid="{00000000-0005-0000-0000-0000687B0000}"/>
    <cellStyle name="Normal 32 3 7 3" xfId="30924" xr:uid="{00000000-0005-0000-0000-0000697B0000}"/>
    <cellStyle name="Normal 32 3 7 4" xfId="35139" xr:uid="{00000000-0005-0000-0000-00006A7B0000}"/>
    <cellStyle name="Normal 32 3 7 5" xfId="39343" xr:uid="{00000000-0005-0000-0000-00006B7B0000}"/>
    <cellStyle name="Normal 32 3 8" xfId="9260" xr:uid="{00000000-0005-0000-0000-00006C7B0000}"/>
    <cellStyle name="Normal 32 3 8 2" xfId="26831" xr:uid="{00000000-0005-0000-0000-00006D7B0000}"/>
    <cellStyle name="Normal 32 3 8 3" xfId="31044" xr:uid="{00000000-0005-0000-0000-00006E7B0000}"/>
    <cellStyle name="Normal 32 3 8 4" xfId="35259" xr:uid="{00000000-0005-0000-0000-00006F7B0000}"/>
    <cellStyle name="Normal 32 3 8 5" xfId="39463" xr:uid="{00000000-0005-0000-0000-0000707B0000}"/>
    <cellStyle name="Normal 32 3 9" xfId="9381" xr:uid="{00000000-0005-0000-0000-0000717B0000}"/>
    <cellStyle name="Normal 32 3 9 2" xfId="26952" xr:uid="{00000000-0005-0000-0000-0000727B0000}"/>
    <cellStyle name="Normal 32 3 9 3" xfId="31165" xr:uid="{00000000-0005-0000-0000-0000737B0000}"/>
    <cellStyle name="Normal 32 3 9 4" xfId="35380" xr:uid="{00000000-0005-0000-0000-0000747B0000}"/>
    <cellStyle name="Normal 32 3 9 5" xfId="39584" xr:uid="{00000000-0005-0000-0000-0000757B0000}"/>
    <cellStyle name="Normal 32 4" xfId="7145" xr:uid="{00000000-0005-0000-0000-0000767B0000}"/>
    <cellStyle name="Normal 32 4 2" xfId="25797" xr:uid="{00000000-0005-0000-0000-0000777B0000}"/>
    <cellStyle name="Normal 32 4 3" xfId="30010" xr:uid="{00000000-0005-0000-0000-0000787B0000}"/>
    <cellStyle name="Normal 32 4 4" xfId="34225" xr:uid="{00000000-0005-0000-0000-0000797B0000}"/>
    <cellStyle name="Normal 32 4 5" xfId="38429" xr:uid="{00000000-0005-0000-0000-00007A7B0000}"/>
    <cellStyle name="Normal 32 5" xfId="7278" xr:uid="{00000000-0005-0000-0000-00007B7B0000}"/>
    <cellStyle name="Normal 32 5 2" xfId="25911" xr:uid="{00000000-0005-0000-0000-00007C7B0000}"/>
    <cellStyle name="Normal 32 5 3" xfId="30124" xr:uid="{00000000-0005-0000-0000-00007D7B0000}"/>
    <cellStyle name="Normal 32 5 4" xfId="34339" xr:uid="{00000000-0005-0000-0000-00007E7B0000}"/>
    <cellStyle name="Normal 32 5 5" xfId="38543" xr:uid="{00000000-0005-0000-0000-00007F7B0000}"/>
    <cellStyle name="Normal 32 6" xfId="7396" xr:uid="{00000000-0005-0000-0000-0000807B0000}"/>
    <cellStyle name="Normal 32 6 2" xfId="26029" xr:uid="{00000000-0005-0000-0000-0000817B0000}"/>
    <cellStyle name="Normal 32 6 3" xfId="30242" xr:uid="{00000000-0005-0000-0000-0000827B0000}"/>
    <cellStyle name="Normal 32 6 4" xfId="34457" xr:uid="{00000000-0005-0000-0000-0000837B0000}"/>
    <cellStyle name="Normal 32 6 5" xfId="38661" xr:uid="{00000000-0005-0000-0000-0000847B0000}"/>
    <cellStyle name="Normal 32 7" xfId="7514" xr:uid="{00000000-0005-0000-0000-0000857B0000}"/>
    <cellStyle name="Normal 32 7 2" xfId="26147" xr:uid="{00000000-0005-0000-0000-0000867B0000}"/>
    <cellStyle name="Normal 32 7 3" xfId="30360" xr:uid="{00000000-0005-0000-0000-0000877B0000}"/>
    <cellStyle name="Normal 32 7 4" xfId="34575" xr:uid="{00000000-0005-0000-0000-0000887B0000}"/>
    <cellStyle name="Normal 32 7 5" xfId="38779" xr:uid="{00000000-0005-0000-0000-0000897B0000}"/>
    <cellStyle name="Normal 32 8" xfId="9016" xr:uid="{00000000-0005-0000-0000-00008A7B0000}"/>
    <cellStyle name="Normal 32 8 2" xfId="26587" xr:uid="{00000000-0005-0000-0000-00008B7B0000}"/>
    <cellStyle name="Normal 32 8 3" xfId="30800" xr:uid="{00000000-0005-0000-0000-00008C7B0000}"/>
    <cellStyle name="Normal 32 8 4" xfId="35015" xr:uid="{00000000-0005-0000-0000-00008D7B0000}"/>
    <cellStyle name="Normal 32 8 5" xfId="39219" xr:uid="{00000000-0005-0000-0000-00008E7B0000}"/>
    <cellStyle name="Normal 32 9" xfId="9138" xr:uid="{00000000-0005-0000-0000-00008F7B0000}"/>
    <cellStyle name="Normal 32 9 2" xfId="26709" xr:uid="{00000000-0005-0000-0000-0000907B0000}"/>
    <cellStyle name="Normal 32 9 3" xfId="30922" xr:uid="{00000000-0005-0000-0000-0000917B0000}"/>
    <cellStyle name="Normal 32 9 4" xfId="35137" xr:uid="{00000000-0005-0000-0000-0000927B0000}"/>
    <cellStyle name="Normal 32 9 5" xfId="39341" xr:uid="{00000000-0005-0000-0000-0000937B0000}"/>
    <cellStyle name="Normal 33" xfId="3976" xr:uid="{00000000-0005-0000-0000-0000947B0000}"/>
    <cellStyle name="Normal 33 10" xfId="9501" xr:uid="{00000000-0005-0000-0000-0000957B0000}"/>
    <cellStyle name="Normal 33 10 2" xfId="27072" xr:uid="{00000000-0005-0000-0000-0000967B0000}"/>
    <cellStyle name="Normal 33 10 2 2" xfId="43649" xr:uid="{00000000-0005-0000-0000-0000977B0000}"/>
    <cellStyle name="Normal 33 10 3" xfId="31285" xr:uid="{00000000-0005-0000-0000-0000987B0000}"/>
    <cellStyle name="Normal 33 10 4" xfId="35500" xr:uid="{00000000-0005-0000-0000-0000997B0000}"/>
    <cellStyle name="Normal 33 10 5" xfId="39704" xr:uid="{00000000-0005-0000-0000-00009A7B0000}"/>
    <cellStyle name="Normal 33 11" xfId="7032" xr:uid="{00000000-0005-0000-0000-00009B7B0000}"/>
    <cellStyle name="Normal 33 11 2" xfId="25711" xr:uid="{00000000-0005-0000-0000-00009C7B0000}"/>
    <cellStyle name="Normal 33 11 2 2" xfId="43650" xr:uid="{00000000-0005-0000-0000-00009D7B0000}"/>
    <cellStyle name="Normal 33 11 3" xfId="29924" xr:uid="{00000000-0005-0000-0000-00009E7B0000}"/>
    <cellStyle name="Normal 33 11 4" xfId="34139" xr:uid="{00000000-0005-0000-0000-00009F7B0000}"/>
    <cellStyle name="Normal 33 11 5" xfId="38343" xr:uid="{00000000-0005-0000-0000-0000A07B0000}"/>
    <cellStyle name="Normal 33 12" xfId="11142" xr:uid="{00000000-0005-0000-0000-0000A17B0000}"/>
    <cellStyle name="Normal 33 12 2" xfId="43651" xr:uid="{00000000-0005-0000-0000-0000A27B0000}"/>
    <cellStyle name="Normal 33 13" xfId="43652" xr:uid="{00000000-0005-0000-0000-0000A37B0000}"/>
    <cellStyle name="Normal 33 14" xfId="43648" xr:uid="{00000000-0005-0000-0000-0000A47B0000}"/>
    <cellStyle name="Normal 33 2" xfId="5906" xr:uid="{00000000-0005-0000-0000-0000A57B0000}"/>
    <cellStyle name="Normal 33 2 2" xfId="7148" xr:uid="{00000000-0005-0000-0000-0000A67B0000}"/>
    <cellStyle name="Normal 33 2 2 2" xfId="25800" xr:uid="{00000000-0005-0000-0000-0000A77B0000}"/>
    <cellStyle name="Normal 33 2 2 3" xfId="30013" xr:uid="{00000000-0005-0000-0000-0000A87B0000}"/>
    <cellStyle name="Normal 33 2 2 4" xfId="34228" xr:uid="{00000000-0005-0000-0000-0000A97B0000}"/>
    <cellStyle name="Normal 33 2 2 5" xfId="38432" xr:uid="{00000000-0005-0000-0000-0000AA7B0000}"/>
    <cellStyle name="Normal 33 2 3" xfId="11415" xr:uid="{00000000-0005-0000-0000-0000AB7B0000}"/>
    <cellStyle name="Normal 33 2 4" xfId="43653" xr:uid="{00000000-0005-0000-0000-0000AC7B0000}"/>
    <cellStyle name="Normal 33 3" xfId="5843" xr:uid="{00000000-0005-0000-0000-0000AD7B0000}"/>
    <cellStyle name="Normal 33 3 2" xfId="7281" xr:uid="{00000000-0005-0000-0000-0000AE7B0000}"/>
    <cellStyle name="Normal 33 3 2 2" xfId="25914" xr:uid="{00000000-0005-0000-0000-0000AF7B0000}"/>
    <cellStyle name="Normal 33 3 2 3" xfId="30127" xr:uid="{00000000-0005-0000-0000-0000B07B0000}"/>
    <cellStyle name="Normal 33 3 2 4" xfId="34342" xr:uid="{00000000-0005-0000-0000-0000B17B0000}"/>
    <cellStyle name="Normal 33 3 2 5" xfId="38546" xr:uid="{00000000-0005-0000-0000-0000B27B0000}"/>
    <cellStyle name="Normal 33 3 3" xfId="11368" xr:uid="{00000000-0005-0000-0000-0000B37B0000}"/>
    <cellStyle name="Normal 33 3 4" xfId="43654" xr:uid="{00000000-0005-0000-0000-0000B47B0000}"/>
    <cellStyle name="Normal 33 4" xfId="7399" xr:uid="{00000000-0005-0000-0000-0000B57B0000}"/>
    <cellStyle name="Normal 33 4 2" xfId="26032" xr:uid="{00000000-0005-0000-0000-0000B67B0000}"/>
    <cellStyle name="Normal 33 4 2 2" xfId="43655" xr:uid="{00000000-0005-0000-0000-0000B77B0000}"/>
    <cellStyle name="Normal 33 4 3" xfId="30245" xr:uid="{00000000-0005-0000-0000-0000B87B0000}"/>
    <cellStyle name="Normal 33 4 4" xfId="34460" xr:uid="{00000000-0005-0000-0000-0000B97B0000}"/>
    <cellStyle name="Normal 33 4 5" xfId="38664" xr:uid="{00000000-0005-0000-0000-0000BA7B0000}"/>
    <cellStyle name="Normal 33 5" xfId="7517" xr:uid="{00000000-0005-0000-0000-0000BB7B0000}"/>
    <cellStyle name="Normal 33 5 2" xfId="26150" xr:uid="{00000000-0005-0000-0000-0000BC7B0000}"/>
    <cellStyle name="Normal 33 5 2 2" xfId="43656" xr:uid="{00000000-0005-0000-0000-0000BD7B0000}"/>
    <cellStyle name="Normal 33 5 3" xfId="30363" xr:uid="{00000000-0005-0000-0000-0000BE7B0000}"/>
    <cellStyle name="Normal 33 5 4" xfId="34578" xr:uid="{00000000-0005-0000-0000-0000BF7B0000}"/>
    <cellStyle name="Normal 33 5 5" xfId="38782" xr:uid="{00000000-0005-0000-0000-0000C07B0000}"/>
    <cellStyle name="Normal 33 6" xfId="9019" xr:uid="{00000000-0005-0000-0000-0000C17B0000}"/>
    <cellStyle name="Normal 33 6 2" xfId="26590" xr:uid="{00000000-0005-0000-0000-0000C27B0000}"/>
    <cellStyle name="Normal 33 6 2 2" xfId="43657" xr:uid="{00000000-0005-0000-0000-0000C37B0000}"/>
    <cellStyle name="Normal 33 6 3" xfId="30803" xr:uid="{00000000-0005-0000-0000-0000C47B0000}"/>
    <cellStyle name="Normal 33 6 4" xfId="35018" xr:uid="{00000000-0005-0000-0000-0000C57B0000}"/>
    <cellStyle name="Normal 33 6 5" xfId="39222" xr:uid="{00000000-0005-0000-0000-0000C67B0000}"/>
    <cellStyle name="Normal 33 7" xfId="9141" xr:uid="{00000000-0005-0000-0000-0000C77B0000}"/>
    <cellStyle name="Normal 33 7 2" xfId="26712" xr:uid="{00000000-0005-0000-0000-0000C87B0000}"/>
    <cellStyle name="Normal 33 7 2 2" xfId="43658" xr:uid="{00000000-0005-0000-0000-0000C97B0000}"/>
    <cellStyle name="Normal 33 7 3" xfId="30925" xr:uid="{00000000-0005-0000-0000-0000CA7B0000}"/>
    <cellStyle name="Normal 33 7 4" xfId="35140" xr:uid="{00000000-0005-0000-0000-0000CB7B0000}"/>
    <cellStyle name="Normal 33 7 5" xfId="39344" xr:uid="{00000000-0005-0000-0000-0000CC7B0000}"/>
    <cellStyle name="Normal 33 8" xfId="9261" xr:uid="{00000000-0005-0000-0000-0000CD7B0000}"/>
    <cellStyle name="Normal 33 8 2" xfId="26832" xr:uid="{00000000-0005-0000-0000-0000CE7B0000}"/>
    <cellStyle name="Normal 33 8 2 2" xfId="43659" xr:uid="{00000000-0005-0000-0000-0000CF7B0000}"/>
    <cellStyle name="Normal 33 8 3" xfId="31045" xr:uid="{00000000-0005-0000-0000-0000D07B0000}"/>
    <cellStyle name="Normal 33 8 4" xfId="35260" xr:uid="{00000000-0005-0000-0000-0000D17B0000}"/>
    <cellStyle name="Normal 33 8 5" xfId="39464" xr:uid="{00000000-0005-0000-0000-0000D27B0000}"/>
    <cellStyle name="Normal 33 9" xfId="9382" xr:uid="{00000000-0005-0000-0000-0000D37B0000}"/>
    <cellStyle name="Normal 33 9 2" xfId="26953" xr:uid="{00000000-0005-0000-0000-0000D47B0000}"/>
    <cellStyle name="Normal 33 9 2 2" xfId="43660" xr:uid="{00000000-0005-0000-0000-0000D57B0000}"/>
    <cellStyle name="Normal 33 9 3" xfId="31166" xr:uid="{00000000-0005-0000-0000-0000D67B0000}"/>
    <cellStyle name="Normal 33 9 4" xfId="35381" xr:uid="{00000000-0005-0000-0000-0000D77B0000}"/>
    <cellStyle name="Normal 33 9 5" xfId="39585" xr:uid="{00000000-0005-0000-0000-0000D87B0000}"/>
    <cellStyle name="Normal 33_Scen_XBase" xfId="43661" xr:uid="{00000000-0005-0000-0000-0000D97B0000}"/>
    <cellStyle name="Normal 34" xfId="3977" xr:uid="{00000000-0005-0000-0000-0000DA7B0000}"/>
    <cellStyle name="Normal 34 10" xfId="9262" xr:uid="{00000000-0005-0000-0000-0000DB7B0000}"/>
    <cellStyle name="Normal 34 10 2" xfId="26833" xr:uid="{00000000-0005-0000-0000-0000DC7B0000}"/>
    <cellStyle name="Normal 34 10 3" xfId="31046" xr:uid="{00000000-0005-0000-0000-0000DD7B0000}"/>
    <cellStyle name="Normal 34 10 4" xfId="35261" xr:uid="{00000000-0005-0000-0000-0000DE7B0000}"/>
    <cellStyle name="Normal 34 10 5" xfId="39465" xr:uid="{00000000-0005-0000-0000-0000DF7B0000}"/>
    <cellStyle name="Normal 34 11" xfId="9383" xr:uid="{00000000-0005-0000-0000-0000E07B0000}"/>
    <cellStyle name="Normal 34 11 2" xfId="26954" xr:uid="{00000000-0005-0000-0000-0000E17B0000}"/>
    <cellStyle name="Normal 34 11 3" xfId="31167" xr:uid="{00000000-0005-0000-0000-0000E27B0000}"/>
    <cellStyle name="Normal 34 11 4" xfId="35382" xr:uid="{00000000-0005-0000-0000-0000E37B0000}"/>
    <cellStyle name="Normal 34 11 5" xfId="39586" xr:uid="{00000000-0005-0000-0000-0000E47B0000}"/>
    <cellStyle name="Normal 34 12" xfId="9502" xr:uid="{00000000-0005-0000-0000-0000E57B0000}"/>
    <cellStyle name="Normal 34 12 2" xfId="27073" xr:uid="{00000000-0005-0000-0000-0000E67B0000}"/>
    <cellStyle name="Normal 34 12 3" xfId="31286" xr:uid="{00000000-0005-0000-0000-0000E77B0000}"/>
    <cellStyle name="Normal 34 12 4" xfId="35501" xr:uid="{00000000-0005-0000-0000-0000E87B0000}"/>
    <cellStyle name="Normal 34 12 5" xfId="39705" xr:uid="{00000000-0005-0000-0000-0000E97B0000}"/>
    <cellStyle name="Normal 34 13" xfId="7033" xr:uid="{00000000-0005-0000-0000-0000EA7B0000}"/>
    <cellStyle name="Normal 34 13 2" xfId="25712" xr:uid="{00000000-0005-0000-0000-0000EB7B0000}"/>
    <cellStyle name="Normal 34 13 3" xfId="29925" xr:uid="{00000000-0005-0000-0000-0000EC7B0000}"/>
    <cellStyle name="Normal 34 13 4" xfId="34140" xr:uid="{00000000-0005-0000-0000-0000ED7B0000}"/>
    <cellStyle name="Normal 34 13 5" xfId="38344" xr:uid="{00000000-0005-0000-0000-0000EE7B0000}"/>
    <cellStyle name="Normal 34 14" xfId="11143" xr:uid="{00000000-0005-0000-0000-0000EF7B0000}"/>
    <cellStyle name="Normal 34 2" xfId="5907" xr:uid="{00000000-0005-0000-0000-0000F07B0000}"/>
    <cellStyle name="Normal 34 2 10" xfId="9503" xr:uid="{00000000-0005-0000-0000-0000F17B0000}"/>
    <cellStyle name="Normal 34 2 10 2" xfId="27074" xr:uid="{00000000-0005-0000-0000-0000F27B0000}"/>
    <cellStyle name="Normal 34 2 10 3" xfId="31287" xr:uid="{00000000-0005-0000-0000-0000F37B0000}"/>
    <cellStyle name="Normal 34 2 10 4" xfId="35502" xr:uid="{00000000-0005-0000-0000-0000F47B0000}"/>
    <cellStyle name="Normal 34 2 10 5" xfId="39706" xr:uid="{00000000-0005-0000-0000-0000F57B0000}"/>
    <cellStyle name="Normal 34 2 11" xfId="7034" xr:uid="{00000000-0005-0000-0000-0000F67B0000}"/>
    <cellStyle name="Normal 34 2 11 2" xfId="25713" xr:uid="{00000000-0005-0000-0000-0000F77B0000}"/>
    <cellStyle name="Normal 34 2 11 3" xfId="29926" xr:uid="{00000000-0005-0000-0000-0000F87B0000}"/>
    <cellStyle name="Normal 34 2 11 4" xfId="34141" xr:uid="{00000000-0005-0000-0000-0000F97B0000}"/>
    <cellStyle name="Normal 34 2 11 5" xfId="38345" xr:uid="{00000000-0005-0000-0000-0000FA7B0000}"/>
    <cellStyle name="Normal 34 2 12" xfId="11416" xr:uid="{00000000-0005-0000-0000-0000FB7B0000}"/>
    <cellStyle name="Normal 34 2 2" xfId="7150" xr:uid="{00000000-0005-0000-0000-0000FC7B0000}"/>
    <cellStyle name="Normal 34 2 2 2" xfId="25802" xr:uid="{00000000-0005-0000-0000-0000FD7B0000}"/>
    <cellStyle name="Normal 34 2 2 3" xfId="30015" xr:uid="{00000000-0005-0000-0000-0000FE7B0000}"/>
    <cellStyle name="Normal 34 2 2 4" xfId="34230" xr:uid="{00000000-0005-0000-0000-0000FF7B0000}"/>
    <cellStyle name="Normal 34 2 2 5" xfId="38434" xr:uid="{00000000-0005-0000-0000-0000007C0000}"/>
    <cellStyle name="Normal 34 2 3" xfId="7283" xr:uid="{00000000-0005-0000-0000-0000017C0000}"/>
    <cellStyle name="Normal 34 2 3 2" xfId="25916" xr:uid="{00000000-0005-0000-0000-0000027C0000}"/>
    <cellStyle name="Normal 34 2 3 3" xfId="30129" xr:uid="{00000000-0005-0000-0000-0000037C0000}"/>
    <cellStyle name="Normal 34 2 3 4" xfId="34344" xr:uid="{00000000-0005-0000-0000-0000047C0000}"/>
    <cellStyle name="Normal 34 2 3 5" xfId="38548" xr:uid="{00000000-0005-0000-0000-0000057C0000}"/>
    <cellStyle name="Normal 34 2 4" xfId="7401" xr:uid="{00000000-0005-0000-0000-0000067C0000}"/>
    <cellStyle name="Normal 34 2 4 2" xfId="26034" xr:uid="{00000000-0005-0000-0000-0000077C0000}"/>
    <cellStyle name="Normal 34 2 4 3" xfId="30247" xr:uid="{00000000-0005-0000-0000-0000087C0000}"/>
    <cellStyle name="Normal 34 2 4 4" xfId="34462" xr:uid="{00000000-0005-0000-0000-0000097C0000}"/>
    <cellStyle name="Normal 34 2 4 5" xfId="38666" xr:uid="{00000000-0005-0000-0000-00000A7C0000}"/>
    <cellStyle name="Normal 34 2 5" xfId="7519" xr:uid="{00000000-0005-0000-0000-00000B7C0000}"/>
    <cellStyle name="Normal 34 2 5 2" xfId="26152" xr:uid="{00000000-0005-0000-0000-00000C7C0000}"/>
    <cellStyle name="Normal 34 2 5 3" xfId="30365" xr:uid="{00000000-0005-0000-0000-00000D7C0000}"/>
    <cellStyle name="Normal 34 2 5 4" xfId="34580" xr:uid="{00000000-0005-0000-0000-00000E7C0000}"/>
    <cellStyle name="Normal 34 2 5 5" xfId="38784" xr:uid="{00000000-0005-0000-0000-00000F7C0000}"/>
    <cellStyle name="Normal 34 2 6" xfId="9021" xr:uid="{00000000-0005-0000-0000-0000107C0000}"/>
    <cellStyle name="Normal 34 2 6 2" xfId="26592" xr:uid="{00000000-0005-0000-0000-0000117C0000}"/>
    <cellStyle name="Normal 34 2 6 3" xfId="30805" xr:uid="{00000000-0005-0000-0000-0000127C0000}"/>
    <cellStyle name="Normal 34 2 6 4" xfId="35020" xr:uid="{00000000-0005-0000-0000-0000137C0000}"/>
    <cellStyle name="Normal 34 2 6 5" xfId="39224" xr:uid="{00000000-0005-0000-0000-0000147C0000}"/>
    <cellStyle name="Normal 34 2 7" xfId="9143" xr:uid="{00000000-0005-0000-0000-0000157C0000}"/>
    <cellStyle name="Normal 34 2 7 2" xfId="26714" xr:uid="{00000000-0005-0000-0000-0000167C0000}"/>
    <cellStyle name="Normal 34 2 7 3" xfId="30927" xr:uid="{00000000-0005-0000-0000-0000177C0000}"/>
    <cellStyle name="Normal 34 2 7 4" xfId="35142" xr:uid="{00000000-0005-0000-0000-0000187C0000}"/>
    <cellStyle name="Normal 34 2 7 5" xfId="39346" xr:uid="{00000000-0005-0000-0000-0000197C0000}"/>
    <cellStyle name="Normal 34 2 8" xfId="9263" xr:uid="{00000000-0005-0000-0000-00001A7C0000}"/>
    <cellStyle name="Normal 34 2 8 2" xfId="26834" xr:uid="{00000000-0005-0000-0000-00001B7C0000}"/>
    <cellStyle name="Normal 34 2 8 3" xfId="31047" xr:uid="{00000000-0005-0000-0000-00001C7C0000}"/>
    <cellStyle name="Normal 34 2 8 4" xfId="35262" xr:uid="{00000000-0005-0000-0000-00001D7C0000}"/>
    <cellStyle name="Normal 34 2 8 5" xfId="39466" xr:uid="{00000000-0005-0000-0000-00001E7C0000}"/>
    <cellStyle name="Normal 34 2 9" xfId="9384" xr:uid="{00000000-0005-0000-0000-00001F7C0000}"/>
    <cellStyle name="Normal 34 2 9 2" xfId="26955" xr:uid="{00000000-0005-0000-0000-0000207C0000}"/>
    <cellStyle name="Normal 34 2 9 3" xfId="31168" xr:uid="{00000000-0005-0000-0000-0000217C0000}"/>
    <cellStyle name="Normal 34 2 9 4" xfId="35383" xr:uid="{00000000-0005-0000-0000-0000227C0000}"/>
    <cellStyle name="Normal 34 2 9 5" xfId="39587" xr:uid="{00000000-0005-0000-0000-0000237C0000}"/>
    <cellStyle name="Normal 34 3" xfId="5844" xr:uid="{00000000-0005-0000-0000-0000247C0000}"/>
    <cellStyle name="Normal 34 3 10" xfId="9504" xr:uid="{00000000-0005-0000-0000-0000257C0000}"/>
    <cellStyle name="Normal 34 3 10 2" xfId="27075" xr:uid="{00000000-0005-0000-0000-0000267C0000}"/>
    <cellStyle name="Normal 34 3 10 3" xfId="31288" xr:uid="{00000000-0005-0000-0000-0000277C0000}"/>
    <cellStyle name="Normal 34 3 10 4" xfId="35503" xr:uid="{00000000-0005-0000-0000-0000287C0000}"/>
    <cellStyle name="Normal 34 3 10 5" xfId="39707" xr:uid="{00000000-0005-0000-0000-0000297C0000}"/>
    <cellStyle name="Normal 34 3 11" xfId="7035" xr:uid="{00000000-0005-0000-0000-00002A7C0000}"/>
    <cellStyle name="Normal 34 3 11 2" xfId="25714" xr:uid="{00000000-0005-0000-0000-00002B7C0000}"/>
    <cellStyle name="Normal 34 3 11 3" xfId="29927" xr:uid="{00000000-0005-0000-0000-00002C7C0000}"/>
    <cellStyle name="Normal 34 3 11 4" xfId="34142" xr:uid="{00000000-0005-0000-0000-00002D7C0000}"/>
    <cellStyle name="Normal 34 3 11 5" xfId="38346" xr:uid="{00000000-0005-0000-0000-00002E7C0000}"/>
    <cellStyle name="Normal 34 3 12" xfId="11369" xr:uid="{00000000-0005-0000-0000-00002F7C0000}"/>
    <cellStyle name="Normal 34 3 2" xfId="7151" xr:uid="{00000000-0005-0000-0000-0000307C0000}"/>
    <cellStyle name="Normal 34 3 2 2" xfId="25803" xr:uid="{00000000-0005-0000-0000-0000317C0000}"/>
    <cellStyle name="Normal 34 3 2 3" xfId="30016" xr:uid="{00000000-0005-0000-0000-0000327C0000}"/>
    <cellStyle name="Normal 34 3 2 4" xfId="34231" xr:uid="{00000000-0005-0000-0000-0000337C0000}"/>
    <cellStyle name="Normal 34 3 2 5" xfId="38435" xr:uid="{00000000-0005-0000-0000-0000347C0000}"/>
    <cellStyle name="Normal 34 3 3" xfId="7284" xr:uid="{00000000-0005-0000-0000-0000357C0000}"/>
    <cellStyle name="Normal 34 3 3 2" xfId="25917" xr:uid="{00000000-0005-0000-0000-0000367C0000}"/>
    <cellStyle name="Normal 34 3 3 3" xfId="30130" xr:uid="{00000000-0005-0000-0000-0000377C0000}"/>
    <cellStyle name="Normal 34 3 3 4" xfId="34345" xr:uid="{00000000-0005-0000-0000-0000387C0000}"/>
    <cellStyle name="Normal 34 3 3 5" xfId="38549" xr:uid="{00000000-0005-0000-0000-0000397C0000}"/>
    <cellStyle name="Normal 34 3 4" xfId="7402" xr:uid="{00000000-0005-0000-0000-00003A7C0000}"/>
    <cellStyle name="Normal 34 3 4 2" xfId="26035" xr:uid="{00000000-0005-0000-0000-00003B7C0000}"/>
    <cellStyle name="Normal 34 3 4 3" xfId="30248" xr:uid="{00000000-0005-0000-0000-00003C7C0000}"/>
    <cellStyle name="Normal 34 3 4 4" xfId="34463" xr:uid="{00000000-0005-0000-0000-00003D7C0000}"/>
    <cellStyle name="Normal 34 3 4 5" xfId="38667" xr:uid="{00000000-0005-0000-0000-00003E7C0000}"/>
    <cellStyle name="Normal 34 3 5" xfId="7520" xr:uid="{00000000-0005-0000-0000-00003F7C0000}"/>
    <cellStyle name="Normal 34 3 5 2" xfId="26153" xr:uid="{00000000-0005-0000-0000-0000407C0000}"/>
    <cellStyle name="Normal 34 3 5 3" xfId="30366" xr:uid="{00000000-0005-0000-0000-0000417C0000}"/>
    <cellStyle name="Normal 34 3 5 4" xfId="34581" xr:uid="{00000000-0005-0000-0000-0000427C0000}"/>
    <cellStyle name="Normal 34 3 5 5" xfId="38785" xr:uid="{00000000-0005-0000-0000-0000437C0000}"/>
    <cellStyle name="Normal 34 3 6" xfId="9022" xr:uid="{00000000-0005-0000-0000-0000447C0000}"/>
    <cellStyle name="Normal 34 3 6 2" xfId="26593" xr:uid="{00000000-0005-0000-0000-0000457C0000}"/>
    <cellStyle name="Normal 34 3 6 3" xfId="30806" xr:uid="{00000000-0005-0000-0000-0000467C0000}"/>
    <cellStyle name="Normal 34 3 6 4" xfId="35021" xr:uid="{00000000-0005-0000-0000-0000477C0000}"/>
    <cellStyle name="Normal 34 3 6 5" xfId="39225" xr:uid="{00000000-0005-0000-0000-0000487C0000}"/>
    <cellStyle name="Normal 34 3 7" xfId="9144" xr:uid="{00000000-0005-0000-0000-0000497C0000}"/>
    <cellStyle name="Normal 34 3 7 2" xfId="26715" xr:uid="{00000000-0005-0000-0000-00004A7C0000}"/>
    <cellStyle name="Normal 34 3 7 3" xfId="30928" xr:uid="{00000000-0005-0000-0000-00004B7C0000}"/>
    <cellStyle name="Normal 34 3 7 4" xfId="35143" xr:uid="{00000000-0005-0000-0000-00004C7C0000}"/>
    <cellStyle name="Normal 34 3 7 5" xfId="39347" xr:uid="{00000000-0005-0000-0000-00004D7C0000}"/>
    <cellStyle name="Normal 34 3 8" xfId="9264" xr:uid="{00000000-0005-0000-0000-00004E7C0000}"/>
    <cellStyle name="Normal 34 3 8 2" xfId="26835" xr:uid="{00000000-0005-0000-0000-00004F7C0000}"/>
    <cellStyle name="Normal 34 3 8 3" xfId="31048" xr:uid="{00000000-0005-0000-0000-0000507C0000}"/>
    <cellStyle name="Normal 34 3 8 4" xfId="35263" xr:uid="{00000000-0005-0000-0000-0000517C0000}"/>
    <cellStyle name="Normal 34 3 8 5" xfId="39467" xr:uid="{00000000-0005-0000-0000-0000527C0000}"/>
    <cellStyle name="Normal 34 3 9" xfId="9385" xr:uid="{00000000-0005-0000-0000-0000537C0000}"/>
    <cellStyle name="Normal 34 3 9 2" xfId="26956" xr:uid="{00000000-0005-0000-0000-0000547C0000}"/>
    <cellStyle name="Normal 34 3 9 3" xfId="31169" xr:uid="{00000000-0005-0000-0000-0000557C0000}"/>
    <cellStyle name="Normal 34 3 9 4" xfId="35384" xr:uid="{00000000-0005-0000-0000-0000567C0000}"/>
    <cellStyle name="Normal 34 3 9 5" xfId="39588" xr:uid="{00000000-0005-0000-0000-0000577C0000}"/>
    <cellStyle name="Normal 34 4" xfId="7149" xr:uid="{00000000-0005-0000-0000-0000587C0000}"/>
    <cellStyle name="Normal 34 4 2" xfId="25801" xr:uid="{00000000-0005-0000-0000-0000597C0000}"/>
    <cellStyle name="Normal 34 4 3" xfId="30014" xr:uid="{00000000-0005-0000-0000-00005A7C0000}"/>
    <cellStyle name="Normal 34 4 4" xfId="34229" xr:uid="{00000000-0005-0000-0000-00005B7C0000}"/>
    <cellStyle name="Normal 34 4 5" xfId="38433" xr:uid="{00000000-0005-0000-0000-00005C7C0000}"/>
    <cellStyle name="Normal 34 5" xfId="7282" xr:uid="{00000000-0005-0000-0000-00005D7C0000}"/>
    <cellStyle name="Normal 34 5 2" xfId="25915" xr:uid="{00000000-0005-0000-0000-00005E7C0000}"/>
    <cellStyle name="Normal 34 5 3" xfId="30128" xr:uid="{00000000-0005-0000-0000-00005F7C0000}"/>
    <cellStyle name="Normal 34 5 4" xfId="34343" xr:uid="{00000000-0005-0000-0000-0000607C0000}"/>
    <cellStyle name="Normal 34 5 5" xfId="38547" xr:uid="{00000000-0005-0000-0000-0000617C0000}"/>
    <cellStyle name="Normal 34 6" xfId="7400" xr:uid="{00000000-0005-0000-0000-0000627C0000}"/>
    <cellStyle name="Normal 34 6 2" xfId="26033" xr:uid="{00000000-0005-0000-0000-0000637C0000}"/>
    <cellStyle name="Normal 34 6 3" xfId="30246" xr:uid="{00000000-0005-0000-0000-0000647C0000}"/>
    <cellStyle name="Normal 34 6 4" xfId="34461" xr:uid="{00000000-0005-0000-0000-0000657C0000}"/>
    <cellStyle name="Normal 34 6 5" xfId="38665" xr:uid="{00000000-0005-0000-0000-0000667C0000}"/>
    <cellStyle name="Normal 34 7" xfId="7518" xr:uid="{00000000-0005-0000-0000-0000677C0000}"/>
    <cellStyle name="Normal 34 7 2" xfId="26151" xr:uid="{00000000-0005-0000-0000-0000687C0000}"/>
    <cellStyle name="Normal 34 7 3" xfId="30364" xr:uid="{00000000-0005-0000-0000-0000697C0000}"/>
    <cellStyle name="Normal 34 7 4" xfId="34579" xr:uid="{00000000-0005-0000-0000-00006A7C0000}"/>
    <cellStyle name="Normal 34 7 5" xfId="38783" xr:uid="{00000000-0005-0000-0000-00006B7C0000}"/>
    <cellStyle name="Normal 34 8" xfId="9020" xr:uid="{00000000-0005-0000-0000-00006C7C0000}"/>
    <cellStyle name="Normal 34 8 2" xfId="26591" xr:uid="{00000000-0005-0000-0000-00006D7C0000}"/>
    <cellStyle name="Normal 34 8 3" xfId="30804" xr:uid="{00000000-0005-0000-0000-00006E7C0000}"/>
    <cellStyle name="Normal 34 8 4" xfId="35019" xr:uid="{00000000-0005-0000-0000-00006F7C0000}"/>
    <cellStyle name="Normal 34 8 5" xfId="39223" xr:uid="{00000000-0005-0000-0000-0000707C0000}"/>
    <cellStyle name="Normal 34 9" xfId="9142" xr:uid="{00000000-0005-0000-0000-0000717C0000}"/>
    <cellStyle name="Normal 34 9 2" xfId="26713" xr:uid="{00000000-0005-0000-0000-0000727C0000}"/>
    <cellStyle name="Normal 34 9 3" xfId="30926" xr:uid="{00000000-0005-0000-0000-0000737C0000}"/>
    <cellStyle name="Normal 34 9 4" xfId="35141" xr:uid="{00000000-0005-0000-0000-0000747C0000}"/>
    <cellStyle name="Normal 34 9 5" xfId="39345" xr:uid="{00000000-0005-0000-0000-0000757C0000}"/>
    <cellStyle name="Normal 35" xfId="3978" xr:uid="{00000000-0005-0000-0000-0000767C0000}"/>
    <cellStyle name="Normal 35 10" xfId="9265" xr:uid="{00000000-0005-0000-0000-0000777C0000}"/>
    <cellStyle name="Normal 35 10 2" xfId="26836" xr:uid="{00000000-0005-0000-0000-0000787C0000}"/>
    <cellStyle name="Normal 35 10 3" xfId="31049" xr:uid="{00000000-0005-0000-0000-0000797C0000}"/>
    <cellStyle name="Normal 35 10 4" xfId="35264" xr:uid="{00000000-0005-0000-0000-00007A7C0000}"/>
    <cellStyle name="Normal 35 10 5" xfId="39468" xr:uid="{00000000-0005-0000-0000-00007B7C0000}"/>
    <cellStyle name="Normal 35 11" xfId="9386" xr:uid="{00000000-0005-0000-0000-00007C7C0000}"/>
    <cellStyle name="Normal 35 11 2" xfId="26957" xr:uid="{00000000-0005-0000-0000-00007D7C0000}"/>
    <cellStyle name="Normal 35 11 3" xfId="31170" xr:uid="{00000000-0005-0000-0000-00007E7C0000}"/>
    <cellStyle name="Normal 35 11 4" xfId="35385" xr:uid="{00000000-0005-0000-0000-00007F7C0000}"/>
    <cellStyle name="Normal 35 11 5" xfId="39589" xr:uid="{00000000-0005-0000-0000-0000807C0000}"/>
    <cellStyle name="Normal 35 12" xfId="9505" xr:uid="{00000000-0005-0000-0000-0000817C0000}"/>
    <cellStyle name="Normal 35 12 2" xfId="27076" xr:uid="{00000000-0005-0000-0000-0000827C0000}"/>
    <cellStyle name="Normal 35 12 3" xfId="31289" xr:uid="{00000000-0005-0000-0000-0000837C0000}"/>
    <cellStyle name="Normal 35 12 4" xfId="35504" xr:uid="{00000000-0005-0000-0000-0000847C0000}"/>
    <cellStyle name="Normal 35 12 5" xfId="39708" xr:uid="{00000000-0005-0000-0000-0000857C0000}"/>
    <cellStyle name="Normal 35 13" xfId="7036" xr:uid="{00000000-0005-0000-0000-0000867C0000}"/>
    <cellStyle name="Normal 35 13 2" xfId="25715" xr:uid="{00000000-0005-0000-0000-0000877C0000}"/>
    <cellStyle name="Normal 35 13 3" xfId="29928" xr:uid="{00000000-0005-0000-0000-0000887C0000}"/>
    <cellStyle name="Normal 35 13 4" xfId="34143" xr:uid="{00000000-0005-0000-0000-0000897C0000}"/>
    <cellStyle name="Normal 35 13 5" xfId="38347" xr:uid="{00000000-0005-0000-0000-00008A7C0000}"/>
    <cellStyle name="Normal 35 14" xfId="11144" xr:uid="{00000000-0005-0000-0000-00008B7C0000}"/>
    <cellStyle name="Normal 35 2" xfId="5908" xr:uid="{00000000-0005-0000-0000-00008C7C0000}"/>
    <cellStyle name="Normal 35 2 10" xfId="9506" xr:uid="{00000000-0005-0000-0000-00008D7C0000}"/>
    <cellStyle name="Normal 35 2 10 2" xfId="27077" xr:uid="{00000000-0005-0000-0000-00008E7C0000}"/>
    <cellStyle name="Normal 35 2 10 3" xfId="31290" xr:uid="{00000000-0005-0000-0000-00008F7C0000}"/>
    <cellStyle name="Normal 35 2 10 4" xfId="35505" xr:uid="{00000000-0005-0000-0000-0000907C0000}"/>
    <cellStyle name="Normal 35 2 10 5" xfId="39709" xr:uid="{00000000-0005-0000-0000-0000917C0000}"/>
    <cellStyle name="Normal 35 2 11" xfId="7037" xr:uid="{00000000-0005-0000-0000-0000927C0000}"/>
    <cellStyle name="Normal 35 2 11 2" xfId="25716" xr:uid="{00000000-0005-0000-0000-0000937C0000}"/>
    <cellStyle name="Normal 35 2 11 3" xfId="29929" xr:uid="{00000000-0005-0000-0000-0000947C0000}"/>
    <cellStyle name="Normal 35 2 11 4" xfId="34144" xr:uid="{00000000-0005-0000-0000-0000957C0000}"/>
    <cellStyle name="Normal 35 2 11 5" xfId="38348" xr:uid="{00000000-0005-0000-0000-0000967C0000}"/>
    <cellStyle name="Normal 35 2 12" xfId="11417" xr:uid="{00000000-0005-0000-0000-0000977C0000}"/>
    <cellStyle name="Normal 35 2 2" xfId="7153" xr:uid="{00000000-0005-0000-0000-0000987C0000}"/>
    <cellStyle name="Normal 35 2 2 2" xfId="25805" xr:uid="{00000000-0005-0000-0000-0000997C0000}"/>
    <cellStyle name="Normal 35 2 2 3" xfId="30018" xr:uid="{00000000-0005-0000-0000-00009A7C0000}"/>
    <cellStyle name="Normal 35 2 2 4" xfId="34233" xr:uid="{00000000-0005-0000-0000-00009B7C0000}"/>
    <cellStyle name="Normal 35 2 2 5" xfId="38437" xr:uid="{00000000-0005-0000-0000-00009C7C0000}"/>
    <cellStyle name="Normal 35 2 3" xfId="7286" xr:uid="{00000000-0005-0000-0000-00009D7C0000}"/>
    <cellStyle name="Normal 35 2 3 2" xfId="25919" xr:uid="{00000000-0005-0000-0000-00009E7C0000}"/>
    <cellStyle name="Normal 35 2 3 3" xfId="30132" xr:uid="{00000000-0005-0000-0000-00009F7C0000}"/>
    <cellStyle name="Normal 35 2 3 4" xfId="34347" xr:uid="{00000000-0005-0000-0000-0000A07C0000}"/>
    <cellStyle name="Normal 35 2 3 5" xfId="38551" xr:uid="{00000000-0005-0000-0000-0000A17C0000}"/>
    <cellStyle name="Normal 35 2 4" xfId="7404" xr:uid="{00000000-0005-0000-0000-0000A27C0000}"/>
    <cellStyle name="Normal 35 2 4 2" xfId="26037" xr:uid="{00000000-0005-0000-0000-0000A37C0000}"/>
    <cellStyle name="Normal 35 2 4 3" xfId="30250" xr:uid="{00000000-0005-0000-0000-0000A47C0000}"/>
    <cellStyle name="Normal 35 2 4 4" xfId="34465" xr:uid="{00000000-0005-0000-0000-0000A57C0000}"/>
    <cellStyle name="Normal 35 2 4 5" xfId="38669" xr:uid="{00000000-0005-0000-0000-0000A67C0000}"/>
    <cellStyle name="Normal 35 2 5" xfId="7522" xr:uid="{00000000-0005-0000-0000-0000A77C0000}"/>
    <cellStyle name="Normal 35 2 5 2" xfId="26155" xr:uid="{00000000-0005-0000-0000-0000A87C0000}"/>
    <cellStyle name="Normal 35 2 5 3" xfId="30368" xr:uid="{00000000-0005-0000-0000-0000A97C0000}"/>
    <cellStyle name="Normal 35 2 5 4" xfId="34583" xr:uid="{00000000-0005-0000-0000-0000AA7C0000}"/>
    <cellStyle name="Normal 35 2 5 5" xfId="38787" xr:uid="{00000000-0005-0000-0000-0000AB7C0000}"/>
    <cellStyle name="Normal 35 2 6" xfId="9024" xr:uid="{00000000-0005-0000-0000-0000AC7C0000}"/>
    <cellStyle name="Normal 35 2 6 2" xfId="26595" xr:uid="{00000000-0005-0000-0000-0000AD7C0000}"/>
    <cellStyle name="Normal 35 2 6 3" xfId="30808" xr:uid="{00000000-0005-0000-0000-0000AE7C0000}"/>
    <cellStyle name="Normal 35 2 6 4" xfId="35023" xr:uid="{00000000-0005-0000-0000-0000AF7C0000}"/>
    <cellStyle name="Normal 35 2 6 5" xfId="39227" xr:uid="{00000000-0005-0000-0000-0000B07C0000}"/>
    <cellStyle name="Normal 35 2 7" xfId="9146" xr:uid="{00000000-0005-0000-0000-0000B17C0000}"/>
    <cellStyle name="Normal 35 2 7 2" xfId="26717" xr:uid="{00000000-0005-0000-0000-0000B27C0000}"/>
    <cellStyle name="Normal 35 2 7 3" xfId="30930" xr:uid="{00000000-0005-0000-0000-0000B37C0000}"/>
    <cellStyle name="Normal 35 2 7 4" xfId="35145" xr:uid="{00000000-0005-0000-0000-0000B47C0000}"/>
    <cellStyle name="Normal 35 2 7 5" xfId="39349" xr:uid="{00000000-0005-0000-0000-0000B57C0000}"/>
    <cellStyle name="Normal 35 2 8" xfId="9266" xr:uid="{00000000-0005-0000-0000-0000B67C0000}"/>
    <cellStyle name="Normal 35 2 8 2" xfId="26837" xr:uid="{00000000-0005-0000-0000-0000B77C0000}"/>
    <cellStyle name="Normal 35 2 8 3" xfId="31050" xr:uid="{00000000-0005-0000-0000-0000B87C0000}"/>
    <cellStyle name="Normal 35 2 8 4" xfId="35265" xr:uid="{00000000-0005-0000-0000-0000B97C0000}"/>
    <cellStyle name="Normal 35 2 8 5" xfId="39469" xr:uid="{00000000-0005-0000-0000-0000BA7C0000}"/>
    <cellStyle name="Normal 35 2 9" xfId="9387" xr:uid="{00000000-0005-0000-0000-0000BB7C0000}"/>
    <cellStyle name="Normal 35 2 9 2" xfId="26958" xr:uid="{00000000-0005-0000-0000-0000BC7C0000}"/>
    <cellStyle name="Normal 35 2 9 3" xfId="31171" xr:uid="{00000000-0005-0000-0000-0000BD7C0000}"/>
    <cellStyle name="Normal 35 2 9 4" xfId="35386" xr:uid="{00000000-0005-0000-0000-0000BE7C0000}"/>
    <cellStyle name="Normal 35 2 9 5" xfId="39590" xr:uid="{00000000-0005-0000-0000-0000BF7C0000}"/>
    <cellStyle name="Normal 35 3" xfId="5845" xr:uid="{00000000-0005-0000-0000-0000C07C0000}"/>
    <cellStyle name="Normal 35 3 10" xfId="9507" xr:uid="{00000000-0005-0000-0000-0000C17C0000}"/>
    <cellStyle name="Normal 35 3 10 2" xfId="27078" xr:uid="{00000000-0005-0000-0000-0000C27C0000}"/>
    <cellStyle name="Normal 35 3 10 3" xfId="31291" xr:uid="{00000000-0005-0000-0000-0000C37C0000}"/>
    <cellStyle name="Normal 35 3 10 4" xfId="35506" xr:uid="{00000000-0005-0000-0000-0000C47C0000}"/>
    <cellStyle name="Normal 35 3 10 5" xfId="39710" xr:uid="{00000000-0005-0000-0000-0000C57C0000}"/>
    <cellStyle name="Normal 35 3 11" xfId="7038" xr:uid="{00000000-0005-0000-0000-0000C67C0000}"/>
    <cellStyle name="Normal 35 3 11 2" xfId="25717" xr:uid="{00000000-0005-0000-0000-0000C77C0000}"/>
    <cellStyle name="Normal 35 3 11 3" xfId="29930" xr:uid="{00000000-0005-0000-0000-0000C87C0000}"/>
    <cellStyle name="Normal 35 3 11 4" xfId="34145" xr:uid="{00000000-0005-0000-0000-0000C97C0000}"/>
    <cellStyle name="Normal 35 3 11 5" xfId="38349" xr:uid="{00000000-0005-0000-0000-0000CA7C0000}"/>
    <cellStyle name="Normal 35 3 12" xfId="11370" xr:uid="{00000000-0005-0000-0000-0000CB7C0000}"/>
    <cellStyle name="Normal 35 3 2" xfId="7154" xr:uid="{00000000-0005-0000-0000-0000CC7C0000}"/>
    <cellStyle name="Normal 35 3 2 2" xfId="25806" xr:uid="{00000000-0005-0000-0000-0000CD7C0000}"/>
    <cellStyle name="Normal 35 3 2 3" xfId="30019" xr:uid="{00000000-0005-0000-0000-0000CE7C0000}"/>
    <cellStyle name="Normal 35 3 2 4" xfId="34234" xr:uid="{00000000-0005-0000-0000-0000CF7C0000}"/>
    <cellStyle name="Normal 35 3 2 5" xfId="38438" xr:uid="{00000000-0005-0000-0000-0000D07C0000}"/>
    <cellStyle name="Normal 35 3 3" xfId="7287" xr:uid="{00000000-0005-0000-0000-0000D17C0000}"/>
    <cellStyle name="Normal 35 3 3 2" xfId="25920" xr:uid="{00000000-0005-0000-0000-0000D27C0000}"/>
    <cellStyle name="Normal 35 3 3 3" xfId="30133" xr:uid="{00000000-0005-0000-0000-0000D37C0000}"/>
    <cellStyle name="Normal 35 3 3 4" xfId="34348" xr:uid="{00000000-0005-0000-0000-0000D47C0000}"/>
    <cellStyle name="Normal 35 3 3 5" xfId="38552" xr:uid="{00000000-0005-0000-0000-0000D57C0000}"/>
    <cellStyle name="Normal 35 3 4" xfId="7405" xr:uid="{00000000-0005-0000-0000-0000D67C0000}"/>
    <cellStyle name="Normal 35 3 4 2" xfId="26038" xr:uid="{00000000-0005-0000-0000-0000D77C0000}"/>
    <cellStyle name="Normal 35 3 4 3" xfId="30251" xr:uid="{00000000-0005-0000-0000-0000D87C0000}"/>
    <cellStyle name="Normal 35 3 4 4" xfId="34466" xr:uid="{00000000-0005-0000-0000-0000D97C0000}"/>
    <cellStyle name="Normal 35 3 4 5" xfId="38670" xr:uid="{00000000-0005-0000-0000-0000DA7C0000}"/>
    <cellStyle name="Normal 35 3 5" xfId="7523" xr:uid="{00000000-0005-0000-0000-0000DB7C0000}"/>
    <cellStyle name="Normal 35 3 5 2" xfId="26156" xr:uid="{00000000-0005-0000-0000-0000DC7C0000}"/>
    <cellStyle name="Normal 35 3 5 3" xfId="30369" xr:uid="{00000000-0005-0000-0000-0000DD7C0000}"/>
    <cellStyle name="Normal 35 3 5 4" xfId="34584" xr:uid="{00000000-0005-0000-0000-0000DE7C0000}"/>
    <cellStyle name="Normal 35 3 5 5" xfId="38788" xr:uid="{00000000-0005-0000-0000-0000DF7C0000}"/>
    <cellStyle name="Normal 35 3 6" xfId="9025" xr:uid="{00000000-0005-0000-0000-0000E07C0000}"/>
    <cellStyle name="Normal 35 3 6 2" xfId="26596" xr:uid="{00000000-0005-0000-0000-0000E17C0000}"/>
    <cellStyle name="Normal 35 3 6 3" xfId="30809" xr:uid="{00000000-0005-0000-0000-0000E27C0000}"/>
    <cellStyle name="Normal 35 3 6 4" xfId="35024" xr:uid="{00000000-0005-0000-0000-0000E37C0000}"/>
    <cellStyle name="Normal 35 3 6 5" xfId="39228" xr:uid="{00000000-0005-0000-0000-0000E47C0000}"/>
    <cellStyle name="Normal 35 3 7" xfId="9147" xr:uid="{00000000-0005-0000-0000-0000E57C0000}"/>
    <cellStyle name="Normal 35 3 7 2" xfId="26718" xr:uid="{00000000-0005-0000-0000-0000E67C0000}"/>
    <cellStyle name="Normal 35 3 7 3" xfId="30931" xr:uid="{00000000-0005-0000-0000-0000E77C0000}"/>
    <cellStyle name="Normal 35 3 7 4" xfId="35146" xr:uid="{00000000-0005-0000-0000-0000E87C0000}"/>
    <cellStyle name="Normal 35 3 7 5" xfId="39350" xr:uid="{00000000-0005-0000-0000-0000E97C0000}"/>
    <cellStyle name="Normal 35 3 8" xfId="9267" xr:uid="{00000000-0005-0000-0000-0000EA7C0000}"/>
    <cellStyle name="Normal 35 3 8 2" xfId="26838" xr:uid="{00000000-0005-0000-0000-0000EB7C0000}"/>
    <cellStyle name="Normal 35 3 8 3" xfId="31051" xr:uid="{00000000-0005-0000-0000-0000EC7C0000}"/>
    <cellStyle name="Normal 35 3 8 4" xfId="35266" xr:uid="{00000000-0005-0000-0000-0000ED7C0000}"/>
    <cellStyle name="Normal 35 3 8 5" xfId="39470" xr:uid="{00000000-0005-0000-0000-0000EE7C0000}"/>
    <cellStyle name="Normal 35 3 9" xfId="9388" xr:uid="{00000000-0005-0000-0000-0000EF7C0000}"/>
    <cellStyle name="Normal 35 3 9 2" xfId="26959" xr:uid="{00000000-0005-0000-0000-0000F07C0000}"/>
    <cellStyle name="Normal 35 3 9 3" xfId="31172" xr:uid="{00000000-0005-0000-0000-0000F17C0000}"/>
    <cellStyle name="Normal 35 3 9 4" xfId="35387" xr:uid="{00000000-0005-0000-0000-0000F27C0000}"/>
    <cellStyle name="Normal 35 3 9 5" xfId="39591" xr:uid="{00000000-0005-0000-0000-0000F37C0000}"/>
    <cellStyle name="Normal 35 4" xfId="7152" xr:uid="{00000000-0005-0000-0000-0000F47C0000}"/>
    <cellStyle name="Normal 35 4 2" xfId="25804" xr:uid="{00000000-0005-0000-0000-0000F57C0000}"/>
    <cellStyle name="Normal 35 4 3" xfId="30017" xr:uid="{00000000-0005-0000-0000-0000F67C0000}"/>
    <cellStyle name="Normal 35 4 4" xfId="34232" xr:uid="{00000000-0005-0000-0000-0000F77C0000}"/>
    <cellStyle name="Normal 35 4 5" xfId="38436" xr:uid="{00000000-0005-0000-0000-0000F87C0000}"/>
    <cellStyle name="Normal 35 5" xfId="7285" xr:uid="{00000000-0005-0000-0000-0000F97C0000}"/>
    <cellStyle name="Normal 35 5 2" xfId="25918" xr:uid="{00000000-0005-0000-0000-0000FA7C0000}"/>
    <cellStyle name="Normal 35 5 3" xfId="30131" xr:uid="{00000000-0005-0000-0000-0000FB7C0000}"/>
    <cellStyle name="Normal 35 5 4" xfId="34346" xr:uid="{00000000-0005-0000-0000-0000FC7C0000}"/>
    <cellStyle name="Normal 35 5 5" xfId="38550" xr:uid="{00000000-0005-0000-0000-0000FD7C0000}"/>
    <cellStyle name="Normal 35 6" xfId="7403" xr:uid="{00000000-0005-0000-0000-0000FE7C0000}"/>
    <cellStyle name="Normal 35 6 2" xfId="26036" xr:uid="{00000000-0005-0000-0000-0000FF7C0000}"/>
    <cellStyle name="Normal 35 6 3" xfId="30249" xr:uid="{00000000-0005-0000-0000-0000007D0000}"/>
    <cellStyle name="Normal 35 6 4" xfId="34464" xr:uid="{00000000-0005-0000-0000-0000017D0000}"/>
    <cellStyle name="Normal 35 6 5" xfId="38668" xr:uid="{00000000-0005-0000-0000-0000027D0000}"/>
    <cellStyle name="Normal 35 7" xfId="7521" xr:uid="{00000000-0005-0000-0000-0000037D0000}"/>
    <cellStyle name="Normal 35 7 2" xfId="26154" xr:uid="{00000000-0005-0000-0000-0000047D0000}"/>
    <cellStyle name="Normal 35 7 3" xfId="30367" xr:uid="{00000000-0005-0000-0000-0000057D0000}"/>
    <cellStyle name="Normal 35 7 4" xfId="34582" xr:uid="{00000000-0005-0000-0000-0000067D0000}"/>
    <cellStyle name="Normal 35 7 5" xfId="38786" xr:uid="{00000000-0005-0000-0000-0000077D0000}"/>
    <cellStyle name="Normal 35 8" xfId="9023" xr:uid="{00000000-0005-0000-0000-0000087D0000}"/>
    <cellStyle name="Normal 35 8 2" xfId="26594" xr:uid="{00000000-0005-0000-0000-0000097D0000}"/>
    <cellStyle name="Normal 35 8 3" xfId="30807" xr:uid="{00000000-0005-0000-0000-00000A7D0000}"/>
    <cellStyle name="Normal 35 8 4" xfId="35022" xr:uid="{00000000-0005-0000-0000-00000B7D0000}"/>
    <cellStyle name="Normal 35 8 5" xfId="39226" xr:uid="{00000000-0005-0000-0000-00000C7D0000}"/>
    <cellStyle name="Normal 35 9" xfId="9145" xr:uid="{00000000-0005-0000-0000-00000D7D0000}"/>
    <cellStyle name="Normal 35 9 2" xfId="26716" xr:uid="{00000000-0005-0000-0000-00000E7D0000}"/>
    <cellStyle name="Normal 35 9 3" xfId="30929" xr:uid="{00000000-0005-0000-0000-00000F7D0000}"/>
    <cellStyle name="Normal 35 9 4" xfId="35144" xr:uid="{00000000-0005-0000-0000-0000107D0000}"/>
    <cellStyle name="Normal 35 9 5" xfId="39348" xr:uid="{00000000-0005-0000-0000-0000117D0000}"/>
    <cellStyle name="Normal 36" xfId="3979" xr:uid="{00000000-0005-0000-0000-0000127D0000}"/>
    <cellStyle name="Normal 36 10" xfId="9422" xr:uid="{00000000-0005-0000-0000-0000137D0000}"/>
    <cellStyle name="Normal 36 10 2" xfId="26993" xr:uid="{00000000-0005-0000-0000-0000147D0000}"/>
    <cellStyle name="Normal 36 10 3" xfId="31206" xr:uid="{00000000-0005-0000-0000-0000157D0000}"/>
    <cellStyle name="Normal 36 10 4" xfId="35421" xr:uid="{00000000-0005-0000-0000-0000167D0000}"/>
    <cellStyle name="Normal 36 10 5" xfId="39625" xr:uid="{00000000-0005-0000-0000-0000177D0000}"/>
    <cellStyle name="Normal 36 11" xfId="9542" xr:uid="{00000000-0005-0000-0000-0000187D0000}"/>
    <cellStyle name="Normal 36 11 2" xfId="27113" xr:uid="{00000000-0005-0000-0000-0000197D0000}"/>
    <cellStyle name="Normal 36 11 3" xfId="31326" xr:uid="{00000000-0005-0000-0000-00001A7D0000}"/>
    <cellStyle name="Normal 36 11 4" xfId="35541" xr:uid="{00000000-0005-0000-0000-00001B7D0000}"/>
    <cellStyle name="Normal 36 11 5" xfId="39745" xr:uid="{00000000-0005-0000-0000-00001C7D0000}"/>
    <cellStyle name="Normal 36 12" xfId="7039" xr:uid="{00000000-0005-0000-0000-00001D7D0000}"/>
    <cellStyle name="Normal 36 12 2" xfId="25718" xr:uid="{00000000-0005-0000-0000-00001E7D0000}"/>
    <cellStyle name="Normal 36 12 3" xfId="29931" xr:uid="{00000000-0005-0000-0000-00001F7D0000}"/>
    <cellStyle name="Normal 36 12 4" xfId="34146" xr:uid="{00000000-0005-0000-0000-0000207D0000}"/>
    <cellStyle name="Normal 36 12 5" xfId="38350" xr:uid="{00000000-0005-0000-0000-0000217D0000}"/>
    <cellStyle name="Normal 36 13" xfId="11145" xr:uid="{00000000-0005-0000-0000-0000227D0000}"/>
    <cellStyle name="Normal 36 2" xfId="6053" xr:uid="{00000000-0005-0000-0000-0000237D0000}"/>
    <cellStyle name="Normal 36 2 10" xfId="9545" xr:uid="{00000000-0005-0000-0000-0000247D0000}"/>
    <cellStyle name="Normal 36 2 10 2" xfId="27116" xr:uid="{00000000-0005-0000-0000-0000257D0000}"/>
    <cellStyle name="Normal 36 2 10 3" xfId="31329" xr:uid="{00000000-0005-0000-0000-0000267D0000}"/>
    <cellStyle name="Normal 36 2 10 4" xfId="35544" xr:uid="{00000000-0005-0000-0000-0000277D0000}"/>
    <cellStyle name="Normal 36 2 10 5" xfId="39748" xr:uid="{00000000-0005-0000-0000-0000287D0000}"/>
    <cellStyle name="Normal 36 2 11" xfId="7068" xr:uid="{00000000-0005-0000-0000-0000297D0000}"/>
    <cellStyle name="Normal 36 2 11 2" xfId="25728" xr:uid="{00000000-0005-0000-0000-00002A7D0000}"/>
    <cellStyle name="Normal 36 2 11 3" xfId="29941" xr:uid="{00000000-0005-0000-0000-00002B7D0000}"/>
    <cellStyle name="Normal 36 2 11 4" xfId="34156" xr:uid="{00000000-0005-0000-0000-00002C7D0000}"/>
    <cellStyle name="Normal 36 2 11 5" xfId="38360" xr:uid="{00000000-0005-0000-0000-00002D7D0000}"/>
    <cellStyle name="Normal 36 2 12" xfId="11561" xr:uid="{00000000-0005-0000-0000-00002E7D0000}"/>
    <cellStyle name="Normal 36 2 2" xfId="7203" xr:uid="{00000000-0005-0000-0000-00002F7D0000}"/>
    <cellStyle name="Normal 36 2 2 2" xfId="25838" xr:uid="{00000000-0005-0000-0000-0000307D0000}"/>
    <cellStyle name="Normal 36 2 2 3" xfId="30051" xr:uid="{00000000-0005-0000-0000-0000317D0000}"/>
    <cellStyle name="Normal 36 2 2 4" xfId="34266" xr:uid="{00000000-0005-0000-0000-0000327D0000}"/>
    <cellStyle name="Normal 36 2 2 5" xfId="38470" xr:uid="{00000000-0005-0000-0000-0000337D0000}"/>
    <cellStyle name="Normal 36 2 3" xfId="7324" xr:uid="{00000000-0005-0000-0000-0000347D0000}"/>
    <cellStyle name="Normal 36 2 3 2" xfId="25957" xr:uid="{00000000-0005-0000-0000-0000357D0000}"/>
    <cellStyle name="Normal 36 2 3 3" xfId="30170" xr:uid="{00000000-0005-0000-0000-0000367D0000}"/>
    <cellStyle name="Normal 36 2 3 4" xfId="34385" xr:uid="{00000000-0005-0000-0000-0000377D0000}"/>
    <cellStyle name="Normal 36 2 3 5" xfId="38589" xr:uid="{00000000-0005-0000-0000-0000387D0000}"/>
    <cellStyle name="Normal 36 2 4" xfId="7442" xr:uid="{00000000-0005-0000-0000-0000397D0000}"/>
    <cellStyle name="Normal 36 2 4 2" xfId="26075" xr:uid="{00000000-0005-0000-0000-00003A7D0000}"/>
    <cellStyle name="Normal 36 2 4 3" xfId="30288" xr:uid="{00000000-0005-0000-0000-00003B7D0000}"/>
    <cellStyle name="Normal 36 2 4 4" xfId="34503" xr:uid="{00000000-0005-0000-0000-00003C7D0000}"/>
    <cellStyle name="Normal 36 2 4 5" xfId="38707" xr:uid="{00000000-0005-0000-0000-00003D7D0000}"/>
    <cellStyle name="Normal 36 2 5" xfId="7560" xr:uid="{00000000-0005-0000-0000-00003E7D0000}"/>
    <cellStyle name="Normal 36 2 5 2" xfId="26193" xr:uid="{00000000-0005-0000-0000-00003F7D0000}"/>
    <cellStyle name="Normal 36 2 5 3" xfId="30406" xr:uid="{00000000-0005-0000-0000-0000407D0000}"/>
    <cellStyle name="Normal 36 2 5 4" xfId="34621" xr:uid="{00000000-0005-0000-0000-0000417D0000}"/>
    <cellStyle name="Normal 36 2 5 5" xfId="38825" xr:uid="{00000000-0005-0000-0000-0000427D0000}"/>
    <cellStyle name="Normal 36 2 6" xfId="9063" xr:uid="{00000000-0005-0000-0000-0000437D0000}"/>
    <cellStyle name="Normal 36 2 6 2" xfId="26634" xr:uid="{00000000-0005-0000-0000-0000447D0000}"/>
    <cellStyle name="Normal 36 2 6 3" xfId="30847" xr:uid="{00000000-0005-0000-0000-0000457D0000}"/>
    <cellStyle name="Normal 36 2 6 4" xfId="35062" xr:uid="{00000000-0005-0000-0000-0000467D0000}"/>
    <cellStyle name="Normal 36 2 6 5" xfId="39266" xr:uid="{00000000-0005-0000-0000-0000477D0000}"/>
    <cellStyle name="Normal 36 2 7" xfId="9185" xr:uid="{00000000-0005-0000-0000-0000487D0000}"/>
    <cellStyle name="Normal 36 2 7 2" xfId="26756" xr:uid="{00000000-0005-0000-0000-0000497D0000}"/>
    <cellStyle name="Normal 36 2 7 3" xfId="30969" xr:uid="{00000000-0005-0000-0000-00004A7D0000}"/>
    <cellStyle name="Normal 36 2 7 4" xfId="35184" xr:uid="{00000000-0005-0000-0000-00004B7D0000}"/>
    <cellStyle name="Normal 36 2 7 5" xfId="39388" xr:uid="{00000000-0005-0000-0000-00004C7D0000}"/>
    <cellStyle name="Normal 36 2 8" xfId="9305" xr:uid="{00000000-0005-0000-0000-00004D7D0000}"/>
    <cellStyle name="Normal 36 2 8 2" xfId="26876" xr:uid="{00000000-0005-0000-0000-00004E7D0000}"/>
    <cellStyle name="Normal 36 2 8 3" xfId="31089" xr:uid="{00000000-0005-0000-0000-00004F7D0000}"/>
    <cellStyle name="Normal 36 2 8 4" xfId="35304" xr:uid="{00000000-0005-0000-0000-0000507D0000}"/>
    <cellStyle name="Normal 36 2 8 5" xfId="39508" xr:uid="{00000000-0005-0000-0000-0000517D0000}"/>
    <cellStyle name="Normal 36 2 9" xfId="9425" xr:uid="{00000000-0005-0000-0000-0000527D0000}"/>
    <cellStyle name="Normal 36 2 9 2" xfId="26996" xr:uid="{00000000-0005-0000-0000-0000537D0000}"/>
    <cellStyle name="Normal 36 2 9 3" xfId="31209" xr:uid="{00000000-0005-0000-0000-0000547D0000}"/>
    <cellStyle name="Normal 36 2 9 4" xfId="35424" xr:uid="{00000000-0005-0000-0000-0000557D0000}"/>
    <cellStyle name="Normal 36 2 9 5" xfId="39628" xr:uid="{00000000-0005-0000-0000-0000567D0000}"/>
    <cellStyle name="Normal 36 3" xfId="7200" xr:uid="{00000000-0005-0000-0000-0000577D0000}"/>
    <cellStyle name="Normal 36 3 2" xfId="25835" xr:uid="{00000000-0005-0000-0000-0000587D0000}"/>
    <cellStyle name="Normal 36 3 3" xfId="30048" xr:uid="{00000000-0005-0000-0000-0000597D0000}"/>
    <cellStyle name="Normal 36 3 4" xfId="34263" xr:uid="{00000000-0005-0000-0000-00005A7D0000}"/>
    <cellStyle name="Normal 36 3 5" xfId="38467" xr:uid="{00000000-0005-0000-0000-00005B7D0000}"/>
    <cellStyle name="Normal 36 4" xfId="7321" xr:uid="{00000000-0005-0000-0000-00005C7D0000}"/>
    <cellStyle name="Normal 36 4 2" xfId="25954" xr:uid="{00000000-0005-0000-0000-00005D7D0000}"/>
    <cellStyle name="Normal 36 4 3" xfId="30167" xr:uid="{00000000-0005-0000-0000-00005E7D0000}"/>
    <cellStyle name="Normal 36 4 4" xfId="34382" xr:uid="{00000000-0005-0000-0000-00005F7D0000}"/>
    <cellStyle name="Normal 36 4 5" xfId="38586" xr:uid="{00000000-0005-0000-0000-0000607D0000}"/>
    <cellStyle name="Normal 36 5" xfId="7439" xr:uid="{00000000-0005-0000-0000-0000617D0000}"/>
    <cellStyle name="Normal 36 5 2" xfId="26072" xr:uid="{00000000-0005-0000-0000-0000627D0000}"/>
    <cellStyle name="Normal 36 5 3" xfId="30285" xr:uid="{00000000-0005-0000-0000-0000637D0000}"/>
    <cellStyle name="Normal 36 5 4" xfId="34500" xr:uid="{00000000-0005-0000-0000-0000647D0000}"/>
    <cellStyle name="Normal 36 5 5" xfId="38704" xr:uid="{00000000-0005-0000-0000-0000657D0000}"/>
    <cellStyle name="Normal 36 6" xfId="7557" xr:uid="{00000000-0005-0000-0000-0000667D0000}"/>
    <cellStyle name="Normal 36 6 2" xfId="26190" xr:uid="{00000000-0005-0000-0000-0000677D0000}"/>
    <cellStyle name="Normal 36 6 3" xfId="30403" xr:uid="{00000000-0005-0000-0000-0000687D0000}"/>
    <cellStyle name="Normal 36 6 4" xfId="34618" xr:uid="{00000000-0005-0000-0000-0000697D0000}"/>
    <cellStyle name="Normal 36 6 5" xfId="38822" xr:uid="{00000000-0005-0000-0000-00006A7D0000}"/>
    <cellStyle name="Normal 36 7" xfId="9060" xr:uid="{00000000-0005-0000-0000-00006B7D0000}"/>
    <cellStyle name="Normal 36 7 2" xfId="26631" xr:uid="{00000000-0005-0000-0000-00006C7D0000}"/>
    <cellStyle name="Normal 36 7 3" xfId="30844" xr:uid="{00000000-0005-0000-0000-00006D7D0000}"/>
    <cellStyle name="Normal 36 7 4" xfId="35059" xr:uid="{00000000-0005-0000-0000-00006E7D0000}"/>
    <cellStyle name="Normal 36 7 5" xfId="39263" xr:uid="{00000000-0005-0000-0000-00006F7D0000}"/>
    <cellStyle name="Normal 36 8" xfId="9182" xr:uid="{00000000-0005-0000-0000-0000707D0000}"/>
    <cellStyle name="Normal 36 8 2" xfId="26753" xr:uid="{00000000-0005-0000-0000-0000717D0000}"/>
    <cellStyle name="Normal 36 8 3" xfId="30966" xr:uid="{00000000-0005-0000-0000-0000727D0000}"/>
    <cellStyle name="Normal 36 8 4" xfId="35181" xr:uid="{00000000-0005-0000-0000-0000737D0000}"/>
    <cellStyle name="Normal 36 8 5" xfId="39385" xr:uid="{00000000-0005-0000-0000-0000747D0000}"/>
    <cellStyle name="Normal 36 9" xfId="9302" xr:uid="{00000000-0005-0000-0000-0000757D0000}"/>
    <cellStyle name="Normal 36 9 2" xfId="26873" xr:uid="{00000000-0005-0000-0000-0000767D0000}"/>
    <cellStyle name="Normal 36 9 3" xfId="31086" xr:uid="{00000000-0005-0000-0000-0000777D0000}"/>
    <cellStyle name="Normal 36 9 4" xfId="35301" xr:uid="{00000000-0005-0000-0000-0000787D0000}"/>
    <cellStyle name="Normal 36 9 5" xfId="39505" xr:uid="{00000000-0005-0000-0000-0000797D0000}"/>
    <cellStyle name="Normal 37" xfId="3980" xr:uid="{00000000-0005-0000-0000-00007A7D0000}"/>
    <cellStyle name="Normal 37 10" xfId="9268" xr:uid="{00000000-0005-0000-0000-00007B7D0000}"/>
    <cellStyle name="Normal 37 10 2" xfId="26839" xr:uid="{00000000-0005-0000-0000-00007C7D0000}"/>
    <cellStyle name="Normal 37 10 3" xfId="31052" xr:uid="{00000000-0005-0000-0000-00007D7D0000}"/>
    <cellStyle name="Normal 37 10 4" xfId="35267" xr:uid="{00000000-0005-0000-0000-00007E7D0000}"/>
    <cellStyle name="Normal 37 10 5" xfId="39471" xr:uid="{00000000-0005-0000-0000-00007F7D0000}"/>
    <cellStyle name="Normal 37 11" xfId="9389" xr:uid="{00000000-0005-0000-0000-0000807D0000}"/>
    <cellStyle name="Normal 37 11 2" xfId="26960" xr:uid="{00000000-0005-0000-0000-0000817D0000}"/>
    <cellStyle name="Normal 37 11 3" xfId="31173" xr:uid="{00000000-0005-0000-0000-0000827D0000}"/>
    <cellStyle name="Normal 37 11 4" xfId="35388" xr:uid="{00000000-0005-0000-0000-0000837D0000}"/>
    <cellStyle name="Normal 37 11 5" xfId="39592" xr:uid="{00000000-0005-0000-0000-0000847D0000}"/>
    <cellStyle name="Normal 37 12" xfId="9508" xr:uid="{00000000-0005-0000-0000-0000857D0000}"/>
    <cellStyle name="Normal 37 12 2" xfId="27079" xr:uid="{00000000-0005-0000-0000-0000867D0000}"/>
    <cellStyle name="Normal 37 12 3" xfId="31292" xr:uid="{00000000-0005-0000-0000-0000877D0000}"/>
    <cellStyle name="Normal 37 12 4" xfId="35507" xr:uid="{00000000-0005-0000-0000-0000887D0000}"/>
    <cellStyle name="Normal 37 12 5" xfId="39711" xr:uid="{00000000-0005-0000-0000-0000897D0000}"/>
    <cellStyle name="Normal 37 13" xfId="7040" xr:uid="{00000000-0005-0000-0000-00008A7D0000}"/>
    <cellStyle name="Normal 37 13 2" xfId="25719" xr:uid="{00000000-0005-0000-0000-00008B7D0000}"/>
    <cellStyle name="Normal 37 13 3" xfId="29932" xr:uid="{00000000-0005-0000-0000-00008C7D0000}"/>
    <cellStyle name="Normal 37 13 4" xfId="34147" xr:uid="{00000000-0005-0000-0000-00008D7D0000}"/>
    <cellStyle name="Normal 37 13 5" xfId="38351" xr:uid="{00000000-0005-0000-0000-00008E7D0000}"/>
    <cellStyle name="Normal 37 14" xfId="11146" xr:uid="{00000000-0005-0000-0000-00008F7D0000}"/>
    <cellStyle name="Normal 37 2" xfId="6054" xr:uid="{00000000-0005-0000-0000-0000907D0000}"/>
    <cellStyle name="Normal 37 2 10" xfId="9509" xr:uid="{00000000-0005-0000-0000-0000917D0000}"/>
    <cellStyle name="Normal 37 2 10 2" xfId="27080" xr:uid="{00000000-0005-0000-0000-0000927D0000}"/>
    <cellStyle name="Normal 37 2 10 3" xfId="31293" xr:uid="{00000000-0005-0000-0000-0000937D0000}"/>
    <cellStyle name="Normal 37 2 10 4" xfId="35508" xr:uid="{00000000-0005-0000-0000-0000947D0000}"/>
    <cellStyle name="Normal 37 2 10 5" xfId="39712" xr:uid="{00000000-0005-0000-0000-0000957D0000}"/>
    <cellStyle name="Normal 37 2 11" xfId="7041" xr:uid="{00000000-0005-0000-0000-0000967D0000}"/>
    <cellStyle name="Normal 37 2 11 2" xfId="25720" xr:uid="{00000000-0005-0000-0000-0000977D0000}"/>
    <cellStyle name="Normal 37 2 11 3" xfId="29933" xr:uid="{00000000-0005-0000-0000-0000987D0000}"/>
    <cellStyle name="Normal 37 2 11 4" xfId="34148" xr:uid="{00000000-0005-0000-0000-0000997D0000}"/>
    <cellStyle name="Normal 37 2 11 5" xfId="38352" xr:uid="{00000000-0005-0000-0000-00009A7D0000}"/>
    <cellStyle name="Normal 37 2 12" xfId="11562" xr:uid="{00000000-0005-0000-0000-00009B7D0000}"/>
    <cellStyle name="Normal 37 2 2" xfId="7156" xr:uid="{00000000-0005-0000-0000-00009C7D0000}"/>
    <cellStyle name="Normal 37 2 2 2" xfId="25808" xr:uid="{00000000-0005-0000-0000-00009D7D0000}"/>
    <cellStyle name="Normal 37 2 2 3" xfId="30021" xr:uid="{00000000-0005-0000-0000-00009E7D0000}"/>
    <cellStyle name="Normal 37 2 2 4" xfId="34236" xr:uid="{00000000-0005-0000-0000-00009F7D0000}"/>
    <cellStyle name="Normal 37 2 2 5" xfId="38440" xr:uid="{00000000-0005-0000-0000-0000A07D0000}"/>
    <cellStyle name="Normal 37 2 3" xfId="7289" xr:uid="{00000000-0005-0000-0000-0000A17D0000}"/>
    <cellStyle name="Normal 37 2 3 2" xfId="25922" xr:uid="{00000000-0005-0000-0000-0000A27D0000}"/>
    <cellStyle name="Normal 37 2 3 3" xfId="30135" xr:uid="{00000000-0005-0000-0000-0000A37D0000}"/>
    <cellStyle name="Normal 37 2 3 4" xfId="34350" xr:uid="{00000000-0005-0000-0000-0000A47D0000}"/>
    <cellStyle name="Normal 37 2 3 5" xfId="38554" xr:uid="{00000000-0005-0000-0000-0000A57D0000}"/>
    <cellStyle name="Normal 37 2 4" xfId="7407" xr:uid="{00000000-0005-0000-0000-0000A67D0000}"/>
    <cellStyle name="Normal 37 2 4 2" xfId="26040" xr:uid="{00000000-0005-0000-0000-0000A77D0000}"/>
    <cellStyle name="Normal 37 2 4 3" xfId="30253" xr:uid="{00000000-0005-0000-0000-0000A87D0000}"/>
    <cellStyle name="Normal 37 2 4 4" xfId="34468" xr:uid="{00000000-0005-0000-0000-0000A97D0000}"/>
    <cellStyle name="Normal 37 2 4 5" xfId="38672" xr:uid="{00000000-0005-0000-0000-0000AA7D0000}"/>
    <cellStyle name="Normal 37 2 5" xfId="7525" xr:uid="{00000000-0005-0000-0000-0000AB7D0000}"/>
    <cellStyle name="Normal 37 2 5 2" xfId="26158" xr:uid="{00000000-0005-0000-0000-0000AC7D0000}"/>
    <cellStyle name="Normal 37 2 5 3" xfId="30371" xr:uid="{00000000-0005-0000-0000-0000AD7D0000}"/>
    <cellStyle name="Normal 37 2 5 4" xfId="34586" xr:uid="{00000000-0005-0000-0000-0000AE7D0000}"/>
    <cellStyle name="Normal 37 2 5 5" xfId="38790" xr:uid="{00000000-0005-0000-0000-0000AF7D0000}"/>
    <cellStyle name="Normal 37 2 6" xfId="9027" xr:uid="{00000000-0005-0000-0000-0000B07D0000}"/>
    <cellStyle name="Normal 37 2 6 2" xfId="26598" xr:uid="{00000000-0005-0000-0000-0000B17D0000}"/>
    <cellStyle name="Normal 37 2 6 3" xfId="30811" xr:uid="{00000000-0005-0000-0000-0000B27D0000}"/>
    <cellStyle name="Normal 37 2 6 4" xfId="35026" xr:uid="{00000000-0005-0000-0000-0000B37D0000}"/>
    <cellStyle name="Normal 37 2 6 5" xfId="39230" xr:uid="{00000000-0005-0000-0000-0000B47D0000}"/>
    <cellStyle name="Normal 37 2 7" xfId="9149" xr:uid="{00000000-0005-0000-0000-0000B57D0000}"/>
    <cellStyle name="Normal 37 2 7 2" xfId="26720" xr:uid="{00000000-0005-0000-0000-0000B67D0000}"/>
    <cellStyle name="Normal 37 2 7 3" xfId="30933" xr:uid="{00000000-0005-0000-0000-0000B77D0000}"/>
    <cellStyle name="Normal 37 2 7 4" xfId="35148" xr:uid="{00000000-0005-0000-0000-0000B87D0000}"/>
    <cellStyle name="Normal 37 2 7 5" xfId="39352" xr:uid="{00000000-0005-0000-0000-0000B97D0000}"/>
    <cellStyle name="Normal 37 2 8" xfId="9269" xr:uid="{00000000-0005-0000-0000-0000BA7D0000}"/>
    <cellStyle name="Normal 37 2 8 2" xfId="26840" xr:uid="{00000000-0005-0000-0000-0000BB7D0000}"/>
    <cellStyle name="Normal 37 2 8 3" xfId="31053" xr:uid="{00000000-0005-0000-0000-0000BC7D0000}"/>
    <cellStyle name="Normal 37 2 8 4" xfId="35268" xr:uid="{00000000-0005-0000-0000-0000BD7D0000}"/>
    <cellStyle name="Normal 37 2 8 5" xfId="39472" xr:uid="{00000000-0005-0000-0000-0000BE7D0000}"/>
    <cellStyle name="Normal 37 2 9" xfId="9390" xr:uid="{00000000-0005-0000-0000-0000BF7D0000}"/>
    <cellStyle name="Normal 37 2 9 2" xfId="26961" xr:uid="{00000000-0005-0000-0000-0000C07D0000}"/>
    <cellStyle name="Normal 37 2 9 3" xfId="31174" xr:uid="{00000000-0005-0000-0000-0000C17D0000}"/>
    <cellStyle name="Normal 37 2 9 4" xfId="35389" xr:uid="{00000000-0005-0000-0000-0000C27D0000}"/>
    <cellStyle name="Normal 37 2 9 5" xfId="39593" xr:uid="{00000000-0005-0000-0000-0000C37D0000}"/>
    <cellStyle name="Normal 37 3" xfId="7042" xr:uid="{00000000-0005-0000-0000-0000C47D0000}"/>
    <cellStyle name="Normal 37 3 10" xfId="9510" xr:uid="{00000000-0005-0000-0000-0000C57D0000}"/>
    <cellStyle name="Normal 37 3 10 2" xfId="27081" xr:uid="{00000000-0005-0000-0000-0000C67D0000}"/>
    <cellStyle name="Normal 37 3 10 3" xfId="31294" xr:uid="{00000000-0005-0000-0000-0000C77D0000}"/>
    <cellStyle name="Normal 37 3 10 4" xfId="35509" xr:uid="{00000000-0005-0000-0000-0000C87D0000}"/>
    <cellStyle name="Normal 37 3 10 5" xfId="39713" xr:uid="{00000000-0005-0000-0000-0000C97D0000}"/>
    <cellStyle name="Normal 37 3 11" xfId="25721" xr:uid="{00000000-0005-0000-0000-0000CA7D0000}"/>
    <cellStyle name="Normal 37 3 12" xfId="29934" xr:uid="{00000000-0005-0000-0000-0000CB7D0000}"/>
    <cellStyle name="Normal 37 3 13" xfId="34149" xr:uid="{00000000-0005-0000-0000-0000CC7D0000}"/>
    <cellStyle name="Normal 37 3 14" xfId="38353" xr:uid="{00000000-0005-0000-0000-0000CD7D0000}"/>
    <cellStyle name="Normal 37 3 2" xfId="7157" xr:uid="{00000000-0005-0000-0000-0000CE7D0000}"/>
    <cellStyle name="Normal 37 3 2 2" xfId="25809" xr:uid="{00000000-0005-0000-0000-0000CF7D0000}"/>
    <cellStyle name="Normal 37 3 2 3" xfId="30022" xr:uid="{00000000-0005-0000-0000-0000D07D0000}"/>
    <cellStyle name="Normal 37 3 2 4" xfId="34237" xr:uid="{00000000-0005-0000-0000-0000D17D0000}"/>
    <cellStyle name="Normal 37 3 2 5" xfId="38441" xr:uid="{00000000-0005-0000-0000-0000D27D0000}"/>
    <cellStyle name="Normal 37 3 3" xfId="7290" xr:uid="{00000000-0005-0000-0000-0000D37D0000}"/>
    <cellStyle name="Normal 37 3 3 2" xfId="25923" xr:uid="{00000000-0005-0000-0000-0000D47D0000}"/>
    <cellStyle name="Normal 37 3 3 3" xfId="30136" xr:uid="{00000000-0005-0000-0000-0000D57D0000}"/>
    <cellStyle name="Normal 37 3 3 4" xfId="34351" xr:uid="{00000000-0005-0000-0000-0000D67D0000}"/>
    <cellStyle name="Normal 37 3 3 5" xfId="38555" xr:uid="{00000000-0005-0000-0000-0000D77D0000}"/>
    <cellStyle name="Normal 37 3 4" xfId="7408" xr:uid="{00000000-0005-0000-0000-0000D87D0000}"/>
    <cellStyle name="Normal 37 3 4 2" xfId="26041" xr:uid="{00000000-0005-0000-0000-0000D97D0000}"/>
    <cellStyle name="Normal 37 3 4 3" xfId="30254" xr:uid="{00000000-0005-0000-0000-0000DA7D0000}"/>
    <cellStyle name="Normal 37 3 4 4" xfId="34469" xr:uid="{00000000-0005-0000-0000-0000DB7D0000}"/>
    <cellStyle name="Normal 37 3 4 5" xfId="38673" xr:uid="{00000000-0005-0000-0000-0000DC7D0000}"/>
    <cellStyle name="Normal 37 3 5" xfId="7526" xr:uid="{00000000-0005-0000-0000-0000DD7D0000}"/>
    <cellStyle name="Normal 37 3 5 2" xfId="26159" xr:uid="{00000000-0005-0000-0000-0000DE7D0000}"/>
    <cellStyle name="Normal 37 3 5 3" xfId="30372" xr:uid="{00000000-0005-0000-0000-0000DF7D0000}"/>
    <cellStyle name="Normal 37 3 5 4" xfId="34587" xr:uid="{00000000-0005-0000-0000-0000E07D0000}"/>
    <cellStyle name="Normal 37 3 5 5" xfId="38791" xr:uid="{00000000-0005-0000-0000-0000E17D0000}"/>
    <cellStyle name="Normal 37 3 6" xfId="9028" xr:uid="{00000000-0005-0000-0000-0000E27D0000}"/>
    <cellStyle name="Normal 37 3 6 2" xfId="26599" xr:uid="{00000000-0005-0000-0000-0000E37D0000}"/>
    <cellStyle name="Normal 37 3 6 3" xfId="30812" xr:uid="{00000000-0005-0000-0000-0000E47D0000}"/>
    <cellStyle name="Normal 37 3 6 4" xfId="35027" xr:uid="{00000000-0005-0000-0000-0000E57D0000}"/>
    <cellStyle name="Normal 37 3 6 5" xfId="39231" xr:uid="{00000000-0005-0000-0000-0000E67D0000}"/>
    <cellStyle name="Normal 37 3 7" xfId="9150" xr:uid="{00000000-0005-0000-0000-0000E77D0000}"/>
    <cellStyle name="Normal 37 3 7 2" xfId="26721" xr:uid="{00000000-0005-0000-0000-0000E87D0000}"/>
    <cellStyle name="Normal 37 3 7 3" xfId="30934" xr:uid="{00000000-0005-0000-0000-0000E97D0000}"/>
    <cellStyle name="Normal 37 3 7 4" xfId="35149" xr:uid="{00000000-0005-0000-0000-0000EA7D0000}"/>
    <cellStyle name="Normal 37 3 7 5" xfId="39353" xr:uid="{00000000-0005-0000-0000-0000EB7D0000}"/>
    <cellStyle name="Normal 37 3 8" xfId="9270" xr:uid="{00000000-0005-0000-0000-0000EC7D0000}"/>
    <cellStyle name="Normal 37 3 8 2" xfId="26841" xr:uid="{00000000-0005-0000-0000-0000ED7D0000}"/>
    <cellStyle name="Normal 37 3 8 3" xfId="31054" xr:uid="{00000000-0005-0000-0000-0000EE7D0000}"/>
    <cellStyle name="Normal 37 3 8 4" xfId="35269" xr:uid="{00000000-0005-0000-0000-0000EF7D0000}"/>
    <cellStyle name="Normal 37 3 8 5" xfId="39473" xr:uid="{00000000-0005-0000-0000-0000F07D0000}"/>
    <cellStyle name="Normal 37 3 9" xfId="9391" xr:uid="{00000000-0005-0000-0000-0000F17D0000}"/>
    <cellStyle name="Normal 37 3 9 2" xfId="26962" xr:uid="{00000000-0005-0000-0000-0000F27D0000}"/>
    <cellStyle name="Normal 37 3 9 3" xfId="31175" xr:uid="{00000000-0005-0000-0000-0000F37D0000}"/>
    <cellStyle name="Normal 37 3 9 4" xfId="35390" xr:uid="{00000000-0005-0000-0000-0000F47D0000}"/>
    <cellStyle name="Normal 37 3 9 5" xfId="39594" xr:uid="{00000000-0005-0000-0000-0000F57D0000}"/>
    <cellStyle name="Normal 37 4" xfId="7155" xr:uid="{00000000-0005-0000-0000-0000F67D0000}"/>
    <cellStyle name="Normal 37 4 2" xfId="25807" xr:uid="{00000000-0005-0000-0000-0000F77D0000}"/>
    <cellStyle name="Normal 37 4 3" xfId="30020" xr:uid="{00000000-0005-0000-0000-0000F87D0000}"/>
    <cellStyle name="Normal 37 4 4" xfId="34235" xr:uid="{00000000-0005-0000-0000-0000F97D0000}"/>
    <cellStyle name="Normal 37 4 5" xfId="38439" xr:uid="{00000000-0005-0000-0000-0000FA7D0000}"/>
    <cellStyle name="Normal 37 5" xfId="7288" xr:uid="{00000000-0005-0000-0000-0000FB7D0000}"/>
    <cellStyle name="Normal 37 5 2" xfId="25921" xr:uid="{00000000-0005-0000-0000-0000FC7D0000}"/>
    <cellStyle name="Normal 37 5 3" xfId="30134" xr:uid="{00000000-0005-0000-0000-0000FD7D0000}"/>
    <cellStyle name="Normal 37 5 4" xfId="34349" xr:uid="{00000000-0005-0000-0000-0000FE7D0000}"/>
    <cellStyle name="Normal 37 5 5" xfId="38553" xr:uid="{00000000-0005-0000-0000-0000FF7D0000}"/>
    <cellStyle name="Normal 37 6" xfId="7406" xr:uid="{00000000-0005-0000-0000-0000007E0000}"/>
    <cellStyle name="Normal 37 6 2" xfId="26039" xr:uid="{00000000-0005-0000-0000-0000017E0000}"/>
    <cellStyle name="Normal 37 6 3" xfId="30252" xr:uid="{00000000-0005-0000-0000-0000027E0000}"/>
    <cellStyle name="Normal 37 6 4" xfId="34467" xr:uid="{00000000-0005-0000-0000-0000037E0000}"/>
    <cellStyle name="Normal 37 6 5" xfId="38671" xr:uid="{00000000-0005-0000-0000-0000047E0000}"/>
    <cellStyle name="Normal 37 7" xfId="7524" xr:uid="{00000000-0005-0000-0000-0000057E0000}"/>
    <cellStyle name="Normal 37 7 2" xfId="26157" xr:uid="{00000000-0005-0000-0000-0000067E0000}"/>
    <cellStyle name="Normal 37 7 3" xfId="30370" xr:uid="{00000000-0005-0000-0000-0000077E0000}"/>
    <cellStyle name="Normal 37 7 4" xfId="34585" xr:uid="{00000000-0005-0000-0000-0000087E0000}"/>
    <cellStyle name="Normal 37 7 5" xfId="38789" xr:uid="{00000000-0005-0000-0000-0000097E0000}"/>
    <cellStyle name="Normal 37 8" xfId="9026" xr:uid="{00000000-0005-0000-0000-00000A7E0000}"/>
    <cellStyle name="Normal 37 8 2" xfId="26597" xr:uid="{00000000-0005-0000-0000-00000B7E0000}"/>
    <cellStyle name="Normal 37 8 3" xfId="30810" xr:uid="{00000000-0005-0000-0000-00000C7E0000}"/>
    <cellStyle name="Normal 37 8 4" xfId="35025" xr:uid="{00000000-0005-0000-0000-00000D7E0000}"/>
    <cellStyle name="Normal 37 8 5" xfId="39229" xr:uid="{00000000-0005-0000-0000-00000E7E0000}"/>
    <cellStyle name="Normal 37 9" xfId="9148" xr:uid="{00000000-0005-0000-0000-00000F7E0000}"/>
    <cellStyle name="Normal 37 9 2" xfId="26719" xr:uid="{00000000-0005-0000-0000-0000107E0000}"/>
    <cellStyle name="Normal 37 9 3" xfId="30932" xr:uid="{00000000-0005-0000-0000-0000117E0000}"/>
    <cellStyle name="Normal 37 9 4" xfId="35147" xr:uid="{00000000-0005-0000-0000-0000127E0000}"/>
    <cellStyle name="Normal 37 9 5" xfId="39351" xr:uid="{00000000-0005-0000-0000-0000137E0000}"/>
    <cellStyle name="Normal 38" xfId="4423" xr:uid="{00000000-0005-0000-0000-0000147E0000}"/>
    <cellStyle name="Normal 38 10" xfId="9271" xr:uid="{00000000-0005-0000-0000-0000157E0000}"/>
    <cellStyle name="Normal 38 10 2" xfId="26842" xr:uid="{00000000-0005-0000-0000-0000167E0000}"/>
    <cellStyle name="Normal 38 10 3" xfId="31055" xr:uid="{00000000-0005-0000-0000-0000177E0000}"/>
    <cellStyle name="Normal 38 10 4" xfId="35270" xr:uid="{00000000-0005-0000-0000-0000187E0000}"/>
    <cellStyle name="Normal 38 10 5" xfId="39474" xr:uid="{00000000-0005-0000-0000-0000197E0000}"/>
    <cellStyle name="Normal 38 11" xfId="9392" xr:uid="{00000000-0005-0000-0000-00001A7E0000}"/>
    <cellStyle name="Normal 38 11 2" xfId="26963" xr:uid="{00000000-0005-0000-0000-00001B7E0000}"/>
    <cellStyle name="Normal 38 11 3" xfId="31176" xr:uid="{00000000-0005-0000-0000-00001C7E0000}"/>
    <cellStyle name="Normal 38 11 4" xfId="35391" xr:uid="{00000000-0005-0000-0000-00001D7E0000}"/>
    <cellStyle name="Normal 38 11 5" xfId="39595" xr:uid="{00000000-0005-0000-0000-00001E7E0000}"/>
    <cellStyle name="Normal 38 12" xfId="9511" xr:uid="{00000000-0005-0000-0000-00001F7E0000}"/>
    <cellStyle name="Normal 38 12 2" xfId="27082" xr:uid="{00000000-0005-0000-0000-0000207E0000}"/>
    <cellStyle name="Normal 38 12 3" xfId="31295" xr:uid="{00000000-0005-0000-0000-0000217E0000}"/>
    <cellStyle name="Normal 38 12 4" xfId="35510" xr:uid="{00000000-0005-0000-0000-0000227E0000}"/>
    <cellStyle name="Normal 38 12 5" xfId="39714" xr:uid="{00000000-0005-0000-0000-0000237E0000}"/>
    <cellStyle name="Normal 38 13" xfId="24896" xr:uid="{00000000-0005-0000-0000-0000247E0000}"/>
    <cellStyle name="Normal 38 14" xfId="29108" xr:uid="{00000000-0005-0000-0000-0000257E0000}"/>
    <cellStyle name="Normal 38 15" xfId="33324" xr:uid="{00000000-0005-0000-0000-0000267E0000}"/>
    <cellStyle name="Normal 38 16" xfId="37528" xr:uid="{00000000-0005-0000-0000-0000277E0000}"/>
    <cellStyle name="Normal 38 2" xfId="6055" xr:uid="{00000000-0005-0000-0000-0000287E0000}"/>
    <cellStyle name="Normal 38 2 10" xfId="9512" xr:uid="{00000000-0005-0000-0000-0000297E0000}"/>
    <cellStyle name="Normal 38 2 10 2" xfId="27083" xr:uid="{00000000-0005-0000-0000-00002A7E0000}"/>
    <cellStyle name="Normal 38 2 10 3" xfId="31296" xr:uid="{00000000-0005-0000-0000-00002B7E0000}"/>
    <cellStyle name="Normal 38 2 10 4" xfId="35511" xr:uid="{00000000-0005-0000-0000-00002C7E0000}"/>
    <cellStyle name="Normal 38 2 10 5" xfId="39715" xr:uid="{00000000-0005-0000-0000-00002D7E0000}"/>
    <cellStyle name="Normal 38 2 11" xfId="7043" xr:uid="{00000000-0005-0000-0000-00002E7E0000}"/>
    <cellStyle name="Normal 38 2 11 2" xfId="25722" xr:uid="{00000000-0005-0000-0000-00002F7E0000}"/>
    <cellStyle name="Normal 38 2 11 3" xfId="29935" xr:uid="{00000000-0005-0000-0000-0000307E0000}"/>
    <cellStyle name="Normal 38 2 11 4" xfId="34150" xr:uid="{00000000-0005-0000-0000-0000317E0000}"/>
    <cellStyle name="Normal 38 2 11 5" xfId="38354" xr:uid="{00000000-0005-0000-0000-0000327E0000}"/>
    <cellStyle name="Normal 38 2 12" xfId="11563" xr:uid="{00000000-0005-0000-0000-0000337E0000}"/>
    <cellStyle name="Normal 38 2 2" xfId="7159" xr:uid="{00000000-0005-0000-0000-0000347E0000}"/>
    <cellStyle name="Normal 38 2 2 2" xfId="25811" xr:uid="{00000000-0005-0000-0000-0000357E0000}"/>
    <cellStyle name="Normal 38 2 2 3" xfId="30024" xr:uid="{00000000-0005-0000-0000-0000367E0000}"/>
    <cellStyle name="Normal 38 2 2 4" xfId="34239" xr:uid="{00000000-0005-0000-0000-0000377E0000}"/>
    <cellStyle name="Normal 38 2 2 5" xfId="38443" xr:uid="{00000000-0005-0000-0000-0000387E0000}"/>
    <cellStyle name="Normal 38 2 3" xfId="7292" xr:uid="{00000000-0005-0000-0000-0000397E0000}"/>
    <cellStyle name="Normal 38 2 3 2" xfId="25925" xr:uid="{00000000-0005-0000-0000-00003A7E0000}"/>
    <cellStyle name="Normal 38 2 3 3" xfId="30138" xr:uid="{00000000-0005-0000-0000-00003B7E0000}"/>
    <cellStyle name="Normal 38 2 3 4" xfId="34353" xr:uid="{00000000-0005-0000-0000-00003C7E0000}"/>
    <cellStyle name="Normal 38 2 3 5" xfId="38557" xr:uid="{00000000-0005-0000-0000-00003D7E0000}"/>
    <cellStyle name="Normal 38 2 4" xfId="7410" xr:uid="{00000000-0005-0000-0000-00003E7E0000}"/>
    <cellStyle name="Normal 38 2 4 2" xfId="26043" xr:uid="{00000000-0005-0000-0000-00003F7E0000}"/>
    <cellStyle name="Normal 38 2 4 3" xfId="30256" xr:uid="{00000000-0005-0000-0000-0000407E0000}"/>
    <cellStyle name="Normal 38 2 4 4" xfId="34471" xr:uid="{00000000-0005-0000-0000-0000417E0000}"/>
    <cellStyle name="Normal 38 2 4 5" xfId="38675" xr:uid="{00000000-0005-0000-0000-0000427E0000}"/>
    <cellStyle name="Normal 38 2 5" xfId="7528" xr:uid="{00000000-0005-0000-0000-0000437E0000}"/>
    <cellStyle name="Normal 38 2 5 2" xfId="26161" xr:uid="{00000000-0005-0000-0000-0000447E0000}"/>
    <cellStyle name="Normal 38 2 5 3" xfId="30374" xr:uid="{00000000-0005-0000-0000-0000457E0000}"/>
    <cellStyle name="Normal 38 2 5 4" xfId="34589" xr:uid="{00000000-0005-0000-0000-0000467E0000}"/>
    <cellStyle name="Normal 38 2 5 5" xfId="38793" xr:uid="{00000000-0005-0000-0000-0000477E0000}"/>
    <cellStyle name="Normal 38 2 6" xfId="9030" xr:uid="{00000000-0005-0000-0000-0000487E0000}"/>
    <cellStyle name="Normal 38 2 6 2" xfId="26601" xr:uid="{00000000-0005-0000-0000-0000497E0000}"/>
    <cellStyle name="Normal 38 2 6 3" xfId="30814" xr:uid="{00000000-0005-0000-0000-00004A7E0000}"/>
    <cellStyle name="Normal 38 2 6 4" xfId="35029" xr:uid="{00000000-0005-0000-0000-00004B7E0000}"/>
    <cellStyle name="Normal 38 2 6 5" xfId="39233" xr:uid="{00000000-0005-0000-0000-00004C7E0000}"/>
    <cellStyle name="Normal 38 2 7" xfId="9152" xr:uid="{00000000-0005-0000-0000-00004D7E0000}"/>
    <cellStyle name="Normal 38 2 7 2" xfId="26723" xr:uid="{00000000-0005-0000-0000-00004E7E0000}"/>
    <cellStyle name="Normal 38 2 7 3" xfId="30936" xr:uid="{00000000-0005-0000-0000-00004F7E0000}"/>
    <cellStyle name="Normal 38 2 7 4" xfId="35151" xr:uid="{00000000-0005-0000-0000-0000507E0000}"/>
    <cellStyle name="Normal 38 2 7 5" xfId="39355" xr:uid="{00000000-0005-0000-0000-0000517E0000}"/>
    <cellStyle name="Normal 38 2 8" xfId="9272" xr:uid="{00000000-0005-0000-0000-0000527E0000}"/>
    <cellStyle name="Normal 38 2 8 2" xfId="26843" xr:uid="{00000000-0005-0000-0000-0000537E0000}"/>
    <cellStyle name="Normal 38 2 8 3" xfId="31056" xr:uid="{00000000-0005-0000-0000-0000547E0000}"/>
    <cellStyle name="Normal 38 2 8 4" xfId="35271" xr:uid="{00000000-0005-0000-0000-0000557E0000}"/>
    <cellStyle name="Normal 38 2 8 5" xfId="39475" xr:uid="{00000000-0005-0000-0000-0000567E0000}"/>
    <cellStyle name="Normal 38 2 9" xfId="9393" xr:uid="{00000000-0005-0000-0000-0000577E0000}"/>
    <cellStyle name="Normal 38 2 9 2" xfId="26964" xr:uid="{00000000-0005-0000-0000-0000587E0000}"/>
    <cellStyle name="Normal 38 2 9 3" xfId="31177" xr:uid="{00000000-0005-0000-0000-0000597E0000}"/>
    <cellStyle name="Normal 38 2 9 4" xfId="35392" xr:uid="{00000000-0005-0000-0000-00005A7E0000}"/>
    <cellStyle name="Normal 38 2 9 5" xfId="39596" xr:uid="{00000000-0005-0000-0000-00005B7E0000}"/>
    <cellStyle name="Normal 38 3" xfId="5956" xr:uid="{00000000-0005-0000-0000-00005C7E0000}"/>
    <cellStyle name="Normal 38 3 10" xfId="9513" xr:uid="{00000000-0005-0000-0000-00005D7E0000}"/>
    <cellStyle name="Normal 38 3 10 2" xfId="27084" xr:uid="{00000000-0005-0000-0000-00005E7E0000}"/>
    <cellStyle name="Normal 38 3 10 3" xfId="31297" xr:uid="{00000000-0005-0000-0000-00005F7E0000}"/>
    <cellStyle name="Normal 38 3 10 4" xfId="35512" xr:uid="{00000000-0005-0000-0000-0000607E0000}"/>
    <cellStyle name="Normal 38 3 10 5" xfId="39716" xr:uid="{00000000-0005-0000-0000-0000617E0000}"/>
    <cellStyle name="Normal 38 3 11" xfId="7044" xr:uid="{00000000-0005-0000-0000-0000627E0000}"/>
    <cellStyle name="Normal 38 3 11 2" xfId="25723" xr:uid="{00000000-0005-0000-0000-0000637E0000}"/>
    <cellStyle name="Normal 38 3 11 3" xfId="29936" xr:uid="{00000000-0005-0000-0000-0000647E0000}"/>
    <cellStyle name="Normal 38 3 11 4" xfId="34151" xr:uid="{00000000-0005-0000-0000-0000657E0000}"/>
    <cellStyle name="Normal 38 3 11 5" xfId="38355" xr:uid="{00000000-0005-0000-0000-0000667E0000}"/>
    <cellStyle name="Normal 38 3 12" xfId="11465" xr:uid="{00000000-0005-0000-0000-0000677E0000}"/>
    <cellStyle name="Normal 38 3 2" xfId="7160" xr:uid="{00000000-0005-0000-0000-0000687E0000}"/>
    <cellStyle name="Normal 38 3 2 2" xfId="25812" xr:uid="{00000000-0005-0000-0000-0000697E0000}"/>
    <cellStyle name="Normal 38 3 2 3" xfId="30025" xr:uid="{00000000-0005-0000-0000-00006A7E0000}"/>
    <cellStyle name="Normal 38 3 2 4" xfId="34240" xr:uid="{00000000-0005-0000-0000-00006B7E0000}"/>
    <cellStyle name="Normal 38 3 2 5" xfId="38444" xr:uid="{00000000-0005-0000-0000-00006C7E0000}"/>
    <cellStyle name="Normal 38 3 3" xfId="7293" xr:uid="{00000000-0005-0000-0000-00006D7E0000}"/>
    <cellStyle name="Normal 38 3 3 2" xfId="25926" xr:uid="{00000000-0005-0000-0000-00006E7E0000}"/>
    <cellStyle name="Normal 38 3 3 3" xfId="30139" xr:uid="{00000000-0005-0000-0000-00006F7E0000}"/>
    <cellStyle name="Normal 38 3 3 4" xfId="34354" xr:uid="{00000000-0005-0000-0000-0000707E0000}"/>
    <cellStyle name="Normal 38 3 3 5" xfId="38558" xr:uid="{00000000-0005-0000-0000-0000717E0000}"/>
    <cellStyle name="Normal 38 3 4" xfId="7411" xr:uid="{00000000-0005-0000-0000-0000727E0000}"/>
    <cellStyle name="Normal 38 3 4 2" xfId="26044" xr:uid="{00000000-0005-0000-0000-0000737E0000}"/>
    <cellStyle name="Normal 38 3 4 3" xfId="30257" xr:uid="{00000000-0005-0000-0000-0000747E0000}"/>
    <cellStyle name="Normal 38 3 4 4" xfId="34472" xr:uid="{00000000-0005-0000-0000-0000757E0000}"/>
    <cellStyle name="Normal 38 3 4 5" xfId="38676" xr:uid="{00000000-0005-0000-0000-0000767E0000}"/>
    <cellStyle name="Normal 38 3 5" xfId="7529" xr:uid="{00000000-0005-0000-0000-0000777E0000}"/>
    <cellStyle name="Normal 38 3 5 2" xfId="26162" xr:uid="{00000000-0005-0000-0000-0000787E0000}"/>
    <cellStyle name="Normal 38 3 5 3" xfId="30375" xr:uid="{00000000-0005-0000-0000-0000797E0000}"/>
    <cellStyle name="Normal 38 3 5 4" xfId="34590" xr:uid="{00000000-0005-0000-0000-00007A7E0000}"/>
    <cellStyle name="Normal 38 3 5 5" xfId="38794" xr:uid="{00000000-0005-0000-0000-00007B7E0000}"/>
    <cellStyle name="Normal 38 3 6" xfId="9031" xr:uid="{00000000-0005-0000-0000-00007C7E0000}"/>
    <cellStyle name="Normal 38 3 6 2" xfId="26602" xr:uid="{00000000-0005-0000-0000-00007D7E0000}"/>
    <cellStyle name="Normal 38 3 6 3" xfId="30815" xr:uid="{00000000-0005-0000-0000-00007E7E0000}"/>
    <cellStyle name="Normal 38 3 6 4" xfId="35030" xr:uid="{00000000-0005-0000-0000-00007F7E0000}"/>
    <cellStyle name="Normal 38 3 6 5" xfId="39234" xr:uid="{00000000-0005-0000-0000-0000807E0000}"/>
    <cellStyle name="Normal 38 3 7" xfId="9153" xr:uid="{00000000-0005-0000-0000-0000817E0000}"/>
    <cellStyle name="Normal 38 3 7 2" xfId="26724" xr:uid="{00000000-0005-0000-0000-0000827E0000}"/>
    <cellStyle name="Normal 38 3 7 3" xfId="30937" xr:uid="{00000000-0005-0000-0000-0000837E0000}"/>
    <cellStyle name="Normal 38 3 7 4" xfId="35152" xr:uid="{00000000-0005-0000-0000-0000847E0000}"/>
    <cellStyle name="Normal 38 3 7 5" xfId="39356" xr:uid="{00000000-0005-0000-0000-0000857E0000}"/>
    <cellStyle name="Normal 38 3 8" xfId="9273" xr:uid="{00000000-0005-0000-0000-0000867E0000}"/>
    <cellStyle name="Normal 38 3 8 2" xfId="26844" xr:uid="{00000000-0005-0000-0000-0000877E0000}"/>
    <cellStyle name="Normal 38 3 8 3" xfId="31057" xr:uid="{00000000-0005-0000-0000-0000887E0000}"/>
    <cellStyle name="Normal 38 3 8 4" xfId="35272" xr:uid="{00000000-0005-0000-0000-0000897E0000}"/>
    <cellStyle name="Normal 38 3 8 5" xfId="39476" xr:uid="{00000000-0005-0000-0000-00008A7E0000}"/>
    <cellStyle name="Normal 38 3 9" xfId="9394" xr:uid="{00000000-0005-0000-0000-00008B7E0000}"/>
    <cellStyle name="Normal 38 3 9 2" xfId="26965" xr:uid="{00000000-0005-0000-0000-00008C7E0000}"/>
    <cellStyle name="Normal 38 3 9 3" xfId="31178" xr:uid="{00000000-0005-0000-0000-00008D7E0000}"/>
    <cellStyle name="Normal 38 3 9 4" xfId="35393" xr:uid="{00000000-0005-0000-0000-00008E7E0000}"/>
    <cellStyle name="Normal 38 3 9 5" xfId="39597" xr:uid="{00000000-0005-0000-0000-00008F7E0000}"/>
    <cellStyle name="Normal 38 4" xfId="7158" xr:uid="{00000000-0005-0000-0000-0000907E0000}"/>
    <cellStyle name="Normal 38 4 2" xfId="25810" xr:uid="{00000000-0005-0000-0000-0000917E0000}"/>
    <cellStyle name="Normal 38 4 3" xfId="30023" xr:uid="{00000000-0005-0000-0000-0000927E0000}"/>
    <cellStyle name="Normal 38 4 4" xfId="34238" xr:uid="{00000000-0005-0000-0000-0000937E0000}"/>
    <cellStyle name="Normal 38 4 5" xfId="38442" xr:uid="{00000000-0005-0000-0000-0000947E0000}"/>
    <cellStyle name="Normal 38 5" xfId="7291" xr:uid="{00000000-0005-0000-0000-0000957E0000}"/>
    <cellStyle name="Normal 38 5 2" xfId="25924" xr:uid="{00000000-0005-0000-0000-0000967E0000}"/>
    <cellStyle name="Normal 38 5 3" xfId="30137" xr:uid="{00000000-0005-0000-0000-0000977E0000}"/>
    <cellStyle name="Normal 38 5 4" xfId="34352" xr:uid="{00000000-0005-0000-0000-0000987E0000}"/>
    <cellStyle name="Normal 38 5 5" xfId="38556" xr:uid="{00000000-0005-0000-0000-0000997E0000}"/>
    <cellStyle name="Normal 38 6" xfId="7409" xr:uid="{00000000-0005-0000-0000-00009A7E0000}"/>
    <cellStyle name="Normal 38 6 2" xfId="26042" xr:uid="{00000000-0005-0000-0000-00009B7E0000}"/>
    <cellStyle name="Normal 38 6 3" xfId="30255" xr:uid="{00000000-0005-0000-0000-00009C7E0000}"/>
    <cellStyle name="Normal 38 6 4" xfId="34470" xr:uid="{00000000-0005-0000-0000-00009D7E0000}"/>
    <cellStyle name="Normal 38 6 5" xfId="38674" xr:uid="{00000000-0005-0000-0000-00009E7E0000}"/>
    <cellStyle name="Normal 38 7" xfId="7527" xr:uid="{00000000-0005-0000-0000-00009F7E0000}"/>
    <cellStyle name="Normal 38 7 2" xfId="26160" xr:uid="{00000000-0005-0000-0000-0000A07E0000}"/>
    <cellStyle name="Normal 38 7 3" xfId="30373" xr:uid="{00000000-0005-0000-0000-0000A17E0000}"/>
    <cellStyle name="Normal 38 7 4" xfId="34588" xr:uid="{00000000-0005-0000-0000-0000A27E0000}"/>
    <cellStyle name="Normal 38 7 5" xfId="38792" xr:uid="{00000000-0005-0000-0000-0000A37E0000}"/>
    <cellStyle name="Normal 38 8" xfId="9029" xr:uid="{00000000-0005-0000-0000-0000A47E0000}"/>
    <cellStyle name="Normal 38 8 2" xfId="26600" xr:uid="{00000000-0005-0000-0000-0000A57E0000}"/>
    <cellStyle name="Normal 38 8 3" xfId="30813" xr:uid="{00000000-0005-0000-0000-0000A67E0000}"/>
    <cellStyle name="Normal 38 8 4" xfId="35028" xr:uid="{00000000-0005-0000-0000-0000A77E0000}"/>
    <cellStyle name="Normal 38 8 5" xfId="39232" xr:uid="{00000000-0005-0000-0000-0000A87E0000}"/>
    <cellStyle name="Normal 38 9" xfId="9151" xr:uid="{00000000-0005-0000-0000-0000A97E0000}"/>
    <cellStyle name="Normal 38 9 2" xfId="26722" xr:uid="{00000000-0005-0000-0000-0000AA7E0000}"/>
    <cellStyle name="Normal 38 9 3" xfId="30935" xr:uid="{00000000-0005-0000-0000-0000AB7E0000}"/>
    <cellStyle name="Normal 38 9 4" xfId="35150" xr:uid="{00000000-0005-0000-0000-0000AC7E0000}"/>
    <cellStyle name="Normal 38 9 5" xfId="39354" xr:uid="{00000000-0005-0000-0000-0000AD7E0000}"/>
    <cellStyle name="Normal 39" xfId="3086" xr:uid="{00000000-0005-0000-0000-0000AE7E0000}"/>
    <cellStyle name="Normal 39 10" xfId="9274" xr:uid="{00000000-0005-0000-0000-0000AF7E0000}"/>
    <cellStyle name="Normal 39 10 2" xfId="26845" xr:uid="{00000000-0005-0000-0000-0000B07E0000}"/>
    <cellStyle name="Normal 39 10 3" xfId="31058" xr:uid="{00000000-0005-0000-0000-0000B17E0000}"/>
    <cellStyle name="Normal 39 10 4" xfId="35273" xr:uid="{00000000-0005-0000-0000-0000B27E0000}"/>
    <cellStyle name="Normal 39 10 5" xfId="39477" xr:uid="{00000000-0005-0000-0000-0000B37E0000}"/>
    <cellStyle name="Normal 39 11" xfId="9395" xr:uid="{00000000-0005-0000-0000-0000B47E0000}"/>
    <cellStyle name="Normal 39 11 2" xfId="26966" xr:uid="{00000000-0005-0000-0000-0000B57E0000}"/>
    <cellStyle name="Normal 39 11 3" xfId="31179" xr:uid="{00000000-0005-0000-0000-0000B67E0000}"/>
    <cellStyle name="Normal 39 11 4" xfId="35394" xr:uid="{00000000-0005-0000-0000-0000B77E0000}"/>
    <cellStyle name="Normal 39 11 5" xfId="39598" xr:uid="{00000000-0005-0000-0000-0000B87E0000}"/>
    <cellStyle name="Normal 39 12" xfId="9514" xr:uid="{00000000-0005-0000-0000-0000B97E0000}"/>
    <cellStyle name="Normal 39 12 2" xfId="27085" xr:uid="{00000000-0005-0000-0000-0000BA7E0000}"/>
    <cellStyle name="Normal 39 12 3" xfId="31298" xr:uid="{00000000-0005-0000-0000-0000BB7E0000}"/>
    <cellStyle name="Normal 39 12 4" xfId="35513" xr:uid="{00000000-0005-0000-0000-0000BC7E0000}"/>
    <cellStyle name="Normal 39 12 5" xfId="39717" xr:uid="{00000000-0005-0000-0000-0000BD7E0000}"/>
    <cellStyle name="Normal 39 13" xfId="7045" xr:uid="{00000000-0005-0000-0000-0000BE7E0000}"/>
    <cellStyle name="Normal 39 13 2" xfId="25724" xr:uid="{00000000-0005-0000-0000-0000BF7E0000}"/>
    <cellStyle name="Normal 39 13 3" xfId="29937" xr:uid="{00000000-0005-0000-0000-0000C07E0000}"/>
    <cellStyle name="Normal 39 13 4" xfId="34152" xr:uid="{00000000-0005-0000-0000-0000C17E0000}"/>
    <cellStyle name="Normal 39 13 5" xfId="38356" xr:uid="{00000000-0005-0000-0000-0000C27E0000}"/>
    <cellStyle name="Normal 39 14" xfId="10975" xr:uid="{00000000-0005-0000-0000-0000C37E0000}"/>
    <cellStyle name="Normal 39 2" xfId="7046" xr:uid="{00000000-0005-0000-0000-0000C47E0000}"/>
    <cellStyle name="Normal 39 2 10" xfId="9515" xr:uid="{00000000-0005-0000-0000-0000C57E0000}"/>
    <cellStyle name="Normal 39 2 10 2" xfId="27086" xr:uid="{00000000-0005-0000-0000-0000C67E0000}"/>
    <cellStyle name="Normal 39 2 10 3" xfId="31299" xr:uid="{00000000-0005-0000-0000-0000C77E0000}"/>
    <cellStyle name="Normal 39 2 10 4" xfId="35514" xr:uid="{00000000-0005-0000-0000-0000C87E0000}"/>
    <cellStyle name="Normal 39 2 10 5" xfId="39718" xr:uid="{00000000-0005-0000-0000-0000C97E0000}"/>
    <cellStyle name="Normal 39 2 11" xfId="13317" xr:uid="{00000000-0005-0000-0000-0000CA7E0000}"/>
    <cellStyle name="Normal 39 2 12" xfId="25725" xr:uid="{00000000-0005-0000-0000-0000CB7E0000}"/>
    <cellStyle name="Normal 39 2 13" xfId="29938" xr:uid="{00000000-0005-0000-0000-0000CC7E0000}"/>
    <cellStyle name="Normal 39 2 14" xfId="34153" xr:uid="{00000000-0005-0000-0000-0000CD7E0000}"/>
    <cellStyle name="Normal 39 2 15" xfId="38357" xr:uid="{00000000-0005-0000-0000-0000CE7E0000}"/>
    <cellStyle name="Normal 39 2 2" xfId="7162" xr:uid="{00000000-0005-0000-0000-0000CF7E0000}"/>
    <cellStyle name="Normal 39 2 2 2" xfId="25814" xr:uid="{00000000-0005-0000-0000-0000D07E0000}"/>
    <cellStyle name="Normal 39 2 2 3" xfId="30027" xr:uid="{00000000-0005-0000-0000-0000D17E0000}"/>
    <cellStyle name="Normal 39 2 2 4" xfId="34242" xr:uid="{00000000-0005-0000-0000-0000D27E0000}"/>
    <cellStyle name="Normal 39 2 2 5" xfId="38446" xr:uid="{00000000-0005-0000-0000-0000D37E0000}"/>
    <cellStyle name="Normal 39 2 3" xfId="7295" xr:uid="{00000000-0005-0000-0000-0000D47E0000}"/>
    <cellStyle name="Normal 39 2 3 2" xfId="25928" xr:uid="{00000000-0005-0000-0000-0000D57E0000}"/>
    <cellStyle name="Normal 39 2 3 3" xfId="30141" xr:uid="{00000000-0005-0000-0000-0000D67E0000}"/>
    <cellStyle name="Normal 39 2 3 4" xfId="34356" xr:uid="{00000000-0005-0000-0000-0000D77E0000}"/>
    <cellStyle name="Normal 39 2 3 5" xfId="38560" xr:uid="{00000000-0005-0000-0000-0000D87E0000}"/>
    <cellStyle name="Normal 39 2 4" xfId="7413" xr:uid="{00000000-0005-0000-0000-0000D97E0000}"/>
    <cellStyle name="Normal 39 2 4 2" xfId="26046" xr:uid="{00000000-0005-0000-0000-0000DA7E0000}"/>
    <cellStyle name="Normal 39 2 4 3" xfId="30259" xr:uid="{00000000-0005-0000-0000-0000DB7E0000}"/>
    <cellStyle name="Normal 39 2 4 4" xfId="34474" xr:uid="{00000000-0005-0000-0000-0000DC7E0000}"/>
    <cellStyle name="Normal 39 2 4 5" xfId="38678" xr:uid="{00000000-0005-0000-0000-0000DD7E0000}"/>
    <cellStyle name="Normal 39 2 5" xfId="7531" xr:uid="{00000000-0005-0000-0000-0000DE7E0000}"/>
    <cellStyle name="Normal 39 2 5 2" xfId="26164" xr:uid="{00000000-0005-0000-0000-0000DF7E0000}"/>
    <cellStyle name="Normal 39 2 5 3" xfId="30377" xr:uid="{00000000-0005-0000-0000-0000E07E0000}"/>
    <cellStyle name="Normal 39 2 5 4" xfId="34592" xr:uid="{00000000-0005-0000-0000-0000E17E0000}"/>
    <cellStyle name="Normal 39 2 5 5" xfId="38796" xr:uid="{00000000-0005-0000-0000-0000E27E0000}"/>
    <cellStyle name="Normal 39 2 6" xfId="9033" xr:uid="{00000000-0005-0000-0000-0000E37E0000}"/>
    <cellStyle name="Normal 39 2 6 2" xfId="26604" xr:uid="{00000000-0005-0000-0000-0000E47E0000}"/>
    <cellStyle name="Normal 39 2 6 3" xfId="30817" xr:uid="{00000000-0005-0000-0000-0000E57E0000}"/>
    <cellStyle name="Normal 39 2 6 4" xfId="35032" xr:uid="{00000000-0005-0000-0000-0000E67E0000}"/>
    <cellStyle name="Normal 39 2 6 5" xfId="39236" xr:uid="{00000000-0005-0000-0000-0000E77E0000}"/>
    <cellStyle name="Normal 39 2 7" xfId="9155" xr:uid="{00000000-0005-0000-0000-0000E87E0000}"/>
    <cellStyle name="Normal 39 2 7 2" xfId="26726" xr:uid="{00000000-0005-0000-0000-0000E97E0000}"/>
    <cellStyle name="Normal 39 2 7 3" xfId="30939" xr:uid="{00000000-0005-0000-0000-0000EA7E0000}"/>
    <cellStyle name="Normal 39 2 7 4" xfId="35154" xr:uid="{00000000-0005-0000-0000-0000EB7E0000}"/>
    <cellStyle name="Normal 39 2 7 5" xfId="39358" xr:uid="{00000000-0005-0000-0000-0000EC7E0000}"/>
    <cellStyle name="Normal 39 2 8" xfId="9275" xr:uid="{00000000-0005-0000-0000-0000ED7E0000}"/>
    <cellStyle name="Normal 39 2 8 2" xfId="26846" xr:uid="{00000000-0005-0000-0000-0000EE7E0000}"/>
    <cellStyle name="Normal 39 2 8 3" xfId="31059" xr:uid="{00000000-0005-0000-0000-0000EF7E0000}"/>
    <cellStyle name="Normal 39 2 8 4" xfId="35274" xr:uid="{00000000-0005-0000-0000-0000F07E0000}"/>
    <cellStyle name="Normal 39 2 8 5" xfId="39478" xr:uid="{00000000-0005-0000-0000-0000F17E0000}"/>
    <cellStyle name="Normal 39 2 9" xfId="9396" xr:uid="{00000000-0005-0000-0000-0000F27E0000}"/>
    <cellStyle name="Normal 39 2 9 2" xfId="26967" xr:uid="{00000000-0005-0000-0000-0000F37E0000}"/>
    <cellStyle name="Normal 39 2 9 3" xfId="31180" xr:uid="{00000000-0005-0000-0000-0000F47E0000}"/>
    <cellStyle name="Normal 39 2 9 4" xfId="35395" xr:uid="{00000000-0005-0000-0000-0000F57E0000}"/>
    <cellStyle name="Normal 39 2 9 5" xfId="39599" xr:uid="{00000000-0005-0000-0000-0000F67E0000}"/>
    <cellStyle name="Normal 39 3" xfId="7047" xr:uid="{00000000-0005-0000-0000-0000F77E0000}"/>
    <cellStyle name="Normal 39 3 10" xfId="9516" xr:uid="{00000000-0005-0000-0000-0000F87E0000}"/>
    <cellStyle name="Normal 39 3 10 2" xfId="27087" xr:uid="{00000000-0005-0000-0000-0000F97E0000}"/>
    <cellStyle name="Normal 39 3 10 3" xfId="31300" xr:uid="{00000000-0005-0000-0000-0000FA7E0000}"/>
    <cellStyle name="Normal 39 3 10 4" xfId="35515" xr:uid="{00000000-0005-0000-0000-0000FB7E0000}"/>
    <cellStyle name="Normal 39 3 10 5" xfId="39719" xr:uid="{00000000-0005-0000-0000-0000FC7E0000}"/>
    <cellStyle name="Normal 39 3 11" xfId="25726" xr:uid="{00000000-0005-0000-0000-0000FD7E0000}"/>
    <cellStyle name="Normal 39 3 12" xfId="29939" xr:uid="{00000000-0005-0000-0000-0000FE7E0000}"/>
    <cellStyle name="Normal 39 3 13" xfId="34154" xr:uid="{00000000-0005-0000-0000-0000FF7E0000}"/>
    <cellStyle name="Normal 39 3 14" xfId="38358" xr:uid="{00000000-0005-0000-0000-0000007F0000}"/>
    <cellStyle name="Normal 39 3 2" xfId="7163" xr:uid="{00000000-0005-0000-0000-0000017F0000}"/>
    <cellStyle name="Normal 39 3 2 2" xfId="25815" xr:uid="{00000000-0005-0000-0000-0000027F0000}"/>
    <cellStyle name="Normal 39 3 2 3" xfId="30028" xr:uid="{00000000-0005-0000-0000-0000037F0000}"/>
    <cellStyle name="Normal 39 3 2 4" xfId="34243" xr:uid="{00000000-0005-0000-0000-0000047F0000}"/>
    <cellStyle name="Normal 39 3 2 5" xfId="38447" xr:uid="{00000000-0005-0000-0000-0000057F0000}"/>
    <cellStyle name="Normal 39 3 3" xfId="7296" xr:uid="{00000000-0005-0000-0000-0000067F0000}"/>
    <cellStyle name="Normal 39 3 3 2" xfId="25929" xr:uid="{00000000-0005-0000-0000-0000077F0000}"/>
    <cellStyle name="Normal 39 3 3 3" xfId="30142" xr:uid="{00000000-0005-0000-0000-0000087F0000}"/>
    <cellStyle name="Normal 39 3 3 4" xfId="34357" xr:uid="{00000000-0005-0000-0000-0000097F0000}"/>
    <cellStyle name="Normal 39 3 3 5" xfId="38561" xr:uid="{00000000-0005-0000-0000-00000A7F0000}"/>
    <cellStyle name="Normal 39 3 4" xfId="7414" xr:uid="{00000000-0005-0000-0000-00000B7F0000}"/>
    <cellStyle name="Normal 39 3 4 2" xfId="26047" xr:uid="{00000000-0005-0000-0000-00000C7F0000}"/>
    <cellStyle name="Normal 39 3 4 3" xfId="30260" xr:uid="{00000000-0005-0000-0000-00000D7F0000}"/>
    <cellStyle name="Normal 39 3 4 4" xfId="34475" xr:uid="{00000000-0005-0000-0000-00000E7F0000}"/>
    <cellStyle name="Normal 39 3 4 5" xfId="38679" xr:uid="{00000000-0005-0000-0000-00000F7F0000}"/>
    <cellStyle name="Normal 39 3 5" xfId="7532" xr:uid="{00000000-0005-0000-0000-0000107F0000}"/>
    <cellStyle name="Normal 39 3 5 2" xfId="26165" xr:uid="{00000000-0005-0000-0000-0000117F0000}"/>
    <cellStyle name="Normal 39 3 5 3" xfId="30378" xr:uid="{00000000-0005-0000-0000-0000127F0000}"/>
    <cellStyle name="Normal 39 3 5 4" xfId="34593" xr:uid="{00000000-0005-0000-0000-0000137F0000}"/>
    <cellStyle name="Normal 39 3 5 5" xfId="38797" xr:uid="{00000000-0005-0000-0000-0000147F0000}"/>
    <cellStyle name="Normal 39 3 6" xfId="9034" xr:uid="{00000000-0005-0000-0000-0000157F0000}"/>
    <cellStyle name="Normal 39 3 6 2" xfId="26605" xr:uid="{00000000-0005-0000-0000-0000167F0000}"/>
    <cellStyle name="Normal 39 3 6 3" xfId="30818" xr:uid="{00000000-0005-0000-0000-0000177F0000}"/>
    <cellStyle name="Normal 39 3 6 4" xfId="35033" xr:uid="{00000000-0005-0000-0000-0000187F0000}"/>
    <cellStyle name="Normal 39 3 6 5" xfId="39237" xr:uid="{00000000-0005-0000-0000-0000197F0000}"/>
    <cellStyle name="Normal 39 3 7" xfId="9156" xr:uid="{00000000-0005-0000-0000-00001A7F0000}"/>
    <cellStyle name="Normal 39 3 7 2" xfId="26727" xr:uid="{00000000-0005-0000-0000-00001B7F0000}"/>
    <cellStyle name="Normal 39 3 7 3" xfId="30940" xr:uid="{00000000-0005-0000-0000-00001C7F0000}"/>
    <cellStyle name="Normal 39 3 7 4" xfId="35155" xr:uid="{00000000-0005-0000-0000-00001D7F0000}"/>
    <cellStyle name="Normal 39 3 7 5" xfId="39359" xr:uid="{00000000-0005-0000-0000-00001E7F0000}"/>
    <cellStyle name="Normal 39 3 8" xfId="9276" xr:uid="{00000000-0005-0000-0000-00001F7F0000}"/>
    <cellStyle name="Normal 39 3 8 2" xfId="26847" xr:uid="{00000000-0005-0000-0000-0000207F0000}"/>
    <cellStyle name="Normal 39 3 8 3" xfId="31060" xr:uid="{00000000-0005-0000-0000-0000217F0000}"/>
    <cellStyle name="Normal 39 3 8 4" xfId="35275" xr:uid="{00000000-0005-0000-0000-0000227F0000}"/>
    <cellStyle name="Normal 39 3 8 5" xfId="39479" xr:uid="{00000000-0005-0000-0000-0000237F0000}"/>
    <cellStyle name="Normal 39 3 9" xfId="9397" xr:uid="{00000000-0005-0000-0000-0000247F0000}"/>
    <cellStyle name="Normal 39 3 9 2" xfId="26968" xr:uid="{00000000-0005-0000-0000-0000257F0000}"/>
    <cellStyle name="Normal 39 3 9 3" xfId="31181" xr:uid="{00000000-0005-0000-0000-0000267F0000}"/>
    <cellStyle name="Normal 39 3 9 4" xfId="35396" xr:uid="{00000000-0005-0000-0000-0000277F0000}"/>
    <cellStyle name="Normal 39 3 9 5" xfId="39600" xr:uid="{00000000-0005-0000-0000-0000287F0000}"/>
    <cellStyle name="Normal 39 4" xfId="7161" xr:uid="{00000000-0005-0000-0000-0000297F0000}"/>
    <cellStyle name="Normal 39 4 2" xfId="25813" xr:uid="{00000000-0005-0000-0000-00002A7F0000}"/>
    <cellStyle name="Normal 39 4 3" xfId="30026" xr:uid="{00000000-0005-0000-0000-00002B7F0000}"/>
    <cellStyle name="Normal 39 4 4" xfId="34241" xr:uid="{00000000-0005-0000-0000-00002C7F0000}"/>
    <cellStyle name="Normal 39 4 5" xfId="38445" xr:uid="{00000000-0005-0000-0000-00002D7F0000}"/>
    <cellStyle name="Normal 39 5" xfId="7294" xr:uid="{00000000-0005-0000-0000-00002E7F0000}"/>
    <cellStyle name="Normal 39 5 2" xfId="25927" xr:uid="{00000000-0005-0000-0000-00002F7F0000}"/>
    <cellStyle name="Normal 39 5 3" xfId="30140" xr:uid="{00000000-0005-0000-0000-0000307F0000}"/>
    <cellStyle name="Normal 39 5 4" xfId="34355" xr:uid="{00000000-0005-0000-0000-0000317F0000}"/>
    <cellStyle name="Normal 39 5 5" xfId="38559" xr:uid="{00000000-0005-0000-0000-0000327F0000}"/>
    <cellStyle name="Normal 39 6" xfId="7412" xr:uid="{00000000-0005-0000-0000-0000337F0000}"/>
    <cellStyle name="Normal 39 6 2" xfId="26045" xr:uid="{00000000-0005-0000-0000-0000347F0000}"/>
    <cellStyle name="Normal 39 6 3" xfId="30258" xr:uid="{00000000-0005-0000-0000-0000357F0000}"/>
    <cellStyle name="Normal 39 6 4" xfId="34473" xr:uid="{00000000-0005-0000-0000-0000367F0000}"/>
    <cellStyle name="Normal 39 6 5" xfId="38677" xr:uid="{00000000-0005-0000-0000-0000377F0000}"/>
    <cellStyle name="Normal 39 7" xfId="7530" xr:uid="{00000000-0005-0000-0000-0000387F0000}"/>
    <cellStyle name="Normal 39 7 2" xfId="26163" xr:uid="{00000000-0005-0000-0000-0000397F0000}"/>
    <cellStyle name="Normal 39 7 3" xfId="30376" xr:uid="{00000000-0005-0000-0000-00003A7F0000}"/>
    <cellStyle name="Normal 39 7 4" xfId="34591" xr:uid="{00000000-0005-0000-0000-00003B7F0000}"/>
    <cellStyle name="Normal 39 7 5" xfId="38795" xr:uid="{00000000-0005-0000-0000-00003C7F0000}"/>
    <cellStyle name="Normal 39 8" xfId="9032" xr:uid="{00000000-0005-0000-0000-00003D7F0000}"/>
    <cellStyle name="Normal 39 8 2" xfId="26603" xr:uid="{00000000-0005-0000-0000-00003E7F0000}"/>
    <cellStyle name="Normal 39 8 3" xfId="30816" xr:uid="{00000000-0005-0000-0000-00003F7F0000}"/>
    <cellStyle name="Normal 39 8 4" xfId="35031" xr:uid="{00000000-0005-0000-0000-0000407F0000}"/>
    <cellStyle name="Normal 39 8 5" xfId="39235" xr:uid="{00000000-0005-0000-0000-0000417F0000}"/>
    <cellStyle name="Normal 39 9" xfId="9154" xr:uid="{00000000-0005-0000-0000-0000427F0000}"/>
    <cellStyle name="Normal 39 9 2" xfId="26725" xr:uid="{00000000-0005-0000-0000-0000437F0000}"/>
    <cellStyle name="Normal 39 9 3" xfId="30938" xr:uid="{00000000-0005-0000-0000-0000447F0000}"/>
    <cellStyle name="Normal 39 9 4" xfId="35153" xr:uid="{00000000-0005-0000-0000-0000457F0000}"/>
    <cellStyle name="Normal 39 9 5" xfId="39357" xr:uid="{00000000-0005-0000-0000-0000467F0000}"/>
    <cellStyle name="Normal 4" xfId="3055" xr:uid="{00000000-0005-0000-0000-0000477F0000}"/>
    <cellStyle name="Normal 4 10" xfId="2620" xr:uid="{00000000-0005-0000-0000-0000487F0000}"/>
    <cellStyle name="Normal 4 10 2" xfId="3981" xr:uid="{00000000-0005-0000-0000-0000497F0000}"/>
    <cellStyle name="Normal 4 11" xfId="2621" xr:uid="{00000000-0005-0000-0000-00004A7F0000}"/>
    <cellStyle name="Normal 4 11 2" xfId="3982" xr:uid="{00000000-0005-0000-0000-00004B7F0000}"/>
    <cellStyle name="Normal 4 11 2 2" xfId="5436" xr:uid="{00000000-0005-0000-0000-00004C7F0000}"/>
    <cellStyle name="Normal 4 11 2 2 2" xfId="5849" xr:uid="{00000000-0005-0000-0000-00004D7F0000}"/>
    <cellStyle name="Normal 4 11 2 3" xfId="5848" xr:uid="{00000000-0005-0000-0000-00004E7F0000}"/>
    <cellStyle name="Normal 4 11 2 3 2" xfId="6311" xr:uid="{00000000-0005-0000-0000-00004F7F0000}"/>
    <cellStyle name="Normal 4 11 3" xfId="8343" xr:uid="{00000000-0005-0000-0000-0000507F0000}"/>
    <cellStyle name="Normal 4 12" xfId="2622" xr:uid="{00000000-0005-0000-0000-0000517F0000}"/>
    <cellStyle name="Normal 4 12 2" xfId="3983" xr:uid="{00000000-0005-0000-0000-0000527F0000}"/>
    <cellStyle name="Normal 4 13" xfId="2623" xr:uid="{00000000-0005-0000-0000-0000537F0000}"/>
    <cellStyle name="Normal 4 13 2" xfId="8344" xr:uid="{00000000-0005-0000-0000-0000547F0000}"/>
    <cellStyle name="Normal 4 13 2 2" xfId="43662" xr:uid="{00000000-0005-0000-0000-0000557F0000}"/>
    <cellStyle name="Normal 4 13 3" xfId="3984" xr:uid="{00000000-0005-0000-0000-0000567F0000}"/>
    <cellStyle name="Normal 4 14" xfId="2624" xr:uid="{00000000-0005-0000-0000-0000577F0000}"/>
    <cellStyle name="Normal 4 14 2" xfId="3985" xr:uid="{00000000-0005-0000-0000-0000587F0000}"/>
    <cellStyle name="Normal 4 15" xfId="2625" xr:uid="{00000000-0005-0000-0000-0000597F0000}"/>
    <cellStyle name="Normal 4 15 2" xfId="3986" xr:uid="{00000000-0005-0000-0000-00005A7F0000}"/>
    <cellStyle name="Normal 4 16" xfId="2626" xr:uid="{00000000-0005-0000-0000-00005B7F0000}"/>
    <cellStyle name="Normal 4 16 2" xfId="3987" xr:uid="{00000000-0005-0000-0000-00005C7F0000}"/>
    <cellStyle name="Normal 4 17" xfId="2627" xr:uid="{00000000-0005-0000-0000-00005D7F0000}"/>
    <cellStyle name="Normal 4 17 2" xfId="3988" xr:uid="{00000000-0005-0000-0000-00005E7F0000}"/>
    <cellStyle name="Normal 4 18" xfId="2628" xr:uid="{00000000-0005-0000-0000-00005F7F0000}"/>
    <cellStyle name="Normal 4 18 2" xfId="3989" xr:uid="{00000000-0005-0000-0000-0000607F0000}"/>
    <cellStyle name="Normal 4 19" xfId="2629" xr:uid="{00000000-0005-0000-0000-0000617F0000}"/>
    <cellStyle name="Normal 4 19 2" xfId="2630" xr:uid="{00000000-0005-0000-0000-0000627F0000}"/>
    <cellStyle name="Normal 4 19 2 2" xfId="3990" xr:uid="{00000000-0005-0000-0000-0000637F0000}"/>
    <cellStyle name="Normal 4 19 3" xfId="3991" xr:uid="{00000000-0005-0000-0000-0000647F0000}"/>
    <cellStyle name="Normal 4 19 3 2" xfId="5437" xr:uid="{00000000-0005-0000-0000-0000657F0000}"/>
    <cellStyle name="Normal 4 19 3 2 2" xfId="5851" xr:uid="{00000000-0005-0000-0000-0000667F0000}"/>
    <cellStyle name="Normal 4 19 3 3" xfId="5850" xr:uid="{00000000-0005-0000-0000-0000677F0000}"/>
    <cellStyle name="Normal 4 19 3 3 2" xfId="6312" xr:uid="{00000000-0005-0000-0000-0000687F0000}"/>
    <cellStyle name="Normal 4 2" xfId="2631" xr:uid="{00000000-0005-0000-0000-0000697F0000}"/>
    <cellStyle name="Normal 4 2 10" xfId="7416" xr:uid="{00000000-0005-0000-0000-00006A7F0000}"/>
    <cellStyle name="Normal 4 2 10 2" xfId="26049" xr:uid="{00000000-0005-0000-0000-00006B7F0000}"/>
    <cellStyle name="Normal 4 2 10 2 2" xfId="43663" xr:uid="{00000000-0005-0000-0000-00006C7F0000}"/>
    <cellStyle name="Normal 4 2 10 3" xfId="30262" xr:uid="{00000000-0005-0000-0000-00006D7F0000}"/>
    <cellStyle name="Normal 4 2 10 4" xfId="34477" xr:uid="{00000000-0005-0000-0000-00006E7F0000}"/>
    <cellStyle name="Normal 4 2 10 5" xfId="38681" xr:uid="{00000000-0005-0000-0000-00006F7F0000}"/>
    <cellStyle name="Normal 4 2 11" xfId="7534" xr:uid="{00000000-0005-0000-0000-0000707F0000}"/>
    <cellStyle name="Normal 4 2 11 2" xfId="26167" xr:uid="{00000000-0005-0000-0000-0000717F0000}"/>
    <cellStyle name="Normal 4 2 11 3" xfId="30380" xr:uid="{00000000-0005-0000-0000-0000727F0000}"/>
    <cellStyle name="Normal 4 2 11 4" xfId="34595" xr:uid="{00000000-0005-0000-0000-0000737F0000}"/>
    <cellStyle name="Normal 4 2 11 5" xfId="38799" xr:uid="{00000000-0005-0000-0000-0000747F0000}"/>
    <cellStyle name="Normal 4 2 12" xfId="8345" xr:uid="{00000000-0005-0000-0000-0000757F0000}"/>
    <cellStyle name="Normal 4 2 13" xfId="9036" xr:uid="{00000000-0005-0000-0000-0000767F0000}"/>
    <cellStyle name="Normal 4 2 13 2" xfId="26607" xr:uid="{00000000-0005-0000-0000-0000777F0000}"/>
    <cellStyle name="Normal 4 2 13 3" xfId="30820" xr:uid="{00000000-0005-0000-0000-0000787F0000}"/>
    <cellStyle name="Normal 4 2 13 4" xfId="35035" xr:uid="{00000000-0005-0000-0000-0000797F0000}"/>
    <cellStyle name="Normal 4 2 13 5" xfId="39239" xr:uid="{00000000-0005-0000-0000-00007A7F0000}"/>
    <cellStyle name="Normal 4 2 14" xfId="9158" xr:uid="{00000000-0005-0000-0000-00007B7F0000}"/>
    <cellStyle name="Normal 4 2 14 2" xfId="26729" xr:uid="{00000000-0005-0000-0000-00007C7F0000}"/>
    <cellStyle name="Normal 4 2 14 3" xfId="30942" xr:uid="{00000000-0005-0000-0000-00007D7F0000}"/>
    <cellStyle name="Normal 4 2 14 4" xfId="35157" xr:uid="{00000000-0005-0000-0000-00007E7F0000}"/>
    <cellStyle name="Normal 4 2 14 5" xfId="39361" xr:uid="{00000000-0005-0000-0000-00007F7F0000}"/>
    <cellStyle name="Normal 4 2 15" xfId="9278" xr:uid="{00000000-0005-0000-0000-0000807F0000}"/>
    <cellStyle name="Normal 4 2 15 2" xfId="26849" xr:uid="{00000000-0005-0000-0000-0000817F0000}"/>
    <cellStyle name="Normal 4 2 15 3" xfId="31062" xr:uid="{00000000-0005-0000-0000-0000827F0000}"/>
    <cellStyle name="Normal 4 2 15 4" xfId="35277" xr:uid="{00000000-0005-0000-0000-0000837F0000}"/>
    <cellStyle name="Normal 4 2 15 5" xfId="39481" xr:uid="{00000000-0005-0000-0000-0000847F0000}"/>
    <cellStyle name="Normal 4 2 16" xfId="9399" xr:uid="{00000000-0005-0000-0000-0000857F0000}"/>
    <cellStyle name="Normal 4 2 16 2" xfId="26970" xr:uid="{00000000-0005-0000-0000-0000867F0000}"/>
    <cellStyle name="Normal 4 2 16 3" xfId="31183" xr:uid="{00000000-0005-0000-0000-0000877F0000}"/>
    <cellStyle name="Normal 4 2 16 4" xfId="35398" xr:uid="{00000000-0005-0000-0000-0000887F0000}"/>
    <cellStyle name="Normal 4 2 16 5" xfId="39602" xr:uid="{00000000-0005-0000-0000-0000897F0000}"/>
    <cellStyle name="Normal 4 2 17" xfId="9518" xr:uid="{00000000-0005-0000-0000-00008A7F0000}"/>
    <cellStyle name="Normal 4 2 17 2" xfId="27089" xr:uid="{00000000-0005-0000-0000-00008B7F0000}"/>
    <cellStyle name="Normal 4 2 17 3" xfId="31302" xr:uid="{00000000-0005-0000-0000-00008C7F0000}"/>
    <cellStyle name="Normal 4 2 17 4" xfId="35517" xr:uid="{00000000-0005-0000-0000-00008D7F0000}"/>
    <cellStyle name="Normal 4 2 17 5" xfId="39721" xr:uid="{00000000-0005-0000-0000-00008E7F0000}"/>
    <cellStyle name="Normal 4 2 18" xfId="9551" xr:uid="{00000000-0005-0000-0000-00008F7F0000}"/>
    <cellStyle name="Normal 4 2 18 2" xfId="27122" xr:uid="{00000000-0005-0000-0000-0000907F0000}"/>
    <cellStyle name="Normal 4 2 18 3" xfId="31335" xr:uid="{00000000-0005-0000-0000-0000917F0000}"/>
    <cellStyle name="Normal 4 2 18 4" xfId="35550" xr:uid="{00000000-0005-0000-0000-0000927F0000}"/>
    <cellStyle name="Normal 4 2 18 5" xfId="39754" xr:uid="{00000000-0005-0000-0000-0000937F0000}"/>
    <cellStyle name="Normal 4 2 19" xfId="9559" xr:uid="{00000000-0005-0000-0000-0000947F0000}"/>
    <cellStyle name="Normal 4 2 19 2" xfId="27128" xr:uid="{00000000-0005-0000-0000-0000957F0000}"/>
    <cellStyle name="Normal 4 2 19 3" xfId="31341" xr:uid="{00000000-0005-0000-0000-0000967F0000}"/>
    <cellStyle name="Normal 4 2 19 4" xfId="35556" xr:uid="{00000000-0005-0000-0000-0000977F0000}"/>
    <cellStyle name="Normal 4 2 19 5" xfId="39760" xr:uid="{00000000-0005-0000-0000-0000987F0000}"/>
    <cellStyle name="Normal 4 2 2" xfId="2632" xr:uid="{00000000-0005-0000-0000-0000997F0000}"/>
    <cellStyle name="Normal 4 2 2 10" xfId="8347" xr:uid="{00000000-0005-0000-0000-00009A7F0000}"/>
    <cellStyle name="Normal 4 2 2 10 2" xfId="26468" xr:uid="{00000000-0005-0000-0000-00009B7F0000}"/>
    <cellStyle name="Normal 4 2 2 10 3" xfId="30681" xr:uid="{00000000-0005-0000-0000-00009C7F0000}"/>
    <cellStyle name="Normal 4 2 2 10 4" xfId="34896" xr:uid="{00000000-0005-0000-0000-00009D7F0000}"/>
    <cellStyle name="Normal 4 2 2 10 5" xfId="39100" xr:uid="{00000000-0005-0000-0000-00009E7F0000}"/>
    <cellStyle name="Normal 4 2 2 11" xfId="8348" xr:uid="{00000000-0005-0000-0000-00009F7F0000}"/>
    <cellStyle name="Normal 4 2 2 11 2" xfId="26469" xr:uid="{00000000-0005-0000-0000-0000A07F0000}"/>
    <cellStyle name="Normal 4 2 2 11 3" xfId="30682" xr:uid="{00000000-0005-0000-0000-0000A17F0000}"/>
    <cellStyle name="Normal 4 2 2 11 4" xfId="34897" xr:uid="{00000000-0005-0000-0000-0000A27F0000}"/>
    <cellStyle name="Normal 4 2 2 11 5" xfId="39101" xr:uid="{00000000-0005-0000-0000-0000A37F0000}"/>
    <cellStyle name="Normal 4 2 2 12" xfId="8349" xr:uid="{00000000-0005-0000-0000-0000A47F0000}"/>
    <cellStyle name="Normal 4 2 2 12 2" xfId="26470" xr:uid="{00000000-0005-0000-0000-0000A57F0000}"/>
    <cellStyle name="Normal 4 2 2 12 3" xfId="30683" xr:uid="{00000000-0005-0000-0000-0000A67F0000}"/>
    <cellStyle name="Normal 4 2 2 12 4" xfId="34898" xr:uid="{00000000-0005-0000-0000-0000A77F0000}"/>
    <cellStyle name="Normal 4 2 2 12 5" xfId="39102" xr:uid="{00000000-0005-0000-0000-0000A87F0000}"/>
    <cellStyle name="Normal 4 2 2 13" xfId="8350" xr:uid="{00000000-0005-0000-0000-0000A97F0000}"/>
    <cellStyle name="Normal 4 2 2 13 2" xfId="26471" xr:uid="{00000000-0005-0000-0000-0000AA7F0000}"/>
    <cellStyle name="Normal 4 2 2 13 3" xfId="30684" xr:uid="{00000000-0005-0000-0000-0000AB7F0000}"/>
    <cellStyle name="Normal 4 2 2 13 4" xfId="34899" xr:uid="{00000000-0005-0000-0000-0000AC7F0000}"/>
    <cellStyle name="Normal 4 2 2 13 5" xfId="39103" xr:uid="{00000000-0005-0000-0000-0000AD7F0000}"/>
    <cellStyle name="Normal 4 2 2 14" xfId="8346" xr:uid="{00000000-0005-0000-0000-0000AE7F0000}"/>
    <cellStyle name="Normal 4 2 2 15" xfId="10171" xr:uid="{00000000-0005-0000-0000-0000AF7F0000}"/>
    <cellStyle name="Normal 4 2 2 2" xfId="3993" xr:uid="{00000000-0005-0000-0000-0000B07F0000}"/>
    <cellStyle name="Normal 4 2 2 2 10" xfId="8352" xr:uid="{00000000-0005-0000-0000-0000B17F0000}"/>
    <cellStyle name="Normal 4 2 2 2 11" xfId="8353" xr:uid="{00000000-0005-0000-0000-0000B27F0000}"/>
    <cellStyle name="Normal 4 2 2 2 12" xfId="8354" xr:uid="{00000000-0005-0000-0000-0000B37F0000}"/>
    <cellStyle name="Normal 4 2 2 2 13" xfId="8355" xr:uid="{00000000-0005-0000-0000-0000B47F0000}"/>
    <cellStyle name="Normal 4 2 2 2 14" xfId="8351" xr:uid="{00000000-0005-0000-0000-0000B57F0000}"/>
    <cellStyle name="Normal 4 2 2 2 14 2" xfId="26472" xr:uid="{00000000-0005-0000-0000-0000B67F0000}"/>
    <cellStyle name="Normal 4 2 2 2 14 3" xfId="30685" xr:uid="{00000000-0005-0000-0000-0000B77F0000}"/>
    <cellStyle name="Normal 4 2 2 2 14 4" xfId="34900" xr:uid="{00000000-0005-0000-0000-0000B87F0000}"/>
    <cellStyle name="Normal 4 2 2 2 14 5" xfId="39104" xr:uid="{00000000-0005-0000-0000-0000B97F0000}"/>
    <cellStyle name="Normal 4 2 2 2 2" xfId="5438" xr:uid="{00000000-0005-0000-0000-0000BA7F0000}"/>
    <cellStyle name="Normal 4 2 2 2 2 2" xfId="5853" xr:uid="{00000000-0005-0000-0000-0000BB7F0000}"/>
    <cellStyle name="Normal 4 2 2 2 2 2 2" xfId="8356" xr:uid="{00000000-0005-0000-0000-0000BC7F0000}"/>
    <cellStyle name="Normal 4 2 2 2 2 2 3" xfId="11373" xr:uid="{00000000-0005-0000-0000-0000BD7F0000}"/>
    <cellStyle name="Normal 4 2 2 2 3" xfId="5852" xr:uid="{00000000-0005-0000-0000-0000BE7F0000}"/>
    <cellStyle name="Normal 4 2 2 2 3 2" xfId="6313" xr:uid="{00000000-0005-0000-0000-0000BF7F0000}"/>
    <cellStyle name="Normal 4 2 2 2 3 2 2" xfId="8357" xr:uid="{00000000-0005-0000-0000-0000C07F0000}"/>
    <cellStyle name="Normal 4 2 2 2 4" xfId="8358" xr:uid="{00000000-0005-0000-0000-0000C17F0000}"/>
    <cellStyle name="Normal 4 2 2 2 5" xfId="8359" xr:uid="{00000000-0005-0000-0000-0000C27F0000}"/>
    <cellStyle name="Normal 4 2 2 2 6" xfId="8360" xr:uid="{00000000-0005-0000-0000-0000C37F0000}"/>
    <cellStyle name="Normal 4 2 2 2 7" xfId="8361" xr:uid="{00000000-0005-0000-0000-0000C47F0000}"/>
    <cellStyle name="Normal 4 2 2 2 8" xfId="8362" xr:uid="{00000000-0005-0000-0000-0000C57F0000}"/>
    <cellStyle name="Normal 4 2 2 2 9" xfId="8363" xr:uid="{00000000-0005-0000-0000-0000C67F0000}"/>
    <cellStyle name="Normal 4 2 2 3" xfId="8364" xr:uid="{00000000-0005-0000-0000-0000C77F0000}"/>
    <cellStyle name="Normal 4 2 2 3 2" xfId="26473" xr:uid="{00000000-0005-0000-0000-0000C87F0000}"/>
    <cellStyle name="Normal 4 2 2 3 3" xfId="30686" xr:uid="{00000000-0005-0000-0000-0000C97F0000}"/>
    <cellStyle name="Normal 4 2 2 3 4" xfId="34901" xr:uid="{00000000-0005-0000-0000-0000CA7F0000}"/>
    <cellStyle name="Normal 4 2 2 3 5" xfId="39105" xr:uid="{00000000-0005-0000-0000-0000CB7F0000}"/>
    <cellStyle name="Normal 4 2 2 4" xfId="8365" xr:uid="{00000000-0005-0000-0000-0000CC7F0000}"/>
    <cellStyle name="Normal 4 2 2 4 2" xfId="26474" xr:uid="{00000000-0005-0000-0000-0000CD7F0000}"/>
    <cellStyle name="Normal 4 2 2 4 3" xfId="30687" xr:uid="{00000000-0005-0000-0000-0000CE7F0000}"/>
    <cellStyle name="Normal 4 2 2 4 4" xfId="34902" xr:uid="{00000000-0005-0000-0000-0000CF7F0000}"/>
    <cellStyle name="Normal 4 2 2 4 5" xfId="39106" xr:uid="{00000000-0005-0000-0000-0000D07F0000}"/>
    <cellStyle name="Normal 4 2 2 5" xfId="8366" xr:uid="{00000000-0005-0000-0000-0000D17F0000}"/>
    <cellStyle name="Normal 4 2 2 5 2" xfId="26475" xr:uid="{00000000-0005-0000-0000-0000D27F0000}"/>
    <cellStyle name="Normal 4 2 2 5 3" xfId="30688" xr:uid="{00000000-0005-0000-0000-0000D37F0000}"/>
    <cellStyle name="Normal 4 2 2 5 4" xfId="34903" xr:uid="{00000000-0005-0000-0000-0000D47F0000}"/>
    <cellStyle name="Normal 4 2 2 5 5" xfId="39107" xr:uid="{00000000-0005-0000-0000-0000D57F0000}"/>
    <cellStyle name="Normal 4 2 2 6" xfId="8367" xr:uid="{00000000-0005-0000-0000-0000D67F0000}"/>
    <cellStyle name="Normal 4 2 2 6 2" xfId="26476" xr:uid="{00000000-0005-0000-0000-0000D77F0000}"/>
    <cellStyle name="Normal 4 2 2 6 3" xfId="30689" xr:uid="{00000000-0005-0000-0000-0000D87F0000}"/>
    <cellStyle name="Normal 4 2 2 6 4" xfId="34904" xr:uid="{00000000-0005-0000-0000-0000D97F0000}"/>
    <cellStyle name="Normal 4 2 2 6 5" xfId="39108" xr:uid="{00000000-0005-0000-0000-0000DA7F0000}"/>
    <cellStyle name="Normal 4 2 2 7" xfId="8368" xr:uid="{00000000-0005-0000-0000-0000DB7F0000}"/>
    <cellStyle name="Normal 4 2 2 7 2" xfId="26477" xr:uid="{00000000-0005-0000-0000-0000DC7F0000}"/>
    <cellStyle name="Normal 4 2 2 7 3" xfId="30690" xr:uid="{00000000-0005-0000-0000-0000DD7F0000}"/>
    <cellStyle name="Normal 4 2 2 7 4" xfId="34905" xr:uid="{00000000-0005-0000-0000-0000DE7F0000}"/>
    <cellStyle name="Normal 4 2 2 7 5" xfId="39109" xr:uid="{00000000-0005-0000-0000-0000DF7F0000}"/>
    <cellStyle name="Normal 4 2 2 8" xfId="8369" xr:uid="{00000000-0005-0000-0000-0000E07F0000}"/>
    <cellStyle name="Normal 4 2 2 8 2" xfId="26478" xr:uid="{00000000-0005-0000-0000-0000E17F0000}"/>
    <cellStyle name="Normal 4 2 2 8 3" xfId="30691" xr:uid="{00000000-0005-0000-0000-0000E27F0000}"/>
    <cellStyle name="Normal 4 2 2 8 4" xfId="34906" xr:uid="{00000000-0005-0000-0000-0000E37F0000}"/>
    <cellStyle name="Normal 4 2 2 8 5" xfId="39110" xr:uid="{00000000-0005-0000-0000-0000E47F0000}"/>
    <cellStyle name="Normal 4 2 2 9" xfId="8370" xr:uid="{00000000-0005-0000-0000-0000E57F0000}"/>
    <cellStyle name="Normal 4 2 2 9 2" xfId="26479" xr:uid="{00000000-0005-0000-0000-0000E67F0000}"/>
    <cellStyle name="Normal 4 2 2 9 3" xfId="30692" xr:uid="{00000000-0005-0000-0000-0000E77F0000}"/>
    <cellStyle name="Normal 4 2 2 9 4" xfId="34907" xr:uid="{00000000-0005-0000-0000-0000E87F0000}"/>
    <cellStyle name="Normal 4 2 2 9 5" xfId="39111" xr:uid="{00000000-0005-0000-0000-0000E97F0000}"/>
    <cellStyle name="Normal 4 2 20" xfId="3992" xr:uid="{00000000-0005-0000-0000-0000EA7F0000}"/>
    <cellStyle name="Normal 4 2 20 2" xfId="24879" xr:uid="{00000000-0005-0000-0000-0000EB7F0000}"/>
    <cellStyle name="Normal 4 2 20 3" xfId="29090" xr:uid="{00000000-0005-0000-0000-0000EC7F0000}"/>
    <cellStyle name="Normal 4 2 20 4" xfId="33307" xr:uid="{00000000-0005-0000-0000-0000ED7F0000}"/>
    <cellStyle name="Normal 4 2 21" xfId="12249" xr:uid="{00000000-0005-0000-0000-0000EE7F0000}"/>
    <cellStyle name="Normal 4 2 21 2" xfId="28817" xr:uid="{00000000-0005-0000-0000-0000EF7F0000}"/>
    <cellStyle name="Normal 4 2 21 3" xfId="33030" xr:uid="{00000000-0005-0000-0000-0000F07F0000}"/>
    <cellStyle name="Normal 4 2 21 4" xfId="37245" xr:uid="{00000000-0005-0000-0000-0000F17F0000}"/>
    <cellStyle name="Normal 4 2 22" xfId="23458" xr:uid="{00000000-0005-0000-0000-0000F27F0000}"/>
    <cellStyle name="Normal 4 2 22 2" xfId="28958" xr:uid="{00000000-0005-0000-0000-0000F37F0000}"/>
    <cellStyle name="Normal 4 2 22 3" xfId="33175" xr:uid="{00000000-0005-0000-0000-0000F47F0000}"/>
    <cellStyle name="Normal 4 2 22 4" xfId="37386" xr:uid="{00000000-0005-0000-0000-0000F57F0000}"/>
    <cellStyle name="Normal 4 2 23" xfId="3070" xr:uid="{00000000-0005-0000-0000-0000F67F0000}"/>
    <cellStyle name="Normal 4 2 24" xfId="24825" xr:uid="{00000000-0005-0000-0000-0000F77F0000}"/>
    <cellStyle name="Normal 4 2 25" xfId="29036" xr:uid="{00000000-0005-0000-0000-0000F87F0000}"/>
    <cellStyle name="Normal 4 2 26" xfId="33253" xr:uid="{00000000-0005-0000-0000-0000F97F0000}"/>
    <cellStyle name="Normal 4 2 27" xfId="37511" xr:uid="{00000000-0005-0000-0000-0000FA7F0000}"/>
    <cellStyle name="Normal 4 2 3" xfId="2633" xr:uid="{00000000-0005-0000-0000-0000FB7F0000}"/>
    <cellStyle name="Normal 4 2 3 2" xfId="3994" xr:uid="{00000000-0005-0000-0000-0000FC7F0000}"/>
    <cellStyle name="Normal 4 2 3 2 2" xfId="5439" xr:uid="{00000000-0005-0000-0000-0000FD7F0000}"/>
    <cellStyle name="Normal 4 2 3 2 2 2" xfId="5855" xr:uid="{00000000-0005-0000-0000-0000FE7F0000}"/>
    <cellStyle name="Normal 4 2 3 2 3" xfId="5854" xr:uid="{00000000-0005-0000-0000-0000FF7F0000}"/>
    <cellStyle name="Normal 4 2 3 2 3 2" xfId="6314" xr:uid="{00000000-0005-0000-0000-000000800000}"/>
    <cellStyle name="Normal 4 2 3 2 4" xfId="10198" xr:uid="{00000000-0005-0000-0000-000001800000}"/>
    <cellStyle name="Normal 4 2 3 3" xfId="8371" xr:uid="{00000000-0005-0000-0000-000002800000}"/>
    <cellStyle name="Normal 4 2 3 3 2" xfId="43664" xr:uid="{00000000-0005-0000-0000-000003800000}"/>
    <cellStyle name="Normal 4 2 4" xfId="2634" xr:uid="{00000000-0005-0000-0000-000004800000}"/>
    <cellStyle name="Normal 4 2 4 2" xfId="3995" xr:uid="{00000000-0005-0000-0000-000005800000}"/>
    <cellStyle name="Normal 4 2 4 2 2" xfId="5440" xr:uid="{00000000-0005-0000-0000-000006800000}"/>
    <cellStyle name="Normal 4 2 4 2 2 2" xfId="13112" xr:uid="{00000000-0005-0000-0000-000007800000}"/>
    <cellStyle name="Normal 4 2 4 2 2 3" xfId="24976" xr:uid="{00000000-0005-0000-0000-000008800000}"/>
    <cellStyle name="Normal 4 2 4 2 2 4" xfId="29188" xr:uid="{00000000-0005-0000-0000-000009800000}"/>
    <cellStyle name="Normal 4 2 4 2 2 5" xfId="33404" xr:uid="{00000000-0005-0000-0000-00000A800000}"/>
    <cellStyle name="Normal 4 2 4 2 2 6" xfId="37608" xr:uid="{00000000-0005-0000-0000-00000B800000}"/>
    <cellStyle name="Normal 4 2 4 2 3" xfId="11147" xr:uid="{00000000-0005-0000-0000-00000C800000}"/>
    <cellStyle name="Normal 4 2 4 3" xfId="8372" xr:uid="{00000000-0005-0000-0000-00000D800000}"/>
    <cellStyle name="Normal 4 2 5" xfId="3996" xr:uid="{00000000-0005-0000-0000-00000E800000}"/>
    <cellStyle name="Normal 4 2 5 10" xfId="33308" xr:uid="{00000000-0005-0000-0000-00000F800000}"/>
    <cellStyle name="Normal 4 2 5 11" xfId="37512" xr:uid="{00000000-0005-0000-0000-000010800000}"/>
    <cellStyle name="Normal 4 2 5 2" xfId="4487" xr:uid="{00000000-0005-0000-0000-000011800000}"/>
    <cellStyle name="Normal 4 2 5 2 2" xfId="5857" xr:uid="{00000000-0005-0000-0000-000012800000}"/>
    <cellStyle name="Normal 4 2 5 2 3" xfId="5442" xr:uid="{00000000-0005-0000-0000-000013800000}"/>
    <cellStyle name="Normal 4 2 5 2 4" xfId="11266" xr:uid="{00000000-0005-0000-0000-000014800000}"/>
    <cellStyle name="Normal 4 2 5 2 4 2" xfId="28112" xr:uid="{00000000-0005-0000-0000-000015800000}"/>
    <cellStyle name="Normal 4 2 5 2 4 3" xfId="32325" xr:uid="{00000000-0005-0000-0000-000016800000}"/>
    <cellStyle name="Normal 4 2 5 2 4 4" xfId="36540" xr:uid="{00000000-0005-0000-0000-000017800000}"/>
    <cellStyle name="Normal 4 2 5 2 4 5" xfId="40744" xr:uid="{00000000-0005-0000-0000-000018800000}"/>
    <cellStyle name="Normal 4 2 5 2 5" xfId="24958" xr:uid="{00000000-0005-0000-0000-000019800000}"/>
    <cellStyle name="Normal 4 2 5 2 6" xfId="29170" xr:uid="{00000000-0005-0000-0000-00001A800000}"/>
    <cellStyle name="Normal 4 2 5 2 7" xfId="33386" xr:uid="{00000000-0005-0000-0000-00001B800000}"/>
    <cellStyle name="Normal 4 2 5 2 8" xfId="37590" xr:uid="{00000000-0005-0000-0000-00001C800000}"/>
    <cellStyle name="Normal 4 2 5 3" xfId="5856" xr:uid="{00000000-0005-0000-0000-00001D800000}"/>
    <cellStyle name="Normal 4 2 5 3 2" xfId="6315" xr:uid="{00000000-0005-0000-0000-00001E800000}"/>
    <cellStyle name="Normal 4 2 5 4" xfId="5441" xr:uid="{00000000-0005-0000-0000-00001F800000}"/>
    <cellStyle name="Normal 4 2 5 4 2" xfId="8373" xr:uid="{00000000-0005-0000-0000-000020800000}"/>
    <cellStyle name="Normal 4 2 5 4 3" xfId="11335" xr:uid="{00000000-0005-0000-0000-000021800000}"/>
    <cellStyle name="Normal 4 2 5 5" xfId="11148" xr:uid="{00000000-0005-0000-0000-000022800000}"/>
    <cellStyle name="Normal 4 2 5 5 2" xfId="28081" xr:uid="{00000000-0005-0000-0000-000023800000}"/>
    <cellStyle name="Normal 4 2 5 5 3" xfId="32294" xr:uid="{00000000-0005-0000-0000-000024800000}"/>
    <cellStyle name="Normal 4 2 5 5 4" xfId="36509" xr:uid="{00000000-0005-0000-0000-000025800000}"/>
    <cellStyle name="Normal 4 2 5 5 5" xfId="40713" xr:uid="{00000000-0005-0000-0000-000026800000}"/>
    <cellStyle name="Normal 4 2 5 6" xfId="12286" xr:uid="{00000000-0005-0000-0000-000027800000}"/>
    <cellStyle name="Normal 4 2 5 6 2" xfId="28853" xr:uid="{00000000-0005-0000-0000-000028800000}"/>
    <cellStyle name="Normal 4 2 5 6 3" xfId="33066" xr:uid="{00000000-0005-0000-0000-000029800000}"/>
    <cellStyle name="Normal 4 2 5 6 4" xfId="37281" xr:uid="{00000000-0005-0000-0000-00002A800000}"/>
    <cellStyle name="Normal 4 2 5 7" xfId="23495" xr:uid="{00000000-0005-0000-0000-00002B800000}"/>
    <cellStyle name="Normal 4 2 5 7 2" xfId="28994" xr:uid="{00000000-0005-0000-0000-00002C800000}"/>
    <cellStyle name="Normal 4 2 5 7 3" xfId="33211" xr:uid="{00000000-0005-0000-0000-00002D800000}"/>
    <cellStyle name="Normal 4 2 5 7 4" xfId="37422" xr:uid="{00000000-0005-0000-0000-00002E800000}"/>
    <cellStyle name="Normal 4 2 5 8" xfId="24880" xr:uid="{00000000-0005-0000-0000-00002F800000}"/>
    <cellStyle name="Normal 4 2 5 9" xfId="29091" xr:uid="{00000000-0005-0000-0000-000030800000}"/>
    <cellStyle name="Normal 4 2 6" xfId="4449" xr:uid="{00000000-0005-0000-0000-000031800000}"/>
    <cellStyle name="Normal 4 2 6 2" xfId="6221" xr:uid="{00000000-0005-0000-0000-000032800000}"/>
    <cellStyle name="Normal 4 2 6 2 2" xfId="8374" xr:uid="{00000000-0005-0000-0000-000033800000}"/>
    <cellStyle name="Normal 4 2 6 2 3" xfId="11693" xr:uid="{00000000-0005-0000-0000-000034800000}"/>
    <cellStyle name="Normal 4 2 6 3" xfId="11249" xr:uid="{00000000-0005-0000-0000-000035800000}"/>
    <cellStyle name="Normal 4 2 6 3 2" xfId="28096" xr:uid="{00000000-0005-0000-0000-000036800000}"/>
    <cellStyle name="Normal 4 2 6 3 3" xfId="32309" xr:uid="{00000000-0005-0000-0000-000037800000}"/>
    <cellStyle name="Normal 4 2 6 3 4" xfId="36524" xr:uid="{00000000-0005-0000-0000-000038800000}"/>
    <cellStyle name="Normal 4 2 6 3 5" xfId="40728" xr:uid="{00000000-0005-0000-0000-000039800000}"/>
    <cellStyle name="Normal 4 2 6 4" xfId="24921" xr:uid="{00000000-0005-0000-0000-00003A800000}"/>
    <cellStyle name="Normal 4 2 6 5" xfId="29133" xr:uid="{00000000-0005-0000-0000-00003B800000}"/>
    <cellStyle name="Normal 4 2 6 6" xfId="33349" xr:uid="{00000000-0005-0000-0000-00003C800000}"/>
    <cellStyle name="Normal 4 2 6 7" xfId="37553" xr:uid="{00000000-0005-0000-0000-00003D800000}"/>
    <cellStyle name="Normal 4 2 7" xfId="6910" xr:uid="{00000000-0005-0000-0000-00003E800000}"/>
    <cellStyle name="Normal 4 2 7 2" xfId="8375" xr:uid="{00000000-0005-0000-0000-00003F800000}"/>
    <cellStyle name="Normal 4 2 7 3" xfId="25598" xr:uid="{00000000-0005-0000-0000-000040800000}"/>
    <cellStyle name="Normal 4 2 7 4" xfId="29811" xr:uid="{00000000-0005-0000-0000-000041800000}"/>
    <cellStyle name="Normal 4 2 7 5" xfId="34026" xr:uid="{00000000-0005-0000-0000-000042800000}"/>
    <cellStyle name="Normal 4 2 7 6" xfId="38230" xr:uid="{00000000-0005-0000-0000-000043800000}"/>
    <cellStyle name="Normal 4 2 8" xfId="7165" xr:uid="{00000000-0005-0000-0000-000044800000}"/>
    <cellStyle name="Normal 4 2 8 2" xfId="8376" xr:uid="{00000000-0005-0000-0000-000045800000}"/>
    <cellStyle name="Normal 4 2 8 3" xfId="25817" xr:uid="{00000000-0005-0000-0000-000046800000}"/>
    <cellStyle name="Normal 4 2 8 4" xfId="30030" xr:uid="{00000000-0005-0000-0000-000047800000}"/>
    <cellStyle name="Normal 4 2 8 5" xfId="34245" xr:uid="{00000000-0005-0000-0000-000048800000}"/>
    <cellStyle name="Normal 4 2 8 6" xfId="38449" xr:uid="{00000000-0005-0000-0000-000049800000}"/>
    <cellStyle name="Normal 4 2 9" xfId="7298" xr:uid="{00000000-0005-0000-0000-00004A800000}"/>
    <cellStyle name="Normal 4 2 9 2" xfId="25931" xr:uid="{00000000-0005-0000-0000-00004B800000}"/>
    <cellStyle name="Normal 4 2 9 2 2" xfId="41661" xr:uid="{00000000-0005-0000-0000-00004C800000}"/>
    <cellStyle name="Normal 4 2 9 3" xfId="30144" xr:uid="{00000000-0005-0000-0000-00004D800000}"/>
    <cellStyle name="Normal 4 2 9 4" xfId="34359" xr:uid="{00000000-0005-0000-0000-00004E800000}"/>
    <cellStyle name="Normal 4 2 9 5" xfId="38563" xr:uid="{00000000-0005-0000-0000-00004F800000}"/>
    <cellStyle name="Normal 4 2_Scen_XBase" xfId="43665" xr:uid="{00000000-0005-0000-0000-000050800000}"/>
    <cellStyle name="Normal 4 20" xfId="2635" xr:uid="{00000000-0005-0000-0000-000051800000}"/>
    <cellStyle name="Normal 4 20 2" xfId="2636" xr:uid="{00000000-0005-0000-0000-000052800000}"/>
    <cellStyle name="Normal 4 20 2 2" xfId="3997" xr:uid="{00000000-0005-0000-0000-000053800000}"/>
    <cellStyle name="Normal 4 20 3" xfId="3998" xr:uid="{00000000-0005-0000-0000-000054800000}"/>
    <cellStyle name="Normal 4 20 3 2" xfId="5443" xr:uid="{00000000-0005-0000-0000-000055800000}"/>
    <cellStyle name="Normal 4 20 3 2 2" xfId="5859" xr:uid="{00000000-0005-0000-0000-000056800000}"/>
    <cellStyle name="Normal 4 20 3 3" xfId="5858" xr:uid="{00000000-0005-0000-0000-000057800000}"/>
    <cellStyle name="Normal 4 20 3 3 2" xfId="6316" xr:uid="{00000000-0005-0000-0000-000058800000}"/>
    <cellStyle name="Normal 4 21" xfId="2637" xr:uid="{00000000-0005-0000-0000-000059800000}"/>
    <cellStyle name="Normal 4 21 2" xfId="3999" xr:uid="{00000000-0005-0000-0000-00005A800000}"/>
    <cellStyle name="Normal 4 22" xfId="2638" xr:uid="{00000000-0005-0000-0000-00005B800000}"/>
    <cellStyle name="Normal 4 22 2" xfId="4000" xr:uid="{00000000-0005-0000-0000-00005C800000}"/>
    <cellStyle name="Normal 4 23" xfId="2639" xr:uid="{00000000-0005-0000-0000-00005D800000}"/>
    <cellStyle name="Normal 4 23 2" xfId="4001" xr:uid="{00000000-0005-0000-0000-00005E800000}"/>
    <cellStyle name="Normal 4 24" xfId="2640" xr:uid="{00000000-0005-0000-0000-00005F800000}"/>
    <cellStyle name="Normal 4 24 2" xfId="4002" xr:uid="{00000000-0005-0000-0000-000060800000}"/>
    <cellStyle name="Normal 4 25" xfId="2641" xr:uid="{00000000-0005-0000-0000-000061800000}"/>
    <cellStyle name="Normal 4 25 2" xfId="4003" xr:uid="{00000000-0005-0000-0000-000062800000}"/>
    <cellStyle name="Normal 4 26" xfId="6222" xr:uid="{00000000-0005-0000-0000-000063800000}"/>
    <cellStyle name="Normal 4 27" xfId="7007" xr:uid="{00000000-0005-0000-0000-000064800000}"/>
    <cellStyle name="Normal 4 27 2" xfId="7562" xr:uid="{00000000-0005-0000-0000-000065800000}"/>
    <cellStyle name="Normal 4 27 2 2" xfId="26195" xr:uid="{00000000-0005-0000-0000-000066800000}"/>
    <cellStyle name="Normal 4 27 2 3" xfId="30408" xr:uid="{00000000-0005-0000-0000-000067800000}"/>
    <cellStyle name="Normal 4 27 2 4" xfId="34623" xr:uid="{00000000-0005-0000-0000-000068800000}"/>
    <cellStyle name="Normal 4 27 2 5" xfId="38827" xr:uid="{00000000-0005-0000-0000-000069800000}"/>
    <cellStyle name="Normal 4 27 3" xfId="25695" xr:uid="{00000000-0005-0000-0000-00006A800000}"/>
    <cellStyle name="Normal 4 27 4" xfId="29908" xr:uid="{00000000-0005-0000-0000-00006B800000}"/>
    <cellStyle name="Normal 4 27 5" xfId="34123" xr:uid="{00000000-0005-0000-0000-00006C800000}"/>
    <cellStyle name="Normal 4 27 6" xfId="38327" xr:uid="{00000000-0005-0000-0000-00006D800000}"/>
    <cellStyle name="Normal 4 28" xfId="7164" xr:uid="{00000000-0005-0000-0000-00006E800000}"/>
    <cellStyle name="Normal 4 28 2" xfId="25816" xr:uid="{00000000-0005-0000-0000-00006F800000}"/>
    <cellStyle name="Normal 4 28 3" xfId="30029" xr:uid="{00000000-0005-0000-0000-000070800000}"/>
    <cellStyle name="Normal 4 28 4" xfId="34244" xr:uid="{00000000-0005-0000-0000-000071800000}"/>
    <cellStyle name="Normal 4 28 5" xfId="38448" xr:uid="{00000000-0005-0000-0000-000072800000}"/>
    <cellStyle name="Normal 4 29" xfId="7297" xr:uid="{00000000-0005-0000-0000-000073800000}"/>
    <cellStyle name="Normal 4 29 2" xfId="25930" xr:uid="{00000000-0005-0000-0000-000074800000}"/>
    <cellStyle name="Normal 4 29 3" xfId="30143" xr:uid="{00000000-0005-0000-0000-000075800000}"/>
    <cellStyle name="Normal 4 29 4" xfId="34358" xr:uid="{00000000-0005-0000-0000-000076800000}"/>
    <cellStyle name="Normal 4 29 5" xfId="38562" xr:uid="{00000000-0005-0000-0000-000077800000}"/>
    <cellStyle name="Normal 4 3" xfId="2642" xr:uid="{00000000-0005-0000-0000-000078800000}"/>
    <cellStyle name="Normal 4 3 10" xfId="9159" xr:uid="{00000000-0005-0000-0000-000079800000}"/>
    <cellStyle name="Normal 4 3 10 2" xfId="26730" xr:uid="{00000000-0005-0000-0000-00007A800000}"/>
    <cellStyle name="Normal 4 3 10 3" xfId="30943" xr:uid="{00000000-0005-0000-0000-00007B800000}"/>
    <cellStyle name="Normal 4 3 10 4" xfId="35158" xr:uid="{00000000-0005-0000-0000-00007C800000}"/>
    <cellStyle name="Normal 4 3 10 5" xfId="39362" xr:uid="{00000000-0005-0000-0000-00007D800000}"/>
    <cellStyle name="Normal 4 3 11" xfId="9279" xr:uid="{00000000-0005-0000-0000-00007E800000}"/>
    <cellStyle name="Normal 4 3 11 2" xfId="26850" xr:uid="{00000000-0005-0000-0000-00007F800000}"/>
    <cellStyle name="Normal 4 3 11 3" xfId="31063" xr:uid="{00000000-0005-0000-0000-000080800000}"/>
    <cellStyle name="Normal 4 3 11 4" xfId="35278" xr:uid="{00000000-0005-0000-0000-000081800000}"/>
    <cellStyle name="Normal 4 3 11 5" xfId="39482" xr:uid="{00000000-0005-0000-0000-000082800000}"/>
    <cellStyle name="Normal 4 3 12" xfId="9400" xr:uid="{00000000-0005-0000-0000-000083800000}"/>
    <cellStyle name="Normal 4 3 12 2" xfId="26971" xr:uid="{00000000-0005-0000-0000-000084800000}"/>
    <cellStyle name="Normal 4 3 12 3" xfId="31184" xr:uid="{00000000-0005-0000-0000-000085800000}"/>
    <cellStyle name="Normal 4 3 12 4" xfId="35399" xr:uid="{00000000-0005-0000-0000-000086800000}"/>
    <cellStyle name="Normal 4 3 12 5" xfId="39603" xr:uid="{00000000-0005-0000-0000-000087800000}"/>
    <cellStyle name="Normal 4 3 13" xfId="9519" xr:uid="{00000000-0005-0000-0000-000088800000}"/>
    <cellStyle name="Normal 4 3 13 2" xfId="27090" xr:uid="{00000000-0005-0000-0000-000089800000}"/>
    <cellStyle name="Normal 4 3 13 3" xfId="31303" xr:uid="{00000000-0005-0000-0000-00008A800000}"/>
    <cellStyle name="Normal 4 3 13 4" xfId="35518" xr:uid="{00000000-0005-0000-0000-00008B800000}"/>
    <cellStyle name="Normal 4 3 13 5" xfId="39722" xr:uid="{00000000-0005-0000-0000-00008C800000}"/>
    <cellStyle name="Normal 4 3 14" xfId="4004" xr:uid="{00000000-0005-0000-0000-00008D800000}"/>
    <cellStyle name="Normal 4 3 2" xfId="6223" xr:uid="{00000000-0005-0000-0000-00008E800000}"/>
    <cellStyle name="Normal 4 3 2 2" xfId="8377" xr:uid="{00000000-0005-0000-0000-00008F800000}"/>
    <cellStyle name="Normal 4 3 3" xfId="6224" xr:uid="{00000000-0005-0000-0000-000090800000}"/>
    <cellStyle name="Normal 4 3 3 2" xfId="6911" xr:uid="{00000000-0005-0000-0000-000091800000}"/>
    <cellStyle name="Normal 4 3 3 2 2" xfId="25599" xr:uid="{00000000-0005-0000-0000-000092800000}"/>
    <cellStyle name="Normal 4 3 3 2 3" xfId="29812" xr:uid="{00000000-0005-0000-0000-000093800000}"/>
    <cellStyle name="Normal 4 3 3 2 4" xfId="34027" xr:uid="{00000000-0005-0000-0000-000094800000}"/>
    <cellStyle name="Normal 4 3 3 2 5" xfId="38231" xr:uid="{00000000-0005-0000-0000-000095800000}"/>
    <cellStyle name="Normal 4 3 3 3" xfId="8378" xr:uid="{00000000-0005-0000-0000-000096800000}"/>
    <cellStyle name="Normal 4 3 3 4" xfId="25499" xr:uid="{00000000-0005-0000-0000-000097800000}"/>
    <cellStyle name="Normal 4 3 3 5" xfId="29711" xr:uid="{00000000-0005-0000-0000-000098800000}"/>
    <cellStyle name="Normal 4 3 3 6" xfId="33927" xr:uid="{00000000-0005-0000-0000-000099800000}"/>
    <cellStyle name="Normal 4 3 3 7" xfId="38131" xr:uid="{00000000-0005-0000-0000-00009A800000}"/>
    <cellStyle name="Normal 4 3 4" xfId="7166" xr:uid="{00000000-0005-0000-0000-00009B800000}"/>
    <cellStyle name="Normal 4 3 4 2" xfId="8379" xr:uid="{00000000-0005-0000-0000-00009C800000}"/>
    <cellStyle name="Normal 4 3 4 3" xfId="25818" xr:uid="{00000000-0005-0000-0000-00009D800000}"/>
    <cellStyle name="Normal 4 3 4 4" xfId="30031" xr:uid="{00000000-0005-0000-0000-00009E800000}"/>
    <cellStyle name="Normal 4 3 4 5" xfId="34246" xr:uid="{00000000-0005-0000-0000-00009F800000}"/>
    <cellStyle name="Normal 4 3 4 6" xfId="38450" xr:uid="{00000000-0005-0000-0000-0000A0800000}"/>
    <cellStyle name="Normal 4 3 5" xfId="7299" xr:uid="{00000000-0005-0000-0000-0000A1800000}"/>
    <cellStyle name="Normal 4 3 5 2" xfId="8380" xr:uid="{00000000-0005-0000-0000-0000A2800000}"/>
    <cellStyle name="Normal 4 3 5 3" xfId="25932" xr:uid="{00000000-0005-0000-0000-0000A3800000}"/>
    <cellStyle name="Normal 4 3 5 4" xfId="30145" xr:uid="{00000000-0005-0000-0000-0000A4800000}"/>
    <cellStyle name="Normal 4 3 5 5" xfId="34360" xr:uid="{00000000-0005-0000-0000-0000A5800000}"/>
    <cellStyle name="Normal 4 3 5 6" xfId="38564" xr:uid="{00000000-0005-0000-0000-0000A6800000}"/>
    <cellStyle name="Normal 4 3 6" xfId="7417" xr:uid="{00000000-0005-0000-0000-0000A7800000}"/>
    <cellStyle name="Normal 4 3 6 2" xfId="8381" xr:uid="{00000000-0005-0000-0000-0000A8800000}"/>
    <cellStyle name="Normal 4 3 6 3" xfId="26050" xr:uid="{00000000-0005-0000-0000-0000A9800000}"/>
    <cellStyle name="Normal 4 3 6 4" xfId="30263" xr:uid="{00000000-0005-0000-0000-0000AA800000}"/>
    <cellStyle name="Normal 4 3 6 5" xfId="34478" xr:uid="{00000000-0005-0000-0000-0000AB800000}"/>
    <cellStyle name="Normal 4 3 6 6" xfId="38682" xr:uid="{00000000-0005-0000-0000-0000AC800000}"/>
    <cellStyle name="Normal 4 3 7" xfId="7535" xr:uid="{00000000-0005-0000-0000-0000AD800000}"/>
    <cellStyle name="Normal 4 3 7 2" xfId="8382" xr:uid="{00000000-0005-0000-0000-0000AE800000}"/>
    <cellStyle name="Normal 4 3 7 3" xfId="26168" xr:uid="{00000000-0005-0000-0000-0000AF800000}"/>
    <cellStyle name="Normal 4 3 7 4" xfId="30381" xr:uid="{00000000-0005-0000-0000-0000B0800000}"/>
    <cellStyle name="Normal 4 3 7 5" xfId="34596" xr:uid="{00000000-0005-0000-0000-0000B1800000}"/>
    <cellStyle name="Normal 4 3 7 6" xfId="38800" xr:uid="{00000000-0005-0000-0000-0000B2800000}"/>
    <cellStyle name="Normal 4 3 8" xfId="8383" xr:uid="{00000000-0005-0000-0000-0000B3800000}"/>
    <cellStyle name="Normal 4 3 9" xfId="9037" xr:uid="{00000000-0005-0000-0000-0000B4800000}"/>
    <cellStyle name="Normal 4 3 9 2" xfId="26608" xr:uid="{00000000-0005-0000-0000-0000B5800000}"/>
    <cellStyle name="Normal 4 3 9 2 2" xfId="43666" xr:uid="{00000000-0005-0000-0000-0000B6800000}"/>
    <cellStyle name="Normal 4 3 9 3" xfId="30821" xr:uid="{00000000-0005-0000-0000-0000B7800000}"/>
    <cellStyle name="Normal 4 3 9 4" xfId="35036" xr:uid="{00000000-0005-0000-0000-0000B8800000}"/>
    <cellStyle name="Normal 4 3 9 5" xfId="39240" xr:uid="{00000000-0005-0000-0000-0000B9800000}"/>
    <cellStyle name="Normal 4 3_Scen_XBase" xfId="43667" xr:uid="{00000000-0005-0000-0000-0000BA800000}"/>
    <cellStyle name="Normal 4 30" xfId="7415" xr:uid="{00000000-0005-0000-0000-0000BB800000}"/>
    <cellStyle name="Normal 4 30 2" xfId="26048" xr:uid="{00000000-0005-0000-0000-0000BC800000}"/>
    <cellStyle name="Normal 4 30 3" xfId="30261" xr:uid="{00000000-0005-0000-0000-0000BD800000}"/>
    <cellStyle name="Normal 4 30 4" xfId="34476" xr:uid="{00000000-0005-0000-0000-0000BE800000}"/>
    <cellStyle name="Normal 4 30 5" xfId="38680" xr:uid="{00000000-0005-0000-0000-0000BF800000}"/>
    <cellStyle name="Normal 4 31" xfId="7533" xr:uid="{00000000-0005-0000-0000-0000C0800000}"/>
    <cellStyle name="Normal 4 31 2" xfId="26166" xr:uid="{00000000-0005-0000-0000-0000C1800000}"/>
    <cellStyle name="Normal 4 31 3" xfId="30379" xr:uid="{00000000-0005-0000-0000-0000C2800000}"/>
    <cellStyle name="Normal 4 31 4" xfId="34594" xr:uid="{00000000-0005-0000-0000-0000C3800000}"/>
    <cellStyle name="Normal 4 31 5" xfId="38798" xr:uid="{00000000-0005-0000-0000-0000C4800000}"/>
    <cellStyle name="Normal 4 32" xfId="9035" xr:uid="{00000000-0005-0000-0000-0000C5800000}"/>
    <cellStyle name="Normal 4 32 2" xfId="26606" xr:uid="{00000000-0005-0000-0000-0000C6800000}"/>
    <cellStyle name="Normal 4 32 3" xfId="30819" xr:uid="{00000000-0005-0000-0000-0000C7800000}"/>
    <cellStyle name="Normal 4 32 4" xfId="35034" xr:uid="{00000000-0005-0000-0000-0000C8800000}"/>
    <cellStyle name="Normal 4 32 5" xfId="39238" xr:uid="{00000000-0005-0000-0000-0000C9800000}"/>
    <cellStyle name="Normal 4 33" xfId="9157" xr:uid="{00000000-0005-0000-0000-0000CA800000}"/>
    <cellStyle name="Normal 4 33 2" xfId="26728" xr:uid="{00000000-0005-0000-0000-0000CB800000}"/>
    <cellStyle name="Normal 4 33 3" xfId="30941" xr:uid="{00000000-0005-0000-0000-0000CC800000}"/>
    <cellStyle name="Normal 4 33 4" xfId="35156" xr:uid="{00000000-0005-0000-0000-0000CD800000}"/>
    <cellStyle name="Normal 4 33 5" xfId="39360" xr:uid="{00000000-0005-0000-0000-0000CE800000}"/>
    <cellStyle name="Normal 4 34" xfId="9277" xr:uid="{00000000-0005-0000-0000-0000CF800000}"/>
    <cellStyle name="Normal 4 34 2" xfId="26848" xr:uid="{00000000-0005-0000-0000-0000D0800000}"/>
    <cellStyle name="Normal 4 34 3" xfId="31061" xr:uid="{00000000-0005-0000-0000-0000D1800000}"/>
    <cellStyle name="Normal 4 34 4" xfId="35276" xr:uid="{00000000-0005-0000-0000-0000D2800000}"/>
    <cellStyle name="Normal 4 34 5" xfId="39480" xr:uid="{00000000-0005-0000-0000-0000D3800000}"/>
    <cellStyle name="Normal 4 35" xfId="9398" xr:uid="{00000000-0005-0000-0000-0000D4800000}"/>
    <cellStyle name="Normal 4 35 2" xfId="26969" xr:uid="{00000000-0005-0000-0000-0000D5800000}"/>
    <cellStyle name="Normal 4 35 3" xfId="31182" xr:uid="{00000000-0005-0000-0000-0000D6800000}"/>
    <cellStyle name="Normal 4 35 4" xfId="35397" xr:uid="{00000000-0005-0000-0000-0000D7800000}"/>
    <cellStyle name="Normal 4 35 5" xfId="39601" xr:uid="{00000000-0005-0000-0000-0000D8800000}"/>
    <cellStyle name="Normal 4 36" xfId="9517" xr:uid="{00000000-0005-0000-0000-0000D9800000}"/>
    <cellStyle name="Normal 4 36 2" xfId="27088" xr:uid="{00000000-0005-0000-0000-0000DA800000}"/>
    <cellStyle name="Normal 4 36 3" xfId="31301" xr:uid="{00000000-0005-0000-0000-0000DB800000}"/>
    <cellStyle name="Normal 4 36 4" xfId="35516" xr:uid="{00000000-0005-0000-0000-0000DC800000}"/>
    <cellStyle name="Normal 4 36 5" xfId="39720" xr:uid="{00000000-0005-0000-0000-0000DD800000}"/>
    <cellStyle name="Normal 4 37" xfId="3094" xr:uid="{00000000-0005-0000-0000-0000DE800000}"/>
    <cellStyle name="Normal 4 38" xfId="24830" xr:uid="{00000000-0005-0000-0000-0000DF800000}"/>
    <cellStyle name="Normal 4 39" xfId="29041" xr:uid="{00000000-0005-0000-0000-0000E0800000}"/>
    <cellStyle name="Normal 4 4" xfId="2643" xr:uid="{00000000-0005-0000-0000-0000E1800000}"/>
    <cellStyle name="Normal 4 4 2" xfId="6225" xr:uid="{00000000-0005-0000-0000-0000E2800000}"/>
    <cellStyle name="Normal 4 4 2 2" xfId="8384" xr:uid="{00000000-0005-0000-0000-0000E3800000}"/>
    <cellStyle name="Normal 4 4 3" xfId="8385" xr:uid="{00000000-0005-0000-0000-0000E4800000}"/>
    <cellStyle name="Normal 4 4 4" xfId="8386" xr:uid="{00000000-0005-0000-0000-0000E5800000}"/>
    <cellStyle name="Normal 4 4 5" xfId="8387" xr:uid="{00000000-0005-0000-0000-0000E6800000}"/>
    <cellStyle name="Normal 4 4 6" xfId="8388" xr:uid="{00000000-0005-0000-0000-0000E7800000}"/>
    <cellStyle name="Normal 4 4 7" xfId="8389" xr:uid="{00000000-0005-0000-0000-0000E8800000}"/>
    <cellStyle name="Normal 4 4 8" xfId="8390" xr:uid="{00000000-0005-0000-0000-0000E9800000}"/>
    <cellStyle name="Normal 4 4 9" xfId="4005" xr:uid="{00000000-0005-0000-0000-0000EA800000}"/>
    <cellStyle name="Normal 4 40" xfId="33258" xr:uid="{00000000-0005-0000-0000-0000EB800000}"/>
    <cellStyle name="Normal 4 41" xfId="37462" xr:uid="{00000000-0005-0000-0000-0000EC800000}"/>
    <cellStyle name="Normal 4 42" xfId="46483" xr:uid="{98E05BA3-B92F-4BCD-9DDB-B86ACA195F75}"/>
    <cellStyle name="Normal 4 43" xfId="46493" xr:uid="{24F37336-523A-4D0F-B969-98623F723C31}"/>
    <cellStyle name="Normal 4 5" xfId="2644" xr:uid="{00000000-0005-0000-0000-0000ED800000}"/>
    <cellStyle name="Normal 4 5 2" xfId="6226" xr:uid="{00000000-0005-0000-0000-0000EE800000}"/>
    <cellStyle name="Normal 4 5 2 2" xfId="6912" xr:uid="{00000000-0005-0000-0000-0000EF800000}"/>
    <cellStyle name="Normal 4 5 2 2 2" xfId="25600" xr:uid="{00000000-0005-0000-0000-0000F0800000}"/>
    <cellStyle name="Normal 4 5 2 2 3" xfId="29813" xr:uid="{00000000-0005-0000-0000-0000F1800000}"/>
    <cellStyle name="Normal 4 5 2 2 4" xfId="34028" xr:uid="{00000000-0005-0000-0000-0000F2800000}"/>
    <cellStyle name="Normal 4 5 2 2 5" xfId="38232" xr:uid="{00000000-0005-0000-0000-0000F3800000}"/>
    <cellStyle name="Normal 4 5 2 3" xfId="8391" xr:uid="{00000000-0005-0000-0000-0000F4800000}"/>
    <cellStyle name="Normal 4 5 2 4" xfId="25500" xr:uid="{00000000-0005-0000-0000-0000F5800000}"/>
    <cellStyle name="Normal 4 5 2 5" xfId="29712" xr:uid="{00000000-0005-0000-0000-0000F6800000}"/>
    <cellStyle name="Normal 4 5 2 6" xfId="33928" xr:uid="{00000000-0005-0000-0000-0000F7800000}"/>
    <cellStyle name="Normal 4 5 2 7" xfId="38132" xr:uid="{00000000-0005-0000-0000-0000F8800000}"/>
    <cellStyle name="Normal 4 5 3" xfId="8392" xr:uid="{00000000-0005-0000-0000-0000F9800000}"/>
    <cellStyle name="Normal 4 5 4" xfId="8393" xr:uid="{00000000-0005-0000-0000-0000FA800000}"/>
    <cellStyle name="Normal 4 5 5" xfId="8394" xr:uid="{00000000-0005-0000-0000-0000FB800000}"/>
    <cellStyle name="Normal 4 5 6" xfId="8395" xr:uid="{00000000-0005-0000-0000-0000FC800000}"/>
    <cellStyle name="Normal 4 5 7" xfId="8396" xr:uid="{00000000-0005-0000-0000-0000FD800000}"/>
    <cellStyle name="Normal 4 5 8" xfId="8397" xr:uid="{00000000-0005-0000-0000-0000FE800000}"/>
    <cellStyle name="Normal 4 5 9" xfId="4006" xr:uid="{00000000-0005-0000-0000-0000FF800000}"/>
    <cellStyle name="Normal 4 6" xfId="2645" xr:uid="{00000000-0005-0000-0000-000000810000}"/>
    <cellStyle name="Normal 4 6 2" xfId="6227" xr:uid="{00000000-0005-0000-0000-000001810000}"/>
    <cellStyle name="Normal 4 6 2 2" xfId="6913" xr:uid="{00000000-0005-0000-0000-000002810000}"/>
    <cellStyle name="Normal 4 6 2 2 2" xfId="25601" xr:uid="{00000000-0005-0000-0000-000003810000}"/>
    <cellStyle name="Normal 4 6 2 2 3" xfId="29814" xr:uid="{00000000-0005-0000-0000-000004810000}"/>
    <cellStyle name="Normal 4 6 2 2 4" xfId="34029" xr:uid="{00000000-0005-0000-0000-000005810000}"/>
    <cellStyle name="Normal 4 6 2 2 5" xfId="38233" xr:uid="{00000000-0005-0000-0000-000006810000}"/>
    <cellStyle name="Normal 4 6 2 3" xfId="25501" xr:uid="{00000000-0005-0000-0000-000007810000}"/>
    <cellStyle name="Normal 4 6 2 3 2" xfId="43668" xr:uid="{00000000-0005-0000-0000-000008810000}"/>
    <cellStyle name="Normal 4 6 2 4" xfId="29713" xr:uid="{00000000-0005-0000-0000-000009810000}"/>
    <cellStyle name="Normal 4 6 2 5" xfId="33929" xr:uid="{00000000-0005-0000-0000-00000A810000}"/>
    <cellStyle name="Normal 4 6 2 6" xfId="38133" xr:uid="{00000000-0005-0000-0000-00000B810000}"/>
    <cellStyle name="Normal 4 6 3" xfId="4007" xr:uid="{00000000-0005-0000-0000-00000C810000}"/>
    <cellStyle name="Normal 4 7" xfId="2646" xr:uid="{00000000-0005-0000-0000-00000D810000}"/>
    <cellStyle name="Normal 4 7 2" xfId="4008" xr:uid="{00000000-0005-0000-0000-00000E810000}"/>
    <cellStyle name="Normal 4 8" xfId="2647" xr:uid="{00000000-0005-0000-0000-00000F810000}"/>
    <cellStyle name="Normal 4 8 2" xfId="4009" xr:uid="{00000000-0005-0000-0000-000010810000}"/>
    <cellStyle name="Normal 4 9" xfId="2648" xr:uid="{00000000-0005-0000-0000-000011810000}"/>
    <cellStyle name="Normal 4 9 2" xfId="4010" xr:uid="{00000000-0005-0000-0000-000012810000}"/>
    <cellStyle name="Normal 4_ELC" xfId="43669" xr:uid="{00000000-0005-0000-0000-000013810000}"/>
    <cellStyle name="Normal 40" xfId="6278" xr:uid="{00000000-0005-0000-0000-000014810000}"/>
    <cellStyle name="Normal 40 10" xfId="9544" xr:uid="{00000000-0005-0000-0000-000015810000}"/>
    <cellStyle name="Normal 40 10 2" xfId="27115" xr:uid="{00000000-0005-0000-0000-000016810000}"/>
    <cellStyle name="Normal 40 10 3" xfId="31328" xr:uid="{00000000-0005-0000-0000-000017810000}"/>
    <cellStyle name="Normal 40 10 4" xfId="35543" xr:uid="{00000000-0005-0000-0000-000018810000}"/>
    <cellStyle name="Normal 40 10 5" xfId="39747" xr:uid="{00000000-0005-0000-0000-000019810000}"/>
    <cellStyle name="Normal 40 11" xfId="7069" xr:uid="{00000000-0005-0000-0000-00001A810000}"/>
    <cellStyle name="Normal 40 11 2" xfId="25729" xr:uid="{00000000-0005-0000-0000-00001B810000}"/>
    <cellStyle name="Normal 40 11 3" xfId="29942" xr:uid="{00000000-0005-0000-0000-00001C810000}"/>
    <cellStyle name="Normal 40 11 4" xfId="34157" xr:uid="{00000000-0005-0000-0000-00001D810000}"/>
    <cellStyle name="Normal 40 11 5" xfId="38361" xr:uid="{00000000-0005-0000-0000-00001E810000}"/>
    <cellStyle name="Normal 40 12" xfId="11725" xr:uid="{00000000-0005-0000-0000-00001F810000}"/>
    <cellStyle name="Normal 40 2" xfId="7202" xr:uid="{00000000-0005-0000-0000-000020810000}"/>
    <cellStyle name="Normal 40 2 2" xfId="25837" xr:uid="{00000000-0005-0000-0000-000021810000}"/>
    <cellStyle name="Normal 40 2 3" xfId="30050" xr:uid="{00000000-0005-0000-0000-000022810000}"/>
    <cellStyle name="Normal 40 2 4" xfId="34265" xr:uid="{00000000-0005-0000-0000-000023810000}"/>
    <cellStyle name="Normal 40 2 5" xfId="38469" xr:uid="{00000000-0005-0000-0000-000024810000}"/>
    <cellStyle name="Normal 40 3" xfId="7323" xr:uid="{00000000-0005-0000-0000-000025810000}"/>
    <cellStyle name="Normal 40 3 2" xfId="25956" xr:uid="{00000000-0005-0000-0000-000026810000}"/>
    <cellStyle name="Normal 40 3 3" xfId="30169" xr:uid="{00000000-0005-0000-0000-000027810000}"/>
    <cellStyle name="Normal 40 3 4" xfId="34384" xr:uid="{00000000-0005-0000-0000-000028810000}"/>
    <cellStyle name="Normal 40 3 5" xfId="38588" xr:uid="{00000000-0005-0000-0000-000029810000}"/>
    <cellStyle name="Normal 40 4" xfId="7441" xr:uid="{00000000-0005-0000-0000-00002A810000}"/>
    <cellStyle name="Normal 40 4 2" xfId="26074" xr:uid="{00000000-0005-0000-0000-00002B810000}"/>
    <cellStyle name="Normal 40 4 3" xfId="30287" xr:uid="{00000000-0005-0000-0000-00002C810000}"/>
    <cellStyle name="Normal 40 4 4" xfId="34502" xr:uid="{00000000-0005-0000-0000-00002D810000}"/>
    <cellStyle name="Normal 40 4 5" xfId="38706" xr:uid="{00000000-0005-0000-0000-00002E810000}"/>
    <cellStyle name="Normal 40 5" xfId="7559" xr:uid="{00000000-0005-0000-0000-00002F810000}"/>
    <cellStyle name="Normal 40 5 2" xfId="26192" xr:uid="{00000000-0005-0000-0000-000030810000}"/>
    <cellStyle name="Normal 40 5 3" xfId="30405" xr:uid="{00000000-0005-0000-0000-000031810000}"/>
    <cellStyle name="Normal 40 5 4" xfId="34620" xr:uid="{00000000-0005-0000-0000-000032810000}"/>
    <cellStyle name="Normal 40 5 5" xfId="38824" xr:uid="{00000000-0005-0000-0000-000033810000}"/>
    <cellStyle name="Normal 40 6" xfId="9062" xr:uid="{00000000-0005-0000-0000-000034810000}"/>
    <cellStyle name="Normal 40 6 2" xfId="26633" xr:uid="{00000000-0005-0000-0000-000035810000}"/>
    <cellStyle name="Normal 40 6 3" xfId="30846" xr:uid="{00000000-0005-0000-0000-000036810000}"/>
    <cellStyle name="Normal 40 6 4" xfId="35061" xr:uid="{00000000-0005-0000-0000-000037810000}"/>
    <cellStyle name="Normal 40 6 5" xfId="39265" xr:uid="{00000000-0005-0000-0000-000038810000}"/>
    <cellStyle name="Normal 40 7" xfId="9184" xr:uid="{00000000-0005-0000-0000-000039810000}"/>
    <cellStyle name="Normal 40 7 2" xfId="26755" xr:uid="{00000000-0005-0000-0000-00003A810000}"/>
    <cellStyle name="Normal 40 7 3" xfId="30968" xr:uid="{00000000-0005-0000-0000-00003B810000}"/>
    <cellStyle name="Normal 40 7 4" xfId="35183" xr:uid="{00000000-0005-0000-0000-00003C810000}"/>
    <cellStyle name="Normal 40 7 5" xfId="39387" xr:uid="{00000000-0005-0000-0000-00003D810000}"/>
    <cellStyle name="Normal 40 8" xfId="9304" xr:uid="{00000000-0005-0000-0000-00003E810000}"/>
    <cellStyle name="Normal 40 8 2" xfId="26875" xr:uid="{00000000-0005-0000-0000-00003F810000}"/>
    <cellStyle name="Normal 40 8 3" xfId="31088" xr:uid="{00000000-0005-0000-0000-000040810000}"/>
    <cellStyle name="Normal 40 8 4" xfId="35303" xr:uid="{00000000-0005-0000-0000-000041810000}"/>
    <cellStyle name="Normal 40 8 5" xfId="39507" xr:uid="{00000000-0005-0000-0000-000042810000}"/>
    <cellStyle name="Normal 40 9" xfId="9424" xr:uid="{00000000-0005-0000-0000-000043810000}"/>
    <cellStyle name="Normal 40 9 2" xfId="26995" xr:uid="{00000000-0005-0000-0000-000044810000}"/>
    <cellStyle name="Normal 40 9 3" xfId="31208" xr:uid="{00000000-0005-0000-0000-000045810000}"/>
    <cellStyle name="Normal 40 9 4" xfId="35423" xr:uid="{00000000-0005-0000-0000-000046810000}"/>
    <cellStyle name="Normal 40 9 5" xfId="39627" xr:uid="{00000000-0005-0000-0000-000047810000}"/>
    <cellStyle name="Normal 41" xfId="6279" xr:uid="{00000000-0005-0000-0000-000048810000}"/>
    <cellStyle name="Normal 41 2" xfId="7564" xr:uid="{00000000-0005-0000-0000-000049810000}"/>
    <cellStyle name="Normal 41 2 2" xfId="26197" xr:uid="{00000000-0005-0000-0000-00004A810000}"/>
    <cellStyle name="Normal 41 2 3" xfId="30410" xr:uid="{00000000-0005-0000-0000-00004B810000}"/>
    <cellStyle name="Normal 41 2 4" xfId="34625" xr:uid="{00000000-0005-0000-0000-00004C810000}"/>
    <cellStyle name="Normal 41 2 5" xfId="38829" xr:uid="{00000000-0005-0000-0000-00004D810000}"/>
    <cellStyle name="Normal 41 3" xfId="11726" xr:uid="{00000000-0005-0000-0000-00004E810000}"/>
    <cellStyle name="Normal 42" xfId="3146" xr:uid="{00000000-0005-0000-0000-00004F810000}"/>
    <cellStyle name="Normal 42 2" xfId="24832" xr:uid="{00000000-0005-0000-0000-000050810000}"/>
    <cellStyle name="Normal 42 3" xfId="29043" xr:uid="{00000000-0005-0000-0000-000051810000}"/>
    <cellStyle name="Normal 42 4" xfId="33260" xr:uid="{00000000-0005-0000-0000-000052810000}"/>
    <cellStyle name="Normal 42 5" xfId="37464" xr:uid="{00000000-0005-0000-0000-000053810000}"/>
    <cellStyle name="Normal 43" xfId="6281" xr:uid="{00000000-0005-0000-0000-000054810000}"/>
    <cellStyle name="Normal 43 2" xfId="9557" xr:uid="{00000000-0005-0000-0000-000055810000}"/>
    <cellStyle name="Normal 43 2 2" xfId="27126" xr:uid="{00000000-0005-0000-0000-000056810000}"/>
    <cellStyle name="Normal 43 2 3" xfId="31339" xr:uid="{00000000-0005-0000-0000-000057810000}"/>
    <cellStyle name="Normal 43 2 4" xfId="35554" xr:uid="{00000000-0005-0000-0000-000058810000}"/>
    <cellStyle name="Normal 43 2 5" xfId="39758" xr:uid="{00000000-0005-0000-0000-000059810000}"/>
    <cellStyle name="Normal 43 3" xfId="11728" xr:uid="{00000000-0005-0000-0000-00005A810000}"/>
    <cellStyle name="Normal 44" xfId="6282" xr:uid="{00000000-0005-0000-0000-00005B810000}"/>
    <cellStyle name="Normal 44 2" xfId="9558" xr:uid="{00000000-0005-0000-0000-00005C810000}"/>
    <cellStyle name="Normal 44 2 2" xfId="27127" xr:uid="{00000000-0005-0000-0000-00005D810000}"/>
    <cellStyle name="Normal 44 2 3" xfId="31340" xr:uid="{00000000-0005-0000-0000-00005E810000}"/>
    <cellStyle name="Normal 44 2 4" xfId="35555" xr:uid="{00000000-0005-0000-0000-00005F810000}"/>
    <cellStyle name="Normal 44 2 5" xfId="39759" xr:uid="{00000000-0005-0000-0000-000060810000}"/>
    <cellStyle name="Normal 44 3" xfId="11729" xr:uid="{00000000-0005-0000-0000-000061810000}"/>
    <cellStyle name="Normal 45" xfId="9560" xr:uid="{00000000-0005-0000-0000-000062810000}"/>
    <cellStyle name="Normal 45 2" xfId="12165" xr:uid="{00000000-0005-0000-0000-000063810000}"/>
    <cellStyle name="Normal 45 3" xfId="44996" xr:uid="{00000000-0005-0000-0000-000064810000}"/>
    <cellStyle name="Normal 46" xfId="9564" xr:uid="{00000000-0005-0000-0000-000065810000}"/>
    <cellStyle name="Normal 46 2" xfId="12169" xr:uid="{00000000-0005-0000-0000-000066810000}"/>
    <cellStyle name="Normal 46 3" xfId="45000" xr:uid="{00000000-0005-0000-0000-000067810000}"/>
    <cellStyle name="Normal 47" xfId="9565" xr:uid="{00000000-0005-0000-0000-000068810000}"/>
    <cellStyle name="Normal 47 2" xfId="12170" xr:uid="{00000000-0005-0000-0000-000069810000}"/>
    <cellStyle name="Normal 47 3" xfId="45001" xr:uid="{00000000-0005-0000-0000-00006A810000}"/>
    <cellStyle name="Normal 48" xfId="3085" xr:uid="{00000000-0005-0000-0000-00006B810000}"/>
    <cellStyle name="Normal 48 2" xfId="24829" xr:uid="{00000000-0005-0000-0000-00006C810000}"/>
    <cellStyle name="Normal 48 3" xfId="29040" xr:uid="{00000000-0005-0000-0000-00006D810000}"/>
    <cellStyle name="Normal 48 4" xfId="33257" xr:uid="{00000000-0005-0000-0000-00006E810000}"/>
    <cellStyle name="Normal 49" xfId="12224" xr:uid="{00000000-0005-0000-0000-00006F810000}"/>
    <cellStyle name="Normal 49 2" xfId="28793" xr:uid="{00000000-0005-0000-0000-000070810000}"/>
    <cellStyle name="Normal 49 3" xfId="33006" xr:uid="{00000000-0005-0000-0000-000071810000}"/>
    <cellStyle name="Normal 49 4" xfId="37221" xr:uid="{00000000-0005-0000-0000-000072810000}"/>
    <cellStyle name="Normal 5" xfId="3058" xr:uid="{00000000-0005-0000-0000-000073810000}"/>
    <cellStyle name="Normal 5 10" xfId="7167" xr:uid="{00000000-0005-0000-0000-000074810000}"/>
    <cellStyle name="Normal 5 10 2" xfId="8398" xr:uid="{00000000-0005-0000-0000-000075810000}"/>
    <cellStyle name="Normal 5 10 3" xfId="25819" xr:uid="{00000000-0005-0000-0000-000076810000}"/>
    <cellStyle name="Normal 5 10 3 2" xfId="43671" xr:uid="{00000000-0005-0000-0000-000077810000}"/>
    <cellStyle name="Normal 5 10 4" xfId="30032" xr:uid="{00000000-0005-0000-0000-000078810000}"/>
    <cellStyle name="Normal 5 10 5" xfId="34247" xr:uid="{00000000-0005-0000-0000-000079810000}"/>
    <cellStyle name="Normal 5 10 6" xfId="38451" xr:uid="{00000000-0005-0000-0000-00007A810000}"/>
    <cellStyle name="Normal 5 11" xfId="7300" xr:uid="{00000000-0005-0000-0000-00007B810000}"/>
    <cellStyle name="Normal 5 11 2" xfId="8399" xr:uid="{00000000-0005-0000-0000-00007C810000}"/>
    <cellStyle name="Normal 5 11 3" xfId="25933" xr:uid="{00000000-0005-0000-0000-00007D810000}"/>
    <cellStyle name="Normal 5 11 4" xfId="30146" xr:uid="{00000000-0005-0000-0000-00007E810000}"/>
    <cellStyle name="Normal 5 11 5" xfId="34361" xr:uid="{00000000-0005-0000-0000-00007F810000}"/>
    <cellStyle name="Normal 5 11 6" xfId="38565" xr:uid="{00000000-0005-0000-0000-000080810000}"/>
    <cellStyle name="Normal 5 12" xfId="7418" xr:uid="{00000000-0005-0000-0000-000081810000}"/>
    <cellStyle name="Normal 5 12 2" xfId="8400" xr:uid="{00000000-0005-0000-0000-000082810000}"/>
    <cellStyle name="Normal 5 12 3" xfId="26051" xr:uid="{00000000-0005-0000-0000-000083810000}"/>
    <cellStyle name="Normal 5 12 4" xfId="30264" xr:uid="{00000000-0005-0000-0000-000084810000}"/>
    <cellStyle name="Normal 5 12 5" xfId="34479" xr:uid="{00000000-0005-0000-0000-000085810000}"/>
    <cellStyle name="Normal 5 12 6" xfId="38683" xr:uid="{00000000-0005-0000-0000-000086810000}"/>
    <cellStyle name="Normal 5 13" xfId="7536" xr:uid="{00000000-0005-0000-0000-000087810000}"/>
    <cellStyle name="Normal 5 13 2" xfId="26169" xr:uid="{00000000-0005-0000-0000-000088810000}"/>
    <cellStyle name="Normal 5 13 2 2" xfId="43672" xr:uid="{00000000-0005-0000-0000-000089810000}"/>
    <cellStyle name="Normal 5 13 3" xfId="30382" xr:uid="{00000000-0005-0000-0000-00008A810000}"/>
    <cellStyle name="Normal 5 13 4" xfId="34597" xr:uid="{00000000-0005-0000-0000-00008B810000}"/>
    <cellStyle name="Normal 5 13 5" xfId="38801" xr:uid="{00000000-0005-0000-0000-00008C810000}"/>
    <cellStyle name="Normal 5 14" xfId="9038" xr:uid="{00000000-0005-0000-0000-00008D810000}"/>
    <cellStyle name="Normal 5 14 2" xfId="26609" xr:uid="{00000000-0005-0000-0000-00008E810000}"/>
    <cellStyle name="Normal 5 14 2 2" xfId="43673" xr:uid="{00000000-0005-0000-0000-00008F810000}"/>
    <cellStyle name="Normal 5 14 3" xfId="30822" xr:uid="{00000000-0005-0000-0000-000090810000}"/>
    <cellStyle name="Normal 5 14 4" xfId="35037" xr:uid="{00000000-0005-0000-0000-000091810000}"/>
    <cellStyle name="Normal 5 14 5" xfId="39241" xr:uid="{00000000-0005-0000-0000-000092810000}"/>
    <cellStyle name="Normal 5 15" xfId="9160" xr:uid="{00000000-0005-0000-0000-000093810000}"/>
    <cellStyle name="Normal 5 15 2" xfId="26731" xr:uid="{00000000-0005-0000-0000-000094810000}"/>
    <cellStyle name="Normal 5 15 3" xfId="30944" xr:uid="{00000000-0005-0000-0000-000095810000}"/>
    <cellStyle name="Normal 5 15 4" xfId="35159" xr:uid="{00000000-0005-0000-0000-000096810000}"/>
    <cellStyle name="Normal 5 15 5" xfId="39363" xr:uid="{00000000-0005-0000-0000-000097810000}"/>
    <cellStyle name="Normal 5 16" xfId="9280" xr:uid="{00000000-0005-0000-0000-000098810000}"/>
    <cellStyle name="Normal 5 16 2" xfId="26851" xr:uid="{00000000-0005-0000-0000-000099810000}"/>
    <cellStyle name="Normal 5 16 3" xfId="31064" xr:uid="{00000000-0005-0000-0000-00009A810000}"/>
    <cellStyle name="Normal 5 16 4" xfId="35279" xr:uid="{00000000-0005-0000-0000-00009B810000}"/>
    <cellStyle name="Normal 5 16 5" xfId="39483" xr:uid="{00000000-0005-0000-0000-00009C810000}"/>
    <cellStyle name="Normal 5 17" xfId="9401" xr:uid="{00000000-0005-0000-0000-00009D810000}"/>
    <cellStyle name="Normal 5 17 2" xfId="26972" xr:uid="{00000000-0005-0000-0000-00009E810000}"/>
    <cellStyle name="Normal 5 17 3" xfId="31185" xr:uid="{00000000-0005-0000-0000-00009F810000}"/>
    <cellStyle name="Normal 5 17 4" xfId="35400" xr:uid="{00000000-0005-0000-0000-0000A0810000}"/>
    <cellStyle name="Normal 5 17 5" xfId="39604" xr:uid="{00000000-0005-0000-0000-0000A1810000}"/>
    <cellStyle name="Normal 5 18" xfId="9520" xr:uid="{00000000-0005-0000-0000-0000A2810000}"/>
    <cellStyle name="Normal 5 18 2" xfId="27091" xr:uid="{00000000-0005-0000-0000-0000A3810000}"/>
    <cellStyle name="Normal 5 18 3" xfId="31304" xr:uid="{00000000-0005-0000-0000-0000A4810000}"/>
    <cellStyle name="Normal 5 18 4" xfId="35519" xr:uid="{00000000-0005-0000-0000-0000A5810000}"/>
    <cellStyle name="Normal 5 18 5" xfId="39723" xr:uid="{00000000-0005-0000-0000-0000A6810000}"/>
    <cellStyle name="Normal 5 19" xfId="12250" xr:uid="{00000000-0005-0000-0000-0000A7810000}"/>
    <cellStyle name="Normal 5 19 2" xfId="28818" xr:uid="{00000000-0005-0000-0000-0000A8810000}"/>
    <cellStyle name="Normal 5 19 3" xfId="33031" xr:uid="{00000000-0005-0000-0000-0000A9810000}"/>
    <cellStyle name="Normal 5 19 4" xfId="37246" xr:uid="{00000000-0005-0000-0000-0000AA810000}"/>
    <cellStyle name="Normal 5 2" xfId="4011" xr:uid="{00000000-0005-0000-0000-0000AB810000}"/>
    <cellStyle name="Normal 5 2 10" xfId="9161" xr:uid="{00000000-0005-0000-0000-0000AC810000}"/>
    <cellStyle name="Normal 5 2 10 2" xfId="26732" xr:uid="{00000000-0005-0000-0000-0000AD810000}"/>
    <cellStyle name="Normal 5 2 10 3" xfId="30945" xr:uid="{00000000-0005-0000-0000-0000AE810000}"/>
    <cellStyle name="Normal 5 2 10 4" xfId="35160" xr:uid="{00000000-0005-0000-0000-0000AF810000}"/>
    <cellStyle name="Normal 5 2 10 5" xfId="39364" xr:uid="{00000000-0005-0000-0000-0000B0810000}"/>
    <cellStyle name="Normal 5 2 11" xfId="9281" xr:uid="{00000000-0005-0000-0000-0000B1810000}"/>
    <cellStyle name="Normal 5 2 11 2" xfId="26852" xr:uid="{00000000-0005-0000-0000-0000B2810000}"/>
    <cellStyle name="Normal 5 2 11 2 2" xfId="43674" xr:uid="{00000000-0005-0000-0000-0000B3810000}"/>
    <cellStyle name="Normal 5 2 11 3" xfId="31065" xr:uid="{00000000-0005-0000-0000-0000B4810000}"/>
    <cellStyle name="Normal 5 2 11 4" xfId="35280" xr:uid="{00000000-0005-0000-0000-0000B5810000}"/>
    <cellStyle name="Normal 5 2 11 5" xfId="39484" xr:uid="{00000000-0005-0000-0000-0000B6810000}"/>
    <cellStyle name="Normal 5 2 12" xfId="9402" xr:uid="{00000000-0005-0000-0000-0000B7810000}"/>
    <cellStyle name="Normal 5 2 12 2" xfId="26973" xr:uid="{00000000-0005-0000-0000-0000B8810000}"/>
    <cellStyle name="Normal 5 2 12 3" xfId="31186" xr:uid="{00000000-0005-0000-0000-0000B9810000}"/>
    <cellStyle name="Normal 5 2 12 4" xfId="35401" xr:uid="{00000000-0005-0000-0000-0000BA810000}"/>
    <cellStyle name="Normal 5 2 12 5" xfId="39605" xr:uid="{00000000-0005-0000-0000-0000BB810000}"/>
    <cellStyle name="Normal 5 2 13" xfId="9521" xr:uid="{00000000-0005-0000-0000-0000BC810000}"/>
    <cellStyle name="Normal 5 2 13 2" xfId="27092" xr:uid="{00000000-0005-0000-0000-0000BD810000}"/>
    <cellStyle name="Normal 5 2 13 3" xfId="31305" xr:uid="{00000000-0005-0000-0000-0000BE810000}"/>
    <cellStyle name="Normal 5 2 13 4" xfId="35520" xr:uid="{00000000-0005-0000-0000-0000BF810000}"/>
    <cellStyle name="Normal 5 2 13 5" xfId="39724" xr:uid="{00000000-0005-0000-0000-0000C0810000}"/>
    <cellStyle name="Normal 5 2 14" xfId="10173" xr:uid="{00000000-0005-0000-0000-0000C1810000}"/>
    <cellStyle name="Normal 5 2 15" xfId="12251" xr:uid="{00000000-0005-0000-0000-0000C2810000}"/>
    <cellStyle name="Normal 5 2 15 2" xfId="28819" xr:uid="{00000000-0005-0000-0000-0000C3810000}"/>
    <cellStyle name="Normal 5 2 15 3" xfId="33032" xr:uid="{00000000-0005-0000-0000-0000C4810000}"/>
    <cellStyle name="Normal 5 2 15 4" xfId="37247" xr:uid="{00000000-0005-0000-0000-0000C5810000}"/>
    <cellStyle name="Normal 5 2 16" xfId="23460" xr:uid="{00000000-0005-0000-0000-0000C6810000}"/>
    <cellStyle name="Normal 5 2 16 2" xfId="28960" xr:uid="{00000000-0005-0000-0000-0000C7810000}"/>
    <cellStyle name="Normal 5 2 16 3" xfId="33177" xr:uid="{00000000-0005-0000-0000-0000C8810000}"/>
    <cellStyle name="Normal 5 2 16 4" xfId="37388" xr:uid="{00000000-0005-0000-0000-0000C9810000}"/>
    <cellStyle name="Normal 5 2 17" xfId="24881" xr:uid="{00000000-0005-0000-0000-0000CA810000}"/>
    <cellStyle name="Normal 5 2 18" xfId="29092" xr:uid="{00000000-0005-0000-0000-0000CB810000}"/>
    <cellStyle name="Normal 5 2 19" xfId="33309" xr:uid="{00000000-0005-0000-0000-0000CC810000}"/>
    <cellStyle name="Normal 5 2 2" xfId="4012" xr:uid="{00000000-0005-0000-0000-0000CD810000}"/>
    <cellStyle name="Normal 5 2 2 10" xfId="8402" xr:uid="{00000000-0005-0000-0000-0000CE810000}"/>
    <cellStyle name="Normal 5 2 2 10 2" xfId="26480" xr:uid="{00000000-0005-0000-0000-0000CF810000}"/>
    <cellStyle name="Normal 5 2 2 10 3" xfId="30693" xr:uid="{00000000-0005-0000-0000-0000D0810000}"/>
    <cellStyle name="Normal 5 2 2 10 4" xfId="34908" xr:uid="{00000000-0005-0000-0000-0000D1810000}"/>
    <cellStyle name="Normal 5 2 2 10 5" xfId="39112" xr:uid="{00000000-0005-0000-0000-0000D2810000}"/>
    <cellStyle name="Normal 5 2 2 11" xfId="8403" xr:uid="{00000000-0005-0000-0000-0000D3810000}"/>
    <cellStyle name="Normal 5 2 2 11 2" xfId="26481" xr:uid="{00000000-0005-0000-0000-0000D4810000}"/>
    <cellStyle name="Normal 5 2 2 11 3" xfId="30694" xr:uid="{00000000-0005-0000-0000-0000D5810000}"/>
    <cellStyle name="Normal 5 2 2 11 4" xfId="34909" xr:uid="{00000000-0005-0000-0000-0000D6810000}"/>
    <cellStyle name="Normal 5 2 2 11 5" xfId="39113" xr:uid="{00000000-0005-0000-0000-0000D7810000}"/>
    <cellStyle name="Normal 5 2 2 12" xfId="8404" xr:uid="{00000000-0005-0000-0000-0000D8810000}"/>
    <cellStyle name="Normal 5 2 2 12 2" xfId="26482" xr:uid="{00000000-0005-0000-0000-0000D9810000}"/>
    <cellStyle name="Normal 5 2 2 12 3" xfId="30695" xr:uid="{00000000-0005-0000-0000-0000DA810000}"/>
    <cellStyle name="Normal 5 2 2 12 4" xfId="34910" xr:uid="{00000000-0005-0000-0000-0000DB810000}"/>
    <cellStyle name="Normal 5 2 2 12 5" xfId="39114" xr:uid="{00000000-0005-0000-0000-0000DC810000}"/>
    <cellStyle name="Normal 5 2 2 13" xfId="8405" xr:uid="{00000000-0005-0000-0000-0000DD810000}"/>
    <cellStyle name="Normal 5 2 2 13 2" xfId="26483" xr:uid="{00000000-0005-0000-0000-0000DE810000}"/>
    <cellStyle name="Normal 5 2 2 13 3" xfId="30696" xr:uid="{00000000-0005-0000-0000-0000DF810000}"/>
    <cellStyle name="Normal 5 2 2 13 4" xfId="34911" xr:uid="{00000000-0005-0000-0000-0000E0810000}"/>
    <cellStyle name="Normal 5 2 2 13 5" xfId="39115" xr:uid="{00000000-0005-0000-0000-0000E1810000}"/>
    <cellStyle name="Normal 5 2 2 14" xfId="8401" xr:uid="{00000000-0005-0000-0000-0000E2810000}"/>
    <cellStyle name="Normal 5 2 2 15" xfId="12260" xr:uid="{00000000-0005-0000-0000-0000E3810000}"/>
    <cellStyle name="Normal 5 2 2 15 2" xfId="28827" xr:uid="{00000000-0005-0000-0000-0000E4810000}"/>
    <cellStyle name="Normal 5 2 2 15 3" xfId="33040" xr:uid="{00000000-0005-0000-0000-0000E5810000}"/>
    <cellStyle name="Normal 5 2 2 15 4" xfId="37255" xr:uid="{00000000-0005-0000-0000-0000E6810000}"/>
    <cellStyle name="Normal 5 2 2 15 5" xfId="43675" xr:uid="{00000000-0005-0000-0000-0000E7810000}"/>
    <cellStyle name="Normal 5 2 2 16" xfId="23468" xr:uid="{00000000-0005-0000-0000-0000E8810000}"/>
    <cellStyle name="Normal 5 2 2 16 2" xfId="28968" xr:uid="{00000000-0005-0000-0000-0000E9810000}"/>
    <cellStyle name="Normal 5 2 2 16 3" xfId="33185" xr:uid="{00000000-0005-0000-0000-0000EA810000}"/>
    <cellStyle name="Normal 5 2 2 16 4" xfId="37396" xr:uid="{00000000-0005-0000-0000-0000EB810000}"/>
    <cellStyle name="Normal 5 2 2 17" xfId="24882" xr:uid="{00000000-0005-0000-0000-0000EC810000}"/>
    <cellStyle name="Normal 5 2 2 18" xfId="29093" xr:uid="{00000000-0005-0000-0000-0000ED810000}"/>
    <cellStyle name="Normal 5 2 2 19" xfId="33310" xr:uid="{00000000-0005-0000-0000-0000EE810000}"/>
    <cellStyle name="Normal 5 2 2 2" xfId="4461" xr:uid="{00000000-0005-0000-0000-0000EF810000}"/>
    <cellStyle name="Normal 5 2 2 2 10" xfId="8406" xr:uid="{00000000-0005-0000-0000-0000F0810000}"/>
    <cellStyle name="Normal 5 2 2 2 11" xfId="8407" xr:uid="{00000000-0005-0000-0000-0000F1810000}"/>
    <cellStyle name="Normal 5 2 2 2 12" xfId="8408" xr:uid="{00000000-0005-0000-0000-0000F2810000}"/>
    <cellStyle name="Normal 5 2 2 2 13" xfId="8409" xr:uid="{00000000-0005-0000-0000-0000F3810000}"/>
    <cellStyle name="Normal 5 2 2 2 14" xfId="24932" xr:uid="{00000000-0005-0000-0000-0000F4810000}"/>
    <cellStyle name="Normal 5 2 2 2 15" xfId="29144" xr:uid="{00000000-0005-0000-0000-0000F5810000}"/>
    <cellStyle name="Normal 5 2 2 2 16" xfId="33360" xr:uid="{00000000-0005-0000-0000-0000F6810000}"/>
    <cellStyle name="Normal 5 2 2 2 17" xfId="37564" xr:uid="{00000000-0005-0000-0000-0000F7810000}"/>
    <cellStyle name="Normal 5 2 2 2 2" xfId="8410" xr:uid="{00000000-0005-0000-0000-0000F8810000}"/>
    <cellStyle name="Normal 5 2 2 2 3" xfId="8411" xr:uid="{00000000-0005-0000-0000-0000F9810000}"/>
    <cellStyle name="Normal 5 2 2 2 4" xfId="8412" xr:uid="{00000000-0005-0000-0000-0000FA810000}"/>
    <cellStyle name="Normal 5 2 2 2 5" xfId="8413" xr:uid="{00000000-0005-0000-0000-0000FB810000}"/>
    <cellStyle name="Normal 5 2 2 2 6" xfId="8414" xr:uid="{00000000-0005-0000-0000-0000FC810000}"/>
    <cellStyle name="Normal 5 2 2 2 7" xfId="8415" xr:uid="{00000000-0005-0000-0000-0000FD810000}"/>
    <cellStyle name="Normal 5 2 2 2 8" xfId="8416" xr:uid="{00000000-0005-0000-0000-0000FE810000}"/>
    <cellStyle name="Normal 5 2 2 2 9" xfId="8417" xr:uid="{00000000-0005-0000-0000-0000FF810000}"/>
    <cellStyle name="Normal 5 2 2 20" xfId="37514" xr:uid="{00000000-0005-0000-0000-000000820000}"/>
    <cellStyle name="Normal 5 2 2 3" xfId="6228" xr:uid="{00000000-0005-0000-0000-000001820000}"/>
    <cellStyle name="Normal 5 2 2 3 2" xfId="8418" xr:uid="{00000000-0005-0000-0000-000002820000}"/>
    <cellStyle name="Normal 5 2 2 3 2 2" xfId="26484" xr:uid="{00000000-0005-0000-0000-000003820000}"/>
    <cellStyle name="Normal 5 2 2 3 2 3" xfId="30697" xr:uid="{00000000-0005-0000-0000-000004820000}"/>
    <cellStyle name="Normal 5 2 2 3 2 4" xfId="34912" xr:uid="{00000000-0005-0000-0000-000005820000}"/>
    <cellStyle name="Normal 5 2 2 3 2 5" xfId="39116" xr:uid="{00000000-0005-0000-0000-000006820000}"/>
    <cellStyle name="Normal 5 2 2 3 3" xfId="11694" xr:uid="{00000000-0005-0000-0000-000007820000}"/>
    <cellStyle name="Normal 5 2 2 4" xfId="8419" xr:uid="{00000000-0005-0000-0000-000008820000}"/>
    <cellStyle name="Normal 5 2 2 4 2" xfId="26485" xr:uid="{00000000-0005-0000-0000-000009820000}"/>
    <cellStyle name="Normal 5 2 2 4 3" xfId="30698" xr:uid="{00000000-0005-0000-0000-00000A820000}"/>
    <cellStyle name="Normal 5 2 2 4 4" xfId="34913" xr:uid="{00000000-0005-0000-0000-00000B820000}"/>
    <cellStyle name="Normal 5 2 2 4 5" xfId="39117" xr:uid="{00000000-0005-0000-0000-00000C820000}"/>
    <cellStyle name="Normal 5 2 2 5" xfId="8420" xr:uid="{00000000-0005-0000-0000-00000D820000}"/>
    <cellStyle name="Normal 5 2 2 5 2" xfId="26486" xr:uid="{00000000-0005-0000-0000-00000E820000}"/>
    <cellStyle name="Normal 5 2 2 5 3" xfId="30699" xr:uid="{00000000-0005-0000-0000-00000F820000}"/>
    <cellStyle name="Normal 5 2 2 5 4" xfId="34914" xr:uid="{00000000-0005-0000-0000-000010820000}"/>
    <cellStyle name="Normal 5 2 2 5 5" xfId="39118" xr:uid="{00000000-0005-0000-0000-000011820000}"/>
    <cellStyle name="Normal 5 2 2 6" xfId="8421" xr:uid="{00000000-0005-0000-0000-000012820000}"/>
    <cellStyle name="Normal 5 2 2 6 2" xfId="26487" xr:uid="{00000000-0005-0000-0000-000013820000}"/>
    <cellStyle name="Normal 5 2 2 6 3" xfId="30700" xr:uid="{00000000-0005-0000-0000-000014820000}"/>
    <cellStyle name="Normal 5 2 2 6 4" xfId="34915" xr:uid="{00000000-0005-0000-0000-000015820000}"/>
    <cellStyle name="Normal 5 2 2 6 5" xfId="39119" xr:uid="{00000000-0005-0000-0000-000016820000}"/>
    <cellStyle name="Normal 5 2 2 7" xfId="8422" xr:uid="{00000000-0005-0000-0000-000017820000}"/>
    <cellStyle name="Normal 5 2 2 7 2" xfId="26488" xr:uid="{00000000-0005-0000-0000-000018820000}"/>
    <cellStyle name="Normal 5 2 2 7 3" xfId="30701" xr:uid="{00000000-0005-0000-0000-000019820000}"/>
    <cellStyle name="Normal 5 2 2 7 4" xfId="34916" xr:uid="{00000000-0005-0000-0000-00001A820000}"/>
    <cellStyle name="Normal 5 2 2 7 5" xfId="39120" xr:uid="{00000000-0005-0000-0000-00001B820000}"/>
    <cellStyle name="Normal 5 2 2 8" xfId="8423" xr:uid="{00000000-0005-0000-0000-00001C820000}"/>
    <cellStyle name="Normal 5 2 2 8 2" xfId="26489" xr:uid="{00000000-0005-0000-0000-00001D820000}"/>
    <cellStyle name="Normal 5 2 2 8 3" xfId="30702" xr:uid="{00000000-0005-0000-0000-00001E820000}"/>
    <cellStyle name="Normal 5 2 2 8 4" xfId="34917" xr:uid="{00000000-0005-0000-0000-00001F820000}"/>
    <cellStyle name="Normal 5 2 2 8 5" xfId="39121" xr:uid="{00000000-0005-0000-0000-000020820000}"/>
    <cellStyle name="Normal 5 2 2 9" xfId="8424" xr:uid="{00000000-0005-0000-0000-000021820000}"/>
    <cellStyle name="Normal 5 2 2 9 2" xfId="26490" xr:uid="{00000000-0005-0000-0000-000022820000}"/>
    <cellStyle name="Normal 5 2 2 9 3" xfId="30703" xr:uid="{00000000-0005-0000-0000-000023820000}"/>
    <cellStyle name="Normal 5 2 2 9 4" xfId="34918" xr:uid="{00000000-0005-0000-0000-000024820000}"/>
    <cellStyle name="Normal 5 2 2 9 5" xfId="39122" xr:uid="{00000000-0005-0000-0000-000025820000}"/>
    <cellStyle name="Normal 5 2 20" xfId="37513" xr:uid="{00000000-0005-0000-0000-000026820000}"/>
    <cellStyle name="Normal 5 2 3" xfId="4013" xr:uid="{00000000-0005-0000-0000-000027820000}"/>
    <cellStyle name="Normal 5 2 3 10" xfId="37515" xr:uid="{00000000-0005-0000-0000-000028820000}"/>
    <cellStyle name="Normal 5 2 3 2" xfId="4489" xr:uid="{00000000-0005-0000-0000-000029820000}"/>
    <cellStyle name="Normal 5 2 3 2 2" xfId="24960" xr:uid="{00000000-0005-0000-0000-00002A820000}"/>
    <cellStyle name="Normal 5 2 3 2 3" xfId="29172" xr:uid="{00000000-0005-0000-0000-00002B820000}"/>
    <cellStyle name="Normal 5 2 3 2 4" xfId="33388" xr:uid="{00000000-0005-0000-0000-00002C820000}"/>
    <cellStyle name="Normal 5 2 3 2 5" xfId="37592" xr:uid="{00000000-0005-0000-0000-00002D820000}"/>
    <cellStyle name="Normal 5 2 3 3" xfId="6229" xr:uid="{00000000-0005-0000-0000-00002E820000}"/>
    <cellStyle name="Normal 5 2 3 4" xfId="11149" xr:uid="{00000000-0005-0000-0000-00002F820000}"/>
    <cellStyle name="Normal 5 2 3 4 2" xfId="28082" xr:uid="{00000000-0005-0000-0000-000030820000}"/>
    <cellStyle name="Normal 5 2 3 4 3" xfId="32295" xr:uid="{00000000-0005-0000-0000-000031820000}"/>
    <cellStyle name="Normal 5 2 3 4 4" xfId="36510" xr:uid="{00000000-0005-0000-0000-000032820000}"/>
    <cellStyle name="Normal 5 2 3 4 5" xfId="40714" xr:uid="{00000000-0005-0000-0000-000033820000}"/>
    <cellStyle name="Normal 5 2 3 5" xfId="12288" xr:uid="{00000000-0005-0000-0000-000034820000}"/>
    <cellStyle name="Normal 5 2 3 5 2" xfId="28855" xr:uid="{00000000-0005-0000-0000-000035820000}"/>
    <cellStyle name="Normal 5 2 3 5 3" xfId="33068" xr:uid="{00000000-0005-0000-0000-000036820000}"/>
    <cellStyle name="Normal 5 2 3 5 4" xfId="37283" xr:uid="{00000000-0005-0000-0000-000037820000}"/>
    <cellStyle name="Normal 5 2 3 6" xfId="23497" xr:uid="{00000000-0005-0000-0000-000038820000}"/>
    <cellStyle name="Normal 5 2 3 6 2" xfId="28996" xr:uid="{00000000-0005-0000-0000-000039820000}"/>
    <cellStyle name="Normal 5 2 3 6 3" xfId="33213" xr:uid="{00000000-0005-0000-0000-00003A820000}"/>
    <cellStyle name="Normal 5 2 3 6 4" xfId="37424" xr:uid="{00000000-0005-0000-0000-00003B820000}"/>
    <cellStyle name="Normal 5 2 3 7" xfId="24883" xr:uid="{00000000-0005-0000-0000-00003C820000}"/>
    <cellStyle name="Normal 5 2 3 8" xfId="29094" xr:uid="{00000000-0005-0000-0000-00003D820000}"/>
    <cellStyle name="Normal 5 2 3 9" xfId="33311" xr:uid="{00000000-0005-0000-0000-00003E820000}"/>
    <cellStyle name="Normal 5 2 4" xfId="4451" xr:uid="{00000000-0005-0000-0000-00003F820000}"/>
    <cellStyle name="Normal 5 2 4 2" xfId="8425" xr:uid="{00000000-0005-0000-0000-000040820000}"/>
    <cellStyle name="Normal 5 2 4 3" xfId="24923" xr:uid="{00000000-0005-0000-0000-000041820000}"/>
    <cellStyle name="Normal 5 2 4 4" xfId="29135" xr:uid="{00000000-0005-0000-0000-000042820000}"/>
    <cellStyle name="Normal 5 2 4 5" xfId="33351" xr:uid="{00000000-0005-0000-0000-000043820000}"/>
    <cellStyle name="Normal 5 2 4 6" xfId="37555" xr:uid="{00000000-0005-0000-0000-000044820000}"/>
    <cellStyle name="Normal 5 2 5" xfId="7168" xr:uid="{00000000-0005-0000-0000-000045820000}"/>
    <cellStyle name="Normal 5 2 5 2" xfId="8426" xr:uid="{00000000-0005-0000-0000-000046820000}"/>
    <cellStyle name="Normal 5 2 5 3" xfId="25820" xr:uid="{00000000-0005-0000-0000-000047820000}"/>
    <cellStyle name="Normal 5 2 5 4" xfId="30033" xr:uid="{00000000-0005-0000-0000-000048820000}"/>
    <cellStyle name="Normal 5 2 5 5" xfId="34248" xr:uid="{00000000-0005-0000-0000-000049820000}"/>
    <cellStyle name="Normal 5 2 5 6" xfId="38452" xr:uid="{00000000-0005-0000-0000-00004A820000}"/>
    <cellStyle name="Normal 5 2 6" xfId="7301" xr:uid="{00000000-0005-0000-0000-00004B820000}"/>
    <cellStyle name="Normal 5 2 6 2" xfId="8427" xr:uid="{00000000-0005-0000-0000-00004C820000}"/>
    <cellStyle name="Normal 5 2 6 3" xfId="25934" xr:uid="{00000000-0005-0000-0000-00004D820000}"/>
    <cellStyle name="Normal 5 2 6 4" xfId="30147" xr:uid="{00000000-0005-0000-0000-00004E820000}"/>
    <cellStyle name="Normal 5 2 6 5" xfId="34362" xr:uid="{00000000-0005-0000-0000-00004F820000}"/>
    <cellStyle name="Normal 5 2 6 6" xfId="38566" xr:uid="{00000000-0005-0000-0000-000050820000}"/>
    <cellStyle name="Normal 5 2 7" xfId="7419" xr:uid="{00000000-0005-0000-0000-000051820000}"/>
    <cellStyle name="Normal 5 2 7 2" xfId="8428" xr:uid="{00000000-0005-0000-0000-000052820000}"/>
    <cellStyle name="Normal 5 2 7 3" xfId="26052" xr:uid="{00000000-0005-0000-0000-000053820000}"/>
    <cellStyle name="Normal 5 2 7 4" xfId="30265" xr:uid="{00000000-0005-0000-0000-000054820000}"/>
    <cellStyle name="Normal 5 2 7 5" xfId="34480" xr:uid="{00000000-0005-0000-0000-000055820000}"/>
    <cellStyle name="Normal 5 2 7 6" xfId="38684" xr:uid="{00000000-0005-0000-0000-000056820000}"/>
    <cellStyle name="Normal 5 2 8" xfId="7537" xr:uid="{00000000-0005-0000-0000-000057820000}"/>
    <cellStyle name="Normal 5 2 8 2" xfId="8429" xr:uid="{00000000-0005-0000-0000-000058820000}"/>
    <cellStyle name="Normal 5 2 8 3" xfId="26170" xr:uid="{00000000-0005-0000-0000-000059820000}"/>
    <cellStyle name="Normal 5 2 8 4" xfId="30383" xr:uid="{00000000-0005-0000-0000-00005A820000}"/>
    <cellStyle name="Normal 5 2 8 5" xfId="34598" xr:uid="{00000000-0005-0000-0000-00005B820000}"/>
    <cellStyle name="Normal 5 2 8 6" xfId="38802" xr:uid="{00000000-0005-0000-0000-00005C820000}"/>
    <cellStyle name="Normal 5 2 9" xfId="9039" xr:uid="{00000000-0005-0000-0000-00005D820000}"/>
    <cellStyle name="Normal 5 2 9 2" xfId="26610" xr:uid="{00000000-0005-0000-0000-00005E820000}"/>
    <cellStyle name="Normal 5 2 9 2 2" xfId="43676" xr:uid="{00000000-0005-0000-0000-00005F820000}"/>
    <cellStyle name="Normal 5 2 9 3" xfId="30823" xr:uid="{00000000-0005-0000-0000-000060820000}"/>
    <cellStyle name="Normal 5 2 9 4" xfId="35038" xr:uid="{00000000-0005-0000-0000-000061820000}"/>
    <cellStyle name="Normal 5 2 9 5" xfId="39242" xr:uid="{00000000-0005-0000-0000-000062820000}"/>
    <cellStyle name="Normal 5 20" xfId="23459" xr:uid="{00000000-0005-0000-0000-000063820000}"/>
    <cellStyle name="Normal 5 20 2" xfId="28959" xr:uid="{00000000-0005-0000-0000-000064820000}"/>
    <cellStyle name="Normal 5 20 3" xfId="33176" xr:uid="{00000000-0005-0000-0000-000065820000}"/>
    <cellStyle name="Normal 5 20 4" xfId="37387" xr:uid="{00000000-0005-0000-0000-000066820000}"/>
    <cellStyle name="Normal 5 21" xfId="3148" xr:uid="{00000000-0005-0000-0000-000067820000}"/>
    <cellStyle name="Normal 5 22" xfId="24834" xr:uid="{00000000-0005-0000-0000-000068820000}"/>
    <cellStyle name="Normal 5 23" xfId="29045" xr:uid="{00000000-0005-0000-0000-000069820000}"/>
    <cellStyle name="Normal 5 24" xfId="33262" xr:uid="{00000000-0005-0000-0000-00006A820000}"/>
    <cellStyle name="Normal 5 25" xfId="37466" xr:uid="{00000000-0005-0000-0000-00006B820000}"/>
    <cellStyle name="Normal 5 26" xfId="46484" xr:uid="{9D320171-9D0F-4B4F-9D32-FDFA9218CFB4}"/>
    <cellStyle name="Normal 5 3" xfId="4014" xr:uid="{00000000-0005-0000-0000-00006C820000}"/>
    <cellStyle name="Normal 5 3 10" xfId="9040" xr:uid="{00000000-0005-0000-0000-00006D820000}"/>
    <cellStyle name="Normal 5 3 10 2" xfId="26611" xr:uid="{00000000-0005-0000-0000-00006E820000}"/>
    <cellStyle name="Normal 5 3 10 3" xfId="30824" xr:uid="{00000000-0005-0000-0000-00006F820000}"/>
    <cellStyle name="Normal 5 3 10 4" xfId="35039" xr:uid="{00000000-0005-0000-0000-000070820000}"/>
    <cellStyle name="Normal 5 3 10 5" xfId="39243" xr:uid="{00000000-0005-0000-0000-000071820000}"/>
    <cellStyle name="Normal 5 3 11" xfId="9162" xr:uid="{00000000-0005-0000-0000-000072820000}"/>
    <cellStyle name="Normal 5 3 11 2" xfId="26733" xr:uid="{00000000-0005-0000-0000-000073820000}"/>
    <cellStyle name="Normal 5 3 11 2 2" xfId="43677" xr:uid="{00000000-0005-0000-0000-000074820000}"/>
    <cellStyle name="Normal 5 3 11 3" xfId="30946" xr:uid="{00000000-0005-0000-0000-000075820000}"/>
    <cellStyle name="Normal 5 3 11 4" xfId="35161" xr:uid="{00000000-0005-0000-0000-000076820000}"/>
    <cellStyle name="Normal 5 3 11 5" xfId="39365" xr:uid="{00000000-0005-0000-0000-000077820000}"/>
    <cellStyle name="Normal 5 3 12" xfId="9282" xr:uid="{00000000-0005-0000-0000-000078820000}"/>
    <cellStyle name="Normal 5 3 12 2" xfId="26853" xr:uid="{00000000-0005-0000-0000-000079820000}"/>
    <cellStyle name="Normal 5 3 12 3" xfId="31066" xr:uid="{00000000-0005-0000-0000-00007A820000}"/>
    <cellStyle name="Normal 5 3 12 4" xfId="35281" xr:uid="{00000000-0005-0000-0000-00007B820000}"/>
    <cellStyle name="Normal 5 3 12 5" xfId="39485" xr:uid="{00000000-0005-0000-0000-00007C820000}"/>
    <cellStyle name="Normal 5 3 13" xfId="9403" xr:uid="{00000000-0005-0000-0000-00007D820000}"/>
    <cellStyle name="Normal 5 3 13 2" xfId="26974" xr:uid="{00000000-0005-0000-0000-00007E820000}"/>
    <cellStyle name="Normal 5 3 13 3" xfId="31187" xr:uid="{00000000-0005-0000-0000-00007F820000}"/>
    <cellStyle name="Normal 5 3 13 4" xfId="35402" xr:uid="{00000000-0005-0000-0000-000080820000}"/>
    <cellStyle name="Normal 5 3 13 5" xfId="39606" xr:uid="{00000000-0005-0000-0000-000081820000}"/>
    <cellStyle name="Normal 5 3 14" xfId="9522" xr:uid="{00000000-0005-0000-0000-000082820000}"/>
    <cellStyle name="Normal 5 3 14 2" xfId="27093" xr:uid="{00000000-0005-0000-0000-000083820000}"/>
    <cellStyle name="Normal 5 3 14 3" xfId="31306" xr:uid="{00000000-0005-0000-0000-000084820000}"/>
    <cellStyle name="Normal 5 3 14 4" xfId="35521" xr:uid="{00000000-0005-0000-0000-000085820000}"/>
    <cellStyle name="Normal 5 3 14 5" xfId="39725" xr:uid="{00000000-0005-0000-0000-000086820000}"/>
    <cellStyle name="Normal 5 3 15" xfId="10172" xr:uid="{00000000-0005-0000-0000-000087820000}"/>
    <cellStyle name="Normal 5 3 16" xfId="12259" xr:uid="{00000000-0005-0000-0000-000088820000}"/>
    <cellStyle name="Normal 5 3 16 2" xfId="28826" xr:uid="{00000000-0005-0000-0000-000089820000}"/>
    <cellStyle name="Normal 5 3 16 3" xfId="33039" xr:uid="{00000000-0005-0000-0000-00008A820000}"/>
    <cellStyle name="Normal 5 3 16 4" xfId="37254" xr:uid="{00000000-0005-0000-0000-00008B820000}"/>
    <cellStyle name="Normal 5 3 17" xfId="23467" xr:uid="{00000000-0005-0000-0000-00008C820000}"/>
    <cellStyle name="Normal 5 3 17 2" xfId="28967" xr:uid="{00000000-0005-0000-0000-00008D820000}"/>
    <cellStyle name="Normal 5 3 17 3" xfId="33184" xr:uid="{00000000-0005-0000-0000-00008E820000}"/>
    <cellStyle name="Normal 5 3 17 4" xfId="37395" xr:uid="{00000000-0005-0000-0000-00008F820000}"/>
    <cellStyle name="Normal 5 3 18" xfId="24884" xr:uid="{00000000-0005-0000-0000-000090820000}"/>
    <cellStyle name="Normal 5 3 19" xfId="29095" xr:uid="{00000000-0005-0000-0000-000091820000}"/>
    <cellStyle name="Normal 5 3 2" xfId="4460" xr:uid="{00000000-0005-0000-0000-000092820000}"/>
    <cellStyle name="Normal 5 3 2 2" xfId="8431" xr:uid="{00000000-0005-0000-0000-000093820000}"/>
    <cellStyle name="Normal 5 3 2 3" xfId="24931" xr:uid="{00000000-0005-0000-0000-000094820000}"/>
    <cellStyle name="Normal 5 3 2 3 2" xfId="43678" xr:uid="{00000000-0005-0000-0000-000095820000}"/>
    <cellStyle name="Normal 5 3 2 4" xfId="29143" xr:uid="{00000000-0005-0000-0000-000096820000}"/>
    <cellStyle name="Normal 5 3 2 5" xfId="33359" xr:uid="{00000000-0005-0000-0000-000097820000}"/>
    <cellStyle name="Normal 5 3 2 6" xfId="37563" xr:uid="{00000000-0005-0000-0000-000098820000}"/>
    <cellStyle name="Normal 5 3 20" xfId="33312" xr:uid="{00000000-0005-0000-0000-000099820000}"/>
    <cellStyle name="Normal 5 3 21" xfId="37516" xr:uid="{00000000-0005-0000-0000-00009A820000}"/>
    <cellStyle name="Normal 5 3 3" xfId="6230" xr:uid="{00000000-0005-0000-0000-00009B820000}"/>
    <cellStyle name="Normal 5 3 3 2" xfId="8432" xr:uid="{00000000-0005-0000-0000-00009C820000}"/>
    <cellStyle name="Normal 5 3 3 3" xfId="7302" xr:uid="{00000000-0005-0000-0000-00009D820000}"/>
    <cellStyle name="Normal 5 3 3 3 2" xfId="25935" xr:uid="{00000000-0005-0000-0000-00009E820000}"/>
    <cellStyle name="Normal 5 3 3 3 3" xfId="30148" xr:uid="{00000000-0005-0000-0000-00009F820000}"/>
    <cellStyle name="Normal 5 3 3 3 4" xfId="34363" xr:uid="{00000000-0005-0000-0000-0000A0820000}"/>
    <cellStyle name="Normal 5 3 3 3 5" xfId="38567" xr:uid="{00000000-0005-0000-0000-0000A1820000}"/>
    <cellStyle name="Normal 5 3 3 4" xfId="11695" xr:uid="{00000000-0005-0000-0000-0000A2820000}"/>
    <cellStyle name="Normal 5 3 4" xfId="7420" xr:uid="{00000000-0005-0000-0000-0000A3820000}"/>
    <cellStyle name="Normal 5 3 4 2" xfId="8433" xr:uid="{00000000-0005-0000-0000-0000A4820000}"/>
    <cellStyle name="Normal 5 3 4 3" xfId="26053" xr:uid="{00000000-0005-0000-0000-0000A5820000}"/>
    <cellStyle name="Normal 5 3 4 4" xfId="30266" xr:uid="{00000000-0005-0000-0000-0000A6820000}"/>
    <cellStyle name="Normal 5 3 4 5" xfId="34481" xr:uid="{00000000-0005-0000-0000-0000A7820000}"/>
    <cellStyle name="Normal 5 3 4 6" xfId="38685" xr:uid="{00000000-0005-0000-0000-0000A8820000}"/>
    <cellStyle name="Normal 5 3 5" xfId="7538" xr:uid="{00000000-0005-0000-0000-0000A9820000}"/>
    <cellStyle name="Normal 5 3 5 2" xfId="8434" xr:uid="{00000000-0005-0000-0000-0000AA820000}"/>
    <cellStyle name="Normal 5 3 5 3" xfId="26171" xr:uid="{00000000-0005-0000-0000-0000AB820000}"/>
    <cellStyle name="Normal 5 3 5 4" xfId="30384" xr:uid="{00000000-0005-0000-0000-0000AC820000}"/>
    <cellStyle name="Normal 5 3 5 5" xfId="34599" xr:uid="{00000000-0005-0000-0000-0000AD820000}"/>
    <cellStyle name="Normal 5 3 5 6" xfId="38803" xr:uid="{00000000-0005-0000-0000-0000AE820000}"/>
    <cellStyle name="Normal 5 3 6" xfId="8435" xr:uid="{00000000-0005-0000-0000-0000AF820000}"/>
    <cellStyle name="Normal 5 3 7" xfId="8436" xr:uid="{00000000-0005-0000-0000-0000B0820000}"/>
    <cellStyle name="Normal 5 3 8" xfId="8437" xr:uid="{00000000-0005-0000-0000-0000B1820000}"/>
    <cellStyle name="Normal 5 3 9" xfId="8430" xr:uid="{00000000-0005-0000-0000-0000B2820000}"/>
    <cellStyle name="Normal 5 4" xfId="4015" xr:uid="{00000000-0005-0000-0000-0000B3820000}"/>
    <cellStyle name="Normal 5 4 10" xfId="12287" xr:uid="{00000000-0005-0000-0000-0000B4820000}"/>
    <cellStyle name="Normal 5 4 10 2" xfId="28854" xr:uid="{00000000-0005-0000-0000-0000B5820000}"/>
    <cellStyle name="Normal 5 4 10 3" xfId="33067" xr:uid="{00000000-0005-0000-0000-0000B6820000}"/>
    <cellStyle name="Normal 5 4 10 4" xfId="37282" xr:uid="{00000000-0005-0000-0000-0000B7820000}"/>
    <cellStyle name="Normal 5 4 11" xfId="23496" xr:uid="{00000000-0005-0000-0000-0000B8820000}"/>
    <cellStyle name="Normal 5 4 11 2" xfId="28995" xr:uid="{00000000-0005-0000-0000-0000B9820000}"/>
    <cellStyle name="Normal 5 4 11 3" xfId="33212" xr:uid="{00000000-0005-0000-0000-0000BA820000}"/>
    <cellStyle name="Normal 5 4 11 4" xfId="37423" xr:uid="{00000000-0005-0000-0000-0000BB820000}"/>
    <cellStyle name="Normal 5 4 12" xfId="24885" xr:uid="{00000000-0005-0000-0000-0000BC820000}"/>
    <cellStyle name="Normal 5 4 13" xfId="29096" xr:uid="{00000000-0005-0000-0000-0000BD820000}"/>
    <cellStyle name="Normal 5 4 14" xfId="33313" xr:uid="{00000000-0005-0000-0000-0000BE820000}"/>
    <cellStyle name="Normal 5 4 15" xfId="37517" xr:uid="{00000000-0005-0000-0000-0000BF820000}"/>
    <cellStyle name="Normal 5 4 2" xfId="4488" xr:uid="{00000000-0005-0000-0000-0000C0820000}"/>
    <cellStyle name="Normal 5 4 2 2" xfId="8438" xr:uid="{00000000-0005-0000-0000-0000C1820000}"/>
    <cellStyle name="Normal 5 4 2 3" xfId="11267" xr:uid="{00000000-0005-0000-0000-0000C2820000}"/>
    <cellStyle name="Normal 5 4 2 3 2" xfId="28113" xr:uid="{00000000-0005-0000-0000-0000C3820000}"/>
    <cellStyle name="Normal 5 4 2 3 3" xfId="32326" xr:uid="{00000000-0005-0000-0000-0000C4820000}"/>
    <cellStyle name="Normal 5 4 2 3 4" xfId="36541" xr:uid="{00000000-0005-0000-0000-0000C5820000}"/>
    <cellStyle name="Normal 5 4 2 3 5" xfId="40745" xr:uid="{00000000-0005-0000-0000-0000C6820000}"/>
    <cellStyle name="Normal 5 4 2 4" xfId="24959" xr:uid="{00000000-0005-0000-0000-0000C7820000}"/>
    <cellStyle name="Normal 5 4 2 5" xfId="29171" xr:uid="{00000000-0005-0000-0000-0000C8820000}"/>
    <cellStyle name="Normal 5 4 2 6" xfId="33387" xr:uid="{00000000-0005-0000-0000-0000C9820000}"/>
    <cellStyle name="Normal 5 4 2 7" xfId="37591" xr:uid="{00000000-0005-0000-0000-0000CA820000}"/>
    <cellStyle name="Normal 5 4 3" xfId="6231" xr:uid="{00000000-0005-0000-0000-0000CB820000}"/>
    <cellStyle name="Normal 5 4 4" xfId="8439" xr:uid="{00000000-0005-0000-0000-0000CC820000}"/>
    <cellStyle name="Normal 5 4 5" xfId="8440" xr:uid="{00000000-0005-0000-0000-0000CD820000}"/>
    <cellStyle name="Normal 5 4 6" xfId="8441" xr:uid="{00000000-0005-0000-0000-0000CE820000}"/>
    <cellStyle name="Normal 5 4 7" xfId="8442" xr:uid="{00000000-0005-0000-0000-0000CF820000}"/>
    <cellStyle name="Normal 5 4 8" xfId="8443" xr:uid="{00000000-0005-0000-0000-0000D0820000}"/>
    <cellStyle name="Normal 5 4 9" xfId="11150" xr:uid="{00000000-0005-0000-0000-0000D1820000}"/>
    <cellStyle name="Normal 5 4 9 2" xfId="28083" xr:uid="{00000000-0005-0000-0000-0000D2820000}"/>
    <cellStyle name="Normal 5 4 9 3" xfId="32296" xr:uid="{00000000-0005-0000-0000-0000D3820000}"/>
    <cellStyle name="Normal 5 4 9 4" xfId="36511" xr:uid="{00000000-0005-0000-0000-0000D4820000}"/>
    <cellStyle name="Normal 5 4 9 5" xfId="40715" xr:uid="{00000000-0005-0000-0000-0000D5820000}"/>
    <cellStyle name="Normal 5 5" xfId="4450" xr:uid="{00000000-0005-0000-0000-0000D6820000}"/>
    <cellStyle name="Normal 5 5 10" xfId="24922" xr:uid="{00000000-0005-0000-0000-0000D7820000}"/>
    <cellStyle name="Normal 5 5 11" xfId="29134" xr:uid="{00000000-0005-0000-0000-0000D8820000}"/>
    <cellStyle name="Normal 5 5 12" xfId="33350" xr:uid="{00000000-0005-0000-0000-0000D9820000}"/>
    <cellStyle name="Normal 5 5 13" xfId="37554" xr:uid="{00000000-0005-0000-0000-0000DA820000}"/>
    <cellStyle name="Normal 5 5 2" xfId="6915" xr:uid="{00000000-0005-0000-0000-0000DB820000}"/>
    <cellStyle name="Normal 5 5 2 2" xfId="8445" xr:uid="{00000000-0005-0000-0000-0000DC820000}"/>
    <cellStyle name="Normal 5 5 2 3" xfId="25603" xr:uid="{00000000-0005-0000-0000-0000DD820000}"/>
    <cellStyle name="Normal 5 5 2 4" xfId="29816" xr:uid="{00000000-0005-0000-0000-0000DE820000}"/>
    <cellStyle name="Normal 5 5 2 5" xfId="34031" xr:uid="{00000000-0005-0000-0000-0000DF820000}"/>
    <cellStyle name="Normal 5 5 2 6" xfId="38235" xr:uid="{00000000-0005-0000-0000-0000E0820000}"/>
    <cellStyle name="Normal 5 5 3" xfId="8446" xr:uid="{00000000-0005-0000-0000-0000E1820000}"/>
    <cellStyle name="Normal 5 5 4" xfId="8447" xr:uid="{00000000-0005-0000-0000-0000E2820000}"/>
    <cellStyle name="Normal 5 5 5" xfId="8448" xr:uid="{00000000-0005-0000-0000-0000E3820000}"/>
    <cellStyle name="Normal 5 5 6" xfId="8449" xr:uid="{00000000-0005-0000-0000-0000E4820000}"/>
    <cellStyle name="Normal 5 5 7" xfId="8450" xr:uid="{00000000-0005-0000-0000-0000E5820000}"/>
    <cellStyle name="Normal 5 5 8" xfId="8451" xr:uid="{00000000-0005-0000-0000-0000E6820000}"/>
    <cellStyle name="Normal 5 5 9" xfId="8444" xr:uid="{00000000-0005-0000-0000-0000E7820000}"/>
    <cellStyle name="Normal 5 6" xfId="6232" xr:uid="{00000000-0005-0000-0000-0000E8820000}"/>
    <cellStyle name="Normal 5 6 2" xfId="8452" xr:uid="{00000000-0005-0000-0000-0000E9820000}"/>
    <cellStyle name="Normal 5 7" xfId="6233" xr:uid="{00000000-0005-0000-0000-0000EA820000}"/>
    <cellStyle name="Normal 5 8" xfId="6234" xr:uid="{00000000-0005-0000-0000-0000EB820000}"/>
    <cellStyle name="Normal 5 8 2" xfId="8453" xr:uid="{00000000-0005-0000-0000-0000EC820000}"/>
    <cellStyle name="Normal 5 9" xfId="6914" xr:uid="{00000000-0005-0000-0000-0000ED820000}"/>
    <cellStyle name="Normal 5 9 2" xfId="8454" xr:uid="{00000000-0005-0000-0000-0000EE820000}"/>
    <cellStyle name="Normal 5 9 3" xfId="25602" xr:uid="{00000000-0005-0000-0000-0000EF820000}"/>
    <cellStyle name="Normal 5 9 4" xfId="29815" xr:uid="{00000000-0005-0000-0000-0000F0820000}"/>
    <cellStyle name="Normal 5 9 5" xfId="34030" xr:uid="{00000000-0005-0000-0000-0000F1820000}"/>
    <cellStyle name="Normal 5 9 6" xfId="38234" xr:uid="{00000000-0005-0000-0000-0000F2820000}"/>
    <cellStyle name="Normal 5_ELC" xfId="43679" xr:uid="{00000000-0005-0000-0000-0000F3820000}"/>
    <cellStyle name="Normal 50" xfId="23427" xr:uid="{00000000-0005-0000-0000-0000F4820000}"/>
    <cellStyle name="Normal 50 2" xfId="24807" xr:uid="{00000000-0005-0000-0000-0000F5820000}"/>
    <cellStyle name="Normal 50 2 2" xfId="29029" xr:uid="{00000000-0005-0000-0000-0000F6820000}"/>
    <cellStyle name="Normal 50 2 3" xfId="33246" xr:uid="{00000000-0005-0000-0000-0000F7820000}"/>
    <cellStyle name="Normal 50 2 4" xfId="37457" xr:uid="{00000000-0005-0000-0000-0000F8820000}"/>
    <cellStyle name="Normal 50 2 5" xfId="43680" xr:uid="{00000000-0005-0000-0000-0000F9820000}"/>
    <cellStyle name="Normal 50 3" xfId="28928" xr:uid="{00000000-0005-0000-0000-0000FA820000}"/>
    <cellStyle name="Normal 50 4" xfId="33145" xr:uid="{00000000-0005-0000-0000-0000FB820000}"/>
    <cellStyle name="Normal 50 5" xfId="37356" xr:uid="{00000000-0005-0000-0000-0000FC820000}"/>
    <cellStyle name="Normal 50 6" xfId="41708" xr:uid="{00000000-0005-0000-0000-0000FD820000}"/>
    <cellStyle name="Normal 50 7" xfId="46464" xr:uid="{00000000-0005-0000-0000-0000FE820000}"/>
    <cellStyle name="Normal 51" xfId="23431" xr:uid="{00000000-0005-0000-0000-0000FF820000}"/>
    <cellStyle name="Normal 51 2" xfId="28931" xr:uid="{00000000-0005-0000-0000-000000830000}"/>
    <cellStyle name="Normal 51 3" xfId="33148" xr:uid="{00000000-0005-0000-0000-000001830000}"/>
    <cellStyle name="Normal 51 4" xfId="37359" xr:uid="{00000000-0005-0000-0000-000002830000}"/>
    <cellStyle name="Normal 51 5" xfId="43681" xr:uid="{00000000-0005-0000-0000-000003830000}"/>
    <cellStyle name="Normal 52" xfId="23433" xr:uid="{00000000-0005-0000-0000-000004830000}"/>
    <cellStyle name="Normal 52 2" xfId="28933" xr:uid="{00000000-0005-0000-0000-000005830000}"/>
    <cellStyle name="Normal 52 3" xfId="33150" xr:uid="{00000000-0005-0000-0000-000006830000}"/>
    <cellStyle name="Normal 52 4" xfId="37361" xr:uid="{00000000-0005-0000-0000-000007830000}"/>
    <cellStyle name="Normal 52 5" xfId="43682" xr:uid="{00000000-0005-0000-0000-000008830000}"/>
    <cellStyle name="Normal 53" xfId="43683" xr:uid="{00000000-0005-0000-0000-000009830000}"/>
    <cellStyle name="Normal 54" xfId="43684" xr:uid="{00000000-0005-0000-0000-00000A830000}"/>
    <cellStyle name="Normal 55" xfId="43685" xr:uid="{00000000-0005-0000-0000-00000B830000}"/>
    <cellStyle name="Normal 56" xfId="37460" xr:uid="{00000000-0005-0000-0000-00000C830000}"/>
    <cellStyle name="Normal 57" xfId="46467" xr:uid="{111C5420-4D17-43BE-97C6-00E4E6164773}"/>
    <cellStyle name="Normal 58" xfId="46490" xr:uid="{905ECF43-C76E-42A2-9985-3BE218AFF83A}"/>
    <cellStyle name="Normal 6" xfId="2649" xr:uid="{00000000-0005-0000-0000-00000D830000}"/>
    <cellStyle name="Normal 6 10" xfId="7539" xr:uid="{00000000-0005-0000-0000-00000E830000}"/>
    <cellStyle name="Normal 6 10 2" xfId="8455" xr:uid="{00000000-0005-0000-0000-00000F830000}"/>
    <cellStyle name="Normal 6 10 3" xfId="26172" xr:uid="{00000000-0005-0000-0000-000010830000}"/>
    <cellStyle name="Normal 6 10 3 2" xfId="43686" xr:uid="{00000000-0005-0000-0000-000011830000}"/>
    <cellStyle name="Normal 6 10 4" xfId="30385" xr:uid="{00000000-0005-0000-0000-000012830000}"/>
    <cellStyle name="Normal 6 10 5" xfId="34600" xr:uid="{00000000-0005-0000-0000-000013830000}"/>
    <cellStyle name="Normal 6 10 6" xfId="38804" xr:uid="{00000000-0005-0000-0000-000014830000}"/>
    <cellStyle name="Normal 6 11" xfId="8456" xr:uid="{00000000-0005-0000-0000-000015830000}"/>
    <cellStyle name="Normal 6 12" xfId="8457" xr:uid="{00000000-0005-0000-0000-000016830000}"/>
    <cellStyle name="Normal 6 13" xfId="9041" xr:uid="{00000000-0005-0000-0000-000017830000}"/>
    <cellStyle name="Normal 6 13 2" xfId="26612" xr:uid="{00000000-0005-0000-0000-000018830000}"/>
    <cellStyle name="Normal 6 13 3" xfId="30825" xr:uid="{00000000-0005-0000-0000-000019830000}"/>
    <cellStyle name="Normal 6 13 4" xfId="35040" xr:uid="{00000000-0005-0000-0000-00001A830000}"/>
    <cellStyle name="Normal 6 13 5" xfId="39244" xr:uid="{00000000-0005-0000-0000-00001B830000}"/>
    <cellStyle name="Normal 6 14" xfId="9163" xr:uid="{00000000-0005-0000-0000-00001C830000}"/>
    <cellStyle name="Normal 6 14 2" xfId="26734" xr:uid="{00000000-0005-0000-0000-00001D830000}"/>
    <cellStyle name="Normal 6 14 3" xfId="30947" xr:uid="{00000000-0005-0000-0000-00001E830000}"/>
    <cellStyle name="Normal 6 14 4" xfId="35162" xr:uid="{00000000-0005-0000-0000-00001F830000}"/>
    <cellStyle name="Normal 6 14 5" xfId="39366" xr:uid="{00000000-0005-0000-0000-000020830000}"/>
    <cellStyle name="Normal 6 15" xfId="9283" xr:uid="{00000000-0005-0000-0000-000021830000}"/>
    <cellStyle name="Normal 6 15 2" xfId="26854" xr:uid="{00000000-0005-0000-0000-000022830000}"/>
    <cellStyle name="Normal 6 15 3" xfId="31067" xr:uid="{00000000-0005-0000-0000-000023830000}"/>
    <cellStyle name="Normal 6 15 4" xfId="35282" xr:uid="{00000000-0005-0000-0000-000024830000}"/>
    <cellStyle name="Normal 6 15 5" xfId="39486" xr:uid="{00000000-0005-0000-0000-000025830000}"/>
    <cellStyle name="Normal 6 16" xfId="9404" xr:uid="{00000000-0005-0000-0000-000026830000}"/>
    <cellStyle name="Normal 6 16 2" xfId="26975" xr:uid="{00000000-0005-0000-0000-000027830000}"/>
    <cellStyle name="Normal 6 16 3" xfId="31188" xr:uid="{00000000-0005-0000-0000-000028830000}"/>
    <cellStyle name="Normal 6 16 4" xfId="35403" xr:uid="{00000000-0005-0000-0000-000029830000}"/>
    <cellStyle name="Normal 6 16 5" xfId="39607" xr:uid="{00000000-0005-0000-0000-00002A830000}"/>
    <cellStyle name="Normal 6 17" xfId="9523" xr:uid="{00000000-0005-0000-0000-00002B830000}"/>
    <cellStyle name="Normal 6 17 2" xfId="27094" xr:uid="{00000000-0005-0000-0000-00002C830000}"/>
    <cellStyle name="Normal 6 17 3" xfId="31307" xr:uid="{00000000-0005-0000-0000-00002D830000}"/>
    <cellStyle name="Normal 6 17 4" xfId="35522" xr:uid="{00000000-0005-0000-0000-00002E830000}"/>
    <cellStyle name="Normal 6 17 5" xfId="39726" xr:uid="{00000000-0005-0000-0000-00002F830000}"/>
    <cellStyle name="Normal 6 18" xfId="4016" xr:uid="{00000000-0005-0000-0000-000030830000}"/>
    <cellStyle name="Normal 6 19" xfId="46485" xr:uid="{C5700493-87EF-415E-A63D-9C2F8939D6B0}"/>
    <cellStyle name="Normal 6 2" xfId="2650" xr:uid="{00000000-0005-0000-0000-000031830000}"/>
    <cellStyle name="Normal 6 2 10" xfId="9164" xr:uid="{00000000-0005-0000-0000-000032830000}"/>
    <cellStyle name="Normal 6 2 10 2" xfId="26735" xr:uid="{00000000-0005-0000-0000-000033830000}"/>
    <cellStyle name="Normal 6 2 10 2 2" xfId="43687" xr:uid="{00000000-0005-0000-0000-000034830000}"/>
    <cellStyle name="Normal 6 2 10 3" xfId="30948" xr:uid="{00000000-0005-0000-0000-000035830000}"/>
    <cellStyle name="Normal 6 2 10 4" xfId="35163" xr:uid="{00000000-0005-0000-0000-000036830000}"/>
    <cellStyle name="Normal 6 2 10 5" xfId="39367" xr:uid="{00000000-0005-0000-0000-000037830000}"/>
    <cellStyle name="Normal 6 2 11" xfId="9284" xr:uid="{00000000-0005-0000-0000-000038830000}"/>
    <cellStyle name="Normal 6 2 11 2" xfId="26855" xr:uid="{00000000-0005-0000-0000-000039830000}"/>
    <cellStyle name="Normal 6 2 11 2 2" xfId="43688" xr:uid="{00000000-0005-0000-0000-00003A830000}"/>
    <cellStyle name="Normal 6 2 11 3" xfId="31068" xr:uid="{00000000-0005-0000-0000-00003B830000}"/>
    <cellStyle name="Normal 6 2 11 4" xfId="35283" xr:uid="{00000000-0005-0000-0000-00003C830000}"/>
    <cellStyle name="Normal 6 2 11 5" xfId="39487" xr:uid="{00000000-0005-0000-0000-00003D830000}"/>
    <cellStyle name="Normal 6 2 12" xfId="9405" xr:uid="{00000000-0005-0000-0000-00003E830000}"/>
    <cellStyle name="Normal 6 2 12 2" xfId="26976" xr:uid="{00000000-0005-0000-0000-00003F830000}"/>
    <cellStyle name="Normal 6 2 12 2 2" xfId="43689" xr:uid="{00000000-0005-0000-0000-000040830000}"/>
    <cellStyle name="Normal 6 2 12 3" xfId="31189" xr:uid="{00000000-0005-0000-0000-000041830000}"/>
    <cellStyle name="Normal 6 2 12 4" xfId="35404" xr:uid="{00000000-0005-0000-0000-000042830000}"/>
    <cellStyle name="Normal 6 2 12 5" xfId="39608" xr:uid="{00000000-0005-0000-0000-000043830000}"/>
    <cellStyle name="Normal 6 2 13" xfId="9524" xr:uid="{00000000-0005-0000-0000-000044830000}"/>
    <cellStyle name="Normal 6 2 13 2" xfId="27095" xr:uid="{00000000-0005-0000-0000-000045830000}"/>
    <cellStyle name="Normal 6 2 13 2 2" xfId="43690" xr:uid="{00000000-0005-0000-0000-000046830000}"/>
    <cellStyle name="Normal 6 2 13 3" xfId="31308" xr:uid="{00000000-0005-0000-0000-000047830000}"/>
    <cellStyle name="Normal 6 2 13 4" xfId="35523" xr:uid="{00000000-0005-0000-0000-000048830000}"/>
    <cellStyle name="Normal 6 2 13 5" xfId="39727" xr:uid="{00000000-0005-0000-0000-000049830000}"/>
    <cellStyle name="Normal 6 2 14" xfId="4017" xr:uid="{00000000-0005-0000-0000-00004A830000}"/>
    <cellStyle name="Normal 6 2 14 2" xfId="43691" xr:uid="{00000000-0005-0000-0000-00004B830000}"/>
    <cellStyle name="Normal 6 2 2" xfId="5444" xr:uid="{00000000-0005-0000-0000-00004C830000}"/>
    <cellStyle name="Normal 6 2 2 10" xfId="8458" xr:uid="{00000000-0005-0000-0000-00004D830000}"/>
    <cellStyle name="Normal 6 2 2 10 2" xfId="26491" xr:uid="{00000000-0005-0000-0000-00004E830000}"/>
    <cellStyle name="Normal 6 2 2 10 3" xfId="30704" xr:uid="{00000000-0005-0000-0000-00004F830000}"/>
    <cellStyle name="Normal 6 2 2 10 4" xfId="34919" xr:uid="{00000000-0005-0000-0000-000050830000}"/>
    <cellStyle name="Normal 6 2 2 10 5" xfId="39123" xr:uid="{00000000-0005-0000-0000-000051830000}"/>
    <cellStyle name="Normal 6 2 2 11" xfId="8459" xr:uid="{00000000-0005-0000-0000-000052830000}"/>
    <cellStyle name="Normal 6 2 2 11 2" xfId="26492" xr:uid="{00000000-0005-0000-0000-000053830000}"/>
    <cellStyle name="Normal 6 2 2 11 3" xfId="30705" xr:uid="{00000000-0005-0000-0000-000054830000}"/>
    <cellStyle name="Normal 6 2 2 11 4" xfId="34920" xr:uid="{00000000-0005-0000-0000-000055830000}"/>
    <cellStyle name="Normal 6 2 2 11 5" xfId="39124" xr:uid="{00000000-0005-0000-0000-000056830000}"/>
    <cellStyle name="Normal 6 2 2 12" xfId="8460" xr:uid="{00000000-0005-0000-0000-000057830000}"/>
    <cellStyle name="Normal 6 2 2 12 2" xfId="26493" xr:uid="{00000000-0005-0000-0000-000058830000}"/>
    <cellStyle name="Normal 6 2 2 12 3" xfId="30706" xr:uid="{00000000-0005-0000-0000-000059830000}"/>
    <cellStyle name="Normal 6 2 2 12 4" xfId="34921" xr:uid="{00000000-0005-0000-0000-00005A830000}"/>
    <cellStyle name="Normal 6 2 2 12 5" xfId="39125" xr:uid="{00000000-0005-0000-0000-00005B830000}"/>
    <cellStyle name="Normal 6 2 2 13" xfId="8461" xr:uid="{00000000-0005-0000-0000-00005C830000}"/>
    <cellStyle name="Normal 6 2 2 13 2" xfId="26494" xr:uid="{00000000-0005-0000-0000-00005D830000}"/>
    <cellStyle name="Normal 6 2 2 13 3" xfId="30707" xr:uid="{00000000-0005-0000-0000-00005E830000}"/>
    <cellStyle name="Normal 6 2 2 13 4" xfId="34922" xr:uid="{00000000-0005-0000-0000-00005F830000}"/>
    <cellStyle name="Normal 6 2 2 13 5" xfId="39126" xr:uid="{00000000-0005-0000-0000-000060830000}"/>
    <cellStyle name="Normal 6 2 2 2" xfId="8462" xr:uid="{00000000-0005-0000-0000-000061830000}"/>
    <cellStyle name="Normal 6 2 2 2 2" xfId="26495" xr:uid="{00000000-0005-0000-0000-000062830000}"/>
    <cellStyle name="Normal 6 2 2 2 3" xfId="30708" xr:uid="{00000000-0005-0000-0000-000063830000}"/>
    <cellStyle name="Normal 6 2 2 2 4" xfId="34923" xr:uid="{00000000-0005-0000-0000-000064830000}"/>
    <cellStyle name="Normal 6 2 2 2 5" xfId="39127" xr:uid="{00000000-0005-0000-0000-000065830000}"/>
    <cellStyle name="Normal 6 2 2 3" xfId="8463" xr:uid="{00000000-0005-0000-0000-000066830000}"/>
    <cellStyle name="Normal 6 2 2 3 2" xfId="26496" xr:uid="{00000000-0005-0000-0000-000067830000}"/>
    <cellStyle name="Normal 6 2 2 3 3" xfId="30709" xr:uid="{00000000-0005-0000-0000-000068830000}"/>
    <cellStyle name="Normal 6 2 2 3 4" xfId="34924" xr:uid="{00000000-0005-0000-0000-000069830000}"/>
    <cellStyle name="Normal 6 2 2 3 5" xfId="39128" xr:uid="{00000000-0005-0000-0000-00006A830000}"/>
    <cellStyle name="Normal 6 2 2 4" xfId="8464" xr:uid="{00000000-0005-0000-0000-00006B830000}"/>
    <cellStyle name="Normal 6 2 2 4 2" xfId="26497" xr:uid="{00000000-0005-0000-0000-00006C830000}"/>
    <cellStyle name="Normal 6 2 2 4 3" xfId="30710" xr:uid="{00000000-0005-0000-0000-00006D830000}"/>
    <cellStyle name="Normal 6 2 2 4 4" xfId="34925" xr:uid="{00000000-0005-0000-0000-00006E830000}"/>
    <cellStyle name="Normal 6 2 2 4 5" xfId="39129" xr:uid="{00000000-0005-0000-0000-00006F830000}"/>
    <cellStyle name="Normal 6 2 2 5" xfId="8465" xr:uid="{00000000-0005-0000-0000-000070830000}"/>
    <cellStyle name="Normal 6 2 2 5 2" xfId="26498" xr:uid="{00000000-0005-0000-0000-000071830000}"/>
    <cellStyle name="Normal 6 2 2 5 3" xfId="30711" xr:uid="{00000000-0005-0000-0000-000072830000}"/>
    <cellStyle name="Normal 6 2 2 5 4" xfId="34926" xr:uid="{00000000-0005-0000-0000-000073830000}"/>
    <cellStyle name="Normal 6 2 2 5 5" xfId="39130" xr:uid="{00000000-0005-0000-0000-000074830000}"/>
    <cellStyle name="Normal 6 2 2 6" xfId="8466" xr:uid="{00000000-0005-0000-0000-000075830000}"/>
    <cellStyle name="Normal 6 2 2 6 2" xfId="26499" xr:uid="{00000000-0005-0000-0000-000076830000}"/>
    <cellStyle name="Normal 6 2 2 6 3" xfId="30712" xr:uid="{00000000-0005-0000-0000-000077830000}"/>
    <cellStyle name="Normal 6 2 2 6 4" xfId="34927" xr:uid="{00000000-0005-0000-0000-000078830000}"/>
    <cellStyle name="Normal 6 2 2 6 5" xfId="39131" xr:uid="{00000000-0005-0000-0000-000079830000}"/>
    <cellStyle name="Normal 6 2 2 7" xfId="8467" xr:uid="{00000000-0005-0000-0000-00007A830000}"/>
    <cellStyle name="Normal 6 2 2 7 2" xfId="26500" xr:uid="{00000000-0005-0000-0000-00007B830000}"/>
    <cellStyle name="Normal 6 2 2 7 3" xfId="30713" xr:uid="{00000000-0005-0000-0000-00007C830000}"/>
    <cellStyle name="Normal 6 2 2 7 4" xfId="34928" xr:uid="{00000000-0005-0000-0000-00007D830000}"/>
    <cellStyle name="Normal 6 2 2 7 5" xfId="39132" xr:uid="{00000000-0005-0000-0000-00007E830000}"/>
    <cellStyle name="Normal 6 2 2 8" xfId="8468" xr:uid="{00000000-0005-0000-0000-00007F830000}"/>
    <cellStyle name="Normal 6 2 2 8 2" xfId="26501" xr:uid="{00000000-0005-0000-0000-000080830000}"/>
    <cellStyle name="Normal 6 2 2 8 3" xfId="30714" xr:uid="{00000000-0005-0000-0000-000081830000}"/>
    <cellStyle name="Normal 6 2 2 8 4" xfId="34929" xr:uid="{00000000-0005-0000-0000-000082830000}"/>
    <cellStyle name="Normal 6 2 2 8 5" xfId="39133" xr:uid="{00000000-0005-0000-0000-000083830000}"/>
    <cellStyle name="Normal 6 2 2 9" xfId="8469" xr:uid="{00000000-0005-0000-0000-000084830000}"/>
    <cellStyle name="Normal 6 2 2 9 2" xfId="26502" xr:uid="{00000000-0005-0000-0000-000085830000}"/>
    <cellStyle name="Normal 6 2 2 9 3" xfId="30715" xr:uid="{00000000-0005-0000-0000-000086830000}"/>
    <cellStyle name="Normal 6 2 2 9 4" xfId="34930" xr:uid="{00000000-0005-0000-0000-000087830000}"/>
    <cellStyle name="Normal 6 2 2 9 5" xfId="39134" xr:uid="{00000000-0005-0000-0000-000088830000}"/>
    <cellStyle name="Normal 6 2 3" xfId="6235" xr:uid="{00000000-0005-0000-0000-000089830000}"/>
    <cellStyle name="Normal 6 2 4" xfId="7170" xr:uid="{00000000-0005-0000-0000-00008A830000}"/>
    <cellStyle name="Normal 6 2 4 2" xfId="8470" xr:uid="{00000000-0005-0000-0000-00008B830000}"/>
    <cellStyle name="Normal 6 2 4 3" xfId="25822" xr:uid="{00000000-0005-0000-0000-00008C830000}"/>
    <cellStyle name="Normal 6 2 4 4" xfId="30035" xr:uid="{00000000-0005-0000-0000-00008D830000}"/>
    <cellStyle name="Normal 6 2 4 5" xfId="34250" xr:uid="{00000000-0005-0000-0000-00008E830000}"/>
    <cellStyle name="Normal 6 2 4 6" xfId="38454" xr:uid="{00000000-0005-0000-0000-00008F830000}"/>
    <cellStyle name="Normal 6 2 5" xfId="7304" xr:uid="{00000000-0005-0000-0000-000090830000}"/>
    <cellStyle name="Normal 6 2 5 2" xfId="8471" xr:uid="{00000000-0005-0000-0000-000091830000}"/>
    <cellStyle name="Normal 6 2 5 3" xfId="25937" xr:uid="{00000000-0005-0000-0000-000092830000}"/>
    <cellStyle name="Normal 6 2 5 4" xfId="30150" xr:uid="{00000000-0005-0000-0000-000093830000}"/>
    <cellStyle name="Normal 6 2 5 5" xfId="34365" xr:uid="{00000000-0005-0000-0000-000094830000}"/>
    <cellStyle name="Normal 6 2 5 6" xfId="38569" xr:uid="{00000000-0005-0000-0000-000095830000}"/>
    <cellStyle name="Normal 6 2 6" xfId="7422" xr:uid="{00000000-0005-0000-0000-000096830000}"/>
    <cellStyle name="Normal 6 2 6 2" xfId="8472" xr:uid="{00000000-0005-0000-0000-000097830000}"/>
    <cellStyle name="Normal 6 2 6 3" xfId="26055" xr:uid="{00000000-0005-0000-0000-000098830000}"/>
    <cellStyle name="Normal 6 2 6 4" xfId="30268" xr:uid="{00000000-0005-0000-0000-000099830000}"/>
    <cellStyle name="Normal 6 2 6 5" xfId="34483" xr:uid="{00000000-0005-0000-0000-00009A830000}"/>
    <cellStyle name="Normal 6 2 6 6" xfId="38687" xr:uid="{00000000-0005-0000-0000-00009B830000}"/>
    <cellStyle name="Normal 6 2 7" xfId="7540" xr:uid="{00000000-0005-0000-0000-00009C830000}"/>
    <cellStyle name="Normal 6 2 7 2" xfId="8473" xr:uid="{00000000-0005-0000-0000-00009D830000}"/>
    <cellStyle name="Normal 6 2 7 3" xfId="26173" xr:uid="{00000000-0005-0000-0000-00009E830000}"/>
    <cellStyle name="Normal 6 2 7 4" xfId="30386" xr:uid="{00000000-0005-0000-0000-00009F830000}"/>
    <cellStyle name="Normal 6 2 7 5" xfId="34601" xr:uid="{00000000-0005-0000-0000-0000A0830000}"/>
    <cellStyle name="Normal 6 2 7 6" xfId="38805" xr:uid="{00000000-0005-0000-0000-0000A1830000}"/>
    <cellStyle name="Normal 6 2 8" xfId="8474" xr:uid="{00000000-0005-0000-0000-0000A2830000}"/>
    <cellStyle name="Normal 6 2 9" xfId="9042" xr:uid="{00000000-0005-0000-0000-0000A3830000}"/>
    <cellStyle name="Normal 6 2 9 2" xfId="26613" xr:uid="{00000000-0005-0000-0000-0000A4830000}"/>
    <cellStyle name="Normal 6 2 9 2 2" xfId="43692" xr:uid="{00000000-0005-0000-0000-0000A5830000}"/>
    <cellStyle name="Normal 6 2 9 3" xfId="30826" xr:uid="{00000000-0005-0000-0000-0000A6830000}"/>
    <cellStyle name="Normal 6 2 9 4" xfId="35041" xr:uid="{00000000-0005-0000-0000-0000A7830000}"/>
    <cellStyle name="Normal 6 2 9 5" xfId="39245" xr:uid="{00000000-0005-0000-0000-0000A8830000}"/>
    <cellStyle name="Normal 6 3" xfId="4018" xr:uid="{00000000-0005-0000-0000-0000A9830000}"/>
    <cellStyle name="Normal 6 3 10" xfId="9165" xr:uid="{00000000-0005-0000-0000-0000AA830000}"/>
    <cellStyle name="Normal 6 3 10 2" xfId="26736" xr:uid="{00000000-0005-0000-0000-0000AB830000}"/>
    <cellStyle name="Normal 6 3 10 2 2" xfId="43693" xr:uid="{00000000-0005-0000-0000-0000AC830000}"/>
    <cellStyle name="Normal 6 3 10 3" xfId="30949" xr:uid="{00000000-0005-0000-0000-0000AD830000}"/>
    <cellStyle name="Normal 6 3 10 4" xfId="35164" xr:uid="{00000000-0005-0000-0000-0000AE830000}"/>
    <cellStyle name="Normal 6 3 10 5" xfId="39368" xr:uid="{00000000-0005-0000-0000-0000AF830000}"/>
    <cellStyle name="Normal 6 3 11" xfId="9285" xr:uid="{00000000-0005-0000-0000-0000B0830000}"/>
    <cellStyle name="Normal 6 3 11 2" xfId="26856" xr:uid="{00000000-0005-0000-0000-0000B1830000}"/>
    <cellStyle name="Normal 6 3 11 2 2" xfId="43694" xr:uid="{00000000-0005-0000-0000-0000B2830000}"/>
    <cellStyle name="Normal 6 3 11 3" xfId="31069" xr:uid="{00000000-0005-0000-0000-0000B3830000}"/>
    <cellStyle name="Normal 6 3 11 4" xfId="35284" xr:uid="{00000000-0005-0000-0000-0000B4830000}"/>
    <cellStyle name="Normal 6 3 11 5" xfId="39488" xr:uid="{00000000-0005-0000-0000-0000B5830000}"/>
    <cellStyle name="Normal 6 3 12" xfId="9406" xr:uid="{00000000-0005-0000-0000-0000B6830000}"/>
    <cellStyle name="Normal 6 3 12 2" xfId="26977" xr:uid="{00000000-0005-0000-0000-0000B7830000}"/>
    <cellStyle name="Normal 6 3 12 2 2" xfId="43695" xr:uid="{00000000-0005-0000-0000-0000B8830000}"/>
    <cellStyle name="Normal 6 3 12 3" xfId="31190" xr:uid="{00000000-0005-0000-0000-0000B9830000}"/>
    <cellStyle name="Normal 6 3 12 4" xfId="35405" xr:uid="{00000000-0005-0000-0000-0000BA830000}"/>
    <cellStyle name="Normal 6 3 12 5" xfId="39609" xr:uid="{00000000-0005-0000-0000-0000BB830000}"/>
    <cellStyle name="Normal 6 3 13" xfId="9525" xr:uid="{00000000-0005-0000-0000-0000BC830000}"/>
    <cellStyle name="Normal 6 3 13 2" xfId="27096" xr:uid="{00000000-0005-0000-0000-0000BD830000}"/>
    <cellStyle name="Normal 6 3 13 2 2" xfId="43696" xr:uid="{00000000-0005-0000-0000-0000BE830000}"/>
    <cellStyle name="Normal 6 3 13 3" xfId="31309" xr:uid="{00000000-0005-0000-0000-0000BF830000}"/>
    <cellStyle name="Normal 6 3 13 4" xfId="35524" xr:uid="{00000000-0005-0000-0000-0000C0830000}"/>
    <cellStyle name="Normal 6 3 13 5" xfId="39728" xr:uid="{00000000-0005-0000-0000-0000C1830000}"/>
    <cellStyle name="Normal 6 3 14" xfId="43697" xr:uid="{00000000-0005-0000-0000-0000C2830000}"/>
    <cellStyle name="Normal 6 3 2" xfId="5445" xr:uid="{00000000-0005-0000-0000-0000C3830000}"/>
    <cellStyle name="Normal 6 3 2 2" xfId="6917" xr:uid="{00000000-0005-0000-0000-0000C4830000}"/>
    <cellStyle name="Normal 6 3 2 2 2" xfId="25605" xr:uid="{00000000-0005-0000-0000-0000C5830000}"/>
    <cellStyle name="Normal 6 3 2 2 3" xfId="29818" xr:uid="{00000000-0005-0000-0000-0000C6830000}"/>
    <cellStyle name="Normal 6 3 2 2 4" xfId="34033" xr:uid="{00000000-0005-0000-0000-0000C7830000}"/>
    <cellStyle name="Normal 6 3 2 2 5" xfId="38237" xr:uid="{00000000-0005-0000-0000-0000C8830000}"/>
    <cellStyle name="Normal 6 3 2 3" xfId="8475" xr:uid="{00000000-0005-0000-0000-0000C9830000}"/>
    <cellStyle name="Normal 6 3 2 4" xfId="24977" xr:uid="{00000000-0005-0000-0000-0000CA830000}"/>
    <cellStyle name="Normal 6 3 2 5" xfId="29189" xr:uid="{00000000-0005-0000-0000-0000CB830000}"/>
    <cellStyle name="Normal 6 3 2 6" xfId="33405" xr:uid="{00000000-0005-0000-0000-0000CC830000}"/>
    <cellStyle name="Normal 6 3 2 7" xfId="37609" xr:uid="{00000000-0005-0000-0000-0000CD830000}"/>
    <cellStyle name="Normal 6 3 3" xfId="6236" xr:uid="{00000000-0005-0000-0000-0000CE830000}"/>
    <cellStyle name="Normal 6 3 3 2" xfId="8476" xr:uid="{00000000-0005-0000-0000-0000CF830000}"/>
    <cellStyle name="Normal 6 3 4" xfId="7171" xr:uid="{00000000-0005-0000-0000-0000D0830000}"/>
    <cellStyle name="Normal 6 3 4 2" xfId="8477" xr:uid="{00000000-0005-0000-0000-0000D1830000}"/>
    <cellStyle name="Normal 6 3 4 3" xfId="25823" xr:uid="{00000000-0005-0000-0000-0000D2830000}"/>
    <cellStyle name="Normal 6 3 4 4" xfId="30036" xr:uid="{00000000-0005-0000-0000-0000D3830000}"/>
    <cellStyle name="Normal 6 3 4 5" xfId="34251" xr:uid="{00000000-0005-0000-0000-0000D4830000}"/>
    <cellStyle name="Normal 6 3 4 6" xfId="38455" xr:uid="{00000000-0005-0000-0000-0000D5830000}"/>
    <cellStyle name="Normal 6 3 5" xfId="7305" xr:uid="{00000000-0005-0000-0000-0000D6830000}"/>
    <cellStyle name="Normal 6 3 5 2" xfId="8478" xr:uid="{00000000-0005-0000-0000-0000D7830000}"/>
    <cellStyle name="Normal 6 3 5 3" xfId="25938" xr:uid="{00000000-0005-0000-0000-0000D8830000}"/>
    <cellStyle name="Normal 6 3 5 4" xfId="30151" xr:uid="{00000000-0005-0000-0000-0000D9830000}"/>
    <cellStyle name="Normal 6 3 5 5" xfId="34366" xr:uid="{00000000-0005-0000-0000-0000DA830000}"/>
    <cellStyle name="Normal 6 3 5 6" xfId="38570" xr:uid="{00000000-0005-0000-0000-0000DB830000}"/>
    <cellStyle name="Normal 6 3 6" xfId="7423" xr:uid="{00000000-0005-0000-0000-0000DC830000}"/>
    <cellStyle name="Normal 6 3 6 2" xfId="8479" xr:uid="{00000000-0005-0000-0000-0000DD830000}"/>
    <cellStyle name="Normal 6 3 6 3" xfId="26056" xr:uid="{00000000-0005-0000-0000-0000DE830000}"/>
    <cellStyle name="Normal 6 3 6 4" xfId="30269" xr:uid="{00000000-0005-0000-0000-0000DF830000}"/>
    <cellStyle name="Normal 6 3 6 5" xfId="34484" xr:uid="{00000000-0005-0000-0000-0000E0830000}"/>
    <cellStyle name="Normal 6 3 6 6" xfId="38688" xr:uid="{00000000-0005-0000-0000-0000E1830000}"/>
    <cellStyle name="Normal 6 3 7" xfId="7541" xr:uid="{00000000-0005-0000-0000-0000E2830000}"/>
    <cellStyle name="Normal 6 3 7 2" xfId="8480" xr:uid="{00000000-0005-0000-0000-0000E3830000}"/>
    <cellStyle name="Normal 6 3 7 3" xfId="26174" xr:uid="{00000000-0005-0000-0000-0000E4830000}"/>
    <cellStyle name="Normal 6 3 7 4" xfId="30387" xr:uid="{00000000-0005-0000-0000-0000E5830000}"/>
    <cellStyle name="Normal 6 3 7 5" xfId="34602" xr:uid="{00000000-0005-0000-0000-0000E6830000}"/>
    <cellStyle name="Normal 6 3 7 6" xfId="38806" xr:uid="{00000000-0005-0000-0000-0000E7830000}"/>
    <cellStyle name="Normal 6 3 8" xfId="8481" xr:uid="{00000000-0005-0000-0000-0000E8830000}"/>
    <cellStyle name="Normal 6 3 9" xfId="9043" xr:uid="{00000000-0005-0000-0000-0000E9830000}"/>
    <cellStyle name="Normal 6 3 9 2" xfId="26614" xr:uid="{00000000-0005-0000-0000-0000EA830000}"/>
    <cellStyle name="Normal 6 3 9 2 2" xfId="43698" xr:uid="{00000000-0005-0000-0000-0000EB830000}"/>
    <cellStyle name="Normal 6 3 9 3" xfId="30827" xr:uid="{00000000-0005-0000-0000-0000EC830000}"/>
    <cellStyle name="Normal 6 3 9 4" xfId="35042" xr:uid="{00000000-0005-0000-0000-0000ED830000}"/>
    <cellStyle name="Normal 6 3 9 5" xfId="39246" xr:uid="{00000000-0005-0000-0000-0000EE830000}"/>
    <cellStyle name="Normal 6 4" xfId="4019" xr:uid="{00000000-0005-0000-0000-0000EF830000}"/>
    <cellStyle name="Normal 6 4 10" xfId="12252" xr:uid="{00000000-0005-0000-0000-0000F0830000}"/>
    <cellStyle name="Normal 6 4 10 2" xfId="28820" xr:uid="{00000000-0005-0000-0000-0000F1830000}"/>
    <cellStyle name="Normal 6 4 10 3" xfId="33033" xr:uid="{00000000-0005-0000-0000-0000F2830000}"/>
    <cellStyle name="Normal 6 4 10 4" xfId="37248" xr:uid="{00000000-0005-0000-0000-0000F3830000}"/>
    <cellStyle name="Normal 6 4 11" xfId="23461" xr:uid="{00000000-0005-0000-0000-0000F4830000}"/>
    <cellStyle name="Normal 6 4 11 2" xfId="28961" xr:uid="{00000000-0005-0000-0000-0000F5830000}"/>
    <cellStyle name="Normal 6 4 11 3" xfId="33178" xr:uid="{00000000-0005-0000-0000-0000F6830000}"/>
    <cellStyle name="Normal 6 4 11 4" xfId="37389" xr:uid="{00000000-0005-0000-0000-0000F7830000}"/>
    <cellStyle name="Normal 6 4 12" xfId="24886" xr:uid="{00000000-0005-0000-0000-0000F8830000}"/>
    <cellStyle name="Normal 6 4 13" xfId="29097" xr:uid="{00000000-0005-0000-0000-0000F9830000}"/>
    <cellStyle name="Normal 6 4 14" xfId="33314" xr:uid="{00000000-0005-0000-0000-0000FA830000}"/>
    <cellStyle name="Normal 6 4 15" xfId="37518" xr:uid="{00000000-0005-0000-0000-0000FB830000}"/>
    <cellStyle name="Normal 6 4 2" xfId="4020" xr:uid="{00000000-0005-0000-0000-0000FC830000}"/>
    <cellStyle name="Normal 6 4 2 10" xfId="37519" xr:uid="{00000000-0005-0000-0000-0000FD830000}"/>
    <cellStyle name="Normal 6 4 2 2" xfId="4490" xr:uid="{00000000-0005-0000-0000-0000FE830000}"/>
    <cellStyle name="Normal 6 4 2 2 2" xfId="24961" xr:uid="{00000000-0005-0000-0000-0000FF830000}"/>
    <cellStyle name="Normal 6 4 2 2 3" xfId="29173" xr:uid="{00000000-0005-0000-0000-000000840000}"/>
    <cellStyle name="Normal 6 4 2 2 4" xfId="33389" xr:uid="{00000000-0005-0000-0000-000001840000}"/>
    <cellStyle name="Normal 6 4 2 2 5" xfId="37593" xr:uid="{00000000-0005-0000-0000-000002840000}"/>
    <cellStyle name="Normal 6 4 2 3" xfId="8482" xr:uid="{00000000-0005-0000-0000-000003840000}"/>
    <cellStyle name="Normal 6 4 2 4" xfId="11152" xr:uid="{00000000-0005-0000-0000-000004840000}"/>
    <cellStyle name="Normal 6 4 2 4 2" xfId="28085" xr:uid="{00000000-0005-0000-0000-000005840000}"/>
    <cellStyle name="Normal 6 4 2 4 3" xfId="32298" xr:uid="{00000000-0005-0000-0000-000006840000}"/>
    <cellStyle name="Normal 6 4 2 4 4" xfId="36513" xr:uid="{00000000-0005-0000-0000-000007840000}"/>
    <cellStyle name="Normal 6 4 2 4 5" xfId="40717" xr:uid="{00000000-0005-0000-0000-000008840000}"/>
    <cellStyle name="Normal 6 4 2 5" xfId="12289" xr:uid="{00000000-0005-0000-0000-000009840000}"/>
    <cellStyle name="Normal 6 4 2 5 2" xfId="28856" xr:uid="{00000000-0005-0000-0000-00000A840000}"/>
    <cellStyle name="Normal 6 4 2 5 3" xfId="33069" xr:uid="{00000000-0005-0000-0000-00000B840000}"/>
    <cellStyle name="Normal 6 4 2 5 4" xfId="37284" xr:uid="{00000000-0005-0000-0000-00000C840000}"/>
    <cellStyle name="Normal 6 4 2 6" xfId="23498" xr:uid="{00000000-0005-0000-0000-00000D840000}"/>
    <cellStyle name="Normal 6 4 2 6 2" xfId="28997" xr:uid="{00000000-0005-0000-0000-00000E840000}"/>
    <cellStyle name="Normal 6 4 2 6 3" xfId="33214" xr:uid="{00000000-0005-0000-0000-00000F840000}"/>
    <cellStyle name="Normal 6 4 2 6 4" xfId="37425" xr:uid="{00000000-0005-0000-0000-000010840000}"/>
    <cellStyle name="Normal 6 4 2 7" xfId="24887" xr:uid="{00000000-0005-0000-0000-000011840000}"/>
    <cellStyle name="Normal 6 4 2 8" xfId="29098" xr:uid="{00000000-0005-0000-0000-000012840000}"/>
    <cellStyle name="Normal 6 4 2 9" xfId="33315" xr:uid="{00000000-0005-0000-0000-000013840000}"/>
    <cellStyle name="Normal 6 4 3" xfId="4452" xr:uid="{00000000-0005-0000-0000-000014840000}"/>
    <cellStyle name="Normal 6 4 3 2" xfId="8483" xr:uid="{00000000-0005-0000-0000-000015840000}"/>
    <cellStyle name="Normal 6 4 3 3" xfId="11250" xr:uid="{00000000-0005-0000-0000-000016840000}"/>
    <cellStyle name="Normal 6 4 3 3 2" xfId="28097" xr:uid="{00000000-0005-0000-0000-000017840000}"/>
    <cellStyle name="Normal 6 4 3 3 3" xfId="32310" xr:uid="{00000000-0005-0000-0000-000018840000}"/>
    <cellStyle name="Normal 6 4 3 3 4" xfId="36525" xr:uid="{00000000-0005-0000-0000-000019840000}"/>
    <cellStyle name="Normal 6 4 3 3 5" xfId="40729" xr:uid="{00000000-0005-0000-0000-00001A840000}"/>
    <cellStyle name="Normal 6 4 3 4" xfId="24924" xr:uid="{00000000-0005-0000-0000-00001B840000}"/>
    <cellStyle name="Normal 6 4 3 5" xfId="29136" xr:uid="{00000000-0005-0000-0000-00001C840000}"/>
    <cellStyle name="Normal 6 4 3 6" xfId="33352" xr:uid="{00000000-0005-0000-0000-00001D840000}"/>
    <cellStyle name="Normal 6 4 3 7" xfId="37556" xr:uid="{00000000-0005-0000-0000-00001E840000}"/>
    <cellStyle name="Normal 6 4 4" xfId="6237" xr:uid="{00000000-0005-0000-0000-00001F840000}"/>
    <cellStyle name="Normal 6 4 5" xfId="8484" xr:uid="{00000000-0005-0000-0000-000020840000}"/>
    <cellStyle name="Normal 6 4 6" xfId="8485" xr:uid="{00000000-0005-0000-0000-000021840000}"/>
    <cellStyle name="Normal 6 4 7" xfId="8486" xr:uid="{00000000-0005-0000-0000-000022840000}"/>
    <cellStyle name="Normal 6 4 8" xfId="8487" xr:uid="{00000000-0005-0000-0000-000023840000}"/>
    <cellStyle name="Normal 6 4 9" xfId="11151" xr:uid="{00000000-0005-0000-0000-000024840000}"/>
    <cellStyle name="Normal 6 4 9 2" xfId="28084" xr:uid="{00000000-0005-0000-0000-000025840000}"/>
    <cellStyle name="Normal 6 4 9 3" xfId="32297" xr:uid="{00000000-0005-0000-0000-000026840000}"/>
    <cellStyle name="Normal 6 4 9 4" xfId="36512" xr:uid="{00000000-0005-0000-0000-000027840000}"/>
    <cellStyle name="Normal 6 4 9 5" xfId="40716" xr:uid="{00000000-0005-0000-0000-000028840000}"/>
    <cellStyle name="Normal 6 5" xfId="6238" xr:uid="{00000000-0005-0000-0000-000029840000}"/>
    <cellStyle name="Normal 6 5 2" xfId="8488" xr:uid="{00000000-0005-0000-0000-00002A840000}"/>
    <cellStyle name="Normal 6 5 3" xfId="8489" xr:uid="{00000000-0005-0000-0000-00002B840000}"/>
    <cellStyle name="Normal 6 5 4" xfId="8490" xr:uid="{00000000-0005-0000-0000-00002C840000}"/>
    <cellStyle name="Normal 6 5 5" xfId="8491" xr:uid="{00000000-0005-0000-0000-00002D840000}"/>
    <cellStyle name="Normal 6 5 6" xfId="8492" xr:uid="{00000000-0005-0000-0000-00002E840000}"/>
    <cellStyle name="Normal 6 5 7" xfId="8493" xr:uid="{00000000-0005-0000-0000-00002F840000}"/>
    <cellStyle name="Normal 6 5 8" xfId="8494" xr:uid="{00000000-0005-0000-0000-000030840000}"/>
    <cellStyle name="Normal 6 6" xfId="6916" xr:uid="{00000000-0005-0000-0000-000031840000}"/>
    <cellStyle name="Normal 6 6 2" xfId="8495" xr:uid="{00000000-0005-0000-0000-000032840000}"/>
    <cellStyle name="Normal 6 6 3" xfId="25604" xr:uid="{00000000-0005-0000-0000-000033840000}"/>
    <cellStyle name="Normal 6 6 4" xfId="29817" xr:uid="{00000000-0005-0000-0000-000034840000}"/>
    <cellStyle name="Normal 6 6 5" xfId="34032" xr:uid="{00000000-0005-0000-0000-000035840000}"/>
    <cellStyle name="Normal 6 6 6" xfId="38236" xr:uid="{00000000-0005-0000-0000-000036840000}"/>
    <cellStyle name="Normal 6 7" xfId="7169" xr:uid="{00000000-0005-0000-0000-000037840000}"/>
    <cellStyle name="Normal 6 7 2" xfId="8496" xr:uid="{00000000-0005-0000-0000-000038840000}"/>
    <cellStyle name="Normal 6 7 3" xfId="25821" xr:uid="{00000000-0005-0000-0000-000039840000}"/>
    <cellStyle name="Normal 6 7 4" xfId="30034" xr:uid="{00000000-0005-0000-0000-00003A840000}"/>
    <cellStyle name="Normal 6 7 5" xfId="34249" xr:uid="{00000000-0005-0000-0000-00003B840000}"/>
    <cellStyle name="Normal 6 7 6" xfId="38453" xr:uid="{00000000-0005-0000-0000-00003C840000}"/>
    <cellStyle name="Normal 6 8" xfId="7303" xr:uid="{00000000-0005-0000-0000-00003D840000}"/>
    <cellStyle name="Normal 6 8 2" xfId="8497" xr:uid="{00000000-0005-0000-0000-00003E840000}"/>
    <cellStyle name="Normal 6 8 3" xfId="25936" xr:uid="{00000000-0005-0000-0000-00003F840000}"/>
    <cellStyle name="Normal 6 8 4" xfId="30149" xr:uid="{00000000-0005-0000-0000-000040840000}"/>
    <cellStyle name="Normal 6 8 5" xfId="34364" xr:uid="{00000000-0005-0000-0000-000041840000}"/>
    <cellStyle name="Normal 6 8 6" xfId="38568" xr:uid="{00000000-0005-0000-0000-000042840000}"/>
    <cellStyle name="Normal 6 9" xfId="7421" xr:uid="{00000000-0005-0000-0000-000043840000}"/>
    <cellStyle name="Normal 6 9 2" xfId="8498" xr:uid="{00000000-0005-0000-0000-000044840000}"/>
    <cellStyle name="Normal 6 9 3" xfId="26054" xr:uid="{00000000-0005-0000-0000-000045840000}"/>
    <cellStyle name="Normal 6 9 4" xfId="30267" xr:uid="{00000000-0005-0000-0000-000046840000}"/>
    <cellStyle name="Normal 6 9 5" xfId="34482" xr:uid="{00000000-0005-0000-0000-000047840000}"/>
    <cellStyle name="Normal 6 9 6" xfId="38686" xr:uid="{00000000-0005-0000-0000-000048840000}"/>
    <cellStyle name="Normal 6_ELC" xfId="43699" xr:uid="{00000000-0005-0000-0000-000049840000}"/>
    <cellStyle name="Normal 7" xfId="2651" xr:uid="{00000000-0005-0000-0000-00004A840000}"/>
    <cellStyle name="Normal 7 10" xfId="8499" xr:uid="{00000000-0005-0000-0000-00004B840000}"/>
    <cellStyle name="Normal 7 11" xfId="8500" xr:uid="{00000000-0005-0000-0000-00004C840000}"/>
    <cellStyle name="Normal 7 12" xfId="8501" xr:uid="{00000000-0005-0000-0000-00004D840000}"/>
    <cellStyle name="Normal 7 13" xfId="8502" xr:uid="{00000000-0005-0000-0000-00004E840000}"/>
    <cellStyle name="Normal 7 13 2" xfId="26503" xr:uid="{00000000-0005-0000-0000-00004F840000}"/>
    <cellStyle name="Normal 7 13 2 2" xfId="41662" xr:uid="{00000000-0005-0000-0000-000050840000}"/>
    <cellStyle name="Normal 7 13 3" xfId="30716" xr:uid="{00000000-0005-0000-0000-000051840000}"/>
    <cellStyle name="Normal 7 13 4" xfId="34931" xr:uid="{00000000-0005-0000-0000-000052840000}"/>
    <cellStyle name="Normal 7 13 5" xfId="39135" xr:uid="{00000000-0005-0000-0000-000053840000}"/>
    <cellStyle name="Normal 7 14" xfId="9044" xr:uid="{00000000-0005-0000-0000-000054840000}"/>
    <cellStyle name="Normal 7 14 2" xfId="26615" xr:uid="{00000000-0005-0000-0000-000055840000}"/>
    <cellStyle name="Normal 7 14 3" xfId="30828" xr:uid="{00000000-0005-0000-0000-000056840000}"/>
    <cellStyle name="Normal 7 14 4" xfId="35043" xr:uid="{00000000-0005-0000-0000-000057840000}"/>
    <cellStyle name="Normal 7 14 5" xfId="39247" xr:uid="{00000000-0005-0000-0000-000058840000}"/>
    <cellStyle name="Normal 7 15" xfId="9166" xr:uid="{00000000-0005-0000-0000-000059840000}"/>
    <cellStyle name="Normal 7 15 2" xfId="26737" xr:uid="{00000000-0005-0000-0000-00005A840000}"/>
    <cellStyle name="Normal 7 15 3" xfId="30950" xr:uid="{00000000-0005-0000-0000-00005B840000}"/>
    <cellStyle name="Normal 7 15 4" xfId="35165" xr:uid="{00000000-0005-0000-0000-00005C840000}"/>
    <cellStyle name="Normal 7 15 5" xfId="39369" xr:uid="{00000000-0005-0000-0000-00005D840000}"/>
    <cellStyle name="Normal 7 16" xfId="9286" xr:uid="{00000000-0005-0000-0000-00005E840000}"/>
    <cellStyle name="Normal 7 16 2" xfId="26857" xr:uid="{00000000-0005-0000-0000-00005F840000}"/>
    <cellStyle name="Normal 7 16 3" xfId="31070" xr:uid="{00000000-0005-0000-0000-000060840000}"/>
    <cellStyle name="Normal 7 16 4" xfId="35285" xr:uid="{00000000-0005-0000-0000-000061840000}"/>
    <cellStyle name="Normal 7 16 5" xfId="39489" xr:uid="{00000000-0005-0000-0000-000062840000}"/>
    <cellStyle name="Normal 7 17" xfId="9407" xr:uid="{00000000-0005-0000-0000-000063840000}"/>
    <cellStyle name="Normal 7 17 2" xfId="26978" xr:uid="{00000000-0005-0000-0000-000064840000}"/>
    <cellStyle name="Normal 7 17 3" xfId="31191" xr:uid="{00000000-0005-0000-0000-000065840000}"/>
    <cellStyle name="Normal 7 17 4" xfId="35406" xr:uid="{00000000-0005-0000-0000-000066840000}"/>
    <cellStyle name="Normal 7 17 5" xfId="39610" xr:uid="{00000000-0005-0000-0000-000067840000}"/>
    <cellStyle name="Normal 7 18" xfId="9526" xr:uid="{00000000-0005-0000-0000-000068840000}"/>
    <cellStyle name="Normal 7 18 2" xfId="27097" xr:uid="{00000000-0005-0000-0000-000069840000}"/>
    <cellStyle name="Normal 7 18 3" xfId="31310" xr:uid="{00000000-0005-0000-0000-00006A840000}"/>
    <cellStyle name="Normal 7 18 4" xfId="35525" xr:uid="{00000000-0005-0000-0000-00006B840000}"/>
    <cellStyle name="Normal 7 18 5" xfId="39729" xr:uid="{00000000-0005-0000-0000-00006C840000}"/>
    <cellStyle name="Normal 7 19" xfId="4021" xr:uid="{00000000-0005-0000-0000-00006D840000}"/>
    <cellStyle name="Normal 7 2" xfId="2652" xr:uid="{00000000-0005-0000-0000-00006E840000}"/>
    <cellStyle name="Normal 7 2 10" xfId="9167" xr:uid="{00000000-0005-0000-0000-00006F840000}"/>
    <cellStyle name="Normal 7 2 10 2" xfId="26738" xr:uid="{00000000-0005-0000-0000-000070840000}"/>
    <cellStyle name="Normal 7 2 10 3" xfId="30951" xr:uid="{00000000-0005-0000-0000-000071840000}"/>
    <cellStyle name="Normal 7 2 10 4" xfId="35166" xr:uid="{00000000-0005-0000-0000-000072840000}"/>
    <cellStyle name="Normal 7 2 10 5" xfId="39370" xr:uid="{00000000-0005-0000-0000-000073840000}"/>
    <cellStyle name="Normal 7 2 11" xfId="9287" xr:uid="{00000000-0005-0000-0000-000074840000}"/>
    <cellStyle name="Normal 7 2 11 2" xfId="26858" xr:uid="{00000000-0005-0000-0000-000075840000}"/>
    <cellStyle name="Normal 7 2 11 3" xfId="31071" xr:uid="{00000000-0005-0000-0000-000076840000}"/>
    <cellStyle name="Normal 7 2 11 4" xfId="35286" xr:uid="{00000000-0005-0000-0000-000077840000}"/>
    <cellStyle name="Normal 7 2 11 5" xfId="39490" xr:uid="{00000000-0005-0000-0000-000078840000}"/>
    <cellStyle name="Normal 7 2 12" xfId="9408" xr:uid="{00000000-0005-0000-0000-000079840000}"/>
    <cellStyle name="Normal 7 2 12 2" xfId="26979" xr:uid="{00000000-0005-0000-0000-00007A840000}"/>
    <cellStyle name="Normal 7 2 12 3" xfId="31192" xr:uid="{00000000-0005-0000-0000-00007B840000}"/>
    <cellStyle name="Normal 7 2 12 4" xfId="35407" xr:uid="{00000000-0005-0000-0000-00007C840000}"/>
    <cellStyle name="Normal 7 2 12 5" xfId="39611" xr:uid="{00000000-0005-0000-0000-00007D840000}"/>
    <cellStyle name="Normal 7 2 13" xfId="9527" xr:uid="{00000000-0005-0000-0000-00007E840000}"/>
    <cellStyle name="Normal 7 2 13 2" xfId="27098" xr:uid="{00000000-0005-0000-0000-00007F840000}"/>
    <cellStyle name="Normal 7 2 13 3" xfId="31311" xr:uid="{00000000-0005-0000-0000-000080840000}"/>
    <cellStyle name="Normal 7 2 13 4" xfId="35526" xr:uid="{00000000-0005-0000-0000-000081840000}"/>
    <cellStyle name="Normal 7 2 13 5" xfId="39730" xr:uid="{00000000-0005-0000-0000-000082840000}"/>
    <cellStyle name="Normal 7 2 14" xfId="4022" xr:uid="{00000000-0005-0000-0000-000083840000}"/>
    <cellStyle name="Normal 7 2 15" xfId="3072" xr:uid="{00000000-0005-0000-0000-000084840000}"/>
    <cellStyle name="Normal 7 2 2" xfId="7173" xr:uid="{00000000-0005-0000-0000-000085840000}"/>
    <cellStyle name="Normal 7 2 2 2" xfId="8503" xr:uid="{00000000-0005-0000-0000-000086840000}"/>
    <cellStyle name="Normal 7 2 2 3" xfId="25825" xr:uid="{00000000-0005-0000-0000-000087840000}"/>
    <cellStyle name="Normal 7 2 2 4" xfId="30038" xr:uid="{00000000-0005-0000-0000-000088840000}"/>
    <cellStyle name="Normal 7 2 2 5" xfId="34253" xr:uid="{00000000-0005-0000-0000-000089840000}"/>
    <cellStyle name="Normal 7 2 2 6" xfId="38457" xr:uid="{00000000-0005-0000-0000-00008A840000}"/>
    <cellStyle name="Normal 7 2 3" xfId="7307" xr:uid="{00000000-0005-0000-0000-00008B840000}"/>
    <cellStyle name="Normal 7 2 3 2" xfId="8504" xr:uid="{00000000-0005-0000-0000-00008C840000}"/>
    <cellStyle name="Normal 7 2 3 3" xfId="25940" xr:uid="{00000000-0005-0000-0000-00008D840000}"/>
    <cellStyle name="Normal 7 2 3 4" xfId="30153" xr:uid="{00000000-0005-0000-0000-00008E840000}"/>
    <cellStyle name="Normal 7 2 3 5" xfId="34368" xr:uid="{00000000-0005-0000-0000-00008F840000}"/>
    <cellStyle name="Normal 7 2 3 6" xfId="38572" xr:uid="{00000000-0005-0000-0000-000090840000}"/>
    <cellStyle name="Normal 7 2 4" xfId="7425" xr:uid="{00000000-0005-0000-0000-000091840000}"/>
    <cellStyle name="Normal 7 2 4 2" xfId="8505" xr:uid="{00000000-0005-0000-0000-000092840000}"/>
    <cellStyle name="Normal 7 2 4 3" xfId="26058" xr:uid="{00000000-0005-0000-0000-000093840000}"/>
    <cellStyle name="Normal 7 2 4 4" xfId="30271" xr:uid="{00000000-0005-0000-0000-000094840000}"/>
    <cellStyle name="Normal 7 2 4 5" xfId="34486" xr:uid="{00000000-0005-0000-0000-000095840000}"/>
    <cellStyle name="Normal 7 2 4 6" xfId="38690" xr:uid="{00000000-0005-0000-0000-000096840000}"/>
    <cellStyle name="Normal 7 2 5" xfId="7543" xr:uid="{00000000-0005-0000-0000-000097840000}"/>
    <cellStyle name="Normal 7 2 5 2" xfId="8506" xr:uid="{00000000-0005-0000-0000-000098840000}"/>
    <cellStyle name="Normal 7 2 5 3" xfId="26176" xr:uid="{00000000-0005-0000-0000-000099840000}"/>
    <cellStyle name="Normal 7 2 5 4" xfId="30389" xr:uid="{00000000-0005-0000-0000-00009A840000}"/>
    <cellStyle name="Normal 7 2 5 5" xfId="34604" xr:uid="{00000000-0005-0000-0000-00009B840000}"/>
    <cellStyle name="Normal 7 2 5 6" xfId="38808" xr:uid="{00000000-0005-0000-0000-00009C840000}"/>
    <cellStyle name="Normal 7 2 6" xfId="8507" xr:uid="{00000000-0005-0000-0000-00009D840000}"/>
    <cellStyle name="Normal 7 2 7" xfId="8508" xr:uid="{00000000-0005-0000-0000-00009E840000}"/>
    <cellStyle name="Normal 7 2 8" xfId="8509" xr:uid="{00000000-0005-0000-0000-00009F840000}"/>
    <cellStyle name="Normal 7 2 9" xfId="9045" xr:uid="{00000000-0005-0000-0000-0000A0840000}"/>
    <cellStyle name="Normal 7 2 9 2" xfId="26616" xr:uid="{00000000-0005-0000-0000-0000A1840000}"/>
    <cellStyle name="Normal 7 2 9 2 2" xfId="41663" xr:uid="{00000000-0005-0000-0000-0000A2840000}"/>
    <cellStyle name="Normal 7 2 9 3" xfId="30829" xr:uid="{00000000-0005-0000-0000-0000A3840000}"/>
    <cellStyle name="Normal 7 2 9 3 2" xfId="43700" xr:uid="{00000000-0005-0000-0000-0000A4840000}"/>
    <cellStyle name="Normal 7 2 9 4" xfId="35044" xr:uid="{00000000-0005-0000-0000-0000A5840000}"/>
    <cellStyle name="Normal 7 2 9 5" xfId="39248" xr:uid="{00000000-0005-0000-0000-0000A6840000}"/>
    <cellStyle name="Normal 7 2_Scen_XBase" xfId="43701" xr:uid="{00000000-0005-0000-0000-0000A7840000}"/>
    <cellStyle name="Normal 7 20" xfId="3071" xr:uid="{00000000-0005-0000-0000-0000A8840000}"/>
    <cellStyle name="Normal 7 21" xfId="46486" xr:uid="{71B16A13-01CB-4343-B6AC-2E9C83F24120}"/>
    <cellStyle name="Normal 7 22" xfId="46494" xr:uid="{535D1FBE-F6C5-4BA9-B678-CEE630F2C652}"/>
    <cellStyle name="Normal 7 3" xfId="7048" xr:uid="{00000000-0005-0000-0000-0000A9840000}"/>
    <cellStyle name="Normal 7 3 10" xfId="9046" xr:uid="{00000000-0005-0000-0000-0000AA840000}"/>
    <cellStyle name="Normal 7 3 10 2" xfId="26617" xr:uid="{00000000-0005-0000-0000-0000AB840000}"/>
    <cellStyle name="Normal 7 3 10 3" xfId="30830" xr:uid="{00000000-0005-0000-0000-0000AC840000}"/>
    <cellStyle name="Normal 7 3 10 4" xfId="35045" xr:uid="{00000000-0005-0000-0000-0000AD840000}"/>
    <cellStyle name="Normal 7 3 10 5" xfId="39249" xr:uid="{00000000-0005-0000-0000-0000AE840000}"/>
    <cellStyle name="Normal 7 3 11" xfId="9168" xr:uid="{00000000-0005-0000-0000-0000AF840000}"/>
    <cellStyle name="Normal 7 3 11 2" xfId="26739" xr:uid="{00000000-0005-0000-0000-0000B0840000}"/>
    <cellStyle name="Normal 7 3 11 3" xfId="30952" xr:uid="{00000000-0005-0000-0000-0000B1840000}"/>
    <cellStyle name="Normal 7 3 11 4" xfId="35167" xr:uid="{00000000-0005-0000-0000-0000B2840000}"/>
    <cellStyle name="Normal 7 3 11 5" xfId="39371" xr:uid="{00000000-0005-0000-0000-0000B3840000}"/>
    <cellStyle name="Normal 7 3 12" xfId="9288" xr:uid="{00000000-0005-0000-0000-0000B4840000}"/>
    <cellStyle name="Normal 7 3 12 2" xfId="26859" xr:uid="{00000000-0005-0000-0000-0000B5840000}"/>
    <cellStyle name="Normal 7 3 12 3" xfId="31072" xr:uid="{00000000-0005-0000-0000-0000B6840000}"/>
    <cellStyle name="Normal 7 3 12 4" xfId="35287" xr:uid="{00000000-0005-0000-0000-0000B7840000}"/>
    <cellStyle name="Normal 7 3 12 5" xfId="39491" xr:uid="{00000000-0005-0000-0000-0000B8840000}"/>
    <cellStyle name="Normal 7 3 13" xfId="9409" xr:uid="{00000000-0005-0000-0000-0000B9840000}"/>
    <cellStyle name="Normal 7 3 13 2" xfId="26980" xr:uid="{00000000-0005-0000-0000-0000BA840000}"/>
    <cellStyle name="Normal 7 3 13 3" xfId="31193" xr:uid="{00000000-0005-0000-0000-0000BB840000}"/>
    <cellStyle name="Normal 7 3 13 4" xfId="35408" xr:uid="{00000000-0005-0000-0000-0000BC840000}"/>
    <cellStyle name="Normal 7 3 13 5" xfId="39612" xr:uid="{00000000-0005-0000-0000-0000BD840000}"/>
    <cellStyle name="Normal 7 3 14" xfId="9528" xr:uid="{00000000-0005-0000-0000-0000BE840000}"/>
    <cellStyle name="Normal 7 3 14 2" xfId="27099" xr:uid="{00000000-0005-0000-0000-0000BF840000}"/>
    <cellStyle name="Normal 7 3 14 3" xfId="31312" xr:uid="{00000000-0005-0000-0000-0000C0840000}"/>
    <cellStyle name="Normal 7 3 14 4" xfId="35527" xr:uid="{00000000-0005-0000-0000-0000C1840000}"/>
    <cellStyle name="Normal 7 3 14 5" xfId="39731" xr:uid="{00000000-0005-0000-0000-0000C2840000}"/>
    <cellStyle name="Normal 7 3 15" xfId="25727" xr:uid="{00000000-0005-0000-0000-0000C3840000}"/>
    <cellStyle name="Normal 7 3 16" xfId="29940" xr:uid="{00000000-0005-0000-0000-0000C4840000}"/>
    <cellStyle name="Normal 7 3 17" xfId="34155" xr:uid="{00000000-0005-0000-0000-0000C5840000}"/>
    <cellStyle name="Normal 7 3 18" xfId="38359" xr:uid="{00000000-0005-0000-0000-0000C6840000}"/>
    <cellStyle name="Normal 7 3 2" xfId="7174" xr:uid="{00000000-0005-0000-0000-0000C7840000}"/>
    <cellStyle name="Normal 7 3 2 2" xfId="8511" xr:uid="{00000000-0005-0000-0000-0000C8840000}"/>
    <cellStyle name="Normal 7 3 2 3" xfId="25826" xr:uid="{00000000-0005-0000-0000-0000C9840000}"/>
    <cellStyle name="Normal 7 3 2 4" xfId="30039" xr:uid="{00000000-0005-0000-0000-0000CA840000}"/>
    <cellStyle name="Normal 7 3 2 5" xfId="34254" xr:uid="{00000000-0005-0000-0000-0000CB840000}"/>
    <cellStyle name="Normal 7 3 2 6" xfId="38458" xr:uid="{00000000-0005-0000-0000-0000CC840000}"/>
    <cellStyle name="Normal 7 3 3" xfId="7308" xr:uid="{00000000-0005-0000-0000-0000CD840000}"/>
    <cellStyle name="Normal 7 3 3 2" xfId="8512" xr:uid="{00000000-0005-0000-0000-0000CE840000}"/>
    <cellStyle name="Normal 7 3 3 3" xfId="25941" xr:uid="{00000000-0005-0000-0000-0000CF840000}"/>
    <cellStyle name="Normal 7 3 3 4" xfId="30154" xr:uid="{00000000-0005-0000-0000-0000D0840000}"/>
    <cellStyle name="Normal 7 3 3 5" xfId="34369" xr:uid="{00000000-0005-0000-0000-0000D1840000}"/>
    <cellStyle name="Normal 7 3 3 6" xfId="38573" xr:uid="{00000000-0005-0000-0000-0000D2840000}"/>
    <cellStyle name="Normal 7 3 4" xfId="7426" xr:uid="{00000000-0005-0000-0000-0000D3840000}"/>
    <cellStyle name="Normal 7 3 4 2" xfId="8513" xr:uid="{00000000-0005-0000-0000-0000D4840000}"/>
    <cellStyle name="Normal 7 3 4 3" xfId="26059" xr:uid="{00000000-0005-0000-0000-0000D5840000}"/>
    <cellStyle name="Normal 7 3 4 4" xfId="30272" xr:uid="{00000000-0005-0000-0000-0000D6840000}"/>
    <cellStyle name="Normal 7 3 4 5" xfId="34487" xr:uid="{00000000-0005-0000-0000-0000D7840000}"/>
    <cellStyle name="Normal 7 3 4 6" xfId="38691" xr:uid="{00000000-0005-0000-0000-0000D8840000}"/>
    <cellStyle name="Normal 7 3 5" xfId="7544" xr:uid="{00000000-0005-0000-0000-0000D9840000}"/>
    <cellStyle name="Normal 7 3 5 2" xfId="8514" xr:uid="{00000000-0005-0000-0000-0000DA840000}"/>
    <cellStyle name="Normal 7 3 5 3" xfId="26177" xr:uid="{00000000-0005-0000-0000-0000DB840000}"/>
    <cellStyle name="Normal 7 3 5 4" xfId="30390" xr:uid="{00000000-0005-0000-0000-0000DC840000}"/>
    <cellStyle name="Normal 7 3 5 5" xfId="34605" xr:uid="{00000000-0005-0000-0000-0000DD840000}"/>
    <cellStyle name="Normal 7 3 5 6" xfId="38809" xr:uid="{00000000-0005-0000-0000-0000DE840000}"/>
    <cellStyle name="Normal 7 3 6" xfId="8515" xr:uid="{00000000-0005-0000-0000-0000DF840000}"/>
    <cellStyle name="Normal 7 3 7" xfId="8516" xr:uid="{00000000-0005-0000-0000-0000E0840000}"/>
    <cellStyle name="Normal 7 3 8" xfId="8517" xr:uid="{00000000-0005-0000-0000-0000E1840000}"/>
    <cellStyle name="Normal 7 3 9" xfId="8510" xr:uid="{00000000-0005-0000-0000-0000E2840000}"/>
    <cellStyle name="Normal 7 4" xfId="7172" xr:uid="{00000000-0005-0000-0000-0000E3840000}"/>
    <cellStyle name="Normal 7 4 10" xfId="25824" xr:uid="{00000000-0005-0000-0000-0000E4840000}"/>
    <cellStyle name="Normal 7 4 11" xfId="30037" xr:uid="{00000000-0005-0000-0000-0000E5840000}"/>
    <cellStyle name="Normal 7 4 12" xfId="34252" xr:uid="{00000000-0005-0000-0000-0000E6840000}"/>
    <cellStyle name="Normal 7 4 13" xfId="38456" xr:uid="{00000000-0005-0000-0000-0000E7840000}"/>
    <cellStyle name="Normal 7 4 2" xfId="8519" xr:uid="{00000000-0005-0000-0000-0000E8840000}"/>
    <cellStyle name="Normal 7 4 3" xfId="8520" xr:uid="{00000000-0005-0000-0000-0000E9840000}"/>
    <cellStyle name="Normal 7 4 4" xfId="8521" xr:uid="{00000000-0005-0000-0000-0000EA840000}"/>
    <cellStyle name="Normal 7 4 5" xfId="8522" xr:uid="{00000000-0005-0000-0000-0000EB840000}"/>
    <cellStyle name="Normal 7 4 6" xfId="8523" xr:uid="{00000000-0005-0000-0000-0000EC840000}"/>
    <cellStyle name="Normal 7 4 7" xfId="8524" xr:uid="{00000000-0005-0000-0000-0000ED840000}"/>
    <cellStyle name="Normal 7 4 8" xfId="8525" xr:uid="{00000000-0005-0000-0000-0000EE840000}"/>
    <cellStyle name="Normal 7 4 9" xfId="8518" xr:uid="{00000000-0005-0000-0000-0000EF840000}"/>
    <cellStyle name="Normal 7 5" xfId="7306" xr:uid="{00000000-0005-0000-0000-0000F0840000}"/>
    <cellStyle name="Normal 7 5 10" xfId="25939" xr:uid="{00000000-0005-0000-0000-0000F1840000}"/>
    <cellStyle name="Normal 7 5 11" xfId="30152" xr:uid="{00000000-0005-0000-0000-0000F2840000}"/>
    <cellStyle name="Normal 7 5 12" xfId="34367" xr:uid="{00000000-0005-0000-0000-0000F3840000}"/>
    <cellStyle name="Normal 7 5 13" xfId="38571" xr:uid="{00000000-0005-0000-0000-0000F4840000}"/>
    <cellStyle name="Normal 7 5 2" xfId="8527" xr:uid="{00000000-0005-0000-0000-0000F5840000}"/>
    <cellStyle name="Normal 7 5 3" xfId="8528" xr:uid="{00000000-0005-0000-0000-0000F6840000}"/>
    <cellStyle name="Normal 7 5 4" xfId="8529" xr:uid="{00000000-0005-0000-0000-0000F7840000}"/>
    <cellStyle name="Normal 7 5 5" xfId="8530" xr:uid="{00000000-0005-0000-0000-0000F8840000}"/>
    <cellStyle name="Normal 7 5 6" xfId="8531" xr:uid="{00000000-0005-0000-0000-0000F9840000}"/>
    <cellStyle name="Normal 7 5 7" xfId="8532" xr:uid="{00000000-0005-0000-0000-0000FA840000}"/>
    <cellStyle name="Normal 7 5 8" xfId="8533" xr:uid="{00000000-0005-0000-0000-0000FB840000}"/>
    <cellStyle name="Normal 7 5 9" xfId="8526" xr:uid="{00000000-0005-0000-0000-0000FC840000}"/>
    <cellStyle name="Normal 7 6" xfId="7424" xr:uid="{00000000-0005-0000-0000-0000FD840000}"/>
    <cellStyle name="Normal 7 6 2" xfId="8534" xr:uid="{00000000-0005-0000-0000-0000FE840000}"/>
    <cellStyle name="Normal 7 6 3" xfId="26057" xr:uid="{00000000-0005-0000-0000-0000FF840000}"/>
    <cellStyle name="Normal 7 6 4" xfId="30270" xr:uid="{00000000-0005-0000-0000-000000850000}"/>
    <cellStyle name="Normal 7 6 5" xfId="34485" xr:uid="{00000000-0005-0000-0000-000001850000}"/>
    <cellStyle name="Normal 7 6 6" xfId="38689" xr:uid="{00000000-0005-0000-0000-000002850000}"/>
    <cellStyle name="Normal 7 7" xfId="7542" xr:uid="{00000000-0005-0000-0000-000003850000}"/>
    <cellStyle name="Normal 7 7 2" xfId="8535" xr:uid="{00000000-0005-0000-0000-000004850000}"/>
    <cellStyle name="Normal 7 7 3" xfId="26175" xr:uid="{00000000-0005-0000-0000-000005850000}"/>
    <cellStyle name="Normal 7 7 4" xfId="30388" xr:uid="{00000000-0005-0000-0000-000006850000}"/>
    <cellStyle name="Normal 7 7 5" xfId="34603" xr:uid="{00000000-0005-0000-0000-000007850000}"/>
    <cellStyle name="Normal 7 7 6" xfId="38807" xr:uid="{00000000-0005-0000-0000-000008850000}"/>
    <cellStyle name="Normal 7 8" xfId="8536" xr:uid="{00000000-0005-0000-0000-000009850000}"/>
    <cellStyle name="Normal 7 9" xfId="8537" xr:uid="{00000000-0005-0000-0000-00000A850000}"/>
    <cellStyle name="Normal 8" xfId="2653" xr:uid="{00000000-0005-0000-0000-00000B850000}"/>
    <cellStyle name="Normal 8 10" xfId="2654" xr:uid="{00000000-0005-0000-0000-00000C850000}"/>
    <cellStyle name="Normal 8 10 2" xfId="4024" xr:uid="{00000000-0005-0000-0000-00000D850000}"/>
    <cellStyle name="Normal 8 10 3" xfId="43702" xr:uid="{00000000-0005-0000-0000-00000E850000}"/>
    <cellStyle name="Normal 8 11" xfId="2655" xr:uid="{00000000-0005-0000-0000-00000F850000}"/>
    <cellStyle name="Normal 8 11 2" xfId="4025" xr:uid="{00000000-0005-0000-0000-000010850000}"/>
    <cellStyle name="Normal 8 12" xfId="5446" xr:uid="{00000000-0005-0000-0000-000011850000}"/>
    <cellStyle name="Normal 8 13" xfId="5447" xr:uid="{00000000-0005-0000-0000-000012850000}"/>
    <cellStyle name="Normal 8 13 2" xfId="5448" xr:uid="{00000000-0005-0000-0000-000013850000}"/>
    <cellStyle name="Normal 8 14" xfId="7175" xr:uid="{00000000-0005-0000-0000-000014850000}"/>
    <cellStyle name="Normal 8 14 2" xfId="25827" xr:uid="{00000000-0005-0000-0000-000015850000}"/>
    <cellStyle name="Normal 8 14 3" xfId="30040" xr:uid="{00000000-0005-0000-0000-000016850000}"/>
    <cellStyle name="Normal 8 14 4" xfId="34255" xr:uid="{00000000-0005-0000-0000-000017850000}"/>
    <cellStyle name="Normal 8 14 5" xfId="38459" xr:uid="{00000000-0005-0000-0000-000018850000}"/>
    <cellStyle name="Normal 8 15" xfId="7309" xr:uid="{00000000-0005-0000-0000-000019850000}"/>
    <cellStyle name="Normal 8 15 2" xfId="25942" xr:uid="{00000000-0005-0000-0000-00001A850000}"/>
    <cellStyle name="Normal 8 15 3" xfId="30155" xr:uid="{00000000-0005-0000-0000-00001B850000}"/>
    <cellStyle name="Normal 8 15 4" xfId="34370" xr:uid="{00000000-0005-0000-0000-00001C850000}"/>
    <cellStyle name="Normal 8 15 5" xfId="38574" xr:uid="{00000000-0005-0000-0000-00001D850000}"/>
    <cellStyle name="Normal 8 16" xfId="7427" xr:uid="{00000000-0005-0000-0000-00001E850000}"/>
    <cellStyle name="Normal 8 16 2" xfId="26060" xr:uid="{00000000-0005-0000-0000-00001F850000}"/>
    <cellStyle name="Normal 8 16 3" xfId="30273" xr:uid="{00000000-0005-0000-0000-000020850000}"/>
    <cellStyle name="Normal 8 16 4" xfId="34488" xr:uid="{00000000-0005-0000-0000-000021850000}"/>
    <cellStyle name="Normal 8 16 5" xfId="38692" xr:uid="{00000000-0005-0000-0000-000022850000}"/>
    <cellStyle name="Normal 8 17" xfId="7545" xr:uid="{00000000-0005-0000-0000-000023850000}"/>
    <cellStyle name="Normal 8 17 2" xfId="26178" xr:uid="{00000000-0005-0000-0000-000024850000}"/>
    <cellStyle name="Normal 8 17 3" xfId="30391" xr:uid="{00000000-0005-0000-0000-000025850000}"/>
    <cellStyle name="Normal 8 17 4" xfId="34606" xr:uid="{00000000-0005-0000-0000-000026850000}"/>
    <cellStyle name="Normal 8 17 5" xfId="38810" xr:uid="{00000000-0005-0000-0000-000027850000}"/>
    <cellStyle name="Normal 8 18" xfId="9047" xr:uid="{00000000-0005-0000-0000-000028850000}"/>
    <cellStyle name="Normal 8 18 2" xfId="26618" xr:uid="{00000000-0005-0000-0000-000029850000}"/>
    <cellStyle name="Normal 8 18 3" xfId="30831" xr:uid="{00000000-0005-0000-0000-00002A850000}"/>
    <cellStyle name="Normal 8 18 4" xfId="35046" xr:uid="{00000000-0005-0000-0000-00002B850000}"/>
    <cellStyle name="Normal 8 18 5" xfId="39250" xr:uid="{00000000-0005-0000-0000-00002C850000}"/>
    <cellStyle name="Normal 8 19" xfId="9169" xr:uid="{00000000-0005-0000-0000-00002D850000}"/>
    <cellStyle name="Normal 8 19 2" xfId="26740" xr:uid="{00000000-0005-0000-0000-00002E850000}"/>
    <cellStyle name="Normal 8 19 3" xfId="30953" xr:uid="{00000000-0005-0000-0000-00002F850000}"/>
    <cellStyle name="Normal 8 19 4" xfId="35168" xr:uid="{00000000-0005-0000-0000-000030850000}"/>
    <cellStyle name="Normal 8 19 5" xfId="39372" xr:uid="{00000000-0005-0000-0000-000031850000}"/>
    <cellStyle name="Normal 8 2" xfId="2656" xr:uid="{00000000-0005-0000-0000-000032850000}"/>
    <cellStyle name="Normal 8 2 10" xfId="7310" xr:uid="{00000000-0005-0000-0000-000033850000}"/>
    <cellStyle name="Normal 8 2 10 2" xfId="25943" xr:uid="{00000000-0005-0000-0000-000034850000}"/>
    <cellStyle name="Normal 8 2 10 3" xfId="30156" xr:uid="{00000000-0005-0000-0000-000035850000}"/>
    <cellStyle name="Normal 8 2 10 4" xfId="34371" xr:uid="{00000000-0005-0000-0000-000036850000}"/>
    <cellStyle name="Normal 8 2 10 5" xfId="38575" xr:uid="{00000000-0005-0000-0000-000037850000}"/>
    <cellStyle name="Normal 8 2 11" xfId="7428" xr:uid="{00000000-0005-0000-0000-000038850000}"/>
    <cellStyle name="Normal 8 2 11 2" xfId="26061" xr:uid="{00000000-0005-0000-0000-000039850000}"/>
    <cellStyle name="Normal 8 2 11 3" xfId="30274" xr:uid="{00000000-0005-0000-0000-00003A850000}"/>
    <cellStyle name="Normal 8 2 11 4" xfId="34489" xr:uid="{00000000-0005-0000-0000-00003B850000}"/>
    <cellStyle name="Normal 8 2 11 5" xfId="38693" xr:uid="{00000000-0005-0000-0000-00003C850000}"/>
    <cellStyle name="Normal 8 2 12" xfId="7546" xr:uid="{00000000-0005-0000-0000-00003D850000}"/>
    <cellStyle name="Normal 8 2 12 2" xfId="26179" xr:uid="{00000000-0005-0000-0000-00003E850000}"/>
    <cellStyle name="Normal 8 2 12 3" xfId="30392" xr:uid="{00000000-0005-0000-0000-00003F850000}"/>
    <cellStyle name="Normal 8 2 12 4" xfId="34607" xr:uid="{00000000-0005-0000-0000-000040850000}"/>
    <cellStyle name="Normal 8 2 12 5" xfId="38811" xr:uid="{00000000-0005-0000-0000-000041850000}"/>
    <cellStyle name="Normal 8 2 13" xfId="9048" xr:uid="{00000000-0005-0000-0000-000042850000}"/>
    <cellStyle name="Normal 8 2 13 2" xfId="26619" xr:uid="{00000000-0005-0000-0000-000043850000}"/>
    <cellStyle name="Normal 8 2 13 3" xfId="30832" xr:uid="{00000000-0005-0000-0000-000044850000}"/>
    <cellStyle name="Normal 8 2 13 4" xfId="35047" xr:uid="{00000000-0005-0000-0000-000045850000}"/>
    <cellStyle name="Normal 8 2 13 5" xfId="39251" xr:uid="{00000000-0005-0000-0000-000046850000}"/>
    <cellStyle name="Normal 8 2 14" xfId="9170" xr:uid="{00000000-0005-0000-0000-000047850000}"/>
    <cellStyle name="Normal 8 2 14 2" xfId="26741" xr:uid="{00000000-0005-0000-0000-000048850000}"/>
    <cellStyle name="Normal 8 2 14 3" xfId="30954" xr:uid="{00000000-0005-0000-0000-000049850000}"/>
    <cellStyle name="Normal 8 2 14 4" xfId="35169" xr:uid="{00000000-0005-0000-0000-00004A850000}"/>
    <cellStyle name="Normal 8 2 14 5" xfId="39373" xr:uid="{00000000-0005-0000-0000-00004B850000}"/>
    <cellStyle name="Normal 8 2 15" xfId="9290" xr:uid="{00000000-0005-0000-0000-00004C850000}"/>
    <cellStyle name="Normal 8 2 15 2" xfId="26861" xr:uid="{00000000-0005-0000-0000-00004D850000}"/>
    <cellStyle name="Normal 8 2 15 3" xfId="31074" xr:uid="{00000000-0005-0000-0000-00004E850000}"/>
    <cellStyle name="Normal 8 2 15 4" xfId="35289" xr:uid="{00000000-0005-0000-0000-00004F850000}"/>
    <cellStyle name="Normal 8 2 15 5" xfId="39493" xr:uid="{00000000-0005-0000-0000-000050850000}"/>
    <cellStyle name="Normal 8 2 16" xfId="9411" xr:uid="{00000000-0005-0000-0000-000051850000}"/>
    <cellStyle name="Normal 8 2 16 2" xfId="26982" xr:uid="{00000000-0005-0000-0000-000052850000}"/>
    <cellStyle name="Normal 8 2 16 3" xfId="31195" xr:uid="{00000000-0005-0000-0000-000053850000}"/>
    <cellStyle name="Normal 8 2 16 4" xfId="35410" xr:uid="{00000000-0005-0000-0000-000054850000}"/>
    <cellStyle name="Normal 8 2 16 5" xfId="39614" xr:uid="{00000000-0005-0000-0000-000055850000}"/>
    <cellStyle name="Normal 8 2 17" xfId="9530" xr:uid="{00000000-0005-0000-0000-000056850000}"/>
    <cellStyle name="Normal 8 2 17 2" xfId="27101" xr:uid="{00000000-0005-0000-0000-000057850000}"/>
    <cellStyle name="Normal 8 2 17 3" xfId="31314" xr:uid="{00000000-0005-0000-0000-000058850000}"/>
    <cellStyle name="Normal 8 2 17 4" xfId="35529" xr:uid="{00000000-0005-0000-0000-000059850000}"/>
    <cellStyle name="Normal 8 2 17 5" xfId="39733" xr:uid="{00000000-0005-0000-0000-00005A850000}"/>
    <cellStyle name="Normal 8 2 18" xfId="4026" xr:uid="{00000000-0005-0000-0000-00005B850000}"/>
    <cellStyle name="Normal 8 2 19" xfId="3074" xr:uid="{00000000-0005-0000-0000-00005C850000}"/>
    <cellStyle name="Normal 8 2 2" xfId="2657" xr:uid="{00000000-0005-0000-0000-00005D850000}"/>
    <cellStyle name="Normal 8 2 2 2" xfId="2658" xr:uid="{00000000-0005-0000-0000-00005E850000}"/>
    <cellStyle name="Normal 8 2 2 2 2" xfId="4028" xr:uid="{00000000-0005-0000-0000-00005F850000}"/>
    <cellStyle name="Normal 8 2 2 3" xfId="4027" xr:uid="{00000000-0005-0000-0000-000060850000}"/>
    <cellStyle name="Normal 8 2 3" xfId="2659" xr:uid="{00000000-0005-0000-0000-000061850000}"/>
    <cellStyle name="Normal 8 2 3 2" xfId="4029" xr:uid="{00000000-0005-0000-0000-000062850000}"/>
    <cellStyle name="Normal 8 2 4" xfId="2660" xr:uid="{00000000-0005-0000-0000-000063850000}"/>
    <cellStyle name="Normal 8 2 4 2" xfId="4030" xr:uid="{00000000-0005-0000-0000-000064850000}"/>
    <cellStyle name="Normal 8 2 5" xfId="2661" xr:uid="{00000000-0005-0000-0000-000065850000}"/>
    <cellStyle name="Normal 8 2 5 2" xfId="4031" xr:uid="{00000000-0005-0000-0000-000066850000}"/>
    <cellStyle name="Normal 8 2 6" xfId="2662" xr:uid="{00000000-0005-0000-0000-000067850000}"/>
    <cellStyle name="Normal 8 2 6 2" xfId="4032" xr:uid="{00000000-0005-0000-0000-000068850000}"/>
    <cellStyle name="Normal 8 2 7" xfId="5449" xr:uid="{00000000-0005-0000-0000-000069850000}"/>
    <cellStyle name="Normal 8 2 8" xfId="5450" xr:uid="{00000000-0005-0000-0000-00006A850000}"/>
    <cellStyle name="Normal 8 2 8 2" xfId="5451" xr:uid="{00000000-0005-0000-0000-00006B850000}"/>
    <cellStyle name="Normal 8 2 9" xfId="7176" xr:uid="{00000000-0005-0000-0000-00006C850000}"/>
    <cellStyle name="Normal 8 2 9 2" xfId="25828" xr:uid="{00000000-0005-0000-0000-00006D850000}"/>
    <cellStyle name="Normal 8 2 9 2 2" xfId="41664" xr:uid="{00000000-0005-0000-0000-00006E850000}"/>
    <cellStyle name="Normal 8 2 9 3" xfId="30041" xr:uid="{00000000-0005-0000-0000-00006F850000}"/>
    <cellStyle name="Normal 8 2 9 4" xfId="34256" xr:uid="{00000000-0005-0000-0000-000070850000}"/>
    <cellStyle name="Normal 8 2 9 5" xfId="38460" xr:uid="{00000000-0005-0000-0000-000071850000}"/>
    <cellStyle name="Normal 8 20" xfId="9289" xr:uid="{00000000-0005-0000-0000-000072850000}"/>
    <cellStyle name="Normal 8 20 2" xfId="26860" xr:uid="{00000000-0005-0000-0000-000073850000}"/>
    <cellStyle name="Normal 8 20 3" xfId="31073" xr:uid="{00000000-0005-0000-0000-000074850000}"/>
    <cellStyle name="Normal 8 20 4" xfId="35288" xr:uid="{00000000-0005-0000-0000-000075850000}"/>
    <cellStyle name="Normal 8 20 5" xfId="39492" xr:uid="{00000000-0005-0000-0000-000076850000}"/>
    <cellStyle name="Normal 8 21" xfId="9410" xr:uid="{00000000-0005-0000-0000-000077850000}"/>
    <cellStyle name="Normal 8 21 2" xfId="26981" xr:uid="{00000000-0005-0000-0000-000078850000}"/>
    <cellStyle name="Normal 8 21 3" xfId="31194" xr:uid="{00000000-0005-0000-0000-000079850000}"/>
    <cellStyle name="Normal 8 21 4" xfId="35409" xr:uid="{00000000-0005-0000-0000-00007A850000}"/>
    <cellStyle name="Normal 8 21 5" xfId="39613" xr:uid="{00000000-0005-0000-0000-00007B850000}"/>
    <cellStyle name="Normal 8 22" xfId="9529" xr:uid="{00000000-0005-0000-0000-00007C850000}"/>
    <cellStyle name="Normal 8 22 2" xfId="27100" xr:uid="{00000000-0005-0000-0000-00007D850000}"/>
    <cellStyle name="Normal 8 22 3" xfId="31313" xr:uid="{00000000-0005-0000-0000-00007E850000}"/>
    <cellStyle name="Normal 8 22 4" xfId="35528" xr:uid="{00000000-0005-0000-0000-00007F850000}"/>
    <cellStyle name="Normal 8 22 5" xfId="39732" xr:uid="{00000000-0005-0000-0000-000080850000}"/>
    <cellStyle name="Normal 8 23" xfId="4023" xr:uid="{00000000-0005-0000-0000-000081850000}"/>
    <cellStyle name="Normal 8 24" xfId="3073" xr:uid="{00000000-0005-0000-0000-000082850000}"/>
    <cellStyle name="Normal 8 3" xfId="2663" xr:uid="{00000000-0005-0000-0000-000083850000}"/>
    <cellStyle name="Normal 8 3 10" xfId="7311" xr:uid="{00000000-0005-0000-0000-000084850000}"/>
    <cellStyle name="Normal 8 3 10 2" xfId="25944" xr:uid="{00000000-0005-0000-0000-000085850000}"/>
    <cellStyle name="Normal 8 3 10 3" xfId="30157" xr:uid="{00000000-0005-0000-0000-000086850000}"/>
    <cellStyle name="Normal 8 3 10 4" xfId="34372" xr:uid="{00000000-0005-0000-0000-000087850000}"/>
    <cellStyle name="Normal 8 3 10 5" xfId="38576" xr:uid="{00000000-0005-0000-0000-000088850000}"/>
    <cellStyle name="Normal 8 3 11" xfId="7429" xr:uid="{00000000-0005-0000-0000-000089850000}"/>
    <cellStyle name="Normal 8 3 11 2" xfId="26062" xr:uid="{00000000-0005-0000-0000-00008A850000}"/>
    <cellStyle name="Normal 8 3 11 3" xfId="30275" xr:uid="{00000000-0005-0000-0000-00008B850000}"/>
    <cellStyle name="Normal 8 3 11 4" xfId="34490" xr:uid="{00000000-0005-0000-0000-00008C850000}"/>
    <cellStyle name="Normal 8 3 11 5" xfId="38694" xr:uid="{00000000-0005-0000-0000-00008D850000}"/>
    <cellStyle name="Normal 8 3 12" xfId="7547" xr:uid="{00000000-0005-0000-0000-00008E850000}"/>
    <cellStyle name="Normal 8 3 12 2" xfId="26180" xr:uid="{00000000-0005-0000-0000-00008F850000}"/>
    <cellStyle name="Normal 8 3 12 3" xfId="30393" xr:uid="{00000000-0005-0000-0000-000090850000}"/>
    <cellStyle name="Normal 8 3 12 4" xfId="34608" xr:uid="{00000000-0005-0000-0000-000091850000}"/>
    <cellStyle name="Normal 8 3 12 5" xfId="38812" xr:uid="{00000000-0005-0000-0000-000092850000}"/>
    <cellStyle name="Normal 8 3 13" xfId="9049" xr:uid="{00000000-0005-0000-0000-000093850000}"/>
    <cellStyle name="Normal 8 3 13 2" xfId="26620" xr:uid="{00000000-0005-0000-0000-000094850000}"/>
    <cellStyle name="Normal 8 3 13 3" xfId="30833" xr:uid="{00000000-0005-0000-0000-000095850000}"/>
    <cellStyle name="Normal 8 3 13 4" xfId="35048" xr:uid="{00000000-0005-0000-0000-000096850000}"/>
    <cellStyle name="Normal 8 3 13 5" xfId="39252" xr:uid="{00000000-0005-0000-0000-000097850000}"/>
    <cellStyle name="Normal 8 3 14" xfId="9171" xr:uid="{00000000-0005-0000-0000-000098850000}"/>
    <cellStyle name="Normal 8 3 14 2" xfId="26742" xr:uid="{00000000-0005-0000-0000-000099850000}"/>
    <cellStyle name="Normal 8 3 14 3" xfId="30955" xr:uid="{00000000-0005-0000-0000-00009A850000}"/>
    <cellStyle name="Normal 8 3 14 4" xfId="35170" xr:uid="{00000000-0005-0000-0000-00009B850000}"/>
    <cellStyle name="Normal 8 3 14 5" xfId="39374" xr:uid="{00000000-0005-0000-0000-00009C850000}"/>
    <cellStyle name="Normal 8 3 15" xfId="9291" xr:uid="{00000000-0005-0000-0000-00009D850000}"/>
    <cellStyle name="Normal 8 3 15 2" xfId="26862" xr:uid="{00000000-0005-0000-0000-00009E850000}"/>
    <cellStyle name="Normal 8 3 15 3" xfId="31075" xr:uid="{00000000-0005-0000-0000-00009F850000}"/>
    <cellStyle name="Normal 8 3 15 4" xfId="35290" xr:uid="{00000000-0005-0000-0000-0000A0850000}"/>
    <cellStyle name="Normal 8 3 15 5" xfId="39494" xr:uid="{00000000-0005-0000-0000-0000A1850000}"/>
    <cellStyle name="Normal 8 3 16" xfId="9412" xr:uid="{00000000-0005-0000-0000-0000A2850000}"/>
    <cellStyle name="Normal 8 3 16 2" xfId="26983" xr:uid="{00000000-0005-0000-0000-0000A3850000}"/>
    <cellStyle name="Normal 8 3 16 3" xfId="31196" xr:uid="{00000000-0005-0000-0000-0000A4850000}"/>
    <cellStyle name="Normal 8 3 16 4" xfId="35411" xr:uid="{00000000-0005-0000-0000-0000A5850000}"/>
    <cellStyle name="Normal 8 3 16 5" xfId="39615" xr:uid="{00000000-0005-0000-0000-0000A6850000}"/>
    <cellStyle name="Normal 8 3 17" xfId="9531" xr:uid="{00000000-0005-0000-0000-0000A7850000}"/>
    <cellStyle name="Normal 8 3 17 2" xfId="27102" xr:uid="{00000000-0005-0000-0000-0000A8850000}"/>
    <cellStyle name="Normal 8 3 17 3" xfId="31315" xr:uid="{00000000-0005-0000-0000-0000A9850000}"/>
    <cellStyle name="Normal 8 3 17 4" xfId="35530" xr:uid="{00000000-0005-0000-0000-0000AA850000}"/>
    <cellStyle name="Normal 8 3 17 5" xfId="39734" xr:uid="{00000000-0005-0000-0000-0000AB850000}"/>
    <cellStyle name="Normal 8 3 18" xfId="4033" xr:uid="{00000000-0005-0000-0000-0000AC850000}"/>
    <cellStyle name="Normal 8 3 2" xfId="2664" xr:uid="{00000000-0005-0000-0000-0000AD850000}"/>
    <cellStyle name="Normal 8 3 2 2" xfId="2665" xr:uid="{00000000-0005-0000-0000-0000AE850000}"/>
    <cellStyle name="Normal 8 3 2 2 2" xfId="4035" xr:uid="{00000000-0005-0000-0000-0000AF850000}"/>
    <cellStyle name="Normal 8 3 2 3" xfId="4034" xr:uid="{00000000-0005-0000-0000-0000B0850000}"/>
    <cellStyle name="Normal 8 3 3" xfId="2666" xr:uid="{00000000-0005-0000-0000-0000B1850000}"/>
    <cellStyle name="Normal 8 3 3 2" xfId="4036" xr:uid="{00000000-0005-0000-0000-0000B2850000}"/>
    <cellStyle name="Normal 8 3 4" xfId="2667" xr:uid="{00000000-0005-0000-0000-0000B3850000}"/>
    <cellStyle name="Normal 8 3 4 2" xfId="4037" xr:uid="{00000000-0005-0000-0000-0000B4850000}"/>
    <cellStyle name="Normal 8 3 5" xfId="2668" xr:uid="{00000000-0005-0000-0000-0000B5850000}"/>
    <cellStyle name="Normal 8 3 5 2" xfId="4038" xr:uid="{00000000-0005-0000-0000-0000B6850000}"/>
    <cellStyle name="Normal 8 3 6" xfId="2669" xr:uid="{00000000-0005-0000-0000-0000B7850000}"/>
    <cellStyle name="Normal 8 3 6 2" xfId="4039" xr:uid="{00000000-0005-0000-0000-0000B8850000}"/>
    <cellStyle name="Normal 8 3 7" xfId="5452" xr:uid="{00000000-0005-0000-0000-0000B9850000}"/>
    <cellStyle name="Normal 8 3 8" xfId="5453" xr:uid="{00000000-0005-0000-0000-0000BA850000}"/>
    <cellStyle name="Normal 8 3 8 2" xfId="5454" xr:uid="{00000000-0005-0000-0000-0000BB850000}"/>
    <cellStyle name="Normal 8 3 9" xfId="7177" xr:uid="{00000000-0005-0000-0000-0000BC850000}"/>
    <cellStyle name="Normal 8 3 9 2" xfId="25829" xr:uid="{00000000-0005-0000-0000-0000BD850000}"/>
    <cellStyle name="Normal 8 3 9 3" xfId="30042" xr:uid="{00000000-0005-0000-0000-0000BE850000}"/>
    <cellStyle name="Normal 8 3 9 4" xfId="34257" xr:uid="{00000000-0005-0000-0000-0000BF850000}"/>
    <cellStyle name="Normal 8 3 9 5" xfId="38461" xr:uid="{00000000-0005-0000-0000-0000C0850000}"/>
    <cellStyle name="Normal 8 4" xfId="2670" xr:uid="{00000000-0005-0000-0000-0000C1850000}"/>
    <cellStyle name="Normal 8 4 2" xfId="2671" xr:uid="{00000000-0005-0000-0000-0000C2850000}"/>
    <cellStyle name="Normal 8 4 2 2" xfId="2672" xr:uid="{00000000-0005-0000-0000-0000C3850000}"/>
    <cellStyle name="Normal 8 4 2 2 2" xfId="4042" xr:uid="{00000000-0005-0000-0000-0000C4850000}"/>
    <cellStyle name="Normal 8 4 2 3" xfId="4041" xr:uid="{00000000-0005-0000-0000-0000C5850000}"/>
    <cellStyle name="Normal 8 4 3" xfId="2673" xr:uid="{00000000-0005-0000-0000-0000C6850000}"/>
    <cellStyle name="Normal 8 4 3 2" xfId="4043" xr:uid="{00000000-0005-0000-0000-0000C7850000}"/>
    <cellStyle name="Normal 8 4 4" xfId="2674" xr:uid="{00000000-0005-0000-0000-0000C8850000}"/>
    <cellStyle name="Normal 8 4 4 2" xfId="4044" xr:uid="{00000000-0005-0000-0000-0000C9850000}"/>
    <cellStyle name="Normal 8 4 5" xfId="2675" xr:uid="{00000000-0005-0000-0000-0000CA850000}"/>
    <cellStyle name="Normal 8 4 5 2" xfId="4045" xr:uid="{00000000-0005-0000-0000-0000CB850000}"/>
    <cellStyle name="Normal 8 4 6" xfId="2676" xr:uid="{00000000-0005-0000-0000-0000CC850000}"/>
    <cellStyle name="Normal 8 4 6 2" xfId="4046" xr:uid="{00000000-0005-0000-0000-0000CD850000}"/>
    <cellStyle name="Normal 8 4 7" xfId="5455" xr:uid="{00000000-0005-0000-0000-0000CE850000}"/>
    <cellStyle name="Normal 8 4 8" xfId="5456" xr:uid="{00000000-0005-0000-0000-0000CF850000}"/>
    <cellStyle name="Normal 8 4 8 2" xfId="5457" xr:uid="{00000000-0005-0000-0000-0000D0850000}"/>
    <cellStyle name="Normal 8 4 9" xfId="4040" xr:uid="{00000000-0005-0000-0000-0000D1850000}"/>
    <cellStyle name="Normal 8 5" xfId="2677" xr:uid="{00000000-0005-0000-0000-0000D2850000}"/>
    <cellStyle name="Normal 8 5 2" xfId="2678" xr:uid="{00000000-0005-0000-0000-0000D3850000}"/>
    <cellStyle name="Normal 8 5 2 2" xfId="2679" xr:uid="{00000000-0005-0000-0000-0000D4850000}"/>
    <cellStyle name="Normal 8 5 2 2 2" xfId="4049" xr:uid="{00000000-0005-0000-0000-0000D5850000}"/>
    <cellStyle name="Normal 8 5 2 3" xfId="4048" xr:uid="{00000000-0005-0000-0000-0000D6850000}"/>
    <cellStyle name="Normal 8 5 3" xfId="2680" xr:uid="{00000000-0005-0000-0000-0000D7850000}"/>
    <cellStyle name="Normal 8 5 3 2" xfId="4050" xr:uid="{00000000-0005-0000-0000-0000D8850000}"/>
    <cellStyle name="Normal 8 5 4" xfId="2681" xr:uid="{00000000-0005-0000-0000-0000D9850000}"/>
    <cellStyle name="Normal 8 5 4 2" xfId="4051" xr:uid="{00000000-0005-0000-0000-0000DA850000}"/>
    <cellStyle name="Normal 8 5 5" xfId="2682" xr:uid="{00000000-0005-0000-0000-0000DB850000}"/>
    <cellStyle name="Normal 8 5 5 2" xfId="4052" xr:uid="{00000000-0005-0000-0000-0000DC850000}"/>
    <cellStyle name="Normal 8 5 6" xfId="2683" xr:uid="{00000000-0005-0000-0000-0000DD850000}"/>
    <cellStyle name="Normal 8 5 6 2" xfId="4053" xr:uid="{00000000-0005-0000-0000-0000DE850000}"/>
    <cellStyle name="Normal 8 5 7" xfId="5458" xr:uid="{00000000-0005-0000-0000-0000DF850000}"/>
    <cellStyle name="Normal 8 5 8" xfId="5459" xr:uid="{00000000-0005-0000-0000-0000E0850000}"/>
    <cellStyle name="Normal 8 5 8 2" xfId="5460" xr:uid="{00000000-0005-0000-0000-0000E1850000}"/>
    <cellStyle name="Normal 8 5 9" xfId="4047" xr:uid="{00000000-0005-0000-0000-0000E2850000}"/>
    <cellStyle name="Normal 8 6" xfId="2684" xr:uid="{00000000-0005-0000-0000-0000E3850000}"/>
    <cellStyle name="Normal 8 6 2" xfId="2685" xr:uid="{00000000-0005-0000-0000-0000E4850000}"/>
    <cellStyle name="Normal 8 6 2 2" xfId="2686" xr:uid="{00000000-0005-0000-0000-0000E5850000}"/>
    <cellStyle name="Normal 8 6 2 2 2" xfId="4056" xr:uid="{00000000-0005-0000-0000-0000E6850000}"/>
    <cellStyle name="Normal 8 6 2 3" xfId="4055" xr:uid="{00000000-0005-0000-0000-0000E7850000}"/>
    <cellStyle name="Normal 8 6 3" xfId="2687" xr:uid="{00000000-0005-0000-0000-0000E8850000}"/>
    <cellStyle name="Normal 8 6 3 2" xfId="4057" xr:uid="{00000000-0005-0000-0000-0000E9850000}"/>
    <cellStyle name="Normal 8 6 4" xfId="2688" xr:uid="{00000000-0005-0000-0000-0000EA850000}"/>
    <cellStyle name="Normal 8 6 4 2" xfId="4058" xr:uid="{00000000-0005-0000-0000-0000EB850000}"/>
    <cellStyle name="Normal 8 6 5" xfId="2689" xr:uid="{00000000-0005-0000-0000-0000EC850000}"/>
    <cellStyle name="Normal 8 6 5 2" xfId="4059" xr:uid="{00000000-0005-0000-0000-0000ED850000}"/>
    <cellStyle name="Normal 8 6 6" xfId="2690" xr:uid="{00000000-0005-0000-0000-0000EE850000}"/>
    <cellStyle name="Normal 8 6 6 2" xfId="4060" xr:uid="{00000000-0005-0000-0000-0000EF850000}"/>
    <cellStyle name="Normal 8 6 7" xfId="5461" xr:uid="{00000000-0005-0000-0000-0000F0850000}"/>
    <cellStyle name="Normal 8 6 8" xfId="5462" xr:uid="{00000000-0005-0000-0000-0000F1850000}"/>
    <cellStyle name="Normal 8 6 8 2" xfId="5463" xr:uid="{00000000-0005-0000-0000-0000F2850000}"/>
    <cellStyle name="Normal 8 6 9" xfId="4054" xr:uid="{00000000-0005-0000-0000-0000F3850000}"/>
    <cellStyle name="Normal 8 7" xfId="2691" xr:uid="{00000000-0005-0000-0000-0000F4850000}"/>
    <cellStyle name="Normal 8 7 2" xfId="2692" xr:uid="{00000000-0005-0000-0000-0000F5850000}"/>
    <cellStyle name="Normal 8 7 2 2" xfId="4062" xr:uid="{00000000-0005-0000-0000-0000F6850000}"/>
    <cellStyle name="Normal 8 7 3" xfId="4061" xr:uid="{00000000-0005-0000-0000-0000F7850000}"/>
    <cellStyle name="Normal 8 8" xfId="2693" xr:uid="{00000000-0005-0000-0000-0000F8850000}"/>
    <cellStyle name="Normal 8 8 2" xfId="2694" xr:uid="{00000000-0005-0000-0000-0000F9850000}"/>
    <cellStyle name="Normal 8 8 2 2" xfId="4064" xr:uid="{00000000-0005-0000-0000-0000FA850000}"/>
    <cellStyle name="Normal 8 8 3" xfId="4063" xr:uid="{00000000-0005-0000-0000-0000FB850000}"/>
    <cellStyle name="Normal 8 9" xfId="2695" xr:uid="{00000000-0005-0000-0000-0000FC850000}"/>
    <cellStyle name="Normal 8 9 2" xfId="2696" xr:uid="{00000000-0005-0000-0000-0000FD850000}"/>
    <cellStyle name="Normal 8 9 2 2" xfId="4066" xr:uid="{00000000-0005-0000-0000-0000FE850000}"/>
    <cellStyle name="Normal 8 9 3" xfId="4065" xr:uid="{00000000-0005-0000-0000-0000FF850000}"/>
    <cellStyle name="Normal 9" xfId="2697" xr:uid="{00000000-0005-0000-0000-000000860000}"/>
    <cellStyle name="Normal 9 10" xfId="2698" xr:uid="{00000000-0005-0000-0000-000001860000}"/>
    <cellStyle name="Normal 9 10 2" xfId="4068" xr:uid="{00000000-0005-0000-0000-000002860000}"/>
    <cellStyle name="Normal 9 11" xfId="2699" xr:uid="{00000000-0005-0000-0000-000003860000}"/>
    <cellStyle name="Normal 9 11 2" xfId="4069" xr:uid="{00000000-0005-0000-0000-000004860000}"/>
    <cellStyle name="Normal 9 12" xfId="2700" xr:uid="{00000000-0005-0000-0000-000005860000}"/>
    <cellStyle name="Normal 9 12 2" xfId="4491" xr:uid="{00000000-0005-0000-0000-000006860000}"/>
    <cellStyle name="Normal 9 12 2 2" xfId="24962" xr:uid="{00000000-0005-0000-0000-000007860000}"/>
    <cellStyle name="Normal 9 12 2 3" xfId="29174" xr:uid="{00000000-0005-0000-0000-000008860000}"/>
    <cellStyle name="Normal 9 12 2 4" xfId="33390" xr:uid="{00000000-0005-0000-0000-000009860000}"/>
    <cellStyle name="Normal 9 12 2 5" xfId="37594" xr:uid="{00000000-0005-0000-0000-00000A860000}"/>
    <cellStyle name="Normal 9 12 3" xfId="12290" xr:uid="{00000000-0005-0000-0000-00000B860000}"/>
    <cellStyle name="Normal 9 12 3 2" xfId="28857" xr:uid="{00000000-0005-0000-0000-00000C860000}"/>
    <cellStyle name="Normal 9 12 3 3" xfId="33070" xr:uid="{00000000-0005-0000-0000-00000D860000}"/>
    <cellStyle name="Normal 9 12 3 4" xfId="37285" xr:uid="{00000000-0005-0000-0000-00000E860000}"/>
    <cellStyle name="Normal 9 12 4" xfId="23499" xr:uid="{00000000-0005-0000-0000-00000F860000}"/>
    <cellStyle name="Normal 9 12 4 2" xfId="28998" xr:uid="{00000000-0005-0000-0000-000010860000}"/>
    <cellStyle name="Normal 9 12 4 3" xfId="33215" xr:uid="{00000000-0005-0000-0000-000011860000}"/>
    <cellStyle name="Normal 9 12 4 4" xfId="37426" xr:uid="{00000000-0005-0000-0000-000012860000}"/>
    <cellStyle name="Normal 9 12 5" xfId="4070" xr:uid="{00000000-0005-0000-0000-000013860000}"/>
    <cellStyle name="Normal 9 12 6" xfId="24889" xr:uid="{00000000-0005-0000-0000-000014860000}"/>
    <cellStyle name="Normal 9 12 7" xfId="29100" xr:uid="{00000000-0005-0000-0000-000015860000}"/>
    <cellStyle name="Normal 9 12 8" xfId="33317" xr:uid="{00000000-0005-0000-0000-000016860000}"/>
    <cellStyle name="Normal 9 12 9" xfId="37521" xr:uid="{00000000-0005-0000-0000-000017860000}"/>
    <cellStyle name="Normal 9 13" xfId="4453" xr:uid="{00000000-0005-0000-0000-000018860000}"/>
    <cellStyle name="Normal 9 13 2" xfId="5465" xr:uid="{00000000-0005-0000-0000-000019860000}"/>
    <cellStyle name="Normal 9 13 3" xfId="5464" xr:uid="{00000000-0005-0000-0000-00001A860000}"/>
    <cellStyle name="Normal 9 13 4" xfId="11251" xr:uid="{00000000-0005-0000-0000-00001B860000}"/>
    <cellStyle name="Normal 9 13 4 2" xfId="28098" xr:uid="{00000000-0005-0000-0000-00001C860000}"/>
    <cellStyle name="Normal 9 13 4 3" xfId="32311" xr:uid="{00000000-0005-0000-0000-00001D860000}"/>
    <cellStyle name="Normal 9 13 4 4" xfId="36526" xr:uid="{00000000-0005-0000-0000-00001E860000}"/>
    <cellStyle name="Normal 9 13 4 5" xfId="40730" xr:uid="{00000000-0005-0000-0000-00001F860000}"/>
    <cellStyle name="Normal 9 13 5" xfId="24925" xr:uid="{00000000-0005-0000-0000-000020860000}"/>
    <cellStyle name="Normal 9 13 6" xfId="29137" xr:uid="{00000000-0005-0000-0000-000021860000}"/>
    <cellStyle name="Normal 9 13 7" xfId="33353" xr:uid="{00000000-0005-0000-0000-000022860000}"/>
    <cellStyle name="Normal 9 13 8" xfId="37557" xr:uid="{00000000-0005-0000-0000-000023860000}"/>
    <cellStyle name="Normal 9 14" xfId="6918" xr:uid="{00000000-0005-0000-0000-000024860000}"/>
    <cellStyle name="Normal 9 14 2" xfId="25606" xr:uid="{00000000-0005-0000-0000-000025860000}"/>
    <cellStyle name="Normal 9 14 3" xfId="29819" xr:uid="{00000000-0005-0000-0000-000026860000}"/>
    <cellStyle name="Normal 9 14 4" xfId="34034" xr:uid="{00000000-0005-0000-0000-000027860000}"/>
    <cellStyle name="Normal 9 14 5" xfId="38238" xr:uid="{00000000-0005-0000-0000-000028860000}"/>
    <cellStyle name="Normal 9 15" xfId="7178" xr:uid="{00000000-0005-0000-0000-000029860000}"/>
    <cellStyle name="Normal 9 15 2" xfId="25830" xr:uid="{00000000-0005-0000-0000-00002A860000}"/>
    <cellStyle name="Normal 9 15 3" xfId="30043" xr:uid="{00000000-0005-0000-0000-00002B860000}"/>
    <cellStyle name="Normal 9 15 4" xfId="34258" xr:uid="{00000000-0005-0000-0000-00002C860000}"/>
    <cellStyle name="Normal 9 15 5" xfId="38462" xr:uid="{00000000-0005-0000-0000-00002D860000}"/>
    <cellStyle name="Normal 9 16" xfId="7312" xr:uid="{00000000-0005-0000-0000-00002E860000}"/>
    <cellStyle name="Normal 9 16 2" xfId="25945" xr:uid="{00000000-0005-0000-0000-00002F860000}"/>
    <cellStyle name="Normal 9 16 3" xfId="30158" xr:uid="{00000000-0005-0000-0000-000030860000}"/>
    <cellStyle name="Normal 9 16 4" xfId="34373" xr:uid="{00000000-0005-0000-0000-000031860000}"/>
    <cellStyle name="Normal 9 16 5" xfId="38577" xr:uid="{00000000-0005-0000-0000-000032860000}"/>
    <cellStyle name="Normal 9 17" xfId="7430" xr:uid="{00000000-0005-0000-0000-000033860000}"/>
    <cellStyle name="Normal 9 17 2" xfId="26063" xr:uid="{00000000-0005-0000-0000-000034860000}"/>
    <cellStyle name="Normal 9 17 3" xfId="30276" xr:uid="{00000000-0005-0000-0000-000035860000}"/>
    <cellStyle name="Normal 9 17 4" xfId="34491" xr:uid="{00000000-0005-0000-0000-000036860000}"/>
    <cellStyle name="Normal 9 17 5" xfId="38695" xr:uid="{00000000-0005-0000-0000-000037860000}"/>
    <cellStyle name="Normal 9 18" xfId="7548" xr:uid="{00000000-0005-0000-0000-000038860000}"/>
    <cellStyle name="Normal 9 18 2" xfId="26181" xr:uid="{00000000-0005-0000-0000-000039860000}"/>
    <cellStyle name="Normal 9 18 3" xfId="30394" xr:uid="{00000000-0005-0000-0000-00003A860000}"/>
    <cellStyle name="Normal 9 18 4" xfId="34609" xr:uid="{00000000-0005-0000-0000-00003B860000}"/>
    <cellStyle name="Normal 9 18 5" xfId="38813" xr:uid="{00000000-0005-0000-0000-00003C860000}"/>
    <cellStyle name="Normal 9 19" xfId="9050" xr:uid="{00000000-0005-0000-0000-00003D860000}"/>
    <cellStyle name="Normal 9 19 2" xfId="26621" xr:uid="{00000000-0005-0000-0000-00003E860000}"/>
    <cellStyle name="Normal 9 19 3" xfId="30834" xr:uid="{00000000-0005-0000-0000-00003F860000}"/>
    <cellStyle name="Normal 9 19 4" xfId="35049" xr:uid="{00000000-0005-0000-0000-000040860000}"/>
    <cellStyle name="Normal 9 19 5" xfId="39253" xr:uid="{00000000-0005-0000-0000-000041860000}"/>
    <cellStyle name="Normal 9 2" xfId="2701" xr:uid="{00000000-0005-0000-0000-000042860000}"/>
    <cellStyle name="Normal 9 2 10" xfId="7179" xr:uid="{00000000-0005-0000-0000-000043860000}"/>
    <cellStyle name="Normal 9 2 10 2" xfId="25831" xr:uid="{00000000-0005-0000-0000-000044860000}"/>
    <cellStyle name="Normal 9 2 10 3" xfId="30044" xr:uid="{00000000-0005-0000-0000-000045860000}"/>
    <cellStyle name="Normal 9 2 10 4" xfId="34259" xr:uid="{00000000-0005-0000-0000-000046860000}"/>
    <cellStyle name="Normal 9 2 10 5" xfId="38463" xr:uid="{00000000-0005-0000-0000-000047860000}"/>
    <cellStyle name="Normal 9 2 11" xfId="7313" xr:uid="{00000000-0005-0000-0000-000048860000}"/>
    <cellStyle name="Normal 9 2 11 2" xfId="25946" xr:uid="{00000000-0005-0000-0000-000049860000}"/>
    <cellStyle name="Normal 9 2 11 3" xfId="30159" xr:uid="{00000000-0005-0000-0000-00004A860000}"/>
    <cellStyle name="Normal 9 2 11 4" xfId="34374" xr:uid="{00000000-0005-0000-0000-00004B860000}"/>
    <cellStyle name="Normal 9 2 11 5" xfId="38578" xr:uid="{00000000-0005-0000-0000-00004C860000}"/>
    <cellStyle name="Normal 9 2 12" xfId="7431" xr:uid="{00000000-0005-0000-0000-00004D860000}"/>
    <cellStyle name="Normal 9 2 12 2" xfId="26064" xr:uid="{00000000-0005-0000-0000-00004E860000}"/>
    <cellStyle name="Normal 9 2 12 3" xfId="30277" xr:uid="{00000000-0005-0000-0000-00004F860000}"/>
    <cellStyle name="Normal 9 2 12 4" xfId="34492" xr:uid="{00000000-0005-0000-0000-000050860000}"/>
    <cellStyle name="Normal 9 2 12 5" xfId="38696" xr:uid="{00000000-0005-0000-0000-000051860000}"/>
    <cellStyle name="Normal 9 2 13" xfId="7549" xr:uid="{00000000-0005-0000-0000-000052860000}"/>
    <cellStyle name="Normal 9 2 13 2" xfId="26182" xr:uid="{00000000-0005-0000-0000-000053860000}"/>
    <cellStyle name="Normal 9 2 13 3" xfId="30395" xr:uid="{00000000-0005-0000-0000-000054860000}"/>
    <cellStyle name="Normal 9 2 13 4" xfId="34610" xr:uid="{00000000-0005-0000-0000-000055860000}"/>
    <cellStyle name="Normal 9 2 13 5" xfId="38814" xr:uid="{00000000-0005-0000-0000-000056860000}"/>
    <cellStyle name="Normal 9 2 14" xfId="9051" xr:uid="{00000000-0005-0000-0000-000057860000}"/>
    <cellStyle name="Normal 9 2 14 2" xfId="26622" xr:uid="{00000000-0005-0000-0000-000058860000}"/>
    <cellStyle name="Normal 9 2 14 3" xfId="30835" xr:uid="{00000000-0005-0000-0000-000059860000}"/>
    <cellStyle name="Normal 9 2 14 4" xfId="35050" xr:uid="{00000000-0005-0000-0000-00005A860000}"/>
    <cellStyle name="Normal 9 2 14 5" xfId="39254" xr:uid="{00000000-0005-0000-0000-00005B860000}"/>
    <cellStyle name="Normal 9 2 15" xfId="9173" xr:uid="{00000000-0005-0000-0000-00005C860000}"/>
    <cellStyle name="Normal 9 2 15 2" xfId="26744" xr:uid="{00000000-0005-0000-0000-00005D860000}"/>
    <cellStyle name="Normal 9 2 15 3" xfId="30957" xr:uid="{00000000-0005-0000-0000-00005E860000}"/>
    <cellStyle name="Normal 9 2 15 4" xfId="35172" xr:uid="{00000000-0005-0000-0000-00005F860000}"/>
    <cellStyle name="Normal 9 2 15 5" xfId="39376" xr:uid="{00000000-0005-0000-0000-000060860000}"/>
    <cellStyle name="Normal 9 2 16" xfId="9293" xr:uid="{00000000-0005-0000-0000-000061860000}"/>
    <cellStyle name="Normal 9 2 16 2" xfId="26864" xr:uid="{00000000-0005-0000-0000-000062860000}"/>
    <cellStyle name="Normal 9 2 16 3" xfId="31077" xr:uid="{00000000-0005-0000-0000-000063860000}"/>
    <cellStyle name="Normal 9 2 16 4" xfId="35292" xr:uid="{00000000-0005-0000-0000-000064860000}"/>
    <cellStyle name="Normal 9 2 16 5" xfId="39496" xr:uid="{00000000-0005-0000-0000-000065860000}"/>
    <cellStyle name="Normal 9 2 17" xfId="9414" xr:uid="{00000000-0005-0000-0000-000066860000}"/>
    <cellStyle name="Normal 9 2 17 2" xfId="26985" xr:uid="{00000000-0005-0000-0000-000067860000}"/>
    <cellStyle name="Normal 9 2 17 3" xfId="31198" xr:uid="{00000000-0005-0000-0000-000068860000}"/>
    <cellStyle name="Normal 9 2 17 4" xfId="35413" xr:uid="{00000000-0005-0000-0000-000069860000}"/>
    <cellStyle name="Normal 9 2 17 5" xfId="39617" xr:uid="{00000000-0005-0000-0000-00006A860000}"/>
    <cellStyle name="Normal 9 2 18" xfId="9533" xr:uid="{00000000-0005-0000-0000-00006B860000}"/>
    <cellStyle name="Normal 9 2 18 2" xfId="27104" xr:uid="{00000000-0005-0000-0000-00006C860000}"/>
    <cellStyle name="Normal 9 2 18 3" xfId="31317" xr:uid="{00000000-0005-0000-0000-00006D860000}"/>
    <cellStyle name="Normal 9 2 18 4" xfId="35532" xr:uid="{00000000-0005-0000-0000-00006E860000}"/>
    <cellStyle name="Normal 9 2 18 5" xfId="39736" xr:uid="{00000000-0005-0000-0000-00006F860000}"/>
    <cellStyle name="Normal 9 2 19" xfId="4071" xr:uid="{00000000-0005-0000-0000-000070860000}"/>
    <cellStyle name="Normal 9 2 2" xfId="2702" xr:uid="{00000000-0005-0000-0000-000071860000}"/>
    <cellStyle name="Normal 9 2 2 2" xfId="2703" xr:uid="{00000000-0005-0000-0000-000072860000}"/>
    <cellStyle name="Normal 9 2 2 2 2" xfId="4073" xr:uid="{00000000-0005-0000-0000-000073860000}"/>
    <cellStyle name="Normal 9 2 2 3" xfId="4072" xr:uid="{00000000-0005-0000-0000-000074860000}"/>
    <cellStyle name="Normal 9 2 3" xfId="2704" xr:uid="{00000000-0005-0000-0000-000075860000}"/>
    <cellStyle name="Normal 9 2 3 2" xfId="4074" xr:uid="{00000000-0005-0000-0000-000076860000}"/>
    <cellStyle name="Normal 9 2 4" xfId="2705" xr:uid="{00000000-0005-0000-0000-000077860000}"/>
    <cellStyle name="Normal 9 2 4 2" xfId="4075" xr:uid="{00000000-0005-0000-0000-000078860000}"/>
    <cellStyle name="Normal 9 2 5" xfId="2706" xr:uid="{00000000-0005-0000-0000-000079860000}"/>
    <cellStyle name="Normal 9 2 5 2" xfId="4076" xr:uid="{00000000-0005-0000-0000-00007A860000}"/>
    <cellStyle name="Normal 9 2 6" xfId="2707" xr:uid="{00000000-0005-0000-0000-00007B860000}"/>
    <cellStyle name="Normal 9 2 6 2" xfId="4077" xr:uid="{00000000-0005-0000-0000-00007C860000}"/>
    <cellStyle name="Normal 9 2 7" xfId="5466" xr:uid="{00000000-0005-0000-0000-00007D860000}"/>
    <cellStyle name="Normal 9 2 8" xfId="5467" xr:uid="{00000000-0005-0000-0000-00007E860000}"/>
    <cellStyle name="Normal 9 2 8 2" xfId="5468" xr:uid="{00000000-0005-0000-0000-00007F860000}"/>
    <cellStyle name="Normal 9 2 9" xfId="6239" xr:uid="{00000000-0005-0000-0000-000080860000}"/>
    <cellStyle name="Normal 9 2 9 2" xfId="6919" xr:uid="{00000000-0005-0000-0000-000081860000}"/>
    <cellStyle name="Normal 9 2 9 2 2" xfId="25607" xr:uid="{00000000-0005-0000-0000-000082860000}"/>
    <cellStyle name="Normal 9 2 9 2 3" xfId="29820" xr:uid="{00000000-0005-0000-0000-000083860000}"/>
    <cellStyle name="Normal 9 2 9 2 4" xfId="34035" xr:uid="{00000000-0005-0000-0000-000084860000}"/>
    <cellStyle name="Normal 9 2 9 2 5" xfId="38239" xr:uid="{00000000-0005-0000-0000-000085860000}"/>
    <cellStyle name="Normal 9 2 9 3" xfId="25502" xr:uid="{00000000-0005-0000-0000-000086860000}"/>
    <cellStyle name="Normal 9 2 9 4" xfId="29714" xr:uid="{00000000-0005-0000-0000-000087860000}"/>
    <cellStyle name="Normal 9 2 9 5" xfId="33930" xr:uid="{00000000-0005-0000-0000-000088860000}"/>
    <cellStyle name="Normal 9 2 9 6" xfId="38134" xr:uid="{00000000-0005-0000-0000-000089860000}"/>
    <cellStyle name="Normal 9 20" xfId="9172" xr:uid="{00000000-0005-0000-0000-00008A860000}"/>
    <cellStyle name="Normal 9 20 2" xfId="26743" xr:uid="{00000000-0005-0000-0000-00008B860000}"/>
    <cellStyle name="Normal 9 20 3" xfId="30956" xr:uid="{00000000-0005-0000-0000-00008C860000}"/>
    <cellStyle name="Normal 9 20 4" xfId="35171" xr:uid="{00000000-0005-0000-0000-00008D860000}"/>
    <cellStyle name="Normal 9 20 5" xfId="39375" xr:uid="{00000000-0005-0000-0000-00008E860000}"/>
    <cellStyle name="Normal 9 21" xfId="9292" xr:uid="{00000000-0005-0000-0000-00008F860000}"/>
    <cellStyle name="Normal 9 21 2" xfId="26863" xr:uid="{00000000-0005-0000-0000-000090860000}"/>
    <cellStyle name="Normal 9 21 3" xfId="31076" xr:uid="{00000000-0005-0000-0000-000091860000}"/>
    <cellStyle name="Normal 9 21 4" xfId="35291" xr:uid="{00000000-0005-0000-0000-000092860000}"/>
    <cellStyle name="Normal 9 21 5" xfId="39495" xr:uid="{00000000-0005-0000-0000-000093860000}"/>
    <cellStyle name="Normal 9 22" xfId="9413" xr:uid="{00000000-0005-0000-0000-000094860000}"/>
    <cellStyle name="Normal 9 22 2" xfId="26984" xr:uid="{00000000-0005-0000-0000-000095860000}"/>
    <cellStyle name="Normal 9 22 3" xfId="31197" xr:uid="{00000000-0005-0000-0000-000096860000}"/>
    <cellStyle name="Normal 9 22 4" xfId="35412" xr:uid="{00000000-0005-0000-0000-000097860000}"/>
    <cellStyle name="Normal 9 22 5" xfId="39616" xr:uid="{00000000-0005-0000-0000-000098860000}"/>
    <cellStyle name="Normal 9 23" xfId="9532" xr:uid="{00000000-0005-0000-0000-000099860000}"/>
    <cellStyle name="Normal 9 23 2" xfId="27103" xr:uid="{00000000-0005-0000-0000-00009A860000}"/>
    <cellStyle name="Normal 9 23 3" xfId="31316" xr:uid="{00000000-0005-0000-0000-00009B860000}"/>
    <cellStyle name="Normal 9 23 4" xfId="35531" xr:uid="{00000000-0005-0000-0000-00009C860000}"/>
    <cellStyle name="Normal 9 23 5" xfId="39735" xr:uid="{00000000-0005-0000-0000-00009D860000}"/>
    <cellStyle name="Normal 9 24" xfId="12253" xr:uid="{00000000-0005-0000-0000-00009E860000}"/>
    <cellStyle name="Normal 9 24 2" xfId="28821" xr:uid="{00000000-0005-0000-0000-00009F860000}"/>
    <cellStyle name="Normal 9 24 3" xfId="33034" xr:uid="{00000000-0005-0000-0000-0000A0860000}"/>
    <cellStyle name="Normal 9 24 4" xfId="37249" xr:uid="{00000000-0005-0000-0000-0000A1860000}"/>
    <cellStyle name="Normal 9 25" xfId="23462" xr:uid="{00000000-0005-0000-0000-0000A2860000}"/>
    <cellStyle name="Normal 9 25 2" xfId="28962" xr:uid="{00000000-0005-0000-0000-0000A3860000}"/>
    <cellStyle name="Normal 9 25 3" xfId="33179" xr:uid="{00000000-0005-0000-0000-0000A4860000}"/>
    <cellStyle name="Normal 9 25 4" xfId="37390" xr:uid="{00000000-0005-0000-0000-0000A5860000}"/>
    <cellStyle name="Normal 9 26" xfId="4067" xr:uid="{00000000-0005-0000-0000-0000A6860000}"/>
    <cellStyle name="Normal 9 27" xfId="24888" xr:uid="{00000000-0005-0000-0000-0000A7860000}"/>
    <cellStyle name="Normal 9 28" xfId="29099" xr:uid="{00000000-0005-0000-0000-0000A8860000}"/>
    <cellStyle name="Normal 9 29" xfId="33316" xr:uid="{00000000-0005-0000-0000-0000A9860000}"/>
    <cellStyle name="Normal 9 3" xfId="2708" xr:uid="{00000000-0005-0000-0000-0000AA860000}"/>
    <cellStyle name="Normal 9 3 10" xfId="7314" xr:uid="{00000000-0005-0000-0000-0000AB860000}"/>
    <cellStyle name="Normal 9 3 10 2" xfId="25947" xr:uid="{00000000-0005-0000-0000-0000AC860000}"/>
    <cellStyle name="Normal 9 3 10 3" xfId="30160" xr:uid="{00000000-0005-0000-0000-0000AD860000}"/>
    <cellStyle name="Normal 9 3 10 4" xfId="34375" xr:uid="{00000000-0005-0000-0000-0000AE860000}"/>
    <cellStyle name="Normal 9 3 10 5" xfId="38579" xr:uid="{00000000-0005-0000-0000-0000AF860000}"/>
    <cellStyle name="Normal 9 3 11" xfId="7432" xr:uid="{00000000-0005-0000-0000-0000B0860000}"/>
    <cellStyle name="Normal 9 3 11 2" xfId="26065" xr:uid="{00000000-0005-0000-0000-0000B1860000}"/>
    <cellStyle name="Normal 9 3 11 3" xfId="30278" xr:uid="{00000000-0005-0000-0000-0000B2860000}"/>
    <cellStyle name="Normal 9 3 11 4" xfId="34493" xr:uid="{00000000-0005-0000-0000-0000B3860000}"/>
    <cellStyle name="Normal 9 3 11 5" xfId="38697" xr:uid="{00000000-0005-0000-0000-0000B4860000}"/>
    <cellStyle name="Normal 9 3 12" xfId="7550" xr:uid="{00000000-0005-0000-0000-0000B5860000}"/>
    <cellStyle name="Normal 9 3 12 2" xfId="26183" xr:uid="{00000000-0005-0000-0000-0000B6860000}"/>
    <cellStyle name="Normal 9 3 12 3" xfId="30396" xr:uid="{00000000-0005-0000-0000-0000B7860000}"/>
    <cellStyle name="Normal 9 3 12 4" xfId="34611" xr:uid="{00000000-0005-0000-0000-0000B8860000}"/>
    <cellStyle name="Normal 9 3 12 5" xfId="38815" xr:uid="{00000000-0005-0000-0000-0000B9860000}"/>
    <cellStyle name="Normal 9 3 13" xfId="9052" xr:uid="{00000000-0005-0000-0000-0000BA860000}"/>
    <cellStyle name="Normal 9 3 13 2" xfId="26623" xr:uid="{00000000-0005-0000-0000-0000BB860000}"/>
    <cellStyle name="Normal 9 3 13 3" xfId="30836" xr:uid="{00000000-0005-0000-0000-0000BC860000}"/>
    <cellStyle name="Normal 9 3 13 4" xfId="35051" xr:uid="{00000000-0005-0000-0000-0000BD860000}"/>
    <cellStyle name="Normal 9 3 13 5" xfId="39255" xr:uid="{00000000-0005-0000-0000-0000BE860000}"/>
    <cellStyle name="Normal 9 3 14" xfId="9174" xr:uid="{00000000-0005-0000-0000-0000BF860000}"/>
    <cellStyle name="Normal 9 3 14 2" xfId="26745" xr:uid="{00000000-0005-0000-0000-0000C0860000}"/>
    <cellStyle name="Normal 9 3 14 3" xfId="30958" xr:uid="{00000000-0005-0000-0000-0000C1860000}"/>
    <cellStyle name="Normal 9 3 14 4" xfId="35173" xr:uid="{00000000-0005-0000-0000-0000C2860000}"/>
    <cellStyle name="Normal 9 3 14 5" xfId="39377" xr:uid="{00000000-0005-0000-0000-0000C3860000}"/>
    <cellStyle name="Normal 9 3 15" xfId="9294" xr:uid="{00000000-0005-0000-0000-0000C4860000}"/>
    <cellStyle name="Normal 9 3 15 2" xfId="26865" xr:uid="{00000000-0005-0000-0000-0000C5860000}"/>
    <cellStyle name="Normal 9 3 15 3" xfId="31078" xr:uid="{00000000-0005-0000-0000-0000C6860000}"/>
    <cellStyle name="Normal 9 3 15 4" xfId="35293" xr:uid="{00000000-0005-0000-0000-0000C7860000}"/>
    <cellStyle name="Normal 9 3 15 5" xfId="39497" xr:uid="{00000000-0005-0000-0000-0000C8860000}"/>
    <cellStyle name="Normal 9 3 16" xfId="9415" xr:uid="{00000000-0005-0000-0000-0000C9860000}"/>
    <cellStyle name="Normal 9 3 16 2" xfId="26986" xr:uid="{00000000-0005-0000-0000-0000CA860000}"/>
    <cellStyle name="Normal 9 3 16 3" xfId="31199" xr:uid="{00000000-0005-0000-0000-0000CB860000}"/>
    <cellStyle name="Normal 9 3 16 4" xfId="35414" xr:uid="{00000000-0005-0000-0000-0000CC860000}"/>
    <cellStyle name="Normal 9 3 16 5" xfId="39618" xr:uid="{00000000-0005-0000-0000-0000CD860000}"/>
    <cellStyle name="Normal 9 3 17" xfId="9534" xr:uid="{00000000-0005-0000-0000-0000CE860000}"/>
    <cellStyle name="Normal 9 3 17 2" xfId="27105" xr:uid="{00000000-0005-0000-0000-0000CF860000}"/>
    <cellStyle name="Normal 9 3 17 3" xfId="31318" xr:uid="{00000000-0005-0000-0000-0000D0860000}"/>
    <cellStyle name="Normal 9 3 17 4" xfId="35533" xr:uid="{00000000-0005-0000-0000-0000D1860000}"/>
    <cellStyle name="Normal 9 3 17 5" xfId="39737" xr:uid="{00000000-0005-0000-0000-0000D2860000}"/>
    <cellStyle name="Normal 9 3 18" xfId="4078" xr:uid="{00000000-0005-0000-0000-0000D3860000}"/>
    <cellStyle name="Normal 9 3 2" xfId="2709" xr:uid="{00000000-0005-0000-0000-0000D4860000}"/>
    <cellStyle name="Normal 9 3 2 2" xfId="2710" xr:uid="{00000000-0005-0000-0000-0000D5860000}"/>
    <cellStyle name="Normal 9 3 2 2 2" xfId="4080" xr:uid="{00000000-0005-0000-0000-0000D6860000}"/>
    <cellStyle name="Normal 9 3 2 3" xfId="4079" xr:uid="{00000000-0005-0000-0000-0000D7860000}"/>
    <cellStyle name="Normal 9 3 3" xfId="2711" xr:uid="{00000000-0005-0000-0000-0000D8860000}"/>
    <cellStyle name="Normal 9 3 3 2" xfId="4081" xr:uid="{00000000-0005-0000-0000-0000D9860000}"/>
    <cellStyle name="Normal 9 3 4" xfId="2712" xr:uid="{00000000-0005-0000-0000-0000DA860000}"/>
    <cellStyle name="Normal 9 3 4 2" xfId="4082" xr:uid="{00000000-0005-0000-0000-0000DB860000}"/>
    <cellStyle name="Normal 9 3 5" xfId="2713" xr:uid="{00000000-0005-0000-0000-0000DC860000}"/>
    <cellStyle name="Normal 9 3 5 2" xfId="4083" xr:uid="{00000000-0005-0000-0000-0000DD860000}"/>
    <cellStyle name="Normal 9 3 6" xfId="2714" xr:uid="{00000000-0005-0000-0000-0000DE860000}"/>
    <cellStyle name="Normal 9 3 6 2" xfId="4084" xr:uid="{00000000-0005-0000-0000-0000DF860000}"/>
    <cellStyle name="Normal 9 3 7" xfId="5469" xr:uid="{00000000-0005-0000-0000-0000E0860000}"/>
    <cellStyle name="Normal 9 3 8" xfId="5470" xr:uid="{00000000-0005-0000-0000-0000E1860000}"/>
    <cellStyle name="Normal 9 3 8 2" xfId="5471" xr:uid="{00000000-0005-0000-0000-0000E2860000}"/>
    <cellStyle name="Normal 9 3 9" xfId="7180" xr:uid="{00000000-0005-0000-0000-0000E3860000}"/>
    <cellStyle name="Normal 9 3 9 2" xfId="25832" xr:uid="{00000000-0005-0000-0000-0000E4860000}"/>
    <cellStyle name="Normal 9 3 9 3" xfId="30045" xr:uid="{00000000-0005-0000-0000-0000E5860000}"/>
    <cellStyle name="Normal 9 3 9 4" xfId="34260" xr:uid="{00000000-0005-0000-0000-0000E6860000}"/>
    <cellStyle name="Normal 9 3 9 5" xfId="38464" xr:uid="{00000000-0005-0000-0000-0000E7860000}"/>
    <cellStyle name="Normal 9 30" xfId="37520" xr:uid="{00000000-0005-0000-0000-0000E8860000}"/>
    <cellStyle name="Normal 9 4" xfId="2715" xr:uid="{00000000-0005-0000-0000-0000E9860000}"/>
    <cellStyle name="Normal 9 4 2" xfId="2716" xr:uid="{00000000-0005-0000-0000-0000EA860000}"/>
    <cellStyle name="Normal 9 4 2 2" xfId="2717" xr:uid="{00000000-0005-0000-0000-0000EB860000}"/>
    <cellStyle name="Normal 9 4 2 2 2" xfId="4087" xr:uid="{00000000-0005-0000-0000-0000EC860000}"/>
    <cellStyle name="Normal 9 4 2 3" xfId="4086" xr:uid="{00000000-0005-0000-0000-0000ED860000}"/>
    <cellStyle name="Normal 9 4 3" xfId="2718" xr:uid="{00000000-0005-0000-0000-0000EE860000}"/>
    <cellStyle name="Normal 9 4 3 2" xfId="4088" xr:uid="{00000000-0005-0000-0000-0000EF860000}"/>
    <cellStyle name="Normal 9 4 4" xfId="2719" xr:uid="{00000000-0005-0000-0000-0000F0860000}"/>
    <cellStyle name="Normal 9 4 4 2" xfId="4089" xr:uid="{00000000-0005-0000-0000-0000F1860000}"/>
    <cellStyle name="Normal 9 4 5" xfId="2720" xr:uid="{00000000-0005-0000-0000-0000F2860000}"/>
    <cellStyle name="Normal 9 4 5 2" xfId="4090" xr:uid="{00000000-0005-0000-0000-0000F3860000}"/>
    <cellStyle name="Normal 9 4 6" xfId="2721" xr:uid="{00000000-0005-0000-0000-0000F4860000}"/>
    <cellStyle name="Normal 9 4 6 2" xfId="4091" xr:uid="{00000000-0005-0000-0000-0000F5860000}"/>
    <cellStyle name="Normal 9 4 7" xfId="5472" xr:uid="{00000000-0005-0000-0000-0000F6860000}"/>
    <cellStyle name="Normal 9 4 8" xfId="5473" xr:uid="{00000000-0005-0000-0000-0000F7860000}"/>
    <cellStyle name="Normal 9 4 8 2" xfId="5474" xr:uid="{00000000-0005-0000-0000-0000F8860000}"/>
    <cellStyle name="Normal 9 4 9" xfId="4085" xr:uid="{00000000-0005-0000-0000-0000F9860000}"/>
    <cellStyle name="Normal 9 5" xfId="2722" xr:uid="{00000000-0005-0000-0000-0000FA860000}"/>
    <cellStyle name="Normal 9 5 2" xfId="2723" xr:uid="{00000000-0005-0000-0000-0000FB860000}"/>
    <cellStyle name="Normal 9 5 2 2" xfId="2724" xr:uid="{00000000-0005-0000-0000-0000FC860000}"/>
    <cellStyle name="Normal 9 5 2 2 2" xfId="4094" xr:uid="{00000000-0005-0000-0000-0000FD860000}"/>
    <cellStyle name="Normal 9 5 2 3" xfId="4093" xr:uid="{00000000-0005-0000-0000-0000FE860000}"/>
    <cellStyle name="Normal 9 5 3" xfId="2725" xr:uid="{00000000-0005-0000-0000-0000FF860000}"/>
    <cellStyle name="Normal 9 5 3 2" xfId="4095" xr:uid="{00000000-0005-0000-0000-000000870000}"/>
    <cellStyle name="Normal 9 5 4" xfId="2726" xr:uid="{00000000-0005-0000-0000-000001870000}"/>
    <cellStyle name="Normal 9 5 4 2" xfId="4096" xr:uid="{00000000-0005-0000-0000-000002870000}"/>
    <cellStyle name="Normal 9 5 5" xfId="2727" xr:uid="{00000000-0005-0000-0000-000003870000}"/>
    <cellStyle name="Normal 9 5 5 2" xfId="4097" xr:uid="{00000000-0005-0000-0000-000004870000}"/>
    <cellStyle name="Normal 9 5 6" xfId="2728" xr:uid="{00000000-0005-0000-0000-000005870000}"/>
    <cellStyle name="Normal 9 5 6 2" xfId="4098" xr:uid="{00000000-0005-0000-0000-000006870000}"/>
    <cellStyle name="Normal 9 5 7" xfId="5475" xr:uid="{00000000-0005-0000-0000-000007870000}"/>
    <cellStyle name="Normal 9 5 8" xfId="5476" xr:uid="{00000000-0005-0000-0000-000008870000}"/>
    <cellStyle name="Normal 9 5 8 2" xfId="5477" xr:uid="{00000000-0005-0000-0000-000009870000}"/>
    <cellStyle name="Normal 9 5 9" xfId="4092" xr:uid="{00000000-0005-0000-0000-00000A870000}"/>
    <cellStyle name="Normal 9 6" xfId="2729" xr:uid="{00000000-0005-0000-0000-00000B870000}"/>
    <cellStyle name="Normal 9 6 2" xfId="2730" xr:uid="{00000000-0005-0000-0000-00000C870000}"/>
    <cellStyle name="Normal 9 6 2 2" xfId="2731" xr:uid="{00000000-0005-0000-0000-00000D870000}"/>
    <cellStyle name="Normal 9 6 2 2 2" xfId="4101" xr:uid="{00000000-0005-0000-0000-00000E870000}"/>
    <cellStyle name="Normal 9 6 2 3" xfId="4100" xr:uid="{00000000-0005-0000-0000-00000F870000}"/>
    <cellStyle name="Normal 9 6 3" xfId="2732" xr:uid="{00000000-0005-0000-0000-000010870000}"/>
    <cellStyle name="Normal 9 6 3 2" xfId="4102" xr:uid="{00000000-0005-0000-0000-000011870000}"/>
    <cellStyle name="Normal 9 6 4" xfId="2733" xr:uid="{00000000-0005-0000-0000-000012870000}"/>
    <cellStyle name="Normal 9 6 4 2" xfId="4103" xr:uid="{00000000-0005-0000-0000-000013870000}"/>
    <cellStyle name="Normal 9 6 5" xfId="2734" xr:uid="{00000000-0005-0000-0000-000014870000}"/>
    <cellStyle name="Normal 9 6 5 2" xfId="4104" xr:uid="{00000000-0005-0000-0000-000015870000}"/>
    <cellStyle name="Normal 9 6 6" xfId="2735" xr:uid="{00000000-0005-0000-0000-000016870000}"/>
    <cellStyle name="Normal 9 6 6 2" xfId="4105" xr:uid="{00000000-0005-0000-0000-000017870000}"/>
    <cellStyle name="Normal 9 6 7" xfId="5478" xr:uid="{00000000-0005-0000-0000-000018870000}"/>
    <cellStyle name="Normal 9 6 8" xfId="5479" xr:uid="{00000000-0005-0000-0000-000019870000}"/>
    <cellStyle name="Normal 9 6 8 2" xfId="5480" xr:uid="{00000000-0005-0000-0000-00001A870000}"/>
    <cellStyle name="Normal 9 6 9" xfId="4099" xr:uid="{00000000-0005-0000-0000-00001B870000}"/>
    <cellStyle name="Normal 9 7" xfId="2736" xr:uid="{00000000-0005-0000-0000-00001C870000}"/>
    <cellStyle name="Normal 9 7 2" xfId="2737" xr:uid="{00000000-0005-0000-0000-00001D870000}"/>
    <cellStyle name="Normal 9 7 2 2" xfId="4107" xr:uid="{00000000-0005-0000-0000-00001E870000}"/>
    <cellStyle name="Normal 9 7 3" xfId="4106" xr:uid="{00000000-0005-0000-0000-00001F870000}"/>
    <cellStyle name="Normal 9 8" xfId="2738" xr:uid="{00000000-0005-0000-0000-000020870000}"/>
    <cellStyle name="Normal 9 8 2" xfId="2739" xr:uid="{00000000-0005-0000-0000-000021870000}"/>
    <cellStyle name="Normal 9 8 2 2" xfId="4109" xr:uid="{00000000-0005-0000-0000-000022870000}"/>
    <cellStyle name="Normal 9 8 3" xfId="4108" xr:uid="{00000000-0005-0000-0000-000023870000}"/>
    <cellStyle name="Normal 9 9" xfId="2740" xr:uid="{00000000-0005-0000-0000-000024870000}"/>
    <cellStyle name="Normal 9 9 2" xfId="2741" xr:uid="{00000000-0005-0000-0000-000025870000}"/>
    <cellStyle name="Normal 9 9 2 2" xfId="4111" xr:uid="{00000000-0005-0000-0000-000026870000}"/>
    <cellStyle name="Normal 9 9 3" xfId="4110" xr:uid="{00000000-0005-0000-0000-000027870000}"/>
    <cellStyle name="Normal 9 9 3 2" xfId="43703" xr:uid="{00000000-0005-0000-0000-000028870000}"/>
    <cellStyle name="Normal GHG Numbers (0.00)" xfId="4112" xr:uid="{00000000-0005-0000-0000-000029870000}"/>
    <cellStyle name="Normal GHG Numbers (0.00) 10" xfId="13464" xr:uid="{00000000-0005-0000-0000-00002A870000}"/>
    <cellStyle name="Normal GHG Numbers (0.00) 10 2" xfId="18441" xr:uid="{00000000-0005-0000-0000-00002B870000}"/>
    <cellStyle name="Normal GHG Numbers (0.00) 11" xfId="12771" xr:uid="{00000000-0005-0000-0000-00002C870000}"/>
    <cellStyle name="Normal GHG Numbers (0.00) 12" xfId="17785" xr:uid="{00000000-0005-0000-0000-00002D870000}"/>
    <cellStyle name="Normal GHG Numbers (0.00) 2" xfId="4113" xr:uid="{00000000-0005-0000-0000-00002E870000}"/>
    <cellStyle name="Normal GHG Numbers (0.00) 2 10" xfId="18103" xr:uid="{00000000-0005-0000-0000-00002F870000}"/>
    <cellStyle name="Normal GHG Numbers (0.00) 2 2" xfId="7206" xr:uid="{00000000-0005-0000-0000-000030870000}"/>
    <cellStyle name="Normal GHG Numbers (0.00) 2 2 2" xfId="20143" xr:uid="{00000000-0005-0000-0000-000031870000}"/>
    <cellStyle name="Normal GHG Numbers (0.00) 2 2 3" xfId="14821" xr:uid="{00000000-0005-0000-0000-000032870000}"/>
    <cellStyle name="Normal GHG Numbers (0.00) 2 2 4" xfId="23950" xr:uid="{00000000-0005-0000-0000-000033870000}"/>
    <cellStyle name="Normal GHG Numbers (0.00) 2 3" xfId="11154" xr:uid="{00000000-0005-0000-0000-000034870000}"/>
    <cellStyle name="Normal GHG Numbers (0.00) 2 3 2" xfId="20410" xr:uid="{00000000-0005-0000-0000-000035870000}"/>
    <cellStyle name="Normal GHG Numbers (0.00) 2 4" xfId="11097" xr:uid="{00000000-0005-0000-0000-000036870000}"/>
    <cellStyle name="Normal GHG Numbers (0.00) 2 4 2" xfId="21644" xr:uid="{00000000-0005-0000-0000-000037870000}"/>
    <cellStyle name="Normal GHG Numbers (0.00) 2 5" xfId="15166" xr:uid="{00000000-0005-0000-0000-000038870000}"/>
    <cellStyle name="Normal GHG Numbers (0.00) 2 5 2" xfId="20554" xr:uid="{00000000-0005-0000-0000-000039870000}"/>
    <cellStyle name="Normal GHG Numbers (0.00) 2 6" xfId="16861" xr:uid="{00000000-0005-0000-0000-00003A870000}"/>
    <cellStyle name="Normal GHG Numbers (0.00) 2 6 2" xfId="22512" xr:uid="{00000000-0005-0000-0000-00003B870000}"/>
    <cellStyle name="Normal GHG Numbers (0.00) 2 7" xfId="17581" xr:uid="{00000000-0005-0000-0000-00003C870000}"/>
    <cellStyle name="Normal GHG Numbers (0.00) 2 7 2" xfId="23226" xr:uid="{00000000-0005-0000-0000-00003D870000}"/>
    <cellStyle name="Normal GHG Numbers (0.00) 2 8" xfId="13785" xr:uid="{00000000-0005-0000-0000-00003E870000}"/>
    <cellStyle name="Normal GHG Numbers (0.00) 2 8 2" xfId="18759" xr:uid="{00000000-0005-0000-0000-00003F870000}"/>
    <cellStyle name="Normal GHG Numbers (0.00) 2 9" xfId="13113" xr:uid="{00000000-0005-0000-0000-000040870000}"/>
    <cellStyle name="Normal GHG Numbers (0.00) 3" xfId="4114" xr:uid="{00000000-0005-0000-0000-000041870000}"/>
    <cellStyle name="Normal GHG Numbers (0.00) 3 10" xfId="18292" xr:uid="{00000000-0005-0000-0000-000042870000}"/>
    <cellStyle name="Normal GHG Numbers (0.00) 3 2" xfId="11155" xr:uid="{00000000-0005-0000-0000-000043870000}"/>
    <cellStyle name="Normal GHG Numbers (0.00) 3 2 2" xfId="20334" xr:uid="{00000000-0005-0000-0000-000044870000}"/>
    <cellStyle name="Normal GHG Numbers (0.00) 3 2 3" xfId="24800" xr:uid="{00000000-0005-0000-0000-000045870000}"/>
    <cellStyle name="Normal GHG Numbers (0.00) 3 2 4" xfId="24139" xr:uid="{00000000-0005-0000-0000-000046870000}"/>
    <cellStyle name="Normal GHG Numbers (0.00) 3 3" xfId="11096" xr:uid="{00000000-0005-0000-0000-000047870000}"/>
    <cellStyle name="Normal GHG Numbers (0.00) 3 3 2" xfId="20421" xr:uid="{00000000-0005-0000-0000-000048870000}"/>
    <cellStyle name="Normal GHG Numbers (0.00) 3 4" xfId="16147" xr:uid="{00000000-0005-0000-0000-000049870000}"/>
    <cellStyle name="Normal GHG Numbers (0.00) 3 4 2" xfId="21660" xr:uid="{00000000-0005-0000-0000-00004A870000}"/>
    <cellStyle name="Normal GHG Numbers (0.00) 3 5" xfId="16241" xr:uid="{00000000-0005-0000-0000-00004B870000}"/>
    <cellStyle name="Normal GHG Numbers (0.00) 3 5 2" xfId="21792" xr:uid="{00000000-0005-0000-0000-00004C870000}"/>
    <cellStyle name="Normal GHG Numbers (0.00) 3 6" xfId="17050" xr:uid="{00000000-0005-0000-0000-00004D870000}"/>
    <cellStyle name="Normal GHG Numbers (0.00) 3 6 2" xfId="22701" xr:uid="{00000000-0005-0000-0000-00004E870000}"/>
    <cellStyle name="Normal GHG Numbers (0.00) 3 7" xfId="17770" xr:uid="{00000000-0005-0000-0000-00004F870000}"/>
    <cellStyle name="Normal GHG Numbers (0.00) 3 7 2" xfId="23415" xr:uid="{00000000-0005-0000-0000-000050870000}"/>
    <cellStyle name="Normal GHG Numbers (0.00) 3 8" xfId="13974" xr:uid="{00000000-0005-0000-0000-000051870000}"/>
    <cellStyle name="Normal GHG Numbers (0.00) 3 8 2" xfId="18948" xr:uid="{00000000-0005-0000-0000-000052870000}"/>
    <cellStyle name="Normal GHG Numbers (0.00) 3 9" xfId="13303" xr:uid="{00000000-0005-0000-0000-000053870000}"/>
    <cellStyle name="Normal GHG Numbers (0.00) 4" xfId="11153" xr:uid="{00000000-0005-0000-0000-000054870000}"/>
    <cellStyle name="Normal GHG Numbers (0.00) 4 2" xfId="19767" xr:uid="{00000000-0005-0000-0000-000055870000}"/>
    <cellStyle name="Normal GHG Numbers (0.00) 4 3" xfId="24202" xr:uid="{00000000-0005-0000-0000-000056870000}"/>
    <cellStyle name="Normal GHG Numbers (0.00) 4 4" xfId="23629" xr:uid="{00000000-0005-0000-0000-000057870000}"/>
    <cellStyle name="Normal GHG Numbers (0.00) 5" xfId="11098" xr:uid="{00000000-0005-0000-0000-000058870000}"/>
    <cellStyle name="Normal GHG Numbers (0.00) 5 2" xfId="18959" xr:uid="{00000000-0005-0000-0000-000059870000}"/>
    <cellStyle name="Normal GHG Numbers (0.00) 6" xfId="10913" xr:uid="{00000000-0005-0000-0000-00005A870000}"/>
    <cellStyle name="Normal GHG Numbers (0.00) 6 2" xfId="21534" xr:uid="{00000000-0005-0000-0000-00005B870000}"/>
    <cellStyle name="Normal GHG Numbers (0.00) 7" xfId="15420" xr:uid="{00000000-0005-0000-0000-00005C870000}"/>
    <cellStyle name="Normal GHG Numbers (0.00) 7 2" xfId="20916" xr:uid="{00000000-0005-0000-0000-00005D870000}"/>
    <cellStyle name="Normal GHG Numbers (0.00) 8" xfId="15473" xr:uid="{00000000-0005-0000-0000-00005E870000}"/>
    <cellStyle name="Normal GHG Numbers (0.00) 8 2" xfId="20969" xr:uid="{00000000-0005-0000-0000-00005F870000}"/>
    <cellStyle name="Normal GHG Numbers (0.00) 9" xfId="17264" xr:uid="{00000000-0005-0000-0000-000060870000}"/>
    <cellStyle name="Normal GHG Numbers (0.00) 9 2" xfId="22908" xr:uid="{00000000-0005-0000-0000-000061870000}"/>
    <cellStyle name="Normal GHG Textfiels Bold" xfId="4115" xr:uid="{00000000-0005-0000-0000-000062870000}"/>
    <cellStyle name="Normal GHG whole table" xfId="7070" xr:uid="{00000000-0005-0000-0000-000063870000}"/>
    <cellStyle name="Normal GHG whole table 2" xfId="9733" xr:uid="{00000000-0005-0000-0000-000064870000}"/>
    <cellStyle name="Normal GHG whole table 2 2" xfId="45112" xr:uid="{00000000-0005-0000-0000-000065870000}"/>
    <cellStyle name="Normal GHG whole table 3" xfId="11825" xr:uid="{00000000-0005-0000-0000-000066870000}"/>
    <cellStyle name="Normal GHG whole table 3 2" xfId="46189" xr:uid="{00000000-0005-0000-0000-000067870000}"/>
    <cellStyle name="Normal GHG whole table 4" xfId="10997" xr:uid="{00000000-0005-0000-0000-000068870000}"/>
    <cellStyle name="Normal GHG whole table 4 2" xfId="45754" xr:uid="{00000000-0005-0000-0000-000069870000}"/>
    <cellStyle name="Normal GHG whole table 5" xfId="43704" xr:uid="{00000000-0005-0000-0000-00006A870000}"/>
    <cellStyle name="Normal GHG whole table 6" xfId="44923" xr:uid="{00000000-0005-0000-0000-00006B870000}"/>
    <cellStyle name="Normal GHG-Shade" xfId="4116" xr:uid="{00000000-0005-0000-0000-00006C870000}"/>
    <cellStyle name="Normal GHG-Shade 2" xfId="7049" xr:uid="{00000000-0005-0000-0000-00006D870000}"/>
    <cellStyle name="Normal GHG-Shade 3" xfId="7050" xr:uid="{00000000-0005-0000-0000-00006E870000}"/>
    <cellStyle name="Normal_1990 and 1998 CIP - Prices Quantity and CO2(MH)" xfId="3056" xr:uid="{00000000-0005-0000-0000-00006F870000}"/>
    <cellStyle name="Normal_2000balx" xfId="3054" xr:uid="{00000000-0005-0000-0000-000070870000}"/>
    <cellStyle name="Normál_C3EM_v2" xfId="3138" xr:uid="{00000000-0005-0000-0000-000071870000}"/>
    <cellStyle name="Normale 2" xfId="4117" xr:uid="{00000000-0005-0000-0000-000072870000}"/>
    <cellStyle name="Normale 2 2" xfId="4118" xr:uid="{00000000-0005-0000-0000-000073870000}"/>
    <cellStyle name="Normale 2 2 2" xfId="4119" xr:uid="{00000000-0005-0000-0000-000074870000}"/>
    <cellStyle name="Normale 2 2 2 2" xfId="13114" xr:uid="{00000000-0005-0000-0000-000075870000}"/>
    <cellStyle name="Normale 3" xfId="4120" xr:uid="{00000000-0005-0000-0000-000076870000}"/>
    <cellStyle name="Normale 3 2" xfId="4121" xr:uid="{00000000-0005-0000-0000-000077870000}"/>
    <cellStyle name="Normale 3 2 2" xfId="4492" xr:uid="{00000000-0005-0000-0000-000078870000}"/>
    <cellStyle name="Normale 3 2 2 2" xfId="24963" xr:uid="{00000000-0005-0000-0000-000079870000}"/>
    <cellStyle name="Normale 3 2 2 3" xfId="29175" xr:uid="{00000000-0005-0000-0000-00007A870000}"/>
    <cellStyle name="Normale 3 2 2 4" xfId="33391" xr:uid="{00000000-0005-0000-0000-00007B870000}"/>
    <cellStyle name="Normale 3 2 2 5" xfId="37595" xr:uid="{00000000-0005-0000-0000-00007C870000}"/>
    <cellStyle name="Normale 3 2 3" xfId="12291" xr:uid="{00000000-0005-0000-0000-00007D870000}"/>
    <cellStyle name="Normale 3 2 3 2" xfId="28858" xr:uid="{00000000-0005-0000-0000-00007E870000}"/>
    <cellStyle name="Normale 3 2 3 3" xfId="33071" xr:uid="{00000000-0005-0000-0000-00007F870000}"/>
    <cellStyle name="Normale 3 2 3 4" xfId="37286" xr:uid="{00000000-0005-0000-0000-000080870000}"/>
    <cellStyle name="Normale 3 2 4" xfId="23500" xr:uid="{00000000-0005-0000-0000-000081870000}"/>
    <cellStyle name="Normale 3 2 4 2" xfId="28999" xr:uid="{00000000-0005-0000-0000-000082870000}"/>
    <cellStyle name="Normale 3 2 4 3" xfId="33216" xr:uid="{00000000-0005-0000-0000-000083870000}"/>
    <cellStyle name="Normale 3 2 4 4" xfId="37427" xr:uid="{00000000-0005-0000-0000-000084870000}"/>
    <cellStyle name="Normale 3 2 5" xfId="24891" xr:uid="{00000000-0005-0000-0000-000085870000}"/>
    <cellStyle name="Normale 3 2 6" xfId="29102" xr:uid="{00000000-0005-0000-0000-000086870000}"/>
    <cellStyle name="Normale 3 2 7" xfId="33319" xr:uid="{00000000-0005-0000-0000-000087870000}"/>
    <cellStyle name="Normale 3 2 8" xfId="37523" xr:uid="{00000000-0005-0000-0000-000088870000}"/>
    <cellStyle name="Normale 3 3" xfId="4454" xr:uid="{00000000-0005-0000-0000-000089870000}"/>
    <cellStyle name="Normale 3 3 2" xfId="8538" xr:uid="{00000000-0005-0000-0000-00008A870000}"/>
    <cellStyle name="Normale 3 3 3" xfId="11252" xr:uid="{00000000-0005-0000-0000-00008B870000}"/>
    <cellStyle name="Normale 3 3 3 2" xfId="28099" xr:uid="{00000000-0005-0000-0000-00008C870000}"/>
    <cellStyle name="Normale 3 3 3 3" xfId="32312" xr:uid="{00000000-0005-0000-0000-00008D870000}"/>
    <cellStyle name="Normale 3 3 3 4" xfId="36527" xr:uid="{00000000-0005-0000-0000-00008E870000}"/>
    <cellStyle name="Normale 3 3 3 5" xfId="40731" xr:uid="{00000000-0005-0000-0000-00008F870000}"/>
    <cellStyle name="Normale 3 3 4" xfId="24926" xr:uid="{00000000-0005-0000-0000-000090870000}"/>
    <cellStyle name="Normale 3 3 5" xfId="29138" xr:uid="{00000000-0005-0000-0000-000091870000}"/>
    <cellStyle name="Normale 3 3 6" xfId="33354" xr:uid="{00000000-0005-0000-0000-000092870000}"/>
    <cellStyle name="Normale 3 3 7" xfId="37558" xr:uid="{00000000-0005-0000-0000-000093870000}"/>
    <cellStyle name="Normale 3 4" xfId="12254" xr:uid="{00000000-0005-0000-0000-000094870000}"/>
    <cellStyle name="Normale 3 4 2" xfId="28822" xr:uid="{00000000-0005-0000-0000-000095870000}"/>
    <cellStyle name="Normale 3 4 3" xfId="33035" xr:uid="{00000000-0005-0000-0000-000096870000}"/>
    <cellStyle name="Normale 3 4 4" xfId="37250" xr:uid="{00000000-0005-0000-0000-000097870000}"/>
    <cellStyle name="Normale 3 5" xfId="23463" xr:uid="{00000000-0005-0000-0000-000098870000}"/>
    <cellStyle name="Normale 3 5 2" xfId="28963" xr:uid="{00000000-0005-0000-0000-000099870000}"/>
    <cellStyle name="Normale 3 5 3" xfId="33180" xr:uid="{00000000-0005-0000-0000-00009A870000}"/>
    <cellStyle name="Normale 3 5 4" xfId="37391" xr:uid="{00000000-0005-0000-0000-00009B870000}"/>
    <cellStyle name="Normale 3 6" xfId="24890" xr:uid="{00000000-0005-0000-0000-00009C870000}"/>
    <cellStyle name="Normale 3 7" xfId="29101" xr:uid="{00000000-0005-0000-0000-00009D870000}"/>
    <cellStyle name="Normale 3 8" xfId="33318" xr:uid="{00000000-0005-0000-0000-00009E870000}"/>
    <cellStyle name="Normale 3 9" xfId="37522" xr:uid="{00000000-0005-0000-0000-00009F870000}"/>
    <cellStyle name="Normale 4" xfId="2742" xr:uid="{00000000-0005-0000-0000-0000A0870000}"/>
    <cellStyle name="Normale 4 2" xfId="2743" xr:uid="{00000000-0005-0000-0000-0000A1870000}"/>
    <cellStyle name="Normale 4 2 2" xfId="4123" xr:uid="{00000000-0005-0000-0000-0000A2870000}"/>
    <cellStyle name="Normale 4 3" xfId="2744" xr:uid="{00000000-0005-0000-0000-0000A3870000}"/>
    <cellStyle name="Normale 4 3 2" xfId="4124" xr:uid="{00000000-0005-0000-0000-0000A4870000}"/>
    <cellStyle name="Normale 4 4" xfId="2745" xr:uid="{00000000-0005-0000-0000-0000A5870000}"/>
    <cellStyle name="Normale 4 4 2" xfId="4125" xr:uid="{00000000-0005-0000-0000-0000A6870000}"/>
    <cellStyle name="Normale 4 5" xfId="2746" xr:uid="{00000000-0005-0000-0000-0000A7870000}"/>
    <cellStyle name="Normale 4 5 2" xfId="4126" xr:uid="{00000000-0005-0000-0000-0000A8870000}"/>
    <cellStyle name="Normale 4 6" xfId="2747" xr:uid="{00000000-0005-0000-0000-0000A9870000}"/>
    <cellStyle name="Normale 4 6 2" xfId="4127" xr:uid="{00000000-0005-0000-0000-0000AA870000}"/>
    <cellStyle name="Normale 4 7" xfId="4122" xr:uid="{00000000-0005-0000-0000-0000AB870000}"/>
    <cellStyle name="Normale 5" xfId="4128" xr:uid="{00000000-0005-0000-0000-0000AC870000}"/>
    <cellStyle name="Normale 5 2" xfId="5482" xr:uid="{00000000-0005-0000-0000-0000AD870000}"/>
    <cellStyle name="Normale 5 3" xfId="5481" xr:uid="{00000000-0005-0000-0000-0000AE870000}"/>
    <cellStyle name="Normale 5 4" xfId="11156" xr:uid="{00000000-0005-0000-0000-0000AF870000}"/>
    <cellStyle name="Normale 54" xfId="9610" xr:uid="{00000000-0005-0000-0000-0000B0870000}"/>
    <cellStyle name="Normale 6" xfId="5483" xr:uid="{00000000-0005-0000-0000-0000B1870000}"/>
    <cellStyle name="Normale 6 2" xfId="5484" xr:uid="{00000000-0005-0000-0000-0000B2870000}"/>
    <cellStyle name="Normale 60" xfId="9611" xr:uid="{00000000-0005-0000-0000-0000B3870000}"/>
    <cellStyle name="Normale 64" xfId="9612" xr:uid="{00000000-0005-0000-0000-0000B4870000}"/>
    <cellStyle name="Normale 65" xfId="9613" xr:uid="{00000000-0005-0000-0000-0000B5870000}"/>
    <cellStyle name="Normale_B2020" xfId="2748" xr:uid="{00000000-0005-0000-0000-0000B6870000}"/>
    <cellStyle name="normální_List1" xfId="3139" xr:uid="{00000000-0005-0000-0000-0000B7870000}"/>
    <cellStyle name="Nota" xfId="9614" xr:uid="{00000000-0005-0000-0000-0000B8870000}"/>
    <cellStyle name="Nota 10" xfId="18302" xr:uid="{00000000-0005-0000-0000-0000B9870000}"/>
    <cellStyle name="Nota 11" xfId="24152" xr:uid="{00000000-0005-0000-0000-0000BA870000}"/>
    <cellStyle name="Nota 2" xfId="14993" xr:uid="{00000000-0005-0000-0000-0000BB870000}"/>
    <cellStyle name="Nota 2 2" xfId="20351" xr:uid="{00000000-0005-0000-0000-0000BC870000}"/>
    <cellStyle name="Nota 2 3" xfId="24802" xr:uid="{00000000-0005-0000-0000-0000BD870000}"/>
    <cellStyle name="Nota 3" xfId="15058" xr:uid="{00000000-0005-0000-0000-0000BE870000}"/>
    <cellStyle name="Nota 3 2" xfId="20439" xr:uid="{00000000-0005-0000-0000-0000BF870000}"/>
    <cellStyle name="Nota 4" xfId="16256" xr:uid="{00000000-0005-0000-0000-0000C0870000}"/>
    <cellStyle name="Nota 4 2" xfId="21809" xr:uid="{00000000-0005-0000-0000-0000C1870000}"/>
    <cellStyle name="Nota 5" xfId="16681" xr:uid="{00000000-0005-0000-0000-0000C2870000}"/>
    <cellStyle name="Nota 5 2" xfId="22322" xr:uid="{00000000-0005-0000-0000-0000C3870000}"/>
    <cellStyle name="Nota 6" xfId="17060" xr:uid="{00000000-0005-0000-0000-0000C4870000}"/>
    <cellStyle name="Nota 6 2" xfId="22711" xr:uid="{00000000-0005-0000-0000-0000C5870000}"/>
    <cellStyle name="Nota 7" xfId="17782" xr:uid="{00000000-0005-0000-0000-0000C6870000}"/>
    <cellStyle name="Nota 7 2" xfId="23425" xr:uid="{00000000-0005-0000-0000-0000C7870000}"/>
    <cellStyle name="Nota 8" xfId="13985" xr:uid="{00000000-0005-0000-0000-0000C8870000}"/>
    <cellStyle name="Nota 8 2" xfId="18957" xr:uid="{00000000-0005-0000-0000-0000C9870000}"/>
    <cellStyle name="Nota 9" xfId="13314" xr:uid="{00000000-0005-0000-0000-0000CA870000}"/>
    <cellStyle name="Note 10" xfId="4129" xr:uid="{00000000-0005-0000-0000-0000CB870000}"/>
    <cellStyle name="Note 10 10" xfId="12772" xr:uid="{00000000-0005-0000-0000-0000CC870000}"/>
    <cellStyle name="Note 10 11" xfId="17786" xr:uid="{00000000-0005-0000-0000-0000CD870000}"/>
    <cellStyle name="Note 10 2" xfId="4130" xr:uid="{00000000-0005-0000-0000-0000CE870000}"/>
    <cellStyle name="Note 10 2 10" xfId="18104" xr:uid="{00000000-0005-0000-0000-0000CF870000}"/>
    <cellStyle name="Note 10 2 2" xfId="14822" xr:uid="{00000000-0005-0000-0000-0000D0870000}"/>
    <cellStyle name="Note 10 2 2 2" xfId="20146" xr:uid="{00000000-0005-0000-0000-0000D1870000}"/>
    <cellStyle name="Note 10 2 2 2 2" xfId="24618" xr:uid="{00000000-0005-0000-0000-0000D2870000}"/>
    <cellStyle name="Note 10 2 2 3" xfId="23951" xr:uid="{00000000-0005-0000-0000-0000D3870000}"/>
    <cellStyle name="Note 10 2 3" xfId="14503" xr:uid="{00000000-0005-0000-0000-0000D4870000}"/>
    <cellStyle name="Note 10 2 3 2" xfId="19652" xr:uid="{00000000-0005-0000-0000-0000D5870000}"/>
    <cellStyle name="Note 10 2 4" xfId="15164" xr:uid="{00000000-0005-0000-0000-0000D6870000}"/>
    <cellStyle name="Note 10 2 4 2" xfId="20552" xr:uid="{00000000-0005-0000-0000-0000D7870000}"/>
    <cellStyle name="Note 10 2 5" xfId="16498" xr:uid="{00000000-0005-0000-0000-0000D8870000}"/>
    <cellStyle name="Note 10 2 5 2" xfId="22139" xr:uid="{00000000-0005-0000-0000-0000D9870000}"/>
    <cellStyle name="Note 10 2 6" xfId="16862" xr:uid="{00000000-0005-0000-0000-0000DA870000}"/>
    <cellStyle name="Note 10 2 6 2" xfId="22513" xr:uid="{00000000-0005-0000-0000-0000DB870000}"/>
    <cellStyle name="Note 10 2 7" xfId="17582" xr:uid="{00000000-0005-0000-0000-0000DC870000}"/>
    <cellStyle name="Note 10 2 7 2" xfId="23227" xr:uid="{00000000-0005-0000-0000-0000DD870000}"/>
    <cellStyle name="Note 10 2 8" xfId="13786" xr:uid="{00000000-0005-0000-0000-0000DE870000}"/>
    <cellStyle name="Note 10 2 8 2" xfId="18760" xr:uid="{00000000-0005-0000-0000-0000DF870000}"/>
    <cellStyle name="Note 10 2 9" xfId="13115" xr:uid="{00000000-0005-0000-0000-0000E0870000}"/>
    <cellStyle name="Note 10 3" xfId="10899" xr:uid="{00000000-0005-0000-0000-0000E1870000}"/>
    <cellStyle name="Note 10 3 2" xfId="19780" xr:uid="{00000000-0005-0000-0000-0000E2870000}"/>
    <cellStyle name="Note 10 3 2 2" xfId="24201" xr:uid="{00000000-0005-0000-0000-0000E3870000}"/>
    <cellStyle name="Note 10 3 3" xfId="23630" xr:uid="{00000000-0005-0000-0000-0000E4870000}"/>
    <cellStyle name="Note 10 3_ELC_final" xfId="43705" xr:uid="{00000000-0005-0000-0000-0000E5870000}"/>
    <cellStyle name="Note 10 4" xfId="14267" xr:uid="{00000000-0005-0000-0000-0000E6870000}"/>
    <cellStyle name="Note 10 4 2" xfId="19372" xr:uid="{00000000-0005-0000-0000-0000E7870000}"/>
    <cellStyle name="Note 10 5" xfId="15407" xr:uid="{00000000-0005-0000-0000-0000E8870000}"/>
    <cellStyle name="Note 10 5 2" xfId="20903" xr:uid="{00000000-0005-0000-0000-0000E9870000}"/>
    <cellStyle name="Note 10 6" xfId="16261" xr:uid="{00000000-0005-0000-0000-0000EA870000}"/>
    <cellStyle name="Note 10 6 2" xfId="21817" xr:uid="{00000000-0005-0000-0000-0000EB870000}"/>
    <cellStyle name="Note 10 7" xfId="15472" xr:uid="{00000000-0005-0000-0000-0000EC870000}"/>
    <cellStyle name="Note 10 7 2" xfId="20968" xr:uid="{00000000-0005-0000-0000-0000ED870000}"/>
    <cellStyle name="Note 10 8" xfId="17265" xr:uid="{00000000-0005-0000-0000-0000EE870000}"/>
    <cellStyle name="Note 10 8 2" xfId="22909" xr:uid="{00000000-0005-0000-0000-0000EF870000}"/>
    <cellStyle name="Note 10 9" xfId="13465" xr:uid="{00000000-0005-0000-0000-0000F0870000}"/>
    <cellStyle name="Note 10 9 2" xfId="18442" xr:uid="{00000000-0005-0000-0000-0000F1870000}"/>
    <cellStyle name="Note 10_ELC_final" xfId="43706" xr:uid="{00000000-0005-0000-0000-0000F2870000}"/>
    <cellStyle name="Note 11" xfId="4131" xr:uid="{00000000-0005-0000-0000-0000F3870000}"/>
    <cellStyle name="Note 11 10" xfId="12773" xr:uid="{00000000-0005-0000-0000-0000F4870000}"/>
    <cellStyle name="Note 11 11" xfId="17787" xr:uid="{00000000-0005-0000-0000-0000F5870000}"/>
    <cellStyle name="Note 11 2" xfId="4132" xr:uid="{00000000-0005-0000-0000-0000F6870000}"/>
    <cellStyle name="Note 11 2 10" xfId="18105" xr:uid="{00000000-0005-0000-0000-0000F7870000}"/>
    <cellStyle name="Note 11 2 2" xfId="10642" xr:uid="{00000000-0005-0000-0000-0000F8870000}"/>
    <cellStyle name="Note 11 2 2 2" xfId="20147" xr:uid="{00000000-0005-0000-0000-0000F9870000}"/>
    <cellStyle name="Note 11 2 2 2 2" xfId="24619" xr:uid="{00000000-0005-0000-0000-0000FA870000}"/>
    <cellStyle name="Note 11 2 2 3" xfId="23952" xr:uid="{00000000-0005-0000-0000-0000FB870000}"/>
    <cellStyle name="Note 11 2 3" xfId="14504" xr:uid="{00000000-0005-0000-0000-0000FC870000}"/>
    <cellStyle name="Note 11 2 3 2" xfId="19653" xr:uid="{00000000-0005-0000-0000-0000FD870000}"/>
    <cellStyle name="Note 11 2 4" xfId="15163" xr:uid="{00000000-0005-0000-0000-0000FE870000}"/>
    <cellStyle name="Note 11 2 4 2" xfId="20551" xr:uid="{00000000-0005-0000-0000-0000FF870000}"/>
    <cellStyle name="Note 11 2 5" xfId="16499" xr:uid="{00000000-0005-0000-0000-000000880000}"/>
    <cellStyle name="Note 11 2 5 2" xfId="22140" xr:uid="{00000000-0005-0000-0000-000001880000}"/>
    <cellStyle name="Note 11 2 6" xfId="16863" xr:uid="{00000000-0005-0000-0000-000002880000}"/>
    <cellStyle name="Note 11 2 6 2" xfId="22514" xr:uid="{00000000-0005-0000-0000-000003880000}"/>
    <cellStyle name="Note 11 2 7" xfId="17583" xr:uid="{00000000-0005-0000-0000-000004880000}"/>
    <cellStyle name="Note 11 2 7 2" xfId="23228" xr:uid="{00000000-0005-0000-0000-000005880000}"/>
    <cellStyle name="Note 11 2 8" xfId="13787" xr:uid="{00000000-0005-0000-0000-000006880000}"/>
    <cellStyle name="Note 11 2 8 2" xfId="18761" xr:uid="{00000000-0005-0000-0000-000007880000}"/>
    <cellStyle name="Note 11 2 9" xfId="13116" xr:uid="{00000000-0005-0000-0000-000008880000}"/>
    <cellStyle name="Note 11 3" xfId="10883" xr:uid="{00000000-0005-0000-0000-000009880000}"/>
    <cellStyle name="Note 11 3 2" xfId="19781" xr:uid="{00000000-0005-0000-0000-00000A880000}"/>
    <cellStyle name="Note 11 3 2 2" xfId="24200" xr:uid="{00000000-0005-0000-0000-00000B880000}"/>
    <cellStyle name="Note 11 3 3" xfId="23631" xr:uid="{00000000-0005-0000-0000-00000C880000}"/>
    <cellStyle name="Note 11 4" xfId="14268" xr:uid="{00000000-0005-0000-0000-00000D880000}"/>
    <cellStyle name="Note 11 4 2" xfId="19373" xr:uid="{00000000-0005-0000-0000-00000E880000}"/>
    <cellStyle name="Note 11 5" xfId="15406" xr:uid="{00000000-0005-0000-0000-00000F880000}"/>
    <cellStyle name="Note 11 5 2" xfId="20902" xr:uid="{00000000-0005-0000-0000-000010880000}"/>
    <cellStyle name="Note 11 6" xfId="16262" xr:uid="{00000000-0005-0000-0000-000011880000}"/>
    <cellStyle name="Note 11 6 2" xfId="21818" xr:uid="{00000000-0005-0000-0000-000012880000}"/>
    <cellStyle name="Note 11 7" xfId="15471" xr:uid="{00000000-0005-0000-0000-000013880000}"/>
    <cellStyle name="Note 11 7 2" xfId="20967" xr:uid="{00000000-0005-0000-0000-000014880000}"/>
    <cellStyle name="Note 11 8" xfId="17266" xr:uid="{00000000-0005-0000-0000-000015880000}"/>
    <cellStyle name="Note 11 8 2" xfId="22910" xr:uid="{00000000-0005-0000-0000-000016880000}"/>
    <cellStyle name="Note 11 9" xfId="13466" xr:uid="{00000000-0005-0000-0000-000017880000}"/>
    <cellStyle name="Note 11 9 2" xfId="18443" xr:uid="{00000000-0005-0000-0000-000018880000}"/>
    <cellStyle name="Note 11_ELC_final" xfId="43707" xr:uid="{00000000-0005-0000-0000-000019880000}"/>
    <cellStyle name="Note 12" xfId="43708" xr:uid="{00000000-0005-0000-0000-00001A880000}"/>
    <cellStyle name="Note 12 2" xfId="43709" xr:uid="{00000000-0005-0000-0000-00001B880000}"/>
    <cellStyle name="Note 12_ELC_final" xfId="43710" xr:uid="{00000000-0005-0000-0000-00001C880000}"/>
    <cellStyle name="Note 13" xfId="43711" xr:uid="{00000000-0005-0000-0000-00001D880000}"/>
    <cellStyle name="Note 13 2" xfId="43712" xr:uid="{00000000-0005-0000-0000-00001E880000}"/>
    <cellStyle name="Note 13_ELC_final" xfId="43713" xr:uid="{00000000-0005-0000-0000-00001F880000}"/>
    <cellStyle name="Note 14" xfId="43714" xr:uid="{00000000-0005-0000-0000-000020880000}"/>
    <cellStyle name="Note 14 2" xfId="43715" xr:uid="{00000000-0005-0000-0000-000021880000}"/>
    <cellStyle name="Note 14_ELC_final" xfId="43716" xr:uid="{00000000-0005-0000-0000-000022880000}"/>
    <cellStyle name="Note 15" xfId="43717" xr:uid="{00000000-0005-0000-0000-000023880000}"/>
    <cellStyle name="Note 15 2" xfId="43718" xr:uid="{00000000-0005-0000-0000-000024880000}"/>
    <cellStyle name="Note 15_ELC_final" xfId="43719" xr:uid="{00000000-0005-0000-0000-000025880000}"/>
    <cellStyle name="Note 16" xfId="43720" xr:uid="{00000000-0005-0000-0000-000026880000}"/>
    <cellStyle name="Note 16 2" xfId="43721" xr:uid="{00000000-0005-0000-0000-000027880000}"/>
    <cellStyle name="Note 16_ELC_final" xfId="43722" xr:uid="{00000000-0005-0000-0000-000028880000}"/>
    <cellStyle name="Note 17" xfId="43723" xr:uid="{00000000-0005-0000-0000-000029880000}"/>
    <cellStyle name="Note 17 2" xfId="43724" xr:uid="{00000000-0005-0000-0000-00002A880000}"/>
    <cellStyle name="Note 17_ELC_final" xfId="43725" xr:uid="{00000000-0005-0000-0000-00002B880000}"/>
    <cellStyle name="Note 18" xfId="43726" xr:uid="{00000000-0005-0000-0000-00002C880000}"/>
    <cellStyle name="Note 18 2" xfId="43727" xr:uid="{00000000-0005-0000-0000-00002D880000}"/>
    <cellStyle name="Note 18_ELC_final" xfId="43728" xr:uid="{00000000-0005-0000-0000-00002E880000}"/>
    <cellStyle name="Note 19" xfId="43729" xr:uid="{00000000-0005-0000-0000-00002F880000}"/>
    <cellStyle name="Note 2" xfId="2749" xr:uid="{00000000-0005-0000-0000-000030880000}"/>
    <cellStyle name="Note 2 10" xfId="2750" xr:uid="{00000000-0005-0000-0000-000031880000}"/>
    <cellStyle name="Note 2 10 10" xfId="12775" xr:uid="{00000000-0005-0000-0000-000032880000}"/>
    <cellStyle name="Note 2 10 11" xfId="17789" xr:uid="{00000000-0005-0000-0000-000033880000}"/>
    <cellStyle name="Note 2 10 12" xfId="4133" xr:uid="{00000000-0005-0000-0000-000034880000}"/>
    <cellStyle name="Note 2 10 2" xfId="4134" xr:uid="{00000000-0005-0000-0000-000035880000}"/>
    <cellStyle name="Note 2 10 2 10" xfId="18107" xr:uid="{00000000-0005-0000-0000-000036880000}"/>
    <cellStyle name="Note 2 10 2 2" xfId="14823" xr:uid="{00000000-0005-0000-0000-000037880000}"/>
    <cellStyle name="Note 2 10 2 2 2" xfId="20149" xr:uid="{00000000-0005-0000-0000-000038880000}"/>
    <cellStyle name="Note 2 10 2 2 2 2" xfId="24621" xr:uid="{00000000-0005-0000-0000-000039880000}"/>
    <cellStyle name="Note 2 10 2 2 3" xfId="23954" xr:uid="{00000000-0005-0000-0000-00003A880000}"/>
    <cellStyle name="Note 2 10 2 3" xfId="14506" xr:uid="{00000000-0005-0000-0000-00003B880000}"/>
    <cellStyle name="Note 2 10 2 3 2" xfId="19655" xr:uid="{00000000-0005-0000-0000-00003C880000}"/>
    <cellStyle name="Note 2 10 2 4" xfId="15162" xr:uid="{00000000-0005-0000-0000-00003D880000}"/>
    <cellStyle name="Note 2 10 2 4 2" xfId="20549" xr:uid="{00000000-0005-0000-0000-00003E880000}"/>
    <cellStyle name="Note 2 10 2 5" xfId="16501" xr:uid="{00000000-0005-0000-0000-00003F880000}"/>
    <cellStyle name="Note 2 10 2 5 2" xfId="22142" xr:uid="{00000000-0005-0000-0000-000040880000}"/>
    <cellStyle name="Note 2 10 2 6" xfId="16865" xr:uid="{00000000-0005-0000-0000-000041880000}"/>
    <cellStyle name="Note 2 10 2 6 2" xfId="22516" xr:uid="{00000000-0005-0000-0000-000042880000}"/>
    <cellStyle name="Note 2 10 2 7" xfId="17585" xr:uid="{00000000-0005-0000-0000-000043880000}"/>
    <cellStyle name="Note 2 10 2 7 2" xfId="23230" xr:uid="{00000000-0005-0000-0000-000044880000}"/>
    <cellStyle name="Note 2 10 2 8" xfId="13789" xr:uid="{00000000-0005-0000-0000-000045880000}"/>
    <cellStyle name="Note 2 10 2 8 2" xfId="18763" xr:uid="{00000000-0005-0000-0000-000046880000}"/>
    <cellStyle name="Note 2 10 2 9" xfId="13118" xr:uid="{00000000-0005-0000-0000-000047880000}"/>
    <cellStyle name="Note 2 10 3" xfId="10368" xr:uid="{00000000-0005-0000-0000-000048880000}"/>
    <cellStyle name="Note 2 10 3 2" xfId="19783" xr:uid="{00000000-0005-0000-0000-000049880000}"/>
    <cellStyle name="Note 2 10 3 2 2" xfId="24198" xr:uid="{00000000-0005-0000-0000-00004A880000}"/>
    <cellStyle name="Note 2 10 3 3" xfId="23633" xr:uid="{00000000-0005-0000-0000-00004B880000}"/>
    <cellStyle name="Note 2 10 4" xfId="14269" xr:uid="{00000000-0005-0000-0000-00004C880000}"/>
    <cellStyle name="Note 2 10 4 2" xfId="19375" xr:uid="{00000000-0005-0000-0000-00004D880000}"/>
    <cellStyle name="Note 2 10 5" xfId="15404" xr:uid="{00000000-0005-0000-0000-00004E880000}"/>
    <cellStyle name="Note 2 10 5 2" xfId="20900" xr:uid="{00000000-0005-0000-0000-00004F880000}"/>
    <cellStyle name="Note 2 10 6" xfId="16264" xr:uid="{00000000-0005-0000-0000-000050880000}"/>
    <cellStyle name="Note 2 10 6 2" xfId="21820" xr:uid="{00000000-0005-0000-0000-000051880000}"/>
    <cellStyle name="Note 2 10 7" xfId="15469" xr:uid="{00000000-0005-0000-0000-000052880000}"/>
    <cellStyle name="Note 2 10 7 2" xfId="20965" xr:uid="{00000000-0005-0000-0000-000053880000}"/>
    <cellStyle name="Note 2 10 8" xfId="17268" xr:uid="{00000000-0005-0000-0000-000054880000}"/>
    <cellStyle name="Note 2 10 8 2" xfId="22912" xr:uid="{00000000-0005-0000-0000-000055880000}"/>
    <cellStyle name="Note 2 10 9" xfId="13468" xr:uid="{00000000-0005-0000-0000-000056880000}"/>
    <cellStyle name="Note 2 10 9 2" xfId="18445" xr:uid="{00000000-0005-0000-0000-000057880000}"/>
    <cellStyle name="Note 2 11" xfId="2751" xr:uid="{00000000-0005-0000-0000-000058880000}"/>
    <cellStyle name="Note 2 11 10" xfId="12776" xr:uid="{00000000-0005-0000-0000-000059880000}"/>
    <cellStyle name="Note 2 11 11" xfId="17790" xr:uid="{00000000-0005-0000-0000-00005A880000}"/>
    <cellStyle name="Note 2 11 12" xfId="4135" xr:uid="{00000000-0005-0000-0000-00005B880000}"/>
    <cellStyle name="Note 2 11 2" xfId="4136" xr:uid="{00000000-0005-0000-0000-00005C880000}"/>
    <cellStyle name="Note 2 11 2 10" xfId="18108" xr:uid="{00000000-0005-0000-0000-00005D880000}"/>
    <cellStyle name="Note 2 11 2 2" xfId="14824" xr:uid="{00000000-0005-0000-0000-00005E880000}"/>
    <cellStyle name="Note 2 11 2 2 2" xfId="20150" xr:uid="{00000000-0005-0000-0000-00005F880000}"/>
    <cellStyle name="Note 2 11 2 2 2 2" xfId="24622" xr:uid="{00000000-0005-0000-0000-000060880000}"/>
    <cellStyle name="Note 2 11 2 2 3" xfId="23955" xr:uid="{00000000-0005-0000-0000-000061880000}"/>
    <cellStyle name="Note 2 11 2 3" xfId="14507" xr:uid="{00000000-0005-0000-0000-000062880000}"/>
    <cellStyle name="Note 2 11 2 3 2" xfId="19656" xr:uid="{00000000-0005-0000-0000-000063880000}"/>
    <cellStyle name="Note 2 11 2 4" xfId="15161" xr:uid="{00000000-0005-0000-0000-000064880000}"/>
    <cellStyle name="Note 2 11 2 4 2" xfId="20548" xr:uid="{00000000-0005-0000-0000-000065880000}"/>
    <cellStyle name="Note 2 11 2 5" xfId="16502" xr:uid="{00000000-0005-0000-0000-000066880000}"/>
    <cellStyle name="Note 2 11 2 5 2" xfId="22143" xr:uid="{00000000-0005-0000-0000-000067880000}"/>
    <cellStyle name="Note 2 11 2 6" xfId="16866" xr:uid="{00000000-0005-0000-0000-000068880000}"/>
    <cellStyle name="Note 2 11 2 6 2" xfId="22517" xr:uid="{00000000-0005-0000-0000-000069880000}"/>
    <cellStyle name="Note 2 11 2 7" xfId="17586" xr:uid="{00000000-0005-0000-0000-00006A880000}"/>
    <cellStyle name="Note 2 11 2 7 2" xfId="23231" xr:uid="{00000000-0005-0000-0000-00006B880000}"/>
    <cellStyle name="Note 2 11 2 8" xfId="13790" xr:uid="{00000000-0005-0000-0000-00006C880000}"/>
    <cellStyle name="Note 2 11 2 8 2" xfId="18764" xr:uid="{00000000-0005-0000-0000-00006D880000}"/>
    <cellStyle name="Note 2 11 2 9" xfId="13119" xr:uid="{00000000-0005-0000-0000-00006E880000}"/>
    <cellStyle name="Note 2 11 3" xfId="10367" xr:uid="{00000000-0005-0000-0000-00006F880000}"/>
    <cellStyle name="Note 2 11 3 2" xfId="19784" xr:uid="{00000000-0005-0000-0000-000070880000}"/>
    <cellStyle name="Note 2 11 3 2 2" xfId="24197" xr:uid="{00000000-0005-0000-0000-000071880000}"/>
    <cellStyle name="Note 2 11 3 3" xfId="23634" xr:uid="{00000000-0005-0000-0000-000072880000}"/>
    <cellStyle name="Note 2 11 4" xfId="14270" xr:uid="{00000000-0005-0000-0000-000073880000}"/>
    <cellStyle name="Note 2 11 4 2" xfId="19376" xr:uid="{00000000-0005-0000-0000-000074880000}"/>
    <cellStyle name="Note 2 11 5" xfId="15403" xr:uid="{00000000-0005-0000-0000-000075880000}"/>
    <cellStyle name="Note 2 11 5 2" xfId="20899" xr:uid="{00000000-0005-0000-0000-000076880000}"/>
    <cellStyle name="Note 2 11 6" xfId="16265" xr:uid="{00000000-0005-0000-0000-000077880000}"/>
    <cellStyle name="Note 2 11 6 2" xfId="21821" xr:uid="{00000000-0005-0000-0000-000078880000}"/>
    <cellStyle name="Note 2 11 7" xfId="15468" xr:uid="{00000000-0005-0000-0000-000079880000}"/>
    <cellStyle name="Note 2 11 7 2" xfId="20964" xr:uid="{00000000-0005-0000-0000-00007A880000}"/>
    <cellStyle name="Note 2 11 8" xfId="17269" xr:uid="{00000000-0005-0000-0000-00007B880000}"/>
    <cellStyle name="Note 2 11 8 2" xfId="22913" xr:uid="{00000000-0005-0000-0000-00007C880000}"/>
    <cellStyle name="Note 2 11 9" xfId="13469" xr:uid="{00000000-0005-0000-0000-00007D880000}"/>
    <cellStyle name="Note 2 11 9 2" xfId="18446" xr:uid="{00000000-0005-0000-0000-00007E880000}"/>
    <cellStyle name="Note 2 12" xfId="2752" xr:uid="{00000000-0005-0000-0000-00007F880000}"/>
    <cellStyle name="Note 2 12 10" xfId="12777" xr:uid="{00000000-0005-0000-0000-000080880000}"/>
    <cellStyle name="Note 2 12 11" xfId="17791" xr:uid="{00000000-0005-0000-0000-000081880000}"/>
    <cellStyle name="Note 2 12 12" xfId="4137" xr:uid="{00000000-0005-0000-0000-000082880000}"/>
    <cellStyle name="Note 2 12 2" xfId="4138" xr:uid="{00000000-0005-0000-0000-000083880000}"/>
    <cellStyle name="Note 2 12 2 10" xfId="18109" xr:uid="{00000000-0005-0000-0000-000084880000}"/>
    <cellStyle name="Note 2 12 2 2" xfId="5486" xr:uid="{00000000-0005-0000-0000-000085880000}"/>
    <cellStyle name="Note 2 12 2 2 2" xfId="20151" xr:uid="{00000000-0005-0000-0000-000086880000}"/>
    <cellStyle name="Note 2 12 2 2 2 2" xfId="24623" xr:uid="{00000000-0005-0000-0000-000087880000}"/>
    <cellStyle name="Note 2 12 2 2 2 3" xfId="44525" xr:uid="{00000000-0005-0000-0000-000088880000}"/>
    <cellStyle name="Note 2 12 2 2 3" xfId="14825" xr:uid="{00000000-0005-0000-0000-000089880000}"/>
    <cellStyle name="Note 2 12 2 2 4" xfId="23956" xr:uid="{00000000-0005-0000-0000-00008A880000}"/>
    <cellStyle name="Note 2 12 2 3" xfId="5485" xr:uid="{00000000-0005-0000-0000-00008B880000}"/>
    <cellStyle name="Note 2 12 2 3 2" xfId="19657" xr:uid="{00000000-0005-0000-0000-00008C880000}"/>
    <cellStyle name="Note 2 12 2 3 2 2" xfId="44524" xr:uid="{00000000-0005-0000-0000-00008D880000}"/>
    <cellStyle name="Note 2 12 2 3 3" xfId="14508" xr:uid="{00000000-0005-0000-0000-00008E880000}"/>
    <cellStyle name="Note 2 12 2 4" xfId="11157" xr:uid="{00000000-0005-0000-0000-00008F880000}"/>
    <cellStyle name="Note 2 12 2 4 2" xfId="20547" xr:uid="{00000000-0005-0000-0000-000090880000}"/>
    <cellStyle name="Note 2 12 2 5" xfId="10365" xr:uid="{00000000-0005-0000-0000-000091880000}"/>
    <cellStyle name="Note 2 12 2 5 2" xfId="22144" xr:uid="{00000000-0005-0000-0000-000092880000}"/>
    <cellStyle name="Note 2 12 2 5 3" xfId="16503" xr:uid="{00000000-0005-0000-0000-000093880000}"/>
    <cellStyle name="Note 2 12 2 6" xfId="16867" xr:uid="{00000000-0005-0000-0000-000094880000}"/>
    <cellStyle name="Note 2 12 2 6 2" xfId="22518" xr:uid="{00000000-0005-0000-0000-000095880000}"/>
    <cellStyle name="Note 2 12 2 7" xfId="17587" xr:uid="{00000000-0005-0000-0000-000096880000}"/>
    <cellStyle name="Note 2 12 2 7 2" xfId="23232" xr:uid="{00000000-0005-0000-0000-000097880000}"/>
    <cellStyle name="Note 2 12 2 8" xfId="13791" xr:uid="{00000000-0005-0000-0000-000098880000}"/>
    <cellStyle name="Note 2 12 2 8 2" xfId="18765" xr:uid="{00000000-0005-0000-0000-000099880000}"/>
    <cellStyle name="Note 2 12 2 9" xfId="13120" xr:uid="{00000000-0005-0000-0000-00009A880000}"/>
    <cellStyle name="Note 2 12 3" xfId="10366" xr:uid="{00000000-0005-0000-0000-00009B880000}"/>
    <cellStyle name="Note 2 12 3 2" xfId="19785" xr:uid="{00000000-0005-0000-0000-00009C880000}"/>
    <cellStyle name="Note 2 12 3 2 2" xfId="24196" xr:uid="{00000000-0005-0000-0000-00009D880000}"/>
    <cellStyle name="Note 2 12 3 3" xfId="23635" xr:uid="{00000000-0005-0000-0000-00009E880000}"/>
    <cellStyle name="Note 2 12 4" xfId="14271" xr:uid="{00000000-0005-0000-0000-00009F880000}"/>
    <cellStyle name="Note 2 12 4 2" xfId="19377" xr:uid="{00000000-0005-0000-0000-0000A0880000}"/>
    <cellStyle name="Note 2 12 5" xfId="15402" xr:uid="{00000000-0005-0000-0000-0000A1880000}"/>
    <cellStyle name="Note 2 12 5 2" xfId="20898" xr:uid="{00000000-0005-0000-0000-0000A2880000}"/>
    <cellStyle name="Note 2 12 6" xfId="16266" xr:uid="{00000000-0005-0000-0000-0000A3880000}"/>
    <cellStyle name="Note 2 12 6 2" xfId="21822" xr:uid="{00000000-0005-0000-0000-0000A4880000}"/>
    <cellStyle name="Note 2 12 7" xfId="15467" xr:uid="{00000000-0005-0000-0000-0000A5880000}"/>
    <cellStyle name="Note 2 12 7 2" xfId="20963" xr:uid="{00000000-0005-0000-0000-0000A6880000}"/>
    <cellStyle name="Note 2 12 8" xfId="17270" xr:uid="{00000000-0005-0000-0000-0000A7880000}"/>
    <cellStyle name="Note 2 12 8 2" xfId="22914" xr:uid="{00000000-0005-0000-0000-0000A8880000}"/>
    <cellStyle name="Note 2 12 9" xfId="13470" xr:uid="{00000000-0005-0000-0000-0000A9880000}"/>
    <cellStyle name="Note 2 12 9 2" xfId="18447" xr:uid="{00000000-0005-0000-0000-0000AA880000}"/>
    <cellStyle name="Note 2 13" xfId="2753" xr:uid="{00000000-0005-0000-0000-0000AB880000}"/>
    <cellStyle name="Note 2 13 10" xfId="12778" xr:uid="{00000000-0005-0000-0000-0000AC880000}"/>
    <cellStyle name="Note 2 13 11" xfId="17792" xr:uid="{00000000-0005-0000-0000-0000AD880000}"/>
    <cellStyle name="Note 2 13 12" xfId="4139" xr:uid="{00000000-0005-0000-0000-0000AE880000}"/>
    <cellStyle name="Note 2 13 2" xfId="4140" xr:uid="{00000000-0005-0000-0000-0000AF880000}"/>
    <cellStyle name="Note 2 13 2 10" xfId="18110" xr:uid="{00000000-0005-0000-0000-0000B0880000}"/>
    <cellStyle name="Note 2 13 2 2" xfId="14826" xr:uid="{00000000-0005-0000-0000-0000B1880000}"/>
    <cellStyle name="Note 2 13 2 2 2" xfId="20152" xr:uid="{00000000-0005-0000-0000-0000B2880000}"/>
    <cellStyle name="Note 2 13 2 2 2 2" xfId="24624" xr:uid="{00000000-0005-0000-0000-0000B3880000}"/>
    <cellStyle name="Note 2 13 2 2 3" xfId="23957" xr:uid="{00000000-0005-0000-0000-0000B4880000}"/>
    <cellStyle name="Note 2 13 2 3" xfId="14509" xr:uid="{00000000-0005-0000-0000-0000B5880000}"/>
    <cellStyle name="Note 2 13 2 3 2" xfId="19658" xr:uid="{00000000-0005-0000-0000-0000B6880000}"/>
    <cellStyle name="Note 2 13 2 4" xfId="15160" xr:uid="{00000000-0005-0000-0000-0000B7880000}"/>
    <cellStyle name="Note 2 13 2 4 2" xfId="20546" xr:uid="{00000000-0005-0000-0000-0000B8880000}"/>
    <cellStyle name="Note 2 13 2 5" xfId="16504" xr:uid="{00000000-0005-0000-0000-0000B9880000}"/>
    <cellStyle name="Note 2 13 2 5 2" xfId="22145" xr:uid="{00000000-0005-0000-0000-0000BA880000}"/>
    <cellStyle name="Note 2 13 2 6" xfId="16868" xr:uid="{00000000-0005-0000-0000-0000BB880000}"/>
    <cellStyle name="Note 2 13 2 6 2" xfId="22519" xr:uid="{00000000-0005-0000-0000-0000BC880000}"/>
    <cellStyle name="Note 2 13 2 7" xfId="17588" xr:uid="{00000000-0005-0000-0000-0000BD880000}"/>
    <cellStyle name="Note 2 13 2 7 2" xfId="23233" xr:uid="{00000000-0005-0000-0000-0000BE880000}"/>
    <cellStyle name="Note 2 13 2 8" xfId="13792" xr:uid="{00000000-0005-0000-0000-0000BF880000}"/>
    <cellStyle name="Note 2 13 2 8 2" xfId="18766" xr:uid="{00000000-0005-0000-0000-0000C0880000}"/>
    <cellStyle name="Note 2 13 2 9" xfId="13121" xr:uid="{00000000-0005-0000-0000-0000C1880000}"/>
    <cellStyle name="Note 2 13 3" xfId="11328" xr:uid="{00000000-0005-0000-0000-0000C2880000}"/>
    <cellStyle name="Note 2 13 3 2" xfId="19786" xr:uid="{00000000-0005-0000-0000-0000C3880000}"/>
    <cellStyle name="Note 2 13 3 2 2" xfId="24195" xr:uid="{00000000-0005-0000-0000-0000C4880000}"/>
    <cellStyle name="Note 2 13 3 3" xfId="23636" xr:uid="{00000000-0005-0000-0000-0000C5880000}"/>
    <cellStyle name="Note 2 13 4" xfId="14272" xr:uid="{00000000-0005-0000-0000-0000C6880000}"/>
    <cellStyle name="Note 2 13 4 2" xfId="19378" xr:uid="{00000000-0005-0000-0000-0000C7880000}"/>
    <cellStyle name="Note 2 13 5" xfId="15401" xr:uid="{00000000-0005-0000-0000-0000C8880000}"/>
    <cellStyle name="Note 2 13 5 2" xfId="20897" xr:uid="{00000000-0005-0000-0000-0000C9880000}"/>
    <cellStyle name="Note 2 13 6" xfId="16267" xr:uid="{00000000-0005-0000-0000-0000CA880000}"/>
    <cellStyle name="Note 2 13 6 2" xfId="21823" xr:uid="{00000000-0005-0000-0000-0000CB880000}"/>
    <cellStyle name="Note 2 13 7" xfId="15466" xr:uid="{00000000-0005-0000-0000-0000CC880000}"/>
    <cellStyle name="Note 2 13 7 2" xfId="20962" xr:uid="{00000000-0005-0000-0000-0000CD880000}"/>
    <cellStyle name="Note 2 13 8" xfId="17271" xr:uid="{00000000-0005-0000-0000-0000CE880000}"/>
    <cellStyle name="Note 2 13 8 2" xfId="22915" xr:uid="{00000000-0005-0000-0000-0000CF880000}"/>
    <cellStyle name="Note 2 13 9" xfId="13471" xr:uid="{00000000-0005-0000-0000-0000D0880000}"/>
    <cellStyle name="Note 2 13 9 2" xfId="18448" xr:uid="{00000000-0005-0000-0000-0000D1880000}"/>
    <cellStyle name="Note 2 14" xfId="4141" xr:uid="{00000000-0005-0000-0000-0000D2880000}"/>
    <cellStyle name="Note 2 14 10" xfId="18106" xr:uid="{00000000-0005-0000-0000-0000D3880000}"/>
    <cellStyle name="Note 2 14 2" xfId="6317" xr:uid="{00000000-0005-0000-0000-0000D4880000}"/>
    <cellStyle name="Note 2 14 2 2" xfId="20148" xr:uid="{00000000-0005-0000-0000-0000D5880000}"/>
    <cellStyle name="Note 2 14 2 2 2" xfId="24620" xr:uid="{00000000-0005-0000-0000-0000D6880000}"/>
    <cellStyle name="Note 2 14 2 3" xfId="23953" xr:uid="{00000000-0005-0000-0000-0000D7880000}"/>
    <cellStyle name="Note 2 14 3" xfId="8539" xr:uid="{00000000-0005-0000-0000-0000D8880000}"/>
    <cellStyle name="Note 2 14 3 2" xfId="19654" xr:uid="{00000000-0005-0000-0000-0000D9880000}"/>
    <cellStyle name="Note 2 14 3 2 2" xfId="44963" xr:uid="{00000000-0005-0000-0000-0000DA880000}"/>
    <cellStyle name="Note 2 14 3 3" xfId="14505" xr:uid="{00000000-0005-0000-0000-0000DB880000}"/>
    <cellStyle name="Note 2 14 4" xfId="10364" xr:uid="{00000000-0005-0000-0000-0000DC880000}"/>
    <cellStyle name="Note 2 14 4 2" xfId="20550" xr:uid="{00000000-0005-0000-0000-0000DD880000}"/>
    <cellStyle name="Note 2 14 5" xfId="16500" xr:uid="{00000000-0005-0000-0000-0000DE880000}"/>
    <cellStyle name="Note 2 14 5 2" xfId="22141" xr:uid="{00000000-0005-0000-0000-0000DF880000}"/>
    <cellStyle name="Note 2 14 5 3" xfId="41665" xr:uid="{00000000-0005-0000-0000-0000E0880000}"/>
    <cellStyle name="Note 2 14 6" xfId="16864" xr:uid="{00000000-0005-0000-0000-0000E1880000}"/>
    <cellStyle name="Note 2 14 6 2" xfId="22515" xr:uid="{00000000-0005-0000-0000-0000E2880000}"/>
    <cellStyle name="Note 2 14 7" xfId="17584" xr:uid="{00000000-0005-0000-0000-0000E3880000}"/>
    <cellStyle name="Note 2 14 7 2" xfId="23229" xr:uid="{00000000-0005-0000-0000-0000E4880000}"/>
    <cellStyle name="Note 2 14 8" xfId="13788" xr:uid="{00000000-0005-0000-0000-0000E5880000}"/>
    <cellStyle name="Note 2 14 8 2" xfId="18762" xr:uid="{00000000-0005-0000-0000-0000E6880000}"/>
    <cellStyle name="Note 2 14 9" xfId="13117" xr:uid="{00000000-0005-0000-0000-0000E7880000}"/>
    <cellStyle name="Note 2 15" xfId="6318" xr:uid="{00000000-0005-0000-0000-0000E8880000}"/>
    <cellStyle name="Note 2 15 2" xfId="8540" xr:uid="{00000000-0005-0000-0000-0000E9880000}"/>
    <cellStyle name="Note 2 15 2 2" xfId="19782" xr:uid="{00000000-0005-0000-0000-0000EA880000}"/>
    <cellStyle name="Note 2 15 2 2 2" xfId="44964" xr:uid="{00000000-0005-0000-0000-0000EB880000}"/>
    <cellStyle name="Note 2 15 2 3" xfId="24199" xr:uid="{00000000-0005-0000-0000-0000EC880000}"/>
    <cellStyle name="Note 2 15 3" xfId="23632" xr:uid="{00000000-0005-0000-0000-0000ED880000}"/>
    <cellStyle name="Note 2 15 3 2" xfId="41666" xr:uid="{00000000-0005-0000-0000-0000EE880000}"/>
    <cellStyle name="Note 2 15 4" xfId="44841" xr:uid="{00000000-0005-0000-0000-0000EF880000}"/>
    <cellStyle name="Note 2 16" xfId="10369" xr:uid="{00000000-0005-0000-0000-0000F0880000}"/>
    <cellStyle name="Note 2 16 2" xfId="19374" xr:uid="{00000000-0005-0000-0000-0000F1880000}"/>
    <cellStyle name="Note 2 16 2 2" xfId="43730" xr:uid="{00000000-0005-0000-0000-0000F2880000}"/>
    <cellStyle name="Note 2 17" xfId="3093" xr:uid="{00000000-0005-0000-0000-0000F3880000}"/>
    <cellStyle name="Note 2 17 2" xfId="20901" xr:uid="{00000000-0005-0000-0000-0000F4880000}"/>
    <cellStyle name="Note 2 17 3" xfId="15405" xr:uid="{00000000-0005-0000-0000-0000F5880000}"/>
    <cellStyle name="Note 2 18" xfId="16263" xr:uid="{00000000-0005-0000-0000-0000F6880000}"/>
    <cellStyle name="Note 2 18 2" xfId="21819" xr:uid="{00000000-0005-0000-0000-0000F7880000}"/>
    <cellStyle name="Note 2 19" xfId="15470" xr:uid="{00000000-0005-0000-0000-0000F8880000}"/>
    <cellStyle name="Note 2 19 2" xfId="20966" xr:uid="{00000000-0005-0000-0000-0000F9880000}"/>
    <cellStyle name="Note 2 2" xfId="2754" xr:uid="{00000000-0005-0000-0000-0000FA880000}"/>
    <cellStyle name="Note 2 2 10" xfId="13472" xr:uid="{00000000-0005-0000-0000-0000FB880000}"/>
    <cellStyle name="Note 2 2 10 2" xfId="18449" xr:uid="{00000000-0005-0000-0000-0000FC880000}"/>
    <cellStyle name="Note 2 2 11" xfId="12779" xr:uid="{00000000-0005-0000-0000-0000FD880000}"/>
    <cellStyle name="Note 2 2 12" xfId="17793" xr:uid="{00000000-0005-0000-0000-0000FE880000}"/>
    <cellStyle name="Note 2 2 13" xfId="4142" xr:uid="{00000000-0005-0000-0000-0000FF880000}"/>
    <cellStyle name="Note 2 2 2" xfId="4143" xr:uid="{00000000-0005-0000-0000-000000890000}"/>
    <cellStyle name="Note 2 2 2 10" xfId="17975" xr:uid="{00000000-0005-0000-0000-000001890000}"/>
    <cellStyle name="Note 2 2 2 2" xfId="14680" xr:uid="{00000000-0005-0000-0000-000002890000}"/>
    <cellStyle name="Note 2 2 2 2 2" xfId="19990" xr:uid="{00000000-0005-0000-0000-000003890000}"/>
    <cellStyle name="Note 2 2 2 2 2 2" xfId="24490" xr:uid="{00000000-0005-0000-0000-000004890000}"/>
    <cellStyle name="Note 2 2 2 2 3" xfId="23819" xr:uid="{00000000-0005-0000-0000-000005890000}"/>
    <cellStyle name="Note 2 2 2 2 4" xfId="43732" xr:uid="{00000000-0005-0000-0000-000006890000}"/>
    <cellStyle name="Note 2 2 2 3" xfId="14404" xr:uid="{00000000-0005-0000-0000-000007890000}"/>
    <cellStyle name="Note 2 2 2 3 2" xfId="19542" xr:uid="{00000000-0005-0000-0000-000008890000}"/>
    <cellStyle name="Note 2 2 2 4" xfId="15299" xr:uid="{00000000-0005-0000-0000-000009890000}"/>
    <cellStyle name="Note 2 2 2 4 2" xfId="20688" xr:uid="{00000000-0005-0000-0000-00000A890000}"/>
    <cellStyle name="Note 2 2 2 5" xfId="16375" xr:uid="{00000000-0005-0000-0000-00000B890000}"/>
    <cellStyle name="Note 2 2 2 5 2" xfId="22016" xr:uid="{00000000-0005-0000-0000-00000C890000}"/>
    <cellStyle name="Note 2 2 2 6" xfId="16733" xr:uid="{00000000-0005-0000-0000-00000D890000}"/>
    <cellStyle name="Note 2 2 2 6 2" xfId="22384" xr:uid="{00000000-0005-0000-0000-00000E890000}"/>
    <cellStyle name="Note 2 2 2 7" xfId="17450" xr:uid="{00000000-0005-0000-0000-00000F890000}"/>
    <cellStyle name="Note 2 2 2 7 2" xfId="23098" xr:uid="{00000000-0005-0000-0000-000010890000}"/>
    <cellStyle name="Note 2 2 2 8" xfId="13654" xr:uid="{00000000-0005-0000-0000-000011890000}"/>
    <cellStyle name="Note 2 2 2 8 2" xfId="18631" xr:uid="{00000000-0005-0000-0000-000012890000}"/>
    <cellStyle name="Note 2 2 2 9" xfId="12981" xr:uid="{00000000-0005-0000-0000-000013890000}"/>
    <cellStyle name="Note 2 2 3" xfId="4144" xr:uid="{00000000-0005-0000-0000-000014890000}"/>
    <cellStyle name="Note 2 2 3 10" xfId="18111" xr:uid="{00000000-0005-0000-0000-000015890000}"/>
    <cellStyle name="Note 2 2 3 2" xfId="14827" xr:uid="{00000000-0005-0000-0000-000016890000}"/>
    <cellStyle name="Note 2 2 3 2 2" xfId="20153" xr:uid="{00000000-0005-0000-0000-000017890000}"/>
    <cellStyle name="Note 2 2 3 2 2 2" xfId="24625" xr:uid="{00000000-0005-0000-0000-000018890000}"/>
    <cellStyle name="Note 2 2 3 2 3" xfId="23958" xr:uid="{00000000-0005-0000-0000-000019890000}"/>
    <cellStyle name="Note 2 2 3 2 4" xfId="43731" xr:uid="{00000000-0005-0000-0000-00001A890000}"/>
    <cellStyle name="Note 2 2 3 3" xfId="14510" xr:uid="{00000000-0005-0000-0000-00001B890000}"/>
    <cellStyle name="Note 2 2 3 3 2" xfId="19659" xr:uid="{00000000-0005-0000-0000-00001C890000}"/>
    <cellStyle name="Note 2 2 3 4" xfId="15159" xr:uid="{00000000-0005-0000-0000-00001D890000}"/>
    <cellStyle name="Note 2 2 3 4 2" xfId="20545" xr:uid="{00000000-0005-0000-0000-00001E890000}"/>
    <cellStyle name="Note 2 2 3 5" xfId="16505" xr:uid="{00000000-0005-0000-0000-00001F890000}"/>
    <cellStyle name="Note 2 2 3 5 2" xfId="22146" xr:uid="{00000000-0005-0000-0000-000020890000}"/>
    <cellStyle name="Note 2 2 3 6" xfId="16869" xr:uid="{00000000-0005-0000-0000-000021890000}"/>
    <cellStyle name="Note 2 2 3 6 2" xfId="22520" xr:uid="{00000000-0005-0000-0000-000022890000}"/>
    <cellStyle name="Note 2 2 3 7" xfId="17589" xr:uid="{00000000-0005-0000-0000-000023890000}"/>
    <cellStyle name="Note 2 2 3 7 2" xfId="23234" xr:uid="{00000000-0005-0000-0000-000024890000}"/>
    <cellStyle name="Note 2 2 3 8" xfId="13793" xr:uid="{00000000-0005-0000-0000-000025890000}"/>
    <cellStyle name="Note 2 2 3 8 2" xfId="18767" xr:uid="{00000000-0005-0000-0000-000026890000}"/>
    <cellStyle name="Note 2 2 3 9" xfId="13122" xr:uid="{00000000-0005-0000-0000-000027890000}"/>
    <cellStyle name="Note 2 2 4" xfId="10363" xr:uid="{00000000-0005-0000-0000-000028890000}"/>
    <cellStyle name="Note 2 2 4 2" xfId="19787" xr:uid="{00000000-0005-0000-0000-000029890000}"/>
    <cellStyle name="Note 2 2 4 2 2" xfId="24194" xr:uid="{00000000-0005-0000-0000-00002A890000}"/>
    <cellStyle name="Note 2 2 4 3" xfId="23637" xr:uid="{00000000-0005-0000-0000-00002B890000}"/>
    <cellStyle name="Note 2 2 5" xfId="14802" xr:uid="{00000000-0005-0000-0000-00002C890000}"/>
    <cellStyle name="Note 2 2 5 2" xfId="20123" xr:uid="{00000000-0005-0000-0000-00002D890000}"/>
    <cellStyle name="Note 2 2 6" xfId="15400" xr:uid="{00000000-0005-0000-0000-00002E890000}"/>
    <cellStyle name="Note 2 2 6 2" xfId="20896" xr:uid="{00000000-0005-0000-0000-00002F890000}"/>
    <cellStyle name="Note 2 2 7" xfId="16268" xr:uid="{00000000-0005-0000-0000-000030890000}"/>
    <cellStyle name="Note 2 2 7 2" xfId="21824" xr:uid="{00000000-0005-0000-0000-000031890000}"/>
    <cellStyle name="Note 2 2 8" xfId="15465" xr:uid="{00000000-0005-0000-0000-000032890000}"/>
    <cellStyle name="Note 2 2 8 2" xfId="20961" xr:uid="{00000000-0005-0000-0000-000033890000}"/>
    <cellStyle name="Note 2 2 9" xfId="17272" xr:uid="{00000000-0005-0000-0000-000034890000}"/>
    <cellStyle name="Note 2 2 9 2" xfId="22916" xr:uid="{00000000-0005-0000-0000-000035890000}"/>
    <cellStyle name="Note 2 20" xfId="17267" xr:uid="{00000000-0005-0000-0000-000036890000}"/>
    <cellStyle name="Note 2 20 2" xfId="22911" xr:uid="{00000000-0005-0000-0000-000037890000}"/>
    <cellStyle name="Note 2 21" xfId="13467" xr:uid="{00000000-0005-0000-0000-000038890000}"/>
    <cellStyle name="Note 2 21 2" xfId="18444" xr:uid="{00000000-0005-0000-0000-000039890000}"/>
    <cellStyle name="Note 2 22" xfId="12774" xr:uid="{00000000-0005-0000-0000-00003A890000}"/>
    <cellStyle name="Note 2 23" xfId="17788" xr:uid="{00000000-0005-0000-0000-00003B890000}"/>
    <cellStyle name="Note 2 24" xfId="46487" xr:uid="{28FA98D4-1C2E-438E-AA25-F8B9275DA136}"/>
    <cellStyle name="Note 2 3" xfId="2755" xr:uid="{00000000-0005-0000-0000-00003C890000}"/>
    <cellStyle name="Note 2 3 10" xfId="12780" xr:uid="{00000000-0005-0000-0000-00003D890000}"/>
    <cellStyle name="Note 2 3 11" xfId="17794" xr:uid="{00000000-0005-0000-0000-00003E890000}"/>
    <cellStyle name="Note 2 3 12" xfId="4145" xr:uid="{00000000-0005-0000-0000-00003F890000}"/>
    <cellStyle name="Note 2 3 2" xfId="4146" xr:uid="{00000000-0005-0000-0000-000040890000}"/>
    <cellStyle name="Note 2 3 2 10" xfId="18112" xr:uid="{00000000-0005-0000-0000-000041890000}"/>
    <cellStyle name="Note 2 3 2 2" xfId="14828" xr:uid="{00000000-0005-0000-0000-000042890000}"/>
    <cellStyle name="Note 2 3 2 2 2" xfId="20154" xr:uid="{00000000-0005-0000-0000-000043890000}"/>
    <cellStyle name="Note 2 3 2 2 2 2" xfId="24626" xr:uid="{00000000-0005-0000-0000-000044890000}"/>
    <cellStyle name="Note 2 3 2 2 3" xfId="23959" xr:uid="{00000000-0005-0000-0000-000045890000}"/>
    <cellStyle name="Note 2 3 2 3" xfId="14812" xr:uid="{00000000-0005-0000-0000-000046890000}"/>
    <cellStyle name="Note 2 3 2 3 2" xfId="20133" xr:uid="{00000000-0005-0000-0000-000047890000}"/>
    <cellStyle name="Note 2 3 2 4" xfId="15158" xr:uid="{00000000-0005-0000-0000-000048890000}"/>
    <cellStyle name="Note 2 3 2 4 2" xfId="20544" xr:uid="{00000000-0005-0000-0000-000049890000}"/>
    <cellStyle name="Note 2 3 2 5" xfId="16506" xr:uid="{00000000-0005-0000-0000-00004A890000}"/>
    <cellStyle name="Note 2 3 2 5 2" xfId="22147" xr:uid="{00000000-0005-0000-0000-00004B890000}"/>
    <cellStyle name="Note 2 3 2 6" xfId="16870" xr:uid="{00000000-0005-0000-0000-00004C890000}"/>
    <cellStyle name="Note 2 3 2 6 2" xfId="22521" xr:uid="{00000000-0005-0000-0000-00004D890000}"/>
    <cellStyle name="Note 2 3 2 7" xfId="17590" xr:uid="{00000000-0005-0000-0000-00004E890000}"/>
    <cellStyle name="Note 2 3 2 7 2" xfId="23235" xr:uid="{00000000-0005-0000-0000-00004F890000}"/>
    <cellStyle name="Note 2 3 2 8" xfId="13794" xr:uid="{00000000-0005-0000-0000-000050890000}"/>
    <cellStyle name="Note 2 3 2 8 2" xfId="18768" xr:uid="{00000000-0005-0000-0000-000051890000}"/>
    <cellStyle name="Note 2 3 2 9" xfId="13123" xr:uid="{00000000-0005-0000-0000-000052890000}"/>
    <cellStyle name="Note 2 3 3" xfId="10362" xr:uid="{00000000-0005-0000-0000-000053890000}"/>
    <cellStyle name="Note 2 3 3 2" xfId="19788" xr:uid="{00000000-0005-0000-0000-000054890000}"/>
    <cellStyle name="Note 2 3 3 2 2" xfId="24193" xr:uid="{00000000-0005-0000-0000-000055890000}"/>
    <cellStyle name="Note 2 3 3 3" xfId="23638" xr:uid="{00000000-0005-0000-0000-000056890000}"/>
    <cellStyle name="Note 2 3 4" xfId="14273" xr:uid="{00000000-0005-0000-0000-000057890000}"/>
    <cellStyle name="Note 2 3 4 2" xfId="19379" xr:uid="{00000000-0005-0000-0000-000058890000}"/>
    <cellStyle name="Note 2 3 5" xfId="15399" xr:uid="{00000000-0005-0000-0000-000059890000}"/>
    <cellStyle name="Note 2 3 5 2" xfId="20895" xr:uid="{00000000-0005-0000-0000-00005A890000}"/>
    <cellStyle name="Note 2 3 6" xfId="16269" xr:uid="{00000000-0005-0000-0000-00005B890000}"/>
    <cellStyle name="Note 2 3 6 2" xfId="21825" xr:uid="{00000000-0005-0000-0000-00005C890000}"/>
    <cellStyle name="Note 2 3 7" xfId="15464" xr:uid="{00000000-0005-0000-0000-00005D890000}"/>
    <cellStyle name="Note 2 3 7 2" xfId="20960" xr:uid="{00000000-0005-0000-0000-00005E890000}"/>
    <cellStyle name="Note 2 3 8" xfId="17273" xr:uid="{00000000-0005-0000-0000-00005F890000}"/>
    <cellStyle name="Note 2 3 8 2" xfId="22917" xr:uid="{00000000-0005-0000-0000-000060890000}"/>
    <cellStyle name="Note 2 3 9" xfId="13473" xr:uid="{00000000-0005-0000-0000-000061890000}"/>
    <cellStyle name="Note 2 3 9 2" xfId="18450" xr:uid="{00000000-0005-0000-0000-000062890000}"/>
    <cellStyle name="Note 2 4" xfId="2756" xr:uid="{00000000-0005-0000-0000-000063890000}"/>
    <cellStyle name="Note 2 4 10" xfId="12781" xr:uid="{00000000-0005-0000-0000-000064890000}"/>
    <cellStyle name="Note 2 4 11" xfId="17795" xr:uid="{00000000-0005-0000-0000-000065890000}"/>
    <cellStyle name="Note 2 4 12" xfId="4147" xr:uid="{00000000-0005-0000-0000-000066890000}"/>
    <cellStyle name="Note 2 4 2" xfId="4148" xr:uid="{00000000-0005-0000-0000-000067890000}"/>
    <cellStyle name="Note 2 4 2 10" xfId="18113" xr:uid="{00000000-0005-0000-0000-000068890000}"/>
    <cellStyle name="Note 2 4 2 2" xfId="14829" xr:uid="{00000000-0005-0000-0000-000069890000}"/>
    <cellStyle name="Note 2 4 2 2 2" xfId="20155" xr:uid="{00000000-0005-0000-0000-00006A890000}"/>
    <cellStyle name="Note 2 4 2 2 2 2" xfId="24627" xr:uid="{00000000-0005-0000-0000-00006B890000}"/>
    <cellStyle name="Note 2 4 2 2 3" xfId="23960" xr:uid="{00000000-0005-0000-0000-00006C890000}"/>
    <cellStyle name="Note 2 4 2 3" xfId="14511" xr:uid="{00000000-0005-0000-0000-00006D890000}"/>
    <cellStyle name="Note 2 4 2 3 2" xfId="19660" xr:uid="{00000000-0005-0000-0000-00006E890000}"/>
    <cellStyle name="Note 2 4 2 4" xfId="15157" xr:uid="{00000000-0005-0000-0000-00006F890000}"/>
    <cellStyle name="Note 2 4 2 4 2" xfId="20543" xr:uid="{00000000-0005-0000-0000-000070890000}"/>
    <cellStyle name="Note 2 4 2 5" xfId="16507" xr:uid="{00000000-0005-0000-0000-000071890000}"/>
    <cellStyle name="Note 2 4 2 5 2" xfId="22148" xr:uid="{00000000-0005-0000-0000-000072890000}"/>
    <cellStyle name="Note 2 4 2 6" xfId="16871" xr:uid="{00000000-0005-0000-0000-000073890000}"/>
    <cellStyle name="Note 2 4 2 6 2" xfId="22522" xr:uid="{00000000-0005-0000-0000-000074890000}"/>
    <cellStyle name="Note 2 4 2 7" xfId="17591" xr:uid="{00000000-0005-0000-0000-000075890000}"/>
    <cellStyle name="Note 2 4 2 7 2" xfId="23236" xr:uid="{00000000-0005-0000-0000-000076890000}"/>
    <cellStyle name="Note 2 4 2 8" xfId="13795" xr:uid="{00000000-0005-0000-0000-000077890000}"/>
    <cellStyle name="Note 2 4 2 8 2" xfId="18769" xr:uid="{00000000-0005-0000-0000-000078890000}"/>
    <cellStyle name="Note 2 4 2 9" xfId="13124" xr:uid="{00000000-0005-0000-0000-000079890000}"/>
    <cellStyle name="Note 2 4 3" xfId="10361" xr:uid="{00000000-0005-0000-0000-00007A890000}"/>
    <cellStyle name="Note 2 4 3 2" xfId="19789" xr:uid="{00000000-0005-0000-0000-00007B890000}"/>
    <cellStyle name="Note 2 4 3 2 2" xfId="24192" xr:uid="{00000000-0005-0000-0000-00007C890000}"/>
    <cellStyle name="Note 2 4 3 3" xfId="23639" xr:uid="{00000000-0005-0000-0000-00007D890000}"/>
    <cellStyle name="Note 2 4 4" xfId="14803" xr:uid="{00000000-0005-0000-0000-00007E890000}"/>
    <cellStyle name="Note 2 4 4 2" xfId="20124" xr:uid="{00000000-0005-0000-0000-00007F890000}"/>
    <cellStyle name="Note 2 4 5" xfId="15398" xr:uid="{00000000-0005-0000-0000-000080890000}"/>
    <cellStyle name="Note 2 4 5 2" xfId="20894" xr:uid="{00000000-0005-0000-0000-000081890000}"/>
    <cellStyle name="Note 2 4 6" xfId="16270" xr:uid="{00000000-0005-0000-0000-000082890000}"/>
    <cellStyle name="Note 2 4 6 2" xfId="21826" xr:uid="{00000000-0005-0000-0000-000083890000}"/>
    <cellStyle name="Note 2 4 7" xfId="15463" xr:uid="{00000000-0005-0000-0000-000084890000}"/>
    <cellStyle name="Note 2 4 7 2" xfId="20959" xr:uid="{00000000-0005-0000-0000-000085890000}"/>
    <cellStyle name="Note 2 4 8" xfId="17274" xr:uid="{00000000-0005-0000-0000-000086890000}"/>
    <cellStyle name="Note 2 4 8 2" xfId="22918" xr:uid="{00000000-0005-0000-0000-000087890000}"/>
    <cellStyle name="Note 2 4 9" xfId="13474" xr:uid="{00000000-0005-0000-0000-000088890000}"/>
    <cellStyle name="Note 2 4 9 2" xfId="18451" xr:uid="{00000000-0005-0000-0000-000089890000}"/>
    <cellStyle name="Note 2 5" xfId="2757" xr:uid="{00000000-0005-0000-0000-00008A890000}"/>
    <cellStyle name="Note 2 5 10" xfId="12782" xr:uid="{00000000-0005-0000-0000-00008B890000}"/>
    <cellStyle name="Note 2 5 11" xfId="17796" xr:uid="{00000000-0005-0000-0000-00008C890000}"/>
    <cellStyle name="Note 2 5 12" xfId="4149" xr:uid="{00000000-0005-0000-0000-00008D890000}"/>
    <cellStyle name="Note 2 5 2" xfId="4150" xr:uid="{00000000-0005-0000-0000-00008E890000}"/>
    <cellStyle name="Note 2 5 2 10" xfId="18114" xr:uid="{00000000-0005-0000-0000-00008F890000}"/>
    <cellStyle name="Note 2 5 2 2" xfId="14830" xr:uid="{00000000-0005-0000-0000-000090890000}"/>
    <cellStyle name="Note 2 5 2 2 2" xfId="20156" xr:uid="{00000000-0005-0000-0000-000091890000}"/>
    <cellStyle name="Note 2 5 2 2 2 2" xfId="24628" xr:uid="{00000000-0005-0000-0000-000092890000}"/>
    <cellStyle name="Note 2 5 2 2 3" xfId="23961" xr:uid="{00000000-0005-0000-0000-000093890000}"/>
    <cellStyle name="Note 2 5 2 3" xfId="14512" xr:uid="{00000000-0005-0000-0000-000094890000}"/>
    <cellStyle name="Note 2 5 2 3 2" xfId="19661" xr:uid="{00000000-0005-0000-0000-000095890000}"/>
    <cellStyle name="Note 2 5 2 4" xfId="15156" xr:uid="{00000000-0005-0000-0000-000096890000}"/>
    <cellStyle name="Note 2 5 2 4 2" xfId="20542" xr:uid="{00000000-0005-0000-0000-000097890000}"/>
    <cellStyle name="Note 2 5 2 5" xfId="16508" xr:uid="{00000000-0005-0000-0000-000098890000}"/>
    <cellStyle name="Note 2 5 2 5 2" xfId="22149" xr:uid="{00000000-0005-0000-0000-000099890000}"/>
    <cellStyle name="Note 2 5 2 6" xfId="16872" xr:uid="{00000000-0005-0000-0000-00009A890000}"/>
    <cellStyle name="Note 2 5 2 6 2" xfId="22523" xr:uid="{00000000-0005-0000-0000-00009B890000}"/>
    <cellStyle name="Note 2 5 2 7" xfId="17592" xr:uid="{00000000-0005-0000-0000-00009C890000}"/>
    <cellStyle name="Note 2 5 2 7 2" xfId="23237" xr:uid="{00000000-0005-0000-0000-00009D890000}"/>
    <cellStyle name="Note 2 5 2 8" xfId="13796" xr:uid="{00000000-0005-0000-0000-00009E890000}"/>
    <cellStyle name="Note 2 5 2 8 2" xfId="18770" xr:uid="{00000000-0005-0000-0000-00009F890000}"/>
    <cellStyle name="Note 2 5 2 9" xfId="13125" xr:uid="{00000000-0005-0000-0000-0000A0890000}"/>
    <cellStyle name="Note 2 5 3" xfId="10360" xr:uid="{00000000-0005-0000-0000-0000A1890000}"/>
    <cellStyle name="Note 2 5 3 2" xfId="19790" xr:uid="{00000000-0005-0000-0000-0000A2890000}"/>
    <cellStyle name="Note 2 5 3 2 2" xfId="24191" xr:uid="{00000000-0005-0000-0000-0000A3890000}"/>
    <cellStyle name="Note 2 5 3 3" xfId="23640" xr:uid="{00000000-0005-0000-0000-0000A4890000}"/>
    <cellStyle name="Note 2 5 4" xfId="14274" xr:uid="{00000000-0005-0000-0000-0000A5890000}"/>
    <cellStyle name="Note 2 5 4 2" xfId="19380" xr:uid="{00000000-0005-0000-0000-0000A6890000}"/>
    <cellStyle name="Note 2 5 5" xfId="15397" xr:uid="{00000000-0005-0000-0000-0000A7890000}"/>
    <cellStyle name="Note 2 5 5 2" xfId="20893" xr:uid="{00000000-0005-0000-0000-0000A8890000}"/>
    <cellStyle name="Note 2 5 6" xfId="16271" xr:uid="{00000000-0005-0000-0000-0000A9890000}"/>
    <cellStyle name="Note 2 5 6 2" xfId="21827" xr:uid="{00000000-0005-0000-0000-0000AA890000}"/>
    <cellStyle name="Note 2 5 7" xfId="15462" xr:uid="{00000000-0005-0000-0000-0000AB890000}"/>
    <cellStyle name="Note 2 5 7 2" xfId="20958" xr:uid="{00000000-0005-0000-0000-0000AC890000}"/>
    <cellStyle name="Note 2 5 8" xfId="17275" xr:uid="{00000000-0005-0000-0000-0000AD890000}"/>
    <cellStyle name="Note 2 5 8 2" xfId="22919" xr:uid="{00000000-0005-0000-0000-0000AE890000}"/>
    <cellStyle name="Note 2 5 9" xfId="13475" xr:uid="{00000000-0005-0000-0000-0000AF890000}"/>
    <cellStyle name="Note 2 5 9 2" xfId="18452" xr:uid="{00000000-0005-0000-0000-0000B0890000}"/>
    <cellStyle name="Note 2 6" xfId="2758" xr:uid="{00000000-0005-0000-0000-0000B1890000}"/>
    <cellStyle name="Note 2 6 10" xfId="12783" xr:uid="{00000000-0005-0000-0000-0000B2890000}"/>
    <cellStyle name="Note 2 6 11" xfId="17797" xr:uid="{00000000-0005-0000-0000-0000B3890000}"/>
    <cellStyle name="Note 2 6 12" xfId="4151" xr:uid="{00000000-0005-0000-0000-0000B4890000}"/>
    <cellStyle name="Note 2 6 2" xfId="4152" xr:uid="{00000000-0005-0000-0000-0000B5890000}"/>
    <cellStyle name="Note 2 6 2 10" xfId="18115" xr:uid="{00000000-0005-0000-0000-0000B6890000}"/>
    <cellStyle name="Note 2 6 2 2" xfId="14831" xr:uid="{00000000-0005-0000-0000-0000B7890000}"/>
    <cellStyle name="Note 2 6 2 2 2" xfId="20157" xr:uid="{00000000-0005-0000-0000-0000B8890000}"/>
    <cellStyle name="Note 2 6 2 2 2 2" xfId="24629" xr:uid="{00000000-0005-0000-0000-0000B9890000}"/>
    <cellStyle name="Note 2 6 2 2 3" xfId="23962" xr:uid="{00000000-0005-0000-0000-0000BA890000}"/>
    <cellStyle name="Note 2 6 2 3" xfId="14814" xr:uid="{00000000-0005-0000-0000-0000BB890000}"/>
    <cellStyle name="Note 2 6 2 3 2" xfId="20135" xr:uid="{00000000-0005-0000-0000-0000BC890000}"/>
    <cellStyle name="Note 2 6 2 4" xfId="15155" xr:uid="{00000000-0005-0000-0000-0000BD890000}"/>
    <cellStyle name="Note 2 6 2 4 2" xfId="20541" xr:uid="{00000000-0005-0000-0000-0000BE890000}"/>
    <cellStyle name="Note 2 6 2 5" xfId="16509" xr:uid="{00000000-0005-0000-0000-0000BF890000}"/>
    <cellStyle name="Note 2 6 2 5 2" xfId="22150" xr:uid="{00000000-0005-0000-0000-0000C0890000}"/>
    <cellStyle name="Note 2 6 2 6" xfId="16873" xr:uid="{00000000-0005-0000-0000-0000C1890000}"/>
    <cellStyle name="Note 2 6 2 6 2" xfId="22524" xr:uid="{00000000-0005-0000-0000-0000C2890000}"/>
    <cellStyle name="Note 2 6 2 7" xfId="17593" xr:uid="{00000000-0005-0000-0000-0000C3890000}"/>
    <cellStyle name="Note 2 6 2 7 2" xfId="23238" xr:uid="{00000000-0005-0000-0000-0000C4890000}"/>
    <cellStyle name="Note 2 6 2 8" xfId="13797" xr:uid="{00000000-0005-0000-0000-0000C5890000}"/>
    <cellStyle name="Note 2 6 2 8 2" xfId="18771" xr:uid="{00000000-0005-0000-0000-0000C6890000}"/>
    <cellStyle name="Note 2 6 2 9" xfId="13126" xr:uid="{00000000-0005-0000-0000-0000C7890000}"/>
    <cellStyle name="Note 2 6 3" xfId="10359" xr:uid="{00000000-0005-0000-0000-0000C8890000}"/>
    <cellStyle name="Note 2 6 3 2" xfId="19791" xr:uid="{00000000-0005-0000-0000-0000C9890000}"/>
    <cellStyle name="Note 2 6 3 2 2" xfId="24190" xr:uid="{00000000-0005-0000-0000-0000CA890000}"/>
    <cellStyle name="Note 2 6 3 3" xfId="23641" xr:uid="{00000000-0005-0000-0000-0000CB890000}"/>
    <cellStyle name="Note 2 6 4" xfId="14275" xr:uid="{00000000-0005-0000-0000-0000CC890000}"/>
    <cellStyle name="Note 2 6 4 2" xfId="19381" xr:uid="{00000000-0005-0000-0000-0000CD890000}"/>
    <cellStyle name="Note 2 6 5" xfId="15396" xr:uid="{00000000-0005-0000-0000-0000CE890000}"/>
    <cellStyle name="Note 2 6 5 2" xfId="20892" xr:uid="{00000000-0005-0000-0000-0000CF890000}"/>
    <cellStyle name="Note 2 6 6" xfId="16272" xr:uid="{00000000-0005-0000-0000-0000D0890000}"/>
    <cellStyle name="Note 2 6 6 2" xfId="21828" xr:uid="{00000000-0005-0000-0000-0000D1890000}"/>
    <cellStyle name="Note 2 6 7" xfId="15167" xr:uid="{00000000-0005-0000-0000-0000D2890000}"/>
    <cellStyle name="Note 2 6 7 2" xfId="20555" xr:uid="{00000000-0005-0000-0000-0000D3890000}"/>
    <cellStyle name="Note 2 6 8" xfId="17276" xr:uid="{00000000-0005-0000-0000-0000D4890000}"/>
    <cellStyle name="Note 2 6 8 2" xfId="22920" xr:uid="{00000000-0005-0000-0000-0000D5890000}"/>
    <cellStyle name="Note 2 6 9" xfId="13476" xr:uid="{00000000-0005-0000-0000-0000D6890000}"/>
    <cellStyle name="Note 2 6 9 2" xfId="18453" xr:uid="{00000000-0005-0000-0000-0000D7890000}"/>
    <cellStyle name="Note 2 7" xfId="2759" xr:uid="{00000000-0005-0000-0000-0000D8890000}"/>
    <cellStyle name="Note 2 7 10" xfId="12784" xr:uid="{00000000-0005-0000-0000-0000D9890000}"/>
    <cellStyle name="Note 2 7 11" xfId="17798" xr:uid="{00000000-0005-0000-0000-0000DA890000}"/>
    <cellStyle name="Note 2 7 12" xfId="4153" xr:uid="{00000000-0005-0000-0000-0000DB890000}"/>
    <cellStyle name="Note 2 7 2" xfId="4154" xr:uid="{00000000-0005-0000-0000-0000DC890000}"/>
    <cellStyle name="Note 2 7 2 10" xfId="18116" xr:uid="{00000000-0005-0000-0000-0000DD890000}"/>
    <cellStyle name="Note 2 7 2 2" xfId="14832" xr:uid="{00000000-0005-0000-0000-0000DE890000}"/>
    <cellStyle name="Note 2 7 2 2 2" xfId="20158" xr:uid="{00000000-0005-0000-0000-0000DF890000}"/>
    <cellStyle name="Note 2 7 2 2 2 2" xfId="24630" xr:uid="{00000000-0005-0000-0000-0000E0890000}"/>
    <cellStyle name="Note 2 7 2 2 3" xfId="23963" xr:uid="{00000000-0005-0000-0000-0000E1890000}"/>
    <cellStyle name="Note 2 7 2 3" xfId="14513" xr:uid="{00000000-0005-0000-0000-0000E2890000}"/>
    <cellStyle name="Note 2 7 2 3 2" xfId="19662" xr:uid="{00000000-0005-0000-0000-0000E3890000}"/>
    <cellStyle name="Note 2 7 2 4" xfId="15154" xr:uid="{00000000-0005-0000-0000-0000E4890000}"/>
    <cellStyle name="Note 2 7 2 4 2" xfId="20540" xr:uid="{00000000-0005-0000-0000-0000E5890000}"/>
    <cellStyle name="Note 2 7 2 5" xfId="16510" xr:uid="{00000000-0005-0000-0000-0000E6890000}"/>
    <cellStyle name="Note 2 7 2 5 2" xfId="22151" xr:uid="{00000000-0005-0000-0000-0000E7890000}"/>
    <cellStyle name="Note 2 7 2 6" xfId="16874" xr:uid="{00000000-0005-0000-0000-0000E8890000}"/>
    <cellStyle name="Note 2 7 2 6 2" xfId="22525" xr:uid="{00000000-0005-0000-0000-0000E9890000}"/>
    <cellStyle name="Note 2 7 2 7" xfId="17594" xr:uid="{00000000-0005-0000-0000-0000EA890000}"/>
    <cellStyle name="Note 2 7 2 7 2" xfId="23239" xr:uid="{00000000-0005-0000-0000-0000EB890000}"/>
    <cellStyle name="Note 2 7 2 8" xfId="13798" xr:uid="{00000000-0005-0000-0000-0000EC890000}"/>
    <cellStyle name="Note 2 7 2 8 2" xfId="18772" xr:uid="{00000000-0005-0000-0000-0000ED890000}"/>
    <cellStyle name="Note 2 7 2 9" xfId="13127" xr:uid="{00000000-0005-0000-0000-0000EE890000}"/>
    <cellStyle name="Note 2 7 3" xfId="10358" xr:uid="{00000000-0005-0000-0000-0000EF890000}"/>
    <cellStyle name="Note 2 7 3 2" xfId="19792" xr:uid="{00000000-0005-0000-0000-0000F0890000}"/>
    <cellStyle name="Note 2 7 3 2 2" xfId="24189" xr:uid="{00000000-0005-0000-0000-0000F1890000}"/>
    <cellStyle name="Note 2 7 3 3" xfId="23642" xr:uid="{00000000-0005-0000-0000-0000F2890000}"/>
    <cellStyle name="Note 2 7 4" xfId="14276" xr:uid="{00000000-0005-0000-0000-0000F3890000}"/>
    <cellStyle name="Note 2 7 4 2" xfId="19382" xr:uid="{00000000-0005-0000-0000-0000F4890000}"/>
    <cellStyle name="Note 2 7 5" xfId="15395" xr:uid="{00000000-0005-0000-0000-0000F5890000}"/>
    <cellStyle name="Note 2 7 5 2" xfId="20891" xr:uid="{00000000-0005-0000-0000-0000F6890000}"/>
    <cellStyle name="Note 2 7 6" xfId="16273" xr:uid="{00000000-0005-0000-0000-0000F7890000}"/>
    <cellStyle name="Note 2 7 6 2" xfId="21829" xr:uid="{00000000-0005-0000-0000-0000F8890000}"/>
    <cellStyle name="Note 2 7 7" xfId="15461" xr:uid="{00000000-0005-0000-0000-0000F9890000}"/>
    <cellStyle name="Note 2 7 7 2" xfId="20957" xr:uid="{00000000-0005-0000-0000-0000FA890000}"/>
    <cellStyle name="Note 2 7 8" xfId="17277" xr:uid="{00000000-0005-0000-0000-0000FB890000}"/>
    <cellStyle name="Note 2 7 8 2" xfId="22921" xr:uid="{00000000-0005-0000-0000-0000FC890000}"/>
    <cellStyle name="Note 2 7 9" xfId="13477" xr:uid="{00000000-0005-0000-0000-0000FD890000}"/>
    <cellStyle name="Note 2 7 9 2" xfId="18454" xr:uid="{00000000-0005-0000-0000-0000FE890000}"/>
    <cellStyle name="Note 2 8" xfId="2760" xr:uid="{00000000-0005-0000-0000-0000FF890000}"/>
    <cellStyle name="Note 2 8 10" xfId="12785" xr:uid="{00000000-0005-0000-0000-0000008A0000}"/>
    <cellStyle name="Note 2 8 11" xfId="17799" xr:uid="{00000000-0005-0000-0000-0000018A0000}"/>
    <cellStyle name="Note 2 8 12" xfId="4155" xr:uid="{00000000-0005-0000-0000-0000028A0000}"/>
    <cellStyle name="Note 2 8 2" xfId="4156" xr:uid="{00000000-0005-0000-0000-0000038A0000}"/>
    <cellStyle name="Note 2 8 2 10" xfId="18117" xr:uid="{00000000-0005-0000-0000-0000048A0000}"/>
    <cellStyle name="Note 2 8 2 2" xfId="14833" xr:uid="{00000000-0005-0000-0000-0000058A0000}"/>
    <cellStyle name="Note 2 8 2 2 2" xfId="20159" xr:uid="{00000000-0005-0000-0000-0000068A0000}"/>
    <cellStyle name="Note 2 8 2 2 2 2" xfId="24631" xr:uid="{00000000-0005-0000-0000-0000078A0000}"/>
    <cellStyle name="Note 2 8 2 2 3" xfId="23964" xr:uid="{00000000-0005-0000-0000-0000088A0000}"/>
    <cellStyle name="Note 2 8 2 3" xfId="14815" xr:uid="{00000000-0005-0000-0000-0000098A0000}"/>
    <cellStyle name="Note 2 8 2 3 2" xfId="20136" xr:uid="{00000000-0005-0000-0000-00000A8A0000}"/>
    <cellStyle name="Note 2 8 2 4" xfId="15153" xr:uid="{00000000-0005-0000-0000-00000B8A0000}"/>
    <cellStyle name="Note 2 8 2 4 2" xfId="20539" xr:uid="{00000000-0005-0000-0000-00000C8A0000}"/>
    <cellStyle name="Note 2 8 2 5" xfId="16511" xr:uid="{00000000-0005-0000-0000-00000D8A0000}"/>
    <cellStyle name="Note 2 8 2 5 2" xfId="22152" xr:uid="{00000000-0005-0000-0000-00000E8A0000}"/>
    <cellStyle name="Note 2 8 2 6" xfId="16875" xr:uid="{00000000-0005-0000-0000-00000F8A0000}"/>
    <cellStyle name="Note 2 8 2 6 2" xfId="22526" xr:uid="{00000000-0005-0000-0000-0000108A0000}"/>
    <cellStyle name="Note 2 8 2 7" xfId="17595" xr:uid="{00000000-0005-0000-0000-0000118A0000}"/>
    <cellStyle name="Note 2 8 2 7 2" xfId="23240" xr:uid="{00000000-0005-0000-0000-0000128A0000}"/>
    <cellStyle name="Note 2 8 2 8" xfId="13799" xr:uid="{00000000-0005-0000-0000-0000138A0000}"/>
    <cellStyle name="Note 2 8 2 8 2" xfId="18773" xr:uid="{00000000-0005-0000-0000-0000148A0000}"/>
    <cellStyle name="Note 2 8 2 9" xfId="13128" xr:uid="{00000000-0005-0000-0000-0000158A0000}"/>
    <cellStyle name="Note 2 8 3" xfId="10357" xr:uid="{00000000-0005-0000-0000-0000168A0000}"/>
    <cellStyle name="Note 2 8 3 2" xfId="19793" xr:uid="{00000000-0005-0000-0000-0000178A0000}"/>
    <cellStyle name="Note 2 8 3 2 2" xfId="24188" xr:uid="{00000000-0005-0000-0000-0000188A0000}"/>
    <cellStyle name="Note 2 8 3 3" xfId="23643" xr:uid="{00000000-0005-0000-0000-0000198A0000}"/>
    <cellStyle name="Note 2 8 4" xfId="14277" xr:uid="{00000000-0005-0000-0000-00001A8A0000}"/>
    <cellStyle name="Note 2 8 4 2" xfId="19383" xr:uid="{00000000-0005-0000-0000-00001B8A0000}"/>
    <cellStyle name="Note 2 8 5" xfId="15394" xr:uid="{00000000-0005-0000-0000-00001C8A0000}"/>
    <cellStyle name="Note 2 8 5 2" xfId="20890" xr:uid="{00000000-0005-0000-0000-00001D8A0000}"/>
    <cellStyle name="Note 2 8 6" xfId="16274" xr:uid="{00000000-0005-0000-0000-00001E8A0000}"/>
    <cellStyle name="Note 2 8 6 2" xfId="21830" xr:uid="{00000000-0005-0000-0000-00001F8A0000}"/>
    <cellStyle name="Note 2 8 7" xfId="15460" xr:uid="{00000000-0005-0000-0000-0000208A0000}"/>
    <cellStyle name="Note 2 8 7 2" xfId="20956" xr:uid="{00000000-0005-0000-0000-0000218A0000}"/>
    <cellStyle name="Note 2 8 8" xfId="17278" xr:uid="{00000000-0005-0000-0000-0000228A0000}"/>
    <cellStyle name="Note 2 8 8 2" xfId="22922" xr:uid="{00000000-0005-0000-0000-0000238A0000}"/>
    <cellStyle name="Note 2 8 9" xfId="13478" xr:uid="{00000000-0005-0000-0000-0000248A0000}"/>
    <cellStyle name="Note 2 8 9 2" xfId="18455" xr:uid="{00000000-0005-0000-0000-0000258A0000}"/>
    <cellStyle name="Note 2 9" xfId="2761" xr:uid="{00000000-0005-0000-0000-0000268A0000}"/>
    <cellStyle name="Note 2 9 10" xfId="12786" xr:uid="{00000000-0005-0000-0000-0000278A0000}"/>
    <cellStyle name="Note 2 9 11" xfId="17800" xr:uid="{00000000-0005-0000-0000-0000288A0000}"/>
    <cellStyle name="Note 2 9 12" xfId="4157" xr:uid="{00000000-0005-0000-0000-0000298A0000}"/>
    <cellStyle name="Note 2 9 2" xfId="4158" xr:uid="{00000000-0005-0000-0000-00002A8A0000}"/>
    <cellStyle name="Note 2 9 2 10" xfId="18118" xr:uid="{00000000-0005-0000-0000-00002B8A0000}"/>
    <cellStyle name="Note 2 9 2 2" xfId="14834" xr:uid="{00000000-0005-0000-0000-00002C8A0000}"/>
    <cellStyle name="Note 2 9 2 2 2" xfId="20160" xr:uid="{00000000-0005-0000-0000-00002D8A0000}"/>
    <cellStyle name="Note 2 9 2 2 2 2" xfId="24632" xr:uid="{00000000-0005-0000-0000-00002E8A0000}"/>
    <cellStyle name="Note 2 9 2 2 3" xfId="23965" xr:uid="{00000000-0005-0000-0000-00002F8A0000}"/>
    <cellStyle name="Note 2 9 2 3" xfId="14514" xr:uid="{00000000-0005-0000-0000-0000308A0000}"/>
    <cellStyle name="Note 2 9 2 3 2" xfId="19663" xr:uid="{00000000-0005-0000-0000-0000318A0000}"/>
    <cellStyle name="Note 2 9 2 4" xfId="15152" xr:uid="{00000000-0005-0000-0000-0000328A0000}"/>
    <cellStyle name="Note 2 9 2 4 2" xfId="20538" xr:uid="{00000000-0005-0000-0000-0000338A0000}"/>
    <cellStyle name="Note 2 9 2 5" xfId="16512" xr:uid="{00000000-0005-0000-0000-0000348A0000}"/>
    <cellStyle name="Note 2 9 2 5 2" xfId="22153" xr:uid="{00000000-0005-0000-0000-0000358A0000}"/>
    <cellStyle name="Note 2 9 2 6" xfId="16876" xr:uid="{00000000-0005-0000-0000-0000368A0000}"/>
    <cellStyle name="Note 2 9 2 6 2" xfId="22527" xr:uid="{00000000-0005-0000-0000-0000378A0000}"/>
    <cellStyle name="Note 2 9 2 7" xfId="17596" xr:uid="{00000000-0005-0000-0000-0000388A0000}"/>
    <cellStyle name="Note 2 9 2 7 2" xfId="23241" xr:uid="{00000000-0005-0000-0000-0000398A0000}"/>
    <cellStyle name="Note 2 9 2 8" xfId="13800" xr:uid="{00000000-0005-0000-0000-00003A8A0000}"/>
    <cellStyle name="Note 2 9 2 8 2" xfId="18774" xr:uid="{00000000-0005-0000-0000-00003B8A0000}"/>
    <cellStyle name="Note 2 9 2 9" xfId="13129" xr:uid="{00000000-0005-0000-0000-00003C8A0000}"/>
    <cellStyle name="Note 2 9 3" xfId="10356" xr:uid="{00000000-0005-0000-0000-00003D8A0000}"/>
    <cellStyle name="Note 2 9 3 2" xfId="19794" xr:uid="{00000000-0005-0000-0000-00003E8A0000}"/>
    <cellStyle name="Note 2 9 3 2 2" xfId="24187" xr:uid="{00000000-0005-0000-0000-00003F8A0000}"/>
    <cellStyle name="Note 2 9 3 3" xfId="23644" xr:uid="{00000000-0005-0000-0000-0000408A0000}"/>
    <cellStyle name="Note 2 9 4" xfId="14278" xr:uid="{00000000-0005-0000-0000-0000418A0000}"/>
    <cellStyle name="Note 2 9 4 2" xfId="19384" xr:uid="{00000000-0005-0000-0000-0000428A0000}"/>
    <cellStyle name="Note 2 9 5" xfId="15393" xr:uid="{00000000-0005-0000-0000-0000438A0000}"/>
    <cellStyle name="Note 2 9 5 2" xfId="20889" xr:uid="{00000000-0005-0000-0000-0000448A0000}"/>
    <cellStyle name="Note 2 9 6" xfId="16275" xr:uid="{00000000-0005-0000-0000-0000458A0000}"/>
    <cellStyle name="Note 2 9 6 2" xfId="21831" xr:uid="{00000000-0005-0000-0000-0000468A0000}"/>
    <cellStyle name="Note 2 9 7" xfId="15459" xr:uid="{00000000-0005-0000-0000-0000478A0000}"/>
    <cellStyle name="Note 2 9 7 2" xfId="20955" xr:uid="{00000000-0005-0000-0000-0000488A0000}"/>
    <cellStyle name="Note 2 9 8" xfId="17279" xr:uid="{00000000-0005-0000-0000-0000498A0000}"/>
    <cellStyle name="Note 2 9 8 2" xfId="22923" xr:uid="{00000000-0005-0000-0000-00004A8A0000}"/>
    <cellStyle name="Note 2 9 9" xfId="13479" xr:uid="{00000000-0005-0000-0000-00004B8A0000}"/>
    <cellStyle name="Note 2 9 9 2" xfId="18456" xr:uid="{00000000-0005-0000-0000-00004C8A0000}"/>
    <cellStyle name="Note 2_PrimaryEnergyPrices_TIMES" xfId="43733" xr:uid="{00000000-0005-0000-0000-00004D8A0000}"/>
    <cellStyle name="Note 20" xfId="43734" xr:uid="{00000000-0005-0000-0000-00004E8A0000}"/>
    <cellStyle name="Note 21" xfId="43735" xr:uid="{00000000-0005-0000-0000-00004F8A0000}"/>
    <cellStyle name="Note 22" xfId="43736" xr:uid="{00000000-0005-0000-0000-0000508A0000}"/>
    <cellStyle name="Note 23" xfId="43737" xr:uid="{00000000-0005-0000-0000-0000518A0000}"/>
    <cellStyle name="Note 24" xfId="43738" xr:uid="{00000000-0005-0000-0000-0000528A0000}"/>
    <cellStyle name="Note 25" xfId="43739" xr:uid="{00000000-0005-0000-0000-0000538A0000}"/>
    <cellStyle name="Note 26" xfId="43740" xr:uid="{00000000-0005-0000-0000-0000548A0000}"/>
    <cellStyle name="Note 27" xfId="43741" xr:uid="{00000000-0005-0000-0000-0000558A0000}"/>
    <cellStyle name="Note 28" xfId="43742" xr:uid="{00000000-0005-0000-0000-0000568A0000}"/>
    <cellStyle name="Note 29" xfId="43743" xr:uid="{00000000-0005-0000-0000-0000578A0000}"/>
    <cellStyle name="Note 3" xfId="2762" xr:uid="{00000000-0005-0000-0000-0000588A0000}"/>
    <cellStyle name="Note 3 10" xfId="2763" xr:uid="{00000000-0005-0000-0000-0000598A0000}"/>
    <cellStyle name="Note 3 10 10" xfId="12788" xr:uid="{00000000-0005-0000-0000-00005A8A0000}"/>
    <cellStyle name="Note 3 10 11" xfId="17802" xr:uid="{00000000-0005-0000-0000-00005B8A0000}"/>
    <cellStyle name="Note 3 10 12" xfId="4160" xr:uid="{00000000-0005-0000-0000-00005C8A0000}"/>
    <cellStyle name="Note 3 10 2" xfId="4161" xr:uid="{00000000-0005-0000-0000-00005D8A0000}"/>
    <cellStyle name="Note 3 10 2 10" xfId="18120" xr:uid="{00000000-0005-0000-0000-00005E8A0000}"/>
    <cellStyle name="Note 3 10 2 2" xfId="14836" xr:uid="{00000000-0005-0000-0000-00005F8A0000}"/>
    <cellStyle name="Note 3 10 2 2 2" xfId="20162" xr:uid="{00000000-0005-0000-0000-0000608A0000}"/>
    <cellStyle name="Note 3 10 2 2 2 2" xfId="24634" xr:uid="{00000000-0005-0000-0000-0000618A0000}"/>
    <cellStyle name="Note 3 10 2 2 3" xfId="23967" xr:uid="{00000000-0005-0000-0000-0000628A0000}"/>
    <cellStyle name="Note 3 10 2 3" xfId="14813" xr:uid="{00000000-0005-0000-0000-0000638A0000}"/>
    <cellStyle name="Note 3 10 2 3 2" xfId="20134" xr:uid="{00000000-0005-0000-0000-0000648A0000}"/>
    <cellStyle name="Note 3 10 2 4" xfId="15150" xr:uid="{00000000-0005-0000-0000-0000658A0000}"/>
    <cellStyle name="Note 3 10 2 4 2" xfId="20536" xr:uid="{00000000-0005-0000-0000-0000668A0000}"/>
    <cellStyle name="Note 3 10 2 5" xfId="16514" xr:uid="{00000000-0005-0000-0000-0000678A0000}"/>
    <cellStyle name="Note 3 10 2 5 2" xfId="22155" xr:uid="{00000000-0005-0000-0000-0000688A0000}"/>
    <cellStyle name="Note 3 10 2 6" xfId="16878" xr:uid="{00000000-0005-0000-0000-0000698A0000}"/>
    <cellStyle name="Note 3 10 2 6 2" xfId="22529" xr:uid="{00000000-0005-0000-0000-00006A8A0000}"/>
    <cellStyle name="Note 3 10 2 7" xfId="17598" xr:uid="{00000000-0005-0000-0000-00006B8A0000}"/>
    <cellStyle name="Note 3 10 2 7 2" xfId="23243" xr:uid="{00000000-0005-0000-0000-00006C8A0000}"/>
    <cellStyle name="Note 3 10 2 8" xfId="13802" xr:uid="{00000000-0005-0000-0000-00006D8A0000}"/>
    <cellStyle name="Note 3 10 2 8 2" xfId="18776" xr:uid="{00000000-0005-0000-0000-00006E8A0000}"/>
    <cellStyle name="Note 3 10 2 9" xfId="13131" xr:uid="{00000000-0005-0000-0000-00006F8A0000}"/>
    <cellStyle name="Note 3 10 3" xfId="10355" xr:uid="{00000000-0005-0000-0000-0000708A0000}"/>
    <cellStyle name="Note 3 10 3 2" xfId="19796" xr:uid="{00000000-0005-0000-0000-0000718A0000}"/>
    <cellStyle name="Note 3 10 3 2 2" xfId="24185" xr:uid="{00000000-0005-0000-0000-0000728A0000}"/>
    <cellStyle name="Note 3 10 3 3" xfId="23646" xr:uid="{00000000-0005-0000-0000-0000738A0000}"/>
    <cellStyle name="Note 3 10 4" xfId="14280" xr:uid="{00000000-0005-0000-0000-0000748A0000}"/>
    <cellStyle name="Note 3 10 4 2" xfId="19386" xr:uid="{00000000-0005-0000-0000-0000758A0000}"/>
    <cellStyle name="Note 3 10 5" xfId="15391" xr:uid="{00000000-0005-0000-0000-0000768A0000}"/>
    <cellStyle name="Note 3 10 5 2" xfId="20887" xr:uid="{00000000-0005-0000-0000-0000778A0000}"/>
    <cellStyle name="Note 3 10 6" xfId="16277" xr:uid="{00000000-0005-0000-0000-0000788A0000}"/>
    <cellStyle name="Note 3 10 6 2" xfId="21833" xr:uid="{00000000-0005-0000-0000-0000798A0000}"/>
    <cellStyle name="Note 3 10 7" xfId="15457" xr:uid="{00000000-0005-0000-0000-00007A8A0000}"/>
    <cellStyle name="Note 3 10 7 2" xfId="20953" xr:uid="{00000000-0005-0000-0000-00007B8A0000}"/>
    <cellStyle name="Note 3 10 8" xfId="17281" xr:uid="{00000000-0005-0000-0000-00007C8A0000}"/>
    <cellStyle name="Note 3 10 8 2" xfId="22925" xr:uid="{00000000-0005-0000-0000-00007D8A0000}"/>
    <cellStyle name="Note 3 10 9" xfId="13481" xr:uid="{00000000-0005-0000-0000-00007E8A0000}"/>
    <cellStyle name="Note 3 10 9 2" xfId="18458" xr:uid="{00000000-0005-0000-0000-00007F8A0000}"/>
    <cellStyle name="Note 3 11" xfId="2764" xr:uid="{00000000-0005-0000-0000-0000808A0000}"/>
    <cellStyle name="Note 3 11 10" xfId="12789" xr:uid="{00000000-0005-0000-0000-0000818A0000}"/>
    <cellStyle name="Note 3 11 11" xfId="17803" xr:uid="{00000000-0005-0000-0000-0000828A0000}"/>
    <cellStyle name="Note 3 11 12" xfId="4162" xr:uid="{00000000-0005-0000-0000-0000838A0000}"/>
    <cellStyle name="Note 3 11 2" xfId="4163" xr:uid="{00000000-0005-0000-0000-0000848A0000}"/>
    <cellStyle name="Note 3 11 2 10" xfId="18121" xr:uid="{00000000-0005-0000-0000-0000858A0000}"/>
    <cellStyle name="Note 3 11 2 2" xfId="14837" xr:uid="{00000000-0005-0000-0000-0000868A0000}"/>
    <cellStyle name="Note 3 11 2 2 2" xfId="20163" xr:uid="{00000000-0005-0000-0000-0000878A0000}"/>
    <cellStyle name="Note 3 11 2 2 2 2" xfId="24635" xr:uid="{00000000-0005-0000-0000-0000888A0000}"/>
    <cellStyle name="Note 3 11 2 2 3" xfId="23968" xr:uid="{00000000-0005-0000-0000-0000898A0000}"/>
    <cellStyle name="Note 3 11 2 3" xfId="14515" xr:uid="{00000000-0005-0000-0000-00008A8A0000}"/>
    <cellStyle name="Note 3 11 2 3 2" xfId="19664" xr:uid="{00000000-0005-0000-0000-00008B8A0000}"/>
    <cellStyle name="Note 3 11 2 4" xfId="15149" xr:uid="{00000000-0005-0000-0000-00008C8A0000}"/>
    <cellStyle name="Note 3 11 2 4 2" xfId="20535" xr:uid="{00000000-0005-0000-0000-00008D8A0000}"/>
    <cellStyle name="Note 3 11 2 5" xfId="16515" xr:uid="{00000000-0005-0000-0000-00008E8A0000}"/>
    <cellStyle name="Note 3 11 2 5 2" xfId="22156" xr:uid="{00000000-0005-0000-0000-00008F8A0000}"/>
    <cellStyle name="Note 3 11 2 6" xfId="16879" xr:uid="{00000000-0005-0000-0000-0000908A0000}"/>
    <cellStyle name="Note 3 11 2 6 2" xfId="22530" xr:uid="{00000000-0005-0000-0000-0000918A0000}"/>
    <cellStyle name="Note 3 11 2 7" xfId="17599" xr:uid="{00000000-0005-0000-0000-0000928A0000}"/>
    <cellStyle name="Note 3 11 2 7 2" xfId="23244" xr:uid="{00000000-0005-0000-0000-0000938A0000}"/>
    <cellStyle name="Note 3 11 2 8" xfId="13803" xr:uid="{00000000-0005-0000-0000-0000948A0000}"/>
    <cellStyle name="Note 3 11 2 8 2" xfId="18777" xr:uid="{00000000-0005-0000-0000-0000958A0000}"/>
    <cellStyle name="Note 3 11 2 9" xfId="13132" xr:uid="{00000000-0005-0000-0000-0000968A0000}"/>
    <cellStyle name="Note 3 11 3" xfId="10354" xr:uid="{00000000-0005-0000-0000-0000978A0000}"/>
    <cellStyle name="Note 3 11 3 2" xfId="19797" xr:uid="{00000000-0005-0000-0000-0000988A0000}"/>
    <cellStyle name="Note 3 11 3 2 2" xfId="24184" xr:uid="{00000000-0005-0000-0000-0000998A0000}"/>
    <cellStyle name="Note 3 11 3 3" xfId="23647" xr:uid="{00000000-0005-0000-0000-00009A8A0000}"/>
    <cellStyle name="Note 3 11 4" xfId="14281" xr:uid="{00000000-0005-0000-0000-00009B8A0000}"/>
    <cellStyle name="Note 3 11 4 2" xfId="19387" xr:uid="{00000000-0005-0000-0000-00009C8A0000}"/>
    <cellStyle name="Note 3 11 5" xfId="15390" xr:uid="{00000000-0005-0000-0000-00009D8A0000}"/>
    <cellStyle name="Note 3 11 5 2" xfId="20886" xr:uid="{00000000-0005-0000-0000-00009E8A0000}"/>
    <cellStyle name="Note 3 11 6" xfId="16278" xr:uid="{00000000-0005-0000-0000-00009F8A0000}"/>
    <cellStyle name="Note 3 11 6 2" xfId="21834" xr:uid="{00000000-0005-0000-0000-0000A08A0000}"/>
    <cellStyle name="Note 3 11 7" xfId="15456" xr:uid="{00000000-0005-0000-0000-0000A18A0000}"/>
    <cellStyle name="Note 3 11 7 2" xfId="20952" xr:uid="{00000000-0005-0000-0000-0000A28A0000}"/>
    <cellStyle name="Note 3 11 8" xfId="17282" xr:uid="{00000000-0005-0000-0000-0000A38A0000}"/>
    <cellStyle name="Note 3 11 8 2" xfId="22926" xr:uid="{00000000-0005-0000-0000-0000A48A0000}"/>
    <cellStyle name="Note 3 11 9" xfId="13482" xr:uid="{00000000-0005-0000-0000-0000A58A0000}"/>
    <cellStyle name="Note 3 11 9 2" xfId="18459" xr:uid="{00000000-0005-0000-0000-0000A68A0000}"/>
    <cellStyle name="Note 3 12" xfId="4164" xr:uid="{00000000-0005-0000-0000-0000A78A0000}"/>
    <cellStyle name="Note 3 12 10" xfId="12790" xr:uid="{00000000-0005-0000-0000-0000A88A0000}"/>
    <cellStyle name="Note 3 12 11" xfId="17804" xr:uid="{00000000-0005-0000-0000-0000A98A0000}"/>
    <cellStyle name="Note 3 12 2" xfId="4165" xr:uid="{00000000-0005-0000-0000-0000AA8A0000}"/>
    <cellStyle name="Note 3 12 2 10" xfId="18122" xr:uid="{00000000-0005-0000-0000-0000AB8A0000}"/>
    <cellStyle name="Note 3 12 2 2" xfId="14838" xr:uid="{00000000-0005-0000-0000-0000AC8A0000}"/>
    <cellStyle name="Note 3 12 2 2 2" xfId="20164" xr:uid="{00000000-0005-0000-0000-0000AD8A0000}"/>
    <cellStyle name="Note 3 12 2 2 2 2" xfId="24636" xr:uid="{00000000-0005-0000-0000-0000AE8A0000}"/>
    <cellStyle name="Note 3 12 2 2 3" xfId="23969" xr:uid="{00000000-0005-0000-0000-0000AF8A0000}"/>
    <cellStyle name="Note 3 12 2 3" xfId="14516" xr:uid="{00000000-0005-0000-0000-0000B08A0000}"/>
    <cellStyle name="Note 3 12 2 3 2" xfId="19665" xr:uid="{00000000-0005-0000-0000-0000B18A0000}"/>
    <cellStyle name="Note 3 12 2 4" xfId="15148" xr:uid="{00000000-0005-0000-0000-0000B28A0000}"/>
    <cellStyle name="Note 3 12 2 4 2" xfId="20534" xr:uid="{00000000-0005-0000-0000-0000B38A0000}"/>
    <cellStyle name="Note 3 12 2 5" xfId="16516" xr:uid="{00000000-0005-0000-0000-0000B48A0000}"/>
    <cellStyle name="Note 3 12 2 5 2" xfId="22157" xr:uid="{00000000-0005-0000-0000-0000B58A0000}"/>
    <cellStyle name="Note 3 12 2 6" xfId="16880" xr:uid="{00000000-0005-0000-0000-0000B68A0000}"/>
    <cellStyle name="Note 3 12 2 6 2" xfId="22531" xr:uid="{00000000-0005-0000-0000-0000B78A0000}"/>
    <cellStyle name="Note 3 12 2 7" xfId="17600" xr:uid="{00000000-0005-0000-0000-0000B88A0000}"/>
    <cellStyle name="Note 3 12 2 7 2" xfId="23245" xr:uid="{00000000-0005-0000-0000-0000B98A0000}"/>
    <cellStyle name="Note 3 12 2 8" xfId="13804" xr:uid="{00000000-0005-0000-0000-0000BA8A0000}"/>
    <cellStyle name="Note 3 12 2 8 2" xfId="18778" xr:uid="{00000000-0005-0000-0000-0000BB8A0000}"/>
    <cellStyle name="Note 3 12 2 9" xfId="13133" xr:uid="{00000000-0005-0000-0000-0000BC8A0000}"/>
    <cellStyle name="Note 3 12 3" xfId="10353" xr:uid="{00000000-0005-0000-0000-0000BD8A0000}"/>
    <cellStyle name="Note 3 12 3 2" xfId="19798" xr:uid="{00000000-0005-0000-0000-0000BE8A0000}"/>
    <cellStyle name="Note 3 12 3 2 2" xfId="24183" xr:uid="{00000000-0005-0000-0000-0000BF8A0000}"/>
    <cellStyle name="Note 3 12 3 3" xfId="23648" xr:uid="{00000000-0005-0000-0000-0000C08A0000}"/>
    <cellStyle name="Note 3 12 4" xfId="14282" xr:uid="{00000000-0005-0000-0000-0000C18A0000}"/>
    <cellStyle name="Note 3 12 4 2" xfId="19388" xr:uid="{00000000-0005-0000-0000-0000C28A0000}"/>
    <cellStyle name="Note 3 12 5" xfId="15389" xr:uid="{00000000-0005-0000-0000-0000C38A0000}"/>
    <cellStyle name="Note 3 12 5 2" xfId="20885" xr:uid="{00000000-0005-0000-0000-0000C48A0000}"/>
    <cellStyle name="Note 3 12 6" xfId="16279" xr:uid="{00000000-0005-0000-0000-0000C58A0000}"/>
    <cellStyle name="Note 3 12 6 2" xfId="21835" xr:uid="{00000000-0005-0000-0000-0000C68A0000}"/>
    <cellStyle name="Note 3 12 7" xfId="15455" xr:uid="{00000000-0005-0000-0000-0000C78A0000}"/>
    <cellStyle name="Note 3 12 7 2" xfId="20951" xr:uid="{00000000-0005-0000-0000-0000C88A0000}"/>
    <cellStyle name="Note 3 12 8" xfId="17283" xr:uid="{00000000-0005-0000-0000-0000C98A0000}"/>
    <cellStyle name="Note 3 12 8 2" xfId="22927" xr:uid="{00000000-0005-0000-0000-0000CA8A0000}"/>
    <cellStyle name="Note 3 12 9" xfId="13483" xr:uid="{00000000-0005-0000-0000-0000CB8A0000}"/>
    <cellStyle name="Note 3 12 9 2" xfId="18460" xr:uid="{00000000-0005-0000-0000-0000CC8A0000}"/>
    <cellStyle name="Note 3 13" xfId="4166" xr:uid="{00000000-0005-0000-0000-0000CD8A0000}"/>
    <cellStyle name="Note 3 13 10" xfId="12791" xr:uid="{00000000-0005-0000-0000-0000CE8A0000}"/>
    <cellStyle name="Note 3 13 11" xfId="17805" xr:uid="{00000000-0005-0000-0000-0000CF8A0000}"/>
    <cellStyle name="Note 3 13 2" xfId="4167" xr:uid="{00000000-0005-0000-0000-0000D08A0000}"/>
    <cellStyle name="Note 3 13 2 10" xfId="18123" xr:uid="{00000000-0005-0000-0000-0000D18A0000}"/>
    <cellStyle name="Note 3 13 2 2" xfId="14839" xr:uid="{00000000-0005-0000-0000-0000D28A0000}"/>
    <cellStyle name="Note 3 13 2 2 2" xfId="20165" xr:uid="{00000000-0005-0000-0000-0000D38A0000}"/>
    <cellStyle name="Note 3 13 2 2 2 2" xfId="24637" xr:uid="{00000000-0005-0000-0000-0000D48A0000}"/>
    <cellStyle name="Note 3 13 2 2 3" xfId="23970" xr:uid="{00000000-0005-0000-0000-0000D58A0000}"/>
    <cellStyle name="Note 3 13 2 3" xfId="14817" xr:uid="{00000000-0005-0000-0000-0000D68A0000}"/>
    <cellStyle name="Note 3 13 2 3 2" xfId="20138" xr:uid="{00000000-0005-0000-0000-0000D78A0000}"/>
    <cellStyle name="Note 3 13 2 4" xfId="15147" xr:uid="{00000000-0005-0000-0000-0000D88A0000}"/>
    <cellStyle name="Note 3 13 2 4 2" xfId="20533" xr:uid="{00000000-0005-0000-0000-0000D98A0000}"/>
    <cellStyle name="Note 3 13 2 5" xfId="16517" xr:uid="{00000000-0005-0000-0000-0000DA8A0000}"/>
    <cellStyle name="Note 3 13 2 5 2" xfId="22158" xr:uid="{00000000-0005-0000-0000-0000DB8A0000}"/>
    <cellStyle name="Note 3 13 2 6" xfId="16881" xr:uid="{00000000-0005-0000-0000-0000DC8A0000}"/>
    <cellStyle name="Note 3 13 2 6 2" xfId="22532" xr:uid="{00000000-0005-0000-0000-0000DD8A0000}"/>
    <cellStyle name="Note 3 13 2 7" xfId="17601" xr:uid="{00000000-0005-0000-0000-0000DE8A0000}"/>
    <cellStyle name="Note 3 13 2 7 2" xfId="23246" xr:uid="{00000000-0005-0000-0000-0000DF8A0000}"/>
    <cellStyle name="Note 3 13 2 8" xfId="13805" xr:uid="{00000000-0005-0000-0000-0000E08A0000}"/>
    <cellStyle name="Note 3 13 2 8 2" xfId="18779" xr:uid="{00000000-0005-0000-0000-0000E18A0000}"/>
    <cellStyle name="Note 3 13 2 9" xfId="13134" xr:uid="{00000000-0005-0000-0000-0000E28A0000}"/>
    <cellStyle name="Note 3 13 3" xfId="14573" xr:uid="{00000000-0005-0000-0000-0000E38A0000}"/>
    <cellStyle name="Note 3 13 3 2" xfId="19799" xr:uid="{00000000-0005-0000-0000-0000E48A0000}"/>
    <cellStyle name="Note 3 13 3 2 2" xfId="24182" xr:uid="{00000000-0005-0000-0000-0000E58A0000}"/>
    <cellStyle name="Note 3 13 3 3" xfId="23649" xr:uid="{00000000-0005-0000-0000-0000E68A0000}"/>
    <cellStyle name="Note 3 13 4" xfId="14283" xr:uid="{00000000-0005-0000-0000-0000E78A0000}"/>
    <cellStyle name="Note 3 13 4 2" xfId="19389" xr:uid="{00000000-0005-0000-0000-0000E88A0000}"/>
    <cellStyle name="Note 3 13 5" xfId="15388" xr:uid="{00000000-0005-0000-0000-0000E98A0000}"/>
    <cellStyle name="Note 3 13 5 2" xfId="20884" xr:uid="{00000000-0005-0000-0000-0000EA8A0000}"/>
    <cellStyle name="Note 3 13 6" xfId="16280" xr:uid="{00000000-0005-0000-0000-0000EB8A0000}"/>
    <cellStyle name="Note 3 13 6 2" xfId="21836" xr:uid="{00000000-0005-0000-0000-0000EC8A0000}"/>
    <cellStyle name="Note 3 13 7" xfId="15454" xr:uid="{00000000-0005-0000-0000-0000ED8A0000}"/>
    <cellStyle name="Note 3 13 7 2" xfId="20950" xr:uid="{00000000-0005-0000-0000-0000EE8A0000}"/>
    <cellStyle name="Note 3 13 8" xfId="17284" xr:uid="{00000000-0005-0000-0000-0000EF8A0000}"/>
    <cellStyle name="Note 3 13 8 2" xfId="22928" xr:uid="{00000000-0005-0000-0000-0000F08A0000}"/>
    <cellStyle name="Note 3 13 9" xfId="13484" xr:uid="{00000000-0005-0000-0000-0000F18A0000}"/>
    <cellStyle name="Note 3 13 9 2" xfId="18461" xr:uid="{00000000-0005-0000-0000-0000F28A0000}"/>
    <cellStyle name="Note 3 14" xfId="4168" xr:uid="{00000000-0005-0000-0000-0000F38A0000}"/>
    <cellStyle name="Note 3 14 10" xfId="18119" xr:uid="{00000000-0005-0000-0000-0000F48A0000}"/>
    <cellStyle name="Note 3 14 2" xfId="14835" xr:uid="{00000000-0005-0000-0000-0000F58A0000}"/>
    <cellStyle name="Note 3 14 2 2" xfId="20161" xr:uid="{00000000-0005-0000-0000-0000F68A0000}"/>
    <cellStyle name="Note 3 14 2 2 2" xfId="24633" xr:uid="{00000000-0005-0000-0000-0000F78A0000}"/>
    <cellStyle name="Note 3 14 2 3" xfId="23966" xr:uid="{00000000-0005-0000-0000-0000F88A0000}"/>
    <cellStyle name="Note 3 14 3" xfId="14816" xr:uid="{00000000-0005-0000-0000-0000F98A0000}"/>
    <cellStyle name="Note 3 14 3 2" xfId="20137" xr:uid="{00000000-0005-0000-0000-0000FA8A0000}"/>
    <cellStyle name="Note 3 14 4" xfId="15151" xr:uid="{00000000-0005-0000-0000-0000FB8A0000}"/>
    <cellStyle name="Note 3 14 4 2" xfId="20537" xr:uid="{00000000-0005-0000-0000-0000FC8A0000}"/>
    <cellStyle name="Note 3 14 5" xfId="16513" xr:uid="{00000000-0005-0000-0000-0000FD8A0000}"/>
    <cellStyle name="Note 3 14 5 2" xfId="22154" xr:uid="{00000000-0005-0000-0000-0000FE8A0000}"/>
    <cellStyle name="Note 3 14 6" xfId="16877" xr:uid="{00000000-0005-0000-0000-0000FF8A0000}"/>
    <cellStyle name="Note 3 14 6 2" xfId="22528" xr:uid="{00000000-0005-0000-0000-0000008B0000}"/>
    <cellStyle name="Note 3 14 7" xfId="17597" xr:uid="{00000000-0005-0000-0000-0000018B0000}"/>
    <cellStyle name="Note 3 14 7 2" xfId="23242" xr:uid="{00000000-0005-0000-0000-0000028B0000}"/>
    <cellStyle name="Note 3 14 8" xfId="13801" xr:uid="{00000000-0005-0000-0000-0000038B0000}"/>
    <cellStyle name="Note 3 14 8 2" xfId="18775" xr:uid="{00000000-0005-0000-0000-0000048B0000}"/>
    <cellStyle name="Note 3 14 9" xfId="13130" xr:uid="{00000000-0005-0000-0000-0000058B0000}"/>
    <cellStyle name="Note 3 15" xfId="11327" xr:uid="{00000000-0005-0000-0000-0000068B0000}"/>
    <cellStyle name="Note 3 15 2" xfId="19795" xr:uid="{00000000-0005-0000-0000-0000078B0000}"/>
    <cellStyle name="Note 3 15 2 2" xfId="24186" xr:uid="{00000000-0005-0000-0000-0000088B0000}"/>
    <cellStyle name="Note 3 15 3" xfId="14572" xr:uid="{00000000-0005-0000-0000-0000098B0000}"/>
    <cellStyle name="Note 3 15 4" xfId="23645" xr:uid="{00000000-0005-0000-0000-00000A8B0000}"/>
    <cellStyle name="Note 3 16" xfId="14279" xr:uid="{00000000-0005-0000-0000-00000B8B0000}"/>
    <cellStyle name="Note 3 16 2" xfId="19385" xr:uid="{00000000-0005-0000-0000-00000C8B0000}"/>
    <cellStyle name="Note 3 17" xfId="15392" xr:uid="{00000000-0005-0000-0000-00000D8B0000}"/>
    <cellStyle name="Note 3 17 2" xfId="20888" xr:uid="{00000000-0005-0000-0000-00000E8B0000}"/>
    <cellStyle name="Note 3 18" xfId="16276" xr:uid="{00000000-0005-0000-0000-00000F8B0000}"/>
    <cellStyle name="Note 3 18 2" xfId="21832" xr:uid="{00000000-0005-0000-0000-0000108B0000}"/>
    <cellStyle name="Note 3 19" xfId="15458" xr:uid="{00000000-0005-0000-0000-0000118B0000}"/>
    <cellStyle name="Note 3 19 2" xfId="20954" xr:uid="{00000000-0005-0000-0000-0000128B0000}"/>
    <cellStyle name="Note 3 2" xfId="2765" xr:uid="{00000000-0005-0000-0000-0000138B0000}"/>
    <cellStyle name="Note 3 2 10" xfId="12792" xr:uid="{00000000-0005-0000-0000-0000148B0000}"/>
    <cellStyle name="Note 3 2 11" xfId="17806" xr:uid="{00000000-0005-0000-0000-0000158B0000}"/>
    <cellStyle name="Note 3 2 12" xfId="4169" xr:uid="{00000000-0005-0000-0000-0000168B0000}"/>
    <cellStyle name="Note 3 2 2" xfId="4170" xr:uid="{00000000-0005-0000-0000-0000178B0000}"/>
    <cellStyle name="Note 3 2 2 10" xfId="18124" xr:uid="{00000000-0005-0000-0000-0000188B0000}"/>
    <cellStyle name="Note 3 2 2 2" xfId="10174" xr:uid="{00000000-0005-0000-0000-0000198B0000}"/>
    <cellStyle name="Note 3 2 2 2 2" xfId="11158" xr:uid="{00000000-0005-0000-0000-00001A8B0000}"/>
    <cellStyle name="Note 3 2 2 2 2 2" xfId="24638" xr:uid="{00000000-0005-0000-0000-00001B8B0000}"/>
    <cellStyle name="Note 3 2 2 2 3" xfId="23971" xr:uid="{00000000-0005-0000-0000-00001C8B0000}"/>
    <cellStyle name="Note 3 2 2 2 3 2" xfId="45265" xr:uid="{00000000-0005-0000-0000-00001D8B0000}"/>
    <cellStyle name="Note 3 2 2 3" xfId="14517" xr:uid="{00000000-0005-0000-0000-00001E8B0000}"/>
    <cellStyle name="Note 3 2 2 3 2" xfId="19666" xr:uid="{00000000-0005-0000-0000-00001F8B0000}"/>
    <cellStyle name="Note 3 2 2 4" xfId="15146" xr:uid="{00000000-0005-0000-0000-0000208B0000}"/>
    <cellStyle name="Note 3 2 2 4 2" xfId="20532" xr:uid="{00000000-0005-0000-0000-0000218B0000}"/>
    <cellStyle name="Note 3 2 2 5" xfId="16518" xr:uid="{00000000-0005-0000-0000-0000228B0000}"/>
    <cellStyle name="Note 3 2 2 5 2" xfId="22159" xr:uid="{00000000-0005-0000-0000-0000238B0000}"/>
    <cellStyle name="Note 3 2 2 6" xfId="16882" xr:uid="{00000000-0005-0000-0000-0000248B0000}"/>
    <cellStyle name="Note 3 2 2 6 2" xfId="22533" xr:uid="{00000000-0005-0000-0000-0000258B0000}"/>
    <cellStyle name="Note 3 2 2 7" xfId="17602" xr:uid="{00000000-0005-0000-0000-0000268B0000}"/>
    <cellStyle name="Note 3 2 2 7 2" xfId="23247" xr:uid="{00000000-0005-0000-0000-0000278B0000}"/>
    <cellStyle name="Note 3 2 2 8" xfId="13806" xr:uid="{00000000-0005-0000-0000-0000288B0000}"/>
    <cellStyle name="Note 3 2 2 8 2" xfId="18780" xr:uid="{00000000-0005-0000-0000-0000298B0000}"/>
    <cellStyle name="Note 3 2 2 9" xfId="13135" xr:uid="{00000000-0005-0000-0000-00002A8B0000}"/>
    <cellStyle name="Note 3 2 3" xfId="10352" xr:uid="{00000000-0005-0000-0000-00002B8B0000}"/>
    <cellStyle name="Note 3 2 3 2" xfId="19800" xr:uid="{00000000-0005-0000-0000-00002C8B0000}"/>
    <cellStyle name="Note 3 2 3 2 2" xfId="24181" xr:uid="{00000000-0005-0000-0000-00002D8B0000}"/>
    <cellStyle name="Note 3 2 3 3" xfId="23650" xr:uid="{00000000-0005-0000-0000-00002E8B0000}"/>
    <cellStyle name="Note 3 2 4" xfId="14284" xr:uid="{00000000-0005-0000-0000-00002F8B0000}"/>
    <cellStyle name="Note 3 2 4 2" xfId="19390" xr:uid="{00000000-0005-0000-0000-0000308B0000}"/>
    <cellStyle name="Note 3 2 4 3" xfId="43745" xr:uid="{00000000-0005-0000-0000-0000318B0000}"/>
    <cellStyle name="Note 3 2 5" xfId="15387" xr:uid="{00000000-0005-0000-0000-0000328B0000}"/>
    <cellStyle name="Note 3 2 5 2" xfId="20883" xr:uid="{00000000-0005-0000-0000-0000338B0000}"/>
    <cellStyle name="Note 3 2 6" xfId="16281" xr:uid="{00000000-0005-0000-0000-0000348B0000}"/>
    <cellStyle name="Note 3 2 6 2" xfId="21837" xr:uid="{00000000-0005-0000-0000-0000358B0000}"/>
    <cellStyle name="Note 3 2 7" xfId="15453" xr:uid="{00000000-0005-0000-0000-0000368B0000}"/>
    <cellStyle name="Note 3 2 7 2" xfId="20949" xr:uid="{00000000-0005-0000-0000-0000378B0000}"/>
    <cellStyle name="Note 3 2 8" xfId="17285" xr:uid="{00000000-0005-0000-0000-0000388B0000}"/>
    <cellStyle name="Note 3 2 8 2" xfId="22929" xr:uid="{00000000-0005-0000-0000-0000398B0000}"/>
    <cellStyle name="Note 3 2 9" xfId="13485" xr:uid="{00000000-0005-0000-0000-00003A8B0000}"/>
    <cellStyle name="Note 3 2 9 2" xfId="18462" xr:uid="{00000000-0005-0000-0000-00003B8B0000}"/>
    <cellStyle name="Note 3 20" xfId="17280" xr:uid="{00000000-0005-0000-0000-00003C8B0000}"/>
    <cellStyle name="Note 3 20 2" xfId="22924" xr:uid="{00000000-0005-0000-0000-00003D8B0000}"/>
    <cellStyle name="Note 3 21" xfId="13480" xr:uid="{00000000-0005-0000-0000-00003E8B0000}"/>
    <cellStyle name="Note 3 21 2" xfId="18457" xr:uid="{00000000-0005-0000-0000-00003F8B0000}"/>
    <cellStyle name="Note 3 22" xfId="12787" xr:uid="{00000000-0005-0000-0000-0000408B0000}"/>
    <cellStyle name="Note 3 23" xfId="17801" xr:uid="{00000000-0005-0000-0000-0000418B0000}"/>
    <cellStyle name="Note 3 24" xfId="4159" xr:uid="{00000000-0005-0000-0000-0000428B0000}"/>
    <cellStyle name="Note 3 25" xfId="46488" xr:uid="{5B12C080-4C4C-4E51-9199-DE9E35A79B7C}"/>
    <cellStyle name="Note 3 3" xfId="2766" xr:uid="{00000000-0005-0000-0000-0000438B0000}"/>
    <cellStyle name="Note 3 3 10" xfId="12793" xr:uid="{00000000-0005-0000-0000-0000448B0000}"/>
    <cellStyle name="Note 3 3 11" xfId="17807" xr:uid="{00000000-0005-0000-0000-0000458B0000}"/>
    <cellStyle name="Note 3 3 12" xfId="4171" xr:uid="{00000000-0005-0000-0000-0000468B0000}"/>
    <cellStyle name="Note 3 3 2" xfId="4172" xr:uid="{00000000-0005-0000-0000-0000478B0000}"/>
    <cellStyle name="Note 3 3 2 10" xfId="18125" xr:uid="{00000000-0005-0000-0000-0000488B0000}"/>
    <cellStyle name="Note 3 3 2 2" xfId="14840" xr:uid="{00000000-0005-0000-0000-0000498B0000}"/>
    <cellStyle name="Note 3 3 2 2 2" xfId="20166" xr:uid="{00000000-0005-0000-0000-00004A8B0000}"/>
    <cellStyle name="Note 3 3 2 2 2 2" xfId="24639" xr:uid="{00000000-0005-0000-0000-00004B8B0000}"/>
    <cellStyle name="Note 3 3 2 2 3" xfId="23972" xr:uid="{00000000-0005-0000-0000-00004C8B0000}"/>
    <cellStyle name="Note 3 3 2 3" xfId="14518" xr:uid="{00000000-0005-0000-0000-00004D8B0000}"/>
    <cellStyle name="Note 3 3 2 3 2" xfId="19667" xr:uid="{00000000-0005-0000-0000-00004E8B0000}"/>
    <cellStyle name="Note 3 3 2 4" xfId="15145" xr:uid="{00000000-0005-0000-0000-00004F8B0000}"/>
    <cellStyle name="Note 3 3 2 4 2" xfId="20531" xr:uid="{00000000-0005-0000-0000-0000508B0000}"/>
    <cellStyle name="Note 3 3 2 5" xfId="16519" xr:uid="{00000000-0005-0000-0000-0000518B0000}"/>
    <cellStyle name="Note 3 3 2 5 2" xfId="22160" xr:uid="{00000000-0005-0000-0000-0000528B0000}"/>
    <cellStyle name="Note 3 3 2 6" xfId="16883" xr:uid="{00000000-0005-0000-0000-0000538B0000}"/>
    <cellStyle name="Note 3 3 2 6 2" xfId="22534" xr:uid="{00000000-0005-0000-0000-0000548B0000}"/>
    <cellStyle name="Note 3 3 2 7" xfId="17603" xr:uid="{00000000-0005-0000-0000-0000558B0000}"/>
    <cellStyle name="Note 3 3 2 7 2" xfId="23248" xr:uid="{00000000-0005-0000-0000-0000568B0000}"/>
    <cellStyle name="Note 3 3 2 8" xfId="13807" xr:uid="{00000000-0005-0000-0000-0000578B0000}"/>
    <cellStyle name="Note 3 3 2 8 2" xfId="18781" xr:uid="{00000000-0005-0000-0000-0000588B0000}"/>
    <cellStyle name="Note 3 3 2 9" xfId="13136" xr:uid="{00000000-0005-0000-0000-0000598B0000}"/>
    <cellStyle name="Note 3 3 3" xfId="10351" xr:uid="{00000000-0005-0000-0000-00005A8B0000}"/>
    <cellStyle name="Note 3 3 3 2" xfId="19801" xr:uid="{00000000-0005-0000-0000-00005B8B0000}"/>
    <cellStyle name="Note 3 3 3 2 2" xfId="24180" xr:uid="{00000000-0005-0000-0000-00005C8B0000}"/>
    <cellStyle name="Note 3 3 3 3" xfId="23651" xr:uid="{00000000-0005-0000-0000-00005D8B0000}"/>
    <cellStyle name="Note 3 3 4" xfId="14285" xr:uid="{00000000-0005-0000-0000-00005E8B0000}"/>
    <cellStyle name="Note 3 3 4 2" xfId="19391" xr:uid="{00000000-0005-0000-0000-00005F8B0000}"/>
    <cellStyle name="Note 3 3 5" xfId="15386" xr:uid="{00000000-0005-0000-0000-0000608B0000}"/>
    <cellStyle name="Note 3 3 5 2" xfId="20882" xr:uid="{00000000-0005-0000-0000-0000618B0000}"/>
    <cellStyle name="Note 3 3 6" xfId="16282" xr:uid="{00000000-0005-0000-0000-0000628B0000}"/>
    <cellStyle name="Note 3 3 6 2" xfId="21838" xr:uid="{00000000-0005-0000-0000-0000638B0000}"/>
    <cellStyle name="Note 3 3 7" xfId="15452" xr:uid="{00000000-0005-0000-0000-0000648B0000}"/>
    <cellStyle name="Note 3 3 7 2" xfId="20948" xr:uid="{00000000-0005-0000-0000-0000658B0000}"/>
    <cellStyle name="Note 3 3 8" xfId="17286" xr:uid="{00000000-0005-0000-0000-0000668B0000}"/>
    <cellStyle name="Note 3 3 8 2" xfId="22930" xr:uid="{00000000-0005-0000-0000-0000678B0000}"/>
    <cellStyle name="Note 3 3 9" xfId="13486" xr:uid="{00000000-0005-0000-0000-0000688B0000}"/>
    <cellStyle name="Note 3 3 9 2" xfId="18463" xr:uid="{00000000-0005-0000-0000-0000698B0000}"/>
    <cellStyle name="Note 3 4" xfId="2767" xr:uid="{00000000-0005-0000-0000-00006A8B0000}"/>
    <cellStyle name="Note 3 4 10" xfId="12794" xr:uid="{00000000-0005-0000-0000-00006B8B0000}"/>
    <cellStyle name="Note 3 4 11" xfId="17808" xr:uid="{00000000-0005-0000-0000-00006C8B0000}"/>
    <cellStyle name="Note 3 4 12" xfId="4173" xr:uid="{00000000-0005-0000-0000-00006D8B0000}"/>
    <cellStyle name="Note 3 4 2" xfId="4174" xr:uid="{00000000-0005-0000-0000-00006E8B0000}"/>
    <cellStyle name="Note 3 4 2 10" xfId="18126" xr:uid="{00000000-0005-0000-0000-00006F8B0000}"/>
    <cellStyle name="Note 3 4 2 2" xfId="14841" xr:uid="{00000000-0005-0000-0000-0000708B0000}"/>
    <cellStyle name="Note 3 4 2 2 2" xfId="20167" xr:uid="{00000000-0005-0000-0000-0000718B0000}"/>
    <cellStyle name="Note 3 4 2 2 2 2" xfId="24640" xr:uid="{00000000-0005-0000-0000-0000728B0000}"/>
    <cellStyle name="Note 3 4 2 2 3" xfId="23973" xr:uid="{00000000-0005-0000-0000-0000738B0000}"/>
    <cellStyle name="Note 3 4 2 3" xfId="14519" xr:uid="{00000000-0005-0000-0000-0000748B0000}"/>
    <cellStyle name="Note 3 4 2 3 2" xfId="19668" xr:uid="{00000000-0005-0000-0000-0000758B0000}"/>
    <cellStyle name="Note 3 4 2 4" xfId="15144" xr:uid="{00000000-0005-0000-0000-0000768B0000}"/>
    <cellStyle name="Note 3 4 2 4 2" xfId="20530" xr:uid="{00000000-0005-0000-0000-0000778B0000}"/>
    <cellStyle name="Note 3 4 2 5" xfId="16520" xr:uid="{00000000-0005-0000-0000-0000788B0000}"/>
    <cellStyle name="Note 3 4 2 5 2" xfId="22161" xr:uid="{00000000-0005-0000-0000-0000798B0000}"/>
    <cellStyle name="Note 3 4 2 6" xfId="16884" xr:uid="{00000000-0005-0000-0000-00007A8B0000}"/>
    <cellStyle name="Note 3 4 2 6 2" xfId="22535" xr:uid="{00000000-0005-0000-0000-00007B8B0000}"/>
    <cellStyle name="Note 3 4 2 7" xfId="17604" xr:uid="{00000000-0005-0000-0000-00007C8B0000}"/>
    <cellStyle name="Note 3 4 2 7 2" xfId="23249" xr:uid="{00000000-0005-0000-0000-00007D8B0000}"/>
    <cellStyle name="Note 3 4 2 8" xfId="13808" xr:uid="{00000000-0005-0000-0000-00007E8B0000}"/>
    <cellStyle name="Note 3 4 2 8 2" xfId="18782" xr:uid="{00000000-0005-0000-0000-00007F8B0000}"/>
    <cellStyle name="Note 3 4 2 9" xfId="13137" xr:uid="{00000000-0005-0000-0000-0000808B0000}"/>
    <cellStyle name="Note 3 4 3" xfId="10350" xr:uid="{00000000-0005-0000-0000-0000818B0000}"/>
    <cellStyle name="Note 3 4 3 2" xfId="19802" xr:uid="{00000000-0005-0000-0000-0000828B0000}"/>
    <cellStyle name="Note 3 4 3 2 2" xfId="24179" xr:uid="{00000000-0005-0000-0000-0000838B0000}"/>
    <cellStyle name="Note 3 4 3 3" xfId="23652" xr:uid="{00000000-0005-0000-0000-0000848B0000}"/>
    <cellStyle name="Note 3 4 4" xfId="14286" xr:uid="{00000000-0005-0000-0000-0000858B0000}"/>
    <cellStyle name="Note 3 4 4 2" xfId="19392" xr:uid="{00000000-0005-0000-0000-0000868B0000}"/>
    <cellStyle name="Note 3 4 4 3" xfId="43744" xr:uid="{00000000-0005-0000-0000-0000878B0000}"/>
    <cellStyle name="Note 3 4 5" xfId="15385" xr:uid="{00000000-0005-0000-0000-0000888B0000}"/>
    <cellStyle name="Note 3 4 5 2" xfId="20881" xr:uid="{00000000-0005-0000-0000-0000898B0000}"/>
    <cellStyle name="Note 3 4 6" xfId="16283" xr:uid="{00000000-0005-0000-0000-00008A8B0000}"/>
    <cellStyle name="Note 3 4 6 2" xfId="21839" xr:uid="{00000000-0005-0000-0000-00008B8B0000}"/>
    <cellStyle name="Note 3 4 7" xfId="15451" xr:uid="{00000000-0005-0000-0000-00008C8B0000}"/>
    <cellStyle name="Note 3 4 7 2" xfId="20947" xr:uid="{00000000-0005-0000-0000-00008D8B0000}"/>
    <cellStyle name="Note 3 4 8" xfId="17287" xr:uid="{00000000-0005-0000-0000-00008E8B0000}"/>
    <cellStyle name="Note 3 4 8 2" xfId="22931" xr:uid="{00000000-0005-0000-0000-00008F8B0000}"/>
    <cellStyle name="Note 3 4 9" xfId="13487" xr:uid="{00000000-0005-0000-0000-0000908B0000}"/>
    <cellStyle name="Note 3 4 9 2" xfId="18464" xr:uid="{00000000-0005-0000-0000-0000918B0000}"/>
    <cellStyle name="Note 3 5" xfId="2768" xr:uid="{00000000-0005-0000-0000-0000928B0000}"/>
    <cellStyle name="Note 3 5 10" xfId="12795" xr:uid="{00000000-0005-0000-0000-0000938B0000}"/>
    <cellStyle name="Note 3 5 11" xfId="17809" xr:uid="{00000000-0005-0000-0000-0000948B0000}"/>
    <cellStyle name="Note 3 5 12" xfId="4175" xr:uid="{00000000-0005-0000-0000-0000958B0000}"/>
    <cellStyle name="Note 3 5 2" xfId="4176" xr:uid="{00000000-0005-0000-0000-0000968B0000}"/>
    <cellStyle name="Note 3 5 2 10" xfId="18127" xr:uid="{00000000-0005-0000-0000-0000978B0000}"/>
    <cellStyle name="Note 3 5 2 2" xfId="14842" xr:uid="{00000000-0005-0000-0000-0000988B0000}"/>
    <cellStyle name="Note 3 5 2 2 2" xfId="20168" xr:uid="{00000000-0005-0000-0000-0000998B0000}"/>
    <cellStyle name="Note 3 5 2 2 2 2" xfId="24641" xr:uid="{00000000-0005-0000-0000-00009A8B0000}"/>
    <cellStyle name="Note 3 5 2 2 3" xfId="23974" xr:uid="{00000000-0005-0000-0000-00009B8B0000}"/>
    <cellStyle name="Note 3 5 2 3" xfId="14520" xr:uid="{00000000-0005-0000-0000-00009C8B0000}"/>
    <cellStyle name="Note 3 5 2 3 2" xfId="19669" xr:uid="{00000000-0005-0000-0000-00009D8B0000}"/>
    <cellStyle name="Note 3 5 2 4" xfId="15143" xr:uid="{00000000-0005-0000-0000-00009E8B0000}"/>
    <cellStyle name="Note 3 5 2 4 2" xfId="20529" xr:uid="{00000000-0005-0000-0000-00009F8B0000}"/>
    <cellStyle name="Note 3 5 2 5" xfId="16521" xr:uid="{00000000-0005-0000-0000-0000A08B0000}"/>
    <cellStyle name="Note 3 5 2 5 2" xfId="22162" xr:uid="{00000000-0005-0000-0000-0000A18B0000}"/>
    <cellStyle name="Note 3 5 2 6" xfId="16885" xr:uid="{00000000-0005-0000-0000-0000A28B0000}"/>
    <cellStyle name="Note 3 5 2 6 2" xfId="22536" xr:uid="{00000000-0005-0000-0000-0000A38B0000}"/>
    <cellStyle name="Note 3 5 2 7" xfId="17605" xr:uid="{00000000-0005-0000-0000-0000A48B0000}"/>
    <cellStyle name="Note 3 5 2 7 2" xfId="23250" xr:uid="{00000000-0005-0000-0000-0000A58B0000}"/>
    <cellStyle name="Note 3 5 2 8" xfId="13809" xr:uid="{00000000-0005-0000-0000-0000A68B0000}"/>
    <cellStyle name="Note 3 5 2 8 2" xfId="18783" xr:uid="{00000000-0005-0000-0000-0000A78B0000}"/>
    <cellStyle name="Note 3 5 2 9" xfId="13138" xr:uid="{00000000-0005-0000-0000-0000A88B0000}"/>
    <cellStyle name="Note 3 5 3" xfId="10349" xr:uid="{00000000-0005-0000-0000-0000A98B0000}"/>
    <cellStyle name="Note 3 5 3 2" xfId="19803" xr:uid="{00000000-0005-0000-0000-0000AA8B0000}"/>
    <cellStyle name="Note 3 5 3 2 2" xfId="24178" xr:uid="{00000000-0005-0000-0000-0000AB8B0000}"/>
    <cellStyle name="Note 3 5 3 3" xfId="23653" xr:uid="{00000000-0005-0000-0000-0000AC8B0000}"/>
    <cellStyle name="Note 3 5 4" xfId="14287" xr:uid="{00000000-0005-0000-0000-0000AD8B0000}"/>
    <cellStyle name="Note 3 5 4 2" xfId="19393" xr:uid="{00000000-0005-0000-0000-0000AE8B0000}"/>
    <cellStyle name="Note 3 5 5" xfId="15384" xr:uid="{00000000-0005-0000-0000-0000AF8B0000}"/>
    <cellStyle name="Note 3 5 5 2" xfId="20880" xr:uid="{00000000-0005-0000-0000-0000B08B0000}"/>
    <cellStyle name="Note 3 5 6" xfId="16284" xr:uid="{00000000-0005-0000-0000-0000B18B0000}"/>
    <cellStyle name="Note 3 5 6 2" xfId="21840" xr:uid="{00000000-0005-0000-0000-0000B28B0000}"/>
    <cellStyle name="Note 3 5 7" xfId="15450" xr:uid="{00000000-0005-0000-0000-0000B38B0000}"/>
    <cellStyle name="Note 3 5 7 2" xfId="20946" xr:uid="{00000000-0005-0000-0000-0000B48B0000}"/>
    <cellStyle name="Note 3 5 8" xfId="17288" xr:uid="{00000000-0005-0000-0000-0000B58B0000}"/>
    <cellStyle name="Note 3 5 8 2" xfId="22932" xr:uid="{00000000-0005-0000-0000-0000B68B0000}"/>
    <cellStyle name="Note 3 5 9" xfId="13488" xr:uid="{00000000-0005-0000-0000-0000B78B0000}"/>
    <cellStyle name="Note 3 5 9 2" xfId="18465" xr:uid="{00000000-0005-0000-0000-0000B88B0000}"/>
    <cellStyle name="Note 3 6" xfId="2769" xr:uid="{00000000-0005-0000-0000-0000B98B0000}"/>
    <cellStyle name="Note 3 6 10" xfId="12796" xr:uid="{00000000-0005-0000-0000-0000BA8B0000}"/>
    <cellStyle name="Note 3 6 11" xfId="17810" xr:uid="{00000000-0005-0000-0000-0000BB8B0000}"/>
    <cellStyle name="Note 3 6 12" xfId="4177" xr:uid="{00000000-0005-0000-0000-0000BC8B0000}"/>
    <cellStyle name="Note 3 6 2" xfId="4178" xr:uid="{00000000-0005-0000-0000-0000BD8B0000}"/>
    <cellStyle name="Note 3 6 2 10" xfId="18128" xr:uid="{00000000-0005-0000-0000-0000BE8B0000}"/>
    <cellStyle name="Note 3 6 2 2" xfId="14843" xr:uid="{00000000-0005-0000-0000-0000BF8B0000}"/>
    <cellStyle name="Note 3 6 2 2 2" xfId="20169" xr:uid="{00000000-0005-0000-0000-0000C08B0000}"/>
    <cellStyle name="Note 3 6 2 2 2 2" xfId="24642" xr:uid="{00000000-0005-0000-0000-0000C18B0000}"/>
    <cellStyle name="Note 3 6 2 2 3" xfId="23975" xr:uid="{00000000-0005-0000-0000-0000C28B0000}"/>
    <cellStyle name="Note 3 6 2 3" xfId="14521" xr:uid="{00000000-0005-0000-0000-0000C38B0000}"/>
    <cellStyle name="Note 3 6 2 3 2" xfId="19670" xr:uid="{00000000-0005-0000-0000-0000C48B0000}"/>
    <cellStyle name="Note 3 6 2 4" xfId="15142" xr:uid="{00000000-0005-0000-0000-0000C58B0000}"/>
    <cellStyle name="Note 3 6 2 4 2" xfId="20528" xr:uid="{00000000-0005-0000-0000-0000C68B0000}"/>
    <cellStyle name="Note 3 6 2 5" xfId="16522" xr:uid="{00000000-0005-0000-0000-0000C78B0000}"/>
    <cellStyle name="Note 3 6 2 5 2" xfId="22163" xr:uid="{00000000-0005-0000-0000-0000C88B0000}"/>
    <cellStyle name="Note 3 6 2 6" xfId="16886" xr:uid="{00000000-0005-0000-0000-0000C98B0000}"/>
    <cellStyle name="Note 3 6 2 6 2" xfId="22537" xr:uid="{00000000-0005-0000-0000-0000CA8B0000}"/>
    <cellStyle name="Note 3 6 2 7" xfId="17606" xr:uid="{00000000-0005-0000-0000-0000CB8B0000}"/>
    <cellStyle name="Note 3 6 2 7 2" xfId="23251" xr:uid="{00000000-0005-0000-0000-0000CC8B0000}"/>
    <cellStyle name="Note 3 6 2 8" xfId="13810" xr:uid="{00000000-0005-0000-0000-0000CD8B0000}"/>
    <cellStyle name="Note 3 6 2 8 2" xfId="18784" xr:uid="{00000000-0005-0000-0000-0000CE8B0000}"/>
    <cellStyle name="Note 3 6 2 9" xfId="13139" xr:uid="{00000000-0005-0000-0000-0000CF8B0000}"/>
    <cellStyle name="Note 3 6 3" xfId="10348" xr:uid="{00000000-0005-0000-0000-0000D08B0000}"/>
    <cellStyle name="Note 3 6 3 2" xfId="19804" xr:uid="{00000000-0005-0000-0000-0000D18B0000}"/>
    <cellStyle name="Note 3 6 3 2 2" xfId="24177" xr:uid="{00000000-0005-0000-0000-0000D28B0000}"/>
    <cellStyle name="Note 3 6 3 3" xfId="23654" xr:uid="{00000000-0005-0000-0000-0000D38B0000}"/>
    <cellStyle name="Note 3 6 4" xfId="14288" xr:uid="{00000000-0005-0000-0000-0000D48B0000}"/>
    <cellStyle name="Note 3 6 4 2" xfId="19394" xr:uid="{00000000-0005-0000-0000-0000D58B0000}"/>
    <cellStyle name="Note 3 6 5" xfId="15383" xr:uid="{00000000-0005-0000-0000-0000D68B0000}"/>
    <cellStyle name="Note 3 6 5 2" xfId="20879" xr:uid="{00000000-0005-0000-0000-0000D78B0000}"/>
    <cellStyle name="Note 3 6 6" xfId="16285" xr:uid="{00000000-0005-0000-0000-0000D88B0000}"/>
    <cellStyle name="Note 3 6 6 2" xfId="21841" xr:uid="{00000000-0005-0000-0000-0000D98B0000}"/>
    <cellStyle name="Note 3 6 7" xfId="15449" xr:uid="{00000000-0005-0000-0000-0000DA8B0000}"/>
    <cellStyle name="Note 3 6 7 2" xfId="20945" xr:uid="{00000000-0005-0000-0000-0000DB8B0000}"/>
    <cellStyle name="Note 3 6 8" xfId="17289" xr:uid="{00000000-0005-0000-0000-0000DC8B0000}"/>
    <cellStyle name="Note 3 6 8 2" xfId="22933" xr:uid="{00000000-0005-0000-0000-0000DD8B0000}"/>
    <cellStyle name="Note 3 6 9" xfId="13489" xr:uid="{00000000-0005-0000-0000-0000DE8B0000}"/>
    <cellStyle name="Note 3 6 9 2" xfId="18466" xr:uid="{00000000-0005-0000-0000-0000DF8B0000}"/>
    <cellStyle name="Note 3 7" xfId="2770" xr:uid="{00000000-0005-0000-0000-0000E08B0000}"/>
    <cellStyle name="Note 3 7 10" xfId="12797" xr:uid="{00000000-0005-0000-0000-0000E18B0000}"/>
    <cellStyle name="Note 3 7 11" xfId="17811" xr:uid="{00000000-0005-0000-0000-0000E28B0000}"/>
    <cellStyle name="Note 3 7 12" xfId="4179" xr:uid="{00000000-0005-0000-0000-0000E38B0000}"/>
    <cellStyle name="Note 3 7 2" xfId="4180" xr:uid="{00000000-0005-0000-0000-0000E48B0000}"/>
    <cellStyle name="Note 3 7 2 10" xfId="18129" xr:uid="{00000000-0005-0000-0000-0000E58B0000}"/>
    <cellStyle name="Note 3 7 2 2" xfId="14844" xr:uid="{00000000-0005-0000-0000-0000E68B0000}"/>
    <cellStyle name="Note 3 7 2 2 2" xfId="20170" xr:uid="{00000000-0005-0000-0000-0000E78B0000}"/>
    <cellStyle name="Note 3 7 2 2 2 2" xfId="24643" xr:uid="{00000000-0005-0000-0000-0000E88B0000}"/>
    <cellStyle name="Note 3 7 2 2 3" xfId="23976" xr:uid="{00000000-0005-0000-0000-0000E98B0000}"/>
    <cellStyle name="Note 3 7 2 3" xfId="14522" xr:uid="{00000000-0005-0000-0000-0000EA8B0000}"/>
    <cellStyle name="Note 3 7 2 3 2" xfId="19671" xr:uid="{00000000-0005-0000-0000-0000EB8B0000}"/>
    <cellStyle name="Note 3 7 2 4" xfId="15141" xr:uid="{00000000-0005-0000-0000-0000EC8B0000}"/>
    <cellStyle name="Note 3 7 2 4 2" xfId="20527" xr:uid="{00000000-0005-0000-0000-0000ED8B0000}"/>
    <cellStyle name="Note 3 7 2 5" xfId="16523" xr:uid="{00000000-0005-0000-0000-0000EE8B0000}"/>
    <cellStyle name="Note 3 7 2 5 2" xfId="22164" xr:uid="{00000000-0005-0000-0000-0000EF8B0000}"/>
    <cellStyle name="Note 3 7 2 6" xfId="16887" xr:uid="{00000000-0005-0000-0000-0000F08B0000}"/>
    <cellStyle name="Note 3 7 2 6 2" xfId="22538" xr:uid="{00000000-0005-0000-0000-0000F18B0000}"/>
    <cellStyle name="Note 3 7 2 7" xfId="17607" xr:uid="{00000000-0005-0000-0000-0000F28B0000}"/>
    <cellStyle name="Note 3 7 2 7 2" xfId="23252" xr:uid="{00000000-0005-0000-0000-0000F38B0000}"/>
    <cellStyle name="Note 3 7 2 8" xfId="13811" xr:uid="{00000000-0005-0000-0000-0000F48B0000}"/>
    <cellStyle name="Note 3 7 2 8 2" xfId="18785" xr:uid="{00000000-0005-0000-0000-0000F58B0000}"/>
    <cellStyle name="Note 3 7 2 9" xfId="13140" xr:uid="{00000000-0005-0000-0000-0000F68B0000}"/>
    <cellStyle name="Note 3 7 3" xfId="10347" xr:uid="{00000000-0005-0000-0000-0000F78B0000}"/>
    <cellStyle name="Note 3 7 3 2" xfId="19805" xr:uid="{00000000-0005-0000-0000-0000F88B0000}"/>
    <cellStyle name="Note 3 7 3 2 2" xfId="24176" xr:uid="{00000000-0005-0000-0000-0000F98B0000}"/>
    <cellStyle name="Note 3 7 3 3" xfId="23655" xr:uid="{00000000-0005-0000-0000-0000FA8B0000}"/>
    <cellStyle name="Note 3 7 4" xfId="14289" xr:uid="{00000000-0005-0000-0000-0000FB8B0000}"/>
    <cellStyle name="Note 3 7 4 2" xfId="19395" xr:uid="{00000000-0005-0000-0000-0000FC8B0000}"/>
    <cellStyle name="Note 3 7 5" xfId="15382" xr:uid="{00000000-0005-0000-0000-0000FD8B0000}"/>
    <cellStyle name="Note 3 7 5 2" xfId="20878" xr:uid="{00000000-0005-0000-0000-0000FE8B0000}"/>
    <cellStyle name="Note 3 7 6" xfId="16286" xr:uid="{00000000-0005-0000-0000-0000FF8B0000}"/>
    <cellStyle name="Note 3 7 6 2" xfId="21842" xr:uid="{00000000-0005-0000-0000-0000008C0000}"/>
    <cellStyle name="Note 3 7 7" xfId="15448" xr:uid="{00000000-0005-0000-0000-0000018C0000}"/>
    <cellStyle name="Note 3 7 7 2" xfId="20944" xr:uid="{00000000-0005-0000-0000-0000028C0000}"/>
    <cellStyle name="Note 3 7 8" xfId="17290" xr:uid="{00000000-0005-0000-0000-0000038C0000}"/>
    <cellStyle name="Note 3 7 8 2" xfId="22934" xr:uid="{00000000-0005-0000-0000-0000048C0000}"/>
    <cellStyle name="Note 3 7 9" xfId="13490" xr:uid="{00000000-0005-0000-0000-0000058C0000}"/>
    <cellStyle name="Note 3 7 9 2" xfId="18467" xr:uid="{00000000-0005-0000-0000-0000068C0000}"/>
    <cellStyle name="Note 3 8" xfId="2771" xr:uid="{00000000-0005-0000-0000-0000078C0000}"/>
    <cellStyle name="Note 3 8 10" xfId="12798" xr:uid="{00000000-0005-0000-0000-0000088C0000}"/>
    <cellStyle name="Note 3 8 11" xfId="17812" xr:uid="{00000000-0005-0000-0000-0000098C0000}"/>
    <cellStyle name="Note 3 8 12" xfId="4181" xr:uid="{00000000-0005-0000-0000-00000A8C0000}"/>
    <cellStyle name="Note 3 8 2" xfId="4182" xr:uid="{00000000-0005-0000-0000-00000B8C0000}"/>
    <cellStyle name="Note 3 8 2 10" xfId="18130" xr:uid="{00000000-0005-0000-0000-00000C8C0000}"/>
    <cellStyle name="Note 3 8 2 2" xfId="14845" xr:uid="{00000000-0005-0000-0000-00000D8C0000}"/>
    <cellStyle name="Note 3 8 2 2 2" xfId="20171" xr:uid="{00000000-0005-0000-0000-00000E8C0000}"/>
    <cellStyle name="Note 3 8 2 2 2 2" xfId="24644" xr:uid="{00000000-0005-0000-0000-00000F8C0000}"/>
    <cellStyle name="Note 3 8 2 2 3" xfId="23977" xr:uid="{00000000-0005-0000-0000-0000108C0000}"/>
    <cellStyle name="Note 3 8 2 3" xfId="14523" xr:uid="{00000000-0005-0000-0000-0000118C0000}"/>
    <cellStyle name="Note 3 8 2 3 2" xfId="19672" xr:uid="{00000000-0005-0000-0000-0000128C0000}"/>
    <cellStyle name="Note 3 8 2 4" xfId="15140" xr:uid="{00000000-0005-0000-0000-0000138C0000}"/>
    <cellStyle name="Note 3 8 2 4 2" xfId="20526" xr:uid="{00000000-0005-0000-0000-0000148C0000}"/>
    <cellStyle name="Note 3 8 2 5" xfId="16524" xr:uid="{00000000-0005-0000-0000-0000158C0000}"/>
    <cellStyle name="Note 3 8 2 5 2" xfId="22165" xr:uid="{00000000-0005-0000-0000-0000168C0000}"/>
    <cellStyle name="Note 3 8 2 6" xfId="16888" xr:uid="{00000000-0005-0000-0000-0000178C0000}"/>
    <cellStyle name="Note 3 8 2 6 2" xfId="22539" xr:uid="{00000000-0005-0000-0000-0000188C0000}"/>
    <cellStyle name="Note 3 8 2 7" xfId="17608" xr:uid="{00000000-0005-0000-0000-0000198C0000}"/>
    <cellStyle name="Note 3 8 2 7 2" xfId="23253" xr:uid="{00000000-0005-0000-0000-00001A8C0000}"/>
    <cellStyle name="Note 3 8 2 8" xfId="13812" xr:uid="{00000000-0005-0000-0000-00001B8C0000}"/>
    <cellStyle name="Note 3 8 2 8 2" xfId="18786" xr:uid="{00000000-0005-0000-0000-00001C8C0000}"/>
    <cellStyle name="Note 3 8 2 9" xfId="13141" xr:uid="{00000000-0005-0000-0000-00001D8C0000}"/>
    <cellStyle name="Note 3 8 3" xfId="11326" xr:uid="{00000000-0005-0000-0000-00001E8C0000}"/>
    <cellStyle name="Note 3 8 3 2" xfId="19806" xr:uid="{00000000-0005-0000-0000-00001F8C0000}"/>
    <cellStyle name="Note 3 8 3 2 2" xfId="24175" xr:uid="{00000000-0005-0000-0000-0000208C0000}"/>
    <cellStyle name="Note 3 8 3 3" xfId="23656" xr:uid="{00000000-0005-0000-0000-0000218C0000}"/>
    <cellStyle name="Note 3 8 4" xfId="14290" xr:uid="{00000000-0005-0000-0000-0000228C0000}"/>
    <cellStyle name="Note 3 8 4 2" xfId="19396" xr:uid="{00000000-0005-0000-0000-0000238C0000}"/>
    <cellStyle name="Note 3 8 5" xfId="15381" xr:uid="{00000000-0005-0000-0000-0000248C0000}"/>
    <cellStyle name="Note 3 8 5 2" xfId="20877" xr:uid="{00000000-0005-0000-0000-0000258C0000}"/>
    <cellStyle name="Note 3 8 6" xfId="16287" xr:uid="{00000000-0005-0000-0000-0000268C0000}"/>
    <cellStyle name="Note 3 8 6 2" xfId="21843" xr:uid="{00000000-0005-0000-0000-0000278C0000}"/>
    <cellStyle name="Note 3 8 7" xfId="15447" xr:uid="{00000000-0005-0000-0000-0000288C0000}"/>
    <cellStyle name="Note 3 8 7 2" xfId="20943" xr:uid="{00000000-0005-0000-0000-0000298C0000}"/>
    <cellStyle name="Note 3 8 8" xfId="17291" xr:uid="{00000000-0005-0000-0000-00002A8C0000}"/>
    <cellStyle name="Note 3 8 8 2" xfId="22935" xr:uid="{00000000-0005-0000-0000-00002B8C0000}"/>
    <cellStyle name="Note 3 8 9" xfId="13491" xr:uid="{00000000-0005-0000-0000-00002C8C0000}"/>
    <cellStyle name="Note 3 8 9 2" xfId="18468" xr:uid="{00000000-0005-0000-0000-00002D8C0000}"/>
    <cellStyle name="Note 3 9" xfId="2772" xr:uid="{00000000-0005-0000-0000-00002E8C0000}"/>
    <cellStyle name="Note 3 9 10" xfId="12799" xr:uid="{00000000-0005-0000-0000-00002F8C0000}"/>
    <cellStyle name="Note 3 9 11" xfId="17813" xr:uid="{00000000-0005-0000-0000-0000308C0000}"/>
    <cellStyle name="Note 3 9 12" xfId="4183" xr:uid="{00000000-0005-0000-0000-0000318C0000}"/>
    <cellStyle name="Note 3 9 2" xfId="4184" xr:uid="{00000000-0005-0000-0000-0000328C0000}"/>
    <cellStyle name="Note 3 9 2 10" xfId="18131" xr:uid="{00000000-0005-0000-0000-0000338C0000}"/>
    <cellStyle name="Note 3 9 2 2" xfId="14846" xr:uid="{00000000-0005-0000-0000-0000348C0000}"/>
    <cellStyle name="Note 3 9 2 2 2" xfId="20172" xr:uid="{00000000-0005-0000-0000-0000358C0000}"/>
    <cellStyle name="Note 3 9 2 2 2 2" xfId="24645" xr:uid="{00000000-0005-0000-0000-0000368C0000}"/>
    <cellStyle name="Note 3 9 2 2 3" xfId="23978" xr:uid="{00000000-0005-0000-0000-0000378C0000}"/>
    <cellStyle name="Note 3 9 2 3" xfId="14524" xr:uid="{00000000-0005-0000-0000-0000388C0000}"/>
    <cellStyle name="Note 3 9 2 3 2" xfId="19673" xr:uid="{00000000-0005-0000-0000-0000398C0000}"/>
    <cellStyle name="Note 3 9 2 4" xfId="15139" xr:uid="{00000000-0005-0000-0000-00003A8C0000}"/>
    <cellStyle name="Note 3 9 2 4 2" xfId="20525" xr:uid="{00000000-0005-0000-0000-00003B8C0000}"/>
    <cellStyle name="Note 3 9 2 5" xfId="16525" xr:uid="{00000000-0005-0000-0000-00003C8C0000}"/>
    <cellStyle name="Note 3 9 2 5 2" xfId="22166" xr:uid="{00000000-0005-0000-0000-00003D8C0000}"/>
    <cellStyle name="Note 3 9 2 6" xfId="16889" xr:uid="{00000000-0005-0000-0000-00003E8C0000}"/>
    <cellStyle name="Note 3 9 2 6 2" xfId="22540" xr:uid="{00000000-0005-0000-0000-00003F8C0000}"/>
    <cellStyle name="Note 3 9 2 7" xfId="17609" xr:uid="{00000000-0005-0000-0000-0000408C0000}"/>
    <cellStyle name="Note 3 9 2 7 2" xfId="23254" xr:uid="{00000000-0005-0000-0000-0000418C0000}"/>
    <cellStyle name="Note 3 9 2 8" xfId="13813" xr:uid="{00000000-0005-0000-0000-0000428C0000}"/>
    <cellStyle name="Note 3 9 2 8 2" xfId="18787" xr:uid="{00000000-0005-0000-0000-0000438C0000}"/>
    <cellStyle name="Note 3 9 2 9" xfId="13142" xr:uid="{00000000-0005-0000-0000-0000448C0000}"/>
    <cellStyle name="Note 3 9 3" xfId="10346" xr:uid="{00000000-0005-0000-0000-0000458C0000}"/>
    <cellStyle name="Note 3 9 3 2" xfId="19807" xr:uid="{00000000-0005-0000-0000-0000468C0000}"/>
    <cellStyle name="Note 3 9 3 2 2" xfId="24174" xr:uid="{00000000-0005-0000-0000-0000478C0000}"/>
    <cellStyle name="Note 3 9 3 3" xfId="23657" xr:uid="{00000000-0005-0000-0000-0000488C0000}"/>
    <cellStyle name="Note 3 9 4" xfId="14291" xr:uid="{00000000-0005-0000-0000-0000498C0000}"/>
    <cellStyle name="Note 3 9 4 2" xfId="19397" xr:uid="{00000000-0005-0000-0000-00004A8C0000}"/>
    <cellStyle name="Note 3 9 5" xfId="15380" xr:uid="{00000000-0005-0000-0000-00004B8C0000}"/>
    <cellStyle name="Note 3 9 5 2" xfId="20876" xr:uid="{00000000-0005-0000-0000-00004C8C0000}"/>
    <cellStyle name="Note 3 9 6" xfId="16288" xr:uid="{00000000-0005-0000-0000-00004D8C0000}"/>
    <cellStyle name="Note 3 9 6 2" xfId="21844" xr:uid="{00000000-0005-0000-0000-00004E8C0000}"/>
    <cellStyle name="Note 3 9 7" xfId="15446" xr:uid="{00000000-0005-0000-0000-00004F8C0000}"/>
    <cellStyle name="Note 3 9 7 2" xfId="20942" xr:uid="{00000000-0005-0000-0000-0000508C0000}"/>
    <cellStyle name="Note 3 9 8" xfId="17292" xr:uid="{00000000-0005-0000-0000-0000518C0000}"/>
    <cellStyle name="Note 3 9 8 2" xfId="22936" xr:uid="{00000000-0005-0000-0000-0000528C0000}"/>
    <cellStyle name="Note 3 9 9" xfId="13492" xr:uid="{00000000-0005-0000-0000-0000538C0000}"/>
    <cellStyle name="Note 3 9 9 2" xfId="18469" xr:uid="{00000000-0005-0000-0000-0000548C0000}"/>
    <cellStyle name="Note 3_PrimaryEnergyPrices_TIMES" xfId="43746" xr:uid="{00000000-0005-0000-0000-0000558C0000}"/>
    <cellStyle name="Note 30" xfId="43747" xr:uid="{00000000-0005-0000-0000-0000568C0000}"/>
    <cellStyle name="Note 31" xfId="43748" xr:uid="{00000000-0005-0000-0000-0000578C0000}"/>
    <cellStyle name="Note 32" xfId="43749" xr:uid="{00000000-0005-0000-0000-0000588C0000}"/>
    <cellStyle name="Note 33" xfId="43750" xr:uid="{00000000-0005-0000-0000-0000598C0000}"/>
    <cellStyle name="Note 34" xfId="43751" xr:uid="{00000000-0005-0000-0000-00005A8C0000}"/>
    <cellStyle name="Note 35" xfId="43752" xr:uid="{00000000-0005-0000-0000-00005B8C0000}"/>
    <cellStyle name="Note 36" xfId="43753" xr:uid="{00000000-0005-0000-0000-00005C8C0000}"/>
    <cellStyle name="Note 37" xfId="43754" xr:uid="{00000000-0005-0000-0000-00005D8C0000}"/>
    <cellStyle name="Note 38" xfId="43755" xr:uid="{00000000-0005-0000-0000-00005E8C0000}"/>
    <cellStyle name="Note 39" xfId="43756" xr:uid="{00000000-0005-0000-0000-00005F8C0000}"/>
    <cellStyle name="Note 4" xfId="2773" xr:uid="{00000000-0005-0000-0000-0000608C0000}"/>
    <cellStyle name="Note 4 10" xfId="2774" xr:uid="{00000000-0005-0000-0000-0000618C0000}"/>
    <cellStyle name="Note 4 10 10" xfId="12801" xr:uid="{00000000-0005-0000-0000-0000628C0000}"/>
    <cellStyle name="Note 4 10 11" xfId="17815" xr:uid="{00000000-0005-0000-0000-0000638C0000}"/>
    <cellStyle name="Note 4 10 12" xfId="4186" xr:uid="{00000000-0005-0000-0000-0000648C0000}"/>
    <cellStyle name="Note 4 10 2" xfId="4187" xr:uid="{00000000-0005-0000-0000-0000658C0000}"/>
    <cellStyle name="Note 4 10 2 10" xfId="18133" xr:uid="{00000000-0005-0000-0000-0000668C0000}"/>
    <cellStyle name="Note 4 10 2 2" xfId="14848" xr:uid="{00000000-0005-0000-0000-0000678C0000}"/>
    <cellStyle name="Note 4 10 2 2 2" xfId="20174" xr:uid="{00000000-0005-0000-0000-0000688C0000}"/>
    <cellStyle name="Note 4 10 2 2 2 2" xfId="24647" xr:uid="{00000000-0005-0000-0000-0000698C0000}"/>
    <cellStyle name="Note 4 10 2 2 3" xfId="23980" xr:uid="{00000000-0005-0000-0000-00006A8C0000}"/>
    <cellStyle name="Note 4 10 2 3" xfId="14526" xr:uid="{00000000-0005-0000-0000-00006B8C0000}"/>
    <cellStyle name="Note 4 10 2 3 2" xfId="19675" xr:uid="{00000000-0005-0000-0000-00006C8C0000}"/>
    <cellStyle name="Note 4 10 2 4" xfId="15137" xr:uid="{00000000-0005-0000-0000-00006D8C0000}"/>
    <cellStyle name="Note 4 10 2 4 2" xfId="20523" xr:uid="{00000000-0005-0000-0000-00006E8C0000}"/>
    <cellStyle name="Note 4 10 2 5" xfId="16527" xr:uid="{00000000-0005-0000-0000-00006F8C0000}"/>
    <cellStyle name="Note 4 10 2 5 2" xfId="22168" xr:uid="{00000000-0005-0000-0000-0000708C0000}"/>
    <cellStyle name="Note 4 10 2 6" xfId="16891" xr:uid="{00000000-0005-0000-0000-0000718C0000}"/>
    <cellStyle name="Note 4 10 2 6 2" xfId="22542" xr:uid="{00000000-0005-0000-0000-0000728C0000}"/>
    <cellStyle name="Note 4 10 2 7" xfId="17611" xr:uid="{00000000-0005-0000-0000-0000738C0000}"/>
    <cellStyle name="Note 4 10 2 7 2" xfId="23256" xr:uid="{00000000-0005-0000-0000-0000748C0000}"/>
    <cellStyle name="Note 4 10 2 8" xfId="13815" xr:uid="{00000000-0005-0000-0000-0000758C0000}"/>
    <cellStyle name="Note 4 10 2 8 2" xfId="18789" xr:uid="{00000000-0005-0000-0000-0000768C0000}"/>
    <cellStyle name="Note 4 10 2 9" xfId="13144" xr:uid="{00000000-0005-0000-0000-0000778C0000}"/>
    <cellStyle name="Note 4 10 3" xfId="10344" xr:uid="{00000000-0005-0000-0000-0000788C0000}"/>
    <cellStyle name="Note 4 10 3 2" xfId="19809" xr:uid="{00000000-0005-0000-0000-0000798C0000}"/>
    <cellStyle name="Note 4 10 3 2 2" xfId="24172" xr:uid="{00000000-0005-0000-0000-00007A8C0000}"/>
    <cellStyle name="Note 4 10 3 3" xfId="23659" xr:uid="{00000000-0005-0000-0000-00007B8C0000}"/>
    <cellStyle name="Note 4 10 4" xfId="14293" xr:uid="{00000000-0005-0000-0000-00007C8C0000}"/>
    <cellStyle name="Note 4 10 4 2" xfId="19399" xr:uid="{00000000-0005-0000-0000-00007D8C0000}"/>
    <cellStyle name="Note 4 10 5" xfId="15378" xr:uid="{00000000-0005-0000-0000-00007E8C0000}"/>
    <cellStyle name="Note 4 10 5 2" xfId="20874" xr:uid="{00000000-0005-0000-0000-00007F8C0000}"/>
    <cellStyle name="Note 4 10 6" xfId="16290" xr:uid="{00000000-0005-0000-0000-0000808C0000}"/>
    <cellStyle name="Note 4 10 6 2" xfId="21846" xr:uid="{00000000-0005-0000-0000-0000818C0000}"/>
    <cellStyle name="Note 4 10 7" xfId="15444" xr:uid="{00000000-0005-0000-0000-0000828C0000}"/>
    <cellStyle name="Note 4 10 7 2" xfId="20940" xr:uid="{00000000-0005-0000-0000-0000838C0000}"/>
    <cellStyle name="Note 4 10 8" xfId="17294" xr:uid="{00000000-0005-0000-0000-0000848C0000}"/>
    <cellStyle name="Note 4 10 8 2" xfId="22938" xr:uid="{00000000-0005-0000-0000-0000858C0000}"/>
    <cellStyle name="Note 4 10 9" xfId="13494" xr:uid="{00000000-0005-0000-0000-0000868C0000}"/>
    <cellStyle name="Note 4 10 9 2" xfId="18471" xr:uid="{00000000-0005-0000-0000-0000878C0000}"/>
    <cellStyle name="Note 4 11" xfId="2775" xr:uid="{00000000-0005-0000-0000-0000888C0000}"/>
    <cellStyle name="Note 4 11 10" xfId="12802" xr:uid="{00000000-0005-0000-0000-0000898C0000}"/>
    <cellStyle name="Note 4 11 11" xfId="17816" xr:uid="{00000000-0005-0000-0000-00008A8C0000}"/>
    <cellStyle name="Note 4 11 12" xfId="4188" xr:uid="{00000000-0005-0000-0000-00008B8C0000}"/>
    <cellStyle name="Note 4 11 2" xfId="4189" xr:uid="{00000000-0005-0000-0000-00008C8C0000}"/>
    <cellStyle name="Note 4 11 2 10" xfId="18134" xr:uid="{00000000-0005-0000-0000-00008D8C0000}"/>
    <cellStyle name="Note 4 11 2 2" xfId="14849" xr:uid="{00000000-0005-0000-0000-00008E8C0000}"/>
    <cellStyle name="Note 4 11 2 2 2" xfId="20175" xr:uid="{00000000-0005-0000-0000-00008F8C0000}"/>
    <cellStyle name="Note 4 11 2 2 2 2" xfId="24648" xr:uid="{00000000-0005-0000-0000-0000908C0000}"/>
    <cellStyle name="Note 4 11 2 2 3" xfId="23981" xr:uid="{00000000-0005-0000-0000-0000918C0000}"/>
    <cellStyle name="Note 4 11 2 3" xfId="14527" xr:uid="{00000000-0005-0000-0000-0000928C0000}"/>
    <cellStyle name="Note 4 11 2 3 2" xfId="19676" xr:uid="{00000000-0005-0000-0000-0000938C0000}"/>
    <cellStyle name="Note 4 11 2 4" xfId="15136" xr:uid="{00000000-0005-0000-0000-0000948C0000}"/>
    <cellStyle name="Note 4 11 2 4 2" xfId="20522" xr:uid="{00000000-0005-0000-0000-0000958C0000}"/>
    <cellStyle name="Note 4 11 2 5" xfId="16528" xr:uid="{00000000-0005-0000-0000-0000968C0000}"/>
    <cellStyle name="Note 4 11 2 5 2" xfId="22169" xr:uid="{00000000-0005-0000-0000-0000978C0000}"/>
    <cellStyle name="Note 4 11 2 6" xfId="16892" xr:uid="{00000000-0005-0000-0000-0000988C0000}"/>
    <cellStyle name="Note 4 11 2 6 2" xfId="22543" xr:uid="{00000000-0005-0000-0000-0000998C0000}"/>
    <cellStyle name="Note 4 11 2 7" xfId="17612" xr:uid="{00000000-0005-0000-0000-00009A8C0000}"/>
    <cellStyle name="Note 4 11 2 7 2" xfId="23257" xr:uid="{00000000-0005-0000-0000-00009B8C0000}"/>
    <cellStyle name="Note 4 11 2 8" xfId="13816" xr:uid="{00000000-0005-0000-0000-00009C8C0000}"/>
    <cellStyle name="Note 4 11 2 8 2" xfId="18790" xr:uid="{00000000-0005-0000-0000-00009D8C0000}"/>
    <cellStyle name="Note 4 11 2 9" xfId="13145" xr:uid="{00000000-0005-0000-0000-00009E8C0000}"/>
    <cellStyle name="Note 4 11 3" xfId="10343" xr:uid="{00000000-0005-0000-0000-00009F8C0000}"/>
    <cellStyle name="Note 4 11 3 2" xfId="19810" xr:uid="{00000000-0005-0000-0000-0000A08C0000}"/>
    <cellStyle name="Note 4 11 3 2 2" xfId="24171" xr:uid="{00000000-0005-0000-0000-0000A18C0000}"/>
    <cellStyle name="Note 4 11 3 3" xfId="23660" xr:uid="{00000000-0005-0000-0000-0000A28C0000}"/>
    <cellStyle name="Note 4 11 4" xfId="14294" xr:uid="{00000000-0005-0000-0000-0000A38C0000}"/>
    <cellStyle name="Note 4 11 4 2" xfId="19400" xr:uid="{00000000-0005-0000-0000-0000A48C0000}"/>
    <cellStyle name="Note 4 11 5" xfId="15377" xr:uid="{00000000-0005-0000-0000-0000A58C0000}"/>
    <cellStyle name="Note 4 11 5 2" xfId="20873" xr:uid="{00000000-0005-0000-0000-0000A68C0000}"/>
    <cellStyle name="Note 4 11 6" xfId="16291" xr:uid="{00000000-0005-0000-0000-0000A78C0000}"/>
    <cellStyle name="Note 4 11 6 2" xfId="21847" xr:uid="{00000000-0005-0000-0000-0000A88C0000}"/>
    <cellStyle name="Note 4 11 7" xfId="15443" xr:uid="{00000000-0005-0000-0000-0000A98C0000}"/>
    <cellStyle name="Note 4 11 7 2" xfId="20939" xr:uid="{00000000-0005-0000-0000-0000AA8C0000}"/>
    <cellStyle name="Note 4 11 8" xfId="17295" xr:uid="{00000000-0005-0000-0000-0000AB8C0000}"/>
    <cellStyle name="Note 4 11 8 2" xfId="22939" xr:uid="{00000000-0005-0000-0000-0000AC8C0000}"/>
    <cellStyle name="Note 4 11 9" xfId="13495" xr:uid="{00000000-0005-0000-0000-0000AD8C0000}"/>
    <cellStyle name="Note 4 11 9 2" xfId="18472" xr:uid="{00000000-0005-0000-0000-0000AE8C0000}"/>
    <cellStyle name="Note 4 12" xfId="4190" xr:uid="{00000000-0005-0000-0000-0000AF8C0000}"/>
    <cellStyle name="Note 4 12 10" xfId="18132" xr:uid="{00000000-0005-0000-0000-0000B08C0000}"/>
    <cellStyle name="Note 4 12 2" xfId="14847" xr:uid="{00000000-0005-0000-0000-0000B18C0000}"/>
    <cellStyle name="Note 4 12 2 2" xfId="20173" xr:uid="{00000000-0005-0000-0000-0000B28C0000}"/>
    <cellStyle name="Note 4 12 2 2 2" xfId="24646" xr:uid="{00000000-0005-0000-0000-0000B38C0000}"/>
    <cellStyle name="Note 4 12 2 3" xfId="23979" xr:uid="{00000000-0005-0000-0000-0000B48C0000}"/>
    <cellStyle name="Note 4 12 3" xfId="14525" xr:uid="{00000000-0005-0000-0000-0000B58C0000}"/>
    <cellStyle name="Note 4 12 3 2" xfId="19674" xr:uid="{00000000-0005-0000-0000-0000B68C0000}"/>
    <cellStyle name="Note 4 12 4" xfId="15138" xr:uid="{00000000-0005-0000-0000-0000B78C0000}"/>
    <cellStyle name="Note 4 12 4 2" xfId="20524" xr:uid="{00000000-0005-0000-0000-0000B88C0000}"/>
    <cellStyle name="Note 4 12 5" xfId="16526" xr:uid="{00000000-0005-0000-0000-0000B98C0000}"/>
    <cellStyle name="Note 4 12 5 2" xfId="22167" xr:uid="{00000000-0005-0000-0000-0000BA8C0000}"/>
    <cellStyle name="Note 4 12 6" xfId="16890" xr:uid="{00000000-0005-0000-0000-0000BB8C0000}"/>
    <cellStyle name="Note 4 12 6 2" xfId="22541" xr:uid="{00000000-0005-0000-0000-0000BC8C0000}"/>
    <cellStyle name="Note 4 12 7" xfId="17610" xr:uid="{00000000-0005-0000-0000-0000BD8C0000}"/>
    <cellStyle name="Note 4 12 7 2" xfId="23255" xr:uid="{00000000-0005-0000-0000-0000BE8C0000}"/>
    <cellStyle name="Note 4 12 8" xfId="13814" xr:uid="{00000000-0005-0000-0000-0000BF8C0000}"/>
    <cellStyle name="Note 4 12 8 2" xfId="18788" xr:uid="{00000000-0005-0000-0000-0000C08C0000}"/>
    <cellStyle name="Note 4 12 9" xfId="13143" xr:uid="{00000000-0005-0000-0000-0000C18C0000}"/>
    <cellStyle name="Note 4 13" xfId="10345" xr:uid="{00000000-0005-0000-0000-0000C28C0000}"/>
    <cellStyle name="Note 4 13 2" xfId="19808" xr:uid="{00000000-0005-0000-0000-0000C38C0000}"/>
    <cellStyle name="Note 4 13 2 2" xfId="24173" xr:uid="{00000000-0005-0000-0000-0000C48C0000}"/>
    <cellStyle name="Note 4 13 3" xfId="23658" xr:uid="{00000000-0005-0000-0000-0000C58C0000}"/>
    <cellStyle name="Note 4 14" xfId="14292" xr:uid="{00000000-0005-0000-0000-0000C68C0000}"/>
    <cellStyle name="Note 4 14 2" xfId="19398" xr:uid="{00000000-0005-0000-0000-0000C78C0000}"/>
    <cellStyle name="Note 4 15" xfId="15379" xr:uid="{00000000-0005-0000-0000-0000C88C0000}"/>
    <cellStyle name="Note 4 15 2" xfId="20875" xr:uid="{00000000-0005-0000-0000-0000C98C0000}"/>
    <cellStyle name="Note 4 16" xfId="16289" xr:uid="{00000000-0005-0000-0000-0000CA8C0000}"/>
    <cellStyle name="Note 4 16 2" xfId="21845" xr:uid="{00000000-0005-0000-0000-0000CB8C0000}"/>
    <cellStyle name="Note 4 17" xfId="15445" xr:uid="{00000000-0005-0000-0000-0000CC8C0000}"/>
    <cellStyle name="Note 4 17 2" xfId="20941" xr:uid="{00000000-0005-0000-0000-0000CD8C0000}"/>
    <cellStyle name="Note 4 18" xfId="17293" xr:uid="{00000000-0005-0000-0000-0000CE8C0000}"/>
    <cellStyle name="Note 4 18 2" xfId="22937" xr:uid="{00000000-0005-0000-0000-0000CF8C0000}"/>
    <cellStyle name="Note 4 19" xfId="13493" xr:uid="{00000000-0005-0000-0000-0000D08C0000}"/>
    <cellStyle name="Note 4 19 2" xfId="18470" xr:uid="{00000000-0005-0000-0000-0000D18C0000}"/>
    <cellStyle name="Note 4 2" xfId="2776" xr:uid="{00000000-0005-0000-0000-0000D28C0000}"/>
    <cellStyle name="Note 4 2 10" xfId="12803" xr:uid="{00000000-0005-0000-0000-0000D38C0000}"/>
    <cellStyle name="Note 4 2 11" xfId="17817" xr:uid="{00000000-0005-0000-0000-0000D48C0000}"/>
    <cellStyle name="Note 4 2 12" xfId="4191" xr:uid="{00000000-0005-0000-0000-0000D58C0000}"/>
    <cellStyle name="Note 4 2 2" xfId="4192" xr:uid="{00000000-0005-0000-0000-0000D68C0000}"/>
    <cellStyle name="Note 4 2 2 10" xfId="18135" xr:uid="{00000000-0005-0000-0000-0000D78C0000}"/>
    <cellStyle name="Note 4 2 2 2" xfId="14850" xr:uid="{00000000-0005-0000-0000-0000D88C0000}"/>
    <cellStyle name="Note 4 2 2 2 2" xfId="20176" xr:uid="{00000000-0005-0000-0000-0000D98C0000}"/>
    <cellStyle name="Note 4 2 2 2 2 2" xfId="24649" xr:uid="{00000000-0005-0000-0000-0000DA8C0000}"/>
    <cellStyle name="Note 4 2 2 2 3" xfId="23982" xr:uid="{00000000-0005-0000-0000-0000DB8C0000}"/>
    <cellStyle name="Note 4 2 2 3" xfId="14528" xr:uid="{00000000-0005-0000-0000-0000DC8C0000}"/>
    <cellStyle name="Note 4 2 2 3 2" xfId="19677" xr:uid="{00000000-0005-0000-0000-0000DD8C0000}"/>
    <cellStyle name="Note 4 2 2 4" xfId="15135" xr:uid="{00000000-0005-0000-0000-0000DE8C0000}"/>
    <cellStyle name="Note 4 2 2 4 2" xfId="20521" xr:uid="{00000000-0005-0000-0000-0000DF8C0000}"/>
    <cellStyle name="Note 4 2 2 5" xfId="16529" xr:uid="{00000000-0005-0000-0000-0000E08C0000}"/>
    <cellStyle name="Note 4 2 2 5 2" xfId="22170" xr:uid="{00000000-0005-0000-0000-0000E18C0000}"/>
    <cellStyle name="Note 4 2 2 6" xfId="16893" xr:uid="{00000000-0005-0000-0000-0000E28C0000}"/>
    <cellStyle name="Note 4 2 2 6 2" xfId="22544" xr:uid="{00000000-0005-0000-0000-0000E38C0000}"/>
    <cellStyle name="Note 4 2 2 7" xfId="17613" xr:uid="{00000000-0005-0000-0000-0000E48C0000}"/>
    <cellStyle name="Note 4 2 2 7 2" xfId="23258" xr:uid="{00000000-0005-0000-0000-0000E58C0000}"/>
    <cellStyle name="Note 4 2 2 8" xfId="13817" xr:uid="{00000000-0005-0000-0000-0000E68C0000}"/>
    <cellStyle name="Note 4 2 2 8 2" xfId="18791" xr:uid="{00000000-0005-0000-0000-0000E78C0000}"/>
    <cellStyle name="Note 4 2 2 9" xfId="13146" xr:uid="{00000000-0005-0000-0000-0000E88C0000}"/>
    <cellStyle name="Note 4 2 3" xfId="10342" xr:uid="{00000000-0005-0000-0000-0000E98C0000}"/>
    <cellStyle name="Note 4 2 3 2" xfId="19811" xr:uid="{00000000-0005-0000-0000-0000EA8C0000}"/>
    <cellStyle name="Note 4 2 3 2 2" xfId="24170" xr:uid="{00000000-0005-0000-0000-0000EB8C0000}"/>
    <cellStyle name="Note 4 2 3 3" xfId="23661" xr:uid="{00000000-0005-0000-0000-0000EC8C0000}"/>
    <cellStyle name="Note 4 2 4" xfId="14295" xr:uid="{00000000-0005-0000-0000-0000ED8C0000}"/>
    <cellStyle name="Note 4 2 4 2" xfId="19401" xr:uid="{00000000-0005-0000-0000-0000EE8C0000}"/>
    <cellStyle name="Note 4 2 5" xfId="15376" xr:uid="{00000000-0005-0000-0000-0000EF8C0000}"/>
    <cellStyle name="Note 4 2 5 2" xfId="20872" xr:uid="{00000000-0005-0000-0000-0000F08C0000}"/>
    <cellStyle name="Note 4 2 6" xfId="16292" xr:uid="{00000000-0005-0000-0000-0000F18C0000}"/>
    <cellStyle name="Note 4 2 6 2" xfId="21848" xr:uid="{00000000-0005-0000-0000-0000F28C0000}"/>
    <cellStyle name="Note 4 2 7" xfId="15442" xr:uid="{00000000-0005-0000-0000-0000F38C0000}"/>
    <cellStyle name="Note 4 2 7 2" xfId="20938" xr:uid="{00000000-0005-0000-0000-0000F48C0000}"/>
    <cellStyle name="Note 4 2 8" xfId="17296" xr:uid="{00000000-0005-0000-0000-0000F58C0000}"/>
    <cellStyle name="Note 4 2 8 2" xfId="22940" xr:uid="{00000000-0005-0000-0000-0000F68C0000}"/>
    <cellStyle name="Note 4 2 9" xfId="13496" xr:uid="{00000000-0005-0000-0000-0000F78C0000}"/>
    <cellStyle name="Note 4 2 9 2" xfId="18473" xr:uid="{00000000-0005-0000-0000-0000F88C0000}"/>
    <cellStyle name="Note 4 20" xfId="12800" xr:uid="{00000000-0005-0000-0000-0000F98C0000}"/>
    <cellStyle name="Note 4 21" xfId="17814" xr:uid="{00000000-0005-0000-0000-0000FA8C0000}"/>
    <cellStyle name="Note 4 22" xfId="4185" xr:uid="{00000000-0005-0000-0000-0000FB8C0000}"/>
    <cellStyle name="Note 4 3" xfId="2777" xr:uid="{00000000-0005-0000-0000-0000FC8C0000}"/>
    <cellStyle name="Note 4 3 10" xfId="12804" xr:uid="{00000000-0005-0000-0000-0000FD8C0000}"/>
    <cellStyle name="Note 4 3 11" xfId="17818" xr:uid="{00000000-0005-0000-0000-0000FE8C0000}"/>
    <cellStyle name="Note 4 3 12" xfId="4193" xr:uid="{00000000-0005-0000-0000-0000FF8C0000}"/>
    <cellStyle name="Note 4 3 2" xfId="4194" xr:uid="{00000000-0005-0000-0000-0000008D0000}"/>
    <cellStyle name="Note 4 3 2 10" xfId="18136" xr:uid="{00000000-0005-0000-0000-0000018D0000}"/>
    <cellStyle name="Note 4 3 2 2" xfId="14851" xr:uid="{00000000-0005-0000-0000-0000028D0000}"/>
    <cellStyle name="Note 4 3 2 2 2" xfId="20177" xr:uid="{00000000-0005-0000-0000-0000038D0000}"/>
    <cellStyle name="Note 4 3 2 2 2 2" xfId="24650" xr:uid="{00000000-0005-0000-0000-0000048D0000}"/>
    <cellStyle name="Note 4 3 2 2 3" xfId="23983" xr:uid="{00000000-0005-0000-0000-0000058D0000}"/>
    <cellStyle name="Note 4 3 2 3" xfId="14529" xr:uid="{00000000-0005-0000-0000-0000068D0000}"/>
    <cellStyle name="Note 4 3 2 3 2" xfId="19678" xr:uid="{00000000-0005-0000-0000-0000078D0000}"/>
    <cellStyle name="Note 4 3 2 4" xfId="15134" xr:uid="{00000000-0005-0000-0000-0000088D0000}"/>
    <cellStyle name="Note 4 3 2 4 2" xfId="20520" xr:uid="{00000000-0005-0000-0000-0000098D0000}"/>
    <cellStyle name="Note 4 3 2 5" xfId="16530" xr:uid="{00000000-0005-0000-0000-00000A8D0000}"/>
    <cellStyle name="Note 4 3 2 5 2" xfId="22171" xr:uid="{00000000-0005-0000-0000-00000B8D0000}"/>
    <cellStyle name="Note 4 3 2 6" xfId="16894" xr:uid="{00000000-0005-0000-0000-00000C8D0000}"/>
    <cellStyle name="Note 4 3 2 6 2" xfId="22545" xr:uid="{00000000-0005-0000-0000-00000D8D0000}"/>
    <cellStyle name="Note 4 3 2 7" xfId="17614" xr:uid="{00000000-0005-0000-0000-00000E8D0000}"/>
    <cellStyle name="Note 4 3 2 7 2" xfId="23259" xr:uid="{00000000-0005-0000-0000-00000F8D0000}"/>
    <cellStyle name="Note 4 3 2 8" xfId="13818" xr:uid="{00000000-0005-0000-0000-0000108D0000}"/>
    <cellStyle name="Note 4 3 2 8 2" xfId="18792" xr:uid="{00000000-0005-0000-0000-0000118D0000}"/>
    <cellStyle name="Note 4 3 2 9" xfId="13147" xr:uid="{00000000-0005-0000-0000-0000128D0000}"/>
    <cellStyle name="Note 4 3 3" xfId="10341" xr:uid="{00000000-0005-0000-0000-0000138D0000}"/>
    <cellStyle name="Note 4 3 3 2" xfId="19812" xr:uid="{00000000-0005-0000-0000-0000148D0000}"/>
    <cellStyle name="Note 4 3 3 2 2" xfId="24169" xr:uid="{00000000-0005-0000-0000-0000158D0000}"/>
    <cellStyle name="Note 4 3 3 3" xfId="23662" xr:uid="{00000000-0005-0000-0000-0000168D0000}"/>
    <cellStyle name="Note 4 3 4" xfId="14296" xr:uid="{00000000-0005-0000-0000-0000178D0000}"/>
    <cellStyle name="Note 4 3 4 2" xfId="19402" xr:uid="{00000000-0005-0000-0000-0000188D0000}"/>
    <cellStyle name="Note 4 3 5" xfId="15375" xr:uid="{00000000-0005-0000-0000-0000198D0000}"/>
    <cellStyle name="Note 4 3 5 2" xfId="20871" xr:uid="{00000000-0005-0000-0000-00001A8D0000}"/>
    <cellStyle name="Note 4 3 6" xfId="16293" xr:uid="{00000000-0005-0000-0000-00001B8D0000}"/>
    <cellStyle name="Note 4 3 6 2" xfId="21849" xr:uid="{00000000-0005-0000-0000-00001C8D0000}"/>
    <cellStyle name="Note 4 3 7" xfId="15441" xr:uid="{00000000-0005-0000-0000-00001D8D0000}"/>
    <cellStyle name="Note 4 3 7 2" xfId="20937" xr:uid="{00000000-0005-0000-0000-00001E8D0000}"/>
    <cellStyle name="Note 4 3 8" xfId="17297" xr:uid="{00000000-0005-0000-0000-00001F8D0000}"/>
    <cellStyle name="Note 4 3 8 2" xfId="22941" xr:uid="{00000000-0005-0000-0000-0000208D0000}"/>
    <cellStyle name="Note 4 3 9" xfId="13497" xr:uid="{00000000-0005-0000-0000-0000218D0000}"/>
    <cellStyle name="Note 4 3 9 2" xfId="18474" xr:uid="{00000000-0005-0000-0000-0000228D0000}"/>
    <cellStyle name="Note 4 3_ELC_final" xfId="43757" xr:uid="{00000000-0005-0000-0000-0000238D0000}"/>
    <cellStyle name="Note 4 4" xfId="2778" xr:uid="{00000000-0005-0000-0000-0000248D0000}"/>
    <cellStyle name="Note 4 4 10" xfId="12805" xr:uid="{00000000-0005-0000-0000-0000258D0000}"/>
    <cellStyle name="Note 4 4 11" xfId="17819" xr:uid="{00000000-0005-0000-0000-0000268D0000}"/>
    <cellStyle name="Note 4 4 12" xfId="4195" xr:uid="{00000000-0005-0000-0000-0000278D0000}"/>
    <cellStyle name="Note 4 4 2" xfId="4196" xr:uid="{00000000-0005-0000-0000-0000288D0000}"/>
    <cellStyle name="Note 4 4 2 10" xfId="18137" xr:uid="{00000000-0005-0000-0000-0000298D0000}"/>
    <cellStyle name="Note 4 4 2 2" xfId="14852" xr:uid="{00000000-0005-0000-0000-00002A8D0000}"/>
    <cellStyle name="Note 4 4 2 2 2" xfId="20178" xr:uid="{00000000-0005-0000-0000-00002B8D0000}"/>
    <cellStyle name="Note 4 4 2 2 2 2" xfId="24651" xr:uid="{00000000-0005-0000-0000-00002C8D0000}"/>
    <cellStyle name="Note 4 4 2 2 3" xfId="23984" xr:uid="{00000000-0005-0000-0000-00002D8D0000}"/>
    <cellStyle name="Note 4 4 2 3" xfId="14530" xr:uid="{00000000-0005-0000-0000-00002E8D0000}"/>
    <cellStyle name="Note 4 4 2 3 2" xfId="19679" xr:uid="{00000000-0005-0000-0000-00002F8D0000}"/>
    <cellStyle name="Note 4 4 2 4" xfId="15133" xr:uid="{00000000-0005-0000-0000-0000308D0000}"/>
    <cellStyle name="Note 4 4 2 4 2" xfId="20519" xr:uid="{00000000-0005-0000-0000-0000318D0000}"/>
    <cellStyle name="Note 4 4 2 5" xfId="16531" xr:uid="{00000000-0005-0000-0000-0000328D0000}"/>
    <cellStyle name="Note 4 4 2 5 2" xfId="22172" xr:uid="{00000000-0005-0000-0000-0000338D0000}"/>
    <cellStyle name="Note 4 4 2 6" xfId="16895" xr:uid="{00000000-0005-0000-0000-0000348D0000}"/>
    <cellStyle name="Note 4 4 2 6 2" xfId="22546" xr:uid="{00000000-0005-0000-0000-0000358D0000}"/>
    <cellStyle name="Note 4 4 2 7" xfId="17615" xr:uid="{00000000-0005-0000-0000-0000368D0000}"/>
    <cellStyle name="Note 4 4 2 7 2" xfId="23260" xr:uid="{00000000-0005-0000-0000-0000378D0000}"/>
    <cellStyle name="Note 4 4 2 8" xfId="13819" xr:uid="{00000000-0005-0000-0000-0000388D0000}"/>
    <cellStyle name="Note 4 4 2 8 2" xfId="18793" xr:uid="{00000000-0005-0000-0000-0000398D0000}"/>
    <cellStyle name="Note 4 4 2 9" xfId="13148" xr:uid="{00000000-0005-0000-0000-00003A8D0000}"/>
    <cellStyle name="Note 4 4 3" xfId="10340" xr:uid="{00000000-0005-0000-0000-00003B8D0000}"/>
    <cellStyle name="Note 4 4 3 2" xfId="19813" xr:uid="{00000000-0005-0000-0000-00003C8D0000}"/>
    <cellStyle name="Note 4 4 3 2 2" xfId="24168" xr:uid="{00000000-0005-0000-0000-00003D8D0000}"/>
    <cellStyle name="Note 4 4 3 3" xfId="23663" xr:uid="{00000000-0005-0000-0000-00003E8D0000}"/>
    <cellStyle name="Note 4 4 4" xfId="14297" xr:uid="{00000000-0005-0000-0000-00003F8D0000}"/>
    <cellStyle name="Note 4 4 4 2" xfId="19403" xr:uid="{00000000-0005-0000-0000-0000408D0000}"/>
    <cellStyle name="Note 4 4 4 3" xfId="43758" xr:uid="{00000000-0005-0000-0000-0000418D0000}"/>
    <cellStyle name="Note 4 4 5" xfId="15374" xr:uid="{00000000-0005-0000-0000-0000428D0000}"/>
    <cellStyle name="Note 4 4 5 2" xfId="20870" xr:uid="{00000000-0005-0000-0000-0000438D0000}"/>
    <cellStyle name="Note 4 4 6" xfId="16294" xr:uid="{00000000-0005-0000-0000-0000448D0000}"/>
    <cellStyle name="Note 4 4 6 2" xfId="21850" xr:uid="{00000000-0005-0000-0000-0000458D0000}"/>
    <cellStyle name="Note 4 4 7" xfId="15440" xr:uid="{00000000-0005-0000-0000-0000468D0000}"/>
    <cellStyle name="Note 4 4 7 2" xfId="20936" xr:uid="{00000000-0005-0000-0000-0000478D0000}"/>
    <cellStyle name="Note 4 4 8" xfId="17298" xr:uid="{00000000-0005-0000-0000-0000488D0000}"/>
    <cellStyle name="Note 4 4 8 2" xfId="22942" xr:uid="{00000000-0005-0000-0000-0000498D0000}"/>
    <cellStyle name="Note 4 4 9" xfId="13498" xr:uid="{00000000-0005-0000-0000-00004A8D0000}"/>
    <cellStyle name="Note 4 4 9 2" xfId="18475" xr:uid="{00000000-0005-0000-0000-00004B8D0000}"/>
    <cellStyle name="Note 4 5" xfId="2779" xr:uid="{00000000-0005-0000-0000-00004C8D0000}"/>
    <cellStyle name="Note 4 5 10" xfId="12806" xr:uid="{00000000-0005-0000-0000-00004D8D0000}"/>
    <cellStyle name="Note 4 5 11" xfId="17820" xr:uid="{00000000-0005-0000-0000-00004E8D0000}"/>
    <cellStyle name="Note 4 5 12" xfId="4197" xr:uid="{00000000-0005-0000-0000-00004F8D0000}"/>
    <cellStyle name="Note 4 5 2" xfId="4198" xr:uid="{00000000-0005-0000-0000-0000508D0000}"/>
    <cellStyle name="Note 4 5 2 10" xfId="18138" xr:uid="{00000000-0005-0000-0000-0000518D0000}"/>
    <cellStyle name="Note 4 5 2 2" xfId="14853" xr:uid="{00000000-0005-0000-0000-0000528D0000}"/>
    <cellStyle name="Note 4 5 2 2 2" xfId="20179" xr:uid="{00000000-0005-0000-0000-0000538D0000}"/>
    <cellStyle name="Note 4 5 2 2 2 2" xfId="24652" xr:uid="{00000000-0005-0000-0000-0000548D0000}"/>
    <cellStyle name="Note 4 5 2 2 3" xfId="23985" xr:uid="{00000000-0005-0000-0000-0000558D0000}"/>
    <cellStyle name="Note 4 5 2 3" xfId="14679" xr:uid="{00000000-0005-0000-0000-0000568D0000}"/>
    <cellStyle name="Note 4 5 2 3 2" xfId="19989" xr:uid="{00000000-0005-0000-0000-0000578D0000}"/>
    <cellStyle name="Note 4 5 2 4" xfId="15132" xr:uid="{00000000-0005-0000-0000-0000588D0000}"/>
    <cellStyle name="Note 4 5 2 4 2" xfId="20518" xr:uid="{00000000-0005-0000-0000-0000598D0000}"/>
    <cellStyle name="Note 4 5 2 5" xfId="16532" xr:uid="{00000000-0005-0000-0000-00005A8D0000}"/>
    <cellStyle name="Note 4 5 2 5 2" xfId="22173" xr:uid="{00000000-0005-0000-0000-00005B8D0000}"/>
    <cellStyle name="Note 4 5 2 6" xfId="16896" xr:uid="{00000000-0005-0000-0000-00005C8D0000}"/>
    <cellStyle name="Note 4 5 2 6 2" xfId="22547" xr:uid="{00000000-0005-0000-0000-00005D8D0000}"/>
    <cellStyle name="Note 4 5 2 7" xfId="17616" xr:uid="{00000000-0005-0000-0000-00005E8D0000}"/>
    <cellStyle name="Note 4 5 2 7 2" xfId="23261" xr:uid="{00000000-0005-0000-0000-00005F8D0000}"/>
    <cellStyle name="Note 4 5 2 8" xfId="13820" xr:uid="{00000000-0005-0000-0000-0000608D0000}"/>
    <cellStyle name="Note 4 5 2 8 2" xfId="18794" xr:uid="{00000000-0005-0000-0000-0000618D0000}"/>
    <cellStyle name="Note 4 5 2 9" xfId="13149" xr:uid="{00000000-0005-0000-0000-0000628D0000}"/>
    <cellStyle name="Note 4 5 3" xfId="10339" xr:uid="{00000000-0005-0000-0000-0000638D0000}"/>
    <cellStyle name="Note 4 5 3 2" xfId="19814" xr:uid="{00000000-0005-0000-0000-0000648D0000}"/>
    <cellStyle name="Note 4 5 3 2 2" xfId="24167" xr:uid="{00000000-0005-0000-0000-0000658D0000}"/>
    <cellStyle name="Note 4 5 3 3" xfId="23664" xr:uid="{00000000-0005-0000-0000-0000668D0000}"/>
    <cellStyle name="Note 4 5 4" xfId="14298" xr:uid="{00000000-0005-0000-0000-0000678D0000}"/>
    <cellStyle name="Note 4 5 4 2" xfId="19404" xr:uid="{00000000-0005-0000-0000-0000688D0000}"/>
    <cellStyle name="Note 4 5 5" xfId="15373" xr:uid="{00000000-0005-0000-0000-0000698D0000}"/>
    <cellStyle name="Note 4 5 5 2" xfId="20869" xr:uid="{00000000-0005-0000-0000-00006A8D0000}"/>
    <cellStyle name="Note 4 5 6" xfId="16295" xr:uid="{00000000-0005-0000-0000-00006B8D0000}"/>
    <cellStyle name="Note 4 5 6 2" xfId="21851" xr:uid="{00000000-0005-0000-0000-00006C8D0000}"/>
    <cellStyle name="Note 4 5 7" xfId="15439" xr:uid="{00000000-0005-0000-0000-00006D8D0000}"/>
    <cellStyle name="Note 4 5 7 2" xfId="20935" xr:uid="{00000000-0005-0000-0000-00006E8D0000}"/>
    <cellStyle name="Note 4 5 8" xfId="17299" xr:uid="{00000000-0005-0000-0000-00006F8D0000}"/>
    <cellStyle name="Note 4 5 8 2" xfId="22943" xr:uid="{00000000-0005-0000-0000-0000708D0000}"/>
    <cellStyle name="Note 4 5 9" xfId="13499" xr:uid="{00000000-0005-0000-0000-0000718D0000}"/>
    <cellStyle name="Note 4 5 9 2" xfId="18476" xr:uid="{00000000-0005-0000-0000-0000728D0000}"/>
    <cellStyle name="Note 4 6" xfId="2780" xr:uid="{00000000-0005-0000-0000-0000738D0000}"/>
    <cellStyle name="Note 4 6 10" xfId="12807" xr:uid="{00000000-0005-0000-0000-0000748D0000}"/>
    <cellStyle name="Note 4 6 11" xfId="17821" xr:uid="{00000000-0005-0000-0000-0000758D0000}"/>
    <cellStyle name="Note 4 6 12" xfId="4199" xr:uid="{00000000-0005-0000-0000-0000768D0000}"/>
    <cellStyle name="Note 4 6 2" xfId="4200" xr:uid="{00000000-0005-0000-0000-0000778D0000}"/>
    <cellStyle name="Note 4 6 2 10" xfId="18139" xr:uid="{00000000-0005-0000-0000-0000788D0000}"/>
    <cellStyle name="Note 4 6 2 2" xfId="14854" xr:uid="{00000000-0005-0000-0000-0000798D0000}"/>
    <cellStyle name="Note 4 6 2 2 2" xfId="20180" xr:uid="{00000000-0005-0000-0000-00007A8D0000}"/>
    <cellStyle name="Note 4 6 2 2 2 2" xfId="24653" xr:uid="{00000000-0005-0000-0000-00007B8D0000}"/>
    <cellStyle name="Note 4 6 2 2 3" xfId="23986" xr:uid="{00000000-0005-0000-0000-00007C8D0000}"/>
    <cellStyle name="Note 4 6 2 3" xfId="14819" xr:uid="{00000000-0005-0000-0000-00007D8D0000}"/>
    <cellStyle name="Note 4 6 2 3 2" xfId="20140" xr:uid="{00000000-0005-0000-0000-00007E8D0000}"/>
    <cellStyle name="Note 4 6 2 4" xfId="15131" xr:uid="{00000000-0005-0000-0000-00007F8D0000}"/>
    <cellStyle name="Note 4 6 2 4 2" xfId="20517" xr:uid="{00000000-0005-0000-0000-0000808D0000}"/>
    <cellStyle name="Note 4 6 2 5" xfId="16533" xr:uid="{00000000-0005-0000-0000-0000818D0000}"/>
    <cellStyle name="Note 4 6 2 5 2" xfId="22174" xr:uid="{00000000-0005-0000-0000-0000828D0000}"/>
    <cellStyle name="Note 4 6 2 6" xfId="16897" xr:uid="{00000000-0005-0000-0000-0000838D0000}"/>
    <cellStyle name="Note 4 6 2 6 2" xfId="22548" xr:uid="{00000000-0005-0000-0000-0000848D0000}"/>
    <cellStyle name="Note 4 6 2 7" xfId="17617" xr:uid="{00000000-0005-0000-0000-0000858D0000}"/>
    <cellStyle name="Note 4 6 2 7 2" xfId="23262" xr:uid="{00000000-0005-0000-0000-0000868D0000}"/>
    <cellStyle name="Note 4 6 2 8" xfId="13821" xr:uid="{00000000-0005-0000-0000-0000878D0000}"/>
    <cellStyle name="Note 4 6 2 8 2" xfId="18795" xr:uid="{00000000-0005-0000-0000-0000888D0000}"/>
    <cellStyle name="Note 4 6 2 9" xfId="13150" xr:uid="{00000000-0005-0000-0000-0000898D0000}"/>
    <cellStyle name="Note 4 6 3" xfId="10338" xr:uid="{00000000-0005-0000-0000-00008A8D0000}"/>
    <cellStyle name="Note 4 6 3 2" xfId="19815" xr:uid="{00000000-0005-0000-0000-00008B8D0000}"/>
    <cellStyle name="Note 4 6 3 2 2" xfId="24166" xr:uid="{00000000-0005-0000-0000-00008C8D0000}"/>
    <cellStyle name="Note 4 6 3 3" xfId="23665" xr:uid="{00000000-0005-0000-0000-00008D8D0000}"/>
    <cellStyle name="Note 4 6 4" xfId="14299" xr:uid="{00000000-0005-0000-0000-00008E8D0000}"/>
    <cellStyle name="Note 4 6 4 2" xfId="19405" xr:uid="{00000000-0005-0000-0000-00008F8D0000}"/>
    <cellStyle name="Note 4 6 5" xfId="15372" xr:uid="{00000000-0005-0000-0000-0000908D0000}"/>
    <cellStyle name="Note 4 6 5 2" xfId="20868" xr:uid="{00000000-0005-0000-0000-0000918D0000}"/>
    <cellStyle name="Note 4 6 6" xfId="16296" xr:uid="{00000000-0005-0000-0000-0000928D0000}"/>
    <cellStyle name="Note 4 6 6 2" xfId="21852" xr:uid="{00000000-0005-0000-0000-0000938D0000}"/>
    <cellStyle name="Note 4 6 7" xfId="15438" xr:uid="{00000000-0005-0000-0000-0000948D0000}"/>
    <cellStyle name="Note 4 6 7 2" xfId="20934" xr:uid="{00000000-0005-0000-0000-0000958D0000}"/>
    <cellStyle name="Note 4 6 8" xfId="17300" xr:uid="{00000000-0005-0000-0000-0000968D0000}"/>
    <cellStyle name="Note 4 6 8 2" xfId="22944" xr:uid="{00000000-0005-0000-0000-0000978D0000}"/>
    <cellStyle name="Note 4 6 9" xfId="13500" xr:uid="{00000000-0005-0000-0000-0000988D0000}"/>
    <cellStyle name="Note 4 6 9 2" xfId="18477" xr:uid="{00000000-0005-0000-0000-0000998D0000}"/>
    <cellStyle name="Note 4 7" xfId="2781" xr:uid="{00000000-0005-0000-0000-00009A8D0000}"/>
    <cellStyle name="Note 4 7 10" xfId="12808" xr:uid="{00000000-0005-0000-0000-00009B8D0000}"/>
    <cellStyle name="Note 4 7 11" xfId="17822" xr:uid="{00000000-0005-0000-0000-00009C8D0000}"/>
    <cellStyle name="Note 4 7 12" xfId="4201" xr:uid="{00000000-0005-0000-0000-00009D8D0000}"/>
    <cellStyle name="Note 4 7 2" xfId="4202" xr:uid="{00000000-0005-0000-0000-00009E8D0000}"/>
    <cellStyle name="Note 4 7 2 10" xfId="18140" xr:uid="{00000000-0005-0000-0000-00009F8D0000}"/>
    <cellStyle name="Note 4 7 2 2" xfId="14855" xr:uid="{00000000-0005-0000-0000-0000A08D0000}"/>
    <cellStyle name="Note 4 7 2 2 2" xfId="20181" xr:uid="{00000000-0005-0000-0000-0000A18D0000}"/>
    <cellStyle name="Note 4 7 2 2 2 2" xfId="24654" xr:uid="{00000000-0005-0000-0000-0000A28D0000}"/>
    <cellStyle name="Note 4 7 2 2 3" xfId="23987" xr:uid="{00000000-0005-0000-0000-0000A38D0000}"/>
    <cellStyle name="Note 4 7 2 3" xfId="14678" xr:uid="{00000000-0005-0000-0000-0000A48D0000}"/>
    <cellStyle name="Note 4 7 2 3 2" xfId="19988" xr:uid="{00000000-0005-0000-0000-0000A58D0000}"/>
    <cellStyle name="Note 4 7 2 4" xfId="15130" xr:uid="{00000000-0005-0000-0000-0000A68D0000}"/>
    <cellStyle name="Note 4 7 2 4 2" xfId="20516" xr:uid="{00000000-0005-0000-0000-0000A78D0000}"/>
    <cellStyle name="Note 4 7 2 5" xfId="16534" xr:uid="{00000000-0005-0000-0000-0000A88D0000}"/>
    <cellStyle name="Note 4 7 2 5 2" xfId="22175" xr:uid="{00000000-0005-0000-0000-0000A98D0000}"/>
    <cellStyle name="Note 4 7 2 6" xfId="16898" xr:uid="{00000000-0005-0000-0000-0000AA8D0000}"/>
    <cellStyle name="Note 4 7 2 6 2" xfId="22549" xr:uid="{00000000-0005-0000-0000-0000AB8D0000}"/>
    <cellStyle name="Note 4 7 2 7" xfId="17618" xr:uid="{00000000-0005-0000-0000-0000AC8D0000}"/>
    <cellStyle name="Note 4 7 2 7 2" xfId="23263" xr:uid="{00000000-0005-0000-0000-0000AD8D0000}"/>
    <cellStyle name="Note 4 7 2 8" xfId="13822" xr:uid="{00000000-0005-0000-0000-0000AE8D0000}"/>
    <cellStyle name="Note 4 7 2 8 2" xfId="18796" xr:uid="{00000000-0005-0000-0000-0000AF8D0000}"/>
    <cellStyle name="Note 4 7 2 9" xfId="13151" xr:uid="{00000000-0005-0000-0000-0000B08D0000}"/>
    <cellStyle name="Note 4 7 3" xfId="10604" xr:uid="{00000000-0005-0000-0000-0000B18D0000}"/>
    <cellStyle name="Note 4 7 3 2" xfId="19816" xr:uid="{00000000-0005-0000-0000-0000B28D0000}"/>
    <cellStyle name="Note 4 7 3 2 2" xfId="24165" xr:uid="{00000000-0005-0000-0000-0000B38D0000}"/>
    <cellStyle name="Note 4 7 3 3" xfId="23666" xr:uid="{00000000-0005-0000-0000-0000B48D0000}"/>
    <cellStyle name="Note 4 7 4" xfId="14300" xr:uid="{00000000-0005-0000-0000-0000B58D0000}"/>
    <cellStyle name="Note 4 7 4 2" xfId="19406" xr:uid="{00000000-0005-0000-0000-0000B68D0000}"/>
    <cellStyle name="Note 4 7 5" xfId="15371" xr:uid="{00000000-0005-0000-0000-0000B78D0000}"/>
    <cellStyle name="Note 4 7 5 2" xfId="20867" xr:uid="{00000000-0005-0000-0000-0000B88D0000}"/>
    <cellStyle name="Note 4 7 6" xfId="16297" xr:uid="{00000000-0005-0000-0000-0000B98D0000}"/>
    <cellStyle name="Note 4 7 6 2" xfId="21853" xr:uid="{00000000-0005-0000-0000-0000BA8D0000}"/>
    <cellStyle name="Note 4 7 7" xfId="15437" xr:uid="{00000000-0005-0000-0000-0000BB8D0000}"/>
    <cellStyle name="Note 4 7 7 2" xfId="20933" xr:uid="{00000000-0005-0000-0000-0000BC8D0000}"/>
    <cellStyle name="Note 4 7 8" xfId="17301" xr:uid="{00000000-0005-0000-0000-0000BD8D0000}"/>
    <cellStyle name="Note 4 7 8 2" xfId="22945" xr:uid="{00000000-0005-0000-0000-0000BE8D0000}"/>
    <cellStyle name="Note 4 7 9" xfId="13501" xr:uid="{00000000-0005-0000-0000-0000BF8D0000}"/>
    <cellStyle name="Note 4 7 9 2" xfId="18478" xr:uid="{00000000-0005-0000-0000-0000C08D0000}"/>
    <cellStyle name="Note 4 8" xfId="2782" xr:uid="{00000000-0005-0000-0000-0000C18D0000}"/>
    <cellStyle name="Note 4 8 10" xfId="12809" xr:uid="{00000000-0005-0000-0000-0000C28D0000}"/>
    <cellStyle name="Note 4 8 11" xfId="17823" xr:uid="{00000000-0005-0000-0000-0000C38D0000}"/>
    <cellStyle name="Note 4 8 12" xfId="4203" xr:uid="{00000000-0005-0000-0000-0000C48D0000}"/>
    <cellStyle name="Note 4 8 2" xfId="4204" xr:uid="{00000000-0005-0000-0000-0000C58D0000}"/>
    <cellStyle name="Note 4 8 2 10" xfId="18141" xr:uid="{00000000-0005-0000-0000-0000C68D0000}"/>
    <cellStyle name="Note 4 8 2 2" xfId="14856" xr:uid="{00000000-0005-0000-0000-0000C78D0000}"/>
    <cellStyle name="Note 4 8 2 2 2" xfId="20182" xr:uid="{00000000-0005-0000-0000-0000C88D0000}"/>
    <cellStyle name="Note 4 8 2 2 2 2" xfId="24655" xr:uid="{00000000-0005-0000-0000-0000C98D0000}"/>
    <cellStyle name="Note 4 8 2 2 3" xfId="23988" xr:uid="{00000000-0005-0000-0000-0000CA8D0000}"/>
    <cellStyle name="Note 4 8 2 3" xfId="14818" xr:uid="{00000000-0005-0000-0000-0000CB8D0000}"/>
    <cellStyle name="Note 4 8 2 3 2" xfId="20139" xr:uid="{00000000-0005-0000-0000-0000CC8D0000}"/>
    <cellStyle name="Note 4 8 2 4" xfId="15129" xr:uid="{00000000-0005-0000-0000-0000CD8D0000}"/>
    <cellStyle name="Note 4 8 2 4 2" xfId="20515" xr:uid="{00000000-0005-0000-0000-0000CE8D0000}"/>
    <cellStyle name="Note 4 8 2 5" xfId="16535" xr:uid="{00000000-0005-0000-0000-0000CF8D0000}"/>
    <cellStyle name="Note 4 8 2 5 2" xfId="22176" xr:uid="{00000000-0005-0000-0000-0000D08D0000}"/>
    <cellStyle name="Note 4 8 2 6" xfId="16899" xr:uid="{00000000-0005-0000-0000-0000D18D0000}"/>
    <cellStyle name="Note 4 8 2 6 2" xfId="22550" xr:uid="{00000000-0005-0000-0000-0000D28D0000}"/>
    <cellStyle name="Note 4 8 2 7" xfId="17619" xr:uid="{00000000-0005-0000-0000-0000D38D0000}"/>
    <cellStyle name="Note 4 8 2 7 2" xfId="23264" xr:uid="{00000000-0005-0000-0000-0000D48D0000}"/>
    <cellStyle name="Note 4 8 2 8" xfId="13823" xr:uid="{00000000-0005-0000-0000-0000D58D0000}"/>
    <cellStyle name="Note 4 8 2 8 2" xfId="18797" xr:uid="{00000000-0005-0000-0000-0000D68D0000}"/>
    <cellStyle name="Note 4 8 2 9" xfId="13152" xr:uid="{00000000-0005-0000-0000-0000D78D0000}"/>
    <cellStyle name="Note 4 8 3" xfId="11325" xr:uid="{00000000-0005-0000-0000-0000D88D0000}"/>
    <cellStyle name="Note 4 8 3 2" xfId="19817" xr:uid="{00000000-0005-0000-0000-0000D98D0000}"/>
    <cellStyle name="Note 4 8 3 2 2" xfId="24164" xr:uid="{00000000-0005-0000-0000-0000DA8D0000}"/>
    <cellStyle name="Note 4 8 3 3" xfId="23667" xr:uid="{00000000-0005-0000-0000-0000DB8D0000}"/>
    <cellStyle name="Note 4 8 4" xfId="14301" xr:uid="{00000000-0005-0000-0000-0000DC8D0000}"/>
    <cellStyle name="Note 4 8 4 2" xfId="19407" xr:uid="{00000000-0005-0000-0000-0000DD8D0000}"/>
    <cellStyle name="Note 4 8 5" xfId="15370" xr:uid="{00000000-0005-0000-0000-0000DE8D0000}"/>
    <cellStyle name="Note 4 8 5 2" xfId="20866" xr:uid="{00000000-0005-0000-0000-0000DF8D0000}"/>
    <cellStyle name="Note 4 8 6" xfId="16298" xr:uid="{00000000-0005-0000-0000-0000E08D0000}"/>
    <cellStyle name="Note 4 8 6 2" xfId="21854" xr:uid="{00000000-0005-0000-0000-0000E18D0000}"/>
    <cellStyle name="Note 4 8 7" xfId="15436" xr:uid="{00000000-0005-0000-0000-0000E28D0000}"/>
    <cellStyle name="Note 4 8 7 2" xfId="20932" xr:uid="{00000000-0005-0000-0000-0000E38D0000}"/>
    <cellStyle name="Note 4 8 8" xfId="17302" xr:uid="{00000000-0005-0000-0000-0000E48D0000}"/>
    <cellStyle name="Note 4 8 8 2" xfId="22946" xr:uid="{00000000-0005-0000-0000-0000E58D0000}"/>
    <cellStyle name="Note 4 8 9" xfId="13502" xr:uid="{00000000-0005-0000-0000-0000E68D0000}"/>
    <cellStyle name="Note 4 8 9 2" xfId="18479" xr:uid="{00000000-0005-0000-0000-0000E78D0000}"/>
    <cellStyle name="Note 4 9" xfId="2783" xr:uid="{00000000-0005-0000-0000-0000E88D0000}"/>
    <cellStyle name="Note 4 9 10" xfId="12810" xr:uid="{00000000-0005-0000-0000-0000E98D0000}"/>
    <cellStyle name="Note 4 9 11" xfId="17824" xr:uid="{00000000-0005-0000-0000-0000EA8D0000}"/>
    <cellStyle name="Note 4 9 12" xfId="4205" xr:uid="{00000000-0005-0000-0000-0000EB8D0000}"/>
    <cellStyle name="Note 4 9 2" xfId="4206" xr:uid="{00000000-0005-0000-0000-0000EC8D0000}"/>
    <cellStyle name="Note 4 9 2 10" xfId="18142" xr:uid="{00000000-0005-0000-0000-0000ED8D0000}"/>
    <cellStyle name="Note 4 9 2 2" xfId="14857" xr:uid="{00000000-0005-0000-0000-0000EE8D0000}"/>
    <cellStyle name="Note 4 9 2 2 2" xfId="20183" xr:uid="{00000000-0005-0000-0000-0000EF8D0000}"/>
    <cellStyle name="Note 4 9 2 2 2 2" xfId="24656" xr:uid="{00000000-0005-0000-0000-0000F08D0000}"/>
    <cellStyle name="Note 4 9 2 2 3" xfId="23989" xr:uid="{00000000-0005-0000-0000-0000F18D0000}"/>
    <cellStyle name="Note 4 9 2 3" xfId="14531" xr:uid="{00000000-0005-0000-0000-0000F28D0000}"/>
    <cellStyle name="Note 4 9 2 3 2" xfId="19680" xr:uid="{00000000-0005-0000-0000-0000F38D0000}"/>
    <cellStyle name="Note 4 9 2 4" xfId="15128" xr:uid="{00000000-0005-0000-0000-0000F48D0000}"/>
    <cellStyle name="Note 4 9 2 4 2" xfId="20514" xr:uid="{00000000-0005-0000-0000-0000F58D0000}"/>
    <cellStyle name="Note 4 9 2 5" xfId="16536" xr:uid="{00000000-0005-0000-0000-0000F68D0000}"/>
    <cellStyle name="Note 4 9 2 5 2" xfId="22177" xr:uid="{00000000-0005-0000-0000-0000F78D0000}"/>
    <cellStyle name="Note 4 9 2 6" xfId="16900" xr:uid="{00000000-0005-0000-0000-0000F88D0000}"/>
    <cellStyle name="Note 4 9 2 6 2" xfId="22551" xr:uid="{00000000-0005-0000-0000-0000F98D0000}"/>
    <cellStyle name="Note 4 9 2 7" xfId="17620" xr:uid="{00000000-0005-0000-0000-0000FA8D0000}"/>
    <cellStyle name="Note 4 9 2 7 2" xfId="23265" xr:uid="{00000000-0005-0000-0000-0000FB8D0000}"/>
    <cellStyle name="Note 4 9 2 8" xfId="13824" xr:uid="{00000000-0005-0000-0000-0000FC8D0000}"/>
    <cellStyle name="Note 4 9 2 8 2" xfId="18798" xr:uid="{00000000-0005-0000-0000-0000FD8D0000}"/>
    <cellStyle name="Note 4 9 2 9" xfId="13153" xr:uid="{00000000-0005-0000-0000-0000FE8D0000}"/>
    <cellStyle name="Note 4 9 3" xfId="10337" xr:uid="{00000000-0005-0000-0000-0000FF8D0000}"/>
    <cellStyle name="Note 4 9 3 2" xfId="19818" xr:uid="{00000000-0005-0000-0000-0000008E0000}"/>
    <cellStyle name="Note 4 9 3 2 2" xfId="24163" xr:uid="{00000000-0005-0000-0000-0000018E0000}"/>
    <cellStyle name="Note 4 9 3 3" xfId="23668" xr:uid="{00000000-0005-0000-0000-0000028E0000}"/>
    <cellStyle name="Note 4 9 4" xfId="14302" xr:uid="{00000000-0005-0000-0000-0000038E0000}"/>
    <cellStyle name="Note 4 9 4 2" xfId="19408" xr:uid="{00000000-0005-0000-0000-0000048E0000}"/>
    <cellStyle name="Note 4 9 5" xfId="15369" xr:uid="{00000000-0005-0000-0000-0000058E0000}"/>
    <cellStyle name="Note 4 9 5 2" xfId="20865" xr:uid="{00000000-0005-0000-0000-0000068E0000}"/>
    <cellStyle name="Note 4 9 6" xfId="16299" xr:uid="{00000000-0005-0000-0000-0000078E0000}"/>
    <cellStyle name="Note 4 9 6 2" xfId="21855" xr:uid="{00000000-0005-0000-0000-0000088E0000}"/>
    <cellStyle name="Note 4 9 7" xfId="15435" xr:uid="{00000000-0005-0000-0000-0000098E0000}"/>
    <cellStyle name="Note 4 9 7 2" xfId="20931" xr:uid="{00000000-0005-0000-0000-00000A8E0000}"/>
    <cellStyle name="Note 4 9 8" xfId="17303" xr:uid="{00000000-0005-0000-0000-00000B8E0000}"/>
    <cellStyle name="Note 4 9 8 2" xfId="22947" xr:uid="{00000000-0005-0000-0000-00000C8E0000}"/>
    <cellStyle name="Note 4 9 9" xfId="13503" xr:uid="{00000000-0005-0000-0000-00000D8E0000}"/>
    <cellStyle name="Note 4 9 9 2" xfId="18480" xr:uid="{00000000-0005-0000-0000-00000E8E0000}"/>
    <cellStyle name="Note 4_ELC_final" xfId="43759" xr:uid="{00000000-0005-0000-0000-00000F8E0000}"/>
    <cellStyle name="Note 40" xfId="43760" xr:uid="{00000000-0005-0000-0000-0000108E0000}"/>
    <cellStyle name="Note 41" xfId="43761" xr:uid="{00000000-0005-0000-0000-0000118E0000}"/>
    <cellStyle name="Note 5" xfId="2784" xr:uid="{00000000-0005-0000-0000-0000128E0000}"/>
    <cellStyle name="Note 5 10" xfId="2785" xr:uid="{00000000-0005-0000-0000-0000138E0000}"/>
    <cellStyle name="Note 5 10 10" xfId="12812" xr:uid="{00000000-0005-0000-0000-0000148E0000}"/>
    <cellStyle name="Note 5 10 11" xfId="17826" xr:uid="{00000000-0005-0000-0000-0000158E0000}"/>
    <cellStyle name="Note 5 10 12" xfId="4208" xr:uid="{00000000-0005-0000-0000-0000168E0000}"/>
    <cellStyle name="Note 5 10 2" xfId="4209" xr:uid="{00000000-0005-0000-0000-0000178E0000}"/>
    <cellStyle name="Note 5 10 2 10" xfId="18144" xr:uid="{00000000-0005-0000-0000-0000188E0000}"/>
    <cellStyle name="Note 5 10 2 2" xfId="14859" xr:uid="{00000000-0005-0000-0000-0000198E0000}"/>
    <cellStyle name="Note 5 10 2 2 2" xfId="20185" xr:uid="{00000000-0005-0000-0000-00001A8E0000}"/>
    <cellStyle name="Note 5 10 2 2 2 2" xfId="24658" xr:uid="{00000000-0005-0000-0000-00001B8E0000}"/>
    <cellStyle name="Note 5 10 2 2 3" xfId="23991" xr:uid="{00000000-0005-0000-0000-00001C8E0000}"/>
    <cellStyle name="Note 5 10 2 3" xfId="14533" xr:uid="{00000000-0005-0000-0000-00001D8E0000}"/>
    <cellStyle name="Note 5 10 2 3 2" xfId="19682" xr:uid="{00000000-0005-0000-0000-00001E8E0000}"/>
    <cellStyle name="Note 5 10 2 4" xfId="15126" xr:uid="{00000000-0005-0000-0000-00001F8E0000}"/>
    <cellStyle name="Note 5 10 2 4 2" xfId="20512" xr:uid="{00000000-0005-0000-0000-0000208E0000}"/>
    <cellStyle name="Note 5 10 2 5" xfId="16538" xr:uid="{00000000-0005-0000-0000-0000218E0000}"/>
    <cellStyle name="Note 5 10 2 5 2" xfId="22179" xr:uid="{00000000-0005-0000-0000-0000228E0000}"/>
    <cellStyle name="Note 5 10 2 6" xfId="16902" xr:uid="{00000000-0005-0000-0000-0000238E0000}"/>
    <cellStyle name="Note 5 10 2 6 2" xfId="22553" xr:uid="{00000000-0005-0000-0000-0000248E0000}"/>
    <cellStyle name="Note 5 10 2 7" xfId="17622" xr:uid="{00000000-0005-0000-0000-0000258E0000}"/>
    <cellStyle name="Note 5 10 2 7 2" xfId="23267" xr:uid="{00000000-0005-0000-0000-0000268E0000}"/>
    <cellStyle name="Note 5 10 2 8" xfId="13826" xr:uid="{00000000-0005-0000-0000-0000278E0000}"/>
    <cellStyle name="Note 5 10 2 8 2" xfId="18800" xr:uid="{00000000-0005-0000-0000-0000288E0000}"/>
    <cellStyle name="Note 5 10 2 9" xfId="13155" xr:uid="{00000000-0005-0000-0000-0000298E0000}"/>
    <cellStyle name="Note 5 10 3" xfId="10335" xr:uid="{00000000-0005-0000-0000-00002A8E0000}"/>
    <cellStyle name="Note 5 10 3 2" xfId="19820" xr:uid="{00000000-0005-0000-0000-00002B8E0000}"/>
    <cellStyle name="Note 5 10 3 2 2" xfId="24161" xr:uid="{00000000-0005-0000-0000-00002C8E0000}"/>
    <cellStyle name="Note 5 10 3 3" xfId="23670" xr:uid="{00000000-0005-0000-0000-00002D8E0000}"/>
    <cellStyle name="Note 5 10 4" xfId="14304" xr:uid="{00000000-0005-0000-0000-00002E8E0000}"/>
    <cellStyle name="Note 5 10 4 2" xfId="19410" xr:uid="{00000000-0005-0000-0000-00002F8E0000}"/>
    <cellStyle name="Note 5 10 5" xfId="15367" xr:uid="{00000000-0005-0000-0000-0000308E0000}"/>
    <cellStyle name="Note 5 10 5 2" xfId="20863" xr:uid="{00000000-0005-0000-0000-0000318E0000}"/>
    <cellStyle name="Note 5 10 6" xfId="16301" xr:uid="{00000000-0005-0000-0000-0000328E0000}"/>
    <cellStyle name="Note 5 10 6 2" xfId="21857" xr:uid="{00000000-0005-0000-0000-0000338E0000}"/>
    <cellStyle name="Note 5 10 7" xfId="15433" xr:uid="{00000000-0005-0000-0000-0000348E0000}"/>
    <cellStyle name="Note 5 10 7 2" xfId="20929" xr:uid="{00000000-0005-0000-0000-0000358E0000}"/>
    <cellStyle name="Note 5 10 8" xfId="17305" xr:uid="{00000000-0005-0000-0000-0000368E0000}"/>
    <cellStyle name="Note 5 10 8 2" xfId="22949" xr:uid="{00000000-0005-0000-0000-0000378E0000}"/>
    <cellStyle name="Note 5 10 9" xfId="13505" xr:uid="{00000000-0005-0000-0000-0000388E0000}"/>
    <cellStyle name="Note 5 10 9 2" xfId="18482" xr:uid="{00000000-0005-0000-0000-0000398E0000}"/>
    <cellStyle name="Note 5 11" xfId="2786" xr:uid="{00000000-0005-0000-0000-00003A8E0000}"/>
    <cellStyle name="Note 5 11 10" xfId="12813" xr:uid="{00000000-0005-0000-0000-00003B8E0000}"/>
    <cellStyle name="Note 5 11 11" xfId="17827" xr:uid="{00000000-0005-0000-0000-00003C8E0000}"/>
    <cellStyle name="Note 5 11 12" xfId="4210" xr:uid="{00000000-0005-0000-0000-00003D8E0000}"/>
    <cellStyle name="Note 5 11 2" xfId="4211" xr:uid="{00000000-0005-0000-0000-00003E8E0000}"/>
    <cellStyle name="Note 5 11 2 10" xfId="18145" xr:uid="{00000000-0005-0000-0000-00003F8E0000}"/>
    <cellStyle name="Note 5 11 2 2" xfId="14860" xr:uid="{00000000-0005-0000-0000-0000408E0000}"/>
    <cellStyle name="Note 5 11 2 2 2" xfId="20186" xr:uid="{00000000-0005-0000-0000-0000418E0000}"/>
    <cellStyle name="Note 5 11 2 2 2 2" xfId="24659" xr:uid="{00000000-0005-0000-0000-0000428E0000}"/>
    <cellStyle name="Note 5 11 2 2 3" xfId="23992" xr:uid="{00000000-0005-0000-0000-0000438E0000}"/>
    <cellStyle name="Note 5 11 2 3" xfId="14534" xr:uid="{00000000-0005-0000-0000-0000448E0000}"/>
    <cellStyle name="Note 5 11 2 3 2" xfId="19683" xr:uid="{00000000-0005-0000-0000-0000458E0000}"/>
    <cellStyle name="Note 5 11 2 4" xfId="15125" xr:uid="{00000000-0005-0000-0000-0000468E0000}"/>
    <cellStyle name="Note 5 11 2 4 2" xfId="20511" xr:uid="{00000000-0005-0000-0000-0000478E0000}"/>
    <cellStyle name="Note 5 11 2 5" xfId="16539" xr:uid="{00000000-0005-0000-0000-0000488E0000}"/>
    <cellStyle name="Note 5 11 2 5 2" xfId="22180" xr:uid="{00000000-0005-0000-0000-0000498E0000}"/>
    <cellStyle name="Note 5 11 2 6" xfId="16903" xr:uid="{00000000-0005-0000-0000-00004A8E0000}"/>
    <cellStyle name="Note 5 11 2 6 2" xfId="22554" xr:uid="{00000000-0005-0000-0000-00004B8E0000}"/>
    <cellStyle name="Note 5 11 2 7" xfId="17623" xr:uid="{00000000-0005-0000-0000-00004C8E0000}"/>
    <cellStyle name="Note 5 11 2 7 2" xfId="23268" xr:uid="{00000000-0005-0000-0000-00004D8E0000}"/>
    <cellStyle name="Note 5 11 2 8" xfId="13827" xr:uid="{00000000-0005-0000-0000-00004E8E0000}"/>
    <cellStyle name="Note 5 11 2 8 2" xfId="18801" xr:uid="{00000000-0005-0000-0000-00004F8E0000}"/>
    <cellStyle name="Note 5 11 2 9" xfId="13156" xr:uid="{00000000-0005-0000-0000-0000508E0000}"/>
    <cellStyle name="Note 5 11 3" xfId="10334" xr:uid="{00000000-0005-0000-0000-0000518E0000}"/>
    <cellStyle name="Note 5 11 3 2" xfId="19821" xr:uid="{00000000-0005-0000-0000-0000528E0000}"/>
    <cellStyle name="Note 5 11 3 2 2" xfId="24160" xr:uid="{00000000-0005-0000-0000-0000538E0000}"/>
    <cellStyle name="Note 5 11 3 3" xfId="23671" xr:uid="{00000000-0005-0000-0000-0000548E0000}"/>
    <cellStyle name="Note 5 11 4" xfId="14305" xr:uid="{00000000-0005-0000-0000-0000558E0000}"/>
    <cellStyle name="Note 5 11 4 2" xfId="19411" xr:uid="{00000000-0005-0000-0000-0000568E0000}"/>
    <cellStyle name="Note 5 11 5" xfId="15366" xr:uid="{00000000-0005-0000-0000-0000578E0000}"/>
    <cellStyle name="Note 5 11 5 2" xfId="20862" xr:uid="{00000000-0005-0000-0000-0000588E0000}"/>
    <cellStyle name="Note 5 11 6" xfId="16302" xr:uid="{00000000-0005-0000-0000-0000598E0000}"/>
    <cellStyle name="Note 5 11 6 2" xfId="21858" xr:uid="{00000000-0005-0000-0000-00005A8E0000}"/>
    <cellStyle name="Note 5 11 7" xfId="15432" xr:uid="{00000000-0005-0000-0000-00005B8E0000}"/>
    <cellStyle name="Note 5 11 7 2" xfId="20928" xr:uid="{00000000-0005-0000-0000-00005C8E0000}"/>
    <cellStyle name="Note 5 11 8" xfId="17306" xr:uid="{00000000-0005-0000-0000-00005D8E0000}"/>
    <cellStyle name="Note 5 11 8 2" xfId="22950" xr:uid="{00000000-0005-0000-0000-00005E8E0000}"/>
    <cellStyle name="Note 5 11 9" xfId="13506" xr:uid="{00000000-0005-0000-0000-00005F8E0000}"/>
    <cellStyle name="Note 5 11 9 2" xfId="18483" xr:uid="{00000000-0005-0000-0000-0000608E0000}"/>
    <cellStyle name="Note 5 12" xfId="4212" xr:uid="{00000000-0005-0000-0000-0000618E0000}"/>
    <cellStyle name="Note 5 12 10" xfId="18143" xr:uid="{00000000-0005-0000-0000-0000628E0000}"/>
    <cellStyle name="Note 5 12 2" xfId="14858" xr:uid="{00000000-0005-0000-0000-0000638E0000}"/>
    <cellStyle name="Note 5 12 2 2" xfId="20184" xr:uid="{00000000-0005-0000-0000-0000648E0000}"/>
    <cellStyle name="Note 5 12 2 2 2" xfId="24657" xr:uid="{00000000-0005-0000-0000-0000658E0000}"/>
    <cellStyle name="Note 5 12 2 3" xfId="23990" xr:uid="{00000000-0005-0000-0000-0000668E0000}"/>
    <cellStyle name="Note 5 12 3" xfId="14532" xr:uid="{00000000-0005-0000-0000-0000678E0000}"/>
    <cellStyle name="Note 5 12 3 2" xfId="19681" xr:uid="{00000000-0005-0000-0000-0000688E0000}"/>
    <cellStyle name="Note 5 12 4" xfId="15127" xr:uid="{00000000-0005-0000-0000-0000698E0000}"/>
    <cellStyle name="Note 5 12 4 2" xfId="20513" xr:uid="{00000000-0005-0000-0000-00006A8E0000}"/>
    <cellStyle name="Note 5 12 5" xfId="16537" xr:uid="{00000000-0005-0000-0000-00006B8E0000}"/>
    <cellStyle name="Note 5 12 5 2" xfId="22178" xr:uid="{00000000-0005-0000-0000-00006C8E0000}"/>
    <cellStyle name="Note 5 12 6" xfId="16901" xr:uid="{00000000-0005-0000-0000-00006D8E0000}"/>
    <cellStyle name="Note 5 12 6 2" xfId="22552" xr:uid="{00000000-0005-0000-0000-00006E8E0000}"/>
    <cellStyle name="Note 5 12 7" xfId="17621" xr:uid="{00000000-0005-0000-0000-00006F8E0000}"/>
    <cellStyle name="Note 5 12 7 2" xfId="23266" xr:uid="{00000000-0005-0000-0000-0000708E0000}"/>
    <cellStyle name="Note 5 12 8" xfId="13825" xr:uid="{00000000-0005-0000-0000-0000718E0000}"/>
    <cellStyle name="Note 5 12 8 2" xfId="18799" xr:uid="{00000000-0005-0000-0000-0000728E0000}"/>
    <cellStyle name="Note 5 12 9" xfId="13154" xr:uid="{00000000-0005-0000-0000-0000738E0000}"/>
    <cellStyle name="Note 5 13" xfId="10336" xr:uid="{00000000-0005-0000-0000-0000748E0000}"/>
    <cellStyle name="Note 5 13 2" xfId="19819" xr:uid="{00000000-0005-0000-0000-0000758E0000}"/>
    <cellStyle name="Note 5 13 2 2" xfId="24162" xr:uid="{00000000-0005-0000-0000-0000768E0000}"/>
    <cellStyle name="Note 5 13 3" xfId="23669" xr:uid="{00000000-0005-0000-0000-0000778E0000}"/>
    <cellStyle name="Note 5 14" xfId="14303" xr:uid="{00000000-0005-0000-0000-0000788E0000}"/>
    <cellStyle name="Note 5 14 2" xfId="19409" xr:uid="{00000000-0005-0000-0000-0000798E0000}"/>
    <cellStyle name="Note 5 15" xfId="15368" xr:uid="{00000000-0005-0000-0000-00007A8E0000}"/>
    <cellStyle name="Note 5 15 2" xfId="20864" xr:uid="{00000000-0005-0000-0000-00007B8E0000}"/>
    <cellStyle name="Note 5 16" xfId="16300" xr:uid="{00000000-0005-0000-0000-00007C8E0000}"/>
    <cellStyle name="Note 5 16 2" xfId="21856" xr:uid="{00000000-0005-0000-0000-00007D8E0000}"/>
    <cellStyle name="Note 5 17" xfId="15434" xr:uid="{00000000-0005-0000-0000-00007E8E0000}"/>
    <cellStyle name="Note 5 17 2" xfId="20930" xr:uid="{00000000-0005-0000-0000-00007F8E0000}"/>
    <cellStyle name="Note 5 18" xfId="17304" xr:uid="{00000000-0005-0000-0000-0000808E0000}"/>
    <cellStyle name="Note 5 18 2" xfId="22948" xr:uid="{00000000-0005-0000-0000-0000818E0000}"/>
    <cellStyle name="Note 5 19" xfId="13504" xr:uid="{00000000-0005-0000-0000-0000828E0000}"/>
    <cellStyle name="Note 5 19 2" xfId="18481" xr:uid="{00000000-0005-0000-0000-0000838E0000}"/>
    <cellStyle name="Note 5 2" xfId="2787" xr:uid="{00000000-0005-0000-0000-0000848E0000}"/>
    <cellStyle name="Note 5 2 10" xfId="12814" xr:uid="{00000000-0005-0000-0000-0000858E0000}"/>
    <cellStyle name="Note 5 2 11" xfId="17828" xr:uid="{00000000-0005-0000-0000-0000868E0000}"/>
    <cellStyle name="Note 5 2 12" xfId="4213" xr:uid="{00000000-0005-0000-0000-0000878E0000}"/>
    <cellStyle name="Note 5 2 2" xfId="4214" xr:uid="{00000000-0005-0000-0000-0000888E0000}"/>
    <cellStyle name="Note 5 2 2 10" xfId="18146" xr:uid="{00000000-0005-0000-0000-0000898E0000}"/>
    <cellStyle name="Note 5 2 2 2" xfId="14861" xr:uid="{00000000-0005-0000-0000-00008A8E0000}"/>
    <cellStyle name="Note 5 2 2 2 2" xfId="20187" xr:uid="{00000000-0005-0000-0000-00008B8E0000}"/>
    <cellStyle name="Note 5 2 2 2 2 2" xfId="24660" xr:uid="{00000000-0005-0000-0000-00008C8E0000}"/>
    <cellStyle name="Note 5 2 2 2 3" xfId="23993" xr:uid="{00000000-0005-0000-0000-00008D8E0000}"/>
    <cellStyle name="Note 5 2 2 3" xfId="14820" xr:uid="{00000000-0005-0000-0000-00008E8E0000}"/>
    <cellStyle name="Note 5 2 2 3 2" xfId="20141" xr:uid="{00000000-0005-0000-0000-00008F8E0000}"/>
    <cellStyle name="Note 5 2 2 4" xfId="15124" xr:uid="{00000000-0005-0000-0000-0000908E0000}"/>
    <cellStyle name="Note 5 2 2 4 2" xfId="20510" xr:uid="{00000000-0005-0000-0000-0000918E0000}"/>
    <cellStyle name="Note 5 2 2 5" xfId="16540" xr:uid="{00000000-0005-0000-0000-0000928E0000}"/>
    <cellStyle name="Note 5 2 2 5 2" xfId="22181" xr:uid="{00000000-0005-0000-0000-0000938E0000}"/>
    <cellStyle name="Note 5 2 2 6" xfId="16904" xr:uid="{00000000-0005-0000-0000-0000948E0000}"/>
    <cellStyle name="Note 5 2 2 6 2" xfId="22555" xr:uid="{00000000-0005-0000-0000-0000958E0000}"/>
    <cellStyle name="Note 5 2 2 7" xfId="17624" xr:uid="{00000000-0005-0000-0000-0000968E0000}"/>
    <cellStyle name="Note 5 2 2 7 2" xfId="23269" xr:uid="{00000000-0005-0000-0000-0000978E0000}"/>
    <cellStyle name="Note 5 2 2 8" xfId="13828" xr:uid="{00000000-0005-0000-0000-0000988E0000}"/>
    <cellStyle name="Note 5 2 2 8 2" xfId="18802" xr:uid="{00000000-0005-0000-0000-0000998E0000}"/>
    <cellStyle name="Note 5 2 2 9" xfId="13157" xr:uid="{00000000-0005-0000-0000-00009A8E0000}"/>
    <cellStyle name="Note 5 2 3" xfId="10333" xr:uid="{00000000-0005-0000-0000-00009B8E0000}"/>
    <cellStyle name="Note 5 2 3 2" xfId="19822" xr:uid="{00000000-0005-0000-0000-00009C8E0000}"/>
    <cellStyle name="Note 5 2 3 2 2" xfId="24159" xr:uid="{00000000-0005-0000-0000-00009D8E0000}"/>
    <cellStyle name="Note 5 2 3 3" xfId="23672" xr:uid="{00000000-0005-0000-0000-00009E8E0000}"/>
    <cellStyle name="Note 5 2 4" xfId="14306" xr:uid="{00000000-0005-0000-0000-00009F8E0000}"/>
    <cellStyle name="Note 5 2 4 2" xfId="19412" xr:uid="{00000000-0005-0000-0000-0000A08E0000}"/>
    <cellStyle name="Note 5 2 5" xfId="15365" xr:uid="{00000000-0005-0000-0000-0000A18E0000}"/>
    <cellStyle name="Note 5 2 5 2" xfId="20861" xr:uid="{00000000-0005-0000-0000-0000A28E0000}"/>
    <cellStyle name="Note 5 2 6" xfId="16303" xr:uid="{00000000-0005-0000-0000-0000A38E0000}"/>
    <cellStyle name="Note 5 2 6 2" xfId="21859" xr:uid="{00000000-0005-0000-0000-0000A48E0000}"/>
    <cellStyle name="Note 5 2 7" xfId="15431" xr:uid="{00000000-0005-0000-0000-0000A58E0000}"/>
    <cellStyle name="Note 5 2 7 2" xfId="20927" xr:uid="{00000000-0005-0000-0000-0000A68E0000}"/>
    <cellStyle name="Note 5 2 8" xfId="17307" xr:uid="{00000000-0005-0000-0000-0000A78E0000}"/>
    <cellStyle name="Note 5 2 8 2" xfId="22951" xr:uid="{00000000-0005-0000-0000-0000A88E0000}"/>
    <cellStyle name="Note 5 2 9" xfId="13507" xr:uid="{00000000-0005-0000-0000-0000A98E0000}"/>
    <cellStyle name="Note 5 2 9 2" xfId="18484" xr:uid="{00000000-0005-0000-0000-0000AA8E0000}"/>
    <cellStyle name="Note 5 20" xfId="12811" xr:uid="{00000000-0005-0000-0000-0000AB8E0000}"/>
    <cellStyle name="Note 5 21" xfId="17825" xr:uid="{00000000-0005-0000-0000-0000AC8E0000}"/>
    <cellStyle name="Note 5 22" xfId="4207" xr:uid="{00000000-0005-0000-0000-0000AD8E0000}"/>
    <cellStyle name="Note 5 3" xfId="2788" xr:uid="{00000000-0005-0000-0000-0000AE8E0000}"/>
    <cellStyle name="Note 5 3 10" xfId="12815" xr:uid="{00000000-0005-0000-0000-0000AF8E0000}"/>
    <cellStyle name="Note 5 3 11" xfId="17829" xr:uid="{00000000-0005-0000-0000-0000B08E0000}"/>
    <cellStyle name="Note 5 3 12" xfId="4215" xr:uid="{00000000-0005-0000-0000-0000B18E0000}"/>
    <cellStyle name="Note 5 3 2" xfId="4216" xr:uid="{00000000-0005-0000-0000-0000B28E0000}"/>
    <cellStyle name="Note 5 3 2 10" xfId="18147" xr:uid="{00000000-0005-0000-0000-0000B38E0000}"/>
    <cellStyle name="Note 5 3 2 2" xfId="14862" xr:uid="{00000000-0005-0000-0000-0000B48E0000}"/>
    <cellStyle name="Note 5 3 2 2 2" xfId="20188" xr:uid="{00000000-0005-0000-0000-0000B58E0000}"/>
    <cellStyle name="Note 5 3 2 2 2 2" xfId="24661" xr:uid="{00000000-0005-0000-0000-0000B68E0000}"/>
    <cellStyle name="Note 5 3 2 2 3" xfId="23994" xr:uid="{00000000-0005-0000-0000-0000B78E0000}"/>
    <cellStyle name="Note 5 3 2 3" xfId="14535" xr:uid="{00000000-0005-0000-0000-0000B88E0000}"/>
    <cellStyle name="Note 5 3 2 3 2" xfId="19684" xr:uid="{00000000-0005-0000-0000-0000B98E0000}"/>
    <cellStyle name="Note 5 3 2 4" xfId="15123" xr:uid="{00000000-0005-0000-0000-0000BA8E0000}"/>
    <cellStyle name="Note 5 3 2 4 2" xfId="20509" xr:uid="{00000000-0005-0000-0000-0000BB8E0000}"/>
    <cellStyle name="Note 5 3 2 5" xfId="16541" xr:uid="{00000000-0005-0000-0000-0000BC8E0000}"/>
    <cellStyle name="Note 5 3 2 5 2" xfId="22182" xr:uid="{00000000-0005-0000-0000-0000BD8E0000}"/>
    <cellStyle name="Note 5 3 2 6" xfId="16905" xr:uid="{00000000-0005-0000-0000-0000BE8E0000}"/>
    <cellStyle name="Note 5 3 2 6 2" xfId="22556" xr:uid="{00000000-0005-0000-0000-0000BF8E0000}"/>
    <cellStyle name="Note 5 3 2 7" xfId="17625" xr:uid="{00000000-0005-0000-0000-0000C08E0000}"/>
    <cellStyle name="Note 5 3 2 7 2" xfId="23270" xr:uid="{00000000-0005-0000-0000-0000C18E0000}"/>
    <cellStyle name="Note 5 3 2 8" xfId="13829" xr:uid="{00000000-0005-0000-0000-0000C28E0000}"/>
    <cellStyle name="Note 5 3 2 8 2" xfId="18803" xr:uid="{00000000-0005-0000-0000-0000C38E0000}"/>
    <cellStyle name="Note 5 3 2 9" xfId="13158" xr:uid="{00000000-0005-0000-0000-0000C48E0000}"/>
    <cellStyle name="Note 5 3 3" xfId="10332" xr:uid="{00000000-0005-0000-0000-0000C58E0000}"/>
    <cellStyle name="Note 5 3 3 2" xfId="19823" xr:uid="{00000000-0005-0000-0000-0000C68E0000}"/>
    <cellStyle name="Note 5 3 3 2 2" xfId="24158" xr:uid="{00000000-0005-0000-0000-0000C78E0000}"/>
    <cellStyle name="Note 5 3 3 3" xfId="23673" xr:uid="{00000000-0005-0000-0000-0000C88E0000}"/>
    <cellStyle name="Note 5 3 4" xfId="14307" xr:uid="{00000000-0005-0000-0000-0000C98E0000}"/>
    <cellStyle name="Note 5 3 4 2" xfId="19413" xr:uid="{00000000-0005-0000-0000-0000CA8E0000}"/>
    <cellStyle name="Note 5 3 5" xfId="15364" xr:uid="{00000000-0005-0000-0000-0000CB8E0000}"/>
    <cellStyle name="Note 5 3 5 2" xfId="20860" xr:uid="{00000000-0005-0000-0000-0000CC8E0000}"/>
    <cellStyle name="Note 5 3 6" xfId="16304" xr:uid="{00000000-0005-0000-0000-0000CD8E0000}"/>
    <cellStyle name="Note 5 3 6 2" xfId="21860" xr:uid="{00000000-0005-0000-0000-0000CE8E0000}"/>
    <cellStyle name="Note 5 3 7" xfId="15430" xr:uid="{00000000-0005-0000-0000-0000CF8E0000}"/>
    <cellStyle name="Note 5 3 7 2" xfId="20926" xr:uid="{00000000-0005-0000-0000-0000D08E0000}"/>
    <cellStyle name="Note 5 3 8" xfId="17308" xr:uid="{00000000-0005-0000-0000-0000D18E0000}"/>
    <cellStyle name="Note 5 3 8 2" xfId="22952" xr:uid="{00000000-0005-0000-0000-0000D28E0000}"/>
    <cellStyle name="Note 5 3 9" xfId="13508" xr:uid="{00000000-0005-0000-0000-0000D38E0000}"/>
    <cellStyle name="Note 5 3 9 2" xfId="18485" xr:uid="{00000000-0005-0000-0000-0000D48E0000}"/>
    <cellStyle name="Note 5 3_ELC_final" xfId="43762" xr:uid="{00000000-0005-0000-0000-0000D58E0000}"/>
    <cellStyle name="Note 5 4" xfId="2789" xr:uid="{00000000-0005-0000-0000-0000D68E0000}"/>
    <cellStyle name="Note 5 4 10" xfId="12816" xr:uid="{00000000-0005-0000-0000-0000D78E0000}"/>
    <cellStyle name="Note 5 4 11" xfId="17830" xr:uid="{00000000-0005-0000-0000-0000D88E0000}"/>
    <cellStyle name="Note 5 4 12" xfId="4217" xr:uid="{00000000-0005-0000-0000-0000D98E0000}"/>
    <cellStyle name="Note 5 4 2" xfId="4218" xr:uid="{00000000-0005-0000-0000-0000DA8E0000}"/>
    <cellStyle name="Note 5 4 2 10" xfId="18148" xr:uid="{00000000-0005-0000-0000-0000DB8E0000}"/>
    <cellStyle name="Note 5 4 2 2" xfId="14863" xr:uid="{00000000-0005-0000-0000-0000DC8E0000}"/>
    <cellStyle name="Note 5 4 2 2 2" xfId="20189" xr:uid="{00000000-0005-0000-0000-0000DD8E0000}"/>
    <cellStyle name="Note 5 4 2 2 2 2" xfId="24662" xr:uid="{00000000-0005-0000-0000-0000DE8E0000}"/>
    <cellStyle name="Note 5 4 2 2 3" xfId="23995" xr:uid="{00000000-0005-0000-0000-0000DF8E0000}"/>
    <cellStyle name="Note 5 4 2 3" xfId="14536" xr:uid="{00000000-0005-0000-0000-0000E08E0000}"/>
    <cellStyle name="Note 5 4 2 3 2" xfId="19685" xr:uid="{00000000-0005-0000-0000-0000E18E0000}"/>
    <cellStyle name="Note 5 4 2 4" xfId="15122" xr:uid="{00000000-0005-0000-0000-0000E28E0000}"/>
    <cellStyle name="Note 5 4 2 4 2" xfId="20508" xr:uid="{00000000-0005-0000-0000-0000E38E0000}"/>
    <cellStyle name="Note 5 4 2 5" xfId="16542" xr:uid="{00000000-0005-0000-0000-0000E48E0000}"/>
    <cellStyle name="Note 5 4 2 5 2" xfId="22183" xr:uid="{00000000-0005-0000-0000-0000E58E0000}"/>
    <cellStyle name="Note 5 4 2 6" xfId="16906" xr:uid="{00000000-0005-0000-0000-0000E68E0000}"/>
    <cellStyle name="Note 5 4 2 6 2" xfId="22557" xr:uid="{00000000-0005-0000-0000-0000E78E0000}"/>
    <cellStyle name="Note 5 4 2 7" xfId="17626" xr:uid="{00000000-0005-0000-0000-0000E88E0000}"/>
    <cellStyle name="Note 5 4 2 7 2" xfId="23271" xr:uid="{00000000-0005-0000-0000-0000E98E0000}"/>
    <cellStyle name="Note 5 4 2 8" xfId="13830" xr:uid="{00000000-0005-0000-0000-0000EA8E0000}"/>
    <cellStyle name="Note 5 4 2 8 2" xfId="18804" xr:uid="{00000000-0005-0000-0000-0000EB8E0000}"/>
    <cellStyle name="Note 5 4 2 9" xfId="13159" xr:uid="{00000000-0005-0000-0000-0000EC8E0000}"/>
    <cellStyle name="Note 5 4 3" xfId="10331" xr:uid="{00000000-0005-0000-0000-0000ED8E0000}"/>
    <cellStyle name="Note 5 4 3 2" xfId="19824" xr:uid="{00000000-0005-0000-0000-0000EE8E0000}"/>
    <cellStyle name="Note 5 4 3 2 2" xfId="24157" xr:uid="{00000000-0005-0000-0000-0000EF8E0000}"/>
    <cellStyle name="Note 5 4 3 3" xfId="23674" xr:uid="{00000000-0005-0000-0000-0000F08E0000}"/>
    <cellStyle name="Note 5 4 4" xfId="14308" xr:uid="{00000000-0005-0000-0000-0000F18E0000}"/>
    <cellStyle name="Note 5 4 4 2" xfId="19414" xr:uid="{00000000-0005-0000-0000-0000F28E0000}"/>
    <cellStyle name="Note 5 4 4 3" xfId="43763" xr:uid="{00000000-0005-0000-0000-0000F38E0000}"/>
    <cellStyle name="Note 5 4 5" xfId="15363" xr:uid="{00000000-0005-0000-0000-0000F48E0000}"/>
    <cellStyle name="Note 5 4 5 2" xfId="20859" xr:uid="{00000000-0005-0000-0000-0000F58E0000}"/>
    <cellStyle name="Note 5 4 6" xfId="16305" xr:uid="{00000000-0005-0000-0000-0000F68E0000}"/>
    <cellStyle name="Note 5 4 6 2" xfId="21861" xr:uid="{00000000-0005-0000-0000-0000F78E0000}"/>
    <cellStyle name="Note 5 4 7" xfId="15429" xr:uid="{00000000-0005-0000-0000-0000F88E0000}"/>
    <cellStyle name="Note 5 4 7 2" xfId="20925" xr:uid="{00000000-0005-0000-0000-0000F98E0000}"/>
    <cellStyle name="Note 5 4 8" xfId="17309" xr:uid="{00000000-0005-0000-0000-0000FA8E0000}"/>
    <cellStyle name="Note 5 4 8 2" xfId="22953" xr:uid="{00000000-0005-0000-0000-0000FB8E0000}"/>
    <cellStyle name="Note 5 4 9" xfId="13509" xr:uid="{00000000-0005-0000-0000-0000FC8E0000}"/>
    <cellStyle name="Note 5 4 9 2" xfId="18486" xr:uid="{00000000-0005-0000-0000-0000FD8E0000}"/>
    <cellStyle name="Note 5 5" xfId="2790" xr:uid="{00000000-0005-0000-0000-0000FE8E0000}"/>
    <cellStyle name="Note 5 5 10" xfId="12817" xr:uid="{00000000-0005-0000-0000-0000FF8E0000}"/>
    <cellStyle name="Note 5 5 11" xfId="17831" xr:uid="{00000000-0005-0000-0000-0000008F0000}"/>
    <cellStyle name="Note 5 5 12" xfId="4219" xr:uid="{00000000-0005-0000-0000-0000018F0000}"/>
    <cellStyle name="Note 5 5 2" xfId="4220" xr:uid="{00000000-0005-0000-0000-0000028F0000}"/>
    <cellStyle name="Note 5 5 2 10" xfId="18149" xr:uid="{00000000-0005-0000-0000-0000038F0000}"/>
    <cellStyle name="Note 5 5 2 2" xfId="14864" xr:uid="{00000000-0005-0000-0000-0000048F0000}"/>
    <cellStyle name="Note 5 5 2 2 2" xfId="20190" xr:uid="{00000000-0005-0000-0000-0000058F0000}"/>
    <cellStyle name="Note 5 5 2 2 2 2" xfId="24663" xr:uid="{00000000-0005-0000-0000-0000068F0000}"/>
    <cellStyle name="Note 5 5 2 2 3" xfId="23996" xr:uid="{00000000-0005-0000-0000-0000078F0000}"/>
    <cellStyle name="Note 5 5 2 3" xfId="14537" xr:uid="{00000000-0005-0000-0000-0000088F0000}"/>
    <cellStyle name="Note 5 5 2 3 2" xfId="19686" xr:uid="{00000000-0005-0000-0000-0000098F0000}"/>
    <cellStyle name="Note 5 5 2 4" xfId="15121" xr:uid="{00000000-0005-0000-0000-00000A8F0000}"/>
    <cellStyle name="Note 5 5 2 4 2" xfId="20507" xr:uid="{00000000-0005-0000-0000-00000B8F0000}"/>
    <cellStyle name="Note 5 5 2 5" xfId="16543" xr:uid="{00000000-0005-0000-0000-00000C8F0000}"/>
    <cellStyle name="Note 5 5 2 5 2" xfId="22184" xr:uid="{00000000-0005-0000-0000-00000D8F0000}"/>
    <cellStyle name="Note 5 5 2 6" xfId="16907" xr:uid="{00000000-0005-0000-0000-00000E8F0000}"/>
    <cellStyle name="Note 5 5 2 6 2" xfId="22558" xr:uid="{00000000-0005-0000-0000-00000F8F0000}"/>
    <cellStyle name="Note 5 5 2 7" xfId="17627" xr:uid="{00000000-0005-0000-0000-0000108F0000}"/>
    <cellStyle name="Note 5 5 2 7 2" xfId="23272" xr:uid="{00000000-0005-0000-0000-0000118F0000}"/>
    <cellStyle name="Note 5 5 2 8" xfId="13831" xr:uid="{00000000-0005-0000-0000-0000128F0000}"/>
    <cellStyle name="Note 5 5 2 8 2" xfId="18805" xr:uid="{00000000-0005-0000-0000-0000138F0000}"/>
    <cellStyle name="Note 5 5 2 9" xfId="13160" xr:uid="{00000000-0005-0000-0000-0000148F0000}"/>
    <cellStyle name="Note 5 5 3" xfId="10330" xr:uid="{00000000-0005-0000-0000-0000158F0000}"/>
    <cellStyle name="Note 5 5 3 2" xfId="19825" xr:uid="{00000000-0005-0000-0000-0000168F0000}"/>
    <cellStyle name="Note 5 5 3 2 2" xfId="24346" xr:uid="{00000000-0005-0000-0000-0000178F0000}"/>
    <cellStyle name="Note 5 5 3 3" xfId="23675" xr:uid="{00000000-0005-0000-0000-0000188F0000}"/>
    <cellStyle name="Note 5 5 4" xfId="14309" xr:uid="{00000000-0005-0000-0000-0000198F0000}"/>
    <cellStyle name="Note 5 5 4 2" xfId="19415" xr:uid="{00000000-0005-0000-0000-00001A8F0000}"/>
    <cellStyle name="Note 5 5 5" xfId="15362" xr:uid="{00000000-0005-0000-0000-00001B8F0000}"/>
    <cellStyle name="Note 5 5 5 2" xfId="20858" xr:uid="{00000000-0005-0000-0000-00001C8F0000}"/>
    <cellStyle name="Note 5 5 6" xfId="16306" xr:uid="{00000000-0005-0000-0000-00001D8F0000}"/>
    <cellStyle name="Note 5 5 6 2" xfId="21862" xr:uid="{00000000-0005-0000-0000-00001E8F0000}"/>
    <cellStyle name="Note 5 5 7" xfId="15428" xr:uid="{00000000-0005-0000-0000-00001F8F0000}"/>
    <cellStyle name="Note 5 5 7 2" xfId="20924" xr:uid="{00000000-0005-0000-0000-0000208F0000}"/>
    <cellStyle name="Note 5 5 8" xfId="17310" xr:uid="{00000000-0005-0000-0000-0000218F0000}"/>
    <cellStyle name="Note 5 5 8 2" xfId="22954" xr:uid="{00000000-0005-0000-0000-0000228F0000}"/>
    <cellStyle name="Note 5 5 9" xfId="13510" xr:uid="{00000000-0005-0000-0000-0000238F0000}"/>
    <cellStyle name="Note 5 5 9 2" xfId="18487" xr:uid="{00000000-0005-0000-0000-0000248F0000}"/>
    <cellStyle name="Note 5 6" xfId="2791" xr:uid="{00000000-0005-0000-0000-0000258F0000}"/>
    <cellStyle name="Note 5 6 10" xfId="12818" xr:uid="{00000000-0005-0000-0000-0000268F0000}"/>
    <cellStyle name="Note 5 6 11" xfId="17832" xr:uid="{00000000-0005-0000-0000-0000278F0000}"/>
    <cellStyle name="Note 5 6 12" xfId="4221" xr:uid="{00000000-0005-0000-0000-0000288F0000}"/>
    <cellStyle name="Note 5 6 2" xfId="4222" xr:uid="{00000000-0005-0000-0000-0000298F0000}"/>
    <cellStyle name="Note 5 6 2 10" xfId="18150" xr:uid="{00000000-0005-0000-0000-00002A8F0000}"/>
    <cellStyle name="Note 5 6 2 2" xfId="14865" xr:uid="{00000000-0005-0000-0000-00002B8F0000}"/>
    <cellStyle name="Note 5 6 2 2 2" xfId="20191" xr:uid="{00000000-0005-0000-0000-00002C8F0000}"/>
    <cellStyle name="Note 5 6 2 2 2 2" xfId="24664" xr:uid="{00000000-0005-0000-0000-00002D8F0000}"/>
    <cellStyle name="Note 5 6 2 2 3" xfId="23997" xr:uid="{00000000-0005-0000-0000-00002E8F0000}"/>
    <cellStyle name="Note 5 6 2 3" xfId="14538" xr:uid="{00000000-0005-0000-0000-00002F8F0000}"/>
    <cellStyle name="Note 5 6 2 3 2" xfId="19687" xr:uid="{00000000-0005-0000-0000-0000308F0000}"/>
    <cellStyle name="Note 5 6 2 4" xfId="15120" xr:uid="{00000000-0005-0000-0000-0000318F0000}"/>
    <cellStyle name="Note 5 6 2 4 2" xfId="20506" xr:uid="{00000000-0005-0000-0000-0000328F0000}"/>
    <cellStyle name="Note 5 6 2 5" xfId="16544" xr:uid="{00000000-0005-0000-0000-0000338F0000}"/>
    <cellStyle name="Note 5 6 2 5 2" xfId="22185" xr:uid="{00000000-0005-0000-0000-0000348F0000}"/>
    <cellStyle name="Note 5 6 2 6" xfId="16908" xr:uid="{00000000-0005-0000-0000-0000358F0000}"/>
    <cellStyle name="Note 5 6 2 6 2" xfId="22559" xr:uid="{00000000-0005-0000-0000-0000368F0000}"/>
    <cellStyle name="Note 5 6 2 7" xfId="17628" xr:uid="{00000000-0005-0000-0000-0000378F0000}"/>
    <cellStyle name="Note 5 6 2 7 2" xfId="23273" xr:uid="{00000000-0005-0000-0000-0000388F0000}"/>
    <cellStyle name="Note 5 6 2 8" xfId="13832" xr:uid="{00000000-0005-0000-0000-0000398F0000}"/>
    <cellStyle name="Note 5 6 2 8 2" xfId="18806" xr:uid="{00000000-0005-0000-0000-00003A8F0000}"/>
    <cellStyle name="Note 5 6 2 9" xfId="13161" xr:uid="{00000000-0005-0000-0000-00003B8F0000}"/>
    <cellStyle name="Note 5 6 3" xfId="10939" xr:uid="{00000000-0005-0000-0000-00003C8F0000}"/>
    <cellStyle name="Note 5 6 3 2" xfId="19826" xr:uid="{00000000-0005-0000-0000-00003D8F0000}"/>
    <cellStyle name="Note 5 6 3 2 2" xfId="24347" xr:uid="{00000000-0005-0000-0000-00003E8F0000}"/>
    <cellStyle name="Note 5 6 3 3" xfId="23676" xr:uid="{00000000-0005-0000-0000-00003F8F0000}"/>
    <cellStyle name="Note 5 6 4" xfId="14310" xr:uid="{00000000-0005-0000-0000-0000408F0000}"/>
    <cellStyle name="Note 5 6 4 2" xfId="19416" xr:uid="{00000000-0005-0000-0000-0000418F0000}"/>
    <cellStyle name="Note 5 6 5" xfId="15361" xr:uid="{00000000-0005-0000-0000-0000428F0000}"/>
    <cellStyle name="Note 5 6 5 2" xfId="20857" xr:uid="{00000000-0005-0000-0000-0000438F0000}"/>
    <cellStyle name="Note 5 6 6" xfId="16307" xr:uid="{00000000-0005-0000-0000-0000448F0000}"/>
    <cellStyle name="Note 5 6 6 2" xfId="21863" xr:uid="{00000000-0005-0000-0000-0000458F0000}"/>
    <cellStyle name="Note 5 6 7" xfId="15427" xr:uid="{00000000-0005-0000-0000-0000468F0000}"/>
    <cellStyle name="Note 5 6 7 2" xfId="20923" xr:uid="{00000000-0005-0000-0000-0000478F0000}"/>
    <cellStyle name="Note 5 6 8" xfId="17311" xr:uid="{00000000-0005-0000-0000-0000488F0000}"/>
    <cellStyle name="Note 5 6 8 2" xfId="22955" xr:uid="{00000000-0005-0000-0000-0000498F0000}"/>
    <cellStyle name="Note 5 6 9" xfId="13511" xr:uid="{00000000-0005-0000-0000-00004A8F0000}"/>
    <cellStyle name="Note 5 6 9 2" xfId="18488" xr:uid="{00000000-0005-0000-0000-00004B8F0000}"/>
    <cellStyle name="Note 5 7" xfId="2792" xr:uid="{00000000-0005-0000-0000-00004C8F0000}"/>
    <cellStyle name="Note 5 7 10" xfId="12819" xr:uid="{00000000-0005-0000-0000-00004D8F0000}"/>
    <cellStyle name="Note 5 7 11" xfId="17833" xr:uid="{00000000-0005-0000-0000-00004E8F0000}"/>
    <cellStyle name="Note 5 7 12" xfId="4223" xr:uid="{00000000-0005-0000-0000-00004F8F0000}"/>
    <cellStyle name="Note 5 7 2" xfId="4224" xr:uid="{00000000-0005-0000-0000-0000508F0000}"/>
    <cellStyle name="Note 5 7 2 10" xfId="18151" xr:uid="{00000000-0005-0000-0000-0000518F0000}"/>
    <cellStyle name="Note 5 7 2 2" xfId="14866" xr:uid="{00000000-0005-0000-0000-0000528F0000}"/>
    <cellStyle name="Note 5 7 2 2 2" xfId="20192" xr:uid="{00000000-0005-0000-0000-0000538F0000}"/>
    <cellStyle name="Note 5 7 2 2 2 2" xfId="24665" xr:uid="{00000000-0005-0000-0000-0000548F0000}"/>
    <cellStyle name="Note 5 7 2 2 3" xfId="23998" xr:uid="{00000000-0005-0000-0000-0000558F0000}"/>
    <cellStyle name="Note 5 7 2 3" xfId="14539" xr:uid="{00000000-0005-0000-0000-0000568F0000}"/>
    <cellStyle name="Note 5 7 2 3 2" xfId="19688" xr:uid="{00000000-0005-0000-0000-0000578F0000}"/>
    <cellStyle name="Note 5 7 2 4" xfId="15119" xr:uid="{00000000-0005-0000-0000-0000588F0000}"/>
    <cellStyle name="Note 5 7 2 4 2" xfId="20505" xr:uid="{00000000-0005-0000-0000-0000598F0000}"/>
    <cellStyle name="Note 5 7 2 5" xfId="16545" xr:uid="{00000000-0005-0000-0000-00005A8F0000}"/>
    <cellStyle name="Note 5 7 2 5 2" xfId="22186" xr:uid="{00000000-0005-0000-0000-00005B8F0000}"/>
    <cellStyle name="Note 5 7 2 6" xfId="16909" xr:uid="{00000000-0005-0000-0000-00005C8F0000}"/>
    <cellStyle name="Note 5 7 2 6 2" xfId="22560" xr:uid="{00000000-0005-0000-0000-00005D8F0000}"/>
    <cellStyle name="Note 5 7 2 7" xfId="17629" xr:uid="{00000000-0005-0000-0000-00005E8F0000}"/>
    <cellStyle name="Note 5 7 2 7 2" xfId="23274" xr:uid="{00000000-0005-0000-0000-00005F8F0000}"/>
    <cellStyle name="Note 5 7 2 8" xfId="13833" xr:uid="{00000000-0005-0000-0000-0000608F0000}"/>
    <cellStyle name="Note 5 7 2 8 2" xfId="18807" xr:uid="{00000000-0005-0000-0000-0000618F0000}"/>
    <cellStyle name="Note 5 7 2 9" xfId="13162" xr:uid="{00000000-0005-0000-0000-0000628F0000}"/>
    <cellStyle name="Note 5 7 3" xfId="10927" xr:uid="{00000000-0005-0000-0000-0000638F0000}"/>
    <cellStyle name="Note 5 7 3 2" xfId="19827" xr:uid="{00000000-0005-0000-0000-0000648F0000}"/>
    <cellStyle name="Note 5 7 3 2 2" xfId="24348" xr:uid="{00000000-0005-0000-0000-0000658F0000}"/>
    <cellStyle name="Note 5 7 3 3" xfId="23677" xr:uid="{00000000-0005-0000-0000-0000668F0000}"/>
    <cellStyle name="Note 5 7 4" xfId="14311" xr:uid="{00000000-0005-0000-0000-0000678F0000}"/>
    <cellStyle name="Note 5 7 4 2" xfId="19417" xr:uid="{00000000-0005-0000-0000-0000688F0000}"/>
    <cellStyle name="Note 5 7 5" xfId="15360" xr:uid="{00000000-0005-0000-0000-0000698F0000}"/>
    <cellStyle name="Note 5 7 5 2" xfId="20856" xr:uid="{00000000-0005-0000-0000-00006A8F0000}"/>
    <cellStyle name="Note 5 7 6" xfId="16308" xr:uid="{00000000-0005-0000-0000-00006B8F0000}"/>
    <cellStyle name="Note 5 7 6 2" xfId="21864" xr:uid="{00000000-0005-0000-0000-00006C8F0000}"/>
    <cellStyle name="Note 5 7 7" xfId="15426" xr:uid="{00000000-0005-0000-0000-00006D8F0000}"/>
    <cellStyle name="Note 5 7 7 2" xfId="20922" xr:uid="{00000000-0005-0000-0000-00006E8F0000}"/>
    <cellStyle name="Note 5 7 8" xfId="17312" xr:uid="{00000000-0005-0000-0000-00006F8F0000}"/>
    <cellStyle name="Note 5 7 8 2" xfId="22956" xr:uid="{00000000-0005-0000-0000-0000708F0000}"/>
    <cellStyle name="Note 5 7 9" xfId="13512" xr:uid="{00000000-0005-0000-0000-0000718F0000}"/>
    <cellStyle name="Note 5 7 9 2" xfId="18489" xr:uid="{00000000-0005-0000-0000-0000728F0000}"/>
    <cellStyle name="Note 5 8" xfId="2793" xr:uid="{00000000-0005-0000-0000-0000738F0000}"/>
    <cellStyle name="Note 5 8 10" xfId="12820" xr:uid="{00000000-0005-0000-0000-0000748F0000}"/>
    <cellStyle name="Note 5 8 11" xfId="17834" xr:uid="{00000000-0005-0000-0000-0000758F0000}"/>
    <cellStyle name="Note 5 8 12" xfId="4225" xr:uid="{00000000-0005-0000-0000-0000768F0000}"/>
    <cellStyle name="Note 5 8 2" xfId="4226" xr:uid="{00000000-0005-0000-0000-0000778F0000}"/>
    <cellStyle name="Note 5 8 2 10" xfId="18152" xr:uid="{00000000-0005-0000-0000-0000788F0000}"/>
    <cellStyle name="Note 5 8 2 2" xfId="14867" xr:uid="{00000000-0005-0000-0000-0000798F0000}"/>
    <cellStyle name="Note 5 8 2 2 2" xfId="20193" xr:uid="{00000000-0005-0000-0000-00007A8F0000}"/>
    <cellStyle name="Note 5 8 2 2 2 2" xfId="24666" xr:uid="{00000000-0005-0000-0000-00007B8F0000}"/>
    <cellStyle name="Note 5 8 2 2 3" xfId="23999" xr:uid="{00000000-0005-0000-0000-00007C8F0000}"/>
    <cellStyle name="Note 5 8 2 3" xfId="14540" xr:uid="{00000000-0005-0000-0000-00007D8F0000}"/>
    <cellStyle name="Note 5 8 2 3 2" xfId="19689" xr:uid="{00000000-0005-0000-0000-00007E8F0000}"/>
    <cellStyle name="Note 5 8 2 4" xfId="15118" xr:uid="{00000000-0005-0000-0000-00007F8F0000}"/>
    <cellStyle name="Note 5 8 2 4 2" xfId="20504" xr:uid="{00000000-0005-0000-0000-0000808F0000}"/>
    <cellStyle name="Note 5 8 2 5" xfId="16546" xr:uid="{00000000-0005-0000-0000-0000818F0000}"/>
    <cellStyle name="Note 5 8 2 5 2" xfId="22187" xr:uid="{00000000-0005-0000-0000-0000828F0000}"/>
    <cellStyle name="Note 5 8 2 6" xfId="16910" xr:uid="{00000000-0005-0000-0000-0000838F0000}"/>
    <cellStyle name="Note 5 8 2 6 2" xfId="22561" xr:uid="{00000000-0005-0000-0000-0000848F0000}"/>
    <cellStyle name="Note 5 8 2 7" xfId="17630" xr:uid="{00000000-0005-0000-0000-0000858F0000}"/>
    <cellStyle name="Note 5 8 2 7 2" xfId="23275" xr:uid="{00000000-0005-0000-0000-0000868F0000}"/>
    <cellStyle name="Note 5 8 2 8" xfId="13834" xr:uid="{00000000-0005-0000-0000-0000878F0000}"/>
    <cellStyle name="Note 5 8 2 8 2" xfId="18808" xr:uid="{00000000-0005-0000-0000-0000888F0000}"/>
    <cellStyle name="Note 5 8 2 9" xfId="13163" xr:uid="{00000000-0005-0000-0000-0000898F0000}"/>
    <cellStyle name="Note 5 8 3" xfId="10912" xr:uid="{00000000-0005-0000-0000-00008A8F0000}"/>
    <cellStyle name="Note 5 8 3 2" xfId="19828" xr:uid="{00000000-0005-0000-0000-00008B8F0000}"/>
    <cellStyle name="Note 5 8 3 2 2" xfId="24349" xr:uid="{00000000-0005-0000-0000-00008C8F0000}"/>
    <cellStyle name="Note 5 8 3 3" xfId="23678" xr:uid="{00000000-0005-0000-0000-00008D8F0000}"/>
    <cellStyle name="Note 5 8 4" xfId="14312" xr:uid="{00000000-0005-0000-0000-00008E8F0000}"/>
    <cellStyle name="Note 5 8 4 2" xfId="19418" xr:uid="{00000000-0005-0000-0000-00008F8F0000}"/>
    <cellStyle name="Note 5 8 5" xfId="15359" xr:uid="{00000000-0005-0000-0000-0000908F0000}"/>
    <cellStyle name="Note 5 8 5 2" xfId="20855" xr:uid="{00000000-0005-0000-0000-0000918F0000}"/>
    <cellStyle name="Note 5 8 6" xfId="16309" xr:uid="{00000000-0005-0000-0000-0000928F0000}"/>
    <cellStyle name="Note 5 8 6 2" xfId="21865" xr:uid="{00000000-0005-0000-0000-0000938F0000}"/>
    <cellStyle name="Note 5 8 7" xfId="15425" xr:uid="{00000000-0005-0000-0000-0000948F0000}"/>
    <cellStyle name="Note 5 8 7 2" xfId="20921" xr:uid="{00000000-0005-0000-0000-0000958F0000}"/>
    <cellStyle name="Note 5 8 8" xfId="17313" xr:uid="{00000000-0005-0000-0000-0000968F0000}"/>
    <cellStyle name="Note 5 8 8 2" xfId="22957" xr:uid="{00000000-0005-0000-0000-0000978F0000}"/>
    <cellStyle name="Note 5 8 9" xfId="13513" xr:uid="{00000000-0005-0000-0000-0000988F0000}"/>
    <cellStyle name="Note 5 8 9 2" xfId="18490" xr:uid="{00000000-0005-0000-0000-0000998F0000}"/>
    <cellStyle name="Note 5 9" xfId="2794" xr:uid="{00000000-0005-0000-0000-00009A8F0000}"/>
    <cellStyle name="Note 5 9 10" xfId="12821" xr:uid="{00000000-0005-0000-0000-00009B8F0000}"/>
    <cellStyle name="Note 5 9 11" xfId="17835" xr:uid="{00000000-0005-0000-0000-00009C8F0000}"/>
    <cellStyle name="Note 5 9 12" xfId="4227" xr:uid="{00000000-0005-0000-0000-00009D8F0000}"/>
    <cellStyle name="Note 5 9 2" xfId="4228" xr:uid="{00000000-0005-0000-0000-00009E8F0000}"/>
    <cellStyle name="Note 5 9 2 10" xfId="18153" xr:uid="{00000000-0005-0000-0000-00009F8F0000}"/>
    <cellStyle name="Note 5 9 2 2" xfId="14868" xr:uid="{00000000-0005-0000-0000-0000A08F0000}"/>
    <cellStyle name="Note 5 9 2 2 2" xfId="20194" xr:uid="{00000000-0005-0000-0000-0000A18F0000}"/>
    <cellStyle name="Note 5 9 2 2 2 2" xfId="24667" xr:uid="{00000000-0005-0000-0000-0000A28F0000}"/>
    <cellStyle name="Note 5 9 2 2 3" xfId="24000" xr:uid="{00000000-0005-0000-0000-0000A38F0000}"/>
    <cellStyle name="Note 5 9 2 3" xfId="14541" xr:uid="{00000000-0005-0000-0000-0000A48F0000}"/>
    <cellStyle name="Note 5 9 2 3 2" xfId="19690" xr:uid="{00000000-0005-0000-0000-0000A58F0000}"/>
    <cellStyle name="Note 5 9 2 4" xfId="15117" xr:uid="{00000000-0005-0000-0000-0000A68F0000}"/>
    <cellStyle name="Note 5 9 2 4 2" xfId="20503" xr:uid="{00000000-0005-0000-0000-0000A78F0000}"/>
    <cellStyle name="Note 5 9 2 5" xfId="16547" xr:uid="{00000000-0005-0000-0000-0000A88F0000}"/>
    <cellStyle name="Note 5 9 2 5 2" xfId="22188" xr:uid="{00000000-0005-0000-0000-0000A98F0000}"/>
    <cellStyle name="Note 5 9 2 6" xfId="16911" xr:uid="{00000000-0005-0000-0000-0000AA8F0000}"/>
    <cellStyle name="Note 5 9 2 6 2" xfId="22562" xr:uid="{00000000-0005-0000-0000-0000AB8F0000}"/>
    <cellStyle name="Note 5 9 2 7" xfId="17631" xr:uid="{00000000-0005-0000-0000-0000AC8F0000}"/>
    <cellStyle name="Note 5 9 2 7 2" xfId="23276" xr:uid="{00000000-0005-0000-0000-0000AD8F0000}"/>
    <cellStyle name="Note 5 9 2 8" xfId="13835" xr:uid="{00000000-0005-0000-0000-0000AE8F0000}"/>
    <cellStyle name="Note 5 9 2 8 2" xfId="18809" xr:uid="{00000000-0005-0000-0000-0000AF8F0000}"/>
    <cellStyle name="Note 5 9 2 9" xfId="13164" xr:uid="{00000000-0005-0000-0000-0000B08F0000}"/>
    <cellStyle name="Note 5 9 3" xfId="10898" xr:uid="{00000000-0005-0000-0000-0000B18F0000}"/>
    <cellStyle name="Note 5 9 3 2" xfId="19829" xr:uid="{00000000-0005-0000-0000-0000B28F0000}"/>
    <cellStyle name="Note 5 9 3 2 2" xfId="24350" xr:uid="{00000000-0005-0000-0000-0000B38F0000}"/>
    <cellStyle name="Note 5 9 3 3" xfId="23679" xr:uid="{00000000-0005-0000-0000-0000B48F0000}"/>
    <cellStyle name="Note 5 9 4" xfId="14313" xr:uid="{00000000-0005-0000-0000-0000B58F0000}"/>
    <cellStyle name="Note 5 9 4 2" xfId="19419" xr:uid="{00000000-0005-0000-0000-0000B68F0000}"/>
    <cellStyle name="Note 5 9 5" xfId="15358" xr:uid="{00000000-0005-0000-0000-0000B78F0000}"/>
    <cellStyle name="Note 5 9 5 2" xfId="20854" xr:uid="{00000000-0005-0000-0000-0000B88F0000}"/>
    <cellStyle name="Note 5 9 6" xfId="16310" xr:uid="{00000000-0005-0000-0000-0000B98F0000}"/>
    <cellStyle name="Note 5 9 6 2" xfId="21866" xr:uid="{00000000-0005-0000-0000-0000BA8F0000}"/>
    <cellStyle name="Note 5 9 7" xfId="15424" xr:uid="{00000000-0005-0000-0000-0000BB8F0000}"/>
    <cellStyle name="Note 5 9 7 2" xfId="20920" xr:uid="{00000000-0005-0000-0000-0000BC8F0000}"/>
    <cellStyle name="Note 5 9 8" xfId="17314" xr:uid="{00000000-0005-0000-0000-0000BD8F0000}"/>
    <cellStyle name="Note 5 9 8 2" xfId="22958" xr:uid="{00000000-0005-0000-0000-0000BE8F0000}"/>
    <cellStyle name="Note 5 9 9" xfId="13514" xr:uid="{00000000-0005-0000-0000-0000BF8F0000}"/>
    <cellStyle name="Note 5 9 9 2" xfId="18491" xr:uid="{00000000-0005-0000-0000-0000C08F0000}"/>
    <cellStyle name="Note 5_ELC_final" xfId="43764" xr:uid="{00000000-0005-0000-0000-0000C18F0000}"/>
    <cellStyle name="Note 6" xfId="2795" xr:uid="{00000000-0005-0000-0000-0000C28F0000}"/>
    <cellStyle name="Note 6 10" xfId="2796" xr:uid="{00000000-0005-0000-0000-0000C38F0000}"/>
    <cellStyle name="Note 6 10 10" xfId="12823" xr:uid="{00000000-0005-0000-0000-0000C48F0000}"/>
    <cellStyle name="Note 6 10 11" xfId="17837" xr:uid="{00000000-0005-0000-0000-0000C58F0000}"/>
    <cellStyle name="Note 6 10 12" xfId="4230" xr:uid="{00000000-0005-0000-0000-0000C68F0000}"/>
    <cellStyle name="Note 6 10 2" xfId="4231" xr:uid="{00000000-0005-0000-0000-0000C78F0000}"/>
    <cellStyle name="Note 6 10 2 10" xfId="18155" xr:uid="{00000000-0005-0000-0000-0000C88F0000}"/>
    <cellStyle name="Note 6 10 2 2" xfId="14870" xr:uid="{00000000-0005-0000-0000-0000C98F0000}"/>
    <cellStyle name="Note 6 10 2 2 2" xfId="20196" xr:uid="{00000000-0005-0000-0000-0000CA8F0000}"/>
    <cellStyle name="Note 6 10 2 2 2 2" xfId="24669" xr:uid="{00000000-0005-0000-0000-0000CB8F0000}"/>
    <cellStyle name="Note 6 10 2 2 3" xfId="24002" xr:uid="{00000000-0005-0000-0000-0000CC8F0000}"/>
    <cellStyle name="Note 6 10 2 3" xfId="14543" xr:uid="{00000000-0005-0000-0000-0000CD8F0000}"/>
    <cellStyle name="Note 6 10 2 3 2" xfId="19692" xr:uid="{00000000-0005-0000-0000-0000CE8F0000}"/>
    <cellStyle name="Note 6 10 2 4" xfId="15115" xr:uid="{00000000-0005-0000-0000-0000CF8F0000}"/>
    <cellStyle name="Note 6 10 2 4 2" xfId="20501" xr:uid="{00000000-0005-0000-0000-0000D08F0000}"/>
    <cellStyle name="Note 6 10 2 5" xfId="16549" xr:uid="{00000000-0005-0000-0000-0000D18F0000}"/>
    <cellStyle name="Note 6 10 2 5 2" xfId="22190" xr:uid="{00000000-0005-0000-0000-0000D28F0000}"/>
    <cellStyle name="Note 6 10 2 6" xfId="16913" xr:uid="{00000000-0005-0000-0000-0000D38F0000}"/>
    <cellStyle name="Note 6 10 2 6 2" xfId="22564" xr:uid="{00000000-0005-0000-0000-0000D48F0000}"/>
    <cellStyle name="Note 6 10 2 7" xfId="17633" xr:uid="{00000000-0005-0000-0000-0000D58F0000}"/>
    <cellStyle name="Note 6 10 2 7 2" xfId="23278" xr:uid="{00000000-0005-0000-0000-0000D68F0000}"/>
    <cellStyle name="Note 6 10 2 8" xfId="13837" xr:uid="{00000000-0005-0000-0000-0000D78F0000}"/>
    <cellStyle name="Note 6 10 2 8 2" xfId="18811" xr:uid="{00000000-0005-0000-0000-0000D88F0000}"/>
    <cellStyle name="Note 6 10 2 9" xfId="13166" xr:uid="{00000000-0005-0000-0000-0000D98F0000}"/>
    <cellStyle name="Note 6 10 3" xfId="10641" xr:uid="{00000000-0005-0000-0000-0000DA8F0000}"/>
    <cellStyle name="Note 6 10 3 2" xfId="19831" xr:uid="{00000000-0005-0000-0000-0000DB8F0000}"/>
    <cellStyle name="Note 6 10 3 2 2" xfId="24352" xr:uid="{00000000-0005-0000-0000-0000DC8F0000}"/>
    <cellStyle name="Note 6 10 3 3" xfId="23681" xr:uid="{00000000-0005-0000-0000-0000DD8F0000}"/>
    <cellStyle name="Note 6 10 4" xfId="14315" xr:uid="{00000000-0005-0000-0000-0000DE8F0000}"/>
    <cellStyle name="Note 6 10 4 2" xfId="19421" xr:uid="{00000000-0005-0000-0000-0000DF8F0000}"/>
    <cellStyle name="Note 6 10 5" xfId="15356" xr:uid="{00000000-0005-0000-0000-0000E08F0000}"/>
    <cellStyle name="Note 6 10 5 2" xfId="20852" xr:uid="{00000000-0005-0000-0000-0000E18F0000}"/>
    <cellStyle name="Note 6 10 6" xfId="16312" xr:uid="{00000000-0005-0000-0000-0000E28F0000}"/>
    <cellStyle name="Note 6 10 6 2" xfId="21868" xr:uid="{00000000-0005-0000-0000-0000E38F0000}"/>
    <cellStyle name="Note 6 10 7" xfId="15422" xr:uid="{00000000-0005-0000-0000-0000E48F0000}"/>
    <cellStyle name="Note 6 10 7 2" xfId="20918" xr:uid="{00000000-0005-0000-0000-0000E58F0000}"/>
    <cellStyle name="Note 6 10 8" xfId="17316" xr:uid="{00000000-0005-0000-0000-0000E68F0000}"/>
    <cellStyle name="Note 6 10 8 2" xfId="22960" xr:uid="{00000000-0005-0000-0000-0000E78F0000}"/>
    <cellStyle name="Note 6 10 9" xfId="13516" xr:uid="{00000000-0005-0000-0000-0000E88F0000}"/>
    <cellStyle name="Note 6 10 9 2" xfId="18493" xr:uid="{00000000-0005-0000-0000-0000E98F0000}"/>
    <cellStyle name="Note 6 11" xfId="2797" xr:uid="{00000000-0005-0000-0000-0000EA8F0000}"/>
    <cellStyle name="Note 6 11 10" xfId="12824" xr:uid="{00000000-0005-0000-0000-0000EB8F0000}"/>
    <cellStyle name="Note 6 11 11" xfId="17838" xr:uid="{00000000-0005-0000-0000-0000EC8F0000}"/>
    <cellStyle name="Note 6 11 12" xfId="4232" xr:uid="{00000000-0005-0000-0000-0000ED8F0000}"/>
    <cellStyle name="Note 6 11 2" xfId="4233" xr:uid="{00000000-0005-0000-0000-0000EE8F0000}"/>
    <cellStyle name="Note 6 11 2 10" xfId="18156" xr:uid="{00000000-0005-0000-0000-0000EF8F0000}"/>
    <cellStyle name="Note 6 11 2 2" xfId="14871" xr:uid="{00000000-0005-0000-0000-0000F08F0000}"/>
    <cellStyle name="Note 6 11 2 2 2" xfId="20197" xr:uid="{00000000-0005-0000-0000-0000F18F0000}"/>
    <cellStyle name="Note 6 11 2 2 2 2" xfId="24670" xr:uid="{00000000-0005-0000-0000-0000F28F0000}"/>
    <cellStyle name="Note 6 11 2 2 3" xfId="24003" xr:uid="{00000000-0005-0000-0000-0000F38F0000}"/>
    <cellStyle name="Note 6 11 2 3" xfId="14544" xr:uid="{00000000-0005-0000-0000-0000F48F0000}"/>
    <cellStyle name="Note 6 11 2 3 2" xfId="19693" xr:uid="{00000000-0005-0000-0000-0000F58F0000}"/>
    <cellStyle name="Note 6 11 2 4" xfId="15114" xr:uid="{00000000-0005-0000-0000-0000F68F0000}"/>
    <cellStyle name="Note 6 11 2 4 2" xfId="20500" xr:uid="{00000000-0005-0000-0000-0000F78F0000}"/>
    <cellStyle name="Note 6 11 2 5" xfId="16550" xr:uid="{00000000-0005-0000-0000-0000F88F0000}"/>
    <cellStyle name="Note 6 11 2 5 2" xfId="22191" xr:uid="{00000000-0005-0000-0000-0000F98F0000}"/>
    <cellStyle name="Note 6 11 2 6" xfId="16914" xr:uid="{00000000-0005-0000-0000-0000FA8F0000}"/>
    <cellStyle name="Note 6 11 2 6 2" xfId="22565" xr:uid="{00000000-0005-0000-0000-0000FB8F0000}"/>
    <cellStyle name="Note 6 11 2 7" xfId="17634" xr:uid="{00000000-0005-0000-0000-0000FC8F0000}"/>
    <cellStyle name="Note 6 11 2 7 2" xfId="23279" xr:uid="{00000000-0005-0000-0000-0000FD8F0000}"/>
    <cellStyle name="Note 6 11 2 8" xfId="13838" xr:uid="{00000000-0005-0000-0000-0000FE8F0000}"/>
    <cellStyle name="Note 6 11 2 8 2" xfId="18812" xr:uid="{00000000-0005-0000-0000-0000FF8F0000}"/>
    <cellStyle name="Note 6 11 2 9" xfId="13167" xr:uid="{00000000-0005-0000-0000-000000900000}"/>
    <cellStyle name="Note 6 11 3" xfId="10628" xr:uid="{00000000-0005-0000-0000-000001900000}"/>
    <cellStyle name="Note 6 11 3 2" xfId="19832" xr:uid="{00000000-0005-0000-0000-000002900000}"/>
    <cellStyle name="Note 6 11 3 2 2" xfId="24353" xr:uid="{00000000-0005-0000-0000-000003900000}"/>
    <cellStyle name="Note 6 11 3 3" xfId="23682" xr:uid="{00000000-0005-0000-0000-000004900000}"/>
    <cellStyle name="Note 6 11 4" xfId="14316" xr:uid="{00000000-0005-0000-0000-000005900000}"/>
    <cellStyle name="Note 6 11 4 2" xfId="19422" xr:uid="{00000000-0005-0000-0000-000006900000}"/>
    <cellStyle name="Note 6 11 5" xfId="15355" xr:uid="{00000000-0005-0000-0000-000007900000}"/>
    <cellStyle name="Note 6 11 5 2" xfId="20851" xr:uid="{00000000-0005-0000-0000-000008900000}"/>
    <cellStyle name="Note 6 11 6" xfId="16313" xr:uid="{00000000-0005-0000-0000-000009900000}"/>
    <cellStyle name="Note 6 11 6 2" xfId="21869" xr:uid="{00000000-0005-0000-0000-00000A900000}"/>
    <cellStyle name="Note 6 11 7" xfId="15421" xr:uid="{00000000-0005-0000-0000-00000B900000}"/>
    <cellStyle name="Note 6 11 7 2" xfId="20917" xr:uid="{00000000-0005-0000-0000-00000C900000}"/>
    <cellStyle name="Note 6 11 8" xfId="17317" xr:uid="{00000000-0005-0000-0000-00000D900000}"/>
    <cellStyle name="Note 6 11 8 2" xfId="22961" xr:uid="{00000000-0005-0000-0000-00000E900000}"/>
    <cellStyle name="Note 6 11 9" xfId="13517" xr:uid="{00000000-0005-0000-0000-00000F900000}"/>
    <cellStyle name="Note 6 11 9 2" xfId="18494" xr:uid="{00000000-0005-0000-0000-000010900000}"/>
    <cellStyle name="Note 6 12" xfId="4234" xr:uid="{00000000-0005-0000-0000-000011900000}"/>
    <cellStyle name="Note 6 12 10" xfId="18154" xr:uid="{00000000-0005-0000-0000-000012900000}"/>
    <cellStyle name="Note 6 12 2" xfId="14869" xr:uid="{00000000-0005-0000-0000-000013900000}"/>
    <cellStyle name="Note 6 12 2 2" xfId="20195" xr:uid="{00000000-0005-0000-0000-000014900000}"/>
    <cellStyle name="Note 6 12 2 2 2" xfId="24668" xr:uid="{00000000-0005-0000-0000-000015900000}"/>
    <cellStyle name="Note 6 12 2 3" xfId="24001" xr:uid="{00000000-0005-0000-0000-000016900000}"/>
    <cellStyle name="Note 6 12 3" xfId="14542" xr:uid="{00000000-0005-0000-0000-000017900000}"/>
    <cellStyle name="Note 6 12 3 2" xfId="19691" xr:uid="{00000000-0005-0000-0000-000018900000}"/>
    <cellStyle name="Note 6 12 4" xfId="15116" xr:uid="{00000000-0005-0000-0000-000019900000}"/>
    <cellStyle name="Note 6 12 4 2" xfId="20502" xr:uid="{00000000-0005-0000-0000-00001A900000}"/>
    <cellStyle name="Note 6 12 5" xfId="16548" xr:uid="{00000000-0005-0000-0000-00001B900000}"/>
    <cellStyle name="Note 6 12 5 2" xfId="22189" xr:uid="{00000000-0005-0000-0000-00001C900000}"/>
    <cellStyle name="Note 6 12 6" xfId="16912" xr:uid="{00000000-0005-0000-0000-00001D900000}"/>
    <cellStyle name="Note 6 12 6 2" xfId="22563" xr:uid="{00000000-0005-0000-0000-00001E900000}"/>
    <cellStyle name="Note 6 12 7" xfId="17632" xr:uid="{00000000-0005-0000-0000-00001F900000}"/>
    <cellStyle name="Note 6 12 7 2" xfId="23277" xr:uid="{00000000-0005-0000-0000-000020900000}"/>
    <cellStyle name="Note 6 12 8" xfId="13836" xr:uid="{00000000-0005-0000-0000-000021900000}"/>
    <cellStyle name="Note 6 12 8 2" xfId="18810" xr:uid="{00000000-0005-0000-0000-000022900000}"/>
    <cellStyle name="Note 6 12 9" xfId="13165" xr:uid="{00000000-0005-0000-0000-000023900000}"/>
    <cellStyle name="Note 6 13" xfId="10882" xr:uid="{00000000-0005-0000-0000-000024900000}"/>
    <cellStyle name="Note 6 13 2" xfId="19830" xr:uid="{00000000-0005-0000-0000-000025900000}"/>
    <cellStyle name="Note 6 13 2 2" xfId="24351" xr:uid="{00000000-0005-0000-0000-000026900000}"/>
    <cellStyle name="Note 6 13 3" xfId="23680" xr:uid="{00000000-0005-0000-0000-000027900000}"/>
    <cellStyle name="Note 6 14" xfId="14314" xr:uid="{00000000-0005-0000-0000-000028900000}"/>
    <cellStyle name="Note 6 14 2" xfId="19420" xr:uid="{00000000-0005-0000-0000-000029900000}"/>
    <cellStyle name="Note 6 15" xfId="15357" xr:uid="{00000000-0005-0000-0000-00002A900000}"/>
    <cellStyle name="Note 6 15 2" xfId="20853" xr:uid="{00000000-0005-0000-0000-00002B900000}"/>
    <cellStyle name="Note 6 16" xfId="16311" xr:uid="{00000000-0005-0000-0000-00002C900000}"/>
    <cellStyle name="Note 6 16 2" xfId="21867" xr:uid="{00000000-0005-0000-0000-00002D900000}"/>
    <cellStyle name="Note 6 17" xfId="15423" xr:uid="{00000000-0005-0000-0000-00002E900000}"/>
    <cellStyle name="Note 6 17 2" xfId="20919" xr:uid="{00000000-0005-0000-0000-00002F900000}"/>
    <cellStyle name="Note 6 18" xfId="17315" xr:uid="{00000000-0005-0000-0000-000030900000}"/>
    <cellStyle name="Note 6 18 2" xfId="22959" xr:uid="{00000000-0005-0000-0000-000031900000}"/>
    <cellStyle name="Note 6 19" xfId="13515" xr:uid="{00000000-0005-0000-0000-000032900000}"/>
    <cellStyle name="Note 6 19 2" xfId="18492" xr:uid="{00000000-0005-0000-0000-000033900000}"/>
    <cellStyle name="Note 6 2" xfId="2798" xr:uid="{00000000-0005-0000-0000-000034900000}"/>
    <cellStyle name="Note 6 2 10" xfId="12825" xr:uid="{00000000-0005-0000-0000-000035900000}"/>
    <cellStyle name="Note 6 2 11" xfId="17839" xr:uid="{00000000-0005-0000-0000-000036900000}"/>
    <cellStyle name="Note 6 2 12" xfId="4235" xr:uid="{00000000-0005-0000-0000-000037900000}"/>
    <cellStyle name="Note 6 2 2" xfId="4236" xr:uid="{00000000-0005-0000-0000-000038900000}"/>
    <cellStyle name="Note 6 2 2 10" xfId="18157" xr:uid="{00000000-0005-0000-0000-000039900000}"/>
    <cellStyle name="Note 6 2 2 2" xfId="14872" xr:uid="{00000000-0005-0000-0000-00003A900000}"/>
    <cellStyle name="Note 6 2 2 2 2" xfId="20198" xr:uid="{00000000-0005-0000-0000-00003B900000}"/>
    <cellStyle name="Note 6 2 2 2 2 2" xfId="24671" xr:uid="{00000000-0005-0000-0000-00003C900000}"/>
    <cellStyle name="Note 6 2 2 2 3" xfId="24004" xr:uid="{00000000-0005-0000-0000-00003D900000}"/>
    <cellStyle name="Note 6 2 2 3" xfId="14545" xr:uid="{00000000-0005-0000-0000-00003E900000}"/>
    <cellStyle name="Note 6 2 2 3 2" xfId="19694" xr:uid="{00000000-0005-0000-0000-00003F900000}"/>
    <cellStyle name="Note 6 2 2 4" xfId="15113" xr:uid="{00000000-0005-0000-0000-000040900000}"/>
    <cellStyle name="Note 6 2 2 4 2" xfId="20499" xr:uid="{00000000-0005-0000-0000-000041900000}"/>
    <cellStyle name="Note 6 2 2 5" xfId="16551" xr:uid="{00000000-0005-0000-0000-000042900000}"/>
    <cellStyle name="Note 6 2 2 5 2" xfId="22192" xr:uid="{00000000-0005-0000-0000-000043900000}"/>
    <cellStyle name="Note 6 2 2 6" xfId="16915" xr:uid="{00000000-0005-0000-0000-000044900000}"/>
    <cellStyle name="Note 6 2 2 6 2" xfId="22566" xr:uid="{00000000-0005-0000-0000-000045900000}"/>
    <cellStyle name="Note 6 2 2 7" xfId="17635" xr:uid="{00000000-0005-0000-0000-000046900000}"/>
    <cellStyle name="Note 6 2 2 7 2" xfId="23280" xr:uid="{00000000-0005-0000-0000-000047900000}"/>
    <cellStyle name="Note 6 2 2 8" xfId="13839" xr:uid="{00000000-0005-0000-0000-000048900000}"/>
    <cellStyle name="Note 6 2 2 8 2" xfId="18813" xr:uid="{00000000-0005-0000-0000-000049900000}"/>
    <cellStyle name="Note 6 2 2 9" xfId="13168" xr:uid="{00000000-0005-0000-0000-00004A900000}"/>
    <cellStyle name="Note 6 2 3" xfId="10615" xr:uid="{00000000-0005-0000-0000-00004B900000}"/>
    <cellStyle name="Note 6 2 3 2" xfId="19833" xr:uid="{00000000-0005-0000-0000-00004C900000}"/>
    <cellStyle name="Note 6 2 3 2 2" xfId="24354" xr:uid="{00000000-0005-0000-0000-00004D900000}"/>
    <cellStyle name="Note 6 2 3 3" xfId="23683" xr:uid="{00000000-0005-0000-0000-00004E900000}"/>
    <cellStyle name="Note 6 2 4" xfId="14317" xr:uid="{00000000-0005-0000-0000-00004F900000}"/>
    <cellStyle name="Note 6 2 4 2" xfId="19423" xr:uid="{00000000-0005-0000-0000-000050900000}"/>
    <cellStyle name="Note 6 2 5" xfId="15354" xr:uid="{00000000-0005-0000-0000-000051900000}"/>
    <cellStyle name="Note 6 2 5 2" xfId="20850" xr:uid="{00000000-0005-0000-0000-000052900000}"/>
    <cellStyle name="Note 6 2 6" xfId="16314" xr:uid="{00000000-0005-0000-0000-000053900000}"/>
    <cellStyle name="Note 6 2 6 2" xfId="21870" xr:uid="{00000000-0005-0000-0000-000054900000}"/>
    <cellStyle name="Note 6 2 7" xfId="15419" xr:uid="{00000000-0005-0000-0000-000055900000}"/>
    <cellStyle name="Note 6 2 7 2" xfId="20915" xr:uid="{00000000-0005-0000-0000-000056900000}"/>
    <cellStyle name="Note 6 2 8" xfId="17318" xr:uid="{00000000-0005-0000-0000-000057900000}"/>
    <cellStyle name="Note 6 2 8 2" xfId="22962" xr:uid="{00000000-0005-0000-0000-000058900000}"/>
    <cellStyle name="Note 6 2 9" xfId="13518" xr:uid="{00000000-0005-0000-0000-000059900000}"/>
    <cellStyle name="Note 6 2 9 2" xfId="18495" xr:uid="{00000000-0005-0000-0000-00005A900000}"/>
    <cellStyle name="Note 6 20" xfId="12822" xr:uid="{00000000-0005-0000-0000-00005B900000}"/>
    <cellStyle name="Note 6 21" xfId="17836" xr:uid="{00000000-0005-0000-0000-00005C900000}"/>
    <cellStyle name="Note 6 22" xfId="4229" xr:uid="{00000000-0005-0000-0000-00005D900000}"/>
    <cellStyle name="Note 6 3" xfId="2799" xr:uid="{00000000-0005-0000-0000-00005E900000}"/>
    <cellStyle name="Note 6 3 10" xfId="12826" xr:uid="{00000000-0005-0000-0000-00005F900000}"/>
    <cellStyle name="Note 6 3 11" xfId="17840" xr:uid="{00000000-0005-0000-0000-000060900000}"/>
    <cellStyle name="Note 6 3 12" xfId="4237" xr:uid="{00000000-0005-0000-0000-000061900000}"/>
    <cellStyle name="Note 6 3 2" xfId="4238" xr:uid="{00000000-0005-0000-0000-000062900000}"/>
    <cellStyle name="Note 6 3 2 10" xfId="18158" xr:uid="{00000000-0005-0000-0000-000063900000}"/>
    <cellStyle name="Note 6 3 2 2" xfId="14873" xr:uid="{00000000-0005-0000-0000-000064900000}"/>
    <cellStyle name="Note 6 3 2 2 2" xfId="20199" xr:uid="{00000000-0005-0000-0000-000065900000}"/>
    <cellStyle name="Note 6 3 2 2 2 2" xfId="24672" xr:uid="{00000000-0005-0000-0000-000066900000}"/>
    <cellStyle name="Note 6 3 2 2 3" xfId="24005" xr:uid="{00000000-0005-0000-0000-000067900000}"/>
    <cellStyle name="Note 6 3 2 3" xfId="14546" xr:uid="{00000000-0005-0000-0000-000068900000}"/>
    <cellStyle name="Note 6 3 2 3 2" xfId="19695" xr:uid="{00000000-0005-0000-0000-000069900000}"/>
    <cellStyle name="Note 6 3 2 4" xfId="15112" xr:uid="{00000000-0005-0000-0000-00006A900000}"/>
    <cellStyle name="Note 6 3 2 4 2" xfId="20498" xr:uid="{00000000-0005-0000-0000-00006B900000}"/>
    <cellStyle name="Note 6 3 2 5" xfId="16552" xr:uid="{00000000-0005-0000-0000-00006C900000}"/>
    <cellStyle name="Note 6 3 2 5 2" xfId="22193" xr:uid="{00000000-0005-0000-0000-00006D900000}"/>
    <cellStyle name="Note 6 3 2 6" xfId="16916" xr:uid="{00000000-0005-0000-0000-00006E900000}"/>
    <cellStyle name="Note 6 3 2 6 2" xfId="22567" xr:uid="{00000000-0005-0000-0000-00006F900000}"/>
    <cellStyle name="Note 6 3 2 7" xfId="17636" xr:uid="{00000000-0005-0000-0000-000070900000}"/>
    <cellStyle name="Note 6 3 2 7 2" xfId="23281" xr:uid="{00000000-0005-0000-0000-000071900000}"/>
    <cellStyle name="Note 6 3 2 8" xfId="13840" xr:uid="{00000000-0005-0000-0000-000072900000}"/>
    <cellStyle name="Note 6 3 2 8 2" xfId="18814" xr:uid="{00000000-0005-0000-0000-000073900000}"/>
    <cellStyle name="Note 6 3 2 9" xfId="13169" xr:uid="{00000000-0005-0000-0000-000074900000}"/>
    <cellStyle name="Note 6 3 3" xfId="10329" xr:uid="{00000000-0005-0000-0000-000075900000}"/>
    <cellStyle name="Note 6 3 3 2" xfId="19834" xr:uid="{00000000-0005-0000-0000-000076900000}"/>
    <cellStyle name="Note 6 3 3 2 2" xfId="24355" xr:uid="{00000000-0005-0000-0000-000077900000}"/>
    <cellStyle name="Note 6 3 3 3" xfId="23684" xr:uid="{00000000-0005-0000-0000-000078900000}"/>
    <cellStyle name="Note 6 3 4" xfId="14318" xr:uid="{00000000-0005-0000-0000-000079900000}"/>
    <cellStyle name="Note 6 3 4 2" xfId="19424" xr:uid="{00000000-0005-0000-0000-00007A900000}"/>
    <cellStyle name="Note 6 3 5" xfId="15353" xr:uid="{00000000-0005-0000-0000-00007B900000}"/>
    <cellStyle name="Note 6 3 5 2" xfId="20849" xr:uid="{00000000-0005-0000-0000-00007C900000}"/>
    <cellStyle name="Note 6 3 6" xfId="16315" xr:uid="{00000000-0005-0000-0000-00007D900000}"/>
    <cellStyle name="Note 6 3 6 2" xfId="21871" xr:uid="{00000000-0005-0000-0000-00007E900000}"/>
    <cellStyle name="Note 6 3 7" xfId="15418" xr:uid="{00000000-0005-0000-0000-00007F900000}"/>
    <cellStyle name="Note 6 3 7 2" xfId="20914" xr:uid="{00000000-0005-0000-0000-000080900000}"/>
    <cellStyle name="Note 6 3 8" xfId="17319" xr:uid="{00000000-0005-0000-0000-000081900000}"/>
    <cellStyle name="Note 6 3 8 2" xfId="22963" xr:uid="{00000000-0005-0000-0000-000082900000}"/>
    <cellStyle name="Note 6 3 9" xfId="13519" xr:uid="{00000000-0005-0000-0000-000083900000}"/>
    <cellStyle name="Note 6 3 9 2" xfId="18496" xr:uid="{00000000-0005-0000-0000-000084900000}"/>
    <cellStyle name="Note 6 3_ELC_final" xfId="43765" xr:uid="{00000000-0005-0000-0000-000085900000}"/>
    <cellStyle name="Note 6 4" xfId="2800" xr:uid="{00000000-0005-0000-0000-000086900000}"/>
    <cellStyle name="Note 6 4 10" xfId="12827" xr:uid="{00000000-0005-0000-0000-000087900000}"/>
    <cellStyle name="Note 6 4 11" xfId="17841" xr:uid="{00000000-0005-0000-0000-000088900000}"/>
    <cellStyle name="Note 6 4 12" xfId="4239" xr:uid="{00000000-0005-0000-0000-000089900000}"/>
    <cellStyle name="Note 6 4 2" xfId="4240" xr:uid="{00000000-0005-0000-0000-00008A900000}"/>
    <cellStyle name="Note 6 4 2 10" xfId="18159" xr:uid="{00000000-0005-0000-0000-00008B900000}"/>
    <cellStyle name="Note 6 4 2 2" xfId="14874" xr:uid="{00000000-0005-0000-0000-00008C900000}"/>
    <cellStyle name="Note 6 4 2 2 2" xfId="20200" xr:uid="{00000000-0005-0000-0000-00008D900000}"/>
    <cellStyle name="Note 6 4 2 2 2 2" xfId="24673" xr:uid="{00000000-0005-0000-0000-00008E900000}"/>
    <cellStyle name="Note 6 4 2 2 3" xfId="24006" xr:uid="{00000000-0005-0000-0000-00008F900000}"/>
    <cellStyle name="Note 6 4 2 3" xfId="14547" xr:uid="{00000000-0005-0000-0000-000090900000}"/>
    <cellStyle name="Note 6 4 2 3 2" xfId="19696" xr:uid="{00000000-0005-0000-0000-000091900000}"/>
    <cellStyle name="Note 6 4 2 4" xfId="15111" xr:uid="{00000000-0005-0000-0000-000092900000}"/>
    <cellStyle name="Note 6 4 2 4 2" xfId="20497" xr:uid="{00000000-0005-0000-0000-000093900000}"/>
    <cellStyle name="Note 6 4 2 5" xfId="16553" xr:uid="{00000000-0005-0000-0000-000094900000}"/>
    <cellStyle name="Note 6 4 2 5 2" xfId="22194" xr:uid="{00000000-0005-0000-0000-000095900000}"/>
    <cellStyle name="Note 6 4 2 6" xfId="16917" xr:uid="{00000000-0005-0000-0000-000096900000}"/>
    <cellStyle name="Note 6 4 2 6 2" xfId="22568" xr:uid="{00000000-0005-0000-0000-000097900000}"/>
    <cellStyle name="Note 6 4 2 7" xfId="17637" xr:uid="{00000000-0005-0000-0000-000098900000}"/>
    <cellStyle name="Note 6 4 2 7 2" xfId="23282" xr:uid="{00000000-0005-0000-0000-000099900000}"/>
    <cellStyle name="Note 6 4 2 8" xfId="13841" xr:uid="{00000000-0005-0000-0000-00009A900000}"/>
    <cellStyle name="Note 6 4 2 8 2" xfId="18815" xr:uid="{00000000-0005-0000-0000-00009B900000}"/>
    <cellStyle name="Note 6 4 2 9" xfId="13170" xr:uid="{00000000-0005-0000-0000-00009C900000}"/>
    <cellStyle name="Note 6 4 3" xfId="10937" xr:uid="{00000000-0005-0000-0000-00009D900000}"/>
    <cellStyle name="Note 6 4 3 2" xfId="19835" xr:uid="{00000000-0005-0000-0000-00009E900000}"/>
    <cellStyle name="Note 6 4 3 2 2" xfId="24356" xr:uid="{00000000-0005-0000-0000-00009F900000}"/>
    <cellStyle name="Note 6 4 3 3" xfId="23685" xr:uid="{00000000-0005-0000-0000-0000A0900000}"/>
    <cellStyle name="Note 6 4 4" xfId="14319" xr:uid="{00000000-0005-0000-0000-0000A1900000}"/>
    <cellStyle name="Note 6 4 4 2" xfId="19425" xr:uid="{00000000-0005-0000-0000-0000A2900000}"/>
    <cellStyle name="Note 6 4 4 3" xfId="43766" xr:uid="{00000000-0005-0000-0000-0000A3900000}"/>
    <cellStyle name="Note 6 4 5" xfId="15352" xr:uid="{00000000-0005-0000-0000-0000A4900000}"/>
    <cellStyle name="Note 6 4 5 2" xfId="20848" xr:uid="{00000000-0005-0000-0000-0000A5900000}"/>
    <cellStyle name="Note 6 4 6" xfId="16316" xr:uid="{00000000-0005-0000-0000-0000A6900000}"/>
    <cellStyle name="Note 6 4 6 2" xfId="21872" xr:uid="{00000000-0005-0000-0000-0000A7900000}"/>
    <cellStyle name="Note 6 4 7" xfId="16260" xr:uid="{00000000-0005-0000-0000-0000A8900000}"/>
    <cellStyle name="Note 6 4 7 2" xfId="21816" xr:uid="{00000000-0005-0000-0000-0000A9900000}"/>
    <cellStyle name="Note 6 4 8" xfId="17320" xr:uid="{00000000-0005-0000-0000-0000AA900000}"/>
    <cellStyle name="Note 6 4 8 2" xfId="22964" xr:uid="{00000000-0005-0000-0000-0000AB900000}"/>
    <cellStyle name="Note 6 4 9" xfId="13520" xr:uid="{00000000-0005-0000-0000-0000AC900000}"/>
    <cellStyle name="Note 6 4 9 2" xfId="18497" xr:uid="{00000000-0005-0000-0000-0000AD900000}"/>
    <cellStyle name="Note 6 5" xfId="2801" xr:uid="{00000000-0005-0000-0000-0000AE900000}"/>
    <cellStyle name="Note 6 5 10" xfId="12828" xr:uid="{00000000-0005-0000-0000-0000AF900000}"/>
    <cellStyle name="Note 6 5 11" xfId="17842" xr:uid="{00000000-0005-0000-0000-0000B0900000}"/>
    <cellStyle name="Note 6 5 12" xfId="4241" xr:uid="{00000000-0005-0000-0000-0000B1900000}"/>
    <cellStyle name="Note 6 5 2" xfId="4242" xr:uid="{00000000-0005-0000-0000-0000B2900000}"/>
    <cellStyle name="Note 6 5 2 10" xfId="18160" xr:uid="{00000000-0005-0000-0000-0000B3900000}"/>
    <cellStyle name="Note 6 5 2 2" xfId="14875" xr:uid="{00000000-0005-0000-0000-0000B4900000}"/>
    <cellStyle name="Note 6 5 2 2 2" xfId="20201" xr:uid="{00000000-0005-0000-0000-0000B5900000}"/>
    <cellStyle name="Note 6 5 2 2 2 2" xfId="24674" xr:uid="{00000000-0005-0000-0000-0000B6900000}"/>
    <cellStyle name="Note 6 5 2 2 3" xfId="24007" xr:uid="{00000000-0005-0000-0000-0000B7900000}"/>
    <cellStyle name="Note 6 5 2 3" xfId="14548" xr:uid="{00000000-0005-0000-0000-0000B8900000}"/>
    <cellStyle name="Note 6 5 2 3 2" xfId="19697" xr:uid="{00000000-0005-0000-0000-0000B9900000}"/>
    <cellStyle name="Note 6 5 2 4" xfId="15110" xr:uid="{00000000-0005-0000-0000-0000BA900000}"/>
    <cellStyle name="Note 6 5 2 4 2" xfId="20496" xr:uid="{00000000-0005-0000-0000-0000BB900000}"/>
    <cellStyle name="Note 6 5 2 5" xfId="16554" xr:uid="{00000000-0005-0000-0000-0000BC900000}"/>
    <cellStyle name="Note 6 5 2 5 2" xfId="22195" xr:uid="{00000000-0005-0000-0000-0000BD900000}"/>
    <cellStyle name="Note 6 5 2 6" xfId="16918" xr:uid="{00000000-0005-0000-0000-0000BE900000}"/>
    <cellStyle name="Note 6 5 2 6 2" xfId="22569" xr:uid="{00000000-0005-0000-0000-0000BF900000}"/>
    <cellStyle name="Note 6 5 2 7" xfId="17638" xr:uid="{00000000-0005-0000-0000-0000C0900000}"/>
    <cellStyle name="Note 6 5 2 7 2" xfId="23283" xr:uid="{00000000-0005-0000-0000-0000C1900000}"/>
    <cellStyle name="Note 6 5 2 8" xfId="13842" xr:uid="{00000000-0005-0000-0000-0000C2900000}"/>
    <cellStyle name="Note 6 5 2 8 2" xfId="18816" xr:uid="{00000000-0005-0000-0000-0000C3900000}"/>
    <cellStyle name="Note 6 5 2 9" xfId="13171" xr:uid="{00000000-0005-0000-0000-0000C4900000}"/>
    <cellStyle name="Note 6 5 3" xfId="10925" xr:uid="{00000000-0005-0000-0000-0000C5900000}"/>
    <cellStyle name="Note 6 5 3 2" xfId="19836" xr:uid="{00000000-0005-0000-0000-0000C6900000}"/>
    <cellStyle name="Note 6 5 3 2 2" xfId="24357" xr:uid="{00000000-0005-0000-0000-0000C7900000}"/>
    <cellStyle name="Note 6 5 3 3" xfId="23686" xr:uid="{00000000-0005-0000-0000-0000C8900000}"/>
    <cellStyle name="Note 6 5 4" xfId="14320" xr:uid="{00000000-0005-0000-0000-0000C9900000}"/>
    <cellStyle name="Note 6 5 4 2" xfId="19426" xr:uid="{00000000-0005-0000-0000-0000CA900000}"/>
    <cellStyle name="Note 6 5 5" xfId="15351" xr:uid="{00000000-0005-0000-0000-0000CB900000}"/>
    <cellStyle name="Note 6 5 5 2" xfId="20847" xr:uid="{00000000-0005-0000-0000-0000CC900000}"/>
    <cellStyle name="Note 6 5 6" xfId="16317" xr:uid="{00000000-0005-0000-0000-0000CD900000}"/>
    <cellStyle name="Note 6 5 6 2" xfId="21873" xr:uid="{00000000-0005-0000-0000-0000CE900000}"/>
    <cellStyle name="Note 6 5 7" xfId="16050" xr:uid="{00000000-0005-0000-0000-0000CF900000}"/>
    <cellStyle name="Note 6 5 7 2" xfId="21552" xr:uid="{00000000-0005-0000-0000-0000D0900000}"/>
    <cellStyle name="Note 6 5 8" xfId="17321" xr:uid="{00000000-0005-0000-0000-0000D1900000}"/>
    <cellStyle name="Note 6 5 8 2" xfId="22965" xr:uid="{00000000-0005-0000-0000-0000D2900000}"/>
    <cellStyle name="Note 6 5 9" xfId="13521" xr:uid="{00000000-0005-0000-0000-0000D3900000}"/>
    <cellStyle name="Note 6 5 9 2" xfId="18498" xr:uid="{00000000-0005-0000-0000-0000D4900000}"/>
    <cellStyle name="Note 6 6" xfId="2802" xr:uid="{00000000-0005-0000-0000-0000D5900000}"/>
    <cellStyle name="Note 6 6 10" xfId="12829" xr:uid="{00000000-0005-0000-0000-0000D6900000}"/>
    <cellStyle name="Note 6 6 11" xfId="17843" xr:uid="{00000000-0005-0000-0000-0000D7900000}"/>
    <cellStyle name="Note 6 6 12" xfId="4243" xr:uid="{00000000-0005-0000-0000-0000D8900000}"/>
    <cellStyle name="Note 6 6 2" xfId="4244" xr:uid="{00000000-0005-0000-0000-0000D9900000}"/>
    <cellStyle name="Note 6 6 2 10" xfId="18161" xr:uid="{00000000-0005-0000-0000-0000DA900000}"/>
    <cellStyle name="Note 6 6 2 2" xfId="14876" xr:uid="{00000000-0005-0000-0000-0000DB900000}"/>
    <cellStyle name="Note 6 6 2 2 2" xfId="20202" xr:uid="{00000000-0005-0000-0000-0000DC900000}"/>
    <cellStyle name="Note 6 6 2 2 2 2" xfId="24675" xr:uid="{00000000-0005-0000-0000-0000DD900000}"/>
    <cellStyle name="Note 6 6 2 2 3" xfId="24008" xr:uid="{00000000-0005-0000-0000-0000DE900000}"/>
    <cellStyle name="Note 6 6 2 3" xfId="14549" xr:uid="{00000000-0005-0000-0000-0000DF900000}"/>
    <cellStyle name="Note 6 6 2 3 2" xfId="19698" xr:uid="{00000000-0005-0000-0000-0000E0900000}"/>
    <cellStyle name="Note 6 6 2 4" xfId="15109" xr:uid="{00000000-0005-0000-0000-0000E1900000}"/>
    <cellStyle name="Note 6 6 2 4 2" xfId="20495" xr:uid="{00000000-0005-0000-0000-0000E2900000}"/>
    <cellStyle name="Note 6 6 2 5" xfId="16555" xr:uid="{00000000-0005-0000-0000-0000E3900000}"/>
    <cellStyle name="Note 6 6 2 5 2" xfId="22196" xr:uid="{00000000-0005-0000-0000-0000E4900000}"/>
    <cellStyle name="Note 6 6 2 6" xfId="16919" xr:uid="{00000000-0005-0000-0000-0000E5900000}"/>
    <cellStyle name="Note 6 6 2 6 2" xfId="22570" xr:uid="{00000000-0005-0000-0000-0000E6900000}"/>
    <cellStyle name="Note 6 6 2 7" xfId="17639" xr:uid="{00000000-0005-0000-0000-0000E7900000}"/>
    <cellStyle name="Note 6 6 2 7 2" xfId="23284" xr:uid="{00000000-0005-0000-0000-0000E8900000}"/>
    <cellStyle name="Note 6 6 2 8" xfId="13843" xr:uid="{00000000-0005-0000-0000-0000E9900000}"/>
    <cellStyle name="Note 6 6 2 8 2" xfId="18817" xr:uid="{00000000-0005-0000-0000-0000EA900000}"/>
    <cellStyle name="Note 6 6 2 9" xfId="13172" xr:uid="{00000000-0005-0000-0000-0000EB900000}"/>
    <cellStyle name="Note 6 6 3" xfId="10910" xr:uid="{00000000-0005-0000-0000-0000EC900000}"/>
    <cellStyle name="Note 6 6 3 2" xfId="19837" xr:uid="{00000000-0005-0000-0000-0000ED900000}"/>
    <cellStyle name="Note 6 6 3 2 2" xfId="24358" xr:uid="{00000000-0005-0000-0000-0000EE900000}"/>
    <cellStyle name="Note 6 6 3 3" xfId="23687" xr:uid="{00000000-0005-0000-0000-0000EF900000}"/>
    <cellStyle name="Note 6 6 4" xfId="14321" xr:uid="{00000000-0005-0000-0000-0000F0900000}"/>
    <cellStyle name="Note 6 6 4 2" xfId="19427" xr:uid="{00000000-0005-0000-0000-0000F1900000}"/>
    <cellStyle name="Note 6 6 5" xfId="15350" xr:uid="{00000000-0005-0000-0000-0000F2900000}"/>
    <cellStyle name="Note 6 6 5 2" xfId="20846" xr:uid="{00000000-0005-0000-0000-0000F3900000}"/>
    <cellStyle name="Note 6 6 6" xfId="16318" xr:uid="{00000000-0005-0000-0000-0000F4900000}"/>
    <cellStyle name="Note 6 6 6 2" xfId="21874" xr:uid="{00000000-0005-0000-0000-0000F5900000}"/>
    <cellStyle name="Note 6 6 7" xfId="16051" xr:uid="{00000000-0005-0000-0000-0000F6900000}"/>
    <cellStyle name="Note 6 6 7 2" xfId="21553" xr:uid="{00000000-0005-0000-0000-0000F7900000}"/>
    <cellStyle name="Note 6 6 8" xfId="17322" xr:uid="{00000000-0005-0000-0000-0000F8900000}"/>
    <cellStyle name="Note 6 6 8 2" xfId="22966" xr:uid="{00000000-0005-0000-0000-0000F9900000}"/>
    <cellStyle name="Note 6 6 9" xfId="13522" xr:uid="{00000000-0005-0000-0000-0000FA900000}"/>
    <cellStyle name="Note 6 6 9 2" xfId="18499" xr:uid="{00000000-0005-0000-0000-0000FB900000}"/>
    <cellStyle name="Note 6 7" xfId="2803" xr:uid="{00000000-0005-0000-0000-0000FC900000}"/>
    <cellStyle name="Note 6 7 10" xfId="12830" xr:uid="{00000000-0005-0000-0000-0000FD900000}"/>
    <cellStyle name="Note 6 7 11" xfId="17844" xr:uid="{00000000-0005-0000-0000-0000FE900000}"/>
    <cellStyle name="Note 6 7 12" xfId="4245" xr:uid="{00000000-0005-0000-0000-0000FF900000}"/>
    <cellStyle name="Note 6 7 2" xfId="4246" xr:uid="{00000000-0005-0000-0000-000000910000}"/>
    <cellStyle name="Note 6 7 2 10" xfId="18162" xr:uid="{00000000-0005-0000-0000-000001910000}"/>
    <cellStyle name="Note 6 7 2 2" xfId="14877" xr:uid="{00000000-0005-0000-0000-000002910000}"/>
    <cellStyle name="Note 6 7 2 2 2" xfId="20203" xr:uid="{00000000-0005-0000-0000-000003910000}"/>
    <cellStyle name="Note 6 7 2 2 2 2" xfId="24676" xr:uid="{00000000-0005-0000-0000-000004910000}"/>
    <cellStyle name="Note 6 7 2 2 3" xfId="24009" xr:uid="{00000000-0005-0000-0000-000005910000}"/>
    <cellStyle name="Note 6 7 2 3" xfId="14550" xr:uid="{00000000-0005-0000-0000-000006910000}"/>
    <cellStyle name="Note 6 7 2 3 2" xfId="19699" xr:uid="{00000000-0005-0000-0000-000007910000}"/>
    <cellStyle name="Note 6 7 2 4" xfId="15108" xr:uid="{00000000-0005-0000-0000-000008910000}"/>
    <cellStyle name="Note 6 7 2 4 2" xfId="20494" xr:uid="{00000000-0005-0000-0000-000009910000}"/>
    <cellStyle name="Note 6 7 2 5" xfId="16556" xr:uid="{00000000-0005-0000-0000-00000A910000}"/>
    <cellStyle name="Note 6 7 2 5 2" xfId="22197" xr:uid="{00000000-0005-0000-0000-00000B910000}"/>
    <cellStyle name="Note 6 7 2 6" xfId="16920" xr:uid="{00000000-0005-0000-0000-00000C910000}"/>
    <cellStyle name="Note 6 7 2 6 2" xfId="22571" xr:uid="{00000000-0005-0000-0000-00000D910000}"/>
    <cellStyle name="Note 6 7 2 7" xfId="17640" xr:uid="{00000000-0005-0000-0000-00000E910000}"/>
    <cellStyle name="Note 6 7 2 7 2" xfId="23285" xr:uid="{00000000-0005-0000-0000-00000F910000}"/>
    <cellStyle name="Note 6 7 2 8" xfId="13844" xr:uid="{00000000-0005-0000-0000-000010910000}"/>
    <cellStyle name="Note 6 7 2 8 2" xfId="18818" xr:uid="{00000000-0005-0000-0000-000011910000}"/>
    <cellStyle name="Note 6 7 2 9" xfId="13173" xr:uid="{00000000-0005-0000-0000-000012910000}"/>
    <cellStyle name="Note 6 7 3" xfId="10603" xr:uid="{00000000-0005-0000-0000-000013910000}"/>
    <cellStyle name="Note 6 7 3 2" xfId="19838" xr:uid="{00000000-0005-0000-0000-000014910000}"/>
    <cellStyle name="Note 6 7 3 2 2" xfId="24359" xr:uid="{00000000-0005-0000-0000-000015910000}"/>
    <cellStyle name="Note 6 7 3 3" xfId="23688" xr:uid="{00000000-0005-0000-0000-000016910000}"/>
    <cellStyle name="Note 6 7 4" xfId="14322" xr:uid="{00000000-0005-0000-0000-000017910000}"/>
    <cellStyle name="Note 6 7 4 2" xfId="19428" xr:uid="{00000000-0005-0000-0000-000018910000}"/>
    <cellStyle name="Note 6 7 5" xfId="15349" xr:uid="{00000000-0005-0000-0000-000019910000}"/>
    <cellStyle name="Note 6 7 5 2" xfId="20845" xr:uid="{00000000-0005-0000-0000-00001A910000}"/>
    <cellStyle name="Note 6 7 6" xfId="16319" xr:uid="{00000000-0005-0000-0000-00001B910000}"/>
    <cellStyle name="Note 6 7 6 2" xfId="21875" xr:uid="{00000000-0005-0000-0000-00001C910000}"/>
    <cellStyle name="Note 6 7 7" xfId="16141" xr:uid="{00000000-0005-0000-0000-00001D910000}"/>
    <cellStyle name="Note 6 7 7 2" xfId="21654" xr:uid="{00000000-0005-0000-0000-00001E910000}"/>
    <cellStyle name="Note 6 7 8" xfId="17323" xr:uid="{00000000-0005-0000-0000-00001F910000}"/>
    <cellStyle name="Note 6 7 8 2" xfId="22967" xr:uid="{00000000-0005-0000-0000-000020910000}"/>
    <cellStyle name="Note 6 7 9" xfId="13523" xr:uid="{00000000-0005-0000-0000-000021910000}"/>
    <cellStyle name="Note 6 7 9 2" xfId="18500" xr:uid="{00000000-0005-0000-0000-000022910000}"/>
    <cellStyle name="Note 6 8" xfId="2804" xr:uid="{00000000-0005-0000-0000-000023910000}"/>
    <cellStyle name="Note 6 8 10" xfId="12831" xr:uid="{00000000-0005-0000-0000-000024910000}"/>
    <cellStyle name="Note 6 8 11" xfId="17845" xr:uid="{00000000-0005-0000-0000-000025910000}"/>
    <cellStyle name="Note 6 8 12" xfId="4247" xr:uid="{00000000-0005-0000-0000-000026910000}"/>
    <cellStyle name="Note 6 8 2" xfId="4248" xr:uid="{00000000-0005-0000-0000-000027910000}"/>
    <cellStyle name="Note 6 8 2 10" xfId="18163" xr:uid="{00000000-0005-0000-0000-000028910000}"/>
    <cellStyle name="Note 6 8 2 2" xfId="14878" xr:uid="{00000000-0005-0000-0000-000029910000}"/>
    <cellStyle name="Note 6 8 2 2 2" xfId="20204" xr:uid="{00000000-0005-0000-0000-00002A910000}"/>
    <cellStyle name="Note 6 8 2 2 2 2" xfId="24677" xr:uid="{00000000-0005-0000-0000-00002B910000}"/>
    <cellStyle name="Note 6 8 2 2 3" xfId="24010" xr:uid="{00000000-0005-0000-0000-00002C910000}"/>
    <cellStyle name="Note 6 8 2 3" xfId="14551" xr:uid="{00000000-0005-0000-0000-00002D910000}"/>
    <cellStyle name="Note 6 8 2 3 2" xfId="19700" xr:uid="{00000000-0005-0000-0000-00002E910000}"/>
    <cellStyle name="Note 6 8 2 4" xfId="15107" xr:uid="{00000000-0005-0000-0000-00002F910000}"/>
    <cellStyle name="Note 6 8 2 4 2" xfId="20493" xr:uid="{00000000-0005-0000-0000-000030910000}"/>
    <cellStyle name="Note 6 8 2 5" xfId="16557" xr:uid="{00000000-0005-0000-0000-000031910000}"/>
    <cellStyle name="Note 6 8 2 5 2" xfId="22198" xr:uid="{00000000-0005-0000-0000-000032910000}"/>
    <cellStyle name="Note 6 8 2 6" xfId="16921" xr:uid="{00000000-0005-0000-0000-000033910000}"/>
    <cellStyle name="Note 6 8 2 6 2" xfId="22572" xr:uid="{00000000-0005-0000-0000-000034910000}"/>
    <cellStyle name="Note 6 8 2 7" xfId="17641" xr:uid="{00000000-0005-0000-0000-000035910000}"/>
    <cellStyle name="Note 6 8 2 7 2" xfId="23286" xr:uid="{00000000-0005-0000-0000-000036910000}"/>
    <cellStyle name="Note 6 8 2 8" xfId="13845" xr:uid="{00000000-0005-0000-0000-000037910000}"/>
    <cellStyle name="Note 6 8 2 8 2" xfId="18819" xr:uid="{00000000-0005-0000-0000-000038910000}"/>
    <cellStyle name="Note 6 8 2 9" xfId="13174" xr:uid="{00000000-0005-0000-0000-000039910000}"/>
    <cellStyle name="Note 6 8 3" xfId="11324" xr:uid="{00000000-0005-0000-0000-00003A910000}"/>
    <cellStyle name="Note 6 8 3 2" xfId="19839" xr:uid="{00000000-0005-0000-0000-00003B910000}"/>
    <cellStyle name="Note 6 8 3 2 2" xfId="24360" xr:uid="{00000000-0005-0000-0000-00003C910000}"/>
    <cellStyle name="Note 6 8 3 3" xfId="23689" xr:uid="{00000000-0005-0000-0000-00003D910000}"/>
    <cellStyle name="Note 6 8 4" xfId="14323" xr:uid="{00000000-0005-0000-0000-00003E910000}"/>
    <cellStyle name="Note 6 8 4 2" xfId="19429" xr:uid="{00000000-0005-0000-0000-00003F910000}"/>
    <cellStyle name="Note 6 8 5" xfId="15348" xr:uid="{00000000-0005-0000-0000-000040910000}"/>
    <cellStyle name="Note 6 8 5 2" xfId="20844" xr:uid="{00000000-0005-0000-0000-000041910000}"/>
    <cellStyle name="Note 6 8 6" xfId="16320" xr:uid="{00000000-0005-0000-0000-000042910000}"/>
    <cellStyle name="Note 6 8 6 2" xfId="21876" xr:uid="{00000000-0005-0000-0000-000043910000}"/>
    <cellStyle name="Note 6 8 7" xfId="16054" xr:uid="{00000000-0005-0000-0000-000044910000}"/>
    <cellStyle name="Note 6 8 7 2" xfId="21556" xr:uid="{00000000-0005-0000-0000-000045910000}"/>
    <cellStyle name="Note 6 8 8" xfId="17324" xr:uid="{00000000-0005-0000-0000-000046910000}"/>
    <cellStyle name="Note 6 8 8 2" xfId="22968" xr:uid="{00000000-0005-0000-0000-000047910000}"/>
    <cellStyle name="Note 6 8 9" xfId="13524" xr:uid="{00000000-0005-0000-0000-000048910000}"/>
    <cellStyle name="Note 6 8 9 2" xfId="18501" xr:uid="{00000000-0005-0000-0000-000049910000}"/>
    <cellStyle name="Note 6 9" xfId="2805" xr:uid="{00000000-0005-0000-0000-00004A910000}"/>
    <cellStyle name="Note 6 9 10" xfId="12832" xr:uid="{00000000-0005-0000-0000-00004B910000}"/>
    <cellStyle name="Note 6 9 11" xfId="17846" xr:uid="{00000000-0005-0000-0000-00004C910000}"/>
    <cellStyle name="Note 6 9 12" xfId="4249" xr:uid="{00000000-0005-0000-0000-00004D910000}"/>
    <cellStyle name="Note 6 9 2" xfId="4250" xr:uid="{00000000-0005-0000-0000-00004E910000}"/>
    <cellStyle name="Note 6 9 2 10" xfId="18164" xr:uid="{00000000-0005-0000-0000-00004F910000}"/>
    <cellStyle name="Note 6 9 2 2" xfId="14879" xr:uid="{00000000-0005-0000-0000-000050910000}"/>
    <cellStyle name="Note 6 9 2 2 2" xfId="20205" xr:uid="{00000000-0005-0000-0000-000051910000}"/>
    <cellStyle name="Note 6 9 2 2 2 2" xfId="24678" xr:uid="{00000000-0005-0000-0000-000052910000}"/>
    <cellStyle name="Note 6 9 2 2 3" xfId="24011" xr:uid="{00000000-0005-0000-0000-000053910000}"/>
    <cellStyle name="Note 6 9 2 3" xfId="14552" xr:uid="{00000000-0005-0000-0000-000054910000}"/>
    <cellStyle name="Note 6 9 2 3 2" xfId="19701" xr:uid="{00000000-0005-0000-0000-000055910000}"/>
    <cellStyle name="Note 6 9 2 4" xfId="15106" xr:uid="{00000000-0005-0000-0000-000056910000}"/>
    <cellStyle name="Note 6 9 2 4 2" xfId="20492" xr:uid="{00000000-0005-0000-0000-000057910000}"/>
    <cellStyle name="Note 6 9 2 5" xfId="16558" xr:uid="{00000000-0005-0000-0000-000058910000}"/>
    <cellStyle name="Note 6 9 2 5 2" xfId="22199" xr:uid="{00000000-0005-0000-0000-000059910000}"/>
    <cellStyle name="Note 6 9 2 6" xfId="16922" xr:uid="{00000000-0005-0000-0000-00005A910000}"/>
    <cellStyle name="Note 6 9 2 6 2" xfId="22573" xr:uid="{00000000-0005-0000-0000-00005B910000}"/>
    <cellStyle name="Note 6 9 2 7" xfId="17642" xr:uid="{00000000-0005-0000-0000-00005C910000}"/>
    <cellStyle name="Note 6 9 2 7 2" xfId="23287" xr:uid="{00000000-0005-0000-0000-00005D910000}"/>
    <cellStyle name="Note 6 9 2 8" xfId="13846" xr:uid="{00000000-0005-0000-0000-00005E910000}"/>
    <cellStyle name="Note 6 9 2 8 2" xfId="18820" xr:uid="{00000000-0005-0000-0000-00005F910000}"/>
    <cellStyle name="Note 6 9 2 9" xfId="13175" xr:uid="{00000000-0005-0000-0000-000060910000}"/>
    <cellStyle name="Note 6 9 3" xfId="10328" xr:uid="{00000000-0005-0000-0000-000061910000}"/>
    <cellStyle name="Note 6 9 3 2" xfId="19840" xr:uid="{00000000-0005-0000-0000-000062910000}"/>
    <cellStyle name="Note 6 9 3 2 2" xfId="24361" xr:uid="{00000000-0005-0000-0000-000063910000}"/>
    <cellStyle name="Note 6 9 3 3" xfId="23690" xr:uid="{00000000-0005-0000-0000-000064910000}"/>
    <cellStyle name="Note 6 9 4" xfId="14324" xr:uid="{00000000-0005-0000-0000-000065910000}"/>
    <cellStyle name="Note 6 9 4 2" xfId="19430" xr:uid="{00000000-0005-0000-0000-000066910000}"/>
    <cellStyle name="Note 6 9 5" xfId="15347" xr:uid="{00000000-0005-0000-0000-000067910000}"/>
    <cellStyle name="Note 6 9 5 2" xfId="20843" xr:uid="{00000000-0005-0000-0000-000068910000}"/>
    <cellStyle name="Note 6 9 6" xfId="16321" xr:uid="{00000000-0005-0000-0000-000069910000}"/>
    <cellStyle name="Note 6 9 6 2" xfId="21877" xr:uid="{00000000-0005-0000-0000-00006A910000}"/>
    <cellStyle name="Note 6 9 7" xfId="16053" xr:uid="{00000000-0005-0000-0000-00006B910000}"/>
    <cellStyle name="Note 6 9 7 2" xfId="21555" xr:uid="{00000000-0005-0000-0000-00006C910000}"/>
    <cellStyle name="Note 6 9 8" xfId="17325" xr:uid="{00000000-0005-0000-0000-00006D910000}"/>
    <cellStyle name="Note 6 9 8 2" xfId="22969" xr:uid="{00000000-0005-0000-0000-00006E910000}"/>
    <cellStyle name="Note 6 9 9" xfId="13525" xr:uid="{00000000-0005-0000-0000-00006F910000}"/>
    <cellStyle name="Note 6 9 9 2" xfId="18502" xr:uid="{00000000-0005-0000-0000-000070910000}"/>
    <cellStyle name="Note 6_ELC_final" xfId="43767" xr:uid="{00000000-0005-0000-0000-000071910000}"/>
    <cellStyle name="Note 7" xfId="2806" xr:uid="{00000000-0005-0000-0000-000072910000}"/>
    <cellStyle name="Note 7 10" xfId="12833" xr:uid="{00000000-0005-0000-0000-000073910000}"/>
    <cellStyle name="Note 7 11" xfId="17847" xr:uid="{00000000-0005-0000-0000-000074910000}"/>
    <cellStyle name="Note 7 12" xfId="4251" xr:uid="{00000000-0005-0000-0000-000075910000}"/>
    <cellStyle name="Note 7 2" xfId="4252" xr:uid="{00000000-0005-0000-0000-000076910000}"/>
    <cellStyle name="Note 7 2 10" xfId="18165" xr:uid="{00000000-0005-0000-0000-000077910000}"/>
    <cellStyle name="Note 7 2 2" xfId="14880" xr:uid="{00000000-0005-0000-0000-000078910000}"/>
    <cellStyle name="Note 7 2 2 2" xfId="20206" xr:uid="{00000000-0005-0000-0000-000079910000}"/>
    <cellStyle name="Note 7 2 2 2 2" xfId="24679" xr:uid="{00000000-0005-0000-0000-00007A910000}"/>
    <cellStyle name="Note 7 2 2 3" xfId="24012" xr:uid="{00000000-0005-0000-0000-00007B910000}"/>
    <cellStyle name="Note 7 2 3" xfId="14553" xr:uid="{00000000-0005-0000-0000-00007C910000}"/>
    <cellStyle name="Note 7 2 3 2" xfId="19702" xr:uid="{00000000-0005-0000-0000-00007D910000}"/>
    <cellStyle name="Note 7 2 4" xfId="15105" xr:uid="{00000000-0005-0000-0000-00007E910000}"/>
    <cellStyle name="Note 7 2 4 2" xfId="20491" xr:uid="{00000000-0005-0000-0000-00007F910000}"/>
    <cellStyle name="Note 7 2 5" xfId="16559" xr:uid="{00000000-0005-0000-0000-000080910000}"/>
    <cellStyle name="Note 7 2 5 2" xfId="22200" xr:uid="{00000000-0005-0000-0000-000081910000}"/>
    <cellStyle name="Note 7 2 6" xfId="16923" xr:uid="{00000000-0005-0000-0000-000082910000}"/>
    <cellStyle name="Note 7 2 6 2" xfId="22574" xr:uid="{00000000-0005-0000-0000-000083910000}"/>
    <cellStyle name="Note 7 2 7" xfId="17643" xr:uid="{00000000-0005-0000-0000-000084910000}"/>
    <cellStyle name="Note 7 2 7 2" xfId="23288" xr:uid="{00000000-0005-0000-0000-000085910000}"/>
    <cellStyle name="Note 7 2 8" xfId="13847" xr:uid="{00000000-0005-0000-0000-000086910000}"/>
    <cellStyle name="Note 7 2 8 2" xfId="18821" xr:uid="{00000000-0005-0000-0000-000087910000}"/>
    <cellStyle name="Note 7 2 9" xfId="13176" xr:uid="{00000000-0005-0000-0000-000088910000}"/>
    <cellStyle name="Note 7 3" xfId="10327" xr:uid="{00000000-0005-0000-0000-000089910000}"/>
    <cellStyle name="Note 7 3 2" xfId="19841" xr:uid="{00000000-0005-0000-0000-00008A910000}"/>
    <cellStyle name="Note 7 3 2 2" xfId="24362" xr:uid="{00000000-0005-0000-0000-00008B910000}"/>
    <cellStyle name="Note 7 3 3" xfId="23691" xr:uid="{00000000-0005-0000-0000-00008C910000}"/>
    <cellStyle name="Note 7 3_ELC_final" xfId="43768" xr:uid="{00000000-0005-0000-0000-00008D910000}"/>
    <cellStyle name="Note 7 4" xfId="14325" xr:uid="{00000000-0005-0000-0000-00008E910000}"/>
    <cellStyle name="Note 7 4 2" xfId="19431" xr:uid="{00000000-0005-0000-0000-00008F910000}"/>
    <cellStyle name="Note 7 4 3" xfId="43769" xr:uid="{00000000-0005-0000-0000-000090910000}"/>
    <cellStyle name="Note 7 5" xfId="15346" xr:uid="{00000000-0005-0000-0000-000091910000}"/>
    <cellStyle name="Note 7 5 2" xfId="20842" xr:uid="{00000000-0005-0000-0000-000092910000}"/>
    <cellStyle name="Note 7 6" xfId="16322" xr:uid="{00000000-0005-0000-0000-000093910000}"/>
    <cellStyle name="Note 7 6 2" xfId="21878" xr:uid="{00000000-0005-0000-0000-000094910000}"/>
    <cellStyle name="Note 7 7" xfId="16052" xr:uid="{00000000-0005-0000-0000-000095910000}"/>
    <cellStyle name="Note 7 7 2" xfId="21554" xr:uid="{00000000-0005-0000-0000-000096910000}"/>
    <cellStyle name="Note 7 8" xfId="17326" xr:uid="{00000000-0005-0000-0000-000097910000}"/>
    <cellStyle name="Note 7 8 2" xfId="22970" xr:uid="{00000000-0005-0000-0000-000098910000}"/>
    <cellStyle name="Note 7 9" xfId="13526" xr:uid="{00000000-0005-0000-0000-000099910000}"/>
    <cellStyle name="Note 7 9 2" xfId="18503" xr:uid="{00000000-0005-0000-0000-00009A910000}"/>
    <cellStyle name="Note 7_ELC_final" xfId="43770" xr:uid="{00000000-0005-0000-0000-00009B910000}"/>
    <cellStyle name="Note 8" xfId="2807" xr:uid="{00000000-0005-0000-0000-00009C910000}"/>
    <cellStyle name="Note 8 10" xfId="12834" xr:uid="{00000000-0005-0000-0000-00009D910000}"/>
    <cellStyle name="Note 8 11" xfId="17848" xr:uid="{00000000-0005-0000-0000-00009E910000}"/>
    <cellStyle name="Note 8 12" xfId="4253" xr:uid="{00000000-0005-0000-0000-00009F910000}"/>
    <cellStyle name="Note 8 2" xfId="4254" xr:uid="{00000000-0005-0000-0000-0000A0910000}"/>
    <cellStyle name="Note 8 2 10" xfId="18166" xr:uid="{00000000-0005-0000-0000-0000A1910000}"/>
    <cellStyle name="Note 8 2 2" xfId="14881" xr:uid="{00000000-0005-0000-0000-0000A2910000}"/>
    <cellStyle name="Note 8 2 2 2" xfId="20207" xr:uid="{00000000-0005-0000-0000-0000A3910000}"/>
    <cellStyle name="Note 8 2 2 2 2" xfId="24680" xr:uid="{00000000-0005-0000-0000-0000A4910000}"/>
    <cellStyle name="Note 8 2 2 3" xfId="24013" xr:uid="{00000000-0005-0000-0000-0000A5910000}"/>
    <cellStyle name="Note 8 2 3" xfId="14554" xr:uid="{00000000-0005-0000-0000-0000A6910000}"/>
    <cellStyle name="Note 8 2 3 2" xfId="19703" xr:uid="{00000000-0005-0000-0000-0000A7910000}"/>
    <cellStyle name="Note 8 2 4" xfId="15086" xr:uid="{00000000-0005-0000-0000-0000A8910000}"/>
    <cellStyle name="Note 8 2 4 2" xfId="20470" xr:uid="{00000000-0005-0000-0000-0000A9910000}"/>
    <cellStyle name="Note 8 2 5" xfId="16560" xr:uid="{00000000-0005-0000-0000-0000AA910000}"/>
    <cellStyle name="Note 8 2 5 2" xfId="22201" xr:uid="{00000000-0005-0000-0000-0000AB910000}"/>
    <cellStyle name="Note 8 2 6" xfId="16924" xr:uid="{00000000-0005-0000-0000-0000AC910000}"/>
    <cellStyle name="Note 8 2 6 2" xfId="22575" xr:uid="{00000000-0005-0000-0000-0000AD910000}"/>
    <cellStyle name="Note 8 2 7" xfId="17644" xr:uid="{00000000-0005-0000-0000-0000AE910000}"/>
    <cellStyle name="Note 8 2 7 2" xfId="23289" xr:uid="{00000000-0005-0000-0000-0000AF910000}"/>
    <cellStyle name="Note 8 2 8" xfId="13848" xr:uid="{00000000-0005-0000-0000-0000B0910000}"/>
    <cellStyle name="Note 8 2 8 2" xfId="18822" xr:uid="{00000000-0005-0000-0000-0000B1910000}"/>
    <cellStyle name="Note 8 2 9" xfId="13177" xr:uid="{00000000-0005-0000-0000-0000B2910000}"/>
    <cellStyle name="Note 8 3" xfId="10326" xr:uid="{00000000-0005-0000-0000-0000B3910000}"/>
    <cellStyle name="Note 8 3 2" xfId="19842" xr:uid="{00000000-0005-0000-0000-0000B4910000}"/>
    <cellStyle name="Note 8 3 2 2" xfId="24363" xr:uid="{00000000-0005-0000-0000-0000B5910000}"/>
    <cellStyle name="Note 8 3 3" xfId="23692" xr:uid="{00000000-0005-0000-0000-0000B6910000}"/>
    <cellStyle name="Note 8 3_ELC_final" xfId="43771" xr:uid="{00000000-0005-0000-0000-0000B7910000}"/>
    <cellStyle name="Note 8 4" xfId="14326" xr:uid="{00000000-0005-0000-0000-0000B8910000}"/>
    <cellStyle name="Note 8 4 2" xfId="19432" xr:uid="{00000000-0005-0000-0000-0000B9910000}"/>
    <cellStyle name="Note 8 4 3" xfId="43772" xr:uid="{00000000-0005-0000-0000-0000BA910000}"/>
    <cellStyle name="Note 8 5" xfId="15345" xr:uid="{00000000-0005-0000-0000-0000BB910000}"/>
    <cellStyle name="Note 8 5 2" xfId="20841" xr:uid="{00000000-0005-0000-0000-0000BC910000}"/>
    <cellStyle name="Note 8 6" xfId="16323" xr:uid="{00000000-0005-0000-0000-0000BD910000}"/>
    <cellStyle name="Note 8 6 2" xfId="21879" xr:uid="{00000000-0005-0000-0000-0000BE910000}"/>
    <cellStyle name="Note 8 7" xfId="15417" xr:uid="{00000000-0005-0000-0000-0000BF910000}"/>
    <cellStyle name="Note 8 7 2" xfId="20913" xr:uid="{00000000-0005-0000-0000-0000C0910000}"/>
    <cellStyle name="Note 8 8" xfId="17327" xr:uid="{00000000-0005-0000-0000-0000C1910000}"/>
    <cellStyle name="Note 8 8 2" xfId="22971" xr:uid="{00000000-0005-0000-0000-0000C2910000}"/>
    <cellStyle name="Note 8 9" xfId="13527" xr:uid="{00000000-0005-0000-0000-0000C3910000}"/>
    <cellStyle name="Note 8 9 2" xfId="18504" xr:uid="{00000000-0005-0000-0000-0000C4910000}"/>
    <cellStyle name="Note 8_ELC_final" xfId="43773" xr:uid="{00000000-0005-0000-0000-0000C5910000}"/>
    <cellStyle name="Note 9" xfId="4255" xr:uid="{00000000-0005-0000-0000-0000C6910000}"/>
    <cellStyle name="Note 9 10" xfId="12835" xr:uid="{00000000-0005-0000-0000-0000C7910000}"/>
    <cellStyle name="Note 9 11" xfId="17849" xr:uid="{00000000-0005-0000-0000-0000C8910000}"/>
    <cellStyle name="Note 9 2" xfId="4256" xr:uid="{00000000-0005-0000-0000-0000C9910000}"/>
    <cellStyle name="Note 9 2 10" xfId="18167" xr:uid="{00000000-0005-0000-0000-0000CA910000}"/>
    <cellStyle name="Note 9 2 2" xfId="14882" xr:uid="{00000000-0005-0000-0000-0000CB910000}"/>
    <cellStyle name="Note 9 2 2 2" xfId="20208" xr:uid="{00000000-0005-0000-0000-0000CC910000}"/>
    <cellStyle name="Note 9 2 2 2 2" xfId="24681" xr:uid="{00000000-0005-0000-0000-0000CD910000}"/>
    <cellStyle name="Note 9 2 2 3" xfId="24014" xr:uid="{00000000-0005-0000-0000-0000CE910000}"/>
    <cellStyle name="Note 9 2 3" xfId="14555" xr:uid="{00000000-0005-0000-0000-0000CF910000}"/>
    <cellStyle name="Note 9 2 3 2" xfId="19704" xr:uid="{00000000-0005-0000-0000-0000D0910000}"/>
    <cellStyle name="Note 9 2 4" xfId="15085" xr:uid="{00000000-0005-0000-0000-0000D1910000}"/>
    <cellStyle name="Note 9 2 4 2" xfId="20469" xr:uid="{00000000-0005-0000-0000-0000D2910000}"/>
    <cellStyle name="Note 9 2 5" xfId="16561" xr:uid="{00000000-0005-0000-0000-0000D3910000}"/>
    <cellStyle name="Note 9 2 5 2" xfId="22202" xr:uid="{00000000-0005-0000-0000-0000D4910000}"/>
    <cellStyle name="Note 9 2 6" xfId="16925" xr:uid="{00000000-0005-0000-0000-0000D5910000}"/>
    <cellStyle name="Note 9 2 6 2" xfId="22576" xr:uid="{00000000-0005-0000-0000-0000D6910000}"/>
    <cellStyle name="Note 9 2 7" xfId="17645" xr:uid="{00000000-0005-0000-0000-0000D7910000}"/>
    <cellStyle name="Note 9 2 7 2" xfId="23290" xr:uid="{00000000-0005-0000-0000-0000D8910000}"/>
    <cellStyle name="Note 9 2 8" xfId="13849" xr:uid="{00000000-0005-0000-0000-0000D9910000}"/>
    <cellStyle name="Note 9 2 8 2" xfId="18823" xr:uid="{00000000-0005-0000-0000-0000DA910000}"/>
    <cellStyle name="Note 9 2 9" xfId="13178" xr:uid="{00000000-0005-0000-0000-0000DB910000}"/>
    <cellStyle name="Note 9 3" xfId="10325" xr:uid="{00000000-0005-0000-0000-0000DC910000}"/>
    <cellStyle name="Note 9 3 2" xfId="19843" xr:uid="{00000000-0005-0000-0000-0000DD910000}"/>
    <cellStyle name="Note 9 3 2 2" xfId="24364" xr:uid="{00000000-0005-0000-0000-0000DE910000}"/>
    <cellStyle name="Note 9 3 3" xfId="23693" xr:uid="{00000000-0005-0000-0000-0000DF910000}"/>
    <cellStyle name="Note 9 3_ELC_final" xfId="43774" xr:uid="{00000000-0005-0000-0000-0000E0910000}"/>
    <cellStyle name="Note 9 4" xfId="14327" xr:uid="{00000000-0005-0000-0000-0000E1910000}"/>
    <cellStyle name="Note 9 4 2" xfId="19433" xr:uid="{00000000-0005-0000-0000-0000E2910000}"/>
    <cellStyle name="Note 9 4 3" xfId="43775" xr:uid="{00000000-0005-0000-0000-0000E3910000}"/>
    <cellStyle name="Note 9 5" xfId="15344" xr:uid="{00000000-0005-0000-0000-0000E4910000}"/>
    <cellStyle name="Note 9 5 2" xfId="20840" xr:uid="{00000000-0005-0000-0000-0000E5910000}"/>
    <cellStyle name="Note 9 6" xfId="16324" xr:uid="{00000000-0005-0000-0000-0000E6910000}"/>
    <cellStyle name="Note 9 6 2" xfId="21880" xr:uid="{00000000-0005-0000-0000-0000E7910000}"/>
    <cellStyle name="Note 9 7" xfId="15416" xr:uid="{00000000-0005-0000-0000-0000E8910000}"/>
    <cellStyle name="Note 9 7 2" xfId="20912" xr:uid="{00000000-0005-0000-0000-0000E9910000}"/>
    <cellStyle name="Note 9 8" xfId="17328" xr:uid="{00000000-0005-0000-0000-0000EA910000}"/>
    <cellStyle name="Note 9 8 2" xfId="22972" xr:uid="{00000000-0005-0000-0000-0000EB910000}"/>
    <cellStyle name="Note 9 9" xfId="13528" xr:uid="{00000000-0005-0000-0000-0000EC910000}"/>
    <cellStyle name="Note 9 9 2" xfId="18505" xr:uid="{00000000-0005-0000-0000-0000ED910000}"/>
    <cellStyle name="Note 9_ELC_final" xfId="43776" xr:uid="{00000000-0005-0000-0000-0000EE910000}"/>
    <cellStyle name="Notiz" xfId="10175" xr:uid="{00000000-0005-0000-0000-0000EF910000}"/>
    <cellStyle name="Notiz 2" xfId="10176" xr:uid="{00000000-0005-0000-0000-0000F0910000}"/>
    <cellStyle name="Notiz 2 2" xfId="45266" xr:uid="{00000000-0005-0000-0000-0000F1910000}"/>
    <cellStyle name="Notiz 3" xfId="43777" xr:uid="{00000000-0005-0000-0000-0000F2910000}"/>
    <cellStyle name="num_note" xfId="4257" xr:uid="{00000000-0005-0000-0000-0000F3910000}"/>
    <cellStyle name="Nuovo" xfId="2808" xr:uid="{00000000-0005-0000-0000-0000F4910000}"/>
    <cellStyle name="Nuovo 10" xfId="43778" xr:uid="{00000000-0005-0000-0000-0000F5910000}"/>
    <cellStyle name="Nuovo 11" xfId="43779" xr:uid="{00000000-0005-0000-0000-0000F6910000}"/>
    <cellStyle name="Nuovo 12" xfId="43780" xr:uid="{00000000-0005-0000-0000-0000F7910000}"/>
    <cellStyle name="Nuovo 13" xfId="43781" xr:uid="{00000000-0005-0000-0000-0000F8910000}"/>
    <cellStyle name="Nuovo 14" xfId="43782" xr:uid="{00000000-0005-0000-0000-0000F9910000}"/>
    <cellStyle name="Nuovo 15" xfId="43783" xr:uid="{00000000-0005-0000-0000-0000FA910000}"/>
    <cellStyle name="Nuovo 16" xfId="43784" xr:uid="{00000000-0005-0000-0000-0000FB910000}"/>
    <cellStyle name="Nuovo 17" xfId="43785" xr:uid="{00000000-0005-0000-0000-0000FC910000}"/>
    <cellStyle name="Nuovo 18" xfId="43786" xr:uid="{00000000-0005-0000-0000-0000FD910000}"/>
    <cellStyle name="Nuovo 19" xfId="43787" xr:uid="{00000000-0005-0000-0000-0000FE910000}"/>
    <cellStyle name="Nuovo 2" xfId="5487" xr:uid="{00000000-0005-0000-0000-0000FF910000}"/>
    <cellStyle name="Nuovo 20" xfId="43788" xr:uid="{00000000-0005-0000-0000-000000920000}"/>
    <cellStyle name="Nuovo 21" xfId="43789" xr:uid="{00000000-0005-0000-0000-000001920000}"/>
    <cellStyle name="Nuovo 22" xfId="43790" xr:uid="{00000000-0005-0000-0000-000002920000}"/>
    <cellStyle name="Nuovo 23" xfId="43791" xr:uid="{00000000-0005-0000-0000-000003920000}"/>
    <cellStyle name="Nuovo 24" xfId="43792" xr:uid="{00000000-0005-0000-0000-000004920000}"/>
    <cellStyle name="Nuovo 25" xfId="43793" xr:uid="{00000000-0005-0000-0000-000005920000}"/>
    <cellStyle name="Nuovo 26" xfId="43794" xr:uid="{00000000-0005-0000-0000-000006920000}"/>
    <cellStyle name="Nuovo 27" xfId="43795" xr:uid="{00000000-0005-0000-0000-000007920000}"/>
    <cellStyle name="Nuovo 28" xfId="43796" xr:uid="{00000000-0005-0000-0000-000008920000}"/>
    <cellStyle name="Nuovo 29" xfId="43797" xr:uid="{00000000-0005-0000-0000-000009920000}"/>
    <cellStyle name="Nuovo 3" xfId="5488" xr:uid="{00000000-0005-0000-0000-00000A920000}"/>
    <cellStyle name="Nuovo 3 2" xfId="5489" xr:uid="{00000000-0005-0000-0000-00000B920000}"/>
    <cellStyle name="Nuovo 30" xfId="43798" xr:uid="{00000000-0005-0000-0000-00000C920000}"/>
    <cellStyle name="Nuovo 31" xfId="43799" xr:uid="{00000000-0005-0000-0000-00000D920000}"/>
    <cellStyle name="Nuovo 32" xfId="43800" xr:uid="{00000000-0005-0000-0000-00000E920000}"/>
    <cellStyle name="Nuovo 33" xfId="43801" xr:uid="{00000000-0005-0000-0000-00000F920000}"/>
    <cellStyle name="Nuovo 34" xfId="43802" xr:uid="{00000000-0005-0000-0000-000010920000}"/>
    <cellStyle name="Nuovo 35" xfId="43803" xr:uid="{00000000-0005-0000-0000-000011920000}"/>
    <cellStyle name="Nuovo 36" xfId="43804" xr:uid="{00000000-0005-0000-0000-000012920000}"/>
    <cellStyle name="Nuovo 37" xfId="43805" xr:uid="{00000000-0005-0000-0000-000013920000}"/>
    <cellStyle name="Nuovo 38" xfId="43806" xr:uid="{00000000-0005-0000-0000-000014920000}"/>
    <cellStyle name="Nuovo 4" xfId="4258" xr:uid="{00000000-0005-0000-0000-000015920000}"/>
    <cellStyle name="Nuovo 5" xfId="43807" xr:uid="{00000000-0005-0000-0000-000016920000}"/>
    <cellStyle name="Nuovo 6" xfId="43808" xr:uid="{00000000-0005-0000-0000-000017920000}"/>
    <cellStyle name="Nuovo 7" xfId="43809" xr:uid="{00000000-0005-0000-0000-000018920000}"/>
    <cellStyle name="Nuovo 8" xfId="43810" xr:uid="{00000000-0005-0000-0000-000019920000}"/>
    <cellStyle name="Nuovo 9" xfId="43811" xr:uid="{00000000-0005-0000-0000-00001A920000}"/>
    <cellStyle name="Összesen" xfId="3140" xr:uid="{00000000-0005-0000-0000-00001B920000}"/>
    <cellStyle name="Összesen 10" xfId="12902" xr:uid="{00000000-0005-0000-0000-00001C920000}"/>
    <cellStyle name="Összesen 2" xfId="11005" xr:uid="{00000000-0005-0000-0000-00001D920000}"/>
    <cellStyle name="Összesen 2 2" xfId="18986" xr:uid="{00000000-0005-0000-0000-00001E920000}"/>
    <cellStyle name="Összesen 2 3" xfId="24322" xr:uid="{00000000-0005-0000-0000-00001F920000}"/>
    <cellStyle name="Összesen 2 4" xfId="23507" xr:uid="{00000000-0005-0000-0000-000020920000}"/>
    <cellStyle name="Összesen 3" xfId="15001" xr:uid="{00000000-0005-0000-0000-000021920000}"/>
    <cellStyle name="Összesen 3 2" xfId="20362" xr:uid="{00000000-0005-0000-0000-000022920000}"/>
    <cellStyle name="Összesen 4" xfId="16140" xr:uid="{00000000-0005-0000-0000-000023920000}"/>
    <cellStyle name="Összesen 4 2" xfId="21653" xr:uid="{00000000-0005-0000-0000-000024920000}"/>
    <cellStyle name="Összesen 5" xfId="15317" xr:uid="{00000000-0005-0000-0000-000025920000}"/>
    <cellStyle name="Összesen 5 2" xfId="20748" xr:uid="{00000000-0005-0000-0000-000026920000}"/>
    <cellStyle name="Összesen 6" xfId="16358" xr:uid="{00000000-0005-0000-0000-000027920000}"/>
    <cellStyle name="Összesen 6 2" xfId="21941" xr:uid="{00000000-0005-0000-0000-000028920000}"/>
    <cellStyle name="Összesen 7" xfId="17082" xr:uid="{00000000-0005-0000-0000-000029920000}"/>
    <cellStyle name="Összesen 7 2" xfId="22728" xr:uid="{00000000-0005-0000-0000-00002A920000}"/>
    <cellStyle name="Összesen 8" xfId="13341" xr:uid="{00000000-0005-0000-0000-00002B920000}"/>
    <cellStyle name="Összesen 8 2" xfId="18320" xr:uid="{00000000-0005-0000-0000-00002C920000}"/>
    <cellStyle name="Összesen 9" xfId="12350" xr:uid="{00000000-0005-0000-0000-00002D920000}"/>
    <cellStyle name="Output 10" xfId="4259" xr:uid="{00000000-0005-0000-0000-00002E920000}"/>
    <cellStyle name="Output 10 10" xfId="12836" xr:uid="{00000000-0005-0000-0000-00002F920000}"/>
    <cellStyle name="Output 10 11" xfId="17850" xr:uid="{00000000-0005-0000-0000-000030920000}"/>
    <cellStyle name="Output 10 2" xfId="4260" xr:uid="{00000000-0005-0000-0000-000031920000}"/>
    <cellStyle name="Output 10 2 10" xfId="18168" xr:uid="{00000000-0005-0000-0000-000032920000}"/>
    <cellStyle name="Output 10 2 2" xfId="11028" xr:uid="{00000000-0005-0000-0000-000033920000}"/>
    <cellStyle name="Output 10 2 2 2" xfId="20209" xr:uid="{00000000-0005-0000-0000-000034920000}"/>
    <cellStyle name="Output 10 2 2 3" xfId="24682" xr:uid="{00000000-0005-0000-0000-000035920000}"/>
    <cellStyle name="Output 10 2 2 4" xfId="24015" xr:uid="{00000000-0005-0000-0000-000036920000}"/>
    <cellStyle name="Output 10 2 3" xfId="14556" xr:uid="{00000000-0005-0000-0000-000037920000}"/>
    <cellStyle name="Output 10 2 3 2" xfId="19705" xr:uid="{00000000-0005-0000-0000-000038920000}"/>
    <cellStyle name="Output 10 2 4" xfId="15084" xr:uid="{00000000-0005-0000-0000-000039920000}"/>
    <cellStyle name="Output 10 2 4 2" xfId="20468" xr:uid="{00000000-0005-0000-0000-00003A920000}"/>
    <cellStyle name="Output 10 2 5" xfId="16562" xr:uid="{00000000-0005-0000-0000-00003B920000}"/>
    <cellStyle name="Output 10 2 5 2" xfId="22203" xr:uid="{00000000-0005-0000-0000-00003C920000}"/>
    <cellStyle name="Output 10 2 6" xfId="16926" xr:uid="{00000000-0005-0000-0000-00003D920000}"/>
    <cellStyle name="Output 10 2 6 2" xfId="22577" xr:uid="{00000000-0005-0000-0000-00003E920000}"/>
    <cellStyle name="Output 10 2 7" xfId="17646" xr:uid="{00000000-0005-0000-0000-00003F920000}"/>
    <cellStyle name="Output 10 2 7 2" xfId="23291" xr:uid="{00000000-0005-0000-0000-000040920000}"/>
    <cellStyle name="Output 10 2 8" xfId="13850" xr:uid="{00000000-0005-0000-0000-000041920000}"/>
    <cellStyle name="Output 10 2 8 2" xfId="18824" xr:uid="{00000000-0005-0000-0000-000042920000}"/>
    <cellStyle name="Output 10 2 9" xfId="13179" xr:uid="{00000000-0005-0000-0000-000043920000}"/>
    <cellStyle name="Output 10 3" xfId="11027" xr:uid="{00000000-0005-0000-0000-000044920000}"/>
    <cellStyle name="Output 10 3 2" xfId="19845" xr:uid="{00000000-0005-0000-0000-000045920000}"/>
    <cellStyle name="Output 10 3 3" xfId="24365" xr:uid="{00000000-0005-0000-0000-000046920000}"/>
    <cellStyle name="Output 10 3 4" xfId="23694" xr:uid="{00000000-0005-0000-0000-000047920000}"/>
    <cellStyle name="Output 10 4" xfId="10324" xr:uid="{00000000-0005-0000-0000-000048920000}"/>
    <cellStyle name="Output 10 4 2" xfId="19434" xr:uid="{00000000-0005-0000-0000-000049920000}"/>
    <cellStyle name="Output 10 5" xfId="15342" xr:uid="{00000000-0005-0000-0000-00004A920000}"/>
    <cellStyle name="Output 10 5 2" xfId="20838" xr:uid="{00000000-0005-0000-0000-00004B920000}"/>
    <cellStyle name="Output 10 6" xfId="16325" xr:uid="{00000000-0005-0000-0000-00004C920000}"/>
    <cellStyle name="Output 10 6 2" xfId="21881" xr:uid="{00000000-0005-0000-0000-00004D920000}"/>
    <cellStyle name="Output 10 7" xfId="15415" xr:uid="{00000000-0005-0000-0000-00004E920000}"/>
    <cellStyle name="Output 10 7 2" xfId="20911" xr:uid="{00000000-0005-0000-0000-00004F920000}"/>
    <cellStyle name="Output 10 8" xfId="17329" xr:uid="{00000000-0005-0000-0000-000050920000}"/>
    <cellStyle name="Output 10 8 2" xfId="22973" xr:uid="{00000000-0005-0000-0000-000051920000}"/>
    <cellStyle name="Output 10 9" xfId="13529" xr:uid="{00000000-0005-0000-0000-000052920000}"/>
    <cellStyle name="Output 10 9 2" xfId="18506" xr:uid="{00000000-0005-0000-0000-000053920000}"/>
    <cellStyle name="Output 11" xfId="43812" xr:uid="{00000000-0005-0000-0000-000054920000}"/>
    <cellStyle name="Output 12" xfId="43813" xr:uid="{00000000-0005-0000-0000-000055920000}"/>
    <cellStyle name="Output 13" xfId="43814" xr:uid="{00000000-0005-0000-0000-000056920000}"/>
    <cellStyle name="Output 14" xfId="43815" xr:uid="{00000000-0005-0000-0000-000057920000}"/>
    <cellStyle name="Output 15" xfId="43816" xr:uid="{00000000-0005-0000-0000-000058920000}"/>
    <cellStyle name="Output 16" xfId="43817" xr:uid="{00000000-0005-0000-0000-000059920000}"/>
    <cellStyle name="Output 17" xfId="43818" xr:uid="{00000000-0005-0000-0000-00005A920000}"/>
    <cellStyle name="Output 18" xfId="43819" xr:uid="{00000000-0005-0000-0000-00005B920000}"/>
    <cellStyle name="Output 19" xfId="43820" xr:uid="{00000000-0005-0000-0000-00005C920000}"/>
    <cellStyle name="Output 2" xfId="2809" xr:uid="{00000000-0005-0000-0000-00005D920000}"/>
    <cellStyle name="Output 2 10" xfId="2810" xr:uid="{00000000-0005-0000-0000-00005E920000}"/>
    <cellStyle name="Output 2 10 10" xfId="12838" xr:uid="{00000000-0005-0000-0000-00005F920000}"/>
    <cellStyle name="Output 2 10 11" xfId="17852" xr:uid="{00000000-0005-0000-0000-000060920000}"/>
    <cellStyle name="Output 2 10 2" xfId="4261" xr:uid="{00000000-0005-0000-0000-000061920000}"/>
    <cellStyle name="Output 2 10 2 10" xfId="18170" xr:uid="{00000000-0005-0000-0000-000062920000}"/>
    <cellStyle name="Output 2 10 2 2" xfId="8541" xr:uid="{00000000-0005-0000-0000-000063920000}"/>
    <cellStyle name="Output 2 10 2 2 2" xfId="11239" xr:uid="{00000000-0005-0000-0000-000064920000}"/>
    <cellStyle name="Output 2 10 2 2 2 2" xfId="20211" xr:uid="{00000000-0005-0000-0000-000065920000}"/>
    <cellStyle name="Output 2 10 2 2 2 2 2" xfId="45765" xr:uid="{00000000-0005-0000-0000-000066920000}"/>
    <cellStyle name="Output 2 10 2 2 3" xfId="14883" xr:uid="{00000000-0005-0000-0000-000067920000}"/>
    <cellStyle name="Output 2 10 2 2 3 2" xfId="24684" xr:uid="{00000000-0005-0000-0000-000068920000}"/>
    <cellStyle name="Output 2 10 2 2 3 3" xfId="44965" xr:uid="{00000000-0005-0000-0000-000069920000}"/>
    <cellStyle name="Output 2 10 2 2 4" xfId="24017" xr:uid="{00000000-0005-0000-0000-00006A920000}"/>
    <cellStyle name="Output 2 10 2 3" xfId="11159" xr:uid="{00000000-0005-0000-0000-00006B920000}"/>
    <cellStyle name="Output 2 10 2 3 2" xfId="19707" xr:uid="{00000000-0005-0000-0000-00006C920000}"/>
    <cellStyle name="Output 2 10 2 4" xfId="11307" xr:uid="{00000000-0005-0000-0000-00006D920000}"/>
    <cellStyle name="Output 2 10 2 4 2" xfId="20466" xr:uid="{00000000-0005-0000-0000-00006E920000}"/>
    <cellStyle name="Output 2 10 2 5" xfId="16564" xr:uid="{00000000-0005-0000-0000-00006F920000}"/>
    <cellStyle name="Output 2 10 2 5 2" xfId="22205" xr:uid="{00000000-0005-0000-0000-000070920000}"/>
    <cellStyle name="Output 2 10 2 6" xfId="16928" xr:uid="{00000000-0005-0000-0000-000071920000}"/>
    <cellStyle name="Output 2 10 2 6 2" xfId="22579" xr:uid="{00000000-0005-0000-0000-000072920000}"/>
    <cellStyle name="Output 2 10 2 7" xfId="17648" xr:uid="{00000000-0005-0000-0000-000073920000}"/>
    <cellStyle name="Output 2 10 2 7 2" xfId="23293" xr:uid="{00000000-0005-0000-0000-000074920000}"/>
    <cellStyle name="Output 2 10 2 8" xfId="13852" xr:uid="{00000000-0005-0000-0000-000075920000}"/>
    <cellStyle name="Output 2 10 2 8 2" xfId="18826" xr:uid="{00000000-0005-0000-0000-000076920000}"/>
    <cellStyle name="Output 2 10 2 9" xfId="13181" xr:uid="{00000000-0005-0000-0000-000077920000}"/>
    <cellStyle name="Output 2 10 3" xfId="10098" xr:uid="{00000000-0005-0000-0000-000078920000}"/>
    <cellStyle name="Output 2 10 3 2" xfId="19847" xr:uid="{00000000-0005-0000-0000-000079920000}"/>
    <cellStyle name="Output 2 10 3 3" xfId="24367" xr:uid="{00000000-0005-0000-0000-00007A920000}"/>
    <cellStyle name="Output 2 10 3 4" xfId="23696" xr:uid="{00000000-0005-0000-0000-00007B920000}"/>
    <cellStyle name="Output 2 10 4" xfId="11099" xr:uid="{00000000-0005-0000-0000-00007C920000}"/>
    <cellStyle name="Output 2 10 4 2" xfId="19436" xr:uid="{00000000-0005-0000-0000-00007D920000}"/>
    <cellStyle name="Output 2 10 5" xfId="10926" xr:uid="{00000000-0005-0000-0000-00007E920000}"/>
    <cellStyle name="Output 2 10 5 2" xfId="20836" xr:uid="{00000000-0005-0000-0000-00007F920000}"/>
    <cellStyle name="Output 2 10 6" xfId="16327" xr:uid="{00000000-0005-0000-0000-000080920000}"/>
    <cellStyle name="Output 2 10 6 2" xfId="21883" xr:uid="{00000000-0005-0000-0000-000081920000}"/>
    <cellStyle name="Output 2 10 6 3" xfId="41667" xr:uid="{00000000-0005-0000-0000-000082920000}"/>
    <cellStyle name="Output 2 10 7" xfId="15414" xr:uid="{00000000-0005-0000-0000-000083920000}"/>
    <cellStyle name="Output 2 10 7 2" xfId="20910" xr:uid="{00000000-0005-0000-0000-000084920000}"/>
    <cellStyle name="Output 2 10 8" xfId="17331" xr:uid="{00000000-0005-0000-0000-000085920000}"/>
    <cellStyle name="Output 2 10 8 2" xfId="22975" xr:uid="{00000000-0005-0000-0000-000086920000}"/>
    <cellStyle name="Output 2 10 9" xfId="13531" xr:uid="{00000000-0005-0000-0000-000087920000}"/>
    <cellStyle name="Output 2 10 9 2" xfId="18508" xr:uid="{00000000-0005-0000-0000-000088920000}"/>
    <cellStyle name="Output 2 11" xfId="2811" xr:uid="{00000000-0005-0000-0000-000089920000}"/>
    <cellStyle name="Output 2 11 10" xfId="12839" xr:uid="{00000000-0005-0000-0000-00008A920000}"/>
    <cellStyle name="Output 2 11 11" xfId="17853" xr:uid="{00000000-0005-0000-0000-00008B920000}"/>
    <cellStyle name="Output 2 11 2" xfId="4262" xr:uid="{00000000-0005-0000-0000-00008C920000}"/>
    <cellStyle name="Output 2 11 2 10" xfId="18171" xr:uid="{00000000-0005-0000-0000-00008D920000}"/>
    <cellStyle name="Output 2 11 2 2" xfId="11100" xr:uid="{00000000-0005-0000-0000-00008E920000}"/>
    <cellStyle name="Output 2 11 2 2 2" xfId="20212" xr:uid="{00000000-0005-0000-0000-00008F920000}"/>
    <cellStyle name="Output 2 11 2 2 3" xfId="24685" xr:uid="{00000000-0005-0000-0000-000090920000}"/>
    <cellStyle name="Output 2 11 2 2 4" xfId="24018" xr:uid="{00000000-0005-0000-0000-000091920000}"/>
    <cellStyle name="Output 2 11 2 3" xfId="14558" xr:uid="{00000000-0005-0000-0000-000092920000}"/>
    <cellStyle name="Output 2 11 2 3 2" xfId="19708" xr:uid="{00000000-0005-0000-0000-000093920000}"/>
    <cellStyle name="Output 2 11 2 4" xfId="15082" xr:uid="{00000000-0005-0000-0000-000094920000}"/>
    <cellStyle name="Output 2 11 2 4 2" xfId="20465" xr:uid="{00000000-0005-0000-0000-000095920000}"/>
    <cellStyle name="Output 2 11 2 5" xfId="16565" xr:uid="{00000000-0005-0000-0000-000096920000}"/>
    <cellStyle name="Output 2 11 2 5 2" xfId="22206" xr:uid="{00000000-0005-0000-0000-000097920000}"/>
    <cellStyle name="Output 2 11 2 6" xfId="16929" xr:uid="{00000000-0005-0000-0000-000098920000}"/>
    <cellStyle name="Output 2 11 2 6 2" xfId="22580" xr:uid="{00000000-0005-0000-0000-000099920000}"/>
    <cellStyle name="Output 2 11 2 7" xfId="17649" xr:uid="{00000000-0005-0000-0000-00009A920000}"/>
    <cellStyle name="Output 2 11 2 7 2" xfId="23294" xr:uid="{00000000-0005-0000-0000-00009B920000}"/>
    <cellStyle name="Output 2 11 2 8" xfId="13853" xr:uid="{00000000-0005-0000-0000-00009C920000}"/>
    <cellStyle name="Output 2 11 2 8 2" xfId="18827" xr:uid="{00000000-0005-0000-0000-00009D920000}"/>
    <cellStyle name="Output 2 11 2 9" xfId="13182" xr:uid="{00000000-0005-0000-0000-00009E920000}"/>
    <cellStyle name="Output 2 11 3" xfId="11308" xr:uid="{00000000-0005-0000-0000-00009F920000}"/>
    <cellStyle name="Output 2 11 3 2" xfId="19848" xr:uid="{00000000-0005-0000-0000-0000A0920000}"/>
    <cellStyle name="Output 2 11 3 3" xfId="24368" xr:uid="{00000000-0005-0000-0000-0000A1920000}"/>
    <cellStyle name="Output 2 11 3 4" xfId="23697" xr:uid="{00000000-0005-0000-0000-0000A2920000}"/>
    <cellStyle name="Output 2 11 4" xfId="10911" xr:uid="{00000000-0005-0000-0000-0000A3920000}"/>
    <cellStyle name="Output 2 11 4 2" xfId="19437" xr:uid="{00000000-0005-0000-0000-0000A4920000}"/>
    <cellStyle name="Output 2 11 5" xfId="15340" xr:uid="{00000000-0005-0000-0000-0000A5920000}"/>
    <cellStyle name="Output 2 11 5 2" xfId="20835" xr:uid="{00000000-0005-0000-0000-0000A6920000}"/>
    <cellStyle name="Output 2 11 6" xfId="16328" xr:uid="{00000000-0005-0000-0000-0000A7920000}"/>
    <cellStyle name="Output 2 11 6 2" xfId="21884" xr:uid="{00000000-0005-0000-0000-0000A8920000}"/>
    <cellStyle name="Output 2 11 7" xfId="15413" xr:uid="{00000000-0005-0000-0000-0000A9920000}"/>
    <cellStyle name="Output 2 11 7 2" xfId="20909" xr:uid="{00000000-0005-0000-0000-0000AA920000}"/>
    <cellStyle name="Output 2 11 8" xfId="17332" xr:uid="{00000000-0005-0000-0000-0000AB920000}"/>
    <cellStyle name="Output 2 11 8 2" xfId="22976" xr:uid="{00000000-0005-0000-0000-0000AC920000}"/>
    <cellStyle name="Output 2 11 9" xfId="13532" xr:uid="{00000000-0005-0000-0000-0000AD920000}"/>
    <cellStyle name="Output 2 11 9 2" xfId="18509" xr:uid="{00000000-0005-0000-0000-0000AE920000}"/>
    <cellStyle name="Output 2 12" xfId="4263" xr:uid="{00000000-0005-0000-0000-0000AF920000}"/>
    <cellStyle name="Output 2 12 10" xfId="18169" xr:uid="{00000000-0005-0000-0000-0000B0920000}"/>
    <cellStyle name="Output 2 12 2" xfId="11101" xr:uid="{00000000-0005-0000-0000-0000B1920000}"/>
    <cellStyle name="Output 2 12 2 2" xfId="20210" xr:uid="{00000000-0005-0000-0000-0000B2920000}"/>
    <cellStyle name="Output 2 12 2 3" xfId="24683" xr:uid="{00000000-0005-0000-0000-0000B3920000}"/>
    <cellStyle name="Output 2 12 2 4" xfId="24016" xr:uid="{00000000-0005-0000-0000-0000B4920000}"/>
    <cellStyle name="Output 2 12 3" xfId="14557" xr:uid="{00000000-0005-0000-0000-0000B5920000}"/>
    <cellStyle name="Output 2 12 3 2" xfId="19706" xr:uid="{00000000-0005-0000-0000-0000B6920000}"/>
    <cellStyle name="Output 2 12 4" xfId="15083" xr:uid="{00000000-0005-0000-0000-0000B7920000}"/>
    <cellStyle name="Output 2 12 4 2" xfId="20467" xr:uid="{00000000-0005-0000-0000-0000B8920000}"/>
    <cellStyle name="Output 2 12 5" xfId="16563" xr:uid="{00000000-0005-0000-0000-0000B9920000}"/>
    <cellStyle name="Output 2 12 5 2" xfId="22204" xr:uid="{00000000-0005-0000-0000-0000BA920000}"/>
    <cellStyle name="Output 2 12 6" xfId="16927" xr:uid="{00000000-0005-0000-0000-0000BB920000}"/>
    <cellStyle name="Output 2 12 6 2" xfId="22578" xr:uid="{00000000-0005-0000-0000-0000BC920000}"/>
    <cellStyle name="Output 2 12 7" xfId="17647" xr:uid="{00000000-0005-0000-0000-0000BD920000}"/>
    <cellStyle name="Output 2 12 7 2" xfId="23292" xr:uid="{00000000-0005-0000-0000-0000BE920000}"/>
    <cellStyle name="Output 2 12 8" xfId="13851" xr:uid="{00000000-0005-0000-0000-0000BF920000}"/>
    <cellStyle name="Output 2 12 8 2" xfId="18825" xr:uid="{00000000-0005-0000-0000-0000C0920000}"/>
    <cellStyle name="Output 2 12 9" xfId="13180" xr:uid="{00000000-0005-0000-0000-0000C1920000}"/>
    <cellStyle name="Output 2 13" xfId="11004" xr:uid="{00000000-0005-0000-0000-0000C2920000}"/>
    <cellStyle name="Output 2 13 2" xfId="19846" xr:uid="{00000000-0005-0000-0000-0000C3920000}"/>
    <cellStyle name="Output 2 13 3" xfId="24366" xr:uid="{00000000-0005-0000-0000-0000C4920000}"/>
    <cellStyle name="Output 2 13 4" xfId="23695" xr:uid="{00000000-0005-0000-0000-0000C5920000}"/>
    <cellStyle name="Output 2 14" xfId="10938" xr:uid="{00000000-0005-0000-0000-0000C6920000}"/>
    <cellStyle name="Output 2 14 2" xfId="19435" xr:uid="{00000000-0005-0000-0000-0000C7920000}"/>
    <cellStyle name="Output 2 15" xfId="15341" xr:uid="{00000000-0005-0000-0000-0000C8920000}"/>
    <cellStyle name="Output 2 15 2" xfId="20837" xr:uid="{00000000-0005-0000-0000-0000C9920000}"/>
    <cellStyle name="Output 2 16" xfId="16326" xr:uid="{00000000-0005-0000-0000-0000CA920000}"/>
    <cellStyle name="Output 2 16 2" xfId="21882" xr:uid="{00000000-0005-0000-0000-0000CB920000}"/>
    <cellStyle name="Output 2 17" xfId="15165" xr:uid="{00000000-0005-0000-0000-0000CC920000}"/>
    <cellStyle name="Output 2 17 2" xfId="20553" xr:uid="{00000000-0005-0000-0000-0000CD920000}"/>
    <cellStyle name="Output 2 18" xfId="17330" xr:uid="{00000000-0005-0000-0000-0000CE920000}"/>
    <cellStyle name="Output 2 18 2" xfId="22974" xr:uid="{00000000-0005-0000-0000-0000CF920000}"/>
    <cellStyle name="Output 2 19" xfId="13530" xr:uid="{00000000-0005-0000-0000-0000D0920000}"/>
    <cellStyle name="Output 2 19 2" xfId="18507" xr:uid="{00000000-0005-0000-0000-0000D1920000}"/>
    <cellStyle name="Output 2 2" xfId="2812" xr:uid="{00000000-0005-0000-0000-0000D2920000}"/>
    <cellStyle name="Output 2 2 10" xfId="12840" xr:uid="{00000000-0005-0000-0000-0000D3920000}"/>
    <cellStyle name="Output 2 2 11" xfId="17854" xr:uid="{00000000-0005-0000-0000-0000D4920000}"/>
    <cellStyle name="Output 2 2 2" xfId="4264" xr:uid="{00000000-0005-0000-0000-0000D5920000}"/>
    <cellStyle name="Output 2 2 2 10" xfId="18172" xr:uid="{00000000-0005-0000-0000-0000D6920000}"/>
    <cellStyle name="Output 2 2 2 2" xfId="8542" xr:uid="{00000000-0005-0000-0000-0000D7920000}"/>
    <cellStyle name="Output 2 2 2 2 2" xfId="12102" xr:uid="{00000000-0005-0000-0000-0000D8920000}"/>
    <cellStyle name="Output 2 2 2 2 2 2" xfId="20213" xr:uid="{00000000-0005-0000-0000-0000D9920000}"/>
    <cellStyle name="Output 2 2 2 2 2 2 2" xfId="46423" xr:uid="{00000000-0005-0000-0000-0000DA920000}"/>
    <cellStyle name="Output 2 2 2 2 3" xfId="14884" xr:uid="{00000000-0005-0000-0000-0000DB920000}"/>
    <cellStyle name="Output 2 2 2 2 3 2" xfId="24686" xr:uid="{00000000-0005-0000-0000-0000DC920000}"/>
    <cellStyle name="Output 2 2 2 2 3 3" xfId="44966" xr:uid="{00000000-0005-0000-0000-0000DD920000}"/>
    <cellStyle name="Output 2 2 2 2 4" xfId="24019" xr:uid="{00000000-0005-0000-0000-0000DE920000}"/>
    <cellStyle name="Output 2 2 2 3" xfId="11160" xr:uid="{00000000-0005-0000-0000-0000DF920000}"/>
    <cellStyle name="Output 2 2 2 3 2" xfId="19709" xr:uid="{00000000-0005-0000-0000-0000E0920000}"/>
    <cellStyle name="Output 2 2 2 4" xfId="11103" xr:uid="{00000000-0005-0000-0000-0000E1920000}"/>
    <cellStyle name="Output 2 2 2 4 2" xfId="20447" xr:uid="{00000000-0005-0000-0000-0000E2920000}"/>
    <cellStyle name="Output 2 2 2 5" xfId="16566" xr:uid="{00000000-0005-0000-0000-0000E3920000}"/>
    <cellStyle name="Output 2 2 2 5 2" xfId="22207" xr:uid="{00000000-0005-0000-0000-0000E4920000}"/>
    <cellStyle name="Output 2 2 2 6" xfId="16930" xr:uid="{00000000-0005-0000-0000-0000E5920000}"/>
    <cellStyle name="Output 2 2 2 6 2" xfId="22581" xr:uid="{00000000-0005-0000-0000-0000E6920000}"/>
    <cellStyle name="Output 2 2 2 7" xfId="17650" xr:uid="{00000000-0005-0000-0000-0000E7920000}"/>
    <cellStyle name="Output 2 2 2 7 2" xfId="23295" xr:uid="{00000000-0005-0000-0000-0000E8920000}"/>
    <cellStyle name="Output 2 2 2 8" xfId="13854" xr:uid="{00000000-0005-0000-0000-0000E9920000}"/>
    <cellStyle name="Output 2 2 2 8 2" xfId="18828" xr:uid="{00000000-0005-0000-0000-0000EA920000}"/>
    <cellStyle name="Output 2 2 2 9" xfId="13183" xr:uid="{00000000-0005-0000-0000-0000EB920000}"/>
    <cellStyle name="Output 2 2 3" xfId="10099" xr:uid="{00000000-0005-0000-0000-0000EC920000}"/>
    <cellStyle name="Output 2 2 3 2" xfId="19849" xr:uid="{00000000-0005-0000-0000-0000ED920000}"/>
    <cellStyle name="Output 2 2 3 3" xfId="24369" xr:uid="{00000000-0005-0000-0000-0000EE920000}"/>
    <cellStyle name="Output 2 2 3 4" xfId="23698" xr:uid="{00000000-0005-0000-0000-0000EF920000}"/>
    <cellStyle name="Output 2 2 4" xfId="11102" xr:uid="{00000000-0005-0000-0000-0000F0920000}"/>
    <cellStyle name="Output 2 2 4 2" xfId="19438" xr:uid="{00000000-0005-0000-0000-0000F1920000}"/>
    <cellStyle name="Output 2 2 5" xfId="10897" xr:uid="{00000000-0005-0000-0000-0000F2920000}"/>
    <cellStyle name="Output 2 2 5 2" xfId="20834" xr:uid="{00000000-0005-0000-0000-0000F3920000}"/>
    <cellStyle name="Output 2 2 6" xfId="16329" xr:uid="{00000000-0005-0000-0000-0000F4920000}"/>
    <cellStyle name="Output 2 2 6 2" xfId="21885" xr:uid="{00000000-0005-0000-0000-0000F5920000}"/>
    <cellStyle name="Output 2 2 6 3" xfId="41668" xr:uid="{00000000-0005-0000-0000-0000F6920000}"/>
    <cellStyle name="Output 2 2 7" xfId="15412" xr:uid="{00000000-0005-0000-0000-0000F7920000}"/>
    <cellStyle name="Output 2 2 7 2" xfId="20908" xr:uid="{00000000-0005-0000-0000-0000F8920000}"/>
    <cellStyle name="Output 2 2 8" xfId="17333" xr:uid="{00000000-0005-0000-0000-0000F9920000}"/>
    <cellStyle name="Output 2 2 8 2" xfId="22977" xr:uid="{00000000-0005-0000-0000-0000FA920000}"/>
    <cellStyle name="Output 2 2 9" xfId="13533" xr:uid="{00000000-0005-0000-0000-0000FB920000}"/>
    <cellStyle name="Output 2 2 9 2" xfId="18510" xr:uid="{00000000-0005-0000-0000-0000FC920000}"/>
    <cellStyle name="Output 2 20" xfId="12837" xr:uid="{00000000-0005-0000-0000-0000FD920000}"/>
    <cellStyle name="Output 2 21" xfId="17851" xr:uid="{00000000-0005-0000-0000-0000FE920000}"/>
    <cellStyle name="Output 2 3" xfId="2813" xr:uid="{00000000-0005-0000-0000-0000FF920000}"/>
    <cellStyle name="Output 2 3 10" xfId="12841" xr:uid="{00000000-0005-0000-0000-000000930000}"/>
    <cellStyle name="Output 2 3 11" xfId="17855" xr:uid="{00000000-0005-0000-0000-000001930000}"/>
    <cellStyle name="Output 2 3 2" xfId="4265" xr:uid="{00000000-0005-0000-0000-000002930000}"/>
    <cellStyle name="Output 2 3 2 10" xfId="18173" xr:uid="{00000000-0005-0000-0000-000003930000}"/>
    <cellStyle name="Output 2 3 2 2" xfId="8543" xr:uid="{00000000-0005-0000-0000-000004930000}"/>
    <cellStyle name="Output 2 3 2 2 2" xfId="11773" xr:uid="{00000000-0005-0000-0000-000005930000}"/>
    <cellStyle name="Output 2 3 2 2 2 2" xfId="20214" xr:uid="{00000000-0005-0000-0000-000006930000}"/>
    <cellStyle name="Output 2 3 2 2 2 2 2" xfId="46144" xr:uid="{00000000-0005-0000-0000-000007930000}"/>
    <cellStyle name="Output 2 3 2 2 3" xfId="14885" xr:uid="{00000000-0005-0000-0000-000008930000}"/>
    <cellStyle name="Output 2 3 2 2 3 2" xfId="24687" xr:uid="{00000000-0005-0000-0000-000009930000}"/>
    <cellStyle name="Output 2 3 2 2 3 3" xfId="44967" xr:uid="{00000000-0005-0000-0000-00000A930000}"/>
    <cellStyle name="Output 2 3 2 2 4" xfId="24020" xr:uid="{00000000-0005-0000-0000-00000B930000}"/>
    <cellStyle name="Output 2 3 2 3" xfId="11161" xr:uid="{00000000-0005-0000-0000-00000C930000}"/>
    <cellStyle name="Output 2 3 2 3 2" xfId="19710" xr:uid="{00000000-0005-0000-0000-00000D930000}"/>
    <cellStyle name="Output 2 3 2 4" xfId="11030" xr:uid="{00000000-0005-0000-0000-00000E930000}"/>
    <cellStyle name="Output 2 3 2 4 2" xfId="20446" xr:uid="{00000000-0005-0000-0000-00000F930000}"/>
    <cellStyle name="Output 2 3 2 5" xfId="16567" xr:uid="{00000000-0005-0000-0000-000010930000}"/>
    <cellStyle name="Output 2 3 2 5 2" xfId="22208" xr:uid="{00000000-0005-0000-0000-000011930000}"/>
    <cellStyle name="Output 2 3 2 6" xfId="16931" xr:uid="{00000000-0005-0000-0000-000012930000}"/>
    <cellStyle name="Output 2 3 2 6 2" xfId="22582" xr:uid="{00000000-0005-0000-0000-000013930000}"/>
    <cellStyle name="Output 2 3 2 7" xfId="17651" xr:uid="{00000000-0005-0000-0000-000014930000}"/>
    <cellStyle name="Output 2 3 2 7 2" xfId="23296" xr:uid="{00000000-0005-0000-0000-000015930000}"/>
    <cellStyle name="Output 2 3 2 8" xfId="13855" xr:uid="{00000000-0005-0000-0000-000016930000}"/>
    <cellStyle name="Output 2 3 2 8 2" xfId="18829" xr:uid="{00000000-0005-0000-0000-000017930000}"/>
    <cellStyle name="Output 2 3 2 9" xfId="13184" xr:uid="{00000000-0005-0000-0000-000018930000}"/>
    <cellStyle name="Output 2 3 3" xfId="10100" xr:uid="{00000000-0005-0000-0000-000019930000}"/>
    <cellStyle name="Output 2 3 3 2" xfId="19850" xr:uid="{00000000-0005-0000-0000-00001A930000}"/>
    <cellStyle name="Output 2 3 3 3" xfId="24370" xr:uid="{00000000-0005-0000-0000-00001B930000}"/>
    <cellStyle name="Output 2 3 3 4" xfId="23699" xr:uid="{00000000-0005-0000-0000-00001C930000}"/>
    <cellStyle name="Output 2 3 4" xfId="11029" xr:uid="{00000000-0005-0000-0000-00001D930000}"/>
    <cellStyle name="Output 2 3 4 2" xfId="19439" xr:uid="{00000000-0005-0000-0000-00001E930000}"/>
    <cellStyle name="Output 2 3 5" xfId="10881" xr:uid="{00000000-0005-0000-0000-00001F930000}"/>
    <cellStyle name="Output 2 3 5 2" xfId="20833" xr:uid="{00000000-0005-0000-0000-000020930000}"/>
    <cellStyle name="Output 2 3 6" xfId="16330" xr:uid="{00000000-0005-0000-0000-000021930000}"/>
    <cellStyle name="Output 2 3 6 2" xfId="21886" xr:uid="{00000000-0005-0000-0000-000022930000}"/>
    <cellStyle name="Output 2 3 6 3" xfId="41669" xr:uid="{00000000-0005-0000-0000-000023930000}"/>
    <cellStyle name="Output 2 3 7" xfId="15411" xr:uid="{00000000-0005-0000-0000-000024930000}"/>
    <cellStyle name="Output 2 3 7 2" xfId="20907" xr:uid="{00000000-0005-0000-0000-000025930000}"/>
    <cellStyle name="Output 2 3 8" xfId="17334" xr:uid="{00000000-0005-0000-0000-000026930000}"/>
    <cellStyle name="Output 2 3 8 2" xfId="22978" xr:uid="{00000000-0005-0000-0000-000027930000}"/>
    <cellStyle name="Output 2 3 9" xfId="13534" xr:uid="{00000000-0005-0000-0000-000028930000}"/>
    <cellStyle name="Output 2 3 9 2" xfId="18511" xr:uid="{00000000-0005-0000-0000-000029930000}"/>
    <cellStyle name="Output 2 4" xfId="2814" xr:uid="{00000000-0005-0000-0000-00002A930000}"/>
    <cellStyle name="Output 2 4 10" xfId="12842" xr:uid="{00000000-0005-0000-0000-00002B930000}"/>
    <cellStyle name="Output 2 4 11" xfId="17856" xr:uid="{00000000-0005-0000-0000-00002C930000}"/>
    <cellStyle name="Output 2 4 2" xfId="4266" xr:uid="{00000000-0005-0000-0000-00002D930000}"/>
    <cellStyle name="Output 2 4 2 10" xfId="18174" xr:uid="{00000000-0005-0000-0000-00002E930000}"/>
    <cellStyle name="Output 2 4 2 2" xfId="8544" xr:uid="{00000000-0005-0000-0000-00002F930000}"/>
    <cellStyle name="Output 2 4 2 2 2" xfId="11073" xr:uid="{00000000-0005-0000-0000-000030930000}"/>
    <cellStyle name="Output 2 4 2 2 2 2" xfId="20215" xr:uid="{00000000-0005-0000-0000-000031930000}"/>
    <cellStyle name="Output 2 4 2 2 2 2 2" xfId="45762" xr:uid="{00000000-0005-0000-0000-000032930000}"/>
    <cellStyle name="Output 2 4 2 2 3" xfId="14886" xr:uid="{00000000-0005-0000-0000-000033930000}"/>
    <cellStyle name="Output 2 4 2 2 3 2" xfId="24688" xr:uid="{00000000-0005-0000-0000-000034930000}"/>
    <cellStyle name="Output 2 4 2 2 3 3" xfId="44968" xr:uid="{00000000-0005-0000-0000-000035930000}"/>
    <cellStyle name="Output 2 4 2 2 4" xfId="24021" xr:uid="{00000000-0005-0000-0000-000036930000}"/>
    <cellStyle name="Output 2 4 2 3" xfId="11162" xr:uid="{00000000-0005-0000-0000-000037930000}"/>
    <cellStyle name="Output 2 4 2 3 2" xfId="19711" xr:uid="{00000000-0005-0000-0000-000038930000}"/>
    <cellStyle name="Output 2 4 2 4" xfId="11104" xr:uid="{00000000-0005-0000-0000-000039930000}"/>
    <cellStyle name="Output 2 4 2 4 2" xfId="20445" xr:uid="{00000000-0005-0000-0000-00003A930000}"/>
    <cellStyle name="Output 2 4 2 5" xfId="16568" xr:uid="{00000000-0005-0000-0000-00003B930000}"/>
    <cellStyle name="Output 2 4 2 5 2" xfId="22209" xr:uid="{00000000-0005-0000-0000-00003C930000}"/>
    <cellStyle name="Output 2 4 2 6" xfId="16932" xr:uid="{00000000-0005-0000-0000-00003D930000}"/>
    <cellStyle name="Output 2 4 2 6 2" xfId="22583" xr:uid="{00000000-0005-0000-0000-00003E930000}"/>
    <cellStyle name="Output 2 4 2 7" xfId="17652" xr:uid="{00000000-0005-0000-0000-00003F930000}"/>
    <cellStyle name="Output 2 4 2 7 2" xfId="23297" xr:uid="{00000000-0005-0000-0000-000040930000}"/>
    <cellStyle name="Output 2 4 2 8" xfId="13856" xr:uid="{00000000-0005-0000-0000-000041930000}"/>
    <cellStyle name="Output 2 4 2 8 2" xfId="18830" xr:uid="{00000000-0005-0000-0000-000042930000}"/>
    <cellStyle name="Output 2 4 2 9" xfId="13185" xr:uid="{00000000-0005-0000-0000-000043930000}"/>
    <cellStyle name="Output 2 4 3" xfId="10101" xr:uid="{00000000-0005-0000-0000-000044930000}"/>
    <cellStyle name="Output 2 4 3 2" xfId="19851" xr:uid="{00000000-0005-0000-0000-000045930000}"/>
    <cellStyle name="Output 2 4 3 3" xfId="24371" xr:uid="{00000000-0005-0000-0000-000046930000}"/>
    <cellStyle name="Output 2 4 3 4" xfId="23700" xr:uid="{00000000-0005-0000-0000-000047930000}"/>
    <cellStyle name="Output 2 4 4" xfId="11031" xr:uid="{00000000-0005-0000-0000-000048930000}"/>
    <cellStyle name="Output 2 4 4 2" xfId="19440" xr:uid="{00000000-0005-0000-0000-000049930000}"/>
    <cellStyle name="Output 2 4 5" xfId="10640" xr:uid="{00000000-0005-0000-0000-00004A930000}"/>
    <cellStyle name="Output 2 4 5 2" xfId="20832" xr:uid="{00000000-0005-0000-0000-00004B930000}"/>
    <cellStyle name="Output 2 4 6" xfId="16331" xr:uid="{00000000-0005-0000-0000-00004C930000}"/>
    <cellStyle name="Output 2 4 6 2" xfId="21887" xr:uid="{00000000-0005-0000-0000-00004D930000}"/>
    <cellStyle name="Output 2 4 6 3" xfId="41670" xr:uid="{00000000-0005-0000-0000-00004E930000}"/>
    <cellStyle name="Output 2 4 7" xfId="15410" xr:uid="{00000000-0005-0000-0000-00004F930000}"/>
    <cellStyle name="Output 2 4 7 2" xfId="20906" xr:uid="{00000000-0005-0000-0000-000050930000}"/>
    <cellStyle name="Output 2 4 8" xfId="17335" xr:uid="{00000000-0005-0000-0000-000051930000}"/>
    <cellStyle name="Output 2 4 8 2" xfId="22979" xr:uid="{00000000-0005-0000-0000-000052930000}"/>
    <cellStyle name="Output 2 4 9" xfId="13535" xr:uid="{00000000-0005-0000-0000-000053930000}"/>
    <cellStyle name="Output 2 4 9 2" xfId="18512" xr:uid="{00000000-0005-0000-0000-000054930000}"/>
    <cellStyle name="Output 2 5" xfId="2815" xr:uid="{00000000-0005-0000-0000-000055930000}"/>
    <cellStyle name="Output 2 5 10" xfId="12843" xr:uid="{00000000-0005-0000-0000-000056930000}"/>
    <cellStyle name="Output 2 5 11" xfId="17857" xr:uid="{00000000-0005-0000-0000-000057930000}"/>
    <cellStyle name="Output 2 5 2" xfId="4267" xr:uid="{00000000-0005-0000-0000-000058930000}"/>
    <cellStyle name="Output 2 5 2 10" xfId="18175" xr:uid="{00000000-0005-0000-0000-000059930000}"/>
    <cellStyle name="Output 2 5 2 2" xfId="8545" xr:uid="{00000000-0005-0000-0000-00005A930000}"/>
    <cellStyle name="Output 2 5 2 2 2" xfId="11074" xr:uid="{00000000-0005-0000-0000-00005B930000}"/>
    <cellStyle name="Output 2 5 2 2 2 2" xfId="20216" xr:uid="{00000000-0005-0000-0000-00005C930000}"/>
    <cellStyle name="Output 2 5 2 2 2 2 2" xfId="45763" xr:uid="{00000000-0005-0000-0000-00005D930000}"/>
    <cellStyle name="Output 2 5 2 2 3" xfId="14887" xr:uid="{00000000-0005-0000-0000-00005E930000}"/>
    <cellStyle name="Output 2 5 2 2 3 2" xfId="24689" xr:uid="{00000000-0005-0000-0000-00005F930000}"/>
    <cellStyle name="Output 2 5 2 2 3 3" xfId="44969" xr:uid="{00000000-0005-0000-0000-000060930000}"/>
    <cellStyle name="Output 2 5 2 2 4" xfId="24022" xr:uid="{00000000-0005-0000-0000-000061930000}"/>
    <cellStyle name="Output 2 5 2 3" xfId="11163" xr:uid="{00000000-0005-0000-0000-000062930000}"/>
    <cellStyle name="Output 2 5 2 3 2" xfId="19712" xr:uid="{00000000-0005-0000-0000-000063930000}"/>
    <cellStyle name="Output 2 5 2 4" xfId="11106" xr:uid="{00000000-0005-0000-0000-000064930000}"/>
    <cellStyle name="Output 2 5 2 4 2" xfId="20444" xr:uid="{00000000-0005-0000-0000-000065930000}"/>
    <cellStyle name="Output 2 5 2 5" xfId="16569" xr:uid="{00000000-0005-0000-0000-000066930000}"/>
    <cellStyle name="Output 2 5 2 5 2" xfId="22210" xr:uid="{00000000-0005-0000-0000-000067930000}"/>
    <cellStyle name="Output 2 5 2 6" xfId="16933" xr:uid="{00000000-0005-0000-0000-000068930000}"/>
    <cellStyle name="Output 2 5 2 6 2" xfId="22584" xr:uid="{00000000-0005-0000-0000-000069930000}"/>
    <cellStyle name="Output 2 5 2 7" xfId="17653" xr:uid="{00000000-0005-0000-0000-00006A930000}"/>
    <cellStyle name="Output 2 5 2 7 2" xfId="23298" xr:uid="{00000000-0005-0000-0000-00006B930000}"/>
    <cellStyle name="Output 2 5 2 8" xfId="13857" xr:uid="{00000000-0005-0000-0000-00006C930000}"/>
    <cellStyle name="Output 2 5 2 8 2" xfId="18831" xr:uid="{00000000-0005-0000-0000-00006D930000}"/>
    <cellStyle name="Output 2 5 2 9" xfId="13186" xr:uid="{00000000-0005-0000-0000-00006E930000}"/>
    <cellStyle name="Output 2 5 3" xfId="10104" xr:uid="{00000000-0005-0000-0000-00006F930000}"/>
    <cellStyle name="Output 2 5 3 2" xfId="19852" xr:uid="{00000000-0005-0000-0000-000070930000}"/>
    <cellStyle name="Output 2 5 3 3" xfId="24372" xr:uid="{00000000-0005-0000-0000-000071930000}"/>
    <cellStyle name="Output 2 5 3 4" xfId="23701" xr:uid="{00000000-0005-0000-0000-000072930000}"/>
    <cellStyle name="Output 2 5 4" xfId="11105" xr:uid="{00000000-0005-0000-0000-000073930000}"/>
    <cellStyle name="Output 2 5 4 2" xfId="19441" xr:uid="{00000000-0005-0000-0000-000074930000}"/>
    <cellStyle name="Output 2 5 5" xfId="10627" xr:uid="{00000000-0005-0000-0000-000075930000}"/>
    <cellStyle name="Output 2 5 5 2" xfId="20831" xr:uid="{00000000-0005-0000-0000-000076930000}"/>
    <cellStyle name="Output 2 5 6" xfId="16332" xr:uid="{00000000-0005-0000-0000-000077930000}"/>
    <cellStyle name="Output 2 5 6 2" xfId="21888" xr:uid="{00000000-0005-0000-0000-000078930000}"/>
    <cellStyle name="Output 2 5 6 3" xfId="41671" xr:uid="{00000000-0005-0000-0000-000079930000}"/>
    <cellStyle name="Output 2 5 7" xfId="15409" xr:uid="{00000000-0005-0000-0000-00007A930000}"/>
    <cellStyle name="Output 2 5 7 2" xfId="20905" xr:uid="{00000000-0005-0000-0000-00007B930000}"/>
    <cellStyle name="Output 2 5 8" xfId="17336" xr:uid="{00000000-0005-0000-0000-00007C930000}"/>
    <cellStyle name="Output 2 5 8 2" xfId="22980" xr:uid="{00000000-0005-0000-0000-00007D930000}"/>
    <cellStyle name="Output 2 5 9" xfId="13536" xr:uid="{00000000-0005-0000-0000-00007E930000}"/>
    <cellStyle name="Output 2 5 9 2" xfId="18513" xr:uid="{00000000-0005-0000-0000-00007F930000}"/>
    <cellStyle name="Output 2 6" xfId="2816" xr:uid="{00000000-0005-0000-0000-000080930000}"/>
    <cellStyle name="Output 2 6 10" xfId="12844" xr:uid="{00000000-0005-0000-0000-000081930000}"/>
    <cellStyle name="Output 2 6 11" xfId="17858" xr:uid="{00000000-0005-0000-0000-000082930000}"/>
    <cellStyle name="Output 2 6 2" xfId="4268" xr:uid="{00000000-0005-0000-0000-000083930000}"/>
    <cellStyle name="Output 2 6 2 10" xfId="18176" xr:uid="{00000000-0005-0000-0000-000084930000}"/>
    <cellStyle name="Output 2 6 2 2" xfId="8546" xr:uid="{00000000-0005-0000-0000-000085930000}"/>
    <cellStyle name="Output 2 6 2 2 2" xfId="11354" xr:uid="{00000000-0005-0000-0000-000086930000}"/>
    <cellStyle name="Output 2 6 2 2 2 2" xfId="20217" xr:uid="{00000000-0005-0000-0000-000087930000}"/>
    <cellStyle name="Output 2 6 2 2 2 2 2" xfId="45789" xr:uid="{00000000-0005-0000-0000-000088930000}"/>
    <cellStyle name="Output 2 6 2 2 3" xfId="14888" xr:uid="{00000000-0005-0000-0000-000089930000}"/>
    <cellStyle name="Output 2 6 2 2 3 2" xfId="24690" xr:uid="{00000000-0005-0000-0000-00008A930000}"/>
    <cellStyle name="Output 2 6 2 2 3 3" xfId="44970" xr:uid="{00000000-0005-0000-0000-00008B930000}"/>
    <cellStyle name="Output 2 6 2 2 4" xfId="24023" xr:uid="{00000000-0005-0000-0000-00008C930000}"/>
    <cellStyle name="Output 2 6 2 3" xfId="11164" xr:uid="{00000000-0005-0000-0000-00008D930000}"/>
    <cellStyle name="Output 2 6 2 3 2" xfId="19713" xr:uid="{00000000-0005-0000-0000-00008E930000}"/>
    <cellStyle name="Output 2 6 2 4" xfId="11311" xr:uid="{00000000-0005-0000-0000-00008F930000}"/>
    <cellStyle name="Output 2 6 2 4 2" xfId="20443" xr:uid="{00000000-0005-0000-0000-000090930000}"/>
    <cellStyle name="Output 2 6 2 5" xfId="16570" xr:uid="{00000000-0005-0000-0000-000091930000}"/>
    <cellStyle name="Output 2 6 2 5 2" xfId="22211" xr:uid="{00000000-0005-0000-0000-000092930000}"/>
    <cellStyle name="Output 2 6 2 6" xfId="16934" xr:uid="{00000000-0005-0000-0000-000093930000}"/>
    <cellStyle name="Output 2 6 2 6 2" xfId="22585" xr:uid="{00000000-0005-0000-0000-000094930000}"/>
    <cellStyle name="Output 2 6 2 7" xfId="17654" xr:uid="{00000000-0005-0000-0000-000095930000}"/>
    <cellStyle name="Output 2 6 2 7 2" xfId="23299" xr:uid="{00000000-0005-0000-0000-000096930000}"/>
    <cellStyle name="Output 2 6 2 8" xfId="13858" xr:uid="{00000000-0005-0000-0000-000097930000}"/>
    <cellStyle name="Output 2 6 2 8 2" xfId="18832" xr:uid="{00000000-0005-0000-0000-000098930000}"/>
    <cellStyle name="Output 2 6 2 9" xfId="13187" xr:uid="{00000000-0005-0000-0000-000099930000}"/>
    <cellStyle name="Output 2 6 3" xfId="10105" xr:uid="{00000000-0005-0000-0000-00009A930000}"/>
    <cellStyle name="Output 2 6 3 2" xfId="19853" xr:uid="{00000000-0005-0000-0000-00009B930000}"/>
    <cellStyle name="Output 2 6 3 3" xfId="24373" xr:uid="{00000000-0005-0000-0000-00009C930000}"/>
    <cellStyle name="Output 2 6 3 4" xfId="23702" xr:uid="{00000000-0005-0000-0000-00009D930000}"/>
    <cellStyle name="Output 2 6 4" xfId="11310" xr:uid="{00000000-0005-0000-0000-00009E930000}"/>
    <cellStyle name="Output 2 6 4 2" xfId="19442" xr:uid="{00000000-0005-0000-0000-00009F930000}"/>
    <cellStyle name="Output 2 6 5" xfId="10614" xr:uid="{00000000-0005-0000-0000-0000A0930000}"/>
    <cellStyle name="Output 2 6 5 2" xfId="20830" xr:uid="{00000000-0005-0000-0000-0000A1930000}"/>
    <cellStyle name="Output 2 6 6" xfId="16333" xr:uid="{00000000-0005-0000-0000-0000A2930000}"/>
    <cellStyle name="Output 2 6 6 2" xfId="21889" xr:uid="{00000000-0005-0000-0000-0000A3930000}"/>
    <cellStyle name="Output 2 6 6 3" xfId="41672" xr:uid="{00000000-0005-0000-0000-0000A4930000}"/>
    <cellStyle name="Output 2 6 7" xfId="16248" xr:uid="{00000000-0005-0000-0000-0000A5930000}"/>
    <cellStyle name="Output 2 6 7 2" xfId="21799" xr:uid="{00000000-0005-0000-0000-0000A6930000}"/>
    <cellStyle name="Output 2 6 8" xfId="17337" xr:uid="{00000000-0005-0000-0000-0000A7930000}"/>
    <cellStyle name="Output 2 6 8 2" xfId="22981" xr:uid="{00000000-0005-0000-0000-0000A8930000}"/>
    <cellStyle name="Output 2 6 9" xfId="13537" xr:uid="{00000000-0005-0000-0000-0000A9930000}"/>
    <cellStyle name="Output 2 6 9 2" xfId="18514" xr:uid="{00000000-0005-0000-0000-0000AA930000}"/>
    <cellStyle name="Output 2 7" xfId="2817" xr:uid="{00000000-0005-0000-0000-0000AB930000}"/>
    <cellStyle name="Output 2 7 10" xfId="12845" xr:uid="{00000000-0005-0000-0000-0000AC930000}"/>
    <cellStyle name="Output 2 7 11" xfId="17859" xr:uid="{00000000-0005-0000-0000-0000AD930000}"/>
    <cellStyle name="Output 2 7 2" xfId="4269" xr:uid="{00000000-0005-0000-0000-0000AE930000}"/>
    <cellStyle name="Output 2 7 2 10" xfId="18177" xr:uid="{00000000-0005-0000-0000-0000AF930000}"/>
    <cellStyle name="Output 2 7 2 2" xfId="8547" xr:uid="{00000000-0005-0000-0000-0000B0930000}"/>
    <cellStyle name="Output 2 7 2 2 2" xfId="12103" xr:uid="{00000000-0005-0000-0000-0000B1930000}"/>
    <cellStyle name="Output 2 7 2 2 2 2" xfId="20218" xr:uid="{00000000-0005-0000-0000-0000B2930000}"/>
    <cellStyle name="Output 2 7 2 2 2 2 2" xfId="46424" xr:uid="{00000000-0005-0000-0000-0000B3930000}"/>
    <cellStyle name="Output 2 7 2 2 3" xfId="14889" xr:uid="{00000000-0005-0000-0000-0000B4930000}"/>
    <cellStyle name="Output 2 7 2 2 3 2" xfId="24691" xr:uid="{00000000-0005-0000-0000-0000B5930000}"/>
    <cellStyle name="Output 2 7 2 2 3 3" xfId="44971" xr:uid="{00000000-0005-0000-0000-0000B6930000}"/>
    <cellStyle name="Output 2 7 2 2 4" xfId="24024" xr:uid="{00000000-0005-0000-0000-0000B7930000}"/>
    <cellStyle name="Output 2 7 2 3" xfId="11165" xr:uid="{00000000-0005-0000-0000-0000B8930000}"/>
    <cellStyle name="Output 2 7 2 3 2" xfId="19714" xr:uid="{00000000-0005-0000-0000-0000B9930000}"/>
    <cellStyle name="Output 2 7 2 4" xfId="11108" xr:uid="{00000000-0005-0000-0000-0000BA930000}"/>
    <cellStyle name="Output 2 7 2 4 2" xfId="20442" xr:uid="{00000000-0005-0000-0000-0000BB930000}"/>
    <cellStyle name="Output 2 7 2 5" xfId="16571" xr:uid="{00000000-0005-0000-0000-0000BC930000}"/>
    <cellStyle name="Output 2 7 2 5 2" xfId="22212" xr:uid="{00000000-0005-0000-0000-0000BD930000}"/>
    <cellStyle name="Output 2 7 2 6" xfId="16935" xr:uid="{00000000-0005-0000-0000-0000BE930000}"/>
    <cellStyle name="Output 2 7 2 6 2" xfId="22586" xr:uid="{00000000-0005-0000-0000-0000BF930000}"/>
    <cellStyle name="Output 2 7 2 7" xfId="17655" xr:uid="{00000000-0005-0000-0000-0000C0930000}"/>
    <cellStyle name="Output 2 7 2 7 2" xfId="23300" xr:uid="{00000000-0005-0000-0000-0000C1930000}"/>
    <cellStyle name="Output 2 7 2 8" xfId="13859" xr:uid="{00000000-0005-0000-0000-0000C2930000}"/>
    <cellStyle name="Output 2 7 2 8 2" xfId="18833" xr:uid="{00000000-0005-0000-0000-0000C3930000}"/>
    <cellStyle name="Output 2 7 2 9" xfId="13188" xr:uid="{00000000-0005-0000-0000-0000C4930000}"/>
    <cellStyle name="Output 2 7 3" xfId="10106" xr:uid="{00000000-0005-0000-0000-0000C5930000}"/>
    <cellStyle name="Output 2 7 3 2" xfId="19854" xr:uid="{00000000-0005-0000-0000-0000C6930000}"/>
    <cellStyle name="Output 2 7 3 3" xfId="24374" xr:uid="{00000000-0005-0000-0000-0000C7930000}"/>
    <cellStyle name="Output 2 7 3 4" xfId="23703" xr:uid="{00000000-0005-0000-0000-0000C8930000}"/>
    <cellStyle name="Output 2 7 4" xfId="11107" xr:uid="{00000000-0005-0000-0000-0000C9930000}"/>
    <cellStyle name="Output 2 7 4 2" xfId="19443" xr:uid="{00000000-0005-0000-0000-0000CA930000}"/>
    <cellStyle name="Output 2 7 5" xfId="10323" xr:uid="{00000000-0005-0000-0000-0000CB930000}"/>
    <cellStyle name="Output 2 7 5 2" xfId="20829" xr:uid="{00000000-0005-0000-0000-0000CC930000}"/>
    <cellStyle name="Output 2 7 6" xfId="16334" xr:uid="{00000000-0005-0000-0000-0000CD930000}"/>
    <cellStyle name="Output 2 7 6 2" xfId="21890" xr:uid="{00000000-0005-0000-0000-0000CE930000}"/>
    <cellStyle name="Output 2 7 6 3" xfId="41673" xr:uid="{00000000-0005-0000-0000-0000CF930000}"/>
    <cellStyle name="Output 2 7 7" xfId="16252" xr:uid="{00000000-0005-0000-0000-0000D0930000}"/>
    <cellStyle name="Output 2 7 7 2" xfId="21805" xr:uid="{00000000-0005-0000-0000-0000D1930000}"/>
    <cellStyle name="Output 2 7 8" xfId="17338" xr:uid="{00000000-0005-0000-0000-0000D2930000}"/>
    <cellStyle name="Output 2 7 8 2" xfId="22982" xr:uid="{00000000-0005-0000-0000-0000D3930000}"/>
    <cellStyle name="Output 2 7 9" xfId="13538" xr:uid="{00000000-0005-0000-0000-0000D4930000}"/>
    <cellStyle name="Output 2 7 9 2" xfId="18515" xr:uid="{00000000-0005-0000-0000-0000D5930000}"/>
    <cellStyle name="Output 2 8" xfId="2818" xr:uid="{00000000-0005-0000-0000-0000D6930000}"/>
    <cellStyle name="Output 2 8 10" xfId="12846" xr:uid="{00000000-0005-0000-0000-0000D7930000}"/>
    <cellStyle name="Output 2 8 11" xfId="17860" xr:uid="{00000000-0005-0000-0000-0000D8930000}"/>
    <cellStyle name="Output 2 8 2" xfId="4270" xr:uid="{00000000-0005-0000-0000-0000D9930000}"/>
    <cellStyle name="Output 2 8 2 10" xfId="18178" xr:uid="{00000000-0005-0000-0000-0000DA930000}"/>
    <cellStyle name="Output 2 8 2 2" xfId="8548" xr:uid="{00000000-0005-0000-0000-0000DB930000}"/>
    <cellStyle name="Output 2 8 2 2 2" xfId="11772" xr:uid="{00000000-0005-0000-0000-0000DC930000}"/>
    <cellStyle name="Output 2 8 2 2 2 2" xfId="20219" xr:uid="{00000000-0005-0000-0000-0000DD930000}"/>
    <cellStyle name="Output 2 8 2 2 2 2 2" xfId="46143" xr:uid="{00000000-0005-0000-0000-0000DE930000}"/>
    <cellStyle name="Output 2 8 2 2 3" xfId="14890" xr:uid="{00000000-0005-0000-0000-0000DF930000}"/>
    <cellStyle name="Output 2 8 2 2 3 2" xfId="24692" xr:uid="{00000000-0005-0000-0000-0000E0930000}"/>
    <cellStyle name="Output 2 8 2 2 3 3" xfId="44972" xr:uid="{00000000-0005-0000-0000-0000E1930000}"/>
    <cellStyle name="Output 2 8 2 2 4" xfId="24025" xr:uid="{00000000-0005-0000-0000-0000E2930000}"/>
    <cellStyle name="Output 2 8 2 3" xfId="11166" xr:uid="{00000000-0005-0000-0000-0000E3930000}"/>
    <cellStyle name="Output 2 8 2 3 2" xfId="19715" xr:uid="{00000000-0005-0000-0000-0000E4930000}"/>
    <cellStyle name="Output 2 8 2 4" xfId="11032" xr:uid="{00000000-0005-0000-0000-0000E5930000}"/>
    <cellStyle name="Output 2 8 2 4 2" xfId="21677" xr:uid="{00000000-0005-0000-0000-0000E6930000}"/>
    <cellStyle name="Output 2 8 2 5" xfId="16572" xr:uid="{00000000-0005-0000-0000-0000E7930000}"/>
    <cellStyle name="Output 2 8 2 5 2" xfId="22213" xr:uid="{00000000-0005-0000-0000-0000E8930000}"/>
    <cellStyle name="Output 2 8 2 6" xfId="16936" xr:uid="{00000000-0005-0000-0000-0000E9930000}"/>
    <cellStyle name="Output 2 8 2 6 2" xfId="22587" xr:uid="{00000000-0005-0000-0000-0000EA930000}"/>
    <cellStyle name="Output 2 8 2 7" xfId="17656" xr:uid="{00000000-0005-0000-0000-0000EB930000}"/>
    <cellStyle name="Output 2 8 2 7 2" xfId="23301" xr:uid="{00000000-0005-0000-0000-0000EC930000}"/>
    <cellStyle name="Output 2 8 2 8" xfId="13860" xr:uid="{00000000-0005-0000-0000-0000ED930000}"/>
    <cellStyle name="Output 2 8 2 8 2" xfId="18834" xr:uid="{00000000-0005-0000-0000-0000EE930000}"/>
    <cellStyle name="Output 2 8 2 9" xfId="13189" xr:uid="{00000000-0005-0000-0000-0000EF930000}"/>
    <cellStyle name="Output 2 8 3" xfId="10107" xr:uid="{00000000-0005-0000-0000-0000F0930000}"/>
    <cellStyle name="Output 2 8 3 2" xfId="19855" xr:uid="{00000000-0005-0000-0000-0000F1930000}"/>
    <cellStyle name="Output 2 8 3 3" xfId="24375" xr:uid="{00000000-0005-0000-0000-0000F2930000}"/>
    <cellStyle name="Output 2 8 3 4" xfId="23704" xr:uid="{00000000-0005-0000-0000-0000F3930000}"/>
    <cellStyle name="Output 2 8 4" xfId="11280" xr:uid="{00000000-0005-0000-0000-0000F4930000}"/>
    <cellStyle name="Output 2 8 4 2" xfId="19444" xr:uid="{00000000-0005-0000-0000-0000F5930000}"/>
    <cellStyle name="Output 2 8 5" xfId="10896" xr:uid="{00000000-0005-0000-0000-0000F6930000}"/>
    <cellStyle name="Output 2 8 5 2" xfId="20828" xr:uid="{00000000-0005-0000-0000-0000F7930000}"/>
    <cellStyle name="Output 2 8 6" xfId="16335" xr:uid="{00000000-0005-0000-0000-0000F8930000}"/>
    <cellStyle name="Output 2 8 6 2" xfId="21891" xr:uid="{00000000-0005-0000-0000-0000F9930000}"/>
    <cellStyle name="Output 2 8 6 3" xfId="41674" xr:uid="{00000000-0005-0000-0000-0000FA930000}"/>
    <cellStyle name="Output 2 8 7" xfId="16253" xr:uid="{00000000-0005-0000-0000-0000FB930000}"/>
    <cellStyle name="Output 2 8 7 2" xfId="21806" xr:uid="{00000000-0005-0000-0000-0000FC930000}"/>
    <cellStyle name="Output 2 8 8" xfId="17339" xr:uid="{00000000-0005-0000-0000-0000FD930000}"/>
    <cellStyle name="Output 2 8 8 2" xfId="22983" xr:uid="{00000000-0005-0000-0000-0000FE930000}"/>
    <cellStyle name="Output 2 8 9" xfId="13539" xr:uid="{00000000-0005-0000-0000-0000FF930000}"/>
    <cellStyle name="Output 2 8 9 2" xfId="18516" xr:uid="{00000000-0005-0000-0000-000000940000}"/>
    <cellStyle name="Output 2 9" xfId="2819" xr:uid="{00000000-0005-0000-0000-000001940000}"/>
    <cellStyle name="Output 2 9 10" xfId="12847" xr:uid="{00000000-0005-0000-0000-000002940000}"/>
    <cellStyle name="Output 2 9 11" xfId="17861" xr:uid="{00000000-0005-0000-0000-000003940000}"/>
    <cellStyle name="Output 2 9 2" xfId="4271" xr:uid="{00000000-0005-0000-0000-000004940000}"/>
    <cellStyle name="Output 2 9 2 10" xfId="18179" xr:uid="{00000000-0005-0000-0000-000005940000}"/>
    <cellStyle name="Output 2 9 2 2" xfId="8549" xr:uid="{00000000-0005-0000-0000-000006940000}"/>
    <cellStyle name="Output 2 9 2 2 2" xfId="11240" xr:uid="{00000000-0005-0000-0000-000007940000}"/>
    <cellStyle name="Output 2 9 2 2 2 2" xfId="20220" xr:uid="{00000000-0005-0000-0000-000008940000}"/>
    <cellStyle name="Output 2 9 2 2 2 2 2" xfId="45766" xr:uid="{00000000-0005-0000-0000-000009940000}"/>
    <cellStyle name="Output 2 9 2 2 3" xfId="14891" xr:uid="{00000000-0005-0000-0000-00000A940000}"/>
    <cellStyle name="Output 2 9 2 2 3 2" xfId="24693" xr:uid="{00000000-0005-0000-0000-00000B940000}"/>
    <cellStyle name="Output 2 9 2 2 3 3" xfId="44973" xr:uid="{00000000-0005-0000-0000-00000C940000}"/>
    <cellStyle name="Output 2 9 2 2 4" xfId="24026" xr:uid="{00000000-0005-0000-0000-00000D940000}"/>
    <cellStyle name="Output 2 9 2 3" xfId="11167" xr:uid="{00000000-0005-0000-0000-00000E940000}"/>
    <cellStyle name="Output 2 9 2 3 2" xfId="19716" xr:uid="{00000000-0005-0000-0000-00000F940000}"/>
    <cellStyle name="Output 2 9 2 4" xfId="11034" xr:uid="{00000000-0005-0000-0000-000010940000}"/>
    <cellStyle name="Output 2 9 2 4 2" xfId="21678" xr:uid="{00000000-0005-0000-0000-000011940000}"/>
    <cellStyle name="Output 2 9 2 5" xfId="16573" xr:uid="{00000000-0005-0000-0000-000012940000}"/>
    <cellStyle name="Output 2 9 2 5 2" xfId="22214" xr:uid="{00000000-0005-0000-0000-000013940000}"/>
    <cellStyle name="Output 2 9 2 6" xfId="16937" xr:uid="{00000000-0005-0000-0000-000014940000}"/>
    <cellStyle name="Output 2 9 2 6 2" xfId="22588" xr:uid="{00000000-0005-0000-0000-000015940000}"/>
    <cellStyle name="Output 2 9 2 7" xfId="17657" xr:uid="{00000000-0005-0000-0000-000016940000}"/>
    <cellStyle name="Output 2 9 2 7 2" xfId="23302" xr:uid="{00000000-0005-0000-0000-000017940000}"/>
    <cellStyle name="Output 2 9 2 8" xfId="13861" xr:uid="{00000000-0005-0000-0000-000018940000}"/>
    <cellStyle name="Output 2 9 2 8 2" xfId="18835" xr:uid="{00000000-0005-0000-0000-000019940000}"/>
    <cellStyle name="Output 2 9 2 9" xfId="13190" xr:uid="{00000000-0005-0000-0000-00001A940000}"/>
    <cellStyle name="Output 2 9 3" xfId="10108" xr:uid="{00000000-0005-0000-0000-00001B940000}"/>
    <cellStyle name="Output 2 9 3 2" xfId="19856" xr:uid="{00000000-0005-0000-0000-00001C940000}"/>
    <cellStyle name="Output 2 9 3 3" xfId="24376" xr:uid="{00000000-0005-0000-0000-00001D940000}"/>
    <cellStyle name="Output 2 9 3 4" xfId="23705" xr:uid="{00000000-0005-0000-0000-00001E940000}"/>
    <cellStyle name="Output 2 9 4" xfId="11033" xr:uid="{00000000-0005-0000-0000-00001F940000}"/>
    <cellStyle name="Output 2 9 4 2" xfId="19445" xr:uid="{00000000-0005-0000-0000-000020940000}"/>
    <cellStyle name="Output 2 9 5" xfId="10880" xr:uid="{00000000-0005-0000-0000-000021940000}"/>
    <cellStyle name="Output 2 9 5 2" xfId="20827" xr:uid="{00000000-0005-0000-0000-000022940000}"/>
    <cellStyle name="Output 2 9 6" xfId="16336" xr:uid="{00000000-0005-0000-0000-000023940000}"/>
    <cellStyle name="Output 2 9 6 2" xfId="21892" xr:uid="{00000000-0005-0000-0000-000024940000}"/>
    <cellStyle name="Output 2 9 6 3" xfId="41675" xr:uid="{00000000-0005-0000-0000-000025940000}"/>
    <cellStyle name="Output 2 9 7" xfId="16254" xr:uid="{00000000-0005-0000-0000-000026940000}"/>
    <cellStyle name="Output 2 9 7 2" xfId="21807" xr:uid="{00000000-0005-0000-0000-000027940000}"/>
    <cellStyle name="Output 2 9 8" xfId="17340" xr:uid="{00000000-0005-0000-0000-000028940000}"/>
    <cellStyle name="Output 2 9 8 2" xfId="22984" xr:uid="{00000000-0005-0000-0000-000029940000}"/>
    <cellStyle name="Output 2 9 9" xfId="13540" xr:uid="{00000000-0005-0000-0000-00002A940000}"/>
    <cellStyle name="Output 2 9 9 2" xfId="18517" xr:uid="{00000000-0005-0000-0000-00002B940000}"/>
    <cellStyle name="Output 20" xfId="43821" xr:uid="{00000000-0005-0000-0000-00002C940000}"/>
    <cellStyle name="Output 21" xfId="43822" xr:uid="{00000000-0005-0000-0000-00002D940000}"/>
    <cellStyle name="Output 22" xfId="43823" xr:uid="{00000000-0005-0000-0000-00002E940000}"/>
    <cellStyle name="Output 23" xfId="43824" xr:uid="{00000000-0005-0000-0000-00002F940000}"/>
    <cellStyle name="Output 24" xfId="43825" xr:uid="{00000000-0005-0000-0000-000030940000}"/>
    <cellStyle name="Output 25" xfId="43826" xr:uid="{00000000-0005-0000-0000-000031940000}"/>
    <cellStyle name="Output 26" xfId="43827" xr:uid="{00000000-0005-0000-0000-000032940000}"/>
    <cellStyle name="Output 27" xfId="43828" xr:uid="{00000000-0005-0000-0000-000033940000}"/>
    <cellStyle name="Output 28" xfId="43829" xr:uid="{00000000-0005-0000-0000-000034940000}"/>
    <cellStyle name="Output 29" xfId="43830" xr:uid="{00000000-0005-0000-0000-000035940000}"/>
    <cellStyle name="Output 3" xfId="2820" xr:uid="{00000000-0005-0000-0000-000036940000}"/>
    <cellStyle name="Output 3 10" xfId="2821" xr:uid="{00000000-0005-0000-0000-000037940000}"/>
    <cellStyle name="Output 3 10 10" xfId="12849" xr:uid="{00000000-0005-0000-0000-000038940000}"/>
    <cellStyle name="Output 3 10 11" xfId="17863" xr:uid="{00000000-0005-0000-0000-000039940000}"/>
    <cellStyle name="Output 3 10 2" xfId="4272" xr:uid="{00000000-0005-0000-0000-00003A940000}"/>
    <cellStyle name="Output 3 10 2 10" xfId="18181" xr:uid="{00000000-0005-0000-0000-00003B940000}"/>
    <cellStyle name="Output 3 10 2 2" xfId="11111" xr:uid="{00000000-0005-0000-0000-00003C940000}"/>
    <cellStyle name="Output 3 10 2 2 2" xfId="20222" xr:uid="{00000000-0005-0000-0000-00003D940000}"/>
    <cellStyle name="Output 3 10 2 2 3" xfId="24695" xr:uid="{00000000-0005-0000-0000-00003E940000}"/>
    <cellStyle name="Output 3 10 2 2 4" xfId="24028" xr:uid="{00000000-0005-0000-0000-00003F940000}"/>
    <cellStyle name="Output 3 10 2 3" xfId="14559" xr:uid="{00000000-0005-0000-0000-000040940000}"/>
    <cellStyle name="Output 3 10 2 3 2" xfId="19718" xr:uid="{00000000-0005-0000-0000-000041940000}"/>
    <cellStyle name="Output 3 10 2 4" xfId="16156" xr:uid="{00000000-0005-0000-0000-000042940000}"/>
    <cellStyle name="Output 3 10 2 4 2" xfId="21680" xr:uid="{00000000-0005-0000-0000-000043940000}"/>
    <cellStyle name="Output 3 10 2 5" xfId="16575" xr:uid="{00000000-0005-0000-0000-000044940000}"/>
    <cellStyle name="Output 3 10 2 5 2" xfId="22216" xr:uid="{00000000-0005-0000-0000-000045940000}"/>
    <cellStyle name="Output 3 10 2 6" xfId="16939" xr:uid="{00000000-0005-0000-0000-000046940000}"/>
    <cellStyle name="Output 3 10 2 6 2" xfId="22590" xr:uid="{00000000-0005-0000-0000-000047940000}"/>
    <cellStyle name="Output 3 10 2 7" xfId="17659" xr:uid="{00000000-0005-0000-0000-000048940000}"/>
    <cellStyle name="Output 3 10 2 7 2" xfId="23304" xr:uid="{00000000-0005-0000-0000-000049940000}"/>
    <cellStyle name="Output 3 10 2 8" xfId="13863" xr:uid="{00000000-0005-0000-0000-00004A940000}"/>
    <cellStyle name="Output 3 10 2 8 2" xfId="18837" xr:uid="{00000000-0005-0000-0000-00004B940000}"/>
    <cellStyle name="Output 3 10 2 9" xfId="13192" xr:uid="{00000000-0005-0000-0000-00004C940000}"/>
    <cellStyle name="Output 3 10 3" xfId="11110" xr:uid="{00000000-0005-0000-0000-00004D940000}"/>
    <cellStyle name="Output 3 10 3 2" xfId="19858" xr:uid="{00000000-0005-0000-0000-00004E940000}"/>
    <cellStyle name="Output 3 10 3 3" xfId="24378" xr:uid="{00000000-0005-0000-0000-00004F940000}"/>
    <cellStyle name="Output 3 10 3 4" xfId="23707" xr:uid="{00000000-0005-0000-0000-000050940000}"/>
    <cellStyle name="Output 3 10 4" xfId="10626" xr:uid="{00000000-0005-0000-0000-000051940000}"/>
    <cellStyle name="Output 3 10 4 2" xfId="19447" xr:uid="{00000000-0005-0000-0000-000052940000}"/>
    <cellStyle name="Output 3 10 5" xfId="15339" xr:uid="{00000000-0005-0000-0000-000053940000}"/>
    <cellStyle name="Output 3 10 5 2" xfId="20825" xr:uid="{00000000-0005-0000-0000-000054940000}"/>
    <cellStyle name="Output 3 10 6" xfId="16338" xr:uid="{00000000-0005-0000-0000-000055940000}"/>
    <cellStyle name="Output 3 10 6 2" xfId="21894" xr:uid="{00000000-0005-0000-0000-000056940000}"/>
    <cellStyle name="Output 3 10 7" xfId="15408" xr:uid="{00000000-0005-0000-0000-000057940000}"/>
    <cellStyle name="Output 3 10 7 2" xfId="20904" xr:uid="{00000000-0005-0000-0000-000058940000}"/>
    <cellStyle name="Output 3 10 8" xfId="17342" xr:uid="{00000000-0005-0000-0000-000059940000}"/>
    <cellStyle name="Output 3 10 8 2" xfId="22986" xr:uid="{00000000-0005-0000-0000-00005A940000}"/>
    <cellStyle name="Output 3 10 9" xfId="13542" xr:uid="{00000000-0005-0000-0000-00005B940000}"/>
    <cellStyle name="Output 3 10 9 2" xfId="18519" xr:uid="{00000000-0005-0000-0000-00005C940000}"/>
    <cellStyle name="Output 3 11" xfId="2822" xr:uid="{00000000-0005-0000-0000-00005D940000}"/>
    <cellStyle name="Output 3 11 10" xfId="12850" xr:uid="{00000000-0005-0000-0000-00005E940000}"/>
    <cellStyle name="Output 3 11 11" xfId="17864" xr:uid="{00000000-0005-0000-0000-00005F940000}"/>
    <cellStyle name="Output 3 11 2" xfId="4273" xr:uid="{00000000-0005-0000-0000-000060940000}"/>
    <cellStyle name="Output 3 11 2 10" xfId="18182" xr:uid="{00000000-0005-0000-0000-000061940000}"/>
    <cellStyle name="Output 3 11 2 2" xfId="11113" xr:uid="{00000000-0005-0000-0000-000062940000}"/>
    <cellStyle name="Output 3 11 2 2 2" xfId="20223" xr:uid="{00000000-0005-0000-0000-000063940000}"/>
    <cellStyle name="Output 3 11 2 2 3" xfId="24696" xr:uid="{00000000-0005-0000-0000-000064940000}"/>
    <cellStyle name="Output 3 11 2 2 4" xfId="24029" xr:uid="{00000000-0005-0000-0000-000065940000}"/>
    <cellStyle name="Output 3 11 2 3" xfId="14560" xr:uid="{00000000-0005-0000-0000-000066940000}"/>
    <cellStyle name="Output 3 11 2 3 2" xfId="19719" xr:uid="{00000000-0005-0000-0000-000067940000}"/>
    <cellStyle name="Output 3 11 2 4" xfId="16157" xr:uid="{00000000-0005-0000-0000-000068940000}"/>
    <cellStyle name="Output 3 11 2 4 2" xfId="21681" xr:uid="{00000000-0005-0000-0000-000069940000}"/>
    <cellStyle name="Output 3 11 2 5" xfId="16576" xr:uid="{00000000-0005-0000-0000-00006A940000}"/>
    <cellStyle name="Output 3 11 2 5 2" xfId="22217" xr:uid="{00000000-0005-0000-0000-00006B940000}"/>
    <cellStyle name="Output 3 11 2 6" xfId="16940" xr:uid="{00000000-0005-0000-0000-00006C940000}"/>
    <cellStyle name="Output 3 11 2 6 2" xfId="22591" xr:uid="{00000000-0005-0000-0000-00006D940000}"/>
    <cellStyle name="Output 3 11 2 7" xfId="17660" xr:uid="{00000000-0005-0000-0000-00006E940000}"/>
    <cellStyle name="Output 3 11 2 7 2" xfId="23305" xr:uid="{00000000-0005-0000-0000-00006F940000}"/>
    <cellStyle name="Output 3 11 2 8" xfId="13864" xr:uid="{00000000-0005-0000-0000-000070940000}"/>
    <cellStyle name="Output 3 11 2 8 2" xfId="18838" xr:uid="{00000000-0005-0000-0000-000071940000}"/>
    <cellStyle name="Output 3 11 2 9" xfId="13193" xr:uid="{00000000-0005-0000-0000-000072940000}"/>
    <cellStyle name="Output 3 11 3" xfId="11112" xr:uid="{00000000-0005-0000-0000-000073940000}"/>
    <cellStyle name="Output 3 11 3 2" xfId="19859" xr:uid="{00000000-0005-0000-0000-000074940000}"/>
    <cellStyle name="Output 3 11 3 3" xfId="24379" xr:uid="{00000000-0005-0000-0000-000075940000}"/>
    <cellStyle name="Output 3 11 3 4" xfId="23708" xr:uid="{00000000-0005-0000-0000-000076940000}"/>
    <cellStyle name="Output 3 11 4" xfId="10613" xr:uid="{00000000-0005-0000-0000-000077940000}"/>
    <cellStyle name="Output 3 11 4 2" xfId="19448" xr:uid="{00000000-0005-0000-0000-000078940000}"/>
    <cellStyle name="Output 3 11 5" xfId="15338" xr:uid="{00000000-0005-0000-0000-000079940000}"/>
    <cellStyle name="Output 3 11 5 2" xfId="20824" xr:uid="{00000000-0005-0000-0000-00007A940000}"/>
    <cellStyle name="Output 3 11 6" xfId="16339" xr:uid="{00000000-0005-0000-0000-00007B940000}"/>
    <cellStyle name="Output 3 11 6 2" xfId="21895" xr:uid="{00000000-0005-0000-0000-00007C940000}"/>
    <cellStyle name="Output 3 11 7" xfId="16041" xr:uid="{00000000-0005-0000-0000-00007D940000}"/>
    <cellStyle name="Output 3 11 7 2" xfId="21543" xr:uid="{00000000-0005-0000-0000-00007E940000}"/>
    <cellStyle name="Output 3 11 8" xfId="17343" xr:uid="{00000000-0005-0000-0000-00007F940000}"/>
    <cellStyle name="Output 3 11 8 2" xfId="22987" xr:uid="{00000000-0005-0000-0000-000080940000}"/>
    <cellStyle name="Output 3 11 9" xfId="13543" xr:uid="{00000000-0005-0000-0000-000081940000}"/>
    <cellStyle name="Output 3 11 9 2" xfId="18520" xr:uid="{00000000-0005-0000-0000-000082940000}"/>
    <cellStyle name="Output 3 12" xfId="4274" xr:uid="{00000000-0005-0000-0000-000083940000}"/>
    <cellStyle name="Output 3 12 10" xfId="18180" xr:uid="{00000000-0005-0000-0000-000084940000}"/>
    <cellStyle name="Output 3 12 2" xfId="8550" xr:uid="{00000000-0005-0000-0000-000085940000}"/>
    <cellStyle name="Output 3 12 2 2" xfId="11075" xr:uid="{00000000-0005-0000-0000-000086940000}"/>
    <cellStyle name="Output 3 12 2 2 2" xfId="20221" xr:uid="{00000000-0005-0000-0000-000087940000}"/>
    <cellStyle name="Output 3 12 2 2 2 2" xfId="45764" xr:uid="{00000000-0005-0000-0000-000088940000}"/>
    <cellStyle name="Output 3 12 2 3" xfId="14892" xr:uid="{00000000-0005-0000-0000-000089940000}"/>
    <cellStyle name="Output 3 12 2 3 2" xfId="24694" xr:uid="{00000000-0005-0000-0000-00008A940000}"/>
    <cellStyle name="Output 3 12 2 3 3" xfId="44974" xr:uid="{00000000-0005-0000-0000-00008B940000}"/>
    <cellStyle name="Output 3 12 2 4" xfId="24027" xr:uid="{00000000-0005-0000-0000-00008C940000}"/>
    <cellStyle name="Output 3 12 3" xfId="11168" xr:uid="{00000000-0005-0000-0000-00008D940000}"/>
    <cellStyle name="Output 3 12 3 2" xfId="19717" xr:uid="{00000000-0005-0000-0000-00008E940000}"/>
    <cellStyle name="Output 3 12 4" xfId="11313" xr:uid="{00000000-0005-0000-0000-00008F940000}"/>
    <cellStyle name="Output 3 12 4 2" xfId="21679" xr:uid="{00000000-0005-0000-0000-000090940000}"/>
    <cellStyle name="Output 3 12 5" xfId="16574" xr:uid="{00000000-0005-0000-0000-000091940000}"/>
    <cellStyle name="Output 3 12 5 2" xfId="22215" xr:uid="{00000000-0005-0000-0000-000092940000}"/>
    <cellStyle name="Output 3 12 6" xfId="16938" xr:uid="{00000000-0005-0000-0000-000093940000}"/>
    <cellStyle name="Output 3 12 6 2" xfId="22589" xr:uid="{00000000-0005-0000-0000-000094940000}"/>
    <cellStyle name="Output 3 12 7" xfId="17658" xr:uid="{00000000-0005-0000-0000-000095940000}"/>
    <cellStyle name="Output 3 12 7 2" xfId="23303" xr:uid="{00000000-0005-0000-0000-000096940000}"/>
    <cellStyle name="Output 3 12 8" xfId="13862" xr:uid="{00000000-0005-0000-0000-000097940000}"/>
    <cellStyle name="Output 3 12 8 2" xfId="18836" xr:uid="{00000000-0005-0000-0000-000098940000}"/>
    <cellStyle name="Output 3 12 9" xfId="13191" xr:uid="{00000000-0005-0000-0000-000099940000}"/>
    <cellStyle name="Output 3 13" xfId="9726" xr:uid="{00000000-0005-0000-0000-00009A940000}"/>
    <cellStyle name="Output 3 13 2" xfId="19857" xr:uid="{00000000-0005-0000-0000-00009B940000}"/>
    <cellStyle name="Output 3 13 3" xfId="24377" xr:uid="{00000000-0005-0000-0000-00009C940000}"/>
    <cellStyle name="Output 3 13 4" xfId="23706" xr:uid="{00000000-0005-0000-0000-00009D940000}"/>
    <cellStyle name="Output 3 14" xfId="11109" xr:uid="{00000000-0005-0000-0000-00009E940000}"/>
    <cellStyle name="Output 3 14 2" xfId="19446" xr:uid="{00000000-0005-0000-0000-00009F940000}"/>
    <cellStyle name="Output 3 15" xfId="10639" xr:uid="{00000000-0005-0000-0000-0000A0940000}"/>
    <cellStyle name="Output 3 15 2" xfId="20826" xr:uid="{00000000-0005-0000-0000-0000A1940000}"/>
    <cellStyle name="Output 3 16" xfId="16337" xr:uid="{00000000-0005-0000-0000-0000A2940000}"/>
    <cellStyle name="Output 3 16 2" xfId="21893" xr:uid="{00000000-0005-0000-0000-0000A3940000}"/>
    <cellStyle name="Output 3 16 3" xfId="41676" xr:uid="{00000000-0005-0000-0000-0000A4940000}"/>
    <cellStyle name="Output 3 17" xfId="16255" xr:uid="{00000000-0005-0000-0000-0000A5940000}"/>
    <cellStyle name="Output 3 17 2" xfId="21808" xr:uid="{00000000-0005-0000-0000-0000A6940000}"/>
    <cellStyle name="Output 3 18" xfId="17341" xr:uid="{00000000-0005-0000-0000-0000A7940000}"/>
    <cellStyle name="Output 3 18 2" xfId="22985" xr:uid="{00000000-0005-0000-0000-0000A8940000}"/>
    <cellStyle name="Output 3 19" xfId="13541" xr:uid="{00000000-0005-0000-0000-0000A9940000}"/>
    <cellStyle name="Output 3 19 2" xfId="18518" xr:uid="{00000000-0005-0000-0000-0000AA940000}"/>
    <cellStyle name="Output 3 2" xfId="2823" xr:uid="{00000000-0005-0000-0000-0000AB940000}"/>
    <cellStyle name="Output 3 2 10" xfId="12851" xr:uid="{00000000-0005-0000-0000-0000AC940000}"/>
    <cellStyle name="Output 3 2 11" xfId="17865" xr:uid="{00000000-0005-0000-0000-0000AD940000}"/>
    <cellStyle name="Output 3 2 2" xfId="4275" xr:uid="{00000000-0005-0000-0000-0000AE940000}"/>
    <cellStyle name="Output 3 2 2 10" xfId="18183" xr:uid="{00000000-0005-0000-0000-0000AF940000}"/>
    <cellStyle name="Output 3 2 2 2" xfId="12214" xr:uid="{00000000-0005-0000-0000-0000B0940000}"/>
    <cellStyle name="Output 3 2 2 2 2" xfId="20224" xr:uid="{00000000-0005-0000-0000-0000B1940000}"/>
    <cellStyle name="Output 3 2 2 2 3" xfId="24697" xr:uid="{00000000-0005-0000-0000-0000B2940000}"/>
    <cellStyle name="Output 3 2 2 2 4" xfId="24030" xr:uid="{00000000-0005-0000-0000-0000B3940000}"/>
    <cellStyle name="Output 3 2 2 3" xfId="14561" xr:uid="{00000000-0005-0000-0000-0000B4940000}"/>
    <cellStyle name="Output 3 2 2 3 2" xfId="19720" xr:uid="{00000000-0005-0000-0000-0000B5940000}"/>
    <cellStyle name="Output 3 2 2 4" xfId="16158" xr:uid="{00000000-0005-0000-0000-0000B6940000}"/>
    <cellStyle name="Output 3 2 2 4 2" xfId="21682" xr:uid="{00000000-0005-0000-0000-0000B7940000}"/>
    <cellStyle name="Output 3 2 2 5" xfId="16577" xr:uid="{00000000-0005-0000-0000-0000B8940000}"/>
    <cellStyle name="Output 3 2 2 5 2" xfId="22218" xr:uid="{00000000-0005-0000-0000-0000B9940000}"/>
    <cellStyle name="Output 3 2 2 6" xfId="16941" xr:uid="{00000000-0005-0000-0000-0000BA940000}"/>
    <cellStyle name="Output 3 2 2 6 2" xfId="22592" xr:uid="{00000000-0005-0000-0000-0000BB940000}"/>
    <cellStyle name="Output 3 2 2 7" xfId="17661" xr:uid="{00000000-0005-0000-0000-0000BC940000}"/>
    <cellStyle name="Output 3 2 2 7 2" xfId="23306" xr:uid="{00000000-0005-0000-0000-0000BD940000}"/>
    <cellStyle name="Output 3 2 2 8" xfId="13865" xr:uid="{00000000-0005-0000-0000-0000BE940000}"/>
    <cellStyle name="Output 3 2 2 8 2" xfId="18839" xr:uid="{00000000-0005-0000-0000-0000BF940000}"/>
    <cellStyle name="Output 3 2 2 9" xfId="13194" xr:uid="{00000000-0005-0000-0000-0000C0940000}"/>
    <cellStyle name="Output 3 2 3" xfId="12222" xr:uid="{00000000-0005-0000-0000-0000C1940000}"/>
    <cellStyle name="Output 3 2 3 2" xfId="19860" xr:uid="{00000000-0005-0000-0000-0000C2940000}"/>
    <cellStyle name="Output 3 2 3 3" xfId="24380" xr:uid="{00000000-0005-0000-0000-0000C3940000}"/>
    <cellStyle name="Output 3 2 3 4" xfId="23709" xr:uid="{00000000-0005-0000-0000-0000C4940000}"/>
    <cellStyle name="Output 3 2 4" xfId="10602" xr:uid="{00000000-0005-0000-0000-0000C5940000}"/>
    <cellStyle name="Output 3 2 4 2" xfId="19449" xr:uid="{00000000-0005-0000-0000-0000C6940000}"/>
    <cellStyle name="Output 3 2 5" xfId="15337" xr:uid="{00000000-0005-0000-0000-0000C7940000}"/>
    <cellStyle name="Output 3 2 5 2" xfId="20823" xr:uid="{00000000-0005-0000-0000-0000C8940000}"/>
    <cellStyle name="Output 3 2 5 3" xfId="43831" xr:uid="{00000000-0005-0000-0000-0000C9940000}"/>
    <cellStyle name="Output 3 2 6" xfId="16340" xr:uid="{00000000-0005-0000-0000-0000CA940000}"/>
    <cellStyle name="Output 3 2 6 2" xfId="21896" xr:uid="{00000000-0005-0000-0000-0000CB940000}"/>
    <cellStyle name="Output 3 2 7" xfId="15298" xr:uid="{00000000-0005-0000-0000-0000CC940000}"/>
    <cellStyle name="Output 3 2 7 2" xfId="20687" xr:uid="{00000000-0005-0000-0000-0000CD940000}"/>
    <cellStyle name="Output 3 2 8" xfId="17344" xr:uid="{00000000-0005-0000-0000-0000CE940000}"/>
    <cellStyle name="Output 3 2 8 2" xfId="22988" xr:uid="{00000000-0005-0000-0000-0000CF940000}"/>
    <cellStyle name="Output 3 2 9" xfId="13544" xr:uid="{00000000-0005-0000-0000-0000D0940000}"/>
    <cellStyle name="Output 3 2 9 2" xfId="18521" xr:uid="{00000000-0005-0000-0000-0000D1940000}"/>
    <cellStyle name="Output 3 20" xfId="12848" xr:uid="{00000000-0005-0000-0000-0000D2940000}"/>
    <cellStyle name="Output 3 21" xfId="17862" xr:uid="{00000000-0005-0000-0000-0000D3940000}"/>
    <cellStyle name="Output 3 3" xfId="2824" xr:uid="{00000000-0005-0000-0000-0000D4940000}"/>
    <cellStyle name="Output 3 3 10" xfId="12852" xr:uid="{00000000-0005-0000-0000-0000D5940000}"/>
    <cellStyle name="Output 3 3 11" xfId="17866" xr:uid="{00000000-0005-0000-0000-0000D6940000}"/>
    <cellStyle name="Output 3 3 2" xfId="4276" xr:uid="{00000000-0005-0000-0000-0000D7940000}"/>
    <cellStyle name="Output 3 3 2 10" xfId="18184" xr:uid="{00000000-0005-0000-0000-0000D8940000}"/>
    <cellStyle name="Output 3 3 2 2" xfId="12198" xr:uid="{00000000-0005-0000-0000-0000D9940000}"/>
    <cellStyle name="Output 3 3 2 2 2" xfId="20225" xr:uid="{00000000-0005-0000-0000-0000DA940000}"/>
    <cellStyle name="Output 3 3 2 2 3" xfId="24698" xr:uid="{00000000-0005-0000-0000-0000DB940000}"/>
    <cellStyle name="Output 3 3 2 2 4" xfId="24031" xr:uid="{00000000-0005-0000-0000-0000DC940000}"/>
    <cellStyle name="Output 3 3 2 3" xfId="14562" xr:uid="{00000000-0005-0000-0000-0000DD940000}"/>
    <cellStyle name="Output 3 3 2 3 2" xfId="19721" xr:uid="{00000000-0005-0000-0000-0000DE940000}"/>
    <cellStyle name="Output 3 3 2 4" xfId="16159" xr:uid="{00000000-0005-0000-0000-0000DF940000}"/>
    <cellStyle name="Output 3 3 2 4 2" xfId="21683" xr:uid="{00000000-0005-0000-0000-0000E0940000}"/>
    <cellStyle name="Output 3 3 2 5" xfId="16578" xr:uid="{00000000-0005-0000-0000-0000E1940000}"/>
    <cellStyle name="Output 3 3 2 5 2" xfId="22219" xr:uid="{00000000-0005-0000-0000-0000E2940000}"/>
    <cellStyle name="Output 3 3 2 6" xfId="16942" xr:uid="{00000000-0005-0000-0000-0000E3940000}"/>
    <cellStyle name="Output 3 3 2 6 2" xfId="22593" xr:uid="{00000000-0005-0000-0000-0000E4940000}"/>
    <cellStyle name="Output 3 3 2 7" xfId="17662" xr:uid="{00000000-0005-0000-0000-0000E5940000}"/>
    <cellStyle name="Output 3 3 2 7 2" xfId="23307" xr:uid="{00000000-0005-0000-0000-0000E6940000}"/>
    <cellStyle name="Output 3 3 2 8" xfId="13866" xr:uid="{00000000-0005-0000-0000-0000E7940000}"/>
    <cellStyle name="Output 3 3 2 8 2" xfId="18840" xr:uid="{00000000-0005-0000-0000-0000E8940000}"/>
    <cellStyle name="Output 3 3 2 9" xfId="13195" xr:uid="{00000000-0005-0000-0000-0000E9940000}"/>
    <cellStyle name="Output 3 3 3" xfId="12206" xr:uid="{00000000-0005-0000-0000-0000EA940000}"/>
    <cellStyle name="Output 3 3 3 2" xfId="19861" xr:uid="{00000000-0005-0000-0000-0000EB940000}"/>
    <cellStyle name="Output 3 3 3 3" xfId="24381" xr:uid="{00000000-0005-0000-0000-0000EC940000}"/>
    <cellStyle name="Output 3 3 3 4" xfId="23710" xr:uid="{00000000-0005-0000-0000-0000ED940000}"/>
    <cellStyle name="Output 3 3 4" xfId="11321" xr:uid="{00000000-0005-0000-0000-0000EE940000}"/>
    <cellStyle name="Output 3 3 4 2" xfId="19450" xr:uid="{00000000-0005-0000-0000-0000EF940000}"/>
    <cellStyle name="Output 3 3 5" xfId="15336" xr:uid="{00000000-0005-0000-0000-0000F0940000}"/>
    <cellStyle name="Output 3 3 5 2" xfId="20822" xr:uid="{00000000-0005-0000-0000-0000F1940000}"/>
    <cellStyle name="Output 3 3 6" xfId="16341" xr:uid="{00000000-0005-0000-0000-0000F2940000}"/>
    <cellStyle name="Output 3 3 6 2" xfId="21897" xr:uid="{00000000-0005-0000-0000-0000F3940000}"/>
    <cellStyle name="Output 3 3 7" xfId="15343" xr:uid="{00000000-0005-0000-0000-0000F4940000}"/>
    <cellStyle name="Output 3 3 7 2" xfId="20839" xr:uid="{00000000-0005-0000-0000-0000F5940000}"/>
    <cellStyle name="Output 3 3 8" xfId="17345" xr:uid="{00000000-0005-0000-0000-0000F6940000}"/>
    <cellStyle name="Output 3 3 8 2" xfId="22989" xr:uid="{00000000-0005-0000-0000-0000F7940000}"/>
    <cellStyle name="Output 3 3 9" xfId="13545" xr:uid="{00000000-0005-0000-0000-0000F8940000}"/>
    <cellStyle name="Output 3 3 9 2" xfId="18522" xr:uid="{00000000-0005-0000-0000-0000F9940000}"/>
    <cellStyle name="Output 3 4" xfId="2825" xr:uid="{00000000-0005-0000-0000-0000FA940000}"/>
    <cellStyle name="Output 3 4 10" xfId="12853" xr:uid="{00000000-0005-0000-0000-0000FB940000}"/>
    <cellStyle name="Output 3 4 11" xfId="17867" xr:uid="{00000000-0005-0000-0000-0000FC940000}"/>
    <cellStyle name="Output 3 4 2" xfId="4277" xr:uid="{00000000-0005-0000-0000-0000FD940000}"/>
    <cellStyle name="Output 3 4 2 10" xfId="18185" xr:uid="{00000000-0005-0000-0000-0000FE940000}"/>
    <cellStyle name="Output 3 4 2 2" xfId="11730" xr:uid="{00000000-0005-0000-0000-0000FF940000}"/>
    <cellStyle name="Output 3 4 2 2 2" xfId="20226" xr:uid="{00000000-0005-0000-0000-000000950000}"/>
    <cellStyle name="Output 3 4 2 2 3" xfId="24699" xr:uid="{00000000-0005-0000-0000-000001950000}"/>
    <cellStyle name="Output 3 4 2 2 4" xfId="24032" xr:uid="{00000000-0005-0000-0000-000002950000}"/>
    <cellStyle name="Output 3 4 2 3" xfId="14563" xr:uid="{00000000-0005-0000-0000-000003950000}"/>
    <cellStyle name="Output 3 4 2 3 2" xfId="19722" xr:uid="{00000000-0005-0000-0000-000004950000}"/>
    <cellStyle name="Output 3 4 2 4" xfId="16160" xr:uid="{00000000-0005-0000-0000-000005950000}"/>
    <cellStyle name="Output 3 4 2 4 2" xfId="21684" xr:uid="{00000000-0005-0000-0000-000006950000}"/>
    <cellStyle name="Output 3 4 2 5" xfId="16579" xr:uid="{00000000-0005-0000-0000-000007950000}"/>
    <cellStyle name="Output 3 4 2 5 2" xfId="22220" xr:uid="{00000000-0005-0000-0000-000008950000}"/>
    <cellStyle name="Output 3 4 2 6" xfId="16943" xr:uid="{00000000-0005-0000-0000-000009950000}"/>
    <cellStyle name="Output 3 4 2 6 2" xfId="22594" xr:uid="{00000000-0005-0000-0000-00000A950000}"/>
    <cellStyle name="Output 3 4 2 7" xfId="17663" xr:uid="{00000000-0005-0000-0000-00000B950000}"/>
    <cellStyle name="Output 3 4 2 7 2" xfId="23308" xr:uid="{00000000-0005-0000-0000-00000C950000}"/>
    <cellStyle name="Output 3 4 2 8" xfId="13867" xr:uid="{00000000-0005-0000-0000-00000D950000}"/>
    <cellStyle name="Output 3 4 2 8 2" xfId="18841" xr:uid="{00000000-0005-0000-0000-00000E950000}"/>
    <cellStyle name="Output 3 4 2 9" xfId="13196" xr:uid="{00000000-0005-0000-0000-00000F950000}"/>
    <cellStyle name="Output 3 4 3" xfId="12190" xr:uid="{00000000-0005-0000-0000-000010950000}"/>
    <cellStyle name="Output 3 4 3 2" xfId="19862" xr:uid="{00000000-0005-0000-0000-000011950000}"/>
    <cellStyle name="Output 3 4 3 3" xfId="24382" xr:uid="{00000000-0005-0000-0000-000012950000}"/>
    <cellStyle name="Output 3 4 3 4" xfId="23711" xr:uid="{00000000-0005-0000-0000-000013950000}"/>
    <cellStyle name="Output 3 4 4" xfId="10322" xr:uid="{00000000-0005-0000-0000-000014950000}"/>
    <cellStyle name="Output 3 4 4 2" xfId="19451" xr:uid="{00000000-0005-0000-0000-000015950000}"/>
    <cellStyle name="Output 3 4 5" xfId="15335" xr:uid="{00000000-0005-0000-0000-000016950000}"/>
    <cellStyle name="Output 3 4 5 2" xfId="20821" xr:uid="{00000000-0005-0000-0000-000017950000}"/>
    <cellStyle name="Output 3 4 6" xfId="16342" xr:uid="{00000000-0005-0000-0000-000018950000}"/>
    <cellStyle name="Output 3 4 6 2" xfId="21898" xr:uid="{00000000-0005-0000-0000-000019950000}"/>
    <cellStyle name="Output 3 4 7" xfId="16257" xr:uid="{00000000-0005-0000-0000-00001A950000}"/>
    <cellStyle name="Output 3 4 7 2" xfId="21810" xr:uid="{00000000-0005-0000-0000-00001B950000}"/>
    <cellStyle name="Output 3 4 8" xfId="17346" xr:uid="{00000000-0005-0000-0000-00001C950000}"/>
    <cellStyle name="Output 3 4 8 2" xfId="22990" xr:uid="{00000000-0005-0000-0000-00001D950000}"/>
    <cellStyle name="Output 3 4 9" xfId="13546" xr:uid="{00000000-0005-0000-0000-00001E950000}"/>
    <cellStyle name="Output 3 4 9 2" xfId="18523" xr:uid="{00000000-0005-0000-0000-00001F950000}"/>
    <cellStyle name="Output 3 5" xfId="2826" xr:uid="{00000000-0005-0000-0000-000020950000}"/>
    <cellStyle name="Output 3 5 10" xfId="12854" xr:uid="{00000000-0005-0000-0000-000021950000}"/>
    <cellStyle name="Output 3 5 11" xfId="17868" xr:uid="{00000000-0005-0000-0000-000022950000}"/>
    <cellStyle name="Output 3 5 2" xfId="4278" xr:uid="{00000000-0005-0000-0000-000023950000}"/>
    <cellStyle name="Output 3 5 2 10" xfId="18186" xr:uid="{00000000-0005-0000-0000-000024950000}"/>
    <cellStyle name="Output 3 5 2 2" xfId="10984" xr:uid="{00000000-0005-0000-0000-000025950000}"/>
    <cellStyle name="Output 3 5 2 2 2" xfId="20227" xr:uid="{00000000-0005-0000-0000-000026950000}"/>
    <cellStyle name="Output 3 5 2 2 3" xfId="24700" xr:uid="{00000000-0005-0000-0000-000027950000}"/>
    <cellStyle name="Output 3 5 2 2 4" xfId="24033" xr:uid="{00000000-0005-0000-0000-000028950000}"/>
    <cellStyle name="Output 3 5 2 3" xfId="14564" xr:uid="{00000000-0005-0000-0000-000029950000}"/>
    <cellStyle name="Output 3 5 2 3 2" xfId="19723" xr:uid="{00000000-0005-0000-0000-00002A950000}"/>
    <cellStyle name="Output 3 5 2 4" xfId="16161" xr:uid="{00000000-0005-0000-0000-00002B950000}"/>
    <cellStyle name="Output 3 5 2 4 2" xfId="21685" xr:uid="{00000000-0005-0000-0000-00002C950000}"/>
    <cellStyle name="Output 3 5 2 5" xfId="16580" xr:uid="{00000000-0005-0000-0000-00002D950000}"/>
    <cellStyle name="Output 3 5 2 5 2" xfId="22221" xr:uid="{00000000-0005-0000-0000-00002E950000}"/>
    <cellStyle name="Output 3 5 2 6" xfId="16944" xr:uid="{00000000-0005-0000-0000-00002F950000}"/>
    <cellStyle name="Output 3 5 2 6 2" xfId="22595" xr:uid="{00000000-0005-0000-0000-000030950000}"/>
    <cellStyle name="Output 3 5 2 7" xfId="17664" xr:uid="{00000000-0005-0000-0000-000031950000}"/>
    <cellStyle name="Output 3 5 2 7 2" xfId="23309" xr:uid="{00000000-0005-0000-0000-000032950000}"/>
    <cellStyle name="Output 3 5 2 8" xfId="13868" xr:uid="{00000000-0005-0000-0000-000033950000}"/>
    <cellStyle name="Output 3 5 2 8 2" xfId="18842" xr:uid="{00000000-0005-0000-0000-000034950000}"/>
    <cellStyle name="Output 3 5 2 9" xfId="13197" xr:uid="{00000000-0005-0000-0000-000035950000}"/>
    <cellStyle name="Output 3 5 3" xfId="10981" xr:uid="{00000000-0005-0000-0000-000036950000}"/>
    <cellStyle name="Output 3 5 3 2" xfId="19863" xr:uid="{00000000-0005-0000-0000-000037950000}"/>
    <cellStyle name="Output 3 5 3 3" xfId="24383" xr:uid="{00000000-0005-0000-0000-000038950000}"/>
    <cellStyle name="Output 3 5 3 4" xfId="23712" xr:uid="{00000000-0005-0000-0000-000039950000}"/>
    <cellStyle name="Output 3 5 4" xfId="10321" xr:uid="{00000000-0005-0000-0000-00003A950000}"/>
    <cellStyle name="Output 3 5 4 2" xfId="19452" xr:uid="{00000000-0005-0000-0000-00003B950000}"/>
    <cellStyle name="Output 3 5 5" xfId="15334" xr:uid="{00000000-0005-0000-0000-00003C950000}"/>
    <cellStyle name="Output 3 5 5 2" xfId="20820" xr:uid="{00000000-0005-0000-0000-00003D950000}"/>
    <cellStyle name="Output 3 5 6" xfId="16343" xr:uid="{00000000-0005-0000-0000-00003E950000}"/>
    <cellStyle name="Output 3 5 6 2" xfId="21899" xr:uid="{00000000-0005-0000-0000-00003F950000}"/>
    <cellStyle name="Output 3 5 7" xfId="16068" xr:uid="{00000000-0005-0000-0000-000040950000}"/>
    <cellStyle name="Output 3 5 7 2" xfId="21576" xr:uid="{00000000-0005-0000-0000-000041950000}"/>
    <cellStyle name="Output 3 5 8" xfId="17347" xr:uid="{00000000-0005-0000-0000-000042950000}"/>
    <cellStyle name="Output 3 5 8 2" xfId="22991" xr:uid="{00000000-0005-0000-0000-000043950000}"/>
    <cellStyle name="Output 3 5 9" xfId="13547" xr:uid="{00000000-0005-0000-0000-000044950000}"/>
    <cellStyle name="Output 3 5 9 2" xfId="18524" xr:uid="{00000000-0005-0000-0000-000045950000}"/>
    <cellStyle name="Output 3 6" xfId="2827" xr:uid="{00000000-0005-0000-0000-000046950000}"/>
    <cellStyle name="Output 3 6 10" xfId="12855" xr:uid="{00000000-0005-0000-0000-000047950000}"/>
    <cellStyle name="Output 3 6 11" xfId="17869" xr:uid="{00000000-0005-0000-0000-000048950000}"/>
    <cellStyle name="Output 3 6 2" xfId="4279" xr:uid="{00000000-0005-0000-0000-000049950000}"/>
    <cellStyle name="Output 3 6 2 10" xfId="18187" xr:uid="{00000000-0005-0000-0000-00004A950000}"/>
    <cellStyle name="Output 3 6 2 2" xfId="10993" xr:uid="{00000000-0005-0000-0000-00004B950000}"/>
    <cellStyle name="Output 3 6 2 2 2" xfId="20228" xr:uid="{00000000-0005-0000-0000-00004C950000}"/>
    <cellStyle name="Output 3 6 2 2 3" xfId="24701" xr:uid="{00000000-0005-0000-0000-00004D950000}"/>
    <cellStyle name="Output 3 6 2 2 4" xfId="24034" xr:uid="{00000000-0005-0000-0000-00004E950000}"/>
    <cellStyle name="Output 3 6 2 3" xfId="14565" xr:uid="{00000000-0005-0000-0000-00004F950000}"/>
    <cellStyle name="Output 3 6 2 3 2" xfId="19724" xr:uid="{00000000-0005-0000-0000-000050950000}"/>
    <cellStyle name="Output 3 6 2 4" xfId="16162" xr:uid="{00000000-0005-0000-0000-000051950000}"/>
    <cellStyle name="Output 3 6 2 4 2" xfId="21686" xr:uid="{00000000-0005-0000-0000-000052950000}"/>
    <cellStyle name="Output 3 6 2 5" xfId="16581" xr:uid="{00000000-0005-0000-0000-000053950000}"/>
    <cellStyle name="Output 3 6 2 5 2" xfId="22222" xr:uid="{00000000-0005-0000-0000-000054950000}"/>
    <cellStyle name="Output 3 6 2 6" xfId="16945" xr:uid="{00000000-0005-0000-0000-000055950000}"/>
    <cellStyle name="Output 3 6 2 6 2" xfId="22596" xr:uid="{00000000-0005-0000-0000-000056950000}"/>
    <cellStyle name="Output 3 6 2 7" xfId="17665" xr:uid="{00000000-0005-0000-0000-000057950000}"/>
    <cellStyle name="Output 3 6 2 7 2" xfId="23310" xr:uid="{00000000-0005-0000-0000-000058950000}"/>
    <cellStyle name="Output 3 6 2 8" xfId="13869" xr:uid="{00000000-0005-0000-0000-000059950000}"/>
    <cellStyle name="Output 3 6 2 8 2" xfId="18843" xr:uid="{00000000-0005-0000-0000-00005A950000}"/>
    <cellStyle name="Output 3 6 2 9" xfId="13198" xr:uid="{00000000-0005-0000-0000-00005B950000}"/>
    <cellStyle name="Output 3 6 3" xfId="11314" xr:uid="{00000000-0005-0000-0000-00005C950000}"/>
    <cellStyle name="Output 3 6 3 2" xfId="19864" xr:uid="{00000000-0005-0000-0000-00005D950000}"/>
    <cellStyle name="Output 3 6 3 3" xfId="24384" xr:uid="{00000000-0005-0000-0000-00005E950000}"/>
    <cellStyle name="Output 3 6 3 4" xfId="23713" xr:uid="{00000000-0005-0000-0000-00005F950000}"/>
    <cellStyle name="Output 3 6 4" xfId="10320" xr:uid="{00000000-0005-0000-0000-000060950000}"/>
    <cellStyle name="Output 3 6 4 2" xfId="19453" xr:uid="{00000000-0005-0000-0000-000061950000}"/>
    <cellStyle name="Output 3 6 5" xfId="15333" xr:uid="{00000000-0005-0000-0000-000062950000}"/>
    <cellStyle name="Output 3 6 5 2" xfId="20819" xr:uid="{00000000-0005-0000-0000-000063950000}"/>
    <cellStyle name="Output 3 6 6" xfId="16344" xr:uid="{00000000-0005-0000-0000-000064950000}"/>
    <cellStyle name="Output 3 6 6 2" xfId="21900" xr:uid="{00000000-0005-0000-0000-000065950000}"/>
    <cellStyle name="Output 3 6 7" xfId="16062" xr:uid="{00000000-0005-0000-0000-000066950000}"/>
    <cellStyle name="Output 3 6 7 2" xfId="21570" xr:uid="{00000000-0005-0000-0000-000067950000}"/>
    <cellStyle name="Output 3 6 8" xfId="17348" xr:uid="{00000000-0005-0000-0000-000068950000}"/>
    <cellStyle name="Output 3 6 8 2" xfId="22992" xr:uid="{00000000-0005-0000-0000-000069950000}"/>
    <cellStyle name="Output 3 6 9" xfId="13548" xr:uid="{00000000-0005-0000-0000-00006A950000}"/>
    <cellStyle name="Output 3 6 9 2" xfId="18525" xr:uid="{00000000-0005-0000-0000-00006B950000}"/>
    <cellStyle name="Output 3 7" xfId="2828" xr:uid="{00000000-0005-0000-0000-00006C950000}"/>
    <cellStyle name="Output 3 7 10" xfId="12856" xr:uid="{00000000-0005-0000-0000-00006D950000}"/>
    <cellStyle name="Output 3 7 11" xfId="17870" xr:uid="{00000000-0005-0000-0000-00006E950000}"/>
    <cellStyle name="Output 3 7 2" xfId="4280" xr:uid="{00000000-0005-0000-0000-00006F950000}"/>
    <cellStyle name="Output 3 7 2 10" xfId="18188" xr:uid="{00000000-0005-0000-0000-000070950000}"/>
    <cellStyle name="Output 3 7 2 2" xfId="11036" xr:uid="{00000000-0005-0000-0000-000071950000}"/>
    <cellStyle name="Output 3 7 2 2 2" xfId="20229" xr:uid="{00000000-0005-0000-0000-000072950000}"/>
    <cellStyle name="Output 3 7 2 2 3" xfId="24702" xr:uid="{00000000-0005-0000-0000-000073950000}"/>
    <cellStyle name="Output 3 7 2 2 4" xfId="24035" xr:uid="{00000000-0005-0000-0000-000074950000}"/>
    <cellStyle name="Output 3 7 2 3" xfId="14566" xr:uid="{00000000-0005-0000-0000-000075950000}"/>
    <cellStyle name="Output 3 7 2 3 2" xfId="19725" xr:uid="{00000000-0005-0000-0000-000076950000}"/>
    <cellStyle name="Output 3 7 2 4" xfId="16163" xr:uid="{00000000-0005-0000-0000-000077950000}"/>
    <cellStyle name="Output 3 7 2 4 2" xfId="21687" xr:uid="{00000000-0005-0000-0000-000078950000}"/>
    <cellStyle name="Output 3 7 2 5" xfId="16582" xr:uid="{00000000-0005-0000-0000-000079950000}"/>
    <cellStyle name="Output 3 7 2 5 2" xfId="22223" xr:uid="{00000000-0005-0000-0000-00007A950000}"/>
    <cellStyle name="Output 3 7 2 6" xfId="16946" xr:uid="{00000000-0005-0000-0000-00007B950000}"/>
    <cellStyle name="Output 3 7 2 6 2" xfId="22597" xr:uid="{00000000-0005-0000-0000-00007C950000}"/>
    <cellStyle name="Output 3 7 2 7" xfId="17666" xr:uid="{00000000-0005-0000-0000-00007D950000}"/>
    <cellStyle name="Output 3 7 2 7 2" xfId="23311" xr:uid="{00000000-0005-0000-0000-00007E950000}"/>
    <cellStyle name="Output 3 7 2 8" xfId="13870" xr:uid="{00000000-0005-0000-0000-00007F950000}"/>
    <cellStyle name="Output 3 7 2 8 2" xfId="18844" xr:uid="{00000000-0005-0000-0000-000080950000}"/>
    <cellStyle name="Output 3 7 2 9" xfId="13199" xr:uid="{00000000-0005-0000-0000-000081950000}"/>
    <cellStyle name="Output 3 7 3" xfId="11035" xr:uid="{00000000-0005-0000-0000-000082950000}"/>
    <cellStyle name="Output 3 7 3 2" xfId="19865" xr:uid="{00000000-0005-0000-0000-000083950000}"/>
    <cellStyle name="Output 3 7 3 3" xfId="24385" xr:uid="{00000000-0005-0000-0000-000084950000}"/>
    <cellStyle name="Output 3 7 3 4" xfId="23714" xr:uid="{00000000-0005-0000-0000-000085950000}"/>
    <cellStyle name="Output 3 7 4" xfId="10319" xr:uid="{00000000-0005-0000-0000-000086950000}"/>
    <cellStyle name="Output 3 7 4 2" xfId="19454" xr:uid="{00000000-0005-0000-0000-000087950000}"/>
    <cellStyle name="Output 3 7 5" xfId="15332" xr:uid="{00000000-0005-0000-0000-000088950000}"/>
    <cellStyle name="Output 3 7 5 2" xfId="20818" xr:uid="{00000000-0005-0000-0000-000089950000}"/>
    <cellStyle name="Output 3 7 6" xfId="16345" xr:uid="{00000000-0005-0000-0000-00008A950000}"/>
    <cellStyle name="Output 3 7 6 2" xfId="21901" xr:uid="{00000000-0005-0000-0000-00008B950000}"/>
    <cellStyle name="Output 3 7 7" xfId="15326" xr:uid="{00000000-0005-0000-0000-00008C950000}"/>
    <cellStyle name="Output 3 7 7 2" xfId="20779" xr:uid="{00000000-0005-0000-0000-00008D950000}"/>
    <cellStyle name="Output 3 7 8" xfId="17349" xr:uid="{00000000-0005-0000-0000-00008E950000}"/>
    <cellStyle name="Output 3 7 8 2" xfId="22993" xr:uid="{00000000-0005-0000-0000-00008F950000}"/>
    <cellStyle name="Output 3 7 9" xfId="13549" xr:uid="{00000000-0005-0000-0000-000090950000}"/>
    <cellStyle name="Output 3 7 9 2" xfId="18526" xr:uid="{00000000-0005-0000-0000-000091950000}"/>
    <cellStyle name="Output 3 8" xfId="2829" xr:uid="{00000000-0005-0000-0000-000092950000}"/>
    <cellStyle name="Output 3 8 10" xfId="12857" xr:uid="{00000000-0005-0000-0000-000093950000}"/>
    <cellStyle name="Output 3 8 11" xfId="17871" xr:uid="{00000000-0005-0000-0000-000094950000}"/>
    <cellStyle name="Output 3 8 2" xfId="4281" xr:uid="{00000000-0005-0000-0000-000095950000}"/>
    <cellStyle name="Output 3 8 2 10" xfId="18189" xr:uid="{00000000-0005-0000-0000-000096950000}"/>
    <cellStyle name="Output 3 8 2 2" xfId="11316" xr:uid="{00000000-0005-0000-0000-000097950000}"/>
    <cellStyle name="Output 3 8 2 2 2" xfId="20230" xr:uid="{00000000-0005-0000-0000-000098950000}"/>
    <cellStyle name="Output 3 8 2 2 3" xfId="24703" xr:uid="{00000000-0005-0000-0000-000099950000}"/>
    <cellStyle name="Output 3 8 2 2 4" xfId="24036" xr:uid="{00000000-0005-0000-0000-00009A950000}"/>
    <cellStyle name="Output 3 8 2 3" xfId="14567" xr:uid="{00000000-0005-0000-0000-00009B950000}"/>
    <cellStyle name="Output 3 8 2 3 2" xfId="19726" xr:uid="{00000000-0005-0000-0000-00009C950000}"/>
    <cellStyle name="Output 3 8 2 4" xfId="16164" xr:uid="{00000000-0005-0000-0000-00009D950000}"/>
    <cellStyle name="Output 3 8 2 4 2" xfId="21688" xr:uid="{00000000-0005-0000-0000-00009E950000}"/>
    <cellStyle name="Output 3 8 2 5" xfId="16583" xr:uid="{00000000-0005-0000-0000-00009F950000}"/>
    <cellStyle name="Output 3 8 2 5 2" xfId="22224" xr:uid="{00000000-0005-0000-0000-0000A0950000}"/>
    <cellStyle name="Output 3 8 2 6" xfId="16947" xr:uid="{00000000-0005-0000-0000-0000A1950000}"/>
    <cellStyle name="Output 3 8 2 6 2" xfId="22598" xr:uid="{00000000-0005-0000-0000-0000A2950000}"/>
    <cellStyle name="Output 3 8 2 7" xfId="17667" xr:uid="{00000000-0005-0000-0000-0000A3950000}"/>
    <cellStyle name="Output 3 8 2 7 2" xfId="23312" xr:uid="{00000000-0005-0000-0000-0000A4950000}"/>
    <cellStyle name="Output 3 8 2 8" xfId="13871" xr:uid="{00000000-0005-0000-0000-0000A5950000}"/>
    <cellStyle name="Output 3 8 2 8 2" xfId="18845" xr:uid="{00000000-0005-0000-0000-0000A6950000}"/>
    <cellStyle name="Output 3 8 2 9" xfId="13200" xr:uid="{00000000-0005-0000-0000-0000A7950000}"/>
    <cellStyle name="Output 3 8 3" xfId="11037" xr:uid="{00000000-0005-0000-0000-0000A8950000}"/>
    <cellStyle name="Output 3 8 3 2" xfId="19866" xr:uid="{00000000-0005-0000-0000-0000A9950000}"/>
    <cellStyle name="Output 3 8 3 3" xfId="24386" xr:uid="{00000000-0005-0000-0000-0000AA950000}"/>
    <cellStyle name="Output 3 8 3 4" xfId="23715" xr:uid="{00000000-0005-0000-0000-0000AB950000}"/>
    <cellStyle name="Output 3 8 4" xfId="10318" xr:uid="{00000000-0005-0000-0000-0000AC950000}"/>
    <cellStyle name="Output 3 8 4 2" xfId="19455" xr:uid="{00000000-0005-0000-0000-0000AD950000}"/>
    <cellStyle name="Output 3 8 5" xfId="15331" xr:uid="{00000000-0005-0000-0000-0000AE950000}"/>
    <cellStyle name="Output 3 8 5 2" xfId="20817" xr:uid="{00000000-0005-0000-0000-0000AF950000}"/>
    <cellStyle name="Output 3 8 6" xfId="16346" xr:uid="{00000000-0005-0000-0000-0000B0950000}"/>
    <cellStyle name="Output 3 8 6 2" xfId="21902" xr:uid="{00000000-0005-0000-0000-0000B1950000}"/>
    <cellStyle name="Output 3 8 7" xfId="15325" xr:uid="{00000000-0005-0000-0000-0000B2950000}"/>
    <cellStyle name="Output 3 8 7 2" xfId="20778" xr:uid="{00000000-0005-0000-0000-0000B3950000}"/>
    <cellStyle name="Output 3 8 8" xfId="17350" xr:uid="{00000000-0005-0000-0000-0000B4950000}"/>
    <cellStyle name="Output 3 8 8 2" xfId="22994" xr:uid="{00000000-0005-0000-0000-0000B5950000}"/>
    <cellStyle name="Output 3 8 9" xfId="13550" xr:uid="{00000000-0005-0000-0000-0000B6950000}"/>
    <cellStyle name="Output 3 8 9 2" xfId="18527" xr:uid="{00000000-0005-0000-0000-0000B7950000}"/>
    <cellStyle name="Output 3 9" xfId="2830" xr:uid="{00000000-0005-0000-0000-0000B8950000}"/>
    <cellStyle name="Output 3 9 10" xfId="12858" xr:uid="{00000000-0005-0000-0000-0000B9950000}"/>
    <cellStyle name="Output 3 9 11" xfId="17872" xr:uid="{00000000-0005-0000-0000-0000BA950000}"/>
    <cellStyle name="Output 3 9 2" xfId="4282" xr:uid="{00000000-0005-0000-0000-0000BB950000}"/>
    <cellStyle name="Output 3 9 2 10" xfId="18190" xr:uid="{00000000-0005-0000-0000-0000BC950000}"/>
    <cellStyle name="Output 3 9 2 2" xfId="11830" xr:uid="{00000000-0005-0000-0000-0000BD950000}"/>
    <cellStyle name="Output 3 9 2 2 2" xfId="20231" xr:uid="{00000000-0005-0000-0000-0000BE950000}"/>
    <cellStyle name="Output 3 9 2 2 3" xfId="24704" xr:uid="{00000000-0005-0000-0000-0000BF950000}"/>
    <cellStyle name="Output 3 9 2 2 4" xfId="24037" xr:uid="{00000000-0005-0000-0000-0000C0950000}"/>
    <cellStyle name="Output 3 9 2 3" xfId="14568" xr:uid="{00000000-0005-0000-0000-0000C1950000}"/>
    <cellStyle name="Output 3 9 2 3 2" xfId="19727" xr:uid="{00000000-0005-0000-0000-0000C2950000}"/>
    <cellStyle name="Output 3 9 2 4" xfId="16165" xr:uid="{00000000-0005-0000-0000-0000C3950000}"/>
    <cellStyle name="Output 3 9 2 4 2" xfId="21689" xr:uid="{00000000-0005-0000-0000-0000C4950000}"/>
    <cellStyle name="Output 3 9 2 5" xfId="16584" xr:uid="{00000000-0005-0000-0000-0000C5950000}"/>
    <cellStyle name="Output 3 9 2 5 2" xfId="22225" xr:uid="{00000000-0005-0000-0000-0000C6950000}"/>
    <cellStyle name="Output 3 9 2 6" xfId="16948" xr:uid="{00000000-0005-0000-0000-0000C7950000}"/>
    <cellStyle name="Output 3 9 2 6 2" xfId="22599" xr:uid="{00000000-0005-0000-0000-0000C8950000}"/>
    <cellStyle name="Output 3 9 2 7" xfId="17668" xr:uid="{00000000-0005-0000-0000-0000C9950000}"/>
    <cellStyle name="Output 3 9 2 7 2" xfId="23313" xr:uid="{00000000-0005-0000-0000-0000CA950000}"/>
    <cellStyle name="Output 3 9 2 8" xfId="13872" xr:uid="{00000000-0005-0000-0000-0000CB950000}"/>
    <cellStyle name="Output 3 9 2 8 2" xfId="18846" xr:uid="{00000000-0005-0000-0000-0000CC950000}"/>
    <cellStyle name="Output 3 9 2 9" xfId="13201" xr:uid="{00000000-0005-0000-0000-0000CD950000}"/>
    <cellStyle name="Output 3 9 3" xfId="11317" xr:uid="{00000000-0005-0000-0000-0000CE950000}"/>
    <cellStyle name="Output 3 9 3 2" xfId="19867" xr:uid="{00000000-0005-0000-0000-0000CF950000}"/>
    <cellStyle name="Output 3 9 3 3" xfId="24387" xr:uid="{00000000-0005-0000-0000-0000D0950000}"/>
    <cellStyle name="Output 3 9 3 4" xfId="23716" xr:uid="{00000000-0005-0000-0000-0000D1950000}"/>
    <cellStyle name="Output 3 9 4" xfId="10600" xr:uid="{00000000-0005-0000-0000-0000D2950000}"/>
    <cellStyle name="Output 3 9 4 2" xfId="19456" xr:uid="{00000000-0005-0000-0000-0000D3950000}"/>
    <cellStyle name="Output 3 9 5" xfId="15330" xr:uid="{00000000-0005-0000-0000-0000D4950000}"/>
    <cellStyle name="Output 3 9 5 2" xfId="20816" xr:uid="{00000000-0005-0000-0000-0000D5950000}"/>
    <cellStyle name="Output 3 9 6" xfId="16347" xr:uid="{00000000-0005-0000-0000-0000D6950000}"/>
    <cellStyle name="Output 3 9 6 2" xfId="21903" xr:uid="{00000000-0005-0000-0000-0000D7950000}"/>
    <cellStyle name="Output 3 9 7" xfId="15324" xr:uid="{00000000-0005-0000-0000-0000D8950000}"/>
    <cellStyle name="Output 3 9 7 2" xfId="20777" xr:uid="{00000000-0005-0000-0000-0000D9950000}"/>
    <cellStyle name="Output 3 9 8" xfId="17351" xr:uid="{00000000-0005-0000-0000-0000DA950000}"/>
    <cellStyle name="Output 3 9 8 2" xfId="22995" xr:uid="{00000000-0005-0000-0000-0000DB950000}"/>
    <cellStyle name="Output 3 9 9" xfId="13551" xr:uid="{00000000-0005-0000-0000-0000DC950000}"/>
    <cellStyle name="Output 3 9 9 2" xfId="18528" xr:uid="{00000000-0005-0000-0000-0000DD950000}"/>
    <cellStyle name="Output 30" xfId="43832" xr:uid="{00000000-0005-0000-0000-0000DE950000}"/>
    <cellStyle name="Output 31" xfId="43833" xr:uid="{00000000-0005-0000-0000-0000DF950000}"/>
    <cellStyle name="Output 32" xfId="43834" xr:uid="{00000000-0005-0000-0000-0000E0950000}"/>
    <cellStyle name="Output 33" xfId="43835" xr:uid="{00000000-0005-0000-0000-0000E1950000}"/>
    <cellStyle name="Output 34" xfId="43836" xr:uid="{00000000-0005-0000-0000-0000E2950000}"/>
    <cellStyle name="Output 35" xfId="43837" xr:uid="{00000000-0005-0000-0000-0000E3950000}"/>
    <cellStyle name="Output 36" xfId="43838" xr:uid="{00000000-0005-0000-0000-0000E4950000}"/>
    <cellStyle name="Output 37" xfId="43839" xr:uid="{00000000-0005-0000-0000-0000E5950000}"/>
    <cellStyle name="Output 38" xfId="43840" xr:uid="{00000000-0005-0000-0000-0000E6950000}"/>
    <cellStyle name="Output 39" xfId="43841" xr:uid="{00000000-0005-0000-0000-0000E7950000}"/>
    <cellStyle name="Output 4" xfId="2831" xr:uid="{00000000-0005-0000-0000-0000E8950000}"/>
    <cellStyle name="Output 4 10" xfId="2832" xr:uid="{00000000-0005-0000-0000-0000E9950000}"/>
    <cellStyle name="Output 4 10 10" xfId="12860" xr:uid="{00000000-0005-0000-0000-0000EA950000}"/>
    <cellStyle name="Output 4 10 11" xfId="17874" xr:uid="{00000000-0005-0000-0000-0000EB950000}"/>
    <cellStyle name="Output 4 10 2" xfId="4283" xr:uid="{00000000-0005-0000-0000-0000EC950000}"/>
    <cellStyle name="Output 4 10 2 10" xfId="18192" xr:uid="{00000000-0005-0000-0000-0000ED950000}"/>
    <cellStyle name="Output 4 10 2 2" xfId="11116" xr:uid="{00000000-0005-0000-0000-0000EE950000}"/>
    <cellStyle name="Output 4 10 2 2 2" xfId="20233" xr:uid="{00000000-0005-0000-0000-0000EF950000}"/>
    <cellStyle name="Output 4 10 2 2 3" xfId="24706" xr:uid="{00000000-0005-0000-0000-0000F0950000}"/>
    <cellStyle name="Output 4 10 2 2 4" xfId="24039" xr:uid="{00000000-0005-0000-0000-0000F1950000}"/>
    <cellStyle name="Output 4 10 2 3" xfId="14570" xr:uid="{00000000-0005-0000-0000-0000F2950000}"/>
    <cellStyle name="Output 4 10 2 3 2" xfId="19729" xr:uid="{00000000-0005-0000-0000-0000F3950000}"/>
    <cellStyle name="Output 4 10 2 4" xfId="16167" xr:uid="{00000000-0005-0000-0000-0000F4950000}"/>
    <cellStyle name="Output 4 10 2 4 2" xfId="21691" xr:uid="{00000000-0005-0000-0000-0000F5950000}"/>
    <cellStyle name="Output 4 10 2 5" xfId="16586" xr:uid="{00000000-0005-0000-0000-0000F6950000}"/>
    <cellStyle name="Output 4 10 2 5 2" xfId="22227" xr:uid="{00000000-0005-0000-0000-0000F7950000}"/>
    <cellStyle name="Output 4 10 2 6" xfId="16950" xr:uid="{00000000-0005-0000-0000-0000F8950000}"/>
    <cellStyle name="Output 4 10 2 6 2" xfId="22601" xr:uid="{00000000-0005-0000-0000-0000F9950000}"/>
    <cellStyle name="Output 4 10 2 7" xfId="17670" xr:uid="{00000000-0005-0000-0000-0000FA950000}"/>
    <cellStyle name="Output 4 10 2 7 2" xfId="23315" xr:uid="{00000000-0005-0000-0000-0000FB950000}"/>
    <cellStyle name="Output 4 10 2 8" xfId="13874" xr:uid="{00000000-0005-0000-0000-0000FC950000}"/>
    <cellStyle name="Output 4 10 2 8 2" xfId="18848" xr:uid="{00000000-0005-0000-0000-0000FD950000}"/>
    <cellStyle name="Output 4 10 2 9" xfId="13203" xr:uid="{00000000-0005-0000-0000-0000FE950000}"/>
    <cellStyle name="Output 4 10 3" xfId="11115" xr:uid="{00000000-0005-0000-0000-0000FF950000}"/>
    <cellStyle name="Output 4 10 3 2" xfId="19869" xr:uid="{00000000-0005-0000-0000-000000960000}"/>
    <cellStyle name="Output 4 10 3 3" xfId="24389" xr:uid="{00000000-0005-0000-0000-000001960000}"/>
    <cellStyle name="Output 4 10 3 4" xfId="23718" xr:uid="{00000000-0005-0000-0000-000002960000}"/>
    <cellStyle name="Output 4 10 4" xfId="10317" xr:uid="{00000000-0005-0000-0000-000003960000}"/>
    <cellStyle name="Output 4 10 4 2" xfId="19458" xr:uid="{00000000-0005-0000-0000-000004960000}"/>
    <cellStyle name="Output 4 10 5" xfId="15328" xr:uid="{00000000-0005-0000-0000-000005960000}"/>
    <cellStyle name="Output 4 10 5 2" xfId="20814" xr:uid="{00000000-0005-0000-0000-000006960000}"/>
    <cellStyle name="Output 4 10 6" xfId="16349" xr:uid="{00000000-0005-0000-0000-000007960000}"/>
    <cellStyle name="Output 4 10 6 2" xfId="21905" xr:uid="{00000000-0005-0000-0000-000008960000}"/>
    <cellStyle name="Output 4 10 7" xfId="15288" xr:uid="{00000000-0005-0000-0000-000009960000}"/>
    <cellStyle name="Output 4 10 7 2" xfId="20676" xr:uid="{00000000-0005-0000-0000-00000A960000}"/>
    <cellStyle name="Output 4 10 8" xfId="17353" xr:uid="{00000000-0005-0000-0000-00000B960000}"/>
    <cellStyle name="Output 4 10 8 2" xfId="22997" xr:uid="{00000000-0005-0000-0000-00000C960000}"/>
    <cellStyle name="Output 4 10 9" xfId="13553" xr:uid="{00000000-0005-0000-0000-00000D960000}"/>
    <cellStyle name="Output 4 10 9 2" xfId="18530" xr:uid="{00000000-0005-0000-0000-00000E960000}"/>
    <cellStyle name="Output 4 11" xfId="2833" xr:uid="{00000000-0005-0000-0000-00000F960000}"/>
    <cellStyle name="Output 4 11 10" xfId="12861" xr:uid="{00000000-0005-0000-0000-000010960000}"/>
    <cellStyle name="Output 4 11 11" xfId="17875" xr:uid="{00000000-0005-0000-0000-000011960000}"/>
    <cellStyle name="Output 4 11 2" xfId="4284" xr:uid="{00000000-0005-0000-0000-000012960000}"/>
    <cellStyle name="Output 4 11 2 10" xfId="18193" xr:uid="{00000000-0005-0000-0000-000013960000}"/>
    <cellStyle name="Output 4 11 2 2" xfId="12213" xr:uid="{00000000-0005-0000-0000-000014960000}"/>
    <cellStyle name="Output 4 11 2 2 2" xfId="20234" xr:uid="{00000000-0005-0000-0000-000015960000}"/>
    <cellStyle name="Output 4 11 2 2 3" xfId="24707" xr:uid="{00000000-0005-0000-0000-000016960000}"/>
    <cellStyle name="Output 4 11 2 2 4" xfId="24040" xr:uid="{00000000-0005-0000-0000-000017960000}"/>
    <cellStyle name="Output 4 11 2 3" xfId="14571" xr:uid="{00000000-0005-0000-0000-000018960000}"/>
    <cellStyle name="Output 4 11 2 3 2" xfId="19730" xr:uid="{00000000-0005-0000-0000-000019960000}"/>
    <cellStyle name="Output 4 11 2 4" xfId="16168" xr:uid="{00000000-0005-0000-0000-00001A960000}"/>
    <cellStyle name="Output 4 11 2 4 2" xfId="21692" xr:uid="{00000000-0005-0000-0000-00001B960000}"/>
    <cellStyle name="Output 4 11 2 5" xfId="16587" xr:uid="{00000000-0005-0000-0000-00001C960000}"/>
    <cellStyle name="Output 4 11 2 5 2" xfId="22228" xr:uid="{00000000-0005-0000-0000-00001D960000}"/>
    <cellStyle name="Output 4 11 2 6" xfId="16951" xr:uid="{00000000-0005-0000-0000-00001E960000}"/>
    <cellStyle name="Output 4 11 2 6 2" xfId="22602" xr:uid="{00000000-0005-0000-0000-00001F960000}"/>
    <cellStyle name="Output 4 11 2 7" xfId="17671" xr:uid="{00000000-0005-0000-0000-000020960000}"/>
    <cellStyle name="Output 4 11 2 7 2" xfId="23316" xr:uid="{00000000-0005-0000-0000-000021960000}"/>
    <cellStyle name="Output 4 11 2 8" xfId="13875" xr:uid="{00000000-0005-0000-0000-000022960000}"/>
    <cellStyle name="Output 4 11 2 8 2" xfId="18849" xr:uid="{00000000-0005-0000-0000-000023960000}"/>
    <cellStyle name="Output 4 11 2 9" xfId="13204" xr:uid="{00000000-0005-0000-0000-000024960000}"/>
    <cellStyle name="Output 4 11 3" xfId="12221" xr:uid="{00000000-0005-0000-0000-000025960000}"/>
    <cellStyle name="Output 4 11 3 2" xfId="19870" xr:uid="{00000000-0005-0000-0000-000026960000}"/>
    <cellStyle name="Output 4 11 3 3" xfId="24390" xr:uid="{00000000-0005-0000-0000-000027960000}"/>
    <cellStyle name="Output 4 11 3 4" xfId="23719" xr:uid="{00000000-0005-0000-0000-000028960000}"/>
    <cellStyle name="Output 4 11 4" xfId="10316" xr:uid="{00000000-0005-0000-0000-000029960000}"/>
    <cellStyle name="Output 4 11 4 2" xfId="19459" xr:uid="{00000000-0005-0000-0000-00002A960000}"/>
    <cellStyle name="Output 4 11 5" xfId="15327" xr:uid="{00000000-0005-0000-0000-00002B960000}"/>
    <cellStyle name="Output 4 11 5 2" xfId="20813" xr:uid="{00000000-0005-0000-0000-00002C960000}"/>
    <cellStyle name="Output 4 11 6" xfId="16350" xr:uid="{00000000-0005-0000-0000-00002D960000}"/>
    <cellStyle name="Output 4 11 6 2" xfId="21906" xr:uid="{00000000-0005-0000-0000-00002E960000}"/>
    <cellStyle name="Output 4 11 7" xfId="15323" xr:uid="{00000000-0005-0000-0000-00002F960000}"/>
    <cellStyle name="Output 4 11 7 2" xfId="20776" xr:uid="{00000000-0005-0000-0000-000030960000}"/>
    <cellStyle name="Output 4 11 8" xfId="17354" xr:uid="{00000000-0005-0000-0000-000031960000}"/>
    <cellStyle name="Output 4 11 8 2" xfId="22998" xr:uid="{00000000-0005-0000-0000-000032960000}"/>
    <cellStyle name="Output 4 11 9" xfId="13554" xr:uid="{00000000-0005-0000-0000-000033960000}"/>
    <cellStyle name="Output 4 11 9 2" xfId="18531" xr:uid="{00000000-0005-0000-0000-000034960000}"/>
    <cellStyle name="Output 4 12" xfId="4285" xr:uid="{00000000-0005-0000-0000-000035960000}"/>
    <cellStyle name="Output 4 12 10" xfId="18191" xr:uid="{00000000-0005-0000-0000-000036960000}"/>
    <cellStyle name="Output 4 12 2" xfId="12205" xr:uid="{00000000-0005-0000-0000-000037960000}"/>
    <cellStyle name="Output 4 12 2 2" xfId="20232" xr:uid="{00000000-0005-0000-0000-000038960000}"/>
    <cellStyle name="Output 4 12 2 3" xfId="24705" xr:uid="{00000000-0005-0000-0000-000039960000}"/>
    <cellStyle name="Output 4 12 2 4" xfId="24038" xr:uid="{00000000-0005-0000-0000-00003A960000}"/>
    <cellStyle name="Output 4 12 3" xfId="14569" xr:uid="{00000000-0005-0000-0000-00003B960000}"/>
    <cellStyle name="Output 4 12 3 2" xfId="19728" xr:uid="{00000000-0005-0000-0000-00003C960000}"/>
    <cellStyle name="Output 4 12 4" xfId="16166" xr:uid="{00000000-0005-0000-0000-00003D960000}"/>
    <cellStyle name="Output 4 12 4 2" xfId="21690" xr:uid="{00000000-0005-0000-0000-00003E960000}"/>
    <cellStyle name="Output 4 12 5" xfId="16585" xr:uid="{00000000-0005-0000-0000-00003F960000}"/>
    <cellStyle name="Output 4 12 5 2" xfId="22226" xr:uid="{00000000-0005-0000-0000-000040960000}"/>
    <cellStyle name="Output 4 12 6" xfId="16949" xr:uid="{00000000-0005-0000-0000-000041960000}"/>
    <cellStyle name="Output 4 12 6 2" xfId="22600" xr:uid="{00000000-0005-0000-0000-000042960000}"/>
    <cellStyle name="Output 4 12 7" xfId="17669" xr:uid="{00000000-0005-0000-0000-000043960000}"/>
    <cellStyle name="Output 4 12 7 2" xfId="23314" xr:uid="{00000000-0005-0000-0000-000044960000}"/>
    <cellStyle name="Output 4 12 8" xfId="13873" xr:uid="{00000000-0005-0000-0000-000045960000}"/>
    <cellStyle name="Output 4 12 8 2" xfId="18847" xr:uid="{00000000-0005-0000-0000-000046960000}"/>
    <cellStyle name="Output 4 12 9" xfId="13202" xr:uid="{00000000-0005-0000-0000-000047960000}"/>
    <cellStyle name="Output 4 13" xfId="11114" xr:uid="{00000000-0005-0000-0000-000048960000}"/>
    <cellStyle name="Output 4 13 2" xfId="19868" xr:uid="{00000000-0005-0000-0000-000049960000}"/>
    <cellStyle name="Output 4 13 3" xfId="24388" xr:uid="{00000000-0005-0000-0000-00004A960000}"/>
    <cellStyle name="Output 4 13 4" xfId="23717" xr:uid="{00000000-0005-0000-0000-00004B960000}"/>
    <cellStyle name="Output 4 14" xfId="11318" xr:uid="{00000000-0005-0000-0000-00004C960000}"/>
    <cellStyle name="Output 4 14 2" xfId="19457" xr:uid="{00000000-0005-0000-0000-00004D960000}"/>
    <cellStyle name="Output 4 15" xfId="15329" xr:uid="{00000000-0005-0000-0000-00004E960000}"/>
    <cellStyle name="Output 4 15 2" xfId="20815" xr:uid="{00000000-0005-0000-0000-00004F960000}"/>
    <cellStyle name="Output 4 16" xfId="16348" xr:uid="{00000000-0005-0000-0000-000050960000}"/>
    <cellStyle name="Output 4 16 2" xfId="21904" xr:uid="{00000000-0005-0000-0000-000051960000}"/>
    <cellStyle name="Output 4 17" xfId="16175" xr:uid="{00000000-0005-0000-0000-000052960000}"/>
    <cellStyle name="Output 4 17 2" xfId="21726" xr:uid="{00000000-0005-0000-0000-000053960000}"/>
    <cellStyle name="Output 4 18" xfId="17352" xr:uid="{00000000-0005-0000-0000-000054960000}"/>
    <cellStyle name="Output 4 18 2" xfId="22996" xr:uid="{00000000-0005-0000-0000-000055960000}"/>
    <cellStyle name="Output 4 19" xfId="13552" xr:uid="{00000000-0005-0000-0000-000056960000}"/>
    <cellStyle name="Output 4 19 2" xfId="18529" xr:uid="{00000000-0005-0000-0000-000057960000}"/>
    <cellStyle name="Output 4 2" xfId="2834" xr:uid="{00000000-0005-0000-0000-000058960000}"/>
    <cellStyle name="Output 4 2 10" xfId="12862" xr:uid="{00000000-0005-0000-0000-000059960000}"/>
    <cellStyle name="Output 4 2 11" xfId="17876" xr:uid="{00000000-0005-0000-0000-00005A960000}"/>
    <cellStyle name="Output 4 2 2" xfId="4286" xr:uid="{00000000-0005-0000-0000-00005B960000}"/>
    <cellStyle name="Output 4 2 2 10" xfId="18194" xr:uid="{00000000-0005-0000-0000-00005C960000}"/>
    <cellStyle name="Output 4 2 2 2" xfId="9786" xr:uid="{00000000-0005-0000-0000-00005D960000}"/>
    <cellStyle name="Output 4 2 2 2 2" xfId="20235" xr:uid="{00000000-0005-0000-0000-00005E960000}"/>
    <cellStyle name="Output 4 2 2 2 3" xfId="24708" xr:uid="{00000000-0005-0000-0000-00005F960000}"/>
    <cellStyle name="Output 4 2 2 2 4" xfId="24041" xr:uid="{00000000-0005-0000-0000-000060960000}"/>
    <cellStyle name="Output 4 2 2 3" xfId="12189" xr:uid="{00000000-0005-0000-0000-000061960000}"/>
    <cellStyle name="Output 4 2 2 3 2" xfId="19731" xr:uid="{00000000-0005-0000-0000-000062960000}"/>
    <cellStyle name="Output 4 2 2 4" xfId="16169" xr:uid="{00000000-0005-0000-0000-000063960000}"/>
    <cellStyle name="Output 4 2 2 4 2" xfId="21693" xr:uid="{00000000-0005-0000-0000-000064960000}"/>
    <cellStyle name="Output 4 2 2 5" xfId="16588" xr:uid="{00000000-0005-0000-0000-000065960000}"/>
    <cellStyle name="Output 4 2 2 5 2" xfId="22229" xr:uid="{00000000-0005-0000-0000-000066960000}"/>
    <cellStyle name="Output 4 2 2 6" xfId="16952" xr:uid="{00000000-0005-0000-0000-000067960000}"/>
    <cellStyle name="Output 4 2 2 6 2" xfId="22603" xr:uid="{00000000-0005-0000-0000-000068960000}"/>
    <cellStyle name="Output 4 2 2 7" xfId="17672" xr:uid="{00000000-0005-0000-0000-000069960000}"/>
    <cellStyle name="Output 4 2 2 7 2" xfId="23317" xr:uid="{00000000-0005-0000-0000-00006A960000}"/>
    <cellStyle name="Output 4 2 2 8" xfId="13876" xr:uid="{00000000-0005-0000-0000-00006B960000}"/>
    <cellStyle name="Output 4 2 2 8 2" xfId="18850" xr:uid="{00000000-0005-0000-0000-00006C960000}"/>
    <cellStyle name="Output 4 2 2 9" xfId="13205" xr:uid="{00000000-0005-0000-0000-00006D960000}"/>
    <cellStyle name="Output 4 2 3" xfId="6361" xr:uid="{00000000-0005-0000-0000-00006E960000}"/>
    <cellStyle name="Output 4 2 3 2" xfId="19871" xr:uid="{00000000-0005-0000-0000-00006F960000}"/>
    <cellStyle name="Output 4 2 3 3" xfId="14574" xr:uid="{00000000-0005-0000-0000-000070960000}"/>
    <cellStyle name="Output 4 2 3 3 2" xfId="24391" xr:uid="{00000000-0005-0000-0000-000071960000}"/>
    <cellStyle name="Output 4 2 3 4" xfId="23720" xr:uid="{00000000-0005-0000-0000-000072960000}"/>
    <cellStyle name="Output 4 2 4" xfId="12197" xr:uid="{00000000-0005-0000-0000-000073960000}"/>
    <cellStyle name="Output 4 2 4 2" xfId="19460" xr:uid="{00000000-0005-0000-0000-000074960000}"/>
    <cellStyle name="Output 4 2 5" xfId="11315" xr:uid="{00000000-0005-0000-0000-000075960000}"/>
    <cellStyle name="Output 4 2 5 2" xfId="20812" xr:uid="{00000000-0005-0000-0000-000076960000}"/>
    <cellStyle name="Output 4 2 6" xfId="16351" xr:uid="{00000000-0005-0000-0000-000077960000}"/>
    <cellStyle name="Output 4 2 6 2" xfId="21907" xr:uid="{00000000-0005-0000-0000-000078960000}"/>
    <cellStyle name="Output 4 2 7" xfId="15322" xr:uid="{00000000-0005-0000-0000-000079960000}"/>
    <cellStyle name="Output 4 2 7 2" xfId="20775" xr:uid="{00000000-0005-0000-0000-00007A960000}"/>
    <cellStyle name="Output 4 2 8" xfId="17355" xr:uid="{00000000-0005-0000-0000-00007B960000}"/>
    <cellStyle name="Output 4 2 8 2" xfId="22999" xr:uid="{00000000-0005-0000-0000-00007C960000}"/>
    <cellStyle name="Output 4 2 9" xfId="13555" xr:uid="{00000000-0005-0000-0000-00007D960000}"/>
    <cellStyle name="Output 4 2 9 2" xfId="18532" xr:uid="{00000000-0005-0000-0000-00007E960000}"/>
    <cellStyle name="Output 4 20" xfId="12859" xr:uid="{00000000-0005-0000-0000-00007F960000}"/>
    <cellStyle name="Output 4 21" xfId="17873" xr:uid="{00000000-0005-0000-0000-000080960000}"/>
    <cellStyle name="Output 4 3" xfId="2835" xr:uid="{00000000-0005-0000-0000-000081960000}"/>
    <cellStyle name="Output 4 3 10" xfId="12863" xr:uid="{00000000-0005-0000-0000-000082960000}"/>
    <cellStyle name="Output 4 3 11" xfId="17877" xr:uid="{00000000-0005-0000-0000-000083960000}"/>
    <cellStyle name="Output 4 3 2" xfId="4287" xr:uid="{00000000-0005-0000-0000-000084960000}"/>
    <cellStyle name="Output 4 3 2 10" xfId="18195" xr:uid="{00000000-0005-0000-0000-000085960000}"/>
    <cellStyle name="Output 4 3 2 2" xfId="10103" xr:uid="{00000000-0005-0000-0000-000086960000}"/>
    <cellStyle name="Output 4 3 2 2 2" xfId="20236" xr:uid="{00000000-0005-0000-0000-000087960000}"/>
    <cellStyle name="Output 4 3 2 2 3" xfId="24709" xr:uid="{00000000-0005-0000-0000-000088960000}"/>
    <cellStyle name="Output 4 3 2 2 4" xfId="24042" xr:uid="{00000000-0005-0000-0000-000089960000}"/>
    <cellStyle name="Output 4 3 2 3" xfId="11272" xr:uid="{00000000-0005-0000-0000-00008A960000}"/>
    <cellStyle name="Output 4 3 2 3 2" xfId="19732" xr:uid="{00000000-0005-0000-0000-00008B960000}"/>
    <cellStyle name="Output 4 3 2 4" xfId="16170" xr:uid="{00000000-0005-0000-0000-00008C960000}"/>
    <cellStyle name="Output 4 3 2 4 2" xfId="21694" xr:uid="{00000000-0005-0000-0000-00008D960000}"/>
    <cellStyle name="Output 4 3 2 5" xfId="16589" xr:uid="{00000000-0005-0000-0000-00008E960000}"/>
    <cellStyle name="Output 4 3 2 5 2" xfId="22230" xr:uid="{00000000-0005-0000-0000-00008F960000}"/>
    <cellStyle name="Output 4 3 2 6" xfId="16953" xr:uid="{00000000-0005-0000-0000-000090960000}"/>
    <cellStyle name="Output 4 3 2 6 2" xfId="22604" xr:uid="{00000000-0005-0000-0000-000091960000}"/>
    <cellStyle name="Output 4 3 2 7" xfId="17673" xr:uid="{00000000-0005-0000-0000-000092960000}"/>
    <cellStyle name="Output 4 3 2 7 2" xfId="23318" xr:uid="{00000000-0005-0000-0000-000093960000}"/>
    <cellStyle name="Output 4 3 2 8" xfId="13877" xr:uid="{00000000-0005-0000-0000-000094960000}"/>
    <cellStyle name="Output 4 3 2 8 2" xfId="18851" xr:uid="{00000000-0005-0000-0000-000095960000}"/>
    <cellStyle name="Output 4 3 2 9" xfId="13206" xr:uid="{00000000-0005-0000-0000-000096960000}"/>
    <cellStyle name="Output 4 3 3" xfId="6362" xr:uid="{00000000-0005-0000-0000-000097960000}"/>
    <cellStyle name="Output 4 3 3 2" xfId="19872" xr:uid="{00000000-0005-0000-0000-000098960000}"/>
    <cellStyle name="Output 4 3 3 3" xfId="14575" xr:uid="{00000000-0005-0000-0000-000099960000}"/>
    <cellStyle name="Output 4 3 3 3 2" xfId="24392" xr:uid="{00000000-0005-0000-0000-00009A960000}"/>
    <cellStyle name="Output 4 3 3 4" xfId="23721" xr:uid="{00000000-0005-0000-0000-00009B960000}"/>
    <cellStyle name="Output 4 3 4" xfId="11874" xr:uid="{00000000-0005-0000-0000-00009C960000}"/>
    <cellStyle name="Output 4 3 4 2" xfId="19461" xr:uid="{00000000-0005-0000-0000-00009D960000}"/>
    <cellStyle name="Output 4 3 5" xfId="10315" xr:uid="{00000000-0005-0000-0000-00009E960000}"/>
    <cellStyle name="Output 4 3 5 2" xfId="20811" xr:uid="{00000000-0005-0000-0000-00009F960000}"/>
    <cellStyle name="Output 4 3 6" xfId="16352" xr:uid="{00000000-0005-0000-0000-0000A0960000}"/>
    <cellStyle name="Output 4 3 6 2" xfId="21908" xr:uid="{00000000-0005-0000-0000-0000A1960000}"/>
    <cellStyle name="Output 4 3 7" xfId="15321" xr:uid="{00000000-0005-0000-0000-0000A2960000}"/>
    <cellStyle name="Output 4 3 7 2" xfId="20774" xr:uid="{00000000-0005-0000-0000-0000A3960000}"/>
    <cellStyle name="Output 4 3 8" xfId="17356" xr:uid="{00000000-0005-0000-0000-0000A4960000}"/>
    <cellStyle name="Output 4 3 8 2" xfId="23000" xr:uid="{00000000-0005-0000-0000-0000A5960000}"/>
    <cellStyle name="Output 4 3 9" xfId="13556" xr:uid="{00000000-0005-0000-0000-0000A6960000}"/>
    <cellStyle name="Output 4 3 9 2" xfId="18533" xr:uid="{00000000-0005-0000-0000-0000A7960000}"/>
    <cellStyle name="Output 4 4" xfId="2836" xr:uid="{00000000-0005-0000-0000-0000A8960000}"/>
    <cellStyle name="Output 4 4 10" xfId="12864" xr:uid="{00000000-0005-0000-0000-0000A9960000}"/>
    <cellStyle name="Output 4 4 11" xfId="17878" xr:uid="{00000000-0005-0000-0000-0000AA960000}"/>
    <cellStyle name="Output 4 4 2" xfId="4288" xr:uid="{00000000-0005-0000-0000-0000AB960000}"/>
    <cellStyle name="Output 4 4 2 10" xfId="18196" xr:uid="{00000000-0005-0000-0000-0000AC960000}"/>
    <cellStyle name="Output 4 4 2 2" xfId="9775" xr:uid="{00000000-0005-0000-0000-0000AD960000}"/>
    <cellStyle name="Output 4 4 2 2 2" xfId="20237" xr:uid="{00000000-0005-0000-0000-0000AE960000}"/>
    <cellStyle name="Output 4 4 2 2 3" xfId="24710" xr:uid="{00000000-0005-0000-0000-0000AF960000}"/>
    <cellStyle name="Output 4 4 2 2 4" xfId="24043" xr:uid="{00000000-0005-0000-0000-0000B0960000}"/>
    <cellStyle name="Output 4 4 2 3" xfId="11319" xr:uid="{00000000-0005-0000-0000-0000B1960000}"/>
    <cellStyle name="Output 4 4 2 3 2" xfId="20142" xr:uid="{00000000-0005-0000-0000-0000B2960000}"/>
    <cellStyle name="Output 4 4 2 4" xfId="16171" xr:uid="{00000000-0005-0000-0000-0000B3960000}"/>
    <cellStyle name="Output 4 4 2 4 2" xfId="21695" xr:uid="{00000000-0005-0000-0000-0000B4960000}"/>
    <cellStyle name="Output 4 4 2 5" xfId="16590" xr:uid="{00000000-0005-0000-0000-0000B5960000}"/>
    <cellStyle name="Output 4 4 2 5 2" xfId="22231" xr:uid="{00000000-0005-0000-0000-0000B6960000}"/>
    <cellStyle name="Output 4 4 2 6" xfId="16954" xr:uid="{00000000-0005-0000-0000-0000B7960000}"/>
    <cellStyle name="Output 4 4 2 6 2" xfId="22605" xr:uid="{00000000-0005-0000-0000-0000B8960000}"/>
    <cellStyle name="Output 4 4 2 7" xfId="17674" xr:uid="{00000000-0005-0000-0000-0000B9960000}"/>
    <cellStyle name="Output 4 4 2 7 2" xfId="23319" xr:uid="{00000000-0005-0000-0000-0000BA960000}"/>
    <cellStyle name="Output 4 4 2 8" xfId="13878" xr:uid="{00000000-0005-0000-0000-0000BB960000}"/>
    <cellStyle name="Output 4 4 2 8 2" xfId="18852" xr:uid="{00000000-0005-0000-0000-0000BC960000}"/>
    <cellStyle name="Output 4 4 2 9" xfId="13207" xr:uid="{00000000-0005-0000-0000-0000BD960000}"/>
    <cellStyle name="Output 4 4 3" xfId="6363" xr:uid="{00000000-0005-0000-0000-0000BE960000}"/>
    <cellStyle name="Output 4 4 3 2" xfId="19873" xr:uid="{00000000-0005-0000-0000-0000BF960000}"/>
    <cellStyle name="Output 4 4 3 3" xfId="14576" xr:uid="{00000000-0005-0000-0000-0000C0960000}"/>
    <cellStyle name="Output 4 4 3 3 2" xfId="24393" xr:uid="{00000000-0005-0000-0000-0000C1960000}"/>
    <cellStyle name="Output 4 4 3 4" xfId="23722" xr:uid="{00000000-0005-0000-0000-0000C2960000}"/>
    <cellStyle name="Output 4 4 4" xfId="11275" xr:uid="{00000000-0005-0000-0000-0000C3960000}"/>
    <cellStyle name="Output 4 4 4 2" xfId="19462" xr:uid="{00000000-0005-0000-0000-0000C4960000}"/>
    <cellStyle name="Output 4 4 5" xfId="10314" xr:uid="{00000000-0005-0000-0000-0000C5960000}"/>
    <cellStyle name="Output 4 4 5 2" xfId="20810" xr:uid="{00000000-0005-0000-0000-0000C6960000}"/>
    <cellStyle name="Output 4 4 6" xfId="16353" xr:uid="{00000000-0005-0000-0000-0000C7960000}"/>
    <cellStyle name="Output 4 4 6 2" xfId="21909" xr:uid="{00000000-0005-0000-0000-0000C8960000}"/>
    <cellStyle name="Output 4 4 7" xfId="15287" xr:uid="{00000000-0005-0000-0000-0000C9960000}"/>
    <cellStyle name="Output 4 4 7 2" xfId="20675" xr:uid="{00000000-0005-0000-0000-0000CA960000}"/>
    <cellStyle name="Output 4 4 8" xfId="17357" xr:uid="{00000000-0005-0000-0000-0000CB960000}"/>
    <cellStyle name="Output 4 4 8 2" xfId="23001" xr:uid="{00000000-0005-0000-0000-0000CC960000}"/>
    <cellStyle name="Output 4 4 9" xfId="13557" xr:uid="{00000000-0005-0000-0000-0000CD960000}"/>
    <cellStyle name="Output 4 4 9 2" xfId="18534" xr:uid="{00000000-0005-0000-0000-0000CE960000}"/>
    <cellStyle name="Output 4 5" xfId="2837" xr:uid="{00000000-0005-0000-0000-0000CF960000}"/>
    <cellStyle name="Output 4 5 10" xfId="12865" xr:uid="{00000000-0005-0000-0000-0000D0960000}"/>
    <cellStyle name="Output 4 5 11" xfId="17879" xr:uid="{00000000-0005-0000-0000-0000D1960000}"/>
    <cellStyle name="Output 4 5 2" xfId="4289" xr:uid="{00000000-0005-0000-0000-0000D2960000}"/>
    <cellStyle name="Output 4 5 2 10" xfId="18197" xr:uid="{00000000-0005-0000-0000-0000D3960000}"/>
    <cellStyle name="Output 4 5 2 2" xfId="10102" xr:uid="{00000000-0005-0000-0000-0000D4960000}"/>
    <cellStyle name="Output 4 5 2 2 2" xfId="20238" xr:uid="{00000000-0005-0000-0000-0000D5960000}"/>
    <cellStyle name="Output 4 5 2 2 3" xfId="24711" xr:uid="{00000000-0005-0000-0000-0000D6960000}"/>
    <cellStyle name="Output 4 5 2 2 4" xfId="24044" xr:uid="{00000000-0005-0000-0000-0000D7960000}"/>
    <cellStyle name="Output 4 5 2 3" xfId="12212" xr:uid="{00000000-0005-0000-0000-0000D8960000}"/>
    <cellStyle name="Output 4 5 2 3 2" xfId="19733" xr:uid="{00000000-0005-0000-0000-0000D9960000}"/>
    <cellStyle name="Output 4 5 2 4" xfId="16172" xr:uid="{00000000-0005-0000-0000-0000DA960000}"/>
    <cellStyle name="Output 4 5 2 4 2" xfId="21696" xr:uid="{00000000-0005-0000-0000-0000DB960000}"/>
    <cellStyle name="Output 4 5 2 5" xfId="16591" xr:uid="{00000000-0005-0000-0000-0000DC960000}"/>
    <cellStyle name="Output 4 5 2 5 2" xfId="22232" xr:uid="{00000000-0005-0000-0000-0000DD960000}"/>
    <cellStyle name="Output 4 5 2 6" xfId="16955" xr:uid="{00000000-0005-0000-0000-0000DE960000}"/>
    <cellStyle name="Output 4 5 2 6 2" xfId="22606" xr:uid="{00000000-0005-0000-0000-0000DF960000}"/>
    <cellStyle name="Output 4 5 2 7" xfId="17675" xr:uid="{00000000-0005-0000-0000-0000E0960000}"/>
    <cellStyle name="Output 4 5 2 7 2" xfId="23320" xr:uid="{00000000-0005-0000-0000-0000E1960000}"/>
    <cellStyle name="Output 4 5 2 8" xfId="13879" xr:uid="{00000000-0005-0000-0000-0000E2960000}"/>
    <cellStyle name="Output 4 5 2 8 2" xfId="18853" xr:uid="{00000000-0005-0000-0000-0000E3960000}"/>
    <cellStyle name="Output 4 5 2 9" xfId="13208" xr:uid="{00000000-0005-0000-0000-0000E4960000}"/>
    <cellStyle name="Output 4 5 3" xfId="6364" xr:uid="{00000000-0005-0000-0000-0000E5960000}"/>
    <cellStyle name="Output 4 5 3 2" xfId="19874" xr:uid="{00000000-0005-0000-0000-0000E6960000}"/>
    <cellStyle name="Output 4 5 3 3" xfId="14577" xr:uid="{00000000-0005-0000-0000-0000E7960000}"/>
    <cellStyle name="Output 4 5 3 3 2" xfId="24394" xr:uid="{00000000-0005-0000-0000-0000E8960000}"/>
    <cellStyle name="Output 4 5 3 4" xfId="23723" xr:uid="{00000000-0005-0000-0000-0000E9960000}"/>
    <cellStyle name="Output 4 5 4" xfId="12220" xr:uid="{00000000-0005-0000-0000-0000EA960000}"/>
    <cellStyle name="Output 4 5 4 2" xfId="19463" xr:uid="{00000000-0005-0000-0000-0000EB960000}"/>
    <cellStyle name="Output 4 5 5" xfId="10313" xr:uid="{00000000-0005-0000-0000-0000EC960000}"/>
    <cellStyle name="Output 4 5 5 2" xfId="20809" xr:uid="{00000000-0005-0000-0000-0000ED960000}"/>
    <cellStyle name="Output 4 5 6" xfId="16354" xr:uid="{00000000-0005-0000-0000-0000EE960000}"/>
    <cellStyle name="Output 4 5 6 2" xfId="21910" xr:uid="{00000000-0005-0000-0000-0000EF960000}"/>
    <cellStyle name="Output 4 5 7" xfId="15286" xr:uid="{00000000-0005-0000-0000-0000F0960000}"/>
    <cellStyle name="Output 4 5 7 2" xfId="20674" xr:uid="{00000000-0005-0000-0000-0000F1960000}"/>
    <cellStyle name="Output 4 5 8" xfId="17358" xr:uid="{00000000-0005-0000-0000-0000F2960000}"/>
    <cellStyle name="Output 4 5 8 2" xfId="23002" xr:uid="{00000000-0005-0000-0000-0000F3960000}"/>
    <cellStyle name="Output 4 5 9" xfId="13558" xr:uid="{00000000-0005-0000-0000-0000F4960000}"/>
    <cellStyle name="Output 4 5 9 2" xfId="18535" xr:uid="{00000000-0005-0000-0000-0000F5960000}"/>
    <cellStyle name="Output 4 6" xfId="2838" xr:uid="{00000000-0005-0000-0000-0000F6960000}"/>
    <cellStyle name="Output 4 6 10" xfId="12866" xr:uid="{00000000-0005-0000-0000-0000F7960000}"/>
    <cellStyle name="Output 4 6 11" xfId="17880" xr:uid="{00000000-0005-0000-0000-0000F8960000}"/>
    <cellStyle name="Output 4 6 2" xfId="4290" xr:uid="{00000000-0005-0000-0000-0000F9960000}"/>
    <cellStyle name="Output 4 6 2 10" xfId="18198" xr:uid="{00000000-0005-0000-0000-0000FA960000}"/>
    <cellStyle name="Output 4 6 2 2" xfId="9774" xr:uid="{00000000-0005-0000-0000-0000FB960000}"/>
    <cellStyle name="Output 4 6 2 2 2" xfId="20239" xr:uid="{00000000-0005-0000-0000-0000FC960000}"/>
    <cellStyle name="Output 4 6 2 2 3" xfId="24712" xr:uid="{00000000-0005-0000-0000-0000FD960000}"/>
    <cellStyle name="Output 4 6 2 2 4" xfId="24045" xr:uid="{00000000-0005-0000-0000-0000FE960000}"/>
    <cellStyle name="Output 4 6 2 3" xfId="12196" xr:uid="{00000000-0005-0000-0000-0000FF960000}"/>
    <cellStyle name="Output 4 6 2 3 2" xfId="19734" xr:uid="{00000000-0005-0000-0000-000000970000}"/>
    <cellStyle name="Output 4 6 2 4" xfId="16173" xr:uid="{00000000-0005-0000-0000-000001970000}"/>
    <cellStyle name="Output 4 6 2 4 2" xfId="21697" xr:uid="{00000000-0005-0000-0000-000002970000}"/>
    <cellStyle name="Output 4 6 2 5" xfId="16592" xr:uid="{00000000-0005-0000-0000-000003970000}"/>
    <cellStyle name="Output 4 6 2 5 2" xfId="22233" xr:uid="{00000000-0005-0000-0000-000004970000}"/>
    <cellStyle name="Output 4 6 2 6" xfId="16956" xr:uid="{00000000-0005-0000-0000-000005970000}"/>
    <cellStyle name="Output 4 6 2 6 2" xfId="22607" xr:uid="{00000000-0005-0000-0000-000006970000}"/>
    <cellStyle name="Output 4 6 2 7" xfId="17676" xr:uid="{00000000-0005-0000-0000-000007970000}"/>
    <cellStyle name="Output 4 6 2 7 2" xfId="23321" xr:uid="{00000000-0005-0000-0000-000008970000}"/>
    <cellStyle name="Output 4 6 2 8" xfId="13880" xr:uid="{00000000-0005-0000-0000-000009970000}"/>
    <cellStyle name="Output 4 6 2 8 2" xfId="18854" xr:uid="{00000000-0005-0000-0000-00000A970000}"/>
    <cellStyle name="Output 4 6 2 9" xfId="13209" xr:uid="{00000000-0005-0000-0000-00000B970000}"/>
    <cellStyle name="Output 4 6 3" xfId="6365" xr:uid="{00000000-0005-0000-0000-00000C970000}"/>
    <cellStyle name="Output 4 6 3 2" xfId="19875" xr:uid="{00000000-0005-0000-0000-00000D970000}"/>
    <cellStyle name="Output 4 6 3 3" xfId="14578" xr:uid="{00000000-0005-0000-0000-00000E970000}"/>
    <cellStyle name="Output 4 6 3 3 2" xfId="24395" xr:uid="{00000000-0005-0000-0000-00000F970000}"/>
    <cellStyle name="Output 4 6 3 4" xfId="23724" xr:uid="{00000000-0005-0000-0000-000010970000}"/>
    <cellStyle name="Output 4 6 4" xfId="12204" xr:uid="{00000000-0005-0000-0000-000011970000}"/>
    <cellStyle name="Output 4 6 4 2" xfId="19464" xr:uid="{00000000-0005-0000-0000-000012970000}"/>
    <cellStyle name="Output 4 6 5" xfId="10312" xr:uid="{00000000-0005-0000-0000-000013970000}"/>
    <cellStyle name="Output 4 6 5 2" xfId="20808" xr:uid="{00000000-0005-0000-0000-000014970000}"/>
    <cellStyle name="Output 4 6 6" xfId="16355" xr:uid="{00000000-0005-0000-0000-000015970000}"/>
    <cellStyle name="Output 4 6 6 2" xfId="21911" xr:uid="{00000000-0005-0000-0000-000016970000}"/>
    <cellStyle name="Output 4 6 7" xfId="15320" xr:uid="{00000000-0005-0000-0000-000017970000}"/>
    <cellStyle name="Output 4 6 7 2" xfId="20773" xr:uid="{00000000-0005-0000-0000-000018970000}"/>
    <cellStyle name="Output 4 6 8" xfId="17359" xr:uid="{00000000-0005-0000-0000-000019970000}"/>
    <cellStyle name="Output 4 6 8 2" xfId="23003" xr:uid="{00000000-0005-0000-0000-00001A970000}"/>
    <cellStyle name="Output 4 6 9" xfId="13559" xr:uid="{00000000-0005-0000-0000-00001B970000}"/>
    <cellStyle name="Output 4 6 9 2" xfId="18536" xr:uid="{00000000-0005-0000-0000-00001C970000}"/>
    <cellStyle name="Output 4 7" xfId="2839" xr:uid="{00000000-0005-0000-0000-00001D970000}"/>
    <cellStyle name="Output 4 7 10" xfId="12867" xr:uid="{00000000-0005-0000-0000-00001E970000}"/>
    <cellStyle name="Output 4 7 11" xfId="17881" xr:uid="{00000000-0005-0000-0000-00001F970000}"/>
    <cellStyle name="Output 4 7 2" xfId="4291" xr:uid="{00000000-0005-0000-0000-000020970000}"/>
    <cellStyle name="Output 4 7 2 10" xfId="18199" xr:uid="{00000000-0005-0000-0000-000021970000}"/>
    <cellStyle name="Output 4 7 2 2" xfId="9735" xr:uid="{00000000-0005-0000-0000-000022970000}"/>
    <cellStyle name="Output 4 7 2 2 2" xfId="20240" xr:uid="{00000000-0005-0000-0000-000023970000}"/>
    <cellStyle name="Output 4 7 2 2 3" xfId="24713" xr:uid="{00000000-0005-0000-0000-000024970000}"/>
    <cellStyle name="Output 4 7 2 2 4" xfId="24046" xr:uid="{00000000-0005-0000-0000-000025970000}"/>
    <cellStyle name="Output 4 7 2 3" xfId="11875" xr:uid="{00000000-0005-0000-0000-000026970000}"/>
    <cellStyle name="Output 4 7 2 3 2" xfId="19735" xr:uid="{00000000-0005-0000-0000-000027970000}"/>
    <cellStyle name="Output 4 7 2 4" xfId="16174" xr:uid="{00000000-0005-0000-0000-000028970000}"/>
    <cellStyle name="Output 4 7 2 4 2" xfId="21698" xr:uid="{00000000-0005-0000-0000-000029970000}"/>
    <cellStyle name="Output 4 7 2 5" xfId="16593" xr:uid="{00000000-0005-0000-0000-00002A970000}"/>
    <cellStyle name="Output 4 7 2 5 2" xfId="22234" xr:uid="{00000000-0005-0000-0000-00002B970000}"/>
    <cellStyle name="Output 4 7 2 6" xfId="16957" xr:uid="{00000000-0005-0000-0000-00002C970000}"/>
    <cellStyle name="Output 4 7 2 6 2" xfId="22608" xr:uid="{00000000-0005-0000-0000-00002D970000}"/>
    <cellStyle name="Output 4 7 2 7" xfId="17677" xr:uid="{00000000-0005-0000-0000-00002E970000}"/>
    <cellStyle name="Output 4 7 2 7 2" xfId="23322" xr:uid="{00000000-0005-0000-0000-00002F970000}"/>
    <cellStyle name="Output 4 7 2 8" xfId="13881" xr:uid="{00000000-0005-0000-0000-000030970000}"/>
    <cellStyle name="Output 4 7 2 8 2" xfId="18855" xr:uid="{00000000-0005-0000-0000-000031970000}"/>
    <cellStyle name="Output 4 7 2 9" xfId="13210" xr:uid="{00000000-0005-0000-0000-000032970000}"/>
    <cellStyle name="Output 4 7 3" xfId="6366" xr:uid="{00000000-0005-0000-0000-000033970000}"/>
    <cellStyle name="Output 4 7 3 2" xfId="19876" xr:uid="{00000000-0005-0000-0000-000034970000}"/>
    <cellStyle name="Output 4 7 3 3" xfId="14579" xr:uid="{00000000-0005-0000-0000-000035970000}"/>
    <cellStyle name="Output 4 7 3 3 2" xfId="24396" xr:uid="{00000000-0005-0000-0000-000036970000}"/>
    <cellStyle name="Output 4 7 3 4" xfId="23725" xr:uid="{00000000-0005-0000-0000-000037970000}"/>
    <cellStyle name="Output 4 7 4" xfId="12188" xr:uid="{00000000-0005-0000-0000-000038970000}"/>
    <cellStyle name="Output 4 7 4 2" xfId="19465" xr:uid="{00000000-0005-0000-0000-000039970000}"/>
    <cellStyle name="Output 4 7 5" xfId="10311" xr:uid="{00000000-0005-0000-0000-00003A970000}"/>
    <cellStyle name="Output 4 7 5 2" xfId="20807" xr:uid="{00000000-0005-0000-0000-00003B970000}"/>
    <cellStyle name="Output 4 7 6" xfId="16356" xr:uid="{00000000-0005-0000-0000-00003C970000}"/>
    <cellStyle name="Output 4 7 6 2" xfId="21912" xr:uid="{00000000-0005-0000-0000-00003D970000}"/>
    <cellStyle name="Output 4 7 7" xfId="15319" xr:uid="{00000000-0005-0000-0000-00003E970000}"/>
    <cellStyle name="Output 4 7 7 2" xfId="20772" xr:uid="{00000000-0005-0000-0000-00003F970000}"/>
    <cellStyle name="Output 4 7 8" xfId="17360" xr:uid="{00000000-0005-0000-0000-000040970000}"/>
    <cellStyle name="Output 4 7 8 2" xfId="23004" xr:uid="{00000000-0005-0000-0000-000041970000}"/>
    <cellStyle name="Output 4 7 9" xfId="13560" xr:uid="{00000000-0005-0000-0000-000042970000}"/>
    <cellStyle name="Output 4 7 9 2" xfId="18537" xr:uid="{00000000-0005-0000-0000-000043970000}"/>
    <cellStyle name="Output 4 8" xfId="2840" xr:uid="{00000000-0005-0000-0000-000044970000}"/>
    <cellStyle name="Output 4 8 10" xfId="12868" xr:uid="{00000000-0005-0000-0000-000045970000}"/>
    <cellStyle name="Output 4 8 11" xfId="17882" xr:uid="{00000000-0005-0000-0000-000046970000}"/>
    <cellStyle name="Output 4 8 2" xfId="4292" xr:uid="{00000000-0005-0000-0000-000047970000}"/>
    <cellStyle name="Output 4 8 2 10" xfId="18200" xr:uid="{00000000-0005-0000-0000-000048970000}"/>
    <cellStyle name="Output 4 8 2 2" xfId="6368" xr:uid="{00000000-0005-0000-0000-000049970000}"/>
    <cellStyle name="Output 4 8 2 2 2" xfId="20241" xr:uid="{00000000-0005-0000-0000-00004A970000}"/>
    <cellStyle name="Output 4 8 2 2 3" xfId="14893" xr:uid="{00000000-0005-0000-0000-00004B970000}"/>
    <cellStyle name="Output 4 8 2 2 3 2" xfId="24714" xr:uid="{00000000-0005-0000-0000-00004C970000}"/>
    <cellStyle name="Output 4 8 2 2 4" xfId="24047" xr:uid="{00000000-0005-0000-0000-00004D970000}"/>
    <cellStyle name="Output 4 8 2 3" xfId="11170" xr:uid="{00000000-0005-0000-0000-00004E970000}"/>
    <cellStyle name="Output 4 8 2 3 2" xfId="19736" xr:uid="{00000000-0005-0000-0000-00004F970000}"/>
    <cellStyle name="Output 4 8 2 4" xfId="10985" xr:uid="{00000000-0005-0000-0000-000050970000}"/>
    <cellStyle name="Output 4 8 2 4 2" xfId="21699" xr:uid="{00000000-0005-0000-0000-000051970000}"/>
    <cellStyle name="Output 4 8 2 5" xfId="16594" xr:uid="{00000000-0005-0000-0000-000052970000}"/>
    <cellStyle name="Output 4 8 2 5 2" xfId="22235" xr:uid="{00000000-0005-0000-0000-000053970000}"/>
    <cellStyle name="Output 4 8 2 6" xfId="16958" xr:uid="{00000000-0005-0000-0000-000054970000}"/>
    <cellStyle name="Output 4 8 2 6 2" xfId="22609" xr:uid="{00000000-0005-0000-0000-000055970000}"/>
    <cellStyle name="Output 4 8 2 7" xfId="17678" xr:uid="{00000000-0005-0000-0000-000056970000}"/>
    <cellStyle name="Output 4 8 2 7 2" xfId="23323" xr:uid="{00000000-0005-0000-0000-000057970000}"/>
    <cellStyle name="Output 4 8 2 8" xfId="13882" xr:uid="{00000000-0005-0000-0000-000058970000}"/>
    <cellStyle name="Output 4 8 2 8 2" xfId="18856" xr:uid="{00000000-0005-0000-0000-000059970000}"/>
    <cellStyle name="Output 4 8 2 9" xfId="13211" xr:uid="{00000000-0005-0000-0000-00005A970000}"/>
    <cellStyle name="Output 4 8 3" xfId="6920" xr:uid="{00000000-0005-0000-0000-00005B970000}"/>
    <cellStyle name="Output 4 8 3 2" xfId="19877" xr:uid="{00000000-0005-0000-0000-00005C970000}"/>
    <cellStyle name="Output 4 8 3 3" xfId="14580" xr:uid="{00000000-0005-0000-0000-00005D970000}"/>
    <cellStyle name="Output 4 8 3 3 2" xfId="24397" xr:uid="{00000000-0005-0000-0000-00005E970000}"/>
    <cellStyle name="Output 4 8 3 4" xfId="23726" xr:uid="{00000000-0005-0000-0000-00005F970000}"/>
    <cellStyle name="Output 4 8 3 5" xfId="25608" xr:uid="{00000000-0005-0000-0000-000060970000}"/>
    <cellStyle name="Output 4 8 3 6" xfId="29821" xr:uid="{00000000-0005-0000-0000-000061970000}"/>
    <cellStyle name="Output 4 8 3 7" xfId="34036" xr:uid="{00000000-0005-0000-0000-000062970000}"/>
    <cellStyle name="Output 4 8 3 8" xfId="38240" xr:uid="{00000000-0005-0000-0000-000063970000}"/>
    <cellStyle name="Output 4 8 4" xfId="6367" xr:uid="{00000000-0005-0000-0000-000064970000}"/>
    <cellStyle name="Output 4 8 4 2" xfId="19466" xr:uid="{00000000-0005-0000-0000-000065970000}"/>
    <cellStyle name="Output 4 8 4 3" xfId="14328" xr:uid="{00000000-0005-0000-0000-000066970000}"/>
    <cellStyle name="Output 4 8 5" xfId="11169" xr:uid="{00000000-0005-0000-0000-000067970000}"/>
    <cellStyle name="Output 4 8 5 2" xfId="20806" xr:uid="{00000000-0005-0000-0000-000068970000}"/>
    <cellStyle name="Output 4 8 6" xfId="10982" xr:uid="{00000000-0005-0000-0000-000069970000}"/>
    <cellStyle name="Output 4 8 6 2" xfId="21913" xr:uid="{00000000-0005-0000-0000-00006A970000}"/>
    <cellStyle name="Output 4 8 7" xfId="10310" xr:uid="{00000000-0005-0000-0000-00006B970000}"/>
    <cellStyle name="Output 4 8 7 2" xfId="20771" xr:uid="{00000000-0005-0000-0000-00006C970000}"/>
    <cellStyle name="Output 4 8 8" xfId="17361" xr:uid="{00000000-0005-0000-0000-00006D970000}"/>
    <cellStyle name="Output 4 8 8 2" xfId="23005" xr:uid="{00000000-0005-0000-0000-00006E970000}"/>
    <cellStyle name="Output 4 8 9" xfId="13561" xr:uid="{00000000-0005-0000-0000-00006F970000}"/>
    <cellStyle name="Output 4 8 9 2" xfId="18538" xr:uid="{00000000-0005-0000-0000-000070970000}"/>
    <cellStyle name="Output 4 9" xfId="2841" xr:uid="{00000000-0005-0000-0000-000071970000}"/>
    <cellStyle name="Output 4 9 10" xfId="12869" xr:uid="{00000000-0005-0000-0000-000072970000}"/>
    <cellStyle name="Output 4 9 11" xfId="17883" xr:uid="{00000000-0005-0000-0000-000073970000}"/>
    <cellStyle name="Output 4 9 2" xfId="4293" xr:uid="{00000000-0005-0000-0000-000074970000}"/>
    <cellStyle name="Output 4 9 2 10" xfId="18201" xr:uid="{00000000-0005-0000-0000-000075970000}"/>
    <cellStyle name="Output 4 9 2 2" xfId="6370" xr:uid="{00000000-0005-0000-0000-000076970000}"/>
    <cellStyle name="Output 4 9 2 2 2" xfId="20242" xr:uid="{00000000-0005-0000-0000-000077970000}"/>
    <cellStyle name="Output 4 9 2 2 3" xfId="14894" xr:uid="{00000000-0005-0000-0000-000078970000}"/>
    <cellStyle name="Output 4 9 2 2 3 2" xfId="24715" xr:uid="{00000000-0005-0000-0000-000079970000}"/>
    <cellStyle name="Output 4 9 2 2 4" xfId="24048" xr:uid="{00000000-0005-0000-0000-00007A970000}"/>
    <cellStyle name="Output 4 9 2 3" xfId="11172" xr:uid="{00000000-0005-0000-0000-00007B970000}"/>
    <cellStyle name="Output 4 9 2 3 2" xfId="19737" xr:uid="{00000000-0005-0000-0000-00007C970000}"/>
    <cellStyle name="Output 4 9 2 4" xfId="11831" xr:uid="{00000000-0005-0000-0000-00007D970000}"/>
    <cellStyle name="Output 4 9 2 4 2" xfId="21700" xr:uid="{00000000-0005-0000-0000-00007E970000}"/>
    <cellStyle name="Output 4 9 2 5" xfId="16595" xr:uid="{00000000-0005-0000-0000-00007F970000}"/>
    <cellStyle name="Output 4 9 2 5 2" xfId="22236" xr:uid="{00000000-0005-0000-0000-000080970000}"/>
    <cellStyle name="Output 4 9 2 6" xfId="16959" xr:uid="{00000000-0005-0000-0000-000081970000}"/>
    <cellStyle name="Output 4 9 2 6 2" xfId="22610" xr:uid="{00000000-0005-0000-0000-000082970000}"/>
    <cellStyle name="Output 4 9 2 7" xfId="17679" xr:uid="{00000000-0005-0000-0000-000083970000}"/>
    <cellStyle name="Output 4 9 2 7 2" xfId="23324" xr:uid="{00000000-0005-0000-0000-000084970000}"/>
    <cellStyle name="Output 4 9 2 8" xfId="13883" xr:uid="{00000000-0005-0000-0000-000085970000}"/>
    <cellStyle name="Output 4 9 2 8 2" xfId="18857" xr:uid="{00000000-0005-0000-0000-000086970000}"/>
    <cellStyle name="Output 4 9 2 9" xfId="13212" xr:uid="{00000000-0005-0000-0000-000087970000}"/>
    <cellStyle name="Output 4 9 3" xfId="6921" xr:uid="{00000000-0005-0000-0000-000088970000}"/>
    <cellStyle name="Output 4 9 3 2" xfId="19878" xr:uid="{00000000-0005-0000-0000-000089970000}"/>
    <cellStyle name="Output 4 9 3 3" xfId="14581" xr:uid="{00000000-0005-0000-0000-00008A970000}"/>
    <cellStyle name="Output 4 9 3 3 2" xfId="24398" xr:uid="{00000000-0005-0000-0000-00008B970000}"/>
    <cellStyle name="Output 4 9 3 4" xfId="23727" xr:uid="{00000000-0005-0000-0000-00008C970000}"/>
    <cellStyle name="Output 4 9 3 5" xfId="25609" xr:uid="{00000000-0005-0000-0000-00008D970000}"/>
    <cellStyle name="Output 4 9 3 6" xfId="29822" xr:uid="{00000000-0005-0000-0000-00008E970000}"/>
    <cellStyle name="Output 4 9 3 7" xfId="34037" xr:uid="{00000000-0005-0000-0000-00008F970000}"/>
    <cellStyle name="Output 4 9 3 8" xfId="38241" xr:uid="{00000000-0005-0000-0000-000090970000}"/>
    <cellStyle name="Output 4 9 4" xfId="6369" xr:uid="{00000000-0005-0000-0000-000091970000}"/>
    <cellStyle name="Output 4 9 4 2" xfId="19467" xr:uid="{00000000-0005-0000-0000-000092970000}"/>
    <cellStyle name="Output 4 9 4 3" xfId="14329" xr:uid="{00000000-0005-0000-0000-000093970000}"/>
    <cellStyle name="Output 4 9 5" xfId="11171" xr:uid="{00000000-0005-0000-0000-000094970000}"/>
    <cellStyle name="Output 4 9 5 2" xfId="20805" xr:uid="{00000000-0005-0000-0000-000095970000}"/>
    <cellStyle name="Output 4 9 6" xfId="11320" xr:uid="{00000000-0005-0000-0000-000096970000}"/>
    <cellStyle name="Output 4 9 6 2" xfId="21914" xr:uid="{00000000-0005-0000-0000-000097970000}"/>
    <cellStyle name="Output 4 9 7" xfId="10309" xr:uid="{00000000-0005-0000-0000-000098970000}"/>
    <cellStyle name="Output 4 9 7 2" xfId="21542" xr:uid="{00000000-0005-0000-0000-000099970000}"/>
    <cellStyle name="Output 4 9 8" xfId="17362" xr:uid="{00000000-0005-0000-0000-00009A970000}"/>
    <cellStyle name="Output 4 9 8 2" xfId="23006" xr:uid="{00000000-0005-0000-0000-00009B970000}"/>
    <cellStyle name="Output 4 9 9" xfId="13562" xr:uid="{00000000-0005-0000-0000-00009C970000}"/>
    <cellStyle name="Output 4 9 9 2" xfId="18539" xr:uid="{00000000-0005-0000-0000-00009D970000}"/>
    <cellStyle name="Output 40" xfId="43842" xr:uid="{00000000-0005-0000-0000-00009E970000}"/>
    <cellStyle name="Output 41" xfId="43843" xr:uid="{00000000-0005-0000-0000-00009F970000}"/>
    <cellStyle name="Output 42" xfId="43844" xr:uid="{00000000-0005-0000-0000-0000A0970000}"/>
    <cellStyle name="Output 43" xfId="43845" xr:uid="{00000000-0005-0000-0000-0000A1970000}"/>
    <cellStyle name="Output 5" xfId="2842" xr:uid="{00000000-0005-0000-0000-0000A2970000}"/>
    <cellStyle name="Output 5 10" xfId="2843" xr:uid="{00000000-0005-0000-0000-0000A3970000}"/>
    <cellStyle name="Output 5 10 10" xfId="12871" xr:uid="{00000000-0005-0000-0000-0000A4970000}"/>
    <cellStyle name="Output 5 10 11" xfId="17885" xr:uid="{00000000-0005-0000-0000-0000A5970000}"/>
    <cellStyle name="Output 5 10 2" xfId="4294" xr:uid="{00000000-0005-0000-0000-0000A6970000}"/>
    <cellStyle name="Output 5 10 2 10" xfId="18203" xr:uid="{00000000-0005-0000-0000-0000A7970000}"/>
    <cellStyle name="Output 5 10 2 2" xfId="6373" xr:uid="{00000000-0005-0000-0000-0000A8970000}"/>
    <cellStyle name="Output 5 10 2 2 2" xfId="20244" xr:uid="{00000000-0005-0000-0000-0000A9970000}"/>
    <cellStyle name="Output 5 10 2 2 3" xfId="14896" xr:uid="{00000000-0005-0000-0000-0000AA970000}"/>
    <cellStyle name="Output 5 10 2 2 3 2" xfId="24717" xr:uid="{00000000-0005-0000-0000-0000AB970000}"/>
    <cellStyle name="Output 5 10 2 2 4" xfId="24050" xr:uid="{00000000-0005-0000-0000-0000AC970000}"/>
    <cellStyle name="Output 5 10 2 3" xfId="11175" xr:uid="{00000000-0005-0000-0000-0000AD970000}"/>
    <cellStyle name="Output 5 10 2 3 2" xfId="19739" xr:uid="{00000000-0005-0000-0000-0000AE970000}"/>
    <cellStyle name="Output 5 10 2 4" xfId="11038" xr:uid="{00000000-0005-0000-0000-0000AF970000}"/>
    <cellStyle name="Output 5 10 2 4 2" xfId="21702" xr:uid="{00000000-0005-0000-0000-0000B0970000}"/>
    <cellStyle name="Output 5 10 2 5" xfId="16597" xr:uid="{00000000-0005-0000-0000-0000B1970000}"/>
    <cellStyle name="Output 5 10 2 5 2" xfId="22238" xr:uid="{00000000-0005-0000-0000-0000B2970000}"/>
    <cellStyle name="Output 5 10 2 6" xfId="16961" xr:uid="{00000000-0005-0000-0000-0000B3970000}"/>
    <cellStyle name="Output 5 10 2 6 2" xfId="22612" xr:uid="{00000000-0005-0000-0000-0000B4970000}"/>
    <cellStyle name="Output 5 10 2 7" xfId="17681" xr:uid="{00000000-0005-0000-0000-0000B5970000}"/>
    <cellStyle name="Output 5 10 2 7 2" xfId="23326" xr:uid="{00000000-0005-0000-0000-0000B6970000}"/>
    <cellStyle name="Output 5 10 2 8" xfId="13885" xr:uid="{00000000-0005-0000-0000-0000B7970000}"/>
    <cellStyle name="Output 5 10 2 8 2" xfId="18859" xr:uid="{00000000-0005-0000-0000-0000B8970000}"/>
    <cellStyle name="Output 5 10 2 9" xfId="13214" xr:uid="{00000000-0005-0000-0000-0000B9970000}"/>
    <cellStyle name="Output 5 10 3" xfId="6923" xr:uid="{00000000-0005-0000-0000-0000BA970000}"/>
    <cellStyle name="Output 5 10 3 2" xfId="19880" xr:uid="{00000000-0005-0000-0000-0000BB970000}"/>
    <cellStyle name="Output 5 10 3 3" xfId="14583" xr:uid="{00000000-0005-0000-0000-0000BC970000}"/>
    <cellStyle name="Output 5 10 3 3 2" xfId="24400" xr:uid="{00000000-0005-0000-0000-0000BD970000}"/>
    <cellStyle name="Output 5 10 3 4" xfId="23729" xr:uid="{00000000-0005-0000-0000-0000BE970000}"/>
    <cellStyle name="Output 5 10 3 5" xfId="25611" xr:uid="{00000000-0005-0000-0000-0000BF970000}"/>
    <cellStyle name="Output 5 10 3 6" xfId="29824" xr:uid="{00000000-0005-0000-0000-0000C0970000}"/>
    <cellStyle name="Output 5 10 3 7" xfId="34039" xr:uid="{00000000-0005-0000-0000-0000C1970000}"/>
    <cellStyle name="Output 5 10 3 8" xfId="38243" xr:uid="{00000000-0005-0000-0000-0000C2970000}"/>
    <cellStyle name="Output 5 10 4" xfId="6372" xr:uid="{00000000-0005-0000-0000-0000C3970000}"/>
    <cellStyle name="Output 5 10 4 2" xfId="19469" xr:uid="{00000000-0005-0000-0000-0000C4970000}"/>
    <cellStyle name="Output 5 10 4 3" xfId="14331" xr:uid="{00000000-0005-0000-0000-0000C5970000}"/>
    <cellStyle name="Output 5 10 5" xfId="11174" xr:uid="{00000000-0005-0000-0000-0000C6970000}"/>
    <cellStyle name="Output 5 10 5 2" xfId="20803" xr:uid="{00000000-0005-0000-0000-0000C7970000}"/>
    <cellStyle name="Output 5 10 6" xfId="11857" xr:uid="{00000000-0005-0000-0000-0000C8970000}"/>
    <cellStyle name="Output 5 10 6 2" xfId="21916" xr:uid="{00000000-0005-0000-0000-0000C9970000}"/>
    <cellStyle name="Output 5 10 7" xfId="10307" xr:uid="{00000000-0005-0000-0000-0000CA970000}"/>
    <cellStyle name="Output 5 10 7 2" xfId="21652" xr:uid="{00000000-0005-0000-0000-0000CB970000}"/>
    <cellStyle name="Output 5 10 8" xfId="17364" xr:uid="{00000000-0005-0000-0000-0000CC970000}"/>
    <cellStyle name="Output 5 10 8 2" xfId="23008" xr:uid="{00000000-0005-0000-0000-0000CD970000}"/>
    <cellStyle name="Output 5 10 9" xfId="13564" xr:uid="{00000000-0005-0000-0000-0000CE970000}"/>
    <cellStyle name="Output 5 10 9 2" xfId="18541" xr:uid="{00000000-0005-0000-0000-0000CF970000}"/>
    <cellStyle name="Output 5 11" xfId="2844" xr:uid="{00000000-0005-0000-0000-0000D0970000}"/>
    <cellStyle name="Output 5 11 10" xfId="12872" xr:uid="{00000000-0005-0000-0000-0000D1970000}"/>
    <cellStyle name="Output 5 11 11" xfId="17886" xr:uid="{00000000-0005-0000-0000-0000D2970000}"/>
    <cellStyle name="Output 5 11 2" xfId="4295" xr:uid="{00000000-0005-0000-0000-0000D3970000}"/>
    <cellStyle name="Output 5 11 2 10" xfId="18204" xr:uid="{00000000-0005-0000-0000-0000D4970000}"/>
    <cellStyle name="Output 5 11 2 2" xfId="6375" xr:uid="{00000000-0005-0000-0000-0000D5970000}"/>
    <cellStyle name="Output 5 11 2 2 2" xfId="20245" xr:uid="{00000000-0005-0000-0000-0000D6970000}"/>
    <cellStyle name="Output 5 11 2 2 3" xfId="14897" xr:uid="{00000000-0005-0000-0000-0000D7970000}"/>
    <cellStyle name="Output 5 11 2 2 3 2" xfId="24718" xr:uid="{00000000-0005-0000-0000-0000D8970000}"/>
    <cellStyle name="Output 5 11 2 2 4" xfId="24051" xr:uid="{00000000-0005-0000-0000-0000D9970000}"/>
    <cellStyle name="Output 5 11 2 3" xfId="11177" xr:uid="{00000000-0005-0000-0000-0000DA970000}"/>
    <cellStyle name="Output 5 11 2 3 2" xfId="19740" xr:uid="{00000000-0005-0000-0000-0000DB970000}"/>
    <cellStyle name="Output 5 11 2 4" xfId="11040" xr:uid="{00000000-0005-0000-0000-0000DC970000}"/>
    <cellStyle name="Output 5 11 2 4 2" xfId="21703" xr:uid="{00000000-0005-0000-0000-0000DD970000}"/>
    <cellStyle name="Output 5 11 2 5" xfId="16598" xr:uid="{00000000-0005-0000-0000-0000DE970000}"/>
    <cellStyle name="Output 5 11 2 5 2" xfId="22239" xr:uid="{00000000-0005-0000-0000-0000DF970000}"/>
    <cellStyle name="Output 5 11 2 6" xfId="16962" xr:uid="{00000000-0005-0000-0000-0000E0970000}"/>
    <cellStyle name="Output 5 11 2 6 2" xfId="22613" xr:uid="{00000000-0005-0000-0000-0000E1970000}"/>
    <cellStyle name="Output 5 11 2 7" xfId="17682" xr:uid="{00000000-0005-0000-0000-0000E2970000}"/>
    <cellStyle name="Output 5 11 2 7 2" xfId="23327" xr:uid="{00000000-0005-0000-0000-0000E3970000}"/>
    <cellStyle name="Output 5 11 2 8" xfId="13886" xr:uid="{00000000-0005-0000-0000-0000E4970000}"/>
    <cellStyle name="Output 5 11 2 8 2" xfId="18860" xr:uid="{00000000-0005-0000-0000-0000E5970000}"/>
    <cellStyle name="Output 5 11 2 9" xfId="13215" xr:uid="{00000000-0005-0000-0000-0000E6970000}"/>
    <cellStyle name="Output 5 11 3" xfId="6924" xr:uid="{00000000-0005-0000-0000-0000E7970000}"/>
    <cellStyle name="Output 5 11 3 2" xfId="19881" xr:uid="{00000000-0005-0000-0000-0000E8970000}"/>
    <cellStyle name="Output 5 11 3 3" xfId="14584" xr:uid="{00000000-0005-0000-0000-0000E9970000}"/>
    <cellStyle name="Output 5 11 3 3 2" xfId="24401" xr:uid="{00000000-0005-0000-0000-0000EA970000}"/>
    <cellStyle name="Output 5 11 3 4" xfId="23730" xr:uid="{00000000-0005-0000-0000-0000EB970000}"/>
    <cellStyle name="Output 5 11 3 5" xfId="25612" xr:uid="{00000000-0005-0000-0000-0000EC970000}"/>
    <cellStyle name="Output 5 11 3 6" xfId="29825" xr:uid="{00000000-0005-0000-0000-0000ED970000}"/>
    <cellStyle name="Output 5 11 3 7" xfId="34040" xr:uid="{00000000-0005-0000-0000-0000EE970000}"/>
    <cellStyle name="Output 5 11 3 8" xfId="38244" xr:uid="{00000000-0005-0000-0000-0000EF970000}"/>
    <cellStyle name="Output 5 11 4" xfId="6374" xr:uid="{00000000-0005-0000-0000-0000F0970000}"/>
    <cellStyle name="Output 5 11 4 2" xfId="19470" xr:uid="{00000000-0005-0000-0000-0000F1970000}"/>
    <cellStyle name="Output 5 11 4 3" xfId="14332" xr:uid="{00000000-0005-0000-0000-0000F2970000}"/>
    <cellStyle name="Output 5 11 5" xfId="11176" xr:uid="{00000000-0005-0000-0000-0000F3970000}"/>
    <cellStyle name="Output 5 11 5 2" xfId="20802" xr:uid="{00000000-0005-0000-0000-0000F4970000}"/>
    <cellStyle name="Output 5 11 6" xfId="11039" xr:uid="{00000000-0005-0000-0000-0000F5970000}"/>
    <cellStyle name="Output 5 11 6 2" xfId="21917" xr:uid="{00000000-0005-0000-0000-0000F6970000}"/>
    <cellStyle name="Output 5 11 7" xfId="11312" xr:uid="{00000000-0005-0000-0000-0000F7970000}"/>
    <cellStyle name="Output 5 11 7 2" xfId="21800" xr:uid="{00000000-0005-0000-0000-0000F8970000}"/>
    <cellStyle name="Output 5 11 8" xfId="17365" xr:uid="{00000000-0005-0000-0000-0000F9970000}"/>
    <cellStyle name="Output 5 11 8 2" xfId="23009" xr:uid="{00000000-0005-0000-0000-0000FA970000}"/>
    <cellStyle name="Output 5 11 9" xfId="13565" xr:uid="{00000000-0005-0000-0000-0000FB970000}"/>
    <cellStyle name="Output 5 11 9 2" xfId="18542" xr:uid="{00000000-0005-0000-0000-0000FC970000}"/>
    <cellStyle name="Output 5 12" xfId="4296" xr:uid="{00000000-0005-0000-0000-0000FD970000}"/>
    <cellStyle name="Output 5 12 10" xfId="18202" xr:uid="{00000000-0005-0000-0000-0000FE970000}"/>
    <cellStyle name="Output 5 12 2" xfId="6376" xr:uid="{00000000-0005-0000-0000-0000FF970000}"/>
    <cellStyle name="Output 5 12 2 2" xfId="20243" xr:uid="{00000000-0005-0000-0000-000000980000}"/>
    <cellStyle name="Output 5 12 2 3" xfId="14895" xr:uid="{00000000-0005-0000-0000-000001980000}"/>
    <cellStyle name="Output 5 12 2 3 2" xfId="24716" xr:uid="{00000000-0005-0000-0000-000002980000}"/>
    <cellStyle name="Output 5 12 2 4" xfId="24049" xr:uid="{00000000-0005-0000-0000-000003980000}"/>
    <cellStyle name="Output 5 12 3" xfId="11178" xr:uid="{00000000-0005-0000-0000-000004980000}"/>
    <cellStyle name="Output 5 12 3 2" xfId="19738" xr:uid="{00000000-0005-0000-0000-000005980000}"/>
    <cellStyle name="Output 5 12 4" xfId="11867" xr:uid="{00000000-0005-0000-0000-000006980000}"/>
    <cellStyle name="Output 5 12 4 2" xfId="21701" xr:uid="{00000000-0005-0000-0000-000007980000}"/>
    <cellStyle name="Output 5 12 5" xfId="16596" xr:uid="{00000000-0005-0000-0000-000008980000}"/>
    <cellStyle name="Output 5 12 5 2" xfId="22237" xr:uid="{00000000-0005-0000-0000-000009980000}"/>
    <cellStyle name="Output 5 12 6" xfId="16960" xr:uid="{00000000-0005-0000-0000-00000A980000}"/>
    <cellStyle name="Output 5 12 6 2" xfId="22611" xr:uid="{00000000-0005-0000-0000-00000B980000}"/>
    <cellStyle name="Output 5 12 7" xfId="17680" xr:uid="{00000000-0005-0000-0000-00000C980000}"/>
    <cellStyle name="Output 5 12 7 2" xfId="23325" xr:uid="{00000000-0005-0000-0000-00000D980000}"/>
    <cellStyle name="Output 5 12 8" xfId="13884" xr:uid="{00000000-0005-0000-0000-00000E980000}"/>
    <cellStyle name="Output 5 12 8 2" xfId="18858" xr:uid="{00000000-0005-0000-0000-00000F980000}"/>
    <cellStyle name="Output 5 12 9" xfId="13213" xr:uid="{00000000-0005-0000-0000-000010980000}"/>
    <cellStyle name="Output 5 13" xfId="6922" xr:uid="{00000000-0005-0000-0000-000011980000}"/>
    <cellStyle name="Output 5 13 2" xfId="19879" xr:uid="{00000000-0005-0000-0000-000012980000}"/>
    <cellStyle name="Output 5 13 3" xfId="14582" xr:uid="{00000000-0005-0000-0000-000013980000}"/>
    <cellStyle name="Output 5 13 3 2" xfId="24399" xr:uid="{00000000-0005-0000-0000-000014980000}"/>
    <cellStyle name="Output 5 13 4" xfId="23728" xr:uid="{00000000-0005-0000-0000-000015980000}"/>
    <cellStyle name="Output 5 13 5" xfId="25610" xr:uid="{00000000-0005-0000-0000-000016980000}"/>
    <cellStyle name="Output 5 13 6" xfId="29823" xr:uid="{00000000-0005-0000-0000-000017980000}"/>
    <cellStyle name="Output 5 13 7" xfId="34038" xr:uid="{00000000-0005-0000-0000-000018980000}"/>
    <cellStyle name="Output 5 13 8" xfId="38242" xr:uid="{00000000-0005-0000-0000-000019980000}"/>
    <cellStyle name="Output 5 14" xfId="6371" xr:uid="{00000000-0005-0000-0000-00001A980000}"/>
    <cellStyle name="Output 5 14 2" xfId="19468" xr:uid="{00000000-0005-0000-0000-00001B980000}"/>
    <cellStyle name="Output 5 14 3" xfId="14330" xr:uid="{00000000-0005-0000-0000-00001C980000}"/>
    <cellStyle name="Output 5 15" xfId="11173" xr:uid="{00000000-0005-0000-0000-00001D980000}"/>
    <cellStyle name="Output 5 15 2" xfId="20804" xr:uid="{00000000-0005-0000-0000-00001E980000}"/>
    <cellStyle name="Output 5 16" xfId="11847" xr:uid="{00000000-0005-0000-0000-00001F980000}"/>
    <cellStyle name="Output 5 16 2" xfId="21915" xr:uid="{00000000-0005-0000-0000-000020980000}"/>
    <cellStyle name="Output 5 17" xfId="10308" xr:uid="{00000000-0005-0000-0000-000021980000}"/>
    <cellStyle name="Output 5 17 2" xfId="21569" xr:uid="{00000000-0005-0000-0000-000022980000}"/>
    <cellStyle name="Output 5 18" xfId="17363" xr:uid="{00000000-0005-0000-0000-000023980000}"/>
    <cellStyle name="Output 5 18 2" xfId="23007" xr:uid="{00000000-0005-0000-0000-000024980000}"/>
    <cellStyle name="Output 5 19" xfId="13563" xr:uid="{00000000-0005-0000-0000-000025980000}"/>
    <cellStyle name="Output 5 19 2" xfId="18540" xr:uid="{00000000-0005-0000-0000-000026980000}"/>
    <cellStyle name="Output 5 2" xfId="2845" xr:uid="{00000000-0005-0000-0000-000027980000}"/>
    <cellStyle name="Output 5 2 10" xfId="12873" xr:uid="{00000000-0005-0000-0000-000028980000}"/>
    <cellStyle name="Output 5 2 11" xfId="17887" xr:uid="{00000000-0005-0000-0000-000029980000}"/>
    <cellStyle name="Output 5 2 2" xfId="4297" xr:uid="{00000000-0005-0000-0000-00002A980000}"/>
    <cellStyle name="Output 5 2 2 10" xfId="18205" xr:uid="{00000000-0005-0000-0000-00002B980000}"/>
    <cellStyle name="Output 5 2 2 2" xfId="6378" xr:uid="{00000000-0005-0000-0000-00002C980000}"/>
    <cellStyle name="Output 5 2 2 2 2" xfId="20246" xr:uid="{00000000-0005-0000-0000-00002D980000}"/>
    <cellStyle name="Output 5 2 2 2 3" xfId="14898" xr:uid="{00000000-0005-0000-0000-00002E980000}"/>
    <cellStyle name="Output 5 2 2 2 3 2" xfId="24719" xr:uid="{00000000-0005-0000-0000-00002F980000}"/>
    <cellStyle name="Output 5 2 2 2 4" xfId="24052" xr:uid="{00000000-0005-0000-0000-000030980000}"/>
    <cellStyle name="Output 5 2 2 3" xfId="11180" xr:uid="{00000000-0005-0000-0000-000031980000}"/>
    <cellStyle name="Output 5 2 2 3 2" xfId="19741" xr:uid="{00000000-0005-0000-0000-000032980000}"/>
    <cellStyle name="Output 5 2 2 4" xfId="12118" xr:uid="{00000000-0005-0000-0000-000033980000}"/>
    <cellStyle name="Output 5 2 2 4 2" xfId="21704" xr:uid="{00000000-0005-0000-0000-000034980000}"/>
    <cellStyle name="Output 5 2 2 5" xfId="16599" xr:uid="{00000000-0005-0000-0000-000035980000}"/>
    <cellStyle name="Output 5 2 2 5 2" xfId="22240" xr:uid="{00000000-0005-0000-0000-000036980000}"/>
    <cellStyle name="Output 5 2 2 6" xfId="16963" xr:uid="{00000000-0005-0000-0000-000037980000}"/>
    <cellStyle name="Output 5 2 2 6 2" xfId="22614" xr:uid="{00000000-0005-0000-0000-000038980000}"/>
    <cellStyle name="Output 5 2 2 7" xfId="17683" xr:uid="{00000000-0005-0000-0000-000039980000}"/>
    <cellStyle name="Output 5 2 2 7 2" xfId="23328" xr:uid="{00000000-0005-0000-0000-00003A980000}"/>
    <cellStyle name="Output 5 2 2 8" xfId="13887" xr:uid="{00000000-0005-0000-0000-00003B980000}"/>
    <cellStyle name="Output 5 2 2 8 2" xfId="18861" xr:uid="{00000000-0005-0000-0000-00003C980000}"/>
    <cellStyle name="Output 5 2 2 9" xfId="13216" xr:uid="{00000000-0005-0000-0000-00003D980000}"/>
    <cellStyle name="Output 5 2 3" xfId="6925" xr:uid="{00000000-0005-0000-0000-00003E980000}"/>
    <cellStyle name="Output 5 2 3 2" xfId="19882" xr:uid="{00000000-0005-0000-0000-00003F980000}"/>
    <cellStyle name="Output 5 2 3 3" xfId="14585" xr:uid="{00000000-0005-0000-0000-000040980000}"/>
    <cellStyle name="Output 5 2 3 3 2" xfId="24402" xr:uid="{00000000-0005-0000-0000-000041980000}"/>
    <cellStyle name="Output 5 2 3 4" xfId="23731" xr:uid="{00000000-0005-0000-0000-000042980000}"/>
    <cellStyle name="Output 5 2 3 5" xfId="25613" xr:uid="{00000000-0005-0000-0000-000043980000}"/>
    <cellStyle name="Output 5 2 3 6" xfId="29826" xr:uid="{00000000-0005-0000-0000-000044980000}"/>
    <cellStyle name="Output 5 2 3 7" xfId="34041" xr:uid="{00000000-0005-0000-0000-000045980000}"/>
    <cellStyle name="Output 5 2 3 8" xfId="38245" xr:uid="{00000000-0005-0000-0000-000046980000}"/>
    <cellStyle name="Output 5 2 4" xfId="6377" xr:uid="{00000000-0005-0000-0000-000047980000}"/>
    <cellStyle name="Output 5 2 4 2" xfId="19471" xr:uid="{00000000-0005-0000-0000-000048980000}"/>
    <cellStyle name="Output 5 2 4 3" xfId="14333" xr:uid="{00000000-0005-0000-0000-000049980000}"/>
    <cellStyle name="Output 5 2 5" xfId="11179" xr:uid="{00000000-0005-0000-0000-00004A980000}"/>
    <cellStyle name="Output 5 2 5 2" xfId="20801" xr:uid="{00000000-0005-0000-0000-00004B980000}"/>
    <cellStyle name="Output 5 2 6" xfId="12106" xr:uid="{00000000-0005-0000-0000-00004C980000}"/>
    <cellStyle name="Output 5 2 6 2" xfId="21918" xr:uid="{00000000-0005-0000-0000-00004D980000}"/>
    <cellStyle name="Output 5 2 7" xfId="10306" xr:uid="{00000000-0005-0000-0000-00004E980000}"/>
    <cellStyle name="Output 5 2 7 2" xfId="20686" xr:uid="{00000000-0005-0000-0000-00004F980000}"/>
    <cellStyle name="Output 5 2 8" xfId="17366" xr:uid="{00000000-0005-0000-0000-000050980000}"/>
    <cellStyle name="Output 5 2 8 2" xfId="23010" xr:uid="{00000000-0005-0000-0000-000051980000}"/>
    <cellStyle name="Output 5 2 9" xfId="13566" xr:uid="{00000000-0005-0000-0000-000052980000}"/>
    <cellStyle name="Output 5 2 9 2" xfId="18543" xr:uid="{00000000-0005-0000-0000-000053980000}"/>
    <cellStyle name="Output 5 20" xfId="12870" xr:uid="{00000000-0005-0000-0000-000054980000}"/>
    <cellStyle name="Output 5 21" xfId="17884" xr:uid="{00000000-0005-0000-0000-000055980000}"/>
    <cellStyle name="Output 5 3" xfId="2846" xr:uid="{00000000-0005-0000-0000-000056980000}"/>
    <cellStyle name="Output 5 3 10" xfId="12874" xr:uid="{00000000-0005-0000-0000-000057980000}"/>
    <cellStyle name="Output 5 3 11" xfId="17888" xr:uid="{00000000-0005-0000-0000-000058980000}"/>
    <cellStyle name="Output 5 3 2" xfId="4298" xr:uid="{00000000-0005-0000-0000-000059980000}"/>
    <cellStyle name="Output 5 3 2 10" xfId="18206" xr:uid="{00000000-0005-0000-0000-00005A980000}"/>
    <cellStyle name="Output 5 3 2 2" xfId="6380" xr:uid="{00000000-0005-0000-0000-00005B980000}"/>
    <cellStyle name="Output 5 3 2 2 2" xfId="20247" xr:uid="{00000000-0005-0000-0000-00005C980000}"/>
    <cellStyle name="Output 5 3 2 2 3" xfId="14899" xr:uid="{00000000-0005-0000-0000-00005D980000}"/>
    <cellStyle name="Output 5 3 2 2 3 2" xfId="24720" xr:uid="{00000000-0005-0000-0000-00005E980000}"/>
    <cellStyle name="Output 5 3 2 2 4" xfId="24053" xr:uid="{00000000-0005-0000-0000-00005F980000}"/>
    <cellStyle name="Output 5 3 2 3" xfId="11182" xr:uid="{00000000-0005-0000-0000-000060980000}"/>
    <cellStyle name="Output 5 3 2 3 2" xfId="19742" xr:uid="{00000000-0005-0000-0000-000061980000}"/>
    <cellStyle name="Output 5 3 2 4" xfId="11848" xr:uid="{00000000-0005-0000-0000-000062980000}"/>
    <cellStyle name="Output 5 3 2 4 2" xfId="21705" xr:uid="{00000000-0005-0000-0000-000063980000}"/>
    <cellStyle name="Output 5 3 2 5" xfId="16600" xr:uid="{00000000-0005-0000-0000-000064980000}"/>
    <cellStyle name="Output 5 3 2 5 2" xfId="22241" xr:uid="{00000000-0005-0000-0000-000065980000}"/>
    <cellStyle name="Output 5 3 2 6" xfId="16964" xr:uid="{00000000-0005-0000-0000-000066980000}"/>
    <cellStyle name="Output 5 3 2 6 2" xfId="22615" xr:uid="{00000000-0005-0000-0000-000067980000}"/>
    <cellStyle name="Output 5 3 2 7" xfId="17684" xr:uid="{00000000-0005-0000-0000-000068980000}"/>
    <cellStyle name="Output 5 3 2 7 2" xfId="23329" xr:uid="{00000000-0005-0000-0000-000069980000}"/>
    <cellStyle name="Output 5 3 2 8" xfId="13888" xr:uid="{00000000-0005-0000-0000-00006A980000}"/>
    <cellStyle name="Output 5 3 2 8 2" xfId="18862" xr:uid="{00000000-0005-0000-0000-00006B980000}"/>
    <cellStyle name="Output 5 3 2 9" xfId="13217" xr:uid="{00000000-0005-0000-0000-00006C980000}"/>
    <cellStyle name="Output 5 3 3" xfId="6926" xr:uid="{00000000-0005-0000-0000-00006D980000}"/>
    <cellStyle name="Output 5 3 3 2" xfId="19883" xr:uid="{00000000-0005-0000-0000-00006E980000}"/>
    <cellStyle name="Output 5 3 3 3" xfId="14586" xr:uid="{00000000-0005-0000-0000-00006F980000}"/>
    <cellStyle name="Output 5 3 3 3 2" xfId="24403" xr:uid="{00000000-0005-0000-0000-000070980000}"/>
    <cellStyle name="Output 5 3 3 4" xfId="23732" xr:uid="{00000000-0005-0000-0000-000071980000}"/>
    <cellStyle name="Output 5 3 3 5" xfId="25614" xr:uid="{00000000-0005-0000-0000-000072980000}"/>
    <cellStyle name="Output 5 3 3 6" xfId="29827" xr:uid="{00000000-0005-0000-0000-000073980000}"/>
    <cellStyle name="Output 5 3 3 7" xfId="34042" xr:uid="{00000000-0005-0000-0000-000074980000}"/>
    <cellStyle name="Output 5 3 3 8" xfId="38246" xr:uid="{00000000-0005-0000-0000-000075980000}"/>
    <cellStyle name="Output 5 3 4" xfId="6379" xr:uid="{00000000-0005-0000-0000-000076980000}"/>
    <cellStyle name="Output 5 3 4 2" xfId="19472" xr:uid="{00000000-0005-0000-0000-000077980000}"/>
    <cellStyle name="Output 5 3 4 3" xfId="14334" xr:uid="{00000000-0005-0000-0000-000078980000}"/>
    <cellStyle name="Output 5 3 5" xfId="11181" xr:uid="{00000000-0005-0000-0000-000079980000}"/>
    <cellStyle name="Output 5 3 5 2" xfId="20800" xr:uid="{00000000-0005-0000-0000-00007A980000}"/>
    <cellStyle name="Output 5 3 6" xfId="11117" xr:uid="{00000000-0005-0000-0000-00007B980000}"/>
    <cellStyle name="Output 5 3 6 2" xfId="21919" xr:uid="{00000000-0005-0000-0000-00007C980000}"/>
    <cellStyle name="Output 5 3 7" xfId="10305" xr:uid="{00000000-0005-0000-0000-00007D980000}"/>
    <cellStyle name="Output 5 3 7 2" xfId="21567" xr:uid="{00000000-0005-0000-0000-00007E980000}"/>
    <cellStyle name="Output 5 3 8" xfId="17367" xr:uid="{00000000-0005-0000-0000-00007F980000}"/>
    <cellStyle name="Output 5 3 8 2" xfId="23011" xr:uid="{00000000-0005-0000-0000-000080980000}"/>
    <cellStyle name="Output 5 3 9" xfId="13567" xr:uid="{00000000-0005-0000-0000-000081980000}"/>
    <cellStyle name="Output 5 3 9 2" xfId="18544" xr:uid="{00000000-0005-0000-0000-000082980000}"/>
    <cellStyle name="Output 5 4" xfId="2847" xr:uid="{00000000-0005-0000-0000-000083980000}"/>
    <cellStyle name="Output 5 4 10" xfId="12875" xr:uid="{00000000-0005-0000-0000-000084980000}"/>
    <cellStyle name="Output 5 4 11" xfId="17889" xr:uid="{00000000-0005-0000-0000-000085980000}"/>
    <cellStyle name="Output 5 4 2" xfId="4299" xr:uid="{00000000-0005-0000-0000-000086980000}"/>
    <cellStyle name="Output 5 4 2 10" xfId="18207" xr:uid="{00000000-0005-0000-0000-000087980000}"/>
    <cellStyle name="Output 5 4 2 2" xfId="6382" xr:uid="{00000000-0005-0000-0000-000088980000}"/>
    <cellStyle name="Output 5 4 2 2 2" xfId="20248" xr:uid="{00000000-0005-0000-0000-000089980000}"/>
    <cellStyle name="Output 5 4 2 2 3" xfId="14900" xr:uid="{00000000-0005-0000-0000-00008A980000}"/>
    <cellStyle name="Output 5 4 2 2 3 2" xfId="24721" xr:uid="{00000000-0005-0000-0000-00008B980000}"/>
    <cellStyle name="Output 5 4 2 2 4" xfId="24054" xr:uid="{00000000-0005-0000-0000-00008C980000}"/>
    <cellStyle name="Output 5 4 2 3" xfId="11184" xr:uid="{00000000-0005-0000-0000-00008D980000}"/>
    <cellStyle name="Output 5 4 2 3 2" xfId="19743" xr:uid="{00000000-0005-0000-0000-00008E980000}"/>
    <cellStyle name="Output 5 4 2 4" xfId="11868" xr:uid="{00000000-0005-0000-0000-00008F980000}"/>
    <cellStyle name="Output 5 4 2 4 2" xfId="21706" xr:uid="{00000000-0005-0000-0000-000090980000}"/>
    <cellStyle name="Output 5 4 2 5" xfId="16601" xr:uid="{00000000-0005-0000-0000-000091980000}"/>
    <cellStyle name="Output 5 4 2 5 2" xfId="22242" xr:uid="{00000000-0005-0000-0000-000092980000}"/>
    <cellStyle name="Output 5 4 2 6" xfId="16965" xr:uid="{00000000-0005-0000-0000-000093980000}"/>
    <cellStyle name="Output 5 4 2 6 2" xfId="22616" xr:uid="{00000000-0005-0000-0000-000094980000}"/>
    <cellStyle name="Output 5 4 2 7" xfId="17685" xr:uid="{00000000-0005-0000-0000-000095980000}"/>
    <cellStyle name="Output 5 4 2 7 2" xfId="23330" xr:uid="{00000000-0005-0000-0000-000096980000}"/>
    <cellStyle name="Output 5 4 2 8" xfId="13889" xr:uid="{00000000-0005-0000-0000-000097980000}"/>
    <cellStyle name="Output 5 4 2 8 2" xfId="18863" xr:uid="{00000000-0005-0000-0000-000098980000}"/>
    <cellStyle name="Output 5 4 2 9" xfId="13218" xr:uid="{00000000-0005-0000-0000-000099980000}"/>
    <cellStyle name="Output 5 4 3" xfId="6927" xr:uid="{00000000-0005-0000-0000-00009A980000}"/>
    <cellStyle name="Output 5 4 3 2" xfId="19884" xr:uid="{00000000-0005-0000-0000-00009B980000}"/>
    <cellStyle name="Output 5 4 3 3" xfId="14587" xr:uid="{00000000-0005-0000-0000-00009C980000}"/>
    <cellStyle name="Output 5 4 3 3 2" xfId="24404" xr:uid="{00000000-0005-0000-0000-00009D980000}"/>
    <cellStyle name="Output 5 4 3 4" xfId="23733" xr:uid="{00000000-0005-0000-0000-00009E980000}"/>
    <cellStyle name="Output 5 4 3 5" xfId="25615" xr:uid="{00000000-0005-0000-0000-00009F980000}"/>
    <cellStyle name="Output 5 4 3 6" xfId="29828" xr:uid="{00000000-0005-0000-0000-0000A0980000}"/>
    <cellStyle name="Output 5 4 3 7" xfId="34043" xr:uid="{00000000-0005-0000-0000-0000A1980000}"/>
    <cellStyle name="Output 5 4 3 8" xfId="38247" xr:uid="{00000000-0005-0000-0000-0000A2980000}"/>
    <cellStyle name="Output 5 4 4" xfId="6381" xr:uid="{00000000-0005-0000-0000-0000A3980000}"/>
    <cellStyle name="Output 5 4 4 2" xfId="19473" xr:uid="{00000000-0005-0000-0000-0000A4980000}"/>
    <cellStyle name="Output 5 4 4 3" xfId="14335" xr:uid="{00000000-0005-0000-0000-0000A5980000}"/>
    <cellStyle name="Output 5 4 5" xfId="11183" xr:uid="{00000000-0005-0000-0000-0000A6980000}"/>
    <cellStyle name="Output 5 4 5 2" xfId="20799" xr:uid="{00000000-0005-0000-0000-0000A7980000}"/>
    <cellStyle name="Output 5 4 6" xfId="11858" xr:uid="{00000000-0005-0000-0000-0000A8980000}"/>
    <cellStyle name="Output 5 4 6 2" xfId="21920" xr:uid="{00000000-0005-0000-0000-0000A9980000}"/>
    <cellStyle name="Output 5 4 7" xfId="10304" xr:uid="{00000000-0005-0000-0000-0000AA980000}"/>
    <cellStyle name="Output 5 4 7 2" xfId="20767" xr:uid="{00000000-0005-0000-0000-0000AB980000}"/>
    <cellStyle name="Output 5 4 8" xfId="17368" xr:uid="{00000000-0005-0000-0000-0000AC980000}"/>
    <cellStyle name="Output 5 4 8 2" xfId="23012" xr:uid="{00000000-0005-0000-0000-0000AD980000}"/>
    <cellStyle name="Output 5 4 9" xfId="13568" xr:uid="{00000000-0005-0000-0000-0000AE980000}"/>
    <cellStyle name="Output 5 4 9 2" xfId="18545" xr:uid="{00000000-0005-0000-0000-0000AF980000}"/>
    <cellStyle name="Output 5 5" xfId="2848" xr:uid="{00000000-0005-0000-0000-0000B0980000}"/>
    <cellStyle name="Output 5 5 10" xfId="12876" xr:uid="{00000000-0005-0000-0000-0000B1980000}"/>
    <cellStyle name="Output 5 5 11" xfId="17890" xr:uid="{00000000-0005-0000-0000-0000B2980000}"/>
    <cellStyle name="Output 5 5 2" xfId="4300" xr:uid="{00000000-0005-0000-0000-0000B3980000}"/>
    <cellStyle name="Output 5 5 2 10" xfId="18208" xr:uid="{00000000-0005-0000-0000-0000B4980000}"/>
    <cellStyle name="Output 5 5 2 2" xfId="6384" xr:uid="{00000000-0005-0000-0000-0000B5980000}"/>
    <cellStyle name="Output 5 5 2 2 2" xfId="20249" xr:uid="{00000000-0005-0000-0000-0000B6980000}"/>
    <cellStyle name="Output 5 5 2 2 3" xfId="14901" xr:uid="{00000000-0005-0000-0000-0000B7980000}"/>
    <cellStyle name="Output 5 5 2 2 3 2" xfId="24722" xr:uid="{00000000-0005-0000-0000-0000B8980000}"/>
    <cellStyle name="Output 5 5 2 2 4" xfId="24055" xr:uid="{00000000-0005-0000-0000-0000B9980000}"/>
    <cellStyle name="Output 5 5 2 3" xfId="11186" xr:uid="{00000000-0005-0000-0000-0000BA980000}"/>
    <cellStyle name="Output 5 5 2 3 2" xfId="19744" xr:uid="{00000000-0005-0000-0000-0000BB980000}"/>
    <cellStyle name="Output 5 5 2 4" xfId="11042" xr:uid="{00000000-0005-0000-0000-0000BC980000}"/>
    <cellStyle name="Output 5 5 2 4 2" xfId="21707" xr:uid="{00000000-0005-0000-0000-0000BD980000}"/>
    <cellStyle name="Output 5 5 2 5" xfId="16602" xr:uid="{00000000-0005-0000-0000-0000BE980000}"/>
    <cellStyle name="Output 5 5 2 5 2" xfId="22243" xr:uid="{00000000-0005-0000-0000-0000BF980000}"/>
    <cellStyle name="Output 5 5 2 6" xfId="16966" xr:uid="{00000000-0005-0000-0000-0000C0980000}"/>
    <cellStyle name="Output 5 5 2 6 2" xfId="22617" xr:uid="{00000000-0005-0000-0000-0000C1980000}"/>
    <cellStyle name="Output 5 5 2 7" xfId="17686" xr:uid="{00000000-0005-0000-0000-0000C2980000}"/>
    <cellStyle name="Output 5 5 2 7 2" xfId="23331" xr:uid="{00000000-0005-0000-0000-0000C3980000}"/>
    <cellStyle name="Output 5 5 2 8" xfId="13890" xr:uid="{00000000-0005-0000-0000-0000C4980000}"/>
    <cellStyle name="Output 5 5 2 8 2" xfId="18864" xr:uid="{00000000-0005-0000-0000-0000C5980000}"/>
    <cellStyle name="Output 5 5 2 9" xfId="13219" xr:uid="{00000000-0005-0000-0000-0000C6980000}"/>
    <cellStyle name="Output 5 5 3" xfId="6928" xr:uid="{00000000-0005-0000-0000-0000C7980000}"/>
    <cellStyle name="Output 5 5 3 2" xfId="19885" xr:uid="{00000000-0005-0000-0000-0000C8980000}"/>
    <cellStyle name="Output 5 5 3 3" xfId="14588" xr:uid="{00000000-0005-0000-0000-0000C9980000}"/>
    <cellStyle name="Output 5 5 3 3 2" xfId="24405" xr:uid="{00000000-0005-0000-0000-0000CA980000}"/>
    <cellStyle name="Output 5 5 3 4" xfId="23734" xr:uid="{00000000-0005-0000-0000-0000CB980000}"/>
    <cellStyle name="Output 5 5 3 5" xfId="25616" xr:uid="{00000000-0005-0000-0000-0000CC980000}"/>
    <cellStyle name="Output 5 5 3 6" xfId="29829" xr:uid="{00000000-0005-0000-0000-0000CD980000}"/>
    <cellStyle name="Output 5 5 3 7" xfId="34044" xr:uid="{00000000-0005-0000-0000-0000CE980000}"/>
    <cellStyle name="Output 5 5 3 8" xfId="38248" xr:uid="{00000000-0005-0000-0000-0000CF980000}"/>
    <cellStyle name="Output 5 5 4" xfId="6383" xr:uid="{00000000-0005-0000-0000-0000D0980000}"/>
    <cellStyle name="Output 5 5 4 2" xfId="19474" xr:uid="{00000000-0005-0000-0000-0000D1980000}"/>
    <cellStyle name="Output 5 5 4 3" xfId="14336" xr:uid="{00000000-0005-0000-0000-0000D2980000}"/>
    <cellStyle name="Output 5 5 5" xfId="11185" xr:uid="{00000000-0005-0000-0000-0000D3980000}"/>
    <cellStyle name="Output 5 5 5 2" xfId="20798" xr:uid="{00000000-0005-0000-0000-0000D4980000}"/>
    <cellStyle name="Output 5 5 6" xfId="11041" xr:uid="{00000000-0005-0000-0000-0000D5980000}"/>
    <cellStyle name="Output 5 5 6 2" xfId="21921" xr:uid="{00000000-0005-0000-0000-0000D6980000}"/>
    <cellStyle name="Output 5 5 7" xfId="10303" xr:uid="{00000000-0005-0000-0000-0000D7980000}"/>
    <cellStyle name="Output 5 5 7 2" xfId="20763" xr:uid="{00000000-0005-0000-0000-0000D8980000}"/>
    <cellStyle name="Output 5 5 8" xfId="17369" xr:uid="{00000000-0005-0000-0000-0000D9980000}"/>
    <cellStyle name="Output 5 5 8 2" xfId="23013" xr:uid="{00000000-0005-0000-0000-0000DA980000}"/>
    <cellStyle name="Output 5 5 9" xfId="13569" xr:uid="{00000000-0005-0000-0000-0000DB980000}"/>
    <cellStyle name="Output 5 5 9 2" xfId="18546" xr:uid="{00000000-0005-0000-0000-0000DC980000}"/>
    <cellStyle name="Output 5 6" xfId="2849" xr:uid="{00000000-0005-0000-0000-0000DD980000}"/>
    <cellStyle name="Output 5 6 10" xfId="12877" xr:uid="{00000000-0005-0000-0000-0000DE980000}"/>
    <cellStyle name="Output 5 6 11" xfId="17891" xr:uid="{00000000-0005-0000-0000-0000DF980000}"/>
    <cellStyle name="Output 5 6 2" xfId="4301" xr:uid="{00000000-0005-0000-0000-0000E0980000}"/>
    <cellStyle name="Output 5 6 2 10" xfId="18209" xr:uid="{00000000-0005-0000-0000-0000E1980000}"/>
    <cellStyle name="Output 5 6 2 2" xfId="6386" xr:uid="{00000000-0005-0000-0000-0000E2980000}"/>
    <cellStyle name="Output 5 6 2 2 2" xfId="20250" xr:uid="{00000000-0005-0000-0000-0000E3980000}"/>
    <cellStyle name="Output 5 6 2 2 3" xfId="14902" xr:uid="{00000000-0005-0000-0000-0000E4980000}"/>
    <cellStyle name="Output 5 6 2 2 3 2" xfId="24723" xr:uid="{00000000-0005-0000-0000-0000E5980000}"/>
    <cellStyle name="Output 5 6 2 2 4" xfId="24056" xr:uid="{00000000-0005-0000-0000-0000E6980000}"/>
    <cellStyle name="Output 5 6 2 3" xfId="11188" xr:uid="{00000000-0005-0000-0000-0000E7980000}"/>
    <cellStyle name="Output 5 6 2 3 2" xfId="19745" xr:uid="{00000000-0005-0000-0000-0000E8980000}"/>
    <cellStyle name="Output 5 6 2 4" xfId="12107" xr:uid="{00000000-0005-0000-0000-0000E9980000}"/>
    <cellStyle name="Output 5 6 2 4 2" xfId="21708" xr:uid="{00000000-0005-0000-0000-0000EA980000}"/>
    <cellStyle name="Output 5 6 2 5" xfId="16603" xr:uid="{00000000-0005-0000-0000-0000EB980000}"/>
    <cellStyle name="Output 5 6 2 5 2" xfId="22244" xr:uid="{00000000-0005-0000-0000-0000EC980000}"/>
    <cellStyle name="Output 5 6 2 6" xfId="16967" xr:uid="{00000000-0005-0000-0000-0000ED980000}"/>
    <cellStyle name="Output 5 6 2 6 2" xfId="22618" xr:uid="{00000000-0005-0000-0000-0000EE980000}"/>
    <cellStyle name="Output 5 6 2 7" xfId="17687" xr:uid="{00000000-0005-0000-0000-0000EF980000}"/>
    <cellStyle name="Output 5 6 2 7 2" xfId="23332" xr:uid="{00000000-0005-0000-0000-0000F0980000}"/>
    <cellStyle name="Output 5 6 2 8" xfId="13891" xr:uid="{00000000-0005-0000-0000-0000F1980000}"/>
    <cellStyle name="Output 5 6 2 8 2" xfId="18865" xr:uid="{00000000-0005-0000-0000-0000F2980000}"/>
    <cellStyle name="Output 5 6 2 9" xfId="13220" xr:uid="{00000000-0005-0000-0000-0000F3980000}"/>
    <cellStyle name="Output 5 6 3" xfId="6929" xr:uid="{00000000-0005-0000-0000-0000F4980000}"/>
    <cellStyle name="Output 5 6 3 2" xfId="19886" xr:uid="{00000000-0005-0000-0000-0000F5980000}"/>
    <cellStyle name="Output 5 6 3 3" xfId="14589" xr:uid="{00000000-0005-0000-0000-0000F6980000}"/>
    <cellStyle name="Output 5 6 3 3 2" xfId="24406" xr:uid="{00000000-0005-0000-0000-0000F7980000}"/>
    <cellStyle name="Output 5 6 3 4" xfId="23735" xr:uid="{00000000-0005-0000-0000-0000F8980000}"/>
    <cellStyle name="Output 5 6 3 5" xfId="25617" xr:uid="{00000000-0005-0000-0000-0000F9980000}"/>
    <cellStyle name="Output 5 6 3 6" xfId="29830" xr:uid="{00000000-0005-0000-0000-0000FA980000}"/>
    <cellStyle name="Output 5 6 3 7" xfId="34045" xr:uid="{00000000-0005-0000-0000-0000FB980000}"/>
    <cellStyle name="Output 5 6 3 8" xfId="38249" xr:uid="{00000000-0005-0000-0000-0000FC980000}"/>
    <cellStyle name="Output 5 6 4" xfId="6385" xr:uid="{00000000-0005-0000-0000-0000FD980000}"/>
    <cellStyle name="Output 5 6 4 2" xfId="19475" xr:uid="{00000000-0005-0000-0000-0000FE980000}"/>
    <cellStyle name="Output 5 6 4 3" xfId="14337" xr:uid="{00000000-0005-0000-0000-0000FF980000}"/>
    <cellStyle name="Output 5 6 5" xfId="11187" xr:uid="{00000000-0005-0000-0000-000000990000}"/>
    <cellStyle name="Output 5 6 5 2" xfId="20797" xr:uid="{00000000-0005-0000-0000-000001990000}"/>
    <cellStyle name="Output 5 6 6" xfId="11043" xr:uid="{00000000-0005-0000-0000-000002990000}"/>
    <cellStyle name="Output 5 6 6 2" xfId="21922" xr:uid="{00000000-0005-0000-0000-000003990000}"/>
    <cellStyle name="Output 5 6 7" xfId="10302" xr:uid="{00000000-0005-0000-0000-000004990000}"/>
    <cellStyle name="Output 5 6 7 2" xfId="21801" xr:uid="{00000000-0005-0000-0000-000005990000}"/>
    <cellStyle name="Output 5 6 8" xfId="17370" xr:uid="{00000000-0005-0000-0000-000006990000}"/>
    <cellStyle name="Output 5 6 8 2" xfId="23014" xr:uid="{00000000-0005-0000-0000-000007990000}"/>
    <cellStyle name="Output 5 6 9" xfId="13570" xr:uid="{00000000-0005-0000-0000-000008990000}"/>
    <cellStyle name="Output 5 6 9 2" xfId="18547" xr:uid="{00000000-0005-0000-0000-000009990000}"/>
    <cellStyle name="Output 5 7" xfId="2850" xr:uid="{00000000-0005-0000-0000-00000A990000}"/>
    <cellStyle name="Output 5 7 10" xfId="12878" xr:uid="{00000000-0005-0000-0000-00000B990000}"/>
    <cellStyle name="Output 5 7 11" xfId="17892" xr:uid="{00000000-0005-0000-0000-00000C990000}"/>
    <cellStyle name="Output 5 7 2" xfId="4302" xr:uid="{00000000-0005-0000-0000-00000D990000}"/>
    <cellStyle name="Output 5 7 2 10" xfId="18210" xr:uid="{00000000-0005-0000-0000-00000E990000}"/>
    <cellStyle name="Output 5 7 2 2" xfId="6388" xr:uid="{00000000-0005-0000-0000-00000F990000}"/>
    <cellStyle name="Output 5 7 2 2 2" xfId="20251" xr:uid="{00000000-0005-0000-0000-000010990000}"/>
    <cellStyle name="Output 5 7 2 2 3" xfId="14903" xr:uid="{00000000-0005-0000-0000-000011990000}"/>
    <cellStyle name="Output 5 7 2 2 3 2" xfId="24724" xr:uid="{00000000-0005-0000-0000-000012990000}"/>
    <cellStyle name="Output 5 7 2 2 4" xfId="24057" xr:uid="{00000000-0005-0000-0000-000013990000}"/>
    <cellStyle name="Output 5 7 2 3" xfId="11190" xr:uid="{00000000-0005-0000-0000-000014990000}"/>
    <cellStyle name="Output 5 7 2 3 2" xfId="19746" xr:uid="{00000000-0005-0000-0000-000015990000}"/>
    <cellStyle name="Output 5 7 2 4" xfId="12129" xr:uid="{00000000-0005-0000-0000-000016990000}"/>
    <cellStyle name="Output 5 7 2 4 2" xfId="21709" xr:uid="{00000000-0005-0000-0000-000017990000}"/>
    <cellStyle name="Output 5 7 2 5" xfId="16604" xr:uid="{00000000-0005-0000-0000-000018990000}"/>
    <cellStyle name="Output 5 7 2 5 2" xfId="22245" xr:uid="{00000000-0005-0000-0000-000019990000}"/>
    <cellStyle name="Output 5 7 2 6" xfId="16968" xr:uid="{00000000-0005-0000-0000-00001A990000}"/>
    <cellStyle name="Output 5 7 2 6 2" xfId="22619" xr:uid="{00000000-0005-0000-0000-00001B990000}"/>
    <cellStyle name="Output 5 7 2 7" xfId="17688" xr:uid="{00000000-0005-0000-0000-00001C990000}"/>
    <cellStyle name="Output 5 7 2 7 2" xfId="23333" xr:uid="{00000000-0005-0000-0000-00001D990000}"/>
    <cellStyle name="Output 5 7 2 8" xfId="13892" xr:uid="{00000000-0005-0000-0000-00001E990000}"/>
    <cellStyle name="Output 5 7 2 8 2" xfId="18866" xr:uid="{00000000-0005-0000-0000-00001F990000}"/>
    <cellStyle name="Output 5 7 2 9" xfId="13221" xr:uid="{00000000-0005-0000-0000-000020990000}"/>
    <cellStyle name="Output 5 7 3" xfId="6930" xr:uid="{00000000-0005-0000-0000-000021990000}"/>
    <cellStyle name="Output 5 7 3 2" xfId="19887" xr:uid="{00000000-0005-0000-0000-000022990000}"/>
    <cellStyle name="Output 5 7 3 3" xfId="14590" xr:uid="{00000000-0005-0000-0000-000023990000}"/>
    <cellStyle name="Output 5 7 3 3 2" xfId="24407" xr:uid="{00000000-0005-0000-0000-000024990000}"/>
    <cellStyle name="Output 5 7 3 4" xfId="23736" xr:uid="{00000000-0005-0000-0000-000025990000}"/>
    <cellStyle name="Output 5 7 3 5" xfId="25618" xr:uid="{00000000-0005-0000-0000-000026990000}"/>
    <cellStyle name="Output 5 7 3 6" xfId="29831" xr:uid="{00000000-0005-0000-0000-000027990000}"/>
    <cellStyle name="Output 5 7 3 7" xfId="34046" xr:uid="{00000000-0005-0000-0000-000028990000}"/>
    <cellStyle name="Output 5 7 3 8" xfId="38250" xr:uid="{00000000-0005-0000-0000-000029990000}"/>
    <cellStyle name="Output 5 7 4" xfId="6387" xr:uid="{00000000-0005-0000-0000-00002A990000}"/>
    <cellStyle name="Output 5 7 4 2" xfId="19476" xr:uid="{00000000-0005-0000-0000-00002B990000}"/>
    <cellStyle name="Output 5 7 4 3" xfId="14338" xr:uid="{00000000-0005-0000-0000-00002C990000}"/>
    <cellStyle name="Output 5 7 5" xfId="11189" xr:uid="{00000000-0005-0000-0000-00002D990000}"/>
    <cellStyle name="Output 5 7 5 2" xfId="20796" xr:uid="{00000000-0005-0000-0000-00002E990000}"/>
    <cellStyle name="Output 5 7 6" xfId="12119" xr:uid="{00000000-0005-0000-0000-00002F990000}"/>
    <cellStyle name="Output 5 7 6 2" xfId="21923" xr:uid="{00000000-0005-0000-0000-000030990000}"/>
    <cellStyle name="Output 5 7 7" xfId="10301" xr:uid="{00000000-0005-0000-0000-000031990000}"/>
    <cellStyle name="Output 5 7 7 2" xfId="21651" xr:uid="{00000000-0005-0000-0000-000032990000}"/>
    <cellStyle name="Output 5 7 8" xfId="17371" xr:uid="{00000000-0005-0000-0000-000033990000}"/>
    <cellStyle name="Output 5 7 8 2" xfId="23015" xr:uid="{00000000-0005-0000-0000-000034990000}"/>
    <cellStyle name="Output 5 7 9" xfId="13571" xr:uid="{00000000-0005-0000-0000-000035990000}"/>
    <cellStyle name="Output 5 7 9 2" xfId="18548" xr:uid="{00000000-0005-0000-0000-000036990000}"/>
    <cellStyle name="Output 5 8" xfId="2851" xr:uid="{00000000-0005-0000-0000-000037990000}"/>
    <cellStyle name="Output 5 8 10" xfId="12879" xr:uid="{00000000-0005-0000-0000-000038990000}"/>
    <cellStyle name="Output 5 8 11" xfId="17893" xr:uid="{00000000-0005-0000-0000-000039990000}"/>
    <cellStyle name="Output 5 8 2" xfId="4303" xr:uid="{00000000-0005-0000-0000-00003A990000}"/>
    <cellStyle name="Output 5 8 2 10" xfId="18211" xr:uid="{00000000-0005-0000-0000-00003B990000}"/>
    <cellStyle name="Output 5 8 2 2" xfId="6390" xr:uid="{00000000-0005-0000-0000-00003C990000}"/>
    <cellStyle name="Output 5 8 2 2 2" xfId="20252" xr:uid="{00000000-0005-0000-0000-00003D990000}"/>
    <cellStyle name="Output 5 8 2 2 3" xfId="14904" xr:uid="{00000000-0005-0000-0000-00003E990000}"/>
    <cellStyle name="Output 5 8 2 2 3 2" xfId="24725" xr:uid="{00000000-0005-0000-0000-00003F990000}"/>
    <cellStyle name="Output 5 8 2 2 4" xfId="24058" xr:uid="{00000000-0005-0000-0000-000040990000}"/>
    <cellStyle name="Output 5 8 2 3" xfId="11192" xr:uid="{00000000-0005-0000-0000-000041990000}"/>
    <cellStyle name="Output 5 8 2 3 2" xfId="19747" xr:uid="{00000000-0005-0000-0000-000042990000}"/>
    <cellStyle name="Output 5 8 2 4" xfId="12153" xr:uid="{00000000-0005-0000-0000-000043990000}"/>
    <cellStyle name="Output 5 8 2 4 2" xfId="21710" xr:uid="{00000000-0005-0000-0000-000044990000}"/>
    <cellStyle name="Output 5 8 2 5" xfId="16605" xr:uid="{00000000-0005-0000-0000-000045990000}"/>
    <cellStyle name="Output 5 8 2 5 2" xfId="22246" xr:uid="{00000000-0005-0000-0000-000046990000}"/>
    <cellStyle name="Output 5 8 2 6" xfId="16969" xr:uid="{00000000-0005-0000-0000-000047990000}"/>
    <cellStyle name="Output 5 8 2 6 2" xfId="22620" xr:uid="{00000000-0005-0000-0000-000048990000}"/>
    <cellStyle name="Output 5 8 2 7" xfId="17689" xr:uid="{00000000-0005-0000-0000-000049990000}"/>
    <cellStyle name="Output 5 8 2 7 2" xfId="23334" xr:uid="{00000000-0005-0000-0000-00004A990000}"/>
    <cellStyle name="Output 5 8 2 8" xfId="13893" xr:uid="{00000000-0005-0000-0000-00004B990000}"/>
    <cellStyle name="Output 5 8 2 8 2" xfId="18867" xr:uid="{00000000-0005-0000-0000-00004C990000}"/>
    <cellStyle name="Output 5 8 2 9" xfId="13222" xr:uid="{00000000-0005-0000-0000-00004D990000}"/>
    <cellStyle name="Output 5 8 3" xfId="6931" xr:uid="{00000000-0005-0000-0000-00004E990000}"/>
    <cellStyle name="Output 5 8 3 2" xfId="19888" xr:uid="{00000000-0005-0000-0000-00004F990000}"/>
    <cellStyle name="Output 5 8 3 3" xfId="14591" xr:uid="{00000000-0005-0000-0000-000050990000}"/>
    <cellStyle name="Output 5 8 3 3 2" xfId="24408" xr:uid="{00000000-0005-0000-0000-000051990000}"/>
    <cellStyle name="Output 5 8 3 4" xfId="23737" xr:uid="{00000000-0005-0000-0000-000052990000}"/>
    <cellStyle name="Output 5 8 3 5" xfId="25619" xr:uid="{00000000-0005-0000-0000-000053990000}"/>
    <cellStyle name="Output 5 8 3 6" xfId="29832" xr:uid="{00000000-0005-0000-0000-000054990000}"/>
    <cellStyle name="Output 5 8 3 7" xfId="34047" xr:uid="{00000000-0005-0000-0000-000055990000}"/>
    <cellStyle name="Output 5 8 3 8" xfId="38251" xr:uid="{00000000-0005-0000-0000-000056990000}"/>
    <cellStyle name="Output 5 8 4" xfId="6389" xr:uid="{00000000-0005-0000-0000-000057990000}"/>
    <cellStyle name="Output 5 8 4 2" xfId="19477" xr:uid="{00000000-0005-0000-0000-000058990000}"/>
    <cellStyle name="Output 5 8 4 3" xfId="14339" xr:uid="{00000000-0005-0000-0000-000059990000}"/>
    <cellStyle name="Output 5 8 5" xfId="11191" xr:uid="{00000000-0005-0000-0000-00005A990000}"/>
    <cellStyle name="Output 5 8 5 2" xfId="20795" xr:uid="{00000000-0005-0000-0000-00005B990000}"/>
    <cellStyle name="Output 5 8 6" xfId="12142" xr:uid="{00000000-0005-0000-0000-00005C990000}"/>
    <cellStyle name="Output 5 8 6 2" xfId="21924" xr:uid="{00000000-0005-0000-0000-00005D990000}"/>
    <cellStyle name="Output 5 8 7" xfId="10300" xr:uid="{00000000-0005-0000-0000-00005E990000}"/>
    <cellStyle name="Output 5 8 7 2" xfId="21811" xr:uid="{00000000-0005-0000-0000-00005F990000}"/>
    <cellStyle name="Output 5 8 8" xfId="17372" xr:uid="{00000000-0005-0000-0000-000060990000}"/>
    <cellStyle name="Output 5 8 8 2" xfId="23016" xr:uid="{00000000-0005-0000-0000-000061990000}"/>
    <cellStyle name="Output 5 8 9" xfId="13572" xr:uid="{00000000-0005-0000-0000-000062990000}"/>
    <cellStyle name="Output 5 8 9 2" xfId="18549" xr:uid="{00000000-0005-0000-0000-000063990000}"/>
    <cellStyle name="Output 5 9" xfId="2852" xr:uid="{00000000-0005-0000-0000-000064990000}"/>
    <cellStyle name="Output 5 9 10" xfId="12880" xr:uid="{00000000-0005-0000-0000-000065990000}"/>
    <cellStyle name="Output 5 9 11" xfId="17894" xr:uid="{00000000-0005-0000-0000-000066990000}"/>
    <cellStyle name="Output 5 9 2" xfId="4304" xr:uid="{00000000-0005-0000-0000-000067990000}"/>
    <cellStyle name="Output 5 9 2 10" xfId="18212" xr:uid="{00000000-0005-0000-0000-000068990000}"/>
    <cellStyle name="Output 5 9 2 2" xfId="6392" xr:uid="{00000000-0005-0000-0000-000069990000}"/>
    <cellStyle name="Output 5 9 2 2 2" xfId="20253" xr:uid="{00000000-0005-0000-0000-00006A990000}"/>
    <cellStyle name="Output 5 9 2 2 3" xfId="14905" xr:uid="{00000000-0005-0000-0000-00006B990000}"/>
    <cellStyle name="Output 5 9 2 2 3 2" xfId="24726" xr:uid="{00000000-0005-0000-0000-00006C990000}"/>
    <cellStyle name="Output 5 9 2 2 4" xfId="24059" xr:uid="{00000000-0005-0000-0000-00006D990000}"/>
    <cellStyle name="Output 5 9 2 3" xfId="11194" xr:uid="{00000000-0005-0000-0000-00006E990000}"/>
    <cellStyle name="Output 5 9 2 3 2" xfId="19748" xr:uid="{00000000-0005-0000-0000-00006F990000}"/>
    <cellStyle name="Output 5 9 2 4" xfId="11119" xr:uid="{00000000-0005-0000-0000-000070990000}"/>
    <cellStyle name="Output 5 9 2 4 2" xfId="21711" xr:uid="{00000000-0005-0000-0000-000071990000}"/>
    <cellStyle name="Output 5 9 2 5" xfId="16606" xr:uid="{00000000-0005-0000-0000-000072990000}"/>
    <cellStyle name="Output 5 9 2 5 2" xfId="22247" xr:uid="{00000000-0005-0000-0000-000073990000}"/>
    <cellStyle name="Output 5 9 2 6" xfId="16970" xr:uid="{00000000-0005-0000-0000-000074990000}"/>
    <cellStyle name="Output 5 9 2 6 2" xfId="22621" xr:uid="{00000000-0005-0000-0000-000075990000}"/>
    <cellStyle name="Output 5 9 2 7" xfId="17690" xr:uid="{00000000-0005-0000-0000-000076990000}"/>
    <cellStyle name="Output 5 9 2 7 2" xfId="23335" xr:uid="{00000000-0005-0000-0000-000077990000}"/>
    <cellStyle name="Output 5 9 2 8" xfId="13894" xr:uid="{00000000-0005-0000-0000-000078990000}"/>
    <cellStyle name="Output 5 9 2 8 2" xfId="18868" xr:uid="{00000000-0005-0000-0000-000079990000}"/>
    <cellStyle name="Output 5 9 2 9" xfId="13223" xr:uid="{00000000-0005-0000-0000-00007A990000}"/>
    <cellStyle name="Output 5 9 3" xfId="6932" xr:uid="{00000000-0005-0000-0000-00007B990000}"/>
    <cellStyle name="Output 5 9 3 2" xfId="19889" xr:uid="{00000000-0005-0000-0000-00007C990000}"/>
    <cellStyle name="Output 5 9 3 3" xfId="14592" xr:uid="{00000000-0005-0000-0000-00007D990000}"/>
    <cellStyle name="Output 5 9 3 3 2" xfId="24409" xr:uid="{00000000-0005-0000-0000-00007E990000}"/>
    <cellStyle name="Output 5 9 3 4" xfId="23738" xr:uid="{00000000-0005-0000-0000-00007F990000}"/>
    <cellStyle name="Output 5 9 3 5" xfId="25620" xr:uid="{00000000-0005-0000-0000-000080990000}"/>
    <cellStyle name="Output 5 9 3 6" xfId="29833" xr:uid="{00000000-0005-0000-0000-000081990000}"/>
    <cellStyle name="Output 5 9 3 7" xfId="34048" xr:uid="{00000000-0005-0000-0000-000082990000}"/>
    <cellStyle name="Output 5 9 3 8" xfId="38252" xr:uid="{00000000-0005-0000-0000-000083990000}"/>
    <cellStyle name="Output 5 9 4" xfId="6391" xr:uid="{00000000-0005-0000-0000-000084990000}"/>
    <cellStyle name="Output 5 9 4 2" xfId="19478" xr:uid="{00000000-0005-0000-0000-000085990000}"/>
    <cellStyle name="Output 5 9 4 3" xfId="14340" xr:uid="{00000000-0005-0000-0000-000086990000}"/>
    <cellStyle name="Output 5 9 5" xfId="11193" xr:uid="{00000000-0005-0000-0000-000087990000}"/>
    <cellStyle name="Output 5 9 5 2" xfId="20794" xr:uid="{00000000-0005-0000-0000-000088990000}"/>
    <cellStyle name="Output 5 9 6" xfId="11118" xr:uid="{00000000-0005-0000-0000-000089990000}"/>
    <cellStyle name="Output 5 9 6 2" xfId="21925" xr:uid="{00000000-0005-0000-0000-00008A990000}"/>
    <cellStyle name="Output 5 9 7" xfId="10299" xr:uid="{00000000-0005-0000-0000-00008B990000}"/>
    <cellStyle name="Output 5 9 7 2" xfId="21812" xr:uid="{00000000-0005-0000-0000-00008C990000}"/>
    <cellStyle name="Output 5 9 8" xfId="17373" xr:uid="{00000000-0005-0000-0000-00008D990000}"/>
    <cellStyle name="Output 5 9 8 2" xfId="23017" xr:uid="{00000000-0005-0000-0000-00008E990000}"/>
    <cellStyle name="Output 5 9 9" xfId="13573" xr:uid="{00000000-0005-0000-0000-00008F990000}"/>
    <cellStyle name="Output 5 9 9 2" xfId="18550" xr:uid="{00000000-0005-0000-0000-000090990000}"/>
    <cellStyle name="Output 6" xfId="2853" xr:uid="{00000000-0005-0000-0000-000091990000}"/>
    <cellStyle name="Output 6 10" xfId="2854" xr:uid="{00000000-0005-0000-0000-000092990000}"/>
    <cellStyle name="Output 6 10 10" xfId="12882" xr:uid="{00000000-0005-0000-0000-000093990000}"/>
    <cellStyle name="Output 6 10 11" xfId="17896" xr:uid="{00000000-0005-0000-0000-000094990000}"/>
    <cellStyle name="Output 6 10 2" xfId="4305" xr:uid="{00000000-0005-0000-0000-000095990000}"/>
    <cellStyle name="Output 6 10 2 10" xfId="18214" xr:uid="{00000000-0005-0000-0000-000096990000}"/>
    <cellStyle name="Output 6 10 2 2" xfId="6395" xr:uid="{00000000-0005-0000-0000-000097990000}"/>
    <cellStyle name="Output 6 10 2 2 2" xfId="20255" xr:uid="{00000000-0005-0000-0000-000098990000}"/>
    <cellStyle name="Output 6 10 2 2 3" xfId="14907" xr:uid="{00000000-0005-0000-0000-000099990000}"/>
    <cellStyle name="Output 6 10 2 2 3 2" xfId="24728" xr:uid="{00000000-0005-0000-0000-00009A990000}"/>
    <cellStyle name="Output 6 10 2 2 4" xfId="24061" xr:uid="{00000000-0005-0000-0000-00009B990000}"/>
    <cellStyle name="Output 6 10 2 3" xfId="11197" xr:uid="{00000000-0005-0000-0000-00009C990000}"/>
    <cellStyle name="Output 6 10 2 3 2" xfId="19750" xr:uid="{00000000-0005-0000-0000-00009D990000}"/>
    <cellStyle name="Output 6 10 2 4" xfId="11046" xr:uid="{00000000-0005-0000-0000-00009E990000}"/>
    <cellStyle name="Output 6 10 2 4 2" xfId="21713" xr:uid="{00000000-0005-0000-0000-00009F990000}"/>
    <cellStyle name="Output 6 10 2 5" xfId="16608" xr:uid="{00000000-0005-0000-0000-0000A0990000}"/>
    <cellStyle name="Output 6 10 2 5 2" xfId="22249" xr:uid="{00000000-0005-0000-0000-0000A1990000}"/>
    <cellStyle name="Output 6 10 2 6" xfId="16972" xr:uid="{00000000-0005-0000-0000-0000A2990000}"/>
    <cellStyle name="Output 6 10 2 6 2" xfId="22623" xr:uid="{00000000-0005-0000-0000-0000A3990000}"/>
    <cellStyle name="Output 6 10 2 7" xfId="17692" xr:uid="{00000000-0005-0000-0000-0000A4990000}"/>
    <cellStyle name="Output 6 10 2 7 2" xfId="23337" xr:uid="{00000000-0005-0000-0000-0000A5990000}"/>
    <cellStyle name="Output 6 10 2 8" xfId="13896" xr:uid="{00000000-0005-0000-0000-0000A6990000}"/>
    <cellStyle name="Output 6 10 2 8 2" xfId="18870" xr:uid="{00000000-0005-0000-0000-0000A7990000}"/>
    <cellStyle name="Output 6 10 2 9" xfId="13225" xr:uid="{00000000-0005-0000-0000-0000A8990000}"/>
    <cellStyle name="Output 6 10 3" xfId="6934" xr:uid="{00000000-0005-0000-0000-0000A9990000}"/>
    <cellStyle name="Output 6 10 3 2" xfId="19891" xr:uid="{00000000-0005-0000-0000-0000AA990000}"/>
    <cellStyle name="Output 6 10 3 3" xfId="14594" xr:uid="{00000000-0005-0000-0000-0000AB990000}"/>
    <cellStyle name="Output 6 10 3 3 2" xfId="24411" xr:uid="{00000000-0005-0000-0000-0000AC990000}"/>
    <cellStyle name="Output 6 10 3 4" xfId="23740" xr:uid="{00000000-0005-0000-0000-0000AD990000}"/>
    <cellStyle name="Output 6 10 3 5" xfId="25622" xr:uid="{00000000-0005-0000-0000-0000AE990000}"/>
    <cellStyle name="Output 6 10 3 6" xfId="29835" xr:uid="{00000000-0005-0000-0000-0000AF990000}"/>
    <cellStyle name="Output 6 10 3 7" xfId="34050" xr:uid="{00000000-0005-0000-0000-0000B0990000}"/>
    <cellStyle name="Output 6 10 3 8" xfId="38254" xr:uid="{00000000-0005-0000-0000-0000B1990000}"/>
    <cellStyle name="Output 6 10 4" xfId="6394" xr:uid="{00000000-0005-0000-0000-0000B2990000}"/>
    <cellStyle name="Output 6 10 4 2" xfId="19480" xr:uid="{00000000-0005-0000-0000-0000B3990000}"/>
    <cellStyle name="Output 6 10 4 3" xfId="14342" xr:uid="{00000000-0005-0000-0000-0000B4990000}"/>
    <cellStyle name="Output 6 10 5" xfId="11196" xr:uid="{00000000-0005-0000-0000-0000B5990000}"/>
    <cellStyle name="Output 6 10 5 2" xfId="20792" xr:uid="{00000000-0005-0000-0000-0000B6990000}"/>
    <cellStyle name="Output 6 10 6" xfId="11045" xr:uid="{00000000-0005-0000-0000-0000B7990000}"/>
    <cellStyle name="Output 6 10 6 2" xfId="21927" xr:uid="{00000000-0005-0000-0000-0000B8990000}"/>
    <cellStyle name="Output 6 10 7" xfId="11309" xr:uid="{00000000-0005-0000-0000-0000B9990000}"/>
    <cellStyle name="Output 6 10 7 2" xfId="20762" xr:uid="{00000000-0005-0000-0000-0000BA990000}"/>
    <cellStyle name="Output 6 10 8" xfId="17375" xr:uid="{00000000-0005-0000-0000-0000BB990000}"/>
    <cellStyle name="Output 6 10 8 2" xfId="23019" xr:uid="{00000000-0005-0000-0000-0000BC990000}"/>
    <cellStyle name="Output 6 10 9" xfId="13575" xr:uid="{00000000-0005-0000-0000-0000BD990000}"/>
    <cellStyle name="Output 6 10 9 2" xfId="18552" xr:uid="{00000000-0005-0000-0000-0000BE990000}"/>
    <cellStyle name="Output 6 11" xfId="2855" xr:uid="{00000000-0005-0000-0000-0000BF990000}"/>
    <cellStyle name="Output 6 11 10" xfId="12883" xr:uid="{00000000-0005-0000-0000-0000C0990000}"/>
    <cellStyle name="Output 6 11 11" xfId="17897" xr:uid="{00000000-0005-0000-0000-0000C1990000}"/>
    <cellStyle name="Output 6 11 2" xfId="4306" xr:uid="{00000000-0005-0000-0000-0000C2990000}"/>
    <cellStyle name="Output 6 11 2 10" xfId="18215" xr:uid="{00000000-0005-0000-0000-0000C3990000}"/>
    <cellStyle name="Output 6 11 2 2" xfId="6397" xr:uid="{00000000-0005-0000-0000-0000C4990000}"/>
    <cellStyle name="Output 6 11 2 2 2" xfId="20256" xr:uid="{00000000-0005-0000-0000-0000C5990000}"/>
    <cellStyle name="Output 6 11 2 2 3" xfId="14908" xr:uid="{00000000-0005-0000-0000-0000C6990000}"/>
    <cellStyle name="Output 6 11 2 2 3 2" xfId="24729" xr:uid="{00000000-0005-0000-0000-0000C7990000}"/>
    <cellStyle name="Output 6 11 2 2 4" xfId="24062" xr:uid="{00000000-0005-0000-0000-0000C8990000}"/>
    <cellStyle name="Output 6 11 2 3" xfId="11199" xr:uid="{00000000-0005-0000-0000-0000C9990000}"/>
    <cellStyle name="Output 6 11 2 3 2" xfId="19751" xr:uid="{00000000-0005-0000-0000-0000CA990000}"/>
    <cellStyle name="Output 6 11 2 4" xfId="11121" xr:uid="{00000000-0005-0000-0000-0000CB990000}"/>
    <cellStyle name="Output 6 11 2 4 2" xfId="21714" xr:uid="{00000000-0005-0000-0000-0000CC990000}"/>
    <cellStyle name="Output 6 11 2 5" xfId="16609" xr:uid="{00000000-0005-0000-0000-0000CD990000}"/>
    <cellStyle name="Output 6 11 2 5 2" xfId="22250" xr:uid="{00000000-0005-0000-0000-0000CE990000}"/>
    <cellStyle name="Output 6 11 2 6" xfId="16973" xr:uid="{00000000-0005-0000-0000-0000CF990000}"/>
    <cellStyle name="Output 6 11 2 6 2" xfId="22624" xr:uid="{00000000-0005-0000-0000-0000D0990000}"/>
    <cellStyle name="Output 6 11 2 7" xfId="17693" xr:uid="{00000000-0005-0000-0000-0000D1990000}"/>
    <cellStyle name="Output 6 11 2 7 2" xfId="23338" xr:uid="{00000000-0005-0000-0000-0000D2990000}"/>
    <cellStyle name="Output 6 11 2 8" xfId="13897" xr:uid="{00000000-0005-0000-0000-0000D3990000}"/>
    <cellStyle name="Output 6 11 2 8 2" xfId="18871" xr:uid="{00000000-0005-0000-0000-0000D4990000}"/>
    <cellStyle name="Output 6 11 2 9" xfId="13226" xr:uid="{00000000-0005-0000-0000-0000D5990000}"/>
    <cellStyle name="Output 6 11 3" xfId="6935" xr:uid="{00000000-0005-0000-0000-0000D6990000}"/>
    <cellStyle name="Output 6 11 3 2" xfId="19892" xr:uid="{00000000-0005-0000-0000-0000D7990000}"/>
    <cellStyle name="Output 6 11 3 3" xfId="14595" xr:uid="{00000000-0005-0000-0000-0000D8990000}"/>
    <cellStyle name="Output 6 11 3 3 2" xfId="24412" xr:uid="{00000000-0005-0000-0000-0000D9990000}"/>
    <cellStyle name="Output 6 11 3 4" xfId="23741" xr:uid="{00000000-0005-0000-0000-0000DA990000}"/>
    <cellStyle name="Output 6 11 3 5" xfId="25623" xr:uid="{00000000-0005-0000-0000-0000DB990000}"/>
    <cellStyle name="Output 6 11 3 6" xfId="29836" xr:uid="{00000000-0005-0000-0000-0000DC990000}"/>
    <cellStyle name="Output 6 11 3 7" xfId="34051" xr:uid="{00000000-0005-0000-0000-0000DD990000}"/>
    <cellStyle name="Output 6 11 3 8" xfId="38255" xr:uid="{00000000-0005-0000-0000-0000DE990000}"/>
    <cellStyle name="Output 6 11 4" xfId="6396" xr:uid="{00000000-0005-0000-0000-0000DF990000}"/>
    <cellStyle name="Output 6 11 4 2" xfId="19481" xr:uid="{00000000-0005-0000-0000-0000E0990000}"/>
    <cellStyle name="Output 6 11 4 3" xfId="14343" xr:uid="{00000000-0005-0000-0000-0000E1990000}"/>
    <cellStyle name="Output 6 11 5" xfId="11198" xr:uid="{00000000-0005-0000-0000-0000E2990000}"/>
    <cellStyle name="Output 6 11 5 2" xfId="20791" xr:uid="{00000000-0005-0000-0000-0000E3990000}"/>
    <cellStyle name="Output 6 11 6" xfId="11120" xr:uid="{00000000-0005-0000-0000-0000E4990000}"/>
    <cellStyle name="Output 6 11 6 2" xfId="21928" xr:uid="{00000000-0005-0000-0000-0000E5990000}"/>
    <cellStyle name="Output 6 11 7" xfId="10297" xr:uid="{00000000-0005-0000-0000-0000E6990000}"/>
    <cellStyle name="Output 6 11 7 2" xfId="20761" xr:uid="{00000000-0005-0000-0000-0000E7990000}"/>
    <cellStyle name="Output 6 11 8" xfId="17376" xr:uid="{00000000-0005-0000-0000-0000E8990000}"/>
    <cellStyle name="Output 6 11 8 2" xfId="23020" xr:uid="{00000000-0005-0000-0000-0000E9990000}"/>
    <cellStyle name="Output 6 11 9" xfId="13576" xr:uid="{00000000-0005-0000-0000-0000EA990000}"/>
    <cellStyle name="Output 6 11 9 2" xfId="18553" xr:uid="{00000000-0005-0000-0000-0000EB990000}"/>
    <cellStyle name="Output 6 12" xfId="4307" xr:uid="{00000000-0005-0000-0000-0000EC990000}"/>
    <cellStyle name="Output 6 12 10" xfId="18213" xr:uid="{00000000-0005-0000-0000-0000ED990000}"/>
    <cellStyle name="Output 6 12 2" xfId="6398" xr:uid="{00000000-0005-0000-0000-0000EE990000}"/>
    <cellStyle name="Output 6 12 2 2" xfId="20254" xr:uid="{00000000-0005-0000-0000-0000EF990000}"/>
    <cellStyle name="Output 6 12 2 3" xfId="14906" xr:uid="{00000000-0005-0000-0000-0000F0990000}"/>
    <cellStyle name="Output 6 12 2 3 2" xfId="24727" xr:uid="{00000000-0005-0000-0000-0000F1990000}"/>
    <cellStyle name="Output 6 12 2 4" xfId="24060" xr:uid="{00000000-0005-0000-0000-0000F2990000}"/>
    <cellStyle name="Output 6 12 3" xfId="11200" xr:uid="{00000000-0005-0000-0000-0000F3990000}"/>
    <cellStyle name="Output 6 12 3 2" xfId="19749" xr:uid="{00000000-0005-0000-0000-0000F4990000}"/>
    <cellStyle name="Output 6 12 4" xfId="11122" xr:uid="{00000000-0005-0000-0000-0000F5990000}"/>
    <cellStyle name="Output 6 12 4 2" xfId="21712" xr:uid="{00000000-0005-0000-0000-0000F6990000}"/>
    <cellStyle name="Output 6 12 5" xfId="16607" xr:uid="{00000000-0005-0000-0000-0000F7990000}"/>
    <cellStyle name="Output 6 12 5 2" xfId="22248" xr:uid="{00000000-0005-0000-0000-0000F8990000}"/>
    <cellStyle name="Output 6 12 6" xfId="16971" xr:uid="{00000000-0005-0000-0000-0000F9990000}"/>
    <cellStyle name="Output 6 12 6 2" xfId="22622" xr:uid="{00000000-0005-0000-0000-0000FA990000}"/>
    <cellStyle name="Output 6 12 7" xfId="17691" xr:uid="{00000000-0005-0000-0000-0000FB990000}"/>
    <cellStyle name="Output 6 12 7 2" xfId="23336" xr:uid="{00000000-0005-0000-0000-0000FC990000}"/>
    <cellStyle name="Output 6 12 8" xfId="13895" xr:uid="{00000000-0005-0000-0000-0000FD990000}"/>
    <cellStyle name="Output 6 12 8 2" xfId="18869" xr:uid="{00000000-0005-0000-0000-0000FE990000}"/>
    <cellStyle name="Output 6 12 9" xfId="13224" xr:uid="{00000000-0005-0000-0000-0000FF990000}"/>
    <cellStyle name="Output 6 13" xfId="6933" xr:uid="{00000000-0005-0000-0000-0000009A0000}"/>
    <cellStyle name="Output 6 13 2" xfId="19890" xr:uid="{00000000-0005-0000-0000-0000019A0000}"/>
    <cellStyle name="Output 6 13 3" xfId="14593" xr:uid="{00000000-0005-0000-0000-0000029A0000}"/>
    <cellStyle name="Output 6 13 3 2" xfId="24410" xr:uid="{00000000-0005-0000-0000-0000039A0000}"/>
    <cellStyle name="Output 6 13 4" xfId="23739" xr:uid="{00000000-0005-0000-0000-0000049A0000}"/>
    <cellStyle name="Output 6 13 5" xfId="25621" xr:uid="{00000000-0005-0000-0000-0000059A0000}"/>
    <cellStyle name="Output 6 13 6" xfId="29834" xr:uid="{00000000-0005-0000-0000-0000069A0000}"/>
    <cellStyle name="Output 6 13 7" xfId="34049" xr:uid="{00000000-0005-0000-0000-0000079A0000}"/>
    <cellStyle name="Output 6 13 8" xfId="38253" xr:uid="{00000000-0005-0000-0000-0000089A0000}"/>
    <cellStyle name="Output 6 14" xfId="6393" xr:uid="{00000000-0005-0000-0000-0000099A0000}"/>
    <cellStyle name="Output 6 14 2" xfId="19479" xr:uid="{00000000-0005-0000-0000-00000A9A0000}"/>
    <cellStyle name="Output 6 14 3" xfId="14341" xr:uid="{00000000-0005-0000-0000-00000B9A0000}"/>
    <cellStyle name="Output 6 15" xfId="11195" xr:uid="{00000000-0005-0000-0000-00000C9A0000}"/>
    <cellStyle name="Output 6 15 2" xfId="20793" xr:uid="{00000000-0005-0000-0000-00000D9A0000}"/>
    <cellStyle name="Output 6 16" xfId="11044" xr:uid="{00000000-0005-0000-0000-00000E9A0000}"/>
    <cellStyle name="Output 6 16 2" xfId="21926" xr:uid="{00000000-0005-0000-0000-00000F9A0000}"/>
    <cellStyle name="Output 6 17" xfId="10298" xr:uid="{00000000-0005-0000-0000-0000109A0000}"/>
    <cellStyle name="Output 6 17 2" xfId="21566" xr:uid="{00000000-0005-0000-0000-0000119A0000}"/>
    <cellStyle name="Output 6 18" xfId="17374" xr:uid="{00000000-0005-0000-0000-0000129A0000}"/>
    <cellStyle name="Output 6 18 2" xfId="23018" xr:uid="{00000000-0005-0000-0000-0000139A0000}"/>
    <cellStyle name="Output 6 19" xfId="13574" xr:uid="{00000000-0005-0000-0000-0000149A0000}"/>
    <cellStyle name="Output 6 19 2" xfId="18551" xr:uid="{00000000-0005-0000-0000-0000159A0000}"/>
    <cellStyle name="Output 6 2" xfId="2856" xr:uid="{00000000-0005-0000-0000-0000169A0000}"/>
    <cellStyle name="Output 6 2 10" xfId="12884" xr:uid="{00000000-0005-0000-0000-0000179A0000}"/>
    <cellStyle name="Output 6 2 11" xfId="17898" xr:uid="{00000000-0005-0000-0000-0000189A0000}"/>
    <cellStyle name="Output 6 2 2" xfId="4308" xr:uid="{00000000-0005-0000-0000-0000199A0000}"/>
    <cellStyle name="Output 6 2 2 10" xfId="18216" xr:uid="{00000000-0005-0000-0000-00001A9A0000}"/>
    <cellStyle name="Output 6 2 2 2" xfId="6400" xr:uid="{00000000-0005-0000-0000-00001B9A0000}"/>
    <cellStyle name="Output 6 2 2 2 2" xfId="20257" xr:uid="{00000000-0005-0000-0000-00001C9A0000}"/>
    <cellStyle name="Output 6 2 2 2 3" xfId="14909" xr:uid="{00000000-0005-0000-0000-00001D9A0000}"/>
    <cellStyle name="Output 6 2 2 2 3 2" xfId="24730" xr:uid="{00000000-0005-0000-0000-00001E9A0000}"/>
    <cellStyle name="Output 6 2 2 2 4" xfId="24063" xr:uid="{00000000-0005-0000-0000-00001F9A0000}"/>
    <cellStyle name="Output 6 2 2 3" xfId="11202" xr:uid="{00000000-0005-0000-0000-0000209A0000}"/>
    <cellStyle name="Output 6 2 2 3 2" xfId="19752" xr:uid="{00000000-0005-0000-0000-0000219A0000}"/>
    <cellStyle name="Output 6 2 2 4" xfId="11322" xr:uid="{00000000-0005-0000-0000-0000229A0000}"/>
    <cellStyle name="Output 6 2 2 4 2" xfId="21715" xr:uid="{00000000-0005-0000-0000-0000239A0000}"/>
    <cellStyle name="Output 6 2 2 5" xfId="16610" xr:uid="{00000000-0005-0000-0000-0000249A0000}"/>
    <cellStyle name="Output 6 2 2 5 2" xfId="22251" xr:uid="{00000000-0005-0000-0000-0000259A0000}"/>
    <cellStyle name="Output 6 2 2 6" xfId="16974" xr:uid="{00000000-0005-0000-0000-0000269A0000}"/>
    <cellStyle name="Output 6 2 2 6 2" xfId="22625" xr:uid="{00000000-0005-0000-0000-0000279A0000}"/>
    <cellStyle name="Output 6 2 2 7" xfId="17694" xr:uid="{00000000-0005-0000-0000-0000289A0000}"/>
    <cellStyle name="Output 6 2 2 7 2" xfId="23339" xr:uid="{00000000-0005-0000-0000-0000299A0000}"/>
    <cellStyle name="Output 6 2 2 8" xfId="13898" xr:uid="{00000000-0005-0000-0000-00002A9A0000}"/>
    <cellStyle name="Output 6 2 2 8 2" xfId="18872" xr:uid="{00000000-0005-0000-0000-00002B9A0000}"/>
    <cellStyle name="Output 6 2 2 9" xfId="13227" xr:uid="{00000000-0005-0000-0000-00002C9A0000}"/>
    <cellStyle name="Output 6 2 3" xfId="6936" xr:uid="{00000000-0005-0000-0000-00002D9A0000}"/>
    <cellStyle name="Output 6 2 3 2" xfId="19893" xr:uid="{00000000-0005-0000-0000-00002E9A0000}"/>
    <cellStyle name="Output 6 2 3 3" xfId="14596" xr:uid="{00000000-0005-0000-0000-00002F9A0000}"/>
    <cellStyle name="Output 6 2 3 3 2" xfId="24413" xr:uid="{00000000-0005-0000-0000-0000309A0000}"/>
    <cellStyle name="Output 6 2 3 4" xfId="23742" xr:uid="{00000000-0005-0000-0000-0000319A0000}"/>
    <cellStyle name="Output 6 2 3 5" xfId="25624" xr:uid="{00000000-0005-0000-0000-0000329A0000}"/>
    <cellStyle name="Output 6 2 3 6" xfId="29837" xr:uid="{00000000-0005-0000-0000-0000339A0000}"/>
    <cellStyle name="Output 6 2 3 7" xfId="34052" xr:uid="{00000000-0005-0000-0000-0000349A0000}"/>
    <cellStyle name="Output 6 2 3 8" xfId="38256" xr:uid="{00000000-0005-0000-0000-0000359A0000}"/>
    <cellStyle name="Output 6 2 4" xfId="6399" xr:uid="{00000000-0005-0000-0000-0000369A0000}"/>
    <cellStyle name="Output 6 2 4 2" xfId="19482" xr:uid="{00000000-0005-0000-0000-0000379A0000}"/>
    <cellStyle name="Output 6 2 4 3" xfId="14344" xr:uid="{00000000-0005-0000-0000-0000389A0000}"/>
    <cellStyle name="Output 6 2 5" xfId="11201" xr:uid="{00000000-0005-0000-0000-0000399A0000}"/>
    <cellStyle name="Output 6 2 5 2" xfId="20790" xr:uid="{00000000-0005-0000-0000-00003A9A0000}"/>
    <cellStyle name="Output 6 2 6" xfId="11123" xr:uid="{00000000-0005-0000-0000-00003B9A0000}"/>
    <cellStyle name="Output 6 2 6 2" xfId="21929" xr:uid="{00000000-0005-0000-0000-00003C9A0000}"/>
    <cellStyle name="Output 6 2 7" xfId="10296" xr:uid="{00000000-0005-0000-0000-00003D9A0000}"/>
    <cellStyle name="Output 6 2 7 2" xfId="20760" xr:uid="{00000000-0005-0000-0000-00003E9A0000}"/>
    <cellStyle name="Output 6 2 8" xfId="17377" xr:uid="{00000000-0005-0000-0000-00003F9A0000}"/>
    <cellStyle name="Output 6 2 8 2" xfId="23021" xr:uid="{00000000-0005-0000-0000-0000409A0000}"/>
    <cellStyle name="Output 6 2 9" xfId="13577" xr:uid="{00000000-0005-0000-0000-0000419A0000}"/>
    <cellStyle name="Output 6 2 9 2" xfId="18554" xr:uid="{00000000-0005-0000-0000-0000429A0000}"/>
    <cellStyle name="Output 6 20" xfId="12881" xr:uid="{00000000-0005-0000-0000-0000439A0000}"/>
    <cellStyle name="Output 6 21" xfId="17895" xr:uid="{00000000-0005-0000-0000-0000449A0000}"/>
    <cellStyle name="Output 6 3" xfId="2857" xr:uid="{00000000-0005-0000-0000-0000459A0000}"/>
    <cellStyle name="Output 6 3 10" xfId="12885" xr:uid="{00000000-0005-0000-0000-0000469A0000}"/>
    <cellStyle name="Output 6 3 11" xfId="17899" xr:uid="{00000000-0005-0000-0000-0000479A0000}"/>
    <cellStyle name="Output 6 3 2" xfId="4309" xr:uid="{00000000-0005-0000-0000-0000489A0000}"/>
    <cellStyle name="Output 6 3 2 10" xfId="18217" xr:uid="{00000000-0005-0000-0000-0000499A0000}"/>
    <cellStyle name="Output 6 3 2 2" xfId="6402" xr:uid="{00000000-0005-0000-0000-00004A9A0000}"/>
    <cellStyle name="Output 6 3 2 2 2" xfId="20258" xr:uid="{00000000-0005-0000-0000-00004B9A0000}"/>
    <cellStyle name="Output 6 3 2 2 3" xfId="14910" xr:uid="{00000000-0005-0000-0000-00004C9A0000}"/>
    <cellStyle name="Output 6 3 2 2 3 2" xfId="24731" xr:uid="{00000000-0005-0000-0000-00004D9A0000}"/>
    <cellStyle name="Output 6 3 2 2 4" xfId="24064" xr:uid="{00000000-0005-0000-0000-00004E9A0000}"/>
    <cellStyle name="Output 6 3 2 3" xfId="11204" xr:uid="{00000000-0005-0000-0000-00004F9A0000}"/>
    <cellStyle name="Output 6 3 2 3 2" xfId="19753" xr:uid="{00000000-0005-0000-0000-0000509A0000}"/>
    <cellStyle name="Output 6 3 2 4" xfId="11832" xr:uid="{00000000-0005-0000-0000-0000519A0000}"/>
    <cellStyle name="Output 6 3 2 4 2" xfId="21716" xr:uid="{00000000-0005-0000-0000-0000529A0000}"/>
    <cellStyle name="Output 6 3 2 5" xfId="16611" xr:uid="{00000000-0005-0000-0000-0000539A0000}"/>
    <cellStyle name="Output 6 3 2 5 2" xfId="22252" xr:uid="{00000000-0005-0000-0000-0000549A0000}"/>
    <cellStyle name="Output 6 3 2 6" xfId="16975" xr:uid="{00000000-0005-0000-0000-0000559A0000}"/>
    <cellStyle name="Output 6 3 2 6 2" xfId="22626" xr:uid="{00000000-0005-0000-0000-0000569A0000}"/>
    <cellStyle name="Output 6 3 2 7" xfId="17695" xr:uid="{00000000-0005-0000-0000-0000579A0000}"/>
    <cellStyle name="Output 6 3 2 7 2" xfId="23340" xr:uid="{00000000-0005-0000-0000-0000589A0000}"/>
    <cellStyle name="Output 6 3 2 8" xfId="13899" xr:uid="{00000000-0005-0000-0000-0000599A0000}"/>
    <cellStyle name="Output 6 3 2 8 2" xfId="18873" xr:uid="{00000000-0005-0000-0000-00005A9A0000}"/>
    <cellStyle name="Output 6 3 2 9" xfId="13228" xr:uid="{00000000-0005-0000-0000-00005B9A0000}"/>
    <cellStyle name="Output 6 3 3" xfId="6937" xr:uid="{00000000-0005-0000-0000-00005C9A0000}"/>
    <cellStyle name="Output 6 3 3 2" xfId="19894" xr:uid="{00000000-0005-0000-0000-00005D9A0000}"/>
    <cellStyle name="Output 6 3 3 3" xfId="14597" xr:uid="{00000000-0005-0000-0000-00005E9A0000}"/>
    <cellStyle name="Output 6 3 3 3 2" xfId="24414" xr:uid="{00000000-0005-0000-0000-00005F9A0000}"/>
    <cellStyle name="Output 6 3 3 4" xfId="23743" xr:uid="{00000000-0005-0000-0000-0000609A0000}"/>
    <cellStyle name="Output 6 3 3 5" xfId="25625" xr:uid="{00000000-0005-0000-0000-0000619A0000}"/>
    <cellStyle name="Output 6 3 3 6" xfId="29838" xr:uid="{00000000-0005-0000-0000-0000629A0000}"/>
    <cellStyle name="Output 6 3 3 7" xfId="34053" xr:uid="{00000000-0005-0000-0000-0000639A0000}"/>
    <cellStyle name="Output 6 3 3 8" xfId="38257" xr:uid="{00000000-0005-0000-0000-0000649A0000}"/>
    <cellStyle name="Output 6 3 4" xfId="6401" xr:uid="{00000000-0005-0000-0000-0000659A0000}"/>
    <cellStyle name="Output 6 3 4 2" xfId="19483" xr:uid="{00000000-0005-0000-0000-0000669A0000}"/>
    <cellStyle name="Output 6 3 4 3" xfId="14345" xr:uid="{00000000-0005-0000-0000-0000679A0000}"/>
    <cellStyle name="Output 6 3 5" xfId="11203" xr:uid="{00000000-0005-0000-0000-0000689A0000}"/>
    <cellStyle name="Output 6 3 5 2" xfId="20789" xr:uid="{00000000-0005-0000-0000-0000699A0000}"/>
    <cellStyle name="Output 6 3 6" xfId="11323" xr:uid="{00000000-0005-0000-0000-00006A9A0000}"/>
    <cellStyle name="Output 6 3 6 2" xfId="21930" xr:uid="{00000000-0005-0000-0000-00006B9A0000}"/>
    <cellStyle name="Output 6 3 7" xfId="10295" xr:uid="{00000000-0005-0000-0000-00006C9A0000}"/>
    <cellStyle name="Output 6 3 7 2" xfId="20759" xr:uid="{00000000-0005-0000-0000-00006D9A0000}"/>
    <cellStyle name="Output 6 3 8" xfId="17378" xr:uid="{00000000-0005-0000-0000-00006E9A0000}"/>
    <cellStyle name="Output 6 3 8 2" xfId="23022" xr:uid="{00000000-0005-0000-0000-00006F9A0000}"/>
    <cellStyle name="Output 6 3 9" xfId="13578" xr:uid="{00000000-0005-0000-0000-0000709A0000}"/>
    <cellStyle name="Output 6 3 9 2" xfId="18555" xr:uid="{00000000-0005-0000-0000-0000719A0000}"/>
    <cellStyle name="Output 6 4" xfId="2858" xr:uid="{00000000-0005-0000-0000-0000729A0000}"/>
    <cellStyle name="Output 6 4 10" xfId="12886" xr:uid="{00000000-0005-0000-0000-0000739A0000}"/>
    <cellStyle name="Output 6 4 11" xfId="17900" xr:uid="{00000000-0005-0000-0000-0000749A0000}"/>
    <cellStyle name="Output 6 4 2" xfId="4310" xr:uid="{00000000-0005-0000-0000-0000759A0000}"/>
    <cellStyle name="Output 6 4 2 10" xfId="18218" xr:uid="{00000000-0005-0000-0000-0000769A0000}"/>
    <cellStyle name="Output 6 4 2 2" xfId="6404" xr:uid="{00000000-0005-0000-0000-0000779A0000}"/>
    <cellStyle name="Output 6 4 2 2 2" xfId="20259" xr:uid="{00000000-0005-0000-0000-0000789A0000}"/>
    <cellStyle name="Output 6 4 2 2 3" xfId="14911" xr:uid="{00000000-0005-0000-0000-0000799A0000}"/>
    <cellStyle name="Output 6 4 2 2 3 2" xfId="24732" xr:uid="{00000000-0005-0000-0000-00007A9A0000}"/>
    <cellStyle name="Output 6 4 2 2 4" xfId="24065" xr:uid="{00000000-0005-0000-0000-00007B9A0000}"/>
    <cellStyle name="Output 6 4 2 3" xfId="11206" xr:uid="{00000000-0005-0000-0000-00007C9A0000}"/>
    <cellStyle name="Output 6 4 2 3 2" xfId="19754" xr:uid="{00000000-0005-0000-0000-00007D9A0000}"/>
    <cellStyle name="Output 6 4 2 4" xfId="11047" xr:uid="{00000000-0005-0000-0000-00007E9A0000}"/>
    <cellStyle name="Output 6 4 2 4 2" xfId="21717" xr:uid="{00000000-0005-0000-0000-00007F9A0000}"/>
    <cellStyle name="Output 6 4 2 5" xfId="16612" xr:uid="{00000000-0005-0000-0000-0000809A0000}"/>
    <cellStyle name="Output 6 4 2 5 2" xfId="22253" xr:uid="{00000000-0005-0000-0000-0000819A0000}"/>
    <cellStyle name="Output 6 4 2 6" xfId="16976" xr:uid="{00000000-0005-0000-0000-0000829A0000}"/>
    <cellStyle name="Output 6 4 2 6 2" xfId="22627" xr:uid="{00000000-0005-0000-0000-0000839A0000}"/>
    <cellStyle name="Output 6 4 2 7" xfId="17696" xr:uid="{00000000-0005-0000-0000-0000849A0000}"/>
    <cellStyle name="Output 6 4 2 7 2" xfId="23341" xr:uid="{00000000-0005-0000-0000-0000859A0000}"/>
    <cellStyle name="Output 6 4 2 8" xfId="13900" xr:uid="{00000000-0005-0000-0000-0000869A0000}"/>
    <cellStyle name="Output 6 4 2 8 2" xfId="18874" xr:uid="{00000000-0005-0000-0000-0000879A0000}"/>
    <cellStyle name="Output 6 4 2 9" xfId="13229" xr:uid="{00000000-0005-0000-0000-0000889A0000}"/>
    <cellStyle name="Output 6 4 3" xfId="6938" xr:uid="{00000000-0005-0000-0000-0000899A0000}"/>
    <cellStyle name="Output 6 4 3 2" xfId="19895" xr:uid="{00000000-0005-0000-0000-00008A9A0000}"/>
    <cellStyle name="Output 6 4 3 3" xfId="14598" xr:uid="{00000000-0005-0000-0000-00008B9A0000}"/>
    <cellStyle name="Output 6 4 3 3 2" xfId="24415" xr:uid="{00000000-0005-0000-0000-00008C9A0000}"/>
    <cellStyle name="Output 6 4 3 4" xfId="23744" xr:uid="{00000000-0005-0000-0000-00008D9A0000}"/>
    <cellStyle name="Output 6 4 3 5" xfId="25626" xr:uid="{00000000-0005-0000-0000-00008E9A0000}"/>
    <cellStyle name="Output 6 4 3 6" xfId="29839" xr:uid="{00000000-0005-0000-0000-00008F9A0000}"/>
    <cellStyle name="Output 6 4 3 7" xfId="34054" xr:uid="{00000000-0005-0000-0000-0000909A0000}"/>
    <cellStyle name="Output 6 4 3 8" xfId="38258" xr:uid="{00000000-0005-0000-0000-0000919A0000}"/>
    <cellStyle name="Output 6 4 4" xfId="6403" xr:uid="{00000000-0005-0000-0000-0000929A0000}"/>
    <cellStyle name="Output 6 4 4 2" xfId="19484" xr:uid="{00000000-0005-0000-0000-0000939A0000}"/>
    <cellStyle name="Output 6 4 4 3" xfId="14346" xr:uid="{00000000-0005-0000-0000-0000949A0000}"/>
    <cellStyle name="Output 6 4 5" xfId="11205" xr:uid="{00000000-0005-0000-0000-0000959A0000}"/>
    <cellStyle name="Output 6 4 5 2" xfId="20788" xr:uid="{00000000-0005-0000-0000-0000969A0000}"/>
    <cellStyle name="Output 6 4 6" xfId="10994" xr:uid="{00000000-0005-0000-0000-0000979A0000}"/>
    <cellStyle name="Output 6 4 6 2" xfId="21931" xr:uid="{00000000-0005-0000-0000-0000989A0000}"/>
    <cellStyle name="Output 6 4 7" xfId="10294" xr:uid="{00000000-0005-0000-0000-0000999A0000}"/>
    <cellStyle name="Output 6 4 7 2" xfId="20758" xr:uid="{00000000-0005-0000-0000-00009A9A0000}"/>
    <cellStyle name="Output 6 4 8" xfId="17379" xr:uid="{00000000-0005-0000-0000-00009B9A0000}"/>
    <cellStyle name="Output 6 4 8 2" xfId="23023" xr:uid="{00000000-0005-0000-0000-00009C9A0000}"/>
    <cellStyle name="Output 6 4 9" xfId="13579" xr:uid="{00000000-0005-0000-0000-00009D9A0000}"/>
    <cellStyle name="Output 6 4 9 2" xfId="18556" xr:uid="{00000000-0005-0000-0000-00009E9A0000}"/>
    <cellStyle name="Output 6 5" xfId="2859" xr:uid="{00000000-0005-0000-0000-00009F9A0000}"/>
    <cellStyle name="Output 6 5 10" xfId="12887" xr:uid="{00000000-0005-0000-0000-0000A09A0000}"/>
    <cellStyle name="Output 6 5 11" xfId="17901" xr:uid="{00000000-0005-0000-0000-0000A19A0000}"/>
    <cellStyle name="Output 6 5 2" xfId="4311" xr:uid="{00000000-0005-0000-0000-0000A29A0000}"/>
    <cellStyle name="Output 6 5 2 10" xfId="18219" xr:uid="{00000000-0005-0000-0000-0000A39A0000}"/>
    <cellStyle name="Output 6 5 2 2" xfId="6406" xr:uid="{00000000-0005-0000-0000-0000A49A0000}"/>
    <cellStyle name="Output 6 5 2 2 2" xfId="20260" xr:uid="{00000000-0005-0000-0000-0000A59A0000}"/>
    <cellStyle name="Output 6 5 2 2 3" xfId="14912" xr:uid="{00000000-0005-0000-0000-0000A69A0000}"/>
    <cellStyle name="Output 6 5 2 2 3 2" xfId="24733" xr:uid="{00000000-0005-0000-0000-0000A79A0000}"/>
    <cellStyle name="Output 6 5 2 2 4" xfId="24066" xr:uid="{00000000-0005-0000-0000-0000A89A0000}"/>
    <cellStyle name="Output 6 5 2 3" xfId="11208" xr:uid="{00000000-0005-0000-0000-0000A99A0000}"/>
    <cellStyle name="Output 6 5 2 3 2" xfId="19755" xr:uid="{00000000-0005-0000-0000-0000AA9A0000}"/>
    <cellStyle name="Output 6 5 2 4" xfId="11049" xr:uid="{00000000-0005-0000-0000-0000AB9A0000}"/>
    <cellStyle name="Output 6 5 2 4 2" xfId="21718" xr:uid="{00000000-0005-0000-0000-0000AC9A0000}"/>
    <cellStyle name="Output 6 5 2 5" xfId="16613" xr:uid="{00000000-0005-0000-0000-0000AD9A0000}"/>
    <cellStyle name="Output 6 5 2 5 2" xfId="22254" xr:uid="{00000000-0005-0000-0000-0000AE9A0000}"/>
    <cellStyle name="Output 6 5 2 6" xfId="16977" xr:uid="{00000000-0005-0000-0000-0000AF9A0000}"/>
    <cellStyle name="Output 6 5 2 6 2" xfId="22628" xr:uid="{00000000-0005-0000-0000-0000B09A0000}"/>
    <cellStyle name="Output 6 5 2 7" xfId="17697" xr:uid="{00000000-0005-0000-0000-0000B19A0000}"/>
    <cellStyle name="Output 6 5 2 7 2" xfId="23342" xr:uid="{00000000-0005-0000-0000-0000B29A0000}"/>
    <cellStyle name="Output 6 5 2 8" xfId="13901" xr:uid="{00000000-0005-0000-0000-0000B39A0000}"/>
    <cellStyle name="Output 6 5 2 8 2" xfId="18875" xr:uid="{00000000-0005-0000-0000-0000B49A0000}"/>
    <cellStyle name="Output 6 5 2 9" xfId="13230" xr:uid="{00000000-0005-0000-0000-0000B59A0000}"/>
    <cellStyle name="Output 6 5 3" xfId="6939" xr:uid="{00000000-0005-0000-0000-0000B69A0000}"/>
    <cellStyle name="Output 6 5 3 2" xfId="19896" xr:uid="{00000000-0005-0000-0000-0000B79A0000}"/>
    <cellStyle name="Output 6 5 3 3" xfId="14599" xr:uid="{00000000-0005-0000-0000-0000B89A0000}"/>
    <cellStyle name="Output 6 5 3 3 2" xfId="24416" xr:uid="{00000000-0005-0000-0000-0000B99A0000}"/>
    <cellStyle name="Output 6 5 3 4" xfId="23745" xr:uid="{00000000-0005-0000-0000-0000BA9A0000}"/>
    <cellStyle name="Output 6 5 3 5" xfId="25627" xr:uid="{00000000-0005-0000-0000-0000BB9A0000}"/>
    <cellStyle name="Output 6 5 3 6" xfId="29840" xr:uid="{00000000-0005-0000-0000-0000BC9A0000}"/>
    <cellStyle name="Output 6 5 3 7" xfId="34055" xr:uid="{00000000-0005-0000-0000-0000BD9A0000}"/>
    <cellStyle name="Output 6 5 3 8" xfId="38259" xr:uid="{00000000-0005-0000-0000-0000BE9A0000}"/>
    <cellStyle name="Output 6 5 4" xfId="6405" xr:uid="{00000000-0005-0000-0000-0000BF9A0000}"/>
    <cellStyle name="Output 6 5 4 2" xfId="19485" xr:uid="{00000000-0005-0000-0000-0000C09A0000}"/>
    <cellStyle name="Output 6 5 4 3" xfId="14347" xr:uid="{00000000-0005-0000-0000-0000C19A0000}"/>
    <cellStyle name="Output 6 5 5" xfId="11207" xr:uid="{00000000-0005-0000-0000-0000C29A0000}"/>
    <cellStyle name="Output 6 5 5 2" xfId="20787" xr:uid="{00000000-0005-0000-0000-0000C39A0000}"/>
    <cellStyle name="Output 6 5 6" xfId="11048" xr:uid="{00000000-0005-0000-0000-0000C49A0000}"/>
    <cellStyle name="Output 6 5 6 2" xfId="21932" xr:uid="{00000000-0005-0000-0000-0000C59A0000}"/>
    <cellStyle name="Output 6 5 7" xfId="10293" xr:uid="{00000000-0005-0000-0000-0000C69A0000}"/>
    <cellStyle name="Output 6 5 7 2" xfId="20757" xr:uid="{00000000-0005-0000-0000-0000C79A0000}"/>
    <cellStyle name="Output 6 5 8" xfId="17380" xr:uid="{00000000-0005-0000-0000-0000C89A0000}"/>
    <cellStyle name="Output 6 5 8 2" xfId="23024" xr:uid="{00000000-0005-0000-0000-0000C99A0000}"/>
    <cellStyle name="Output 6 5 9" xfId="13580" xr:uid="{00000000-0005-0000-0000-0000CA9A0000}"/>
    <cellStyle name="Output 6 5 9 2" xfId="18557" xr:uid="{00000000-0005-0000-0000-0000CB9A0000}"/>
    <cellStyle name="Output 6 6" xfId="2860" xr:uid="{00000000-0005-0000-0000-0000CC9A0000}"/>
    <cellStyle name="Output 6 6 10" xfId="12888" xr:uid="{00000000-0005-0000-0000-0000CD9A0000}"/>
    <cellStyle name="Output 6 6 11" xfId="17902" xr:uid="{00000000-0005-0000-0000-0000CE9A0000}"/>
    <cellStyle name="Output 6 6 2" xfId="4312" xr:uid="{00000000-0005-0000-0000-0000CF9A0000}"/>
    <cellStyle name="Output 6 6 2 10" xfId="18220" xr:uid="{00000000-0005-0000-0000-0000D09A0000}"/>
    <cellStyle name="Output 6 6 2 2" xfId="6408" xr:uid="{00000000-0005-0000-0000-0000D19A0000}"/>
    <cellStyle name="Output 6 6 2 2 2" xfId="20261" xr:uid="{00000000-0005-0000-0000-0000D29A0000}"/>
    <cellStyle name="Output 6 6 2 2 3" xfId="14913" xr:uid="{00000000-0005-0000-0000-0000D39A0000}"/>
    <cellStyle name="Output 6 6 2 2 3 2" xfId="24734" xr:uid="{00000000-0005-0000-0000-0000D49A0000}"/>
    <cellStyle name="Output 6 6 2 2 4" xfId="24067" xr:uid="{00000000-0005-0000-0000-0000D59A0000}"/>
    <cellStyle name="Output 6 6 2 3" xfId="11210" xr:uid="{00000000-0005-0000-0000-0000D69A0000}"/>
    <cellStyle name="Output 6 6 2 3 2" xfId="19756" xr:uid="{00000000-0005-0000-0000-0000D79A0000}"/>
    <cellStyle name="Output 6 6 2 4" xfId="12141" xr:uid="{00000000-0005-0000-0000-0000D89A0000}"/>
    <cellStyle name="Output 6 6 2 4 2" xfId="21719" xr:uid="{00000000-0005-0000-0000-0000D99A0000}"/>
    <cellStyle name="Output 6 6 2 5" xfId="16614" xr:uid="{00000000-0005-0000-0000-0000DA9A0000}"/>
    <cellStyle name="Output 6 6 2 5 2" xfId="22255" xr:uid="{00000000-0005-0000-0000-0000DB9A0000}"/>
    <cellStyle name="Output 6 6 2 6" xfId="16978" xr:uid="{00000000-0005-0000-0000-0000DC9A0000}"/>
    <cellStyle name="Output 6 6 2 6 2" xfId="22629" xr:uid="{00000000-0005-0000-0000-0000DD9A0000}"/>
    <cellStyle name="Output 6 6 2 7" xfId="17698" xr:uid="{00000000-0005-0000-0000-0000DE9A0000}"/>
    <cellStyle name="Output 6 6 2 7 2" xfId="23343" xr:uid="{00000000-0005-0000-0000-0000DF9A0000}"/>
    <cellStyle name="Output 6 6 2 8" xfId="13902" xr:uid="{00000000-0005-0000-0000-0000E09A0000}"/>
    <cellStyle name="Output 6 6 2 8 2" xfId="18876" xr:uid="{00000000-0005-0000-0000-0000E19A0000}"/>
    <cellStyle name="Output 6 6 2 9" xfId="13231" xr:uid="{00000000-0005-0000-0000-0000E29A0000}"/>
    <cellStyle name="Output 6 6 3" xfId="6940" xr:uid="{00000000-0005-0000-0000-0000E39A0000}"/>
    <cellStyle name="Output 6 6 3 2" xfId="19897" xr:uid="{00000000-0005-0000-0000-0000E49A0000}"/>
    <cellStyle name="Output 6 6 3 3" xfId="14600" xr:uid="{00000000-0005-0000-0000-0000E59A0000}"/>
    <cellStyle name="Output 6 6 3 3 2" xfId="24417" xr:uid="{00000000-0005-0000-0000-0000E69A0000}"/>
    <cellStyle name="Output 6 6 3 4" xfId="23746" xr:uid="{00000000-0005-0000-0000-0000E79A0000}"/>
    <cellStyle name="Output 6 6 3 5" xfId="25628" xr:uid="{00000000-0005-0000-0000-0000E89A0000}"/>
    <cellStyle name="Output 6 6 3 6" xfId="29841" xr:uid="{00000000-0005-0000-0000-0000E99A0000}"/>
    <cellStyle name="Output 6 6 3 7" xfId="34056" xr:uid="{00000000-0005-0000-0000-0000EA9A0000}"/>
    <cellStyle name="Output 6 6 3 8" xfId="38260" xr:uid="{00000000-0005-0000-0000-0000EB9A0000}"/>
    <cellStyle name="Output 6 6 4" xfId="6407" xr:uid="{00000000-0005-0000-0000-0000EC9A0000}"/>
    <cellStyle name="Output 6 6 4 2" xfId="19486" xr:uid="{00000000-0005-0000-0000-0000ED9A0000}"/>
    <cellStyle name="Output 6 6 4 3" xfId="14348" xr:uid="{00000000-0005-0000-0000-0000EE9A0000}"/>
    <cellStyle name="Output 6 6 5" xfId="11209" xr:uid="{00000000-0005-0000-0000-0000EF9A0000}"/>
    <cellStyle name="Output 6 6 5 2" xfId="20786" xr:uid="{00000000-0005-0000-0000-0000F09A0000}"/>
    <cellStyle name="Output 6 6 6" xfId="12128" xr:uid="{00000000-0005-0000-0000-0000F19A0000}"/>
    <cellStyle name="Output 6 6 6 2" xfId="21933" xr:uid="{00000000-0005-0000-0000-0000F29A0000}"/>
    <cellStyle name="Output 6 6 7" xfId="10292" xr:uid="{00000000-0005-0000-0000-0000F39A0000}"/>
    <cellStyle name="Output 6 6 7 2" xfId="20756" xr:uid="{00000000-0005-0000-0000-0000F49A0000}"/>
    <cellStyle name="Output 6 6 8" xfId="17381" xr:uid="{00000000-0005-0000-0000-0000F59A0000}"/>
    <cellStyle name="Output 6 6 8 2" xfId="23025" xr:uid="{00000000-0005-0000-0000-0000F69A0000}"/>
    <cellStyle name="Output 6 6 9" xfId="13581" xr:uid="{00000000-0005-0000-0000-0000F79A0000}"/>
    <cellStyle name="Output 6 6 9 2" xfId="18558" xr:uid="{00000000-0005-0000-0000-0000F89A0000}"/>
    <cellStyle name="Output 6 7" xfId="2861" xr:uid="{00000000-0005-0000-0000-0000F99A0000}"/>
    <cellStyle name="Output 6 7 10" xfId="12889" xr:uid="{00000000-0005-0000-0000-0000FA9A0000}"/>
    <cellStyle name="Output 6 7 11" xfId="17903" xr:uid="{00000000-0005-0000-0000-0000FB9A0000}"/>
    <cellStyle name="Output 6 7 2" xfId="4313" xr:uid="{00000000-0005-0000-0000-0000FC9A0000}"/>
    <cellStyle name="Output 6 7 2 10" xfId="18221" xr:uid="{00000000-0005-0000-0000-0000FD9A0000}"/>
    <cellStyle name="Output 6 7 2 2" xfId="6410" xr:uid="{00000000-0005-0000-0000-0000FE9A0000}"/>
    <cellStyle name="Output 6 7 2 2 2" xfId="20262" xr:uid="{00000000-0005-0000-0000-0000FF9A0000}"/>
    <cellStyle name="Output 6 7 2 2 3" xfId="14914" xr:uid="{00000000-0005-0000-0000-0000009B0000}"/>
    <cellStyle name="Output 6 7 2 2 3 2" xfId="24735" xr:uid="{00000000-0005-0000-0000-0000019B0000}"/>
    <cellStyle name="Output 6 7 2 2 4" xfId="24068" xr:uid="{00000000-0005-0000-0000-0000029B0000}"/>
    <cellStyle name="Output 6 7 2 3" xfId="11212" xr:uid="{00000000-0005-0000-0000-0000039B0000}"/>
    <cellStyle name="Output 6 7 2 3 2" xfId="19757" xr:uid="{00000000-0005-0000-0000-0000049B0000}"/>
    <cellStyle name="Output 6 7 2 4" xfId="11124" xr:uid="{00000000-0005-0000-0000-0000059B0000}"/>
    <cellStyle name="Output 6 7 2 4 2" xfId="21720" xr:uid="{00000000-0005-0000-0000-0000069B0000}"/>
    <cellStyle name="Output 6 7 2 5" xfId="16615" xr:uid="{00000000-0005-0000-0000-0000079B0000}"/>
    <cellStyle name="Output 6 7 2 5 2" xfId="22256" xr:uid="{00000000-0005-0000-0000-0000089B0000}"/>
    <cellStyle name="Output 6 7 2 6" xfId="16979" xr:uid="{00000000-0005-0000-0000-0000099B0000}"/>
    <cellStyle name="Output 6 7 2 6 2" xfId="22630" xr:uid="{00000000-0005-0000-0000-00000A9B0000}"/>
    <cellStyle name="Output 6 7 2 7" xfId="17699" xr:uid="{00000000-0005-0000-0000-00000B9B0000}"/>
    <cellStyle name="Output 6 7 2 7 2" xfId="23344" xr:uid="{00000000-0005-0000-0000-00000C9B0000}"/>
    <cellStyle name="Output 6 7 2 8" xfId="13903" xr:uid="{00000000-0005-0000-0000-00000D9B0000}"/>
    <cellStyle name="Output 6 7 2 8 2" xfId="18877" xr:uid="{00000000-0005-0000-0000-00000E9B0000}"/>
    <cellStyle name="Output 6 7 2 9" xfId="13232" xr:uid="{00000000-0005-0000-0000-00000F9B0000}"/>
    <cellStyle name="Output 6 7 3" xfId="6941" xr:uid="{00000000-0005-0000-0000-0000109B0000}"/>
    <cellStyle name="Output 6 7 3 2" xfId="19898" xr:uid="{00000000-0005-0000-0000-0000119B0000}"/>
    <cellStyle name="Output 6 7 3 3" xfId="14601" xr:uid="{00000000-0005-0000-0000-0000129B0000}"/>
    <cellStyle name="Output 6 7 3 3 2" xfId="24418" xr:uid="{00000000-0005-0000-0000-0000139B0000}"/>
    <cellStyle name="Output 6 7 3 4" xfId="23747" xr:uid="{00000000-0005-0000-0000-0000149B0000}"/>
    <cellStyle name="Output 6 7 3 5" xfId="25629" xr:uid="{00000000-0005-0000-0000-0000159B0000}"/>
    <cellStyle name="Output 6 7 3 6" xfId="29842" xr:uid="{00000000-0005-0000-0000-0000169B0000}"/>
    <cellStyle name="Output 6 7 3 7" xfId="34057" xr:uid="{00000000-0005-0000-0000-0000179B0000}"/>
    <cellStyle name="Output 6 7 3 8" xfId="38261" xr:uid="{00000000-0005-0000-0000-0000189B0000}"/>
    <cellStyle name="Output 6 7 4" xfId="6409" xr:uid="{00000000-0005-0000-0000-0000199B0000}"/>
    <cellStyle name="Output 6 7 4 2" xfId="19487" xr:uid="{00000000-0005-0000-0000-00001A9B0000}"/>
    <cellStyle name="Output 6 7 4 3" xfId="14349" xr:uid="{00000000-0005-0000-0000-00001B9B0000}"/>
    <cellStyle name="Output 6 7 5" xfId="11211" xr:uid="{00000000-0005-0000-0000-00001C9B0000}"/>
    <cellStyle name="Output 6 7 5 2" xfId="20785" xr:uid="{00000000-0005-0000-0000-00001D9B0000}"/>
    <cellStyle name="Output 6 7 6" xfId="12152" xr:uid="{00000000-0005-0000-0000-00001E9B0000}"/>
    <cellStyle name="Output 6 7 6 2" xfId="21934" xr:uid="{00000000-0005-0000-0000-00001F9B0000}"/>
    <cellStyle name="Output 6 7 7" xfId="10291" xr:uid="{00000000-0005-0000-0000-0000209B0000}"/>
    <cellStyle name="Output 6 7 7 2" xfId="20755" xr:uid="{00000000-0005-0000-0000-0000219B0000}"/>
    <cellStyle name="Output 6 7 8" xfId="17382" xr:uid="{00000000-0005-0000-0000-0000229B0000}"/>
    <cellStyle name="Output 6 7 8 2" xfId="23026" xr:uid="{00000000-0005-0000-0000-0000239B0000}"/>
    <cellStyle name="Output 6 7 9" xfId="13582" xr:uid="{00000000-0005-0000-0000-0000249B0000}"/>
    <cellStyle name="Output 6 7 9 2" xfId="18559" xr:uid="{00000000-0005-0000-0000-0000259B0000}"/>
    <cellStyle name="Output 6 8" xfId="2862" xr:uid="{00000000-0005-0000-0000-0000269B0000}"/>
    <cellStyle name="Output 6 8 10" xfId="12890" xr:uid="{00000000-0005-0000-0000-0000279B0000}"/>
    <cellStyle name="Output 6 8 11" xfId="17904" xr:uid="{00000000-0005-0000-0000-0000289B0000}"/>
    <cellStyle name="Output 6 8 2" xfId="4314" xr:uid="{00000000-0005-0000-0000-0000299B0000}"/>
    <cellStyle name="Output 6 8 2 10" xfId="18222" xr:uid="{00000000-0005-0000-0000-00002A9B0000}"/>
    <cellStyle name="Output 6 8 2 2" xfId="6412" xr:uid="{00000000-0005-0000-0000-00002B9B0000}"/>
    <cellStyle name="Output 6 8 2 2 2" xfId="20263" xr:uid="{00000000-0005-0000-0000-00002C9B0000}"/>
    <cellStyle name="Output 6 8 2 2 3" xfId="14915" xr:uid="{00000000-0005-0000-0000-00002D9B0000}"/>
    <cellStyle name="Output 6 8 2 2 3 2" xfId="24736" xr:uid="{00000000-0005-0000-0000-00002E9B0000}"/>
    <cellStyle name="Output 6 8 2 2 4" xfId="24069" xr:uid="{00000000-0005-0000-0000-00002F9B0000}"/>
    <cellStyle name="Output 6 8 2 3" xfId="11214" xr:uid="{00000000-0005-0000-0000-0000309B0000}"/>
    <cellStyle name="Output 6 8 2 3 2" xfId="19758" xr:uid="{00000000-0005-0000-0000-0000319B0000}"/>
    <cellStyle name="Output 6 8 2 4" xfId="11859" xr:uid="{00000000-0005-0000-0000-0000329B0000}"/>
    <cellStyle name="Output 6 8 2 4 2" xfId="21721" xr:uid="{00000000-0005-0000-0000-0000339B0000}"/>
    <cellStyle name="Output 6 8 2 5" xfId="16616" xr:uid="{00000000-0005-0000-0000-0000349B0000}"/>
    <cellStyle name="Output 6 8 2 5 2" xfId="22257" xr:uid="{00000000-0005-0000-0000-0000359B0000}"/>
    <cellStyle name="Output 6 8 2 6" xfId="16980" xr:uid="{00000000-0005-0000-0000-0000369B0000}"/>
    <cellStyle name="Output 6 8 2 6 2" xfId="22631" xr:uid="{00000000-0005-0000-0000-0000379B0000}"/>
    <cellStyle name="Output 6 8 2 7" xfId="17700" xr:uid="{00000000-0005-0000-0000-0000389B0000}"/>
    <cellStyle name="Output 6 8 2 7 2" xfId="23345" xr:uid="{00000000-0005-0000-0000-0000399B0000}"/>
    <cellStyle name="Output 6 8 2 8" xfId="13904" xr:uid="{00000000-0005-0000-0000-00003A9B0000}"/>
    <cellStyle name="Output 6 8 2 8 2" xfId="18878" xr:uid="{00000000-0005-0000-0000-00003B9B0000}"/>
    <cellStyle name="Output 6 8 2 9" xfId="13233" xr:uid="{00000000-0005-0000-0000-00003C9B0000}"/>
    <cellStyle name="Output 6 8 3" xfId="6942" xr:uid="{00000000-0005-0000-0000-00003D9B0000}"/>
    <cellStyle name="Output 6 8 3 2" xfId="19899" xr:uid="{00000000-0005-0000-0000-00003E9B0000}"/>
    <cellStyle name="Output 6 8 3 3" xfId="14602" xr:uid="{00000000-0005-0000-0000-00003F9B0000}"/>
    <cellStyle name="Output 6 8 3 3 2" xfId="24419" xr:uid="{00000000-0005-0000-0000-0000409B0000}"/>
    <cellStyle name="Output 6 8 3 4" xfId="23748" xr:uid="{00000000-0005-0000-0000-0000419B0000}"/>
    <cellStyle name="Output 6 8 3 5" xfId="25630" xr:uid="{00000000-0005-0000-0000-0000429B0000}"/>
    <cellStyle name="Output 6 8 3 6" xfId="29843" xr:uid="{00000000-0005-0000-0000-0000439B0000}"/>
    <cellStyle name="Output 6 8 3 7" xfId="34058" xr:uid="{00000000-0005-0000-0000-0000449B0000}"/>
    <cellStyle name="Output 6 8 3 8" xfId="38262" xr:uid="{00000000-0005-0000-0000-0000459B0000}"/>
    <cellStyle name="Output 6 8 4" xfId="6411" xr:uid="{00000000-0005-0000-0000-0000469B0000}"/>
    <cellStyle name="Output 6 8 4 2" xfId="19488" xr:uid="{00000000-0005-0000-0000-0000479B0000}"/>
    <cellStyle name="Output 6 8 4 3" xfId="14350" xr:uid="{00000000-0005-0000-0000-0000489B0000}"/>
    <cellStyle name="Output 6 8 5" xfId="11213" xr:uid="{00000000-0005-0000-0000-0000499B0000}"/>
    <cellStyle name="Output 6 8 5 2" xfId="20784" xr:uid="{00000000-0005-0000-0000-00004A9B0000}"/>
    <cellStyle name="Output 6 8 6" xfId="11849" xr:uid="{00000000-0005-0000-0000-00004B9B0000}"/>
    <cellStyle name="Output 6 8 6 2" xfId="21935" xr:uid="{00000000-0005-0000-0000-00004C9B0000}"/>
    <cellStyle name="Output 6 8 7" xfId="10290" xr:uid="{00000000-0005-0000-0000-00004D9B0000}"/>
    <cellStyle name="Output 6 8 7 2" xfId="20754" xr:uid="{00000000-0005-0000-0000-00004E9B0000}"/>
    <cellStyle name="Output 6 8 8" xfId="17383" xr:uid="{00000000-0005-0000-0000-00004F9B0000}"/>
    <cellStyle name="Output 6 8 8 2" xfId="23027" xr:uid="{00000000-0005-0000-0000-0000509B0000}"/>
    <cellStyle name="Output 6 8 9" xfId="13583" xr:uid="{00000000-0005-0000-0000-0000519B0000}"/>
    <cellStyle name="Output 6 8 9 2" xfId="18560" xr:uid="{00000000-0005-0000-0000-0000529B0000}"/>
    <cellStyle name="Output 6 9" xfId="2863" xr:uid="{00000000-0005-0000-0000-0000539B0000}"/>
    <cellStyle name="Output 6 9 10" xfId="12891" xr:uid="{00000000-0005-0000-0000-0000549B0000}"/>
    <cellStyle name="Output 6 9 11" xfId="17905" xr:uid="{00000000-0005-0000-0000-0000559B0000}"/>
    <cellStyle name="Output 6 9 2" xfId="4315" xr:uid="{00000000-0005-0000-0000-0000569B0000}"/>
    <cellStyle name="Output 6 9 2 10" xfId="18223" xr:uid="{00000000-0005-0000-0000-0000579B0000}"/>
    <cellStyle name="Output 6 9 2 2" xfId="6414" xr:uid="{00000000-0005-0000-0000-0000589B0000}"/>
    <cellStyle name="Output 6 9 2 2 2" xfId="20264" xr:uid="{00000000-0005-0000-0000-0000599B0000}"/>
    <cellStyle name="Output 6 9 2 2 3" xfId="14916" xr:uid="{00000000-0005-0000-0000-00005A9B0000}"/>
    <cellStyle name="Output 6 9 2 2 3 2" xfId="24737" xr:uid="{00000000-0005-0000-0000-00005B9B0000}"/>
    <cellStyle name="Output 6 9 2 2 4" xfId="24070" xr:uid="{00000000-0005-0000-0000-00005C9B0000}"/>
    <cellStyle name="Output 6 9 2 3" xfId="11216" xr:uid="{00000000-0005-0000-0000-00005D9B0000}"/>
    <cellStyle name="Output 6 9 2 3 2" xfId="19759" xr:uid="{00000000-0005-0000-0000-00005E9B0000}"/>
    <cellStyle name="Output 6 9 2 4" xfId="12211" xr:uid="{00000000-0005-0000-0000-00005F9B0000}"/>
    <cellStyle name="Output 6 9 2 4 2" xfId="21722" xr:uid="{00000000-0005-0000-0000-0000609B0000}"/>
    <cellStyle name="Output 6 9 2 5" xfId="16617" xr:uid="{00000000-0005-0000-0000-0000619B0000}"/>
    <cellStyle name="Output 6 9 2 5 2" xfId="22258" xr:uid="{00000000-0005-0000-0000-0000629B0000}"/>
    <cellStyle name="Output 6 9 2 6" xfId="16981" xr:uid="{00000000-0005-0000-0000-0000639B0000}"/>
    <cellStyle name="Output 6 9 2 6 2" xfId="22632" xr:uid="{00000000-0005-0000-0000-0000649B0000}"/>
    <cellStyle name="Output 6 9 2 7" xfId="17701" xr:uid="{00000000-0005-0000-0000-0000659B0000}"/>
    <cellStyle name="Output 6 9 2 7 2" xfId="23346" xr:uid="{00000000-0005-0000-0000-0000669B0000}"/>
    <cellStyle name="Output 6 9 2 8" xfId="13905" xr:uid="{00000000-0005-0000-0000-0000679B0000}"/>
    <cellStyle name="Output 6 9 2 8 2" xfId="18879" xr:uid="{00000000-0005-0000-0000-0000689B0000}"/>
    <cellStyle name="Output 6 9 2 9" xfId="13234" xr:uid="{00000000-0005-0000-0000-0000699B0000}"/>
    <cellStyle name="Output 6 9 3" xfId="6943" xr:uid="{00000000-0005-0000-0000-00006A9B0000}"/>
    <cellStyle name="Output 6 9 3 2" xfId="19900" xr:uid="{00000000-0005-0000-0000-00006B9B0000}"/>
    <cellStyle name="Output 6 9 3 3" xfId="14603" xr:uid="{00000000-0005-0000-0000-00006C9B0000}"/>
    <cellStyle name="Output 6 9 3 3 2" xfId="24420" xr:uid="{00000000-0005-0000-0000-00006D9B0000}"/>
    <cellStyle name="Output 6 9 3 4" xfId="23749" xr:uid="{00000000-0005-0000-0000-00006E9B0000}"/>
    <cellStyle name="Output 6 9 3 5" xfId="25631" xr:uid="{00000000-0005-0000-0000-00006F9B0000}"/>
    <cellStyle name="Output 6 9 3 6" xfId="29844" xr:uid="{00000000-0005-0000-0000-0000709B0000}"/>
    <cellStyle name="Output 6 9 3 7" xfId="34059" xr:uid="{00000000-0005-0000-0000-0000719B0000}"/>
    <cellStyle name="Output 6 9 3 8" xfId="38263" xr:uid="{00000000-0005-0000-0000-0000729B0000}"/>
    <cellStyle name="Output 6 9 4" xfId="6413" xr:uid="{00000000-0005-0000-0000-0000739B0000}"/>
    <cellStyle name="Output 6 9 4 2" xfId="19489" xr:uid="{00000000-0005-0000-0000-0000749B0000}"/>
    <cellStyle name="Output 6 9 4 3" xfId="14351" xr:uid="{00000000-0005-0000-0000-0000759B0000}"/>
    <cellStyle name="Output 6 9 5" xfId="11215" xr:uid="{00000000-0005-0000-0000-0000769B0000}"/>
    <cellStyle name="Output 6 9 5 2" xfId="20783" xr:uid="{00000000-0005-0000-0000-0000779B0000}"/>
    <cellStyle name="Output 6 9 6" xfId="12219" xr:uid="{00000000-0005-0000-0000-0000789B0000}"/>
    <cellStyle name="Output 6 9 6 2" xfId="21936" xr:uid="{00000000-0005-0000-0000-0000799B0000}"/>
    <cellStyle name="Output 6 9 7" xfId="10289" xr:uid="{00000000-0005-0000-0000-00007A9B0000}"/>
    <cellStyle name="Output 6 9 7 2" xfId="20753" xr:uid="{00000000-0005-0000-0000-00007B9B0000}"/>
    <cellStyle name="Output 6 9 8" xfId="17384" xr:uid="{00000000-0005-0000-0000-00007C9B0000}"/>
    <cellStyle name="Output 6 9 8 2" xfId="23028" xr:uid="{00000000-0005-0000-0000-00007D9B0000}"/>
    <cellStyle name="Output 6 9 9" xfId="13584" xr:uid="{00000000-0005-0000-0000-00007E9B0000}"/>
    <cellStyle name="Output 6 9 9 2" xfId="18561" xr:uid="{00000000-0005-0000-0000-00007F9B0000}"/>
    <cellStyle name="Output 7" xfId="2864" xr:uid="{00000000-0005-0000-0000-0000809B0000}"/>
    <cellStyle name="Output 7 10" xfId="12892" xr:uid="{00000000-0005-0000-0000-0000819B0000}"/>
    <cellStyle name="Output 7 11" xfId="17906" xr:uid="{00000000-0005-0000-0000-0000829B0000}"/>
    <cellStyle name="Output 7 2" xfId="4316" xr:uid="{00000000-0005-0000-0000-0000839B0000}"/>
    <cellStyle name="Output 7 2 10" xfId="18224" xr:uid="{00000000-0005-0000-0000-0000849B0000}"/>
    <cellStyle name="Output 7 2 2" xfId="6416" xr:uid="{00000000-0005-0000-0000-0000859B0000}"/>
    <cellStyle name="Output 7 2 2 2" xfId="20265" xr:uid="{00000000-0005-0000-0000-0000869B0000}"/>
    <cellStyle name="Output 7 2 2 3" xfId="14917" xr:uid="{00000000-0005-0000-0000-0000879B0000}"/>
    <cellStyle name="Output 7 2 2 3 2" xfId="24738" xr:uid="{00000000-0005-0000-0000-0000889B0000}"/>
    <cellStyle name="Output 7 2 2 4" xfId="24071" xr:uid="{00000000-0005-0000-0000-0000899B0000}"/>
    <cellStyle name="Output 7 2 3" xfId="11218" xr:uid="{00000000-0005-0000-0000-00008A9B0000}"/>
    <cellStyle name="Output 7 2 3 2" xfId="19760" xr:uid="{00000000-0005-0000-0000-00008B9B0000}"/>
    <cellStyle name="Output 7 2 4" xfId="12195" xr:uid="{00000000-0005-0000-0000-00008C9B0000}"/>
    <cellStyle name="Output 7 2 4 2" xfId="21723" xr:uid="{00000000-0005-0000-0000-00008D9B0000}"/>
    <cellStyle name="Output 7 2 5" xfId="16618" xr:uid="{00000000-0005-0000-0000-00008E9B0000}"/>
    <cellStyle name="Output 7 2 5 2" xfId="22259" xr:uid="{00000000-0005-0000-0000-00008F9B0000}"/>
    <cellStyle name="Output 7 2 6" xfId="16982" xr:uid="{00000000-0005-0000-0000-0000909B0000}"/>
    <cellStyle name="Output 7 2 6 2" xfId="22633" xr:uid="{00000000-0005-0000-0000-0000919B0000}"/>
    <cellStyle name="Output 7 2 7" xfId="17702" xr:uid="{00000000-0005-0000-0000-0000929B0000}"/>
    <cellStyle name="Output 7 2 7 2" xfId="23347" xr:uid="{00000000-0005-0000-0000-0000939B0000}"/>
    <cellStyle name="Output 7 2 8" xfId="13906" xr:uid="{00000000-0005-0000-0000-0000949B0000}"/>
    <cellStyle name="Output 7 2 8 2" xfId="18880" xr:uid="{00000000-0005-0000-0000-0000959B0000}"/>
    <cellStyle name="Output 7 2 9" xfId="13235" xr:uid="{00000000-0005-0000-0000-0000969B0000}"/>
    <cellStyle name="Output 7 3" xfId="6944" xr:uid="{00000000-0005-0000-0000-0000979B0000}"/>
    <cellStyle name="Output 7 3 2" xfId="19901" xr:uid="{00000000-0005-0000-0000-0000989B0000}"/>
    <cellStyle name="Output 7 3 3" xfId="14604" xr:uid="{00000000-0005-0000-0000-0000999B0000}"/>
    <cellStyle name="Output 7 3 3 2" xfId="24421" xr:uid="{00000000-0005-0000-0000-00009A9B0000}"/>
    <cellStyle name="Output 7 3 4" xfId="23750" xr:uid="{00000000-0005-0000-0000-00009B9B0000}"/>
    <cellStyle name="Output 7 3 5" xfId="25632" xr:uid="{00000000-0005-0000-0000-00009C9B0000}"/>
    <cellStyle name="Output 7 3 6" xfId="29845" xr:uid="{00000000-0005-0000-0000-00009D9B0000}"/>
    <cellStyle name="Output 7 3 7" xfId="34060" xr:uid="{00000000-0005-0000-0000-00009E9B0000}"/>
    <cellStyle name="Output 7 3 8" xfId="38264" xr:uid="{00000000-0005-0000-0000-00009F9B0000}"/>
    <cellStyle name="Output 7 4" xfId="6415" xr:uid="{00000000-0005-0000-0000-0000A09B0000}"/>
    <cellStyle name="Output 7 4 2" xfId="19490" xr:uid="{00000000-0005-0000-0000-0000A19B0000}"/>
    <cellStyle name="Output 7 4 3" xfId="14352" xr:uid="{00000000-0005-0000-0000-0000A29B0000}"/>
    <cellStyle name="Output 7 5" xfId="11217" xr:uid="{00000000-0005-0000-0000-0000A39B0000}"/>
    <cellStyle name="Output 7 5 2" xfId="20782" xr:uid="{00000000-0005-0000-0000-0000A49B0000}"/>
    <cellStyle name="Output 7 6" xfId="12203" xr:uid="{00000000-0005-0000-0000-0000A59B0000}"/>
    <cellStyle name="Output 7 6 2" xfId="21937" xr:uid="{00000000-0005-0000-0000-0000A69B0000}"/>
    <cellStyle name="Output 7 7" xfId="10601" xr:uid="{00000000-0005-0000-0000-0000A79B0000}"/>
    <cellStyle name="Output 7 7 2" xfId="20752" xr:uid="{00000000-0005-0000-0000-0000A89B0000}"/>
    <cellStyle name="Output 7 8" xfId="17385" xr:uid="{00000000-0005-0000-0000-0000A99B0000}"/>
    <cellStyle name="Output 7 8 2" xfId="23029" xr:uid="{00000000-0005-0000-0000-0000AA9B0000}"/>
    <cellStyle name="Output 7 9" xfId="13585" xr:uid="{00000000-0005-0000-0000-0000AB9B0000}"/>
    <cellStyle name="Output 7 9 2" xfId="18562" xr:uid="{00000000-0005-0000-0000-0000AC9B0000}"/>
    <cellStyle name="Output 8" xfId="2865" xr:uid="{00000000-0005-0000-0000-0000AD9B0000}"/>
    <cellStyle name="Output 8 10" xfId="12893" xr:uid="{00000000-0005-0000-0000-0000AE9B0000}"/>
    <cellStyle name="Output 8 11" xfId="17907" xr:uid="{00000000-0005-0000-0000-0000AF9B0000}"/>
    <cellStyle name="Output 8 2" xfId="4317" xr:uid="{00000000-0005-0000-0000-0000B09B0000}"/>
    <cellStyle name="Output 8 2 10" xfId="18225" xr:uid="{00000000-0005-0000-0000-0000B19B0000}"/>
    <cellStyle name="Output 8 2 2" xfId="6418" xr:uid="{00000000-0005-0000-0000-0000B29B0000}"/>
    <cellStyle name="Output 8 2 2 2" xfId="20266" xr:uid="{00000000-0005-0000-0000-0000B39B0000}"/>
    <cellStyle name="Output 8 2 2 3" xfId="14918" xr:uid="{00000000-0005-0000-0000-0000B49B0000}"/>
    <cellStyle name="Output 8 2 2 3 2" xfId="24739" xr:uid="{00000000-0005-0000-0000-0000B59B0000}"/>
    <cellStyle name="Output 8 2 2 4" xfId="24072" xr:uid="{00000000-0005-0000-0000-0000B69B0000}"/>
    <cellStyle name="Output 8 2 3" xfId="11220" xr:uid="{00000000-0005-0000-0000-0000B79B0000}"/>
    <cellStyle name="Output 8 2 3 2" xfId="19761" xr:uid="{00000000-0005-0000-0000-0000B89B0000}"/>
    <cellStyle name="Output 8 2 4" xfId="11876" xr:uid="{00000000-0005-0000-0000-0000B99B0000}"/>
    <cellStyle name="Output 8 2 4 2" xfId="21724" xr:uid="{00000000-0005-0000-0000-0000BA9B0000}"/>
    <cellStyle name="Output 8 2 5" xfId="16619" xr:uid="{00000000-0005-0000-0000-0000BB9B0000}"/>
    <cellStyle name="Output 8 2 5 2" xfId="22260" xr:uid="{00000000-0005-0000-0000-0000BC9B0000}"/>
    <cellStyle name="Output 8 2 6" xfId="16983" xr:uid="{00000000-0005-0000-0000-0000BD9B0000}"/>
    <cellStyle name="Output 8 2 6 2" xfId="22634" xr:uid="{00000000-0005-0000-0000-0000BE9B0000}"/>
    <cellStyle name="Output 8 2 7" xfId="17703" xr:uid="{00000000-0005-0000-0000-0000BF9B0000}"/>
    <cellStyle name="Output 8 2 7 2" xfId="23348" xr:uid="{00000000-0005-0000-0000-0000C09B0000}"/>
    <cellStyle name="Output 8 2 8" xfId="13907" xr:uid="{00000000-0005-0000-0000-0000C19B0000}"/>
    <cellStyle name="Output 8 2 8 2" xfId="18881" xr:uid="{00000000-0005-0000-0000-0000C29B0000}"/>
    <cellStyle name="Output 8 2 9" xfId="13236" xr:uid="{00000000-0005-0000-0000-0000C39B0000}"/>
    <cellStyle name="Output 8 3" xfId="6945" xr:uid="{00000000-0005-0000-0000-0000C49B0000}"/>
    <cellStyle name="Output 8 3 2" xfId="19902" xr:uid="{00000000-0005-0000-0000-0000C59B0000}"/>
    <cellStyle name="Output 8 3 3" xfId="14605" xr:uid="{00000000-0005-0000-0000-0000C69B0000}"/>
    <cellStyle name="Output 8 3 3 2" xfId="24422" xr:uid="{00000000-0005-0000-0000-0000C79B0000}"/>
    <cellStyle name="Output 8 3 4" xfId="23751" xr:uid="{00000000-0005-0000-0000-0000C89B0000}"/>
    <cellStyle name="Output 8 3 5" xfId="25633" xr:uid="{00000000-0005-0000-0000-0000C99B0000}"/>
    <cellStyle name="Output 8 3 6" xfId="29846" xr:uid="{00000000-0005-0000-0000-0000CA9B0000}"/>
    <cellStyle name="Output 8 3 7" xfId="34061" xr:uid="{00000000-0005-0000-0000-0000CB9B0000}"/>
    <cellStyle name="Output 8 3 8" xfId="38265" xr:uid="{00000000-0005-0000-0000-0000CC9B0000}"/>
    <cellStyle name="Output 8 4" xfId="6417" xr:uid="{00000000-0005-0000-0000-0000CD9B0000}"/>
    <cellStyle name="Output 8 4 2" xfId="19491" xr:uid="{00000000-0005-0000-0000-0000CE9B0000}"/>
    <cellStyle name="Output 8 4 3" xfId="14353" xr:uid="{00000000-0005-0000-0000-0000CF9B0000}"/>
    <cellStyle name="Output 8 5" xfId="11219" xr:uid="{00000000-0005-0000-0000-0000D09B0000}"/>
    <cellStyle name="Output 8 5 2" xfId="20781" xr:uid="{00000000-0005-0000-0000-0000D19B0000}"/>
    <cellStyle name="Output 8 6" xfId="12187" xr:uid="{00000000-0005-0000-0000-0000D29B0000}"/>
    <cellStyle name="Output 8 6 2" xfId="21938" xr:uid="{00000000-0005-0000-0000-0000D39B0000}"/>
    <cellStyle name="Output 8 7" xfId="11306" xr:uid="{00000000-0005-0000-0000-0000D49B0000}"/>
    <cellStyle name="Output 8 7 2" xfId="20751" xr:uid="{00000000-0005-0000-0000-0000D59B0000}"/>
    <cellStyle name="Output 8 8" xfId="17386" xr:uid="{00000000-0005-0000-0000-0000D69B0000}"/>
    <cellStyle name="Output 8 8 2" xfId="23030" xr:uid="{00000000-0005-0000-0000-0000D79B0000}"/>
    <cellStyle name="Output 8 9" xfId="13586" xr:uid="{00000000-0005-0000-0000-0000D89B0000}"/>
    <cellStyle name="Output 8 9 2" xfId="18563" xr:uid="{00000000-0005-0000-0000-0000D99B0000}"/>
    <cellStyle name="Output 9" xfId="4318" xr:uid="{00000000-0005-0000-0000-0000DA9B0000}"/>
    <cellStyle name="Output 9 10" xfId="12894" xr:uid="{00000000-0005-0000-0000-0000DB9B0000}"/>
    <cellStyle name="Output 9 11" xfId="17908" xr:uid="{00000000-0005-0000-0000-0000DC9B0000}"/>
    <cellStyle name="Output 9 2" xfId="4319" xr:uid="{00000000-0005-0000-0000-0000DD9B0000}"/>
    <cellStyle name="Output 9 2 10" xfId="18226" xr:uid="{00000000-0005-0000-0000-0000DE9B0000}"/>
    <cellStyle name="Output 9 2 2" xfId="6420" xr:uid="{00000000-0005-0000-0000-0000DF9B0000}"/>
    <cellStyle name="Output 9 2 2 2" xfId="20267" xr:uid="{00000000-0005-0000-0000-0000E09B0000}"/>
    <cellStyle name="Output 9 2 2 3" xfId="14919" xr:uid="{00000000-0005-0000-0000-0000E19B0000}"/>
    <cellStyle name="Output 9 2 2 3 2" xfId="24740" xr:uid="{00000000-0005-0000-0000-0000E29B0000}"/>
    <cellStyle name="Output 9 2 2 4" xfId="24073" xr:uid="{00000000-0005-0000-0000-0000E39B0000}"/>
    <cellStyle name="Output 9 2 3" xfId="11222" xr:uid="{00000000-0005-0000-0000-0000E49B0000}"/>
    <cellStyle name="Output 9 2 3 2" xfId="19762" xr:uid="{00000000-0005-0000-0000-0000E59B0000}"/>
    <cellStyle name="Output 9 2 4" xfId="10986" xr:uid="{00000000-0005-0000-0000-0000E69B0000}"/>
    <cellStyle name="Output 9 2 4 2" xfId="21725" xr:uid="{00000000-0005-0000-0000-0000E79B0000}"/>
    <cellStyle name="Output 9 2 5" xfId="16620" xr:uid="{00000000-0005-0000-0000-0000E89B0000}"/>
    <cellStyle name="Output 9 2 5 2" xfId="22261" xr:uid="{00000000-0005-0000-0000-0000E99B0000}"/>
    <cellStyle name="Output 9 2 6" xfId="16984" xr:uid="{00000000-0005-0000-0000-0000EA9B0000}"/>
    <cellStyle name="Output 9 2 6 2" xfId="22635" xr:uid="{00000000-0005-0000-0000-0000EB9B0000}"/>
    <cellStyle name="Output 9 2 7" xfId="17704" xr:uid="{00000000-0005-0000-0000-0000EC9B0000}"/>
    <cellStyle name="Output 9 2 7 2" xfId="23349" xr:uid="{00000000-0005-0000-0000-0000ED9B0000}"/>
    <cellStyle name="Output 9 2 8" xfId="13908" xr:uid="{00000000-0005-0000-0000-0000EE9B0000}"/>
    <cellStyle name="Output 9 2 8 2" xfId="18882" xr:uid="{00000000-0005-0000-0000-0000EF9B0000}"/>
    <cellStyle name="Output 9 2 9" xfId="13237" xr:uid="{00000000-0005-0000-0000-0000F09B0000}"/>
    <cellStyle name="Output 9 3" xfId="5490" xr:uid="{00000000-0005-0000-0000-0000F19B0000}"/>
    <cellStyle name="Output 9 3 2" xfId="19903" xr:uid="{00000000-0005-0000-0000-0000F29B0000}"/>
    <cellStyle name="Output 9 3 3" xfId="14606" xr:uid="{00000000-0005-0000-0000-0000F39B0000}"/>
    <cellStyle name="Output 9 3 3 2" xfId="24423" xr:uid="{00000000-0005-0000-0000-0000F49B0000}"/>
    <cellStyle name="Output 9 3 4" xfId="23752" xr:uid="{00000000-0005-0000-0000-0000F59B0000}"/>
    <cellStyle name="Output 9 3 5" xfId="24978" xr:uid="{00000000-0005-0000-0000-0000F69B0000}"/>
    <cellStyle name="Output 9 3 6" xfId="29190" xr:uid="{00000000-0005-0000-0000-0000F79B0000}"/>
    <cellStyle name="Output 9 3 7" xfId="33406" xr:uid="{00000000-0005-0000-0000-0000F89B0000}"/>
    <cellStyle name="Output 9 3 8" xfId="37610" xr:uid="{00000000-0005-0000-0000-0000F99B0000}"/>
    <cellStyle name="Output 9 4" xfId="6419" xr:uid="{00000000-0005-0000-0000-0000FA9B0000}"/>
    <cellStyle name="Output 9 4 2" xfId="19492" xr:uid="{00000000-0005-0000-0000-0000FB9B0000}"/>
    <cellStyle name="Output 9 4 3" xfId="14354" xr:uid="{00000000-0005-0000-0000-0000FC9B0000}"/>
    <cellStyle name="Output 9 5" xfId="11221" xr:uid="{00000000-0005-0000-0000-0000FD9B0000}"/>
    <cellStyle name="Output 9 5 2" xfId="20780" xr:uid="{00000000-0005-0000-0000-0000FE9B0000}"/>
    <cellStyle name="Output 9 6" xfId="11273" xr:uid="{00000000-0005-0000-0000-0000FF9B0000}"/>
    <cellStyle name="Output 9 6 2" xfId="21939" xr:uid="{00000000-0005-0000-0000-0000009C0000}"/>
    <cellStyle name="Output 9 7" xfId="10288" xr:uid="{00000000-0005-0000-0000-0000019C0000}"/>
    <cellStyle name="Output 9 7 2" xfId="20750" xr:uid="{00000000-0005-0000-0000-0000029C0000}"/>
    <cellStyle name="Output 9 8" xfId="17387" xr:uid="{00000000-0005-0000-0000-0000039C0000}"/>
    <cellStyle name="Output 9 8 2" xfId="23031" xr:uid="{00000000-0005-0000-0000-0000049C0000}"/>
    <cellStyle name="Output 9 9" xfId="13587" xr:uid="{00000000-0005-0000-0000-0000059C0000}"/>
    <cellStyle name="Output 9 9 2" xfId="18564" xr:uid="{00000000-0005-0000-0000-0000069C0000}"/>
    <cellStyle name="Pattern" xfId="43846" xr:uid="{00000000-0005-0000-0000-0000079C0000}"/>
    <cellStyle name="Percent" xfId="2866" builtinId="5"/>
    <cellStyle name="Percent 10" xfId="8551" xr:uid="{00000000-0005-0000-0000-0000099C0000}"/>
    <cellStyle name="Percent 10 10" xfId="43847" xr:uid="{00000000-0005-0000-0000-00000A9C0000}"/>
    <cellStyle name="Percent 10 11" xfId="43848" xr:uid="{00000000-0005-0000-0000-00000B9C0000}"/>
    <cellStyle name="Percent 10 12" xfId="43849" xr:uid="{00000000-0005-0000-0000-00000C9C0000}"/>
    <cellStyle name="Percent 10 13" xfId="43850" xr:uid="{00000000-0005-0000-0000-00000D9C0000}"/>
    <cellStyle name="Percent 10 14" xfId="43851" xr:uid="{00000000-0005-0000-0000-00000E9C0000}"/>
    <cellStyle name="Percent 10 15" xfId="43852" xr:uid="{00000000-0005-0000-0000-00000F9C0000}"/>
    <cellStyle name="Percent 10 16" xfId="43853" xr:uid="{00000000-0005-0000-0000-0000109C0000}"/>
    <cellStyle name="Percent 10 17" xfId="43854" xr:uid="{00000000-0005-0000-0000-0000119C0000}"/>
    <cellStyle name="Percent 10 18" xfId="43855" xr:uid="{00000000-0005-0000-0000-0000129C0000}"/>
    <cellStyle name="Percent 10 19" xfId="43856" xr:uid="{00000000-0005-0000-0000-0000139C0000}"/>
    <cellStyle name="Percent 10 2" xfId="8552" xr:uid="{00000000-0005-0000-0000-0000149C0000}"/>
    <cellStyle name="Percent 10 2 2" xfId="43858" xr:uid="{00000000-0005-0000-0000-0000159C0000}"/>
    <cellStyle name="Percent 10 2 3" xfId="43857" xr:uid="{00000000-0005-0000-0000-0000169C0000}"/>
    <cellStyle name="Percent 10 20" xfId="43859" xr:uid="{00000000-0005-0000-0000-0000179C0000}"/>
    <cellStyle name="Percent 10 3" xfId="8553" xr:uid="{00000000-0005-0000-0000-0000189C0000}"/>
    <cellStyle name="Percent 10 3 2" xfId="43861" xr:uid="{00000000-0005-0000-0000-0000199C0000}"/>
    <cellStyle name="Percent 10 3 3" xfId="43860" xr:uid="{00000000-0005-0000-0000-00001A9C0000}"/>
    <cellStyle name="Percent 10 4" xfId="8554" xr:uid="{00000000-0005-0000-0000-00001B9C0000}"/>
    <cellStyle name="Percent 10 4 2" xfId="43863" xr:uid="{00000000-0005-0000-0000-00001C9C0000}"/>
    <cellStyle name="Percent 10 4 3" xfId="43862" xr:uid="{00000000-0005-0000-0000-00001D9C0000}"/>
    <cellStyle name="Percent 10 5" xfId="8555" xr:uid="{00000000-0005-0000-0000-00001E9C0000}"/>
    <cellStyle name="Percent 10 5 2" xfId="43865" xr:uid="{00000000-0005-0000-0000-00001F9C0000}"/>
    <cellStyle name="Percent 10 5 3" xfId="43864" xr:uid="{00000000-0005-0000-0000-0000209C0000}"/>
    <cellStyle name="Percent 10 6" xfId="8556" xr:uid="{00000000-0005-0000-0000-0000219C0000}"/>
    <cellStyle name="Percent 10 6 2" xfId="43867" xr:uid="{00000000-0005-0000-0000-0000229C0000}"/>
    <cellStyle name="Percent 10 6 3" xfId="43866" xr:uid="{00000000-0005-0000-0000-0000239C0000}"/>
    <cellStyle name="Percent 10 7" xfId="8557" xr:uid="{00000000-0005-0000-0000-0000249C0000}"/>
    <cellStyle name="Percent 10 7 2" xfId="43869" xr:uid="{00000000-0005-0000-0000-0000259C0000}"/>
    <cellStyle name="Percent 10 7 3" xfId="43870" xr:uid="{00000000-0005-0000-0000-0000269C0000}"/>
    <cellStyle name="Percent 10 7 4" xfId="43871" xr:uid="{00000000-0005-0000-0000-0000279C0000}"/>
    <cellStyle name="Percent 10 7 5" xfId="43868" xr:uid="{00000000-0005-0000-0000-0000289C0000}"/>
    <cellStyle name="Percent 10 8" xfId="8558" xr:uid="{00000000-0005-0000-0000-0000299C0000}"/>
    <cellStyle name="Percent 10 8 2" xfId="43873" xr:uid="{00000000-0005-0000-0000-00002A9C0000}"/>
    <cellStyle name="Percent 10 8 3" xfId="43872" xr:uid="{00000000-0005-0000-0000-00002B9C0000}"/>
    <cellStyle name="Percent 10 9" xfId="43874" xr:uid="{00000000-0005-0000-0000-00002C9C0000}"/>
    <cellStyle name="Percent 11" xfId="8559" xr:uid="{00000000-0005-0000-0000-00002D9C0000}"/>
    <cellStyle name="Percent 11 10" xfId="43875" xr:uid="{00000000-0005-0000-0000-00002E9C0000}"/>
    <cellStyle name="Percent 11 2" xfId="8560" xr:uid="{00000000-0005-0000-0000-00002F9C0000}"/>
    <cellStyle name="Percent 11 2 2" xfId="43877" xr:uid="{00000000-0005-0000-0000-0000309C0000}"/>
    <cellStyle name="Percent 11 2 3" xfId="43876" xr:uid="{00000000-0005-0000-0000-0000319C0000}"/>
    <cellStyle name="Percent 11 3" xfId="8561" xr:uid="{00000000-0005-0000-0000-0000329C0000}"/>
    <cellStyle name="Percent 11 3 2" xfId="43879" xr:uid="{00000000-0005-0000-0000-0000339C0000}"/>
    <cellStyle name="Percent 11 3 3" xfId="43878" xr:uid="{00000000-0005-0000-0000-0000349C0000}"/>
    <cellStyle name="Percent 11 4" xfId="8562" xr:uid="{00000000-0005-0000-0000-0000359C0000}"/>
    <cellStyle name="Percent 11 4 2" xfId="43881" xr:uid="{00000000-0005-0000-0000-0000369C0000}"/>
    <cellStyle name="Percent 11 4 3" xfId="43880" xr:uid="{00000000-0005-0000-0000-0000379C0000}"/>
    <cellStyle name="Percent 11 5" xfId="8563" xr:uid="{00000000-0005-0000-0000-0000389C0000}"/>
    <cellStyle name="Percent 11 5 2" xfId="43883" xr:uid="{00000000-0005-0000-0000-0000399C0000}"/>
    <cellStyle name="Percent 11 5 3" xfId="43882" xr:uid="{00000000-0005-0000-0000-00003A9C0000}"/>
    <cellStyle name="Percent 11 6" xfId="8564" xr:uid="{00000000-0005-0000-0000-00003B9C0000}"/>
    <cellStyle name="Percent 11 6 2" xfId="43885" xr:uid="{00000000-0005-0000-0000-00003C9C0000}"/>
    <cellStyle name="Percent 11 6 3" xfId="43884" xr:uid="{00000000-0005-0000-0000-00003D9C0000}"/>
    <cellStyle name="Percent 11 7" xfId="8565" xr:uid="{00000000-0005-0000-0000-00003E9C0000}"/>
    <cellStyle name="Percent 11 7 2" xfId="43887" xr:uid="{00000000-0005-0000-0000-00003F9C0000}"/>
    <cellStyle name="Percent 11 7 3" xfId="43888" xr:uid="{00000000-0005-0000-0000-0000409C0000}"/>
    <cellStyle name="Percent 11 7 4" xfId="43889" xr:uid="{00000000-0005-0000-0000-0000419C0000}"/>
    <cellStyle name="Percent 11 7 5" xfId="43886" xr:uid="{00000000-0005-0000-0000-0000429C0000}"/>
    <cellStyle name="Percent 11 8" xfId="8566" xr:uid="{00000000-0005-0000-0000-0000439C0000}"/>
    <cellStyle name="Percent 11 8 2" xfId="43891" xr:uid="{00000000-0005-0000-0000-0000449C0000}"/>
    <cellStyle name="Percent 11 8 3" xfId="43890" xr:uid="{00000000-0005-0000-0000-0000459C0000}"/>
    <cellStyle name="Percent 11 9" xfId="43892" xr:uid="{00000000-0005-0000-0000-0000469C0000}"/>
    <cellStyle name="Percent 12" xfId="8567" xr:uid="{00000000-0005-0000-0000-0000479C0000}"/>
    <cellStyle name="Percent 12 10" xfId="43893" xr:uid="{00000000-0005-0000-0000-0000489C0000}"/>
    <cellStyle name="Percent 12 2" xfId="8568" xr:uid="{00000000-0005-0000-0000-0000499C0000}"/>
    <cellStyle name="Percent 12 2 2" xfId="43895" xr:uid="{00000000-0005-0000-0000-00004A9C0000}"/>
    <cellStyle name="Percent 12 2 3" xfId="43894" xr:uid="{00000000-0005-0000-0000-00004B9C0000}"/>
    <cellStyle name="Percent 12 3" xfId="8569" xr:uid="{00000000-0005-0000-0000-00004C9C0000}"/>
    <cellStyle name="Percent 12 3 2" xfId="43897" xr:uid="{00000000-0005-0000-0000-00004D9C0000}"/>
    <cellStyle name="Percent 12 3 3" xfId="43896" xr:uid="{00000000-0005-0000-0000-00004E9C0000}"/>
    <cellStyle name="Percent 12 4" xfId="8570" xr:uid="{00000000-0005-0000-0000-00004F9C0000}"/>
    <cellStyle name="Percent 12 4 2" xfId="43899" xr:uid="{00000000-0005-0000-0000-0000509C0000}"/>
    <cellStyle name="Percent 12 4 3" xfId="43898" xr:uid="{00000000-0005-0000-0000-0000519C0000}"/>
    <cellStyle name="Percent 12 5" xfId="8571" xr:uid="{00000000-0005-0000-0000-0000529C0000}"/>
    <cellStyle name="Percent 12 5 2" xfId="43901" xr:uid="{00000000-0005-0000-0000-0000539C0000}"/>
    <cellStyle name="Percent 12 5 3" xfId="43900" xr:uid="{00000000-0005-0000-0000-0000549C0000}"/>
    <cellStyle name="Percent 12 6" xfId="8572" xr:uid="{00000000-0005-0000-0000-0000559C0000}"/>
    <cellStyle name="Percent 12 6 2" xfId="43903" xr:uid="{00000000-0005-0000-0000-0000569C0000}"/>
    <cellStyle name="Percent 12 6 3" xfId="43902" xr:uid="{00000000-0005-0000-0000-0000579C0000}"/>
    <cellStyle name="Percent 12 7" xfId="8573" xr:uid="{00000000-0005-0000-0000-0000589C0000}"/>
    <cellStyle name="Percent 12 7 2" xfId="43905" xr:uid="{00000000-0005-0000-0000-0000599C0000}"/>
    <cellStyle name="Percent 12 7 3" xfId="43906" xr:uid="{00000000-0005-0000-0000-00005A9C0000}"/>
    <cellStyle name="Percent 12 7 4" xfId="43907" xr:uid="{00000000-0005-0000-0000-00005B9C0000}"/>
    <cellStyle name="Percent 12 7 5" xfId="43904" xr:uid="{00000000-0005-0000-0000-00005C9C0000}"/>
    <cellStyle name="Percent 12 8" xfId="8574" xr:uid="{00000000-0005-0000-0000-00005D9C0000}"/>
    <cellStyle name="Percent 12 8 2" xfId="43909" xr:uid="{00000000-0005-0000-0000-00005E9C0000}"/>
    <cellStyle name="Percent 12 8 3" xfId="43908" xr:uid="{00000000-0005-0000-0000-00005F9C0000}"/>
    <cellStyle name="Percent 12 9" xfId="43910" xr:uid="{00000000-0005-0000-0000-0000609C0000}"/>
    <cellStyle name="Percent 13" xfId="8575" xr:uid="{00000000-0005-0000-0000-0000619C0000}"/>
    <cellStyle name="Percent 13 10" xfId="43911" xr:uid="{00000000-0005-0000-0000-0000629C0000}"/>
    <cellStyle name="Percent 13 2" xfId="8576" xr:uid="{00000000-0005-0000-0000-0000639C0000}"/>
    <cellStyle name="Percent 13 2 2" xfId="43913" xr:uid="{00000000-0005-0000-0000-0000649C0000}"/>
    <cellStyle name="Percent 13 2 3" xfId="43912" xr:uid="{00000000-0005-0000-0000-0000659C0000}"/>
    <cellStyle name="Percent 13 3" xfId="8577" xr:uid="{00000000-0005-0000-0000-0000669C0000}"/>
    <cellStyle name="Percent 13 3 2" xfId="43915" xr:uid="{00000000-0005-0000-0000-0000679C0000}"/>
    <cellStyle name="Percent 13 3 3" xfId="43914" xr:uid="{00000000-0005-0000-0000-0000689C0000}"/>
    <cellStyle name="Percent 13 4" xfId="8578" xr:uid="{00000000-0005-0000-0000-0000699C0000}"/>
    <cellStyle name="Percent 13 4 2" xfId="43917" xr:uid="{00000000-0005-0000-0000-00006A9C0000}"/>
    <cellStyle name="Percent 13 4 3" xfId="43916" xr:uid="{00000000-0005-0000-0000-00006B9C0000}"/>
    <cellStyle name="Percent 13 5" xfId="8579" xr:uid="{00000000-0005-0000-0000-00006C9C0000}"/>
    <cellStyle name="Percent 13 5 2" xfId="43919" xr:uid="{00000000-0005-0000-0000-00006D9C0000}"/>
    <cellStyle name="Percent 13 5 3" xfId="43918" xr:uid="{00000000-0005-0000-0000-00006E9C0000}"/>
    <cellStyle name="Percent 13 6" xfId="8580" xr:uid="{00000000-0005-0000-0000-00006F9C0000}"/>
    <cellStyle name="Percent 13 6 2" xfId="43921" xr:uid="{00000000-0005-0000-0000-0000709C0000}"/>
    <cellStyle name="Percent 13 6 3" xfId="43920" xr:uid="{00000000-0005-0000-0000-0000719C0000}"/>
    <cellStyle name="Percent 13 7" xfId="8581" xr:uid="{00000000-0005-0000-0000-0000729C0000}"/>
    <cellStyle name="Percent 13 7 2" xfId="43923" xr:uid="{00000000-0005-0000-0000-0000739C0000}"/>
    <cellStyle name="Percent 13 7 3" xfId="43924" xr:uid="{00000000-0005-0000-0000-0000749C0000}"/>
    <cellStyle name="Percent 13 7 4" xfId="43925" xr:uid="{00000000-0005-0000-0000-0000759C0000}"/>
    <cellStyle name="Percent 13 7 5" xfId="43922" xr:uid="{00000000-0005-0000-0000-0000769C0000}"/>
    <cellStyle name="Percent 13 8" xfId="8582" xr:uid="{00000000-0005-0000-0000-0000779C0000}"/>
    <cellStyle name="Percent 13 8 2" xfId="43927" xr:uid="{00000000-0005-0000-0000-0000789C0000}"/>
    <cellStyle name="Percent 13 8 3" xfId="43926" xr:uid="{00000000-0005-0000-0000-0000799C0000}"/>
    <cellStyle name="Percent 13 9" xfId="43928" xr:uid="{00000000-0005-0000-0000-00007A9C0000}"/>
    <cellStyle name="Percent 14" xfId="8583" xr:uid="{00000000-0005-0000-0000-00007B9C0000}"/>
    <cellStyle name="Percent 14 10" xfId="43929" xr:uid="{00000000-0005-0000-0000-00007C9C0000}"/>
    <cellStyle name="Percent 14 2" xfId="8584" xr:uid="{00000000-0005-0000-0000-00007D9C0000}"/>
    <cellStyle name="Percent 14 2 2" xfId="43931" xr:uid="{00000000-0005-0000-0000-00007E9C0000}"/>
    <cellStyle name="Percent 14 2 3" xfId="43930" xr:uid="{00000000-0005-0000-0000-00007F9C0000}"/>
    <cellStyle name="Percent 14 3" xfId="8585" xr:uid="{00000000-0005-0000-0000-0000809C0000}"/>
    <cellStyle name="Percent 14 3 2" xfId="43933" xr:uid="{00000000-0005-0000-0000-0000819C0000}"/>
    <cellStyle name="Percent 14 3 3" xfId="43932" xr:uid="{00000000-0005-0000-0000-0000829C0000}"/>
    <cellStyle name="Percent 14 4" xfId="8586" xr:uid="{00000000-0005-0000-0000-0000839C0000}"/>
    <cellStyle name="Percent 14 4 2" xfId="43935" xr:uid="{00000000-0005-0000-0000-0000849C0000}"/>
    <cellStyle name="Percent 14 4 3" xfId="43934" xr:uid="{00000000-0005-0000-0000-0000859C0000}"/>
    <cellStyle name="Percent 14 5" xfId="8587" xr:uid="{00000000-0005-0000-0000-0000869C0000}"/>
    <cellStyle name="Percent 14 5 2" xfId="43937" xr:uid="{00000000-0005-0000-0000-0000879C0000}"/>
    <cellStyle name="Percent 14 5 3" xfId="43936" xr:uid="{00000000-0005-0000-0000-0000889C0000}"/>
    <cellStyle name="Percent 14 6" xfId="8588" xr:uid="{00000000-0005-0000-0000-0000899C0000}"/>
    <cellStyle name="Percent 14 6 2" xfId="43939" xr:uid="{00000000-0005-0000-0000-00008A9C0000}"/>
    <cellStyle name="Percent 14 6 3" xfId="43938" xr:uid="{00000000-0005-0000-0000-00008B9C0000}"/>
    <cellStyle name="Percent 14 7" xfId="8589" xr:uid="{00000000-0005-0000-0000-00008C9C0000}"/>
    <cellStyle name="Percent 14 7 2" xfId="43941" xr:uid="{00000000-0005-0000-0000-00008D9C0000}"/>
    <cellStyle name="Percent 14 7 3" xfId="43942" xr:uid="{00000000-0005-0000-0000-00008E9C0000}"/>
    <cellStyle name="Percent 14 7 4" xfId="43943" xr:uid="{00000000-0005-0000-0000-00008F9C0000}"/>
    <cellStyle name="Percent 14 7 5" xfId="43940" xr:uid="{00000000-0005-0000-0000-0000909C0000}"/>
    <cellStyle name="Percent 14 8" xfId="8590" xr:uid="{00000000-0005-0000-0000-0000919C0000}"/>
    <cellStyle name="Percent 14 8 2" xfId="43945" xr:uid="{00000000-0005-0000-0000-0000929C0000}"/>
    <cellStyle name="Percent 14 8 3" xfId="43944" xr:uid="{00000000-0005-0000-0000-0000939C0000}"/>
    <cellStyle name="Percent 14 9" xfId="43946" xr:uid="{00000000-0005-0000-0000-0000949C0000}"/>
    <cellStyle name="Percent 15" xfId="8591" xr:uid="{00000000-0005-0000-0000-0000959C0000}"/>
    <cellStyle name="Percent 15 10" xfId="8592" xr:uid="{00000000-0005-0000-0000-0000969C0000}"/>
    <cellStyle name="Percent 15 11" xfId="8593" xr:uid="{00000000-0005-0000-0000-0000979C0000}"/>
    <cellStyle name="Percent 15 12" xfId="8594" xr:uid="{00000000-0005-0000-0000-0000989C0000}"/>
    <cellStyle name="Percent 15 13" xfId="8595" xr:uid="{00000000-0005-0000-0000-0000999C0000}"/>
    <cellStyle name="Percent 15 14" xfId="8596" xr:uid="{00000000-0005-0000-0000-00009A9C0000}"/>
    <cellStyle name="Percent 15 15" xfId="43948" xr:uid="{00000000-0005-0000-0000-00009B9C0000}"/>
    <cellStyle name="Percent 15 16" xfId="43947" xr:uid="{00000000-0005-0000-0000-00009C9C0000}"/>
    <cellStyle name="Percent 15 2" xfId="8597" xr:uid="{00000000-0005-0000-0000-00009D9C0000}"/>
    <cellStyle name="Percent 15 2 2" xfId="8598" xr:uid="{00000000-0005-0000-0000-00009E9C0000}"/>
    <cellStyle name="Percent 15 2 2 2" xfId="26504" xr:uid="{00000000-0005-0000-0000-00009F9C0000}"/>
    <cellStyle name="Percent 15 2 2 2 2" xfId="41677" xr:uid="{00000000-0005-0000-0000-0000A09C0000}"/>
    <cellStyle name="Percent 15 2 2 3" xfId="30717" xr:uid="{00000000-0005-0000-0000-0000A19C0000}"/>
    <cellStyle name="Percent 15 2 2 3 2" xfId="43950" xr:uid="{00000000-0005-0000-0000-0000A29C0000}"/>
    <cellStyle name="Percent 15 2 2 4" xfId="34932" xr:uid="{00000000-0005-0000-0000-0000A39C0000}"/>
    <cellStyle name="Percent 15 2 2 5" xfId="39136" xr:uid="{00000000-0005-0000-0000-0000A49C0000}"/>
    <cellStyle name="Percent 15 2 3" xfId="8599" xr:uid="{00000000-0005-0000-0000-0000A59C0000}"/>
    <cellStyle name="Percent 15 2 3 2" xfId="26505" xr:uid="{00000000-0005-0000-0000-0000A69C0000}"/>
    <cellStyle name="Percent 15 2 3 2 2" xfId="41678" xr:uid="{00000000-0005-0000-0000-0000A79C0000}"/>
    <cellStyle name="Percent 15 2 3 3" xfId="30718" xr:uid="{00000000-0005-0000-0000-0000A89C0000}"/>
    <cellStyle name="Percent 15 2 3 3 2" xfId="43951" xr:uid="{00000000-0005-0000-0000-0000A99C0000}"/>
    <cellStyle name="Percent 15 2 3 4" xfId="34933" xr:uid="{00000000-0005-0000-0000-0000AA9C0000}"/>
    <cellStyle name="Percent 15 2 3 5" xfId="39137" xr:uid="{00000000-0005-0000-0000-0000AB9C0000}"/>
    <cellStyle name="Percent 15 2 4" xfId="8600" xr:uid="{00000000-0005-0000-0000-0000AC9C0000}"/>
    <cellStyle name="Percent 15 2 4 2" xfId="26506" xr:uid="{00000000-0005-0000-0000-0000AD9C0000}"/>
    <cellStyle name="Percent 15 2 4 2 2" xfId="41679" xr:uid="{00000000-0005-0000-0000-0000AE9C0000}"/>
    <cellStyle name="Percent 15 2 4 3" xfId="30719" xr:uid="{00000000-0005-0000-0000-0000AF9C0000}"/>
    <cellStyle name="Percent 15 2 4 3 2" xfId="43952" xr:uid="{00000000-0005-0000-0000-0000B09C0000}"/>
    <cellStyle name="Percent 15 2 4 4" xfId="34934" xr:uid="{00000000-0005-0000-0000-0000B19C0000}"/>
    <cellStyle name="Percent 15 2 4 5" xfId="39138" xr:uid="{00000000-0005-0000-0000-0000B29C0000}"/>
    <cellStyle name="Percent 15 2 5" xfId="8601" xr:uid="{00000000-0005-0000-0000-0000B39C0000}"/>
    <cellStyle name="Percent 15 2 5 2" xfId="26507" xr:uid="{00000000-0005-0000-0000-0000B49C0000}"/>
    <cellStyle name="Percent 15 2 5 2 2" xfId="41680" xr:uid="{00000000-0005-0000-0000-0000B59C0000}"/>
    <cellStyle name="Percent 15 2 5 3" xfId="30720" xr:uid="{00000000-0005-0000-0000-0000B69C0000}"/>
    <cellStyle name="Percent 15 2 5 3 2" xfId="43953" xr:uid="{00000000-0005-0000-0000-0000B79C0000}"/>
    <cellStyle name="Percent 15 2 5 4" xfId="34935" xr:uid="{00000000-0005-0000-0000-0000B89C0000}"/>
    <cellStyle name="Percent 15 2 5 5" xfId="39139" xr:uid="{00000000-0005-0000-0000-0000B99C0000}"/>
    <cellStyle name="Percent 15 2 6" xfId="8602" xr:uid="{00000000-0005-0000-0000-0000BA9C0000}"/>
    <cellStyle name="Percent 15 2 6 2" xfId="26508" xr:uid="{00000000-0005-0000-0000-0000BB9C0000}"/>
    <cellStyle name="Percent 15 2 6 2 2" xfId="41681" xr:uid="{00000000-0005-0000-0000-0000BC9C0000}"/>
    <cellStyle name="Percent 15 2 6 3" xfId="30721" xr:uid="{00000000-0005-0000-0000-0000BD9C0000}"/>
    <cellStyle name="Percent 15 2 6 3 2" xfId="43954" xr:uid="{00000000-0005-0000-0000-0000BE9C0000}"/>
    <cellStyle name="Percent 15 2 6 4" xfId="34936" xr:uid="{00000000-0005-0000-0000-0000BF9C0000}"/>
    <cellStyle name="Percent 15 2 6 5" xfId="39140" xr:uid="{00000000-0005-0000-0000-0000C09C0000}"/>
    <cellStyle name="Percent 15 2 7" xfId="8603" xr:uid="{00000000-0005-0000-0000-0000C19C0000}"/>
    <cellStyle name="Percent 15 2 7 2" xfId="26509" xr:uid="{00000000-0005-0000-0000-0000C29C0000}"/>
    <cellStyle name="Percent 15 2 7 2 2" xfId="41682" xr:uid="{00000000-0005-0000-0000-0000C39C0000}"/>
    <cellStyle name="Percent 15 2 7 3" xfId="30722" xr:uid="{00000000-0005-0000-0000-0000C49C0000}"/>
    <cellStyle name="Percent 15 2 7 3 2" xfId="43955" xr:uid="{00000000-0005-0000-0000-0000C59C0000}"/>
    <cellStyle name="Percent 15 2 7 4" xfId="34937" xr:uid="{00000000-0005-0000-0000-0000C69C0000}"/>
    <cellStyle name="Percent 15 2 7 5" xfId="39141" xr:uid="{00000000-0005-0000-0000-0000C79C0000}"/>
    <cellStyle name="Percent 15 2 8" xfId="43956" xr:uid="{00000000-0005-0000-0000-0000C89C0000}"/>
    <cellStyle name="Percent 15 2 9" xfId="43949" xr:uid="{00000000-0005-0000-0000-0000C99C0000}"/>
    <cellStyle name="Percent 15 3" xfId="8604" xr:uid="{00000000-0005-0000-0000-0000CA9C0000}"/>
    <cellStyle name="Percent 15 3 2" xfId="26510" xr:uid="{00000000-0005-0000-0000-0000CB9C0000}"/>
    <cellStyle name="Percent 15 3 2 2" xfId="41683" xr:uid="{00000000-0005-0000-0000-0000CC9C0000}"/>
    <cellStyle name="Percent 15 3 3" xfId="30723" xr:uid="{00000000-0005-0000-0000-0000CD9C0000}"/>
    <cellStyle name="Percent 15 3 3 2" xfId="43958" xr:uid="{00000000-0005-0000-0000-0000CE9C0000}"/>
    <cellStyle name="Percent 15 3 4" xfId="34938" xr:uid="{00000000-0005-0000-0000-0000CF9C0000}"/>
    <cellStyle name="Percent 15 3 4 2" xfId="43957" xr:uid="{00000000-0005-0000-0000-0000D09C0000}"/>
    <cellStyle name="Percent 15 3 5" xfId="39142" xr:uid="{00000000-0005-0000-0000-0000D19C0000}"/>
    <cellStyle name="Percent 15 4" xfId="8605" xr:uid="{00000000-0005-0000-0000-0000D29C0000}"/>
    <cellStyle name="Percent 15 4 2" xfId="43960" xr:uid="{00000000-0005-0000-0000-0000D39C0000}"/>
    <cellStyle name="Percent 15 4 3" xfId="43959" xr:uid="{00000000-0005-0000-0000-0000D49C0000}"/>
    <cellStyle name="Percent 15 5" xfId="8606" xr:uid="{00000000-0005-0000-0000-0000D59C0000}"/>
    <cellStyle name="Percent 15 5 2" xfId="26511" xr:uid="{00000000-0005-0000-0000-0000D69C0000}"/>
    <cellStyle name="Percent 15 5 2 2" xfId="41684" xr:uid="{00000000-0005-0000-0000-0000D79C0000}"/>
    <cellStyle name="Percent 15 5 3" xfId="30724" xr:uid="{00000000-0005-0000-0000-0000D89C0000}"/>
    <cellStyle name="Percent 15 5 3 2" xfId="43962" xr:uid="{00000000-0005-0000-0000-0000D99C0000}"/>
    <cellStyle name="Percent 15 5 4" xfId="34939" xr:uid="{00000000-0005-0000-0000-0000DA9C0000}"/>
    <cellStyle name="Percent 15 5 4 2" xfId="43961" xr:uid="{00000000-0005-0000-0000-0000DB9C0000}"/>
    <cellStyle name="Percent 15 5 5" xfId="39143" xr:uid="{00000000-0005-0000-0000-0000DC9C0000}"/>
    <cellStyle name="Percent 15 6" xfId="8607" xr:uid="{00000000-0005-0000-0000-0000DD9C0000}"/>
    <cellStyle name="Percent 15 6 2" xfId="26512" xr:uid="{00000000-0005-0000-0000-0000DE9C0000}"/>
    <cellStyle name="Percent 15 6 2 2" xfId="41685" xr:uid="{00000000-0005-0000-0000-0000DF9C0000}"/>
    <cellStyle name="Percent 15 6 3" xfId="30725" xr:uid="{00000000-0005-0000-0000-0000E09C0000}"/>
    <cellStyle name="Percent 15 6 3 2" xfId="43964" xr:uid="{00000000-0005-0000-0000-0000E19C0000}"/>
    <cellStyle name="Percent 15 6 4" xfId="34940" xr:uid="{00000000-0005-0000-0000-0000E29C0000}"/>
    <cellStyle name="Percent 15 6 4 2" xfId="43963" xr:uid="{00000000-0005-0000-0000-0000E39C0000}"/>
    <cellStyle name="Percent 15 6 5" xfId="39144" xr:uid="{00000000-0005-0000-0000-0000E49C0000}"/>
    <cellStyle name="Percent 15 7" xfId="8608" xr:uid="{00000000-0005-0000-0000-0000E59C0000}"/>
    <cellStyle name="Percent 15 7 2" xfId="26513" xr:uid="{00000000-0005-0000-0000-0000E69C0000}"/>
    <cellStyle name="Percent 15 7 2 2" xfId="41686" xr:uid="{00000000-0005-0000-0000-0000E79C0000}"/>
    <cellStyle name="Percent 15 7 3" xfId="30726" xr:uid="{00000000-0005-0000-0000-0000E89C0000}"/>
    <cellStyle name="Percent 15 7 3 2" xfId="43966" xr:uid="{00000000-0005-0000-0000-0000E99C0000}"/>
    <cellStyle name="Percent 15 7 4" xfId="34941" xr:uid="{00000000-0005-0000-0000-0000EA9C0000}"/>
    <cellStyle name="Percent 15 7 4 2" xfId="43967" xr:uid="{00000000-0005-0000-0000-0000EB9C0000}"/>
    <cellStyle name="Percent 15 7 5" xfId="43965" xr:uid="{00000000-0005-0000-0000-0000EC9C0000}"/>
    <cellStyle name="Percent 15 7 6" xfId="39145" xr:uid="{00000000-0005-0000-0000-0000ED9C0000}"/>
    <cellStyle name="Percent 15 8" xfId="8609" xr:uid="{00000000-0005-0000-0000-0000EE9C0000}"/>
    <cellStyle name="Percent 15 8 2" xfId="26514" xr:uid="{00000000-0005-0000-0000-0000EF9C0000}"/>
    <cellStyle name="Percent 15 8 2 2" xfId="41687" xr:uid="{00000000-0005-0000-0000-0000F09C0000}"/>
    <cellStyle name="Percent 15 8 3" xfId="30727" xr:uid="{00000000-0005-0000-0000-0000F19C0000}"/>
    <cellStyle name="Percent 15 8 3 2" xfId="43968" xr:uid="{00000000-0005-0000-0000-0000F29C0000}"/>
    <cellStyle name="Percent 15 8 4" xfId="34942" xr:uid="{00000000-0005-0000-0000-0000F39C0000}"/>
    <cellStyle name="Percent 15 8 5" xfId="39146" xr:uid="{00000000-0005-0000-0000-0000F49C0000}"/>
    <cellStyle name="Percent 15 9" xfId="8610" xr:uid="{00000000-0005-0000-0000-0000F59C0000}"/>
    <cellStyle name="Percent 16" xfId="9552" xr:uid="{00000000-0005-0000-0000-0000F69C0000}"/>
    <cellStyle name="Percent 16 10" xfId="43969" xr:uid="{00000000-0005-0000-0000-0000F79C0000}"/>
    <cellStyle name="Percent 16 2" xfId="8611" xr:uid="{00000000-0005-0000-0000-0000F89C0000}"/>
    <cellStyle name="Percent 16 2 2" xfId="43971" xr:uid="{00000000-0005-0000-0000-0000F99C0000}"/>
    <cellStyle name="Percent 16 2 3" xfId="43970" xr:uid="{00000000-0005-0000-0000-0000FA9C0000}"/>
    <cellStyle name="Percent 16 3" xfId="8612" xr:uid="{00000000-0005-0000-0000-0000FB9C0000}"/>
    <cellStyle name="Percent 16 3 10" xfId="8613" xr:uid="{00000000-0005-0000-0000-0000FC9C0000}"/>
    <cellStyle name="Percent 16 3 11" xfId="8614" xr:uid="{00000000-0005-0000-0000-0000FD9C0000}"/>
    <cellStyle name="Percent 16 3 12" xfId="8615" xr:uid="{00000000-0005-0000-0000-0000FE9C0000}"/>
    <cellStyle name="Percent 16 3 13" xfId="8616" xr:uid="{00000000-0005-0000-0000-0000FF9C0000}"/>
    <cellStyle name="Percent 16 3 14" xfId="8617" xr:uid="{00000000-0005-0000-0000-0000009D0000}"/>
    <cellStyle name="Percent 16 3 15" xfId="8618" xr:uid="{00000000-0005-0000-0000-0000019D0000}"/>
    <cellStyle name="Percent 16 3 16" xfId="8619" xr:uid="{00000000-0005-0000-0000-0000029D0000}"/>
    <cellStyle name="Percent 16 3 17" xfId="8620" xr:uid="{00000000-0005-0000-0000-0000039D0000}"/>
    <cellStyle name="Percent 16 3 18" xfId="43973" xr:uid="{00000000-0005-0000-0000-0000049D0000}"/>
    <cellStyle name="Percent 16 3 19" xfId="43972" xr:uid="{00000000-0005-0000-0000-0000059D0000}"/>
    <cellStyle name="Percent 16 3 2" xfId="8621" xr:uid="{00000000-0005-0000-0000-0000069D0000}"/>
    <cellStyle name="Percent 16 3 3" xfId="8622" xr:uid="{00000000-0005-0000-0000-0000079D0000}"/>
    <cellStyle name="Percent 16 3 4" xfId="8623" xr:uid="{00000000-0005-0000-0000-0000089D0000}"/>
    <cellStyle name="Percent 16 3 5" xfId="8624" xr:uid="{00000000-0005-0000-0000-0000099D0000}"/>
    <cellStyle name="Percent 16 3 6" xfId="8625" xr:uid="{00000000-0005-0000-0000-00000A9D0000}"/>
    <cellStyle name="Percent 16 3 7" xfId="8626" xr:uid="{00000000-0005-0000-0000-00000B9D0000}"/>
    <cellStyle name="Percent 16 3 8" xfId="8627" xr:uid="{00000000-0005-0000-0000-00000C9D0000}"/>
    <cellStyle name="Percent 16 3 9" xfId="8628" xr:uid="{00000000-0005-0000-0000-00000D9D0000}"/>
    <cellStyle name="Percent 16 4" xfId="8629" xr:uid="{00000000-0005-0000-0000-00000E9D0000}"/>
    <cellStyle name="Percent 16 4 10" xfId="8630" xr:uid="{00000000-0005-0000-0000-00000F9D0000}"/>
    <cellStyle name="Percent 16 4 11" xfId="8631" xr:uid="{00000000-0005-0000-0000-0000109D0000}"/>
    <cellStyle name="Percent 16 4 12" xfId="8632" xr:uid="{00000000-0005-0000-0000-0000119D0000}"/>
    <cellStyle name="Percent 16 4 13" xfId="8633" xr:uid="{00000000-0005-0000-0000-0000129D0000}"/>
    <cellStyle name="Percent 16 4 14" xfId="8634" xr:uid="{00000000-0005-0000-0000-0000139D0000}"/>
    <cellStyle name="Percent 16 4 15" xfId="8635" xr:uid="{00000000-0005-0000-0000-0000149D0000}"/>
    <cellStyle name="Percent 16 4 16" xfId="8636" xr:uid="{00000000-0005-0000-0000-0000159D0000}"/>
    <cellStyle name="Percent 16 4 17" xfId="8637" xr:uid="{00000000-0005-0000-0000-0000169D0000}"/>
    <cellStyle name="Percent 16 4 18" xfId="43975" xr:uid="{00000000-0005-0000-0000-0000179D0000}"/>
    <cellStyle name="Percent 16 4 19" xfId="43974" xr:uid="{00000000-0005-0000-0000-0000189D0000}"/>
    <cellStyle name="Percent 16 4 2" xfId="8638" xr:uid="{00000000-0005-0000-0000-0000199D0000}"/>
    <cellStyle name="Percent 16 4 3" xfId="8639" xr:uid="{00000000-0005-0000-0000-00001A9D0000}"/>
    <cellStyle name="Percent 16 4 4" xfId="8640" xr:uid="{00000000-0005-0000-0000-00001B9D0000}"/>
    <cellStyle name="Percent 16 4 5" xfId="8641" xr:uid="{00000000-0005-0000-0000-00001C9D0000}"/>
    <cellStyle name="Percent 16 4 6" xfId="8642" xr:uid="{00000000-0005-0000-0000-00001D9D0000}"/>
    <cellStyle name="Percent 16 4 7" xfId="8643" xr:uid="{00000000-0005-0000-0000-00001E9D0000}"/>
    <cellStyle name="Percent 16 4 8" xfId="8644" xr:uid="{00000000-0005-0000-0000-00001F9D0000}"/>
    <cellStyle name="Percent 16 4 9" xfId="8645" xr:uid="{00000000-0005-0000-0000-0000209D0000}"/>
    <cellStyle name="Percent 16 5" xfId="8646" xr:uid="{00000000-0005-0000-0000-0000219D0000}"/>
    <cellStyle name="Percent 16 5 10" xfId="8647" xr:uid="{00000000-0005-0000-0000-0000229D0000}"/>
    <cellStyle name="Percent 16 5 11" xfId="8648" xr:uid="{00000000-0005-0000-0000-0000239D0000}"/>
    <cellStyle name="Percent 16 5 12" xfId="8649" xr:uid="{00000000-0005-0000-0000-0000249D0000}"/>
    <cellStyle name="Percent 16 5 13" xfId="8650" xr:uid="{00000000-0005-0000-0000-0000259D0000}"/>
    <cellStyle name="Percent 16 5 14" xfId="8651" xr:uid="{00000000-0005-0000-0000-0000269D0000}"/>
    <cellStyle name="Percent 16 5 15" xfId="8652" xr:uid="{00000000-0005-0000-0000-0000279D0000}"/>
    <cellStyle name="Percent 16 5 16" xfId="8653" xr:uid="{00000000-0005-0000-0000-0000289D0000}"/>
    <cellStyle name="Percent 16 5 17" xfId="8654" xr:uid="{00000000-0005-0000-0000-0000299D0000}"/>
    <cellStyle name="Percent 16 5 18" xfId="43977" xr:uid="{00000000-0005-0000-0000-00002A9D0000}"/>
    <cellStyle name="Percent 16 5 19" xfId="43976" xr:uid="{00000000-0005-0000-0000-00002B9D0000}"/>
    <cellStyle name="Percent 16 5 2" xfId="8655" xr:uid="{00000000-0005-0000-0000-00002C9D0000}"/>
    <cellStyle name="Percent 16 5 3" xfId="8656" xr:uid="{00000000-0005-0000-0000-00002D9D0000}"/>
    <cellStyle name="Percent 16 5 4" xfId="8657" xr:uid="{00000000-0005-0000-0000-00002E9D0000}"/>
    <cellStyle name="Percent 16 5 5" xfId="8658" xr:uid="{00000000-0005-0000-0000-00002F9D0000}"/>
    <cellStyle name="Percent 16 5 6" xfId="8659" xr:uid="{00000000-0005-0000-0000-0000309D0000}"/>
    <cellStyle name="Percent 16 5 7" xfId="8660" xr:uid="{00000000-0005-0000-0000-0000319D0000}"/>
    <cellStyle name="Percent 16 5 8" xfId="8661" xr:uid="{00000000-0005-0000-0000-0000329D0000}"/>
    <cellStyle name="Percent 16 5 9" xfId="8662" xr:uid="{00000000-0005-0000-0000-0000339D0000}"/>
    <cellStyle name="Percent 16 6" xfId="8663" xr:uid="{00000000-0005-0000-0000-0000349D0000}"/>
    <cellStyle name="Percent 16 6 10" xfId="8664" xr:uid="{00000000-0005-0000-0000-0000359D0000}"/>
    <cellStyle name="Percent 16 6 11" xfId="8665" xr:uid="{00000000-0005-0000-0000-0000369D0000}"/>
    <cellStyle name="Percent 16 6 12" xfId="8666" xr:uid="{00000000-0005-0000-0000-0000379D0000}"/>
    <cellStyle name="Percent 16 6 13" xfId="8667" xr:uid="{00000000-0005-0000-0000-0000389D0000}"/>
    <cellStyle name="Percent 16 6 14" xfId="8668" xr:uid="{00000000-0005-0000-0000-0000399D0000}"/>
    <cellStyle name="Percent 16 6 15" xfId="8669" xr:uid="{00000000-0005-0000-0000-00003A9D0000}"/>
    <cellStyle name="Percent 16 6 16" xfId="8670" xr:uid="{00000000-0005-0000-0000-00003B9D0000}"/>
    <cellStyle name="Percent 16 6 17" xfId="8671" xr:uid="{00000000-0005-0000-0000-00003C9D0000}"/>
    <cellStyle name="Percent 16 6 18" xfId="43979" xr:uid="{00000000-0005-0000-0000-00003D9D0000}"/>
    <cellStyle name="Percent 16 6 19" xfId="43978" xr:uid="{00000000-0005-0000-0000-00003E9D0000}"/>
    <cellStyle name="Percent 16 6 2" xfId="8672" xr:uid="{00000000-0005-0000-0000-00003F9D0000}"/>
    <cellStyle name="Percent 16 6 3" xfId="8673" xr:uid="{00000000-0005-0000-0000-0000409D0000}"/>
    <cellStyle name="Percent 16 6 4" xfId="8674" xr:uid="{00000000-0005-0000-0000-0000419D0000}"/>
    <cellStyle name="Percent 16 6 5" xfId="8675" xr:uid="{00000000-0005-0000-0000-0000429D0000}"/>
    <cellStyle name="Percent 16 6 6" xfId="8676" xr:uid="{00000000-0005-0000-0000-0000439D0000}"/>
    <cellStyle name="Percent 16 6 7" xfId="8677" xr:uid="{00000000-0005-0000-0000-0000449D0000}"/>
    <cellStyle name="Percent 16 6 8" xfId="8678" xr:uid="{00000000-0005-0000-0000-0000459D0000}"/>
    <cellStyle name="Percent 16 6 9" xfId="8679" xr:uid="{00000000-0005-0000-0000-0000469D0000}"/>
    <cellStyle name="Percent 16 7" xfId="8680" xr:uid="{00000000-0005-0000-0000-0000479D0000}"/>
    <cellStyle name="Percent 16 7 10" xfId="8681" xr:uid="{00000000-0005-0000-0000-0000489D0000}"/>
    <cellStyle name="Percent 16 7 11" xfId="8682" xr:uid="{00000000-0005-0000-0000-0000499D0000}"/>
    <cellStyle name="Percent 16 7 12" xfId="8683" xr:uid="{00000000-0005-0000-0000-00004A9D0000}"/>
    <cellStyle name="Percent 16 7 13" xfId="8684" xr:uid="{00000000-0005-0000-0000-00004B9D0000}"/>
    <cellStyle name="Percent 16 7 14" xfId="8685" xr:uid="{00000000-0005-0000-0000-00004C9D0000}"/>
    <cellStyle name="Percent 16 7 15" xfId="8686" xr:uid="{00000000-0005-0000-0000-00004D9D0000}"/>
    <cellStyle name="Percent 16 7 16" xfId="8687" xr:uid="{00000000-0005-0000-0000-00004E9D0000}"/>
    <cellStyle name="Percent 16 7 17" xfId="8688" xr:uid="{00000000-0005-0000-0000-00004F9D0000}"/>
    <cellStyle name="Percent 16 7 18" xfId="43981" xr:uid="{00000000-0005-0000-0000-0000509D0000}"/>
    <cellStyle name="Percent 16 7 19" xfId="43980" xr:uid="{00000000-0005-0000-0000-0000519D0000}"/>
    <cellStyle name="Percent 16 7 2" xfId="8689" xr:uid="{00000000-0005-0000-0000-0000529D0000}"/>
    <cellStyle name="Percent 16 7 2 2" xfId="43983" xr:uid="{00000000-0005-0000-0000-0000539D0000}"/>
    <cellStyle name="Percent 16 7 2 3" xfId="43982" xr:uid="{00000000-0005-0000-0000-0000549D0000}"/>
    <cellStyle name="Percent 16 7 3" xfId="8690" xr:uid="{00000000-0005-0000-0000-0000559D0000}"/>
    <cellStyle name="Percent 16 7 3 2" xfId="43985" xr:uid="{00000000-0005-0000-0000-0000569D0000}"/>
    <cellStyle name="Percent 16 7 3 3" xfId="43984" xr:uid="{00000000-0005-0000-0000-0000579D0000}"/>
    <cellStyle name="Percent 16 7 4" xfId="8691" xr:uid="{00000000-0005-0000-0000-0000589D0000}"/>
    <cellStyle name="Percent 16 7 5" xfId="8692" xr:uid="{00000000-0005-0000-0000-0000599D0000}"/>
    <cellStyle name="Percent 16 7 6" xfId="8693" xr:uid="{00000000-0005-0000-0000-00005A9D0000}"/>
    <cellStyle name="Percent 16 7 7" xfId="8694" xr:uid="{00000000-0005-0000-0000-00005B9D0000}"/>
    <cellStyle name="Percent 16 7 8" xfId="8695" xr:uid="{00000000-0005-0000-0000-00005C9D0000}"/>
    <cellStyle name="Percent 16 7 9" xfId="8696" xr:uid="{00000000-0005-0000-0000-00005D9D0000}"/>
    <cellStyle name="Percent 16 8" xfId="8697" xr:uid="{00000000-0005-0000-0000-00005E9D0000}"/>
    <cellStyle name="Percent 16 8 10" xfId="8698" xr:uid="{00000000-0005-0000-0000-00005F9D0000}"/>
    <cellStyle name="Percent 16 8 11" xfId="8699" xr:uid="{00000000-0005-0000-0000-0000609D0000}"/>
    <cellStyle name="Percent 16 8 12" xfId="8700" xr:uid="{00000000-0005-0000-0000-0000619D0000}"/>
    <cellStyle name="Percent 16 8 13" xfId="8701" xr:uid="{00000000-0005-0000-0000-0000629D0000}"/>
    <cellStyle name="Percent 16 8 14" xfId="8702" xr:uid="{00000000-0005-0000-0000-0000639D0000}"/>
    <cellStyle name="Percent 16 8 15" xfId="8703" xr:uid="{00000000-0005-0000-0000-0000649D0000}"/>
    <cellStyle name="Percent 16 8 16" xfId="8704" xr:uid="{00000000-0005-0000-0000-0000659D0000}"/>
    <cellStyle name="Percent 16 8 17" xfId="8705" xr:uid="{00000000-0005-0000-0000-0000669D0000}"/>
    <cellStyle name="Percent 16 8 2" xfId="8706" xr:uid="{00000000-0005-0000-0000-0000679D0000}"/>
    <cellStyle name="Percent 16 8 3" xfId="8707" xr:uid="{00000000-0005-0000-0000-0000689D0000}"/>
    <cellStyle name="Percent 16 8 4" xfId="8708" xr:uid="{00000000-0005-0000-0000-0000699D0000}"/>
    <cellStyle name="Percent 16 8 5" xfId="8709" xr:uid="{00000000-0005-0000-0000-00006A9D0000}"/>
    <cellStyle name="Percent 16 8 6" xfId="8710" xr:uid="{00000000-0005-0000-0000-00006B9D0000}"/>
    <cellStyle name="Percent 16 8 7" xfId="8711" xr:uid="{00000000-0005-0000-0000-00006C9D0000}"/>
    <cellStyle name="Percent 16 8 8" xfId="8712" xr:uid="{00000000-0005-0000-0000-00006D9D0000}"/>
    <cellStyle name="Percent 16 8 9" xfId="8713" xr:uid="{00000000-0005-0000-0000-00006E9D0000}"/>
    <cellStyle name="Percent 16 9" xfId="8714" xr:uid="{00000000-0005-0000-0000-00006F9D0000}"/>
    <cellStyle name="Percent 16 9 10" xfId="8715" xr:uid="{00000000-0005-0000-0000-0000709D0000}"/>
    <cellStyle name="Percent 16 9 11" xfId="8716" xr:uid="{00000000-0005-0000-0000-0000719D0000}"/>
    <cellStyle name="Percent 16 9 12" xfId="8717" xr:uid="{00000000-0005-0000-0000-0000729D0000}"/>
    <cellStyle name="Percent 16 9 13" xfId="8718" xr:uid="{00000000-0005-0000-0000-0000739D0000}"/>
    <cellStyle name="Percent 16 9 14" xfId="8719" xr:uid="{00000000-0005-0000-0000-0000749D0000}"/>
    <cellStyle name="Percent 16 9 15" xfId="8720" xr:uid="{00000000-0005-0000-0000-0000759D0000}"/>
    <cellStyle name="Percent 16 9 16" xfId="8721" xr:uid="{00000000-0005-0000-0000-0000769D0000}"/>
    <cellStyle name="Percent 16 9 17" xfId="8722" xr:uid="{00000000-0005-0000-0000-0000779D0000}"/>
    <cellStyle name="Percent 16 9 2" xfId="8723" xr:uid="{00000000-0005-0000-0000-0000789D0000}"/>
    <cellStyle name="Percent 16 9 3" xfId="8724" xr:uid="{00000000-0005-0000-0000-0000799D0000}"/>
    <cellStyle name="Percent 16 9 4" xfId="8725" xr:uid="{00000000-0005-0000-0000-00007A9D0000}"/>
    <cellStyle name="Percent 16 9 5" xfId="8726" xr:uid="{00000000-0005-0000-0000-00007B9D0000}"/>
    <cellStyle name="Percent 16 9 6" xfId="8727" xr:uid="{00000000-0005-0000-0000-00007C9D0000}"/>
    <cellStyle name="Percent 16 9 7" xfId="8728" xr:uid="{00000000-0005-0000-0000-00007D9D0000}"/>
    <cellStyle name="Percent 16 9 8" xfId="8729" xr:uid="{00000000-0005-0000-0000-00007E9D0000}"/>
    <cellStyle name="Percent 16 9 9" xfId="8730" xr:uid="{00000000-0005-0000-0000-00007F9D0000}"/>
    <cellStyle name="Percent 17" xfId="8731" xr:uid="{00000000-0005-0000-0000-0000809D0000}"/>
    <cellStyle name="Percent 17 10" xfId="43986" xr:uid="{00000000-0005-0000-0000-0000819D0000}"/>
    <cellStyle name="Percent 17 2" xfId="43987" xr:uid="{00000000-0005-0000-0000-0000829D0000}"/>
    <cellStyle name="Percent 17 2 2" xfId="43988" xr:uid="{00000000-0005-0000-0000-0000839D0000}"/>
    <cellStyle name="Percent 17 3" xfId="43989" xr:uid="{00000000-0005-0000-0000-0000849D0000}"/>
    <cellStyle name="Percent 17 4" xfId="43990" xr:uid="{00000000-0005-0000-0000-0000859D0000}"/>
    <cellStyle name="Percent 17 5" xfId="43991" xr:uid="{00000000-0005-0000-0000-0000869D0000}"/>
    <cellStyle name="Percent 17 6" xfId="43992" xr:uid="{00000000-0005-0000-0000-0000879D0000}"/>
    <cellStyle name="Percent 17 7" xfId="43993" xr:uid="{00000000-0005-0000-0000-0000889D0000}"/>
    <cellStyle name="Percent 17 7 2" xfId="43994" xr:uid="{00000000-0005-0000-0000-0000899D0000}"/>
    <cellStyle name="Percent 17 7 3" xfId="43995" xr:uid="{00000000-0005-0000-0000-00008A9D0000}"/>
    <cellStyle name="Percent 17 8" xfId="43996" xr:uid="{00000000-0005-0000-0000-00008B9D0000}"/>
    <cellStyle name="Percent 17 8 2" xfId="43997" xr:uid="{00000000-0005-0000-0000-00008C9D0000}"/>
    <cellStyle name="Percent 17 9" xfId="43998" xr:uid="{00000000-0005-0000-0000-00008D9D0000}"/>
    <cellStyle name="Percent 18" xfId="9556" xr:uid="{00000000-0005-0000-0000-00008E9D0000}"/>
    <cellStyle name="Percent 18 2" xfId="27125" xr:uid="{00000000-0005-0000-0000-00008F9D0000}"/>
    <cellStyle name="Percent 18 2 2" xfId="41689" xr:uid="{00000000-0005-0000-0000-0000909D0000}"/>
    <cellStyle name="Percent 18 3" xfId="31338" xr:uid="{00000000-0005-0000-0000-0000919D0000}"/>
    <cellStyle name="Percent 18 3 2" xfId="41688" xr:uid="{00000000-0005-0000-0000-0000929D0000}"/>
    <cellStyle name="Percent 18 4" xfId="35553" xr:uid="{00000000-0005-0000-0000-0000939D0000}"/>
    <cellStyle name="Percent 18 5" xfId="39757" xr:uid="{00000000-0005-0000-0000-0000949D0000}"/>
    <cellStyle name="Percent 19" xfId="6283" xr:uid="{00000000-0005-0000-0000-0000959D0000}"/>
    <cellStyle name="Percent 19 2" xfId="25509" xr:uid="{00000000-0005-0000-0000-0000969D0000}"/>
    <cellStyle name="Percent 19 3" xfId="29721" xr:uid="{00000000-0005-0000-0000-0000979D0000}"/>
    <cellStyle name="Percent 19 4" xfId="33937" xr:uid="{00000000-0005-0000-0000-0000989D0000}"/>
    <cellStyle name="Percent 19 5" xfId="41690" xr:uid="{00000000-0005-0000-0000-0000999D0000}"/>
    <cellStyle name="Percent 2" xfId="2867" xr:uid="{00000000-0005-0000-0000-00009A9D0000}"/>
    <cellStyle name="Percent 2 10" xfId="8732" xr:uid="{00000000-0005-0000-0000-00009B9D0000}"/>
    <cellStyle name="Percent 2 10 2" xfId="8733" xr:uid="{00000000-0005-0000-0000-00009C9D0000}"/>
    <cellStyle name="Percent 2 10 3" xfId="8734" xr:uid="{00000000-0005-0000-0000-00009D9D0000}"/>
    <cellStyle name="Percent 2 10 4" xfId="8735" xr:uid="{00000000-0005-0000-0000-00009E9D0000}"/>
    <cellStyle name="Percent 2 10 5" xfId="8736" xr:uid="{00000000-0005-0000-0000-00009F9D0000}"/>
    <cellStyle name="Percent 2 10 6" xfId="8737" xr:uid="{00000000-0005-0000-0000-0000A09D0000}"/>
    <cellStyle name="Percent 2 10 7" xfId="8738" xr:uid="{00000000-0005-0000-0000-0000A19D0000}"/>
    <cellStyle name="Percent 2 10 8" xfId="8739" xr:uid="{00000000-0005-0000-0000-0000A29D0000}"/>
    <cellStyle name="Percent 2 11" xfId="8740" xr:uid="{00000000-0005-0000-0000-0000A39D0000}"/>
    <cellStyle name="Percent 2 11 2" xfId="8741" xr:uid="{00000000-0005-0000-0000-0000A49D0000}"/>
    <cellStyle name="Percent 2 11 3" xfId="8742" xr:uid="{00000000-0005-0000-0000-0000A59D0000}"/>
    <cellStyle name="Percent 2 11 4" xfId="8743" xr:uid="{00000000-0005-0000-0000-0000A69D0000}"/>
    <cellStyle name="Percent 2 11 5" xfId="8744" xr:uid="{00000000-0005-0000-0000-0000A79D0000}"/>
    <cellStyle name="Percent 2 11 6" xfId="8745" xr:uid="{00000000-0005-0000-0000-0000A89D0000}"/>
    <cellStyle name="Percent 2 11 7" xfId="8746" xr:uid="{00000000-0005-0000-0000-0000A99D0000}"/>
    <cellStyle name="Percent 2 11 8" xfId="8747" xr:uid="{00000000-0005-0000-0000-0000AA9D0000}"/>
    <cellStyle name="Percent 2 12" xfId="8748" xr:uid="{00000000-0005-0000-0000-0000AB9D0000}"/>
    <cellStyle name="Percent 2 13" xfId="8749" xr:uid="{00000000-0005-0000-0000-0000AC9D0000}"/>
    <cellStyle name="Percent 2 14" xfId="8750" xr:uid="{00000000-0005-0000-0000-0000AD9D0000}"/>
    <cellStyle name="Percent 2 15" xfId="8751" xr:uid="{00000000-0005-0000-0000-0000AE9D0000}"/>
    <cellStyle name="Percent 2 16" xfId="8752" xr:uid="{00000000-0005-0000-0000-0000AF9D0000}"/>
    <cellStyle name="Percent 2 17" xfId="8753" xr:uid="{00000000-0005-0000-0000-0000B09D0000}"/>
    <cellStyle name="Percent 2 18" xfId="8754" xr:uid="{00000000-0005-0000-0000-0000B19D0000}"/>
    <cellStyle name="Percent 2 19" xfId="8755" xr:uid="{00000000-0005-0000-0000-0000B29D0000}"/>
    <cellStyle name="Percent 2 19 2" xfId="26515" xr:uid="{00000000-0005-0000-0000-0000B39D0000}"/>
    <cellStyle name="Percent 2 19 2 2" xfId="41691" xr:uid="{00000000-0005-0000-0000-0000B49D0000}"/>
    <cellStyle name="Percent 2 19 3" xfId="30728" xr:uid="{00000000-0005-0000-0000-0000B59D0000}"/>
    <cellStyle name="Percent 2 19 4" xfId="34943" xr:uid="{00000000-0005-0000-0000-0000B69D0000}"/>
    <cellStyle name="Percent 2 19 5" xfId="39147" xr:uid="{00000000-0005-0000-0000-0000B79D0000}"/>
    <cellStyle name="Percent 2 2" xfId="2868" xr:uid="{00000000-0005-0000-0000-0000B89D0000}"/>
    <cellStyle name="Percent 2 2 10" xfId="10177" xr:uid="{00000000-0005-0000-0000-0000B99D0000}"/>
    <cellStyle name="Percent 2 2 11" xfId="4320" xr:uid="{00000000-0005-0000-0000-0000BA9D0000}"/>
    <cellStyle name="Percent 2 2 12" xfId="3076" xr:uid="{00000000-0005-0000-0000-0000BB9D0000}"/>
    <cellStyle name="Percent 2 2 2" xfId="5717" xr:uid="{00000000-0005-0000-0000-0000BC9D0000}"/>
    <cellStyle name="Percent 2 2 2 2" xfId="6947" xr:uid="{00000000-0005-0000-0000-0000BD9D0000}"/>
    <cellStyle name="Percent 2 2 2 2 2" xfId="25635" xr:uid="{00000000-0005-0000-0000-0000BE9D0000}"/>
    <cellStyle name="Percent 2 2 2 2 3" xfId="29848" xr:uid="{00000000-0005-0000-0000-0000BF9D0000}"/>
    <cellStyle name="Percent 2 2 2 2 4" xfId="34063" xr:uid="{00000000-0005-0000-0000-0000C09D0000}"/>
    <cellStyle name="Percent 2 2 2 2 5" xfId="38267" xr:uid="{00000000-0005-0000-0000-0000C19D0000}"/>
    <cellStyle name="Percent 2 2 2 3" xfId="8756" xr:uid="{00000000-0005-0000-0000-0000C29D0000}"/>
    <cellStyle name="Percent 2 2 2 4" xfId="6423" xr:uid="{00000000-0005-0000-0000-0000C39D0000}"/>
    <cellStyle name="Percent 2 2 3" xfId="6240" xr:uid="{00000000-0005-0000-0000-0000C49D0000}"/>
    <cellStyle name="Percent 2 2 3 2" xfId="6241" xr:uid="{00000000-0005-0000-0000-0000C59D0000}"/>
    <cellStyle name="Percent 2 2 3 2 2" xfId="6949" xr:uid="{00000000-0005-0000-0000-0000C69D0000}"/>
    <cellStyle name="Percent 2 2 3 2 2 2" xfId="25637" xr:uid="{00000000-0005-0000-0000-0000C79D0000}"/>
    <cellStyle name="Percent 2 2 3 2 2 3" xfId="29850" xr:uid="{00000000-0005-0000-0000-0000C89D0000}"/>
    <cellStyle name="Percent 2 2 3 2 2 4" xfId="34065" xr:uid="{00000000-0005-0000-0000-0000C99D0000}"/>
    <cellStyle name="Percent 2 2 3 2 2 5" xfId="38269" xr:uid="{00000000-0005-0000-0000-0000CA9D0000}"/>
    <cellStyle name="Percent 2 2 3 2 3" xfId="6425" xr:uid="{00000000-0005-0000-0000-0000CB9D0000}"/>
    <cellStyle name="Percent 2 2 3 2 4" xfId="11696" xr:uid="{00000000-0005-0000-0000-0000CC9D0000}"/>
    <cellStyle name="Percent 2 2 3 3" xfId="6242" xr:uid="{00000000-0005-0000-0000-0000CD9D0000}"/>
    <cellStyle name="Percent 2 2 3 3 2" xfId="6950" xr:uid="{00000000-0005-0000-0000-0000CE9D0000}"/>
    <cellStyle name="Percent 2 2 3 3 2 2" xfId="25638" xr:uid="{00000000-0005-0000-0000-0000CF9D0000}"/>
    <cellStyle name="Percent 2 2 3 3 2 3" xfId="29851" xr:uid="{00000000-0005-0000-0000-0000D09D0000}"/>
    <cellStyle name="Percent 2 2 3 3 2 4" xfId="34066" xr:uid="{00000000-0005-0000-0000-0000D19D0000}"/>
    <cellStyle name="Percent 2 2 3 3 2 5" xfId="38270" xr:uid="{00000000-0005-0000-0000-0000D29D0000}"/>
    <cellStyle name="Percent 2 2 3 3 3" xfId="6426" xr:uid="{00000000-0005-0000-0000-0000D39D0000}"/>
    <cellStyle name="Percent 2 2 3 3 4" xfId="11697" xr:uid="{00000000-0005-0000-0000-0000D49D0000}"/>
    <cellStyle name="Percent 2 2 3 4" xfId="6948" xr:uid="{00000000-0005-0000-0000-0000D59D0000}"/>
    <cellStyle name="Percent 2 2 3 4 2" xfId="25636" xr:uid="{00000000-0005-0000-0000-0000D69D0000}"/>
    <cellStyle name="Percent 2 2 3 4 3" xfId="29849" xr:uid="{00000000-0005-0000-0000-0000D79D0000}"/>
    <cellStyle name="Percent 2 2 3 4 4" xfId="34064" xr:uid="{00000000-0005-0000-0000-0000D89D0000}"/>
    <cellStyle name="Percent 2 2 3 4 5" xfId="38268" xr:uid="{00000000-0005-0000-0000-0000D99D0000}"/>
    <cellStyle name="Percent 2 2 3 5" xfId="8757" xr:uid="{00000000-0005-0000-0000-0000DA9D0000}"/>
    <cellStyle name="Percent 2 2 3 6" xfId="6424" xr:uid="{00000000-0005-0000-0000-0000DB9D0000}"/>
    <cellStyle name="Percent 2 2 4" xfId="6243" xr:uid="{00000000-0005-0000-0000-0000DC9D0000}"/>
    <cellStyle name="Percent 2 2 4 2" xfId="6951" xr:uid="{00000000-0005-0000-0000-0000DD9D0000}"/>
    <cellStyle name="Percent 2 2 4 2 2" xfId="25639" xr:uid="{00000000-0005-0000-0000-0000DE9D0000}"/>
    <cellStyle name="Percent 2 2 4 2 3" xfId="29852" xr:uid="{00000000-0005-0000-0000-0000DF9D0000}"/>
    <cellStyle name="Percent 2 2 4 2 4" xfId="34067" xr:uid="{00000000-0005-0000-0000-0000E09D0000}"/>
    <cellStyle name="Percent 2 2 4 2 5" xfId="38271" xr:uid="{00000000-0005-0000-0000-0000E19D0000}"/>
    <cellStyle name="Percent 2 2 4 3" xfId="8758" xr:uid="{00000000-0005-0000-0000-0000E29D0000}"/>
    <cellStyle name="Percent 2 2 4 4" xfId="6427" xr:uid="{00000000-0005-0000-0000-0000E39D0000}"/>
    <cellStyle name="Percent 2 2 4 5" xfId="11698" xr:uid="{00000000-0005-0000-0000-0000E49D0000}"/>
    <cellStyle name="Percent 2 2 5" xfId="5492" xr:uid="{00000000-0005-0000-0000-0000E59D0000}"/>
    <cellStyle name="Percent 2 2 5 2" xfId="8759" xr:uid="{00000000-0005-0000-0000-0000E69D0000}"/>
    <cellStyle name="Percent 2 2 5 3" xfId="6428" xr:uid="{00000000-0005-0000-0000-0000E79D0000}"/>
    <cellStyle name="Percent 2 2 5 4" xfId="11338" xr:uid="{00000000-0005-0000-0000-0000E89D0000}"/>
    <cellStyle name="Percent 2 2 5 4 2" xfId="28125" xr:uid="{00000000-0005-0000-0000-0000E99D0000}"/>
    <cellStyle name="Percent 2 2 5 4 3" xfId="32338" xr:uid="{00000000-0005-0000-0000-0000EA9D0000}"/>
    <cellStyle name="Percent 2 2 5 4 4" xfId="36553" xr:uid="{00000000-0005-0000-0000-0000EB9D0000}"/>
    <cellStyle name="Percent 2 2 5 4 5" xfId="40757" xr:uid="{00000000-0005-0000-0000-0000EC9D0000}"/>
    <cellStyle name="Percent 2 2 5 5" xfId="24980" xr:uid="{00000000-0005-0000-0000-0000ED9D0000}"/>
    <cellStyle name="Percent 2 2 5 6" xfId="29192" xr:uid="{00000000-0005-0000-0000-0000EE9D0000}"/>
    <cellStyle name="Percent 2 2 5 7" xfId="33408" xr:uid="{00000000-0005-0000-0000-0000EF9D0000}"/>
    <cellStyle name="Percent 2 2 5 8" xfId="37612" xr:uid="{00000000-0005-0000-0000-0000F09D0000}"/>
    <cellStyle name="Percent 2 2 6" xfId="6946" xr:uid="{00000000-0005-0000-0000-0000F19D0000}"/>
    <cellStyle name="Percent 2 2 6 2" xfId="8760" xr:uid="{00000000-0005-0000-0000-0000F29D0000}"/>
    <cellStyle name="Percent 2 2 6 3" xfId="25634" xr:uid="{00000000-0005-0000-0000-0000F39D0000}"/>
    <cellStyle name="Percent 2 2 6 4" xfId="29847" xr:uid="{00000000-0005-0000-0000-0000F49D0000}"/>
    <cellStyle name="Percent 2 2 6 5" xfId="34062" xr:uid="{00000000-0005-0000-0000-0000F59D0000}"/>
    <cellStyle name="Percent 2 2 6 6" xfId="38266" xr:uid="{00000000-0005-0000-0000-0000F69D0000}"/>
    <cellStyle name="Percent 2 2 7" xfId="7188" xr:uid="{00000000-0005-0000-0000-0000F79D0000}"/>
    <cellStyle name="Percent 2 2 8" xfId="8761" xr:uid="{00000000-0005-0000-0000-0000F89D0000}"/>
    <cellStyle name="Percent 2 2 9" xfId="6422" xr:uid="{00000000-0005-0000-0000-0000F99D0000}"/>
    <cellStyle name="Percent 2 2 9 2" xfId="41692" xr:uid="{00000000-0005-0000-0000-0000FA9D0000}"/>
    <cellStyle name="Percent 2 20" xfId="6421" xr:uid="{00000000-0005-0000-0000-0000FB9D0000}"/>
    <cellStyle name="Percent 2 20 2" xfId="44000" xr:uid="{00000000-0005-0000-0000-0000FC9D0000}"/>
    <cellStyle name="Percent 2 20 3" xfId="43999" xr:uid="{00000000-0005-0000-0000-0000FD9D0000}"/>
    <cellStyle name="Percent 2 21" xfId="3141" xr:uid="{00000000-0005-0000-0000-0000FE9D0000}"/>
    <cellStyle name="Percent 2 22" xfId="3075" xr:uid="{00000000-0005-0000-0000-0000FF9D0000}"/>
    <cellStyle name="Percent 2 23" xfId="44001" xr:uid="{00000000-0005-0000-0000-0000009E0000}"/>
    <cellStyle name="Percent 2 24" xfId="44002" xr:uid="{00000000-0005-0000-0000-0000019E0000}"/>
    <cellStyle name="Percent 2 25" xfId="44003" xr:uid="{00000000-0005-0000-0000-0000029E0000}"/>
    <cellStyle name="Percent 2 26" xfId="44004" xr:uid="{00000000-0005-0000-0000-0000039E0000}"/>
    <cellStyle name="Percent 2 27" xfId="44005" xr:uid="{00000000-0005-0000-0000-0000049E0000}"/>
    <cellStyle name="Percent 2 28" xfId="44006" xr:uid="{00000000-0005-0000-0000-0000059E0000}"/>
    <cellStyle name="Percent 2 29" xfId="44007" xr:uid="{00000000-0005-0000-0000-0000069E0000}"/>
    <cellStyle name="Percent 2 3" xfId="4321" xr:uid="{00000000-0005-0000-0000-0000079E0000}"/>
    <cellStyle name="Percent 2 3 10" xfId="6429" xr:uid="{00000000-0005-0000-0000-0000089E0000}"/>
    <cellStyle name="Percent 2 3 10 2" xfId="44008" xr:uid="{00000000-0005-0000-0000-0000099E0000}"/>
    <cellStyle name="Percent 2 3 11" xfId="44009" xr:uid="{00000000-0005-0000-0000-00000A9E0000}"/>
    <cellStyle name="Percent 2 3 12" xfId="44010" xr:uid="{00000000-0005-0000-0000-00000B9E0000}"/>
    <cellStyle name="Percent 2 3 13" xfId="44011" xr:uid="{00000000-0005-0000-0000-00000C9E0000}"/>
    <cellStyle name="Percent 2 3 14" xfId="44012" xr:uid="{00000000-0005-0000-0000-00000D9E0000}"/>
    <cellStyle name="Percent 2 3 15" xfId="44013" xr:uid="{00000000-0005-0000-0000-00000E9E0000}"/>
    <cellStyle name="Percent 2 3 2" xfId="5494" xr:uid="{00000000-0005-0000-0000-00000F9E0000}"/>
    <cellStyle name="Percent 2 3 2 10" xfId="33410" xr:uid="{00000000-0005-0000-0000-0000109E0000}"/>
    <cellStyle name="Percent 2 3 2 11" xfId="37614" xr:uid="{00000000-0005-0000-0000-0000119E0000}"/>
    <cellStyle name="Percent 2 3 2 2" xfId="5495" xr:uid="{00000000-0005-0000-0000-0000129E0000}"/>
    <cellStyle name="Percent 2 3 2 2 2" xfId="6244" xr:uid="{00000000-0005-0000-0000-0000139E0000}"/>
    <cellStyle name="Percent 2 3 2 2 2 2" xfId="6954" xr:uid="{00000000-0005-0000-0000-0000149E0000}"/>
    <cellStyle name="Percent 2 3 2 2 2 2 2" xfId="25642" xr:uid="{00000000-0005-0000-0000-0000159E0000}"/>
    <cellStyle name="Percent 2 3 2 2 2 2 3" xfId="29855" xr:uid="{00000000-0005-0000-0000-0000169E0000}"/>
    <cellStyle name="Percent 2 3 2 2 2 2 4" xfId="34070" xr:uid="{00000000-0005-0000-0000-0000179E0000}"/>
    <cellStyle name="Percent 2 3 2 2 2 2 5" xfId="38274" xr:uid="{00000000-0005-0000-0000-0000189E0000}"/>
    <cellStyle name="Percent 2 3 2 2 2 3" xfId="11699" xr:uid="{00000000-0005-0000-0000-0000199E0000}"/>
    <cellStyle name="Percent 2 3 2 2 3" xfId="6431" xr:uid="{00000000-0005-0000-0000-00001A9E0000}"/>
    <cellStyle name="Percent 2 3 2 2 4" xfId="24983" xr:uid="{00000000-0005-0000-0000-00001B9E0000}"/>
    <cellStyle name="Percent 2 3 2 2 5" xfId="29195" xr:uid="{00000000-0005-0000-0000-00001C9E0000}"/>
    <cellStyle name="Percent 2 3 2 2 6" xfId="33411" xr:uid="{00000000-0005-0000-0000-00001D9E0000}"/>
    <cellStyle name="Percent 2 3 2 2 7" xfId="37615" xr:uid="{00000000-0005-0000-0000-00001E9E0000}"/>
    <cellStyle name="Percent 2 3 2 3" xfId="5885" xr:uid="{00000000-0005-0000-0000-00001F9E0000}"/>
    <cellStyle name="Percent 2 3 2 3 2" xfId="6955" xr:uid="{00000000-0005-0000-0000-0000209E0000}"/>
    <cellStyle name="Percent 2 3 2 3 2 2" xfId="25643" xr:uid="{00000000-0005-0000-0000-0000219E0000}"/>
    <cellStyle name="Percent 2 3 2 3 2 3" xfId="29856" xr:uid="{00000000-0005-0000-0000-0000229E0000}"/>
    <cellStyle name="Percent 2 3 2 3 2 4" xfId="34071" xr:uid="{00000000-0005-0000-0000-0000239E0000}"/>
    <cellStyle name="Percent 2 3 2 3 2 5" xfId="38275" xr:uid="{00000000-0005-0000-0000-0000249E0000}"/>
    <cellStyle name="Percent 2 3 2 3 3" xfId="6432" xr:uid="{00000000-0005-0000-0000-0000259E0000}"/>
    <cellStyle name="Percent 2 3 2 3 4" xfId="11398" xr:uid="{00000000-0005-0000-0000-0000269E0000}"/>
    <cellStyle name="Percent 2 3 2 4" xfId="6319" xr:uid="{00000000-0005-0000-0000-0000279E0000}"/>
    <cellStyle name="Percent 2 3 2 4 2" xfId="6433" xr:uid="{00000000-0005-0000-0000-0000289E0000}"/>
    <cellStyle name="Percent 2 3 2 5" xfId="6953" xr:uid="{00000000-0005-0000-0000-0000299E0000}"/>
    <cellStyle name="Percent 2 3 2 5 2" xfId="25641" xr:uid="{00000000-0005-0000-0000-00002A9E0000}"/>
    <cellStyle name="Percent 2 3 2 5 3" xfId="29854" xr:uid="{00000000-0005-0000-0000-00002B9E0000}"/>
    <cellStyle name="Percent 2 3 2 5 4" xfId="34069" xr:uid="{00000000-0005-0000-0000-00002C9E0000}"/>
    <cellStyle name="Percent 2 3 2 5 5" xfId="38273" xr:uid="{00000000-0005-0000-0000-00002D9E0000}"/>
    <cellStyle name="Percent 2 3 2 6" xfId="8763" xr:uid="{00000000-0005-0000-0000-00002E9E0000}"/>
    <cellStyle name="Percent 2 3 2 7" xfId="6430" xr:uid="{00000000-0005-0000-0000-00002F9E0000}"/>
    <cellStyle name="Percent 2 3 2 8" xfId="24982" xr:uid="{00000000-0005-0000-0000-0000309E0000}"/>
    <cellStyle name="Percent 2 3 2 9" xfId="29194" xr:uid="{00000000-0005-0000-0000-0000319E0000}"/>
    <cellStyle name="Percent 2 3 3" xfId="5496" xr:uid="{00000000-0005-0000-0000-0000329E0000}"/>
    <cellStyle name="Percent 2 3 3 10" xfId="33412" xr:uid="{00000000-0005-0000-0000-0000339E0000}"/>
    <cellStyle name="Percent 2 3 3 11" xfId="37616" xr:uid="{00000000-0005-0000-0000-0000349E0000}"/>
    <cellStyle name="Percent 2 3 3 2" xfId="5886" xr:uid="{00000000-0005-0000-0000-0000359E0000}"/>
    <cellStyle name="Percent 2 3 3 2 2" xfId="6957" xr:uid="{00000000-0005-0000-0000-0000369E0000}"/>
    <cellStyle name="Percent 2 3 3 2 2 2" xfId="25645" xr:uid="{00000000-0005-0000-0000-0000379E0000}"/>
    <cellStyle name="Percent 2 3 3 2 2 3" xfId="29858" xr:uid="{00000000-0005-0000-0000-0000389E0000}"/>
    <cellStyle name="Percent 2 3 3 2 2 4" xfId="34073" xr:uid="{00000000-0005-0000-0000-0000399E0000}"/>
    <cellStyle name="Percent 2 3 3 2 2 5" xfId="38277" xr:uid="{00000000-0005-0000-0000-00003A9E0000}"/>
    <cellStyle name="Percent 2 3 3 2 3" xfId="6435" xr:uid="{00000000-0005-0000-0000-00003B9E0000}"/>
    <cellStyle name="Percent 2 3 3 2 4" xfId="11399" xr:uid="{00000000-0005-0000-0000-00003C9E0000}"/>
    <cellStyle name="Percent 2 3 3 3" xfId="6245" xr:uid="{00000000-0005-0000-0000-00003D9E0000}"/>
    <cellStyle name="Percent 2 3 3 3 2" xfId="6246" xr:uid="{00000000-0005-0000-0000-00003E9E0000}"/>
    <cellStyle name="Percent 2 3 3 3 2 2" xfId="6959" xr:uid="{00000000-0005-0000-0000-00003F9E0000}"/>
    <cellStyle name="Percent 2 3 3 3 2 2 2" xfId="25647" xr:uid="{00000000-0005-0000-0000-0000409E0000}"/>
    <cellStyle name="Percent 2 3 3 3 2 2 3" xfId="29860" xr:uid="{00000000-0005-0000-0000-0000419E0000}"/>
    <cellStyle name="Percent 2 3 3 3 2 2 4" xfId="34075" xr:uid="{00000000-0005-0000-0000-0000429E0000}"/>
    <cellStyle name="Percent 2 3 3 3 2 2 5" xfId="38279" xr:uid="{00000000-0005-0000-0000-0000439E0000}"/>
    <cellStyle name="Percent 2 3 3 3 2 3" xfId="6437" xr:uid="{00000000-0005-0000-0000-0000449E0000}"/>
    <cellStyle name="Percent 2 3 3 3 2 4" xfId="11701" xr:uid="{00000000-0005-0000-0000-0000459E0000}"/>
    <cellStyle name="Percent 2 3 3 3 3" xfId="6247" xr:uid="{00000000-0005-0000-0000-0000469E0000}"/>
    <cellStyle name="Percent 2 3 3 3 3 2" xfId="6960" xr:uid="{00000000-0005-0000-0000-0000479E0000}"/>
    <cellStyle name="Percent 2 3 3 3 3 2 2" xfId="25648" xr:uid="{00000000-0005-0000-0000-0000489E0000}"/>
    <cellStyle name="Percent 2 3 3 3 3 2 3" xfId="29861" xr:uid="{00000000-0005-0000-0000-0000499E0000}"/>
    <cellStyle name="Percent 2 3 3 3 3 2 4" xfId="34076" xr:uid="{00000000-0005-0000-0000-00004A9E0000}"/>
    <cellStyle name="Percent 2 3 3 3 3 2 5" xfId="38280" xr:uid="{00000000-0005-0000-0000-00004B9E0000}"/>
    <cellStyle name="Percent 2 3 3 3 3 3" xfId="6438" xr:uid="{00000000-0005-0000-0000-00004C9E0000}"/>
    <cellStyle name="Percent 2 3 3 3 3 4" xfId="11702" xr:uid="{00000000-0005-0000-0000-00004D9E0000}"/>
    <cellStyle name="Percent 2 3 3 3 4" xfId="6958" xr:uid="{00000000-0005-0000-0000-00004E9E0000}"/>
    <cellStyle name="Percent 2 3 3 3 4 2" xfId="25646" xr:uid="{00000000-0005-0000-0000-00004F9E0000}"/>
    <cellStyle name="Percent 2 3 3 3 4 3" xfId="29859" xr:uid="{00000000-0005-0000-0000-0000509E0000}"/>
    <cellStyle name="Percent 2 3 3 3 4 4" xfId="34074" xr:uid="{00000000-0005-0000-0000-0000519E0000}"/>
    <cellStyle name="Percent 2 3 3 3 4 5" xfId="38278" xr:uid="{00000000-0005-0000-0000-0000529E0000}"/>
    <cellStyle name="Percent 2 3 3 3 5" xfId="6436" xr:uid="{00000000-0005-0000-0000-0000539E0000}"/>
    <cellStyle name="Percent 2 3 3 3 6" xfId="11700" xr:uid="{00000000-0005-0000-0000-0000549E0000}"/>
    <cellStyle name="Percent 2 3 3 4" xfId="6320" xr:uid="{00000000-0005-0000-0000-0000559E0000}"/>
    <cellStyle name="Percent 2 3 3 4 2" xfId="6439" xr:uid="{00000000-0005-0000-0000-0000569E0000}"/>
    <cellStyle name="Percent 2 3 3 5" xfId="6956" xr:uid="{00000000-0005-0000-0000-0000579E0000}"/>
    <cellStyle name="Percent 2 3 3 5 2" xfId="25644" xr:uid="{00000000-0005-0000-0000-0000589E0000}"/>
    <cellStyle name="Percent 2 3 3 5 3" xfId="29857" xr:uid="{00000000-0005-0000-0000-0000599E0000}"/>
    <cellStyle name="Percent 2 3 3 5 4" xfId="34072" xr:uid="{00000000-0005-0000-0000-00005A9E0000}"/>
    <cellStyle name="Percent 2 3 3 5 5" xfId="38276" xr:uid="{00000000-0005-0000-0000-00005B9E0000}"/>
    <cellStyle name="Percent 2 3 3 6" xfId="8764" xr:uid="{00000000-0005-0000-0000-00005C9E0000}"/>
    <cellStyle name="Percent 2 3 3 7" xfId="6434" xr:uid="{00000000-0005-0000-0000-00005D9E0000}"/>
    <cellStyle name="Percent 2 3 3 8" xfId="24984" xr:uid="{00000000-0005-0000-0000-00005E9E0000}"/>
    <cellStyle name="Percent 2 3 3 9" xfId="29196" xr:uid="{00000000-0005-0000-0000-00005F9E0000}"/>
    <cellStyle name="Percent 2 3 4" xfId="5497" xr:uid="{00000000-0005-0000-0000-0000609E0000}"/>
    <cellStyle name="Percent 2 3 4 2" xfId="6248" xr:uid="{00000000-0005-0000-0000-0000619E0000}"/>
    <cellStyle name="Percent 2 3 4 2 2" xfId="6961" xr:uid="{00000000-0005-0000-0000-0000629E0000}"/>
    <cellStyle name="Percent 2 3 4 2 2 2" xfId="25649" xr:uid="{00000000-0005-0000-0000-0000639E0000}"/>
    <cellStyle name="Percent 2 3 4 2 2 3" xfId="29862" xr:uid="{00000000-0005-0000-0000-0000649E0000}"/>
    <cellStyle name="Percent 2 3 4 2 2 4" xfId="34077" xr:uid="{00000000-0005-0000-0000-0000659E0000}"/>
    <cellStyle name="Percent 2 3 4 2 2 5" xfId="38281" xr:uid="{00000000-0005-0000-0000-0000669E0000}"/>
    <cellStyle name="Percent 2 3 4 2 3" xfId="11703" xr:uid="{00000000-0005-0000-0000-0000679E0000}"/>
    <cellStyle name="Percent 2 3 4 3" xfId="8765" xr:uid="{00000000-0005-0000-0000-0000689E0000}"/>
    <cellStyle name="Percent 2 3 4 4" xfId="6440" xr:uid="{00000000-0005-0000-0000-0000699E0000}"/>
    <cellStyle name="Percent 2 3 4 5" xfId="24985" xr:uid="{00000000-0005-0000-0000-00006A9E0000}"/>
    <cellStyle name="Percent 2 3 4 6" xfId="29197" xr:uid="{00000000-0005-0000-0000-00006B9E0000}"/>
    <cellStyle name="Percent 2 3 4 7" xfId="33413" xr:uid="{00000000-0005-0000-0000-00006C9E0000}"/>
    <cellStyle name="Percent 2 3 4 8" xfId="37617" xr:uid="{00000000-0005-0000-0000-00006D9E0000}"/>
    <cellStyle name="Percent 2 3 5" xfId="5718" xr:uid="{00000000-0005-0000-0000-00006E9E0000}"/>
    <cellStyle name="Percent 2 3 5 2" xfId="6962" xr:uid="{00000000-0005-0000-0000-00006F9E0000}"/>
    <cellStyle name="Percent 2 3 5 2 2" xfId="25650" xr:uid="{00000000-0005-0000-0000-0000709E0000}"/>
    <cellStyle name="Percent 2 3 5 2 3" xfId="29863" xr:uid="{00000000-0005-0000-0000-0000719E0000}"/>
    <cellStyle name="Percent 2 3 5 2 4" xfId="34078" xr:uid="{00000000-0005-0000-0000-0000729E0000}"/>
    <cellStyle name="Percent 2 3 5 2 5" xfId="38282" xr:uid="{00000000-0005-0000-0000-0000739E0000}"/>
    <cellStyle name="Percent 2 3 5 3" xfId="8766" xr:uid="{00000000-0005-0000-0000-0000749E0000}"/>
    <cellStyle name="Percent 2 3 5 4" xfId="6441" xr:uid="{00000000-0005-0000-0000-0000759E0000}"/>
    <cellStyle name="Percent 2 3 5 5" xfId="11362" xr:uid="{00000000-0005-0000-0000-0000769E0000}"/>
    <cellStyle name="Percent 2 3 6" xfId="5493" xr:uid="{00000000-0005-0000-0000-0000779E0000}"/>
    <cellStyle name="Percent 2 3 6 2" xfId="8767" xr:uid="{00000000-0005-0000-0000-0000789E0000}"/>
    <cellStyle name="Percent 2 3 6 3" xfId="6442" xr:uid="{00000000-0005-0000-0000-0000799E0000}"/>
    <cellStyle name="Percent 2 3 6 4" xfId="9671" xr:uid="{00000000-0005-0000-0000-00007A9E0000}"/>
    <cellStyle name="Percent 2 3 6 4 2" xfId="11339" xr:uid="{00000000-0005-0000-0000-00007B9E0000}"/>
    <cellStyle name="Percent 2 3 6 4 2 2" xfId="28126" xr:uid="{00000000-0005-0000-0000-00007C9E0000}"/>
    <cellStyle name="Percent 2 3 6 4 2 3" xfId="32339" xr:uid="{00000000-0005-0000-0000-00007D9E0000}"/>
    <cellStyle name="Percent 2 3 6 4 2 4" xfId="36554" xr:uid="{00000000-0005-0000-0000-00007E9E0000}"/>
    <cellStyle name="Percent 2 3 6 4 2 5" xfId="40758" xr:uid="{00000000-0005-0000-0000-00007F9E0000}"/>
    <cellStyle name="Percent 2 3 6 5" xfId="24981" xr:uid="{00000000-0005-0000-0000-0000809E0000}"/>
    <cellStyle name="Percent 2 3 6 6" xfId="29193" xr:uid="{00000000-0005-0000-0000-0000819E0000}"/>
    <cellStyle name="Percent 2 3 6 7" xfId="33409" xr:uid="{00000000-0005-0000-0000-0000829E0000}"/>
    <cellStyle name="Percent 2 3 6 8" xfId="37613" xr:uid="{00000000-0005-0000-0000-0000839E0000}"/>
    <cellStyle name="Percent 2 3 7" xfId="6952" xr:uid="{00000000-0005-0000-0000-0000849E0000}"/>
    <cellStyle name="Percent 2 3 7 2" xfId="8768" xr:uid="{00000000-0005-0000-0000-0000859E0000}"/>
    <cellStyle name="Percent 2 3 7 3" xfId="25640" xr:uid="{00000000-0005-0000-0000-0000869E0000}"/>
    <cellStyle name="Percent 2 3 7 4" xfId="29853" xr:uid="{00000000-0005-0000-0000-0000879E0000}"/>
    <cellStyle name="Percent 2 3 7 5" xfId="34068" xr:uid="{00000000-0005-0000-0000-0000889E0000}"/>
    <cellStyle name="Percent 2 3 7 6" xfId="38272" xr:uid="{00000000-0005-0000-0000-0000899E0000}"/>
    <cellStyle name="Percent 2 3 8" xfId="8769" xr:uid="{00000000-0005-0000-0000-00008A9E0000}"/>
    <cellStyle name="Percent 2 3 9" xfId="8762" xr:uid="{00000000-0005-0000-0000-00008B9E0000}"/>
    <cellStyle name="Percent 2 30" xfId="44014" xr:uid="{00000000-0005-0000-0000-00008C9E0000}"/>
    <cellStyle name="Percent 2 31" xfId="44015" xr:uid="{00000000-0005-0000-0000-00008D9E0000}"/>
    <cellStyle name="Percent 2 32" xfId="44016" xr:uid="{00000000-0005-0000-0000-00008E9E0000}"/>
    <cellStyle name="Percent 2 33" xfId="44017" xr:uid="{00000000-0005-0000-0000-00008F9E0000}"/>
    <cellStyle name="Percent 2 34" xfId="44018" xr:uid="{00000000-0005-0000-0000-0000909E0000}"/>
    <cellStyle name="Percent 2 35" xfId="44019" xr:uid="{00000000-0005-0000-0000-0000919E0000}"/>
    <cellStyle name="Percent 2 36" xfId="44020" xr:uid="{00000000-0005-0000-0000-0000929E0000}"/>
    <cellStyle name="Percent 2 37" xfId="44021" xr:uid="{00000000-0005-0000-0000-0000939E0000}"/>
    <cellStyle name="Percent 2 38" xfId="44022" xr:uid="{00000000-0005-0000-0000-0000949E0000}"/>
    <cellStyle name="Percent 2 39" xfId="44023" xr:uid="{00000000-0005-0000-0000-0000959E0000}"/>
    <cellStyle name="Percent 2 4" xfId="4322" xr:uid="{00000000-0005-0000-0000-0000969E0000}"/>
    <cellStyle name="Percent 2 4 10" xfId="6443" xr:uid="{00000000-0005-0000-0000-0000979E0000}"/>
    <cellStyle name="Percent 2 4 10 2" xfId="44024" xr:uid="{00000000-0005-0000-0000-0000989E0000}"/>
    <cellStyle name="Percent 2 4 11" xfId="11223" xr:uid="{00000000-0005-0000-0000-0000999E0000}"/>
    <cellStyle name="Percent 2 4 11 2" xfId="28086" xr:uid="{00000000-0005-0000-0000-00009A9E0000}"/>
    <cellStyle name="Percent 2 4 11 2 2" xfId="44025" xr:uid="{00000000-0005-0000-0000-00009B9E0000}"/>
    <cellStyle name="Percent 2 4 11 3" xfId="32299" xr:uid="{00000000-0005-0000-0000-00009C9E0000}"/>
    <cellStyle name="Percent 2 4 11 4" xfId="36514" xr:uid="{00000000-0005-0000-0000-00009D9E0000}"/>
    <cellStyle name="Percent 2 4 11 5" xfId="40718" xr:uid="{00000000-0005-0000-0000-00009E9E0000}"/>
    <cellStyle name="Percent 2 4 12" xfId="12255" xr:uid="{00000000-0005-0000-0000-00009F9E0000}"/>
    <cellStyle name="Percent 2 4 12 2" xfId="28823" xr:uid="{00000000-0005-0000-0000-0000A09E0000}"/>
    <cellStyle name="Percent 2 4 12 3" xfId="33036" xr:uid="{00000000-0005-0000-0000-0000A19E0000}"/>
    <cellStyle name="Percent 2 4 12 4" xfId="37251" xr:uid="{00000000-0005-0000-0000-0000A29E0000}"/>
    <cellStyle name="Percent 2 4 12 5" xfId="44026" xr:uid="{00000000-0005-0000-0000-0000A39E0000}"/>
    <cellStyle name="Percent 2 4 13" xfId="23464" xr:uid="{00000000-0005-0000-0000-0000A49E0000}"/>
    <cellStyle name="Percent 2 4 13 2" xfId="28964" xr:uid="{00000000-0005-0000-0000-0000A59E0000}"/>
    <cellStyle name="Percent 2 4 13 3" xfId="33181" xr:uid="{00000000-0005-0000-0000-0000A69E0000}"/>
    <cellStyle name="Percent 2 4 13 4" xfId="37392" xr:uid="{00000000-0005-0000-0000-0000A79E0000}"/>
    <cellStyle name="Percent 2 4 13 5" xfId="44027" xr:uid="{00000000-0005-0000-0000-0000A89E0000}"/>
    <cellStyle name="Percent 2 4 14" xfId="24892" xr:uid="{00000000-0005-0000-0000-0000A99E0000}"/>
    <cellStyle name="Percent 2 4 14 2" xfId="44028" xr:uid="{00000000-0005-0000-0000-0000AA9E0000}"/>
    <cellStyle name="Percent 2 4 15" xfId="29103" xr:uid="{00000000-0005-0000-0000-0000AB9E0000}"/>
    <cellStyle name="Percent 2 4 15 2" xfId="44029" xr:uid="{00000000-0005-0000-0000-0000AC9E0000}"/>
    <cellStyle name="Percent 2 4 16" xfId="33320" xr:uid="{00000000-0005-0000-0000-0000AD9E0000}"/>
    <cellStyle name="Percent 2 4 17" xfId="37524" xr:uid="{00000000-0005-0000-0000-0000AE9E0000}"/>
    <cellStyle name="Percent 2 4 2" xfId="4323" xr:uid="{00000000-0005-0000-0000-0000AF9E0000}"/>
    <cellStyle name="Percent 2 4 2 10" xfId="33321" xr:uid="{00000000-0005-0000-0000-0000B09E0000}"/>
    <cellStyle name="Percent 2 4 2 11" xfId="37525" xr:uid="{00000000-0005-0000-0000-0000B19E0000}"/>
    <cellStyle name="Percent 2 4 2 2" xfId="4493" xr:uid="{00000000-0005-0000-0000-0000B29E0000}"/>
    <cellStyle name="Percent 2 4 2 2 2" xfId="6963" xr:uid="{00000000-0005-0000-0000-0000B39E0000}"/>
    <cellStyle name="Percent 2 4 2 2 2 2" xfId="25651" xr:uid="{00000000-0005-0000-0000-0000B49E0000}"/>
    <cellStyle name="Percent 2 4 2 2 2 3" xfId="29864" xr:uid="{00000000-0005-0000-0000-0000B59E0000}"/>
    <cellStyle name="Percent 2 4 2 2 2 4" xfId="34079" xr:uid="{00000000-0005-0000-0000-0000B69E0000}"/>
    <cellStyle name="Percent 2 4 2 2 2 5" xfId="38283" xr:uid="{00000000-0005-0000-0000-0000B79E0000}"/>
    <cellStyle name="Percent 2 4 2 2 3" xfId="11268" xr:uid="{00000000-0005-0000-0000-0000B89E0000}"/>
    <cellStyle name="Percent 2 4 2 2 3 2" xfId="28114" xr:uid="{00000000-0005-0000-0000-0000B99E0000}"/>
    <cellStyle name="Percent 2 4 2 2 3 3" xfId="32327" xr:uid="{00000000-0005-0000-0000-0000BA9E0000}"/>
    <cellStyle name="Percent 2 4 2 2 3 4" xfId="36542" xr:uid="{00000000-0005-0000-0000-0000BB9E0000}"/>
    <cellStyle name="Percent 2 4 2 2 3 5" xfId="40746" xr:uid="{00000000-0005-0000-0000-0000BC9E0000}"/>
    <cellStyle name="Percent 2 4 2 2 4" xfId="24964" xr:uid="{00000000-0005-0000-0000-0000BD9E0000}"/>
    <cellStyle name="Percent 2 4 2 2 5" xfId="29176" xr:uid="{00000000-0005-0000-0000-0000BE9E0000}"/>
    <cellStyle name="Percent 2 4 2 2 6" xfId="33392" xr:uid="{00000000-0005-0000-0000-0000BF9E0000}"/>
    <cellStyle name="Percent 2 4 2 2 7" xfId="37596" xr:uid="{00000000-0005-0000-0000-0000C09E0000}"/>
    <cellStyle name="Percent 2 4 2 3" xfId="5499" xr:uid="{00000000-0005-0000-0000-0000C19E0000}"/>
    <cellStyle name="Percent 2 4 2 3 2" xfId="8771" xr:uid="{00000000-0005-0000-0000-0000C29E0000}"/>
    <cellStyle name="Percent 2 4 2 3 3" xfId="11340" xr:uid="{00000000-0005-0000-0000-0000C39E0000}"/>
    <cellStyle name="Percent 2 4 2 3 3 2" xfId="28127" xr:uid="{00000000-0005-0000-0000-0000C49E0000}"/>
    <cellStyle name="Percent 2 4 2 3 3 3" xfId="32340" xr:uid="{00000000-0005-0000-0000-0000C59E0000}"/>
    <cellStyle name="Percent 2 4 2 3 3 4" xfId="36555" xr:uid="{00000000-0005-0000-0000-0000C69E0000}"/>
    <cellStyle name="Percent 2 4 2 3 3 5" xfId="40759" xr:uid="{00000000-0005-0000-0000-0000C79E0000}"/>
    <cellStyle name="Percent 2 4 2 3 4" xfId="24987" xr:uid="{00000000-0005-0000-0000-0000C89E0000}"/>
    <cellStyle name="Percent 2 4 2 3 5" xfId="29199" xr:uid="{00000000-0005-0000-0000-0000C99E0000}"/>
    <cellStyle name="Percent 2 4 2 3 6" xfId="33415" xr:uid="{00000000-0005-0000-0000-0000CA9E0000}"/>
    <cellStyle name="Percent 2 4 2 3 7" xfId="37619" xr:uid="{00000000-0005-0000-0000-0000CB9E0000}"/>
    <cellStyle name="Percent 2 4 2 4" xfId="6444" xr:uid="{00000000-0005-0000-0000-0000CC9E0000}"/>
    <cellStyle name="Percent 2 4 2 5" xfId="11224" xr:uid="{00000000-0005-0000-0000-0000CD9E0000}"/>
    <cellStyle name="Percent 2 4 2 5 2" xfId="28087" xr:uid="{00000000-0005-0000-0000-0000CE9E0000}"/>
    <cellStyle name="Percent 2 4 2 5 3" xfId="32300" xr:uid="{00000000-0005-0000-0000-0000CF9E0000}"/>
    <cellStyle name="Percent 2 4 2 5 4" xfId="36515" xr:uid="{00000000-0005-0000-0000-0000D09E0000}"/>
    <cellStyle name="Percent 2 4 2 5 5" xfId="40719" xr:uid="{00000000-0005-0000-0000-0000D19E0000}"/>
    <cellStyle name="Percent 2 4 2 6" xfId="12292" xr:uid="{00000000-0005-0000-0000-0000D29E0000}"/>
    <cellStyle name="Percent 2 4 2 6 2" xfId="28859" xr:uid="{00000000-0005-0000-0000-0000D39E0000}"/>
    <cellStyle name="Percent 2 4 2 6 3" xfId="33072" xr:uid="{00000000-0005-0000-0000-0000D49E0000}"/>
    <cellStyle name="Percent 2 4 2 6 4" xfId="37287" xr:uid="{00000000-0005-0000-0000-0000D59E0000}"/>
    <cellStyle name="Percent 2 4 2 7" xfId="23501" xr:uid="{00000000-0005-0000-0000-0000D69E0000}"/>
    <cellStyle name="Percent 2 4 2 7 2" xfId="29000" xr:uid="{00000000-0005-0000-0000-0000D79E0000}"/>
    <cellStyle name="Percent 2 4 2 7 3" xfId="33217" xr:uid="{00000000-0005-0000-0000-0000D89E0000}"/>
    <cellStyle name="Percent 2 4 2 7 4" xfId="37428" xr:uid="{00000000-0005-0000-0000-0000D99E0000}"/>
    <cellStyle name="Percent 2 4 2 8" xfId="24893" xr:uid="{00000000-0005-0000-0000-0000DA9E0000}"/>
    <cellStyle name="Percent 2 4 2 9" xfId="29104" xr:uid="{00000000-0005-0000-0000-0000DB9E0000}"/>
    <cellStyle name="Percent 2 4 3" xfId="4455" xr:uid="{00000000-0005-0000-0000-0000DC9E0000}"/>
    <cellStyle name="Percent 2 4 3 2" xfId="5719" xr:uid="{00000000-0005-0000-0000-0000DD9E0000}"/>
    <cellStyle name="Percent 2 4 3 2 2" xfId="8772" xr:uid="{00000000-0005-0000-0000-0000DE9E0000}"/>
    <cellStyle name="Percent 2 4 3 2 3" xfId="11363" xr:uid="{00000000-0005-0000-0000-0000DF9E0000}"/>
    <cellStyle name="Percent 2 4 3 3" xfId="6445" xr:uid="{00000000-0005-0000-0000-0000E09E0000}"/>
    <cellStyle name="Percent 2 4 3 4" xfId="11253" xr:uid="{00000000-0005-0000-0000-0000E19E0000}"/>
    <cellStyle name="Percent 2 4 3 4 2" xfId="28100" xr:uid="{00000000-0005-0000-0000-0000E29E0000}"/>
    <cellStyle name="Percent 2 4 3 4 3" xfId="32313" xr:uid="{00000000-0005-0000-0000-0000E39E0000}"/>
    <cellStyle name="Percent 2 4 3 4 4" xfId="36528" xr:uid="{00000000-0005-0000-0000-0000E49E0000}"/>
    <cellStyle name="Percent 2 4 3 4 5" xfId="40732" xr:uid="{00000000-0005-0000-0000-0000E59E0000}"/>
    <cellStyle name="Percent 2 4 3 5" xfId="24927" xr:uid="{00000000-0005-0000-0000-0000E69E0000}"/>
    <cellStyle name="Percent 2 4 3 6" xfId="29139" xr:uid="{00000000-0005-0000-0000-0000E79E0000}"/>
    <cellStyle name="Percent 2 4 3 7" xfId="33355" xr:uid="{00000000-0005-0000-0000-0000E89E0000}"/>
    <cellStyle name="Percent 2 4 3 8" xfId="37559" xr:uid="{00000000-0005-0000-0000-0000E99E0000}"/>
    <cellStyle name="Percent 2 4 4" xfId="5498" xr:uid="{00000000-0005-0000-0000-0000EA9E0000}"/>
    <cellStyle name="Percent 2 4 4 2" xfId="8773" xr:uid="{00000000-0005-0000-0000-0000EB9E0000}"/>
    <cellStyle name="Percent 2 4 4 3" xfId="24986" xr:uid="{00000000-0005-0000-0000-0000EC9E0000}"/>
    <cellStyle name="Percent 2 4 4 4" xfId="29198" xr:uid="{00000000-0005-0000-0000-0000ED9E0000}"/>
    <cellStyle name="Percent 2 4 4 5" xfId="33414" xr:uid="{00000000-0005-0000-0000-0000EE9E0000}"/>
    <cellStyle name="Percent 2 4 4 6" xfId="37618" xr:uid="{00000000-0005-0000-0000-0000EF9E0000}"/>
    <cellStyle name="Percent 2 4 5" xfId="8774" xr:uid="{00000000-0005-0000-0000-0000F09E0000}"/>
    <cellStyle name="Percent 2 4 6" xfId="8775" xr:uid="{00000000-0005-0000-0000-0000F19E0000}"/>
    <cellStyle name="Percent 2 4 7" xfId="8776" xr:uid="{00000000-0005-0000-0000-0000F29E0000}"/>
    <cellStyle name="Percent 2 4 8" xfId="8777" xr:uid="{00000000-0005-0000-0000-0000F39E0000}"/>
    <cellStyle name="Percent 2 4 9" xfId="8770" xr:uid="{00000000-0005-0000-0000-0000F49E0000}"/>
    <cellStyle name="Percent 2 40" xfId="44030" xr:uid="{00000000-0005-0000-0000-0000F59E0000}"/>
    <cellStyle name="Percent 2 41" xfId="44031" xr:uid="{00000000-0005-0000-0000-0000F69E0000}"/>
    <cellStyle name="Percent 2 42" xfId="44032" xr:uid="{00000000-0005-0000-0000-0000F79E0000}"/>
    <cellStyle name="Percent 2 43" xfId="44033" xr:uid="{00000000-0005-0000-0000-0000F89E0000}"/>
    <cellStyle name="Percent 2 44" xfId="44034" xr:uid="{00000000-0005-0000-0000-0000F99E0000}"/>
    <cellStyle name="Percent 2 45" xfId="44035" xr:uid="{00000000-0005-0000-0000-0000FA9E0000}"/>
    <cellStyle name="Percent 2 46" xfId="44036" xr:uid="{00000000-0005-0000-0000-0000FB9E0000}"/>
    <cellStyle name="Percent 2 47" xfId="44037" xr:uid="{00000000-0005-0000-0000-0000FC9E0000}"/>
    <cellStyle name="Percent 2 48" xfId="44038" xr:uid="{00000000-0005-0000-0000-0000FD9E0000}"/>
    <cellStyle name="Percent 2 48 2" xfId="44039" xr:uid="{00000000-0005-0000-0000-0000FE9E0000}"/>
    <cellStyle name="Percent 2 48 3" xfId="44040" xr:uid="{00000000-0005-0000-0000-0000FF9E0000}"/>
    <cellStyle name="Percent 2 49" xfId="44041" xr:uid="{00000000-0005-0000-0000-0000009F0000}"/>
    <cellStyle name="Percent 2 5" xfId="4324" xr:uid="{00000000-0005-0000-0000-0000019F0000}"/>
    <cellStyle name="Percent 2 5 10" xfId="6446" xr:uid="{00000000-0005-0000-0000-0000029F0000}"/>
    <cellStyle name="Percent 2 5 10 2" xfId="44042" xr:uid="{00000000-0005-0000-0000-0000039F0000}"/>
    <cellStyle name="Percent 2 5 11" xfId="11225" xr:uid="{00000000-0005-0000-0000-0000049F0000}"/>
    <cellStyle name="Percent 2 5 11 2" xfId="28088" xr:uid="{00000000-0005-0000-0000-0000059F0000}"/>
    <cellStyle name="Percent 2 5 11 2 2" xfId="44043" xr:uid="{00000000-0005-0000-0000-0000069F0000}"/>
    <cellStyle name="Percent 2 5 11 3" xfId="32301" xr:uid="{00000000-0005-0000-0000-0000079F0000}"/>
    <cellStyle name="Percent 2 5 11 4" xfId="36516" xr:uid="{00000000-0005-0000-0000-0000089F0000}"/>
    <cellStyle name="Percent 2 5 11 5" xfId="40720" xr:uid="{00000000-0005-0000-0000-0000099F0000}"/>
    <cellStyle name="Percent 2 5 12" xfId="12261" xr:uid="{00000000-0005-0000-0000-00000A9F0000}"/>
    <cellStyle name="Percent 2 5 12 2" xfId="28828" xr:uid="{00000000-0005-0000-0000-00000B9F0000}"/>
    <cellStyle name="Percent 2 5 12 3" xfId="33041" xr:uid="{00000000-0005-0000-0000-00000C9F0000}"/>
    <cellStyle name="Percent 2 5 12 4" xfId="37256" xr:uid="{00000000-0005-0000-0000-00000D9F0000}"/>
    <cellStyle name="Percent 2 5 12 5" xfId="44044" xr:uid="{00000000-0005-0000-0000-00000E9F0000}"/>
    <cellStyle name="Percent 2 5 13" xfId="23470" xr:uid="{00000000-0005-0000-0000-00000F9F0000}"/>
    <cellStyle name="Percent 2 5 13 2" xfId="28969" xr:uid="{00000000-0005-0000-0000-0000109F0000}"/>
    <cellStyle name="Percent 2 5 13 3" xfId="33186" xr:uid="{00000000-0005-0000-0000-0000119F0000}"/>
    <cellStyle name="Percent 2 5 13 4" xfId="37397" xr:uid="{00000000-0005-0000-0000-0000129F0000}"/>
    <cellStyle name="Percent 2 5 13 5" xfId="44045" xr:uid="{00000000-0005-0000-0000-0000139F0000}"/>
    <cellStyle name="Percent 2 5 14" xfId="24894" xr:uid="{00000000-0005-0000-0000-0000149F0000}"/>
    <cellStyle name="Percent 2 5 14 2" xfId="44046" xr:uid="{00000000-0005-0000-0000-0000159F0000}"/>
    <cellStyle name="Percent 2 5 15" xfId="29105" xr:uid="{00000000-0005-0000-0000-0000169F0000}"/>
    <cellStyle name="Percent 2 5 15 2" xfId="44047" xr:uid="{00000000-0005-0000-0000-0000179F0000}"/>
    <cellStyle name="Percent 2 5 16" xfId="33322" xr:uid="{00000000-0005-0000-0000-0000189F0000}"/>
    <cellStyle name="Percent 2 5 17" xfId="37526" xr:uid="{00000000-0005-0000-0000-0000199F0000}"/>
    <cellStyle name="Percent 2 5 2" xfId="4462" xr:uid="{00000000-0005-0000-0000-00001A9F0000}"/>
    <cellStyle name="Percent 2 5 2 2" xfId="6249" xr:uid="{00000000-0005-0000-0000-00001B9F0000}"/>
    <cellStyle name="Percent 2 5 2 2 2" xfId="6965" xr:uid="{00000000-0005-0000-0000-00001C9F0000}"/>
    <cellStyle name="Percent 2 5 2 2 2 2" xfId="25653" xr:uid="{00000000-0005-0000-0000-00001D9F0000}"/>
    <cellStyle name="Percent 2 5 2 2 2 3" xfId="29866" xr:uid="{00000000-0005-0000-0000-00001E9F0000}"/>
    <cellStyle name="Percent 2 5 2 2 2 4" xfId="34081" xr:uid="{00000000-0005-0000-0000-00001F9F0000}"/>
    <cellStyle name="Percent 2 5 2 2 2 5" xfId="38285" xr:uid="{00000000-0005-0000-0000-0000209F0000}"/>
    <cellStyle name="Percent 2 5 2 2 3" xfId="11704" xr:uid="{00000000-0005-0000-0000-0000219F0000}"/>
    <cellStyle name="Percent 2 5 2 3" xfId="5501" xr:uid="{00000000-0005-0000-0000-0000229F0000}"/>
    <cellStyle name="Percent 2 5 2 3 2" xfId="8779" xr:uid="{00000000-0005-0000-0000-0000239F0000}"/>
    <cellStyle name="Percent 2 5 2 3 3" xfId="11342" xr:uid="{00000000-0005-0000-0000-0000249F0000}"/>
    <cellStyle name="Percent 2 5 2 3 3 2" xfId="28129" xr:uid="{00000000-0005-0000-0000-0000259F0000}"/>
    <cellStyle name="Percent 2 5 2 3 3 3" xfId="32342" xr:uid="{00000000-0005-0000-0000-0000269F0000}"/>
    <cellStyle name="Percent 2 5 2 3 3 4" xfId="36557" xr:uid="{00000000-0005-0000-0000-0000279F0000}"/>
    <cellStyle name="Percent 2 5 2 3 3 5" xfId="40761" xr:uid="{00000000-0005-0000-0000-0000289F0000}"/>
    <cellStyle name="Percent 2 5 2 3 4" xfId="24989" xr:uid="{00000000-0005-0000-0000-0000299F0000}"/>
    <cellStyle name="Percent 2 5 2 3 5" xfId="29201" xr:uid="{00000000-0005-0000-0000-00002A9F0000}"/>
    <cellStyle name="Percent 2 5 2 3 6" xfId="33417" xr:uid="{00000000-0005-0000-0000-00002B9F0000}"/>
    <cellStyle name="Percent 2 5 2 3 7" xfId="37621" xr:uid="{00000000-0005-0000-0000-00002C9F0000}"/>
    <cellStyle name="Percent 2 5 2 4" xfId="6447" xr:uid="{00000000-0005-0000-0000-00002D9F0000}"/>
    <cellStyle name="Percent 2 5 2 5" xfId="11257" xr:uid="{00000000-0005-0000-0000-00002E9F0000}"/>
    <cellStyle name="Percent 2 5 2 5 2" xfId="28103" xr:uid="{00000000-0005-0000-0000-00002F9F0000}"/>
    <cellStyle name="Percent 2 5 2 5 3" xfId="32316" xr:uid="{00000000-0005-0000-0000-0000309F0000}"/>
    <cellStyle name="Percent 2 5 2 5 4" xfId="36531" xr:uid="{00000000-0005-0000-0000-0000319F0000}"/>
    <cellStyle name="Percent 2 5 2 5 5" xfId="40735" xr:uid="{00000000-0005-0000-0000-0000329F0000}"/>
    <cellStyle name="Percent 2 5 2 6" xfId="24933" xr:uid="{00000000-0005-0000-0000-0000339F0000}"/>
    <cellStyle name="Percent 2 5 2 7" xfId="29145" xr:uid="{00000000-0005-0000-0000-0000349F0000}"/>
    <cellStyle name="Percent 2 5 2 8" xfId="33361" xr:uid="{00000000-0005-0000-0000-0000359F0000}"/>
    <cellStyle name="Percent 2 5 2 9" xfId="37565" xr:uid="{00000000-0005-0000-0000-0000369F0000}"/>
    <cellStyle name="Percent 2 5 3" xfId="5887" xr:uid="{00000000-0005-0000-0000-0000379F0000}"/>
    <cellStyle name="Percent 2 5 3 2" xfId="6966" xr:uid="{00000000-0005-0000-0000-0000389F0000}"/>
    <cellStyle name="Percent 2 5 3 2 2" xfId="25654" xr:uid="{00000000-0005-0000-0000-0000399F0000}"/>
    <cellStyle name="Percent 2 5 3 2 3" xfId="29867" xr:uid="{00000000-0005-0000-0000-00003A9F0000}"/>
    <cellStyle name="Percent 2 5 3 2 4" xfId="34082" xr:uid="{00000000-0005-0000-0000-00003B9F0000}"/>
    <cellStyle name="Percent 2 5 3 2 5" xfId="38286" xr:uid="{00000000-0005-0000-0000-00003C9F0000}"/>
    <cellStyle name="Percent 2 5 3 3" xfId="8780" xr:uid="{00000000-0005-0000-0000-00003D9F0000}"/>
    <cellStyle name="Percent 2 5 3 4" xfId="6448" xr:uid="{00000000-0005-0000-0000-00003E9F0000}"/>
    <cellStyle name="Percent 2 5 3 5" xfId="11400" xr:uid="{00000000-0005-0000-0000-00003F9F0000}"/>
    <cellStyle name="Percent 2 5 4" xfId="5500" xr:uid="{00000000-0005-0000-0000-0000409F0000}"/>
    <cellStyle name="Percent 2 5 4 2" xfId="8781" xr:uid="{00000000-0005-0000-0000-0000419F0000}"/>
    <cellStyle name="Percent 2 5 4 3" xfId="6449" xr:uid="{00000000-0005-0000-0000-0000429F0000}"/>
    <cellStyle name="Percent 2 5 4 4" xfId="9672" xr:uid="{00000000-0005-0000-0000-0000439F0000}"/>
    <cellStyle name="Percent 2 5 4 4 2" xfId="11341" xr:uid="{00000000-0005-0000-0000-0000449F0000}"/>
    <cellStyle name="Percent 2 5 4 4 2 2" xfId="28128" xr:uid="{00000000-0005-0000-0000-0000459F0000}"/>
    <cellStyle name="Percent 2 5 4 4 2 3" xfId="32341" xr:uid="{00000000-0005-0000-0000-0000469F0000}"/>
    <cellStyle name="Percent 2 5 4 4 2 4" xfId="36556" xr:uid="{00000000-0005-0000-0000-0000479F0000}"/>
    <cellStyle name="Percent 2 5 4 4 2 5" xfId="40760" xr:uid="{00000000-0005-0000-0000-0000489F0000}"/>
    <cellStyle name="Percent 2 5 4 5" xfId="24988" xr:uid="{00000000-0005-0000-0000-0000499F0000}"/>
    <cellStyle name="Percent 2 5 4 6" xfId="29200" xr:uid="{00000000-0005-0000-0000-00004A9F0000}"/>
    <cellStyle name="Percent 2 5 4 7" xfId="33416" xr:uid="{00000000-0005-0000-0000-00004B9F0000}"/>
    <cellStyle name="Percent 2 5 4 8" xfId="37620" xr:uid="{00000000-0005-0000-0000-00004C9F0000}"/>
    <cellStyle name="Percent 2 5 5" xfId="6964" xr:uid="{00000000-0005-0000-0000-00004D9F0000}"/>
    <cellStyle name="Percent 2 5 5 2" xfId="8782" xr:uid="{00000000-0005-0000-0000-00004E9F0000}"/>
    <cellStyle name="Percent 2 5 5 3" xfId="25652" xr:uid="{00000000-0005-0000-0000-00004F9F0000}"/>
    <cellStyle name="Percent 2 5 5 4" xfId="29865" xr:uid="{00000000-0005-0000-0000-0000509F0000}"/>
    <cellStyle name="Percent 2 5 5 5" xfId="34080" xr:uid="{00000000-0005-0000-0000-0000519F0000}"/>
    <cellStyle name="Percent 2 5 5 6" xfId="38284" xr:uid="{00000000-0005-0000-0000-0000529F0000}"/>
    <cellStyle name="Percent 2 5 6" xfId="8783" xr:uid="{00000000-0005-0000-0000-0000539F0000}"/>
    <cellStyle name="Percent 2 5 7" xfId="8784" xr:uid="{00000000-0005-0000-0000-0000549F0000}"/>
    <cellStyle name="Percent 2 5 8" xfId="8785" xr:uid="{00000000-0005-0000-0000-0000559F0000}"/>
    <cellStyle name="Percent 2 5 9" xfId="8778" xr:uid="{00000000-0005-0000-0000-0000569F0000}"/>
    <cellStyle name="Percent 2 50" xfId="46489" xr:uid="{99EB9626-3100-4AB4-BFA5-4AF39DD0C335}"/>
    <cellStyle name="Percent 2 6" xfId="5502" xr:uid="{00000000-0005-0000-0000-0000579F0000}"/>
    <cellStyle name="Percent 2 6 10" xfId="6450" xr:uid="{00000000-0005-0000-0000-0000589F0000}"/>
    <cellStyle name="Percent 2 6 10 2" xfId="44048" xr:uid="{00000000-0005-0000-0000-0000599F0000}"/>
    <cellStyle name="Percent 2 6 11" xfId="24990" xr:uid="{00000000-0005-0000-0000-00005A9F0000}"/>
    <cellStyle name="Percent 2 6 11 2" xfId="44049" xr:uid="{00000000-0005-0000-0000-00005B9F0000}"/>
    <cellStyle name="Percent 2 6 12" xfId="29202" xr:uid="{00000000-0005-0000-0000-00005C9F0000}"/>
    <cellStyle name="Percent 2 6 12 2" xfId="44050" xr:uid="{00000000-0005-0000-0000-00005D9F0000}"/>
    <cellStyle name="Percent 2 6 13" xfId="33418" xr:uid="{00000000-0005-0000-0000-00005E9F0000}"/>
    <cellStyle name="Percent 2 6 13 2" xfId="44051" xr:uid="{00000000-0005-0000-0000-00005F9F0000}"/>
    <cellStyle name="Percent 2 6 14" xfId="44052" xr:uid="{00000000-0005-0000-0000-0000609F0000}"/>
    <cellStyle name="Percent 2 6 15" xfId="44053" xr:uid="{00000000-0005-0000-0000-0000619F0000}"/>
    <cellStyle name="Percent 2 6 16" xfId="37622" xr:uid="{00000000-0005-0000-0000-0000629F0000}"/>
    <cellStyle name="Percent 2 6 2" xfId="5888" xr:uid="{00000000-0005-0000-0000-0000639F0000}"/>
    <cellStyle name="Percent 2 6 2 2" xfId="8787" xr:uid="{00000000-0005-0000-0000-0000649F0000}"/>
    <cellStyle name="Percent 2 6 2 3" xfId="6451" xr:uid="{00000000-0005-0000-0000-0000659F0000}"/>
    <cellStyle name="Percent 2 6 2 4" xfId="25211" xr:uid="{00000000-0005-0000-0000-0000669F0000}"/>
    <cellStyle name="Percent 2 6 2 5" xfId="29423" xr:uid="{00000000-0005-0000-0000-0000679F0000}"/>
    <cellStyle name="Percent 2 6 2 6" xfId="33639" xr:uid="{00000000-0005-0000-0000-0000689F0000}"/>
    <cellStyle name="Percent 2 6 2 7" xfId="37843" xr:uid="{00000000-0005-0000-0000-0000699F0000}"/>
    <cellStyle name="Percent 2 6 3" xfId="6277" xr:uid="{00000000-0005-0000-0000-00006A9F0000}"/>
    <cellStyle name="Percent 2 6 3 2" xfId="8788" xr:uid="{00000000-0005-0000-0000-00006B9F0000}"/>
    <cellStyle name="Percent 2 6 3 3" xfId="6967" xr:uid="{00000000-0005-0000-0000-00006C9F0000}"/>
    <cellStyle name="Percent 2 6 3 3 2" xfId="25655" xr:uid="{00000000-0005-0000-0000-00006D9F0000}"/>
    <cellStyle name="Percent 2 6 3 3 3" xfId="29868" xr:uid="{00000000-0005-0000-0000-00006E9F0000}"/>
    <cellStyle name="Percent 2 6 3 3 4" xfId="34083" xr:uid="{00000000-0005-0000-0000-00006F9F0000}"/>
    <cellStyle name="Percent 2 6 3 3 5" xfId="38287" xr:uid="{00000000-0005-0000-0000-0000709F0000}"/>
    <cellStyle name="Percent 2 6 3 4" xfId="11724" xr:uid="{00000000-0005-0000-0000-0000719F0000}"/>
    <cellStyle name="Percent 2 6 4" xfId="8789" xr:uid="{00000000-0005-0000-0000-0000729F0000}"/>
    <cellStyle name="Percent 2 6 5" xfId="8790" xr:uid="{00000000-0005-0000-0000-0000739F0000}"/>
    <cellStyle name="Percent 2 6 6" xfId="8791" xr:uid="{00000000-0005-0000-0000-0000749F0000}"/>
    <cellStyle name="Percent 2 6 7" xfId="8792" xr:uid="{00000000-0005-0000-0000-0000759F0000}"/>
    <cellStyle name="Percent 2 6 8" xfId="8793" xr:uid="{00000000-0005-0000-0000-0000769F0000}"/>
    <cellStyle name="Percent 2 6 9" xfId="8786" xr:uid="{00000000-0005-0000-0000-0000779F0000}"/>
    <cellStyle name="Percent 2 7" xfId="5716" xr:uid="{00000000-0005-0000-0000-0000789F0000}"/>
    <cellStyle name="Percent 2 7 10" xfId="6452" xr:uid="{00000000-0005-0000-0000-0000799F0000}"/>
    <cellStyle name="Percent 2 7 2" xfId="8795" xr:uid="{00000000-0005-0000-0000-00007A9F0000}"/>
    <cellStyle name="Percent 2 7 3" xfId="8796" xr:uid="{00000000-0005-0000-0000-00007B9F0000}"/>
    <cellStyle name="Percent 2 7 4" xfId="8797" xr:uid="{00000000-0005-0000-0000-00007C9F0000}"/>
    <cellStyle name="Percent 2 7 5" xfId="8798" xr:uid="{00000000-0005-0000-0000-00007D9F0000}"/>
    <cellStyle name="Percent 2 7 6" xfId="8799" xr:uid="{00000000-0005-0000-0000-00007E9F0000}"/>
    <cellStyle name="Percent 2 7 7" xfId="8800" xr:uid="{00000000-0005-0000-0000-00007F9F0000}"/>
    <cellStyle name="Percent 2 7 8" xfId="8801" xr:uid="{00000000-0005-0000-0000-0000809F0000}"/>
    <cellStyle name="Percent 2 7 9" xfId="8794" xr:uid="{00000000-0005-0000-0000-0000819F0000}"/>
    <cellStyle name="Percent 2 8" xfId="5491" xr:uid="{00000000-0005-0000-0000-0000829F0000}"/>
    <cellStyle name="Percent 2 8 10" xfId="24979" xr:uid="{00000000-0005-0000-0000-0000839F0000}"/>
    <cellStyle name="Percent 2 8 11" xfId="29191" xr:uid="{00000000-0005-0000-0000-0000849F0000}"/>
    <cellStyle name="Percent 2 8 12" xfId="33407" xr:uid="{00000000-0005-0000-0000-0000859F0000}"/>
    <cellStyle name="Percent 2 8 13" xfId="37611" xr:uid="{00000000-0005-0000-0000-0000869F0000}"/>
    <cellStyle name="Percent 2 8 2" xfId="8803" xr:uid="{00000000-0005-0000-0000-0000879F0000}"/>
    <cellStyle name="Percent 2 8 3" xfId="8804" xr:uid="{00000000-0005-0000-0000-0000889F0000}"/>
    <cellStyle name="Percent 2 8 4" xfId="8805" xr:uid="{00000000-0005-0000-0000-0000899F0000}"/>
    <cellStyle name="Percent 2 8 5" xfId="8806" xr:uid="{00000000-0005-0000-0000-00008A9F0000}"/>
    <cellStyle name="Percent 2 8 6" xfId="8807" xr:uid="{00000000-0005-0000-0000-00008B9F0000}"/>
    <cellStyle name="Percent 2 8 7" xfId="8808" xr:uid="{00000000-0005-0000-0000-00008C9F0000}"/>
    <cellStyle name="Percent 2 8 8" xfId="8809" xr:uid="{00000000-0005-0000-0000-00008D9F0000}"/>
    <cellStyle name="Percent 2 8 9" xfId="8802" xr:uid="{00000000-0005-0000-0000-00008E9F0000}"/>
    <cellStyle name="Percent 2 9" xfId="7187" xr:uid="{00000000-0005-0000-0000-00008F9F0000}"/>
    <cellStyle name="Percent 2 9 2" xfId="8810" xr:uid="{00000000-0005-0000-0000-0000909F0000}"/>
    <cellStyle name="Percent 2 9 3" xfId="8811" xr:uid="{00000000-0005-0000-0000-0000919F0000}"/>
    <cellStyle name="Percent 2 9 4" xfId="8812" xr:uid="{00000000-0005-0000-0000-0000929F0000}"/>
    <cellStyle name="Percent 2 9 5" xfId="8813" xr:uid="{00000000-0005-0000-0000-0000939F0000}"/>
    <cellStyle name="Percent 2 9 6" xfId="8814" xr:uid="{00000000-0005-0000-0000-0000949F0000}"/>
    <cellStyle name="Percent 2 9 7" xfId="8815" xr:uid="{00000000-0005-0000-0000-0000959F0000}"/>
    <cellStyle name="Percent 2 9 8" xfId="8816" xr:uid="{00000000-0005-0000-0000-0000969F0000}"/>
    <cellStyle name="Percent 20" xfId="12227" xr:uid="{00000000-0005-0000-0000-0000979F0000}"/>
    <cellStyle name="Percent 20 2" xfId="28796" xr:uid="{00000000-0005-0000-0000-0000989F0000}"/>
    <cellStyle name="Percent 20 2 2" xfId="44056" xr:uid="{00000000-0005-0000-0000-0000999F0000}"/>
    <cellStyle name="Percent 20 2 3" xfId="44055" xr:uid="{00000000-0005-0000-0000-00009A9F0000}"/>
    <cellStyle name="Percent 20 3" xfId="33009" xr:uid="{00000000-0005-0000-0000-00009B9F0000}"/>
    <cellStyle name="Percent 20 3 2" xfId="44057" xr:uid="{00000000-0005-0000-0000-00009C9F0000}"/>
    <cellStyle name="Percent 20 4" xfId="37224" xr:uid="{00000000-0005-0000-0000-00009D9F0000}"/>
    <cellStyle name="Percent 20 4 2" xfId="44058" xr:uid="{00000000-0005-0000-0000-00009E9F0000}"/>
    <cellStyle name="Percent 20 5" xfId="44059" xr:uid="{00000000-0005-0000-0000-00009F9F0000}"/>
    <cellStyle name="Percent 20 6" xfId="44060" xr:uid="{00000000-0005-0000-0000-0000A09F0000}"/>
    <cellStyle name="Percent 20 7" xfId="44061" xr:uid="{00000000-0005-0000-0000-0000A19F0000}"/>
    <cellStyle name="Percent 20 7 2" xfId="44062" xr:uid="{00000000-0005-0000-0000-0000A29F0000}"/>
    <cellStyle name="Percent 20 7 3" xfId="44063" xr:uid="{00000000-0005-0000-0000-0000A39F0000}"/>
    <cellStyle name="Percent 20 8" xfId="44064" xr:uid="{00000000-0005-0000-0000-0000A49F0000}"/>
    <cellStyle name="Percent 20 9" xfId="44054" xr:uid="{00000000-0005-0000-0000-0000A59F0000}"/>
    <cellStyle name="Percent 21" xfId="23430" xr:uid="{00000000-0005-0000-0000-0000A69F0000}"/>
    <cellStyle name="Percent 21 2" xfId="28930" xr:uid="{00000000-0005-0000-0000-0000A79F0000}"/>
    <cellStyle name="Percent 21 2 2" xfId="44066" xr:uid="{00000000-0005-0000-0000-0000A89F0000}"/>
    <cellStyle name="Percent 21 3" xfId="33147" xr:uid="{00000000-0005-0000-0000-0000A99F0000}"/>
    <cellStyle name="Percent 21 3 2" xfId="44067" xr:uid="{00000000-0005-0000-0000-0000AA9F0000}"/>
    <cellStyle name="Percent 21 4" xfId="37358" xr:uid="{00000000-0005-0000-0000-0000AB9F0000}"/>
    <cellStyle name="Percent 21 4 2" xfId="44068" xr:uid="{00000000-0005-0000-0000-0000AC9F0000}"/>
    <cellStyle name="Percent 21 5" xfId="44069" xr:uid="{00000000-0005-0000-0000-0000AD9F0000}"/>
    <cellStyle name="Percent 21 6" xfId="44070" xr:uid="{00000000-0005-0000-0000-0000AE9F0000}"/>
    <cellStyle name="Percent 21 7" xfId="44071" xr:uid="{00000000-0005-0000-0000-0000AF9F0000}"/>
    <cellStyle name="Percent 21 7 2" xfId="44072" xr:uid="{00000000-0005-0000-0000-0000B09F0000}"/>
    <cellStyle name="Percent 21 7 3" xfId="44073" xr:uid="{00000000-0005-0000-0000-0000B19F0000}"/>
    <cellStyle name="Percent 21 8" xfId="44065" xr:uid="{00000000-0005-0000-0000-0000B29F0000}"/>
    <cellStyle name="Percent 22" xfId="23432" xr:uid="{00000000-0005-0000-0000-0000B39F0000}"/>
    <cellStyle name="Percent 22 2" xfId="28932" xr:uid="{00000000-0005-0000-0000-0000B49F0000}"/>
    <cellStyle name="Percent 22 2 2" xfId="44075" xr:uid="{00000000-0005-0000-0000-0000B59F0000}"/>
    <cellStyle name="Percent 22 3" xfId="33149" xr:uid="{00000000-0005-0000-0000-0000B69F0000}"/>
    <cellStyle name="Percent 22 3 2" xfId="44076" xr:uid="{00000000-0005-0000-0000-0000B79F0000}"/>
    <cellStyle name="Percent 22 4" xfId="37360" xr:uid="{00000000-0005-0000-0000-0000B89F0000}"/>
    <cellStyle name="Percent 22 4 2" xfId="44077" xr:uid="{00000000-0005-0000-0000-0000B99F0000}"/>
    <cellStyle name="Percent 22 5" xfId="44078" xr:uid="{00000000-0005-0000-0000-0000BA9F0000}"/>
    <cellStyle name="Percent 22 6" xfId="44079" xr:uid="{00000000-0005-0000-0000-0000BB9F0000}"/>
    <cellStyle name="Percent 22 7" xfId="44080" xr:uid="{00000000-0005-0000-0000-0000BC9F0000}"/>
    <cellStyle name="Percent 22 7 2" xfId="44081" xr:uid="{00000000-0005-0000-0000-0000BD9F0000}"/>
    <cellStyle name="Percent 22 7 3" xfId="44082" xr:uid="{00000000-0005-0000-0000-0000BE9F0000}"/>
    <cellStyle name="Percent 22 8" xfId="44074" xr:uid="{00000000-0005-0000-0000-0000BF9F0000}"/>
    <cellStyle name="Percent 23" xfId="23434" xr:uid="{00000000-0005-0000-0000-0000C09F0000}"/>
    <cellStyle name="Percent 23 2" xfId="28934" xr:uid="{00000000-0005-0000-0000-0000C19F0000}"/>
    <cellStyle name="Percent 23 2 2" xfId="44084" xr:uid="{00000000-0005-0000-0000-0000C29F0000}"/>
    <cellStyle name="Percent 23 3" xfId="33151" xr:uid="{00000000-0005-0000-0000-0000C39F0000}"/>
    <cellStyle name="Percent 23 3 2" xfId="44085" xr:uid="{00000000-0005-0000-0000-0000C49F0000}"/>
    <cellStyle name="Percent 23 4" xfId="37362" xr:uid="{00000000-0005-0000-0000-0000C59F0000}"/>
    <cellStyle name="Percent 23 4 2" xfId="44086" xr:uid="{00000000-0005-0000-0000-0000C69F0000}"/>
    <cellStyle name="Percent 23 5" xfId="44087" xr:uid="{00000000-0005-0000-0000-0000C79F0000}"/>
    <cellStyle name="Percent 23 6" xfId="44088" xr:uid="{00000000-0005-0000-0000-0000C89F0000}"/>
    <cellStyle name="Percent 23 7" xfId="44089" xr:uid="{00000000-0005-0000-0000-0000C99F0000}"/>
    <cellStyle name="Percent 23 7 2" xfId="44090" xr:uid="{00000000-0005-0000-0000-0000CA9F0000}"/>
    <cellStyle name="Percent 23 7 3" xfId="44091" xr:uid="{00000000-0005-0000-0000-0000CB9F0000}"/>
    <cellStyle name="Percent 23 8" xfId="44083" xr:uid="{00000000-0005-0000-0000-0000CC9F0000}"/>
    <cellStyle name="Percent 24" xfId="38141" xr:uid="{00000000-0005-0000-0000-0000CD9F0000}"/>
    <cellStyle name="Percent 24 2" xfId="44092" xr:uid="{00000000-0005-0000-0000-0000CE9F0000}"/>
    <cellStyle name="Percent 24 3" xfId="44093" xr:uid="{00000000-0005-0000-0000-0000CF9F0000}"/>
    <cellStyle name="Percent 24 4" xfId="44094" xr:uid="{00000000-0005-0000-0000-0000D09F0000}"/>
    <cellStyle name="Percent 24 5" xfId="44095" xr:uid="{00000000-0005-0000-0000-0000D19F0000}"/>
    <cellStyle name="Percent 24 6" xfId="44096" xr:uid="{00000000-0005-0000-0000-0000D29F0000}"/>
    <cellStyle name="Percent 24 7" xfId="44097" xr:uid="{00000000-0005-0000-0000-0000D39F0000}"/>
    <cellStyle name="Percent 24 7 2" xfId="44098" xr:uid="{00000000-0005-0000-0000-0000D49F0000}"/>
    <cellStyle name="Percent 24 7 3" xfId="44099" xr:uid="{00000000-0005-0000-0000-0000D59F0000}"/>
    <cellStyle name="Percent 25" xfId="44100" xr:uid="{00000000-0005-0000-0000-0000D69F0000}"/>
    <cellStyle name="Percent 25 2" xfId="44101" xr:uid="{00000000-0005-0000-0000-0000D79F0000}"/>
    <cellStyle name="Percent 25 3" xfId="44102" xr:uid="{00000000-0005-0000-0000-0000D89F0000}"/>
    <cellStyle name="Percent 25 4" xfId="44103" xr:uid="{00000000-0005-0000-0000-0000D99F0000}"/>
    <cellStyle name="Percent 25 5" xfId="44104" xr:uid="{00000000-0005-0000-0000-0000DA9F0000}"/>
    <cellStyle name="Percent 25 6" xfId="44105" xr:uid="{00000000-0005-0000-0000-0000DB9F0000}"/>
    <cellStyle name="Percent 25 7" xfId="44106" xr:uid="{00000000-0005-0000-0000-0000DC9F0000}"/>
    <cellStyle name="Percent 25 7 2" xfId="44107" xr:uid="{00000000-0005-0000-0000-0000DD9F0000}"/>
    <cellStyle name="Percent 25 7 3" xfId="44108" xr:uid="{00000000-0005-0000-0000-0000DE9F0000}"/>
    <cellStyle name="Percent 26" xfId="44109" xr:uid="{00000000-0005-0000-0000-0000DF9F0000}"/>
    <cellStyle name="Percent 26 2" xfId="44110" xr:uid="{00000000-0005-0000-0000-0000E09F0000}"/>
    <cellStyle name="Percent 26 3" xfId="44111" xr:uid="{00000000-0005-0000-0000-0000E19F0000}"/>
    <cellStyle name="Percent 26 4" xfId="44112" xr:uid="{00000000-0005-0000-0000-0000E29F0000}"/>
    <cellStyle name="Percent 26 5" xfId="44113" xr:uid="{00000000-0005-0000-0000-0000E39F0000}"/>
    <cellStyle name="Percent 26 6" xfId="44114" xr:uid="{00000000-0005-0000-0000-0000E49F0000}"/>
    <cellStyle name="Percent 26 7" xfId="44115" xr:uid="{00000000-0005-0000-0000-0000E59F0000}"/>
    <cellStyle name="Percent 26 7 2" xfId="44116" xr:uid="{00000000-0005-0000-0000-0000E69F0000}"/>
    <cellStyle name="Percent 26 7 3" xfId="44117" xr:uid="{00000000-0005-0000-0000-0000E79F0000}"/>
    <cellStyle name="Percent 27" xfId="44118" xr:uid="{00000000-0005-0000-0000-0000E89F0000}"/>
    <cellStyle name="Percent 3" xfId="2869" xr:uid="{00000000-0005-0000-0000-0000E99F0000}"/>
    <cellStyle name="Percent 3 10" xfId="7201" xr:uid="{00000000-0005-0000-0000-0000EA9F0000}"/>
    <cellStyle name="Percent 3 10 10" xfId="44120" xr:uid="{00000000-0005-0000-0000-0000EB9F0000}"/>
    <cellStyle name="Percent 3 10 11" xfId="44121" xr:uid="{00000000-0005-0000-0000-0000EC9F0000}"/>
    <cellStyle name="Percent 3 10 12" xfId="44122" xr:uid="{00000000-0005-0000-0000-0000ED9F0000}"/>
    <cellStyle name="Percent 3 10 13" xfId="44123" xr:uid="{00000000-0005-0000-0000-0000EE9F0000}"/>
    <cellStyle name="Percent 3 10 14" xfId="44124" xr:uid="{00000000-0005-0000-0000-0000EF9F0000}"/>
    <cellStyle name="Percent 3 10 15" xfId="44125" xr:uid="{00000000-0005-0000-0000-0000F09F0000}"/>
    <cellStyle name="Percent 3 10 16" xfId="44119" xr:uid="{00000000-0005-0000-0000-0000F19F0000}"/>
    <cellStyle name="Percent 3 10 17" xfId="38468" xr:uid="{00000000-0005-0000-0000-0000F29F0000}"/>
    <cellStyle name="Percent 3 10 2" xfId="25836" xr:uid="{00000000-0005-0000-0000-0000F39F0000}"/>
    <cellStyle name="Percent 3 10 2 2" xfId="44126" xr:uid="{00000000-0005-0000-0000-0000F49F0000}"/>
    <cellStyle name="Percent 3 10 3" xfId="30049" xr:uid="{00000000-0005-0000-0000-0000F59F0000}"/>
    <cellStyle name="Percent 3 10 3 2" xfId="44127" xr:uid="{00000000-0005-0000-0000-0000F69F0000}"/>
    <cellStyle name="Percent 3 10 4" xfId="34264" xr:uid="{00000000-0005-0000-0000-0000F79F0000}"/>
    <cellStyle name="Percent 3 10 4 2" xfId="44128" xr:uid="{00000000-0005-0000-0000-0000F89F0000}"/>
    <cellStyle name="Percent 3 10 5" xfId="44129" xr:uid="{00000000-0005-0000-0000-0000F99F0000}"/>
    <cellStyle name="Percent 3 10 6" xfId="44130" xr:uid="{00000000-0005-0000-0000-0000FA9F0000}"/>
    <cellStyle name="Percent 3 10 7" xfId="44131" xr:uid="{00000000-0005-0000-0000-0000FB9F0000}"/>
    <cellStyle name="Percent 3 10 8" xfId="44132" xr:uid="{00000000-0005-0000-0000-0000FC9F0000}"/>
    <cellStyle name="Percent 3 10 9" xfId="44133" xr:uid="{00000000-0005-0000-0000-0000FD9F0000}"/>
    <cellStyle name="Percent 3 11" xfId="7322" xr:uid="{00000000-0005-0000-0000-0000FE9F0000}"/>
    <cellStyle name="Percent 3 11 2" xfId="25955" xr:uid="{00000000-0005-0000-0000-0000FF9F0000}"/>
    <cellStyle name="Percent 3 11 2 2" xfId="44134" xr:uid="{00000000-0005-0000-0000-000000A00000}"/>
    <cellStyle name="Percent 3 11 3" xfId="30168" xr:uid="{00000000-0005-0000-0000-000001A00000}"/>
    <cellStyle name="Percent 3 11 4" xfId="34383" xr:uid="{00000000-0005-0000-0000-000002A00000}"/>
    <cellStyle name="Percent 3 11 5" xfId="38587" xr:uid="{00000000-0005-0000-0000-000003A00000}"/>
    <cellStyle name="Percent 3 12" xfId="7440" xr:uid="{00000000-0005-0000-0000-000004A00000}"/>
    <cellStyle name="Percent 3 12 2" xfId="26073" xr:uid="{00000000-0005-0000-0000-000005A00000}"/>
    <cellStyle name="Percent 3 12 2 2" xfId="44135" xr:uid="{00000000-0005-0000-0000-000006A00000}"/>
    <cellStyle name="Percent 3 12 3" xfId="30286" xr:uid="{00000000-0005-0000-0000-000007A00000}"/>
    <cellStyle name="Percent 3 12 4" xfId="34501" xr:uid="{00000000-0005-0000-0000-000008A00000}"/>
    <cellStyle name="Percent 3 12 5" xfId="38705" xr:uid="{00000000-0005-0000-0000-000009A00000}"/>
    <cellStyle name="Percent 3 13" xfId="7558" xr:uid="{00000000-0005-0000-0000-00000AA00000}"/>
    <cellStyle name="Percent 3 13 2" xfId="26191" xr:uid="{00000000-0005-0000-0000-00000BA00000}"/>
    <cellStyle name="Percent 3 13 2 2" xfId="44136" xr:uid="{00000000-0005-0000-0000-00000CA00000}"/>
    <cellStyle name="Percent 3 13 3" xfId="30404" xr:uid="{00000000-0005-0000-0000-00000DA00000}"/>
    <cellStyle name="Percent 3 13 4" xfId="34619" xr:uid="{00000000-0005-0000-0000-00000EA00000}"/>
    <cellStyle name="Percent 3 13 5" xfId="38823" xr:uid="{00000000-0005-0000-0000-00000FA00000}"/>
    <cellStyle name="Percent 3 14" xfId="9061" xr:uid="{00000000-0005-0000-0000-000010A00000}"/>
    <cellStyle name="Percent 3 14 2" xfId="26632" xr:uid="{00000000-0005-0000-0000-000011A00000}"/>
    <cellStyle name="Percent 3 14 2 2" xfId="44137" xr:uid="{00000000-0005-0000-0000-000012A00000}"/>
    <cellStyle name="Percent 3 14 3" xfId="30845" xr:uid="{00000000-0005-0000-0000-000013A00000}"/>
    <cellStyle name="Percent 3 14 4" xfId="35060" xr:uid="{00000000-0005-0000-0000-000014A00000}"/>
    <cellStyle name="Percent 3 14 5" xfId="39264" xr:uid="{00000000-0005-0000-0000-000015A00000}"/>
    <cellStyle name="Percent 3 15" xfId="9183" xr:uid="{00000000-0005-0000-0000-000016A00000}"/>
    <cellStyle name="Percent 3 15 2" xfId="26754" xr:uid="{00000000-0005-0000-0000-000017A00000}"/>
    <cellStyle name="Percent 3 15 2 2" xfId="44138" xr:uid="{00000000-0005-0000-0000-000018A00000}"/>
    <cellStyle name="Percent 3 15 3" xfId="30967" xr:uid="{00000000-0005-0000-0000-000019A00000}"/>
    <cellStyle name="Percent 3 15 4" xfId="35182" xr:uid="{00000000-0005-0000-0000-00001AA00000}"/>
    <cellStyle name="Percent 3 15 5" xfId="39386" xr:uid="{00000000-0005-0000-0000-00001BA00000}"/>
    <cellStyle name="Percent 3 16" xfId="9303" xr:uid="{00000000-0005-0000-0000-00001CA00000}"/>
    <cellStyle name="Percent 3 16 2" xfId="26874" xr:uid="{00000000-0005-0000-0000-00001DA00000}"/>
    <cellStyle name="Percent 3 16 2 2" xfId="44139" xr:uid="{00000000-0005-0000-0000-00001EA00000}"/>
    <cellStyle name="Percent 3 16 3" xfId="31087" xr:uid="{00000000-0005-0000-0000-00001FA00000}"/>
    <cellStyle name="Percent 3 16 4" xfId="35302" xr:uid="{00000000-0005-0000-0000-000020A00000}"/>
    <cellStyle name="Percent 3 16 5" xfId="39506" xr:uid="{00000000-0005-0000-0000-000021A00000}"/>
    <cellStyle name="Percent 3 17" xfId="9423" xr:uid="{00000000-0005-0000-0000-000022A00000}"/>
    <cellStyle name="Percent 3 17 2" xfId="26994" xr:uid="{00000000-0005-0000-0000-000023A00000}"/>
    <cellStyle name="Percent 3 17 2 2" xfId="44140" xr:uid="{00000000-0005-0000-0000-000024A00000}"/>
    <cellStyle name="Percent 3 17 3" xfId="31207" xr:uid="{00000000-0005-0000-0000-000025A00000}"/>
    <cellStyle name="Percent 3 17 4" xfId="35422" xr:uid="{00000000-0005-0000-0000-000026A00000}"/>
    <cellStyle name="Percent 3 17 5" xfId="39626" xr:uid="{00000000-0005-0000-0000-000027A00000}"/>
    <cellStyle name="Percent 3 18" xfId="9543" xr:uid="{00000000-0005-0000-0000-000028A00000}"/>
    <cellStyle name="Percent 3 18 2" xfId="27114" xr:uid="{00000000-0005-0000-0000-000029A00000}"/>
    <cellStyle name="Percent 3 18 2 2" xfId="44141" xr:uid="{00000000-0005-0000-0000-00002AA00000}"/>
    <cellStyle name="Percent 3 18 3" xfId="31327" xr:uid="{00000000-0005-0000-0000-00002BA00000}"/>
    <cellStyle name="Percent 3 18 4" xfId="35542" xr:uid="{00000000-0005-0000-0000-00002CA00000}"/>
    <cellStyle name="Percent 3 18 5" xfId="39746" xr:uid="{00000000-0005-0000-0000-00002DA00000}"/>
    <cellStyle name="Percent 3 19" xfId="6453" xr:uid="{00000000-0005-0000-0000-00002EA00000}"/>
    <cellStyle name="Percent 3 19 2" xfId="44142" xr:uid="{00000000-0005-0000-0000-00002FA00000}"/>
    <cellStyle name="Percent 3 2" xfId="2870" xr:uid="{00000000-0005-0000-0000-000030A00000}"/>
    <cellStyle name="Percent 3 2 10" xfId="6454" xr:uid="{00000000-0005-0000-0000-000031A00000}"/>
    <cellStyle name="Percent 3 2 10 2" xfId="44143" xr:uid="{00000000-0005-0000-0000-000032A00000}"/>
    <cellStyle name="Percent 3 2 11" xfId="44144" xr:uid="{00000000-0005-0000-0000-000033A00000}"/>
    <cellStyle name="Percent 3 2 12" xfId="44145" xr:uid="{00000000-0005-0000-0000-000034A00000}"/>
    <cellStyle name="Percent 3 2 13" xfId="44146" xr:uid="{00000000-0005-0000-0000-000035A00000}"/>
    <cellStyle name="Percent 3 2 14" xfId="44147" xr:uid="{00000000-0005-0000-0000-000036A00000}"/>
    <cellStyle name="Percent 3 2 15" xfId="44148" xr:uid="{00000000-0005-0000-0000-000037A00000}"/>
    <cellStyle name="Percent 3 2 16" xfId="44149" xr:uid="{00000000-0005-0000-0000-000038A00000}"/>
    <cellStyle name="Percent 3 2 2" xfId="5505" xr:uid="{00000000-0005-0000-0000-000039A00000}"/>
    <cellStyle name="Percent 3 2 2 2" xfId="5721" xr:uid="{00000000-0005-0000-0000-00003AA00000}"/>
    <cellStyle name="Percent 3 2 2 2 2" xfId="6970" xr:uid="{00000000-0005-0000-0000-00003BA00000}"/>
    <cellStyle name="Percent 3 2 2 2 2 2" xfId="25658" xr:uid="{00000000-0005-0000-0000-00003CA00000}"/>
    <cellStyle name="Percent 3 2 2 2 2 3" xfId="29871" xr:uid="{00000000-0005-0000-0000-00003DA00000}"/>
    <cellStyle name="Percent 3 2 2 2 2 4" xfId="34086" xr:uid="{00000000-0005-0000-0000-00003EA00000}"/>
    <cellStyle name="Percent 3 2 2 2 2 5" xfId="38290" xr:uid="{00000000-0005-0000-0000-00003FA00000}"/>
    <cellStyle name="Percent 3 2 2 2 3" xfId="11365" xr:uid="{00000000-0005-0000-0000-000040A00000}"/>
    <cellStyle name="Percent 3 2 2 3" xfId="6250" xr:uid="{00000000-0005-0000-0000-000041A00000}"/>
    <cellStyle name="Percent 3 2 2 4" xfId="6455" xr:uid="{00000000-0005-0000-0000-000042A00000}"/>
    <cellStyle name="Percent 3 2 2 5" xfId="10178" xr:uid="{00000000-0005-0000-0000-000043A00000}"/>
    <cellStyle name="Percent 3 2 2 6" xfId="24993" xr:uid="{00000000-0005-0000-0000-000044A00000}"/>
    <cellStyle name="Percent 3 2 2 7" xfId="29205" xr:uid="{00000000-0005-0000-0000-000045A00000}"/>
    <cellStyle name="Percent 3 2 2 8" xfId="33421" xr:uid="{00000000-0005-0000-0000-000046A00000}"/>
    <cellStyle name="Percent 3 2 2 9" xfId="37625" xr:uid="{00000000-0005-0000-0000-000047A00000}"/>
    <cellStyle name="Percent 3 2 3" xfId="5720" xr:uid="{00000000-0005-0000-0000-000048A00000}"/>
    <cellStyle name="Percent 3 2 3 2" xfId="6971" xr:uid="{00000000-0005-0000-0000-000049A00000}"/>
    <cellStyle name="Percent 3 2 3 2 2" xfId="25659" xr:uid="{00000000-0005-0000-0000-00004AA00000}"/>
    <cellStyle name="Percent 3 2 3 2 3" xfId="29872" xr:uid="{00000000-0005-0000-0000-00004BA00000}"/>
    <cellStyle name="Percent 3 2 3 2 4" xfId="34087" xr:uid="{00000000-0005-0000-0000-00004CA00000}"/>
    <cellStyle name="Percent 3 2 3 2 5" xfId="38291" xr:uid="{00000000-0005-0000-0000-00004DA00000}"/>
    <cellStyle name="Percent 3 2 3 3" xfId="7183" xr:uid="{00000000-0005-0000-0000-00004EA00000}"/>
    <cellStyle name="Percent 3 2 3 4" xfId="6456" xr:uid="{00000000-0005-0000-0000-00004FA00000}"/>
    <cellStyle name="Percent 3 2 3 5" xfId="11364" xr:uid="{00000000-0005-0000-0000-000050A00000}"/>
    <cellStyle name="Percent 3 2 4" xfId="6251" xr:uid="{00000000-0005-0000-0000-000051A00000}"/>
    <cellStyle name="Percent 3 2 4 2" xfId="6972" xr:uid="{00000000-0005-0000-0000-000052A00000}"/>
    <cellStyle name="Percent 3 2 4 2 2" xfId="25660" xr:uid="{00000000-0005-0000-0000-000053A00000}"/>
    <cellStyle name="Percent 3 2 4 2 3" xfId="29873" xr:uid="{00000000-0005-0000-0000-000054A00000}"/>
    <cellStyle name="Percent 3 2 4 2 4" xfId="34088" xr:uid="{00000000-0005-0000-0000-000055A00000}"/>
    <cellStyle name="Percent 3 2 4 2 5" xfId="38292" xr:uid="{00000000-0005-0000-0000-000056A00000}"/>
    <cellStyle name="Percent 3 2 4 3" xfId="6457" xr:uid="{00000000-0005-0000-0000-000057A00000}"/>
    <cellStyle name="Percent 3 2 4 4" xfId="11705" xr:uid="{00000000-0005-0000-0000-000058A00000}"/>
    <cellStyle name="Percent 3 2 5" xfId="5504" xr:uid="{00000000-0005-0000-0000-000059A00000}"/>
    <cellStyle name="Percent 3 2 5 2" xfId="6973" xr:uid="{00000000-0005-0000-0000-00005AA00000}"/>
    <cellStyle name="Percent 3 2 5 2 2" xfId="25661" xr:uid="{00000000-0005-0000-0000-00005BA00000}"/>
    <cellStyle name="Percent 3 2 5 2 3" xfId="29874" xr:uid="{00000000-0005-0000-0000-00005CA00000}"/>
    <cellStyle name="Percent 3 2 5 2 4" xfId="34089" xr:uid="{00000000-0005-0000-0000-00005DA00000}"/>
    <cellStyle name="Percent 3 2 5 2 5" xfId="38293" xr:uid="{00000000-0005-0000-0000-00005EA00000}"/>
    <cellStyle name="Percent 3 2 5 3" xfId="6458" xr:uid="{00000000-0005-0000-0000-00005FA00000}"/>
    <cellStyle name="Percent 3 2 5 4" xfId="24992" xr:uid="{00000000-0005-0000-0000-000060A00000}"/>
    <cellStyle name="Percent 3 2 5 4 2" xfId="44150" xr:uid="{00000000-0005-0000-0000-000061A00000}"/>
    <cellStyle name="Percent 3 2 5 5" xfId="29204" xr:uid="{00000000-0005-0000-0000-000062A00000}"/>
    <cellStyle name="Percent 3 2 5 6" xfId="33420" xr:uid="{00000000-0005-0000-0000-000063A00000}"/>
    <cellStyle name="Percent 3 2 5 7" xfId="37624" xr:uid="{00000000-0005-0000-0000-000064A00000}"/>
    <cellStyle name="Percent 3 2 6" xfId="6321" xr:uid="{00000000-0005-0000-0000-000065A00000}"/>
    <cellStyle name="Percent 3 2 6 2" xfId="6459" xr:uid="{00000000-0005-0000-0000-000066A00000}"/>
    <cellStyle name="Percent 3 2 6 3" xfId="44151" xr:uid="{00000000-0005-0000-0000-000067A00000}"/>
    <cellStyle name="Percent 3 2 7" xfId="6969" xr:uid="{00000000-0005-0000-0000-000068A00000}"/>
    <cellStyle name="Percent 3 2 7 2" xfId="25657" xr:uid="{00000000-0005-0000-0000-000069A00000}"/>
    <cellStyle name="Percent 3 2 7 2 2" xfId="44152" xr:uid="{00000000-0005-0000-0000-00006AA00000}"/>
    <cellStyle name="Percent 3 2 7 3" xfId="29870" xr:uid="{00000000-0005-0000-0000-00006BA00000}"/>
    <cellStyle name="Percent 3 2 7 4" xfId="34085" xr:uid="{00000000-0005-0000-0000-00006CA00000}"/>
    <cellStyle name="Percent 3 2 7 5" xfId="38289" xr:uid="{00000000-0005-0000-0000-00006DA00000}"/>
    <cellStyle name="Percent 3 2 8" xfId="7182" xr:uid="{00000000-0005-0000-0000-00006EA00000}"/>
    <cellStyle name="Percent 3 2 9" xfId="9553" xr:uid="{00000000-0005-0000-0000-00006FA00000}"/>
    <cellStyle name="Percent 3 2 9 2" xfId="44153" xr:uid="{00000000-0005-0000-0000-000070A00000}"/>
    <cellStyle name="Percent 3 20" xfId="4325" xr:uid="{00000000-0005-0000-0000-000071A00000}"/>
    <cellStyle name="Percent 3 21" xfId="44154" xr:uid="{00000000-0005-0000-0000-000072A00000}"/>
    <cellStyle name="Percent 3 22" xfId="44155" xr:uid="{00000000-0005-0000-0000-000073A00000}"/>
    <cellStyle name="Percent 3 23" xfId="44156" xr:uid="{00000000-0005-0000-0000-000074A00000}"/>
    <cellStyle name="Percent 3 24" xfId="44157" xr:uid="{00000000-0005-0000-0000-000075A00000}"/>
    <cellStyle name="Percent 3 25" xfId="44158" xr:uid="{00000000-0005-0000-0000-000076A00000}"/>
    <cellStyle name="Percent 3 26" xfId="44159" xr:uid="{00000000-0005-0000-0000-000077A00000}"/>
    <cellStyle name="Percent 3 27" xfId="44160" xr:uid="{00000000-0005-0000-0000-000078A00000}"/>
    <cellStyle name="Percent 3 28" xfId="44161" xr:uid="{00000000-0005-0000-0000-000079A00000}"/>
    <cellStyle name="Percent 3 3" xfId="5889" xr:uid="{00000000-0005-0000-0000-00007AA00000}"/>
    <cellStyle name="Percent 3 3 10" xfId="44162" xr:uid="{00000000-0005-0000-0000-00007BA00000}"/>
    <cellStyle name="Percent 3 3 11" xfId="44163" xr:uid="{00000000-0005-0000-0000-00007CA00000}"/>
    <cellStyle name="Percent 3 3 12" xfId="44164" xr:uid="{00000000-0005-0000-0000-00007DA00000}"/>
    <cellStyle name="Percent 3 3 13" xfId="44165" xr:uid="{00000000-0005-0000-0000-00007EA00000}"/>
    <cellStyle name="Percent 3 3 14" xfId="44166" xr:uid="{00000000-0005-0000-0000-00007FA00000}"/>
    <cellStyle name="Percent 3 3 15" xfId="44167" xr:uid="{00000000-0005-0000-0000-000080A00000}"/>
    <cellStyle name="Percent 3 3 2" xfId="6252" xr:uid="{00000000-0005-0000-0000-000081A00000}"/>
    <cellStyle name="Percent 3 3 2 2" xfId="6975" xr:uid="{00000000-0005-0000-0000-000082A00000}"/>
    <cellStyle name="Percent 3 3 2 2 2" xfId="25663" xr:uid="{00000000-0005-0000-0000-000083A00000}"/>
    <cellStyle name="Percent 3 3 2 2 3" xfId="29876" xr:uid="{00000000-0005-0000-0000-000084A00000}"/>
    <cellStyle name="Percent 3 3 2 2 4" xfId="34091" xr:uid="{00000000-0005-0000-0000-000085A00000}"/>
    <cellStyle name="Percent 3 3 2 2 5" xfId="38295" xr:uid="{00000000-0005-0000-0000-000086A00000}"/>
    <cellStyle name="Percent 3 3 2 3" xfId="6461" xr:uid="{00000000-0005-0000-0000-000087A00000}"/>
    <cellStyle name="Percent 3 3 2 4" xfId="11706" xr:uid="{00000000-0005-0000-0000-000088A00000}"/>
    <cellStyle name="Percent 3 3 3" xfId="6253" xr:uid="{00000000-0005-0000-0000-000089A00000}"/>
    <cellStyle name="Percent 3 3 3 2" xfId="6254" xr:uid="{00000000-0005-0000-0000-00008AA00000}"/>
    <cellStyle name="Percent 3 3 3 2 2" xfId="6977" xr:uid="{00000000-0005-0000-0000-00008BA00000}"/>
    <cellStyle name="Percent 3 3 3 2 2 2" xfId="25665" xr:uid="{00000000-0005-0000-0000-00008CA00000}"/>
    <cellStyle name="Percent 3 3 3 2 2 3" xfId="29878" xr:uid="{00000000-0005-0000-0000-00008DA00000}"/>
    <cellStyle name="Percent 3 3 3 2 2 4" xfId="34093" xr:uid="{00000000-0005-0000-0000-00008EA00000}"/>
    <cellStyle name="Percent 3 3 3 2 2 5" xfId="38297" xr:uid="{00000000-0005-0000-0000-00008FA00000}"/>
    <cellStyle name="Percent 3 3 3 2 3" xfId="6463" xr:uid="{00000000-0005-0000-0000-000090A00000}"/>
    <cellStyle name="Percent 3 3 3 2 4" xfId="11708" xr:uid="{00000000-0005-0000-0000-000091A00000}"/>
    <cellStyle name="Percent 3 3 3 3" xfId="6255" xr:uid="{00000000-0005-0000-0000-000092A00000}"/>
    <cellStyle name="Percent 3 3 3 3 2" xfId="6256" xr:uid="{00000000-0005-0000-0000-000093A00000}"/>
    <cellStyle name="Percent 3 3 3 3 2 2" xfId="6979" xr:uid="{00000000-0005-0000-0000-000094A00000}"/>
    <cellStyle name="Percent 3 3 3 3 2 2 2" xfId="25667" xr:uid="{00000000-0005-0000-0000-000095A00000}"/>
    <cellStyle name="Percent 3 3 3 3 2 2 3" xfId="29880" xr:uid="{00000000-0005-0000-0000-000096A00000}"/>
    <cellStyle name="Percent 3 3 3 3 2 2 4" xfId="34095" xr:uid="{00000000-0005-0000-0000-000097A00000}"/>
    <cellStyle name="Percent 3 3 3 3 2 2 5" xfId="38299" xr:uid="{00000000-0005-0000-0000-000098A00000}"/>
    <cellStyle name="Percent 3 3 3 3 2 3" xfId="6465" xr:uid="{00000000-0005-0000-0000-000099A00000}"/>
    <cellStyle name="Percent 3 3 3 3 2 4" xfId="11710" xr:uid="{00000000-0005-0000-0000-00009AA00000}"/>
    <cellStyle name="Percent 3 3 3 3 3" xfId="6257" xr:uid="{00000000-0005-0000-0000-00009BA00000}"/>
    <cellStyle name="Percent 3 3 3 3 3 2" xfId="6980" xr:uid="{00000000-0005-0000-0000-00009CA00000}"/>
    <cellStyle name="Percent 3 3 3 3 3 2 2" xfId="25668" xr:uid="{00000000-0005-0000-0000-00009DA00000}"/>
    <cellStyle name="Percent 3 3 3 3 3 2 3" xfId="29881" xr:uid="{00000000-0005-0000-0000-00009EA00000}"/>
    <cellStyle name="Percent 3 3 3 3 3 2 4" xfId="34096" xr:uid="{00000000-0005-0000-0000-00009FA00000}"/>
    <cellStyle name="Percent 3 3 3 3 3 2 5" xfId="38300" xr:uid="{00000000-0005-0000-0000-0000A0A00000}"/>
    <cellStyle name="Percent 3 3 3 3 3 3" xfId="6466" xr:uid="{00000000-0005-0000-0000-0000A1A00000}"/>
    <cellStyle name="Percent 3 3 3 3 3 4" xfId="11711" xr:uid="{00000000-0005-0000-0000-0000A2A00000}"/>
    <cellStyle name="Percent 3 3 3 3 4" xfId="6978" xr:uid="{00000000-0005-0000-0000-0000A3A00000}"/>
    <cellStyle name="Percent 3 3 3 3 4 2" xfId="25666" xr:uid="{00000000-0005-0000-0000-0000A4A00000}"/>
    <cellStyle name="Percent 3 3 3 3 4 3" xfId="29879" xr:uid="{00000000-0005-0000-0000-0000A5A00000}"/>
    <cellStyle name="Percent 3 3 3 3 4 4" xfId="34094" xr:uid="{00000000-0005-0000-0000-0000A6A00000}"/>
    <cellStyle name="Percent 3 3 3 3 4 5" xfId="38298" xr:uid="{00000000-0005-0000-0000-0000A7A00000}"/>
    <cellStyle name="Percent 3 3 3 3 5" xfId="6464" xr:uid="{00000000-0005-0000-0000-0000A8A00000}"/>
    <cellStyle name="Percent 3 3 3 3 6" xfId="11709" xr:uid="{00000000-0005-0000-0000-0000A9A00000}"/>
    <cellStyle name="Percent 3 3 3 4" xfId="6976" xr:uid="{00000000-0005-0000-0000-0000AAA00000}"/>
    <cellStyle name="Percent 3 3 3 4 2" xfId="25664" xr:uid="{00000000-0005-0000-0000-0000ABA00000}"/>
    <cellStyle name="Percent 3 3 3 4 3" xfId="29877" xr:uid="{00000000-0005-0000-0000-0000ACA00000}"/>
    <cellStyle name="Percent 3 3 3 4 4" xfId="34092" xr:uid="{00000000-0005-0000-0000-0000ADA00000}"/>
    <cellStyle name="Percent 3 3 3 4 5" xfId="38296" xr:uid="{00000000-0005-0000-0000-0000AEA00000}"/>
    <cellStyle name="Percent 3 3 3 5" xfId="6462" xr:uid="{00000000-0005-0000-0000-0000AFA00000}"/>
    <cellStyle name="Percent 3 3 3 6" xfId="11707" xr:uid="{00000000-0005-0000-0000-0000B0A00000}"/>
    <cellStyle name="Percent 3 3 4" xfId="6258" xr:uid="{00000000-0005-0000-0000-0000B1A00000}"/>
    <cellStyle name="Percent 3 3 4 2" xfId="6981" xr:uid="{00000000-0005-0000-0000-0000B2A00000}"/>
    <cellStyle name="Percent 3 3 4 2 2" xfId="25669" xr:uid="{00000000-0005-0000-0000-0000B3A00000}"/>
    <cellStyle name="Percent 3 3 4 2 3" xfId="29882" xr:uid="{00000000-0005-0000-0000-0000B4A00000}"/>
    <cellStyle name="Percent 3 3 4 2 4" xfId="34097" xr:uid="{00000000-0005-0000-0000-0000B5A00000}"/>
    <cellStyle name="Percent 3 3 4 2 5" xfId="38301" xr:uid="{00000000-0005-0000-0000-0000B6A00000}"/>
    <cellStyle name="Percent 3 3 4 3" xfId="6467" xr:uid="{00000000-0005-0000-0000-0000B7A00000}"/>
    <cellStyle name="Percent 3 3 4 4" xfId="11712" xr:uid="{00000000-0005-0000-0000-0000B8A00000}"/>
    <cellStyle name="Percent 3 3 4 5" xfId="44168" xr:uid="{00000000-0005-0000-0000-0000B9A00000}"/>
    <cellStyle name="Percent 3 3 5" xfId="6259" xr:uid="{00000000-0005-0000-0000-0000BAA00000}"/>
    <cellStyle name="Percent 3 3 5 2" xfId="6982" xr:uid="{00000000-0005-0000-0000-0000BBA00000}"/>
    <cellStyle name="Percent 3 3 5 2 2" xfId="25670" xr:uid="{00000000-0005-0000-0000-0000BCA00000}"/>
    <cellStyle name="Percent 3 3 5 2 3" xfId="29883" xr:uid="{00000000-0005-0000-0000-0000BDA00000}"/>
    <cellStyle name="Percent 3 3 5 2 4" xfId="34098" xr:uid="{00000000-0005-0000-0000-0000BEA00000}"/>
    <cellStyle name="Percent 3 3 5 2 5" xfId="38302" xr:uid="{00000000-0005-0000-0000-0000BFA00000}"/>
    <cellStyle name="Percent 3 3 5 3" xfId="6468" xr:uid="{00000000-0005-0000-0000-0000C0A00000}"/>
    <cellStyle name="Percent 3 3 5 4" xfId="11713" xr:uid="{00000000-0005-0000-0000-0000C1A00000}"/>
    <cellStyle name="Percent 3 3 6" xfId="6974" xr:uid="{00000000-0005-0000-0000-0000C2A00000}"/>
    <cellStyle name="Percent 3 3 6 2" xfId="25662" xr:uid="{00000000-0005-0000-0000-0000C3A00000}"/>
    <cellStyle name="Percent 3 3 6 2 2" xfId="44169" xr:uid="{00000000-0005-0000-0000-0000C4A00000}"/>
    <cellStyle name="Percent 3 3 6 3" xfId="29875" xr:uid="{00000000-0005-0000-0000-0000C5A00000}"/>
    <cellStyle name="Percent 3 3 6 4" xfId="34090" xr:uid="{00000000-0005-0000-0000-0000C6A00000}"/>
    <cellStyle name="Percent 3 3 6 5" xfId="38294" xr:uid="{00000000-0005-0000-0000-0000C7A00000}"/>
    <cellStyle name="Percent 3 3 7" xfId="8817" xr:uid="{00000000-0005-0000-0000-0000C8A00000}"/>
    <cellStyle name="Percent 3 3 8" xfId="6460" xr:uid="{00000000-0005-0000-0000-0000C9A00000}"/>
    <cellStyle name="Percent 3 3 8 2" xfId="44170" xr:uid="{00000000-0005-0000-0000-0000CAA00000}"/>
    <cellStyle name="Percent 3 3 9" xfId="10179" xr:uid="{00000000-0005-0000-0000-0000CBA00000}"/>
    <cellStyle name="Percent 3 3 9 2" xfId="44171" xr:uid="{00000000-0005-0000-0000-0000CCA00000}"/>
    <cellStyle name="Percent 3 4" xfId="6260" xr:uid="{00000000-0005-0000-0000-0000CDA00000}"/>
    <cellStyle name="Percent 3 4 10" xfId="44172" xr:uid="{00000000-0005-0000-0000-0000CEA00000}"/>
    <cellStyle name="Percent 3 4 11" xfId="44173" xr:uid="{00000000-0005-0000-0000-0000CFA00000}"/>
    <cellStyle name="Percent 3 4 12" xfId="44174" xr:uid="{00000000-0005-0000-0000-0000D0A00000}"/>
    <cellStyle name="Percent 3 4 13" xfId="44175" xr:uid="{00000000-0005-0000-0000-0000D1A00000}"/>
    <cellStyle name="Percent 3 4 14" xfId="44176" xr:uid="{00000000-0005-0000-0000-0000D2A00000}"/>
    <cellStyle name="Percent 3 4 15" xfId="44177" xr:uid="{00000000-0005-0000-0000-0000D3A00000}"/>
    <cellStyle name="Percent 3 4 2" xfId="6261" xr:uid="{00000000-0005-0000-0000-0000D4A00000}"/>
    <cellStyle name="Percent 3 4 2 2" xfId="6984" xr:uid="{00000000-0005-0000-0000-0000D5A00000}"/>
    <cellStyle name="Percent 3 4 2 2 2" xfId="25672" xr:uid="{00000000-0005-0000-0000-0000D6A00000}"/>
    <cellStyle name="Percent 3 4 2 2 3" xfId="29885" xr:uid="{00000000-0005-0000-0000-0000D7A00000}"/>
    <cellStyle name="Percent 3 4 2 2 4" xfId="34100" xr:uid="{00000000-0005-0000-0000-0000D8A00000}"/>
    <cellStyle name="Percent 3 4 2 2 5" xfId="38304" xr:uid="{00000000-0005-0000-0000-0000D9A00000}"/>
    <cellStyle name="Percent 3 4 2 3" xfId="6470" xr:uid="{00000000-0005-0000-0000-0000DAA00000}"/>
    <cellStyle name="Percent 3 4 2 4" xfId="10199" xr:uid="{00000000-0005-0000-0000-0000DBA00000}"/>
    <cellStyle name="Percent 3 4 3" xfId="6262" xr:uid="{00000000-0005-0000-0000-0000DCA00000}"/>
    <cellStyle name="Percent 3 4 3 2" xfId="6985" xr:uid="{00000000-0005-0000-0000-0000DDA00000}"/>
    <cellStyle name="Percent 3 4 3 2 2" xfId="25673" xr:uid="{00000000-0005-0000-0000-0000DEA00000}"/>
    <cellStyle name="Percent 3 4 3 2 3" xfId="29886" xr:uid="{00000000-0005-0000-0000-0000DFA00000}"/>
    <cellStyle name="Percent 3 4 3 2 4" xfId="34101" xr:uid="{00000000-0005-0000-0000-0000E0A00000}"/>
    <cellStyle name="Percent 3 4 3 2 5" xfId="38305" xr:uid="{00000000-0005-0000-0000-0000E1A00000}"/>
    <cellStyle name="Percent 3 4 3 3" xfId="6471" xr:uid="{00000000-0005-0000-0000-0000E2A00000}"/>
    <cellStyle name="Percent 3 4 3 4" xfId="11714" xr:uid="{00000000-0005-0000-0000-0000E3A00000}"/>
    <cellStyle name="Percent 3 4 4" xfId="6983" xr:uid="{00000000-0005-0000-0000-0000E4A00000}"/>
    <cellStyle name="Percent 3 4 4 2" xfId="25671" xr:uid="{00000000-0005-0000-0000-0000E5A00000}"/>
    <cellStyle name="Percent 3 4 4 2 2" xfId="44178" xr:uid="{00000000-0005-0000-0000-0000E6A00000}"/>
    <cellStyle name="Percent 3 4 4 3" xfId="29884" xr:uid="{00000000-0005-0000-0000-0000E7A00000}"/>
    <cellStyle name="Percent 3 4 4 4" xfId="34099" xr:uid="{00000000-0005-0000-0000-0000E8A00000}"/>
    <cellStyle name="Percent 3 4 4 5" xfId="38303" xr:uid="{00000000-0005-0000-0000-0000E9A00000}"/>
    <cellStyle name="Percent 3 4 5" xfId="8818" xr:uid="{00000000-0005-0000-0000-0000EAA00000}"/>
    <cellStyle name="Percent 3 4 5 2" xfId="44179" xr:uid="{00000000-0005-0000-0000-0000EBA00000}"/>
    <cellStyle name="Percent 3 4 6" xfId="6469" xr:uid="{00000000-0005-0000-0000-0000ECA00000}"/>
    <cellStyle name="Percent 3 4 7" xfId="44180" xr:uid="{00000000-0005-0000-0000-0000EDA00000}"/>
    <cellStyle name="Percent 3 4 8" xfId="44181" xr:uid="{00000000-0005-0000-0000-0000EEA00000}"/>
    <cellStyle name="Percent 3 4 9" xfId="44182" xr:uid="{00000000-0005-0000-0000-0000EFA00000}"/>
    <cellStyle name="Percent 3 5" xfId="6263" xr:uid="{00000000-0005-0000-0000-0000F0A00000}"/>
    <cellStyle name="Percent 3 5 10" xfId="44184" xr:uid="{00000000-0005-0000-0000-0000F1A00000}"/>
    <cellStyle name="Percent 3 5 11" xfId="44185" xr:uid="{00000000-0005-0000-0000-0000F2A00000}"/>
    <cellStyle name="Percent 3 5 12" xfId="44186" xr:uid="{00000000-0005-0000-0000-0000F3A00000}"/>
    <cellStyle name="Percent 3 5 13" xfId="44187" xr:uid="{00000000-0005-0000-0000-0000F4A00000}"/>
    <cellStyle name="Percent 3 5 14" xfId="44188" xr:uid="{00000000-0005-0000-0000-0000F5A00000}"/>
    <cellStyle name="Percent 3 5 15" xfId="44189" xr:uid="{00000000-0005-0000-0000-0000F6A00000}"/>
    <cellStyle name="Percent 3 5 16" xfId="44183" xr:uid="{00000000-0005-0000-0000-0000F7A00000}"/>
    <cellStyle name="Percent 3 5 2" xfId="6986" xr:uid="{00000000-0005-0000-0000-0000F8A00000}"/>
    <cellStyle name="Percent 3 5 2 2" xfId="25674" xr:uid="{00000000-0005-0000-0000-0000F9A00000}"/>
    <cellStyle name="Percent 3 5 2 2 2" xfId="44190" xr:uid="{00000000-0005-0000-0000-0000FAA00000}"/>
    <cellStyle name="Percent 3 5 2 3" xfId="29887" xr:uid="{00000000-0005-0000-0000-0000FBA00000}"/>
    <cellStyle name="Percent 3 5 2 4" xfId="34102" xr:uid="{00000000-0005-0000-0000-0000FCA00000}"/>
    <cellStyle name="Percent 3 5 2 5" xfId="38306" xr:uid="{00000000-0005-0000-0000-0000FDA00000}"/>
    <cellStyle name="Percent 3 5 3" xfId="8819" xr:uid="{00000000-0005-0000-0000-0000FEA00000}"/>
    <cellStyle name="Percent 3 5 3 2" xfId="44191" xr:uid="{00000000-0005-0000-0000-0000FFA00000}"/>
    <cellStyle name="Percent 3 5 4" xfId="6472" xr:uid="{00000000-0005-0000-0000-000000A10000}"/>
    <cellStyle name="Percent 3 5 5" xfId="11715" xr:uid="{00000000-0005-0000-0000-000001A10000}"/>
    <cellStyle name="Percent 3 5 5 2" xfId="44192" xr:uid="{00000000-0005-0000-0000-000002A10000}"/>
    <cellStyle name="Percent 3 5 6" xfId="44193" xr:uid="{00000000-0005-0000-0000-000003A10000}"/>
    <cellStyle name="Percent 3 5 7" xfId="44194" xr:uid="{00000000-0005-0000-0000-000004A10000}"/>
    <cellStyle name="Percent 3 5 8" xfId="44195" xr:uid="{00000000-0005-0000-0000-000005A10000}"/>
    <cellStyle name="Percent 3 5 9" xfId="44196" xr:uid="{00000000-0005-0000-0000-000006A10000}"/>
    <cellStyle name="Percent 3 6" xfId="6264" xr:uid="{00000000-0005-0000-0000-000007A10000}"/>
    <cellStyle name="Percent 3 6 10" xfId="44198" xr:uid="{00000000-0005-0000-0000-000008A10000}"/>
    <cellStyle name="Percent 3 6 11" xfId="44199" xr:uid="{00000000-0005-0000-0000-000009A10000}"/>
    <cellStyle name="Percent 3 6 12" xfId="44200" xr:uid="{00000000-0005-0000-0000-00000AA10000}"/>
    <cellStyle name="Percent 3 6 13" xfId="44201" xr:uid="{00000000-0005-0000-0000-00000BA10000}"/>
    <cellStyle name="Percent 3 6 14" xfId="44202" xr:uid="{00000000-0005-0000-0000-00000CA10000}"/>
    <cellStyle name="Percent 3 6 15" xfId="44203" xr:uid="{00000000-0005-0000-0000-00000DA10000}"/>
    <cellStyle name="Percent 3 6 16" xfId="44197" xr:uid="{00000000-0005-0000-0000-00000EA10000}"/>
    <cellStyle name="Percent 3 6 2" xfId="6987" xr:uid="{00000000-0005-0000-0000-00000FA10000}"/>
    <cellStyle name="Percent 3 6 2 2" xfId="25675" xr:uid="{00000000-0005-0000-0000-000010A10000}"/>
    <cellStyle name="Percent 3 6 2 2 2" xfId="44204" xr:uid="{00000000-0005-0000-0000-000011A10000}"/>
    <cellStyle name="Percent 3 6 2 3" xfId="29888" xr:uid="{00000000-0005-0000-0000-000012A10000}"/>
    <cellStyle name="Percent 3 6 2 4" xfId="34103" xr:uid="{00000000-0005-0000-0000-000013A10000}"/>
    <cellStyle name="Percent 3 6 2 5" xfId="38307" xr:uid="{00000000-0005-0000-0000-000014A10000}"/>
    <cellStyle name="Percent 3 6 3" xfId="8820" xr:uid="{00000000-0005-0000-0000-000015A10000}"/>
    <cellStyle name="Percent 3 6 3 2" xfId="44205" xr:uid="{00000000-0005-0000-0000-000016A10000}"/>
    <cellStyle name="Percent 3 6 4" xfId="6473" xr:uid="{00000000-0005-0000-0000-000017A10000}"/>
    <cellStyle name="Percent 3 6 5" xfId="44206" xr:uid="{00000000-0005-0000-0000-000018A10000}"/>
    <cellStyle name="Percent 3 6 6" xfId="44207" xr:uid="{00000000-0005-0000-0000-000019A10000}"/>
    <cellStyle name="Percent 3 6 7" xfId="44208" xr:uid="{00000000-0005-0000-0000-00001AA10000}"/>
    <cellStyle name="Percent 3 6 8" xfId="44209" xr:uid="{00000000-0005-0000-0000-00001BA10000}"/>
    <cellStyle name="Percent 3 6 9" xfId="44210" xr:uid="{00000000-0005-0000-0000-00001CA10000}"/>
    <cellStyle name="Percent 3 7" xfId="6265" xr:uid="{00000000-0005-0000-0000-00001DA10000}"/>
    <cellStyle name="Percent 3 7 10" xfId="44212" xr:uid="{00000000-0005-0000-0000-00001EA10000}"/>
    <cellStyle name="Percent 3 7 11" xfId="44213" xr:uid="{00000000-0005-0000-0000-00001FA10000}"/>
    <cellStyle name="Percent 3 7 12" xfId="44214" xr:uid="{00000000-0005-0000-0000-000020A10000}"/>
    <cellStyle name="Percent 3 7 13" xfId="44215" xr:uid="{00000000-0005-0000-0000-000021A10000}"/>
    <cellStyle name="Percent 3 7 14" xfId="44216" xr:uid="{00000000-0005-0000-0000-000022A10000}"/>
    <cellStyle name="Percent 3 7 15" xfId="44217" xr:uid="{00000000-0005-0000-0000-000023A10000}"/>
    <cellStyle name="Percent 3 7 16" xfId="44211" xr:uid="{00000000-0005-0000-0000-000024A10000}"/>
    <cellStyle name="Percent 3 7 2" xfId="6988" xr:uid="{00000000-0005-0000-0000-000025A10000}"/>
    <cellStyle name="Percent 3 7 2 2" xfId="25676" xr:uid="{00000000-0005-0000-0000-000026A10000}"/>
    <cellStyle name="Percent 3 7 2 2 2" xfId="44218" xr:uid="{00000000-0005-0000-0000-000027A10000}"/>
    <cellStyle name="Percent 3 7 2 3" xfId="29889" xr:uid="{00000000-0005-0000-0000-000028A10000}"/>
    <cellStyle name="Percent 3 7 2 4" xfId="34104" xr:uid="{00000000-0005-0000-0000-000029A10000}"/>
    <cellStyle name="Percent 3 7 2 5" xfId="38308" xr:uid="{00000000-0005-0000-0000-00002AA10000}"/>
    <cellStyle name="Percent 3 7 3" xfId="8821" xr:uid="{00000000-0005-0000-0000-00002BA10000}"/>
    <cellStyle name="Percent 3 7 3 2" xfId="44219" xr:uid="{00000000-0005-0000-0000-00002CA10000}"/>
    <cellStyle name="Percent 3 7 4" xfId="6474" xr:uid="{00000000-0005-0000-0000-00002DA10000}"/>
    <cellStyle name="Percent 3 7 5" xfId="44220" xr:uid="{00000000-0005-0000-0000-00002EA10000}"/>
    <cellStyle name="Percent 3 7 6" xfId="44221" xr:uid="{00000000-0005-0000-0000-00002FA10000}"/>
    <cellStyle name="Percent 3 7 7" xfId="44222" xr:uid="{00000000-0005-0000-0000-000030A10000}"/>
    <cellStyle name="Percent 3 7 8" xfId="44223" xr:uid="{00000000-0005-0000-0000-000031A10000}"/>
    <cellStyle name="Percent 3 7 9" xfId="44224" xr:uid="{00000000-0005-0000-0000-000032A10000}"/>
    <cellStyle name="Percent 3 8" xfId="5503" xr:uid="{00000000-0005-0000-0000-000033A10000}"/>
    <cellStyle name="Percent 3 8 10" xfId="44226" xr:uid="{00000000-0005-0000-0000-000034A10000}"/>
    <cellStyle name="Percent 3 8 11" xfId="44227" xr:uid="{00000000-0005-0000-0000-000035A10000}"/>
    <cellStyle name="Percent 3 8 12" xfId="44228" xr:uid="{00000000-0005-0000-0000-000036A10000}"/>
    <cellStyle name="Percent 3 8 13" xfId="44229" xr:uid="{00000000-0005-0000-0000-000037A10000}"/>
    <cellStyle name="Percent 3 8 14" xfId="44230" xr:uid="{00000000-0005-0000-0000-000038A10000}"/>
    <cellStyle name="Percent 3 8 15" xfId="44231" xr:uid="{00000000-0005-0000-0000-000039A10000}"/>
    <cellStyle name="Percent 3 8 16" xfId="44225" xr:uid="{00000000-0005-0000-0000-00003AA10000}"/>
    <cellStyle name="Percent 3 8 17" xfId="37623" xr:uid="{00000000-0005-0000-0000-00003BA10000}"/>
    <cellStyle name="Percent 3 8 2" xfId="8822" xr:uid="{00000000-0005-0000-0000-00003CA10000}"/>
    <cellStyle name="Percent 3 8 2 2" xfId="44232" xr:uid="{00000000-0005-0000-0000-00003DA10000}"/>
    <cellStyle name="Percent 3 8 3" xfId="6475" xr:uid="{00000000-0005-0000-0000-00003EA10000}"/>
    <cellStyle name="Percent 3 8 4" xfId="11343" xr:uid="{00000000-0005-0000-0000-00003FA10000}"/>
    <cellStyle name="Percent 3 8 4 2" xfId="28130" xr:uid="{00000000-0005-0000-0000-000040A10000}"/>
    <cellStyle name="Percent 3 8 4 2 2" xfId="44233" xr:uid="{00000000-0005-0000-0000-000041A10000}"/>
    <cellStyle name="Percent 3 8 4 3" xfId="32343" xr:uid="{00000000-0005-0000-0000-000042A10000}"/>
    <cellStyle name="Percent 3 8 4 4" xfId="36558" xr:uid="{00000000-0005-0000-0000-000043A10000}"/>
    <cellStyle name="Percent 3 8 4 5" xfId="40762" xr:uid="{00000000-0005-0000-0000-000044A10000}"/>
    <cellStyle name="Percent 3 8 5" xfId="24991" xr:uid="{00000000-0005-0000-0000-000045A10000}"/>
    <cellStyle name="Percent 3 8 5 2" xfId="44234" xr:uid="{00000000-0005-0000-0000-000046A10000}"/>
    <cellStyle name="Percent 3 8 6" xfId="29203" xr:uid="{00000000-0005-0000-0000-000047A10000}"/>
    <cellStyle name="Percent 3 8 6 2" xfId="44235" xr:uid="{00000000-0005-0000-0000-000048A10000}"/>
    <cellStyle name="Percent 3 8 7" xfId="33419" xr:uid="{00000000-0005-0000-0000-000049A10000}"/>
    <cellStyle name="Percent 3 8 7 2" xfId="44236" xr:uid="{00000000-0005-0000-0000-00004AA10000}"/>
    <cellStyle name="Percent 3 8 8" xfId="44237" xr:uid="{00000000-0005-0000-0000-00004BA10000}"/>
    <cellStyle name="Percent 3 8 9" xfId="44238" xr:uid="{00000000-0005-0000-0000-00004CA10000}"/>
    <cellStyle name="Percent 3 9" xfId="6968" xr:uid="{00000000-0005-0000-0000-00004DA10000}"/>
    <cellStyle name="Percent 3 9 10" xfId="44240" xr:uid="{00000000-0005-0000-0000-00004EA10000}"/>
    <cellStyle name="Percent 3 9 11" xfId="44241" xr:uid="{00000000-0005-0000-0000-00004FA10000}"/>
    <cellStyle name="Percent 3 9 12" xfId="44242" xr:uid="{00000000-0005-0000-0000-000050A10000}"/>
    <cellStyle name="Percent 3 9 13" xfId="44243" xr:uid="{00000000-0005-0000-0000-000051A10000}"/>
    <cellStyle name="Percent 3 9 14" xfId="44244" xr:uid="{00000000-0005-0000-0000-000052A10000}"/>
    <cellStyle name="Percent 3 9 15" xfId="44245" xr:uid="{00000000-0005-0000-0000-000053A10000}"/>
    <cellStyle name="Percent 3 9 16" xfId="44239" xr:uid="{00000000-0005-0000-0000-000054A10000}"/>
    <cellStyle name="Percent 3 9 17" xfId="38288" xr:uid="{00000000-0005-0000-0000-000055A10000}"/>
    <cellStyle name="Percent 3 9 2" xfId="25656" xr:uid="{00000000-0005-0000-0000-000056A10000}"/>
    <cellStyle name="Percent 3 9 2 2" xfId="44246" xr:uid="{00000000-0005-0000-0000-000057A10000}"/>
    <cellStyle name="Percent 3 9 3" xfId="29869" xr:uid="{00000000-0005-0000-0000-000058A10000}"/>
    <cellStyle name="Percent 3 9 3 2" xfId="44247" xr:uid="{00000000-0005-0000-0000-000059A10000}"/>
    <cellStyle name="Percent 3 9 4" xfId="34084" xr:uid="{00000000-0005-0000-0000-00005AA10000}"/>
    <cellStyle name="Percent 3 9 4 2" xfId="44248" xr:uid="{00000000-0005-0000-0000-00005BA10000}"/>
    <cellStyle name="Percent 3 9 5" xfId="44249" xr:uid="{00000000-0005-0000-0000-00005CA10000}"/>
    <cellStyle name="Percent 3 9 6" xfId="44250" xr:uid="{00000000-0005-0000-0000-00005DA10000}"/>
    <cellStyle name="Percent 3 9 7" xfId="44251" xr:uid="{00000000-0005-0000-0000-00005EA10000}"/>
    <cellStyle name="Percent 3 9 8" xfId="44252" xr:uid="{00000000-0005-0000-0000-00005FA10000}"/>
    <cellStyle name="Percent 3 9 9" xfId="44253" xr:uid="{00000000-0005-0000-0000-000060A10000}"/>
    <cellStyle name="Percent 31" xfId="44254" xr:uid="{00000000-0005-0000-0000-000061A10000}"/>
    <cellStyle name="Percent 4" xfId="3059" xr:uid="{00000000-0005-0000-0000-000062A10000}"/>
    <cellStyle name="Percent 4 10" xfId="7443" xr:uid="{00000000-0005-0000-0000-000063A10000}"/>
    <cellStyle name="Percent 4 10 2" xfId="8824" xr:uid="{00000000-0005-0000-0000-000064A10000}"/>
    <cellStyle name="Percent 4 10 2 2" xfId="44256" xr:uid="{00000000-0005-0000-0000-000065A10000}"/>
    <cellStyle name="Percent 4 10 3" xfId="26076" xr:uid="{00000000-0005-0000-0000-000066A10000}"/>
    <cellStyle name="Percent 4 10 4" xfId="30289" xr:uid="{00000000-0005-0000-0000-000067A10000}"/>
    <cellStyle name="Percent 4 10 5" xfId="34504" xr:uid="{00000000-0005-0000-0000-000068A10000}"/>
    <cellStyle name="Percent 4 10 6" xfId="38708" xr:uid="{00000000-0005-0000-0000-000069A10000}"/>
    <cellStyle name="Percent 4 11" xfId="7561" xr:uid="{00000000-0005-0000-0000-00006AA10000}"/>
    <cellStyle name="Percent 4 11 2" xfId="8825" xr:uid="{00000000-0005-0000-0000-00006BA10000}"/>
    <cellStyle name="Percent 4 11 2 2" xfId="44257" xr:uid="{00000000-0005-0000-0000-00006CA10000}"/>
    <cellStyle name="Percent 4 11 3" xfId="26194" xr:uid="{00000000-0005-0000-0000-00006DA10000}"/>
    <cellStyle name="Percent 4 11 4" xfId="30407" xr:uid="{00000000-0005-0000-0000-00006EA10000}"/>
    <cellStyle name="Percent 4 11 5" xfId="34622" xr:uid="{00000000-0005-0000-0000-00006FA10000}"/>
    <cellStyle name="Percent 4 11 6" xfId="38826" xr:uid="{00000000-0005-0000-0000-000070A10000}"/>
    <cellStyle name="Percent 4 12" xfId="8826" xr:uid="{00000000-0005-0000-0000-000071A10000}"/>
    <cellStyle name="Percent 4 12 2" xfId="44258" xr:uid="{00000000-0005-0000-0000-000072A10000}"/>
    <cellStyle name="Percent 4 13" xfId="8827" xr:uid="{00000000-0005-0000-0000-000073A10000}"/>
    <cellStyle name="Percent 4 13 2" xfId="44259" xr:uid="{00000000-0005-0000-0000-000074A10000}"/>
    <cellStyle name="Percent 4 14" xfId="8823" xr:uid="{00000000-0005-0000-0000-000075A10000}"/>
    <cellStyle name="Percent 4 14 2" xfId="44261" xr:uid="{00000000-0005-0000-0000-000076A10000}"/>
    <cellStyle name="Percent 4 14 3" xfId="44260" xr:uid="{00000000-0005-0000-0000-000077A10000}"/>
    <cellStyle name="Percent 4 15" xfId="9064" xr:uid="{00000000-0005-0000-0000-000078A10000}"/>
    <cellStyle name="Percent 4 15 2" xfId="26635" xr:uid="{00000000-0005-0000-0000-000079A10000}"/>
    <cellStyle name="Percent 4 15 2 2" xfId="41693" xr:uid="{00000000-0005-0000-0000-00007AA10000}"/>
    <cellStyle name="Percent 4 15 3" xfId="30848" xr:uid="{00000000-0005-0000-0000-00007BA10000}"/>
    <cellStyle name="Percent 4 15 3 2" xfId="44262" xr:uid="{00000000-0005-0000-0000-00007CA10000}"/>
    <cellStyle name="Percent 4 15 4" xfId="35063" xr:uid="{00000000-0005-0000-0000-00007DA10000}"/>
    <cellStyle name="Percent 4 15 5" xfId="39267" xr:uid="{00000000-0005-0000-0000-00007EA10000}"/>
    <cellStyle name="Percent 4 16" xfId="9186" xr:uid="{00000000-0005-0000-0000-00007FA10000}"/>
    <cellStyle name="Percent 4 16 2" xfId="26757" xr:uid="{00000000-0005-0000-0000-000080A10000}"/>
    <cellStyle name="Percent 4 16 2 2" xfId="41695" xr:uid="{00000000-0005-0000-0000-000081A10000}"/>
    <cellStyle name="Percent 4 16 3" xfId="30970" xr:uid="{00000000-0005-0000-0000-000082A10000}"/>
    <cellStyle name="Percent 4 16 3 2" xfId="41696" xr:uid="{00000000-0005-0000-0000-000083A10000}"/>
    <cellStyle name="Percent 4 16 4" xfId="35185" xr:uid="{00000000-0005-0000-0000-000084A10000}"/>
    <cellStyle name="Percent 4 16 4 2" xfId="41694" xr:uid="{00000000-0005-0000-0000-000085A10000}"/>
    <cellStyle name="Percent 4 16 5" xfId="44263" xr:uid="{00000000-0005-0000-0000-000086A10000}"/>
    <cellStyle name="Percent 4 16 6" xfId="39389" xr:uid="{00000000-0005-0000-0000-000087A10000}"/>
    <cellStyle name="Percent 4 17" xfId="9306" xr:uid="{00000000-0005-0000-0000-000088A10000}"/>
    <cellStyle name="Percent 4 17 2" xfId="26877" xr:uid="{00000000-0005-0000-0000-000089A10000}"/>
    <cellStyle name="Percent 4 17 2 2" xfId="41697" xr:uid="{00000000-0005-0000-0000-00008AA10000}"/>
    <cellStyle name="Percent 4 17 3" xfId="31090" xr:uid="{00000000-0005-0000-0000-00008BA10000}"/>
    <cellStyle name="Percent 4 17 3 2" xfId="44264" xr:uid="{00000000-0005-0000-0000-00008CA10000}"/>
    <cellStyle name="Percent 4 17 4" xfId="35305" xr:uid="{00000000-0005-0000-0000-00008DA10000}"/>
    <cellStyle name="Percent 4 17 5" xfId="39509" xr:uid="{00000000-0005-0000-0000-00008EA10000}"/>
    <cellStyle name="Percent 4 18" xfId="9426" xr:uid="{00000000-0005-0000-0000-00008FA10000}"/>
    <cellStyle name="Percent 4 18 2" xfId="26997" xr:uid="{00000000-0005-0000-0000-000090A10000}"/>
    <cellStyle name="Percent 4 18 2 2" xfId="41698" xr:uid="{00000000-0005-0000-0000-000091A10000}"/>
    <cellStyle name="Percent 4 18 3" xfId="31210" xr:uid="{00000000-0005-0000-0000-000092A10000}"/>
    <cellStyle name="Percent 4 18 3 2" xfId="44265" xr:uid="{00000000-0005-0000-0000-000093A10000}"/>
    <cellStyle name="Percent 4 18 4" xfId="35425" xr:uid="{00000000-0005-0000-0000-000094A10000}"/>
    <cellStyle name="Percent 4 18 5" xfId="39629" xr:uid="{00000000-0005-0000-0000-000095A10000}"/>
    <cellStyle name="Percent 4 19" xfId="9546" xr:uid="{00000000-0005-0000-0000-000096A10000}"/>
    <cellStyle name="Percent 4 19 2" xfId="27117" xr:uid="{00000000-0005-0000-0000-000097A10000}"/>
    <cellStyle name="Percent 4 19 2 2" xfId="44266" xr:uid="{00000000-0005-0000-0000-000098A10000}"/>
    <cellStyle name="Percent 4 19 3" xfId="31330" xr:uid="{00000000-0005-0000-0000-000099A10000}"/>
    <cellStyle name="Percent 4 19 4" xfId="35545" xr:uid="{00000000-0005-0000-0000-00009AA10000}"/>
    <cellStyle name="Percent 4 19 5" xfId="39749" xr:uid="{00000000-0005-0000-0000-00009BA10000}"/>
    <cellStyle name="Percent 4 2" xfId="5507" xr:uid="{00000000-0005-0000-0000-00009CA10000}"/>
    <cellStyle name="Percent 4 2 10" xfId="6477" xr:uid="{00000000-0005-0000-0000-00009DA10000}"/>
    <cellStyle name="Percent 4 2 11" xfId="24995" xr:uid="{00000000-0005-0000-0000-00009EA10000}"/>
    <cellStyle name="Percent 4 2 12" xfId="29207" xr:uid="{00000000-0005-0000-0000-00009FA10000}"/>
    <cellStyle name="Percent 4 2 13" xfId="33423" xr:uid="{00000000-0005-0000-0000-0000A0A10000}"/>
    <cellStyle name="Percent 4 2 14" xfId="37627" xr:uid="{00000000-0005-0000-0000-0000A1A10000}"/>
    <cellStyle name="Percent 4 2 2" xfId="6267" xr:uid="{00000000-0005-0000-0000-0000A2A10000}"/>
    <cellStyle name="Percent 4 2 2 2" xfId="6991" xr:uid="{00000000-0005-0000-0000-0000A3A10000}"/>
    <cellStyle name="Percent 4 2 2 2 2" xfId="25679" xr:uid="{00000000-0005-0000-0000-0000A4A10000}"/>
    <cellStyle name="Percent 4 2 2 2 2 2" xfId="44268" xr:uid="{00000000-0005-0000-0000-0000A5A10000}"/>
    <cellStyle name="Percent 4 2 2 2 3" xfId="29892" xr:uid="{00000000-0005-0000-0000-0000A6A10000}"/>
    <cellStyle name="Percent 4 2 2 2 4" xfId="34107" xr:uid="{00000000-0005-0000-0000-0000A7A10000}"/>
    <cellStyle name="Percent 4 2 2 2 5" xfId="38311" xr:uid="{00000000-0005-0000-0000-0000A8A10000}"/>
    <cellStyle name="Percent 4 2 2 3" xfId="8829" xr:uid="{00000000-0005-0000-0000-0000A9A10000}"/>
    <cellStyle name="Percent 4 2 2 4" xfId="6478" xr:uid="{00000000-0005-0000-0000-0000AAA10000}"/>
    <cellStyle name="Percent 4 2 3" xfId="6268" xr:uid="{00000000-0005-0000-0000-0000ABA10000}"/>
    <cellStyle name="Percent 4 2 3 2" xfId="6992" xr:uid="{00000000-0005-0000-0000-0000ACA10000}"/>
    <cellStyle name="Percent 4 2 3 2 2" xfId="25680" xr:uid="{00000000-0005-0000-0000-0000ADA10000}"/>
    <cellStyle name="Percent 4 2 3 2 2 2" xfId="44269" xr:uid="{00000000-0005-0000-0000-0000AEA10000}"/>
    <cellStyle name="Percent 4 2 3 2 3" xfId="29893" xr:uid="{00000000-0005-0000-0000-0000AFA10000}"/>
    <cellStyle name="Percent 4 2 3 2 4" xfId="34108" xr:uid="{00000000-0005-0000-0000-0000B0A10000}"/>
    <cellStyle name="Percent 4 2 3 2 5" xfId="38312" xr:uid="{00000000-0005-0000-0000-0000B1A10000}"/>
    <cellStyle name="Percent 4 2 3 3" xfId="8830" xr:uid="{00000000-0005-0000-0000-0000B2A10000}"/>
    <cellStyle name="Percent 4 2 3 4" xfId="6479" xr:uid="{00000000-0005-0000-0000-0000B3A10000}"/>
    <cellStyle name="Percent 4 2 4" xfId="6266" xr:uid="{00000000-0005-0000-0000-0000B4A10000}"/>
    <cellStyle name="Percent 4 2 4 2" xfId="8831" xr:uid="{00000000-0005-0000-0000-0000B5A10000}"/>
    <cellStyle name="Percent 4 2 4 2 2" xfId="44270" xr:uid="{00000000-0005-0000-0000-0000B6A10000}"/>
    <cellStyle name="Percent 4 2 4 3" xfId="6990" xr:uid="{00000000-0005-0000-0000-0000B7A10000}"/>
    <cellStyle name="Percent 4 2 4 3 2" xfId="25678" xr:uid="{00000000-0005-0000-0000-0000B8A10000}"/>
    <cellStyle name="Percent 4 2 4 3 3" xfId="29891" xr:uid="{00000000-0005-0000-0000-0000B9A10000}"/>
    <cellStyle name="Percent 4 2 4 3 4" xfId="34106" xr:uid="{00000000-0005-0000-0000-0000BAA10000}"/>
    <cellStyle name="Percent 4 2 4 3 5" xfId="38310" xr:uid="{00000000-0005-0000-0000-0000BBA10000}"/>
    <cellStyle name="Percent 4 2 5" xfId="8832" xr:uid="{00000000-0005-0000-0000-0000BCA10000}"/>
    <cellStyle name="Percent 4 2 5 2" xfId="44271" xr:uid="{00000000-0005-0000-0000-0000BDA10000}"/>
    <cellStyle name="Percent 4 2 6" xfId="8833" xr:uid="{00000000-0005-0000-0000-0000BEA10000}"/>
    <cellStyle name="Percent 4 2 6 2" xfId="44272" xr:uid="{00000000-0005-0000-0000-0000BFA10000}"/>
    <cellStyle name="Percent 4 2 7" xfId="8834" xr:uid="{00000000-0005-0000-0000-0000C0A10000}"/>
    <cellStyle name="Percent 4 2 7 2" xfId="44273" xr:uid="{00000000-0005-0000-0000-0000C1A10000}"/>
    <cellStyle name="Percent 4 2 8" xfId="8835" xr:uid="{00000000-0005-0000-0000-0000C2A10000}"/>
    <cellStyle name="Percent 4 2 8 2" xfId="44274" xr:uid="{00000000-0005-0000-0000-0000C3A10000}"/>
    <cellStyle name="Percent 4 2 9" xfId="8828" xr:uid="{00000000-0005-0000-0000-0000C4A10000}"/>
    <cellStyle name="Percent 4 2 9 2" xfId="44267" xr:uid="{00000000-0005-0000-0000-0000C5A10000}"/>
    <cellStyle name="Percent 4 20" xfId="6476" xr:uid="{00000000-0005-0000-0000-0000C6A10000}"/>
    <cellStyle name="Percent 4 21" xfId="11226" xr:uid="{00000000-0005-0000-0000-0000C7A10000}"/>
    <cellStyle name="Percent 4 21 2" xfId="44275" xr:uid="{00000000-0005-0000-0000-0000C8A10000}"/>
    <cellStyle name="Percent 4 22" xfId="4326" xr:uid="{00000000-0005-0000-0000-0000C9A10000}"/>
    <cellStyle name="Percent 4 22 2" xfId="44276" xr:uid="{00000000-0005-0000-0000-0000CAA10000}"/>
    <cellStyle name="Percent 4 23" xfId="44277" xr:uid="{00000000-0005-0000-0000-0000CBA10000}"/>
    <cellStyle name="Percent 4 24" xfId="44278" xr:uid="{00000000-0005-0000-0000-0000CCA10000}"/>
    <cellStyle name="Percent 4 25" xfId="44279" xr:uid="{00000000-0005-0000-0000-0000CDA10000}"/>
    <cellStyle name="Percent 4 26" xfId="44280" xr:uid="{00000000-0005-0000-0000-0000CEA10000}"/>
    <cellStyle name="Percent 4 27" xfId="44281" xr:uid="{00000000-0005-0000-0000-0000CFA10000}"/>
    <cellStyle name="Percent 4 28" xfId="44282" xr:uid="{00000000-0005-0000-0000-0000D0A10000}"/>
    <cellStyle name="Percent 4 29" xfId="44283" xr:uid="{00000000-0005-0000-0000-0000D1A10000}"/>
    <cellStyle name="Percent 4 29 2" xfId="44284" xr:uid="{00000000-0005-0000-0000-0000D2A10000}"/>
    <cellStyle name="Percent 4 3" xfId="5890" xr:uid="{00000000-0005-0000-0000-0000D3A10000}"/>
    <cellStyle name="Percent 4 3 10" xfId="6480" xr:uid="{00000000-0005-0000-0000-0000D4A10000}"/>
    <cellStyle name="Percent 4 3 2" xfId="6993" xr:uid="{00000000-0005-0000-0000-0000D5A10000}"/>
    <cellStyle name="Percent 4 3 2 2" xfId="8837" xr:uid="{00000000-0005-0000-0000-0000D6A10000}"/>
    <cellStyle name="Percent 4 3 2 2 2" xfId="44286" xr:uid="{00000000-0005-0000-0000-0000D7A10000}"/>
    <cellStyle name="Percent 4 3 2 3" xfId="25681" xr:uid="{00000000-0005-0000-0000-0000D8A10000}"/>
    <cellStyle name="Percent 4 3 2 4" xfId="29894" xr:uid="{00000000-0005-0000-0000-0000D9A10000}"/>
    <cellStyle name="Percent 4 3 2 5" xfId="34109" xr:uid="{00000000-0005-0000-0000-0000DAA10000}"/>
    <cellStyle name="Percent 4 3 2 6" xfId="38313" xr:uid="{00000000-0005-0000-0000-0000DBA10000}"/>
    <cellStyle name="Percent 4 3 3" xfId="8838" xr:uid="{00000000-0005-0000-0000-0000DCA10000}"/>
    <cellStyle name="Percent 4 3 3 2" xfId="44287" xr:uid="{00000000-0005-0000-0000-0000DDA10000}"/>
    <cellStyle name="Percent 4 3 4" xfId="8839" xr:uid="{00000000-0005-0000-0000-0000DEA10000}"/>
    <cellStyle name="Percent 4 3 4 2" xfId="44288" xr:uid="{00000000-0005-0000-0000-0000DFA10000}"/>
    <cellStyle name="Percent 4 3 5" xfId="8840" xr:uid="{00000000-0005-0000-0000-0000E0A10000}"/>
    <cellStyle name="Percent 4 3 5 2" xfId="44289" xr:uid="{00000000-0005-0000-0000-0000E1A10000}"/>
    <cellStyle name="Percent 4 3 6" xfId="8841" xr:uid="{00000000-0005-0000-0000-0000E2A10000}"/>
    <cellStyle name="Percent 4 3 6 2" xfId="44290" xr:uid="{00000000-0005-0000-0000-0000E3A10000}"/>
    <cellStyle name="Percent 4 3 7" xfId="8842" xr:uid="{00000000-0005-0000-0000-0000E4A10000}"/>
    <cellStyle name="Percent 4 3 7 2" xfId="44291" xr:uid="{00000000-0005-0000-0000-0000E5A10000}"/>
    <cellStyle name="Percent 4 3 8" xfId="8843" xr:uid="{00000000-0005-0000-0000-0000E6A10000}"/>
    <cellStyle name="Percent 4 3 8 2" xfId="44292" xr:uid="{00000000-0005-0000-0000-0000E7A10000}"/>
    <cellStyle name="Percent 4 3 9" xfId="8836" xr:uid="{00000000-0005-0000-0000-0000E8A10000}"/>
    <cellStyle name="Percent 4 3 9 2" xfId="44285" xr:uid="{00000000-0005-0000-0000-0000E9A10000}"/>
    <cellStyle name="Percent 4 30" xfId="44293" xr:uid="{00000000-0005-0000-0000-0000EAA10000}"/>
    <cellStyle name="Percent 4 31" xfId="44255" xr:uid="{00000000-0005-0000-0000-0000EBA10000}"/>
    <cellStyle name="Percent 4 4" xfId="6269" xr:uid="{00000000-0005-0000-0000-0000ECA10000}"/>
    <cellStyle name="Percent 4 4 10" xfId="6481" xr:uid="{00000000-0005-0000-0000-0000EDA10000}"/>
    <cellStyle name="Percent 4 4 11" xfId="11716" xr:uid="{00000000-0005-0000-0000-0000EEA10000}"/>
    <cellStyle name="Percent 4 4 2" xfId="6994" xr:uid="{00000000-0005-0000-0000-0000EFA10000}"/>
    <cellStyle name="Percent 4 4 2 2" xfId="8845" xr:uid="{00000000-0005-0000-0000-0000F0A10000}"/>
    <cellStyle name="Percent 4 4 2 2 2" xfId="44295" xr:uid="{00000000-0005-0000-0000-0000F1A10000}"/>
    <cellStyle name="Percent 4 4 2 3" xfId="25682" xr:uid="{00000000-0005-0000-0000-0000F2A10000}"/>
    <cellStyle name="Percent 4 4 2 4" xfId="29895" xr:uid="{00000000-0005-0000-0000-0000F3A10000}"/>
    <cellStyle name="Percent 4 4 2 5" xfId="34110" xr:uid="{00000000-0005-0000-0000-0000F4A10000}"/>
    <cellStyle name="Percent 4 4 2 6" xfId="38314" xr:uid="{00000000-0005-0000-0000-0000F5A10000}"/>
    <cellStyle name="Percent 4 4 3" xfId="8846" xr:uid="{00000000-0005-0000-0000-0000F6A10000}"/>
    <cellStyle name="Percent 4 4 3 2" xfId="44296" xr:uid="{00000000-0005-0000-0000-0000F7A10000}"/>
    <cellStyle name="Percent 4 4 4" xfId="8847" xr:uid="{00000000-0005-0000-0000-0000F8A10000}"/>
    <cellStyle name="Percent 4 4 4 2" xfId="44297" xr:uid="{00000000-0005-0000-0000-0000F9A10000}"/>
    <cellStyle name="Percent 4 4 5" xfId="8848" xr:uid="{00000000-0005-0000-0000-0000FAA10000}"/>
    <cellStyle name="Percent 4 4 5 2" xfId="44298" xr:uid="{00000000-0005-0000-0000-0000FBA10000}"/>
    <cellStyle name="Percent 4 4 6" xfId="8849" xr:uid="{00000000-0005-0000-0000-0000FCA10000}"/>
    <cellStyle name="Percent 4 4 6 2" xfId="44299" xr:uid="{00000000-0005-0000-0000-0000FDA10000}"/>
    <cellStyle name="Percent 4 4 7" xfId="8850" xr:uid="{00000000-0005-0000-0000-0000FEA10000}"/>
    <cellStyle name="Percent 4 4 7 2" xfId="44300" xr:uid="{00000000-0005-0000-0000-0000FFA10000}"/>
    <cellStyle name="Percent 4 4 8" xfId="8851" xr:uid="{00000000-0005-0000-0000-000000A20000}"/>
    <cellStyle name="Percent 4 4 8 2" xfId="44301" xr:uid="{00000000-0005-0000-0000-000001A20000}"/>
    <cellStyle name="Percent 4 4 9" xfId="8844" xr:uid="{00000000-0005-0000-0000-000002A20000}"/>
    <cellStyle name="Percent 4 4 9 2" xfId="44294" xr:uid="{00000000-0005-0000-0000-000003A20000}"/>
    <cellStyle name="Percent 4 5" xfId="6270" xr:uid="{00000000-0005-0000-0000-000004A20000}"/>
    <cellStyle name="Percent 4 5 10" xfId="6482" xr:uid="{00000000-0005-0000-0000-000005A20000}"/>
    <cellStyle name="Percent 4 5 11" xfId="11717" xr:uid="{00000000-0005-0000-0000-000006A20000}"/>
    <cellStyle name="Percent 4 5 2" xfId="6995" xr:uid="{00000000-0005-0000-0000-000007A20000}"/>
    <cellStyle name="Percent 4 5 2 2" xfId="8853" xr:uid="{00000000-0005-0000-0000-000008A20000}"/>
    <cellStyle name="Percent 4 5 2 2 2" xfId="44303" xr:uid="{00000000-0005-0000-0000-000009A20000}"/>
    <cellStyle name="Percent 4 5 2 3" xfId="25683" xr:uid="{00000000-0005-0000-0000-00000AA20000}"/>
    <cellStyle name="Percent 4 5 2 4" xfId="29896" xr:uid="{00000000-0005-0000-0000-00000BA20000}"/>
    <cellStyle name="Percent 4 5 2 5" xfId="34111" xr:uid="{00000000-0005-0000-0000-00000CA20000}"/>
    <cellStyle name="Percent 4 5 2 6" xfId="38315" xr:uid="{00000000-0005-0000-0000-00000DA20000}"/>
    <cellStyle name="Percent 4 5 3" xfId="8854" xr:uid="{00000000-0005-0000-0000-00000EA20000}"/>
    <cellStyle name="Percent 4 5 3 2" xfId="44304" xr:uid="{00000000-0005-0000-0000-00000FA20000}"/>
    <cellStyle name="Percent 4 5 4" xfId="8855" xr:uid="{00000000-0005-0000-0000-000010A20000}"/>
    <cellStyle name="Percent 4 5 4 2" xfId="44305" xr:uid="{00000000-0005-0000-0000-000011A20000}"/>
    <cellStyle name="Percent 4 5 5" xfId="8856" xr:uid="{00000000-0005-0000-0000-000012A20000}"/>
    <cellStyle name="Percent 4 5 5 2" xfId="44306" xr:uid="{00000000-0005-0000-0000-000013A20000}"/>
    <cellStyle name="Percent 4 5 6" xfId="8857" xr:uid="{00000000-0005-0000-0000-000014A20000}"/>
    <cellStyle name="Percent 4 5 6 2" xfId="44307" xr:uid="{00000000-0005-0000-0000-000015A20000}"/>
    <cellStyle name="Percent 4 5 7" xfId="8858" xr:uid="{00000000-0005-0000-0000-000016A20000}"/>
    <cellStyle name="Percent 4 5 7 2" xfId="44308" xr:uid="{00000000-0005-0000-0000-000017A20000}"/>
    <cellStyle name="Percent 4 5 8" xfId="8859" xr:uid="{00000000-0005-0000-0000-000018A20000}"/>
    <cellStyle name="Percent 4 5 8 2" xfId="44309" xr:uid="{00000000-0005-0000-0000-000019A20000}"/>
    <cellStyle name="Percent 4 5 9" xfId="8852" xr:uid="{00000000-0005-0000-0000-00001AA20000}"/>
    <cellStyle name="Percent 4 5 9 2" xfId="44302" xr:uid="{00000000-0005-0000-0000-00001BA20000}"/>
    <cellStyle name="Percent 4 6" xfId="5506" xr:uid="{00000000-0005-0000-0000-00001CA20000}"/>
    <cellStyle name="Percent 4 6 10" xfId="6483" xr:uid="{00000000-0005-0000-0000-00001DA20000}"/>
    <cellStyle name="Percent 4 6 11" xfId="11344" xr:uid="{00000000-0005-0000-0000-00001EA20000}"/>
    <cellStyle name="Percent 4 6 11 2" xfId="28131" xr:uid="{00000000-0005-0000-0000-00001FA20000}"/>
    <cellStyle name="Percent 4 6 11 3" xfId="32344" xr:uid="{00000000-0005-0000-0000-000020A20000}"/>
    <cellStyle name="Percent 4 6 11 4" xfId="36559" xr:uid="{00000000-0005-0000-0000-000021A20000}"/>
    <cellStyle name="Percent 4 6 11 5" xfId="40763" xr:uid="{00000000-0005-0000-0000-000022A20000}"/>
    <cellStyle name="Percent 4 6 12" xfId="24994" xr:uid="{00000000-0005-0000-0000-000023A20000}"/>
    <cellStyle name="Percent 4 6 13" xfId="29206" xr:uid="{00000000-0005-0000-0000-000024A20000}"/>
    <cellStyle name="Percent 4 6 14" xfId="33422" xr:uid="{00000000-0005-0000-0000-000025A20000}"/>
    <cellStyle name="Percent 4 6 15" xfId="37626" xr:uid="{00000000-0005-0000-0000-000026A20000}"/>
    <cellStyle name="Percent 4 6 2" xfId="8861" xr:uid="{00000000-0005-0000-0000-000027A20000}"/>
    <cellStyle name="Percent 4 6 2 2" xfId="44311" xr:uid="{00000000-0005-0000-0000-000028A20000}"/>
    <cellStyle name="Percent 4 6 3" xfId="8862" xr:uid="{00000000-0005-0000-0000-000029A20000}"/>
    <cellStyle name="Percent 4 6 3 2" xfId="44312" xr:uid="{00000000-0005-0000-0000-00002AA20000}"/>
    <cellStyle name="Percent 4 6 4" xfId="8863" xr:uid="{00000000-0005-0000-0000-00002BA20000}"/>
    <cellStyle name="Percent 4 6 4 2" xfId="44313" xr:uid="{00000000-0005-0000-0000-00002CA20000}"/>
    <cellStyle name="Percent 4 6 5" xfId="8864" xr:uid="{00000000-0005-0000-0000-00002DA20000}"/>
    <cellStyle name="Percent 4 6 5 2" xfId="44314" xr:uid="{00000000-0005-0000-0000-00002EA20000}"/>
    <cellStyle name="Percent 4 6 6" xfId="8865" xr:uid="{00000000-0005-0000-0000-00002FA20000}"/>
    <cellStyle name="Percent 4 6 6 2" xfId="44315" xr:uid="{00000000-0005-0000-0000-000030A20000}"/>
    <cellStyle name="Percent 4 6 7" xfId="8866" xr:uid="{00000000-0005-0000-0000-000031A20000}"/>
    <cellStyle name="Percent 4 6 7 2" xfId="44316" xr:uid="{00000000-0005-0000-0000-000032A20000}"/>
    <cellStyle name="Percent 4 6 8" xfId="8867" xr:uid="{00000000-0005-0000-0000-000033A20000}"/>
    <cellStyle name="Percent 4 6 8 2" xfId="44317" xr:uid="{00000000-0005-0000-0000-000034A20000}"/>
    <cellStyle name="Percent 4 6 9" xfId="8860" xr:uid="{00000000-0005-0000-0000-000035A20000}"/>
    <cellStyle name="Percent 4 6 9 2" xfId="44310" xr:uid="{00000000-0005-0000-0000-000036A20000}"/>
    <cellStyle name="Percent 4 7" xfId="6989" xr:uid="{00000000-0005-0000-0000-000037A20000}"/>
    <cellStyle name="Percent 4 7 2" xfId="8868" xr:uid="{00000000-0005-0000-0000-000038A20000}"/>
    <cellStyle name="Percent 4 7 2 2" xfId="44318" xr:uid="{00000000-0005-0000-0000-000039A20000}"/>
    <cellStyle name="Percent 4 7 3" xfId="25677" xr:uid="{00000000-0005-0000-0000-00003AA20000}"/>
    <cellStyle name="Percent 4 7 4" xfId="29890" xr:uid="{00000000-0005-0000-0000-00003BA20000}"/>
    <cellStyle name="Percent 4 7 5" xfId="34105" xr:uid="{00000000-0005-0000-0000-00003CA20000}"/>
    <cellStyle name="Percent 4 7 6" xfId="38309" xr:uid="{00000000-0005-0000-0000-00003DA20000}"/>
    <cellStyle name="Percent 4 8" xfId="7204" xr:uid="{00000000-0005-0000-0000-00003EA20000}"/>
    <cellStyle name="Percent 4 8 2" xfId="8869" xr:uid="{00000000-0005-0000-0000-00003FA20000}"/>
    <cellStyle name="Percent 4 8 2 2" xfId="44319" xr:uid="{00000000-0005-0000-0000-000040A20000}"/>
    <cellStyle name="Percent 4 8 3" xfId="25839" xr:uid="{00000000-0005-0000-0000-000041A20000}"/>
    <cellStyle name="Percent 4 8 4" xfId="30052" xr:uid="{00000000-0005-0000-0000-000042A20000}"/>
    <cellStyle name="Percent 4 8 5" xfId="34267" xr:uid="{00000000-0005-0000-0000-000043A20000}"/>
    <cellStyle name="Percent 4 8 6" xfId="38471" xr:uid="{00000000-0005-0000-0000-000044A20000}"/>
    <cellStyle name="Percent 4 9" xfId="7325" xr:uid="{00000000-0005-0000-0000-000045A20000}"/>
    <cellStyle name="Percent 4 9 2" xfId="8870" xr:uid="{00000000-0005-0000-0000-000046A20000}"/>
    <cellStyle name="Percent 4 9 2 2" xfId="44320" xr:uid="{00000000-0005-0000-0000-000047A20000}"/>
    <cellStyle name="Percent 4 9 3" xfId="25958" xr:uid="{00000000-0005-0000-0000-000048A20000}"/>
    <cellStyle name="Percent 4 9 4" xfId="30171" xr:uid="{00000000-0005-0000-0000-000049A20000}"/>
    <cellStyle name="Percent 4 9 5" xfId="34386" xr:uid="{00000000-0005-0000-0000-00004AA20000}"/>
    <cellStyle name="Percent 4 9 6" xfId="38590" xr:uid="{00000000-0005-0000-0000-00004BA20000}"/>
    <cellStyle name="Percent 5" xfId="4327" xr:uid="{00000000-0005-0000-0000-00004CA20000}"/>
    <cellStyle name="Percent 5 10" xfId="6484" xr:uid="{00000000-0005-0000-0000-00004DA20000}"/>
    <cellStyle name="Percent 5 10 2" xfId="41699" xr:uid="{00000000-0005-0000-0000-00004EA20000}"/>
    <cellStyle name="Percent 5 11" xfId="12264" xr:uid="{00000000-0005-0000-0000-00004FA20000}"/>
    <cellStyle name="Percent 5 11 2" xfId="28831" xr:uid="{00000000-0005-0000-0000-000050A20000}"/>
    <cellStyle name="Percent 5 11 2 2" xfId="44321" xr:uid="{00000000-0005-0000-0000-000051A20000}"/>
    <cellStyle name="Percent 5 11 3" xfId="33044" xr:uid="{00000000-0005-0000-0000-000052A20000}"/>
    <cellStyle name="Percent 5 11 4" xfId="37259" xr:uid="{00000000-0005-0000-0000-000053A20000}"/>
    <cellStyle name="Percent 5 11 5" xfId="41700" xr:uid="{00000000-0005-0000-0000-000054A20000}"/>
    <cellStyle name="Percent 5 12" xfId="23473" xr:uid="{00000000-0005-0000-0000-000055A20000}"/>
    <cellStyle name="Percent 5 12 2" xfId="28972" xr:uid="{00000000-0005-0000-0000-000056A20000}"/>
    <cellStyle name="Percent 5 12 3" xfId="33189" xr:uid="{00000000-0005-0000-0000-000057A20000}"/>
    <cellStyle name="Percent 5 12 4" xfId="37400" xr:uid="{00000000-0005-0000-0000-000058A20000}"/>
    <cellStyle name="Percent 5 12 5" xfId="41701" xr:uid="{00000000-0005-0000-0000-000059A20000}"/>
    <cellStyle name="Percent 5 13" xfId="24895" xr:uid="{00000000-0005-0000-0000-00005AA20000}"/>
    <cellStyle name="Percent 5 14" xfId="29106" xr:uid="{00000000-0005-0000-0000-00005BA20000}"/>
    <cellStyle name="Percent 5 15" xfId="33323" xr:uid="{00000000-0005-0000-0000-00005CA20000}"/>
    <cellStyle name="Percent 5 16" xfId="37527" xr:uid="{00000000-0005-0000-0000-00005DA20000}"/>
    <cellStyle name="Percent 5 2" xfId="4465" xr:uid="{00000000-0005-0000-0000-00005EA20000}"/>
    <cellStyle name="Percent 5 2 2" xfId="6271" xr:uid="{00000000-0005-0000-0000-00005FA20000}"/>
    <cellStyle name="Percent 5 2 2 2" xfId="6997" xr:uid="{00000000-0005-0000-0000-000060A20000}"/>
    <cellStyle name="Percent 5 2 2 2 2" xfId="25685" xr:uid="{00000000-0005-0000-0000-000061A20000}"/>
    <cellStyle name="Percent 5 2 2 2 3" xfId="29898" xr:uid="{00000000-0005-0000-0000-000062A20000}"/>
    <cellStyle name="Percent 5 2 2 2 4" xfId="34113" xr:uid="{00000000-0005-0000-0000-000063A20000}"/>
    <cellStyle name="Percent 5 2 2 2 5" xfId="38317" xr:uid="{00000000-0005-0000-0000-000064A20000}"/>
    <cellStyle name="Percent 5 2 2 3" xfId="11718" xr:uid="{00000000-0005-0000-0000-000065A20000}"/>
    <cellStyle name="Percent 5 2 2 4" xfId="44322" xr:uid="{00000000-0005-0000-0000-000066A20000}"/>
    <cellStyle name="Percent 5 2 3" xfId="5509" xr:uid="{00000000-0005-0000-0000-000067A20000}"/>
    <cellStyle name="Percent 5 2 3 2" xfId="8872" xr:uid="{00000000-0005-0000-0000-000068A20000}"/>
    <cellStyle name="Percent 5 2 3 3" xfId="11346" xr:uid="{00000000-0005-0000-0000-000069A20000}"/>
    <cellStyle name="Percent 5 2 3 3 2" xfId="28133" xr:uid="{00000000-0005-0000-0000-00006AA20000}"/>
    <cellStyle name="Percent 5 2 3 3 3" xfId="32346" xr:uid="{00000000-0005-0000-0000-00006BA20000}"/>
    <cellStyle name="Percent 5 2 3 3 4" xfId="36561" xr:uid="{00000000-0005-0000-0000-00006CA20000}"/>
    <cellStyle name="Percent 5 2 3 3 5" xfId="40765" xr:uid="{00000000-0005-0000-0000-00006DA20000}"/>
    <cellStyle name="Percent 5 2 3 4" xfId="24997" xr:uid="{00000000-0005-0000-0000-00006EA20000}"/>
    <cellStyle name="Percent 5 2 3 5" xfId="29209" xr:uid="{00000000-0005-0000-0000-00006FA20000}"/>
    <cellStyle name="Percent 5 2 3 6" xfId="33425" xr:uid="{00000000-0005-0000-0000-000070A20000}"/>
    <cellStyle name="Percent 5 2 3 7" xfId="37629" xr:uid="{00000000-0005-0000-0000-000071A20000}"/>
    <cellStyle name="Percent 5 2 4" xfId="6485" xr:uid="{00000000-0005-0000-0000-000072A20000}"/>
    <cellStyle name="Percent 5 2 5" xfId="11260" xr:uid="{00000000-0005-0000-0000-000073A20000}"/>
    <cellStyle name="Percent 5 2 5 2" xfId="28106" xr:uid="{00000000-0005-0000-0000-000074A20000}"/>
    <cellStyle name="Percent 5 2 5 3" xfId="32319" xr:uid="{00000000-0005-0000-0000-000075A20000}"/>
    <cellStyle name="Percent 5 2 5 4" xfId="36534" xr:uid="{00000000-0005-0000-0000-000076A20000}"/>
    <cellStyle name="Percent 5 2 5 5" xfId="40738" xr:uid="{00000000-0005-0000-0000-000077A20000}"/>
    <cellStyle name="Percent 5 2 6" xfId="24936" xr:uid="{00000000-0005-0000-0000-000078A20000}"/>
    <cellStyle name="Percent 5 2 7" xfId="29148" xr:uid="{00000000-0005-0000-0000-000079A20000}"/>
    <cellStyle name="Percent 5 2 8" xfId="33364" xr:uid="{00000000-0005-0000-0000-00007AA20000}"/>
    <cellStyle name="Percent 5 2 9" xfId="37568" xr:uid="{00000000-0005-0000-0000-00007BA20000}"/>
    <cellStyle name="Percent 5 3" xfId="5891" xr:uid="{00000000-0005-0000-0000-00007CA20000}"/>
    <cellStyle name="Percent 5 3 2" xfId="6998" xr:uid="{00000000-0005-0000-0000-00007DA20000}"/>
    <cellStyle name="Percent 5 3 2 2" xfId="25686" xr:uid="{00000000-0005-0000-0000-00007EA20000}"/>
    <cellStyle name="Percent 5 3 2 2 2" xfId="44324" xr:uid="{00000000-0005-0000-0000-00007FA20000}"/>
    <cellStyle name="Percent 5 3 2 3" xfId="29899" xr:uid="{00000000-0005-0000-0000-000080A20000}"/>
    <cellStyle name="Percent 5 3 2 4" xfId="34114" xr:uid="{00000000-0005-0000-0000-000081A20000}"/>
    <cellStyle name="Percent 5 3 2 5" xfId="38318" xr:uid="{00000000-0005-0000-0000-000082A20000}"/>
    <cellStyle name="Percent 5 3 3" xfId="8873" xr:uid="{00000000-0005-0000-0000-000083A20000}"/>
    <cellStyle name="Percent 5 3 3 2" xfId="44323" xr:uid="{00000000-0005-0000-0000-000084A20000}"/>
    <cellStyle name="Percent 5 3 4" xfId="6486" xr:uid="{00000000-0005-0000-0000-000085A20000}"/>
    <cellStyle name="Percent 5 3 5" xfId="10190" xr:uid="{00000000-0005-0000-0000-000086A20000}"/>
    <cellStyle name="Percent 5 3 5 2" xfId="27589" xr:uid="{00000000-0005-0000-0000-000087A20000}"/>
    <cellStyle name="Percent 5 3 5 3" xfId="31802" xr:uid="{00000000-0005-0000-0000-000088A20000}"/>
    <cellStyle name="Percent 5 3 5 4" xfId="36017" xr:uid="{00000000-0005-0000-0000-000089A20000}"/>
    <cellStyle name="Percent 5 3 5 5" xfId="40221" xr:uid="{00000000-0005-0000-0000-00008AA20000}"/>
    <cellStyle name="Percent 5 4" xfId="5508" xr:uid="{00000000-0005-0000-0000-00008BA20000}"/>
    <cellStyle name="Percent 5 4 2" xfId="8874" xr:uid="{00000000-0005-0000-0000-00008CA20000}"/>
    <cellStyle name="Percent 5 4 2 2" xfId="44325" xr:uid="{00000000-0005-0000-0000-00008DA20000}"/>
    <cellStyle name="Percent 5 4 3" xfId="6487" xr:uid="{00000000-0005-0000-0000-00008EA20000}"/>
    <cellStyle name="Percent 5 4 4" xfId="11345" xr:uid="{00000000-0005-0000-0000-00008FA20000}"/>
    <cellStyle name="Percent 5 4 4 2" xfId="28132" xr:uid="{00000000-0005-0000-0000-000090A20000}"/>
    <cellStyle name="Percent 5 4 4 3" xfId="32345" xr:uid="{00000000-0005-0000-0000-000091A20000}"/>
    <cellStyle name="Percent 5 4 4 4" xfId="36560" xr:uid="{00000000-0005-0000-0000-000092A20000}"/>
    <cellStyle name="Percent 5 4 4 5" xfId="40764" xr:uid="{00000000-0005-0000-0000-000093A20000}"/>
    <cellStyle name="Percent 5 4 5" xfId="24996" xr:uid="{00000000-0005-0000-0000-000094A20000}"/>
    <cellStyle name="Percent 5 4 6" xfId="29208" xr:uid="{00000000-0005-0000-0000-000095A20000}"/>
    <cellStyle name="Percent 5 4 7" xfId="33424" xr:uid="{00000000-0005-0000-0000-000096A20000}"/>
    <cellStyle name="Percent 5 4 8" xfId="37628" xr:uid="{00000000-0005-0000-0000-000097A20000}"/>
    <cellStyle name="Percent 5 5" xfId="6996" xr:uid="{00000000-0005-0000-0000-000098A20000}"/>
    <cellStyle name="Percent 5 5 2" xfId="8875" xr:uid="{00000000-0005-0000-0000-000099A20000}"/>
    <cellStyle name="Percent 5 5 2 2" xfId="44326" xr:uid="{00000000-0005-0000-0000-00009AA20000}"/>
    <cellStyle name="Percent 5 5 3" xfId="25684" xr:uid="{00000000-0005-0000-0000-00009BA20000}"/>
    <cellStyle name="Percent 5 5 4" xfId="29897" xr:uid="{00000000-0005-0000-0000-00009CA20000}"/>
    <cellStyle name="Percent 5 5 5" xfId="34112" xr:uid="{00000000-0005-0000-0000-00009DA20000}"/>
    <cellStyle name="Percent 5 5 6" xfId="38316" xr:uid="{00000000-0005-0000-0000-00009EA20000}"/>
    <cellStyle name="Percent 5 6" xfId="8876" xr:uid="{00000000-0005-0000-0000-00009FA20000}"/>
    <cellStyle name="Percent 5 6 2" xfId="44327" xr:uid="{00000000-0005-0000-0000-0000A0A20000}"/>
    <cellStyle name="Percent 5 7" xfId="8877" xr:uid="{00000000-0005-0000-0000-0000A1A20000}"/>
    <cellStyle name="Percent 5 7 2" xfId="44328" xr:uid="{00000000-0005-0000-0000-0000A2A20000}"/>
    <cellStyle name="Percent 5 8" xfId="8878" xr:uid="{00000000-0005-0000-0000-0000A3A20000}"/>
    <cellStyle name="Percent 5 8 2" xfId="44329" xr:uid="{00000000-0005-0000-0000-0000A4A20000}"/>
    <cellStyle name="Percent 5 9" xfId="8871" xr:uid="{00000000-0005-0000-0000-0000A5A20000}"/>
    <cellStyle name="Percent 5 9 2" xfId="41702" xr:uid="{00000000-0005-0000-0000-0000A6A20000}"/>
    <cellStyle name="Percent 5 9 2 2" xfId="41703" xr:uid="{00000000-0005-0000-0000-0000A7A20000}"/>
    <cellStyle name="Percent 5 9 3" xfId="44330" xr:uid="{00000000-0005-0000-0000-0000A8A20000}"/>
    <cellStyle name="Percent 6" xfId="4328" xr:uid="{00000000-0005-0000-0000-0000A9A20000}"/>
    <cellStyle name="Percent 6 10" xfId="6488" xr:uid="{00000000-0005-0000-0000-0000AAA20000}"/>
    <cellStyle name="Percent 6 11" xfId="41704" xr:uid="{00000000-0005-0000-0000-0000ABA20000}"/>
    <cellStyle name="Percent 6 11 2" xfId="44331" xr:uid="{00000000-0005-0000-0000-0000ACA20000}"/>
    <cellStyle name="Percent 6 2" xfId="8880" xr:uid="{00000000-0005-0000-0000-0000ADA20000}"/>
    <cellStyle name="Percent 6 2 2" xfId="44332" xr:uid="{00000000-0005-0000-0000-0000AEA20000}"/>
    <cellStyle name="Percent 6 3" xfId="8881" xr:uid="{00000000-0005-0000-0000-0000AFA20000}"/>
    <cellStyle name="Percent 6 3 2" xfId="44333" xr:uid="{00000000-0005-0000-0000-0000B0A20000}"/>
    <cellStyle name="Percent 6 4" xfId="8882" xr:uid="{00000000-0005-0000-0000-0000B1A20000}"/>
    <cellStyle name="Percent 6 4 2" xfId="44334" xr:uid="{00000000-0005-0000-0000-0000B2A20000}"/>
    <cellStyle name="Percent 6 5" xfId="8883" xr:uid="{00000000-0005-0000-0000-0000B3A20000}"/>
    <cellStyle name="Percent 6 5 2" xfId="44335" xr:uid="{00000000-0005-0000-0000-0000B4A20000}"/>
    <cellStyle name="Percent 6 6" xfId="8884" xr:uid="{00000000-0005-0000-0000-0000B5A20000}"/>
    <cellStyle name="Percent 6 6 2" xfId="44336" xr:uid="{00000000-0005-0000-0000-0000B6A20000}"/>
    <cellStyle name="Percent 6 7" xfId="8885" xr:uid="{00000000-0005-0000-0000-0000B7A20000}"/>
    <cellStyle name="Percent 6 7 2" xfId="44337" xr:uid="{00000000-0005-0000-0000-0000B8A20000}"/>
    <cellStyle name="Percent 6 8" xfId="8886" xr:uid="{00000000-0005-0000-0000-0000B9A20000}"/>
    <cellStyle name="Percent 6 8 2" xfId="44338" xr:uid="{00000000-0005-0000-0000-0000BAA20000}"/>
    <cellStyle name="Percent 6 9" xfId="8879" xr:uid="{00000000-0005-0000-0000-0000BBA20000}"/>
    <cellStyle name="Percent 6 9 2" xfId="44339" xr:uid="{00000000-0005-0000-0000-0000BCA20000}"/>
    <cellStyle name="Percent 7" xfId="4424" xr:uid="{00000000-0005-0000-0000-0000BDA20000}"/>
    <cellStyle name="Percent 7 10" xfId="6489" xr:uid="{00000000-0005-0000-0000-0000BEA20000}"/>
    <cellStyle name="Percent 7 11" xfId="11241" xr:uid="{00000000-0005-0000-0000-0000BFA20000}"/>
    <cellStyle name="Percent 7 11 2" xfId="28089" xr:uid="{00000000-0005-0000-0000-0000C0A20000}"/>
    <cellStyle name="Percent 7 11 3" xfId="32302" xr:uid="{00000000-0005-0000-0000-0000C1A20000}"/>
    <cellStyle name="Percent 7 11 4" xfId="36517" xr:uid="{00000000-0005-0000-0000-0000C2A20000}"/>
    <cellStyle name="Percent 7 11 5" xfId="40721" xr:uid="{00000000-0005-0000-0000-0000C3A20000}"/>
    <cellStyle name="Percent 7 12" xfId="24897" xr:uid="{00000000-0005-0000-0000-0000C4A20000}"/>
    <cellStyle name="Percent 7 13" xfId="29109" xr:uid="{00000000-0005-0000-0000-0000C5A20000}"/>
    <cellStyle name="Percent 7 14" xfId="33325" xr:uid="{00000000-0005-0000-0000-0000C6A20000}"/>
    <cellStyle name="Percent 7 15" xfId="37529" xr:uid="{00000000-0005-0000-0000-0000C7A20000}"/>
    <cellStyle name="Percent 7 2" xfId="8888" xr:uid="{00000000-0005-0000-0000-0000C8A20000}"/>
    <cellStyle name="Percent 7 2 2" xfId="44340" xr:uid="{00000000-0005-0000-0000-0000C9A20000}"/>
    <cellStyle name="Percent 7 3" xfId="8889" xr:uid="{00000000-0005-0000-0000-0000CAA20000}"/>
    <cellStyle name="Percent 7 3 2" xfId="44341" xr:uid="{00000000-0005-0000-0000-0000CBA20000}"/>
    <cellStyle name="Percent 7 4" xfId="8890" xr:uid="{00000000-0005-0000-0000-0000CCA20000}"/>
    <cellStyle name="Percent 7 4 2" xfId="44342" xr:uid="{00000000-0005-0000-0000-0000CDA20000}"/>
    <cellStyle name="Percent 7 5" xfId="8891" xr:uid="{00000000-0005-0000-0000-0000CEA20000}"/>
    <cellStyle name="Percent 7 5 2" xfId="44343" xr:uid="{00000000-0005-0000-0000-0000CFA20000}"/>
    <cellStyle name="Percent 7 6" xfId="8892" xr:uid="{00000000-0005-0000-0000-0000D0A20000}"/>
    <cellStyle name="Percent 7 6 2" xfId="44344" xr:uid="{00000000-0005-0000-0000-0000D1A20000}"/>
    <cellStyle name="Percent 7 7" xfId="8893" xr:uid="{00000000-0005-0000-0000-0000D2A20000}"/>
    <cellStyle name="Percent 7 7 2" xfId="44345" xr:uid="{00000000-0005-0000-0000-0000D3A20000}"/>
    <cellStyle name="Percent 7 8" xfId="8894" xr:uid="{00000000-0005-0000-0000-0000D4A20000}"/>
    <cellStyle name="Percent 7 8 2" xfId="44346" xr:uid="{00000000-0005-0000-0000-0000D5A20000}"/>
    <cellStyle name="Percent 7 9" xfId="8887" xr:uid="{00000000-0005-0000-0000-0000D6A20000}"/>
    <cellStyle name="Percent 7 9 2" xfId="44347" xr:uid="{00000000-0005-0000-0000-0000D7A20000}"/>
    <cellStyle name="Percent 8" xfId="7006" xr:uid="{00000000-0005-0000-0000-0000D8A20000}"/>
    <cellStyle name="Percent 8 10" xfId="25694" xr:uid="{00000000-0005-0000-0000-0000D9A20000}"/>
    <cellStyle name="Percent 8 11" xfId="29907" xr:uid="{00000000-0005-0000-0000-0000DAA20000}"/>
    <cellStyle name="Percent 8 12" xfId="34122" xr:uid="{00000000-0005-0000-0000-0000DBA20000}"/>
    <cellStyle name="Percent 8 13" xfId="38326" xr:uid="{00000000-0005-0000-0000-0000DCA20000}"/>
    <cellStyle name="Percent 8 2" xfId="8896" xr:uid="{00000000-0005-0000-0000-0000DDA20000}"/>
    <cellStyle name="Percent 8 2 2" xfId="44349" xr:uid="{00000000-0005-0000-0000-0000DEA20000}"/>
    <cellStyle name="Percent 8 3" xfId="8897" xr:uid="{00000000-0005-0000-0000-0000DFA20000}"/>
    <cellStyle name="Percent 8 3 2" xfId="44350" xr:uid="{00000000-0005-0000-0000-0000E0A20000}"/>
    <cellStyle name="Percent 8 4" xfId="8898" xr:uid="{00000000-0005-0000-0000-0000E1A20000}"/>
    <cellStyle name="Percent 8 4 2" xfId="44351" xr:uid="{00000000-0005-0000-0000-0000E2A20000}"/>
    <cellStyle name="Percent 8 5" xfId="8899" xr:uid="{00000000-0005-0000-0000-0000E3A20000}"/>
    <cellStyle name="Percent 8 5 2" xfId="44352" xr:uid="{00000000-0005-0000-0000-0000E4A20000}"/>
    <cellStyle name="Percent 8 6" xfId="8900" xr:uid="{00000000-0005-0000-0000-0000E5A20000}"/>
    <cellStyle name="Percent 8 6 2" xfId="44353" xr:uid="{00000000-0005-0000-0000-0000E6A20000}"/>
    <cellStyle name="Percent 8 7" xfId="8901" xr:uid="{00000000-0005-0000-0000-0000E7A20000}"/>
    <cellStyle name="Percent 8 7 2" xfId="44354" xr:uid="{00000000-0005-0000-0000-0000E8A20000}"/>
    <cellStyle name="Percent 8 8" xfId="8902" xr:uid="{00000000-0005-0000-0000-0000E9A20000}"/>
    <cellStyle name="Percent 8 8 2" xfId="44355" xr:uid="{00000000-0005-0000-0000-0000EAA20000}"/>
    <cellStyle name="Percent 8 9" xfId="8895" xr:uid="{00000000-0005-0000-0000-0000EBA20000}"/>
    <cellStyle name="Percent 8 9 2" xfId="44348" xr:uid="{00000000-0005-0000-0000-0000ECA20000}"/>
    <cellStyle name="Percent 9" xfId="7181" xr:uid="{00000000-0005-0000-0000-0000EDA20000}"/>
    <cellStyle name="Percent 9 10" xfId="44357" xr:uid="{00000000-0005-0000-0000-0000EEA20000}"/>
    <cellStyle name="Percent 9 11" xfId="44358" xr:uid="{00000000-0005-0000-0000-0000EFA20000}"/>
    <cellStyle name="Percent 9 12" xfId="44359" xr:uid="{00000000-0005-0000-0000-0000F0A20000}"/>
    <cellStyle name="Percent 9 13" xfId="44360" xr:uid="{00000000-0005-0000-0000-0000F1A20000}"/>
    <cellStyle name="Percent 9 14" xfId="44361" xr:uid="{00000000-0005-0000-0000-0000F2A20000}"/>
    <cellStyle name="Percent 9 15" xfId="44362" xr:uid="{00000000-0005-0000-0000-0000F3A20000}"/>
    <cellStyle name="Percent 9 16" xfId="44363" xr:uid="{00000000-0005-0000-0000-0000F4A20000}"/>
    <cellStyle name="Percent 9 17" xfId="44364" xr:uid="{00000000-0005-0000-0000-0000F5A20000}"/>
    <cellStyle name="Percent 9 18" xfId="44365" xr:uid="{00000000-0005-0000-0000-0000F6A20000}"/>
    <cellStyle name="Percent 9 19" xfId="44366" xr:uid="{00000000-0005-0000-0000-0000F7A20000}"/>
    <cellStyle name="Percent 9 2" xfId="8903" xr:uid="{00000000-0005-0000-0000-0000F8A20000}"/>
    <cellStyle name="Percent 9 2 2" xfId="44368" xr:uid="{00000000-0005-0000-0000-0000F9A20000}"/>
    <cellStyle name="Percent 9 2 3" xfId="44367" xr:uid="{00000000-0005-0000-0000-0000FAA20000}"/>
    <cellStyle name="Percent 9 20" xfId="44369" xr:uid="{00000000-0005-0000-0000-0000FBA20000}"/>
    <cellStyle name="Percent 9 21" xfId="44356" xr:uid="{00000000-0005-0000-0000-0000FCA20000}"/>
    <cellStyle name="Percent 9 3" xfId="8904" xr:uid="{00000000-0005-0000-0000-0000FDA20000}"/>
    <cellStyle name="Percent 9 3 2" xfId="44371" xr:uid="{00000000-0005-0000-0000-0000FEA20000}"/>
    <cellStyle name="Percent 9 3 3" xfId="44370" xr:uid="{00000000-0005-0000-0000-0000FFA20000}"/>
    <cellStyle name="Percent 9 4" xfId="8905" xr:uid="{00000000-0005-0000-0000-000000A30000}"/>
    <cellStyle name="Percent 9 4 2" xfId="44373" xr:uid="{00000000-0005-0000-0000-000001A30000}"/>
    <cellStyle name="Percent 9 4 3" xfId="44372" xr:uid="{00000000-0005-0000-0000-000002A30000}"/>
    <cellStyle name="Percent 9 5" xfId="8906" xr:uid="{00000000-0005-0000-0000-000003A30000}"/>
    <cellStyle name="Percent 9 5 2" xfId="44375" xr:uid="{00000000-0005-0000-0000-000004A30000}"/>
    <cellStyle name="Percent 9 5 3" xfId="44374" xr:uid="{00000000-0005-0000-0000-000005A30000}"/>
    <cellStyle name="Percent 9 6" xfId="8907" xr:uid="{00000000-0005-0000-0000-000006A30000}"/>
    <cellStyle name="Percent 9 6 2" xfId="44377" xr:uid="{00000000-0005-0000-0000-000007A30000}"/>
    <cellStyle name="Percent 9 6 3" xfId="44376" xr:uid="{00000000-0005-0000-0000-000008A30000}"/>
    <cellStyle name="Percent 9 7" xfId="8908" xr:uid="{00000000-0005-0000-0000-000009A30000}"/>
    <cellStyle name="Percent 9 7 2" xfId="44379" xr:uid="{00000000-0005-0000-0000-00000AA30000}"/>
    <cellStyle name="Percent 9 7 3" xfId="44380" xr:uid="{00000000-0005-0000-0000-00000BA30000}"/>
    <cellStyle name="Percent 9 7 4" xfId="44381" xr:uid="{00000000-0005-0000-0000-00000CA30000}"/>
    <cellStyle name="Percent 9 7 5" xfId="44378" xr:uid="{00000000-0005-0000-0000-00000DA30000}"/>
    <cellStyle name="Percent 9 8" xfId="8909" xr:uid="{00000000-0005-0000-0000-00000EA30000}"/>
    <cellStyle name="Percent 9 8 2" xfId="44383" xr:uid="{00000000-0005-0000-0000-00000FA30000}"/>
    <cellStyle name="Percent 9 8 3" xfId="44382" xr:uid="{00000000-0005-0000-0000-000010A30000}"/>
    <cellStyle name="Percent 9 9" xfId="44384" xr:uid="{00000000-0005-0000-0000-000011A30000}"/>
    <cellStyle name="Percentagem 2 2" xfId="44385" xr:uid="{00000000-0005-0000-0000-000012A30000}"/>
    <cellStyle name="Percentagem 2 3" xfId="44386" xr:uid="{00000000-0005-0000-0000-000013A30000}"/>
    <cellStyle name="Percentuale 2" xfId="5510" xr:uid="{00000000-0005-0000-0000-000014A30000}"/>
    <cellStyle name="Percentuale 2 2" xfId="5511" xr:uid="{00000000-0005-0000-0000-000015A30000}"/>
    <cellStyle name="Percentuale 2 2 2" xfId="6491" xr:uid="{00000000-0005-0000-0000-000016A30000}"/>
    <cellStyle name="Percentuale 2 2 3" xfId="9673" xr:uid="{00000000-0005-0000-0000-000017A30000}"/>
    <cellStyle name="Percentuale 2 2 3 2" xfId="11347" xr:uid="{00000000-0005-0000-0000-000018A30000}"/>
    <cellStyle name="Percentuale 2 2 3 2 2" xfId="28134" xr:uid="{00000000-0005-0000-0000-000019A30000}"/>
    <cellStyle name="Percentuale 2 2 3 2 3" xfId="32347" xr:uid="{00000000-0005-0000-0000-00001AA30000}"/>
    <cellStyle name="Percentuale 2 2 3 2 4" xfId="36562" xr:uid="{00000000-0005-0000-0000-00001BA30000}"/>
    <cellStyle name="Percentuale 2 2 3 2 5" xfId="40766" xr:uid="{00000000-0005-0000-0000-00001CA30000}"/>
    <cellStyle name="Percentuale 2 2 4" xfId="24999" xr:uid="{00000000-0005-0000-0000-00001DA30000}"/>
    <cellStyle name="Percentuale 2 2 5" xfId="29211" xr:uid="{00000000-0005-0000-0000-00001EA30000}"/>
    <cellStyle name="Percentuale 2 2 6" xfId="33427" xr:uid="{00000000-0005-0000-0000-00001FA30000}"/>
    <cellStyle name="Percentuale 2 2 7" xfId="37631" xr:uid="{00000000-0005-0000-0000-000020A30000}"/>
    <cellStyle name="Percentuale 2 3" xfId="5722" xr:uid="{00000000-0005-0000-0000-000021A30000}"/>
    <cellStyle name="Percentuale 2 3 2" xfId="6999" xr:uid="{00000000-0005-0000-0000-000022A30000}"/>
    <cellStyle name="Percentuale 2 3 2 2" xfId="25687" xr:uid="{00000000-0005-0000-0000-000023A30000}"/>
    <cellStyle name="Percentuale 2 3 2 3" xfId="29900" xr:uid="{00000000-0005-0000-0000-000024A30000}"/>
    <cellStyle name="Percentuale 2 3 2 4" xfId="34115" xr:uid="{00000000-0005-0000-0000-000025A30000}"/>
    <cellStyle name="Percentuale 2 3 2 5" xfId="38319" xr:uid="{00000000-0005-0000-0000-000026A30000}"/>
    <cellStyle name="Percentuale 2 3 3" xfId="11366" xr:uid="{00000000-0005-0000-0000-000027A30000}"/>
    <cellStyle name="Percentuale 2 4" xfId="8910" xr:uid="{00000000-0005-0000-0000-000028A30000}"/>
    <cellStyle name="Percentuale 2 5" xfId="6490" xr:uid="{00000000-0005-0000-0000-000029A30000}"/>
    <cellStyle name="Percentuale 2 6" xfId="24998" xr:uid="{00000000-0005-0000-0000-00002AA30000}"/>
    <cellStyle name="Percentuale 2 7" xfId="29210" xr:uid="{00000000-0005-0000-0000-00002BA30000}"/>
    <cellStyle name="Percentuale 2 8" xfId="33426" xr:uid="{00000000-0005-0000-0000-00002CA30000}"/>
    <cellStyle name="Percentuale 2 9" xfId="37630" xr:uid="{00000000-0005-0000-0000-00002DA30000}"/>
    <cellStyle name="Percentuale 3" xfId="8911" xr:uid="{00000000-0005-0000-0000-00002EA30000}"/>
    <cellStyle name="Pilkku_Layo9704" xfId="2871" xr:uid="{00000000-0005-0000-0000-00002FA30000}"/>
    <cellStyle name="Pyör. luku_Layo9704" xfId="2872" xr:uid="{00000000-0005-0000-0000-000030A30000}"/>
    <cellStyle name="Pyör. valuutta_Layo9704" xfId="2873" xr:uid="{00000000-0005-0000-0000-000031A30000}"/>
    <cellStyle name="Rossz" xfId="3142" xr:uid="{00000000-0005-0000-0000-000032A30000}"/>
    <cellStyle name="Satisfaisant" xfId="12330" xr:uid="{00000000-0005-0000-0000-000033A30000}"/>
    <cellStyle name="Schlecht" xfId="10180" xr:uid="{00000000-0005-0000-0000-000034A30000}"/>
    <cellStyle name="Schlecht 2" xfId="44387" xr:uid="{00000000-0005-0000-0000-000035A30000}"/>
    <cellStyle name="Semleges" xfId="3143" xr:uid="{00000000-0005-0000-0000-000036A30000}"/>
    <cellStyle name="Shade" xfId="7071" xr:uid="{00000000-0005-0000-0000-000037A30000}"/>
    <cellStyle name="Shade 2" xfId="9734" xr:uid="{00000000-0005-0000-0000-000038A30000}"/>
    <cellStyle name="Shade 2 2" xfId="45113" xr:uid="{00000000-0005-0000-0000-000039A30000}"/>
    <cellStyle name="Shade 3" xfId="11826" xr:uid="{00000000-0005-0000-0000-00003AA30000}"/>
    <cellStyle name="Shade 3 2" xfId="46190" xr:uid="{00000000-0005-0000-0000-00003BA30000}"/>
    <cellStyle name="Shade 4" xfId="11881" xr:uid="{00000000-0005-0000-0000-00003CA30000}"/>
    <cellStyle name="Shade 4 2" xfId="46211" xr:uid="{00000000-0005-0000-0000-00003DA30000}"/>
    <cellStyle name="Shade 5" xfId="44388" xr:uid="{00000000-0005-0000-0000-00003EA30000}"/>
    <cellStyle name="Shade 6" xfId="44924" xr:uid="{00000000-0005-0000-0000-00003FA30000}"/>
    <cellStyle name="Sheet Title" xfId="4494" xr:uid="{00000000-0005-0000-0000-000040A30000}"/>
    <cellStyle name="Sortie" xfId="12331" xr:uid="{00000000-0005-0000-0000-000041A30000}"/>
    <cellStyle name="Sortie 10" xfId="13330" xr:uid="{00000000-0005-0000-0000-000042A30000}"/>
    <cellStyle name="Sortie 10 2" xfId="18309" xr:uid="{00000000-0005-0000-0000-000043A30000}"/>
    <cellStyle name="Sortie 11" xfId="12973" xr:uid="{00000000-0005-0000-0000-000044A30000}"/>
    <cellStyle name="Sortie 2" xfId="12344" xr:uid="{00000000-0005-0000-0000-000045A30000}"/>
    <cellStyle name="Sortie 2 10" xfId="12967" xr:uid="{00000000-0005-0000-0000-000046A30000}"/>
    <cellStyle name="Sortie 2 2" xfId="13997" xr:uid="{00000000-0005-0000-0000-000047A30000}"/>
    <cellStyle name="Sortie 2 2 2" xfId="18972" xr:uid="{00000000-0005-0000-0000-000048A30000}"/>
    <cellStyle name="Sortie 2 3" xfId="15003" xr:uid="{00000000-0005-0000-0000-000049A30000}"/>
    <cellStyle name="Sortie 2 3 2" xfId="20364" xr:uid="{00000000-0005-0000-0000-00004AA30000}"/>
    <cellStyle name="Sortie 2 4" xfId="15080" xr:uid="{00000000-0005-0000-0000-00004BA30000}"/>
    <cellStyle name="Sortie 2 4 2" xfId="20464" xr:uid="{00000000-0005-0000-0000-00004CA30000}"/>
    <cellStyle name="Sortie 2 5" xfId="16055" xr:uid="{00000000-0005-0000-0000-00004DA30000}"/>
    <cellStyle name="Sortie 2 5 2" xfId="21557" xr:uid="{00000000-0005-0000-0000-00004EA30000}"/>
    <cellStyle name="Sortie 2 6" xfId="15313" xr:uid="{00000000-0005-0000-0000-00004FA30000}"/>
    <cellStyle name="Sortie 2 6 2" xfId="20702" xr:uid="{00000000-0005-0000-0000-000050A30000}"/>
    <cellStyle name="Sortie 2 7" xfId="16363" xr:uid="{00000000-0005-0000-0000-000051A30000}"/>
    <cellStyle name="Sortie 2 7 2" xfId="22005" xr:uid="{00000000-0005-0000-0000-000052A30000}"/>
    <cellStyle name="Sortie 2 8" xfId="17076" xr:uid="{00000000-0005-0000-0000-000053A30000}"/>
    <cellStyle name="Sortie 2 8 2" xfId="22723" xr:uid="{00000000-0005-0000-0000-000054A30000}"/>
    <cellStyle name="Sortie 2 9" xfId="13336" xr:uid="{00000000-0005-0000-0000-000055A30000}"/>
    <cellStyle name="Sortie 2 9 2" xfId="18315" xr:uid="{00000000-0005-0000-0000-000056A30000}"/>
    <cellStyle name="Sortie 3" xfId="13991" xr:uid="{00000000-0005-0000-0000-000057A30000}"/>
    <cellStyle name="Sortie 3 2" xfId="18965" xr:uid="{00000000-0005-0000-0000-000058A30000}"/>
    <cellStyle name="Sortie 4" xfId="15010" xr:uid="{00000000-0005-0000-0000-000059A30000}"/>
    <cellStyle name="Sortie 4 2" xfId="20371" xr:uid="{00000000-0005-0000-0000-00005AA30000}"/>
    <cellStyle name="Sortie 5" xfId="15075" xr:uid="{00000000-0005-0000-0000-00005BA30000}"/>
    <cellStyle name="Sortie 5 2" xfId="20459" xr:uid="{00000000-0005-0000-0000-00005CA30000}"/>
    <cellStyle name="Sortie 6" xfId="16061" xr:uid="{00000000-0005-0000-0000-00005DA30000}"/>
    <cellStyle name="Sortie 6 2" xfId="21568" xr:uid="{00000000-0005-0000-0000-00005EA30000}"/>
    <cellStyle name="Sortie 7" xfId="15308" xr:uid="{00000000-0005-0000-0000-00005FA30000}"/>
    <cellStyle name="Sortie 7 2" xfId="20697" xr:uid="{00000000-0005-0000-0000-000060A30000}"/>
    <cellStyle name="Sortie 8" xfId="16368" xr:uid="{00000000-0005-0000-0000-000061A30000}"/>
    <cellStyle name="Sortie 8 2" xfId="22010" xr:uid="{00000000-0005-0000-0000-000062A30000}"/>
    <cellStyle name="Sortie 9" xfId="17070" xr:uid="{00000000-0005-0000-0000-000063A30000}"/>
    <cellStyle name="Sortie 9 2" xfId="22717" xr:uid="{00000000-0005-0000-0000-000064A30000}"/>
    <cellStyle name="source" xfId="4329" xr:uid="{00000000-0005-0000-0000-000065A30000}"/>
    <cellStyle name="source 2" xfId="44389" xr:uid="{00000000-0005-0000-0000-000066A30000}"/>
    <cellStyle name="Standaard_Blad1" xfId="44390" xr:uid="{00000000-0005-0000-0000-000067A30000}"/>
    <cellStyle name="Standard 2" xfId="44391" xr:uid="{00000000-0005-0000-0000-000068A30000}"/>
    <cellStyle name="Standard 3" xfId="44392" xr:uid="{00000000-0005-0000-0000-000069A30000}"/>
    <cellStyle name="Standard_ENR_REF" xfId="12332" xr:uid="{00000000-0005-0000-0000-00006AA30000}"/>
    <cellStyle name="Style 1" xfId="44393" xr:uid="{00000000-0005-0000-0000-00006BA30000}"/>
    <cellStyle name="Style 21" xfId="2874" xr:uid="{00000000-0005-0000-0000-00006CA30000}"/>
    <cellStyle name="Style 21 10" xfId="4330" xr:uid="{00000000-0005-0000-0000-00006DA30000}"/>
    <cellStyle name="Style 21 10 2" xfId="23032" xr:uid="{00000000-0005-0000-0000-00006EA30000}"/>
    <cellStyle name="Style 21 11" xfId="13588" xr:uid="{00000000-0005-0000-0000-00006FA30000}"/>
    <cellStyle name="Style 21 11 2" xfId="18565" xr:uid="{00000000-0005-0000-0000-000070A30000}"/>
    <cellStyle name="Style 21 12" xfId="12895" xr:uid="{00000000-0005-0000-0000-000071A30000}"/>
    <cellStyle name="Style 21 13" xfId="17909" xr:uid="{00000000-0005-0000-0000-000072A30000}"/>
    <cellStyle name="Style 21 14" xfId="3077" xr:uid="{00000000-0005-0000-0000-000073A30000}"/>
    <cellStyle name="Style 21 2" xfId="2875" xr:uid="{00000000-0005-0000-0000-000074A30000}"/>
    <cellStyle name="Style 21 2 10" xfId="13589" xr:uid="{00000000-0005-0000-0000-000075A30000}"/>
    <cellStyle name="Style 21 2 10 2" xfId="18566" xr:uid="{00000000-0005-0000-0000-000076A30000}"/>
    <cellStyle name="Style 21 2 11" xfId="12896" xr:uid="{00000000-0005-0000-0000-000077A30000}"/>
    <cellStyle name="Style 21 2 12" xfId="17910" xr:uid="{00000000-0005-0000-0000-000078A30000}"/>
    <cellStyle name="Style 21 2 13" xfId="3078" xr:uid="{00000000-0005-0000-0000-000079A30000}"/>
    <cellStyle name="Style 21 2 2" xfId="4332" xr:uid="{00000000-0005-0000-0000-00007AA30000}"/>
    <cellStyle name="Style 21 2 2 10" xfId="18228" xr:uid="{00000000-0005-0000-0000-00007BA30000}"/>
    <cellStyle name="Style 21 2 2 2" xfId="6494" xr:uid="{00000000-0005-0000-0000-00007CA30000}"/>
    <cellStyle name="Style 21 2 2 2 2" xfId="20270" xr:uid="{00000000-0005-0000-0000-00007DA30000}"/>
    <cellStyle name="Style 21 2 2 2 3" xfId="14921" xr:uid="{00000000-0005-0000-0000-00007EA30000}"/>
    <cellStyle name="Style 21 2 2 2 4" xfId="24075" xr:uid="{00000000-0005-0000-0000-00007FA30000}"/>
    <cellStyle name="Style 21 2 2 3" xfId="11227" xr:uid="{00000000-0005-0000-0000-000080A30000}"/>
    <cellStyle name="Style 21 2 2 3 2" xfId="20412" xr:uid="{00000000-0005-0000-0000-000081A30000}"/>
    <cellStyle name="Style 21 2 2 4" xfId="11093" xr:uid="{00000000-0005-0000-0000-000082A30000}"/>
    <cellStyle name="Style 21 2 2 4 2" xfId="21646" xr:uid="{00000000-0005-0000-0000-000083A30000}"/>
    <cellStyle name="Style 21 2 2 5" xfId="16177" xr:uid="{00000000-0005-0000-0000-000084A30000}"/>
    <cellStyle name="Style 21 2 2 5 2" xfId="21728" xr:uid="{00000000-0005-0000-0000-000085A30000}"/>
    <cellStyle name="Style 21 2 2 6" xfId="16986" xr:uid="{00000000-0005-0000-0000-000086A30000}"/>
    <cellStyle name="Style 21 2 2 6 2" xfId="22637" xr:uid="{00000000-0005-0000-0000-000087A30000}"/>
    <cellStyle name="Style 21 2 2 7" xfId="17706" xr:uid="{00000000-0005-0000-0000-000088A30000}"/>
    <cellStyle name="Style 21 2 2 7 2" xfId="23351" xr:uid="{00000000-0005-0000-0000-000089A30000}"/>
    <cellStyle name="Style 21 2 2 8" xfId="13910" xr:uid="{00000000-0005-0000-0000-00008AA30000}"/>
    <cellStyle name="Style 21 2 2 8 2" xfId="18884" xr:uid="{00000000-0005-0000-0000-00008BA30000}"/>
    <cellStyle name="Style 21 2 2 9" xfId="13239" xr:uid="{00000000-0005-0000-0000-00008CA30000}"/>
    <cellStyle name="Style 21 2 3" xfId="4333" xr:uid="{00000000-0005-0000-0000-00008DA30000}"/>
    <cellStyle name="Style 21 2 3 10" xfId="18294" xr:uid="{00000000-0005-0000-0000-00008EA30000}"/>
    <cellStyle name="Style 21 2 3 2" xfId="7001" xr:uid="{00000000-0005-0000-0000-00008FA30000}"/>
    <cellStyle name="Style 21 2 3 2 2" xfId="20336" xr:uid="{00000000-0005-0000-0000-000090A30000}"/>
    <cellStyle name="Style 21 2 3 2 3" xfId="14986" xr:uid="{00000000-0005-0000-0000-000091A30000}"/>
    <cellStyle name="Style 21 2 3 2 4" xfId="24141" xr:uid="{00000000-0005-0000-0000-000092A30000}"/>
    <cellStyle name="Style 21 2 3 2 5" xfId="25689" xr:uid="{00000000-0005-0000-0000-000093A30000}"/>
    <cellStyle name="Style 21 2 3 2 6" xfId="29902" xr:uid="{00000000-0005-0000-0000-000094A30000}"/>
    <cellStyle name="Style 21 2 3 2 7" xfId="34117" xr:uid="{00000000-0005-0000-0000-000095A30000}"/>
    <cellStyle name="Style 21 2 3 2 8" xfId="38321" xr:uid="{00000000-0005-0000-0000-000096A30000}"/>
    <cellStyle name="Style 21 2 3 3" xfId="11228" xr:uid="{00000000-0005-0000-0000-000097A30000}"/>
    <cellStyle name="Style 21 2 3 3 2" xfId="20423" xr:uid="{00000000-0005-0000-0000-000098A30000}"/>
    <cellStyle name="Style 21 2 3 4" xfId="11092" xr:uid="{00000000-0005-0000-0000-000099A30000}"/>
    <cellStyle name="Style 21 2 3 4 2" xfId="21662" xr:uid="{00000000-0005-0000-0000-00009AA30000}"/>
    <cellStyle name="Style 21 2 3 5" xfId="16243" xr:uid="{00000000-0005-0000-0000-00009BA30000}"/>
    <cellStyle name="Style 21 2 3 5 2" xfId="21794" xr:uid="{00000000-0005-0000-0000-00009CA30000}"/>
    <cellStyle name="Style 21 2 3 6" xfId="17052" xr:uid="{00000000-0005-0000-0000-00009DA30000}"/>
    <cellStyle name="Style 21 2 3 6 2" xfId="22703" xr:uid="{00000000-0005-0000-0000-00009EA30000}"/>
    <cellStyle name="Style 21 2 3 7" xfId="17772" xr:uid="{00000000-0005-0000-0000-00009FA30000}"/>
    <cellStyle name="Style 21 2 3 7 2" xfId="23417" xr:uid="{00000000-0005-0000-0000-0000A0A30000}"/>
    <cellStyle name="Style 21 2 3 8" xfId="13976" xr:uid="{00000000-0005-0000-0000-0000A1A30000}"/>
    <cellStyle name="Style 21 2 3 8 2" xfId="18950" xr:uid="{00000000-0005-0000-0000-0000A2A30000}"/>
    <cellStyle name="Style 21 2 3 9" xfId="13305" xr:uid="{00000000-0005-0000-0000-0000A3A30000}"/>
    <cellStyle name="Style 21 2 4" xfId="5513" xr:uid="{00000000-0005-0000-0000-0000A4A30000}"/>
    <cellStyle name="Style 21 2 4 2" xfId="7190" xr:uid="{00000000-0005-0000-0000-0000A5A30000}"/>
    <cellStyle name="Style 21 2 4 2 2" xfId="11839" xr:uid="{00000000-0005-0000-0000-0000A6A30000}"/>
    <cellStyle name="Style 21 2 4 2 2 2" xfId="46195" xr:uid="{00000000-0005-0000-0000-0000A7A30000}"/>
    <cellStyle name="Style 21 2 4 2 3" xfId="11279" xr:uid="{00000000-0005-0000-0000-0000A8A30000}"/>
    <cellStyle name="Style 21 2 4 2 3 2" xfId="45776" xr:uid="{00000000-0005-0000-0000-0000A9A30000}"/>
    <cellStyle name="Style 21 2 4 2 4" xfId="44929" xr:uid="{00000000-0005-0000-0000-0000AAA30000}"/>
    <cellStyle name="Style 21 2 4 3" xfId="11349" xr:uid="{00000000-0005-0000-0000-0000ABA30000}"/>
    <cellStyle name="Style 21 2 4 3 2" xfId="24425" xr:uid="{00000000-0005-0000-0000-0000ACA30000}"/>
    <cellStyle name="Style 21 2 4 3 3" xfId="28136" xr:uid="{00000000-0005-0000-0000-0000ADA30000}"/>
    <cellStyle name="Style 21 2 4 3 4" xfId="32349" xr:uid="{00000000-0005-0000-0000-0000AEA30000}"/>
    <cellStyle name="Style 21 2 4 3 5" xfId="36564" xr:uid="{00000000-0005-0000-0000-0000AFA30000}"/>
    <cellStyle name="Style 21 2 4 3 6" xfId="40768" xr:uid="{00000000-0005-0000-0000-0000B0A30000}"/>
    <cellStyle name="Style 21 2 4 4" xfId="23754" xr:uid="{00000000-0005-0000-0000-0000B1A30000}"/>
    <cellStyle name="Style 21 2 4 5" xfId="25001" xr:uid="{00000000-0005-0000-0000-0000B2A30000}"/>
    <cellStyle name="Style 21 2 4 6" xfId="29213" xr:uid="{00000000-0005-0000-0000-0000B3A30000}"/>
    <cellStyle name="Style 21 2 4 7" xfId="33429" xr:uid="{00000000-0005-0000-0000-0000B4A30000}"/>
    <cellStyle name="Style 21 2 4 8" xfId="37633" xr:uid="{00000000-0005-0000-0000-0000B5A30000}"/>
    <cellStyle name="Style 21 2 5" xfId="6493" xr:uid="{00000000-0005-0000-0000-0000B6A30000}"/>
    <cellStyle name="Style 21 2 5 2" xfId="20357" xr:uid="{00000000-0005-0000-0000-0000B7A30000}"/>
    <cellStyle name="Style 21 2 5 3" xfId="14996" xr:uid="{00000000-0005-0000-0000-0000B8A30000}"/>
    <cellStyle name="Style 21 2 6" xfId="10192" xr:uid="{00000000-0005-0000-0000-0000B9A30000}"/>
    <cellStyle name="Style 21 2 6 2" xfId="21536" xr:uid="{00000000-0005-0000-0000-0000BAA30000}"/>
    <cellStyle name="Style 21 2 7" xfId="11298" xr:uid="{00000000-0005-0000-0000-0000BBA30000}"/>
    <cellStyle name="Style 21 2 7 2" xfId="20769" xr:uid="{00000000-0005-0000-0000-0000BCA30000}"/>
    <cellStyle name="Style 21 2 8" xfId="10287" xr:uid="{00000000-0005-0000-0000-0000BDA30000}"/>
    <cellStyle name="Style 21 2 8 2" xfId="21564" xr:uid="{00000000-0005-0000-0000-0000BEA30000}"/>
    <cellStyle name="Style 21 2 9" xfId="4331" xr:uid="{00000000-0005-0000-0000-0000BFA30000}"/>
    <cellStyle name="Style 21 2 9 2" xfId="23033" xr:uid="{00000000-0005-0000-0000-0000C0A30000}"/>
    <cellStyle name="Style 21 3" xfId="4334" xr:uid="{00000000-0005-0000-0000-0000C1A30000}"/>
    <cellStyle name="Style 21 3 10" xfId="18227" xr:uid="{00000000-0005-0000-0000-0000C2A30000}"/>
    <cellStyle name="Style 21 3 2" xfId="6495" xr:uid="{00000000-0005-0000-0000-0000C3A30000}"/>
    <cellStyle name="Style 21 3 2 2" xfId="20269" xr:uid="{00000000-0005-0000-0000-0000C4A30000}"/>
    <cellStyle name="Style 21 3 2 3" xfId="14920" xr:uid="{00000000-0005-0000-0000-0000C5A30000}"/>
    <cellStyle name="Style 21 3 2 4" xfId="24074" xr:uid="{00000000-0005-0000-0000-0000C6A30000}"/>
    <cellStyle name="Style 21 3 3" xfId="11229" xr:uid="{00000000-0005-0000-0000-0000C7A30000}"/>
    <cellStyle name="Style 21 3 3 2" xfId="20411" xr:uid="{00000000-0005-0000-0000-0000C8A30000}"/>
    <cellStyle name="Style 21 3 4" xfId="11091" xr:uid="{00000000-0005-0000-0000-0000C9A30000}"/>
    <cellStyle name="Style 21 3 4 2" xfId="21645" xr:uid="{00000000-0005-0000-0000-0000CAA30000}"/>
    <cellStyle name="Style 21 3 5" xfId="16176" xr:uid="{00000000-0005-0000-0000-0000CBA30000}"/>
    <cellStyle name="Style 21 3 5 2" xfId="21727" xr:uid="{00000000-0005-0000-0000-0000CCA30000}"/>
    <cellStyle name="Style 21 3 6" xfId="16985" xr:uid="{00000000-0005-0000-0000-0000CDA30000}"/>
    <cellStyle name="Style 21 3 6 2" xfId="22636" xr:uid="{00000000-0005-0000-0000-0000CEA30000}"/>
    <cellStyle name="Style 21 3 7" xfId="17705" xr:uid="{00000000-0005-0000-0000-0000CFA30000}"/>
    <cellStyle name="Style 21 3 7 2" xfId="23350" xr:uid="{00000000-0005-0000-0000-0000D0A30000}"/>
    <cellStyle name="Style 21 3 8" xfId="13909" xr:uid="{00000000-0005-0000-0000-0000D1A30000}"/>
    <cellStyle name="Style 21 3 8 2" xfId="18883" xr:uid="{00000000-0005-0000-0000-0000D2A30000}"/>
    <cellStyle name="Style 21 3 9" xfId="13238" xr:uid="{00000000-0005-0000-0000-0000D3A30000}"/>
    <cellStyle name="Style 21 4" xfId="4335" xr:uid="{00000000-0005-0000-0000-0000D4A30000}"/>
    <cellStyle name="Style 21 4 10" xfId="18293" xr:uid="{00000000-0005-0000-0000-0000D5A30000}"/>
    <cellStyle name="Style 21 4 2" xfId="7000" xr:uid="{00000000-0005-0000-0000-0000D6A30000}"/>
    <cellStyle name="Style 21 4 2 2" xfId="20335" xr:uid="{00000000-0005-0000-0000-0000D7A30000}"/>
    <cellStyle name="Style 21 4 2 3" xfId="14985" xr:uid="{00000000-0005-0000-0000-0000D8A30000}"/>
    <cellStyle name="Style 21 4 2 4" xfId="24140" xr:uid="{00000000-0005-0000-0000-0000D9A30000}"/>
    <cellStyle name="Style 21 4 2 5" xfId="25688" xr:uid="{00000000-0005-0000-0000-0000DAA30000}"/>
    <cellStyle name="Style 21 4 2 6" xfId="29901" xr:uid="{00000000-0005-0000-0000-0000DBA30000}"/>
    <cellStyle name="Style 21 4 2 7" xfId="34116" xr:uid="{00000000-0005-0000-0000-0000DCA30000}"/>
    <cellStyle name="Style 21 4 2 8" xfId="38320" xr:uid="{00000000-0005-0000-0000-0000DDA30000}"/>
    <cellStyle name="Style 21 4 3" xfId="11230" xr:uid="{00000000-0005-0000-0000-0000DEA30000}"/>
    <cellStyle name="Style 21 4 3 2" xfId="20422" xr:uid="{00000000-0005-0000-0000-0000DFA30000}"/>
    <cellStyle name="Style 21 4 4" xfId="11090" xr:uid="{00000000-0005-0000-0000-0000E0A30000}"/>
    <cellStyle name="Style 21 4 4 2" xfId="21661" xr:uid="{00000000-0005-0000-0000-0000E1A30000}"/>
    <cellStyle name="Style 21 4 5" xfId="16242" xr:uid="{00000000-0005-0000-0000-0000E2A30000}"/>
    <cellStyle name="Style 21 4 5 2" xfId="21793" xr:uid="{00000000-0005-0000-0000-0000E3A30000}"/>
    <cellStyle name="Style 21 4 6" xfId="17051" xr:uid="{00000000-0005-0000-0000-0000E4A30000}"/>
    <cellStyle name="Style 21 4 6 2" xfId="22702" xr:uid="{00000000-0005-0000-0000-0000E5A30000}"/>
    <cellStyle name="Style 21 4 7" xfId="17771" xr:uid="{00000000-0005-0000-0000-0000E6A30000}"/>
    <cellStyle name="Style 21 4 7 2" xfId="23416" xr:uid="{00000000-0005-0000-0000-0000E7A30000}"/>
    <cellStyle name="Style 21 4 8" xfId="13975" xr:uid="{00000000-0005-0000-0000-0000E8A30000}"/>
    <cellStyle name="Style 21 4 8 2" xfId="18949" xr:uid="{00000000-0005-0000-0000-0000E9A30000}"/>
    <cellStyle name="Style 21 4 9" xfId="13304" xr:uid="{00000000-0005-0000-0000-0000EAA30000}"/>
    <cellStyle name="Style 21 5" xfId="5512" xr:uid="{00000000-0005-0000-0000-0000EBA30000}"/>
    <cellStyle name="Style 21 5 2" xfId="7189" xr:uid="{00000000-0005-0000-0000-0000ECA30000}"/>
    <cellStyle name="Style 21 5 2 2" xfId="11838" xr:uid="{00000000-0005-0000-0000-0000EDA30000}"/>
    <cellStyle name="Style 21 5 2 2 2" xfId="46194" xr:uid="{00000000-0005-0000-0000-0000EEA30000}"/>
    <cellStyle name="Style 21 5 2 3" xfId="10992" xr:uid="{00000000-0005-0000-0000-0000EFA30000}"/>
    <cellStyle name="Style 21 5 2 3 2" xfId="45753" xr:uid="{00000000-0005-0000-0000-0000F0A30000}"/>
    <cellStyle name="Style 21 5 2 4" xfId="44928" xr:uid="{00000000-0005-0000-0000-0000F1A30000}"/>
    <cellStyle name="Style 21 5 3" xfId="11348" xr:uid="{00000000-0005-0000-0000-0000F2A30000}"/>
    <cellStyle name="Style 21 5 3 2" xfId="24424" xr:uid="{00000000-0005-0000-0000-0000F3A30000}"/>
    <cellStyle name="Style 21 5 3 3" xfId="28135" xr:uid="{00000000-0005-0000-0000-0000F4A30000}"/>
    <cellStyle name="Style 21 5 3 4" xfId="32348" xr:uid="{00000000-0005-0000-0000-0000F5A30000}"/>
    <cellStyle name="Style 21 5 3 5" xfId="36563" xr:uid="{00000000-0005-0000-0000-0000F6A30000}"/>
    <cellStyle name="Style 21 5 3 6" xfId="40767" xr:uid="{00000000-0005-0000-0000-0000F7A30000}"/>
    <cellStyle name="Style 21 5 4" xfId="23753" xr:uid="{00000000-0005-0000-0000-0000F8A30000}"/>
    <cellStyle name="Style 21 5 5" xfId="25000" xr:uid="{00000000-0005-0000-0000-0000F9A30000}"/>
    <cellStyle name="Style 21 5 6" xfId="29212" xr:uid="{00000000-0005-0000-0000-0000FAA30000}"/>
    <cellStyle name="Style 21 5 7" xfId="33428" xr:uid="{00000000-0005-0000-0000-0000FBA30000}"/>
    <cellStyle name="Style 21 5 8" xfId="37632" xr:uid="{00000000-0005-0000-0000-0000FCA30000}"/>
    <cellStyle name="Style 21 6" xfId="6492" xr:uid="{00000000-0005-0000-0000-0000FDA30000}"/>
    <cellStyle name="Style 21 6 2" xfId="20356" xr:uid="{00000000-0005-0000-0000-0000FEA30000}"/>
    <cellStyle name="Style 21 6 3" xfId="14995" xr:uid="{00000000-0005-0000-0000-0000FFA30000}"/>
    <cellStyle name="Style 21 7" xfId="10191" xr:uid="{00000000-0005-0000-0000-000000A40000}"/>
    <cellStyle name="Style 21 7 2" xfId="21535" xr:uid="{00000000-0005-0000-0000-000001A40000}"/>
    <cellStyle name="Style 21 8" xfId="11299" xr:uid="{00000000-0005-0000-0000-000002A40000}"/>
    <cellStyle name="Style 21 8 2" xfId="20770" xr:uid="{00000000-0005-0000-0000-000003A40000}"/>
    <cellStyle name="Style 21 9" xfId="11305" xr:uid="{00000000-0005-0000-0000-000004A40000}"/>
    <cellStyle name="Style 21 9 2" xfId="21565" xr:uid="{00000000-0005-0000-0000-000005A40000}"/>
    <cellStyle name="Style 22" xfId="2876" xr:uid="{00000000-0005-0000-0000-000006A40000}"/>
    <cellStyle name="Style 22 10" xfId="13590" xr:uid="{00000000-0005-0000-0000-000007A40000}"/>
    <cellStyle name="Style 22 10 2" xfId="18567" xr:uid="{00000000-0005-0000-0000-000008A40000}"/>
    <cellStyle name="Style 22 11" xfId="12897" xr:uid="{00000000-0005-0000-0000-000009A40000}"/>
    <cellStyle name="Style 22 12" xfId="17911" xr:uid="{00000000-0005-0000-0000-00000AA40000}"/>
    <cellStyle name="Style 22 2" xfId="4336" xr:uid="{00000000-0005-0000-0000-00000BA40000}"/>
    <cellStyle name="Style 22 2 10" xfId="18229" xr:uid="{00000000-0005-0000-0000-00000CA40000}"/>
    <cellStyle name="Style 22 2 2" xfId="6497" xr:uid="{00000000-0005-0000-0000-00000DA40000}"/>
    <cellStyle name="Style 22 2 2 2" xfId="20271" xr:uid="{00000000-0005-0000-0000-00000EA40000}"/>
    <cellStyle name="Style 22 2 2 3" xfId="14922" xr:uid="{00000000-0005-0000-0000-00000FA40000}"/>
    <cellStyle name="Style 22 2 2 4" xfId="24076" xr:uid="{00000000-0005-0000-0000-000010A40000}"/>
    <cellStyle name="Style 22 2 3" xfId="11231" xr:uid="{00000000-0005-0000-0000-000011A40000}"/>
    <cellStyle name="Style 22 2 3 2" xfId="20413" xr:uid="{00000000-0005-0000-0000-000012A40000}"/>
    <cellStyle name="Style 22 2 4" xfId="11088" xr:uid="{00000000-0005-0000-0000-000013A40000}"/>
    <cellStyle name="Style 22 2 4 2" xfId="21647" xr:uid="{00000000-0005-0000-0000-000014A40000}"/>
    <cellStyle name="Style 22 2 5" xfId="16178" xr:uid="{00000000-0005-0000-0000-000015A40000}"/>
    <cellStyle name="Style 22 2 5 2" xfId="21729" xr:uid="{00000000-0005-0000-0000-000016A40000}"/>
    <cellStyle name="Style 22 2 6" xfId="16987" xr:uid="{00000000-0005-0000-0000-000017A40000}"/>
    <cellStyle name="Style 22 2 6 2" xfId="22638" xr:uid="{00000000-0005-0000-0000-000018A40000}"/>
    <cellStyle name="Style 22 2 7" xfId="17707" xr:uid="{00000000-0005-0000-0000-000019A40000}"/>
    <cellStyle name="Style 22 2 7 2" xfId="23352" xr:uid="{00000000-0005-0000-0000-00001AA40000}"/>
    <cellStyle name="Style 22 2 8" xfId="13911" xr:uid="{00000000-0005-0000-0000-00001BA40000}"/>
    <cellStyle name="Style 22 2 8 2" xfId="18885" xr:uid="{00000000-0005-0000-0000-00001CA40000}"/>
    <cellStyle name="Style 22 2 9" xfId="13240" xr:uid="{00000000-0005-0000-0000-00001DA40000}"/>
    <cellStyle name="Style 22 3" xfId="4337" xr:uid="{00000000-0005-0000-0000-00001EA40000}"/>
    <cellStyle name="Style 22 3 10" xfId="18295" xr:uid="{00000000-0005-0000-0000-00001FA40000}"/>
    <cellStyle name="Style 22 3 2" xfId="7002" xr:uid="{00000000-0005-0000-0000-000020A40000}"/>
    <cellStyle name="Style 22 3 2 2" xfId="20337" xr:uid="{00000000-0005-0000-0000-000021A40000}"/>
    <cellStyle name="Style 22 3 2 3" xfId="14987" xr:uid="{00000000-0005-0000-0000-000022A40000}"/>
    <cellStyle name="Style 22 3 2 4" xfId="24142" xr:uid="{00000000-0005-0000-0000-000023A40000}"/>
    <cellStyle name="Style 22 3 2 5" xfId="25690" xr:uid="{00000000-0005-0000-0000-000024A40000}"/>
    <cellStyle name="Style 22 3 2 6" xfId="29903" xr:uid="{00000000-0005-0000-0000-000025A40000}"/>
    <cellStyle name="Style 22 3 2 7" xfId="34118" xr:uid="{00000000-0005-0000-0000-000026A40000}"/>
    <cellStyle name="Style 22 3 2 8" xfId="38322" xr:uid="{00000000-0005-0000-0000-000027A40000}"/>
    <cellStyle name="Style 22 3 3" xfId="11232" xr:uid="{00000000-0005-0000-0000-000028A40000}"/>
    <cellStyle name="Style 22 3 3 2" xfId="20424" xr:uid="{00000000-0005-0000-0000-000029A40000}"/>
    <cellStyle name="Style 22 3 4" xfId="11087" xr:uid="{00000000-0005-0000-0000-00002AA40000}"/>
    <cellStyle name="Style 22 3 4 2" xfId="21663" xr:uid="{00000000-0005-0000-0000-00002BA40000}"/>
    <cellStyle name="Style 22 3 5" xfId="16244" xr:uid="{00000000-0005-0000-0000-00002CA40000}"/>
    <cellStyle name="Style 22 3 5 2" xfId="21795" xr:uid="{00000000-0005-0000-0000-00002DA40000}"/>
    <cellStyle name="Style 22 3 6" xfId="17053" xr:uid="{00000000-0005-0000-0000-00002EA40000}"/>
    <cellStyle name="Style 22 3 6 2" xfId="22704" xr:uid="{00000000-0005-0000-0000-00002FA40000}"/>
    <cellStyle name="Style 22 3 7" xfId="17773" xr:uid="{00000000-0005-0000-0000-000030A40000}"/>
    <cellStyle name="Style 22 3 7 2" xfId="23418" xr:uid="{00000000-0005-0000-0000-000031A40000}"/>
    <cellStyle name="Style 22 3 8" xfId="13977" xr:uid="{00000000-0005-0000-0000-000032A40000}"/>
    <cellStyle name="Style 22 3 8 2" xfId="18951" xr:uid="{00000000-0005-0000-0000-000033A40000}"/>
    <cellStyle name="Style 22 3 9" xfId="13306" xr:uid="{00000000-0005-0000-0000-000034A40000}"/>
    <cellStyle name="Style 22 4" xfId="5514" xr:uid="{00000000-0005-0000-0000-000035A40000}"/>
    <cellStyle name="Style 22 4 2" xfId="7191" xr:uid="{00000000-0005-0000-0000-000036A40000}"/>
    <cellStyle name="Style 22 4 2 2" xfId="11840" xr:uid="{00000000-0005-0000-0000-000037A40000}"/>
    <cellStyle name="Style 22 4 2 2 2" xfId="46196" xr:uid="{00000000-0005-0000-0000-000038A40000}"/>
    <cellStyle name="Style 22 4 2 3" xfId="10991" xr:uid="{00000000-0005-0000-0000-000039A40000}"/>
    <cellStyle name="Style 22 4 2 3 2" xfId="45752" xr:uid="{00000000-0005-0000-0000-00003AA40000}"/>
    <cellStyle name="Style 22 4 2 4" xfId="44930" xr:uid="{00000000-0005-0000-0000-00003BA40000}"/>
    <cellStyle name="Style 22 4 3" xfId="11350" xr:uid="{00000000-0005-0000-0000-00003CA40000}"/>
    <cellStyle name="Style 22 4 3 2" xfId="24426" xr:uid="{00000000-0005-0000-0000-00003DA40000}"/>
    <cellStyle name="Style 22 4 3 3" xfId="28137" xr:uid="{00000000-0005-0000-0000-00003EA40000}"/>
    <cellStyle name="Style 22 4 3 4" xfId="32350" xr:uid="{00000000-0005-0000-0000-00003FA40000}"/>
    <cellStyle name="Style 22 4 3 5" xfId="36565" xr:uid="{00000000-0005-0000-0000-000040A40000}"/>
    <cellStyle name="Style 22 4 3 6" xfId="40769" xr:uid="{00000000-0005-0000-0000-000041A40000}"/>
    <cellStyle name="Style 22 4 4" xfId="23755" xr:uid="{00000000-0005-0000-0000-000042A40000}"/>
    <cellStyle name="Style 22 4 5" xfId="25002" xr:uid="{00000000-0005-0000-0000-000043A40000}"/>
    <cellStyle name="Style 22 4 6" xfId="29214" xr:uid="{00000000-0005-0000-0000-000044A40000}"/>
    <cellStyle name="Style 22 4 7" xfId="33430" xr:uid="{00000000-0005-0000-0000-000045A40000}"/>
    <cellStyle name="Style 22 4 8" xfId="37634" xr:uid="{00000000-0005-0000-0000-000046A40000}"/>
    <cellStyle name="Style 22 5" xfId="6496" xr:uid="{00000000-0005-0000-0000-000047A40000}"/>
    <cellStyle name="Style 22 5 2" xfId="20358" xr:uid="{00000000-0005-0000-0000-000048A40000}"/>
    <cellStyle name="Style 22 5 3" xfId="14997" xr:uid="{00000000-0005-0000-0000-000049A40000}"/>
    <cellStyle name="Style 22 6" xfId="10193" xr:uid="{00000000-0005-0000-0000-00004AA40000}"/>
    <cellStyle name="Style 22 6 2" xfId="21537" xr:uid="{00000000-0005-0000-0000-00004BA40000}"/>
    <cellStyle name="Style 22 7" xfId="11089" xr:uid="{00000000-0005-0000-0000-00004CA40000}"/>
    <cellStyle name="Style 22 7 2" xfId="20768" xr:uid="{00000000-0005-0000-0000-00004DA40000}"/>
    <cellStyle name="Style 22 8" xfId="10286" xr:uid="{00000000-0005-0000-0000-00004EA40000}"/>
    <cellStyle name="Style 22 8 2" xfId="21562" xr:uid="{00000000-0005-0000-0000-00004FA40000}"/>
    <cellStyle name="Style 22 9" xfId="17388" xr:uid="{00000000-0005-0000-0000-000050A40000}"/>
    <cellStyle name="Style 22 9 2" xfId="23034" xr:uid="{00000000-0005-0000-0000-000051A40000}"/>
    <cellStyle name="Style 23" xfId="2877" xr:uid="{00000000-0005-0000-0000-000052A40000}"/>
    <cellStyle name="Style 23 2" xfId="5723" xr:uid="{00000000-0005-0000-0000-000053A40000}"/>
    <cellStyle name="Style 23 2 2" xfId="6499" xr:uid="{00000000-0005-0000-0000-000054A40000}"/>
    <cellStyle name="Style 23 3" xfId="5515" xr:uid="{00000000-0005-0000-0000-000055A40000}"/>
    <cellStyle name="Style 23 3 2" xfId="25003" xr:uid="{00000000-0005-0000-0000-000056A40000}"/>
    <cellStyle name="Style 23 3 3" xfId="29215" xr:uid="{00000000-0005-0000-0000-000057A40000}"/>
    <cellStyle name="Style 23 3 4" xfId="33431" xr:uid="{00000000-0005-0000-0000-000058A40000}"/>
    <cellStyle name="Style 23 3 5" xfId="37635" xr:uid="{00000000-0005-0000-0000-000059A40000}"/>
    <cellStyle name="Style 23 4" xfId="7192" xr:uid="{00000000-0005-0000-0000-00005AA40000}"/>
    <cellStyle name="Style 23 5" xfId="6498" xr:uid="{00000000-0005-0000-0000-00005BA40000}"/>
    <cellStyle name="Style 24" xfId="2878" xr:uid="{00000000-0005-0000-0000-00005CA40000}"/>
    <cellStyle name="Style 24 10" xfId="13591" xr:uid="{00000000-0005-0000-0000-00005DA40000}"/>
    <cellStyle name="Style 24 10 2" xfId="18568" xr:uid="{00000000-0005-0000-0000-00005EA40000}"/>
    <cellStyle name="Style 24 11" xfId="12898" xr:uid="{00000000-0005-0000-0000-00005FA40000}"/>
    <cellStyle name="Style 24 12" xfId="17912" xr:uid="{00000000-0005-0000-0000-000060A40000}"/>
    <cellStyle name="Style 24 2" xfId="4338" xr:uid="{00000000-0005-0000-0000-000061A40000}"/>
    <cellStyle name="Style 24 2 10" xfId="18230" xr:uid="{00000000-0005-0000-0000-000062A40000}"/>
    <cellStyle name="Style 24 2 2" xfId="6501" xr:uid="{00000000-0005-0000-0000-000063A40000}"/>
    <cellStyle name="Style 24 2 2 2" xfId="20272" xr:uid="{00000000-0005-0000-0000-000064A40000}"/>
    <cellStyle name="Style 24 2 2 3" xfId="14923" xr:uid="{00000000-0005-0000-0000-000065A40000}"/>
    <cellStyle name="Style 24 2 2 4" xfId="24077" xr:uid="{00000000-0005-0000-0000-000066A40000}"/>
    <cellStyle name="Style 24 2 3" xfId="11233" xr:uid="{00000000-0005-0000-0000-000067A40000}"/>
    <cellStyle name="Style 24 2 3 2" xfId="20414" xr:uid="{00000000-0005-0000-0000-000068A40000}"/>
    <cellStyle name="Style 24 2 4" xfId="11086" xr:uid="{00000000-0005-0000-0000-000069A40000}"/>
    <cellStyle name="Style 24 2 4 2" xfId="21648" xr:uid="{00000000-0005-0000-0000-00006AA40000}"/>
    <cellStyle name="Style 24 2 5" xfId="16179" xr:uid="{00000000-0005-0000-0000-00006BA40000}"/>
    <cellStyle name="Style 24 2 5 2" xfId="21730" xr:uid="{00000000-0005-0000-0000-00006CA40000}"/>
    <cellStyle name="Style 24 2 6" xfId="16988" xr:uid="{00000000-0005-0000-0000-00006DA40000}"/>
    <cellStyle name="Style 24 2 6 2" xfId="22639" xr:uid="{00000000-0005-0000-0000-00006EA40000}"/>
    <cellStyle name="Style 24 2 7" xfId="17708" xr:uid="{00000000-0005-0000-0000-00006FA40000}"/>
    <cellStyle name="Style 24 2 7 2" xfId="23353" xr:uid="{00000000-0005-0000-0000-000070A40000}"/>
    <cellStyle name="Style 24 2 8" xfId="13912" xr:uid="{00000000-0005-0000-0000-000071A40000}"/>
    <cellStyle name="Style 24 2 8 2" xfId="18886" xr:uid="{00000000-0005-0000-0000-000072A40000}"/>
    <cellStyle name="Style 24 2 9" xfId="13241" xr:uid="{00000000-0005-0000-0000-000073A40000}"/>
    <cellStyle name="Style 24 3" xfId="4339" xr:uid="{00000000-0005-0000-0000-000074A40000}"/>
    <cellStyle name="Style 24 3 10" xfId="18296" xr:uid="{00000000-0005-0000-0000-000075A40000}"/>
    <cellStyle name="Style 24 3 2" xfId="7003" xr:uid="{00000000-0005-0000-0000-000076A40000}"/>
    <cellStyle name="Style 24 3 2 2" xfId="20338" xr:uid="{00000000-0005-0000-0000-000077A40000}"/>
    <cellStyle name="Style 24 3 2 3" xfId="14988" xr:uid="{00000000-0005-0000-0000-000078A40000}"/>
    <cellStyle name="Style 24 3 2 4" xfId="24143" xr:uid="{00000000-0005-0000-0000-000079A40000}"/>
    <cellStyle name="Style 24 3 2 5" xfId="25691" xr:uid="{00000000-0005-0000-0000-00007AA40000}"/>
    <cellStyle name="Style 24 3 2 6" xfId="29904" xr:uid="{00000000-0005-0000-0000-00007BA40000}"/>
    <cellStyle name="Style 24 3 2 7" xfId="34119" xr:uid="{00000000-0005-0000-0000-00007CA40000}"/>
    <cellStyle name="Style 24 3 2 8" xfId="38323" xr:uid="{00000000-0005-0000-0000-00007DA40000}"/>
    <cellStyle name="Style 24 3 3" xfId="11234" xr:uid="{00000000-0005-0000-0000-00007EA40000}"/>
    <cellStyle name="Style 24 3 3 2" xfId="20425" xr:uid="{00000000-0005-0000-0000-00007FA40000}"/>
    <cellStyle name="Style 24 3 4" xfId="11085" xr:uid="{00000000-0005-0000-0000-000080A40000}"/>
    <cellStyle name="Style 24 3 4 2" xfId="21664" xr:uid="{00000000-0005-0000-0000-000081A40000}"/>
    <cellStyle name="Style 24 3 5" xfId="16245" xr:uid="{00000000-0005-0000-0000-000082A40000}"/>
    <cellStyle name="Style 24 3 5 2" xfId="21796" xr:uid="{00000000-0005-0000-0000-000083A40000}"/>
    <cellStyle name="Style 24 3 6" xfId="17054" xr:uid="{00000000-0005-0000-0000-000084A40000}"/>
    <cellStyle name="Style 24 3 6 2" xfId="22705" xr:uid="{00000000-0005-0000-0000-000085A40000}"/>
    <cellStyle name="Style 24 3 7" xfId="17774" xr:uid="{00000000-0005-0000-0000-000086A40000}"/>
    <cellStyle name="Style 24 3 7 2" xfId="23419" xr:uid="{00000000-0005-0000-0000-000087A40000}"/>
    <cellStyle name="Style 24 3 8" xfId="13978" xr:uid="{00000000-0005-0000-0000-000088A40000}"/>
    <cellStyle name="Style 24 3 8 2" xfId="18952" xr:uid="{00000000-0005-0000-0000-000089A40000}"/>
    <cellStyle name="Style 24 3 9" xfId="13307" xr:uid="{00000000-0005-0000-0000-00008AA40000}"/>
    <cellStyle name="Style 24 4" xfId="5516" xr:uid="{00000000-0005-0000-0000-00008BA40000}"/>
    <cellStyle name="Style 24 4 2" xfId="7193" xr:uid="{00000000-0005-0000-0000-00008CA40000}"/>
    <cellStyle name="Style 24 4 2 2" xfId="11841" xr:uid="{00000000-0005-0000-0000-00008DA40000}"/>
    <cellStyle name="Style 24 4 2 2 2" xfId="46197" xr:uid="{00000000-0005-0000-0000-00008EA40000}"/>
    <cellStyle name="Style 24 4 2 3" xfId="10990" xr:uid="{00000000-0005-0000-0000-00008FA40000}"/>
    <cellStyle name="Style 24 4 2 3 2" xfId="45751" xr:uid="{00000000-0005-0000-0000-000090A40000}"/>
    <cellStyle name="Style 24 4 2 4" xfId="44931" xr:uid="{00000000-0005-0000-0000-000091A40000}"/>
    <cellStyle name="Style 24 4 3" xfId="11351" xr:uid="{00000000-0005-0000-0000-000092A40000}"/>
    <cellStyle name="Style 24 4 3 2" xfId="24427" xr:uid="{00000000-0005-0000-0000-000093A40000}"/>
    <cellStyle name="Style 24 4 3 3" xfId="28138" xr:uid="{00000000-0005-0000-0000-000094A40000}"/>
    <cellStyle name="Style 24 4 3 4" xfId="32351" xr:uid="{00000000-0005-0000-0000-000095A40000}"/>
    <cellStyle name="Style 24 4 3 5" xfId="36566" xr:uid="{00000000-0005-0000-0000-000096A40000}"/>
    <cellStyle name="Style 24 4 3 6" xfId="40770" xr:uid="{00000000-0005-0000-0000-000097A40000}"/>
    <cellStyle name="Style 24 4 4" xfId="23756" xr:uid="{00000000-0005-0000-0000-000098A40000}"/>
    <cellStyle name="Style 24 4 5" xfId="25004" xr:uid="{00000000-0005-0000-0000-000099A40000}"/>
    <cellStyle name="Style 24 4 6" xfId="29216" xr:uid="{00000000-0005-0000-0000-00009AA40000}"/>
    <cellStyle name="Style 24 4 7" xfId="33432" xr:uid="{00000000-0005-0000-0000-00009BA40000}"/>
    <cellStyle name="Style 24 4 8" xfId="37636" xr:uid="{00000000-0005-0000-0000-00009CA40000}"/>
    <cellStyle name="Style 24 5" xfId="6500" xr:uid="{00000000-0005-0000-0000-00009DA40000}"/>
    <cellStyle name="Style 24 5 2" xfId="20359" xr:uid="{00000000-0005-0000-0000-00009EA40000}"/>
    <cellStyle name="Style 24 5 3" xfId="14998" xr:uid="{00000000-0005-0000-0000-00009FA40000}"/>
    <cellStyle name="Style 24 6" xfId="10194" xr:uid="{00000000-0005-0000-0000-0000A0A40000}"/>
    <cellStyle name="Style 24 6 2" xfId="21538" xr:uid="{00000000-0005-0000-0000-0000A1A40000}"/>
    <cellStyle name="Style 24 7" xfId="11297" xr:uid="{00000000-0005-0000-0000-0000A2A40000}"/>
    <cellStyle name="Style 24 7 2" xfId="20766" xr:uid="{00000000-0005-0000-0000-0000A3A40000}"/>
    <cellStyle name="Style 24 8" xfId="10285" xr:uid="{00000000-0005-0000-0000-0000A4A40000}"/>
    <cellStyle name="Style 24 8 2" xfId="21815" xr:uid="{00000000-0005-0000-0000-0000A5A40000}"/>
    <cellStyle name="Style 24 9" xfId="17389" xr:uid="{00000000-0005-0000-0000-0000A6A40000}"/>
    <cellStyle name="Style 24 9 2" xfId="23035" xr:uid="{00000000-0005-0000-0000-0000A7A40000}"/>
    <cellStyle name="Style 25" xfId="2879" xr:uid="{00000000-0005-0000-0000-0000A8A40000}"/>
    <cellStyle name="Style 25 10" xfId="4340" xr:uid="{00000000-0005-0000-0000-0000A9A40000}"/>
    <cellStyle name="Style 25 10 2" xfId="23036" xr:uid="{00000000-0005-0000-0000-0000AAA40000}"/>
    <cellStyle name="Style 25 11" xfId="13592" xr:uid="{00000000-0005-0000-0000-0000ABA40000}"/>
    <cellStyle name="Style 25 11 2" xfId="18569" xr:uid="{00000000-0005-0000-0000-0000ACA40000}"/>
    <cellStyle name="Style 25 12" xfId="12899" xr:uid="{00000000-0005-0000-0000-0000ADA40000}"/>
    <cellStyle name="Style 25 13" xfId="17913" xr:uid="{00000000-0005-0000-0000-0000AEA40000}"/>
    <cellStyle name="Style 25 14" xfId="3079" xr:uid="{00000000-0005-0000-0000-0000AFA40000}"/>
    <cellStyle name="Style 25 2" xfId="2880" xr:uid="{00000000-0005-0000-0000-0000B0A40000}"/>
    <cellStyle name="Style 25 2 10" xfId="13593" xr:uid="{00000000-0005-0000-0000-0000B1A40000}"/>
    <cellStyle name="Style 25 2 10 2" xfId="18570" xr:uid="{00000000-0005-0000-0000-0000B2A40000}"/>
    <cellStyle name="Style 25 2 11" xfId="12900" xr:uid="{00000000-0005-0000-0000-0000B3A40000}"/>
    <cellStyle name="Style 25 2 12" xfId="17914" xr:uid="{00000000-0005-0000-0000-0000B4A40000}"/>
    <cellStyle name="Style 25 2 13" xfId="3080" xr:uid="{00000000-0005-0000-0000-0000B5A40000}"/>
    <cellStyle name="Style 25 2 2" xfId="4342" xr:uid="{00000000-0005-0000-0000-0000B6A40000}"/>
    <cellStyle name="Style 25 2 2 10" xfId="18232" xr:uid="{00000000-0005-0000-0000-0000B7A40000}"/>
    <cellStyle name="Style 25 2 2 2" xfId="6504" xr:uid="{00000000-0005-0000-0000-0000B8A40000}"/>
    <cellStyle name="Style 25 2 2 2 2" xfId="20274" xr:uid="{00000000-0005-0000-0000-0000B9A40000}"/>
    <cellStyle name="Style 25 2 2 2 3" xfId="14925" xr:uid="{00000000-0005-0000-0000-0000BAA40000}"/>
    <cellStyle name="Style 25 2 2 2 4" xfId="24079" xr:uid="{00000000-0005-0000-0000-0000BBA40000}"/>
    <cellStyle name="Style 25 2 2 3" xfId="11235" xr:uid="{00000000-0005-0000-0000-0000BCA40000}"/>
    <cellStyle name="Style 25 2 2 3 2" xfId="20416" xr:uid="{00000000-0005-0000-0000-0000BDA40000}"/>
    <cellStyle name="Style 25 2 2 4" xfId="11082" xr:uid="{00000000-0005-0000-0000-0000BEA40000}"/>
    <cellStyle name="Style 25 2 2 4 2" xfId="21650" xr:uid="{00000000-0005-0000-0000-0000BFA40000}"/>
    <cellStyle name="Style 25 2 2 5" xfId="16181" xr:uid="{00000000-0005-0000-0000-0000C0A40000}"/>
    <cellStyle name="Style 25 2 2 5 2" xfId="21732" xr:uid="{00000000-0005-0000-0000-0000C1A40000}"/>
    <cellStyle name="Style 25 2 2 6" xfId="16990" xr:uid="{00000000-0005-0000-0000-0000C2A40000}"/>
    <cellStyle name="Style 25 2 2 6 2" xfId="22641" xr:uid="{00000000-0005-0000-0000-0000C3A40000}"/>
    <cellStyle name="Style 25 2 2 7" xfId="17710" xr:uid="{00000000-0005-0000-0000-0000C4A40000}"/>
    <cellStyle name="Style 25 2 2 7 2" xfId="23355" xr:uid="{00000000-0005-0000-0000-0000C5A40000}"/>
    <cellStyle name="Style 25 2 2 8" xfId="13914" xr:uid="{00000000-0005-0000-0000-0000C6A40000}"/>
    <cellStyle name="Style 25 2 2 8 2" xfId="18888" xr:uid="{00000000-0005-0000-0000-0000C7A40000}"/>
    <cellStyle name="Style 25 2 2 9" xfId="13243" xr:uid="{00000000-0005-0000-0000-0000C8A40000}"/>
    <cellStyle name="Style 25 2 3" xfId="4343" xr:uid="{00000000-0005-0000-0000-0000C9A40000}"/>
    <cellStyle name="Style 25 2 3 10" xfId="18298" xr:uid="{00000000-0005-0000-0000-0000CAA40000}"/>
    <cellStyle name="Style 25 2 3 2" xfId="7005" xr:uid="{00000000-0005-0000-0000-0000CBA40000}"/>
    <cellStyle name="Style 25 2 3 2 2" xfId="20340" xr:uid="{00000000-0005-0000-0000-0000CCA40000}"/>
    <cellStyle name="Style 25 2 3 2 3" xfId="14990" xr:uid="{00000000-0005-0000-0000-0000CDA40000}"/>
    <cellStyle name="Style 25 2 3 2 4" xfId="24145" xr:uid="{00000000-0005-0000-0000-0000CEA40000}"/>
    <cellStyle name="Style 25 2 3 2 5" xfId="25693" xr:uid="{00000000-0005-0000-0000-0000CFA40000}"/>
    <cellStyle name="Style 25 2 3 2 6" xfId="29906" xr:uid="{00000000-0005-0000-0000-0000D0A40000}"/>
    <cellStyle name="Style 25 2 3 2 7" xfId="34121" xr:uid="{00000000-0005-0000-0000-0000D1A40000}"/>
    <cellStyle name="Style 25 2 3 2 8" xfId="38325" xr:uid="{00000000-0005-0000-0000-0000D2A40000}"/>
    <cellStyle name="Style 25 2 3 3" xfId="11236" xr:uid="{00000000-0005-0000-0000-0000D3A40000}"/>
    <cellStyle name="Style 25 2 3 3 2" xfId="20427" xr:uid="{00000000-0005-0000-0000-0000D4A40000}"/>
    <cellStyle name="Style 25 2 3 4" xfId="11081" xr:uid="{00000000-0005-0000-0000-0000D5A40000}"/>
    <cellStyle name="Style 25 2 3 4 2" xfId="21666" xr:uid="{00000000-0005-0000-0000-0000D6A40000}"/>
    <cellStyle name="Style 25 2 3 5" xfId="16247" xr:uid="{00000000-0005-0000-0000-0000D7A40000}"/>
    <cellStyle name="Style 25 2 3 5 2" xfId="21798" xr:uid="{00000000-0005-0000-0000-0000D8A40000}"/>
    <cellStyle name="Style 25 2 3 6" xfId="17056" xr:uid="{00000000-0005-0000-0000-0000D9A40000}"/>
    <cellStyle name="Style 25 2 3 6 2" xfId="22707" xr:uid="{00000000-0005-0000-0000-0000DAA40000}"/>
    <cellStyle name="Style 25 2 3 7" xfId="17776" xr:uid="{00000000-0005-0000-0000-0000DBA40000}"/>
    <cellStyle name="Style 25 2 3 7 2" xfId="23421" xr:uid="{00000000-0005-0000-0000-0000DCA40000}"/>
    <cellStyle name="Style 25 2 3 8" xfId="13980" xr:uid="{00000000-0005-0000-0000-0000DDA40000}"/>
    <cellStyle name="Style 25 2 3 8 2" xfId="18954" xr:uid="{00000000-0005-0000-0000-0000DEA40000}"/>
    <cellStyle name="Style 25 2 3 9" xfId="13309" xr:uid="{00000000-0005-0000-0000-0000DFA40000}"/>
    <cellStyle name="Style 25 2 4" xfId="5518" xr:uid="{00000000-0005-0000-0000-0000E0A40000}"/>
    <cellStyle name="Style 25 2 4 2" xfId="7195" xr:uid="{00000000-0005-0000-0000-0000E1A40000}"/>
    <cellStyle name="Style 25 2 4 2 2" xfId="11843" xr:uid="{00000000-0005-0000-0000-0000E2A40000}"/>
    <cellStyle name="Style 25 2 4 2 2 2" xfId="46199" xr:uid="{00000000-0005-0000-0000-0000E3A40000}"/>
    <cellStyle name="Style 25 2 4 2 3" xfId="10989" xr:uid="{00000000-0005-0000-0000-0000E4A40000}"/>
    <cellStyle name="Style 25 2 4 2 3 2" xfId="45750" xr:uid="{00000000-0005-0000-0000-0000E5A40000}"/>
    <cellStyle name="Style 25 2 4 2 4" xfId="44933" xr:uid="{00000000-0005-0000-0000-0000E6A40000}"/>
    <cellStyle name="Style 25 2 4 3" xfId="11353" xr:uid="{00000000-0005-0000-0000-0000E7A40000}"/>
    <cellStyle name="Style 25 2 4 3 2" xfId="24429" xr:uid="{00000000-0005-0000-0000-0000E8A40000}"/>
    <cellStyle name="Style 25 2 4 3 3" xfId="28140" xr:uid="{00000000-0005-0000-0000-0000E9A40000}"/>
    <cellStyle name="Style 25 2 4 3 4" xfId="32353" xr:uid="{00000000-0005-0000-0000-0000EAA40000}"/>
    <cellStyle name="Style 25 2 4 3 5" xfId="36568" xr:uid="{00000000-0005-0000-0000-0000EBA40000}"/>
    <cellStyle name="Style 25 2 4 3 6" xfId="40772" xr:uid="{00000000-0005-0000-0000-0000ECA40000}"/>
    <cellStyle name="Style 25 2 4 4" xfId="23758" xr:uid="{00000000-0005-0000-0000-0000EDA40000}"/>
    <cellStyle name="Style 25 2 4 5" xfId="25006" xr:uid="{00000000-0005-0000-0000-0000EEA40000}"/>
    <cellStyle name="Style 25 2 4 6" xfId="29218" xr:uid="{00000000-0005-0000-0000-0000EFA40000}"/>
    <cellStyle name="Style 25 2 4 7" xfId="33434" xr:uid="{00000000-0005-0000-0000-0000F0A40000}"/>
    <cellStyle name="Style 25 2 4 8" xfId="37638" xr:uid="{00000000-0005-0000-0000-0000F1A40000}"/>
    <cellStyle name="Style 25 2 5" xfId="6503" xr:uid="{00000000-0005-0000-0000-0000F2A40000}"/>
    <cellStyle name="Style 25 2 5 2" xfId="20361" xr:uid="{00000000-0005-0000-0000-0000F3A40000}"/>
    <cellStyle name="Style 25 2 5 3" xfId="15000" xr:uid="{00000000-0005-0000-0000-0000F4A40000}"/>
    <cellStyle name="Style 25 2 6" xfId="10196" xr:uid="{00000000-0005-0000-0000-0000F5A40000}"/>
    <cellStyle name="Style 25 2 6 2" xfId="21540" xr:uid="{00000000-0005-0000-0000-0000F6A40000}"/>
    <cellStyle name="Style 25 2 7" xfId="11083" xr:uid="{00000000-0005-0000-0000-0000F7A40000}"/>
    <cellStyle name="Style 25 2 7 2" xfId="20764" xr:uid="{00000000-0005-0000-0000-0000F8A40000}"/>
    <cellStyle name="Style 25 2 8" xfId="10283" xr:uid="{00000000-0005-0000-0000-0000F9A40000}"/>
    <cellStyle name="Style 25 2 8 2" xfId="20691" xr:uid="{00000000-0005-0000-0000-0000FAA40000}"/>
    <cellStyle name="Style 25 2 9" xfId="4341" xr:uid="{00000000-0005-0000-0000-0000FBA40000}"/>
    <cellStyle name="Style 25 2 9 2" xfId="23037" xr:uid="{00000000-0005-0000-0000-0000FCA40000}"/>
    <cellStyle name="Style 25 3" xfId="4344" xr:uid="{00000000-0005-0000-0000-0000FDA40000}"/>
    <cellStyle name="Style 25 3 10" xfId="18231" xr:uid="{00000000-0005-0000-0000-0000FEA40000}"/>
    <cellStyle name="Style 25 3 2" xfId="6505" xr:uid="{00000000-0005-0000-0000-0000FFA40000}"/>
    <cellStyle name="Style 25 3 2 2" xfId="20273" xr:uid="{00000000-0005-0000-0000-000000A50000}"/>
    <cellStyle name="Style 25 3 2 3" xfId="14924" xr:uid="{00000000-0005-0000-0000-000001A50000}"/>
    <cellStyle name="Style 25 3 2 4" xfId="24078" xr:uid="{00000000-0005-0000-0000-000002A50000}"/>
    <cellStyle name="Style 25 3 3" xfId="11237" xr:uid="{00000000-0005-0000-0000-000003A50000}"/>
    <cellStyle name="Style 25 3 3 2" xfId="20415" xr:uid="{00000000-0005-0000-0000-000004A50000}"/>
    <cellStyle name="Style 25 3 4" xfId="11080" xr:uid="{00000000-0005-0000-0000-000005A50000}"/>
    <cellStyle name="Style 25 3 4 2" xfId="21649" xr:uid="{00000000-0005-0000-0000-000006A50000}"/>
    <cellStyle name="Style 25 3 5" xfId="16180" xr:uid="{00000000-0005-0000-0000-000007A50000}"/>
    <cellStyle name="Style 25 3 5 2" xfId="21731" xr:uid="{00000000-0005-0000-0000-000008A50000}"/>
    <cellStyle name="Style 25 3 6" xfId="16989" xr:uid="{00000000-0005-0000-0000-000009A50000}"/>
    <cellStyle name="Style 25 3 6 2" xfId="22640" xr:uid="{00000000-0005-0000-0000-00000AA50000}"/>
    <cellStyle name="Style 25 3 7" xfId="17709" xr:uid="{00000000-0005-0000-0000-00000BA50000}"/>
    <cellStyle name="Style 25 3 7 2" xfId="23354" xr:uid="{00000000-0005-0000-0000-00000CA50000}"/>
    <cellStyle name="Style 25 3 8" xfId="13913" xr:uid="{00000000-0005-0000-0000-00000DA50000}"/>
    <cellStyle name="Style 25 3 8 2" xfId="18887" xr:uid="{00000000-0005-0000-0000-00000EA50000}"/>
    <cellStyle name="Style 25 3 9" xfId="13242" xr:uid="{00000000-0005-0000-0000-00000FA50000}"/>
    <cellStyle name="Style 25 4" xfId="4345" xr:uid="{00000000-0005-0000-0000-000010A50000}"/>
    <cellStyle name="Style 25 4 10" xfId="18297" xr:uid="{00000000-0005-0000-0000-000011A50000}"/>
    <cellStyle name="Style 25 4 2" xfId="7004" xr:uid="{00000000-0005-0000-0000-000012A50000}"/>
    <cellStyle name="Style 25 4 2 2" xfId="20339" xr:uid="{00000000-0005-0000-0000-000013A50000}"/>
    <cellStyle name="Style 25 4 2 3" xfId="14989" xr:uid="{00000000-0005-0000-0000-000014A50000}"/>
    <cellStyle name="Style 25 4 2 4" xfId="24144" xr:uid="{00000000-0005-0000-0000-000015A50000}"/>
    <cellStyle name="Style 25 4 2 5" xfId="25692" xr:uid="{00000000-0005-0000-0000-000016A50000}"/>
    <cellStyle name="Style 25 4 2 6" xfId="29905" xr:uid="{00000000-0005-0000-0000-000017A50000}"/>
    <cellStyle name="Style 25 4 2 7" xfId="34120" xr:uid="{00000000-0005-0000-0000-000018A50000}"/>
    <cellStyle name="Style 25 4 2 8" xfId="38324" xr:uid="{00000000-0005-0000-0000-000019A50000}"/>
    <cellStyle name="Style 25 4 3" xfId="11238" xr:uid="{00000000-0005-0000-0000-00001AA50000}"/>
    <cellStyle name="Style 25 4 3 2" xfId="20426" xr:uid="{00000000-0005-0000-0000-00001BA50000}"/>
    <cellStyle name="Style 25 4 4" xfId="11829" xr:uid="{00000000-0005-0000-0000-00001CA50000}"/>
    <cellStyle name="Style 25 4 4 2" xfId="21665" xr:uid="{00000000-0005-0000-0000-00001DA50000}"/>
    <cellStyle name="Style 25 4 5" xfId="16246" xr:uid="{00000000-0005-0000-0000-00001EA50000}"/>
    <cellStyle name="Style 25 4 5 2" xfId="21797" xr:uid="{00000000-0005-0000-0000-00001FA50000}"/>
    <cellStyle name="Style 25 4 6" xfId="17055" xr:uid="{00000000-0005-0000-0000-000020A50000}"/>
    <cellStyle name="Style 25 4 6 2" xfId="22706" xr:uid="{00000000-0005-0000-0000-000021A50000}"/>
    <cellStyle name="Style 25 4 7" xfId="17775" xr:uid="{00000000-0005-0000-0000-000022A50000}"/>
    <cellStyle name="Style 25 4 7 2" xfId="23420" xr:uid="{00000000-0005-0000-0000-000023A50000}"/>
    <cellStyle name="Style 25 4 8" xfId="13979" xr:uid="{00000000-0005-0000-0000-000024A50000}"/>
    <cellStyle name="Style 25 4 8 2" xfId="18953" xr:uid="{00000000-0005-0000-0000-000025A50000}"/>
    <cellStyle name="Style 25 4 9" xfId="13308" xr:uid="{00000000-0005-0000-0000-000026A50000}"/>
    <cellStyle name="Style 25 5" xfId="5517" xr:uid="{00000000-0005-0000-0000-000027A50000}"/>
    <cellStyle name="Style 25 5 2" xfId="7194" xr:uid="{00000000-0005-0000-0000-000028A50000}"/>
    <cellStyle name="Style 25 5 2 2" xfId="11842" xr:uid="{00000000-0005-0000-0000-000029A50000}"/>
    <cellStyle name="Style 25 5 2 2 2" xfId="46198" xr:uid="{00000000-0005-0000-0000-00002AA50000}"/>
    <cellStyle name="Style 25 5 2 3" xfId="11278" xr:uid="{00000000-0005-0000-0000-00002BA50000}"/>
    <cellStyle name="Style 25 5 2 3 2" xfId="45775" xr:uid="{00000000-0005-0000-0000-00002CA50000}"/>
    <cellStyle name="Style 25 5 2 4" xfId="44932" xr:uid="{00000000-0005-0000-0000-00002DA50000}"/>
    <cellStyle name="Style 25 5 3" xfId="11352" xr:uid="{00000000-0005-0000-0000-00002EA50000}"/>
    <cellStyle name="Style 25 5 3 2" xfId="24428" xr:uid="{00000000-0005-0000-0000-00002FA50000}"/>
    <cellStyle name="Style 25 5 3 3" xfId="28139" xr:uid="{00000000-0005-0000-0000-000030A50000}"/>
    <cellStyle name="Style 25 5 3 4" xfId="32352" xr:uid="{00000000-0005-0000-0000-000031A50000}"/>
    <cellStyle name="Style 25 5 3 5" xfId="36567" xr:uid="{00000000-0005-0000-0000-000032A50000}"/>
    <cellStyle name="Style 25 5 3 6" xfId="40771" xr:uid="{00000000-0005-0000-0000-000033A50000}"/>
    <cellStyle name="Style 25 5 4" xfId="23757" xr:uid="{00000000-0005-0000-0000-000034A50000}"/>
    <cellStyle name="Style 25 5 5" xfId="25005" xr:uid="{00000000-0005-0000-0000-000035A50000}"/>
    <cellStyle name="Style 25 5 6" xfId="29217" xr:uid="{00000000-0005-0000-0000-000036A50000}"/>
    <cellStyle name="Style 25 5 7" xfId="33433" xr:uid="{00000000-0005-0000-0000-000037A50000}"/>
    <cellStyle name="Style 25 5 8" xfId="37637" xr:uid="{00000000-0005-0000-0000-000038A50000}"/>
    <cellStyle name="Style 25 6" xfId="6502" xr:uid="{00000000-0005-0000-0000-000039A50000}"/>
    <cellStyle name="Style 25 6 2" xfId="20360" xr:uid="{00000000-0005-0000-0000-00003AA50000}"/>
    <cellStyle name="Style 25 6 3" xfId="14999" xr:uid="{00000000-0005-0000-0000-00003BA50000}"/>
    <cellStyle name="Style 25 7" xfId="10195" xr:uid="{00000000-0005-0000-0000-00003CA50000}"/>
    <cellStyle name="Style 25 7 2" xfId="21539" xr:uid="{00000000-0005-0000-0000-00003DA50000}"/>
    <cellStyle name="Style 25 8" xfId="11084" xr:uid="{00000000-0005-0000-0000-00003EA50000}"/>
    <cellStyle name="Style 25 8 2" xfId="20765" xr:uid="{00000000-0005-0000-0000-00003FA50000}"/>
    <cellStyle name="Style 25 9" xfId="10284" xr:uid="{00000000-0005-0000-0000-000040A50000}"/>
    <cellStyle name="Style 25 9 2" xfId="20703" xr:uid="{00000000-0005-0000-0000-000041A50000}"/>
    <cellStyle name="Style 26" xfId="2881" xr:uid="{00000000-0005-0000-0000-000042A50000}"/>
    <cellStyle name="Style 26 2" xfId="5724" xr:uid="{00000000-0005-0000-0000-000043A50000}"/>
    <cellStyle name="Style 26 2 2" xfId="6507" xr:uid="{00000000-0005-0000-0000-000044A50000}"/>
    <cellStyle name="Style 26 3" xfId="5519" xr:uid="{00000000-0005-0000-0000-000045A50000}"/>
    <cellStyle name="Style 26 3 2" xfId="25007" xr:uid="{00000000-0005-0000-0000-000046A50000}"/>
    <cellStyle name="Style 26 3 3" xfId="29219" xr:uid="{00000000-0005-0000-0000-000047A50000}"/>
    <cellStyle name="Style 26 3 4" xfId="33435" xr:uid="{00000000-0005-0000-0000-000048A50000}"/>
    <cellStyle name="Style 26 3 5" xfId="37639" xr:uid="{00000000-0005-0000-0000-000049A50000}"/>
    <cellStyle name="Style 26 4" xfId="7196" xr:uid="{00000000-0005-0000-0000-00004AA50000}"/>
    <cellStyle name="Style 26 5" xfId="6506" xr:uid="{00000000-0005-0000-0000-00004BA50000}"/>
    <cellStyle name="Sub heading - 1" xfId="4495" xr:uid="{00000000-0005-0000-0000-00004CA50000}"/>
    <cellStyle name="Számítás" xfId="3144" xr:uid="{00000000-0005-0000-0000-00004DA50000}"/>
    <cellStyle name="Számítás 10" xfId="12901" xr:uid="{00000000-0005-0000-0000-00004EA50000}"/>
    <cellStyle name="Számítás 2" xfId="14003" xr:uid="{00000000-0005-0000-0000-00004FA50000}"/>
    <cellStyle name="Számítás 2 2" xfId="18989" xr:uid="{00000000-0005-0000-0000-000050A50000}"/>
    <cellStyle name="Számítás 2 3" xfId="24321" xr:uid="{00000000-0005-0000-0000-000051A50000}"/>
    <cellStyle name="Számítás 2 4" xfId="23508" xr:uid="{00000000-0005-0000-0000-000052A50000}"/>
    <cellStyle name="Számítás 3" xfId="15049" xr:uid="{00000000-0005-0000-0000-000053A50000}"/>
    <cellStyle name="Számítás 3 2" xfId="20417" xr:uid="{00000000-0005-0000-0000-000054A50000}"/>
    <cellStyle name="Számítás 4" xfId="16040" xr:uid="{00000000-0005-0000-0000-000055A50000}"/>
    <cellStyle name="Számítás 4 2" xfId="21541" xr:uid="{00000000-0005-0000-0000-000056A50000}"/>
    <cellStyle name="Számítás 5" xfId="15318" xr:uid="{00000000-0005-0000-0000-000057A50000}"/>
    <cellStyle name="Számítás 5 2" xfId="20749" xr:uid="{00000000-0005-0000-0000-000058A50000}"/>
    <cellStyle name="Számítás 6" xfId="16357" xr:uid="{00000000-0005-0000-0000-000059A50000}"/>
    <cellStyle name="Számítás 6 2" xfId="21940" xr:uid="{00000000-0005-0000-0000-00005AA50000}"/>
    <cellStyle name="Számítás 7" xfId="17083" xr:uid="{00000000-0005-0000-0000-00005BA50000}"/>
    <cellStyle name="Számítás 7 2" xfId="22729" xr:uid="{00000000-0005-0000-0000-00005CA50000}"/>
    <cellStyle name="Számítás 8" xfId="13342" xr:uid="{00000000-0005-0000-0000-00005DA50000}"/>
    <cellStyle name="Számítás 8 2" xfId="18321" xr:uid="{00000000-0005-0000-0000-00005EA50000}"/>
    <cellStyle name="Számítás 9" xfId="12351" xr:uid="{00000000-0005-0000-0000-00005FA50000}"/>
    <cellStyle name="Table" xfId="3145" xr:uid="{00000000-0005-0000-0000-000060A50000}"/>
    <cellStyle name="tableau | cellule | normal | decimal 1" xfId="4346" xr:uid="{00000000-0005-0000-0000-000061A50000}"/>
    <cellStyle name="tableau | cellule | normal | decimal 1 10" xfId="17976" xr:uid="{00000000-0005-0000-0000-000062A50000}"/>
    <cellStyle name="tableau | cellule | normal | decimal 1 2" xfId="14681" xr:uid="{00000000-0005-0000-0000-000063A50000}"/>
    <cellStyle name="tableau | cellule | normal | decimal 1 2 2" xfId="19993" xr:uid="{00000000-0005-0000-0000-000064A50000}"/>
    <cellStyle name="tableau | cellule | normal | decimal 1 2 3" xfId="24491" xr:uid="{00000000-0005-0000-0000-000065A50000}"/>
    <cellStyle name="tableau | cellule | normal | decimal 1 2 4" xfId="23820" xr:uid="{00000000-0005-0000-0000-000066A50000}"/>
    <cellStyle name="tableau | cellule | normal | decimal 1 2 5" xfId="44394" xr:uid="{00000000-0005-0000-0000-000067A50000}"/>
    <cellStyle name="tableau | cellule | normal | decimal 1 3" xfId="14405" xr:uid="{00000000-0005-0000-0000-000068A50000}"/>
    <cellStyle name="tableau | cellule | normal | decimal 1 3 2" xfId="19543" xr:uid="{00000000-0005-0000-0000-000069A50000}"/>
    <cellStyle name="tableau | cellule | normal | decimal 1 4" xfId="15297" xr:uid="{00000000-0005-0000-0000-00006AA50000}"/>
    <cellStyle name="tableau | cellule | normal | decimal 1 4 2" xfId="20685" xr:uid="{00000000-0005-0000-0000-00006BA50000}"/>
    <cellStyle name="tableau | cellule | normal | decimal 1 5" xfId="16376" xr:uid="{00000000-0005-0000-0000-00006CA50000}"/>
    <cellStyle name="tableau | cellule | normal | decimal 1 5 2" xfId="22017" xr:uid="{00000000-0005-0000-0000-00006DA50000}"/>
    <cellStyle name="tableau | cellule | normal | decimal 1 6" xfId="16734" xr:uid="{00000000-0005-0000-0000-00006EA50000}"/>
    <cellStyle name="tableau | cellule | normal | decimal 1 6 2" xfId="22385" xr:uid="{00000000-0005-0000-0000-00006FA50000}"/>
    <cellStyle name="tableau | cellule | normal | decimal 1 7" xfId="17451" xr:uid="{00000000-0005-0000-0000-000070A50000}"/>
    <cellStyle name="tableau | cellule | normal | decimal 1 7 2" xfId="23099" xr:uid="{00000000-0005-0000-0000-000071A50000}"/>
    <cellStyle name="tableau | cellule | normal | decimal 1 8" xfId="13655" xr:uid="{00000000-0005-0000-0000-000072A50000}"/>
    <cellStyle name="tableau | cellule | normal | decimal 1 8 2" xfId="18632" xr:uid="{00000000-0005-0000-0000-000073A50000}"/>
    <cellStyle name="tableau | cellule | normal | decimal 1 9" xfId="12982" xr:uid="{00000000-0005-0000-0000-000074A50000}"/>
    <cellStyle name="tableau | cellule | normal | pourcentage | decimal 1" xfId="4347" xr:uid="{00000000-0005-0000-0000-000075A50000}"/>
    <cellStyle name="tableau | cellule | normal | pourcentage | decimal 1 10" xfId="17977" xr:uid="{00000000-0005-0000-0000-000076A50000}"/>
    <cellStyle name="tableau | cellule | normal | pourcentage | decimal 1 2" xfId="14682" xr:uid="{00000000-0005-0000-0000-000077A50000}"/>
    <cellStyle name="tableau | cellule | normal | pourcentage | decimal 1 2 2" xfId="19994" xr:uid="{00000000-0005-0000-0000-000078A50000}"/>
    <cellStyle name="tableau | cellule | normal | pourcentage | decimal 1 2 3" xfId="24492" xr:uid="{00000000-0005-0000-0000-000079A50000}"/>
    <cellStyle name="tableau | cellule | normal | pourcentage | decimal 1 2 4" xfId="23821" xr:uid="{00000000-0005-0000-0000-00007AA50000}"/>
    <cellStyle name="tableau | cellule | normal | pourcentage | decimal 1 2 5" xfId="44395" xr:uid="{00000000-0005-0000-0000-00007BA50000}"/>
    <cellStyle name="tableau | cellule | normal | pourcentage | decimal 1 3" xfId="14406" xr:uid="{00000000-0005-0000-0000-00007CA50000}"/>
    <cellStyle name="tableau | cellule | normal | pourcentage | decimal 1 3 2" xfId="19544" xr:uid="{00000000-0005-0000-0000-00007DA50000}"/>
    <cellStyle name="tableau | cellule | normal | pourcentage | decimal 1 4" xfId="15296" xr:uid="{00000000-0005-0000-0000-00007EA50000}"/>
    <cellStyle name="tableau | cellule | normal | pourcentage | decimal 1 4 2" xfId="20684" xr:uid="{00000000-0005-0000-0000-00007FA50000}"/>
    <cellStyle name="tableau | cellule | normal | pourcentage | decimal 1 5" xfId="16377" xr:uid="{00000000-0005-0000-0000-000080A50000}"/>
    <cellStyle name="tableau | cellule | normal | pourcentage | decimal 1 5 2" xfId="22018" xr:uid="{00000000-0005-0000-0000-000081A50000}"/>
    <cellStyle name="tableau | cellule | normal | pourcentage | decimal 1 6" xfId="16735" xr:uid="{00000000-0005-0000-0000-000082A50000}"/>
    <cellStyle name="tableau | cellule | normal | pourcentage | decimal 1 6 2" xfId="22386" xr:uid="{00000000-0005-0000-0000-000083A50000}"/>
    <cellStyle name="tableau | cellule | normal | pourcentage | decimal 1 7" xfId="17452" xr:uid="{00000000-0005-0000-0000-000084A50000}"/>
    <cellStyle name="tableau | cellule | normal | pourcentage | decimal 1 7 2" xfId="23100" xr:uid="{00000000-0005-0000-0000-000085A50000}"/>
    <cellStyle name="tableau | cellule | normal | pourcentage | decimal 1 8" xfId="13656" xr:uid="{00000000-0005-0000-0000-000086A50000}"/>
    <cellStyle name="tableau | cellule | normal | pourcentage | decimal 1 8 2" xfId="18633" xr:uid="{00000000-0005-0000-0000-000087A50000}"/>
    <cellStyle name="tableau | cellule | normal | pourcentage | decimal 1 9" xfId="12983" xr:uid="{00000000-0005-0000-0000-000088A50000}"/>
    <cellStyle name="tableau | cellule | total | decimal 1" xfId="4348" xr:uid="{00000000-0005-0000-0000-000089A50000}"/>
    <cellStyle name="tableau | cellule | total | decimal 1 10" xfId="17978" xr:uid="{00000000-0005-0000-0000-00008AA50000}"/>
    <cellStyle name="tableau | cellule | total | decimal 1 2" xfId="14683" xr:uid="{00000000-0005-0000-0000-00008BA50000}"/>
    <cellStyle name="tableau | cellule | total | decimal 1 2 2" xfId="19995" xr:uid="{00000000-0005-0000-0000-00008CA50000}"/>
    <cellStyle name="tableau | cellule | total | decimal 1 2 3" xfId="24493" xr:uid="{00000000-0005-0000-0000-00008DA50000}"/>
    <cellStyle name="tableau | cellule | total | decimal 1 2 4" xfId="23822" xr:uid="{00000000-0005-0000-0000-00008EA50000}"/>
    <cellStyle name="tableau | cellule | total | decimal 1 2 5" xfId="44396" xr:uid="{00000000-0005-0000-0000-00008FA50000}"/>
    <cellStyle name="tableau | cellule | total | decimal 1 3" xfId="14407" xr:uid="{00000000-0005-0000-0000-000090A50000}"/>
    <cellStyle name="tableau | cellule | total | decimal 1 3 2" xfId="19545" xr:uid="{00000000-0005-0000-0000-000091A50000}"/>
    <cellStyle name="tableau | cellule | total | decimal 1 4" xfId="15295" xr:uid="{00000000-0005-0000-0000-000092A50000}"/>
    <cellStyle name="tableau | cellule | total | decimal 1 4 2" xfId="20683" xr:uid="{00000000-0005-0000-0000-000093A50000}"/>
    <cellStyle name="tableau | cellule | total | decimal 1 5" xfId="16378" xr:uid="{00000000-0005-0000-0000-000094A50000}"/>
    <cellStyle name="tableau | cellule | total | decimal 1 5 2" xfId="22019" xr:uid="{00000000-0005-0000-0000-000095A50000}"/>
    <cellStyle name="tableau | cellule | total | decimal 1 6" xfId="16736" xr:uid="{00000000-0005-0000-0000-000096A50000}"/>
    <cellStyle name="tableau | cellule | total | decimal 1 6 2" xfId="22387" xr:uid="{00000000-0005-0000-0000-000097A50000}"/>
    <cellStyle name="tableau | cellule | total | decimal 1 7" xfId="17453" xr:uid="{00000000-0005-0000-0000-000098A50000}"/>
    <cellStyle name="tableau | cellule | total | decimal 1 7 2" xfId="23101" xr:uid="{00000000-0005-0000-0000-000099A50000}"/>
    <cellStyle name="tableau | cellule | total | decimal 1 8" xfId="13657" xr:uid="{00000000-0005-0000-0000-00009AA50000}"/>
    <cellStyle name="tableau | cellule | total | decimal 1 8 2" xfId="18634" xr:uid="{00000000-0005-0000-0000-00009BA50000}"/>
    <cellStyle name="tableau | cellule | total | decimal 1 9" xfId="12984" xr:uid="{00000000-0005-0000-0000-00009CA50000}"/>
    <cellStyle name="tableau | coin superieur gauche" xfId="4349" xr:uid="{00000000-0005-0000-0000-00009DA50000}"/>
    <cellStyle name="tableau | coin superieur gauche 10" xfId="17979" xr:uid="{00000000-0005-0000-0000-00009EA50000}"/>
    <cellStyle name="tableau | coin superieur gauche 11" xfId="23469" xr:uid="{00000000-0005-0000-0000-00009FA50000}"/>
    <cellStyle name="tableau | coin superieur gauche 2" xfId="11079" xr:uid="{00000000-0005-0000-0000-0000A0A50000}"/>
    <cellStyle name="tableau | coin superieur gauche 2 2" xfId="19996" xr:uid="{00000000-0005-0000-0000-0000A1A50000}"/>
    <cellStyle name="tableau | coin superieur gauche 2 2 2" xfId="24335" xr:uid="{00000000-0005-0000-0000-0000A2A50000}"/>
    <cellStyle name="tableau | coin superieur gauche 2 3" xfId="24494" xr:uid="{00000000-0005-0000-0000-0000A3A50000}"/>
    <cellStyle name="tableau | coin superieur gauche 2 4" xfId="23823" xr:uid="{00000000-0005-0000-0000-0000A4A50000}"/>
    <cellStyle name="tableau | coin superieur gauche 3" xfId="15015" xr:uid="{00000000-0005-0000-0000-0000A5A50000}"/>
    <cellStyle name="tableau | coin superieur gauche 3 2" xfId="20376" xr:uid="{00000000-0005-0000-0000-0000A6A50000}"/>
    <cellStyle name="tableau | coin superieur gauche 3 3" xfId="44397" xr:uid="{00000000-0005-0000-0000-0000A7A50000}"/>
    <cellStyle name="tableau | coin superieur gauche 4" xfId="15294" xr:uid="{00000000-0005-0000-0000-0000A8A50000}"/>
    <cellStyle name="tableau | coin superieur gauche 4 2" xfId="20682" xr:uid="{00000000-0005-0000-0000-0000A9A50000}"/>
    <cellStyle name="tableau | coin superieur gauche 5" xfId="16379" xr:uid="{00000000-0005-0000-0000-0000AAA50000}"/>
    <cellStyle name="tableau | coin superieur gauche 5 2" xfId="22020" xr:uid="{00000000-0005-0000-0000-0000ABA50000}"/>
    <cellStyle name="tableau | coin superieur gauche 6" xfId="16737" xr:uid="{00000000-0005-0000-0000-0000ACA50000}"/>
    <cellStyle name="tableau | coin superieur gauche 6 2" xfId="22388" xr:uid="{00000000-0005-0000-0000-0000ADA50000}"/>
    <cellStyle name="tableau | coin superieur gauche 7" xfId="17454" xr:uid="{00000000-0005-0000-0000-0000AEA50000}"/>
    <cellStyle name="tableau | coin superieur gauche 7 2" xfId="23102" xr:uid="{00000000-0005-0000-0000-0000AFA50000}"/>
    <cellStyle name="tableau | coin superieur gauche 8" xfId="13658" xr:uid="{00000000-0005-0000-0000-0000B0A50000}"/>
    <cellStyle name="tableau | coin superieur gauche 8 2" xfId="18635" xr:uid="{00000000-0005-0000-0000-0000B1A50000}"/>
    <cellStyle name="tableau | coin superieur gauche 9" xfId="12985" xr:uid="{00000000-0005-0000-0000-0000B2A50000}"/>
    <cellStyle name="tableau | entete-colonne | series" xfId="4350" xr:uid="{00000000-0005-0000-0000-0000B3A50000}"/>
    <cellStyle name="tableau | entete-colonne | series 10" xfId="17980" xr:uid="{00000000-0005-0000-0000-0000B4A50000}"/>
    <cellStyle name="tableau | entete-colonne | series 2" xfId="11078" xr:uid="{00000000-0005-0000-0000-0000B5A50000}"/>
    <cellStyle name="tableau | entete-colonne | series 2 2" xfId="19997" xr:uid="{00000000-0005-0000-0000-0000B6A50000}"/>
    <cellStyle name="tableau | entete-colonne | series 2 3" xfId="24495" xr:uid="{00000000-0005-0000-0000-0000B7A50000}"/>
    <cellStyle name="tableau | entete-colonne | series 2 4" xfId="23824" xr:uid="{00000000-0005-0000-0000-0000B8A50000}"/>
    <cellStyle name="tableau | entete-colonne | series 3" xfId="15016" xr:uid="{00000000-0005-0000-0000-0000B9A50000}"/>
    <cellStyle name="tableau | entete-colonne | series 3 2" xfId="20377" xr:uid="{00000000-0005-0000-0000-0000BAA50000}"/>
    <cellStyle name="tableau | entete-colonne | series 3 3" xfId="44398" xr:uid="{00000000-0005-0000-0000-0000BBA50000}"/>
    <cellStyle name="tableau | entete-colonne | series 4" xfId="16071" xr:uid="{00000000-0005-0000-0000-0000BCA50000}"/>
    <cellStyle name="tableau | entete-colonne | series 4 2" xfId="21578" xr:uid="{00000000-0005-0000-0000-0000BDA50000}"/>
    <cellStyle name="tableau | entete-colonne | series 5" xfId="15293" xr:uid="{00000000-0005-0000-0000-0000BEA50000}"/>
    <cellStyle name="tableau | entete-colonne | series 5 2" xfId="20681" xr:uid="{00000000-0005-0000-0000-0000BFA50000}"/>
    <cellStyle name="tableau | entete-colonne | series 6" xfId="16738" xr:uid="{00000000-0005-0000-0000-0000C0A50000}"/>
    <cellStyle name="tableau | entete-colonne | series 6 2" xfId="22389" xr:uid="{00000000-0005-0000-0000-0000C1A50000}"/>
    <cellStyle name="tableau | entete-colonne | series 7" xfId="17455" xr:uid="{00000000-0005-0000-0000-0000C2A50000}"/>
    <cellStyle name="tableau | entete-colonne | series 7 2" xfId="23103" xr:uid="{00000000-0005-0000-0000-0000C3A50000}"/>
    <cellStyle name="tableau | entete-colonne | series 8" xfId="13659" xr:uid="{00000000-0005-0000-0000-0000C4A50000}"/>
    <cellStyle name="tableau | entete-colonne | series 8 2" xfId="18636" xr:uid="{00000000-0005-0000-0000-0000C5A50000}"/>
    <cellStyle name="tableau | entete-colonne | series 9" xfId="12986" xr:uid="{00000000-0005-0000-0000-0000C6A50000}"/>
    <cellStyle name="tableau | entete-ligne | normal" xfId="4351" xr:uid="{00000000-0005-0000-0000-0000C7A50000}"/>
    <cellStyle name="tableau | entete-ligne | normal 10" xfId="17981" xr:uid="{00000000-0005-0000-0000-0000C8A50000}"/>
    <cellStyle name="tableau | entete-ligne | normal 2" xfId="11077" xr:uid="{00000000-0005-0000-0000-0000C9A50000}"/>
    <cellStyle name="tableau | entete-ligne | normal 2 2" xfId="19998" xr:uid="{00000000-0005-0000-0000-0000CAA50000}"/>
    <cellStyle name="tableau | entete-ligne | normal 2 3" xfId="24496" xr:uid="{00000000-0005-0000-0000-0000CBA50000}"/>
    <cellStyle name="tableau | entete-ligne | normal 2 4" xfId="23825" xr:uid="{00000000-0005-0000-0000-0000CCA50000}"/>
    <cellStyle name="tableau | entete-ligne | normal 3" xfId="15017" xr:uid="{00000000-0005-0000-0000-0000CDA50000}"/>
    <cellStyle name="tableau | entete-ligne | normal 3 2" xfId="20378" xr:uid="{00000000-0005-0000-0000-0000CEA50000}"/>
    <cellStyle name="tableau | entete-ligne | normal 3 3" xfId="44399" xr:uid="{00000000-0005-0000-0000-0000CFA50000}"/>
    <cellStyle name="tableau | entete-ligne | normal 4" xfId="16072" xr:uid="{00000000-0005-0000-0000-0000D0A50000}"/>
    <cellStyle name="tableau | entete-ligne | normal 4 2" xfId="21579" xr:uid="{00000000-0005-0000-0000-0000D1A50000}"/>
    <cellStyle name="tableau | entete-ligne | normal 5" xfId="15292" xr:uid="{00000000-0005-0000-0000-0000D2A50000}"/>
    <cellStyle name="tableau | entete-ligne | normal 5 2" xfId="20680" xr:uid="{00000000-0005-0000-0000-0000D3A50000}"/>
    <cellStyle name="tableau | entete-ligne | normal 6" xfId="16739" xr:uid="{00000000-0005-0000-0000-0000D4A50000}"/>
    <cellStyle name="tableau | entete-ligne | normal 6 2" xfId="22390" xr:uid="{00000000-0005-0000-0000-0000D5A50000}"/>
    <cellStyle name="tableau | entete-ligne | normal 7" xfId="17456" xr:uid="{00000000-0005-0000-0000-0000D6A50000}"/>
    <cellStyle name="tableau | entete-ligne | normal 7 2" xfId="23104" xr:uid="{00000000-0005-0000-0000-0000D7A50000}"/>
    <cellStyle name="tableau | entete-ligne | normal 8" xfId="13660" xr:uid="{00000000-0005-0000-0000-0000D8A50000}"/>
    <cellStyle name="tableau | entete-ligne | normal 8 2" xfId="18637" xr:uid="{00000000-0005-0000-0000-0000D9A50000}"/>
    <cellStyle name="tableau | entete-ligne | normal 9" xfId="12987" xr:uid="{00000000-0005-0000-0000-0000DAA50000}"/>
    <cellStyle name="tableau | entete-ligne | total" xfId="4352" xr:uid="{00000000-0005-0000-0000-0000DBA50000}"/>
    <cellStyle name="tableau | entete-ligne | total 10" xfId="17982" xr:uid="{00000000-0005-0000-0000-0000DCA50000}"/>
    <cellStyle name="tableau | entete-ligne | total 2" xfId="11076" xr:uid="{00000000-0005-0000-0000-0000DDA50000}"/>
    <cellStyle name="tableau | entete-ligne | total 2 2" xfId="19999" xr:uid="{00000000-0005-0000-0000-0000DEA50000}"/>
    <cellStyle name="tableau | entete-ligne | total 2 3" xfId="24497" xr:uid="{00000000-0005-0000-0000-0000DFA50000}"/>
    <cellStyle name="tableau | entete-ligne | total 2 4" xfId="23826" xr:uid="{00000000-0005-0000-0000-0000E0A50000}"/>
    <cellStyle name="tableau | entete-ligne | total 3" xfId="15018" xr:uid="{00000000-0005-0000-0000-0000E1A50000}"/>
    <cellStyle name="tableau | entete-ligne | total 3 2" xfId="20379" xr:uid="{00000000-0005-0000-0000-0000E2A50000}"/>
    <cellStyle name="tableau | entete-ligne | total 3 3" xfId="44400" xr:uid="{00000000-0005-0000-0000-0000E3A50000}"/>
    <cellStyle name="tableau | entete-ligne | total 4" xfId="16073" xr:uid="{00000000-0005-0000-0000-0000E4A50000}"/>
    <cellStyle name="tableau | entete-ligne | total 4 2" xfId="21580" xr:uid="{00000000-0005-0000-0000-0000E5A50000}"/>
    <cellStyle name="tableau | entete-ligne | total 5" xfId="15291" xr:uid="{00000000-0005-0000-0000-0000E6A50000}"/>
    <cellStyle name="tableau | entete-ligne | total 5 2" xfId="20679" xr:uid="{00000000-0005-0000-0000-0000E7A50000}"/>
    <cellStyle name="tableau | entete-ligne | total 6" xfId="16740" xr:uid="{00000000-0005-0000-0000-0000E8A50000}"/>
    <cellStyle name="tableau | entete-ligne | total 6 2" xfId="22391" xr:uid="{00000000-0005-0000-0000-0000E9A50000}"/>
    <cellStyle name="tableau | entete-ligne | total 7" xfId="17457" xr:uid="{00000000-0005-0000-0000-0000EAA50000}"/>
    <cellStyle name="tableau | entete-ligne | total 7 2" xfId="23105" xr:uid="{00000000-0005-0000-0000-0000EBA50000}"/>
    <cellStyle name="tableau | entete-ligne | total 8" xfId="13661" xr:uid="{00000000-0005-0000-0000-0000ECA50000}"/>
    <cellStyle name="tableau | entete-ligne | total 8 2" xfId="18638" xr:uid="{00000000-0005-0000-0000-0000EDA50000}"/>
    <cellStyle name="tableau | entete-ligne | total 9" xfId="12988" xr:uid="{00000000-0005-0000-0000-0000EEA50000}"/>
    <cellStyle name="tableau | ligne-titre | niveau1" xfId="4353" xr:uid="{00000000-0005-0000-0000-0000EFA50000}"/>
    <cellStyle name="tableau | ligne-titre | niveau1 10" xfId="17983" xr:uid="{00000000-0005-0000-0000-0000F0A50000}"/>
    <cellStyle name="tableau | ligne-titre | niveau1 2" xfId="12151" xr:uid="{00000000-0005-0000-0000-0000F1A50000}"/>
    <cellStyle name="tableau | ligne-titre | niveau1 2 2" xfId="20000" xr:uid="{00000000-0005-0000-0000-0000F2A50000}"/>
    <cellStyle name="tableau | ligne-titre | niveau1 2 3" xfId="24498" xr:uid="{00000000-0005-0000-0000-0000F3A50000}"/>
    <cellStyle name="tableau | ligne-titre | niveau1 2 4" xfId="23827" xr:uid="{00000000-0005-0000-0000-0000F4A50000}"/>
    <cellStyle name="tableau | ligne-titre | niveau1 3" xfId="15019" xr:uid="{00000000-0005-0000-0000-0000F5A50000}"/>
    <cellStyle name="tableau | ligne-titre | niveau1 3 2" xfId="20380" xr:uid="{00000000-0005-0000-0000-0000F6A50000}"/>
    <cellStyle name="tableau | ligne-titre | niveau1 3 3" xfId="44401" xr:uid="{00000000-0005-0000-0000-0000F7A50000}"/>
    <cellStyle name="tableau | ligne-titre | niveau1 4" xfId="16074" xr:uid="{00000000-0005-0000-0000-0000F8A50000}"/>
    <cellStyle name="tableau | ligne-titre | niveau1 4 2" xfId="21581" xr:uid="{00000000-0005-0000-0000-0000F9A50000}"/>
    <cellStyle name="tableau | ligne-titre | niveau1 5" xfId="15290" xr:uid="{00000000-0005-0000-0000-0000FAA50000}"/>
    <cellStyle name="tableau | ligne-titre | niveau1 5 2" xfId="20678" xr:uid="{00000000-0005-0000-0000-0000FBA50000}"/>
    <cellStyle name="tableau | ligne-titre | niveau1 6" xfId="16741" xr:uid="{00000000-0005-0000-0000-0000FCA50000}"/>
    <cellStyle name="tableau | ligne-titre | niveau1 6 2" xfId="22392" xr:uid="{00000000-0005-0000-0000-0000FDA50000}"/>
    <cellStyle name="tableau | ligne-titre | niveau1 7" xfId="17458" xr:uid="{00000000-0005-0000-0000-0000FEA50000}"/>
    <cellStyle name="tableau | ligne-titre | niveau1 7 2" xfId="23106" xr:uid="{00000000-0005-0000-0000-0000FFA50000}"/>
    <cellStyle name="tableau | ligne-titre | niveau1 8" xfId="13662" xr:uid="{00000000-0005-0000-0000-000000A60000}"/>
    <cellStyle name="tableau | ligne-titre | niveau1 8 2" xfId="18639" xr:uid="{00000000-0005-0000-0000-000001A60000}"/>
    <cellStyle name="tableau | ligne-titre | niveau1 9" xfId="12989" xr:uid="{00000000-0005-0000-0000-000002A60000}"/>
    <cellStyle name="tableau | ligne-titre | niveau2" xfId="4354" xr:uid="{00000000-0005-0000-0000-000003A60000}"/>
    <cellStyle name="tableau | ligne-titre | niveau2 10" xfId="17984" xr:uid="{00000000-0005-0000-0000-000004A60000}"/>
    <cellStyle name="tableau | ligne-titre | niveau2 2" xfId="12140" xr:uid="{00000000-0005-0000-0000-000005A60000}"/>
    <cellStyle name="tableau | ligne-titre | niveau2 2 2" xfId="20001" xr:uid="{00000000-0005-0000-0000-000006A60000}"/>
    <cellStyle name="tableau | ligne-titre | niveau2 2 3" xfId="24499" xr:uid="{00000000-0005-0000-0000-000007A60000}"/>
    <cellStyle name="tableau | ligne-titre | niveau2 2 4" xfId="23828" xr:uid="{00000000-0005-0000-0000-000008A60000}"/>
    <cellStyle name="tableau | ligne-titre | niveau2 3" xfId="15020" xr:uid="{00000000-0005-0000-0000-000009A60000}"/>
    <cellStyle name="tableau | ligne-titre | niveau2 3 2" xfId="20381" xr:uid="{00000000-0005-0000-0000-00000AA60000}"/>
    <cellStyle name="tableau | ligne-titre | niveau2 3 3" xfId="44402" xr:uid="{00000000-0005-0000-0000-00000BA60000}"/>
    <cellStyle name="tableau | ligne-titre | niveau2 4" xfId="16075" xr:uid="{00000000-0005-0000-0000-00000CA60000}"/>
    <cellStyle name="tableau | ligne-titre | niveau2 4 2" xfId="21582" xr:uid="{00000000-0005-0000-0000-00000DA60000}"/>
    <cellStyle name="tableau | ligne-titre | niveau2 5" xfId="15289" xr:uid="{00000000-0005-0000-0000-00000EA60000}"/>
    <cellStyle name="tableau | ligne-titre | niveau2 5 2" xfId="20677" xr:uid="{00000000-0005-0000-0000-00000FA60000}"/>
    <cellStyle name="tableau | ligne-titre | niveau2 6" xfId="16742" xr:uid="{00000000-0005-0000-0000-000010A60000}"/>
    <cellStyle name="tableau | ligne-titre | niveau2 6 2" xfId="22393" xr:uid="{00000000-0005-0000-0000-000011A60000}"/>
    <cellStyle name="tableau | ligne-titre | niveau2 7" xfId="17459" xr:uid="{00000000-0005-0000-0000-000012A60000}"/>
    <cellStyle name="tableau | ligne-titre | niveau2 7 2" xfId="23107" xr:uid="{00000000-0005-0000-0000-000013A60000}"/>
    <cellStyle name="tableau | ligne-titre | niveau2 8" xfId="13663" xr:uid="{00000000-0005-0000-0000-000014A60000}"/>
    <cellStyle name="tableau | ligne-titre | niveau2 8 2" xfId="18640" xr:uid="{00000000-0005-0000-0000-000015A60000}"/>
    <cellStyle name="tableau | ligne-titre | niveau2 9" xfId="12990" xr:uid="{00000000-0005-0000-0000-000016A60000}"/>
    <cellStyle name="Tabref" xfId="7072" xr:uid="{00000000-0005-0000-0000-000017A60000}"/>
    <cellStyle name="Testo avviso" xfId="9615" xr:uid="{00000000-0005-0000-0000-000018A60000}"/>
    <cellStyle name="Testo descrittivo" xfId="9616" xr:uid="{00000000-0005-0000-0000-000019A60000}"/>
    <cellStyle name="Texte explicatif" xfId="12333" xr:uid="{00000000-0005-0000-0000-00001AA60000}"/>
    <cellStyle name="Title 10" xfId="4355" xr:uid="{00000000-0005-0000-0000-00001BA60000}"/>
    <cellStyle name="Title 10 2" xfId="5725" xr:uid="{00000000-0005-0000-0000-00001CA60000}"/>
    <cellStyle name="Title 10 2 2" xfId="6509" xr:uid="{00000000-0005-0000-0000-00001DA60000}"/>
    <cellStyle name="Title 10 3" xfId="5520" xr:uid="{00000000-0005-0000-0000-00001EA60000}"/>
    <cellStyle name="Title 10 3 2" xfId="25008" xr:uid="{00000000-0005-0000-0000-00001FA60000}"/>
    <cellStyle name="Title 10 3 3" xfId="29220" xr:uid="{00000000-0005-0000-0000-000020A60000}"/>
    <cellStyle name="Title 10 3 4" xfId="33436" xr:uid="{00000000-0005-0000-0000-000021A60000}"/>
    <cellStyle name="Title 10 3 5" xfId="37640" xr:uid="{00000000-0005-0000-0000-000022A60000}"/>
    <cellStyle name="Title 10 4" xfId="6508" xr:uid="{00000000-0005-0000-0000-000023A60000}"/>
    <cellStyle name="Title 11" xfId="44403" xr:uid="{00000000-0005-0000-0000-000024A60000}"/>
    <cellStyle name="Title 12" xfId="44404" xr:uid="{00000000-0005-0000-0000-000025A60000}"/>
    <cellStyle name="Title 13" xfId="44405" xr:uid="{00000000-0005-0000-0000-000026A60000}"/>
    <cellStyle name="Title 14" xfId="44406" xr:uid="{00000000-0005-0000-0000-000027A60000}"/>
    <cellStyle name="Title 15" xfId="44407" xr:uid="{00000000-0005-0000-0000-000028A60000}"/>
    <cellStyle name="Title 16" xfId="44408" xr:uid="{00000000-0005-0000-0000-000029A60000}"/>
    <cellStyle name="Title 17" xfId="44409" xr:uid="{00000000-0005-0000-0000-00002AA60000}"/>
    <cellStyle name="Title 18" xfId="44410" xr:uid="{00000000-0005-0000-0000-00002BA60000}"/>
    <cellStyle name="Title 19" xfId="44411" xr:uid="{00000000-0005-0000-0000-00002CA60000}"/>
    <cellStyle name="Title 2" xfId="2882" xr:uid="{00000000-0005-0000-0000-00002DA60000}"/>
    <cellStyle name="Title 2 10" xfId="2883" xr:uid="{00000000-0005-0000-0000-00002EA60000}"/>
    <cellStyle name="Title 2 10 2" xfId="5727" xr:uid="{00000000-0005-0000-0000-00002FA60000}"/>
    <cellStyle name="Title 2 10 2 2" xfId="6512" xr:uid="{00000000-0005-0000-0000-000030A60000}"/>
    <cellStyle name="Title 2 10 3" xfId="5522" xr:uid="{00000000-0005-0000-0000-000031A60000}"/>
    <cellStyle name="Title 2 10 3 2" xfId="25010" xr:uid="{00000000-0005-0000-0000-000032A60000}"/>
    <cellStyle name="Title 2 10 3 3" xfId="29222" xr:uid="{00000000-0005-0000-0000-000033A60000}"/>
    <cellStyle name="Title 2 10 3 4" xfId="33438" xr:uid="{00000000-0005-0000-0000-000034A60000}"/>
    <cellStyle name="Title 2 10 3 5" xfId="37642" xr:uid="{00000000-0005-0000-0000-000035A60000}"/>
    <cellStyle name="Title 2 10 4" xfId="8912" xr:uid="{00000000-0005-0000-0000-000036A60000}"/>
    <cellStyle name="Title 2 10 5" xfId="6511" xr:uid="{00000000-0005-0000-0000-000037A60000}"/>
    <cellStyle name="Title 2 11" xfId="2884" xr:uid="{00000000-0005-0000-0000-000038A60000}"/>
    <cellStyle name="Title 2 11 2" xfId="5728" xr:uid="{00000000-0005-0000-0000-000039A60000}"/>
    <cellStyle name="Title 2 11 2 2" xfId="6514" xr:uid="{00000000-0005-0000-0000-00003AA60000}"/>
    <cellStyle name="Title 2 11 3" xfId="5523" xr:uid="{00000000-0005-0000-0000-00003BA60000}"/>
    <cellStyle name="Title 2 11 3 2" xfId="25011" xr:uid="{00000000-0005-0000-0000-00003CA60000}"/>
    <cellStyle name="Title 2 11 3 3" xfId="29223" xr:uid="{00000000-0005-0000-0000-00003DA60000}"/>
    <cellStyle name="Title 2 11 3 4" xfId="33439" xr:uid="{00000000-0005-0000-0000-00003EA60000}"/>
    <cellStyle name="Title 2 11 3 5" xfId="37643" xr:uid="{00000000-0005-0000-0000-00003FA60000}"/>
    <cellStyle name="Title 2 11 4" xfId="6513" xr:uid="{00000000-0005-0000-0000-000040A60000}"/>
    <cellStyle name="Title 2 12" xfId="5726" xr:uid="{00000000-0005-0000-0000-000041A60000}"/>
    <cellStyle name="Title 2 12 2" xfId="6515" xr:uid="{00000000-0005-0000-0000-000042A60000}"/>
    <cellStyle name="Title 2 13" xfId="5521" xr:uid="{00000000-0005-0000-0000-000043A60000}"/>
    <cellStyle name="Title 2 13 2" xfId="25009" xr:uid="{00000000-0005-0000-0000-000044A60000}"/>
    <cellStyle name="Title 2 13 3" xfId="29221" xr:uid="{00000000-0005-0000-0000-000045A60000}"/>
    <cellStyle name="Title 2 13 4" xfId="33437" xr:uid="{00000000-0005-0000-0000-000046A60000}"/>
    <cellStyle name="Title 2 13 5" xfId="37641" xr:uid="{00000000-0005-0000-0000-000047A60000}"/>
    <cellStyle name="Title 2 14" xfId="7197" xr:uid="{00000000-0005-0000-0000-000048A60000}"/>
    <cellStyle name="Title 2 15" xfId="6510" xr:uid="{00000000-0005-0000-0000-000049A60000}"/>
    <cellStyle name="Title 2 2" xfId="2885" xr:uid="{00000000-0005-0000-0000-00004AA60000}"/>
    <cellStyle name="Title 2 2 2" xfId="5729" xr:uid="{00000000-0005-0000-0000-00004BA60000}"/>
    <cellStyle name="Title 2 2 2 2" xfId="6517" xr:uid="{00000000-0005-0000-0000-00004CA60000}"/>
    <cellStyle name="Title 2 2 3" xfId="5524" xr:uid="{00000000-0005-0000-0000-00004DA60000}"/>
    <cellStyle name="Title 2 2 3 2" xfId="25012" xr:uid="{00000000-0005-0000-0000-00004EA60000}"/>
    <cellStyle name="Title 2 2 3 3" xfId="29224" xr:uid="{00000000-0005-0000-0000-00004FA60000}"/>
    <cellStyle name="Title 2 2 3 4" xfId="33440" xr:uid="{00000000-0005-0000-0000-000050A60000}"/>
    <cellStyle name="Title 2 2 3 5" xfId="37644" xr:uid="{00000000-0005-0000-0000-000051A60000}"/>
    <cellStyle name="Title 2 2 4" xfId="8913" xr:uid="{00000000-0005-0000-0000-000052A60000}"/>
    <cellStyle name="Title 2 2 5" xfId="6516" xr:uid="{00000000-0005-0000-0000-000053A60000}"/>
    <cellStyle name="Title 2 3" xfId="2886" xr:uid="{00000000-0005-0000-0000-000054A60000}"/>
    <cellStyle name="Title 2 3 2" xfId="5730" xr:uid="{00000000-0005-0000-0000-000055A60000}"/>
    <cellStyle name="Title 2 3 2 2" xfId="6519" xr:uid="{00000000-0005-0000-0000-000056A60000}"/>
    <cellStyle name="Title 2 3 3" xfId="5525" xr:uid="{00000000-0005-0000-0000-000057A60000}"/>
    <cellStyle name="Title 2 3 3 2" xfId="25013" xr:uid="{00000000-0005-0000-0000-000058A60000}"/>
    <cellStyle name="Title 2 3 3 3" xfId="29225" xr:uid="{00000000-0005-0000-0000-000059A60000}"/>
    <cellStyle name="Title 2 3 3 4" xfId="33441" xr:uid="{00000000-0005-0000-0000-00005AA60000}"/>
    <cellStyle name="Title 2 3 3 5" xfId="37645" xr:uid="{00000000-0005-0000-0000-00005BA60000}"/>
    <cellStyle name="Title 2 3 4" xfId="8914" xr:uid="{00000000-0005-0000-0000-00005CA60000}"/>
    <cellStyle name="Title 2 3 5" xfId="6518" xr:uid="{00000000-0005-0000-0000-00005DA60000}"/>
    <cellStyle name="Title 2 4" xfId="2887" xr:uid="{00000000-0005-0000-0000-00005EA60000}"/>
    <cellStyle name="Title 2 4 2" xfId="5731" xr:uid="{00000000-0005-0000-0000-00005FA60000}"/>
    <cellStyle name="Title 2 4 2 2" xfId="6521" xr:uid="{00000000-0005-0000-0000-000060A60000}"/>
    <cellStyle name="Title 2 4 3" xfId="5526" xr:uid="{00000000-0005-0000-0000-000061A60000}"/>
    <cellStyle name="Title 2 4 3 2" xfId="25014" xr:uid="{00000000-0005-0000-0000-000062A60000}"/>
    <cellStyle name="Title 2 4 3 3" xfId="29226" xr:uid="{00000000-0005-0000-0000-000063A60000}"/>
    <cellStyle name="Title 2 4 3 4" xfId="33442" xr:uid="{00000000-0005-0000-0000-000064A60000}"/>
    <cellStyle name="Title 2 4 3 5" xfId="37646" xr:uid="{00000000-0005-0000-0000-000065A60000}"/>
    <cellStyle name="Title 2 4 4" xfId="8915" xr:uid="{00000000-0005-0000-0000-000066A60000}"/>
    <cellStyle name="Title 2 4 5" xfId="6520" xr:uid="{00000000-0005-0000-0000-000067A60000}"/>
    <cellStyle name="Title 2 5" xfId="2888" xr:uid="{00000000-0005-0000-0000-000068A60000}"/>
    <cellStyle name="Title 2 5 2" xfId="5732" xr:uid="{00000000-0005-0000-0000-000069A60000}"/>
    <cellStyle name="Title 2 5 2 2" xfId="6523" xr:uid="{00000000-0005-0000-0000-00006AA60000}"/>
    <cellStyle name="Title 2 5 3" xfId="5527" xr:uid="{00000000-0005-0000-0000-00006BA60000}"/>
    <cellStyle name="Title 2 5 3 2" xfId="25015" xr:uid="{00000000-0005-0000-0000-00006CA60000}"/>
    <cellStyle name="Title 2 5 3 3" xfId="29227" xr:uid="{00000000-0005-0000-0000-00006DA60000}"/>
    <cellStyle name="Title 2 5 3 4" xfId="33443" xr:uid="{00000000-0005-0000-0000-00006EA60000}"/>
    <cellStyle name="Title 2 5 3 5" xfId="37647" xr:uid="{00000000-0005-0000-0000-00006FA60000}"/>
    <cellStyle name="Title 2 5 4" xfId="8916" xr:uid="{00000000-0005-0000-0000-000070A60000}"/>
    <cellStyle name="Title 2 5 5" xfId="6522" xr:uid="{00000000-0005-0000-0000-000071A60000}"/>
    <cellStyle name="Title 2 6" xfId="2889" xr:uid="{00000000-0005-0000-0000-000072A60000}"/>
    <cellStyle name="Title 2 6 2" xfId="5733" xr:uid="{00000000-0005-0000-0000-000073A60000}"/>
    <cellStyle name="Title 2 6 2 2" xfId="6525" xr:uid="{00000000-0005-0000-0000-000074A60000}"/>
    <cellStyle name="Title 2 6 3" xfId="5528" xr:uid="{00000000-0005-0000-0000-000075A60000}"/>
    <cellStyle name="Title 2 6 3 2" xfId="25016" xr:uid="{00000000-0005-0000-0000-000076A60000}"/>
    <cellStyle name="Title 2 6 3 3" xfId="29228" xr:uid="{00000000-0005-0000-0000-000077A60000}"/>
    <cellStyle name="Title 2 6 3 4" xfId="33444" xr:uid="{00000000-0005-0000-0000-000078A60000}"/>
    <cellStyle name="Title 2 6 3 5" xfId="37648" xr:uid="{00000000-0005-0000-0000-000079A60000}"/>
    <cellStyle name="Title 2 6 4" xfId="8917" xr:uid="{00000000-0005-0000-0000-00007AA60000}"/>
    <cellStyle name="Title 2 6 5" xfId="6524" xr:uid="{00000000-0005-0000-0000-00007BA60000}"/>
    <cellStyle name="Title 2 7" xfId="2890" xr:uid="{00000000-0005-0000-0000-00007CA60000}"/>
    <cellStyle name="Title 2 7 2" xfId="5734" xr:uid="{00000000-0005-0000-0000-00007DA60000}"/>
    <cellStyle name="Title 2 7 2 2" xfId="6527" xr:uid="{00000000-0005-0000-0000-00007EA60000}"/>
    <cellStyle name="Title 2 7 3" xfId="5529" xr:uid="{00000000-0005-0000-0000-00007FA60000}"/>
    <cellStyle name="Title 2 7 3 2" xfId="25017" xr:uid="{00000000-0005-0000-0000-000080A60000}"/>
    <cellStyle name="Title 2 7 3 3" xfId="29229" xr:uid="{00000000-0005-0000-0000-000081A60000}"/>
    <cellStyle name="Title 2 7 3 4" xfId="33445" xr:uid="{00000000-0005-0000-0000-000082A60000}"/>
    <cellStyle name="Title 2 7 3 5" xfId="37649" xr:uid="{00000000-0005-0000-0000-000083A60000}"/>
    <cellStyle name="Title 2 7 4" xfId="8918" xr:uid="{00000000-0005-0000-0000-000084A60000}"/>
    <cellStyle name="Title 2 7 5" xfId="6526" xr:uid="{00000000-0005-0000-0000-000085A60000}"/>
    <cellStyle name="Title 2 8" xfId="2891" xr:uid="{00000000-0005-0000-0000-000086A60000}"/>
    <cellStyle name="Title 2 8 2" xfId="5735" xr:uid="{00000000-0005-0000-0000-000087A60000}"/>
    <cellStyle name="Title 2 8 2 2" xfId="6529" xr:uid="{00000000-0005-0000-0000-000088A60000}"/>
    <cellStyle name="Title 2 8 3" xfId="5530" xr:uid="{00000000-0005-0000-0000-000089A60000}"/>
    <cellStyle name="Title 2 8 3 2" xfId="25018" xr:uid="{00000000-0005-0000-0000-00008AA60000}"/>
    <cellStyle name="Title 2 8 3 3" xfId="29230" xr:uid="{00000000-0005-0000-0000-00008BA60000}"/>
    <cellStyle name="Title 2 8 3 4" xfId="33446" xr:uid="{00000000-0005-0000-0000-00008CA60000}"/>
    <cellStyle name="Title 2 8 3 5" xfId="37650" xr:uid="{00000000-0005-0000-0000-00008DA60000}"/>
    <cellStyle name="Title 2 8 4" xfId="8919" xr:uid="{00000000-0005-0000-0000-00008EA60000}"/>
    <cellStyle name="Title 2 8 5" xfId="6528" xr:uid="{00000000-0005-0000-0000-00008FA60000}"/>
    <cellStyle name="Title 2 9" xfId="2892" xr:uid="{00000000-0005-0000-0000-000090A60000}"/>
    <cellStyle name="Title 2 9 2" xfId="5736" xr:uid="{00000000-0005-0000-0000-000091A60000}"/>
    <cellStyle name="Title 2 9 2 2" xfId="6531" xr:uid="{00000000-0005-0000-0000-000092A60000}"/>
    <cellStyle name="Title 2 9 3" xfId="5531" xr:uid="{00000000-0005-0000-0000-000093A60000}"/>
    <cellStyle name="Title 2 9 3 2" xfId="25019" xr:uid="{00000000-0005-0000-0000-000094A60000}"/>
    <cellStyle name="Title 2 9 3 3" xfId="29231" xr:uid="{00000000-0005-0000-0000-000095A60000}"/>
    <cellStyle name="Title 2 9 3 4" xfId="33447" xr:uid="{00000000-0005-0000-0000-000096A60000}"/>
    <cellStyle name="Title 2 9 3 5" xfId="37651" xr:uid="{00000000-0005-0000-0000-000097A60000}"/>
    <cellStyle name="Title 2 9 4" xfId="8920" xr:uid="{00000000-0005-0000-0000-000098A60000}"/>
    <cellStyle name="Title 2 9 5" xfId="6530" xr:uid="{00000000-0005-0000-0000-000099A60000}"/>
    <cellStyle name="Title 20" xfId="44412" xr:uid="{00000000-0005-0000-0000-00009AA60000}"/>
    <cellStyle name="Title 21" xfId="44413" xr:uid="{00000000-0005-0000-0000-00009BA60000}"/>
    <cellStyle name="Title 22" xfId="44414" xr:uid="{00000000-0005-0000-0000-00009CA60000}"/>
    <cellStyle name="Title 23" xfId="44415" xr:uid="{00000000-0005-0000-0000-00009DA60000}"/>
    <cellStyle name="Title 24" xfId="44416" xr:uid="{00000000-0005-0000-0000-00009EA60000}"/>
    <cellStyle name="Title 25" xfId="44417" xr:uid="{00000000-0005-0000-0000-00009FA60000}"/>
    <cellStyle name="Title 26" xfId="44418" xr:uid="{00000000-0005-0000-0000-0000A0A60000}"/>
    <cellStyle name="Title 27" xfId="44419" xr:uid="{00000000-0005-0000-0000-0000A1A60000}"/>
    <cellStyle name="Title 28" xfId="44420" xr:uid="{00000000-0005-0000-0000-0000A2A60000}"/>
    <cellStyle name="Title 29" xfId="44421" xr:uid="{00000000-0005-0000-0000-0000A3A60000}"/>
    <cellStyle name="Title 3" xfId="2893" xr:uid="{00000000-0005-0000-0000-0000A4A60000}"/>
    <cellStyle name="Title 3 10" xfId="2894" xr:uid="{00000000-0005-0000-0000-0000A5A60000}"/>
    <cellStyle name="Title 3 10 2" xfId="5738" xr:uid="{00000000-0005-0000-0000-0000A6A60000}"/>
    <cellStyle name="Title 3 10 2 2" xfId="6534" xr:uid="{00000000-0005-0000-0000-0000A7A60000}"/>
    <cellStyle name="Title 3 10 3" xfId="5533" xr:uid="{00000000-0005-0000-0000-0000A8A60000}"/>
    <cellStyle name="Title 3 10 3 2" xfId="25021" xr:uid="{00000000-0005-0000-0000-0000A9A60000}"/>
    <cellStyle name="Title 3 10 3 3" xfId="29233" xr:uid="{00000000-0005-0000-0000-0000AAA60000}"/>
    <cellStyle name="Title 3 10 3 4" xfId="33449" xr:uid="{00000000-0005-0000-0000-0000ABA60000}"/>
    <cellStyle name="Title 3 10 3 5" xfId="37653" xr:uid="{00000000-0005-0000-0000-0000ACA60000}"/>
    <cellStyle name="Title 3 10 4" xfId="6533" xr:uid="{00000000-0005-0000-0000-0000ADA60000}"/>
    <cellStyle name="Title 3 11" xfId="2895" xr:uid="{00000000-0005-0000-0000-0000AEA60000}"/>
    <cellStyle name="Title 3 11 2" xfId="5739" xr:uid="{00000000-0005-0000-0000-0000AFA60000}"/>
    <cellStyle name="Title 3 11 2 2" xfId="6536" xr:uid="{00000000-0005-0000-0000-0000B0A60000}"/>
    <cellStyle name="Title 3 11 3" xfId="5534" xr:uid="{00000000-0005-0000-0000-0000B1A60000}"/>
    <cellStyle name="Title 3 11 3 2" xfId="25022" xr:uid="{00000000-0005-0000-0000-0000B2A60000}"/>
    <cellStyle name="Title 3 11 3 3" xfId="29234" xr:uid="{00000000-0005-0000-0000-0000B3A60000}"/>
    <cellStyle name="Title 3 11 3 4" xfId="33450" xr:uid="{00000000-0005-0000-0000-0000B4A60000}"/>
    <cellStyle name="Title 3 11 3 5" xfId="37654" xr:uid="{00000000-0005-0000-0000-0000B5A60000}"/>
    <cellStyle name="Title 3 11 4" xfId="6535" xr:uid="{00000000-0005-0000-0000-0000B6A60000}"/>
    <cellStyle name="Title 3 12" xfId="5737" xr:uid="{00000000-0005-0000-0000-0000B7A60000}"/>
    <cellStyle name="Title 3 12 2" xfId="6537" xr:uid="{00000000-0005-0000-0000-0000B8A60000}"/>
    <cellStyle name="Title 3 13" xfId="5532" xr:uid="{00000000-0005-0000-0000-0000B9A60000}"/>
    <cellStyle name="Title 3 13 2" xfId="25020" xr:uid="{00000000-0005-0000-0000-0000BAA60000}"/>
    <cellStyle name="Title 3 13 3" xfId="29232" xr:uid="{00000000-0005-0000-0000-0000BBA60000}"/>
    <cellStyle name="Title 3 13 4" xfId="33448" xr:uid="{00000000-0005-0000-0000-0000BCA60000}"/>
    <cellStyle name="Title 3 13 5" xfId="37652" xr:uid="{00000000-0005-0000-0000-0000BDA60000}"/>
    <cellStyle name="Title 3 14" xfId="8921" xr:uid="{00000000-0005-0000-0000-0000BEA60000}"/>
    <cellStyle name="Title 3 15" xfId="6532" xr:uid="{00000000-0005-0000-0000-0000BFA60000}"/>
    <cellStyle name="Title 3 2" xfId="2896" xr:uid="{00000000-0005-0000-0000-0000C0A60000}"/>
    <cellStyle name="Title 3 2 2" xfId="5740" xr:uid="{00000000-0005-0000-0000-0000C1A60000}"/>
    <cellStyle name="Title 3 2 2 2" xfId="6539" xr:uid="{00000000-0005-0000-0000-0000C2A60000}"/>
    <cellStyle name="Title 3 2 3" xfId="5535" xr:uid="{00000000-0005-0000-0000-0000C3A60000}"/>
    <cellStyle name="Title 3 2 3 2" xfId="25023" xr:uid="{00000000-0005-0000-0000-0000C4A60000}"/>
    <cellStyle name="Title 3 2 3 3" xfId="29235" xr:uid="{00000000-0005-0000-0000-0000C5A60000}"/>
    <cellStyle name="Title 3 2 3 4" xfId="33451" xr:uid="{00000000-0005-0000-0000-0000C6A60000}"/>
    <cellStyle name="Title 3 2 3 5" xfId="37655" xr:uid="{00000000-0005-0000-0000-0000C7A60000}"/>
    <cellStyle name="Title 3 2 4" xfId="6538" xr:uid="{00000000-0005-0000-0000-0000C8A60000}"/>
    <cellStyle name="Title 3 3" xfId="2897" xr:uid="{00000000-0005-0000-0000-0000C9A60000}"/>
    <cellStyle name="Title 3 3 2" xfId="5741" xr:uid="{00000000-0005-0000-0000-0000CAA60000}"/>
    <cellStyle name="Title 3 3 2 2" xfId="6541" xr:uid="{00000000-0005-0000-0000-0000CBA60000}"/>
    <cellStyle name="Title 3 3 3" xfId="5536" xr:uid="{00000000-0005-0000-0000-0000CCA60000}"/>
    <cellStyle name="Title 3 3 3 2" xfId="25024" xr:uid="{00000000-0005-0000-0000-0000CDA60000}"/>
    <cellStyle name="Title 3 3 3 3" xfId="29236" xr:uid="{00000000-0005-0000-0000-0000CEA60000}"/>
    <cellStyle name="Title 3 3 3 4" xfId="33452" xr:uid="{00000000-0005-0000-0000-0000CFA60000}"/>
    <cellStyle name="Title 3 3 3 5" xfId="37656" xr:uid="{00000000-0005-0000-0000-0000D0A60000}"/>
    <cellStyle name="Title 3 3 4" xfId="6540" xr:uid="{00000000-0005-0000-0000-0000D1A60000}"/>
    <cellStyle name="Title 3 4" xfId="2898" xr:uid="{00000000-0005-0000-0000-0000D2A60000}"/>
    <cellStyle name="Title 3 4 2" xfId="5742" xr:uid="{00000000-0005-0000-0000-0000D3A60000}"/>
    <cellStyle name="Title 3 4 2 2" xfId="6543" xr:uid="{00000000-0005-0000-0000-0000D4A60000}"/>
    <cellStyle name="Title 3 4 3" xfId="5537" xr:uid="{00000000-0005-0000-0000-0000D5A60000}"/>
    <cellStyle name="Title 3 4 3 2" xfId="25025" xr:uid="{00000000-0005-0000-0000-0000D6A60000}"/>
    <cellStyle name="Title 3 4 3 3" xfId="29237" xr:uid="{00000000-0005-0000-0000-0000D7A60000}"/>
    <cellStyle name="Title 3 4 3 4" xfId="33453" xr:uid="{00000000-0005-0000-0000-0000D8A60000}"/>
    <cellStyle name="Title 3 4 3 5" xfId="37657" xr:uid="{00000000-0005-0000-0000-0000D9A60000}"/>
    <cellStyle name="Title 3 4 4" xfId="6542" xr:uid="{00000000-0005-0000-0000-0000DAA60000}"/>
    <cellStyle name="Title 3 5" xfId="2899" xr:uid="{00000000-0005-0000-0000-0000DBA60000}"/>
    <cellStyle name="Title 3 5 2" xfId="5743" xr:uid="{00000000-0005-0000-0000-0000DCA60000}"/>
    <cellStyle name="Title 3 5 2 2" xfId="6545" xr:uid="{00000000-0005-0000-0000-0000DDA60000}"/>
    <cellStyle name="Title 3 5 3" xfId="5538" xr:uid="{00000000-0005-0000-0000-0000DEA60000}"/>
    <cellStyle name="Title 3 5 3 2" xfId="25026" xr:uid="{00000000-0005-0000-0000-0000DFA60000}"/>
    <cellStyle name="Title 3 5 3 3" xfId="29238" xr:uid="{00000000-0005-0000-0000-0000E0A60000}"/>
    <cellStyle name="Title 3 5 3 4" xfId="33454" xr:uid="{00000000-0005-0000-0000-0000E1A60000}"/>
    <cellStyle name="Title 3 5 3 5" xfId="37658" xr:uid="{00000000-0005-0000-0000-0000E2A60000}"/>
    <cellStyle name="Title 3 5 4" xfId="6544" xr:uid="{00000000-0005-0000-0000-0000E3A60000}"/>
    <cellStyle name="Title 3 6" xfId="2900" xr:uid="{00000000-0005-0000-0000-0000E4A60000}"/>
    <cellStyle name="Title 3 6 2" xfId="5744" xr:uid="{00000000-0005-0000-0000-0000E5A60000}"/>
    <cellStyle name="Title 3 6 2 2" xfId="6547" xr:uid="{00000000-0005-0000-0000-0000E6A60000}"/>
    <cellStyle name="Title 3 6 3" xfId="5539" xr:uid="{00000000-0005-0000-0000-0000E7A60000}"/>
    <cellStyle name="Title 3 6 3 2" xfId="25027" xr:uid="{00000000-0005-0000-0000-0000E8A60000}"/>
    <cellStyle name="Title 3 6 3 3" xfId="29239" xr:uid="{00000000-0005-0000-0000-0000E9A60000}"/>
    <cellStyle name="Title 3 6 3 4" xfId="33455" xr:uid="{00000000-0005-0000-0000-0000EAA60000}"/>
    <cellStyle name="Title 3 6 3 5" xfId="37659" xr:uid="{00000000-0005-0000-0000-0000EBA60000}"/>
    <cellStyle name="Title 3 6 4" xfId="6546" xr:uid="{00000000-0005-0000-0000-0000ECA60000}"/>
    <cellStyle name="Title 3 7" xfId="2901" xr:uid="{00000000-0005-0000-0000-0000EDA60000}"/>
    <cellStyle name="Title 3 7 2" xfId="5745" xr:uid="{00000000-0005-0000-0000-0000EEA60000}"/>
    <cellStyle name="Title 3 7 2 2" xfId="6549" xr:uid="{00000000-0005-0000-0000-0000EFA60000}"/>
    <cellStyle name="Title 3 7 3" xfId="5540" xr:uid="{00000000-0005-0000-0000-0000F0A60000}"/>
    <cellStyle name="Title 3 7 3 2" xfId="25028" xr:uid="{00000000-0005-0000-0000-0000F1A60000}"/>
    <cellStyle name="Title 3 7 3 3" xfId="29240" xr:uid="{00000000-0005-0000-0000-0000F2A60000}"/>
    <cellStyle name="Title 3 7 3 4" xfId="33456" xr:uid="{00000000-0005-0000-0000-0000F3A60000}"/>
    <cellStyle name="Title 3 7 3 5" xfId="37660" xr:uid="{00000000-0005-0000-0000-0000F4A60000}"/>
    <cellStyle name="Title 3 7 4" xfId="6548" xr:uid="{00000000-0005-0000-0000-0000F5A60000}"/>
    <cellStyle name="Title 3 8" xfId="2902" xr:uid="{00000000-0005-0000-0000-0000F6A60000}"/>
    <cellStyle name="Title 3 8 2" xfId="5746" xr:uid="{00000000-0005-0000-0000-0000F7A60000}"/>
    <cellStyle name="Title 3 8 2 2" xfId="6551" xr:uid="{00000000-0005-0000-0000-0000F8A60000}"/>
    <cellStyle name="Title 3 8 3" xfId="5541" xr:uid="{00000000-0005-0000-0000-0000F9A60000}"/>
    <cellStyle name="Title 3 8 3 2" xfId="25029" xr:uid="{00000000-0005-0000-0000-0000FAA60000}"/>
    <cellStyle name="Title 3 8 3 3" xfId="29241" xr:uid="{00000000-0005-0000-0000-0000FBA60000}"/>
    <cellStyle name="Title 3 8 3 4" xfId="33457" xr:uid="{00000000-0005-0000-0000-0000FCA60000}"/>
    <cellStyle name="Title 3 8 3 5" xfId="37661" xr:uid="{00000000-0005-0000-0000-0000FDA60000}"/>
    <cellStyle name="Title 3 8 4" xfId="6550" xr:uid="{00000000-0005-0000-0000-0000FEA60000}"/>
    <cellStyle name="Title 3 9" xfId="2903" xr:uid="{00000000-0005-0000-0000-0000FFA60000}"/>
    <cellStyle name="Title 3 9 2" xfId="5747" xr:uid="{00000000-0005-0000-0000-000000A70000}"/>
    <cellStyle name="Title 3 9 2 2" xfId="6553" xr:uid="{00000000-0005-0000-0000-000001A70000}"/>
    <cellStyle name="Title 3 9 3" xfId="5542" xr:uid="{00000000-0005-0000-0000-000002A70000}"/>
    <cellStyle name="Title 3 9 3 2" xfId="25030" xr:uid="{00000000-0005-0000-0000-000003A70000}"/>
    <cellStyle name="Title 3 9 3 3" xfId="29242" xr:uid="{00000000-0005-0000-0000-000004A70000}"/>
    <cellStyle name="Title 3 9 3 4" xfId="33458" xr:uid="{00000000-0005-0000-0000-000005A70000}"/>
    <cellStyle name="Title 3 9 3 5" xfId="37662" xr:uid="{00000000-0005-0000-0000-000006A70000}"/>
    <cellStyle name="Title 3 9 4" xfId="6552" xr:uid="{00000000-0005-0000-0000-000007A70000}"/>
    <cellStyle name="Title 30" xfId="44422" xr:uid="{00000000-0005-0000-0000-000008A70000}"/>
    <cellStyle name="Title 31" xfId="44423" xr:uid="{00000000-0005-0000-0000-000009A70000}"/>
    <cellStyle name="Title 32" xfId="44424" xr:uid="{00000000-0005-0000-0000-00000AA70000}"/>
    <cellStyle name="Title 33" xfId="44425" xr:uid="{00000000-0005-0000-0000-00000BA70000}"/>
    <cellStyle name="Title 34" xfId="44426" xr:uid="{00000000-0005-0000-0000-00000CA70000}"/>
    <cellStyle name="Title 35" xfId="44427" xr:uid="{00000000-0005-0000-0000-00000DA70000}"/>
    <cellStyle name="Title 36" xfId="44428" xr:uid="{00000000-0005-0000-0000-00000EA70000}"/>
    <cellStyle name="Title 37" xfId="44429" xr:uid="{00000000-0005-0000-0000-00000FA70000}"/>
    <cellStyle name="Title 38" xfId="44430" xr:uid="{00000000-0005-0000-0000-000010A70000}"/>
    <cellStyle name="Title 39" xfId="44431" xr:uid="{00000000-0005-0000-0000-000011A70000}"/>
    <cellStyle name="Title 4" xfId="2904" xr:uid="{00000000-0005-0000-0000-000012A70000}"/>
    <cellStyle name="Title 4 10" xfId="2905" xr:uid="{00000000-0005-0000-0000-000013A70000}"/>
    <cellStyle name="Title 4 10 2" xfId="5749" xr:uid="{00000000-0005-0000-0000-000014A70000}"/>
    <cellStyle name="Title 4 10 2 2" xfId="6556" xr:uid="{00000000-0005-0000-0000-000015A70000}"/>
    <cellStyle name="Title 4 10 3" xfId="5544" xr:uid="{00000000-0005-0000-0000-000016A70000}"/>
    <cellStyle name="Title 4 10 3 2" xfId="25032" xr:uid="{00000000-0005-0000-0000-000017A70000}"/>
    <cellStyle name="Title 4 10 3 3" xfId="29244" xr:uid="{00000000-0005-0000-0000-000018A70000}"/>
    <cellStyle name="Title 4 10 3 4" xfId="33460" xr:uid="{00000000-0005-0000-0000-000019A70000}"/>
    <cellStyle name="Title 4 10 3 5" xfId="37664" xr:uid="{00000000-0005-0000-0000-00001AA70000}"/>
    <cellStyle name="Title 4 10 4" xfId="6555" xr:uid="{00000000-0005-0000-0000-00001BA70000}"/>
    <cellStyle name="Title 4 11" xfId="2906" xr:uid="{00000000-0005-0000-0000-00001CA70000}"/>
    <cellStyle name="Title 4 11 2" xfId="5750" xr:uid="{00000000-0005-0000-0000-00001DA70000}"/>
    <cellStyle name="Title 4 11 2 2" xfId="6558" xr:uid="{00000000-0005-0000-0000-00001EA70000}"/>
    <cellStyle name="Title 4 11 3" xfId="5545" xr:uid="{00000000-0005-0000-0000-00001FA70000}"/>
    <cellStyle name="Title 4 11 3 2" xfId="25033" xr:uid="{00000000-0005-0000-0000-000020A70000}"/>
    <cellStyle name="Title 4 11 3 3" xfId="29245" xr:uid="{00000000-0005-0000-0000-000021A70000}"/>
    <cellStyle name="Title 4 11 3 4" xfId="33461" xr:uid="{00000000-0005-0000-0000-000022A70000}"/>
    <cellStyle name="Title 4 11 3 5" xfId="37665" xr:uid="{00000000-0005-0000-0000-000023A70000}"/>
    <cellStyle name="Title 4 11 4" xfId="6557" xr:uid="{00000000-0005-0000-0000-000024A70000}"/>
    <cellStyle name="Title 4 12" xfId="5748" xr:uid="{00000000-0005-0000-0000-000025A70000}"/>
    <cellStyle name="Title 4 12 2" xfId="6559" xr:uid="{00000000-0005-0000-0000-000026A70000}"/>
    <cellStyle name="Title 4 13" xfId="5543" xr:uid="{00000000-0005-0000-0000-000027A70000}"/>
    <cellStyle name="Title 4 13 2" xfId="25031" xr:uid="{00000000-0005-0000-0000-000028A70000}"/>
    <cellStyle name="Title 4 13 3" xfId="29243" xr:uid="{00000000-0005-0000-0000-000029A70000}"/>
    <cellStyle name="Title 4 13 4" xfId="33459" xr:uid="{00000000-0005-0000-0000-00002AA70000}"/>
    <cellStyle name="Title 4 13 5" xfId="37663" xr:uid="{00000000-0005-0000-0000-00002BA70000}"/>
    <cellStyle name="Title 4 14" xfId="6554" xr:uid="{00000000-0005-0000-0000-00002CA70000}"/>
    <cellStyle name="Title 4 2" xfId="2907" xr:uid="{00000000-0005-0000-0000-00002DA70000}"/>
    <cellStyle name="Title 4 2 2" xfId="5751" xr:uid="{00000000-0005-0000-0000-00002EA70000}"/>
    <cellStyle name="Title 4 2 2 2" xfId="6561" xr:uid="{00000000-0005-0000-0000-00002FA70000}"/>
    <cellStyle name="Title 4 2 3" xfId="5546" xr:uid="{00000000-0005-0000-0000-000030A70000}"/>
    <cellStyle name="Title 4 2 3 2" xfId="25034" xr:uid="{00000000-0005-0000-0000-000031A70000}"/>
    <cellStyle name="Title 4 2 3 3" xfId="29246" xr:uid="{00000000-0005-0000-0000-000032A70000}"/>
    <cellStyle name="Title 4 2 3 4" xfId="33462" xr:uid="{00000000-0005-0000-0000-000033A70000}"/>
    <cellStyle name="Title 4 2 3 5" xfId="37666" xr:uid="{00000000-0005-0000-0000-000034A70000}"/>
    <cellStyle name="Title 4 2 4" xfId="6560" xr:uid="{00000000-0005-0000-0000-000035A70000}"/>
    <cellStyle name="Title 4 3" xfId="2908" xr:uid="{00000000-0005-0000-0000-000036A70000}"/>
    <cellStyle name="Title 4 3 2" xfId="5752" xr:uid="{00000000-0005-0000-0000-000037A70000}"/>
    <cellStyle name="Title 4 3 2 2" xfId="6563" xr:uid="{00000000-0005-0000-0000-000038A70000}"/>
    <cellStyle name="Title 4 3 3" xfId="5547" xr:uid="{00000000-0005-0000-0000-000039A70000}"/>
    <cellStyle name="Title 4 3 3 2" xfId="25035" xr:uid="{00000000-0005-0000-0000-00003AA70000}"/>
    <cellStyle name="Title 4 3 3 3" xfId="29247" xr:uid="{00000000-0005-0000-0000-00003BA70000}"/>
    <cellStyle name="Title 4 3 3 4" xfId="33463" xr:uid="{00000000-0005-0000-0000-00003CA70000}"/>
    <cellStyle name="Title 4 3 3 5" xfId="37667" xr:uid="{00000000-0005-0000-0000-00003DA70000}"/>
    <cellStyle name="Title 4 3 4" xfId="6562" xr:uid="{00000000-0005-0000-0000-00003EA70000}"/>
    <cellStyle name="Title 4 4" xfId="2909" xr:uid="{00000000-0005-0000-0000-00003FA70000}"/>
    <cellStyle name="Title 4 4 2" xfId="5753" xr:uid="{00000000-0005-0000-0000-000040A70000}"/>
    <cellStyle name="Title 4 4 2 2" xfId="6565" xr:uid="{00000000-0005-0000-0000-000041A70000}"/>
    <cellStyle name="Title 4 4 3" xfId="5548" xr:uid="{00000000-0005-0000-0000-000042A70000}"/>
    <cellStyle name="Title 4 4 3 2" xfId="25036" xr:uid="{00000000-0005-0000-0000-000043A70000}"/>
    <cellStyle name="Title 4 4 3 3" xfId="29248" xr:uid="{00000000-0005-0000-0000-000044A70000}"/>
    <cellStyle name="Title 4 4 3 4" xfId="33464" xr:uid="{00000000-0005-0000-0000-000045A70000}"/>
    <cellStyle name="Title 4 4 3 5" xfId="37668" xr:uid="{00000000-0005-0000-0000-000046A70000}"/>
    <cellStyle name="Title 4 4 4" xfId="6564" xr:uid="{00000000-0005-0000-0000-000047A70000}"/>
    <cellStyle name="Title 4 5" xfId="2910" xr:uid="{00000000-0005-0000-0000-000048A70000}"/>
    <cellStyle name="Title 4 5 2" xfId="5754" xr:uid="{00000000-0005-0000-0000-000049A70000}"/>
    <cellStyle name="Title 4 5 2 2" xfId="6567" xr:uid="{00000000-0005-0000-0000-00004AA70000}"/>
    <cellStyle name="Title 4 5 3" xfId="5549" xr:uid="{00000000-0005-0000-0000-00004BA70000}"/>
    <cellStyle name="Title 4 5 3 2" xfId="25037" xr:uid="{00000000-0005-0000-0000-00004CA70000}"/>
    <cellStyle name="Title 4 5 3 3" xfId="29249" xr:uid="{00000000-0005-0000-0000-00004DA70000}"/>
    <cellStyle name="Title 4 5 3 4" xfId="33465" xr:uid="{00000000-0005-0000-0000-00004EA70000}"/>
    <cellStyle name="Title 4 5 3 5" xfId="37669" xr:uid="{00000000-0005-0000-0000-00004FA70000}"/>
    <cellStyle name="Title 4 5 4" xfId="6566" xr:uid="{00000000-0005-0000-0000-000050A70000}"/>
    <cellStyle name="Title 4 6" xfId="2911" xr:uid="{00000000-0005-0000-0000-000051A70000}"/>
    <cellStyle name="Title 4 6 2" xfId="5755" xr:uid="{00000000-0005-0000-0000-000052A70000}"/>
    <cellStyle name="Title 4 6 2 2" xfId="6569" xr:uid="{00000000-0005-0000-0000-000053A70000}"/>
    <cellStyle name="Title 4 6 3" xfId="5550" xr:uid="{00000000-0005-0000-0000-000054A70000}"/>
    <cellStyle name="Title 4 6 3 2" xfId="25038" xr:uid="{00000000-0005-0000-0000-000055A70000}"/>
    <cellStyle name="Title 4 6 3 3" xfId="29250" xr:uid="{00000000-0005-0000-0000-000056A70000}"/>
    <cellStyle name="Title 4 6 3 4" xfId="33466" xr:uid="{00000000-0005-0000-0000-000057A70000}"/>
    <cellStyle name="Title 4 6 3 5" xfId="37670" xr:uid="{00000000-0005-0000-0000-000058A70000}"/>
    <cellStyle name="Title 4 6 4" xfId="6568" xr:uid="{00000000-0005-0000-0000-000059A70000}"/>
    <cellStyle name="Title 4 7" xfId="2912" xr:uid="{00000000-0005-0000-0000-00005AA70000}"/>
    <cellStyle name="Title 4 7 2" xfId="5756" xr:uid="{00000000-0005-0000-0000-00005BA70000}"/>
    <cellStyle name="Title 4 7 2 2" xfId="6571" xr:uid="{00000000-0005-0000-0000-00005CA70000}"/>
    <cellStyle name="Title 4 7 3" xfId="5551" xr:uid="{00000000-0005-0000-0000-00005DA70000}"/>
    <cellStyle name="Title 4 7 3 2" xfId="25039" xr:uid="{00000000-0005-0000-0000-00005EA70000}"/>
    <cellStyle name="Title 4 7 3 3" xfId="29251" xr:uid="{00000000-0005-0000-0000-00005FA70000}"/>
    <cellStyle name="Title 4 7 3 4" xfId="33467" xr:uid="{00000000-0005-0000-0000-000060A70000}"/>
    <cellStyle name="Title 4 7 3 5" xfId="37671" xr:uid="{00000000-0005-0000-0000-000061A70000}"/>
    <cellStyle name="Title 4 7 4" xfId="6570" xr:uid="{00000000-0005-0000-0000-000062A70000}"/>
    <cellStyle name="Title 4 8" xfId="2913" xr:uid="{00000000-0005-0000-0000-000063A70000}"/>
    <cellStyle name="Title 4 8 2" xfId="5757" xr:uid="{00000000-0005-0000-0000-000064A70000}"/>
    <cellStyle name="Title 4 8 2 2" xfId="6573" xr:uid="{00000000-0005-0000-0000-000065A70000}"/>
    <cellStyle name="Title 4 8 3" xfId="5552" xr:uid="{00000000-0005-0000-0000-000066A70000}"/>
    <cellStyle name="Title 4 8 3 2" xfId="25040" xr:uid="{00000000-0005-0000-0000-000067A70000}"/>
    <cellStyle name="Title 4 8 3 3" xfId="29252" xr:uid="{00000000-0005-0000-0000-000068A70000}"/>
    <cellStyle name="Title 4 8 3 4" xfId="33468" xr:uid="{00000000-0005-0000-0000-000069A70000}"/>
    <cellStyle name="Title 4 8 3 5" xfId="37672" xr:uid="{00000000-0005-0000-0000-00006AA70000}"/>
    <cellStyle name="Title 4 8 4" xfId="6572" xr:uid="{00000000-0005-0000-0000-00006BA70000}"/>
    <cellStyle name="Title 4 9" xfId="2914" xr:uid="{00000000-0005-0000-0000-00006CA70000}"/>
    <cellStyle name="Title 4 9 2" xfId="5758" xr:uid="{00000000-0005-0000-0000-00006DA70000}"/>
    <cellStyle name="Title 4 9 2 2" xfId="6575" xr:uid="{00000000-0005-0000-0000-00006EA70000}"/>
    <cellStyle name="Title 4 9 3" xfId="5553" xr:uid="{00000000-0005-0000-0000-00006FA70000}"/>
    <cellStyle name="Title 4 9 3 2" xfId="25041" xr:uid="{00000000-0005-0000-0000-000070A70000}"/>
    <cellStyle name="Title 4 9 3 3" xfId="29253" xr:uid="{00000000-0005-0000-0000-000071A70000}"/>
    <cellStyle name="Title 4 9 3 4" xfId="33469" xr:uid="{00000000-0005-0000-0000-000072A70000}"/>
    <cellStyle name="Title 4 9 3 5" xfId="37673" xr:uid="{00000000-0005-0000-0000-000073A70000}"/>
    <cellStyle name="Title 4 9 4" xfId="6574" xr:uid="{00000000-0005-0000-0000-000074A70000}"/>
    <cellStyle name="Title 40" xfId="44432" xr:uid="{00000000-0005-0000-0000-000075A70000}"/>
    <cellStyle name="Title 41" xfId="44433" xr:uid="{00000000-0005-0000-0000-000076A70000}"/>
    <cellStyle name="Title 42" xfId="44434" xr:uid="{00000000-0005-0000-0000-000077A70000}"/>
    <cellStyle name="Title 43" xfId="44435" xr:uid="{00000000-0005-0000-0000-000078A70000}"/>
    <cellStyle name="Title 5" xfId="2915" xr:uid="{00000000-0005-0000-0000-000079A70000}"/>
    <cellStyle name="Title 5 10" xfId="2916" xr:uid="{00000000-0005-0000-0000-00007AA70000}"/>
    <cellStyle name="Title 5 10 2" xfId="5760" xr:uid="{00000000-0005-0000-0000-00007BA70000}"/>
    <cellStyle name="Title 5 10 2 2" xfId="6578" xr:uid="{00000000-0005-0000-0000-00007CA70000}"/>
    <cellStyle name="Title 5 10 3" xfId="5555" xr:uid="{00000000-0005-0000-0000-00007DA70000}"/>
    <cellStyle name="Title 5 10 3 2" xfId="25043" xr:uid="{00000000-0005-0000-0000-00007EA70000}"/>
    <cellStyle name="Title 5 10 3 3" xfId="29255" xr:uid="{00000000-0005-0000-0000-00007FA70000}"/>
    <cellStyle name="Title 5 10 3 4" xfId="33471" xr:uid="{00000000-0005-0000-0000-000080A70000}"/>
    <cellStyle name="Title 5 10 3 5" xfId="37675" xr:uid="{00000000-0005-0000-0000-000081A70000}"/>
    <cellStyle name="Title 5 10 4" xfId="6577" xr:uid="{00000000-0005-0000-0000-000082A70000}"/>
    <cellStyle name="Title 5 11" xfId="2917" xr:uid="{00000000-0005-0000-0000-000083A70000}"/>
    <cellStyle name="Title 5 11 2" xfId="5761" xr:uid="{00000000-0005-0000-0000-000084A70000}"/>
    <cellStyle name="Title 5 11 2 2" xfId="6580" xr:uid="{00000000-0005-0000-0000-000085A70000}"/>
    <cellStyle name="Title 5 11 3" xfId="5556" xr:uid="{00000000-0005-0000-0000-000086A70000}"/>
    <cellStyle name="Title 5 11 3 2" xfId="25044" xr:uid="{00000000-0005-0000-0000-000087A70000}"/>
    <cellStyle name="Title 5 11 3 3" xfId="29256" xr:uid="{00000000-0005-0000-0000-000088A70000}"/>
    <cellStyle name="Title 5 11 3 4" xfId="33472" xr:uid="{00000000-0005-0000-0000-000089A70000}"/>
    <cellStyle name="Title 5 11 3 5" xfId="37676" xr:uid="{00000000-0005-0000-0000-00008AA70000}"/>
    <cellStyle name="Title 5 11 4" xfId="6579" xr:uid="{00000000-0005-0000-0000-00008BA70000}"/>
    <cellStyle name="Title 5 12" xfId="5759" xr:uid="{00000000-0005-0000-0000-00008CA70000}"/>
    <cellStyle name="Title 5 12 2" xfId="6581" xr:uid="{00000000-0005-0000-0000-00008DA70000}"/>
    <cellStyle name="Title 5 13" xfId="5554" xr:uid="{00000000-0005-0000-0000-00008EA70000}"/>
    <cellStyle name="Title 5 13 2" xfId="25042" xr:uid="{00000000-0005-0000-0000-00008FA70000}"/>
    <cellStyle name="Title 5 13 3" xfId="29254" xr:uid="{00000000-0005-0000-0000-000090A70000}"/>
    <cellStyle name="Title 5 13 4" xfId="33470" xr:uid="{00000000-0005-0000-0000-000091A70000}"/>
    <cellStyle name="Title 5 13 5" xfId="37674" xr:uid="{00000000-0005-0000-0000-000092A70000}"/>
    <cellStyle name="Title 5 14" xfId="6576" xr:uid="{00000000-0005-0000-0000-000093A70000}"/>
    <cellStyle name="Title 5 2" xfId="2918" xr:uid="{00000000-0005-0000-0000-000094A70000}"/>
    <cellStyle name="Title 5 2 2" xfId="5762" xr:uid="{00000000-0005-0000-0000-000095A70000}"/>
    <cellStyle name="Title 5 2 2 2" xfId="6583" xr:uid="{00000000-0005-0000-0000-000096A70000}"/>
    <cellStyle name="Title 5 2 3" xfId="5557" xr:uid="{00000000-0005-0000-0000-000097A70000}"/>
    <cellStyle name="Title 5 2 3 2" xfId="25045" xr:uid="{00000000-0005-0000-0000-000098A70000}"/>
    <cellStyle name="Title 5 2 3 3" xfId="29257" xr:uid="{00000000-0005-0000-0000-000099A70000}"/>
    <cellStyle name="Title 5 2 3 4" xfId="33473" xr:uid="{00000000-0005-0000-0000-00009AA70000}"/>
    <cellStyle name="Title 5 2 3 5" xfId="37677" xr:uid="{00000000-0005-0000-0000-00009BA70000}"/>
    <cellStyle name="Title 5 2 4" xfId="6582" xr:uid="{00000000-0005-0000-0000-00009CA70000}"/>
    <cellStyle name="Title 5 3" xfId="2919" xr:uid="{00000000-0005-0000-0000-00009DA70000}"/>
    <cellStyle name="Title 5 3 2" xfId="5763" xr:uid="{00000000-0005-0000-0000-00009EA70000}"/>
    <cellStyle name="Title 5 3 2 2" xfId="6585" xr:uid="{00000000-0005-0000-0000-00009FA70000}"/>
    <cellStyle name="Title 5 3 3" xfId="5558" xr:uid="{00000000-0005-0000-0000-0000A0A70000}"/>
    <cellStyle name="Title 5 3 3 2" xfId="25046" xr:uid="{00000000-0005-0000-0000-0000A1A70000}"/>
    <cellStyle name="Title 5 3 3 3" xfId="29258" xr:uid="{00000000-0005-0000-0000-0000A2A70000}"/>
    <cellStyle name="Title 5 3 3 4" xfId="33474" xr:uid="{00000000-0005-0000-0000-0000A3A70000}"/>
    <cellStyle name="Title 5 3 3 5" xfId="37678" xr:uid="{00000000-0005-0000-0000-0000A4A70000}"/>
    <cellStyle name="Title 5 3 4" xfId="6584" xr:uid="{00000000-0005-0000-0000-0000A5A70000}"/>
    <cellStyle name="Title 5 4" xfId="2920" xr:uid="{00000000-0005-0000-0000-0000A6A70000}"/>
    <cellStyle name="Title 5 4 2" xfId="5764" xr:uid="{00000000-0005-0000-0000-0000A7A70000}"/>
    <cellStyle name="Title 5 4 2 2" xfId="6587" xr:uid="{00000000-0005-0000-0000-0000A8A70000}"/>
    <cellStyle name="Title 5 4 3" xfId="5559" xr:uid="{00000000-0005-0000-0000-0000A9A70000}"/>
    <cellStyle name="Title 5 4 3 2" xfId="25047" xr:uid="{00000000-0005-0000-0000-0000AAA70000}"/>
    <cellStyle name="Title 5 4 3 3" xfId="29259" xr:uid="{00000000-0005-0000-0000-0000ABA70000}"/>
    <cellStyle name="Title 5 4 3 4" xfId="33475" xr:uid="{00000000-0005-0000-0000-0000ACA70000}"/>
    <cellStyle name="Title 5 4 3 5" xfId="37679" xr:uid="{00000000-0005-0000-0000-0000ADA70000}"/>
    <cellStyle name="Title 5 4 4" xfId="6586" xr:uid="{00000000-0005-0000-0000-0000AEA70000}"/>
    <cellStyle name="Title 5 5" xfId="2921" xr:uid="{00000000-0005-0000-0000-0000AFA70000}"/>
    <cellStyle name="Title 5 5 2" xfId="5765" xr:uid="{00000000-0005-0000-0000-0000B0A70000}"/>
    <cellStyle name="Title 5 5 2 2" xfId="6589" xr:uid="{00000000-0005-0000-0000-0000B1A70000}"/>
    <cellStyle name="Title 5 5 3" xfId="5560" xr:uid="{00000000-0005-0000-0000-0000B2A70000}"/>
    <cellStyle name="Title 5 5 3 2" xfId="25048" xr:uid="{00000000-0005-0000-0000-0000B3A70000}"/>
    <cellStyle name="Title 5 5 3 3" xfId="29260" xr:uid="{00000000-0005-0000-0000-0000B4A70000}"/>
    <cellStyle name="Title 5 5 3 4" xfId="33476" xr:uid="{00000000-0005-0000-0000-0000B5A70000}"/>
    <cellStyle name="Title 5 5 3 5" xfId="37680" xr:uid="{00000000-0005-0000-0000-0000B6A70000}"/>
    <cellStyle name="Title 5 5 4" xfId="6588" xr:uid="{00000000-0005-0000-0000-0000B7A70000}"/>
    <cellStyle name="Title 5 6" xfId="2922" xr:uid="{00000000-0005-0000-0000-0000B8A70000}"/>
    <cellStyle name="Title 5 6 2" xfId="5766" xr:uid="{00000000-0005-0000-0000-0000B9A70000}"/>
    <cellStyle name="Title 5 6 2 2" xfId="6591" xr:uid="{00000000-0005-0000-0000-0000BAA70000}"/>
    <cellStyle name="Title 5 6 3" xfId="5561" xr:uid="{00000000-0005-0000-0000-0000BBA70000}"/>
    <cellStyle name="Title 5 6 3 2" xfId="25049" xr:uid="{00000000-0005-0000-0000-0000BCA70000}"/>
    <cellStyle name="Title 5 6 3 3" xfId="29261" xr:uid="{00000000-0005-0000-0000-0000BDA70000}"/>
    <cellStyle name="Title 5 6 3 4" xfId="33477" xr:uid="{00000000-0005-0000-0000-0000BEA70000}"/>
    <cellStyle name="Title 5 6 3 5" xfId="37681" xr:uid="{00000000-0005-0000-0000-0000BFA70000}"/>
    <cellStyle name="Title 5 6 4" xfId="6590" xr:uid="{00000000-0005-0000-0000-0000C0A70000}"/>
    <cellStyle name="Title 5 7" xfId="2923" xr:uid="{00000000-0005-0000-0000-0000C1A70000}"/>
    <cellStyle name="Title 5 7 2" xfId="5767" xr:uid="{00000000-0005-0000-0000-0000C2A70000}"/>
    <cellStyle name="Title 5 7 2 2" xfId="6593" xr:uid="{00000000-0005-0000-0000-0000C3A70000}"/>
    <cellStyle name="Title 5 7 3" xfId="5562" xr:uid="{00000000-0005-0000-0000-0000C4A70000}"/>
    <cellStyle name="Title 5 7 3 2" xfId="25050" xr:uid="{00000000-0005-0000-0000-0000C5A70000}"/>
    <cellStyle name="Title 5 7 3 3" xfId="29262" xr:uid="{00000000-0005-0000-0000-0000C6A70000}"/>
    <cellStyle name="Title 5 7 3 4" xfId="33478" xr:uid="{00000000-0005-0000-0000-0000C7A70000}"/>
    <cellStyle name="Title 5 7 3 5" xfId="37682" xr:uid="{00000000-0005-0000-0000-0000C8A70000}"/>
    <cellStyle name="Title 5 7 4" xfId="6592" xr:uid="{00000000-0005-0000-0000-0000C9A70000}"/>
    <cellStyle name="Title 5 8" xfId="2924" xr:uid="{00000000-0005-0000-0000-0000CAA70000}"/>
    <cellStyle name="Title 5 8 2" xfId="5768" xr:uid="{00000000-0005-0000-0000-0000CBA70000}"/>
    <cellStyle name="Title 5 8 2 2" xfId="6595" xr:uid="{00000000-0005-0000-0000-0000CCA70000}"/>
    <cellStyle name="Title 5 8 3" xfId="5563" xr:uid="{00000000-0005-0000-0000-0000CDA70000}"/>
    <cellStyle name="Title 5 8 3 2" xfId="25051" xr:uid="{00000000-0005-0000-0000-0000CEA70000}"/>
    <cellStyle name="Title 5 8 3 3" xfId="29263" xr:uid="{00000000-0005-0000-0000-0000CFA70000}"/>
    <cellStyle name="Title 5 8 3 4" xfId="33479" xr:uid="{00000000-0005-0000-0000-0000D0A70000}"/>
    <cellStyle name="Title 5 8 3 5" xfId="37683" xr:uid="{00000000-0005-0000-0000-0000D1A70000}"/>
    <cellStyle name="Title 5 8 4" xfId="6594" xr:uid="{00000000-0005-0000-0000-0000D2A70000}"/>
    <cellStyle name="Title 5 9" xfId="2925" xr:uid="{00000000-0005-0000-0000-0000D3A70000}"/>
    <cellStyle name="Title 5 9 2" xfId="5769" xr:uid="{00000000-0005-0000-0000-0000D4A70000}"/>
    <cellStyle name="Title 5 9 2 2" xfId="6597" xr:uid="{00000000-0005-0000-0000-0000D5A70000}"/>
    <cellStyle name="Title 5 9 3" xfId="5564" xr:uid="{00000000-0005-0000-0000-0000D6A70000}"/>
    <cellStyle name="Title 5 9 3 2" xfId="25052" xr:uid="{00000000-0005-0000-0000-0000D7A70000}"/>
    <cellStyle name="Title 5 9 3 3" xfId="29264" xr:uid="{00000000-0005-0000-0000-0000D8A70000}"/>
    <cellStyle name="Title 5 9 3 4" xfId="33480" xr:uid="{00000000-0005-0000-0000-0000D9A70000}"/>
    <cellStyle name="Title 5 9 3 5" xfId="37684" xr:uid="{00000000-0005-0000-0000-0000DAA70000}"/>
    <cellStyle name="Title 5 9 4" xfId="6596" xr:uid="{00000000-0005-0000-0000-0000DBA70000}"/>
    <cellStyle name="Title 6" xfId="2926" xr:uid="{00000000-0005-0000-0000-0000DCA70000}"/>
    <cellStyle name="Title 6 10" xfId="2927" xr:uid="{00000000-0005-0000-0000-0000DDA70000}"/>
    <cellStyle name="Title 6 10 2" xfId="5771" xr:uid="{00000000-0005-0000-0000-0000DEA70000}"/>
    <cellStyle name="Title 6 10 2 2" xfId="6600" xr:uid="{00000000-0005-0000-0000-0000DFA70000}"/>
    <cellStyle name="Title 6 10 3" xfId="5566" xr:uid="{00000000-0005-0000-0000-0000E0A70000}"/>
    <cellStyle name="Title 6 10 3 2" xfId="25054" xr:uid="{00000000-0005-0000-0000-0000E1A70000}"/>
    <cellStyle name="Title 6 10 3 3" xfId="29266" xr:uid="{00000000-0005-0000-0000-0000E2A70000}"/>
    <cellStyle name="Title 6 10 3 4" xfId="33482" xr:uid="{00000000-0005-0000-0000-0000E3A70000}"/>
    <cellStyle name="Title 6 10 3 5" xfId="37686" xr:uid="{00000000-0005-0000-0000-0000E4A70000}"/>
    <cellStyle name="Title 6 10 4" xfId="6599" xr:uid="{00000000-0005-0000-0000-0000E5A70000}"/>
    <cellStyle name="Title 6 11" xfId="2928" xr:uid="{00000000-0005-0000-0000-0000E6A70000}"/>
    <cellStyle name="Title 6 11 2" xfId="5772" xr:uid="{00000000-0005-0000-0000-0000E7A70000}"/>
    <cellStyle name="Title 6 11 2 2" xfId="6602" xr:uid="{00000000-0005-0000-0000-0000E8A70000}"/>
    <cellStyle name="Title 6 11 3" xfId="5567" xr:uid="{00000000-0005-0000-0000-0000E9A70000}"/>
    <cellStyle name="Title 6 11 3 2" xfId="25055" xr:uid="{00000000-0005-0000-0000-0000EAA70000}"/>
    <cellStyle name="Title 6 11 3 3" xfId="29267" xr:uid="{00000000-0005-0000-0000-0000EBA70000}"/>
    <cellStyle name="Title 6 11 3 4" xfId="33483" xr:uid="{00000000-0005-0000-0000-0000ECA70000}"/>
    <cellStyle name="Title 6 11 3 5" xfId="37687" xr:uid="{00000000-0005-0000-0000-0000EDA70000}"/>
    <cellStyle name="Title 6 11 4" xfId="6601" xr:uid="{00000000-0005-0000-0000-0000EEA70000}"/>
    <cellStyle name="Title 6 12" xfId="5770" xr:uid="{00000000-0005-0000-0000-0000EFA70000}"/>
    <cellStyle name="Title 6 12 2" xfId="6603" xr:uid="{00000000-0005-0000-0000-0000F0A70000}"/>
    <cellStyle name="Title 6 13" xfId="5565" xr:uid="{00000000-0005-0000-0000-0000F1A70000}"/>
    <cellStyle name="Title 6 13 2" xfId="25053" xr:uid="{00000000-0005-0000-0000-0000F2A70000}"/>
    <cellStyle name="Title 6 13 3" xfId="29265" xr:uid="{00000000-0005-0000-0000-0000F3A70000}"/>
    <cellStyle name="Title 6 13 4" xfId="33481" xr:uid="{00000000-0005-0000-0000-0000F4A70000}"/>
    <cellStyle name="Title 6 13 5" xfId="37685" xr:uid="{00000000-0005-0000-0000-0000F5A70000}"/>
    <cellStyle name="Title 6 14" xfId="6598" xr:uid="{00000000-0005-0000-0000-0000F6A70000}"/>
    <cellStyle name="Title 6 2" xfId="2929" xr:uid="{00000000-0005-0000-0000-0000F7A70000}"/>
    <cellStyle name="Title 6 2 2" xfId="5773" xr:uid="{00000000-0005-0000-0000-0000F8A70000}"/>
    <cellStyle name="Title 6 2 2 2" xfId="6605" xr:uid="{00000000-0005-0000-0000-0000F9A70000}"/>
    <cellStyle name="Title 6 2 3" xfId="5568" xr:uid="{00000000-0005-0000-0000-0000FAA70000}"/>
    <cellStyle name="Title 6 2 3 2" xfId="25056" xr:uid="{00000000-0005-0000-0000-0000FBA70000}"/>
    <cellStyle name="Title 6 2 3 3" xfId="29268" xr:uid="{00000000-0005-0000-0000-0000FCA70000}"/>
    <cellStyle name="Title 6 2 3 4" xfId="33484" xr:uid="{00000000-0005-0000-0000-0000FDA70000}"/>
    <cellStyle name="Title 6 2 3 5" xfId="37688" xr:uid="{00000000-0005-0000-0000-0000FEA70000}"/>
    <cellStyle name="Title 6 2 4" xfId="6604" xr:uid="{00000000-0005-0000-0000-0000FFA70000}"/>
    <cellStyle name="Title 6 3" xfId="2930" xr:uid="{00000000-0005-0000-0000-000000A80000}"/>
    <cellStyle name="Title 6 3 2" xfId="5774" xr:uid="{00000000-0005-0000-0000-000001A80000}"/>
    <cellStyle name="Title 6 3 2 2" xfId="6607" xr:uid="{00000000-0005-0000-0000-000002A80000}"/>
    <cellStyle name="Title 6 3 3" xfId="5569" xr:uid="{00000000-0005-0000-0000-000003A80000}"/>
    <cellStyle name="Title 6 3 3 2" xfId="25057" xr:uid="{00000000-0005-0000-0000-000004A80000}"/>
    <cellStyle name="Title 6 3 3 3" xfId="29269" xr:uid="{00000000-0005-0000-0000-000005A80000}"/>
    <cellStyle name="Title 6 3 3 4" xfId="33485" xr:uid="{00000000-0005-0000-0000-000006A80000}"/>
    <cellStyle name="Title 6 3 3 5" xfId="37689" xr:uid="{00000000-0005-0000-0000-000007A80000}"/>
    <cellStyle name="Title 6 3 4" xfId="6606" xr:uid="{00000000-0005-0000-0000-000008A80000}"/>
    <cellStyle name="Title 6 4" xfId="2931" xr:uid="{00000000-0005-0000-0000-000009A80000}"/>
    <cellStyle name="Title 6 4 2" xfId="5775" xr:uid="{00000000-0005-0000-0000-00000AA80000}"/>
    <cellStyle name="Title 6 4 2 2" xfId="6609" xr:uid="{00000000-0005-0000-0000-00000BA80000}"/>
    <cellStyle name="Title 6 4 3" xfId="5570" xr:uid="{00000000-0005-0000-0000-00000CA80000}"/>
    <cellStyle name="Title 6 4 3 2" xfId="25058" xr:uid="{00000000-0005-0000-0000-00000DA80000}"/>
    <cellStyle name="Title 6 4 3 3" xfId="29270" xr:uid="{00000000-0005-0000-0000-00000EA80000}"/>
    <cellStyle name="Title 6 4 3 4" xfId="33486" xr:uid="{00000000-0005-0000-0000-00000FA80000}"/>
    <cellStyle name="Title 6 4 3 5" xfId="37690" xr:uid="{00000000-0005-0000-0000-000010A80000}"/>
    <cellStyle name="Title 6 4 4" xfId="6608" xr:uid="{00000000-0005-0000-0000-000011A80000}"/>
    <cellStyle name="Title 6 5" xfId="2932" xr:uid="{00000000-0005-0000-0000-000012A80000}"/>
    <cellStyle name="Title 6 5 2" xfId="5776" xr:uid="{00000000-0005-0000-0000-000013A80000}"/>
    <cellStyle name="Title 6 5 2 2" xfId="6611" xr:uid="{00000000-0005-0000-0000-000014A80000}"/>
    <cellStyle name="Title 6 5 3" xfId="5571" xr:uid="{00000000-0005-0000-0000-000015A80000}"/>
    <cellStyle name="Title 6 5 3 2" xfId="25059" xr:uid="{00000000-0005-0000-0000-000016A80000}"/>
    <cellStyle name="Title 6 5 3 3" xfId="29271" xr:uid="{00000000-0005-0000-0000-000017A80000}"/>
    <cellStyle name="Title 6 5 3 4" xfId="33487" xr:uid="{00000000-0005-0000-0000-000018A80000}"/>
    <cellStyle name="Title 6 5 3 5" xfId="37691" xr:uid="{00000000-0005-0000-0000-000019A80000}"/>
    <cellStyle name="Title 6 5 4" xfId="6610" xr:uid="{00000000-0005-0000-0000-00001AA80000}"/>
    <cellStyle name="Title 6 6" xfId="2933" xr:uid="{00000000-0005-0000-0000-00001BA80000}"/>
    <cellStyle name="Title 6 6 2" xfId="5777" xr:uid="{00000000-0005-0000-0000-00001CA80000}"/>
    <cellStyle name="Title 6 6 2 2" xfId="6613" xr:uid="{00000000-0005-0000-0000-00001DA80000}"/>
    <cellStyle name="Title 6 6 3" xfId="5572" xr:uid="{00000000-0005-0000-0000-00001EA80000}"/>
    <cellStyle name="Title 6 6 3 2" xfId="25060" xr:uid="{00000000-0005-0000-0000-00001FA80000}"/>
    <cellStyle name="Title 6 6 3 3" xfId="29272" xr:uid="{00000000-0005-0000-0000-000020A80000}"/>
    <cellStyle name="Title 6 6 3 4" xfId="33488" xr:uid="{00000000-0005-0000-0000-000021A80000}"/>
    <cellStyle name="Title 6 6 3 5" xfId="37692" xr:uid="{00000000-0005-0000-0000-000022A80000}"/>
    <cellStyle name="Title 6 6 4" xfId="6612" xr:uid="{00000000-0005-0000-0000-000023A80000}"/>
    <cellStyle name="Title 6 7" xfId="2934" xr:uid="{00000000-0005-0000-0000-000024A80000}"/>
    <cellStyle name="Title 6 7 2" xfId="5778" xr:uid="{00000000-0005-0000-0000-000025A80000}"/>
    <cellStyle name="Title 6 7 2 2" xfId="6615" xr:uid="{00000000-0005-0000-0000-000026A80000}"/>
    <cellStyle name="Title 6 7 3" xfId="5573" xr:uid="{00000000-0005-0000-0000-000027A80000}"/>
    <cellStyle name="Title 6 7 3 2" xfId="25061" xr:uid="{00000000-0005-0000-0000-000028A80000}"/>
    <cellStyle name="Title 6 7 3 3" xfId="29273" xr:uid="{00000000-0005-0000-0000-000029A80000}"/>
    <cellStyle name="Title 6 7 3 4" xfId="33489" xr:uid="{00000000-0005-0000-0000-00002AA80000}"/>
    <cellStyle name="Title 6 7 3 5" xfId="37693" xr:uid="{00000000-0005-0000-0000-00002BA80000}"/>
    <cellStyle name="Title 6 7 4" xfId="6614" xr:uid="{00000000-0005-0000-0000-00002CA80000}"/>
    <cellStyle name="Title 6 8" xfId="2935" xr:uid="{00000000-0005-0000-0000-00002DA80000}"/>
    <cellStyle name="Title 6 8 2" xfId="5779" xr:uid="{00000000-0005-0000-0000-00002EA80000}"/>
    <cellStyle name="Title 6 8 2 2" xfId="6617" xr:uid="{00000000-0005-0000-0000-00002FA80000}"/>
    <cellStyle name="Title 6 8 3" xfId="5574" xr:uid="{00000000-0005-0000-0000-000030A80000}"/>
    <cellStyle name="Title 6 8 3 2" xfId="25062" xr:uid="{00000000-0005-0000-0000-000031A80000}"/>
    <cellStyle name="Title 6 8 3 3" xfId="29274" xr:uid="{00000000-0005-0000-0000-000032A80000}"/>
    <cellStyle name="Title 6 8 3 4" xfId="33490" xr:uid="{00000000-0005-0000-0000-000033A80000}"/>
    <cellStyle name="Title 6 8 3 5" xfId="37694" xr:uid="{00000000-0005-0000-0000-000034A80000}"/>
    <cellStyle name="Title 6 8 4" xfId="6616" xr:uid="{00000000-0005-0000-0000-000035A80000}"/>
    <cellStyle name="Title 6 9" xfId="2936" xr:uid="{00000000-0005-0000-0000-000036A80000}"/>
    <cellStyle name="Title 6 9 2" xfId="5780" xr:uid="{00000000-0005-0000-0000-000037A80000}"/>
    <cellStyle name="Title 6 9 2 2" xfId="6619" xr:uid="{00000000-0005-0000-0000-000038A80000}"/>
    <cellStyle name="Title 6 9 3" xfId="5575" xr:uid="{00000000-0005-0000-0000-000039A80000}"/>
    <cellStyle name="Title 6 9 3 2" xfId="25063" xr:uid="{00000000-0005-0000-0000-00003AA80000}"/>
    <cellStyle name="Title 6 9 3 3" xfId="29275" xr:uid="{00000000-0005-0000-0000-00003BA80000}"/>
    <cellStyle name="Title 6 9 3 4" xfId="33491" xr:uid="{00000000-0005-0000-0000-00003CA80000}"/>
    <cellStyle name="Title 6 9 3 5" xfId="37695" xr:uid="{00000000-0005-0000-0000-00003DA80000}"/>
    <cellStyle name="Title 6 9 4" xfId="6618" xr:uid="{00000000-0005-0000-0000-00003EA80000}"/>
    <cellStyle name="Title 7" xfId="2937" xr:uid="{00000000-0005-0000-0000-00003FA80000}"/>
    <cellStyle name="Title 7 2" xfId="5781" xr:uid="{00000000-0005-0000-0000-000040A80000}"/>
    <cellStyle name="Title 7 2 2" xfId="6621" xr:uid="{00000000-0005-0000-0000-000041A80000}"/>
    <cellStyle name="Title 7 3" xfId="5576" xr:uid="{00000000-0005-0000-0000-000042A80000}"/>
    <cellStyle name="Title 7 3 2" xfId="25064" xr:uid="{00000000-0005-0000-0000-000043A80000}"/>
    <cellStyle name="Title 7 3 3" xfId="29276" xr:uid="{00000000-0005-0000-0000-000044A80000}"/>
    <cellStyle name="Title 7 3 4" xfId="33492" xr:uid="{00000000-0005-0000-0000-000045A80000}"/>
    <cellStyle name="Title 7 3 5" xfId="37696" xr:uid="{00000000-0005-0000-0000-000046A80000}"/>
    <cellStyle name="Title 7 4" xfId="6620" xr:uid="{00000000-0005-0000-0000-000047A80000}"/>
    <cellStyle name="Title 8" xfId="2938" xr:uid="{00000000-0005-0000-0000-000048A80000}"/>
    <cellStyle name="Title 8 2" xfId="5782" xr:uid="{00000000-0005-0000-0000-000049A80000}"/>
    <cellStyle name="Title 8 2 2" xfId="6623" xr:uid="{00000000-0005-0000-0000-00004AA80000}"/>
    <cellStyle name="Title 8 3" xfId="5577" xr:uid="{00000000-0005-0000-0000-00004BA80000}"/>
    <cellStyle name="Title 8 3 2" xfId="25065" xr:uid="{00000000-0005-0000-0000-00004CA80000}"/>
    <cellStyle name="Title 8 3 3" xfId="29277" xr:uid="{00000000-0005-0000-0000-00004DA80000}"/>
    <cellStyle name="Title 8 3 4" xfId="33493" xr:uid="{00000000-0005-0000-0000-00004EA80000}"/>
    <cellStyle name="Title 8 3 5" xfId="37697" xr:uid="{00000000-0005-0000-0000-00004FA80000}"/>
    <cellStyle name="Title 8 4" xfId="6622" xr:uid="{00000000-0005-0000-0000-000050A80000}"/>
    <cellStyle name="Title 9" xfId="4358" xr:uid="{00000000-0005-0000-0000-000051A80000}"/>
    <cellStyle name="Title 9 2" xfId="5783" xr:uid="{00000000-0005-0000-0000-000052A80000}"/>
    <cellStyle name="Title 9 2 2" xfId="6625" xr:uid="{00000000-0005-0000-0000-000053A80000}"/>
    <cellStyle name="Title 9 3" xfId="5578" xr:uid="{00000000-0005-0000-0000-000054A80000}"/>
    <cellStyle name="Title 9 3 2" xfId="25066" xr:uid="{00000000-0005-0000-0000-000055A80000}"/>
    <cellStyle name="Title 9 3 3" xfId="29278" xr:uid="{00000000-0005-0000-0000-000056A80000}"/>
    <cellStyle name="Title 9 3 4" xfId="33494" xr:uid="{00000000-0005-0000-0000-000057A80000}"/>
    <cellStyle name="Title 9 3 5" xfId="37698" xr:uid="{00000000-0005-0000-0000-000058A80000}"/>
    <cellStyle name="Title 9 4" xfId="6624" xr:uid="{00000000-0005-0000-0000-000059A80000}"/>
    <cellStyle name="Titolo" xfId="9617" xr:uid="{00000000-0005-0000-0000-00005AA80000}"/>
    <cellStyle name="Titolo 1" xfId="9618" xr:uid="{00000000-0005-0000-0000-00005BA80000}"/>
    <cellStyle name="Titolo 2" xfId="9619" xr:uid="{00000000-0005-0000-0000-00005CA80000}"/>
    <cellStyle name="Titolo 3" xfId="9620" xr:uid="{00000000-0005-0000-0000-00005DA80000}"/>
    <cellStyle name="Titolo 3 2" xfId="14994" xr:uid="{00000000-0005-0000-0000-00005EA80000}"/>
    <cellStyle name="Titolo 3 2 2" xfId="20353" xr:uid="{00000000-0005-0000-0000-00005FA80000}"/>
    <cellStyle name="Titolo 3 3" xfId="15059" xr:uid="{00000000-0005-0000-0000-000060A80000}"/>
    <cellStyle name="Titolo 3 3 2" xfId="20440" xr:uid="{00000000-0005-0000-0000-000061A80000}"/>
    <cellStyle name="Titolo 3 4" xfId="16154" xr:uid="{00000000-0005-0000-0000-000062A80000}"/>
    <cellStyle name="Titolo 3 4 2" xfId="21676" xr:uid="{00000000-0005-0000-0000-000063A80000}"/>
    <cellStyle name="Titolo 3 5" xfId="16258" xr:uid="{00000000-0005-0000-0000-000064A80000}"/>
    <cellStyle name="Titolo 3 5 2" xfId="21813" xr:uid="{00000000-0005-0000-0000-000065A80000}"/>
    <cellStyle name="Titolo 3 6" xfId="13315" xr:uid="{00000000-0005-0000-0000-000066A80000}"/>
    <cellStyle name="Titolo 3 7" xfId="18303" xr:uid="{00000000-0005-0000-0000-000067A80000}"/>
    <cellStyle name="Titolo 4" xfId="9621" xr:uid="{00000000-0005-0000-0000-000068A80000}"/>
    <cellStyle name="Titre" xfId="12334" xr:uid="{00000000-0005-0000-0000-000069A80000}"/>
    <cellStyle name="Titre 1" xfId="12335" xr:uid="{00000000-0005-0000-0000-00006AA80000}"/>
    <cellStyle name="Titre 2" xfId="12336" xr:uid="{00000000-0005-0000-0000-00006BA80000}"/>
    <cellStyle name="Titre 3" xfId="12337" xr:uid="{00000000-0005-0000-0000-00006CA80000}"/>
    <cellStyle name="Titre 3 2" xfId="13992" xr:uid="{00000000-0005-0000-0000-00006DA80000}"/>
    <cellStyle name="Titre 3 2 2" xfId="18967" xr:uid="{00000000-0005-0000-0000-00006EA80000}"/>
    <cellStyle name="Titre 3 3" xfId="15009" xr:uid="{00000000-0005-0000-0000-00006FA80000}"/>
    <cellStyle name="Titre 3 3 2" xfId="20370" xr:uid="{00000000-0005-0000-0000-000070A80000}"/>
    <cellStyle name="Titre 3 4" xfId="16060" xr:uid="{00000000-0005-0000-0000-000071A80000}"/>
    <cellStyle name="Titre 3 4 2" xfId="21563" xr:uid="{00000000-0005-0000-0000-000072A80000}"/>
    <cellStyle name="Titre 3 5" xfId="12972" xr:uid="{00000000-0005-0000-0000-000073A80000}"/>
    <cellStyle name="Titre 4" xfId="12338" xr:uid="{00000000-0005-0000-0000-000074A80000}"/>
    <cellStyle name="Total 10" xfId="4359" xr:uid="{00000000-0005-0000-0000-000075A80000}"/>
    <cellStyle name="Total 10 10" xfId="12908" xr:uid="{00000000-0005-0000-0000-000076A80000}"/>
    <cellStyle name="Total 10 11" xfId="17915" xr:uid="{00000000-0005-0000-0000-000077A80000}"/>
    <cellStyle name="Total 10 2" xfId="4360" xr:uid="{00000000-0005-0000-0000-000078A80000}"/>
    <cellStyle name="Total 10 2 10" xfId="18233" xr:uid="{00000000-0005-0000-0000-000079A80000}"/>
    <cellStyle name="Total 10 2 2" xfId="6627" xr:uid="{00000000-0005-0000-0000-00007AA80000}"/>
    <cellStyle name="Total 10 2 2 2" xfId="20275" xr:uid="{00000000-0005-0000-0000-00007BA80000}"/>
    <cellStyle name="Total 10 2 2 3" xfId="14926" xr:uid="{00000000-0005-0000-0000-00007CA80000}"/>
    <cellStyle name="Total 10 2 2 3 2" xfId="24741" xr:uid="{00000000-0005-0000-0000-00007DA80000}"/>
    <cellStyle name="Total 10 2 2 4" xfId="24080" xr:uid="{00000000-0005-0000-0000-00007EA80000}"/>
    <cellStyle name="Total 10 2 3" xfId="11878" xr:uid="{00000000-0005-0000-0000-00007FA80000}"/>
    <cellStyle name="Total 10 2 3 2" xfId="19763" xr:uid="{00000000-0005-0000-0000-000080A80000}"/>
    <cellStyle name="Total 10 2 4" xfId="16182" xr:uid="{00000000-0005-0000-0000-000081A80000}"/>
    <cellStyle name="Total 10 2 4 2" xfId="21733" xr:uid="{00000000-0005-0000-0000-000082A80000}"/>
    <cellStyle name="Total 10 2 5" xfId="16621" xr:uid="{00000000-0005-0000-0000-000083A80000}"/>
    <cellStyle name="Total 10 2 5 2" xfId="22262" xr:uid="{00000000-0005-0000-0000-000084A80000}"/>
    <cellStyle name="Total 10 2 6" xfId="16991" xr:uid="{00000000-0005-0000-0000-000085A80000}"/>
    <cellStyle name="Total 10 2 6 2" xfId="22642" xr:uid="{00000000-0005-0000-0000-000086A80000}"/>
    <cellStyle name="Total 10 2 7" xfId="17711" xr:uid="{00000000-0005-0000-0000-000087A80000}"/>
    <cellStyle name="Total 10 2 7 2" xfId="23356" xr:uid="{00000000-0005-0000-0000-000088A80000}"/>
    <cellStyle name="Total 10 2 8" xfId="13915" xr:uid="{00000000-0005-0000-0000-000089A80000}"/>
    <cellStyle name="Total 10 2 8 2" xfId="18889" xr:uid="{00000000-0005-0000-0000-00008AA80000}"/>
    <cellStyle name="Total 10 2 9" xfId="13244" xr:uid="{00000000-0005-0000-0000-00008BA80000}"/>
    <cellStyle name="Total 10 3" xfId="5579" xr:uid="{00000000-0005-0000-0000-00008CA80000}"/>
    <cellStyle name="Total 10 3 2" xfId="19916" xr:uid="{00000000-0005-0000-0000-00008DA80000}"/>
    <cellStyle name="Total 10 3 3" xfId="14608" xr:uid="{00000000-0005-0000-0000-00008EA80000}"/>
    <cellStyle name="Total 10 3 3 2" xfId="24430" xr:uid="{00000000-0005-0000-0000-00008FA80000}"/>
    <cellStyle name="Total 10 3 4" xfId="23759" xr:uid="{00000000-0005-0000-0000-000090A80000}"/>
    <cellStyle name="Total 10 3 5" xfId="25067" xr:uid="{00000000-0005-0000-0000-000091A80000}"/>
    <cellStyle name="Total 10 3 6" xfId="29279" xr:uid="{00000000-0005-0000-0000-000092A80000}"/>
    <cellStyle name="Total 10 3 7" xfId="33495" xr:uid="{00000000-0005-0000-0000-000093A80000}"/>
    <cellStyle name="Total 10 3 8" xfId="37699" xr:uid="{00000000-0005-0000-0000-000094A80000}"/>
    <cellStyle name="Total 10 4" xfId="6626" xr:uid="{00000000-0005-0000-0000-000095A80000}"/>
    <cellStyle name="Total 10 4 2" xfId="19493" xr:uid="{00000000-0005-0000-0000-000096A80000}"/>
    <cellStyle name="Total 10 4 3" xfId="14355" xr:uid="{00000000-0005-0000-0000-000097A80000}"/>
    <cellStyle name="Total 10 5" xfId="10979" xr:uid="{00000000-0005-0000-0000-000098A80000}"/>
    <cellStyle name="Total 10 5 2" xfId="20476" xr:uid="{00000000-0005-0000-0000-000099A80000}"/>
    <cellStyle name="Total 10 6" xfId="10282" xr:uid="{00000000-0005-0000-0000-00009AA80000}"/>
    <cellStyle name="Total 10 6 2" xfId="21946" xr:uid="{00000000-0005-0000-0000-00009BA80000}"/>
    <cellStyle name="Total 10 7" xfId="16683" xr:uid="{00000000-0005-0000-0000-00009CA80000}"/>
    <cellStyle name="Total 10 7 2" xfId="22324" xr:uid="{00000000-0005-0000-0000-00009DA80000}"/>
    <cellStyle name="Total 10 8" xfId="17390" xr:uid="{00000000-0005-0000-0000-00009EA80000}"/>
    <cellStyle name="Total 10 8 2" xfId="23038" xr:uid="{00000000-0005-0000-0000-00009FA80000}"/>
    <cellStyle name="Total 10 9" xfId="13594" xr:uid="{00000000-0005-0000-0000-0000A0A80000}"/>
    <cellStyle name="Total 10 9 2" xfId="18571" xr:uid="{00000000-0005-0000-0000-0000A1A80000}"/>
    <cellStyle name="Total 11" xfId="44436" xr:uid="{00000000-0005-0000-0000-0000A2A80000}"/>
    <cellStyle name="Total 12" xfId="44437" xr:uid="{00000000-0005-0000-0000-0000A3A80000}"/>
    <cellStyle name="Total 13" xfId="44438" xr:uid="{00000000-0005-0000-0000-0000A4A80000}"/>
    <cellStyle name="Total 14" xfId="44439" xr:uid="{00000000-0005-0000-0000-0000A5A80000}"/>
    <cellStyle name="Total 15" xfId="44440" xr:uid="{00000000-0005-0000-0000-0000A6A80000}"/>
    <cellStyle name="Total 16" xfId="44441" xr:uid="{00000000-0005-0000-0000-0000A7A80000}"/>
    <cellStyle name="Total 17" xfId="44442" xr:uid="{00000000-0005-0000-0000-0000A8A80000}"/>
    <cellStyle name="Total 18" xfId="44443" xr:uid="{00000000-0005-0000-0000-0000A9A80000}"/>
    <cellStyle name="Total 19" xfId="44444" xr:uid="{00000000-0005-0000-0000-0000AAA80000}"/>
    <cellStyle name="Total 2" xfId="2939" xr:uid="{00000000-0005-0000-0000-0000ABA80000}"/>
    <cellStyle name="Total 2 10" xfId="2940" xr:uid="{00000000-0005-0000-0000-0000ACA80000}"/>
    <cellStyle name="Total 2 10 10" xfId="12910" xr:uid="{00000000-0005-0000-0000-0000ADA80000}"/>
    <cellStyle name="Total 2 10 11" xfId="17917" xr:uid="{00000000-0005-0000-0000-0000AEA80000}"/>
    <cellStyle name="Total 2 10 2" xfId="4361" xr:uid="{00000000-0005-0000-0000-0000AFA80000}"/>
    <cellStyle name="Total 2 10 2 10" xfId="18235" xr:uid="{00000000-0005-0000-0000-0000B0A80000}"/>
    <cellStyle name="Total 2 10 2 2" xfId="6630" xr:uid="{00000000-0005-0000-0000-0000B1A80000}"/>
    <cellStyle name="Total 2 10 2 2 2" xfId="20277" xr:uid="{00000000-0005-0000-0000-0000B2A80000}"/>
    <cellStyle name="Total 2 10 2 2 3" xfId="14928" xr:uid="{00000000-0005-0000-0000-0000B3A80000}"/>
    <cellStyle name="Total 2 10 2 2 3 2" xfId="24743" xr:uid="{00000000-0005-0000-0000-0000B4A80000}"/>
    <cellStyle name="Total 2 10 2 2 4" xfId="24082" xr:uid="{00000000-0005-0000-0000-0000B5A80000}"/>
    <cellStyle name="Total 2 10 2 3" xfId="11125" xr:uid="{00000000-0005-0000-0000-0000B6A80000}"/>
    <cellStyle name="Total 2 10 2 3 2" xfId="19765" xr:uid="{00000000-0005-0000-0000-0000B7A80000}"/>
    <cellStyle name="Total 2 10 2 4" xfId="16184" xr:uid="{00000000-0005-0000-0000-0000B8A80000}"/>
    <cellStyle name="Total 2 10 2 4 2" xfId="21735" xr:uid="{00000000-0005-0000-0000-0000B9A80000}"/>
    <cellStyle name="Total 2 10 2 5" xfId="16623" xr:uid="{00000000-0005-0000-0000-0000BAA80000}"/>
    <cellStyle name="Total 2 10 2 5 2" xfId="22264" xr:uid="{00000000-0005-0000-0000-0000BBA80000}"/>
    <cellStyle name="Total 2 10 2 6" xfId="16993" xr:uid="{00000000-0005-0000-0000-0000BCA80000}"/>
    <cellStyle name="Total 2 10 2 6 2" xfId="22644" xr:uid="{00000000-0005-0000-0000-0000BDA80000}"/>
    <cellStyle name="Total 2 10 2 7" xfId="17713" xr:uid="{00000000-0005-0000-0000-0000BEA80000}"/>
    <cellStyle name="Total 2 10 2 7 2" xfId="23358" xr:uid="{00000000-0005-0000-0000-0000BFA80000}"/>
    <cellStyle name="Total 2 10 2 8" xfId="13917" xr:uid="{00000000-0005-0000-0000-0000C0A80000}"/>
    <cellStyle name="Total 2 10 2 8 2" xfId="18891" xr:uid="{00000000-0005-0000-0000-0000C1A80000}"/>
    <cellStyle name="Total 2 10 2 9" xfId="13246" xr:uid="{00000000-0005-0000-0000-0000C2A80000}"/>
    <cellStyle name="Total 2 10 3" xfId="5581" xr:uid="{00000000-0005-0000-0000-0000C3A80000}"/>
    <cellStyle name="Total 2 10 3 2" xfId="19918" xr:uid="{00000000-0005-0000-0000-0000C4A80000}"/>
    <cellStyle name="Total 2 10 3 3" xfId="14610" xr:uid="{00000000-0005-0000-0000-0000C5A80000}"/>
    <cellStyle name="Total 2 10 3 3 2" xfId="24432" xr:uid="{00000000-0005-0000-0000-0000C6A80000}"/>
    <cellStyle name="Total 2 10 3 4" xfId="23761" xr:uid="{00000000-0005-0000-0000-0000C7A80000}"/>
    <cellStyle name="Total 2 10 3 5" xfId="25069" xr:uid="{00000000-0005-0000-0000-0000C8A80000}"/>
    <cellStyle name="Total 2 10 3 6" xfId="29281" xr:uid="{00000000-0005-0000-0000-0000C9A80000}"/>
    <cellStyle name="Total 2 10 3 7" xfId="33497" xr:uid="{00000000-0005-0000-0000-0000CAA80000}"/>
    <cellStyle name="Total 2 10 3 8" xfId="37701" xr:uid="{00000000-0005-0000-0000-0000CBA80000}"/>
    <cellStyle name="Total 2 10 4" xfId="8922" xr:uid="{00000000-0005-0000-0000-0000CCA80000}"/>
    <cellStyle name="Total 2 10 4 2" xfId="9776" xr:uid="{00000000-0005-0000-0000-0000CDA80000}"/>
    <cellStyle name="Total 2 10 4 2 2" xfId="19494" xr:uid="{00000000-0005-0000-0000-0000CEA80000}"/>
    <cellStyle name="Total 2 10 4 3" xfId="14356" xr:uid="{00000000-0005-0000-0000-0000CFA80000}"/>
    <cellStyle name="Total 2 10 5" xfId="6629" xr:uid="{00000000-0005-0000-0000-0000D0A80000}"/>
    <cellStyle name="Total 2 10 5 2" xfId="20474" xr:uid="{00000000-0005-0000-0000-0000D1A80000}"/>
    <cellStyle name="Total 2 10 5 3" xfId="15089" xr:uid="{00000000-0005-0000-0000-0000D2A80000}"/>
    <cellStyle name="Total 2 10 6" xfId="11276" xr:uid="{00000000-0005-0000-0000-0000D3A80000}"/>
    <cellStyle name="Total 2 10 6 2" xfId="21948" xr:uid="{00000000-0005-0000-0000-0000D4A80000}"/>
    <cellStyle name="Total 2 10 7" xfId="10280" xr:uid="{00000000-0005-0000-0000-0000D5A80000}"/>
    <cellStyle name="Total 2 10 7 2" xfId="22326" xr:uid="{00000000-0005-0000-0000-0000D6A80000}"/>
    <cellStyle name="Total 2 10 8" xfId="17392" xr:uid="{00000000-0005-0000-0000-0000D7A80000}"/>
    <cellStyle name="Total 2 10 8 2" xfId="23040" xr:uid="{00000000-0005-0000-0000-0000D8A80000}"/>
    <cellStyle name="Total 2 10 9" xfId="13596" xr:uid="{00000000-0005-0000-0000-0000D9A80000}"/>
    <cellStyle name="Total 2 10 9 2" xfId="18573" xr:uid="{00000000-0005-0000-0000-0000DAA80000}"/>
    <cellStyle name="Total 2 11" xfId="2941" xr:uid="{00000000-0005-0000-0000-0000DBA80000}"/>
    <cellStyle name="Total 2 11 10" xfId="12911" xr:uid="{00000000-0005-0000-0000-0000DCA80000}"/>
    <cellStyle name="Total 2 11 11" xfId="17918" xr:uid="{00000000-0005-0000-0000-0000DDA80000}"/>
    <cellStyle name="Total 2 11 2" xfId="4362" xr:uid="{00000000-0005-0000-0000-0000DEA80000}"/>
    <cellStyle name="Total 2 11 2 10" xfId="18236" xr:uid="{00000000-0005-0000-0000-0000DFA80000}"/>
    <cellStyle name="Total 2 11 2 2" xfId="6632" xr:uid="{00000000-0005-0000-0000-0000E0A80000}"/>
    <cellStyle name="Total 2 11 2 2 2" xfId="20278" xr:uid="{00000000-0005-0000-0000-0000E1A80000}"/>
    <cellStyle name="Total 2 11 2 2 3" xfId="14929" xr:uid="{00000000-0005-0000-0000-0000E2A80000}"/>
    <cellStyle name="Total 2 11 2 2 3 2" xfId="24744" xr:uid="{00000000-0005-0000-0000-0000E3A80000}"/>
    <cellStyle name="Total 2 11 2 2 4" xfId="24083" xr:uid="{00000000-0005-0000-0000-0000E4A80000}"/>
    <cellStyle name="Total 2 11 2 3" xfId="12210" xr:uid="{00000000-0005-0000-0000-0000E5A80000}"/>
    <cellStyle name="Total 2 11 2 3 2" xfId="19766" xr:uid="{00000000-0005-0000-0000-0000E6A80000}"/>
    <cellStyle name="Total 2 11 2 4" xfId="16185" xr:uid="{00000000-0005-0000-0000-0000E7A80000}"/>
    <cellStyle name="Total 2 11 2 4 2" xfId="21736" xr:uid="{00000000-0005-0000-0000-0000E8A80000}"/>
    <cellStyle name="Total 2 11 2 5" xfId="16624" xr:uid="{00000000-0005-0000-0000-0000E9A80000}"/>
    <cellStyle name="Total 2 11 2 5 2" xfId="22265" xr:uid="{00000000-0005-0000-0000-0000EAA80000}"/>
    <cellStyle name="Total 2 11 2 6" xfId="16994" xr:uid="{00000000-0005-0000-0000-0000EBA80000}"/>
    <cellStyle name="Total 2 11 2 6 2" xfId="22645" xr:uid="{00000000-0005-0000-0000-0000ECA80000}"/>
    <cellStyle name="Total 2 11 2 7" xfId="17714" xr:uid="{00000000-0005-0000-0000-0000EDA80000}"/>
    <cellStyle name="Total 2 11 2 7 2" xfId="23359" xr:uid="{00000000-0005-0000-0000-0000EEA80000}"/>
    <cellStyle name="Total 2 11 2 8" xfId="13918" xr:uid="{00000000-0005-0000-0000-0000EFA80000}"/>
    <cellStyle name="Total 2 11 2 8 2" xfId="18892" xr:uid="{00000000-0005-0000-0000-0000F0A80000}"/>
    <cellStyle name="Total 2 11 2 9" xfId="13247" xr:uid="{00000000-0005-0000-0000-0000F1A80000}"/>
    <cellStyle name="Total 2 11 3" xfId="5582" xr:uid="{00000000-0005-0000-0000-0000F2A80000}"/>
    <cellStyle name="Total 2 11 3 2" xfId="19919" xr:uid="{00000000-0005-0000-0000-0000F3A80000}"/>
    <cellStyle name="Total 2 11 3 3" xfId="14611" xr:uid="{00000000-0005-0000-0000-0000F4A80000}"/>
    <cellStyle name="Total 2 11 3 3 2" xfId="24433" xr:uid="{00000000-0005-0000-0000-0000F5A80000}"/>
    <cellStyle name="Total 2 11 3 4" xfId="23762" xr:uid="{00000000-0005-0000-0000-0000F6A80000}"/>
    <cellStyle name="Total 2 11 3 5" xfId="25070" xr:uid="{00000000-0005-0000-0000-0000F7A80000}"/>
    <cellStyle name="Total 2 11 3 6" xfId="29282" xr:uid="{00000000-0005-0000-0000-0000F8A80000}"/>
    <cellStyle name="Total 2 11 3 7" xfId="33498" xr:uid="{00000000-0005-0000-0000-0000F9A80000}"/>
    <cellStyle name="Total 2 11 3 8" xfId="37702" xr:uid="{00000000-0005-0000-0000-0000FAA80000}"/>
    <cellStyle name="Total 2 11 4" xfId="6631" xr:uid="{00000000-0005-0000-0000-0000FBA80000}"/>
    <cellStyle name="Total 2 11 4 2" xfId="20125" xr:uid="{00000000-0005-0000-0000-0000FCA80000}"/>
    <cellStyle name="Total 2 11 4 3" xfId="14804" xr:uid="{00000000-0005-0000-0000-0000FDA80000}"/>
    <cellStyle name="Total 2 11 5" xfId="12218" xr:uid="{00000000-0005-0000-0000-0000FEA80000}"/>
    <cellStyle name="Total 2 11 5 2" xfId="20473" xr:uid="{00000000-0005-0000-0000-0000FFA80000}"/>
    <cellStyle name="Total 2 11 6" xfId="10936" xr:uid="{00000000-0005-0000-0000-000000A90000}"/>
    <cellStyle name="Total 2 11 6 2" xfId="21949" xr:uid="{00000000-0005-0000-0000-000001A90000}"/>
    <cellStyle name="Total 2 11 7" xfId="16685" xr:uid="{00000000-0005-0000-0000-000002A90000}"/>
    <cellStyle name="Total 2 11 7 2" xfId="22327" xr:uid="{00000000-0005-0000-0000-000003A90000}"/>
    <cellStyle name="Total 2 11 8" xfId="17393" xr:uid="{00000000-0005-0000-0000-000004A90000}"/>
    <cellStyle name="Total 2 11 8 2" xfId="23041" xr:uid="{00000000-0005-0000-0000-000005A90000}"/>
    <cellStyle name="Total 2 11 9" xfId="13597" xr:uid="{00000000-0005-0000-0000-000006A90000}"/>
    <cellStyle name="Total 2 11 9 2" xfId="18574" xr:uid="{00000000-0005-0000-0000-000007A90000}"/>
    <cellStyle name="Total 2 12" xfId="4363" xr:uid="{00000000-0005-0000-0000-000008A90000}"/>
    <cellStyle name="Total 2 12 10" xfId="18234" xr:uid="{00000000-0005-0000-0000-000009A90000}"/>
    <cellStyle name="Total 2 12 2" xfId="6633" xr:uid="{00000000-0005-0000-0000-00000AA90000}"/>
    <cellStyle name="Total 2 12 2 2" xfId="20276" xr:uid="{00000000-0005-0000-0000-00000BA90000}"/>
    <cellStyle name="Total 2 12 2 3" xfId="14927" xr:uid="{00000000-0005-0000-0000-00000CA90000}"/>
    <cellStyle name="Total 2 12 2 3 2" xfId="24742" xr:uid="{00000000-0005-0000-0000-00000DA90000}"/>
    <cellStyle name="Total 2 12 2 4" xfId="24081" xr:uid="{00000000-0005-0000-0000-00000EA90000}"/>
    <cellStyle name="Total 2 12 3" xfId="12202" xr:uid="{00000000-0005-0000-0000-00000FA90000}"/>
    <cellStyle name="Total 2 12 3 2" xfId="19764" xr:uid="{00000000-0005-0000-0000-000010A90000}"/>
    <cellStyle name="Total 2 12 4" xfId="16183" xr:uid="{00000000-0005-0000-0000-000011A90000}"/>
    <cellStyle name="Total 2 12 4 2" xfId="21734" xr:uid="{00000000-0005-0000-0000-000012A90000}"/>
    <cellStyle name="Total 2 12 5" xfId="16622" xr:uid="{00000000-0005-0000-0000-000013A90000}"/>
    <cellStyle name="Total 2 12 5 2" xfId="22263" xr:uid="{00000000-0005-0000-0000-000014A90000}"/>
    <cellStyle name="Total 2 12 6" xfId="16992" xr:uid="{00000000-0005-0000-0000-000015A90000}"/>
    <cellStyle name="Total 2 12 6 2" xfId="22643" xr:uid="{00000000-0005-0000-0000-000016A90000}"/>
    <cellStyle name="Total 2 12 7" xfId="17712" xr:uid="{00000000-0005-0000-0000-000017A90000}"/>
    <cellStyle name="Total 2 12 7 2" xfId="23357" xr:uid="{00000000-0005-0000-0000-000018A90000}"/>
    <cellStyle name="Total 2 12 8" xfId="13916" xr:uid="{00000000-0005-0000-0000-000019A90000}"/>
    <cellStyle name="Total 2 12 8 2" xfId="18890" xr:uid="{00000000-0005-0000-0000-00001AA90000}"/>
    <cellStyle name="Total 2 12 9" xfId="13245" xr:uid="{00000000-0005-0000-0000-00001BA90000}"/>
    <cellStyle name="Total 2 13" xfId="5580" xr:uid="{00000000-0005-0000-0000-00001CA90000}"/>
    <cellStyle name="Total 2 13 2" xfId="19917" xr:uid="{00000000-0005-0000-0000-00001DA90000}"/>
    <cellStyle name="Total 2 13 3" xfId="14609" xr:uid="{00000000-0005-0000-0000-00001EA90000}"/>
    <cellStyle name="Total 2 13 3 2" xfId="24431" xr:uid="{00000000-0005-0000-0000-00001FA90000}"/>
    <cellStyle name="Total 2 13 4" xfId="23760" xr:uid="{00000000-0005-0000-0000-000020A90000}"/>
    <cellStyle name="Total 2 13 5" xfId="25068" xr:uid="{00000000-0005-0000-0000-000021A90000}"/>
    <cellStyle name="Total 2 13 6" xfId="29280" xr:uid="{00000000-0005-0000-0000-000022A90000}"/>
    <cellStyle name="Total 2 13 7" xfId="33496" xr:uid="{00000000-0005-0000-0000-000023A90000}"/>
    <cellStyle name="Total 2 13 8" xfId="37700" xr:uid="{00000000-0005-0000-0000-000024A90000}"/>
    <cellStyle name="Total 2 14" xfId="7198" xr:uid="{00000000-0005-0000-0000-000025A90000}"/>
    <cellStyle name="Total 2 14 2" xfId="11844" xr:uid="{00000000-0005-0000-0000-000026A90000}"/>
    <cellStyle name="Total 2 14 2 2" xfId="46200" xr:uid="{00000000-0005-0000-0000-000027A90000}"/>
    <cellStyle name="Total 2 14 3" xfId="44934" xr:uid="{00000000-0005-0000-0000-000028A90000}"/>
    <cellStyle name="Total 2 15" xfId="6628" xr:uid="{00000000-0005-0000-0000-000029A90000}"/>
    <cellStyle name="Total 2 15 2" xfId="20475" xr:uid="{00000000-0005-0000-0000-00002AA90000}"/>
    <cellStyle name="Total 2 15 3" xfId="15090" xr:uid="{00000000-0005-0000-0000-00002BA90000}"/>
    <cellStyle name="Total 2 16" xfId="10281" xr:uid="{00000000-0005-0000-0000-00002CA90000}"/>
    <cellStyle name="Total 2 16 2" xfId="21947" xr:uid="{00000000-0005-0000-0000-00002DA90000}"/>
    <cellStyle name="Total 2 17" xfId="16684" xr:uid="{00000000-0005-0000-0000-00002EA90000}"/>
    <cellStyle name="Total 2 17 2" xfId="22325" xr:uid="{00000000-0005-0000-0000-00002FA90000}"/>
    <cellStyle name="Total 2 18" xfId="17391" xr:uid="{00000000-0005-0000-0000-000030A90000}"/>
    <cellStyle name="Total 2 18 2" xfId="23039" xr:uid="{00000000-0005-0000-0000-000031A90000}"/>
    <cellStyle name="Total 2 19" xfId="13595" xr:uid="{00000000-0005-0000-0000-000032A90000}"/>
    <cellStyle name="Total 2 19 2" xfId="18572" xr:uid="{00000000-0005-0000-0000-000033A90000}"/>
    <cellStyle name="Total 2 2" xfId="2942" xr:uid="{00000000-0005-0000-0000-000034A90000}"/>
    <cellStyle name="Total 2 2 10" xfId="12912" xr:uid="{00000000-0005-0000-0000-000035A90000}"/>
    <cellStyle name="Total 2 2 11" xfId="17919" xr:uid="{00000000-0005-0000-0000-000036A90000}"/>
    <cellStyle name="Total 2 2 2" xfId="4364" xr:uid="{00000000-0005-0000-0000-000037A90000}"/>
    <cellStyle name="Total 2 2 2 10" xfId="18237" xr:uid="{00000000-0005-0000-0000-000038A90000}"/>
    <cellStyle name="Total 2 2 2 2" xfId="6635" xr:uid="{00000000-0005-0000-0000-000039A90000}"/>
    <cellStyle name="Total 2 2 2 2 2" xfId="20279" xr:uid="{00000000-0005-0000-0000-00003AA90000}"/>
    <cellStyle name="Total 2 2 2 2 3" xfId="14930" xr:uid="{00000000-0005-0000-0000-00003BA90000}"/>
    <cellStyle name="Total 2 2 2 2 3 2" xfId="24745" xr:uid="{00000000-0005-0000-0000-00003CA90000}"/>
    <cellStyle name="Total 2 2 2 2 4" xfId="24084" xr:uid="{00000000-0005-0000-0000-00003DA90000}"/>
    <cellStyle name="Total 2 2 2 3" xfId="12186" xr:uid="{00000000-0005-0000-0000-00003EA90000}"/>
    <cellStyle name="Total 2 2 2 3 2" xfId="19768" xr:uid="{00000000-0005-0000-0000-00003FA90000}"/>
    <cellStyle name="Total 2 2 2 4" xfId="16186" xr:uid="{00000000-0005-0000-0000-000040A90000}"/>
    <cellStyle name="Total 2 2 2 4 2" xfId="21737" xr:uid="{00000000-0005-0000-0000-000041A90000}"/>
    <cellStyle name="Total 2 2 2 5" xfId="16625" xr:uid="{00000000-0005-0000-0000-000042A90000}"/>
    <cellStyle name="Total 2 2 2 5 2" xfId="22266" xr:uid="{00000000-0005-0000-0000-000043A90000}"/>
    <cellStyle name="Total 2 2 2 6" xfId="16995" xr:uid="{00000000-0005-0000-0000-000044A90000}"/>
    <cellStyle name="Total 2 2 2 6 2" xfId="22646" xr:uid="{00000000-0005-0000-0000-000045A90000}"/>
    <cellStyle name="Total 2 2 2 7" xfId="17715" xr:uid="{00000000-0005-0000-0000-000046A90000}"/>
    <cellStyle name="Total 2 2 2 7 2" xfId="23360" xr:uid="{00000000-0005-0000-0000-000047A90000}"/>
    <cellStyle name="Total 2 2 2 8" xfId="13919" xr:uid="{00000000-0005-0000-0000-000048A90000}"/>
    <cellStyle name="Total 2 2 2 8 2" xfId="18893" xr:uid="{00000000-0005-0000-0000-000049A90000}"/>
    <cellStyle name="Total 2 2 2 9" xfId="13248" xr:uid="{00000000-0005-0000-0000-00004AA90000}"/>
    <cellStyle name="Total 2 2 3" xfId="5583" xr:uid="{00000000-0005-0000-0000-00004BA90000}"/>
    <cellStyle name="Total 2 2 3 2" xfId="19920" xr:uid="{00000000-0005-0000-0000-00004CA90000}"/>
    <cellStyle name="Total 2 2 3 3" xfId="14612" xr:uid="{00000000-0005-0000-0000-00004DA90000}"/>
    <cellStyle name="Total 2 2 3 3 2" xfId="24434" xr:uid="{00000000-0005-0000-0000-00004EA90000}"/>
    <cellStyle name="Total 2 2 3 4" xfId="23763" xr:uid="{00000000-0005-0000-0000-00004FA90000}"/>
    <cellStyle name="Total 2 2 3 5" xfId="25071" xr:uid="{00000000-0005-0000-0000-000050A90000}"/>
    <cellStyle name="Total 2 2 3 6" xfId="29283" xr:uid="{00000000-0005-0000-0000-000051A90000}"/>
    <cellStyle name="Total 2 2 3 7" xfId="33499" xr:uid="{00000000-0005-0000-0000-000052A90000}"/>
    <cellStyle name="Total 2 2 3 8" xfId="37703" xr:uid="{00000000-0005-0000-0000-000053A90000}"/>
    <cellStyle name="Total 2 2 4" xfId="8923" xr:uid="{00000000-0005-0000-0000-000054A90000}"/>
    <cellStyle name="Total 2 2 4 2" xfId="9777" xr:uid="{00000000-0005-0000-0000-000055A90000}"/>
    <cellStyle name="Total 2 2 4 2 2" xfId="19495" xr:uid="{00000000-0005-0000-0000-000056A90000}"/>
    <cellStyle name="Total 2 2 4 3" xfId="14357" xr:uid="{00000000-0005-0000-0000-000057A90000}"/>
    <cellStyle name="Total 2 2 5" xfId="6634" xr:uid="{00000000-0005-0000-0000-000058A90000}"/>
    <cellStyle name="Total 2 2 5 2" xfId="20472" xr:uid="{00000000-0005-0000-0000-000059A90000}"/>
    <cellStyle name="Total 2 2 5 3" xfId="15088" xr:uid="{00000000-0005-0000-0000-00005AA90000}"/>
    <cellStyle name="Total 2 2 6" xfId="12194" xr:uid="{00000000-0005-0000-0000-00005BA90000}"/>
    <cellStyle name="Total 2 2 6 2" xfId="21950" xr:uid="{00000000-0005-0000-0000-00005CA90000}"/>
    <cellStyle name="Total 2 2 7" xfId="10924" xr:uid="{00000000-0005-0000-0000-00005DA90000}"/>
    <cellStyle name="Total 2 2 7 2" xfId="22328" xr:uid="{00000000-0005-0000-0000-00005EA90000}"/>
    <cellStyle name="Total 2 2 8" xfId="17394" xr:uid="{00000000-0005-0000-0000-00005FA90000}"/>
    <cellStyle name="Total 2 2 8 2" xfId="23042" xr:uid="{00000000-0005-0000-0000-000060A90000}"/>
    <cellStyle name="Total 2 2 9" xfId="13598" xr:uid="{00000000-0005-0000-0000-000061A90000}"/>
    <cellStyle name="Total 2 2 9 2" xfId="18575" xr:uid="{00000000-0005-0000-0000-000062A90000}"/>
    <cellStyle name="Total 2 20" xfId="12909" xr:uid="{00000000-0005-0000-0000-000063A90000}"/>
    <cellStyle name="Total 2 21" xfId="17916" xr:uid="{00000000-0005-0000-0000-000064A90000}"/>
    <cellStyle name="Total 2 3" xfId="2943" xr:uid="{00000000-0005-0000-0000-000065A90000}"/>
    <cellStyle name="Total 2 3 10" xfId="12913" xr:uid="{00000000-0005-0000-0000-000066A90000}"/>
    <cellStyle name="Total 2 3 11" xfId="17920" xr:uid="{00000000-0005-0000-0000-000067A90000}"/>
    <cellStyle name="Total 2 3 2" xfId="4365" xr:uid="{00000000-0005-0000-0000-000068A90000}"/>
    <cellStyle name="Total 2 3 2 10" xfId="18238" xr:uid="{00000000-0005-0000-0000-000069A90000}"/>
    <cellStyle name="Total 2 3 2 2" xfId="6637" xr:uid="{00000000-0005-0000-0000-00006AA90000}"/>
    <cellStyle name="Total 2 3 2 2 2" xfId="20280" xr:uid="{00000000-0005-0000-0000-00006BA90000}"/>
    <cellStyle name="Total 2 3 2 2 3" xfId="14931" xr:uid="{00000000-0005-0000-0000-00006CA90000}"/>
    <cellStyle name="Total 2 3 2 2 3 2" xfId="24746" xr:uid="{00000000-0005-0000-0000-00006DA90000}"/>
    <cellStyle name="Total 2 3 2 2 4" xfId="24085" xr:uid="{00000000-0005-0000-0000-00006EA90000}"/>
    <cellStyle name="Total 2 3 2 3" xfId="10983" xr:uid="{00000000-0005-0000-0000-00006FA90000}"/>
    <cellStyle name="Total 2 3 2 3 2" xfId="19769" xr:uid="{00000000-0005-0000-0000-000070A90000}"/>
    <cellStyle name="Total 2 3 2 4" xfId="16187" xr:uid="{00000000-0005-0000-0000-000071A90000}"/>
    <cellStyle name="Total 2 3 2 4 2" xfId="21738" xr:uid="{00000000-0005-0000-0000-000072A90000}"/>
    <cellStyle name="Total 2 3 2 5" xfId="16626" xr:uid="{00000000-0005-0000-0000-000073A90000}"/>
    <cellStyle name="Total 2 3 2 5 2" xfId="22267" xr:uid="{00000000-0005-0000-0000-000074A90000}"/>
    <cellStyle name="Total 2 3 2 6" xfId="16996" xr:uid="{00000000-0005-0000-0000-000075A90000}"/>
    <cellStyle name="Total 2 3 2 6 2" xfId="22647" xr:uid="{00000000-0005-0000-0000-000076A90000}"/>
    <cellStyle name="Total 2 3 2 7" xfId="17716" xr:uid="{00000000-0005-0000-0000-000077A90000}"/>
    <cellStyle name="Total 2 3 2 7 2" xfId="23361" xr:uid="{00000000-0005-0000-0000-000078A90000}"/>
    <cellStyle name="Total 2 3 2 8" xfId="13920" xr:uid="{00000000-0005-0000-0000-000079A90000}"/>
    <cellStyle name="Total 2 3 2 8 2" xfId="18894" xr:uid="{00000000-0005-0000-0000-00007AA90000}"/>
    <cellStyle name="Total 2 3 2 9" xfId="13249" xr:uid="{00000000-0005-0000-0000-00007BA90000}"/>
    <cellStyle name="Total 2 3 3" xfId="5584" xr:uid="{00000000-0005-0000-0000-00007CA90000}"/>
    <cellStyle name="Total 2 3 3 2" xfId="19921" xr:uid="{00000000-0005-0000-0000-00007DA90000}"/>
    <cellStyle name="Total 2 3 3 3" xfId="14613" xr:uid="{00000000-0005-0000-0000-00007EA90000}"/>
    <cellStyle name="Total 2 3 3 3 2" xfId="24435" xr:uid="{00000000-0005-0000-0000-00007FA90000}"/>
    <cellStyle name="Total 2 3 3 4" xfId="23764" xr:uid="{00000000-0005-0000-0000-000080A90000}"/>
    <cellStyle name="Total 2 3 3 5" xfId="25072" xr:uid="{00000000-0005-0000-0000-000081A90000}"/>
    <cellStyle name="Total 2 3 3 6" xfId="29284" xr:uid="{00000000-0005-0000-0000-000082A90000}"/>
    <cellStyle name="Total 2 3 3 7" xfId="33500" xr:uid="{00000000-0005-0000-0000-000083A90000}"/>
    <cellStyle name="Total 2 3 3 8" xfId="37704" xr:uid="{00000000-0005-0000-0000-000084A90000}"/>
    <cellStyle name="Total 2 3 4" xfId="8924" xr:uid="{00000000-0005-0000-0000-000085A90000}"/>
    <cellStyle name="Total 2 3 4 2" xfId="9778" xr:uid="{00000000-0005-0000-0000-000086A90000}"/>
    <cellStyle name="Total 2 3 4 2 2" xfId="20126" xr:uid="{00000000-0005-0000-0000-000087A90000}"/>
    <cellStyle name="Total 2 3 4 3" xfId="14805" xr:uid="{00000000-0005-0000-0000-000088A90000}"/>
    <cellStyle name="Total 2 3 5" xfId="6636" xr:uid="{00000000-0005-0000-0000-000089A90000}"/>
    <cellStyle name="Total 2 3 5 2" xfId="20471" xr:uid="{00000000-0005-0000-0000-00008AA90000}"/>
    <cellStyle name="Total 2 3 5 3" xfId="15087" xr:uid="{00000000-0005-0000-0000-00008BA90000}"/>
    <cellStyle name="Total 2 3 6" xfId="11270" xr:uid="{00000000-0005-0000-0000-00008CA90000}"/>
    <cellStyle name="Total 2 3 6 2" xfId="21951" xr:uid="{00000000-0005-0000-0000-00008DA90000}"/>
    <cellStyle name="Total 2 3 7" xfId="10909" xr:uid="{00000000-0005-0000-0000-00008EA90000}"/>
    <cellStyle name="Total 2 3 7 2" xfId="22329" xr:uid="{00000000-0005-0000-0000-00008FA90000}"/>
    <cellStyle name="Total 2 3 8" xfId="17395" xr:uid="{00000000-0005-0000-0000-000090A90000}"/>
    <cellStyle name="Total 2 3 8 2" xfId="23043" xr:uid="{00000000-0005-0000-0000-000091A90000}"/>
    <cellStyle name="Total 2 3 9" xfId="13599" xr:uid="{00000000-0005-0000-0000-000092A90000}"/>
    <cellStyle name="Total 2 3 9 2" xfId="18576" xr:uid="{00000000-0005-0000-0000-000093A90000}"/>
    <cellStyle name="Total 2 4" xfId="2944" xr:uid="{00000000-0005-0000-0000-000094A90000}"/>
    <cellStyle name="Total 2 4 10" xfId="12914" xr:uid="{00000000-0005-0000-0000-000095A90000}"/>
    <cellStyle name="Total 2 4 11" xfId="17921" xr:uid="{00000000-0005-0000-0000-000096A90000}"/>
    <cellStyle name="Total 2 4 2" xfId="4366" xr:uid="{00000000-0005-0000-0000-000097A90000}"/>
    <cellStyle name="Total 2 4 2 10" xfId="18239" xr:uid="{00000000-0005-0000-0000-000098A90000}"/>
    <cellStyle name="Total 2 4 2 2" xfId="6639" xr:uid="{00000000-0005-0000-0000-000099A90000}"/>
    <cellStyle name="Total 2 4 2 2 2" xfId="20281" xr:uid="{00000000-0005-0000-0000-00009AA90000}"/>
    <cellStyle name="Total 2 4 2 2 3" xfId="14932" xr:uid="{00000000-0005-0000-0000-00009BA90000}"/>
    <cellStyle name="Total 2 4 2 2 3 2" xfId="24747" xr:uid="{00000000-0005-0000-0000-00009CA90000}"/>
    <cellStyle name="Total 2 4 2 2 4" xfId="24086" xr:uid="{00000000-0005-0000-0000-00009DA90000}"/>
    <cellStyle name="Total 2 4 2 3" xfId="11126" xr:uid="{00000000-0005-0000-0000-00009EA90000}"/>
    <cellStyle name="Total 2 4 2 3 2" xfId="20355" xr:uid="{00000000-0005-0000-0000-00009FA90000}"/>
    <cellStyle name="Total 2 4 2 4" xfId="16188" xr:uid="{00000000-0005-0000-0000-0000A0A90000}"/>
    <cellStyle name="Total 2 4 2 4 2" xfId="21739" xr:uid="{00000000-0005-0000-0000-0000A1A90000}"/>
    <cellStyle name="Total 2 4 2 5" xfId="16627" xr:uid="{00000000-0005-0000-0000-0000A2A90000}"/>
    <cellStyle name="Total 2 4 2 5 2" xfId="22268" xr:uid="{00000000-0005-0000-0000-0000A3A90000}"/>
    <cellStyle name="Total 2 4 2 6" xfId="16997" xr:uid="{00000000-0005-0000-0000-0000A4A90000}"/>
    <cellStyle name="Total 2 4 2 6 2" xfId="22648" xr:uid="{00000000-0005-0000-0000-0000A5A90000}"/>
    <cellStyle name="Total 2 4 2 7" xfId="17717" xr:uid="{00000000-0005-0000-0000-0000A6A90000}"/>
    <cellStyle name="Total 2 4 2 7 2" xfId="23362" xr:uid="{00000000-0005-0000-0000-0000A7A90000}"/>
    <cellStyle name="Total 2 4 2 8" xfId="13921" xr:uid="{00000000-0005-0000-0000-0000A8A90000}"/>
    <cellStyle name="Total 2 4 2 8 2" xfId="18895" xr:uid="{00000000-0005-0000-0000-0000A9A90000}"/>
    <cellStyle name="Total 2 4 2 9" xfId="13250" xr:uid="{00000000-0005-0000-0000-0000AAA90000}"/>
    <cellStyle name="Total 2 4 3" xfId="5585" xr:uid="{00000000-0005-0000-0000-0000ABA90000}"/>
    <cellStyle name="Total 2 4 3 2" xfId="19922" xr:uid="{00000000-0005-0000-0000-0000ACA90000}"/>
    <cellStyle name="Total 2 4 3 3" xfId="14614" xr:uid="{00000000-0005-0000-0000-0000ADA90000}"/>
    <cellStyle name="Total 2 4 3 3 2" xfId="24436" xr:uid="{00000000-0005-0000-0000-0000AEA90000}"/>
    <cellStyle name="Total 2 4 3 4" xfId="23765" xr:uid="{00000000-0005-0000-0000-0000AFA90000}"/>
    <cellStyle name="Total 2 4 3 5" xfId="25073" xr:uid="{00000000-0005-0000-0000-0000B0A90000}"/>
    <cellStyle name="Total 2 4 3 6" xfId="29285" xr:uid="{00000000-0005-0000-0000-0000B1A90000}"/>
    <cellStyle name="Total 2 4 3 7" xfId="33501" xr:uid="{00000000-0005-0000-0000-0000B2A90000}"/>
    <cellStyle name="Total 2 4 3 8" xfId="37705" xr:uid="{00000000-0005-0000-0000-0000B3A90000}"/>
    <cellStyle name="Total 2 4 4" xfId="8925" xr:uid="{00000000-0005-0000-0000-0000B4A90000}"/>
    <cellStyle name="Total 2 4 4 2" xfId="9779" xr:uid="{00000000-0005-0000-0000-0000B5A90000}"/>
    <cellStyle name="Total 2 4 4 2 2" xfId="19496" xr:uid="{00000000-0005-0000-0000-0000B6A90000}"/>
    <cellStyle name="Total 2 4 4 3" xfId="14358" xr:uid="{00000000-0005-0000-0000-0000B7A90000}"/>
    <cellStyle name="Total 2 4 5" xfId="6638" xr:uid="{00000000-0005-0000-0000-0000B8A90000}"/>
    <cellStyle name="Total 2 4 5 2" xfId="20454" xr:uid="{00000000-0005-0000-0000-0000B9A90000}"/>
    <cellStyle name="Total 2 4 5 3" xfId="15067" xr:uid="{00000000-0005-0000-0000-0000BAA90000}"/>
    <cellStyle name="Total 2 4 6" xfId="11880" xr:uid="{00000000-0005-0000-0000-0000BBA90000}"/>
    <cellStyle name="Total 2 4 6 2" xfId="21952" xr:uid="{00000000-0005-0000-0000-0000BCA90000}"/>
    <cellStyle name="Total 2 4 7" xfId="10895" xr:uid="{00000000-0005-0000-0000-0000BDA90000}"/>
    <cellStyle name="Total 2 4 7 2" xfId="22330" xr:uid="{00000000-0005-0000-0000-0000BEA90000}"/>
    <cellStyle name="Total 2 4 8" xfId="17396" xr:uid="{00000000-0005-0000-0000-0000BFA90000}"/>
    <cellStyle name="Total 2 4 8 2" xfId="23044" xr:uid="{00000000-0005-0000-0000-0000C0A90000}"/>
    <cellStyle name="Total 2 4 9" xfId="13600" xr:uid="{00000000-0005-0000-0000-0000C1A90000}"/>
    <cellStyle name="Total 2 4 9 2" xfId="18577" xr:uid="{00000000-0005-0000-0000-0000C2A90000}"/>
    <cellStyle name="Total 2 5" xfId="2945" xr:uid="{00000000-0005-0000-0000-0000C3A90000}"/>
    <cellStyle name="Total 2 5 10" xfId="12915" xr:uid="{00000000-0005-0000-0000-0000C4A90000}"/>
    <cellStyle name="Total 2 5 11" xfId="17922" xr:uid="{00000000-0005-0000-0000-0000C5A90000}"/>
    <cellStyle name="Total 2 5 2" xfId="4367" xr:uid="{00000000-0005-0000-0000-0000C6A90000}"/>
    <cellStyle name="Total 2 5 2 10" xfId="18240" xr:uid="{00000000-0005-0000-0000-0000C7A90000}"/>
    <cellStyle name="Total 2 5 2 2" xfId="6641" xr:uid="{00000000-0005-0000-0000-0000C8A90000}"/>
    <cellStyle name="Total 2 5 2 2 2" xfId="20282" xr:uid="{00000000-0005-0000-0000-0000C9A90000}"/>
    <cellStyle name="Total 2 5 2 2 3" xfId="14933" xr:uid="{00000000-0005-0000-0000-0000CAA90000}"/>
    <cellStyle name="Total 2 5 2 2 3 2" xfId="24748" xr:uid="{00000000-0005-0000-0000-0000CBA90000}"/>
    <cellStyle name="Total 2 5 2 2 4" xfId="24087" xr:uid="{00000000-0005-0000-0000-0000CCA90000}"/>
    <cellStyle name="Total 2 5 2 3" xfId="11050" xr:uid="{00000000-0005-0000-0000-0000CDA90000}"/>
    <cellStyle name="Total 2 5 2 3 2" xfId="18977" xr:uid="{00000000-0005-0000-0000-0000CEA90000}"/>
    <cellStyle name="Total 2 5 2 4" xfId="16189" xr:uid="{00000000-0005-0000-0000-0000CFA90000}"/>
    <cellStyle name="Total 2 5 2 4 2" xfId="21740" xr:uid="{00000000-0005-0000-0000-0000D0A90000}"/>
    <cellStyle name="Total 2 5 2 5" xfId="16628" xr:uid="{00000000-0005-0000-0000-0000D1A90000}"/>
    <cellStyle name="Total 2 5 2 5 2" xfId="22269" xr:uid="{00000000-0005-0000-0000-0000D2A90000}"/>
    <cellStyle name="Total 2 5 2 6" xfId="16998" xr:uid="{00000000-0005-0000-0000-0000D3A90000}"/>
    <cellStyle name="Total 2 5 2 6 2" xfId="22649" xr:uid="{00000000-0005-0000-0000-0000D4A90000}"/>
    <cellStyle name="Total 2 5 2 7" xfId="17718" xr:uid="{00000000-0005-0000-0000-0000D5A90000}"/>
    <cellStyle name="Total 2 5 2 7 2" xfId="23363" xr:uid="{00000000-0005-0000-0000-0000D6A90000}"/>
    <cellStyle name="Total 2 5 2 8" xfId="13922" xr:uid="{00000000-0005-0000-0000-0000D7A90000}"/>
    <cellStyle name="Total 2 5 2 8 2" xfId="18896" xr:uid="{00000000-0005-0000-0000-0000D8A90000}"/>
    <cellStyle name="Total 2 5 2 9" xfId="13251" xr:uid="{00000000-0005-0000-0000-0000D9A90000}"/>
    <cellStyle name="Total 2 5 3" xfId="5586" xr:uid="{00000000-0005-0000-0000-0000DAA90000}"/>
    <cellStyle name="Total 2 5 3 2" xfId="19923" xr:uid="{00000000-0005-0000-0000-0000DBA90000}"/>
    <cellStyle name="Total 2 5 3 3" xfId="14615" xr:uid="{00000000-0005-0000-0000-0000DCA90000}"/>
    <cellStyle name="Total 2 5 3 3 2" xfId="24437" xr:uid="{00000000-0005-0000-0000-0000DDA90000}"/>
    <cellStyle name="Total 2 5 3 4" xfId="23766" xr:uid="{00000000-0005-0000-0000-0000DEA90000}"/>
    <cellStyle name="Total 2 5 3 5" xfId="25074" xr:uid="{00000000-0005-0000-0000-0000DFA90000}"/>
    <cellStyle name="Total 2 5 3 6" xfId="29286" xr:uid="{00000000-0005-0000-0000-0000E0A90000}"/>
    <cellStyle name="Total 2 5 3 7" xfId="33502" xr:uid="{00000000-0005-0000-0000-0000E1A90000}"/>
    <cellStyle name="Total 2 5 3 8" xfId="37706" xr:uid="{00000000-0005-0000-0000-0000E2A90000}"/>
    <cellStyle name="Total 2 5 4" xfId="8926" xr:uid="{00000000-0005-0000-0000-0000E3A90000}"/>
    <cellStyle name="Total 2 5 4 2" xfId="9780" xr:uid="{00000000-0005-0000-0000-0000E4A90000}"/>
    <cellStyle name="Total 2 5 4 2 2" xfId="20127" xr:uid="{00000000-0005-0000-0000-0000E5A90000}"/>
    <cellStyle name="Total 2 5 4 3" xfId="14806" xr:uid="{00000000-0005-0000-0000-0000E6A90000}"/>
    <cellStyle name="Total 2 5 5" xfId="6640" xr:uid="{00000000-0005-0000-0000-0000E7A90000}"/>
    <cellStyle name="Total 2 5 5 2" xfId="20453" xr:uid="{00000000-0005-0000-0000-0000E8A90000}"/>
    <cellStyle name="Total 2 5 5 3" xfId="15066" xr:uid="{00000000-0005-0000-0000-0000E9A90000}"/>
    <cellStyle name="Total 2 5 6" xfId="10996" xr:uid="{00000000-0005-0000-0000-0000EAA90000}"/>
    <cellStyle name="Total 2 5 6 2" xfId="21953" xr:uid="{00000000-0005-0000-0000-0000EBA90000}"/>
    <cellStyle name="Total 2 5 7" xfId="10879" xr:uid="{00000000-0005-0000-0000-0000ECA90000}"/>
    <cellStyle name="Total 2 5 7 2" xfId="22331" xr:uid="{00000000-0005-0000-0000-0000EDA90000}"/>
    <cellStyle name="Total 2 5 8" xfId="17397" xr:uid="{00000000-0005-0000-0000-0000EEA90000}"/>
    <cellStyle name="Total 2 5 8 2" xfId="23045" xr:uid="{00000000-0005-0000-0000-0000EFA90000}"/>
    <cellStyle name="Total 2 5 9" xfId="13601" xr:uid="{00000000-0005-0000-0000-0000F0A90000}"/>
    <cellStyle name="Total 2 5 9 2" xfId="18578" xr:uid="{00000000-0005-0000-0000-0000F1A90000}"/>
    <cellStyle name="Total 2 6" xfId="2946" xr:uid="{00000000-0005-0000-0000-0000F2A90000}"/>
    <cellStyle name="Total 2 6 10" xfId="12916" xr:uid="{00000000-0005-0000-0000-0000F3A90000}"/>
    <cellStyle name="Total 2 6 11" xfId="17923" xr:uid="{00000000-0005-0000-0000-0000F4A90000}"/>
    <cellStyle name="Total 2 6 2" xfId="4368" xr:uid="{00000000-0005-0000-0000-0000F5A90000}"/>
    <cellStyle name="Total 2 6 2 10" xfId="18241" xr:uid="{00000000-0005-0000-0000-0000F6A90000}"/>
    <cellStyle name="Total 2 6 2 2" xfId="6643" xr:uid="{00000000-0005-0000-0000-0000F7A90000}"/>
    <cellStyle name="Total 2 6 2 2 2" xfId="20283" xr:uid="{00000000-0005-0000-0000-0000F8A90000}"/>
    <cellStyle name="Total 2 6 2 2 3" xfId="14934" xr:uid="{00000000-0005-0000-0000-0000F9A90000}"/>
    <cellStyle name="Total 2 6 2 2 3 2" xfId="24749" xr:uid="{00000000-0005-0000-0000-0000FAA90000}"/>
    <cellStyle name="Total 2 6 2 2 4" xfId="24088" xr:uid="{00000000-0005-0000-0000-0000FBA90000}"/>
    <cellStyle name="Total 2 6 2 3" xfId="11052" xr:uid="{00000000-0005-0000-0000-0000FCA90000}"/>
    <cellStyle name="Total 2 6 2 3 2" xfId="18976" xr:uid="{00000000-0005-0000-0000-0000FDA90000}"/>
    <cellStyle name="Total 2 6 2 4" xfId="16190" xr:uid="{00000000-0005-0000-0000-0000FEA90000}"/>
    <cellStyle name="Total 2 6 2 4 2" xfId="21741" xr:uid="{00000000-0005-0000-0000-0000FFA90000}"/>
    <cellStyle name="Total 2 6 2 5" xfId="16629" xr:uid="{00000000-0005-0000-0000-000000AA0000}"/>
    <cellStyle name="Total 2 6 2 5 2" xfId="22270" xr:uid="{00000000-0005-0000-0000-000001AA0000}"/>
    <cellStyle name="Total 2 6 2 6" xfId="16999" xr:uid="{00000000-0005-0000-0000-000002AA0000}"/>
    <cellStyle name="Total 2 6 2 6 2" xfId="22650" xr:uid="{00000000-0005-0000-0000-000003AA0000}"/>
    <cellStyle name="Total 2 6 2 7" xfId="17719" xr:uid="{00000000-0005-0000-0000-000004AA0000}"/>
    <cellStyle name="Total 2 6 2 7 2" xfId="23364" xr:uid="{00000000-0005-0000-0000-000005AA0000}"/>
    <cellStyle name="Total 2 6 2 8" xfId="13923" xr:uid="{00000000-0005-0000-0000-000006AA0000}"/>
    <cellStyle name="Total 2 6 2 8 2" xfId="18897" xr:uid="{00000000-0005-0000-0000-000007AA0000}"/>
    <cellStyle name="Total 2 6 2 9" xfId="13252" xr:uid="{00000000-0005-0000-0000-000008AA0000}"/>
    <cellStyle name="Total 2 6 3" xfId="5587" xr:uid="{00000000-0005-0000-0000-000009AA0000}"/>
    <cellStyle name="Total 2 6 3 2" xfId="19924" xr:uid="{00000000-0005-0000-0000-00000AAA0000}"/>
    <cellStyle name="Total 2 6 3 3" xfId="14616" xr:uid="{00000000-0005-0000-0000-00000BAA0000}"/>
    <cellStyle name="Total 2 6 3 3 2" xfId="24438" xr:uid="{00000000-0005-0000-0000-00000CAA0000}"/>
    <cellStyle name="Total 2 6 3 4" xfId="23767" xr:uid="{00000000-0005-0000-0000-00000DAA0000}"/>
    <cellStyle name="Total 2 6 3 5" xfId="25075" xr:uid="{00000000-0005-0000-0000-00000EAA0000}"/>
    <cellStyle name="Total 2 6 3 6" xfId="29287" xr:uid="{00000000-0005-0000-0000-00000FAA0000}"/>
    <cellStyle name="Total 2 6 3 7" xfId="33503" xr:uid="{00000000-0005-0000-0000-000010AA0000}"/>
    <cellStyle name="Total 2 6 3 8" xfId="37707" xr:uid="{00000000-0005-0000-0000-000011AA0000}"/>
    <cellStyle name="Total 2 6 4" xfId="8927" xr:uid="{00000000-0005-0000-0000-000012AA0000}"/>
    <cellStyle name="Total 2 6 4 2" xfId="9781" xr:uid="{00000000-0005-0000-0000-000013AA0000}"/>
    <cellStyle name="Total 2 6 4 2 2" xfId="19497" xr:uid="{00000000-0005-0000-0000-000014AA0000}"/>
    <cellStyle name="Total 2 6 4 3" xfId="14359" xr:uid="{00000000-0005-0000-0000-000015AA0000}"/>
    <cellStyle name="Total 2 6 5" xfId="6642" xr:uid="{00000000-0005-0000-0000-000016AA0000}"/>
    <cellStyle name="Total 2 6 5 2" xfId="20452" xr:uid="{00000000-0005-0000-0000-000017AA0000}"/>
    <cellStyle name="Total 2 6 5 3" xfId="15065" xr:uid="{00000000-0005-0000-0000-000018AA0000}"/>
    <cellStyle name="Total 2 6 6" xfId="11051" xr:uid="{00000000-0005-0000-0000-000019AA0000}"/>
    <cellStyle name="Total 2 6 6 2" xfId="21954" xr:uid="{00000000-0005-0000-0000-00001AAA0000}"/>
    <cellStyle name="Total 2 6 7" xfId="10638" xr:uid="{00000000-0005-0000-0000-00001BAA0000}"/>
    <cellStyle name="Total 2 6 7 2" xfId="22332" xr:uid="{00000000-0005-0000-0000-00001CAA0000}"/>
    <cellStyle name="Total 2 6 8" xfId="17398" xr:uid="{00000000-0005-0000-0000-00001DAA0000}"/>
    <cellStyle name="Total 2 6 8 2" xfId="23046" xr:uid="{00000000-0005-0000-0000-00001EAA0000}"/>
    <cellStyle name="Total 2 6 9" xfId="13602" xr:uid="{00000000-0005-0000-0000-00001FAA0000}"/>
    <cellStyle name="Total 2 6 9 2" xfId="18579" xr:uid="{00000000-0005-0000-0000-000020AA0000}"/>
    <cellStyle name="Total 2 7" xfId="2947" xr:uid="{00000000-0005-0000-0000-000021AA0000}"/>
    <cellStyle name="Total 2 7 10" xfId="12917" xr:uid="{00000000-0005-0000-0000-000022AA0000}"/>
    <cellStyle name="Total 2 7 11" xfId="17924" xr:uid="{00000000-0005-0000-0000-000023AA0000}"/>
    <cellStyle name="Total 2 7 2" xfId="4369" xr:uid="{00000000-0005-0000-0000-000024AA0000}"/>
    <cellStyle name="Total 2 7 2 10" xfId="18242" xr:uid="{00000000-0005-0000-0000-000025AA0000}"/>
    <cellStyle name="Total 2 7 2 2" xfId="6645" xr:uid="{00000000-0005-0000-0000-000026AA0000}"/>
    <cellStyle name="Total 2 7 2 2 2" xfId="20284" xr:uid="{00000000-0005-0000-0000-000027AA0000}"/>
    <cellStyle name="Total 2 7 2 2 3" xfId="14935" xr:uid="{00000000-0005-0000-0000-000028AA0000}"/>
    <cellStyle name="Total 2 7 2 2 3 2" xfId="24750" xr:uid="{00000000-0005-0000-0000-000029AA0000}"/>
    <cellStyle name="Total 2 7 2 2 4" xfId="24089" xr:uid="{00000000-0005-0000-0000-00002AAA0000}"/>
    <cellStyle name="Total 2 7 2 3" xfId="11054" xr:uid="{00000000-0005-0000-0000-00002BAA0000}"/>
    <cellStyle name="Total 2 7 2 3 2" xfId="18984" xr:uid="{00000000-0005-0000-0000-00002CAA0000}"/>
    <cellStyle name="Total 2 7 2 4" xfId="16191" xr:uid="{00000000-0005-0000-0000-00002DAA0000}"/>
    <cellStyle name="Total 2 7 2 4 2" xfId="21742" xr:uid="{00000000-0005-0000-0000-00002EAA0000}"/>
    <cellStyle name="Total 2 7 2 5" xfId="16630" xr:uid="{00000000-0005-0000-0000-00002FAA0000}"/>
    <cellStyle name="Total 2 7 2 5 2" xfId="22271" xr:uid="{00000000-0005-0000-0000-000030AA0000}"/>
    <cellStyle name="Total 2 7 2 6" xfId="17000" xr:uid="{00000000-0005-0000-0000-000031AA0000}"/>
    <cellStyle name="Total 2 7 2 6 2" xfId="22651" xr:uid="{00000000-0005-0000-0000-000032AA0000}"/>
    <cellStyle name="Total 2 7 2 7" xfId="17720" xr:uid="{00000000-0005-0000-0000-000033AA0000}"/>
    <cellStyle name="Total 2 7 2 7 2" xfId="23365" xr:uid="{00000000-0005-0000-0000-000034AA0000}"/>
    <cellStyle name="Total 2 7 2 8" xfId="13924" xr:uid="{00000000-0005-0000-0000-000035AA0000}"/>
    <cellStyle name="Total 2 7 2 8 2" xfId="18898" xr:uid="{00000000-0005-0000-0000-000036AA0000}"/>
    <cellStyle name="Total 2 7 2 9" xfId="13253" xr:uid="{00000000-0005-0000-0000-000037AA0000}"/>
    <cellStyle name="Total 2 7 3" xfId="5588" xr:uid="{00000000-0005-0000-0000-000038AA0000}"/>
    <cellStyle name="Total 2 7 3 2" xfId="19925" xr:uid="{00000000-0005-0000-0000-000039AA0000}"/>
    <cellStyle name="Total 2 7 3 3" xfId="14617" xr:uid="{00000000-0005-0000-0000-00003AAA0000}"/>
    <cellStyle name="Total 2 7 3 3 2" xfId="24439" xr:uid="{00000000-0005-0000-0000-00003BAA0000}"/>
    <cellStyle name="Total 2 7 3 4" xfId="23768" xr:uid="{00000000-0005-0000-0000-00003CAA0000}"/>
    <cellStyle name="Total 2 7 3 5" xfId="25076" xr:uid="{00000000-0005-0000-0000-00003DAA0000}"/>
    <cellStyle name="Total 2 7 3 6" xfId="29288" xr:uid="{00000000-0005-0000-0000-00003EAA0000}"/>
    <cellStyle name="Total 2 7 3 7" xfId="33504" xr:uid="{00000000-0005-0000-0000-00003FAA0000}"/>
    <cellStyle name="Total 2 7 3 8" xfId="37708" xr:uid="{00000000-0005-0000-0000-000040AA0000}"/>
    <cellStyle name="Total 2 7 4" xfId="8928" xr:uid="{00000000-0005-0000-0000-000041AA0000}"/>
    <cellStyle name="Total 2 7 4 2" xfId="9782" xr:uid="{00000000-0005-0000-0000-000042AA0000}"/>
    <cellStyle name="Total 2 7 4 2 2" xfId="20128" xr:uid="{00000000-0005-0000-0000-000043AA0000}"/>
    <cellStyle name="Total 2 7 4 3" xfId="14807" xr:uid="{00000000-0005-0000-0000-000044AA0000}"/>
    <cellStyle name="Total 2 7 5" xfId="6644" xr:uid="{00000000-0005-0000-0000-000045AA0000}"/>
    <cellStyle name="Total 2 7 5 2" xfId="20451" xr:uid="{00000000-0005-0000-0000-000046AA0000}"/>
    <cellStyle name="Total 2 7 5 3" xfId="15064" xr:uid="{00000000-0005-0000-0000-000047AA0000}"/>
    <cellStyle name="Total 2 7 6" xfId="11053" xr:uid="{00000000-0005-0000-0000-000048AA0000}"/>
    <cellStyle name="Total 2 7 6 2" xfId="21955" xr:uid="{00000000-0005-0000-0000-000049AA0000}"/>
    <cellStyle name="Total 2 7 7" xfId="10625" xr:uid="{00000000-0005-0000-0000-00004AAA0000}"/>
    <cellStyle name="Total 2 7 7 2" xfId="22333" xr:uid="{00000000-0005-0000-0000-00004BAA0000}"/>
    <cellStyle name="Total 2 7 8" xfId="17399" xr:uid="{00000000-0005-0000-0000-00004CAA0000}"/>
    <cellStyle name="Total 2 7 8 2" xfId="23047" xr:uid="{00000000-0005-0000-0000-00004DAA0000}"/>
    <cellStyle name="Total 2 7 9" xfId="13603" xr:uid="{00000000-0005-0000-0000-00004EAA0000}"/>
    <cellStyle name="Total 2 7 9 2" xfId="18580" xr:uid="{00000000-0005-0000-0000-00004FAA0000}"/>
    <cellStyle name="Total 2 8" xfId="2948" xr:uid="{00000000-0005-0000-0000-000050AA0000}"/>
    <cellStyle name="Total 2 8 10" xfId="12918" xr:uid="{00000000-0005-0000-0000-000051AA0000}"/>
    <cellStyle name="Total 2 8 11" xfId="17925" xr:uid="{00000000-0005-0000-0000-000052AA0000}"/>
    <cellStyle name="Total 2 8 2" xfId="4370" xr:uid="{00000000-0005-0000-0000-000053AA0000}"/>
    <cellStyle name="Total 2 8 2 10" xfId="18243" xr:uid="{00000000-0005-0000-0000-000054AA0000}"/>
    <cellStyle name="Total 2 8 2 2" xfId="6647" xr:uid="{00000000-0005-0000-0000-000055AA0000}"/>
    <cellStyle name="Total 2 8 2 2 2" xfId="20285" xr:uid="{00000000-0005-0000-0000-000056AA0000}"/>
    <cellStyle name="Total 2 8 2 2 3" xfId="14936" xr:uid="{00000000-0005-0000-0000-000057AA0000}"/>
    <cellStyle name="Total 2 8 2 2 3 2" xfId="24751" xr:uid="{00000000-0005-0000-0000-000058AA0000}"/>
    <cellStyle name="Total 2 8 2 2 4" xfId="24090" xr:uid="{00000000-0005-0000-0000-000059AA0000}"/>
    <cellStyle name="Total 2 8 2 3" xfId="11869" xr:uid="{00000000-0005-0000-0000-00005AAA0000}"/>
    <cellStyle name="Total 2 8 2 3 2" xfId="18973" xr:uid="{00000000-0005-0000-0000-00005BAA0000}"/>
    <cellStyle name="Total 2 8 2 4" xfId="16192" xr:uid="{00000000-0005-0000-0000-00005CAA0000}"/>
    <cellStyle name="Total 2 8 2 4 2" xfId="21743" xr:uid="{00000000-0005-0000-0000-00005DAA0000}"/>
    <cellStyle name="Total 2 8 2 5" xfId="16631" xr:uid="{00000000-0005-0000-0000-00005EAA0000}"/>
    <cellStyle name="Total 2 8 2 5 2" xfId="22272" xr:uid="{00000000-0005-0000-0000-00005FAA0000}"/>
    <cellStyle name="Total 2 8 2 6" xfId="17001" xr:uid="{00000000-0005-0000-0000-000060AA0000}"/>
    <cellStyle name="Total 2 8 2 6 2" xfId="22652" xr:uid="{00000000-0005-0000-0000-000061AA0000}"/>
    <cellStyle name="Total 2 8 2 7" xfId="17721" xr:uid="{00000000-0005-0000-0000-000062AA0000}"/>
    <cellStyle name="Total 2 8 2 7 2" xfId="23366" xr:uid="{00000000-0005-0000-0000-000063AA0000}"/>
    <cellStyle name="Total 2 8 2 8" xfId="13925" xr:uid="{00000000-0005-0000-0000-000064AA0000}"/>
    <cellStyle name="Total 2 8 2 8 2" xfId="18899" xr:uid="{00000000-0005-0000-0000-000065AA0000}"/>
    <cellStyle name="Total 2 8 2 9" xfId="13254" xr:uid="{00000000-0005-0000-0000-000066AA0000}"/>
    <cellStyle name="Total 2 8 3" xfId="5589" xr:uid="{00000000-0005-0000-0000-000067AA0000}"/>
    <cellStyle name="Total 2 8 3 2" xfId="19926" xr:uid="{00000000-0005-0000-0000-000068AA0000}"/>
    <cellStyle name="Total 2 8 3 3" xfId="14618" xr:uid="{00000000-0005-0000-0000-000069AA0000}"/>
    <cellStyle name="Total 2 8 3 3 2" xfId="24440" xr:uid="{00000000-0005-0000-0000-00006AAA0000}"/>
    <cellStyle name="Total 2 8 3 4" xfId="23769" xr:uid="{00000000-0005-0000-0000-00006BAA0000}"/>
    <cellStyle name="Total 2 8 3 5" xfId="25077" xr:uid="{00000000-0005-0000-0000-00006CAA0000}"/>
    <cellStyle name="Total 2 8 3 6" xfId="29289" xr:uid="{00000000-0005-0000-0000-00006DAA0000}"/>
    <cellStyle name="Total 2 8 3 7" xfId="33505" xr:uid="{00000000-0005-0000-0000-00006EAA0000}"/>
    <cellStyle name="Total 2 8 3 8" xfId="37709" xr:uid="{00000000-0005-0000-0000-00006FAA0000}"/>
    <cellStyle name="Total 2 8 4" xfId="8929" xr:uid="{00000000-0005-0000-0000-000070AA0000}"/>
    <cellStyle name="Total 2 8 4 2" xfId="9783" xr:uid="{00000000-0005-0000-0000-000071AA0000}"/>
    <cellStyle name="Total 2 8 4 2 2" xfId="19498" xr:uid="{00000000-0005-0000-0000-000072AA0000}"/>
    <cellStyle name="Total 2 8 4 3" xfId="14360" xr:uid="{00000000-0005-0000-0000-000073AA0000}"/>
    <cellStyle name="Total 2 8 5" xfId="6646" xr:uid="{00000000-0005-0000-0000-000074AA0000}"/>
    <cellStyle name="Total 2 8 5 2" xfId="20450" xr:uid="{00000000-0005-0000-0000-000075AA0000}"/>
    <cellStyle name="Total 2 8 5 3" xfId="15063" xr:uid="{00000000-0005-0000-0000-000076AA0000}"/>
    <cellStyle name="Total 2 8 6" xfId="11734" xr:uid="{00000000-0005-0000-0000-000077AA0000}"/>
    <cellStyle name="Total 2 8 6 2" xfId="21956" xr:uid="{00000000-0005-0000-0000-000078AA0000}"/>
    <cellStyle name="Total 2 8 7" xfId="10612" xr:uid="{00000000-0005-0000-0000-000079AA0000}"/>
    <cellStyle name="Total 2 8 7 2" xfId="22334" xr:uid="{00000000-0005-0000-0000-00007AAA0000}"/>
    <cellStyle name="Total 2 8 8" xfId="17400" xr:uid="{00000000-0005-0000-0000-00007BAA0000}"/>
    <cellStyle name="Total 2 8 8 2" xfId="23048" xr:uid="{00000000-0005-0000-0000-00007CAA0000}"/>
    <cellStyle name="Total 2 8 9" xfId="13604" xr:uid="{00000000-0005-0000-0000-00007DAA0000}"/>
    <cellStyle name="Total 2 8 9 2" xfId="18581" xr:uid="{00000000-0005-0000-0000-00007EAA0000}"/>
    <cellStyle name="Total 2 9" xfId="2949" xr:uid="{00000000-0005-0000-0000-00007FAA0000}"/>
    <cellStyle name="Total 2 9 10" xfId="12919" xr:uid="{00000000-0005-0000-0000-000080AA0000}"/>
    <cellStyle name="Total 2 9 11" xfId="17926" xr:uid="{00000000-0005-0000-0000-000081AA0000}"/>
    <cellStyle name="Total 2 9 2" xfId="4371" xr:uid="{00000000-0005-0000-0000-000082AA0000}"/>
    <cellStyle name="Total 2 9 2 10" xfId="18244" xr:uid="{00000000-0005-0000-0000-000083AA0000}"/>
    <cellStyle name="Total 2 9 2 2" xfId="6649" xr:uid="{00000000-0005-0000-0000-000084AA0000}"/>
    <cellStyle name="Total 2 9 2 2 2" xfId="20286" xr:uid="{00000000-0005-0000-0000-000085AA0000}"/>
    <cellStyle name="Total 2 9 2 2 3" xfId="14937" xr:uid="{00000000-0005-0000-0000-000086AA0000}"/>
    <cellStyle name="Total 2 9 2 2 3 2" xfId="24752" xr:uid="{00000000-0005-0000-0000-000087AA0000}"/>
    <cellStyle name="Total 2 9 2 2 4" xfId="24091" xr:uid="{00000000-0005-0000-0000-000088AA0000}"/>
    <cellStyle name="Total 2 9 2 3" xfId="12120" xr:uid="{00000000-0005-0000-0000-000089AA0000}"/>
    <cellStyle name="Total 2 9 2 3 2" xfId="18974" xr:uid="{00000000-0005-0000-0000-00008AAA0000}"/>
    <cellStyle name="Total 2 9 2 4" xfId="16193" xr:uid="{00000000-0005-0000-0000-00008BAA0000}"/>
    <cellStyle name="Total 2 9 2 4 2" xfId="21744" xr:uid="{00000000-0005-0000-0000-00008CAA0000}"/>
    <cellStyle name="Total 2 9 2 5" xfId="16632" xr:uid="{00000000-0005-0000-0000-00008DAA0000}"/>
    <cellStyle name="Total 2 9 2 5 2" xfId="22273" xr:uid="{00000000-0005-0000-0000-00008EAA0000}"/>
    <cellStyle name="Total 2 9 2 6" xfId="17002" xr:uid="{00000000-0005-0000-0000-00008FAA0000}"/>
    <cellStyle name="Total 2 9 2 6 2" xfId="22653" xr:uid="{00000000-0005-0000-0000-000090AA0000}"/>
    <cellStyle name="Total 2 9 2 7" xfId="17722" xr:uid="{00000000-0005-0000-0000-000091AA0000}"/>
    <cellStyle name="Total 2 9 2 7 2" xfId="23367" xr:uid="{00000000-0005-0000-0000-000092AA0000}"/>
    <cellStyle name="Total 2 9 2 8" xfId="13926" xr:uid="{00000000-0005-0000-0000-000093AA0000}"/>
    <cellStyle name="Total 2 9 2 8 2" xfId="18900" xr:uid="{00000000-0005-0000-0000-000094AA0000}"/>
    <cellStyle name="Total 2 9 2 9" xfId="13255" xr:uid="{00000000-0005-0000-0000-000095AA0000}"/>
    <cellStyle name="Total 2 9 3" xfId="5590" xr:uid="{00000000-0005-0000-0000-000096AA0000}"/>
    <cellStyle name="Total 2 9 3 2" xfId="19927" xr:uid="{00000000-0005-0000-0000-000097AA0000}"/>
    <cellStyle name="Total 2 9 3 3" xfId="14619" xr:uid="{00000000-0005-0000-0000-000098AA0000}"/>
    <cellStyle name="Total 2 9 3 3 2" xfId="24441" xr:uid="{00000000-0005-0000-0000-000099AA0000}"/>
    <cellStyle name="Total 2 9 3 4" xfId="23770" xr:uid="{00000000-0005-0000-0000-00009AAA0000}"/>
    <cellStyle name="Total 2 9 3 5" xfId="25078" xr:uid="{00000000-0005-0000-0000-00009BAA0000}"/>
    <cellStyle name="Total 2 9 3 6" xfId="29290" xr:uid="{00000000-0005-0000-0000-00009CAA0000}"/>
    <cellStyle name="Total 2 9 3 7" xfId="33506" xr:uid="{00000000-0005-0000-0000-00009DAA0000}"/>
    <cellStyle name="Total 2 9 3 8" xfId="37710" xr:uid="{00000000-0005-0000-0000-00009EAA0000}"/>
    <cellStyle name="Total 2 9 4" xfId="8930" xr:uid="{00000000-0005-0000-0000-00009FAA0000}"/>
    <cellStyle name="Total 2 9 4 2" xfId="9784" xr:uid="{00000000-0005-0000-0000-0000A0AA0000}"/>
    <cellStyle name="Total 2 9 4 2 2" xfId="20129" xr:uid="{00000000-0005-0000-0000-0000A1AA0000}"/>
    <cellStyle name="Total 2 9 4 3" xfId="14808" xr:uid="{00000000-0005-0000-0000-0000A2AA0000}"/>
    <cellStyle name="Total 2 9 5" xfId="6648" xr:uid="{00000000-0005-0000-0000-0000A3AA0000}"/>
    <cellStyle name="Total 2 9 5 2" xfId="20449" xr:uid="{00000000-0005-0000-0000-0000A4AA0000}"/>
    <cellStyle name="Total 2 9 5 3" xfId="15062" xr:uid="{00000000-0005-0000-0000-0000A5AA0000}"/>
    <cellStyle name="Total 2 9 6" xfId="12108" xr:uid="{00000000-0005-0000-0000-0000A6AA0000}"/>
    <cellStyle name="Total 2 9 6 2" xfId="21957" xr:uid="{00000000-0005-0000-0000-0000A7AA0000}"/>
    <cellStyle name="Total 2 9 7" xfId="10279" xr:uid="{00000000-0005-0000-0000-0000A8AA0000}"/>
    <cellStyle name="Total 2 9 7 2" xfId="22335" xr:uid="{00000000-0005-0000-0000-0000A9AA0000}"/>
    <cellStyle name="Total 2 9 8" xfId="17401" xr:uid="{00000000-0005-0000-0000-0000AAAA0000}"/>
    <cellStyle name="Total 2 9 8 2" xfId="23049" xr:uid="{00000000-0005-0000-0000-0000ABAA0000}"/>
    <cellStyle name="Total 2 9 9" xfId="13605" xr:uid="{00000000-0005-0000-0000-0000ACAA0000}"/>
    <cellStyle name="Total 2 9 9 2" xfId="18582" xr:uid="{00000000-0005-0000-0000-0000ADAA0000}"/>
    <cellStyle name="Total 20" xfId="44445" xr:uid="{00000000-0005-0000-0000-0000AEAA0000}"/>
    <cellStyle name="Total 21" xfId="44446" xr:uid="{00000000-0005-0000-0000-0000AFAA0000}"/>
    <cellStyle name="Total 22" xfId="44447" xr:uid="{00000000-0005-0000-0000-0000B0AA0000}"/>
    <cellStyle name="Total 23" xfId="44448" xr:uid="{00000000-0005-0000-0000-0000B1AA0000}"/>
    <cellStyle name="Total 24" xfId="44449" xr:uid="{00000000-0005-0000-0000-0000B2AA0000}"/>
    <cellStyle name="Total 25" xfId="44450" xr:uid="{00000000-0005-0000-0000-0000B3AA0000}"/>
    <cellStyle name="Total 26" xfId="44451" xr:uid="{00000000-0005-0000-0000-0000B4AA0000}"/>
    <cellStyle name="Total 27" xfId="44452" xr:uid="{00000000-0005-0000-0000-0000B5AA0000}"/>
    <cellStyle name="Total 28" xfId="44453" xr:uid="{00000000-0005-0000-0000-0000B6AA0000}"/>
    <cellStyle name="Total 29" xfId="44454" xr:uid="{00000000-0005-0000-0000-0000B7AA0000}"/>
    <cellStyle name="Total 3" xfId="2950" xr:uid="{00000000-0005-0000-0000-0000B8AA0000}"/>
    <cellStyle name="Total 3 10" xfId="2951" xr:uid="{00000000-0005-0000-0000-0000B9AA0000}"/>
    <cellStyle name="Total 3 10 10" xfId="12921" xr:uid="{00000000-0005-0000-0000-0000BAAA0000}"/>
    <cellStyle name="Total 3 10 11" xfId="17928" xr:uid="{00000000-0005-0000-0000-0000BBAA0000}"/>
    <cellStyle name="Total 3 10 2" xfId="4372" xr:uid="{00000000-0005-0000-0000-0000BCAA0000}"/>
    <cellStyle name="Total 3 10 2 10" xfId="18246" xr:uid="{00000000-0005-0000-0000-0000BDAA0000}"/>
    <cellStyle name="Total 3 10 2 2" xfId="6652" xr:uid="{00000000-0005-0000-0000-0000BEAA0000}"/>
    <cellStyle name="Total 3 10 2 2 2" xfId="20288" xr:uid="{00000000-0005-0000-0000-0000BFAA0000}"/>
    <cellStyle name="Total 3 10 2 2 3" xfId="14939" xr:uid="{00000000-0005-0000-0000-0000C0AA0000}"/>
    <cellStyle name="Total 3 10 2 2 3 2" xfId="24754" xr:uid="{00000000-0005-0000-0000-0000C1AA0000}"/>
    <cellStyle name="Total 3 10 2 2 4" xfId="24093" xr:uid="{00000000-0005-0000-0000-0000C2AA0000}"/>
    <cellStyle name="Total 3 10 2 3" xfId="12154" xr:uid="{00000000-0005-0000-0000-0000C3AA0000}"/>
    <cellStyle name="Total 3 10 2 3 2" xfId="19770" xr:uid="{00000000-0005-0000-0000-0000C4AA0000}"/>
    <cellStyle name="Total 3 10 2 4" xfId="16195" xr:uid="{00000000-0005-0000-0000-0000C5AA0000}"/>
    <cellStyle name="Total 3 10 2 4 2" xfId="21746" xr:uid="{00000000-0005-0000-0000-0000C6AA0000}"/>
    <cellStyle name="Total 3 10 2 5" xfId="16634" xr:uid="{00000000-0005-0000-0000-0000C7AA0000}"/>
    <cellStyle name="Total 3 10 2 5 2" xfId="22275" xr:uid="{00000000-0005-0000-0000-0000C8AA0000}"/>
    <cellStyle name="Total 3 10 2 6" xfId="17004" xr:uid="{00000000-0005-0000-0000-0000C9AA0000}"/>
    <cellStyle name="Total 3 10 2 6 2" xfId="22655" xr:uid="{00000000-0005-0000-0000-0000CAAA0000}"/>
    <cellStyle name="Total 3 10 2 7" xfId="17724" xr:uid="{00000000-0005-0000-0000-0000CBAA0000}"/>
    <cellStyle name="Total 3 10 2 7 2" xfId="23369" xr:uid="{00000000-0005-0000-0000-0000CCAA0000}"/>
    <cellStyle name="Total 3 10 2 8" xfId="13928" xr:uid="{00000000-0005-0000-0000-0000CDAA0000}"/>
    <cellStyle name="Total 3 10 2 8 2" xfId="18902" xr:uid="{00000000-0005-0000-0000-0000CEAA0000}"/>
    <cellStyle name="Total 3 10 2 9" xfId="13257" xr:uid="{00000000-0005-0000-0000-0000CFAA0000}"/>
    <cellStyle name="Total 3 10 3" xfId="5592" xr:uid="{00000000-0005-0000-0000-0000D0AA0000}"/>
    <cellStyle name="Total 3 10 3 2" xfId="19929" xr:uid="{00000000-0005-0000-0000-0000D1AA0000}"/>
    <cellStyle name="Total 3 10 3 3" xfId="14621" xr:uid="{00000000-0005-0000-0000-0000D2AA0000}"/>
    <cellStyle name="Total 3 10 3 3 2" xfId="24443" xr:uid="{00000000-0005-0000-0000-0000D3AA0000}"/>
    <cellStyle name="Total 3 10 3 4" xfId="23772" xr:uid="{00000000-0005-0000-0000-0000D4AA0000}"/>
    <cellStyle name="Total 3 10 3 5" xfId="25080" xr:uid="{00000000-0005-0000-0000-0000D5AA0000}"/>
    <cellStyle name="Total 3 10 3 6" xfId="29292" xr:uid="{00000000-0005-0000-0000-0000D6AA0000}"/>
    <cellStyle name="Total 3 10 3 7" xfId="33508" xr:uid="{00000000-0005-0000-0000-0000D7AA0000}"/>
    <cellStyle name="Total 3 10 3 8" xfId="37712" xr:uid="{00000000-0005-0000-0000-0000D8AA0000}"/>
    <cellStyle name="Total 3 10 4" xfId="6651" xr:uid="{00000000-0005-0000-0000-0000D9AA0000}"/>
    <cellStyle name="Total 3 10 4 2" xfId="20130" xr:uid="{00000000-0005-0000-0000-0000DAAA0000}"/>
    <cellStyle name="Total 3 10 4 3" xfId="14809" xr:uid="{00000000-0005-0000-0000-0000DBAA0000}"/>
    <cellStyle name="Total 3 10 5" xfId="12143" xr:uid="{00000000-0005-0000-0000-0000DCAA0000}"/>
    <cellStyle name="Total 3 10 5 2" xfId="21672" xr:uid="{00000000-0005-0000-0000-0000DDAA0000}"/>
    <cellStyle name="Total 3 10 6" xfId="10922" xr:uid="{00000000-0005-0000-0000-0000DEAA0000}"/>
    <cellStyle name="Total 3 10 6 2" xfId="21959" xr:uid="{00000000-0005-0000-0000-0000DFAA0000}"/>
    <cellStyle name="Total 3 10 7" xfId="16686" xr:uid="{00000000-0005-0000-0000-0000E0AA0000}"/>
    <cellStyle name="Total 3 10 7 2" xfId="22337" xr:uid="{00000000-0005-0000-0000-0000E1AA0000}"/>
    <cellStyle name="Total 3 10 8" xfId="17403" xr:uid="{00000000-0005-0000-0000-0000E2AA0000}"/>
    <cellStyle name="Total 3 10 8 2" xfId="23051" xr:uid="{00000000-0005-0000-0000-0000E3AA0000}"/>
    <cellStyle name="Total 3 10 9" xfId="13607" xr:uid="{00000000-0005-0000-0000-0000E4AA0000}"/>
    <cellStyle name="Total 3 10 9 2" xfId="18584" xr:uid="{00000000-0005-0000-0000-0000E5AA0000}"/>
    <cellStyle name="Total 3 11" xfId="2952" xr:uid="{00000000-0005-0000-0000-0000E6AA0000}"/>
    <cellStyle name="Total 3 11 10" xfId="12922" xr:uid="{00000000-0005-0000-0000-0000E7AA0000}"/>
    <cellStyle name="Total 3 11 11" xfId="17929" xr:uid="{00000000-0005-0000-0000-0000E8AA0000}"/>
    <cellStyle name="Total 3 11 2" xfId="4373" xr:uid="{00000000-0005-0000-0000-0000E9AA0000}"/>
    <cellStyle name="Total 3 11 2 10" xfId="18247" xr:uid="{00000000-0005-0000-0000-0000EAAA0000}"/>
    <cellStyle name="Total 3 11 2 2" xfId="6654" xr:uid="{00000000-0005-0000-0000-0000EBAA0000}"/>
    <cellStyle name="Total 3 11 2 2 2" xfId="20289" xr:uid="{00000000-0005-0000-0000-0000ECAA0000}"/>
    <cellStyle name="Total 3 11 2 2 3" xfId="14940" xr:uid="{00000000-0005-0000-0000-0000EDAA0000}"/>
    <cellStyle name="Total 3 11 2 2 3 2" xfId="24755" xr:uid="{00000000-0005-0000-0000-0000EEAA0000}"/>
    <cellStyle name="Total 3 11 2 2 4" xfId="24094" xr:uid="{00000000-0005-0000-0000-0000EFAA0000}"/>
    <cellStyle name="Total 3 11 2 3" xfId="11055" xr:uid="{00000000-0005-0000-0000-0000F0AA0000}"/>
    <cellStyle name="Total 3 11 2 3 2" xfId="19771" xr:uid="{00000000-0005-0000-0000-0000F1AA0000}"/>
    <cellStyle name="Total 3 11 2 4" xfId="16196" xr:uid="{00000000-0005-0000-0000-0000F2AA0000}"/>
    <cellStyle name="Total 3 11 2 4 2" xfId="21747" xr:uid="{00000000-0005-0000-0000-0000F3AA0000}"/>
    <cellStyle name="Total 3 11 2 5" xfId="16635" xr:uid="{00000000-0005-0000-0000-0000F4AA0000}"/>
    <cellStyle name="Total 3 11 2 5 2" xfId="22276" xr:uid="{00000000-0005-0000-0000-0000F5AA0000}"/>
    <cellStyle name="Total 3 11 2 6" xfId="17005" xr:uid="{00000000-0005-0000-0000-0000F6AA0000}"/>
    <cellStyle name="Total 3 11 2 6 2" xfId="22656" xr:uid="{00000000-0005-0000-0000-0000F7AA0000}"/>
    <cellStyle name="Total 3 11 2 7" xfId="17725" xr:uid="{00000000-0005-0000-0000-0000F8AA0000}"/>
    <cellStyle name="Total 3 11 2 7 2" xfId="23370" xr:uid="{00000000-0005-0000-0000-0000F9AA0000}"/>
    <cellStyle name="Total 3 11 2 8" xfId="13929" xr:uid="{00000000-0005-0000-0000-0000FAAA0000}"/>
    <cellStyle name="Total 3 11 2 8 2" xfId="18903" xr:uid="{00000000-0005-0000-0000-0000FBAA0000}"/>
    <cellStyle name="Total 3 11 2 9" xfId="13258" xr:uid="{00000000-0005-0000-0000-0000FCAA0000}"/>
    <cellStyle name="Total 3 11 3" xfId="5593" xr:uid="{00000000-0005-0000-0000-0000FDAA0000}"/>
    <cellStyle name="Total 3 11 3 2" xfId="19930" xr:uid="{00000000-0005-0000-0000-0000FEAA0000}"/>
    <cellStyle name="Total 3 11 3 3" xfId="14622" xr:uid="{00000000-0005-0000-0000-0000FFAA0000}"/>
    <cellStyle name="Total 3 11 3 3 2" xfId="24444" xr:uid="{00000000-0005-0000-0000-000000AB0000}"/>
    <cellStyle name="Total 3 11 3 4" xfId="23773" xr:uid="{00000000-0005-0000-0000-000001AB0000}"/>
    <cellStyle name="Total 3 11 3 5" xfId="25081" xr:uid="{00000000-0005-0000-0000-000002AB0000}"/>
    <cellStyle name="Total 3 11 3 6" xfId="29293" xr:uid="{00000000-0005-0000-0000-000003AB0000}"/>
    <cellStyle name="Total 3 11 3 7" xfId="33509" xr:uid="{00000000-0005-0000-0000-000004AB0000}"/>
    <cellStyle name="Total 3 11 3 8" xfId="37713" xr:uid="{00000000-0005-0000-0000-000005AB0000}"/>
    <cellStyle name="Total 3 11 4" xfId="6653" xr:uid="{00000000-0005-0000-0000-000006AB0000}"/>
    <cellStyle name="Total 3 11 4 2" xfId="20346" xr:uid="{00000000-0005-0000-0000-000007AB0000}"/>
    <cellStyle name="Total 3 11 4 3" xfId="14992" xr:uid="{00000000-0005-0000-0000-000008AB0000}"/>
    <cellStyle name="Total 3 11 5" xfId="11128" xr:uid="{00000000-0005-0000-0000-000009AB0000}"/>
    <cellStyle name="Total 3 11 5 2" xfId="21671" xr:uid="{00000000-0005-0000-0000-00000AAB0000}"/>
    <cellStyle name="Total 3 11 6" xfId="10599" xr:uid="{00000000-0005-0000-0000-00000BAB0000}"/>
    <cellStyle name="Total 3 11 6 2" xfId="21960" xr:uid="{00000000-0005-0000-0000-00000CAB0000}"/>
    <cellStyle name="Total 3 11 7" xfId="16687" xr:uid="{00000000-0005-0000-0000-00000DAB0000}"/>
    <cellStyle name="Total 3 11 7 2" xfId="22338" xr:uid="{00000000-0005-0000-0000-00000EAB0000}"/>
    <cellStyle name="Total 3 11 8" xfId="17404" xr:uid="{00000000-0005-0000-0000-00000FAB0000}"/>
    <cellStyle name="Total 3 11 8 2" xfId="23052" xr:uid="{00000000-0005-0000-0000-000010AB0000}"/>
    <cellStyle name="Total 3 11 9" xfId="13608" xr:uid="{00000000-0005-0000-0000-000011AB0000}"/>
    <cellStyle name="Total 3 11 9 2" xfId="18585" xr:uid="{00000000-0005-0000-0000-000012AB0000}"/>
    <cellStyle name="Total 3 12" xfId="4374" xr:uid="{00000000-0005-0000-0000-000013AB0000}"/>
    <cellStyle name="Total 3 12 10" xfId="18245" xr:uid="{00000000-0005-0000-0000-000014AB0000}"/>
    <cellStyle name="Total 3 12 2" xfId="6655" xr:uid="{00000000-0005-0000-0000-000015AB0000}"/>
    <cellStyle name="Total 3 12 2 2" xfId="20287" xr:uid="{00000000-0005-0000-0000-000016AB0000}"/>
    <cellStyle name="Total 3 12 2 3" xfId="14938" xr:uid="{00000000-0005-0000-0000-000017AB0000}"/>
    <cellStyle name="Total 3 12 2 3 2" xfId="24753" xr:uid="{00000000-0005-0000-0000-000018AB0000}"/>
    <cellStyle name="Total 3 12 2 4" xfId="24092" xr:uid="{00000000-0005-0000-0000-000019AB0000}"/>
    <cellStyle name="Total 3 12 3" xfId="10977" xr:uid="{00000000-0005-0000-0000-00001AAB0000}"/>
    <cellStyle name="Total 3 12 3 2" xfId="18975" xr:uid="{00000000-0005-0000-0000-00001BAB0000}"/>
    <cellStyle name="Total 3 12 4" xfId="16194" xr:uid="{00000000-0005-0000-0000-00001CAB0000}"/>
    <cellStyle name="Total 3 12 4 2" xfId="21745" xr:uid="{00000000-0005-0000-0000-00001DAB0000}"/>
    <cellStyle name="Total 3 12 5" xfId="16633" xr:uid="{00000000-0005-0000-0000-00001EAB0000}"/>
    <cellStyle name="Total 3 12 5 2" xfId="22274" xr:uid="{00000000-0005-0000-0000-00001FAB0000}"/>
    <cellStyle name="Total 3 12 6" xfId="17003" xr:uid="{00000000-0005-0000-0000-000020AB0000}"/>
    <cellStyle name="Total 3 12 6 2" xfId="22654" xr:uid="{00000000-0005-0000-0000-000021AB0000}"/>
    <cellStyle name="Total 3 12 7" xfId="17723" xr:uid="{00000000-0005-0000-0000-000022AB0000}"/>
    <cellStyle name="Total 3 12 7 2" xfId="23368" xr:uid="{00000000-0005-0000-0000-000023AB0000}"/>
    <cellStyle name="Total 3 12 8" xfId="13927" xr:uid="{00000000-0005-0000-0000-000024AB0000}"/>
    <cellStyle name="Total 3 12 8 2" xfId="18901" xr:uid="{00000000-0005-0000-0000-000025AB0000}"/>
    <cellStyle name="Total 3 12 9" xfId="13256" xr:uid="{00000000-0005-0000-0000-000026AB0000}"/>
    <cellStyle name="Total 3 13" xfId="5591" xr:uid="{00000000-0005-0000-0000-000027AB0000}"/>
    <cellStyle name="Total 3 13 2" xfId="19928" xr:uid="{00000000-0005-0000-0000-000028AB0000}"/>
    <cellStyle name="Total 3 13 3" xfId="14620" xr:uid="{00000000-0005-0000-0000-000029AB0000}"/>
    <cellStyle name="Total 3 13 3 2" xfId="24442" xr:uid="{00000000-0005-0000-0000-00002AAB0000}"/>
    <cellStyle name="Total 3 13 4" xfId="23771" xr:uid="{00000000-0005-0000-0000-00002BAB0000}"/>
    <cellStyle name="Total 3 13 5" xfId="25079" xr:uid="{00000000-0005-0000-0000-00002CAB0000}"/>
    <cellStyle name="Total 3 13 6" xfId="29291" xr:uid="{00000000-0005-0000-0000-00002DAB0000}"/>
    <cellStyle name="Total 3 13 7" xfId="33507" xr:uid="{00000000-0005-0000-0000-00002EAB0000}"/>
    <cellStyle name="Total 3 13 8" xfId="37711" xr:uid="{00000000-0005-0000-0000-00002FAB0000}"/>
    <cellStyle name="Total 3 14" xfId="8931" xr:uid="{00000000-0005-0000-0000-000030AB0000}"/>
    <cellStyle name="Total 3 14 2" xfId="9785" xr:uid="{00000000-0005-0000-0000-000031AB0000}"/>
    <cellStyle name="Total 3 14 2 2" xfId="19499" xr:uid="{00000000-0005-0000-0000-000032AB0000}"/>
    <cellStyle name="Total 3 14 3" xfId="14361" xr:uid="{00000000-0005-0000-0000-000033AB0000}"/>
    <cellStyle name="Total 3 15" xfId="6650" xr:uid="{00000000-0005-0000-0000-000034AB0000}"/>
    <cellStyle name="Total 3 15 2" xfId="21673" xr:uid="{00000000-0005-0000-0000-000035AB0000}"/>
    <cellStyle name="Total 3 15 3" xfId="16150" xr:uid="{00000000-0005-0000-0000-000036AB0000}"/>
    <cellStyle name="Total 3 16" xfId="12130" xr:uid="{00000000-0005-0000-0000-000037AB0000}"/>
    <cellStyle name="Total 3 16 2" xfId="21958" xr:uid="{00000000-0005-0000-0000-000038AB0000}"/>
    <cellStyle name="Total 3 17" xfId="10934" xr:uid="{00000000-0005-0000-0000-000039AB0000}"/>
    <cellStyle name="Total 3 17 2" xfId="22336" xr:uid="{00000000-0005-0000-0000-00003AAB0000}"/>
    <cellStyle name="Total 3 18" xfId="17402" xr:uid="{00000000-0005-0000-0000-00003BAB0000}"/>
    <cellStyle name="Total 3 18 2" xfId="23050" xr:uid="{00000000-0005-0000-0000-00003CAB0000}"/>
    <cellStyle name="Total 3 19" xfId="13606" xr:uid="{00000000-0005-0000-0000-00003DAB0000}"/>
    <cellStyle name="Total 3 19 2" xfId="18583" xr:uid="{00000000-0005-0000-0000-00003EAB0000}"/>
    <cellStyle name="Total 3 2" xfId="2953" xr:uid="{00000000-0005-0000-0000-00003FAB0000}"/>
    <cellStyle name="Total 3 2 10" xfId="12923" xr:uid="{00000000-0005-0000-0000-000040AB0000}"/>
    <cellStyle name="Total 3 2 11" xfId="17930" xr:uid="{00000000-0005-0000-0000-000041AB0000}"/>
    <cellStyle name="Total 3 2 2" xfId="4375" xr:uid="{00000000-0005-0000-0000-000042AB0000}"/>
    <cellStyle name="Total 3 2 2 10" xfId="18248" xr:uid="{00000000-0005-0000-0000-000043AB0000}"/>
    <cellStyle name="Total 3 2 2 2" xfId="6657" xr:uid="{00000000-0005-0000-0000-000044AB0000}"/>
    <cellStyle name="Total 3 2 2 2 2" xfId="20290" xr:uid="{00000000-0005-0000-0000-000045AB0000}"/>
    <cellStyle name="Total 3 2 2 2 3" xfId="14941" xr:uid="{00000000-0005-0000-0000-000046AB0000}"/>
    <cellStyle name="Total 3 2 2 2 3 2" xfId="24756" xr:uid="{00000000-0005-0000-0000-000047AB0000}"/>
    <cellStyle name="Total 3 2 2 2 4" xfId="24095" xr:uid="{00000000-0005-0000-0000-000048AB0000}"/>
    <cellStyle name="Total 3 2 2 3" xfId="12144" xr:uid="{00000000-0005-0000-0000-000049AB0000}"/>
    <cellStyle name="Total 3 2 2 3 2" xfId="20144" xr:uid="{00000000-0005-0000-0000-00004AAB0000}"/>
    <cellStyle name="Total 3 2 2 4" xfId="16197" xr:uid="{00000000-0005-0000-0000-00004BAB0000}"/>
    <cellStyle name="Total 3 2 2 4 2" xfId="21748" xr:uid="{00000000-0005-0000-0000-00004CAB0000}"/>
    <cellStyle name="Total 3 2 2 5" xfId="16636" xr:uid="{00000000-0005-0000-0000-00004DAB0000}"/>
    <cellStyle name="Total 3 2 2 5 2" xfId="22277" xr:uid="{00000000-0005-0000-0000-00004EAB0000}"/>
    <cellStyle name="Total 3 2 2 6" xfId="17006" xr:uid="{00000000-0005-0000-0000-00004FAB0000}"/>
    <cellStyle name="Total 3 2 2 6 2" xfId="22657" xr:uid="{00000000-0005-0000-0000-000050AB0000}"/>
    <cellStyle name="Total 3 2 2 7" xfId="17726" xr:uid="{00000000-0005-0000-0000-000051AB0000}"/>
    <cellStyle name="Total 3 2 2 7 2" xfId="23371" xr:uid="{00000000-0005-0000-0000-000052AB0000}"/>
    <cellStyle name="Total 3 2 2 8" xfId="13930" xr:uid="{00000000-0005-0000-0000-000053AB0000}"/>
    <cellStyle name="Total 3 2 2 8 2" xfId="18904" xr:uid="{00000000-0005-0000-0000-000054AB0000}"/>
    <cellStyle name="Total 3 2 2 9" xfId="13259" xr:uid="{00000000-0005-0000-0000-000055AB0000}"/>
    <cellStyle name="Total 3 2 3" xfId="5594" xr:uid="{00000000-0005-0000-0000-000056AB0000}"/>
    <cellStyle name="Total 3 2 3 2" xfId="19931" xr:uid="{00000000-0005-0000-0000-000057AB0000}"/>
    <cellStyle name="Total 3 2 3 3" xfId="14623" xr:uid="{00000000-0005-0000-0000-000058AB0000}"/>
    <cellStyle name="Total 3 2 3 3 2" xfId="24445" xr:uid="{00000000-0005-0000-0000-000059AB0000}"/>
    <cellStyle name="Total 3 2 3 4" xfId="23774" xr:uid="{00000000-0005-0000-0000-00005AAB0000}"/>
    <cellStyle name="Total 3 2 3 5" xfId="25082" xr:uid="{00000000-0005-0000-0000-00005BAB0000}"/>
    <cellStyle name="Total 3 2 3 6" xfId="29294" xr:uid="{00000000-0005-0000-0000-00005CAB0000}"/>
    <cellStyle name="Total 3 2 3 7" xfId="33510" xr:uid="{00000000-0005-0000-0000-00005DAB0000}"/>
    <cellStyle name="Total 3 2 3 8" xfId="37714" xr:uid="{00000000-0005-0000-0000-00005EAB0000}"/>
    <cellStyle name="Total 3 2 4" xfId="6656" xr:uid="{00000000-0005-0000-0000-00005FAB0000}"/>
    <cellStyle name="Total 3 2 4 2" xfId="19500" xr:uid="{00000000-0005-0000-0000-000060AB0000}"/>
    <cellStyle name="Total 3 2 4 3" xfId="14362" xr:uid="{00000000-0005-0000-0000-000061AB0000}"/>
    <cellStyle name="Total 3 2 5" xfId="11056" xr:uid="{00000000-0005-0000-0000-000062AB0000}"/>
    <cellStyle name="Total 3 2 5 2" xfId="21670" xr:uid="{00000000-0005-0000-0000-000063AB0000}"/>
    <cellStyle name="Total 3 2 6" xfId="11304" xr:uid="{00000000-0005-0000-0000-000064AB0000}"/>
    <cellStyle name="Total 3 2 6 2" xfId="21961" xr:uid="{00000000-0005-0000-0000-000065AB0000}"/>
    <cellStyle name="Total 3 2 7" xfId="16688" xr:uid="{00000000-0005-0000-0000-000066AB0000}"/>
    <cellStyle name="Total 3 2 7 2" xfId="22339" xr:uid="{00000000-0005-0000-0000-000067AB0000}"/>
    <cellStyle name="Total 3 2 8" xfId="17405" xr:uid="{00000000-0005-0000-0000-000068AB0000}"/>
    <cellStyle name="Total 3 2 8 2" xfId="23053" xr:uid="{00000000-0005-0000-0000-000069AB0000}"/>
    <cellStyle name="Total 3 2 9" xfId="13609" xr:uid="{00000000-0005-0000-0000-00006AAB0000}"/>
    <cellStyle name="Total 3 2 9 2" xfId="18586" xr:uid="{00000000-0005-0000-0000-00006BAB0000}"/>
    <cellStyle name="Total 3 20" xfId="12920" xr:uid="{00000000-0005-0000-0000-00006CAB0000}"/>
    <cellStyle name="Total 3 21" xfId="17927" xr:uid="{00000000-0005-0000-0000-00006DAB0000}"/>
    <cellStyle name="Total 3 3" xfId="2954" xr:uid="{00000000-0005-0000-0000-00006EAB0000}"/>
    <cellStyle name="Total 3 3 10" xfId="12924" xr:uid="{00000000-0005-0000-0000-00006FAB0000}"/>
    <cellStyle name="Total 3 3 11" xfId="17931" xr:uid="{00000000-0005-0000-0000-000070AB0000}"/>
    <cellStyle name="Total 3 3 2" xfId="4376" xr:uid="{00000000-0005-0000-0000-000071AB0000}"/>
    <cellStyle name="Total 3 3 2 10" xfId="18249" xr:uid="{00000000-0005-0000-0000-000072AB0000}"/>
    <cellStyle name="Total 3 3 2 2" xfId="6659" xr:uid="{00000000-0005-0000-0000-000073AB0000}"/>
    <cellStyle name="Total 3 3 2 2 2" xfId="20291" xr:uid="{00000000-0005-0000-0000-000074AB0000}"/>
    <cellStyle name="Total 3 3 2 2 3" xfId="14942" xr:uid="{00000000-0005-0000-0000-000075AB0000}"/>
    <cellStyle name="Total 3 3 2 2 3 2" xfId="24757" xr:uid="{00000000-0005-0000-0000-000076AB0000}"/>
    <cellStyle name="Total 3 3 2 2 4" xfId="24096" xr:uid="{00000000-0005-0000-0000-000077AB0000}"/>
    <cellStyle name="Total 3 3 2 3" xfId="11129" xr:uid="{00000000-0005-0000-0000-000078AB0000}"/>
    <cellStyle name="Total 3 3 2 3 2" xfId="19772" xr:uid="{00000000-0005-0000-0000-000079AB0000}"/>
    <cellStyle name="Total 3 3 2 4" xfId="16198" xr:uid="{00000000-0005-0000-0000-00007AAB0000}"/>
    <cellStyle name="Total 3 3 2 4 2" xfId="21749" xr:uid="{00000000-0005-0000-0000-00007BAB0000}"/>
    <cellStyle name="Total 3 3 2 5" xfId="16637" xr:uid="{00000000-0005-0000-0000-00007CAB0000}"/>
    <cellStyle name="Total 3 3 2 5 2" xfId="22278" xr:uid="{00000000-0005-0000-0000-00007DAB0000}"/>
    <cellStyle name="Total 3 3 2 6" xfId="17007" xr:uid="{00000000-0005-0000-0000-00007EAB0000}"/>
    <cellStyle name="Total 3 3 2 6 2" xfId="22658" xr:uid="{00000000-0005-0000-0000-00007FAB0000}"/>
    <cellStyle name="Total 3 3 2 7" xfId="17727" xr:uid="{00000000-0005-0000-0000-000080AB0000}"/>
    <cellStyle name="Total 3 3 2 7 2" xfId="23372" xr:uid="{00000000-0005-0000-0000-000081AB0000}"/>
    <cellStyle name="Total 3 3 2 8" xfId="13931" xr:uid="{00000000-0005-0000-0000-000082AB0000}"/>
    <cellStyle name="Total 3 3 2 8 2" xfId="18905" xr:uid="{00000000-0005-0000-0000-000083AB0000}"/>
    <cellStyle name="Total 3 3 2 9" xfId="13260" xr:uid="{00000000-0005-0000-0000-000084AB0000}"/>
    <cellStyle name="Total 3 3 3" xfId="5595" xr:uid="{00000000-0005-0000-0000-000085AB0000}"/>
    <cellStyle name="Total 3 3 3 2" xfId="19932" xr:uid="{00000000-0005-0000-0000-000086AB0000}"/>
    <cellStyle name="Total 3 3 3 3" xfId="14624" xr:uid="{00000000-0005-0000-0000-000087AB0000}"/>
    <cellStyle name="Total 3 3 3 3 2" xfId="24446" xr:uid="{00000000-0005-0000-0000-000088AB0000}"/>
    <cellStyle name="Total 3 3 3 4" xfId="23775" xr:uid="{00000000-0005-0000-0000-000089AB0000}"/>
    <cellStyle name="Total 3 3 3 5" xfId="25083" xr:uid="{00000000-0005-0000-0000-00008AAB0000}"/>
    <cellStyle name="Total 3 3 3 6" xfId="29295" xr:uid="{00000000-0005-0000-0000-00008BAB0000}"/>
    <cellStyle name="Total 3 3 3 7" xfId="33511" xr:uid="{00000000-0005-0000-0000-00008CAB0000}"/>
    <cellStyle name="Total 3 3 3 8" xfId="37715" xr:uid="{00000000-0005-0000-0000-00008DAB0000}"/>
    <cellStyle name="Total 3 3 4" xfId="6658" xr:uid="{00000000-0005-0000-0000-00008EAB0000}"/>
    <cellStyle name="Total 3 3 4 2" xfId="19501" xr:uid="{00000000-0005-0000-0000-00008FAB0000}"/>
    <cellStyle name="Total 3 3 4 3" xfId="14363" xr:uid="{00000000-0005-0000-0000-000090AB0000}"/>
    <cellStyle name="Total 3 3 5" xfId="12155" xr:uid="{00000000-0005-0000-0000-000091AB0000}"/>
    <cellStyle name="Total 3 3 5 2" xfId="21669" xr:uid="{00000000-0005-0000-0000-000092AB0000}"/>
    <cellStyle name="Total 3 3 6" xfId="10278" xr:uid="{00000000-0005-0000-0000-000093AB0000}"/>
    <cellStyle name="Total 3 3 6 2" xfId="21962" xr:uid="{00000000-0005-0000-0000-000094AB0000}"/>
    <cellStyle name="Total 3 3 7" xfId="16689" xr:uid="{00000000-0005-0000-0000-000095AB0000}"/>
    <cellStyle name="Total 3 3 7 2" xfId="22340" xr:uid="{00000000-0005-0000-0000-000096AB0000}"/>
    <cellStyle name="Total 3 3 8" xfId="17406" xr:uid="{00000000-0005-0000-0000-000097AB0000}"/>
    <cellStyle name="Total 3 3 8 2" xfId="23054" xr:uid="{00000000-0005-0000-0000-000098AB0000}"/>
    <cellStyle name="Total 3 3 9" xfId="13610" xr:uid="{00000000-0005-0000-0000-000099AB0000}"/>
    <cellStyle name="Total 3 3 9 2" xfId="18587" xr:uid="{00000000-0005-0000-0000-00009AAB0000}"/>
    <cellStyle name="Total 3 4" xfId="2955" xr:uid="{00000000-0005-0000-0000-00009BAB0000}"/>
    <cellStyle name="Total 3 4 10" xfId="12925" xr:uid="{00000000-0005-0000-0000-00009CAB0000}"/>
    <cellStyle name="Total 3 4 11" xfId="17932" xr:uid="{00000000-0005-0000-0000-00009DAB0000}"/>
    <cellStyle name="Total 3 4 2" xfId="4377" xr:uid="{00000000-0005-0000-0000-00009EAB0000}"/>
    <cellStyle name="Total 3 4 2 10" xfId="18250" xr:uid="{00000000-0005-0000-0000-00009FAB0000}"/>
    <cellStyle name="Total 3 4 2 2" xfId="6661" xr:uid="{00000000-0005-0000-0000-0000A0AB0000}"/>
    <cellStyle name="Total 3 4 2 2 2" xfId="20292" xr:uid="{00000000-0005-0000-0000-0000A1AB0000}"/>
    <cellStyle name="Total 3 4 2 2 3" xfId="14943" xr:uid="{00000000-0005-0000-0000-0000A2AB0000}"/>
    <cellStyle name="Total 3 4 2 2 3 2" xfId="24758" xr:uid="{00000000-0005-0000-0000-0000A3AB0000}"/>
    <cellStyle name="Total 3 4 2 2 4" xfId="24097" xr:uid="{00000000-0005-0000-0000-0000A4AB0000}"/>
    <cellStyle name="Total 3 4 2 3" xfId="11851" xr:uid="{00000000-0005-0000-0000-0000A5AB0000}"/>
    <cellStyle name="Total 3 4 2 3 2" xfId="20145" xr:uid="{00000000-0005-0000-0000-0000A6AB0000}"/>
    <cellStyle name="Total 3 4 2 4" xfId="16199" xr:uid="{00000000-0005-0000-0000-0000A7AB0000}"/>
    <cellStyle name="Total 3 4 2 4 2" xfId="21750" xr:uid="{00000000-0005-0000-0000-0000A8AB0000}"/>
    <cellStyle name="Total 3 4 2 5" xfId="16638" xr:uid="{00000000-0005-0000-0000-0000A9AB0000}"/>
    <cellStyle name="Total 3 4 2 5 2" xfId="22279" xr:uid="{00000000-0005-0000-0000-0000AAAB0000}"/>
    <cellStyle name="Total 3 4 2 6" xfId="17008" xr:uid="{00000000-0005-0000-0000-0000ABAB0000}"/>
    <cellStyle name="Total 3 4 2 6 2" xfId="22659" xr:uid="{00000000-0005-0000-0000-0000ACAB0000}"/>
    <cellStyle name="Total 3 4 2 7" xfId="17728" xr:uid="{00000000-0005-0000-0000-0000ADAB0000}"/>
    <cellStyle name="Total 3 4 2 7 2" xfId="23373" xr:uid="{00000000-0005-0000-0000-0000AEAB0000}"/>
    <cellStyle name="Total 3 4 2 8" xfId="13932" xr:uid="{00000000-0005-0000-0000-0000AFAB0000}"/>
    <cellStyle name="Total 3 4 2 8 2" xfId="18906" xr:uid="{00000000-0005-0000-0000-0000B0AB0000}"/>
    <cellStyle name="Total 3 4 2 9" xfId="13261" xr:uid="{00000000-0005-0000-0000-0000B1AB0000}"/>
    <cellStyle name="Total 3 4 3" xfId="5596" xr:uid="{00000000-0005-0000-0000-0000B2AB0000}"/>
    <cellStyle name="Total 3 4 3 2" xfId="19933" xr:uid="{00000000-0005-0000-0000-0000B3AB0000}"/>
    <cellStyle name="Total 3 4 3 3" xfId="14625" xr:uid="{00000000-0005-0000-0000-0000B4AB0000}"/>
    <cellStyle name="Total 3 4 3 3 2" xfId="24447" xr:uid="{00000000-0005-0000-0000-0000B5AB0000}"/>
    <cellStyle name="Total 3 4 3 4" xfId="23776" xr:uid="{00000000-0005-0000-0000-0000B6AB0000}"/>
    <cellStyle name="Total 3 4 3 5" xfId="25084" xr:uid="{00000000-0005-0000-0000-0000B7AB0000}"/>
    <cellStyle name="Total 3 4 3 6" xfId="29296" xr:uid="{00000000-0005-0000-0000-0000B8AB0000}"/>
    <cellStyle name="Total 3 4 3 7" xfId="33512" xr:uid="{00000000-0005-0000-0000-0000B9AB0000}"/>
    <cellStyle name="Total 3 4 3 8" xfId="37716" xr:uid="{00000000-0005-0000-0000-0000BAAB0000}"/>
    <cellStyle name="Total 3 4 4" xfId="6660" xr:uid="{00000000-0005-0000-0000-0000BBAB0000}"/>
    <cellStyle name="Total 3 4 4 2" xfId="19502" xr:uid="{00000000-0005-0000-0000-0000BCAB0000}"/>
    <cellStyle name="Total 3 4 4 3" xfId="14364" xr:uid="{00000000-0005-0000-0000-0000BDAB0000}"/>
    <cellStyle name="Total 3 4 5" xfId="11834" xr:uid="{00000000-0005-0000-0000-0000BEAB0000}"/>
    <cellStyle name="Total 3 4 5 2" xfId="21668" xr:uid="{00000000-0005-0000-0000-0000BFAB0000}"/>
    <cellStyle name="Total 3 4 6" xfId="10277" xr:uid="{00000000-0005-0000-0000-0000C0AB0000}"/>
    <cellStyle name="Total 3 4 6 2" xfId="21963" xr:uid="{00000000-0005-0000-0000-0000C1AB0000}"/>
    <cellStyle name="Total 3 4 7" xfId="16690" xr:uid="{00000000-0005-0000-0000-0000C2AB0000}"/>
    <cellStyle name="Total 3 4 7 2" xfId="22341" xr:uid="{00000000-0005-0000-0000-0000C3AB0000}"/>
    <cellStyle name="Total 3 4 8" xfId="17407" xr:uid="{00000000-0005-0000-0000-0000C4AB0000}"/>
    <cellStyle name="Total 3 4 8 2" xfId="23055" xr:uid="{00000000-0005-0000-0000-0000C5AB0000}"/>
    <cellStyle name="Total 3 4 9" xfId="13611" xr:uid="{00000000-0005-0000-0000-0000C6AB0000}"/>
    <cellStyle name="Total 3 4 9 2" xfId="18588" xr:uid="{00000000-0005-0000-0000-0000C7AB0000}"/>
    <cellStyle name="Total 3 5" xfId="2956" xr:uid="{00000000-0005-0000-0000-0000C8AB0000}"/>
    <cellStyle name="Total 3 5 10" xfId="12926" xr:uid="{00000000-0005-0000-0000-0000C9AB0000}"/>
    <cellStyle name="Total 3 5 11" xfId="17933" xr:uid="{00000000-0005-0000-0000-0000CAAB0000}"/>
    <cellStyle name="Total 3 5 2" xfId="4378" xr:uid="{00000000-0005-0000-0000-0000CBAB0000}"/>
    <cellStyle name="Total 3 5 2 10" xfId="18251" xr:uid="{00000000-0005-0000-0000-0000CCAB0000}"/>
    <cellStyle name="Total 3 5 2 2" xfId="6663" xr:uid="{00000000-0005-0000-0000-0000CDAB0000}"/>
    <cellStyle name="Total 3 5 2 2 2" xfId="20293" xr:uid="{00000000-0005-0000-0000-0000CEAB0000}"/>
    <cellStyle name="Total 3 5 2 2 3" xfId="14944" xr:uid="{00000000-0005-0000-0000-0000CFAB0000}"/>
    <cellStyle name="Total 3 5 2 2 3 2" xfId="24759" xr:uid="{00000000-0005-0000-0000-0000D0AB0000}"/>
    <cellStyle name="Total 3 5 2 2 4" xfId="24098" xr:uid="{00000000-0005-0000-0000-0000D1AB0000}"/>
    <cellStyle name="Total 3 5 2 3" xfId="11870" xr:uid="{00000000-0005-0000-0000-0000D2AB0000}"/>
    <cellStyle name="Total 3 5 2 3 2" xfId="19773" xr:uid="{00000000-0005-0000-0000-0000D3AB0000}"/>
    <cellStyle name="Total 3 5 2 4" xfId="16200" xr:uid="{00000000-0005-0000-0000-0000D4AB0000}"/>
    <cellStyle name="Total 3 5 2 4 2" xfId="21751" xr:uid="{00000000-0005-0000-0000-0000D5AB0000}"/>
    <cellStyle name="Total 3 5 2 5" xfId="16639" xr:uid="{00000000-0005-0000-0000-0000D6AB0000}"/>
    <cellStyle name="Total 3 5 2 5 2" xfId="22280" xr:uid="{00000000-0005-0000-0000-0000D7AB0000}"/>
    <cellStyle name="Total 3 5 2 6" xfId="17009" xr:uid="{00000000-0005-0000-0000-0000D8AB0000}"/>
    <cellStyle name="Total 3 5 2 6 2" xfId="22660" xr:uid="{00000000-0005-0000-0000-0000D9AB0000}"/>
    <cellStyle name="Total 3 5 2 7" xfId="17729" xr:uid="{00000000-0005-0000-0000-0000DAAB0000}"/>
    <cellStyle name="Total 3 5 2 7 2" xfId="23374" xr:uid="{00000000-0005-0000-0000-0000DBAB0000}"/>
    <cellStyle name="Total 3 5 2 8" xfId="13933" xr:uid="{00000000-0005-0000-0000-0000DCAB0000}"/>
    <cellStyle name="Total 3 5 2 8 2" xfId="18907" xr:uid="{00000000-0005-0000-0000-0000DDAB0000}"/>
    <cellStyle name="Total 3 5 2 9" xfId="13262" xr:uid="{00000000-0005-0000-0000-0000DEAB0000}"/>
    <cellStyle name="Total 3 5 3" xfId="5597" xr:uid="{00000000-0005-0000-0000-0000DFAB0000}"/>
    <cellStyle name="Total 3 5 3 2" xfId="19934" xr:uid="{00000000-0005-0000-0000-0000E0AB0000}"/>
    <cellStyle name="Total 3 5 3 3" xfId="14626" xr:uid="{00000000-0005-0000-0000-0000E1AB0000}"/>
    <cellStyle name="Total 3 5 3 3 2" xfId="24448" xr:uid="{00000000-0005-0000-0000-0000E2AB0000}"/>
    <cellStyle name="Total 3 5 3 4" xfId="23777" xr:uid="{00000000-0005-0000-0000-0000E3AB0000}"/>
    <cellStyle name="Total 3 5 3 5" xfId="25085" xr:uid="{00000000-0005-0000-0000-0000E4AB0000}"/>
    <cellStyle name="Total 3 5 3 6" xfId="29297" xr:uid="{00000000-0005-0000-0000-0000E5AB0000}"/>
    <cellStyle name="Total 3 5 3 7" xfId="33513" xr:uid="{00000000-0005-0000-0000-0000E6AB0000}"/>
    <cellStyle name="Total 3 5 3 8" xfId="37717" xr:uid="{00000000-0005-0000-0000-0000E7AB0000}"/>
    <cellStyle name="Total 3 5 4" xfId="6662" xr:uid="{00000000-0005-0000-0000-0000E8AB0000}"/>
    <cellStyle name="Total 3 5 4 2" xfId="19503" xr:uid="{00000000-0005-0000-0000-0000E9AB0000}"/>
    <cellStyle name="Total 3 5 4 3" xfId="14365" xr:uid="{00000000-0005-0000-0000-0000EAAB0000}"/>
    <cellStyle name="Total 3 5 5" xfId="11861" xr:uid="{00000000-0005-0000-0000-0000EBAB0000}"/>
    <cellStyle name="Total 3 5 5 2" xfId="20744" xr:uid="{00000000-0005-0000-0000-0000ECAB0000}"/>
    <cellStyle name="Total 3 5 6" xfId="10276" xr:uid="{00000000-0005-0000-0000-0000EDAB0000}"/>
    <cellStyle name="Total 3 5 6 2" xfId="21964" xr:uid="{00000000-0005-0000-0000-0000EEAB0000}"/>
    <cellStyle name="Total 3 5 7" xfId="16691" xr:uid="{00000000-0005-0000-0000-0000EFAB0000}"/>
    <cellStyle name="Total 3 5 7 2" xfId="22342" xr:uid="{00000000-0005-0000-0000-0000F0AB0000}"/>
    <cellStyle name="Total 3 5 8" xfId="17408" xr:uid="{00000000-0005-0000-0000-0000F1AB0000}"/>
    <cellStyle name="Total 3 5 8 2" xfId="23056" xr:uid="{00000000-0005-0000-0000-0000F2AB0000}"/>
    <cellStyle name="Total 3 5 9" xfId="13612" xr:uid="{00000000-0005-0000-0000-0000F3AB0000}"/>
    <cellStyle name="Total 3 5 9 2" xfId="18589" xr:uid="{00000000-0005-0000-0000-0000F4AB0000}"/>
    <cellStyle name="Total 3 6" xfId="2957" xr:uid="{00000000-0005-0000-0000-0000F5AB0000}"/>
    <cellStyle name="Total 3 6 10" xfId="12927" xr:uid="{00000000-0005-0000-0000-0000F6AB0000}"/>
    <cellStyle name="Total 3 6 11" xfId="17934" xr:uid="{00000000-0005-0000-0000-0000F7AB0000}"/>
    <cellStyle name="Total 3 6 2" xfId="4379" xr:uid="{00000000-0005-0000-0000-0000F8AB0000}"/>
    <cellStyle name="Total 3 6 2 10" xfId="18252" xr:uid="{00000000-0005-0000-0000-0000F9AB0000}"/>
    <cellStyle name="Total 3 6 2 2" xfId="6665" xr:uid="{00000000-0005-0000-0000-0000FAAB0000}"/>
    <cellStyle name="Total 3 6 2 2 2" xfId="20294" xr:uid="{00000000-0005-0000-0000-0000FBAB0000}"/>
    <cellStyle name="Total 3 6 2 2 3" xfId="14945" xr:uid="{00000000-0005-0000-0000-0000FCAB0000}"/>
    <cellStyle name="Total 3 6 2 2 3 2" xfId="24760" xr:uid="{00000000-0005-0000-0000-0000FDAB0000}"/>
    <cellStyle name="Total 3 6 2 2 4" xfId="24099" xr:uid="{00000000-0005-0000-0000-0000FEAB0000}"/>
    <cellStyle name="Total 3 6 2 3" xfId="11057" xr:uid="{00000000-0005-0000-0000-0000FFAB0000}"/>
    <cellStyle name="Total 3 6 2 3 2" xfId="19774" xr:uid="{00000000-0005-0000-0000-000000AC0000}"/>
    <cellStyle name="Total 3 6 2 4" xfId="16201" xr:uid="{00000000-0005-0000-0000-000001AC0000}"/>
    <cellStyle name="Total 3 6 2 4 2" xfId="21752" xr:uid="{00000000-0005-0000-0000-000002AC0000}"/>
    <cellStyle name="Total 3 6 2 5" xfId="16640" xr:uid="{00000000-0005-0000-0000-000003AC0000}"/>
    <cellStyle name="Total 3 6 2 5 2" xfId="22281" xr:uid="{00000000-0005-0000-0000-000004AC0000}"/>
    <cellStyle name="Total 3 6 2 6" xfId="17010" xr:uid="{00000000-0005-0000-0000-000005AC0000}"/>
    <cellStyle name="Total 3 6 2 6 2" xfId="22661" xr:uid="{00000000-0005-0000-0000-000006AC0000}"/>
    <cellStyle name="Total 3 6 2 7" xfId="17730" xr:uid="{00000000-0005-0000-0000-000007AC0000}"/>
    <cellStyle name="Total 3 6 2 7 2" xfId="23375" xr:uid="{00000000-0005-0000-0000-000008AC0000}"/>
    <cellStyle name="Total 3 6 2 8" xfId="13934" xr:uid="{00000000-0005-0000-0000-000009AC0000}"/>
    <cellStyle name="Total 3 6 2 8 2" xfId="18908" xr:uid="{00000000-0005-0000-0000-00000AAC0000}"/>
    <cellStyle name="Total 3 6 2 9" xfId="13263" xr:uid="{00000000-0005-0000-0000-00000BAC0000}"/>
    <cellStyle name="Total 3 6 3" xfId="5598" xr:uid="{00000000-0005-0000-0000-00000CAC0000}"/>
    <cellStyle name="Total 3 6 3 2" xfId="19935" xr:uid="{00000000-0005-0000-0000-00000DAC0000}"/>
    <cellStyle name="Total 3 6 3 3" xfId="14627" xr:uid="{00000000-0005-0000-0000-00000EAC0000}"/>
    <cellStyle name="Total 3 6 3 3 2" xfId="24449" xr:uid="{00000000-0005-0000-0000-00000FAC0000}"/>
    <cellStyle name="Total 3 6 3 4" xfId="23778" xr:uid="{00000000-0005-0000-0000-000010AC0000}"/>
    <cellStyle name="Total 3 6 3 5" xfId="25086" xr:uid="{00000000-0005-0000-0000-000011AC0000}"/>
    <cellStyle name="Total 3 6 3 6" xfId="29298" xr:uid="{00000000-0005-0000-0000-000012AC0000}"/>
    <cellStyle name="Total 3 6 3 7" xfId="33514" xr:uid="{00000000-0005-0000-0000-000013AC0000}"/>
    <cellStyle name="Total 3 6 3 8" xfId="37718" xr:uid="{00000000-0005-0000-0000-000014AC0000}"/>
    <cellStyle name="Total 3 6 4" xfId="6664" xr:uid="{00000000-0005-0000-0000-000015AC0000}"/>
    <cellStyle name="Total 3 6 4 2" xfId="19504" xr:uid="{00000000-0005-0000-0000-000016AC0000}"/>
    <cellStyle name="Total 3 6 4 3" xfId="14366" xr:uid="{00000000-0005-0000-0000-000017AC0000}"/>
    <cellStyle name="Total 3 6 5" xfId="12097" xr:uid="{00000000-0005-0000-0000-000018AC0000}"/>
    <cellStyle name="Total 3 6 5 2" xfId="20743" xr:uid="{00000000-0005-0000-0000-000019AC0000}"/>
    <cellStyle name="Total 3 6 6" xfId="10275" xr:uid="{00000000-0005-0000-0000-00001AAC0000}"/>
    <cellStyle name="Total 3 6 6 2" xfId="21965" xr:uid="{00000000-0005-0000-0000-00001BAC0000}"/>
    <cellStyle name="Total 3 6 7" xfId="16692" xr:uid="{00000000-0005-0000-0000-00001CAC0000}"/>
    <cellStyle name="Total 3 6 7 2" xfId="22343" xr:uid="{00000000-0005-0000-0000-00001DAC0000}"/>
    <cellStyle name="Total 3 6 8" xfId="17409" xr:uid="{00000000-0005-0000-0000-00001EAC0000}"/>
    <cellStyle name="Total 3 6 8 2" xfId="23057" xr:uid="{00000000-0005-0000-0000-00001FAC0000}"/>
    <cellStyle name="Total 3 6 9" xfId="13613" xr:uid="{00000000-0005-0000-0000-000020AC0000}"/>
    <cellStyle name="Total 3 6 9 2" xfId="18590" xr:uid="{00000000-0005-0000-0000-000021AC0000}"/>
    <cellStyle name="Total 3 7" xfId="2958" xr:uid="{00000000-0005-0000-0000-000022AC0000}"/>
    <cellStyle name="Total 3 7 10" xfId="12928" xr:uid="{00000000-0005-0000-0000-000023AC0000}"/>
    <cellStyle name="Total 3 7 11" xfId="17935" xr:uid="{00000000-0005-0000-0000-000024AC0000}"/>
    <cellStyle name="Total 3 7 2" xfId="4380" xr:uid="{00000000-0005-0000-0000-000025AC0000}"/>
    <cellStyle name="Total 3 7 2 10" xfId="18253" xr:uid="{00000000-0005-0000-0000-000026AC0000}"/>
    <cellStyle name="Total 3 7 2 2" xfId="6667" xr:uid="{00000000-0005-0000-0000-000027AC0000}"/>
    <cellStyle name="Total 3 7 2 2 2" xfId="20295" xr:uid="{00000000-0005-0000-0000-000028AC0000}"/>
    <cellStyle name="Total 3 7 2 2 3" xfId="14946" xr:uid="{00000000-0005-0000-0000-000029AC0000}"/>
    <cellStyle name="Total 3 7 2 2 3 2" xfId="24761" xr:uid="{00000000-0005-0000-0000-00002AAC0000}"/>
    <cellStyle name="Total 3 7 2 2 4" xfId="24100" xr:uid="{00000000-0005-0000-0000-00002BAC0000}"/>
    <cellStyle name="Total 3 7 2 3" xfId="12109" xr:uid="{00000000-0005-0000-0000-00002CAC0000}"/>
    <cellStyle name="Total 3 7 2 3 2" xfId="19775" xr:uid="{00000000-0005-0000-0000-00002DAC0000}"/>
    <cellStyle name="Total 3 7 2 4" xfId="16202" xr:uid="{00000000-0005-0000-0000-00002EAC0000}"/>
    <cellStyle name="Total 3 7 2 4 2" xfId="21753" xr:uid="{00000000-0005-0000-0000-00002FAC0000}"/>
    <cellStyle name="Total 3 7 2 5" xfId="16641" xr:uid="{00000000-0005-0000-0000-000030AC0000}"/>
    <cellStyle name="Total 3 7 2 5 2" xfId="22282" xr:uid="{00000000-0005-0000-0000-000031AC0000}"/>
    <cellStyle name="Total 3 7 2 6" xfId="17011" xr:uid="{00000000-0005-0000-0000-000032AC0000}"/>
    <cellStyle name="Total 3 7 2 6 2" xfId="22662" xr:uid="{00000000-0005-0000-0000-000033AC0000}"/>
    <cellStyle name="Total 3 7 2 7" xfId="17731" xr:uid="{00000000-0005-0000-0000-000034AC0000}"/>
    <cellStyle name="Total 3 7 2 7 2" xfId="23376" xr:uid="{00000000-0005-0000-0000-000035AC0000}"/>
    <cellStyle name="Total 3 7 2 8" xfId="13935" xr:uid="{00000000-0005-0000-0000-000036AC0000}"/>
    <cellStyle name="Total 3 7 2 8 2" xfId="18909" xr:uid="{00000000-0005-0000-0000-000037AC0000}"/>
    <cellStyle name="Total 3 7 2 9" xfId="13264" xr:uid="{00000000-0005-0000-0000-000038AC0000}"/>
    <cellStyle name="Total 3 7 3" xfId="5599" xr:uid="{00000000-0005-0000-0000-000039AC0000}"/>
    <cellStyle name="Total 3 7 3 2" xfId="19936" xr:uid="{00000000-0005-0000-0000-00003AAC0000}"/>
    <cellStyle name="Total 3 7 3 3" xfId="14628" xr:uid="{00000000-0005-0000-0000-00003BAC0000}"/>
    <cellStyle name="Total 3 7 3 3 2" xfId="24450" xr:uid="{00000000-0005-0000-0000-00003CAC0000}"/>
    <cellStyle name="Total 3 7 3 4" xfId="23779" xr:uid="{00000000-0005-0000-0000-00003DAC0000}"/>
    <cellStyle name="Total 3 7 3 5" xfId="25087" xr:uid="{00000000-0005-0000-0000-00003EAC0000}"/>
    <cellStyle name="Total 3 7 3 6" xfId="29299" xr:uid="{00000000-0005-0000-0000-00003FAC0000}"/>
    <cellStyle name="Total 3 7 3 7" xfId="33515" xr:uid="{00000000-0005-0000-0000-000040AC0000}"/>
    <cellStyle name="Total 3 7 3 8" xfId="37719" xr:uid="{00000000-0005-0000-0000-000041AC0000}"/>
    <cellStyle name="Total 3 7 4" xfId="6666" xr:uid="{00000000-0005-0000-0000-000042AC0000}"/>
    <cellStyle name="Total 3 7 4 2" xfId="19505" xr:uid="{00000000-0005-0000-0000-000043AC0000}"/>
    <cellStyle name="Total 3 7 4 3" xfId="14367" xr:uid="{00000000-0005-0000-0000-000044AC0000}"/>
    <cellStyle name="Total 3 7 5" xfId="11058" xr:uid="{00000000-0005-0000-0000-000045AC0000}"/>
    <cellStyle name="Total 3 7 5 2" xfId="20742" xr:uid="{00000000-0005-0000-0000-000046AC0000}"/>
    <cellStyle name="Total 3 7 6" xfId="10274" xr:uid="{00000000-0005-0000-0000-000047AC0000}"/>
    <cellStyle name="Total 3 7 6 2" xfId="21966" xr:uid="{00000000-0005-0000-0000-000048AC0000}"/>
    <cellStyle name="Total 3 7 7" xfId="16693" xr:uid="{00000000-0005-0000-0000-000049AC0000}"/>
    <cellStyle name="Total 3 7 7 2" xfId="22344" xr:uid="{00000000-0005-0000-0000-00004AAC0000}"/>
    <cellStyle name="Total 3 7 8" xfId="17410" xr:uid="{00000000-0005-0000-0000-00004BAC0000}"/>
    <cellStyle name="Total 3 7 8 2" xfId="23058" xr:uid="{00000000-0005-0000-0000-00004CAC0000}"/>
    <cellStyle name="Total 3 7 9" xfId="13614" xr:uid="{00000000-0005-0000-0000-00004DAC0000}"/>
    <cellStyle name="Total 3 7 9 2" xfId="18591" xr:uid="{00000000-0005-0000-0000-00004EAC0000}"/>
    <cellStyle name="Total 3 8" xfId="2959" xr:uid="{00000000-0005-0000-0000-00004FAC0000}"/>
    <cellStyle name="Total 3 8 10" xfId="12929" xr:uid="{00000000-0005-0000-0000-000050AC0000}"/>
    <cellStyle name="Total 3 8 11" xfId="17936" xr:uid="{00000000-0005-0000-0000-000051AC0000}"/>
    <cellStyle name="Total 3 8 2" xfId="4381" xr:uid="{00000000-0005-0000-0000-000052AC0000}"/>
    <cellStyle name="Total 3 8 2 10" xfId="18254" xr:uid="{00000000-0005-0000-0000-000053AC0000}"/>
    <cellStyle name="Total 3 8 2 2" xfId="6669" xr:uid="{00000000-0005-0000-0000-000054AC0000}"/>
    <cellStyle name="Total 3 8 2 2 2" xfId="20296" xr:uid="{00000000-0005-0000-0000-000055AC0000}"/>
    <cellStyle name="Total 3 8 2 2 3" xfId="14947" xr:uid="{00000000-0005-0000-0000-000056AC0000}"/>
    <cellStyle name="Total 3 8 2 2 3 2" xfId="24762" xr:uid="{00000000-0005-0000-0000-000057AC0000}"/>
    <cellStyle name="Total 3 8 2 2 4" xfId="24101" xr:uid="{00000000-0005-0000-0000-000058AC0000}"/>
    <cellStyle name="Total 3 8 2 3" xfId="12131" xr:uid="{00000000-0005-0000-0000-000059AC0000}"/>
    <cellStyle name="Total 3 8 2 3 2" xfId="19776" xr:uid="{00000000-0005-0000-0000-00005AAC0000}"/>
    <cellStyle name="Total 3 8 2 4" xfId="16203" xr:uid="{00000000-0005-0000-0000-00005BAC0000}"/>
    <cellStyle name="Total 3 8 2 4 2" xfId="21754" xr:uid="{00000000-0005-0000-0000-00005CAC0000}"/>
    <cellStyle name="Total 3 8 2 5" xfId="16642" xr:uid="{00000000-0005-0000-0000-00005DAC0000}"/>
    <cellStyle name="Total 3 8 2 5 2" xfId="22283" xr:uid="{00000000-0005-0000-0000-00005EAC0000}"/>
    <cellStyle name="Total 3 8 2 6" xfId="17012" xr:uid="{00000000-0005-0000-0000-00005FAC0000}"/>
    <cellStyle name="Total 3 8 2 6 2" xfId="22663" xr:uid="{00000000-0005-0000-0000-000060AC0000}"/>
    <cellStyle name="Total 3 8 2 7" xfId="17732" xr:uid="{00000000-0005-0000-0000-000061AC0000}"/>
    <cellStyle name="Total 3 8 2 7 2" xfId="23377" xr:uid="{00000000-0005-0000-0000-000062AC0000}"/>
    <cellStyle name="Total 3 8 2 8" xfId="13936" xr:uid="{00000000-0005-0000-0000-000063AC0000}"/>
    <cellStyle name="Total 3 8 2 8 2" xfId="18910" xr:uid="{00000000-0005-0000-0000-000064AC0000}"/>
    <cellStyle name="Total 3 8 2 9" xfId="13265" xr:uid="{00000000-0005-0000-0000-000065AC0000}"/>
    <cellStyle name="Total 3 8 3" xfId="5600" xr:uid="{00000000-0005-0000-0000-000066AC0000}"/>
    <cellStyle name="Total 3 8 3 2" xfId="19937" xr:uid="{00000000-0005-0000-0000-000067AC0000}"/>
    <cellStyle name="Total 3 8 3 3" xfId="14629" xr:uid="{00000000-0005-0000-0000-000068AC0000}"/>
    <cellStyle name="Total 3 8 3 3 2" xfId="24451" xr:uid="{00000000-0005-0000-0000-000069AC0000}"/>
    <cellStyle name="Total 3 8 3 4" xfId="23780" xr:uid="{00000000-0005-0000-0000-00006AAC0000}"/>
    <cellStyle name="Total 3 8 3 5" xfId="25088" xr:uid="{00000000-0005-0000-0000-00006BAC0000}"/>
    <cellStyle name="Total 3 8 3 6" xfId="29300" xr:uid="{00000000-0005-0000-0000-00006CAC0000}"/>
    <cellStyle name="Total 3 8 3 7" xfId="33516" xr:uid="{00000000-0005-0000-0000-00006DAC0000}"/>
    <cellStyle name="Total 3 8 3 8" xfId="37720" xr:uid="{00000000-0005-0000-0000-00006EAC0000}"/>
    <cellStyle name="Total 3 8 4" xfId="6668" xr:uid="{00000000-0005-0000-0000-00006FAC0000}"/>
    <cellStyle name="Total 3 8 4 2" xfId="19506" xr:uid="{00000000-0005-0000-0000-000070AC0000}"/>
    <cellStyle name="Total 3 8 4 3" xfId="14368" xr:uid="{00000000-0005-0000-0000-000071AC0000}"/>
    <cellStyle name="Total 3 8 5" xfId="12121" xr:uid="{00000000-0005-0000-0000-000072AC0000}"/>
    <cellStyle name="Total 3 8 5 2" xfId="20741" xr:uid="{00000000-0005-0000-0000-000073AC0000}"/>
    <cellStyle name="Total 3 8 6" xfId="10273" xr:uid="{00000000-0005-0000-0000-000074AC0000}"/>
    <cellStyle name="Total 3 8 6 2" xfId="21967" xr:uid="{00000000-0005-0000-0000-000075AC0000}"/>
    <cellStyle name="Total 3 8 7" xfId="16694" xr:uid="{00000000-0005-0000-0000-000076AC0000}"/>
    <cellStyle name="Total 3 8 7 2" xfId="22345" xr:uid="{00000000-0005-0000-0000-000077AC0000}"/>
    <cellStyle name="Total 3 8 8" xfId="17411" xr:uid="{00000000-0005-0000-0000-000078AC0000}"/>
    <cellStyle name="Total 3 8 8 2" xfId="23059" xr:uid="{00000000-0005-0000-0000-000079AC0000}"/>
    <cellStyle name="Total 3 8 9" xfId="13615" xr:uid="{00000000-0005-0000-0000-00007AAC0000}"/>
    <cellStyle name="Total 3 8 9 2" xfId="18592" xr:uid="{00000000-0005-0000-0000-00007BAC0000}"/>
    <cellStyle name="Total 3 9" xfId="2960" xr:uid="{00000000-0005-0000-0000-00007CAC0000}"/>
    <cellStyle name="Total 3 9 10" xfId="12930" xr:uid="{00000000-0005-0000-0000-00007DAC0000}"/>
    <cellStyle name="Total 3 9 11" xfId="17937" xr:uid="{00000000-0005-0000-0000-00007EAC0000}"/>
    <cellStyle name="Total 3 9 2" xfId="4382" xr:uid="{00000000-0005-0000-0000-00007FAC0000}"/>
    <cellStyle name="Total 3 9 2 10" xfId="18255" xr:uid="{00000000-0005-0000-0000-000080AC0000}"/>
    <cellStyle name="Total 3 9 2 2" xfId="6671" xr:uid="{00000000-0005-0000-0000-000081AC0000}"/>
    <cellStyle name="Total 3 9 2 2 2" xfId="20297" xr:uid="{00000000-0005-0000-0000-000082AC0000}"/>
    <cellStyle name="Total 3 9 2 2 3" xfId="14948" xr:uid="{00000000-0005-0000-0000-000083AC0000}"/>
    <cellStyle name="Total 3 9 2 2 3 2" xfId="24763" xr:uid="{00000000-0005-0000-0000-000084AC0000}"/>
    <cellStyle name="Total 3 9 2 2 4" xfId="24102" xr:uid="{00000000-0005-0000-0000-000085AC0000}"/>
    <cellStyle name="Total 3 9 2 3" xfId="12156" xr:uid="{00000000-0005-0000-0000-000086AC0000}"/>
    <cellStyle name="Total 3 9 2 3 2" xfId="19777" xr:uid="{00000000-0005-0000-0000-000087AC0000}"/>
    <cellStyle name="Total 3 9 2 4" xfId="16204" xr:uid="{00000000-0005-0000-0000-000088AC0000}"/>
    <cellStyle name="Total 3 9 2 4 2" xfId="21755" xr:uid="{00000000-0005-0000-0000-000089AC0000}"/>
    <cellStyle name="Total 3 9 2 5" xfId="16643" xr:uid="{00000000-0005-0000-0000-00008AAC0000}"/>
    <cellStyle name="Total 3 9 2 5 2" xfId="22284" xr:uid="{00000000-0005-0000-0000-00008BAC0000}"/>
    <cellStyle name="Total 3 9 2 6" xfId="17013" xr:uid="{00000000-0005-0000-0000-00008CAC0000}"/>
    <cellStyle name="Total 3 9 2 6 2" xfId="22664" xr:uid="{00000000-0005-0000-0000-00008DAC0000}"/>
    <cellStyle name="Total 3 9 2 7" xfId="17733" xr:uid="{00000000-0005-0000-0000-00008EAC0000}"/>
    <cellStyle name="Total 3 9 2 7 2" xfId="23378" xr:uid="{00000000-0005-0000-0000-00008FAC0000}"/>
    <cellStyle name="Total 3 9 2 8" xfId="13937" xr:uid="{00000000-0005-0000-0000-000090AC0000}"/>
    <cellStyle name="Total 3 9 2 8 2" xfId="18911" xr:uid="{00000000-0005-0000-0000-000091AC0000}"/>
    <cellStyle name="Total 3 9 2 9" xfId="13266" xr:uid="{00000000-0005-0000-0000-000092AC0000}"/>
    <cellStyle name="Total 3 9 3" xfId="5601" xr:uid="{00000000-0005-0000-0000-000093AC0000}"/>
    <cellStyle name="Total 3 9 3 2" xfId="19938" xr:uid="{00000000-0005-0000-0000-000094AC0000}"/>
    <cellStyle name="Total 3 9 3 3" xfId="14630" xr:uid="{00000000-0005-0000-0000-000095AC0000}"/>
    <cellStyle name="Total 3 9 3 3 2" xfId="24452" xr:uid="{00000000-0005-0000-0000-000096AC0000}"/>
    <cellStyle name="Total 3 9 3 4" xfId="23781" xr:uid="{00000000-0005-0000-0000-000097AC0000}"/>
    <cellStyle name="Total 3 9 3 5" xfId="25089" xr:uid="{00000000-0005-0000-0000-000098AC0000}"/>
    <cellStyle name="Total 3 9 3 6" xfId="29301" xr:uid="{00000000-0005-0000-0000-000099AC0000}"/>
    <cellStyle name="Total 3 9 3 7" xfId="33517" xr:uid="{00000000-0005-0000-0000-00009AAC0000}"/>
    <cellStyle name="Total 3 9 3 8" xfId="37721" xr:uid="{00000000-0005-0000-0000-00009BAC0000}"/>
    <cellStyle name="Total 3 9 4" xfId="6670" xr:uid="{00000000-0005-0000-0000-00009CAC0000}"/>
    <cellStyle name="Total 3 9 4 2" xfId="19507" xr:uid="{00000000-0005-0000-0000-00009DAC0000}"/>
    <cellStyle name="Total 3 9 4 3" xfId="14369" xr:uid="{00000000-0005-0000-0000-00009EAC0000}"/>
    <cellStyle name="Total 3 9 5" xfId="11130" xr:uid="{00000000-0005-0000-0000-00009FAC0000}"/>
    <cellStyle name="Total 3 9 5 2" xfId="20740" xr:uid="{00000000-0005-0000-0000-0000A0AC0000}"/>
    <cellStyle name="Total 3 9 6" xfId="10272" xr:uid="{00000000-0005-0000-0000-0000A1AC0000}"/>
    <cellStyle name="Total 3 9 6 2" xfId="21968" xr:uid="{00000000-0005-0000-0000-0000A2AC0000}"/>
    <cellStyle name="Total 3 9 7" xfId="16695" xr:uid="{00000000-0005-0000-0000-0000A3AC0000}"/>
    <cellStyle name="Total 3 9 7 2" xfId="22346" xr:uid="{00000000-0005-0000-0000-0000A4AC0000}"/>
    <cellStyle name="Total 3 9 8" xfId="17412" xr:uid="{00000000-0005-0000-0000-0000A5AC0000}"/>
    <cellStyle name="Total 3 9 8 2" xfId="23060" xr:uid="{00000000-0005-0000-0000-0000A6AC0000}"/>
    <cellStyle name="Total 3 9 9" xfId="13616" xr:uid="{00000000-0005-0000-0000-0000A7AC0000}"/>
    <cellStyle name="Total 3 9 9 2" xfId="18593" xr:uid="{00000000-0005-0000-0000-0000A8AC0000}"/>
    <cellStyle name="Total 30" xfId="44455" xr:uid="{00000000-0005-0000-0000-0000A9AC0000}"/>
    <cellStyle name="Total 31" xfId="44456" xr:uid="{00000000-0005-0000-0000-0000AAAC0000}"/>
    <cellStyle name="Total 32" xfId="44457" xr:uid="{00000000-0005-0000-0000-0000ABAC0000}"/>
    <cellStyle name="Total 33" xfId="44458" xr:uid="{00000000-0005-0000-0000-0000ACAC0000}"/>
    <cellStyle name="Total 34" xfId="44459" xr:uid="{00000000-0005-0000-0000-0000ADAC0000}"/>
    <cellStyle name="Total 35" xfId="44460" xr:uid="{00000000-0005-0000-0000-0000AEAC0000}"/>
    <cellStyle name="Total 36" xfId="44461" xr:uid="{00000000-0005-0000-0000-0000AFAC0000}"/>
    <cellStyle name="Total 37" xfId="44462" xr:uid="{00000000-0005-0000-0000-0000B0AC0000}"/>
    <cellStyle name="Total 38" xfId="44463" xr:uid="{00000000-0005-0000-0000-0000B1AC0000}"/>
    <cellStyle name="Total 39" xfId="44464" xr:uid="{00000000-0005-0000-0000-0000B2AC0000}"/>
    <cellStyle name="Total 4" xfId="2961" xr:uid="{00000000-0005-0000-0000-0000B3AC0000}"/>
    <cellStyle name="Total 4 10" xfId="2962" xr:uid="{00000000-0005-0000-0000-0000B4AC0000}"/>
    <cellStyle name="Total 4 10 10" xfId="12932" xr:uid="{00000000-0005-0000-0000-0000B5AC0000}"/>
    <cellStyle name="Total 4 10 11" xfId="17939" xr:uid="{00000000-0005-0000-0000-0000B6AC0000}"/>
    <cellStyle name="Total 4 10 2" xfId="4383" xr:uid="{00000000-0005-0000-0000-0000B7AC0000}"/>
    <cellStyle name="Total 4 10 2 10" xfId="18257" xr:uid="{00000000-0005-0000-0000-0000B8AC0000}"/>
    <cellStyle name="Total 4 10 2 2" xfId="6674" xr:uid="{00000000-0005-0000-0000-0000B9AC0000}"/>
    <cellStyle name="Total 4 10 2 2 2" xfId="20299" xr:uid="{00000000-0005-0000-0000-0000BAAC0000}"/>
    <cellStyle name="Total 4 10 2 2 3" xfId="14950" xr:uid="{00000000-0005-0000-0000-0000BBAC0000}"/>
    <cellStyle name="Total 4 10 2 2 3 2" xfId="24765" xr:uid="{00000000-0005-0000-0000-0000BCAC0000}"/>
    <cellStyle name="Total 4 10 2 2 4" xfId="24104" xr:uid="{00000000-0005-0000-0000-0000BDAC0000}"/>
    <cellStyle name="Total 4 10 2 3" xfId="10995" xr:uid="{00000000-0005-0000-0000-0000BEAC0000}"/>
    <cellStyle name="Total 4 10 2 3 2" xfId="20341" xr:uid="{00000000-0005-0000-0000-0000BFAC0000}"/>
    <cellStyle name="Total 4 10 2 4" xfId="16206" xr:uid="{00000000-0005-0000-0000-0000C0AC0000}"/>
    <cellStyle name="Total 4 10 2 4 2" xfId="21757" xr:uid="{00000000-0005-0000-0000-0000C1AC0000}"/>
    <cellStyle name="Total 4 10 2 5" xfId="16645" xr:uid="{00000000-0005-0000-0000-0000C2AC0000}"/>
    <cellStyle name="Total 4 10 2 5 2" xfId="22286" xr:uid="{00000000-0005-0000-0000-0000C3AC0000}"/>
    <cellStyle name="Total 4 10 2 6" xfId="17015" xr:uid="{00000000-0005-0000-0000-0000C4AC0000}"/>
    <cellStyle name="Total 4 10 2 6 2" xfId="22666" xr:uid="{00000000-0005-0000-0000-0000C5AC0000}"/>
    <cellStyle name="Total 4 10 2 7" xfId="17735" xr:uid="{00000000-0005-0000-0000-0000C6AC0000}"/>
    <cellStyle name="Total 4 10 2 7 2" xfId="23380" xr:uid="{00000000-0005-0000-0000-0000C7AC0000}"/>
    <cellStyle name="Total 4 10 2 8" xfId="13939" xr:uid="{00000000-0005-0000-0000-0000C8AC0000}"/>
    <cellStyle name="Total 4 10 2 8 2" xfId="18913" xr:uid="{00000000-0005-0000-0000-0000C9AC0000}"/>
    <cellStyle name="Total 4 10 2 9" xfId="13268" xr:uid="{00000000-0005-0000-0000-0000CAAC0000}"/>
    <cellStyle name="Total 4 10 3" xfId="5603" xr:uid="{00000000-0005-0000-0000-0000CBAC0000}"/>
    <cellStyle name="Total 4 10 3 2" xfId="19940" xr:uid="{00000000-0005-0000-0000-0000CCAC0000}"/>
    <cellStyle name="Total 4 10 3 3" xfId="14632" xr:uid="{00000000-0005-0000-0000-0000CDAC0000}"/>
    <cellStyle name="Total 4 10 3 3 2" xfId="24454" xr:uid="{00000000-0005-0000-0000-0000CEAC0000}"/>
    <cellStyle name="Total 4 10 3 4" xfId="23783" xr:uid="{00000000-0005-0000-0000-0000CFAC0000}"/>
    <cellStyle name="Total 4 10 3 5" xfId="25091" xr:uid="{00000000-0005-0000-0000-0000D0AC0000}"/>
    <cellStyle name="Total 4 10 3 6" xfId="29303" xr:uid="{00000000-0005-0000-0000-0000D1AC0000}"/>
    <cellStyle name="Total 4 10 3 7" xfId="33519" xr:uid="{00000000-0005-0000-0000-0000D2AC0000}"/>
    <cellStyle name="Total 4 10 3 8" xfId="37723" xr:uid="{00000000-0005-0000-0000-0000D3AC0000}"/>
    <cellStyle name="Total 4 10 4" xfId="6673" xr:uid="{00000000-0005-0000-0000-0000D4AC0000}"/>
    <cellStyle name="Total 4 10 4 2" xfId="19509" xr:uid="{00000000-0005-0000-0000-0000D5AC0000}"/>
    <cellStyle name="Total 4 10 4 3" xfId="14371" xr:uid="{00000000-0005-0000-0000-0000D6AC0000}"/>
    <cellStyle name="Total 4 10 5" xfId="11852" xr:uid="{00000000-0005-0000-0000-0000D7AC0000}"/>
    <cellStyle name="Total 4 10 5 2" xfId="20738" xr:uid="{00000000-0005-0000-0000-0000D8AC0000}"/>
    <cellStyle name="Total 4 10 6" xfId="10935" xr:uid="{00000000-0005-0000-0000-0000D9AC0000}"/>
    <cellStyle name="Total 4 10 6 2" xfId="21970" xr:uid="{00000000-0005-0000-0000-0000DAAC0000}"/>
    <cellStyle name="Total 4 10 7" xfId="16697" xr:uid="{00000000-0005-0000-0000-0000DBAC0000}"/>
    <cellStyle name="Total 4 10 7 2" xfId="22348" xr:uid="{00000000-0005-0000-0000-0000DCAC0000}"/>
    <cellStyle name="Total 4 10 8" xfId="17414" xr:uid="{00000000-0005-0000-0000-0000DDAC0000}"/>
    <cellStyle name="Total 4 10 8 2" xfId="23062" xr:uid="{00000000-0005-0000-0000-0000DEAC0000}"/>
    <cellStyle name="Total 4 10 9" xfId="13618" xr:uid="{00000000-0005-0000-0000-0000DFAC0000}"/>
    <cellStyle name="Total 4 10 9 2" xfId="18595" xr:uid="{00000000-0005-0000-0000-0000E0AC0000}"/>
    <cellStyle name="Total 4 11" xfId="2963" xr:uid="{00000000-0005-0000-0000-0000E1AC0000}"/>
    <cellStyle name="Total 4 11 10" xfId="12933" xr:uid="{00000000-0005-0000-0000-0000E2AC0000}"/>
    <cellStyle name="Total 4 11 11" xfId="17940" xr:uid="{00000000-0005-0000-0000-0000E3AC0000}"/>
    <cellStyle name="Total 4 11 2" xfId="4384" xr:uid="{00000000-0005-0000-0000-0000E4AC0000}"/>
    <cellStyle name="Total 4 11 2 10" xfId="18258" xr:uid="{00000000-0005-0000-0000-0000E5AC0000}"/>
    <cellStyle name="Total 4 11 2 2" xfId="6676" xr:uid="{00000000-0005-0000-0000-0000E6AC0000}"/>
    <cellStyle name="Total 4 11 2 2 2" xfId="20300" xr:uid="{00000000-0005-0000-0000-0000E7AC0000}"/>
    <cellStyle name="Total 4 11 2 2 3" xfId="14951" xr:uid="{00000000-0005-0000-0000-0000E8AC0000}"/>
    <cellStyle name="Total 4 11 2 2 3 2" xfId="24766" xr:uid="{00000000-0005-0000-0000-0000E9AC0000}"/>
    <cellStyle name="Total 4 11 2 2 4" xfId="24105" xr:uid="{00000000-0005-0000-0000-0000EAAC0000}"/>
    <cellStyle name="Total 4 11 2 3" xfId="11059" xr:uid="{00000000-0005-0000-0000-0000EBAC0000}"/>
    <cellStyle name="Total 4 11 2 3 2" xfId="20347" xr:uid="{00000000-0005-0000-0000-0000ECAC0000}"/>
    <cellStyle name="Total 4 11 2 4" xfId="16207" xr:uid="{00000000-0005-0000-0000-0000EDAC0000}"/>
    <cellStyle name="Total 4 11 2 4 2" xfId="21758" xr:uid="{00000000-0005-0000-0000-0000EEAC0000}"/>
    <cellStyle name="Total 4 11 2 5" xfId="16646" xr:uid="{00000000-0005-0000-0000-0000EFAC0000}"/>
    <cellStyle name="Total 4 11 2 5 2" xfId="22287" xr:uid="{00000000-0005-0000-0000-0000F0AC0000}"/>
    <cellStyle name="Total 4 11 2 6" xfId="17016" xr:uid="{00000000-0005-0000-0000-0000F1AC0000}"/>
    <cellStyle name="Total 4 11 2 6 2" xfId="22667" xr:uid="{00000000-0005-0000-0000-0000F2AC0000}"/>
    <cellStyle name="Total 4 11 2 7" xfId="17736" xr:uid="{00000000-0005-0000-0000-0000F3AC0000}"/>
    <cellStyle name="Total 4 11 2 7 2" xfId="23381" xr:uid="{00000000-0005-0000-0000-0000F4AC0000}"/>
    <cellStyle name="Total 4 11 2 8" xfId="13940" xr:uid="{00000000-0005-0000-0000-0000F5AC0000}"/>
    <cellStyle name="Total 4 11 2 8 2" xfId="18914" xr:uid="{00000000-0005-0000-0000-0000F6AC0000}"/>
    <cellStyle name="Total 4 11 2 9" xfId="13269" xr:uid="{00000000-0005-0000-0000-0000F7AC0000}"/>
    <cellStyle name="Total 4 11 3" xfId="5604" xr:uid="{00000000-0005-0000-0000-0000F8AC0000}"/>
    <cellStyle name="Total 4 11 3 2" xfId="19941" xr:uid="{00000000-0005-0000-0000-0000F9AC0000}"/>
    <cellStyle name="Total 4 11 3 3" xfId="14633" xr:uid="{00000000-0005-0000-0000-0000FAAC0000}"/>
    <cellStyle name="Total 4 11 3 3 2" xfId="24455" xr:uid="{00000000-0005-0000-0000-0000FBAC0000}"/>
    <cellStyle name="Total 4 11 3 4" xfId="23784" xr:uid="{00000000-0005-0000-0000-0000FCAC0000}"/>
    <cellStyle name="Total 4 11 3 5" xfId="25092" xr:uid="{00000000-0005-0000-0000-0000FDAC0000}"/>
    <cellStyle name="Total 4 11 3 6" xfId="29304" xr:uid="{00000000-0005-0000-0000-0000FEAC0000}"/>
    <cellStyle name="Total 4 11 3 7" xfId="33520" xr:uid="{00000000-0005-0000-0000-0000FFAC0000}"/>
    <cellStyle name="Total 4 11 3 8" xfId="37724" xr:uid="{00000000-0005-0000-0000-000000AD0000}"/>
    <cellStyle name="Total 4 11 4" xfId="6675" xr:uid="{00000000-0005-0000-0000-000001AD0000}"/>
    <cellStyle name="Total 4 11 4 2" xfId="20132" xr:uid="{00000000-0005-0000-0000-000002AD0000}"/>
    <cellStyle name="Total 4 11 4 3" xfId="14811" xr:uid="{00000000-0005-0000-0000-000003AD0000}"/>
    <cellStyle name="Total 4 11 5" xfId="12098" xr:uid="{00000000-0005-0000-0000-000004AD0000}"/>
    <cellStyle name="Total 4 11 5 2" xfId="20737" xr:uid="{00000000-0005-0000-0000-000005AD0000}"/>
    <cellStyle name="Total 4 11 6" xfId="10923" xr:uid="{00000000-0005-0000-0000-000006AD0000}"/>
    <cellStyle name="Total 4 11 6 2" xfId="21971" xr:uid="{00000000-0005-0000-0000-000007AD0000}"/>
    <cellStyle name="Total 4 11 7" xfId="16698" xr:uid="{00000000-0005-0000-0000-000008AD0000}"/>
    <cellStyle name="Total 4 11 7 2" xfId="22349" xr:uid="{00000000-0005-0000-0000-000009AD0000}"/>
    <cellStyle name="Total 4 11 8" xfId="17415" xr:uid="{00000000-0005-0000-0000-00000AAD0000}"/>
    <cellStyle name="Total 4 11 8 2" xfId="23063" xr:uid="{00000000-0005-0000-0000-00000BAD0000}"/>
    <cellStyle name="Total 4 11 9" xfId="13619" xr:uid="{00000000-0005-0000-0000-00000CAD0000}"/>
    <cellStyle name="Total 4 11 9 2" xfId="18596" xr:uid="{00000000-0005-0000-0000-00000DAD0000}"/>
    <cellStyle name="Total 4 12" xfId="4385" xr:uid="{00000000-0005-0000-0000-00000EAD0000}"/>
    <cellStyle name="Total 4 12 10" xfId="18256" xr:uid="{00000000-0005-0000-0000-00000FAD0000}"/>
    <cellStyle name="Total 4 12 2" xfId="6677" xr:uid="{00000000-0005-0000-0000-000010AD0000}"/>
    <cellStyle name="Total 4 12 2 2" xfId="20298" xr:uid="{00000000-0005-0000-0000-000011AD0000}"/>
    <cellStyle name="Total 4 12 2 3" xfId="14949" xr:uid="{00000000-0005-0000-0000-000012AD0000}"/>
    <cellStyle name="Total 4 12 2 3 2" xfId="24764" xr:uid="{00000000-0005-0000-0000-000013AD0000}"/>
    <cellStyle name="Total 4 12 2 4" xfId="24103" xr:uid="{00000000-0005-0000-0000-000014AD0000}"/>
    <cellStyle name="Total 4 12 3" xfId="12099" xr:uid="{00000000-0005-0000-0000-000015AD0000}"/>
    <cellStyle name="Total 4 12 3 2" xfId="19778" xr:uid="{00000000-0005-0000-0000-000016AD0000}"/>
    <cellStyle name="Total 4 12 4" xfId="16205" xr:uid="{00000000-0005-0000-0000-000017AD0000}"/>
    <cellStyle name="Total 4 12 4 2" xfId="21756" xr:uid="{00000000-0005-0000-0000-000018AD0000}"/>
    <cellStyle name="Total 4 12 5" xfId="16644" xr:uid="{00000000-0005-0000-0000-000019AD0000}"/>
    <cellStyle name="Total 4 12 5 2" xfId="22285" xr:uid="{00000000-0005-0000-0000-00001AAD0000}"/>
    <cellStyle name="Total 4 12 6" xfId="17014" xr:uid="{00000000-0005-0000-0000-00001BAD0000}"/>
    <cellStyle name="Total 4 12 6 2" xfId="22665" xr:uid="{00000000-0005-0000-0000-00001CAD0000}"/>
    <cellStyle name="Total 4 12 7" xfId="17734" xr:uid="{00000000-0005-0000-0000-00001DAD0000}"/>
    <cellStyle name="Total 4 12 7 2" xfId="23379" xr:uid="{00000000-0005-0000-0000-00001EAD0000}"/>
    <cellStyle name="Total 4 12 8" xfId="13938" xr:uid="{00000000-0005-0000-0000-00001FAD0000}"/>
    <cellStyle name="Total 4 12 8 2" xfId="18912" xr:uid="{00000000-0005-0000-0000-000020AD0000}"/>
    <cellStyle name="Total 4 12 9" xfId="13267" xr:uid="{00000000-0005-0000-0000-000021AD0000}"/>
    <cellStyle name="Total 4 13" xfId="5602" xr:uid="{00000000-0005-0000-0000-000022AD0000}"/>
    <cellStyle name="Total 4 13 2" xfId="19939" xr:uid="{00000000-0005-0000-0000-000023AD0000}"/>
    <cellStyle name="Total 4 13 3" xfId="14631" xr:uid="{00000000-0005-0000-0000-000024AD0000}"/>
    <cellStyle name="Total 4 13 3 2" xfId="24453" xr:uid="{00000000-0005-0000-0000-000025AD0000}"/>
    <cellStyle name="Total 4 13 4" xfId="23782" xr:uid="{00000000-0005-0000-0000-000026AD0000}"/>
    <cellStyle name="Total 4 13 5" xfId="25090" xr:uid="{00000000-0005-0000-0000-000027AD0000}"/>
    <cellStyle name="Total 4 13 6" xfId="29302" xr:uid="{00000000-0005-0000-0000-000028AD0000}"/>
    <cellStyle name="Total 4 13 7" xfId="33518" xr:uid="{00000000-0005-0000-0000-000029AD0000}"/>
    <cellStyle name="Total 4 13 8" xfId="37722" xr:uid="{00000000-0005-0000-0000-00002AAD0000}"/>
    <cellStyle name="Total 4 14" xfId="6672" xr:uid="{00000000-0005-0000-0000-00002BAD0000}"/>
    <cellStyle name="Total 4 14 2" xfId="18978" xr:uid="{00000000-0005-0000-0000-00002CAD0000}"/>
    <cellStyle name="Total 4 14 3" xfId="13998" xr:uid="{00000000-0005-0000-0000-00002DAD0000}"/>
    <cellStyle name="Total 4 15" xfId="11835" xr:uid="{00000000-0005-0000-0000-00002EAD0000}"/>
    <cellStyle name="Total 4 15 2" xfId="20739" xr:uid="{00000000-0005-0000-0000-00002FAD0000}"/>
    <cellStyle name="Total 4 16" xfId="10271" xr:uid="{00000000-0005-0000-0000-000030AD0000}"/>
    <cellStyle name="Total 4 16 2" xfId="21969" xr:uid="{00000000-0005-0000-0000-000031AD0000}"/>
    <cellStyle name="Total 4 17" xfId="16696" xr:uid="{00000000-0005-0000-0000-000032AD0000}"/>
    <cellStyle name="Total 4 17 2" xfId="22347" xr:uid="{00000000-0005-0000-0000-000033AD0000}"/>
    <cellStyle name="Total 4 18" xfId="17413" xr:uid="{00000000-0005-0000-0000-000034AD0000}"/>
    <cellStyle name="Total 4 18 2" xfId="23061" xr:uid="{00000000-0005-0000-0000-000035AD0000}"/>
    <cellStyle name="Total 4 19" xfId="13617" xr:uid="{00000000-0005-0000-0000-000036AD0000}"/>
    <cellStyle name="Total 4 19 2" xfId="18594" xr:uid="{00000000-0005-0000-0000-000037AD0000}"/>
    <cellStyle name="Total 4 2" xfId="2964" xr:uid="{00000000-0005-0000-0000-000038AD0000}"/>
    <cellStyle name="Total 4 2 10" xfId="12934" xr:uid="{00000000-0005-0000-0000-000039AD0000}"/>
    <cellStyle name="Total 4 2 11" xfId="17941" xr:uid="{00000000-0005-0000-0000-00003AAD0000}"/>
    <cellStyle name="Total 4 2 2" xfId="4386" xr:uid="{00000000-0005-0000-0000-00003BAD0000}"/>
    <cellStyle name="Total 4 2 2 10" xfId="18259" xr:uid="{00000000-0005-0000-0000-00003CAD0000}"/>
    <cellStyle name="Total 4 2 2 2" xfId="6679" xr:uid="{00000000-0005-0000-0000-00003DAD0000}"/>
    <cellStyle name="Total 4 2 2 2 2" xfId="20301" xr:uid="{00000000-0005-0000-0000-00003EAD0000}"/>
    <cellStyle name="Total 4 2 2 2 3" xfId="14952" xr:uid="{00000000-0005-0000-0000-00003FAD0000}"/>
    <cellStyle name="Total 4 2 2 2 3 2" xfId="24767" xr:uid="{00000000-0005-0000-0000-000040AD0000}"/>
    <cellStyle name="Total 4 2 2 2 4" xfId="24106" xr:uid="{00000000-0005-0000-0000-000041AD0000}"/>
    <cellStyle name="Total 4 2 2 3" xfId="11871" xr:uid="{00000000-0005-0000-0000-000042AD0000}"/>
    <cellStyle name="Total 4 2 2 3 2" xfId="20348" xr:uid="{00000000-0005-0000-0000-000043AD0000}"/>
    <cellStyle name="Total 4 2 2 4" xfId="16208" xr:uid="{00000000-0005-0000-0000-000044AD0000}"/>
    <cellStyle name="Total 4 2 2 4 2" xfId="21759" xr:uid="{00000000-0005-0000-0000-000045AD0000}"/>
    <cellStyle name="Total 4 2 2 5" xfId="16647" xr:uid="{00000000-0005-0000-0000-000046AD0000}"/>
    <cellStyle name="Total 4 2 2 5 2" xfId="22288" xr:uid="{00000000-0005-0000-0000-000047AD0000}"/>
    <cellStyle name="Total 4 2 2 6" xfId="17017" xr:uid="{00000000-0005-0000-0000-000048AD0000}"/>
    <cellStyle name="Total 4 2 2 6 2" xfId="22668" xr:uid="{00000000-0005-0000-0000-000049AD0000}"/>
    <cellStyle name="Total 4 2 2 7" xfId="17737" xr:uid="{00000000-0005-0000-0000-00004AAD0000}"/>
    <cellStyle name="Total 4 2 2 7 2" xfId="23382" xr:uid="{00000000-0005-0000-0000-00004BAD0000}"/>
    <cellStyle name="Total 4 2 2 8" xfId="13941" xr:uid="{00000000-0005-0000-0000-00004CAD0000}"/>
    <cellStyle name="Total 4 2 2 8 2" xfId="18915" xr:uid="{00000000-0005-0000-0000-00004DAD0000}"/>
    <cellStyle name="Total 4 2 2 9" xfId="13270" xr:uid="{00000000-0005-0000-0000-00004EAD0000}"/>
    <cellStyle name="Total 4 2 3" xfId="5605" xr:uid="{00000000-0005-0000-0000-00004FAD0000}"/>
    <cellStyle name="Total 4 2 3 2" xfId="19942" xr:uid="{00000000-0005-0000-0000-000050AD0000}"/>
    <cellStyle name="Total 4 2 3 3" xfId="14634" xr:uid="{00000000-0005-0000-0000-000051AD0000}"/>
    <cellStyle name="Total 4 2 3 3 2" xfId="24456" xr:uid="{00000000-0005-0000-0000-000052AD0000}"/>
    <cellStyle name="Total 4 2 3 4" xfId="23785" xr:uid="{00000000-0005-0000-0000-000053AD0000}"/>
    <cellStyle name="Total 4 2 3 5" xfId="25093" xr:uid="{00000000-0005-0000-0000-000054AD0000}"/>
    <cellStyle name="Total 4 2 3 6" xfId="29305" xr:uid="{00000000-0005-0000-0000-000055AD0000}"/>
    <cellStyle name="Total 4 2 3 7" xfId="33521" xr:uid="{00000000-0005-0000-0000-000056AD0000}"/>
    <cellStyle name="Total 4 2 3 8" xfId="37725" xr:uid="{00000000-0005-0000-0000-000057AD0000}"/>
    <cellStyle name="Total 4 2 4" xfId="6678" xr:uid="{00000000-0005-0000-0000-000058AD0000}"/>
    <cellStyle name="Total 4 2 4 2" xfId="19510" xr:uid="{00000000-0005-0000-0000-000059AD0000}"/>
    <cellStyle name="Total 4 2 4 3" xfId="14372" xr:uid="{00000000-0005-0000-0000-00005AAD0000}"/>
    <cellStyle name="Total 4 2 5" xfId="11862" xr:uid="{00000000-0005-0000-0000-00005BAD0000}"/>
    <cellStyle name="Total 4 2 5 2" xfId="20736" xr:uid="{00000000-0005-0000-0000-00005CAD0000}"/>
    <cellStyle name="Total 4 2 6" xfId="10908" xr:uid="{00000000-0005-0000-0000-00005DAD0000}"/>
    <cellStyle name="Total 4 2 6 2" xfId="21972" xr:uid="{00000000-0005-0000-0000-00005EAD0000}"/>
    <cellStyle name="Total 4 2 7" xfId="16699" xr:uid="{00000000-0005-0000-0000-00005FAD0000}"/>
    <cellStyle name="Total 4 2 7 2" xfId="22350" xr:uid="{00000000-0005-0000-0000-000060AD0000}"/>
    <cellStyle name="Total 4 2 8" xfId="17416" xr:uid="{00000000-0005-0000-0000-000061AD0000}"/>
    <cellStyle name="Total 4 2 8 2" xfId="23064" xr:uid="{00000000-0005-0000-0000-000062AD0000}"/>
    <cellStyle name="Total 4 2 9" xfId="13620" xr:uid="{00000000-0005-0000-0000-000063AD0000}"/>
    <cellStyle name="Total 4 2 9 2" xfId="18597" xr:uid="{00000000-0005-0000-0000-000064AD0000}"/>
    <cellStyle name="Total 4 20" xfId="12931" xr:uid="{00000000-0005-0000-0000-000065AD0000}"/>
    <cellStyle name="Total 4 21" xfId="17938" xr:uid="{00000000-0005-0000-0000-000066AD0000}"/>
    <cellStyle name="Total 4 3" xfId="2965" xr:uid="{00000000-0005-0000-0000-000067AD0000}"/>
    <cellStyle name="Total 4 3 10" xfId="12935" xr:uid="{00000000-0005-0000-0000-000068AD0000}"/>
    <cellStyle name="Total 4 3 11" xfId="17942" xr:uid="{00000000-0005-0000-0000-000069AD0000}"/>
    <cellStyle name="Total 4 3 2" xfId="4387" xr:uid="{00000000-0005-0000-0000-00006AAD0000}"/>
    <cellStyle name="Total 4 3 2 10" xfId="18260" xr:uid="{00000000-0005-0000-0000-00006BAD0000}"/>
    <cellStyle name="Total 4 3 2 2" xfId="6681" xr:uid="{00000000-0005-0000-0000-00006CAD0000}"/>
    <cellStyle name="Total 4 3 2 2 2" xfId="20302" xr:uid="{00000000-0005-0000-0000-00006DAD0000}"/>
    <cellStyle name="Total 4 3 2 2 3" xfId="14953" xr:uid="{00000000-0005-0000-0000-00006EAD0000}"/>
    <cellStyle name="Total 4 3 2 2 3 2" xfId="24768" xr:uid="{00000000-0005-0000-0000-00006FAD0000}"/>
    <cellStyle name="Total 4 3 2 2 4" xfId="24107" xr:uid="{00000000-0005-0000-0000-000070AD0000}"/>
    <cellStyle name="Total 4 3 2 3" xfId="12122" xr:uid="{00000000-0005-0000-0000-000071AD0000}"/>
    <cellStyle name="Total 4 3 2 3 2" xfId="20349" xr:uid="{00000000-0005-0000-0000-000072AD0000}"/>
    <cellStyle name="Total 4 3 2 4" xfId="16209" xr:uid="{00000000-0005-0000-0000-000073AD0000}"/>
    <cellStyle name="Total 4 3 2 4 2" xfId="21760" xr:uid="{00000000-0005-0000-0000-000074AD0000}"/>
    <cellStyle name="Total 4 3 2 5" xfId="16648" xr:uid="{00000000-0005-0000-0000-000075AD0000}"/>
    <cellStyle name="Total 4 3 2 5 2" xfId="22289" xr:uid="{00000000-0005-0000-0000-000076AD0000}"/>
    <cellStyle name="Total 4 3 2 6" xfId="17018" xr:uid="{00000000-0005-0000-0000-000077AD0000}"/>
    <cellStyle name="Total 4 3 2 6 2" xfId="22669" xr:uid="{00000000-0005-0000-0000-000078AD0000}"/>
    <cellStyle name="Total 4 3 2 7" xfId="17738" xr:uid="{00000000-0005-0000-0000-000079AD0000}"/>
    <cellStyle name="Total 4 3 2 7 2" xfId="23383" xr:uid="{00000000-0005-0000-0000-00007AAD0000}"/>
    <cellStyle name="Total 4 3 2 8" xfId="13942" xr:uid="{00000000-0005-0000-0000-00007BAD0000}"/>
    <cellStyle name="Total 4 3 2 8 2" xfId="18916" xr:uid="{00000000-0005-0000-0000-00007CAD0000}"/>
    <cellStyle name="Total 4 3 2 9" xfId="13271" xr:uid="{00000000-0005-0000-0000-00007DAD0000}"/>
    <cellStyle name="Total 4 3 3" xfId="5606" xr:uid="{00000000-0005-0000-0000-00007EAD0000}"/>
    <cellStyle name="Total 4 3 3 2" xfId="19943" xr:uid="{00000000-0005-0000-0000-00007FAD0000}"/>
    <cellStyle name="Total 4 3 3 3" xfId="14635" xr:uid="{00000000-0005-0000-0000-000080AD0000}"/>
    <cellStyle name="Total 4 3 3 3 2" xfId="24457" xr:uid="{00000000-0005-0000-0000-000081AD0000}"/>
    <cellStyle name="Total 4 3 3 4" xfId="23786" xr:uid="{00000000-0005-0000-0000-000082AD0000}"/>
    <cellStyle name="Total 4 3 3 5" xfId="25094" xr:uid="{00000000-0005-0000-0000-000083AD0000}"/>
    <cellStyle name="Total 4 3 3 6" xfId="29306" xr:uid="{00000000-0005-0000-0000-000084AD0000}"/>
    <cellStyle name="Total 4 3 3 7" xfId="33522" xr:uid="{00000000-0005-0000-0000-000085AD0000}"/>
    <cellStyle name="Total 4 3 3 8" xfId="37726" xr:uid="{00000000-0005-0000-0000-000086AD0000}"/>
    <cellStyle name="Total 4 3 4" xfId="6680" xr:uid="{00000000-0005-0000-0000-000087AD0000}"/>
    <cellStyle name="Total 4 3 4 2" xfId="20131" xr:uid="{00000000-0005-0000-0000-000088AD0000}"/>
    <cellStyle name="Total 4 3 4 3" xfId="14810" xr:uid="{00000000-0005-0000-0000-000089AD0000}"/>
    <cellStyle name="Total 4 3 5" xfId="12110" xr:uid="{00000000-0005-0000-0000-00008AAD0000}"/>
    <cellStyle name="Total 4 3 5 2" xfId="20735" xr:uid="{00000000-0005-0000-0000-00008BAD0000}"/>
    <cellStyle name="Total 4 3 6" xfId="10894" xr:uid="{00000000-0005-0000-0000-00008CAD0000}"/>
    <cellStyle name="Total 4 3 6 2" xfId="21973" xr:uid="{00000000-0005-0000-0000-00008DAD0000}"/>
    <cellStyle name="Total 4 3 7" xfId="16700" xr:uid="{00000000-0005-0000-0000-00008EAD0000}"/>
    <cellStyle name="Total 4 3 7 2" xfId="22351" xr:uid="{00000000-0005-0000-0000-00008FAD0000}"/>
    <cellStyle name="Total 4 3 8" xfId="17417" xr:uid="{00000000-0005-0000-0000-000090AD0000}"/>
    <cellStyle name="Total 4 3 8 2" xfId="23065" xr:uid="{00000000-0005-0000-0000-000091AD0000}"/>
    <cellStyle name="Total 4 3 9" xfId="13621" xr:uid="{00000000-0005-0000-0000-000092AD0000}"/>
    <cellStyle name="Total 4 3 9 2" xfId="18598" xr:uid="{00000000-0005-0000-0000-000093AD0000}"/>
    <cellStyle name="Total 4 4" xfId="2966" xr:uid="{00000000-0005-0000-0000-000094AD0000}"/>
    <cellStyle name="Total 4 4 10" xfId="12936" xr:uid="{00000000-0005-0000-0000-000095AD0000}"/>
    <cellStyle name="Total 4 4 11" xfId="17943" xr:uid="{00000000-0005-0000-0000-000096AD0000}"/>
    <cellStyle name="Total 4 4 2" xfId="4388" xr:uid="{00000000-0005-0000-0000-000097AD0000}"/>
    <cellStyle name="Total 4 4 2 10" xfId="18261" xr:uid="{00000000-0005-0000-0000-000098AD0000}"/>
    <cellStyle name="Total 4 4 2 2" xfId="6683" xr:uid="{00000000-0005-0000-0000-000099AD0000}"/>
    <cellStyle name="Total 4 4 2 2 2" xfId="20303" xr:uid="{00000000-0005-0000-0000-00009AAD0000}"/>
    <cellStyle name="Total 4 4 2 2 3" xfId="14954" xr:uid="{00000000-0005-0000-0000-00009BAD0000}"/>
    <cellStyle name="Total 4 4 2 2 3 2" xfId="24769" xr:uid="{00000000-0005-0000-0000-00009CAD0000}"/>
    <cellStyle name="Total 4 4 2 2 4" xfId="24108" xr:uid="{00000000-0005-0000-0000-00009DAD0000}"/>
    <cellStyle name="Total 4 4 2 3" xfId="12145" xr:uid="{00000000-0005-0000-0000-00009EAD0000}"/>
    <cellStyle name="Total 4 4 2 3 2" xfId="20350" xr:uid="{00000000-0005-0000-0000-00009FAD0000}"/>
    <cellStyle name="Total 4 4 2 4" xfId="16210" xr:uid="{00000000-0005-0000-0000-0000A0AD0000}"/>
    <cellStyle name="Total 4 4 2 4 2" xfId="21761" xr:uid="{00000000-0005-0000-0000-0000A1AD0000}"/>
    <cellStyle name="Total 4 4 2 5" xfId="16649" xr:uid="{00000000-0005-0000-0000-0000A2AD0000}"/>
    <cellStyle name="Total 4 4 2 5 2" xfId="22290" xr:uid="{00000000-0005-0000-0000-0000A3AD0000}"/>
    <cellStyle name="Total 4 4 2 6" xfId="17019" xr:uid="{00000000-0005-0000-0000-0000A4AD0000}"/>
    <cellStyle name="Total 4 4 2 6 2" xfId="22670" xr:uid="{00000000-0005-0000-0000-0000A5AD0000}"/>
    <cellStyle name="Total 4 4 2 7" xfId="17739" xr:uid="{00000000-0005-0000-0000-0000A6AD0000}"/>
    <cellStyle name="Total 4 4 2 7 2" xfId="23384" xr:uid="{00000000-0005-0000-0000-0000A7AD0000}"/>
    <cellStyle name="Total 4 4 2 8" xfId="13943" xr:uid="{00000000-0005-0000-0000-0000A8AD0000}"/>
    <cellStyle name="Total 4 4 2 8 2" xfId="18917" xr:uid="{00000000-0005-0000-0000-0000A9AD0000}"/>
    <cellStyle name="Total 4 4 2 9" xfId="13272" xr:uid="{00000000-0005-0000-0000-0000AAAD0000}"/>
    <cellStyle name="Total 4 4 3" xfId="5607" xr:uid="{00000000-0005-0000-0000-0000ABAD0000}"/>
    <cellStyle name="Total 4 4 3 2" xfId="19944" xr:uid="{00000000-0005-0000-0000-0000ACAD0000}"/>
    <cellStyle name="Total 4 4 3 3" xfId="14636" xr:uid="{00000000-0005-0000-0000-0000ADAD0000}"/>
    <cellStyle name="Total 4 4 3 3 2" xfId="24458" xr:uid="{00000000-0005-0000-0000-0000AEAD0000}"/>
    <cellStyle name="Total 4 4 3 4" xfId="23787" xr:uid="{00000000-0005-0000-0000-0000AFAD0000}"/>
    <cellStyle name="Total 4 4 3 5" xfId="25095" xr:uid="{00000000-0005-0000-0000-0000B0AD0000}"/>
    <cellStyle name="Total 4 4 3 6" xfId="29307" xr:uid="{00000000-0005-0000-0000-0000B1AD0000}"/>
    <cellStyle name="Total 4 4 3 7" xfId="33523" xr:uid="{00000000-0005-0000-0000-0000B2AD0000}"/>
    <cellStyle name="Total 4 4 3 8" xfId="37727" xr:uid="{00000000-0005-0000-0000-0000B3AD0000}"/>
    <cellStyle name="Total 4 4 4" xfId="6682" xr:uid="{00000000-0005-0000-0000-0000B4AD0000}"/>
    <cellStyle name="Total 4 4 4 2" xfId="19508" xr:uid="{00000000-0005-0000-0000-0000B5AD0000}"/>
    <cellStyle name="Total 4 4 4 3" xfId="14370" xr:uid="{00000000-0005-0000-0000-0000B6AD0000}"/>
    <cellStyle name="Total 4 4 5" xfId="12132" xr:uid="{00000000-0005-0000-0000-0000B7AD0000}"/>
    <cellStyle name="Total 4 4 5 2" xfId="20734" xr:uid="{00000000-0005-0000-0000-0000B8AD0000}"/>
    <cellStyle name="Total 4 4 6" xfId="10878" xr:uid="{00000000-0005-0000-0000-0000B9AD0000}"/>
    <cellStyle name="Total 4 4 6 2" xfId="21974" xr:uid="{00000000-0005-0000-0000-0000BAAD0000}"/>
    <cellStyle name="Total 4 4 7" xfId="16701" xr:uid="{00000000-0005-0000-0000-0000BBAD0000}"/>
    <cellStyle name="Total 4 4 7 2" xfId="22352" xr:uid="{00000000-0005-0000-0000-0000BCAD0000}"/>
    <cellStyle name="Total 4 4 8" xfId="17418" xr:uid="{00000000-0005-0000-0000-0000BDAD0000}"/>
    <cellStyle name="Total 4 4 8 2" xfId="23066" xr:uid="{00000000-0005-0000-0000-0000BEAD0000}"/>
    <cellStyle name="Total 4 4 9" xfId="13622" xr:uid="{00000000-0005-0000-0000-0000BFAD0000}"/>
    <cellStyle name="Total 4 4 9 2" xfId="18599" xr:uid="{00000000-0005-0000-0000-0000C0AD0000}"/>
    <cellStyle name="Total 4 5" xfId="2967" xr:uid="{00000000-0005-0000-0000-0000C1AD0000}"/>
    <cellStyle name="Total 4 5 10" xfId="12937" xr:uid="{00000000-0005-0000-0000-0000C2AD0000}"/>
    <cellStyle name="Total 4 5 11" xfId="17944" xr:uid="{00000000-0005-0000-0000-0000C3AD0000}"/>
    <cellStyle name="Total 4 5 2" xfId="4389" xr:uid="{00000000-0005-0000-0000-0000C4AD0000}"/>
    <cellStyle name="Total 4 5 2 10" xfId="18262" xr:uid="{00000000-0005-0000-0000-0000C5AD0000}"/>
    <cellStyle name="Total 4 5 2 2" xfId="6685" xr:uid="{00000000-0005-0000-0000-0000C6AD0000}"/>
    <cellStyle name="Total 4 5 2 2 2" xfId="20304" xr:uid="{00000000-0005-0000-0000-0000C7AD0000}"/>
    <cellStyle name="Total 4 5 2 2 3" xfId="14955" xr:uid="{00000000-0005-0000-0000-0000C8AD0000}"/>
    <cellStyle name="Total 4 5 2 2 3 2" xfId="24770" xr:uid="{00000000-0005-0000-0000-0000C9AD0000}"/>
    <cellStyle name="Total 4 5 2 2 4" xfId="24109" xr:uid="{00000000-0005-0000-0000-0000CAAD0000}"/>
    <cellStyle name="Total 4 5 2 3" xfId="12209" xr:uid="{00000000-0005-0000-0000-0000CBAD0000}"/>
    <cellStyle name="Total 4 5 2 3 2" xfId="19779" xr:uid="{00000000-0005-0000-0000-0000CCAD0000}"/>
    <cellStyle name="Total 4 5 2 4" xfId="16211" xr:uid="{00000000-0005-0000-0000-0000CDAD0000}"/>
    <cellStyle name="Total 4 5 2 4 2" xfId="21762" xr:uid="{00000000-0005-0000-0000-0000CEAD0000}"/>
    <cellStyle name="Total 4 5 2 5" xfId="16650" xr:uid="{00000000-0005-0000-0000-0000CFAD0000}"/>
    <cellStyle name="Total 4 5 2 5 2" xfId="22291" xr:uid="{00000000-0005-0000-0000-0000D0AD0000}"/>
    <cellStyle name="Total 4 5 2 6" xfId="17020" xr:uid="{00000000-0005-0000-0000-0000D1AD0000}"/>
    <cellStyle name="Total 4 5 2 6 2" xfId="22671" xr:uid="{00000000-0005-0000-0000-0000D2AD0000}"/>
    <cellStyle name="Total 4 5 2 7" xfId="17740" xr:uid="{00000000-0005-0000-0000-0000D3AD0000}"/>
    <cellStyle name="Total 4 5 2 7 2" xfId="23385" xr:uid="{00000000-0005-0000-0000-0000D4AD0000}"/>
    <cellStyle name="Total 4 5 2 8" xfId="13944" xr:uid="{00000000-0005-0000-0000-0000D5AD0000}"/>
    <cellStyle name="Total 4 5 2 8 2" xfId="18918" xr:uid="{00000000-0005-0000-0000-0000D6AD0000}"/>
    <cellStyle name="Total 4 5 2 9" xfId="13273" xr:uid="{00000000-0005-0000-0000-0000D7AD0000}"/>
    <cellStyle name="Total 4 5 3" xfId="5608" xr:uid="{00000000-0005-0000-0000-0000D8AD0000}"/>
    <cellStyle name="Total 4 5 3 2" xfId="19945" xr:uid="{00000000-0005-0000-0000-0000D9AD0000}"/>
    <cellStyle name="Total 4 5 3 3" xfId="14637" xr:uid="{00000000-0005-0000-0000-0000DAAD0000}"/>
    <cellStyle name="Total 4 5 3 3 2" xfId="24459" xr:uid="{00000000-0005-0000-0000-0000DBAD0000}"/>
    <cellStyle name="Total 4 5 3 4" xfId="23788" xr:uid="{00000000-0005-0000-0000-0000DCAD0000}"/>
    <cellStyle name="Total 4 5 3 5" xfId="25096" xr:uid="{00000000-0005-0000-0000-0000DDAD0000}"/>
    <cellStyle name="Total 4 5 3 6" xfId="29308" xr:uid="{00000000-0005-0000-0000-0000DEAD0000}"/>
    <cellStyle name="Total 4 5 3 7" xfId="33524" xr:uid="{00000000-0005-0000-0000-0000DFAD0000}"/>
    <cellStyle name="Total 4 5 3 8" xfId="37728" xr:uid="{00000000-0005-0000-0000-0000E0AD0000}"/>
    <cellStyle name="Total 4 5 4" xfId="6684" xr:uid="{00000000-0005-0000-0000-0000E1AD0000}"/>
    <cellStyle name="Total 4 5 4 2" xfId="19511" xr:uid="{00000000-0005-0000-0000-0000E2AD0000}"/>
    <cellStyle name="Total 4 5 4 3" xfId="14373" xr:uid="{00000000-0005-0000-0000-0000E3AD0000}"/>
    <cellStyle name="Total 4 5 5" xfId="12217" xr:uid="{00000000-0005-0000-0000-0000E4AD0000}"/>
    <cellStyle name="Total 4 5 5 2" xfId="20733" xr:uid="{00000000-0005-0000-0000-0000E5AD0000}"/>
    <cellStyle name="Total 4 5 6" xfId="10637" xr:uid="{00000000-0005-0000-0000-0000E6AD0000}"/>
    <cellStyle name="Total 4 5 6 2" xfId="21975" xr:uid="{00000000-0005-0000-0000-0000E7AD0000}"/>
    <cellStyle name="Total 4 5 7" xfId="16702" xr:uid="{00000000-0005-0000-0000-0000E8AD0000}"/>
    <cellStyle name="Total 4 5 7 2" xfId="22353" xr:uid="{00000000-0005-0000-0000-0000E9AD0000}"/>
    <cellStyle name="Total 4 5 8" xfId="17419" xr:uid="{00000000-0005-0000-0000-0000EAAD0000}"/>
    <cellStyle name="Total 4 5 8 2" xfId="23067" xr:uid="{00000000-0005-0000-0000-0000EBAD0000}"/>
    <cellStyle name="Total 4 5 9" xfId="13623" xr:uid="{00000000-0005-0000-0000-0000ECAD0000}"/>
    <cellStyle name="Total 4 5 9 2" xfId="18600" xr:uid="{00000000-0005-0000-0000-0000EDAD0000}"/>
    <cellStyle name="Total 4 6" xfId="2968" xr:uid="{00000000-0005-0000-0000-0000EEAD0000}"/>
    <cellStyle name="Total 4 6 10" xfId="12938" xr:uid="{00000000-0005-0000-0000-0000EFAD0000}"/>
    <cellStyle name="Total 4 6 11" xfId="17945" xr:uid="{00000000-0005-0000-0000-0000F0AD0000}"/>
    <cellStyle name="Total 4 6 2" xfId="4390" xr:uid="{00000000-0005-0000-0000-0000F1AD0000}"/>
    <cellStyle name="Total 4 6 2 10" xfId="18263" xr:uid="{00000000-0005-0000-0000-0000F2AD0000}"/>
    <cellStyle name="Total 4 6 2 2" xfId="6687" xr:uid="{00000000-0005-0000-0000-0000F3AD0000}"/>
    <cellStyle name="Total 4 6 2 2 2" xfId="20305" xr:uid="{00000000-0005-0000-0000-0000F4AD0000}"/>
    <cellStyle name="Total 4 6 2 2 3" xfId="14956" xr:uid="{00000000-0005-0000-0000-0000F5AD0000}"/>
    <cellStyle name="Total 4 6 2 2 3 2" xfId="24771" xr:uid="{00000000-0005-0000-0000-0000F6AD0000}"/>
    <cellStyle name="Total 4 6 2 2 4" xfId="24110" xr:uid="{00000000-0005-0000-0000-0000F7AD0000}"/>
    <cellStyle name="Total 4 6 2 3" xfId="12193" xr:uid="{00000000-0005-0000-0000-0000F8AD0000}"/>
    <cellStyle name="Total 4 6 2 3 2" xfId="18985" xr:uid="{00000000-0005-0000-0000-0000F9AD0000}"/>
    <cellStyle name="Total 4 6 2 4" xfId="16212" xr:uid="{00000000-0005-0000-0000-0000FAAD0000}"/>
    <cellStyle name="Total 4 6 2 4 2" xfId="21763" xr:uid="{00000000-0005-0000-0000-0000FBAD0000}"/>
    <cellStyle name="Total 4 6 2 5" xfId="16651" xr:uid="{00000000-0005-0000-0000-0000FCAD0000}"/>
    <cellStyle name="Total 4 6 2 5 2" xfId="22292" xr:uid="{00000000-0005-0000-0000-0000FDAD0000}"/>
    <cellStyle name="Total 4 6 2 6" xfId="17021" xr:uid="{00000000-0005-0000-0000-0000FEAD0000}"/>
    <cellStyle name="Total 4 6 2 6 2" xfId="22672" xr:uid="{00000000-0005-0000-0000-0000FFAD0000}"/>
    <cellStyle name="Total 4 6 2 7" xfId="17741" xr:uid="{00000000-0005-0000-0000-000000AE0000}"/>
    <cellStyle name="Total 4 6 2 7 2" xfId="23386" xr:uid="{00000000-0005-0000-0000-000001AE0000}"/>
    <cellStyle name="Total 4 6 2 8" xfId="13945" xr:uid="{00000000-0005-0000-0000-000002AE0000}"/>
    <cellStyle name="Total 4 6 2 8 2" xfId="18919" xr:uid="{00000000-0005-0000-0000-000003AE0000}"/>
    <cellStyle name="Total 4 6 2 9" xfId="13274" xr:uid="{00000000-0005-0000-0000-000004AE0000}"/>
    <cellStyle name="Total 4 6 3" xfId="5609" xr:uid="{00000000-0005-0000-0000-000005AE0000}"/>
    <cellStyle name="Total 4 6 3 2" xfId="19946" xr:uid="{00000000-0005-0000-0000-000006AE0000}"/>
    <cellStyle name="Total 4 6 3 3" xfId="14638" xr:uid="{00000000-0005-0000-0000-000007AE0000}"/>
    <cellStyle name="Total 4 6 3 3 2" xfId="24460" xr:uid="{00000000-0005-0000-0000-000008AE0000}"/>
    <cellStyle name="Total 4 6 3 4" xfId="23789" xr:uid="{00000000-0005-0000-0000-000009AE0000}"/>
    <cellStyle name="Total 4 6 3 5" xfId="25097" xr:uid="{00000000-0005-0000-0000-00000AAE0000}"/>
    <cellStyle name="Total 4 6 3 6" xfId="29309" xr:uid="{00000000-0005-0000-0000-00000BAE0000}"/>
    <cellStyle name="Total 4 6 3 7" xfId="33525" xr:uid="{00000000-0005-0000-0000-00000CAE0000}"/>
    <cellStyle name="Total 4 6 3 8" xfId="37729" xr:uid="{00000000-0005-0000-0000-00000DAE0000}"/>
    <cellStyle name="Total 4 6 4" xfId="6686" xr:uid="{00000000-0005-0000-0000-00000EAE0000}"/>
    <cellStyle name="Total 4 6 4 2" xfId="19512" xr:uid="{00000000-0005-0000-0000-00000FAE0000}"/>
    <cellStyle name="Total 4 6 4 3" xfId="14374" xr:uid="{00000000-0005-0000-0000-000010AE0000}"/>
    <cellStyle name="Total 4 6 5" xfId="12201" xr:uid="{00000000-0005-0000-0000-000011AE0000}"/>
    <cellStyle name="Total 4 6 5 2" xfId="20732" xr:uid="{00000000-0005-0000-0000-000012AE0000}"/>
    <cellStyle name="Total 4 6 6" xfId="10624" xr:uid="{00000000-0005-0000-0000-000013AE0000}"/>
    <cellStyle name="Total 4 6 6 2" xfId="21976" xr:uid="{00000000-0005-0000-0000-000014AE0000}"/>
    <cellStyle name="Total 4 6 7" xfId="16703" xr:uid="{00000000-0005-0000-0000-000015AE0000}"/>
    <cellStyle name="Total 4 6 7 2" xfId="22354" xr:uid="{00000000-0005-0000-0000-000016AE0000}"/>
    <cellStyle name="Total 4 6 8" xfId="17420" xr:uid="{00000000-0005-0000-0000-000017AE0000}"/>
    <cellStyle name="Total 4 6 8 2" xfId="23068" xr:uid="{00000000-0005-0000-0000-000018AE0000}"/>
    <cellStyle name="Total 4 6 9" xfId="13624" xr:uid="{00000000-0005-0000-0000-000019AE0000}"/>
    <cellStyle name="Total 4 6 9 2" xfId="18601" xr:uid="{00000000-0005-0000-0000-00001AAE0000}"/>
    <cellStyle name="Total 4 7" xfId="2969" xr:uid="{00000000-0005-0000-0000-00001BAE0000}"/>
    <cellStyle name="Total 4 7 10" xfId="12939" xr:uid="{00000000-0005-0000-0000-00001CAE0000}"/>
    <cellStyle name="Total 4 7 11" xfId="17946" xr:uid="{00000000-0005-0000-0000-00001DAE0000}"/>
    <cellStyle name="Total 4 7 2" xfId="4391" xr:uid="{00000000-0005-0000-0000-00001EAE0000}"/>
    <cellStyle name="Total 4 7 2 10" xfId="18264" xr:uid="{00000000-0005-0000-0000-00001FAE0000}"/>
    <cellStyle name="Total 4 7 2 2" xfId="6689" xr:uid="{00000000-0005-0000-0000-000020AE0000}"/>
    <cellStyle name="Total 4 7 2 2 2" xfId="20306" xr:uid="{00000000-0005-0000-0000-000021AE0000}"/>
    <cellStyle name="Total 4 7 2 2 3" xfId="14957" xr:uid="{00000000-0005-0000-0000-000022AE0000}"/>
    <cellStyle name="Total 4 7 2 2 3 2" xfId="24772" xr:uid="{00000000-0005-0000-0000-000023AE0000}"/>
    <cellStyle name="Total 4 7 2 2 4" xfId="24111" xr:uid="{00000000-0005-0000-0000-000024AE0000}"/>
    <cellStyle name="Total 4 7 2 3" xfId="11877" xr:uid="{00000000-0005-0000-0000-000025AE0000}"/>
    <cellStyle name="Total 4 7 2 3 2" xfId="19991" xr:uid="{00000000-0005-0000-0000-000026AE0000}"/>
    <cellStyle name="Total 4 7 2 4" xfId="16213" xr:uid="{00000000-0005-0000-0000-000027AE0000}"/>
    <cellStyle name="Total 4 7 2 4 2" xfId="21764" xr:uid="{00000000-0005-0000-0000-000028AE0000}"/>
    <cellStyle name="Total 4 7 2 5" xfId="16652" xr:uid="{00000000-0005-0000-0000-000029AE0000}"/>
    <cellStyle name="Total 4 7 2 5 2" xfId="22293" xr:uid="{00000000-0005-0000-0000-00002AAE0000}"/>
    <cellStyle name="Total 4 7 2 6" xfId="17022" xr:uid="{00000000-0005-0000-0000-00002BAE0000}"/>
    <cellStyle name="Total 4 7 2 6 2" xfId="22673" xr:uid="{00000000-0005-0000-0000-00002CAE0000}"/>
    <cellStyle name="Total 4 7 2 7" xfId="17742" xr:uid="{00000000-0005-0000-0000-00002DAE0000}"/>
    <cellStyle name="Total 4 7 2 7 2" xfId="23387" xr:uid="{00000000-0005-0000-0000-00002EAE0000}"/>
    <cellStyle name="Total 4 7 2 8" xfId="13946" xr:uid="{00000000-0005-0000-0000-00002FAE0000}"/>
    <cellStyle name="Total 4 7 2 8 2" xfId="18920" xr:uid="{00000000-0005-0000-0000-000030AE0000}"/>
    <cellStyle name="Total 4 7 2 9" xfId="13275" xr:uid="{00000000-0005-0000-0000-000031AE0000}"/>
    <cellStyle name="Total 4 7 3" xfId="5610" xr:uid="{00000000-0005-0000-0000-000032AE0000}"/>
    <cellStyle name="Total 4 7 3 2" xfId="19947" xr:uid="{00000000-0005-0000-0000-000033AE0000}"/>
    <cellStyle name="Total 4 7 3 3" xfId="14639" xr:uid="{00000000-0005-0000-0000-000034AE0000}"/>
    <cellStyle name="Total 4 7 3 3 2" xfId="24461" xr:uid="{00000000-0005-0000-0000-000035AE0000}"/>
    <cellStyle name="Total 4 7 3 4" xfId="23790" xr:uid="{00000000-0005-0000-0000-000036AE0000}"/>
    <cellStyle name="Total 4 7 3 5" xfId="25098" xr:uid="{00000000-0005-0000-0000-000037AE0000}"/>
    <cellStyle name="Total 4 7 3 6" xfId="29310" xr:uid="{00000000-0005-0000-0000-000038AE0000}"/>
    <cellStyle name="Total 4 7 3 7" xfId="33526" xr:uid="{00000000-0005-0000-0000-000039AE0000}"/>
    <cellStyle name="Total 4 7 3 8" xfId="37730" xr:uid="{00000000-0005-0000-0000-00003AAE0000}"/>
    <cellStyle name="Total 4 7 4" xfId="6688" xr:uid="{00000000-0005-0000-0000-00003BAE0000}"/>
    <cellStyle name="Total 4 7 4 2" xfId="19513" xr:uid="{00000000-0005-0000-0000-00003CAE0000}"/>
    <cellStyle name="Total 4 7 4 3" xfId="14375" xr:uid="{00000000-0005-0000-0000-00003DAE0000}"/>
    <cellStyle name="Total 4 7 5" xfId="12185" xr:uid="{00000000-0005-0000-0000-00003EAE0000}"/>
    <cellStyle name="Total 4 7 5 2" xfId="20731" xr:uid="{00000000-0005-0000-0000-00003FAE0000}"/>
    <cellStyle name="Total 4 7 6" xfId="10611" xr:uid="{00000000-0005-0000-0000-000040AE0000}"/>
    <cellStyle name="Total 4 7 6 2" xfId="21977" xr:uid="{00000000-0005-0000-0000-000041AE0000}"/>
    <cellStyle name="Total 4 7 7" xfId="16704" xr:uid="{00000000-0005-0000-0000-000042AE0000}"/>
    <cellStyle name="Total 4 7 7 2" xfId="22355" xr:uid="{00000000-0005-0000-0000-000043AE0000}"/>
    <cellStyle name="Total 4 7 8" xfId="17421" xr:uid="{00000000-0005-0000-0000-000044AE0000}"/>
    <cellStyle name="Total 4 7 8 2" xfId="23069" xr:uid="{00000000-0005-0000-0000-000045AE0000}"/>
    <cellStyle name="Total 4 7 9" xfId="13625" xr:uid="{00000000-0005-0000-0000-000046AE0000}"/>
    <cellStyle name="Total 4 7 9 2" xfId="18602" xr:uid="{00000000-0005-0000-0000-000047AE0000}"/>
    <cellStyle name="Total 4 8" xfId="2970" xr:uid="{00000000-0005-0000-0000-000048AE0000}"/>
    <cellStyle name="Total 4 8 10" xfId="12940" xr:uid="{00000000-0005-0000-0000-000049AE0000}"/>
    <cellStyle name="Total 4 8 11" xfId="17947" xr:uid="{00000000-0005-0000-0000-00004AAE0000}"/>
    <cellStyle name="Total 4 8 2" xfId="4392" xr:uid="{00000000-0005-0000-0000-00004BAE0000}"/>
    <cellStyle name="Total 4 8 2 10" xfId="18265" xr:uid="{00000000-0005-0000-0000-00004CAE0000}"/>
    <cellStyle name="Total 4 8 2 2" xfId="6691" xr:uid="{00000000-0005-0000-0000-00004DAE0000}"/>
    <cellStyle name="Total 4 8 2 2 2" xfId="20307" xr:uid="{00000000-0005-0000-0000-00004EAE0000}"/>
    <cellStyle name="Total 4 8 2 2 3" xfId="14958" xr:uid="{00000000-0005-0000-0000-00004FAE0000}"/>
    <cellStyle name="Total 4 8 2 2 3 2" xfId="24773" xr:uid="{00000000-0005-0000-0000-000050AE0000}"/>
    <cellStyle name="Total 4 8 2 2 4" xfId="24112" xr:uid="{00000000-0005-0000-0000-000051AE0000}"/>
    <cellStyle name="Total 4 8 2 3" xfId="10987" xr:uid="{00000000-0005-0000-0000-000052AE0000}"/>
    <cellStyle name="Total 4 8 2 3 2" xfId="19844" xr:uid="{00000000-0005-0000-0000-000053AE0000}"/>
    <cellStyle name="Total 4 8 2 4" xfId="16214" xr:uid="{00000000-0005-0000-0000-000054AE0000}"/>
    <cellStyle name="Total 4 8 2 4 2" xfId="21765" xr:uid="{00000000-0005-0000-0000-000055AE0000}"/>
    <cellStyle name="Total 4 8 2 5" xfId="16653" xr:uid="{00000000-0005-0000-0000-000056AE0000}"/>
    <cellStyle name="Total 4 8 2 5 2" xfId="22294" xr:uid="{00000000-0005-0000-0000-000057AE0000}"/>
    <cellStyle name="Total 4 8 2 6" xfId="17023" xr:uid="{00000000-0005-0000-0000-000058AE0000}"/>
    <cellStyle name="Total 4 8 2 6 2" xfId="22674" xr:uid="{00000000-0005-0000-0000-000059AE0000}"/>
    <cellStyle name="Total 4 8 2 7" xfId="17743" xr:uid="{00000000-0005-0000-0000-00005AAE0000}"/>
    <cellStyle name="Total 4 8 2 7 2" xfId="23388" xr:uid="{00000000-0005-0000-0000-00005BAE0000}"/>
    <cellStyle name="Total 4 8 2 8" xfId="13947" xr:uid="{00000000-0005-0000-0000-00005CAE0000}"/>
    <cellStyle name="Total 4 8 2 8 2" xfId="18921" xr:uid="{00000000-0005-0000-0000-00005DAE0000}"/>
    <cellStyle name="Total 4 8 2 9" xfId="13276" xr:uid="{00000000-0005-0000-0000-00005EAE0000}"/>
    <cellStyle name="Total 4 8 3" xfId="5611" xr:uid="{00000000-0005-0000-0000-00005FAE0000}"/>
    <cellStyle name="Total 4 8 3 2" xfId="19948" xr:uid="{00000000-0005-0000-0000-000060AE0000}"/>
    <cellStyle name="Total 4 8 3 3" xfId="14640" xr:uid="{00000000-0005-0000-0000-000061AE0000}"/>
    <cellStyle name="Total 4 8 3 3 2" xfId="24462" xr:uid="{00000000-0005-0000-0000-000062AE0000}"/>
    <cellStyle name="Total 4 8 3 4" xfId="23791" xr:uid="{00000000-0005-0000-0000-000063AE0000}"/>
    <cellStyle name="Total 4 8 3 5" xfId="25099" xr:uid="{00000000-0005-0000-0000-000064AE0000}"/>
    <cellStyle name="Total 4 8 3 6" xfId="29311" xr:uid="{00000000-0005-0000-0000-000065AE0000}"/>
    <cellStyle name="Total 4 8 3 7" xfId="33527" xr:uid="{00000000-0005-0000-0000-000066AE0000}"/>
    <cellStyle name="Total 4 8 3 8" xfId="37731" xr:uid="{00000000-0005-0000-0000-000067AE0000}"/>
    <cellStyle name="Total 4 8 4" xfId="6690" xr:uid="{00000000-0005-0000-0000-000068AE0000}"/>
    <cellStyle name="Total 4 8 4 2" xfId="19514" xr:uid="{00000000-0005-0000-0000-000069AE0000}"/>
    <cellStyle name="Total 4 8 4 3" xfId="14376" xr:uid="{00000000-0005-0000-0000-00006AAE0000}"/>
    <cellStyle name="Total 4 8 5" xfId="11274" xr:uid="{00000000-0005-0000-0000-00006BAE0000}"/>
    <cellStyle name="Total 4 8 5 2" xfId="20730" xr:uid="{00000000-0005-0000-0000-00006CAE0000}"/>
    <cellStyle name="Total 4 8 6" xfId="10270" xr:uid="{00000000-0005-0000-0000-00006DAE0000}"/>
    <cellStyle name="Total 4 8 6 2" xfId="21978" xr:uid="{00000000-0005-0000-0000-00006EAE0000}"/>
    <cellStyle name="Total 4 8 7" xfId="16705" xr:uid="{00000000-0005-0000-0000-00006FAE0000}"/>
    <cellStyle name="Total 4 8 7 2" xfId="22356" xr:uid="{00000000-0005-0000-0000-000070AE0000}"/>
    <cellStyle name="Total 4 8 8" xfId="17422" xr:uid="{00000000-0005-0000-0000-000071AE0000}"/>
    <cellStyle name="Total 4 8 8 2" xfId="23070" xr:uid="{00000000-0005-0000-0000-000072AE0000}"/>
    <cellStyle name="Total 4 8 9" xfId="13626" xr:uid="{00000000-0005-0000-0000-000073AE0000}"/>
    <cellStyle name="Total 4 8 9 2" xfId="18603" xr:uid="{00000000-0005-0000-0000-000074AE0000}"/>
    <cellStyle name="Total 4 9" xfId="2971" xr:uid="{00000000-0005-0000-0000-000075AE0000}"/>
    <cellStyle name="Total 4 9 10" xfId="12941" xr:uid="{00000000-0005-0000-0000-000076AE0000}"/>
    <cellStyle name="Total 4 9 11" xfId="17948" xr:uid="{00000000-0005-0000-0000-000077AE0000}"/>
    <cellStyle name="Total 4 9 2" xfId="4393" xr:uid="{00000000-0005-0000-0000-000078AE0000}"/>
    <cellStyle name="Total 4 9 2 10" xfId="18266" xr:uid="{00000000-0005-0000-0000-000079AE0000}"/>
    <cellStyle name="Total 4 9 2 2" xfId="6693" xr:uid="{00000000-0005-0000-0000-00007AAE0000}"/>
    <cellStyle name="Total 4 9 2 2 2" xfId="20308" xr:uid="{00000000-0005-0000-0000-00007BAE0000}"/>
    <cellStyle name="Total 4 9 2 2 3" xfId="14959" xr:uid="{00000000-0005-0000-0000-00007CAE0000}"/>
    <cellStyle name="Total 4 9 2 2 3 2" xfId="24774" xr:uid="{00000000-0005-0000-0000-00007DAE0000}"/>
    <cellStyle name="Total 4 9 2 2 4" xfId="24113" xr:uid="{00000000-0005-0000-0000-00007EAE0000}"/>
    <cellStyle name="Total 4 9 2 3" xfId="11281" xr:uid="{00000000-0005-0000-0000-00007FAE0000}"/>
    <cellStyle name="Total 4 9 2 3 2" xfId="20352" xr:uid="{00000000-0005-0000-0000-000080AE0000}"/>
    <cellStyle name="Total 4 9 2 4" xfId="16215" xr:uid="{00000000-0005-0000-0000-000081AE0000}"/>
    <cellStyle name="Total 4 9 2 4 2" xfId="21766" xr:uid="{00000000-0005-0000-0000-000082AE0000}"/>
    <cellStyle name="Total 4 9 2 5" xfId="16654" xr:uid="{00000000-0005-0000-0000-000083AE0000}"/>
    <cellStyle name="Total 4 9 2 5 2" xfId="22295" xr:uid="{00000000-0005-0000-0000-000084AE0000}"/>
    <cellStyle name="Total 4 9 2 6" xfId="17024" xr:uid="{00000000-0005-0000-0000-000085AE0000}"/>
    <cellStyle name="Total 4 9 2 6 2" xfId="22675" xr:uid="{00000000-0005-0000-0000-000086AE0000}"/>
    <cellStyle name="Total 4 9 2 7" xfId="17744" xr:uid="{00000000-0005-0000-0000-000087AE0000}"/>
    <cellStyle name="Total 4 9 2 7 2" xfId="23389" xr:uid="{00000000-0005-0000-0000-000088AE0000}"/>
    <cellStyle name="Total 4 9 2 8" xfId="13948" xr:uid="{00000000-0005-0000-0000-000089AE0000}"/>
    <cellStyle name="Total 4 9 2 8 2" xfId="18922" xr:uid="{00000000-0005-0000-0000-00008AAE0000}"/>
    <cellStyle name="Total 4 9 2 9" xfId="13277" xr:uid="{00000000-0005-0000-0000-00008BAE0000}"/>
    <cellStyle name="Total 4 9 3" xfId="5612" xr:uid="{00000000-0005-0000-0000-00008CAE0000}"/>
    <cellStyle name="Total 4 9 3 2" xfId="19949" xr:uid="{00000000-0005-0000-0000-00008DAE0000}"/>
    <cellStyle name="Total 4 9 3 3" xfId="14641" xr:uid="{00000000-0005-0000-0000-00008EAE0000}"/>
    <cellStyle name="Total 4 9 3 3 2" xfId="24463" xr:uid="{00000000-0005-0000-0000-00008FAE0000}"/>
    <cellStyle name="Total 4 9 3 4" xfId="23792" xr:uid="{00000000-0005-0000-0000-000090AE0000}"/>
    <cellStyle name="Total 4 9 3 5" xfId="25100" xr:uid="{00000000-0005-0000-0000-000091AE0000}"/>
    <cellStyle name="Total 4 9 3 6" xfId="29312" xr:uid="{00000000-0005-0000-0000-000092AE0000}"/>
    <cellStyle name="Total 4 9 3 7" xfId="33528" xr:uid="{00000000-0005-0000-0000-000093AE0000}"/>
    <cellStyle name="Total 4 9 3 8" xfId="37732" xr:uid="{00000000-0005-0000-0000-000094AE0000}"/>
    <cellStyle name="Total 4 9 4" xfId="6692" xr:uid="{00000000-0005-0000-0000-000095AE0000}"/>
    <cellStyle name="Total 4 9 4 2" xfId="19515" xr:uid="{00000000-0005-0000-0000-000096AE0000}"/>
    <cellStyle name="Total 4 9 4 3" xfId="14377" xr:uid="{00000000-0005-0000-0000-000097AE0000}"/>
    <cellStyle name="Total 4 9 5" xfId="11131" xr:uid="{00000000-0005-0000-0000-000098AE0000}"/>
    <cellStyle name="Total 4 9 5 2" xfId="20729" xr:uid="{00000000-0005-0000-0000-000099AE0000}"/>
    <cellStyle name="Total 4 9 6" xfId="10907" xr:uid="{00000000-0005-0000-0000-00009AAE0000}"/>
    <cellStyle name="Total 4 9 6 2" xfId="21979" xr:uid="{00000000-0005-0000-0000-00009BAE0000}"/>
    <cellStyle name="Total 4 9 7" xfId="16706" xr:uid="{00000000-0005-0000-0000-00009CAE0000}"/>
    <cellStyle name="Total 4 9 7 2" xfId="22357" xr:uid="{00000000-0005-0000-0000-00009DAE0000}"/>
    <cellStyle name="Total 4 9 8" xfId="17423" xr:uid="{00000000-0005-0000-0000-00009EAE0000}"/>
    <cellStyle name="Total 4 9 8 2" xfId="23071" xr:uid="{00000000-0005-0000-0000-00009FAE0000}"/>
    <cellStyle name="Total 4 9 9" xfId="13627" xr:uid="{00000000-0005-0000-0000-0000A0AE0000}"/>
    <cellStyle name="Total 4 9 9 2" xfId="18604" xr:uid="{00000000-0005-0000-0000-0000A1AE0000}"/>
    <cellStyle name="Total 40" xfId="44465" xr:uid="{00000000-0005-0000-0000-0000A2AE0000}"/>
    <cellStyle name="Total 41" xfId="44466" xr:uid="{00000000-0005-0000-0000-0000A3AE0000}"/>
    <cellStyle name="Total 42" xfId="44467" xr:uid="{00000000-0005-0000-0000-0000A4AE0000}"/>
    <cellStyle name="Total 5" xfId="2972" xr:uid="{00000000-0005-0000-0000-0000A5AE0000}"/>
    <cellStyle name="Total 5 10" xfId="2973" xr:uid="{00000000-0005-0000-0000-0000A6AE0000}"/>
    <cellStyle name="Total 5 10 10" xfId="12943" xr:uid="{00000000-0005-0000-0000-0000A7AE0000}"/>
    <cellStyle name="Total 5 10 11" xfId="17950" xr:uid="{00000000-0005-0000-0000-0000A8AE0000}"/>
    <cellStyle name="Total 5 10 2" xfId="4394" xr:uid="{00000000-0005-0000-0000-0000A9AE0000}"/>
    <cellStyle name="Total 5 10 2 10" xfId="18268" xr:uid="{00000000-0005-0000-0000-0000AAAE0000}"/>
    <cellStyle name="Total 5 10 2 2" xfId="6696" xr:uid="{00000000-0005-0000-0000-0000ABAE0000}"/>
    <cellStyle name="Total 5 10 2 2 2" xfId="20310" xr:uid="{00000000-0005-0000-0000-0000ACAE0000}"/>
    <cellStyle name="Total 5 10 2 2 3" xfId="14961" xr:uid="{00000000-0005-0000-0000-0000ADAE0000}"/>
    <cellStyle name="Total 5 10 2 2 3 2" xfId="24776" xr:uid="{00000000-0005-0000-0000-0000AEAE0000}"/>
    <cellStyle name="Total 5 10 2 2 4" xfId="24115" xr:uid="{00000000-0005-0000-0000-0000AFAE0000}"/>
    <cellStyle name="Total 5 10 2 3" xfId="11061" xr:uid="{00000000-0005-0000-0000-0000B0AE0000}"/>
    <cellStyle name="Total 5 10 2 3 2" xfId="18963" xr:uid="{00000000-0005-0000-0000-0000B1AE0000}"/>
    <cellStyle name="Total 5 10 2 4" xfId="16217" xr:uid="{00000000-0005-0000-0000-0000B2AE0000}"/>
    <cellStyle name="Total 5 10 2 4 2" xfId="21768" xr:uid="{00000000-0005-0000-0000-0000B3AE0000}"/>
    <cellStyle name="Total 5 10 2 5" xfId="16656" xr:uid="{00000000-0005-0000-0000-0000B4AE0000}"/>
    <cellStyle name="Total 5 10 2 5 2" xfId="22297" xr:uid="{00000000-0005-0000-0000-0000B5AE0000}"/>
    <cellStyle name="Total 5 10 2 6" xfId="17026" xr:uid="{00000000-0005-0000-0000-0000B6AE0000}"/>
    <cellStyle name="Total 5 10 2 6 2" xfId="22677" xr:uid="{00000000-0005-0000-0000-0000B7AE0000}"/>
    <cellStyle name="Total 5 10 2 7" xfId="17746" xr:uid="{00000000-0005-0000-0000-0000B8AE0000}"/>
    <cellStyle name="Total 5 10 2 7 2" xfId="23391" xr:uid="{00000000-0005-0000-0000-0000B9AE0000}"/>
    <cellStyle name="Total 5 10 2 8" xfId="13950" xr:uid="{00000000-0005-0000-0000-0000BAAE0000}"/>
    <cellStyle name="Total 5 10 2 8 2" xfId="18924" xr:uid="{00000000-0005-0000-0000-0000BBAE0000}"/>
    <cellStyle name="Total 5 10 2 9" xfId="13279" xr:uid="{00000000-0005-0000-0000-0000BCAE0000}"/>
    <cellStyle name="Total 5 10 3" xfId="5614" xr:uid="{00000000-0005-0000-0000-0000BDAE0000}"/>
    <cellStyle name="Total 5 10 3 2" xfId="19951" xr:uid="{00000000-0005-0000-0000-0000BEAE0000}"/>
    <cellStyle name="Total 5 10 3 3" xfId="14643" xr:uid="{00000000-0005-0000-0000-0000BFAE0000}"/>
    <cellStyle name="Total 5 10 3 3 2" xfId="24465" xr:uid="{00000000-0005-0000-0000-0000C0AE0000}"/>
    <cellStyle name="Total 5 10 3 4" xfId="23794" xr:uid="{00000000-0005-0000-0000-0000C1AE0000}"/>
    <cellStyle name="Total 5 10 3 5" xfId="25102" xr:uid="{00000000-0005-0000-0000-0000C2AE0000}"/>
    <cellStyle name="Total 5 10 3 6" xfId="29314" xr:uid="{00000000-0005-0000-0000-0000C3AE0000}"/>
    <cellStyle name="Total 5 10 3 7" xfId="33530" xr:uid="{00000000-0005-0000-0000-0000C4AE0000}"/>
    <cellStyle name="Total 5 10 3 8" xfId="37734" xr:uid="{00000000-0005-0000-0000-0000C5AE0000}"/>
    <cellStyle name="Total 5 10 4" xfId="6695" xr:uid="{00000000-0005-0000-0000-0000C6AE0000}"/>
    <cellStyle name="Total 5 10 4 2" xfId="19517" xr:uid="{00000000-0005-0000-0000-0000C7AE0000}"/>
    <cellStyle name="Total 5 10 4 3" xfId="14379" xr:uid="{00000000-0005-0000-0000-0000C8AE0000}"/>
    <cellStyle name="Total 5 10 5" xfId="12100" xr:uid="{00000000-0005-0000-0000-0000C9AE0000}"/>
    <cellStyle name="Total 5 10 5 2" xfId="20727" xr:uid="{00000000-0005-0000-0000-0000CAAE0000}"/>
    <cellStyle name="Total 5 10 6" xfId="10877" xr:uid="{00000000-0005-0000-0000-0000CBAE0000}"/>
    <cellStyle name="Total 5 10 6 2" xfId="21981" xr:uid="{00000000-0005-0000-0000-0000CCAE0000}"/>
    <cellStyle name="Total 5 10 7" xfId="16708" xr:uid="{00000000-0005-0000-0000-0000CDAE0000}"/>
    <cellStyle name="Total 5 10 7 2" xfId="22359" xr:uid="{00000000-0005-0000-0000-0000CEAE0000}"/>
    <cellStyle name="Total 5 10 8" xfId="17425" xr:uid="{00000000-0005-0000-0000-0000CFAE0000}"/>
    <cellStyle name="Total 5 10 8 2" xfId="23073" xr:uid="{00000000-0005-0000-0000-0000D0AE0000}"/>
    <cellStyle name="Total 5 10 9" xfId="13629" xr:uid="{00000000-0005-0000-0000-0000D1AE0000}"/>
    <cellStyle name="Total 5 10 9 2" xfId="18606" xr:uid="{00000000-0005-0000-0000-0000D2AE0000}"/>
    <cellStyle name="Total 5 11" xfId="2974" xr:uid="{00000000-0005-0000-0000-0000D3AE0000}"/>
    <cellStyle name="Total 5 11 10" xfId="12944" xr:uid="{00000000-0005-0000-0000-0000D4AE0000}"/>
    <cellStyle name="Total 5 11 11" xfId="17951" xr:uid="{00000000-0005-0000-0000-0000D5AE0000}"/>
    <cellStyle name="Total 5 11 2" xfId="4395" xr:uid="{00000000-0005-0000-0000-0000D6AE0000}"/>
    <cellStyle name="Total 5 11 2 10" xfId="18269" xr:uid="{00000000-0005-0000-0000-0000D7AE0000}"/>
    <cellStyle name="Total 5 11 2 2" xfId="6698" xr:uid="{00000000-0005-0000-0000-0000D8AE0000}"/>
    <cellStyle name="Total 5 11 2 2 2" xfId="20311" xr:uid="{00000000-0005-0000-0000-0000D9AE0000}"/>
    <cellStyle name="Total 5 11 2 2 3" xfId="14962" xr:uid="{00000000-0005-0000-0000-0000DAAE0000}"/>
    <cellStyle name="Total 5 11 2 2 3 2" xfId="24777" xr:uid="{00000000-0005-0000-0000-0000DBAE0000}"/>
    <cellStyle name="Total 5 11 2 2 4" xfId="24116" xr:uid="{00000000-0005-0000-0000-0000DCAE0000}"/>
    <cellStyle name="Total 5 11 2 3" xfId="11133" xr:uid="{00000000-0005-0000-0000-0000DDAE0000}"/>
    <cellStyle name="Total 5 11 2 3 2" xfId="19904" xr:uid="{00000000-0005-0000-0000-0000DEAE0000}"/>
    <cellStyle name="Total 5 11 2 4" xfId="16218" xr:uid="{00000000-0005-0000-0000-0000DFAE0000}"/>
    <cellStyle name="Total 5 11 2 4 2" xfId="21769" xr:uid="{00000000-0005-0000-0000-0000E0AE0000}"/>
    <cellStyle name="Total 5 11 2 5" xfId="16657" xr:uid="{00000000-0005-0000-0000-0000E1AE0000}"/>
    <cellStyle name="Total 5 11 2 5 2" xfId="22298" xr:uid="{00000000-0005-0000-0000-0000E2AE0000}"/>
    <cellStyle name="Total 5 11 2 6" xfId="17027" xr:uid="{00000000-0005-0000-0000-0000E3AE0000}"/>
    <cellStyle name="Total 5 11 2 6 2" xfId="22678" xr:uid="{00000000-0005-0000-0000-0000E4AE0000}"/>
    <cellStyle name="Total 5 11 2 7" xfId="17747" xr:uid="{00000000-0005-0000-0000-0000E5AE0000}"/>
    <cellStyle name="Total 5 11 2 7 2" xfId="23392" xr:uid="{00000000-0005-0000-0000-0000E6AE0000}"/>
    <cellStyle name="Total 5 11 2 8" xfId="13951" xr:uid="{00000000-0005-0000-0000-0000E7AE0000}"/>
    <cellStyle name="Total 5 11 2 8 2" xfId="18925" xr:uid="{00000000-0005-0000-0000-0000E8AE0000}"/>
    <cellStyle name="Total 5 11 2 9" xfId="13280" xr:uid="{00000000-0005-0000-0000-0000E9AE0000}"/>
    <cellStyle name="Total 5 11 3" xfId="5615" xr:uid="{00000000-0005-0000-0000-0000EAAE0000}"/>
    <cellStyle name="Total 5 11 3 2" xfId="19952" xr:uid="{00000000-0005-0000-0000-0000EBAE0000}"/>
    <cellStyle name="Total 5 11 3 3" xfId="14644" xr:uid="{00000000-0005-0000-0000-0000ECAE0000}"/>
    <cellStyle name="Total 5 11 3 3 2" xfId="24466" xr:uid="{00000000-0005-0000-0000-0000EDAE0000}"/>
    <cellStyle name="Total 5 11 3 4" xfId="23795" xr:uid="{00000000-0005-0000-0000-0000EEAE0000}"/>
    <cellStyle name="Total 5 11 3 5" xfId="25103" xr:uid="{00000000-0005-0000-0000-0000EFAE0000}"/>
    <cellStyle name="Total 5 11 3 6" xfId="29315" xr:uid="{00000000-0005-0000-0000-0000F0AE0000}"/>
    <cellStyle name="Total 5 11 3 7" xfId="33531" xr:uid="{00000000-0005-0000-0000-0000F1AE0000}"/>
    <cellStyle name="Total 5 11 3 8" xfId="37735" xr:uid="{00000000-0005-0000-0000-0000F2AE0000}"/>
    <cellStyle name="Total 5 11 4" xfId="6697" xr:uid="{00000000-0005-0000-0000-0000F3AE0000}"/>
    <cellStyle name="Total 5 11 4 2" xfId="19518" xr:uid="{00000000-0005-0000-0000-0000F4AE0000}"/>
    <cellStyle name="Total 5 11 4 3" xfId="14380" xr:uid="{00000000-0005-0000-0000-0000F5AE0000}"/>
    <cellStyle name="Total 5 11 5" xfId="11132" xr:uid="{00000000-0005-0000-0000-0000F6AE0000}"/>
    <cellStyle name="Total 5 11 5 2" xfId="20726" xr:uid="{00000000-0005-0000-0000-0000F7AE0000}"/>
    <cellStyle name="Total 5 11 6" xfId="10636" xr:uid="{00000000-0005-0000-0000-0000F8AE0000}"/>
    <cellStyle name="Total 5 11 6 2" xfId="21982" xr:uid="{00000000-0005-0000-0000-0000F9AE0000}"/>
    <cellStyle name="Total 5 11 7" xfId="16709" xr:uid="{00000000-0005-0000-0000-0000FAAE0000}"/>
    <cellStyle name="Total 5 11 7 2" xfId="22360" xr:uid="{00000000-0005-0000-0000-0000FBAE0000}"/>
    <cellStyle name="Total 5 11 8" xfId="17426" xr:uid="{00000000-0005-0000-0000-0000FCAE0000}"/>
    <cellStyle name="Total 5 11 8 2" xfId="23074" xr:uid="{00000000-0005-0000-0000-0000FDAE0000}"/>
    <cellStyle name="Total 5 11 9" xfId="13630" xr:uid="{00000000-0005-0000-0000-0000FEAE0000}"/>
    <cellStyle name="Total 5 11 9 2" xfId="18607" xr:uid="{00000000-0005-0000-0000-0000FFAE0000}"/>
    <cellStyle name="Total 5 12" xfId="4396" xr:uid="{00000000-0005-0000-0000-000000AF0000}"/>
    <cellStyle name="Total 5 12 10" xfId="18267" xr:uid="{00000000-0005-0000-0000-000001AF0000}"/>
    <cellStyle name="Total 5 12 2" xfId="6699" xr:uid="{00000000-0005-0000-0000-000002AF0000}"/>
    <cellStyle name="Total 5 12 2 2" xfId="20309" xr:uid="{00000000-0005-0000-0000-000003AF0000}"/>
    <cellStyle name="Total 5 12 2 3" xfId="14960" xr:uid="{00000000-0005-0000-0000-000004AF0000}"/>
    <cellStyle name="Total 5 12 2 3 2" xfId="24775" xr:uid="{00000000-0005-0000-0000-000005AF0000}"/>
    <cellStyle name="Total 5 12 2 4" xfId="24114" xr:uid="{00000000-0005-0000-0000-000006AF0000}"/>
    <cellStyle name="Total 5 12 3" xfId="11833" xr:uid="{00000000-0005-0000-0000-000007AF0000}"/>
    <cellStyle name="Total 5 12 3 2" xfId="18316" xr:uid="{00000000-0005-0000-0000-000008AF0000}"/>
    <cellStyle name="Total 5 12 4" xfId="16216" xr:uid="{00000000-0005-0000-0000-000009AF0000}"/>
    <cellStyle name="Total 5 12 4 2" xfId="21767" xr:uid="{00000000-0005-0000-0000-00000AAF0000}"/>
    <cellStyle name="Total 5 12 5" xfId="16655" xr:uid="{00000000-0005-0000-0000-00000BAF0000}"/>
    <cellStyle name="Total 5 12 5 2" xfId="22296" xr:uid="{00000000-0005-0000-0000-00000CAF0000}"/>
    <cellStyle name="Total 5 12 6" xfId="17025" xr:uid="{00000000-0005-0000-0000-00000DAF0000}"/>
    <cellStyle name="Total 5 12 6 2" xfId="22676" xr:uid="{00000000-0005-0000-0000-00000EAF0000}"/>
    <cellStyle name="Total 5 12 7" xfId="17745" xr:uid="{00000000-0005-0000-0000-00000FAF0000}"/>
    <cellStyle name="Total 5 12 7 2" xfId="23390" xr:uid="{00000000-0005-0000-0000-000010AF0000}"/>
    <cellStyle name="Total 5 12 8" xfId="13949" xr:uid="{00000000-0005-0000-0000-000011AF0000}"/>
    <cellStyle name="Total 5 12 8 2" xfId="18923" xr:uid="{00000000-0005-0000-0000-000012AF0000}"/>
    <cellStyle name="Total 5 12 9" xfId="13278" xr:uid="{00000000-0005-0000-0000-000013AF0000}"/>
    <cellStyle name="Total 5 13" xfId="5613" xr:uid="{00000000-0005-0000-0000-000014AF0000}"/>
    <cellStyle name="Total 5 13 2" xfId="19950" xr:uid="{00000000-0005-0000-0000-000015AF0000}"/>
    <cellStyle name="Total 5 13 3" xfId="14642" xr:uid="{00000000-0005-0000-0000-000016AF0000}"/>
    <cellStyle name="Total 5 13 3 2" xfId="24464" xr:uid="{00000000-0005-0000-0000-000017AF0000}"/>
    <cellStyle name="Total 5 13 4" xfId="23793" xr:uid="{00000000-0005-0000-0000-000018AF0000}"/>
    <cellStyle name="Total 5 13 5" xfId="25101" xr:uid="{00000000-0005-0000-0000-000019AF0000}"/>
    <cellStyle name="Total 5 13 6" xfId="29313" xr:uid="{00000000-0005-0000-0000-00001AAF0000}"/>
    <cellStyle name="Total 5 13 7" xfId="33529" xr:uid="{00000000-0005-0000-0000-00001BAF0000}"/>
    <cellStyle name="Total 5 13 8" xfId="37733" xr:uid="{00000000-0005-0000-0000-00001CAF0000}"/>
    <cellStyle name="Total 5 14" xfId="6694" xr:uid="{00000000-0005-0000-0000-00001DAF0000}"/>
    <cellStyle name="Total 5 14 2" xfId="19516" xr:uid="{00000000-0005-0000-0000-00001EAF0000}"/>
    <cellStyle name="Total 5 14 3" xfId="14378" xr:uid="{00000000-0005-0000-0000-00001FAF0000}"/>
    <cellStyle name="Total 5 15" xfId="11060" xr:uid="{00000000-0005-0000-0000-000020AF0000}"/>
    <cellStyle name="Total 5 15 2" xfId="20728" xr:uid="{00000000-0005-0000-0000-000021AF0000}"/>
    <cellStyle name="Total 5 16" xfId="10893" xr:uid="{00000000-0005-0000-0000-000022AF0000}"/>
    <cellStyle name="Total 5 16 2" xfId="21980" xr:uid="{00000000-0005-0000-0000-000023AF0000}"/>
    <cellStyle name="Total 5 17" xfId="16707" xr:uid="{00000000-0005-0000-0000-000024AF0000}"/>
    <cellStyle name="Total 5 17 2" xfId="22358" xr:uid="{00000000-0005-0000-0000-000025AF0000}"/>
    <cellStyle name="Total 5 18" xfId="17424" xr:uid="{00000000-0005-0000-0000-000026AF0000}"/>
    <cellStyle name="Total 5 18 2" xfId="23072" xr:uid="{00000000-0005-0000-0000-000027AF0000}"/>
    <cellStyle name="Total 5 19" xfId="13628" xr:uid="{00000000-0005-0000-0000-000028AF0000}"/>
    <cellStyle name="Total 5 19 2" xfId="18605" xr:uid="{00000000-0005-0000-0000-000029AF0000}"/>
    <cellStyle name="Total 5 2" xfId="2975" xr:uid="{00000000-0005-0000-0000-00002AAF0000}"/>
    <cellStyle name="Total 5 2 10" xfId="12945" xr:uid="{00000000-0005-0000-0000-00002BAF0000}"/>
    <cellStyle name="Total 5 2 11" xfId="17952" xr:uid="{00000000-0005-0000-0000-00002CAF0000}"/>
    <cellStyle name="Total 5 2 2" xfId="4397" xr:uid="{00000000-0005-0000-0000-00002DAF0000}"/>
    <cellStyle name="Total 5 2 2 10" xfId="18270" xr:uid="{00000000-0005-0000-0000-00002EAF0000}"/>
    <cellStyle name="Total 5 2 2 2" xfId="6701" xr:uid="{00000000-0005-0000-0000-00002FAF0000}"/>
    <cellStyle name="Total 5 2 2 2 2" xfId="20312" xr:uid="{00000000-0005-0000-0000-000030AF0000}"/>
    <cellStyle name="Total 5 2 2 2 3" xfId="14963" xr:uid="{00000000-0005-0000-0000-000031AF0000}"/>
    <cellStyle name="Total 5 2 2 2 3 2" xfId="24778" xr:uid="{00000000-0005-0000-0000-000032AF0000}"/>
    <cellStyle name="Total 5 2 2 2 4" xfId="24117" xr:uid="{00000000-0005-0000-0000-000033AF0000}"/>
    <cellStyle name="Total 5 2 2 3" xfId="11860" xr:uid="{00000000-0005-0000-0000-000034AF0000}"/>
    <cellStyle name="Total 5 2 2 3 2" xfId="19905" xr:uid="{00000000-0005-0000-0000-000035AF0000}"/>
    <cellStyle name="Total 5 2 2 4" xfId="16219" xr:uid="{00000000-0005-0000-0000-000036AF0000}"/>
    <cellStyle name="Total 5 2 2 4 2" xfId="21770" xr:uid="{00000000-0005-0000-0000-000037AF0000}"/>
    <cellStyle name="Total 5 2 2 5" xfId="16658" xr:uid="{00000000-0005-0000-0000-000038AF0000}"/>
    <cellStyle name="Total 5 2 2 5 2" xfId="22299" xr:uid="{00000000-0005-0000-0000-000039AF0000}"/>
    <cellStyle name="Total 5 2 2 6" xfId="17028" xr:uid="{00000000-0005-0000-0000-00003AAF0000}"/>
    <cellStyle name="Total 5 2 2 6 2" xfId="22679" xr:uid="{00000000-0005-0000-0000-00003BAF0000}"/>
    <cellStyle name="Total 5 2 2 7" xfId="17748" xr:uid="{00000000-0005-0000-0000-00003CAF0000}"/>
    <cellStyle name="Total 5 2 2 7 2" xfId="23393" xr:uid="{00000000-0005-0000-0000-00003DAF0000}"/>
    <cellStyle name="Total 5 2 2 8" xfId="13952" xr:uid="{00000000-0005-0000-0000-00003EAF0000}"/>
    <cellStyle name="Total 5 2 2 8 2" xfId="18926" xr:uid="{00000000-0005-0000-0000-00003FAF0000}"/>
    <cellStyle name="Total 5 2 2 9" xfId="13281" xr:uid="{00000000-0005-0000-0000-000040AF0000}"/>
    <cellStyle name="Total 5 2 3" xfId="5616" xr:uid="{00000000-0005-0000-0000-000041AF0000}"/>
    <cellStyle name="Total 5 2 3 2" xfId="19953" xr:uid="{00000000-0005-0000-0000-000042AF0000}"/>
    <cellStyle name="Total 5 2 3 3" xfId="14645" xr:uid="{00000000-0005-0000-0000-000043AF0000}"/>
    <cellStyle name="Total 5 2 3 3 2" xfId="24467" xr:uid="{00000000-0005-0000-0000-000044AF0000}"/>
    <cellStyle name="Total 5 2 3 4" xfId="23796" xr:uid="{00000000-0005-0000-0000-000045AF0000}"/>
    <cellStyle name="Total 5 2 3 5" xfId="25104" xr:uid="{00000000-0005-0000-0000-000046AF0000}"/>
    <cellStyle name="Total 5 2 3 6" xfId="29316" xr:uid="{00000000-0005-0000-0000-000047AF0000}"/>
    <cellStyle name="Total 5 2 3 7" xfId="33532" xr:uid="{00000000-0005-0000-0000-000048AF0000}"/>
    <cellStyle name="Total 5 2 3 8" xfId="37736" xr:uid="{00000000-0005-0000-0000-000049AF0000}"/>
    <cellStyle name="Total 5 2 4" xfId="6700" xr:uid="{00000000-0005-0000-0000-00004AAF0000}"/>
    <cellStyle name="Total 5 2 4 2" xfId="19519" xr:uid="{00000000-0005-0000-0000-00004BAF0000}"/>
    <cellStyle name="Total 5 2 4 3" xfId="14381" xr:uid="{00000000-0005-0000-0000-00004CAF0000}"/>
    <cellStyle name="Total 5 2 5" xfId="11850" xr:uid="{00000000-0005-0000-0000-00004DAF0000}"/>
    <cellStyle name="Total 5 2 5 2" xfId="20725" xr:uid="{00000000-0005-0000-0000-00004EAF0000}"/>
    <cellStyle name="Total 5 2 6" xfId="10623" xr:uid="{00000000-0005-0000-0000-00004FAF0000}"/>
    <cellStyle name="Total 5 2 6 2" xfId="21983" xr:uid="{00000000-0005-0000-0000-000050AF0000}"/>
    <cellStyle name="Total 5 2 7" xfId="16710" xr:uid="{00000000-0005-0000-0000-000051AF0000}"/>
    <cellStyle name="Total 5 2 7 2" xfId="22361" xr:uid="{00000000-0005-0000-0000-000052AF0000}"/>
    <cellStyle name="Total 5 2 8" xfId="17427" xr:uid="{00000000-0005-0000-0000-000053AF0000}"/>
    <cellStyle name="Total 5 2 8 2" xfId="23075" xr:uid="{00000000-0005-0000-0000-000054AF0000}"/>
    <cellStyle name="Total 5 2 9" xfId="13631" xr:uid="{00000000-0005-0000-0000-000055AF0000}"/>
    <cellStyle name="Total 5 2 9 2" xfId="18608" xr:uid="{00000000-0005-0000-0000-000056AF0000}"/>
    <cellStyle name="Total 5 20" xfId="12942" xr:uid="{00000000-0005-0000-0000-000057AF0000}"/>
    <cellStyle name="Total 5 21" xfId="17949" xr:uid="{00000000-0005-0000-0000-000058AF0000}"/>
    <cellStyle name="Total 5 3" xfId="2976" xr:uid="{00000000-0005-0000-0000-000059AF0000}"/>
    <cellStyle name="Total 5 3 10" xfId="12946" xr:uid="{00000000-0005-0000-0000-00005AAF0000}"/>
    <cellStyle name="Total 5 3 11" xfId="17953" xr:uid="{00000000-0005-0000-0000-00005BAF0000}"/>
    <cellStyle name="Total 5 3 2" xfId="4398" xr:uid="{00000000-0005-0000-0000-00005CAF0000}"/>
    <cellStyle name="Total 5 3 2 10" xfId="18271" xr:uid="{00000000-0005-0000-0000-00005DAF0000}"/>
    <cellStyle name="Total 5 3 2 2" xfId="6703" xr:uid="{00000000-0005-0000-0000-00005EAF0000}"/>
    <cellStyle name="Total 5 3 2 2 2" xfId="20313" xr:uid="{00000000-0005-0000-0000-00005FAF0000}"/>
    <cellStyle name="Total 5 3 2 2 3" xfId="14964" xr:uid="{00000000-0005-0000-0000-000060AF0000}"/>
    <cellStyle name="Total 5 3 2 2 3 2" xfId="24779" xr:uid="{00000000-0005-0000-0000-000061AF0000}"/>
    <cellStyle name="Total 5 3 2 2 4" xfId="24118" xr:uid="{00000000-0005-0000-0000-000062AF0000}"/>
    <cellStyle name="Total 5 3 2 3" xfId="12216" xr:uid="{00000000-0005-0000-0000-000063AF0000}"/>
    <cellStyle name="Total 5 3 2 3 2" xfId="19906" xr:uid="{00000000-0005-0000-0000-000064AF0000}"/>
    <cellStyle name="Total 5 3 2 4" xfId="16220" xr:uid="{00000000-0005-0000-0000-000065AF0000}"/>
    <cellStyle name="Total 5 3 2 4 2" xfId="21771" xr:uid="{00000000-0005-0000-0000-000066AF0000}"/>
    <cellStyle name="Total 5 3 2 5" xfId="16659" xr:uid="{00000000-0005-0000-0000-000067AF0000}"/>
    <cellStyle name="Total 5 3 2 5 2" xfId="22300" xr:uid="{00000000-0005-0000-0000-000068AF0000}"/>
    <cellStyle name="Total 5 3 2 6" xfId="17029" xr:uid="{00000000-0005-0000-0000-000069AF0000}"/>
    <cellStyle name="Total 5 3 2 6 2" xfId="22680" xr:uid="{00000000-0005-0000-0000-00006AAF0000}"/>
    <cellStyle name="Total 5 3 2 7" xfId="17749" xr:uid="{00000000-0005-0000-0000-00006BAF0000}"/>
    <cellStyle name="Total 5 3 2 7 2" xfId="23394" xr:uid="{00000000-0005-0000-0000-00006CAF0000}"/>
    <cellStyle name="Total 5 3 2 8" xfId="13953" xr:uid="{00000000-0005-0000-0000-00006DAF0000}"/>
    <cellStyle name="Total 5 3 2 8 2" xfId="18927" xr:uid="{00000000-0005-0000-0000-00006EAF0000}"/>
    <cellStyle name="Total 5 3 2 9" xfId="13282" xr:uid="{00000000-0005-0000-0000-00006FAF0000}"/>
    <cellStyle name="Total 5 3 3" xfId="5617" xr:uid="{00000000-0005-0000-0000-000070AF0000}"/>
    <cellStyle name="Total 5 3 3 2" xfId="19954" xr:uid="{00000000-0005-0000-0000-000071AF0000}"/>
    <cellStyle name="Total 5 3 3 3" xfId="14646" xr:uid="{00000000-0005-0000-0000-000072AF0000}"/>
    <cellStyle name="Total 5 3 3 3 2" xfId="24468" xr:uid="{00000000-0005-0000-0000-000073AF0000}"/>
    <cellStyle name="Total 5 3 3 4" xfId="23797" xr:uid="{00000000-0005-0000-0000-000074AF0000}"/>
    <cellStyle name="Total 5 3 3 5" xfId="25105" xr:uid="{00000000-0005-0000-0000-000075AF0000}"/>
    <cellStyle name="Total 5 3 3 6" xfId="29317" xr:uid="{00000000-0005-0000-0000-000076AF0000}"/>
    <cellStyle name="Total 5 3 3 7" xfId="33533" xr:uid="{00000000-0005-0000-0000-000077AF0000}"/>
    <cellStyle name="Total 5 3 3 8" xfId="37737" xr:uid="{00000000-0005-0000-0000-000078AF0000}"/>
    <cellStyle name="Total 5 3 4" xfId="6702" xr:uid="{00000000-0005-0000-0000-000079AF0000}"/>
    <cellStyle name="Total 5 3 4 2" xfId="19520" xr:uid="{00000000-0005-0000-0000-00007AAF0000}"/>
    <cellStyle name="Total 5 3 4 3" xfId="14382" xr:uid="{00000000-0005-0000-0000-00007BAF0000}"/>
    <cellStyle name="Total 5 3 5" xfId="11134" xr:uid="{00000000-0005-0000-0000-00007CAF0000}"/>
    <cellStyle name="Total 5 3 5 2" xfId="20724" xr:uid="{00000000-0005-0000-0000-00007DAF0000}"/>
    <cellStyle name="Total 5 3 6" xfId="10610" xr:uid="{00000000-0005-0000-0000-00007EAF0000}"/>
    <cellStyle name="Total 5 3 6 2" xfId="21984" xr:uid="{00000000-0005-0000-0000-00007FAF0000}"/>
    <cellStyle name="Total 5 3 7" xfId="16711" xr:uid="{00000000-0005-0000-0000-000080AF0000}"/>
    <cellStyle name="Total 5 3 7 2" xfId="22362" xr:uid="{00000000-0005-0000-0000-000081AF0000}"/>
    <cellStyle name="Total 5 3 8" xfId="17428" xr:uid="{00000000-0005-0000-0000-000082AF0000}"/>
    <cellStyle name="Total 5 3 8 2" xfId="23076" xr:uid="{00000000-0005-0000-0000-000083AF0000}"/>
    <cellStyle name="Total 5 3 9" xfId="13632" xr:uid="{00000000-0005-0000-0000-000084AF0000}"/>
    <cellStyle name="Total 5 3 9 2" xfId="18609" xr:uid="{00000000-0005-0000-0000-000085AF0000}"/>
    <cellStyle name="Total 5 4" xfId="2977" xr:uid="{00000000-0005-0000-0000-000086AF0000}"/>
    <cellStyle name="Total 5 4 10" xfId="12947" xr:uid="{00000000-0005-0000-0000-000087AF0000}"/>
    <cellStyle name="Total 5 4 11" xfId="17954" xr:uid="{00000000-0005-0000-0000-000088AF0000}"/>
    <cellStyle name="Total 5 4 2" xfId="4399" xr:uid="{00000000-0005-0000-0000-000089AF0000}"/>
    <cellStyle name="Total 5 4 2 10" xfId="18272" xr:uid="{00000000-0005-0000-0000-00008AAF0000}"/>
    <cellStyle name="Total 5 4 2 2" xfId="6705" xr:uid="{00000000-0005-0000-0000-00008BAF0000}"/>
    <cellStyle name="Total 5 4 2 2 2" xfId="20314" xr:uid="{00000000-0005-0000-0000-00008CAF0000}"/>
    <cellStyle name="Total 5 4 2 2 3" xfId="14965" xr:uid="{00000000-0005-0000-0000-00008DAF0000}"/>
    <cellStyle name="Total 5 4 2 2 3 2" xfId="24780" xr:uid="{00000000-0005-0000-0000-00008EAF0000}"/>
    <cellStyle name="Total 5 4 2 2 4" xfId="24119" xr:uid="{00000000-0005-0000-0000-00008FAF0000}"/>
    <cellStyle name="Total 5 4 2 3" xfId="12200" xr:uid="{00000000-0005-0000-0000-000090AF0000}"/>
    <cellStyle name="Total 5 4 2 3 2" xfId="20268" xr:uid="{00000000-0005-0000-0000-000091AF0000}"/>
    <cellStyle name="Total 5 4 2 4" xfId="16221" xr:uid="{00000000-0005-0000-0000-000092AF0000}"/>
    <cellStyle name="Total 5 4 2 4 2" xfId="21772" xr:uid="{00000000-0005-0000-0000-000093AF0000}"/>
    <cellStyle name="Total 5 4 2 5" xfId="16660" xr:uid="{00000000-0005-0000-0000-000094AF0000}"/>
    <cellStyle name="Total 5 4 2 5 2" xfId="22301" xr:uid="{00000000-0005-0000-0000-000095AF0000}"/>
    <cellStyle name="Total 5 4 2 6" xfId="17030" xr:uid="{00000000-0005-0000-0000-000096AF0000}"/>
    <cellStyle name="Total 5 4 2 6 2" xfId="22681" xr:uid="{00000000-0005-0000-0000-000097AF0000}"/>
    <cellStyle name="Total 5 4 2 7" xfId="17750" xr:uid="{00000000-0005-0000-0000-000098AF0000}"/>
    <cellStyle name="Total 5 4 2 7 2" xfId="23395" xr:uid="{00000000-0005-0000-0000-000099AF0000}"/>
    <cellStyle name="Total 5 4 2 8" xfId="13954" xr:uid="{00000000-0005-0000-0000-00009AAF0000}"/>
    <cellStyle name="Total 5 4 2 8 2" xfId="18928" xr:uid="{00000000-0005-0000-0000-00009BAF0000}"/>
    <cellStyle name="Total 5 4 2 9" xfId="13283" xr:uid="{00000000-0005-0000-0000-00009CAF0000}"/>
    <cellStyle name="Total 5 4 3" xfId="5618" xr:uid="{00000000-0005-0000-0000-00009DAF0000}"/>
    <cellStyle name="Total 5 4 3 2" xfId="19955" xr:uid="{00000000-0005-0000-0000-00009EAF0000}"/>
    <cellStyle name="Total 5 4 3 3" xfId="14647" xr:uid="{00000000-0005-0000-0000-00009FAF0000}"/>
    <cellStyle name="Total 5 4 3 3 2" xfId="24469" xr:uid="{00000000-0005-0000-0000-0000A0AF0000}"/>
    <cellStyle name="Total 5 4 3 4" xfId="23798" xr:uid="{00000000-0005-0000-0000-0000A1AF0000}"/>
    <cellStyle name="Total 5 4 3 5" xfId="25106" xr:uid="{00000000-0005-0000-0000-0000A2AF0000}"/>
    <cellStyle name="Total 5 4 3 6" xfId="29318" xr:uid="{00000000-0005-0000-0000-0000A3AF0000}"/>
    <cellStyle name="Total 5 4 3 7" xfId="33534" xr:uid="{00000000-0005-0000-0000-0000A4AF0000}"/>
    <cellStyle name="Total 5 4 3 8" xfId="37738" xr:uid="{00000000-0005-0000-0000-0000A5AF0000}"/>
    <cellStyle name="Total 5 4 4" xfId="6704" xr:uid="{00000000-0005-0000-0000-0000A6AF0000}"/>
    <cellStyle name="Total 5 4 4 2" xfId="19521" xr:uid="{00000000-0005-0000-0000-0000A7AF0000}"/>
    <cellStyle name="Total 5 4 4 3" xfId="14383" xr:uid="{00000000-0005-0000-0000-0000A8AF0000}"/>
    <cellStyle name="Total 5 4 5" xfId="12208" xr:uid="{00000000-0005-0000-0000-0000A9AF0000}"/>
    <cellStyle name="Total 5 4 5 2" xfId="20723" xr:uid="{00000000-0005-0000-0000-0000AAAF0000}"/>
    <cellStyle name="Total 5 4 6" xfId="10598" xr:uid="{00000000-0005-0000-0000-0000ABAF0000}"/>
    <cellStyle name="Total 5 4 6 2" xfId="21985" xr:uid="{00000000-0005-0000-0000-0000ACAF0000}"/>
    <cellStyle name="Total 5 4 7" xfId="16712" xr:uid="{00000000-0005-0000-0000-0000ADAF0000}"/>
    <cellStyle name="Total 5 4 7 2" xfId="22363" xr:uid="{00000000-0005-0000-0000-0000AEAF0000}"/>
    <cellStyle name="Total 5 4 8" xfId="17429" xr:uid="{00000000-0005-0000-0000-0000AFAF0000}"/>
    <cellStyle name="Total 5 4 8 2" xfId="23077" xr:uid="{00000000-0005-0000-0000-0000B0AF0000}"/>
    <cellStyle name="Total 5 4 9" xfId="13633" xr:uid="{00000000-0005-0000-0000-0000B1AF0000}"/>
    <cellStyle name="Total 5 4 9 2" xfId="18610" xr:uid="{00000000-0005-0000-0000-0000B2AF0000}"/>
    <cellStyle name="Total 5 5" xfId="2978" xr:uid="{00000000-0005-0000-0000-0000B3AF0000}"/>
    <cellStyle name="Total 5 5 10" xfId="12948" xr:uid="{00000000-0005-0000-0000-0000B4AF0000}"/>
    <cellStyle name="Total 5 5 11" xfId="17955" xr:uid="{00000000-0005-0000-0000-0000B5AF0000}"/>
    <cellStyle name="Total 5 5 2" xfId="4400" xr:uid="{00000000-0005-0000-0000-0000B6AF0000}"/>
    <cellStyle name="Total 5 5 2 10" xfId="18273" xr:uid="{00000000-0005-0000-0000-0000B7AF0000}"/>
    <cellStyle name="Total 5 5 2 2" xfId="6707" xr:uid="{00000000-0005-0000-0000-0000B8AF0000}"/>
    <cellStyle name="Total 5 5 2 2 2" xfId="20315" xr:uid="{00000000-0005-0000-0000-0000B9AF0000}"/>
    <cellStyle name="Total 5 5 2 2 3" xfId="14966" xr:uid="{00000000-0005-0000-0000-0000BAAF0000}"/>
    <cellStyle name="Total 5 5 2 2 3 2" xfId="24781" xr:uid="{00000000-0005-0000-0000-0000BBAF0000}"/>
    <cellStyle name="Total 5 5 2 2 4" xfId="24120" xr:uid="{00000000-0005-0000-0000-0000BCAF0000}"/>
    <cellStyle name="Total 5 5 2 3" xfId="12184" xr:uid="{00000000-0005-0000-0000-0000BDAF0000}"/>
    <cellStyle name="Total 5 5 2 3 2" xfId="20002" xr:uid="{00000000-0005-0000-0000-0000BEAF0000}"/>
    <cellStyle name="Total 5 5 2 4" xfId="16222" xr:uid="{00000000-0005-0000-0000-0000BFAF0000}"/>
    <cellStyle name="Total 5 5 2 4 2" xfId="21773" xr:uid="{00000000-0005-0000-0000-0000C0AF0000}"/>
    <cellStyle name="Total 5 5 2 5" xfId="16661" xr:uid="{00000000-0005-0000-0000-0000C1AF0000}"/>
    <cellStyle name="Total 5 5 2 5 2" xfId="22302" xr:uid="{00000000-0005-0000-0000-0000C2AF0000}"/>
    <cellStyle name="Total 5 5 2 6" xfId="17031" xr:uid="{00000000-0005-0000-0000-0000C3AF0000}"/>
    <cellStyle name="Total 5 5 2 6 2" xfId="22682" xr:uid="{00000000-0005-0000-0000-0000C4AF0000}"/>
    <cellStyle name="Total 5 5 2 7" xfId="17751" xr:uid="{00000000-0005-0000-0000-0000C5AF0000}"/>
    <cellStyle name="Total 5 5 2 7 2" xfId="23396" xr:uid="{00000000-0005-0000-0000-0000C6AF0000}"/>
    <cellStyle name="Total 5 5 2 8" xfId="13955" xr:uid="{00000000-0005-0000-0000-0000C7AF0000}"/>
    <cellStyle name="Total 5 5 2 8 2" xfId="18929" xr:uid="{00000000-0005-0000-0000-0000C8AF0000}"/>
    <cellStyle name="Total 5 5 2 9" xfId="13284" xr:uid="{00000000-0005-0000-0000-0000C9AF0000}"/>
    <cellStyle name="Total 5 5 3" xfId="5619" xr:uid="{00000000-0005-0000-0000-0000CAAF0000}"/>
    <cellStyle name="Total 5 5 3 2" xfId="19956" xr:uid="{00000000-0005-0000-0000-0000CBAF0000}"/>
    <cellStyle name="Total 5 5 3 3" xfId="14648" xr:uid="{00000000-0005-0000-0000-0000CCAF0000}"/>
    <cellStyle name="Total 5 5 3 3 2" xfId="24470" xr:uid="{00000000-0005-0000-0000-0000CDAF0000}"/>
    <cellStyle name="Total 5 5 3 4" xfId="23799" xr:uid="{00000000-0005-0000-0000-0000CEAF0000}"/>
    <cellStyle name="Total 5 5 3 5" xfId="25107" xr:uid="{00000000-0005-0000-0000-0000CFAF0000}"/>
    <cellStyle name="Total 5 5 3 6" xfId="29319" xr:uid="{00000000-0005-0000-0000-0000D0AF0000}"/>
    <cellStyle name="Total 5 5 3 7" xfId="33535" xr:uid="{00000000-0005-0000-0000-0000D1AF0000}"/>
    <cellStyle name="Total 5 5 3 8" xfId="37739" xr:uid="{00000000-0005-0000-0000-0000D2AF0000}"/>
    <cellStyle name="Total 5 5 4" xfId="6706" xr:uid="{00000000-0005-0000-0000-0000D3AF0000}"/>
    <cellStyle name="Total 5 5 4 2" xfId="19522" xr:uid="{00000000-0005-0000-0000-0000D4AF0000}"/>
    <cellStyle name="Total 5 5 4 3" xfId="14384" xr:uid="{00000000-0005-0000-0000-0000D5AF0000}"/>
    <cellStyle name="Total 5 5 5" xfId="12192" xr:uid="{00000000-0005-0000-0000-0000D6AF0000}"/>
    <cellStyle name="Total 5 5 5 2" xfId="20722" xr:uid="{00000000-0005-0000-0000-0000D7AF0000}"/>
    <cellStyle name="Total 5 5 6" xfId="11303" xr:uid="{00000000-0005-0000-0000-0000D8AF0000}"/>
    <cellStyle name="Total 5 5 6 2" xfId="21986" xr:uid="{00000000-0005-0000-0000-0000D9AF0000}"/>
    <cellStyle name="Total 5 5 7" xfId="16713" xr:uid="{00000000-0005-0000-0000-0000DAAF0000}"/>
    <cellStyle name="Total 5 5 7 2" xfId="22364" xr:uid="{00000000-0005-0000-0000-0000DBAF0000}"/>
    <cellStyle name="Total 5 5 8" xfId="17430" xr:uid="{00000000-0005-0000-0000-0000DCAF0000}"/>
    <cellStyle name="Total 5 5 8 2" xfId="23078" xr:uid="{00000000-0005-0000-0000-0000DDAF0000}"/>
    <cellStyle name="Total 5 5 9" xfId="13634" xr:uid="{00000000-0005-0000-0000-0000DEAF0000}"/>
    <cellStyle name="Total 5 5 9 2" xfId="18611" xr:uid="{00000000-0005-0000-0000-0000DFAF0000}"/>
    <cellStyle name="Total 5 6" xfId="2979" xr:uid="{00000000-0005-0000-0000-0000E0AF0000}"/>
    <cellStyle name="Total 5 6 10" xfId="12949" xr:uid="{00000000-0005-0000-0000-0000E1AF0000}"/>
    <cellStyle name="Total 5 6 11" xfId="17956" xr:uid="{00000000-0005-0000-0000-0000E2AF0000}"/>
    <cellStyle name="Total 5 6 2" xfId="4401" xr:uid="{00000000-0005-0000-0000-0000E3AF0000}"/>
    <cellStyle name="Total 5 6 2 10" xfId="18274" xr:uid="{00000000-0005-0000-0000-0000E4AF0000}"/>
    <cellStyle name="Total 5 6 2 2" xfId="6709" xr:uid="{00000000-0005-0000-0000-0000E5AF0000}"/>
    <cellStyle name="Total 5 6 2 2 2" xfId="20316" xr:uid="{00000000-0005-0000-0000-0000E6AF0000}"/>
    <cellStyle name="Total 5 6 2 2 3" xfId="14967" xr:uid="{00000000-0005-0000-0000-0000E7AF0000}"/>
    <cellStyle name="Total 5 6 2 2 3 2" xfId="24782" xr:uid="{00000000-0005-0000-0000-0000E8AF0000}"/>
    <cellStyle name="Total 5 6 2 2 4" xfId="24121" xr:uid="{00000000-0005-0000-0000-0000E9AF0000}"/>
    <cellStyle name="Total 5 6 2 3" xfId="11811" xr:uid="{00000000-0005-0000-0000-0000EAAF0000}"/>
    <cellStyle name="Total 5 6 2 3 2" xfId="19907" xr:uid="{00000000-0005-0000-0000-0000EBAF0000}"/>
    <cellStyle name="Total 5 6 2 4" xfId="16223" xr:uid="{00000000-0005-0000-0000-0000ECAF0000}"/>
    <cellStyle name="Total 5 6 2 4 2" xfId="21774" xr:uid="{00000000-0005-0000-0000-0000EDAF0000}"/>
    <cellStyle name="Total 5 6 2 5" xfId="16662" xr:uid="{00000000-0005-0000-0000-0000EEAF0000}"/>
    <cellStyle name="Total 5 6 2 5 2" xfId="22303" xr:uid="{00000000-0005-0000-0000-0000EFAF0000}"/>
    <cellStyle name="Total 5 6 2 6" xfId="17032" xr:uid="{00000000-0005-0000-0000-0000F0AF0000}"/>
    <cellStyle name="Total 5 6 2 6 2" xfId="22683" xr:uid="{00000000-0005-0000-0000-0000F1AF0000}"/>
    <cellStyle name="Total 5 6 2 7" xfId="17752" xr:uid="{00000000-0005-0000-0000-0000F2AF0000}"/>
    <cellStyle name="Total 5 6 2 7 2" xfId="23397" xr:uid="{00000000-0005-0000-0000-0000F3AF0000}"/>
    <cellStyle name="Total 5 6 2 8" xfId="13956" xr:uid="{00000000-0005-0000-0000-0000F4AF0000}"/>
    <cellStyle name="Total 5 6 2 8 2" xfId="18930" xr:uid="{00000000-0005-0000-0000-0000F5AF0000}"/>
    <cellStyle name="Total 5 6 2 9" xfId="13285" xr:uid="{00000000-0005-0000-0000-0000F6AF0000}"/>
    <cellStyle name="Total 5 6 3" xfId="5620" xr:uid="{00000000-0005-0000-0000-0000F7AF0000}"/>
    <cellStyle name="Total 5 6 3 2" xfId="19957" xr:uid="{00000000-0005-0000-0000-0000F8AF0000}"/>
    <cellStyle name="Total 5 6 3 3" xfId="14649" xr:uid="{00000000-0005-0000-0000-0000F9AF0000}"/>
    <cellStyle name="Total 5 6 3 3 2" xfId="24471" xr:uid="{00000000-0005-0000-0000-0000FAAF0000}"/>
    <cellStyle name="Total 5 6 3 4" xfId="23800" xr:uid="{00000000-0005-0000-0000-0000FBAF0000}"/>
    <cellStyle name="Total 5 6 3 5" xfId="25108" xr:uid="{00000000-0005-0000-0000-0000FCAF0000}"/>
    <cellStyle name="Total 5 6 3 6" xfId="29320" xr:uid="{00000000-0005-0000-0000-0000FDAF0000}"/>
    <cellStyle name="Total 5 6 3 7" xfId="33536" xr:uid="{00000000-0005-0000-0000-0000FEAF0000}"/>
    <cellStyle name="Total 5 6 3 8" xfId="37740" xr:uid="{00000000-0005-0000-0000-0000FFAF0000}"/>
    <cellStyle name="Total 5 6 4" xfId="6708" xr:uid="{00000000-0005-0000-0000-000000B00000}"/>
    <cellStyle name="Total 5 6 4 2" xfId="19523" xr:uid="{00000000-0005-0000-0000-000001B00000}"/>
    <cellStyle name="Total 5 6 4 3" xfId="14385" xr:uid="{00000000-0005-0000-0000-000002B00000}"/>
    <cellStyle name="Total 5 6 5" xfId="10980" xr:uid="{00000000-0005-0000-0000-000003B00000}"/>
    <cellStyle name="Total 5 6 5 2" xfId="20721" xr:uid="{00000000-0005-0000-0000-000004B00000}"/>
    <cellStyle name="Total 5 6 6" xfId="10269" xr:uid="{00000000-0005-0000-0000-000005B00000}"/>
    <cellStyle name="Total 5 6 6 2" xfId="21987" xr:uid="{00000000-0005-0000-0000-000006B00000}"/>
    <cellStyle name="Total 5 6 7" xfId="16714" xr:uid="{00000000-0005-0000-0000-000007B00000}"/>
    <cellStyle name="Total 5 6 7 2" xfId="22365" xr:uid="{00000000-0005-0000-0000-000008B00000}"/>
    <cellStyle name="Total 5 6 8" xfId="17431" xr:uid="{00000000-0005-0000-0000-000009B00000}"/>
    <cellStyle name="Total 5 6 8 2" xfId="23079" xr:uid="{00000000-0005-0000-0000-00000AB00000}"/>
    <cellStyle name="Total 5 6 9" xfId="13635" xr:uid="{00000000-0005-0000-0000-00000BB00000}"/>
    <cellStyle name="Total 5 6 9 2" xfId="18612" xr:uid="{00000000-0005-0000-0000-00000CB00000}"/>
    <cellStyle name="Total 5 7" xfId="2980" xr:uid="{00000000-0005-0000-0000-00000DB00000}"/>
    <cellStyle name="Total 5 7 10" xfId="12950" xr:uid="{00000000-0005-0000-0000-00000EB00000}"/>
    <cellStyle name="Total 5 7 11" xfId="17957" xr:uid="{00000000-0005-0000-0000-00000FB00000}"/>
    <cellStyle name="Total 5 7 2" xfId="4402" xr:uid="{00000000-0005-0000-0000-000010B00000}"/>
    <cellStyle name="Total 5 7 2 10" xfId="18275" xr:uid="{00000000-0005-0000-0000-000011B00000}"/>
    <cellStyle name="Total 5 7 2 2" xfId="6711" xr:uid="{00000000-0005-0000-0000-000012B00000}"/>
    <cellStyle name="Total 5 7 2 2 2" xfId="20317" xr:uid="{00000000-0005-0000-0000-000013B00000}"/>
    <cellStyle name="Total 5 7 2 2 3" xfId="14968" xr:uid="{00000000-0005-0000-0000-000014B00000}"/>
    <cellStyle name="Total 5 7 2 2 3 2" xfId="24783" xr:uid="{00000000-0005-0000-0000-000015B00000}"/>
    <cellStyle name="Total 5 7 2 2 4" xfId="24122" xr:uid="{00000000-0005-0000-0000-000016B00000}"/>
    <cellStyle name="Total 5 7 2 3" xfId="12133" xr:uid="{00000000-0005-0000-0000-000017B00000}"/>
    <cellStyle name="Total 5 7 2 3 2" xfId="19908" xr:uid="{00000000-0005-0000-0000-000018B00000}"/>
    <cellStyle name="Total 5 7 2 4" xfId="16224" xr:uid="{00000000-0005-0000-0000-000019B00000}"/>
    <cellStyle name="Total 5 7 2 4 2" xfId="21775" xr:uid="{00000000-0005-0000-0000-00001AB00000}"/>
    <cellStyle name="Total 5 7 2 5" xfId="16663" xr:uid="{00000000-0005-0000-0000-00001BB00000}"/>
    <cellStyle name="Total 5 7 2 5 2" xfId="22304" xr:uid="{00000000-0005-0000-0000-00001CB00000}"/>
    <cellStyle name="Total 5 7 2 6" xfId="17033" xr:uid="{00000000-0005-0000-0000-00001DB00000}"/>
    <cellStyle name="Total 5 7 2 6 2" xfId="22684" xr:uid="{00000000-0005-0000-0000-00001EB00000}"/>
    <cellStyle name="Total 5 7 2 7" xfId="17753" xr:uid="{00000000-0005-0000-0000-00001FB00000}"/>
    <cellStyle name="Total 5 7 2 7 2" xfId="23398" xr:uid="{00000000-0005-0000-0000-000020B00000}"/>
    <cellStyle name="Total 5 7 2 8" xfId="13957" xr:uid="{00000000-0005-0000-0000-000021B00000}"/>
    <cellStyle name="Total 5 7 2 8 2" xfId="18931" xr:uid="{00000000-0005-0000-0000-000022B00000}"/>
    <cellStyle name="Total 5 7 2 9" xfId="13286" xr:uid="{00000000-0005-0000-0000-000023B00000}"/>
    <cellStyle name="Total 5 7 3" xfId="5621" xr:uid="{00000000-0005-0000-0000-000024B00000}"/>
    <cellStyle name="Total 5 7 3 2" xfId="19958" xr:uid="{00000000-0005-0000-0000-000025B00000}"/>
    <cellStyle name="Total 5 7 3 3" xfId="14650" xr:uid="{00000000-0005-0000-0000-000026B00000}"/>
    <cellStyle name="Total 5 7 3 3 2" xfId="24472" xr:uid="{00000000-0005-0000-0000-000027B00000}"/>
    <cellStyle name="Total 5 7 3 4" xfId="23801" xr:uid="{00000000-0005-0000-0000-000028B00000}"/>
    <cellStyle name="Total 5 7 3 5" xfId="25109" xr:uid="{00000000-0005-0000-0000-000029B00000}"/>
    <cellStyle name="Total 5 7 3 6" xfId="29321" xr:uid="{00000000-0005-0000-0000-00002AB00000}"/>
    <cellStyle name="Total 5 7 3 7" xfId="33537" xr:uid="{00000000-0005-0000-0000-00002BB00000}"/>
    <cellStyle name="Total 5 7 3 8" xfId="37741" xr:uid="{00000000-0005-0000-0000-00002CB00000}"/>
    <cellStyle name="Total 5 7 4" xfId="6710" xr:uid="{00000000-0005-0000-0000-00002DB00000}"/>
    <cellStyle name="Total 5 7 4 2" xfId="19524" xr:uid="{00000000-0005-0000-0000-00002EB00000}"/>
    <cellStyle name="Total 5 7 4 3" xfId="14386" xr:uid="{00000000-0005-0000-0000-00002FB00000}"/>
    <cellStyle name="Total 5 7 5" xfId="11277" xr:uid="{00000000-0005-0000-0000-000030B00000}"/>
    <cellStyle name="Total 5 7 5 2" xfId="20720" xr:uid="{00000000-0005-0000-0000-000031B00000}"/>
    <cellStyle name="Total 5 7 6" xfId="10268" xr:uid="{00000000-0005-0000-0000-000032B00000}"/>
    <cellStyle name="Total 5 7 6 2" xfId="21988" xr:uid="{00000000-0005-0000-0000-000033B00000}"/>
    <cellStyle name="Total 5 7 7" xfId="16715" xr:uid="{00000000-0005-0000-0000-000034B00000}"/>
    <cellStyle name="Total 5 7 7 2" xfId="22366" xr:uid="{00000000-0005-0000-0000-000035B00000}"/>
    <cellStyle name="Total 5 7 8" xfId="17432" xr:uid="{00000000-0005-0000-0000-000036B00000}"/>
    <cellStyle name="Total 5 7 8 2" xfId="23080" xr:uid="{00000000-0005-0000-0000-000037B00000}"/>
    <cellStyle name="Total 5 7 9" xfId="13636" xr:uid="{00000000-0005-0000-0000-000038B00000}"/>
    <cellStyle name="Total 5 7 9 2" xfId="18613" xr:uid="{00000000-0005-0000-0000-000039B00000}"/>
    <cellStyle name="Total 5 8" xfId="2981" xr:uid="{00000000-0005-0000-0000-00003AB00000}"/>
    <cellStyle name="Total 5 8 10" xfId="12951" xr:uid="{00000000-0005-0000-0000-00003BB00000}"/>
    <cellStyle name="Total 5 8 11" xfId="17958" xr:uid="{00000000-0005-0000-0000-00003CB00000}"/>
    <cellStyle name="Total 5 8 2" xfId="4403" xr:uid="{00000000-0005-0000-0000-00003DB00000}"/>
    <cellStyle name="Total 5 8 2 10" xfId="18276" xr:uid="{00000000-0005-0000-0000-00003EB00000}"/>
    <cellStyle name="Total 5 8 2 2" xfId="6713" xr:uid="{00000000-0005-0000-0000-00003FB00000}"/>
    <cellStyle name="Total 5 8 2 2 2" xfId="20318" xr:uid="{00000000-0005-0000-0000-000040B00000}"/>
    <cellStyle name="Total 5 8 2 2 3" xfId="14969" xr:uid="{00000000-0005-0000-0000-000041B00000}"/>
    <cellStyle name="Total 5 8 2 2 3 2" xfId="24784" xr:uid="{00000000-0005-0000-0000-000042B00000}"/>
    <cellStyle name="Total 5 8 2 2 4" xfId="24123" xr:uid="{00000000-0005-0000-0000-000043B00000}"/>
    <cellStyle name="Total 5 8 2 3" xfId="12207" xr:uid="{00000000-0005-0000-0000-000044B00000}"/>
    <cellStyle name="Total 5 8 2 3 2" xfId="19909" xr:uid="{00000000-0005-0000-0000-000045B00000}"/>
    <cellStyle name="Total 5 8 2 4" xfId="16225" xr:uid="{00000000-0005-0000-0000-000046B00000}"/>
    <cellStyle name="Total 5 8 2 4 2" xfId="21776" xr:uid="{00000000-0005-0000-0000-000047B00000}"/>
    <cellStyle name="Total 5 8 2 5" xfId="16664" xr:uid="{00000000-0005-0000-0000-000048B00000}"/>
    <cellStyle name="Total 5 8 2 5 2" xfId="22305" xr:uid="{00000000-0005-0000-0000-000049B00000}"/>
    <cellStyle name="Total 5 8 2 6" xfId="17034" xr:uid="{00000000-0005-0000-0000-00004AB00000}"/>
    <cellStyle name="Total 5 8 2 6 2" xfId="22685" xr:uid="{00000000-0005-0000-0000-00004BB00000}"/>
    <cellStyle name="Total 5 8 2 7" xfId="17754" xr:uid="{00000000-0005-0000-0000-00004CB00000}"/>
    <cellStyle name="Total 5 8 2 7 2" xfId="23399" xr:uid="{00000000-0005-0000-0000-00004DB00000}"/>
    <cellStyle name="Total 5 8 2 8" xfId="13958" xr:uid="{00000000-0005-0000-0000-00004EB00000}"/>
    <cellStyle name="Total 5 8 2 8 2" xfId="18932" xr:uid="{00000000-0005-0000-0000-00004FB00000}"/>
    <cellStyle name="Total 5 8 2 9" xfId="13287" xr:uid="{00000000-0005-0000-0000-000050B00000}"/>
    <cellStyle name="Total 5 8 3" xfId="5622" xr:uid="{00000000-0005-0000-0000-000051B00000}"/>
    <cellStyle name="Total 5 8 3 2" xfId="19959" xr:uid="{00000000-0005-0000-0000-000052B00000}"/>
    <cellStyle name="Total 5 8 3 3" xfId="14651" xr:uid="{00000000-0005-0000-0000-000053B00000}"/>
    <cellStyle name="Total 5 8 3 3 2" xfId="24473" xr:uid="{00000000-0005-0000-0000-000054B00000}"/>
    <cellStyle name="Total 5 8 3 4" xfId="23802" xr:uid="{00000000-0005-0000-0000-000055B00000}"/>
    <cellStyle name="Total 5 8 3 5" xfId="25110" xr:uid="{00000000-0005-0000-0000-000056B00000}"/>
    <cellStyle name="Total 5 8 3 6" xfId="29322" xr:uid="{00000000-0005-0000-0000-000057B00000}"/>
    <cellStyle name="Total 5 8 3 7" xfId="33538" xr:uid="{00000000-0005-0000-0000-000058B00000}"/>
    <cellStyle name="Total 5 8 3 8" xfId="37742" xr:uid="{00000000-0005-0000-0000-000059B00000}"/>
    <cellStyle name="Total 5 8 4" xfId="6712" xr:uid="{00000000-0005-0000-0000-00005AB00000}"/>
    <cellStyle name="Total 5 8 4 2" xfId="19525" xr:uid="{00000000-0005-0000-0000-00005BB00000}"/>
    <cellStyle name="Total 5 8 4 3" xfId="14387" xr:uid="{00000000-0005-0000-0000-00005CB00000}"/>
    <cellStyle name="Total 5 8 5" xfId="12215" xr:uid="{00000000-0005-0000-0000-00005DB00000}"/>
    <cellStyle name="Total 5 8 5 2" xfId="20719" xr:uid="{00000000-0005-0000-0000-00005EB00000}"/>
    <cellStyle name="Total 5 8 6" xfId="10267" xr:uid="{00000000-0005-0000-0000-00005FB00000}"/>
    <cellStyle name="Total 5 8 6 2" xfId="21989" xr:uid="{00000000-0005-0000-0000-000060B00000}"/>
    <cellStyle name="Total 5 8 7" xfId="16716" xr:uid="{00000000-0005-0000-0000-000061B00000}"/>
    <cellStyle name="Total 5 8 7 2" xfId="22367" xr:uid="{00000000-0005-0000-0000-000062B00000}"/>
    <cellStyle name="Total 5 8 8" xfId="17433" xr:uid="{00000000-0005-0000-0000-000063B00000}"/>
    <cellStyle name="Total 5 8 8 2" xfId="23081" xr:uid="{00000000-0005-0000-0000-000064B00000}"/>
    <cellStyle name="Total 5 8 9" xfId="13637" xr:uid="{00000000-0005-0000-0000-000065B00000}"/>
    <cellStyle name="Total 5 8 9 2" xfId="18614" xr:uid="{00000000-0005-0000-0000-000066B00000}"/>
    <cellStyle name="Total 5 9" xfId="2982" xr:uid="{00000000-0005-0000-0000-000067B00000}"/>
    <cellStyle name="Total 5 9 10" xfId="12952" xr:uid="{00000000-0005-0000-0000-000068B00000}"/>
    <cellStyle name="Total 5 9 11" xfId="17959" xr:uid="{00000000-0005-0000-0000-000069B00000}"/>
    <cellStyle name="Total 5 9 2" xfId="4404" xr:uid="{00000000-0005-0000-0000-00006AB00000}"/>
    <cellStyle name="Total 5 9 2 10" xfId="18277" xr:uid="{00000000-0005-0000-0000-00006BB00000}"/>
    <cellStyle name="Total 5 9 2 2" xfId="6715" xr:uid="{00000000-0005-0000-0000-00006CB00000}"/>
    <cellStyle name="Total 5 9 2 2 2" xfId="20319" xr:uid="{00000000-0005-0000-0000-00006DB00000}"/>
    <cellStyle name="Total 5 9 2 2 3" xfId="14970" xr:uid="{00000000-0005-0000-0000-00006EB00000}"/>
    <cellStyle name="Total 5 9 2 2 3 2" xfId="24785" xr:uid="{00000000-0005-0000-0000-00006FB00000}"/>
    <cellStyle name="Total 5 9 2 2 4" xfId="24124" xr:uid="{00000000-0005-0000-0000-000070B00000}"/>
    <cellStyle name="Total 5 9 2 3" xfId="12191" xr:uid="{00000000-0005-0000-0000-000071B00000}"/>
    <cellStyle name="Total 5 9 2 3 2" xfId="20003" xr:uid="{00000000-0005-0000-0000-000072B00000}"/>
    <cellStyle name="Total 5 9 2 4" xfId="16226" xr:uid="{00000000-0005-0000-0000-000073B00000}"/>
    <cellStyle name="Total 5 9 2 4 2" xfId="21777" xr:uid="{00000000-0005-0000-0000-000074B00000}"/>
    <cellStyle name="Total 5 9 2 5" xfId="16665" xr:uid="{00000000-0005-0000-0000-000075B00000}"/>
    <cellStyle name="Total 5 9 2 5 2" xfId="22306" xr:uid="{00000000-0005-0000-0000-000076B00000}"/>
    <cellStyle name="Total 5 9 2 6" xfId="17035" xr:uid="{00000000-0005-0000-0000-000077B00000}"/>
    <cellStyle name="Total 5 9 2 6 2" xfId="22686" xr:uid="{00000000-0005-0000-0000-000078B00000}"/>
    <cellStyle name="Total 5 9 2 7" xfId="17755" xr:uid="{00000000-0005-0000-0000-000079B00000}"/>
    <cellStyle name="Total 5 9 2 7 2" xfId="23400" xr:uid="{00000000-0005-0000-0000-00007AB00000}"/>
    <cellStyle name="Total 5 9 2 8" xfId="13959" xr:uid="{00000000-0005-0000-0000-00007BB00000}"/>
    <cellStyle name="Total 5 9 2 8 2" xfId="18933" xr:uid="{00000000-0005-0000-0000-00007CB00000}"/>
    <cellStyle name="Total 5 9 2 9" xfId="13288" xr:uid="{00000000-0005-0000-0000-00007DB00000}"/>
    <cellStyle name="Total 5 9 3" xfId="5623" xr:uid="{00000000-0005-0000-0000-00007EB00000}"/>
    <cellStyle name="Total 5 9 3 2" xfId="19960" xr:uid="{00000000-0005-0000-0000-00007FB00000}"/>
    <cellStyle name="Total 5 9 3 3" xfId="14652" xr:uid="{00000000-0005-0000-0000-000080B00000}"/>
    <cellStyle name="Total 5 9 3 3 2" xfId="24474" xr:uid="{00000000-0005-0000-0000-000081B00000}"/>
    <cellStyle name="Total 5 9 3 4" xfId="23803" xr:uid="{00000000-0005-0000-0000-000082B00000}"/>
    <cellStyle name="Total 5 9 3 5" xfId="25111" xr:uid="{00000000-0005-0000-0000-000083B00000}"/>
    <cellStyle name="Total 5 9 3 6" xfId="29323" xr:uid="{00000000-0005-0000-0000-000084B00000}"/>
    <cellStyle name="Total 5 9 3 7" xfId="33539" xr:uid="{00000000-0005-0000-0000-000085B00000}"/>
    <cellStyle name="Total 5 9 3 8" xfId="37743" xr:uid="{00000000-0005-0000-0000-000086B00000}"/>
    <cellStyle name="Total 5 9 4" xfId="6714" xr:uid="{00000000-0005-0000-0000-000087B00000}"/>
    <cellStyle name="Total 5 9 4 2" xfId="19526" xr:uid="{00000000-0005-0000-0000-000088B00000}"/>
    <cellStyle name="Total 5 9 4 3" xfId="14388" xr:uid="{00000000-0005-0000-0000-000089B00000}"/>
    <cellStyle name="Total 5 9 5" xfId="12199" xr:uid="{00000000-0005-0000-0000-00008AB00000}"/>
    <cellStyle name="Total 5 9 5 2" xfId="20718" xr:uid="{00000000-0005-0000-0000-00008BB00000}"/>
    <cellStyle name="Total 5 9 6" xfId="10266" xr:uid="{00000000-0005-0000-0000-00008CB00000}"/>
    <cellStyle name="Total 5 9 6 2" xfId="21990" xr:uid="{00000000-0005-0000-0000-00008DB00000}"/>
    <cellStyle name="Total 5 9 7" xfId="16717" xr:uid="{00000000-0005-0000-0000-00008EB00000}"/>
    <cellStyle name="Total 5 9 7 2" xfId="22368" xr:uid="{00000000-0005-0000-0000-00008FB00000}"/>
    <cellStyle name="Total 5 9 8" xfId="17434" xr:uid="{00000000-0005-0000-0000-000090B00000}"/>
    <cellStyle name="Total 5 9 8 2" xfId="23082" xr:uid="{00000000-0005-0000-0000-000091B00000}"/>
    <cellStyle name="Total 5 9 9" xfId="13638" xr:uid="{00000000-0005-0000-0000-000092B00000}"/>
    <cellStyle name="Total 5 9 9 2" xfId="18615" xr:uid="{00000000-0005-0000-0000-000093B00000}"/>
    <cellStyle name="Total 6" xfId="2983" xr:uid="{00000000-0005-0000-0000-000094B00000}"/>
    <cellStyle name="Total 6 10" xfId="2984" xr:uid="{00000000-0005-0000-0000-000095B00000}"/>
    <cellStyle name="Total 6 10 10" xfId="12954" xr:uid="{00000000-0005-0000-0000-000096B00000}"/>
    <cellStyle name="Total 6 10 11" xfId="17961" xr:uid="{00000000-0005-0000-0000-000097B00000}"/>
    <cellStyle name="Total 6 10 2" xfId="4405" xr:uid="{00000000-0005-0000-0000-000098B00000}"/>
    <cellStyle name="Total 6 10 2 10" xfId="18279" xr:uid="{00000000-0005-0000-0000-000099B00000}"/>
    <cellStyle name="Total 6 10 2 2" xfId="6718" xr:uid="{00000000-0005-0000-0000-00009AB00000}"/>
    <cellStyle name="Total 6 10 2 2 2" xfId="20321" xr:uid="{00000000-0005-0000-0000-00009BB00000}"/>
    <cellStyle name="Total 6 10 2 2 3" xfId="14972" xr:uid="{00000000-0005-0000-0000-00009CB00000}"/>
    <cellStyle name="Total 6 10 2 2 3 2" xfId="24787" xr:uid="{00000000-0005-0000-0000-00009DB00000}"/>
    <cellStyle name="Total 6 10 2 2 4" xfId="24126" xr:uid="{00000000-0005-0000-0000-00009EB00000}"/>
    <cellStyle name="Total 6 10 2 3" xfId="11271" xr:uid="{00000000-0005-0000-0000-00009FB00000}"/>
    <cellStyle name="Total 6 10 2 3 2" xfId="19910" xr:uid="{00000000-0005-0000-0000-0000A0B00000}"/>
    <cellStyle name="Total 6 10 2 4" xfId="16228" xr:uid="{00000000-0005-0000-0000-0000A1B00000}"/>
    <cellStyle name="Total 6 10 2 4 2" xfId="21779" xr:uid="{00000000-0005-0000-0000-0000A2B00000}"/>
    <cellStyle name="Total 6 10 2 5" xfId="16667" xr:uid="{00000000-0005-0000-0000-0000A3B00000}"/>
    <cellStyle name="Total 6 10 2 5 2" xfId="22308" xr:uid="{00000000-0005-0000-0000-0000A4B00000}"/>
    <cellStyle name="Total 6 10 2 6" xfId="17037" xr:uid="{00000000-0005-0000-0000-0000A5B00000}"/>
    <cellStyle name="Total 6 10 2 6 2" xfId="22688" xr:uid="{00000000-0005-0000-0000-0000A6B00000}"/>
    <cellStyle name="Total 6 10 2 7" xfId="17757" xr:uid="{00000000-0005-0000-0000-0000A7B00000}"/>
    <cellStyle name="Total 6 10 2 7 2" xfId="23402" xr:uid="{00000000-0005-0000-0000-0000A8B00000}"/>
    <cellStyle name="Total 6 10 2 8" xfId="13961" xr:uid="{00000000-0005-0000-0000-0000A9B00000}"/>
    <cellStyle name="Total 6 10 2 8 2" xfId="18935" xr:uid="{00000000-0005-0000-0000-0000AAB00000}"/>
    <cellStyle name="Total 6 10 2 9" xfId="13290" xr:uid="{00000000-0005-0000-0000-0000ABB00000}"/>
    <cellStyle name="Total 6 10 3" xfId="5625" xr:uid="{00000000-0005-0000-0000-0000ACB00000}"/>
    <cellStyle name="Total 6 10 3 2" xfId="19962" xr:uid="{00000000-0005-0000-0000-0000ADB00000}"/>
    <cellStyle name="Total 6 10 3 3" xfId="14654" xr:uid="{00000000-0005-0000-0000-0000AEB00000}"/>
    <cellStyle name="Total 6 10 3 3 2" xfId="24476" xr:uid="{00000000-0005-0000-0000-0000AFB00000}"/>
    <cellStyle name="Total 6 10 3 4" xfId="23805" xr:uid="{00000000-0005-0000-0000-0000B0B00000}"/>
    <cellStyle name="Total 6 10 3 5" xfId="25113" xr:uid="{00000000-0005-0000-0000-0000B1B00000}"/>
    <cellStyle name="Total 6 10 3 6" xfId="29325" xr:uid="{00000000-0005-0000-0000-0000B2B00000}"/>
    <cellStyle name="Total 6 10 3 7" xfId="33541" xr:uid="{00000000-0005-0000-0000-0000B3B00000}"/>
    <cellStyle name="Total 6 10 3 8" xfId="37745" xr:uid="{00000000-0005-0000-0000-0000B4B00000}"/>
    <cellStyle name="Total 6 10 4" xfId="6717" xr:uid="{00000000-0005-0000-0000-0000B5B00000}"/>
    <cellStyle name="Total 6 10 4 2" xfId="19528" xr:uid="{00000000-0005-0000-0000-0000B6B00000}"/>
    <cellStyle name="Total 6 10 4 3" xfId="14390" xr:uid="{00000000-0005-0000-0000-0000B7B00000}"/>
    <cellStyle name="Total 6 10 5" xfId="12182" xr:uid="{00000000-0005-0000-0000-0000B8B00000}"/>
    <cellStyle name="Total 6 10 5 2" xfId="20716" xr:uid="{00000000-0005-0000-0000-0000B9B00000}"/>
    <cellStyle name="Total 6 10 6" xfId="11302" xr:uid="{00000000-0005-0000-0000-0000BAB00000}"/>
    <cellStyle name="Total 6 10 6 2" xfId="21992" xr:uid="{00000000-0005-0000-0000-0000BBB00000}"/>
    <cellStyle name="Total 6 10 7" xfId="16719" xr:uid="{00000000-0005-0000-0000-0000BCB00000}"/>
    <cellStyle name="Total 6 10 7 2" xfId="22370" xr:uid="{00000000-0005-0000-0000-0000BDB00000}"/>
    <cellStyle name="Total 6 10 8" xfId="17436" xr:uid="{00000000-0005-0000-0000-0000BEB00000}"/>
    <cellStyle name="Total 6 10 8 2" xfId="23084" xr:uid="{00000000-0005-0000-0000-0000BFB00000}"/>
    <cellStyle name="Total 6 10 9" xfId="13640" xr:uid="{00000000-0005-0000-0000-0000C0B00000}"/>
    <cellStyle name="Total 6 10 9 2" xfId="18617" xr:uid="{00000000-0005-0000-0000-0000C1B00000}"/>
    <cellStyle name="Total 6 11" xfId="2985" xr:uid="{00000000-0005-0000-0000-0000C2B00000}"/>
    <cellStyle name="Total 6 11 10" xfId="12955" xr:uid="{00000000-0005-0000-0000-0000C3B00000}"/>
    <cellStyle name="Total 6 11 11" xfId="17962" xr:uid="{00000000-0005-0000-0000-0000C4B00000}"/>
    <cellStyle name="Total 6 11 2" xfId="4406" xr:uid="{00000000-0005-0000-0000-0000C5B00000}"/>
    <cellStyle name="Total 6 11 2 10" xfId="18280" xr:uid="{00000000-0005-0000-0000-0000C6B00000}"/>
    <cellStyle name="Total 6 11 2 2" xfId="6720" xr:uid="{00000000-0005-0000-0000-0000C7B00000}"/>
    <cellStyle name="Total 6 11 2 2 2" xfId="20322" xr:uid="{00000000-0005-0000-0000-0000C8B00000}"/>
    <cellStyle name="Total 6 11 2 2 3" xfId="14973" xr:uid="{00000000-0005-0000-0000-0000C9B00000}"/>
    <cellStyle name="Total 6 11 2 2 3 2" xfId="24788" xr:uid="{00000000-0005-0000-0000-0000CAB00000}"/>
    <cellStyle name="Total 6 11 2 2 4" xfId="24127" xr:uid="{00000000-0005-0000-0000-0000CBB00000}"/>
    <cellStyle name="Total 6 11 2 3" xfId="10988" xr:uid="{00000000-0005-0000-0000-0000CCB00000}"/>
    <cellStyle name="Total 6 11 2 3 2" xfId="19911" xr:uid="{00000000-0005-0000-0000-0000CDB00000}"/>
    <cellStyle name="Total 6 11 2 4" xfId="16229" xr:uid="{00000000-0005-0000-0000-0000CEB00000}"/>
    <cellStyle name="Total 6 11 2 4 2" xfId="21780" xr:uid="{00000000-0005-0000-0000-0000CFB00000}"/>
    <cellStyle name="Total 6 11 2 5" xfId="16668" xr:uid="{00000000-0005-0000-0000-0000D0B00000}"/>
    <cellStyle name="Total 6 11 2 5 2" xfId="22309" xr:uid="{00000000-0005-0000-0000-0000D1B00000}"/>
    <cellStyle name="Total 6 11 2 6" xfId="17038" xr:uid="{00000000-0005-0000-0000-0000D2B00000}"/>
    <cellStyle name="Total 6 11 2 6 2" xfId="22689" xr:uid="{00000000-0005-0000-0000-0000D3B00000}"/>
    <cellStyle name="Total 6 11 2 7" xfId="17758" xr:uid="{00000000-0005-0000-0000-0000D4B00000}"/>
    <cellStyle name="Total 6 11 2 7 2" xfId="23403" xr:uid="{00000000-0005-0000-0000-0000D5B00000}"/>
    <cellStyle name="Total 6 11 2 8" xfId="13962" xr:uid="{00000000-0005-0000-0000-0000D6B00000}"/>
    <cellStyle name="Total 6 11 2 8 2" xfId="18936" xr:uid="{00000000-0005-0000-0000-0000D7B00000}"/>
    <cellStyle name="Total 6 11 2 9" xfId="13291" xr:uid="{00000000-0005-0000-0000-0000D8B00000}"/>
    <cellStyle name="Total 6 11 3" xfId="5626" xr:uid="{00000000-0005-0000-0000-0000D9B00000}"/>
    <cellStyle name="Total 6 11 3 2" xfId="19963" xr:uid="{00000000-0005-0000-0000-0000DAB00000}"/>
    <cellStyle name="Total 6 11 3 3" xfId="14655" xr:uid="{00000000-0005-0000-0000-0000DBB00000}"/>
    <cellStyle name="Total 6 11 3 3 2" xfId="24477" xr:uid="{00000000-0005-0000-0000-0000DCB00000}"/>
    <cellStyle name="Total 6 11 3 4" xfId="23806" xr:uid="{00000000-0005-0000-0000-0000DDB00000}"/>
    <cellStyle name="Total 6 11 3 5" xfId="25114" xr:uid="{00000000-0005-0000-0000-0000DEB00000}"/>
    <cellStyle name="Total 6 11 3 6" xfId="29326" xr:uid="{00000000-0005-0000-0000-0000DFB00000}"/>
    <cellStyle name="Total 6 11 3 7" xfId="33542" xr:uid="{00000000-0005-0000-0000-0000E0B00000}"/>
    <cellStyle name="Total 6 11 3 8" xfId="37746" xr:uid="{00000000-0005-0000-0000-0000E1B00000}"/>
    <cellStyle name="Total 6 11 4" xfId="6719" xr:uid="{00000000-0005-0000-0000-0000E2B00000}"/>
    <cellStyle name="Total 6 11 4 2" xfId="19529" xr:uid="{00000000-0005-0000-0000-0000E3B00000}"/>
    <cellStyle name="Total 6 11 4 3" xfId="14391" xr:uid="{00000000-0005-0000-0000-0000E4B00000}"/>
    <cellStyle name="Total 6 11 5" xfId="11812" xr:uid="{00000000-0005-0000-0000-0000E5B00000}"/>
    <cellStyle name="Total 6 11 5 2" xfId="20715" xr:uid="{00000000-0005-0000-0000-0000E6B00000}"/>
    <cellStyle name="Total 6 11 6" xfId="10265" xr:uid="{00000000-0005-0000-0000-0000E7B00000}"/>
    <cellStyle name="Total 6 11 6 2" xfId="21993" xr:uid="{00000000-0005-0000-0000-0000E8B00000}"/>
    <cellStyle name="Total 6 11 7" xfId="16720" xr:uid="{00000000-0005-0000-0000-0000E9B00000}"/>
    <cellStyle name="Total 6 11 7 2" xfId="22371" xr:uid="{00000000-0005-0000-0000-0000EAB00000}"/>
    <cellStyle name="Total 6 11 8" xfId="17437" xr:uid="{00000000-0005-0000-0000-0000EBB00000}"/>
    <cellStyle name="Total 6 11 8 2" xfId="23085" xr:uid="{00000000-0005-0000-0000-0000ECB00000}"/>
    <cellStyle name="Total 6 11 9" xfId="13641" xr:uid="{00000000-0005-0000-0000-0000EDB00000}"/>
    <cellStyle name="Total 6 11 9 2" xfId="18618" xr:uid="{00000000-0005-0000-0000-0000EEB00000}"/>
    <cellStyle name="Total 6 12" xfId="4407" xr:uid="{00000000-0005-0000-0000-0000EFB00000}"/>
    <cellStyle name="Total 6 12 10" xfId="18278" xr:uid="{00000000-0005-0000-0000-0000F0B00000}"/>
    <cellStyle name="Total 6 12 2" xfId="6721" xr:uid="{00000000-0005-0000-0000-0000F1B00000}"/>
    <cellStyle name="Total 6 12 2 2" xfId="20320" xr:uid="{00000000-0005-0000-0000-0000F2B00000}"/>
    <cellStyle name="Total 6 12 2 3" xfId="14971" xr:uid="{00000000-0005-0000-0000-0000F3B00000}"/>
    <cellStyle name="Total 6 12 2 3 2" xfId="24786" xr:uid="{00000000-0005-0000-0000-0000F4B00000}"/>
    <cellStyle name="Total 6 12 2 4" xfId="24125" xr:uid="{00000000-0005-0000-0000-0000F5B00000}"/>
    <cellStyle name="Total 6 12 3" xfId="12146" xr:uid="{00000000-0005-0000-0000-0000F6B00000}"/>
    <cellStyle name="Total 6 12 3 2" xfId="20004" xr:uid="{00000000-0005-0000-0000-0000F7B00000}"/>
    <cellStyle name="Total 6 12 4" xfId="16227" xr:uid="{00000000-0005-0000-0000-0000F8B00000}"/>
    <cellStyle name="Total 6 12 4 2" xfId="21778" xr:uid="{00000000-0005-0000-0000-0000F9B00000}"/>
    <cellStyle name="Total 6 12 5" xfId="16666" xr:uid="{00000000-0005-0000-0000-0000FAB00000}"/>
    <cellStyle name="Total 6 12 5 2" xfId="22307" xr:uid="{00000000-0005-0000-0000-0000FBB00000}"/>
    <cellStyle name="Total 6 12 6" xfId="17036" xr:uid="{00000000-0005-0000-0000-0000FCB00000}"/>
    <cellStyle name="Total 6 12 6 2" xfId="22687" xr:uid="{00000000-0005-0000-0000-0000FDB00000}"/>
    <cellStyle name="Total 6 12 7" xfId="17756" xr:uid="{00000000-0005-0000-0000-0000FEB00000}"/>
    <cellStyle name="Total 6 12 7 2" xfId="23401" xr:uid="{00000000-0005-0000-0000-0000FFB00000}"/>
    <cellStyle name="Total 6 12 8" xfId="13960" xr:uid="{00000000-0005-0000-0000-000000B10000}"/>
    <cellStyle name="Total 6 12 8 2" xfId="18934" xr:uid="{00000000-0005-0000-0000-000001B10000}"/>
    <cellStyle name="Total 6 12 9" xfId="13289" xr:uid="{00000000-0005-0000-0000-000002B10000}"/>
    <cellStyle name="Total 6 13" xfId="5624" xr:uid="{00000000-0005-0000-0000-000003B10000}"/>
    <cellStyle name="Total 6 13 2" xfId="19961" xr:uid="{00000000-0005-0000-0000-000004B10000}"/>
    <cellStyle name="Total 6 13 3" xfId="14653" xr:uid="{00000000-0005-0000-0000-000005B10000}"/>
    <cellStyle name="Total 6 13 3 2" xfId="24475" xr:uid="{00000000-0005-0000-0000-000006B10000}"/>
    <cellStyle name="Total 6 13 4" xfId="23804" xr:uid="{00000000-0005-0000-0000-000007B10000}"/>
    <cellStyle name="Total 6 13 5" xfId="25112" xr:uid="{00000000-0005-0000-0000-000008B10000}"/>
    <cellStyle name="Total 6 13 6" xfId="29324" xr:uid="{00000000-0005-0000-0000-000009B10000}"/>
    <cellStyle name="Total 6 13 7" xfId="33540" xr:uid="{00000000-0005-0000-0000-00000AB10000}"/>
    <cellStyle name="Total 6 13 8" xfId="37744" xr:uid="{00000000-0005-0000-0000-00000BB10000}"/>
    <cellStyle name="Total 6 14" xfId="6716" xr:uid="{00000000-0005-0000-0000-00000CB10000}"/>
    <cellStyle name="Total 6 14 2" xfId="19527" xr:uid="{00000000-0005-0000-0000-00000DB10000}"/>
    <cellStyle name="Total 6 14 3" xfId="14389" xr:uid="{00000000-0005-0000-0000-00000EB10000}"/>
    <cellStyle name="Total 6 15" xfId="12183" xr:uid="{00000000-0005-0000-0000-00000FB10000}"/>
    <cellStyle name="Total 6 15 2" xfId="20717" xr:uid="{00000000-0005-0000-0000-000010B10000}"/>
    <cellStyle name="Total 6 16" xfId="10597" xr:uid="{00000000-0005-0000-0000-000011B10000}"/>
    <cellStyle name="Total 6 16 2" xfId="21991" xr:uid="{00000000-0005-0000-0000-000012B10000}"/>
    <cellStyle name="Total 6 17" xfId="16718" xr:uid="{00000000-0005-0000-0000-000013B10000}"/>
    <cellStyle name="Total 6 17 2" xfId="22369" xr:uid="{00000000-0005-0000-0000-000014B10000}"/>
    <cellStyle name="Total 6 18" xfId="17435" xr:uid="{00000000-0005-0000-0000-000015B10000}"/>
    <cellStyle name="Total 6 18 2" xfId="23083" xr:uid="{00000000-0005-0000-0000-000016B10000}"/>
    <cellStyle name="Total 6 19" xfId="13639" xr:uid="{00000000-0005-0000-0000-000017B10000}"/>
    <cellStyle name="Total 6 19 2" xfId="18616" xr:uid="{00000000-0005-0000-0000-000018B10000}"/>
    <cellStyle name="Total 6 2" xfId="2986" xr:uid="{00000000-0005-0000-0000-000019B10000}"/>
    <cellStyle name="Total 6 2 10" xfId="12956" xr:uid="{00000000-0005-0000-0000-00001AB10000}"/>
    <cellStyle name="Total 6 2 11" xfId="17963" xr:uid="{00000000-0005-0000-0000-00001BB10000}"/>
    <cellStyle name="Total 6 2 2" xfId="4408" xr:uid="{00000000-0005-0000-0000-00001CB10000}"/>
    <cellStyle name="Total 6 2 2 10" xfId="18281" xr:uid="{00000000-0005-0000-0000-00001DB10000}"/>
    <cellStyle name="Total 6 2 2 2" xfId="6723" xr:uid="{00000000-0005-0000-0000-00001EB10000}"/>
    <cellStyle name="Total 6 2 2 2 2" xfId="20323" xr:uid="{00000000-0005-0000-0000-00001FB10000}"/>
    <cellStyle name="Total 6 2 2 2 3" xfId="14974" xr:uid="{00000000-0005-0000-0000-000020B10000}"/>
    <cellStyle name="Total 6 2 2 2 3 2" xfId="24789" xr:uid="{00000000-0005-0000-0000-000021B10000}"/>
    <cellStyle name="Total 6 2 2 2 4" xfId="24128" xr:uid="{00000000-0005-0000-0000-000022B10000}"/>
    <cellStyle name="Total 6 2 2 3" xfId="11284" xr:uid="{00000000-0005-0000-0000-000023B10000}"/>
    <cellStyle name="Total 6 2 2 3 2" xfId="19912" xr:uid="{00000000-0005-0000-0000-000024B10000}"/>
    <cellStyle name="Total 6 2 2 4" xfId="16230" xr:uid="{00000000-0005-0000-0000-000025B10000}"/>
    <cellStyle name="Total 6 2 2 4 2" xfId="21781" xr:uid="{00000000-0005-0000-0000-000026B10000}"/>
    <cellStyle name="Total 6 2 2 5" xfId="16669" xr:uid="{00000000-0005-0000-0000-000027B10000}"/>
    <cellStyle name="Total 6 2 2 5 2" xfId="22310" xr:uid="{00000000-0005-0000-0000-000028B10000}"/>
    <cellStyle name="Total 6 2 2 6" xfId="17039" xr:uid="{00000000-0005-0000-0000-000029B10000}"/>
    <cellStyle name="Total 6 2 2 6 2" xfId="22690" xr:uid="{00000000-0005-0000-0000-00002AB10000}"/>
    <cellStyle name="Total 6 2 2 7" xfId="17759" xr:uid="{00000000-0005-0000-0000-00002BB10000}"/>
    <cellStyle name="Total 6 2 2 7 2" xfId="23404" xr:uid="{00000000-0005-0000-0000-00002CB10000}"/>
    <cellStyle name="Total 6 2 2 8" xfId="13963" xr:uid="{00000000-0005-0000-0000-00002DB10000}"/>
    <cellStyle name="Total 6 2 2 8 2" xfId="18937" xr:uid="{00000000-0005-0000-0000-00002EB10000}"/>
    <cellStyle name="Total 6 2 2 9" xfId="13292" xr:uid="{00000000-0005-0000-0000-00002FB10000}"/>
    <cellStyle name="Total 6 2 3" xfId="5627" xr:uid="{00000000-0005-0000-0000-000030B10000}"/>
    <cellStyle name="Total 6 2 3 2" xfId="19964" xr:uid="{00000000-0005-0000-0000-000031B10000}"/>
    <cellStyle name="Total 6 2 3 3" xfId="14656" xr:uid="{00000000-0005-0000-0000-000032B10000}"/>
    <cellStyle name="Total 6 2 3 3 2" xfId="24478" xr:uid="{00000000-0005-0000-0000-000033B10000}"/>
    <cellStyle name="Total 6 2 3 4" xfId="23807" xr:uid="{00000000-0005-0000-0000-000034B10000}"/>
    <cellStyle name="Total 6 2 3 5" xfId="25115" xr:uid="{00000000-0005-0000-0000-000035B10000}"/>
    <cellStyle name="Total 6 2 3 6" xfId="29327" xr:uid="{00000000-0005-0000-0000-000036B10000}"/>
    <cellStyle name="Total 6 2 3 7" xfId="33543" xr:uid="{00000000-0005-0000-0000-000037B10000}"/>
    <cellStyle name="Total 6 2 3 8" xfId="37747" xr:uid="{00000000-0005-0000-0000-000038B10000}"/>
    <cellStyle name="Total 6 2 4" xfId="6722" xr:uid="{00000000-0005-0000-0000-000039B10000}"/>
    <cellStyle name="Total 6 2 4 2" xfId="19530" xr:uid="{00000000-0005-0000-0000-00003AB10000}"/>
    <cellStyle name="Total 6 2 4 3" xfId="14392" xr:uid="{00000000-0005-0000-0000-00003BB10000}"/>
    <cellStyle name="Total 6 2 5" xfId="12157" xr:uid="{00000000-0005-0000-0000-00003CB10000}"/>
    <cellStyle name="Total 6 2 5 2" xfId="20714" xr:uid="{00000000-0005-0000-0000-00003DB10000}"/>
    <cellStyle name="Total 6 2 6" xfId="10264" xr:uid="{00000000-0005-0000-0000-00003EB10000}"/>
    <cellStyle name="Total 6 2 6 2" xfId="21994" xr:uid="{00000000-0005-0000-0000-00003FB10000}"/>
    <cellStyle name="Total 6 2 7" xfId="16721" xr:uid="{00000000-0005-0000-0000-000040B10000}"/>
    <cellStyle name="Total 6 2 7 2" xfId="22372" xr:uid="{00000000-0005-0000-0000-000041B10000}"/>
    <cellStyle name="Total 6 2 8" xfId="17438" xr:uid="{00000000-0005-0000-0000-000042B10000}"/>
    <cellStyle name="Total 6 2 8 2" xfId="23086" xr:uid="{00000000-0005-0000-0000-000043B10000}"/>
    <cellStyle name="Total 6 2 9" xfId="13642" xr:uid="{00000000-0005-0000-0000-000044B10000}"/>
    <cellStyle name="Total 6 2 9 2" xfId="18619" xr:uid="{00000000-0005-0000-0000-000045B10000}"/>
    <cellStyle name="Total 6 20" xfId="12953" xr:uid="{00000000-0005-0000-0000-000046B10000}"/>
    <cellStyle name="Total 6 21" xfId="17960" xr:uid="{00000000-0005-0000-0000-000047B10000}"/>
    <cellStyle name="Total 6 3" xfId="2987" xr:uid="{00000000-0005-0000-0000-000048B10000}"/>
    <cellStyle name="Total 6 3 10" xfId="12957" xr:uid="{00000000-0005-0000-0000-000049B10000}"/>
    <cellStyle name="Total 6 3 11" xfId="17964" xr:uid="{00000000-0005-0000-0000-00004AB10000}"/>
    <cellStyle name="Total 6 3 2" xfId="4409" xr:uid="{00000000-0005-0000-0000-00004BB10000}"/>
    <cellStyle name="Total 6 3 2 10" xfId="18282" xr:uid="{00000000-0005-0000-0000-00004CB10000}"/>
    <cellStyle name="Total 6 3 2 2" xfId="6725" xr:uid="{00000000-0005-0000-0000-00004DB10000}"/>
    <cellStyle name="Total 6 3 2 2 2" xfId="20324" xr:uid="{00000000-0005-0000-0000-00004EB10000}"/>
    <cellStyle name="Total 6 3 2 2 3" xfId="14975" xr:uid="{00000000-0005-0000-0000-00004FB10000}"/>
    <cellStyle name="Total 6 3 2 2 3 2" xfId="24790" xr:uid="{00000000-0005-0000-0000-000050B10000}"/>
    <cellStyle name="Total 6 3 2 2 4" xfId="24129" xr:uid="{00000000-0005-0000-0000-000051B10000}"/>
    <cellStyle name="Total 6 3 2 3" xfId="11815" xr:uid="{00000000-0005-0000-0000-000052B10000}"/>
    <cellStyle name="Total 6 3 2 3 2" xfId="18987" xr:uid="{00000000-0005-0000-0000-000053B10000}"/>
    <cellStyle name="Total 6 3 2 4" xfId="16231" xr:uid="{00000000-0005-0000-0000-000054B10000}"/>
    <cellStyle name="Total 6 3 2 4 2" xfId="21782" xr:uid="{00000000-0005-0000-0000-000055B10000}"/>
    <cellStyle name="Total 6 3 2 5" xfId="16670" xr:uid="{00000000-0005-0000-0000-000056B10000}"/>
    <cellStyle name="Total 6 3 2 5 2" xfId="22311" xr:uid="{00000000-0005-0000-0000-000057B10000}"/>
    <cellStyle name="Total 6 3 2 6" xfId="17040" xr:uid="{00000000-0005-0000-0000-000058B10000}"/>
    <cellStyle name="Total 6 3 2 6 2" xfId="22691" xr:uid="{00000000-0005-0000-0000-000059B10000}"/>
    <cellStyle name="Total 6 3 2 7" xfId="17760" xr:uid="{00000000-0005-0000-0000-00005AB10000}"/>
    <cellStyle name="Total 6 3 2 7 2" xfId="23405" xr:uid="{00000000-0005-0000-0000-00005BB10000}"/>
    <cellStyle name="Total 6 3 2 8" xfId="13964" xr:uid="{00000000-0005-0000-0000-00005CB10000}"/>
    <cellStyle name="Total 6 3 2 8 2" xfId="18938" xr:uid="{00000000-0005-0000-0000-00005DB10000}"/>
    <cellStyle name="Total 6 3 2 9" xfId="13293" xr:uid="{00000000-0005-0000-0000-00005EB10000}"/>
    <cellStyle name="Total 6 3 3" xfId="5628" xr:uid="{00000000-0005-0000-0000-00005FB10000}"/>
    <cellStyle name="Total 6 3 3 2" xfId="19965" xr:uid="{00000000-0005-0000-0000-000060B10000}"/>
    <cellStyle name="Total 6 3 3 3" xfId="14657" xr:uid="{00000000-0005-0000-0000-000061B10000}"/>
    <cellStyle name="Total 6 3 3 3 2" xfId="24479" xr:uid="{00000000-0005-0000-0000-000062B10000}"/>
    <cellStyle name="Total 6 3 3 4" xfId="23808" xr:uid="{00000000-0005-0000-0000-000063B10000}"/>
    <cellStyle name="Total 6 3 3 5" xfId="25116" xr:uid="{00000000-0005-0000-0000-000064B10000}"/>
    <cellStyle name="Total 6 3 3 6" xfId="29328" xr:uid="{00000000-0005-0000-0000-000065B10000}"/>
    <cellStyle name="Total 6 3 3 7" xfId="33544" xr:uid="{00000000-0005-0000-0000-000066B10000}"/>
    <cellStyle name="Total 6 3 3 8" xfId="37748" xr:uid="{00000000-0005-0000-0000-000067B10000}"/>
    <cellStyle name="Total 6 3 4" xfId="6724" xr:uid="{00000000-0005-0000-0000-000068B10000}"/>
    <cellStyle name="Total 6 3 4 2" xfId="19531" xr:uid="{00000000-0005-0000-0000-000069B10000}"/>
    <cellStyle name="Total 6 3 4 3" xfId="14393" xr:uid="{00000000-0005-0000-0000-00006AB10000}"/>
    <cellStyle name="Total 6 3 5" xfId="11001" xr:uid="{00000000-0005-0000-0000-00006BB10000}"/>
    <cellStyle name="Total 6 3 5 2" xfId="20713" xr:uid="{00000000-0005-0000-0000-00006CB10000}"/>
    <cellStyle name="Total 6 3 6" xfId="11301" xr:uid="{00000000-0005-0000-0000-00006DB10000}"/>
    <cellStyle name="Total 6 3 6 2" xfId="21995" xr:uid="{00000000-0005-0000-0000-00006EB10000}"/>
    <cellStyle name="Total 6 3 7" xfId="16722" xr:uid="{00000000-0005-0000-0000-00006FB10000}"/>
    <cellStyle name="Total 6 3 7 2" xfId="22373" xr:uid="{00000000-0005-0000-0000-000070B10000}"/>
    <cellStyle name="Total 6 3 8" xfId="17439" xr:uid="{00000000-0005-0000-0000-000071B10000}"/>
    <cellStyle name="Total 6 3 8 2" xfId="23087" xr:uid="{00000000-0005-0000-0000-000072B10000}"/>
    <cellStyle name="Total 6 3 9" xfId="13643" xr:uid="{00000000-0005-0000-0000-000073B10000}"/>
    <cellStyle name="Total 6 3 9 2" xfId="18620" xr:uid="{00000000-0005-0000-0000-000074B10000}"/>
    <cellStyle name="Total 6 4" xfId="2988" xr:uid="{00000000-0005-0000-0000-000075B10000}"/>
    <cellStyle name="Total 6 4 10" xfId="12958" xr:uid="{00000000-0005-0000-0000-000076B10000}"/>
    <cellStyle name="Total 6 4 11" xfId="17965" xr:uid="{00000000-0005-0000-0000-000077B10000}"/>
    <cellStyle name="Total 6 4 2" xfId="4410" xr:uid="{00000000-0005-0000-0000-000078B10000}"/>
    <cellStyle name="Total 6 4 2 10" xfId="18283" xr:uid="{00000000-0005-0000-0000-000079B10000}"/>
    <cellStyle name="Total 6 4 2 2" xfId="6727" xr:uid="{00000000-0005-0000-0000-00007AB10000}"/>
    <cellStyle name="Total 6 4 2 2 2" xfId="20325" xr:uid="{00000000-0005-0000-0000-00007BB10000}"/>
    <cellStyle name="Total 6 4 2 2 3" xfId="14976" xr:uid="{00000000-0005-0000-0000-00007CB10000}"/>
    <cellStyle name="Total 6 4 2 2 3 2" xfId="24791" xr:uid="{00000000-0005-0000-0000-00007DB10000}"/>
    <cellStyle name="Total 6 4 2 2 4" xfId="24130" xr:uid="{00000000-0005-0000-0000-00007EB10000}"/>
    <cellStyle name="Total 6 4 2 3" xfId="11813" xr:uid="{00000000-0005-0000-0000-00007FB10000}"/>
    <cellStyle name="Total 6 4 2 3 2" xfId="18964" xr:uid="{00000000-0005-0000-0000-000080B10000}"/>
    <cellStyle name="Total 6 4 2 4" xfId="16232" xr:uid="{00000000-0005-0000-0000-000081B10000}"/>
    <cellStyle name="Total 6 4 2 4 2" xfId="21783" xr:uid="{00000000-0005-0000-0000-000082B10000}"/>
    <cellStyle name="Total 6 4 2 5" xfId="16671" xr:uid="{00000000-0005-0000-0000-000083B10000}"/>
    <cellStyle name="Total 6 4 2 5 2" xfId="22312" xr:uid="{00000000-0005-0000-0000-000084B10000}"/>
    <cellStyle name="Total 6 4 2 6" xfId="17041" xr:uid="{00000000-0005-0000-0000-000085B10000}"/>
    <cellStyle name="Total 6 4 2 6 2" xfId="22692" xr:uid="{00000000-0005-0000-0000-000086B10000}"/>
    <cellStyle name="Total 6 4 2 7" xfId="17761" xr:uid="{00000000-0005-0000-0000-000087B10000}"/>
    <cellStyle name="Total 6 4 2 7 2" xfId="23406" xr:uid="{00000000-0005-0000-0000-000088B10000}"/>
    <cellStyle name="Total 6 4 2 8" xfId="13965" xr:uid="{00000000-0005-0000-0000-000089B10000}"/>
    <cellStyle name="Total 6 4 2 8 2" xfId="18939" xr:uid="{00000000-0005-0000-0000-00008AB10000}"/>
    <cellStyle name="Total 6 4 2 9" xfId="13294" xr:uid="{00000000-0005-0000-0000-00008BB10000}"/>
    <cellStyle name="Total 6 4 3" xfId="5629" xr:uid="{00000000-0005-0000-0000-00008CB10000}"/>
    <cellStyle name="Total 6 4 3 2" xfId="19966" xr:uid="{00000000-0005-0000-0000-00008DB10000}"/>
    <cellStyle name="Total 6 4 3 3" xfId="14658" xr:uid="{00000000-0005-0000-0000-00008EB10000}"/>
    <cellStyle name="Total 6 4 3 3 2" xfId="24480" xr:uid="{00000000-0005-0000-0000-00008FB10000}"/>
    <cellStyle name="Total 6 4 3 4" xfId="23809" xr:uid="{00000000-0005-0000-0000-000090B10000}"/>
    <cellStyle name="Total 6 4 3 5" xfId="25117" xr:uid="{00000000-0005-0000-0000-000091B10000}"/>
    <cellStyle name="Total 6 4 3 6" xfId="29329" xr:uid="{00000000-0005-0000-0000-000092B10000}"/>
    <cellStyle name="Total 6 4 3 7" xfId="33545" xr:uid="{00000000-0005-0000-0000-000093B10000}"/>
    <cellStyle name="Total 6 4 3 8" xfId="37749" xr:uid="{00000000-0005-0000-0000-000094B10000}"/>
    <cellStyle name="Total 6 4 4" xfId="6726" xr:uid="{00000000-0005-0000-0000-000095B10000}"/>
    <cellStyle name="Total 6 4 4 2" xfId="19532" xr:uid="{00000000-0005-0000-0000-000096B10000}"/>
    <cellStyle name="Total 6 4 4 3" xfId="14394" xr:uid="{00000000-0005-0000-0000-000097B10000}"/>
    <cellStyle name="Total 6 4 5" xfId="12101" xr:uid="{00000000-0005-0000-0000-000098B10000}"/>
    <cellStyle name="Total 6 4 5 2" xfId="20712" xr:uid="{00000000-0005-0000-0000-000099B10000}"/>
    <cellStyle name="Total 6 4 6" xfId="10263" xr:uid="{00000000-0005-0000-0000-00009AB10000}"/>
    <cellStyle name="Total 6 4 6 2" xfId="21996" xr:uid="{00000000-0005-0000-0000-00009BB10000}"/>
    <cellStyle name="Total 6 4 7" xfId="16723" xr:uid="{00000000-0005-0000-0000-00009CB10000}"/>
    <cellStyle name="Total 6 4 7 2" xfId="22374" xr:uid="{00000000-0005-0000-0000-00009DB10000}"/>
    <cellStyle name="Total 6 4 8" xfId="17440" xr:uid="{00000000-0005-0000-0000-00009EB10000}"/>
    <cellStyle name="Total 6 4 8 2" xfId="23088" xr:uid="{00000000-0005-0000-0000-00009FB10000}"/>
    <cellStyle name="Total 6 4 9" xfId="13644" xr:uid="{00000000-0005-0000-0000-0000A0B10000}"/>
    <cellStyle name="Total 6 4 9 2" xfId="18621" xr:uid="{00000000-0005-0000-0000-0000A1B10000}"/>
    <cellStyle name="Total 6 5" xfId="2989" xr:uid="{00000000-0005-0000-0000-0000A2B10000}"/>
    <cellStyle name="Total 6 5 10" xfId="12959" xr:uid="{00000000-0005-0000-0000-0000A3B10000}"/>
    <cellStyle name="Total 6 5 11" xfId="17966" xr:uid="{00000000-0005-0000-0000-0000A4B10000}"/>
    <cellStyle name="Total 6 5 2" xfId="4411" xr:uid="{00000000-0005-0000-0000-0000A5B10000}"/>
    <cellStyle name="Total 6 5 2 10" xfId="18284" xr:uid="{00000000-0005-0000-0000-0000A6B10000}"/>
    <cellStyle name="Total 6 5 2 2" xfId="6729" xr:uid="{00000000-0005-0000-0000-0000A7B10000}"/>
    <cellStyle name="Total 6 5 2 2 2" xfId="20326" xr:uid="{00000000-0005-0000-0000-0000A8B10000}"/>
    <cellStyle name="Total 6 5 2 2 3" xfId="14977" xr:uid="{00000000-0005-0000-0000-0000A9B10000}"/>
    <cellStyle name="Total 6 5 2 2 3 2" xfId="24792" xr:uid="{00000000-0005-0000-0000-0000AAB10000}"/>
    <cellStyle name="Total 6 5 2 2 4" xfId="24131" xr:uid="{00000000-0005-0000-0000-0000ABB10000}"/>
    <cellStyle name="Total 6 5 2 3" xfId="11821" xr:uid="{00000000-0005-0000-0000-0000ACB10000}"/>
    <cellStyle name="Total 6 5 2 3 2" xfId="18988" xr:uid="{00000000-0005-0000-0000-0000ADB10000}"/>
    <cellStyle name="Total 6 5 2 4" xfId="16233" xr:uid="{00000000-0005-0000-0000-0000AEB10000}"/>
    <cellStyle name="Total 6 5 2 4 2" xfId="21784" xr:uid="{00000000-0005-0000-0000-0000AFB10000}"/>
    <cellStyle name="Total 6 5 2 5" xfId="16672" xr:uid="{00000000-0005-0000-0000-0000B0B10000}"/>
    <cellStyle name="Total 6 5 2 5 2" xfId="22313" xr:uid="{00000000-0005-0000-0000-0000B1B10000}"/>
    <cellStyle name="Total 6 5 2 6" xfId="17042" xr:uid="{00000000-0005-0000-0000-0000B2B10000}"/>
    <cellStyle name="Total 6 5 2 6 2" xfId="22693" xr:uid="{00000000-0005-0000-0000-0000B3B10000}"/>
    <cellStyle name="Total 6 5 2 7" xfId="17762" xr:uid="{00000000-0005-0000-0000-0000B4B10000}"/>
    <cellStyle name="Total 6 5 2 7 2" xfId="23407" xr:uid="{00000000-0005-0000-0000-0000B5B10000}"/>
    <cellStyle name="Total 6 5 2 8" xfId="13966" xr:uid="{00000000-0005-0000-0000-0000B6B10000}"/>
    <cellStyle name="Total 6 5 2 8 2" xfId="18940" xr:uid="{00000000-0005-0000-0000-0000B7B10000}"/>
    <cellStyle name="Total 6 5 2 9" xfId="13295" xr:uid="{00000000-0005-0000-0000-0000B8B10000}"/>
    <cellStyle name="Total 6 5 3" xfId="5630" xr:uid="{00000000-0005-0000-0000-0000B9B10000}"/>
    <cellStyle name="Total 6 5 3 2" xfId="19967" xr:uid="{00000000-0005-0000-0000-0000BAB10000}"/>
    <cellStyle name="Total 6 5 3 3" xfId="14659" xr:uid="{00000000-0005-0000-0000-0000BBB10000}"/>
    <cellStyle name="Total 6 5 3 3 2" xfId="24481" xr:uid="{00000000-0005-0000-0000-0000BCB10000}"/>
    <cellStyle name="Total 6 5 3 4" xfId="23810" xr:uid="{00000000-0005-0000-0000-0000BDB10000}"/>
    <cellStyle name="Total 6 5 3 5" xfId="25118" xr:uid="{00000000-0005-0000-0000-0000BEB10000}"/>
    <cellStyle name="Total 6 5 3 6" xfId="29330" xr:uid="{00000000-0005-0000-0000-0000BFB10000}"/>
    <cellStyle name="Total 6 5 3 7" xfId="33546" xr:uid="{00000000-0005-0000-0000-0000C0B10000}"/>
    <cellStyle name="Total 6 5 3 8" xfId="37750" xr:uid="{00000000-0005-0000-0000-0000C1B10000}"/>
    <cellStyle name="Total 6 5 4" xfId="6728" xr:uid="{00000000-0005-0000-0000-0000C2B10000}"/>
    <cellStyle name="Total 6 5 4 2" xfId="19533" xr:uid="{00000000-0005-0000-0000-0000C3B10000}"/>
    <cellStyle name="Total 6 5 4 3" xfId="14395" xr:uid="{00000000-0005-0000-0000-0000C4B10000}"/>
    <cellStyle name="Total 6 5 5" xfId="12158" xr:uid="{00000000-0005-0000-0000-0000C5B10000}"/>
    <cellStyle name="Total 6 5 5 2" xfId="20711" xr:uid="{00000000-0005-0000-0000-0000C6B10000}"/>
    <cellStyle name="Total 6 5 6" xfId="10262" xr:uid="{00000000-0005-0000-0000-0000C7B10000}"/>
    <cellStyle name="Total 6 5 6 2" xfId="21997" xr:uid="{00000000-0005-0000-0000-0000C8B10000}"/>
    <cellStyle name="Total 6 5 7" xfId="16724" xr:uid="{00000000-0005-0000-0000-0000C9B10000}"/>
    <cellStyle name="Total 6 5 7 2" xfId="22375" xr:uid="{00000000-0005-0000-0000-0000CAB10000}"/>
    <cellStyle name="Total 6 5 8" xfId="17441" xr:uid="{00000000-0005-0000-0000-0000CBB10000}"/>
    <cellStyle name="Total 6 5 8 2" xfId="23089" xr:uid="{00000000-0005-0000-0000-0000CCB10000}"/>
    <cellStyle name="Total 6 5 9" xfId="13645" xr:uid="{00000000-0005-0000-0000-0000CDB10000}"/>
    <cellStyle name="Total 6 5 9 2" xfId="18622" xr:uid="{00000000-0005-0000-0000-0000CEB10000}"/>
    <cellStyle name="Total 6 6" xfId="2990" xr:uid="{00000000-0005-0000-0000-0000CFB10000}"/>
    <cellStyle name="Total 6 6 10" xfId="12960" xr:uid="{00000000-0005-0000-0000-0000D0B10000}"/>
    <cellStyle name="Total 6 6 11" xfId="17967" xr:uid="{00000000-0005-0000-0000-0000D1B10000}"/>
    <cellStyle name="Total 6 6 2" xfId="4412" xr:uid="{00000000-0005-0000-0000-0000D2B10000}"/>
    <cellStyle name="Total 6 6 2 10" xfId="18285" xr:uid="{00000000-0005-0000-0000-0000D3B10000}"/>
    <cellStyle name="Total 6 6 2 2" xfId="6731" xr:uid="{00000000-0005-0000-0000-0000D4B10000}"/>
    <cellStyle name="Total 6 6 2 2 2" xfId="20327" xr:uid="{00000000-0005-0000-0000-0000D5B10000}"/>
    <cellStyle name="Total 6 6 2 2 3" xfId="14978" xr:uid="{00000000-0005-0000-0000-0000D6B10000}"/>
    <cellStyle name="Total 6 6 2 2 3 2" xfId="24793" xr:uid="{00000000-0005-0000-0000-0000D7B10000}"/>
    <cellStyle name="Total 6 6 2 2 4" xfId="24132" xr:uid="{00000000-0005-0000-0000-0000D8B10000}"/>
    <cellStyle name="Total 6 6 2 3" xfId="11822" xr:uid="{00000000-0005-0000-0000-0000D9B10000}"/>
    <cellStyle name="Total 6 6 2 3 2" xfId="20342" xr:uid="{00000000-0005-0000-0000-0000DAB10000}"/>
    <cellStyle name="Total 6 6 2 4" xfId="16234" xr:uid="{00000000-0005-0000-0000-0000DBB10000}"/>
    <cellStyle name="Total 6 6 2 4 2" xfId="21785" xr:uid="{00000000-0005-0000-0000-0000DCB10000}"/>
    <cellStyle name="Total 6 6 2 5" xfId="16673" xr:uid="{00000000-0005-0000-0000-0000DDB10000}"/>
    <cellStyle name="Total 6 6 2 5 2" xfId="22314" xr:uid="{00000000-0005-0000-0000-0000DEB10000}"/>
    <cellStyle name="Total 6 6 2 6" xfId="17043" xr:uid="{00000000-0005-0000-0000-0000DFB10000}"/>
    <cellStyle name="Total 6 6 2 6 2" xfId="22694" xr:uid="{00000000-0005-0000-0000-0000E0B10000}"/>
    <cellStyle name="Total 6 6 2 7" xfId="17763" xr:uid="{00000000-0005-0000-0000-0000E1B10000}"/>
    <cellStyle name="Total 6 6 2 7 2" xfId="23408" xr:uid="{00000000-0005-0000-0000-0000E2B10000}"/>
    <cellStyle name="Total 6 6 2 8" xfId="13967" xr:uid="{00000000-0005-0000-0000-0000E3B10000}"/>
    <cellStyle name="Total 6 6 2 8 2" xfId="18941" xr:uid="{00000000-0005-0000-0000-0000E4B10000}"/>
    <cellStyle name="Total 6 6 2 9" xfId="13296" xr:uid="{00000000-0005-0000-0000-0000E5B10000}"/>
    <cellStyle name="Total 6 6 3" xfId="5631" xr:uid="{00000000-0005-0000-0000-0000E6B10000}"/>
    <cellStyle name="Total 6 6 3 2" xfId="19968" xr:uid="{00000000-0005-0000-0000-0000E7B10000}"/>
    <cellStyle name="Total 6 6 3 3" xfId="14660" xr:uid="{00000000-0005-0000-0000-0000E8B10000}"/>
    <cellStyle name="Total 6 6 3 3 2" xfId="24482" xr:uid="{00000000-0005-0000-0000-0000E9B10000}"/>
    <cellStyle name="Total 6 6 3 4" xfId="23811" xr:uid="{00000000-0005-0000-0000-0000EAB10000}"/>
    <cellStyle name="Total 6 6 3 5" xfId="25119" xr:uid="{00000000-0005-0000-0000-0000EBB10000}"/>
    <cellStyle name="Total 6 6 3 6" xfId="29331" xr:uid="{00000000-0005-0000-0000-0000ECB10000}"/>
    <cellStyle name="Total 6 6 3 7" xfId="33547" xr:uid="{00000000-0005-0000-0000-0000EDB10000}"/>
    <cellStyle name="Total 6 6 3 8" xfId="37751" xr:uid="{00000000-0005-0000-0000-0000EEB10000}"/>
    <cellStyle name="Total 6 6 4" xfId="6730" xr:uid="{00000000-0005-0000-0000-0000EFB10000}"/>
    <cellStyle name="Total 6 6 4 2" xfId="19534" xr:uid="{00000000-0005-0000-0000-0000F0B10000}"/>
    <cellStyle name="Total 6 6 4 3" xfId="14396" xr:uid="{00000000-0005-0000-0000-0000F1B10000}"/>
    <cellStyle name="Total 6 6 5" xfId="11836" xr:uid="{00000000-0005-0000-0000-0000F2B10000}"/>
    <cellStyle name="Total 6 6 5 2" xfId="20710" xr:uid="{00000000-0005-0000-0000-0000F3B10000}"/>
    <cellStyle name="Total 6 6 6" xfId="10261" xr:uid="{00000000-0005-0000-0000-0000F4B10000}"/>
    <cellStyle name="Total 6 6 6 2" xfId="21998" xr:uid="{00000000-0005-0000-0000-0000F5B10000}"/>
    <cellStyle name="Total 6 6 7" xfId="16725" xr:uid="{00000000-0005-0000-0000-0000F6B10000}"/>
    <cellStyle name="Total 6 6 7 2" xfId="22376" xr:uid="{00000000-0005-0000-0000-0000F7B10000}"/>
    <cellStyle name="Total 6 6 8" xfId="17442" xr:uid="{00000000-0005-0000-0000-0000F8B10000}"/>
    <cellStyle name="Total 6 6 8 2" xfId="23090" xr:uid="{00000000-0005-0000-0000-0000F9B10000}"/>
    <cellStyle name="Total 6 6 9" xfId="13646" xr:uid="{00000000-0005-0000-0000-0000FAB10000}"/>
    <cellStyle name="Total 6 6 9 2" xfId="18623" xr:uid="{00000000-0005-0000-0000-0000FBB10000}"/>
    <cellStyle name="Total 6 7" xfId="2991" xr:uid="{00000000-0005-0000-0000-0000FCB10000}"/>
    <cellStyle name="Total 6 7 10" xfId="12961" xr:uid="{00000000-0005-0000-0000-0000FDB10000}"/>
    <cellStyle name="Total 6 7 11" xfId="17968" xr:uid="{00000000-0005-0000-0000-0000FEB10000}"/>
    <cellStyle name="Total 6 7 2" xfId="4413" xr:uid="{00000000-0005-0000-0000-0000FFB10000}"/>
    <cellStyle name="Total 6 7 2 10" xfId="18286" xr:uid="{00000000-0005-0000-0000-000000B20000}"/>
    <cellStyle name="Total 6 7 2 2" xfId="6733" xr:uid="{00000000-0005-0000-0000-000001B20000}"/>
    <cellStyle name="Total 6 7 2 2 2" xfId="20328" xr:uid="{00000000-0005-0000-0000-000002B20000}"/>
    <cellStyle name="Total 6 7 2 2 3" xfId="14979" xr:uid="{00000000-0005-0000-0000-000003B20000}"/>
    <cellStyle name="Total 6 7 2 2 3 2" xfId="24794" xr:uid="{00000000-0005-0000-0000-000004B20000}"/>
    <cellStyle name="Total 6 7 2 2 4" xfId="24133" xr:uid="{00000000-0005-0000-0000-000005B20000}"/>
    <cellStyle name="Total 6 7 2 3" xfId="11863" xr:uid="{00000000-0005-0000-0000-000006B20000}"/>
    <cellStyle name="Total 6 7 2 3 2" xfId="19992" xr:uid="{00000000-0005-0000-0000-000007B20000}"/>
    <cellStyle name="Total 6 7 2 4" xfId="16235" xr:uid="{00000000-0005-0000-0000-000008B20000}"/>
    <cellStyle name="Total 6 7 2 4 2" xfId="21786" xr:uid="{00000000-0005-0000-0000-000009B20000}"/>
    <cellStyle name="Total 6 7 2 5" xfId="16674" xr:uid="{00000000-0005-0000-0000-00000AB20000}"/>
    <cellStyle name="Total 6 7 2 5 2" xfId="22315" xr:uid="{00000000-0005-0000-0000-00000BB20000}"/>
    <cellStyle name="Total 6 7 2 6" xfId="17044" xr:uid="{00000000-0005-0000-0000-00000CB20000}"/>
    <cellStyle name="Total 6 7 2 6 2" xfId="22695" xr:uid="{00000000-0005-0000-0000-00000DB20000}"/>
    <cellStyle name="Total 6 7 2 7" xfId="17764" xr:uid="{00000000-0005-0000-0000-00000EB20000}"/>
    <cellStyle name="Total 6 7 2 7 2" xfId="23409" xr:uid="{00000000-0005-0000-0000-00000FB20000}"/>
    <cellStyle name="Total 6 7 2 8" xfId="13968" xr:uid="{00000000-0005-0000-0000-000010B20000}"/>
    <cellStyle name="Total 6 7 2 8 2" xfId="18942" xr:uid="{00000000-0005-0000-0000-000011B20000}"/>
    <cellStyle name="Total 6 7 2 9" xfId="13297" xr:uid="{00000000-0005-0000-0000-000012B20000}"/>
    <cellStyle name="Total 6 7 3" xfId="5632" xr:uid="{00000000-0005-0000-0000-000013B20000}"/>
    <cellStyle name="Total 6 7 3 2" xfId="19969" xr:uid="{00000000-0005-0000-0000-000014B20000}"/>
    <cellStyle name="Total 6 7 3 3" xfId="14661" xr:uid="{00000000-0005-0000-0000-000015B20000}"/>
    <cellStyle name="Total 6 7 3 3 2" xfId="24483" xr:uid="{00000000-0005-0000-0000-000016B20000}"/>
    <cellStyle name="Total 6 7 3 4" xfId="23812" xr:uid="{00000000-0005-0000-0000-000017B20000}"/>
    <cellStyle name="Total 6 7 3 5" xfId="25120" xr:uid="{00000000-0005-0000-0000-000018B20000}"/>
    <cellStyle name="Total 6 7 3 6" xfId="29332" xr:uid="{00000000-0005-0000-0000-000019B20000}"/>
    <cellStyle name="Total 6 7 3 7" xfId="33548" xr:uid="{00000000-0005-0000-0000-00001AB20000}"/>
    <cellStyle name="Total 6 7 3 8" xfId="37752" xr:uid="{00000000-0005-0000-0000-00001BB20000}"/>
    <cellStyle name="Total 6 7 4" xfId="6732" xr:uid="{00000000-0005-0000-0000-00001CB20000}"/>
    <cellStyle name="Total 6 7 4 2" xfId="19535" xr:uid="{00000000-0005-0000-0000-00001DB20000}"/>
    <cellStyle name="Total 6 7 4 3" xfId="14397" xr:uid="{00000000-0005-0000-0000-00001EB20000}"/>
    <cellStyle name="Total 6 7 5" xfId="11853" xr:uid="{00000000-0005-0000-0000-00001FB20000}"/>
    <cellStyle name="Total 6 7 5 2" xfId="20709" xr:uid="{00000000-0005-0000-0000-000020B20000}"/>
    <cellStyle name="Total 6 7 6" xfId="10260" xr:uid="{00000000-0005-0000-0000-000021B20000}"/>
    <cellStyle name="Total 6 7 6 2" xfId="21999" xr:uid="{00000000-0005-0000-0000-000022B20000}"/>
    <cellStyle name="Total 6 7 7" xfId="16726" xr:uid="{00000000-0005-0000-0000-000023B20000}"/>
    <cellStyle name="Total 6 7 7 2" xfId="22377" xr:uid="{00000000-0005-0000-0000-000024B20000}"/>
    <cellStyle name="Total 6 7 8" xfId="17443" xr:uid="{00000000-0005-0000-0000-000025B20000}"/>
    <cellStyle name="Total 6 7 8 2" xfId="23091" xr:uid="{00000000-0005-0000-0000-000026B20000}"/>
    <cellStyle name="Total 6 7 9" xfId="13647" xr:uid="{00000000-0005-0000-0000-000027B20000}"/>
    <cellStyle name="Total 6 7 9 2" xfId="18624" xr:uid="{00000000-0005-0000-0000-000028B20000}"/>
    <cellStyle name="Total 6 8" xfId="2992" xr:uid="{00000000-0005-0000-0000-000029B20000}"/>
    <cellStyle name="Total 6 8 10" xfId="12962" xr:uid="{00000000-0005-0000-0000-00002AB20000}"/>
    <cellStyle name="Total 6 8 11" xfId="17969" xr:uid="{00000000-0005-0000-0000-00002BB20000}"/>
    <cellStyle name="Total 6 8 2" xfId="4414" xr:uid="{00000000-0005-0000-0000-00002CB20000}"/>
    <cellStyle name="Total 6 8 2 10" xfId="18287" xr:uid="{00000000-0005-0000-0000-00002DB20000}"/>
    <cellStyle name="Total 6 8 2 2" xfId="6735" xr:uid="{00000000-0005-0000-0000-00002EB20000}"/>
    <cellStyle name="Total 6 8 2 2 2" xfId="20329" xr:uid="{00000000-0005-0000-0000-00002FB20000}"/>
    <cellStyle name="Total 6 8 2 2 3" xfId="14980" xr:uid="{00000000-0005-0000-0000-000030B20000}"/>
    <cellStyle name="Total 6 8 2 2 3 2" xfId="24795" xr:uid="{00000000-0005-0000-0000-000031B20000}"/>
    <cellStyle name="Total 6 8 2 2 4" xfId="24134" xr:uid="{00000000-0005-0000-0000-000032B20000}"/>
    <cellStyle name="Total 6 8 2 3" xfId="12111" xr:uid="{00000000-0005-0000-0000-000033B20000}"/>
    <cellStyle name="Total 6 8 2 3 2" xfId="18966" xr:uid="{00000000-0005-0000-0000-000034B20000}"/>
    <cellStyle name="Total 6 8 2 4" xfId="16236" xr:uid="{00000000-0005-0000-0000-000035B20000}"/>
    <cellStyle name="Total 6 8 2 4 2" xfId="21787" xr:uid="{00000000-0005-0000-0000-000036B20000}"/>
    <cellStyle name="Total 6 8 2 5" xfId="16675" xr:uid="{00000000-0005-0000-0000-000037B20000}"/>
    <cellStyle name="Total 6 8 2 5 2" xfId="22316" xr:uid="{00000000-0005-0000-0000-000038B20000}"/>
    <cellStyle name="Total 6 8 2 6" xfId="17045" xr:uid="{00000000-0005-0000-0000-000039B20000}"/>
    <cellStyle name="Total 6 8 2 6 2" xfId="22696" xr:uid="{00000000-0005-0000-0000-00003AB20000}"/>
    <cellStyle name="Total 6 8 2 7" xfId="17765" xr:uid="{00000000-0005-0000-0000-00003BB20000}"/>
    <cellStyle name="Total 6 8 2 7 2" xfId="23410" xr:uid="{00000000-0005-0000-0000-00003CB20000}"/>
    <cellStyle name="Total 6 8 2 8" xfId="13969" xr:uid="{00000000-0005-0000-0000-00003DB20000}"/>
    <cellStyle name="Total 6 8 2 8 2" xfId="18943" xr:uid="{00000000-0005-0000-0000-00003EB20000}"/>
    <cellStyle name="Total 6 8 2 9" xfId="13298" xr:uid="{00000000-0005-0000-0000-00003FB20000}"/>
    <cellStyle name="Total 6 8 3" xfId="5633" xr:uid="{00000000-0005-0000-0000-000040B20000}"/>
    <cellStyle name="Total 6 8 3 2" xfId="19970" xr:uid="{00000000-0005-0000-0000-000041B20000}"/>
    <cellStyle name="Total 6 8 3 3" xfId="14662" xr:uid="{00000000-0005-0000-0000-000042B20000}"/>
    <cellStyle name="Total 6 8 3 3 2" xfId="24484" xr:uid="{00000000-0005-0000-0000-000043B20000}"/>
    <cellStyle name="Total 6 8 3 4" xfId="23813" xr:uid="{00000000-0005-0000-0000-000044B20000}"/>
    <cellStyle name="Total 6 8 3 5" xfId="25121" xr:uid="{00000000-0005-0000-0000-000045B20000}"/>
    <cellStyle name="Total 6 8 3 6" xfId="29333" xr:uid="{00000000-0005-0000-0000-000046B20000}"/>
    <cellStyle name="Total 6 8 3 7" xfId="33549" xr:uid="{00000000-0005-0000-0000-000047B20000}"/>
    <cellStyle name="Total 6 8 3 8" xfId="37753" xr:uid="{00000000-0005-0000-0000-000048B20000}"/>
    <cellStyle name="Total 6 8 4" xfId="6734" xr:uid="{00000000-0005-0000-0000-000049B20000}"/>
    <cellStyle name="Total 6 8 4 2" xfId="19536" xr:uid="{00000000-0005-0000-0000-00004AB20000}"/>
    <cellStyle name="Total 6 8 4 3" xfId="14398" xr:uid="{00000000-0005-0000-0000-00004BB20000}"/>
    <cellStyle name="Total 6 8 5" xfId="11872" xr:uid="{00000000-0005-0000-0000-00004CB20000}"/>
    <cellStyle name="Total 6 8 5 2" xfId="20708" xr:uid="{00000000-0005-0000-0000-00004DB20000}"/>
    <cellStyle name="Total 6 8 6" xfId="10259" xr:uid="{00000000-0005-0000-0000-00004EB20000}"/>
    <cellStyle name="Total 6 8 6 2" xfId="22000" xr:uid="{00000000-0005-0000-0000-00004FB20000}"/>
    <cellStyle name="Total 6 8 7" xfId="16727" xr:uid="{00000000-0005-0000-0000-000050B20000}"/>
    <cellStyle name="Total 6 8 7 2" xfId="22378" xr:uid="{00000000-0005-0000-0000-000051B20000}"/>
    <cellStyle name="Total 6 8 8" xfId="17444" xr:uid="{00000000-0005-0000-0000-000052B20000}"/>
    <cellStyle name="Total 6 8 8 2" xfId="23092" xr:uid="{00000000-0005-0000-0000-000053B20000}"/>
    <cellStyle name="Total 6 8 9" xfId="13648" xr:uid="{00000000-0005-0000-0000-000054B20000}"/>
    <cellStyle name="Total 6 8 9 2" xfId="18625" xr:uid="{00000000-0005-0000-0000-000055B20000}"/>
    <cellStyle name="Total 6 9" xfId="2993" xr:uid="{00000000-0005-0000-0000-000056B20000}"/>
    <cellStyle name="Total 6 9 10" xfId="12963" xr:uid="{00000000-0005-0000-0000-000057B20000}"/>
    <cellStyle name="Total 6 9 11" xfId="17970" xr:uid="{00000000-0005-0000-0000-000058B20000}"/>
    <cellStyle name="Total 6 9 2" xfId="4415" xr:uid="{00000000-0005-0000-0000-000059B20000}"/>
    <cellStyle name="Total 6 9 2 10" xfId="18288" xr:uid="{00000000-0005-0000-0000-00005AB20000}"/>
    <cellStyle name="Total 6 9 2 2" xfId="6737" xr:uid="{00000000-0005-0000-0000-00005BB20000}"/>
    <cellStyle name="Total 6 9 2 2 2" xfId="20330" xr:uid="{00000000-0005-0000-0000-00005CB20000}"/>
    <cellStyle name="Total 6 9 2 2 3" xfId="14981" xr:uid="{00000000-0005-0000-0000-00005DB20000}"/>
    <cellStyle name="Total 6 9 2 2 3 2" xfId="24796" xr:uid="{00000000-0005-0000-0000-00005EB20000}"/>
    <cellStyle name="Total 6 9 2 2 4" xfId="24135" xr:uid="{00000000-0005-0000-0000-00005FB20000}"/>
    <cellStyle name="Total 6 9 2 3" xfId="11006" xr:uid="{00000000-0005-0000-0000-000060B20000}"/>
    <cellStyle name="Total 6 9 2 3 2" xfId="19913" xr:uid="{00000000-0005-0000-0000-000061B20000}"/>
    <cellStyle name="Total 6 9 2 4" xfId="16237" xr:uid="{00000000-0005-0000-0000-000062B20000}"/>
    <cellStyle name="Total 6 9 2 4 2" xfId="21788" xr:uid="{00000000-0005-0000-0000-000063B20000}"/>
    <cellStyle name="Total 6 9 2 5" xfId="16676" xr:uid="{00000000-0005-0000-0000-000064B20000}"/>
    <cellStyle name="Total 6 9 2 5 2" xfId="22317" xr:uid="{00000000-0005-0000-0000-000065B20000}"/>
    <cellStyle name="Total 6 9 2 6" xfId="17046" xr:uid="{00000000-0005-0000-0000-000066B20000}"/>
    <cellStyle name="Total 6 9 2 6 2" xfId="22697" xr:uid="{00000000-0005-0000-0000-000067B20000}"/>
    <cellStyle name="Total 6 9 2 7" xfId="17766" xr:uid="{00000000-0005-0000-0000-000068B20000}"/>
    <cellStyle name="Total 6 9 2 7 2" xfId="23411" xr:uid="{00000000-0005-0000-0000-000069B20000}"/>
    <cellStyle name="Total 6 9 2 8" xfId="13970" xr:uid="{00000000-0005-0000-0000-00006AB20000}"/>
    <cellStyle name="Total 6 9 2 8 2" xfId="18944" xr:uid="{00000000-0005-0000-0000-00006BB20000}"/>
    <cellStyle name="Total 6 9 2 9" xfId="13299" xr:uid="{00000000-0005-0000-0000-00006CB20000}"/>
    <cellStyle name="Total 6 9 3" xfId="5634" xr:uid="{00000000-0005-0000-0000-00006DB20000}"/>
    <cellStyle name="Total 6 9 3 2" xfId="19971" xr:uid="{00000000-0005-0000-0000-00006EB20000}"/>
    <cellStyle name="Total 6 9 3 3" xfId="14663" xr:uid="{00000000-0005-0000-0000-00006FB20000}"/>
    <cellStyle name="Total 6 9 3 3 2" xfId="24485" xr:uid="{00000000-0005-0000-0000-000070B20000}"/>
    <cellStyle name="Total 6 9 3 4" xfId="23814" xr:uid="{00000000-0005-0000-0000-000071B20000}"/>
    <cellStyle name="Total 6 9 3 5" xfId="25122" xr:uid="{00000000-0005-0000-0000-000072B20000}"/>
    <cellStyle name="Total 6 9 3 6" xfId="29334" xr:uid="{00000000-0005-0000-0000-000073B20000}"/>
    <cellStyle name="Total 6 9 3 7" xfId="33550" xr:uid="{00000000-0005-0000-0000-000074B20000}"/>
    <cellStyle name="Total 6 9 3 8" xfId="37754" xr:uid="{00000000-0005-0000-0000-000075B20000}"/>
    <cellStyle name="Total 6 9 4" xfId="6736" xr:uid="{00000000-0005-0000-0000-000076B20000}"/>
    <cellStyle name="Total 6 9 4 2" xfId="19537" xr:uid="{00000000-0005-0000-0000-000077B20000}"/>
    <cellStyle name="Total 6 9 4 3" xfId="14399" xr:uid="{00000000-0005-0000-0000-000078B20000}"/>
    <cellStyle name="Total 6 9 5" xfId="11062" xr:uid="{00000000-0005-0000-0000-000079B20000}"/>
    <cellStyle name="Total 6 9 5 2" xfId="20707" xr:uid="{00000000-0005-0000-0000-00007AB20000}"/>
    <cellStyle name="Total 6 9 6" xfId="10258" xr:uid="{00000000-0005-0000-0000-00007BB20000}"/>
    <cellStyle name="Total 6 9 6 2" xfId="22001" xr:uid="{00000000-0005-0000-0000-00007CB20000}"/>
    <cellStyle name="Total 6 9 7" xfId="16728" xr:uid="{00000000-0005-0000-0000-00007DB20000}"/>
    <cellStyle name="Total 6 9 7 2" xfId="22379" xr:uid="{00000000-0005-0000-0000-00007EB20000}"/>
    <cellStyle name="Total 6 9 8" xfId="17445" xr:uid="{00000000-0005-0000-0000-00007FB20000}"/>
    <cellStyle name="Total 6 9 8 2" xfId="23093" xr:uid="{00000000-0005-0000-0000-000080B20000}"/>
    <cellStyle name="Total 6 9 9" xfId="13649" xr:uid="{00000000-0005-0000-0000-000081B20000}"/>
    <cellStyle name="Total 6 9 9 2" xfId="18626" xr:uid="{00000000-0005-0000-0000-000082B20000}"/>
    <cellStyle name="Total 7" xfId="2994" xr:uid="{00000000-0005-0000-0000-000083B20000}"/>
    <cellStyle name="Total 7 10" xfId="12964" xr:uid="{00000000-0005-0000-0000-000084B20000}"/>
    <cellStyle name="Total 7 11" xfId="17971" xr:uid="{00000000-0005-0000-0000-000085B20000}"/>
    <cellStyle name="Total 7 2" xfId="4416" xr:uid="{00000000-0005-0000-0000-000086B20000}"/>
    <cellStyle name="Total 7 2 10" xfId="18289" xr:uid="{00000000-0005-0000-0000-000087B20000}"/>
    <cellStyle name="Total 7 2 2" xfId="6739" xr:uid="{00000000-0005-0000-0000-000088B20000}"/>
    <cellStyle name="Total 7 2 2 2" xfId="20331" xr:uid="{00000000-0005-0000-0000-000089B20000}"/>
    <cellStyle name="Total 7 2 2 3" xfId="14982" xr:uid="{00000000-0005-0000-0000-00008AB20000}"/>
    <cellStyle name="Total 7 2 2 3 2" xfId="24797" xr:uid="{00000000-0005-0000-0000-00008BB20000}"/>
    <cellStyle name="Total 7 2 2 4" xfId="24136" xr:uid="{00000000-0005-0000-0000-00008CB20000}"/>
    <cellStyle name="Total 7 2 3" xfId="10976" xr:uid="{00000000-0005-0000-0000-00008DB20000}"/>
    <cellStyle name="Total 7 2 3 2" xfId="19914" xr:uid="{00000000-0005-0000-0000-00008EB20000}"/>
    <cellStyle name="Total 7 2 4" xfId="16238" xr:uid="{00000000-0005-0000-0000-00008FB20000}"/>
    <cellStyle name="Total 7 2 4 2" xfId="21789" xr:uid="{00000000-0005-0000-0000-000090B20000}"/>
    <cellStyle name="Total 7 2 5" xfId="16677" xr:uid="{00000000-0005-0000-0000-000091B20000}"/>
    <cellStyle name="Total 7 2 5 2" xfId="22318" xr:uid="{00000000-0005-0000-0000-000092B20000}"/>
    <cellStyle name="Total 7 2 6" xfId="17047" xr:uid="{00000000-0005-0000-0000-000093B20000}"/>
    <cellStyle name="Total 7 2 6 2" xfId="22698" xr:uid="{00000000-0005-0000-0000-000094B20000}"/>
    <cellStyle name="Total 7 2 7" xfId="17767" xr:uid="{00000000-0005-0000-0000-000095B20000}"/>
    <cellStyle name="Total 7 2 7 2" xfId="23412" xr:uid="{00000000-0005-0000-0000-000096B20000}"/>
    <cellStyle name="Total 7 2 8" xfId="13971" xr:uid="{00000000-0005-0000-0000-000097B20000}"/>
    <cellStyle name="Total 7 2 8 2" xfId="18945" xr:uid="{00000000-0005-0000-0000-000098B20000}"/>
    <cellStyle name="Total 7 2 9" xfId="13300" xr:uid="{00000000-0005-0000-0000-000099B20000}"/>
    <cellStyle name="Total 7 3" xfId="5635" xr:uid="{00000000-0005-0000-0000-00009AB20000}"/>
    <cellStyle name="Total 7 3 2" xfId="19972" xr:uid="{00000000-0005-0000-0000-00009BB20000}"/>
    <cellStyle name="Total 7 3 3" xfId="14664" xr:uid="{00000000-0005-0000-0000-00009CB20000}"/>
    <cellStyle name="Total 7 3 3 2" xfId="24486" xr:uid="{00000000-0005-0000-0000-00009DB20000}"/>
    <cellStyle name="Total 7 3 4" xfId="23815" xr:uid="{00000000-0005-0000-0000-00009EB20000}"/>
    <cellStyle name="Total 7 3 5" xfId="25123" xr:uid="{00000000-0005-0000-0000-00009FB20000}"/>
    <cellStyle name="Total 7 3 6" xfId="29335" xr:uid="{00000000-0005-0000-0000-0000A0B20000}"/>
    <cellStyle name="Total 7 3 7" xfId="33551" xr:uid="{00000000-0005-0000-0000-0000A1B20000}"/>
    <cellStyle name="Total 7 3 8" xfId="37755" xr:uid="{00000000-0005-0000-0000-0000A2B20000}"/>
    <cellStyle name="Total 7 4" xfId="6738" xr:uid="{00000000-0005-0000-0000-0000A3B20000}"/>
    <cellStyle name="Total 7 4 2" xfId="19538" xr:uid="{00000000-0005-0000-0000-0000A4B20000}"/>
    <cellStyle name="Total 7 4 3" xfId="14400" xr:uid="{00000000-0005-0000-0000-0000A5B20000}"/>
    <cellStyle name="Total 7 5" xfId="12123" xr:uid="{00000000-0005-0000-0000-0000A6B20000}"/>
    <cellStyle name="Total 7 5 2" xfId="20706" xr:uid="{00000000-0005-0000-0000-0000A7B20000}"/>
    <cellStyle name="Total 7 6" xfId="10257" xr:uid="{00000000-0005-0000-0000-0000A8B20000}"/>
    <cellStyle name="Total 7 6 2" xfId="22002" xr:uid="{00000000-0005-0000-0000-0000A9B20000}"/>
    <cellStyle name="Total 7 7" xfId="16729" xr:uid="{00000000-0005-0000-0000-0000AAB20000}"/>
    <cellStyle name="Total 7 7 2" xfId="22380" xr:uid="{00000000-0005-0000-0000-0000ABB20000}"/>
    <cellStyle name="Total 7 8" xfId="17446" xr:uid="{00000000-0005-0000-0000-0000ACB20000}"/>
    <cellStyle name="Total 7 8 2" xfId="23094" xr:uid="{00000000-0005-0000-0000-0000ADB20000}"/>
    <cellStyle name="Total 7 9" xfId="13650" xr:uid="{00000000-0005-0000-0000-0000AEB20000}"/>
    <cellStyle name="Total 7 9 2" xfId="18627" xr:uid="{00000000-0005-0000-0000-0000AFB20000}"/>
    <cellStyle name="Total 8" xfId="2995" xr:uid="{00000000-0005-0000-0000-0000B0B20000}"/>
    <cellStyle name="Total 8 10" xfId="12965" xr:uid="{00000000-0005-0000-0000-0000B1B20000}"/>
    <cellStyle name="Total 8 11" xfId="17972" xr:uid="{00000000-0005-0000-0000-0000B2B20000}"/>
    <cellStyle name="Total 8 2" xfId="4417" xr:uid="{00000000-0005-0000-0000-0000B3B20000}"/>
    <cellStyle name="Total 8 2 10" xfId="18290" xr:uid="{00000000-0005-0000-0000-0000B4B20000}"/>
    <cellStyle name="Total 8 2 2" xfId="6741" xr:uid="{00000000-0005-0000-0000-0000B5B20000}"/>
    <cellStyle name="Total 8 2 2 2" xfId="20332" xr:uid="{00000000-0005-0000-0000-0000B6B20000}"/>
    <cellStyle name="Total 8 2 2 3" xfId="14983" xr:uid="{00000000-0005-0000-0000-0000B7B20000}"/>
    <cellStyle name="Total 8 2 2 3 2" xfId="24798" xr:uid="{00000000-0005-0000-0000-0000B8B20000}"/>
    <cellStyle name="Total 8 2 2 4" xfId="24137" xr:uid="{00000000-0005-0000-0000-0000B9B20000}"/>
    <cellStyle name="Total 8 2 3" xfId="11007" xr:uid="{00000000-0005-0000-0000-0000BAB20000}"/>
    <cellStyle name="Total 8 2 3 2" xfId="20343" xr:uid="{00000000-0005-0000-0000-0000BBB20000}"/>
    <cellStyle name="Total 8 2 4" xfId="16239" xr:uid="{00000000-0005-0000-0000-0000BCB20000}"/>
    <cellStyle name="Total 8 2 4 2" xfId="21790" xr:uid="{00000000-0005-0000-0000-0000BDB20000}"/>
    <cellStyle name="Total 8 2 5" xfId="16678" xr:uid="{00000000-0005-0000-0000-0000BEB20000}"/>
    <cellStyle name="Total 8 2 5 2" xfId="22319" xr:uid="{00000000-0005-0000-0000-0000BFB20000}"/>
    <cellStyle name="Total 8 2 6" xfId="17048" xr:uid="{00000000-0005-0000-0000-0000C0B20000}"/>
    <cellStyle name="Total 8 2 6 2" xfId="22699" xr:uid="{00000000-0005-0000-0000-0000C1B20000}"/>
    <cellStyle name="Total 8 2 7" xfId="17768" xr:uid="{00000000-0005-0000-0000-0000C2B20000}"/>
    <cellStyle name="Total 8 2 7 2" xfId="23413" xr:uid="{00000000-0005-0000-0000-0000C3B20000}"/>
    <cellStyle name="Total 8 2 8" xfId="13972" xr:uid="{00000000-0005-0000-0000-0000C4B20000}"/>
    <cellStyle name="Total 8 2 8 2" xfId="18946" xr:uid="{00000000-0005-0000-0000-0000C5B20000}"/>
    <cellStyle name="Total 8 2 9" xfId="13301" xr:uid="{00000000-0005-0000-0000-0000C6B20000}"/>
    <cellStyle name="Total 8 3" xfId="5636" xr:uid="{00000000-0005-0000-0000-0000C7B20000}"/>
    <cellStyle name="Total 8 3 2" xfId="19973" xr:uid="{00000000-0005-0000-0000-0000C8B20000}"/>
    <cellStyle name="Total 8 3 3" xfId="14665" xr:uid="{00000000-0005-0000-0000-0000C9B20000}"/>
    <cellStyle name="Total 8 3 3 2" xfId="24487" xr:uid="{00000000-0005-0000-0000-0000CAB20000}"/>
    <cellStyle name="Total 8 3 4" xfId="23816" xr:uid="{00000000-0005-0000-0000-0000CBB20000}"/>
    <cellStyle name="Total 8 3 5" xfId="25124" xr:uid="{00000000-0005-0000-0000-0000CCB20000}"/>
    <cellStyle name="Total 8 3 6" xfId="29336" xr:uid="{00000000-0005-0000-0000-0000CDB20000}"/>
    <cellStyle name="Total 8 3 7" xfId="33552" xr:uid="{00000000-0005-0000-0000-0000CEB20000}"/>
    <cellStyle name="Total 8 3 8" xfId="37756" xr:uid="{00000000-0005-0000-0000-0000CFB20000}"/>
    <cellStyle name="Total 8 4" xfId="6740" xr:uid="{00000000-0005-0000-0000-0000D0B20000}"/>
    <cellStyle name="Total 8 4 2" xfId="19539" xr:uid="{00000000-0005-0000-0000-0000D1B20000}"/>
    <cellStyle name="Total 8 4 3" xfId="14401" xr:uid="{00000000-0005-0000-0000-0000D2B20000}"/>
    <cellStyle name="Total 8 5" xfId="12134" xr:uid="{00000000-0005-0000-0000-0000D3B20000}"/>
    <cellStyle name="Total 8 5 2" xfId="20705" xr:uid="{00000000-0005-0000-0000-0000D4B20000}"/>
    <cellStyle name="Total 8 6" xfId="10256" xr:uid="{00000000-0005-0000-0000-0000D5B20000}"/>
    <cellStyle name="Total 8 6 2" xfId="22003" xr:uid="{00000000-0005-0000-0000-0000D6B20000}"/>
    <cellStyle name="Total 8 7" xfId="16730" xr:uid="{00000000-0005-0000-0000-0000D7B20000}"/>
    <cellStyle name="Total 8 7 2" xfId="22381" xr:uid="{00000000-0005-0000-0000-0000D8B20000}"/>
    <cellStyle name="Total 8 8" xfId="17447" xr:uid="{00000000-0005-0000-0000-0000D9B20000}"/>
    <cellStyle name="Total 8 8 2" xfId="23095" xr:uid="{00000000-0005-0000-0000-0000DAB20000}"/>
    <cellStyle name="Total 8 9" xfId="13651" xr:uid="{00000000-0005-0000-0000-0000DBB20000}"/>
    <cellStyle name="Total 8 9 2" xfId="18628" xr:uid="{00000000-0005-0000-0000-0000DCB20000}"/>
    <cellStyle name="Total 9" xfId="4418" xr:uid="{00000000-0005-0000-0000-0000DDB20000}"/>
    <cellStyle name="Total 9 10" xfId="12966" xr:uid="{00000000-0005-0000-0000-0000DEB20000}"/>
    <cellStyle name="Total 9 11" xfId="17973" xr:uid="{00000000-0005-0000-0000-0000DFB20000}"/>
    <cellStyle name="Total 9 2" xfId="4419" xr:uid="{00000000-0005-0000-0000-0000E0B20000}"/>
    <cellStyle name="Total 9 2 10" xfId="18291" xr:uid="{00000000-0005-0000-0000-0000E1B20000}"/>
    <cellStyle name="Total 9 2 2" xfId="6743" xr:uid="{00000000-0005-0000-0000-0000E2B20000}"/>
    <cellStyle name="Total 9 2 2 2" xfId="20333" xr:uid="{00000000-0005-0000-0000-0000E3B20000}"/>
    <cellStyle name="Total 9 2 2 3" xfId="14984" xr:uid="{00000000-0005-0000-0000-0000E4B20000}"/>
    <cellStyle name="Total 9 2 2 3 2" xfId="24799" xr:uid="{00000000-0005-0000-0000-0000E5B20000}"/>
    <cellStyle name="Total 9 2 2 4" xfId="24138" xr:uid="{00000000-0005-0000-0000-0000E6B20000}"/>
    <cellStyle name="Total 9 2 3" xfId="11816" xr:uid="{00000000-0005-0000-0000-0000E7B20000}"/>
    <cellStyle name="Total 9 2 3 2" xfId="18990" xr:uid="{00000000-0005-0000-0000-0000E8B20000}"/>
    <cellStyle name="Total 9 2 4" xfId="16240" xr:uid="{00000000-0005-0000-0000-0000E9B20000}"/>
    <cellStyle name="Total 9 2 4 2" xfId="21791" xr:uid="{00000000-0005-0000-0000-0000EAB20000}"/>
    <cellStyle name="Total 9 2 5" xfId="16679" xr:uid="{00000000-0005-0000-0000-0000EBB20000}"/>
    <cellStyle name="Total 9 2 5 2" xfId="22320" xr:uid="{00000000-0005-0000-0000-0000ECB20000}"/>
    <cellStyle name="Total 9 2 6" xfId="17049" xr:uid="{00000000-0005-0000-0000-0000EDB20000}"/>
    <cellStyle name="Total 9 2 6 2" xfId="22700" xr:uid="{00000000-0005-0000-0000-0000EEB20000}"/>
    <cellStyle name="Total 9 2 7" xfId="17769" xr:uid="{00000000-0005-0000-0000-0000EFB20000}"/>
    <cellStyle name="Total 9 2 7 2" xfId="23414" xr:uid="{00000000-0005-0000-0000-0000F0B20000}"/>
    <cellStyle name="Total 9 2 8" xfId="13973" xr:uid="{00000000-0005-0000-0000-0000F1B20000}"/>
    <cellStyle name="Total 9 2 8 2" xfId="18947" xr:uid="{00000000-0005-0000-0000-0000F2B20000}"/>
    <cellStyle name="Total 9 2 9" xfId="13302" xr:uid="{00000000-0005-0000-0000-0000F3B20000}"/>
    <cellStyle name="Total 9 3" xfId="5637" xr:uid="{00000000-0005-0000-0000-0000F4B20000}"/>
    <cellStyle name="Total 9 3 2" xfId="19974" xr:uid="{00000000-0005-0000-0000-0000F5B20000}"/>
    <cellStyle name="Total 9 3 3" xfId="14666" xr:uid="{00000000-0005-0000-0000-0000F6B20000}"/>
    <cellStyle name="Total 9 3 3 2" xfId="24488" xr:uid="{00000000-0005-0000-0000-0000F7B20000}"/>
    <cellStyle name="Total 9 3 4" xfId="23817" xr:uid="{00000000-0005-0000-0000-0000F8B20000}"/>
    <cellStyle name="Total 9 3 5" xfId="25125" xr:uid="{00000000-0005-0000-0000-0000F9B20000}"/>
    <cellStyle name="Total 9 3 6" xfId="29337" xr:uid="{00000000-0005-0000-0000-0000FAB20000}"/>
    <cellStyle name="Total 9 3 7" xfId="33553" xr:uid="{00000000-0005-0000-0000-0000FBB20000}"/>
    <cellStyle name="Total 9 3 8" xfId="37757" xr:uid="{00000000-0005-0000-0000-0000FCB20000}"/>
    <cellStyle name="Total 9 4" xfId="6742" xr:uid="{00000000-0005-0000-0000-0000FDB20000}"/>
    <cellStyle name="Total 9 4 2" xfId="19540" xr:uid="{00000000-0005-0000-0000-0000FEB20000}"/>
    <cellStyle name="Total 9 4 3" xfId="14402" xr:uid="{00000000-0005-0000-0000-0000FFB20000}"/>
    <cellStyle name="Total 9 5" xfId="12147" xr:uid="{00000000-0005-0000-0000-000000B30000}"/>
    <cellStyle name="Total 9 5 2" xfId="20704" xr:uid="{00000000-0005-0000-0000-000001B30000}"/>
    <cellStyle name="Total 9 6" xfId="10255" xr:uid="{00000000-0005-0000-0000-000002B30000}"/>
    <cellStyle name="Total 9 6 2" xfId="22004" xr:uid="{00000000-0005-0000-0000-000003B30000}"/>
    <cellStyle name="Total 9 7" xfId="16731" xr:uid="{00000000-0005-0000-0000-000004B30000}"/>
    <cellStyle name="Total 9 7 2" xfId="22382" xr:uid="{00000000-0005-0000-0000-000005B30000}"/>
    <cellStyle name="Total 9 8" xfId="17448" xr:uid="{00000000-0005-0000-0000-000006B30000}"/>
    <cellStyle name="Total 9 8 2" xfId="23096" xr:uid="{00000000-0005-0000-0000-000007B30000}"/>
    <cellStyle name="Total 9 9" xfId="13652" xr:uid="{00000000-0005-0000-0000-000008B30000}"/>
    <cellStyle name="Total 9 9 2" xfId="18629" xr:uid="{00000000-0005-0000-0000-000009B30000}"/>
    <cellStyle name="Totale" xfId="9622" xr:uid="{00000000-0005-0000-0000-00000AB30000}"/>
    <cellStyle name="Totale 10" xfId="18304" xr:uid="{00000000-0005-0000-0000-00000BB30000}"/>
    <cellStyle name="Totale 11" xfId="24153" xr:uid="{00000000-0005-0000-0000-00000CB30000}"/>
    <cellStyle name="Totale 2" xfId="12223" xr:uid="{00000000-0005-0000-0000-00000DB30000}"/>
    <cellStyle name="Totale 2 2" xfId="20354" xr:uid="{00000000-0005-0000-0000-00000EB30000}"/>
    <cellStyle name="Totale 3" xfId="15060" xr:uid="{00000000-0005-0000-0000-00000FB30000}"/>
    <cellStyle name="Totale 3 2" xfId="20441" xr:uid="{00000000-0005-0000-0000-000010B30000}"/>
    <cellStyle name="Totale 3 3" xfId="24803" xr:uid="{00000000-0005-0000-0000-000011B30000}"/>
    <cellStyle name="Totale 4" xfId="16259" xr:uid="{00000000-0005-0000-0000-000012B30000}"/>
    <cellStyle name="Totale 4 2" xfId="21814" xr:uid="{00000000-0005-0000-0000-000013B30000}"/>
    <cellStyle name="Totale 5" xfId="16682" xr:uid="{00000000-0005-0000-0000-000014B30000}"/>
    <cellStyle name="Totale 5 2" xfId="22323" xr:uid="{00000000-0005-0000-0000-000015B30000}"/>
    <cellStyle name="Totale 6" xfId="17061" xr:uid="{00000000-0005-0000-0000-000016B30000}"/>
    <cellStyle name="Totale 6 2" xfId="22712" xr:uid="{00000000-0005-0000-0000-000017B30000}"/>
    <cellStyle name="Totale 7" xfId="17783" xr:uid="{00000000-0005-0000-0000-000018B30000}"/>
    <cellStyle name="Totale 7 2" xfId="23426" xr:uid="{00000000-0005-0000-0000-000019B30000}"/>
    <cellStyle name="Totale 8" xfId="13986" xr:uid="{00000000-0005-0000-0000-00001AB30000}"/>
    <cellStyle name="Totale 8 2" xfId="18958" xr:uid="{00000000-0005-0000-0000-00001BB30000}"/>
    <cellStyle name="Totale 9" xfId="13316" xr:uid="{00000000-0005-0000-0000-00001CB30000}"/>
    <cellStyle name="Überschrift" xfId="10181" xr:uid="{00000000-0005-0000-0000-00001DB30000}"/>
    <cellStyle name="Überschrift 1" xfId="10182" xr:uid="{00000000-0005-0000-0000-00001EB30000}"/>
    <cellStyle name="Überschrift 1 2" xfId="44469" xr:uid="{00000000-0005-0000-0000-00001FB30000}"/>
    <cellStyle name="Überschrift 2" xfId="10183" xr:uid="{00000000-0005-0000-0000-000020B30000}"/>
    <cellStyle name="Überschrift 2 2" xfId="44470" xr:uid="{00000000-0005-0000-0000-000021B30000}"/>
    <cellStyle name="Überschrift 3" xfId="10184" xr:uid="{00000000-0005-0000-0000-000022B30000}"/>
    <cellStyle name="Überschrift 3 2" xfId="44471" xr:uid="{00000000-0005-0000-0000-000023B30000}"/>
    <cellStyle name="Überschrift 4" xfId="10185" xr:uid="{00000000-0005-0000-0000-000024B30000}"/>
    <cellStyle name="Überschrift 4 2" xfId="44472" xr:uid="{00000000-0005-0000-0000-000025B30000}"/>
    <cellStyle name="Überschrift 5" xfId="44468" xr:uid="{00000000-0005-0000-0000-000026B30000}"/>
    <cellStyle name="Unit" xfId="24813" xr:uid="{00000000-0005-0000-0000-000027B30000}"/>
    <cellStyle name="Unit 2" xfId="24816" xr:uid="{00000000-0005-0000-0000-000028B30000}"/>
    <cellStyle name="Valore non valido" xfId="9623" xr:uid="{00000000-0005-0000-0000-000029B30000}"/>
    <cellStyle name="Valore valido" xfId="9624" xr:uid="{00000000-0005-0000-0000-00002AB30000}"/>
    <cellStyle name="Valuutta_Layo9704" xfId="2996" xr:uid="{00000000-0005-0000-0000-00002BB30000}"/>
    <cellStyle name="Vérification" xfId="12339" xr:uid="{00000000-0005-0000-0000-00002CB30000}"/>
    <cellStyle name="Vérification 2" xfId="13993" xr:uid="{00000000-0005-0000-0000-00002DB30000}"/>
    <cellStyle name="Vérification 2 2" xfId="18968" xr:uid="{00000000-0005-0000-0000-00002EB30000}"/>
    <cellStyle name="Vérification 3" xfId="14669" xr:uid="{00000000-0005-0000-0000-00002FB30000}"/>
    <cellStyle name="Vérification 3 2" xfId="19977" xr:uid="{00000000-0005-0000-0000-000030B30000}"/>
    <cellStyle name="Vérification 4" xfId="15008" xr:uid="{00000000-0005-0000-0000-000031B30000}"/>
    <cellStyle name="Vérification 4 2" xfId="20369" xr:uid="{00000000-0005-0000-0000-000032B30000}"/>
    <cellStyle name="Vérification 5" xfId="15309" xr:uid="{00000000-0005-0000-0000-000033B30000}"/>
    <cellStyle name="Vérification 5 2" xfId="20698" xr:uid="{00000000-0005-0000-0000-000034B30000}"/>
    <cellStyle name="Vérification 6" xfId="17071" xr:uid="{00000000-0005-0000-0000-000035B30000}"/>
    <cellStyle name="Vérification 6 2" xfId="22718" xr:uid="{00000000-0005-0000-0000-000036B30000}"/>
    <cellStyle name="Vérification 7" xfId="13331" xr:uid="{00000000-0005-0000-0000-000037B30000}"/>
    <cellStyle name="Vérification 7 2" xfId="18310" xr:uid="{00000000-0005-0000-0000-000038B30000}"/>
    <cellStyle name="Vérification 8" xfId="12971" xr:uid="{00000000-0005-0000-0000-000039B30000}"/>
    <cellStyle name="Verknüpfte Zelle" xfId="10186" xr:uid="{00000000-0005-0000-0000-00003AB30000}"/>
    <cellStyle name="Verknüpfte Zelle 2" xfId="44473" xr:uid="{00000000-0005-0000-0000-00003BB30000}"/>
    <cellStyle name="Warnender Text" xfId="10187" xr:uid="{00000000-0005-0000-0000-00003CB30000}"/>
    <cellStyle name="Warnender Text 2" xfId="44474" xr:uid="{00000000-0005-0000-0000-00003DB30000}"/>
    <cellStyle name="Warning Text 10" xfId="4420" xr:uid="{00000000-0005-0000-0000-00003EB30000}"/>
    <cellStyle name="Warning Text 10 2" xfId="5784" xr:uid="{00000000-0005-0000-0000-00003FB30000}"/>
    <cellStyle name="Warning Text 10 2 2" xfId="6745" xr:uid="{00000000-0005-0000-0000-000040B30000}"/>
    <cellStyle name="Warning Text 10 3" xfId="5638" xr:uid="{00000000-0005-0000-0000-000041B30000}"/>
    <cellStyle name="Warning Text 10 3 2" xfId="25126" xr:uid="{00000000-0005-0000-0000-000042B30000}"/>
    <cellStyle name="Warning Text 10 3 3" xfId="29338" xr:uid="{00000000-0005-0000-0000-000043B30000}"/>
    <cellStyle name="Warning Text 10 3 4" xfId="33554" xr:uid="{00000000-0005-0000-0000-000044B30000}"/>
    <cellStyle name="Warning Text 10 3 5" xfId="37758" xr:uid="{00000000-0005-0000-0000-000045B30000}"/>
    <cellStyle name="Warning Text 10 4" xfId="6744" xr:uid="{00000000-0005-0000-0000-000046B30000}"/>
    <cellStyle name="Warning Text 11" xfId="44475" xr:uid="{00000000-0005-0000-0000-000047B30000}"/>
    <cellStyle name="Warning Text 12" xfId="44476" xr:uid="{00000000-0005-0000-0000-000048B30000}"/>
    <cellStyle name="Warning Text 13" xfId="44477" xr:uid="{00000000-0005-0000-0000-000049B30000}"/>
    <cellStyle name="Warning Text 14" xfId="44478" xr:uid="{00000000-0005-0000-0000-00004AB30000}"/>
    <cellStyle name="Warning Text 15" xfId="44479" xr:uid="{00000000-0005-0000-0000-00004BB30000}"/>
    <cellStyle name="Warning Text 16" xfId="44480" xr:uid="{00000000-0005-0000-0000-00004CB30000}"/>
    <cellStyle name="Warning Text 17" xfId="44481" xr:uid="{00000000-0005-0000-0000-00004DB30000}"/>
    <cellStyle name="Warning Text 18" xfId="44482" xr:uid="{00000000-0005-0000-0000-00004EB30000}"/>
    <cellStyle name="Warning Text 19" xfId="44483" xr:uid="{00000000-0005-0000-0000-00004FB30000}"/>
    <cellStyle name="Warning Text 2" xfId="2997" xr:uid="{00000000-0005-0000-0000-000050B30000}"/>
    <cellStyle name="Warning Text 2 10" xfId="2998" xr:uid="{00000000-0005-0000-0000-000051B30000}"/>
    <cellStyle name="Warning Text 2 10 2" xfId="5786" xr:uid="{00000000-0005-0000-0000-000052B30000}"/>
    <cellStyle name="Warning Text 2 10 2 2" xfId="6748" xr:uid="{00000000-0005-0000-0000-000053B30000}"/>
    <cellStyle name="Warning Text 2 10 3" xfId="5640" xr:uid="{00000000-0005-0000-0000-000054B30000}"/>
    <cellStyle name="Warning Text 2 10 3 2" xfId="25128" xr:uid="{00000000-0005-0000-0000-000055B30000}"/>
    <cellStyle name="Warning Text 2 10 3 3" xfId="29340" xr:uid="{00000000-0005-0000-0000-000056B30000}"/>
    <cellStyle name="Warning Text 2 10 3 4" xfId="33556" xr:uid="{00000000-0005-0000-0000-000057B30000}"/>
    <cellStyle name="Warning Text 2 10 3 5" xfId="37760" xr:uid="{00000000-0005-0000-0000-000058B30000}"/>
    <cellStyle name="Warning Text 2 10 4" xfId="8932" xr:uid="{00000000-0005-0000-0000-000059B30000}"/>
    <cellStyle name="Warning Text 2 10 5" xfId="6747" xr:uid="{00000000-0005-0000-0000-00005AB30000}"/>
    <cellStyle name="Warning Text 2 11" xfId="2999" xr:uid="{00000000-0005-0000-0000-00005BB30000}"/>
    <cellStyle name="Warning Text 2 11 2" xfId="5787" xr:uid="{00000000-0005-0000-0000-00005CB30000}"/>
    <cellStyle name="Warning Text 2 11 2 2" xfId="6750" xr:uid="{00000000-0005-0000-0000-00005DB30000}"/>
    <cellStyle name="Warning Text 2 11 3" xfId="5641" xr:uid="{00000000-0005-0000-0000-00005EB30000}"/>
    <cellStyle name="Warning Text 2 11 3 2" xfId="25129" xr:uid="{00000000-0005-0000-0000-00005FB30000}"/>
    <cellStyle name="Warning Text 2 11 3 3" xfId="29341" xr:uid="{00000000-0005-0000-0000-000060B30000}"/>
    <cellStyle name="Warning Text 2 11 3 4" xfId="33557" xr:uid="{00000000-0005-0000-0000-000061B30000}"/>
    <cellStyle name="Warning Text 2 11 3 5" xfId="37761" xr:uid="{00000000-0005-0000-0000-000062B30000}"/>
    <cellStyle name="Warning Text 2 11 4" xfId="6749" xr:uid="{00000000-0005-0000-0000-000063B30000}"/>
    <cellStyle name="Warning Text 2 12" xfId="5785" xr:uid="{00000000-0005-0000-0000-000064B30000}"/>
    <cellStyle name="Warning Text 2 12 2" xfId="6751" xr:uid="{00000000-0005-0000-0000-000065B30000}"/>
    <cellStyle name="Warning Text 2 13" xfId="5639" xr:uid="{00000000-0005-0000-0000-000066B30000}"/>
    <cellStyle name="Warning Text 2 13 2" xfId="25127" xr:uid="{00000000-0005-0000-0000-000067B30000}"/>
    <cellStyle name="Warning Text 2 13 3" xfId="29339" xr:uid="{00000000-0005-0000-0000-000068B30000}"/>
    <cellStyle name="Warning Text 2 13 4" xfId="33555" xr:uid="{00000000-0005-0000-0000-000069B30000}"/>
    <cellStyle name="Warning Text 2 13 5" xfId="37759" xr:uid="{00000000-0005-0000-0000-00006AB30000}"/>
    <cellStyle name="Warning Text 2 14" xfId="7199" xr:uid="{00000000-0005-0000-0000-00006BB30000}"/>
    <cellStyle name="Warning Text 2 15" xfId="6746" xr:uid="{00000000-0005-0000-0000-00006CB30000}"/>
    <cellStyle name="Warning Text 2 2" xfId="3000" xr:uid="{00000000-0005-0000-0000-00006DB30000}"/>
    <cellStyle name="Warning Text 2 2 2" xfId="5788" xr:uid="{00000000-0005-0000-0000-00006EB30000}"/>
    <cellStyle name="Warning Text 2 2 2 2" xfId="6753" xr:uid="{00000000-0005-0000-0000-00006FB30000}"/>
    <cellStyle name="Warning Text 2 2 3" xfId="5642" xr:uid="{00000000-0005-0000-0000-000070B30000}"/>
    <cellStyle name="Warning Text 2 2 3 2" xfId="25130" xr:uid="{00000000-0005-0000-0000-000071B30000}"/>
    <cellStyle name="Warning Text 2 2 3 3" xfId="29342" xr:uid="{00000000-0005-0000-0000-000072B30000}"/>
    <cellStyle name="Warning Text 2 2 3 4" xfId="33558" xr:uid="{00000000-0005-0000-0000-000073B30000}"/>
    <cellStyle name="Warning Text 2 2 3 5" xfId="37762" xr:uid="{00000000-0005-0000-0000-000074B30000}"/>
    <cellStyle name="Warning Text 2 2 4" xfId="8933" xr:uid="{00000000-0005-0000-0000-000075B30000}"/>
    <cellStyle name="Warning Text 2 2 5" xfId="6752" xr:uid="{00000000-0005-0000-0000-000076B30000}"/>
    <cellStyle name="Warning Text 2 3" xfId="3001" xr:uid="{00000000-0005-0000-0000-000077B30000}"/>
    <cellStyle name="Warning Text 2 3 2" xfId="5789" xr:uid="{00000000-0005-0000-0000-000078B30000}"/>
    <cellStyle name="Warning Text 2 3 2 2" xfId="6755" xr:uid="{00000000-0005-0000-0000-000079B30000}"/>
    <cellStyle name="Warning Text 2 3 3" xfId="5643" xr:uid="{00000000-0005-0000-0000-00007AB30000}"/>
    <cellStyle name="Warning Text 2 3 3 2" xfId="25131" xr:uid="{00000000-0005-0000-0000-00007BB30000}"/>
    <cellStyle name="Warning Text 2 3 3 3" xfId="29343" xr:uid="{00000000-0005-0000-0000-00007CB30000}"/>
    <cellStyle name="Warning Text 2 3 3 4" xfId="33559" xr:uid="{00000000-0005-0000-0000-00007DB30000}"/>
    <cellStyle name="Warning Text 2 3 3 5" xfId="37763" xr:uid="{00000000-0005-0000-0000-00007EB30000}"/>
    <cellStyle name="Warning Text 2 3 4" xfId="8934" xr:uid="{00000000-0005-0000-0000-00007FB30000}"/>
    <cellStyle name="Warning Text 2 3 5" xfId="6754" xr:uid="{00000000-0005-0000-0000-000080B30000}"/>
    <cellStyle name="Warning Text 2 4" xfId="3002" xr:uid="{00000000-0005-0000-0000-000081B30000}"/>
    <cellStyle name="Warning Text 2 4 2" xfId="5790" xr:uid="{00000000-0005-0000-0000-000082B30000}"/>
    <cellStyle name="Warning Text 2 4 2 2" xfId="6757" xr:uid="{00000000-0005-0000-0000-000083B30000}"/>
    <cellStyle name="Warning Text 2 4 3" xfId="5644" xr:uid="{00000000-0005-0000-0000-000084B30000}"/>
    <cellStyle name="Warning Text 2 4 3 2" xfId="25132" xr:uid="{00000000-0005-0000-0000-000085B30000}"/>
    <cellStyle name="Warning Text 2 4 3 3" xfId="29344" xr:uid="{00000000-0005-0000-0000-000086B30000}"/>
    <cellStyle name="Warning Text 2 4 3 4" xfId="33560" xr:uid="{00000000-0005-0000-0000-000087B30000}"/>
    <cellStyle name="Warning Text 2 4 3 5" xfId="37764" xr:uid="{00000000-0005-0000-0000-000088B30000}"/>
    <cellStyle name="Warning Text 2 4 4" xfId="8935" xr:uid="{00000000-0005-0000-0000-000089B30000}"/>
    <cellStyle name="Warning Text 2 4 5" xfId="6756" xr:uid="{00000000-0005-0000-0000-00008AB30000}"/>
    <cellStyle name="Warning Text 2 5" xfId="3003" xr:uid="{00000000-0005-0000-0000-00008BB30000}"/>
    <cellStyle name="Warning Text 2 5 2" xfId="5791" xr:uid="{00000000-0005-0000-0000-00008CB30000}"/>
    <cellStyle name="Warning Text 2 5 2 2" xfId="6759" xr:uid="{00000000-0005-0000-0000-00008DB30000}"/>
    <cellStyle name="Warning Text 2 5 3" xfId="5645" xr:uid="{00000000-0005-0000-0000-00008EB30000}"/>
    <cellStyle name="Warning Text 2 5 3 2" xfId="25133" xr:uid="{00000000-0005-0000-0000-00008FB30000}"/>
    <cellStyle name="Warning Text 2 5 3 3" xfId="29345" xr:uid="{00000000-0005-0000-0000-000090B30000}"/>
    <cellStyle name="Warning Text 2 5 3 4" xfId="33561" xr:uid="{00000000-0005-0000-0000-000091B30000}"/>
    <cellStyle name="Warning Text 2 5 3 5" xfId="37765" xr:uid="{00000000-0005-0000-0000-000092B30000}"/>
    <cellStyle name="Warning Text 2 5 4" xfId="8936" xr:uid="{00000000-0005-0000-0000-000093B30000}"/>
    <cellStyle name="Warning Text 2 5 5" xfId="6758" xr:uid="{00000000-0005-0000-0000-000094B30000}"/>
    <cellStyle name="Warning Text 2 6" xfId="3004" xr:uid="{00000000-0005-0000-0000-000095B30000}"/>
    <cellStyle name="Warning Text 2 6 2" xfId="5792" xr:uid="{00000000-0005-0000-0000-000096B30000}"/>
    <cellStyle name="Warning Text 2 6 2 2" xfId="6761" xr:uid="{00000000-0005-0000-0000-000097B30000}"/>
    <cellStyle name="Warning Text 2 6 3" xfId="5646" xr:uid="{00000000-0005-0000-0000-000098B30000}"/>
    <cellStyle name="Warning Text 2 6 3 2" xfId="25134" xr:uid="{00000000-0005-0000-0000-000099B30000}"/>
    <cellStyle name="Warning Text 2 6 3 3" xfId="29346" xr:uid="{00000000-0005-0000-0000-00009AB30000}"/>
    <cellStyle name="Warning Text 2 6 3 4" xfId="33562" xr:uid="{00000000-0005-0000-0000-00009BB30000}"/>
    <cellStyle name="Warning Text 2 6 3 5" xfId="37766" xr:uid="{00000000-0005-0000-0000-00009CB30000}"/>
    <cellStyle name="Warning Text 2 6 4" xfId="8937" xr:uid="{00000000-0005-0000-0000-00009DB30000}"/>
    <cellStyle name="Warning Text 2 6 5" xfId="6760" xr:uid="{00000000-0005-0000-0000-00009EB30000}"/>
    <cellStyle name="Warning Text 2 7" xfId="3005" xr:uid="{00000000-0005-0000-0000-00009FB30000}"/>
    <cellStyle name="Warning Text 2 7 2" xfId="5793" xr:uid="{00000000-0005-0000-0000-0000A0B30000}"/>
    <cellStyle name="Warning Text 2 7 2 2" xfId="6763" xr:uid="{00000000-0005-0000-0000-0000A1B30000}"/>
    <cellStyle name="Warning Text 2 7 3" xfId="5647" xr:uid="{00000000-0005-0000-0000-0000A2B30000}"/>
    <cellStyle name="Warning Text 2 7 3 2" xfId="25135" xr:uid="{00000000-0005-0000-0000-0000A3B30000}"/>
    <cellStyle name="Warning Text 2 7 3 3" xfId="29347" xr:uid="{00000000-0005-0000-0000-0000A4B30000}"/>
    <cellStyle name="Warning Text 2 7 3 4" xfId="33563" xr:uid="{00000000-0005-0000-0000-0000A5B30000}"/>
    <cellStyle name="Warning Text 2 7 3 5" xfId="37767" xr:uid="{00000000-0005-0000-0000-0000A6B30000}"/>
    <cellStyle name="Warning Text 2 7 4" xfId="8938" xr:uid="{00000000-0005-0000-0000-0000A7B30000}"/>
    <cellStyle name="Warning Text 2 7 5" xfId="6762" xr:uid="{00000000-0005-0000-0000-0000A8B30000}"/>
    <cellStyle name="Warning Text 2 8" xfId="3006" xr:uid="{00000000-0005-0000-0000-0000A9B30000}"/>
    <cellStyle name="Warning Text 2 8 2" xfId="5794" xr:uid="{00000000-0005-0000-0000-0000AAB30000}"/>
    <cellStyle name="Warning Text 2 8 2 2" xfId="6765" xr:uid="{00000000-0005-0000-0000-0000ABB30000}"/>
    <cellStyle name="Warning Text 2 8 3" xfId="5648" xr:uid="{00000000-0005-0000-0000-0000ACB30000}"/>
    <cellStyle name="Warning Text 2 8 3 2" xfId="25136" xr:uid="{00000000-0005-0000-0000-0000ADB30000}"/>
    <cellStyle name="Warning Text 2 8 3 3" xfId="29348" xr:uid="{00000000-0005-0000-0000-0000AEB30000}"/>
    <cellStyle name="Warning Text 2 8 3 4" xfId="33564" xr:uid="{00000000-0005-0000-0000-0000AFB30000}"/>
    <cellStyle name="Warning Text 2 8 3 5" xfId="37768" xr:uid="{00000000-0005-0000-0000-0000B0B30000}"/>
    <cellStyle name="Warning Text 2 8 4" xfId="8939" xr:uid="{00000000-0005-0000-0000-0000B1B30000}"/>
    <cellStyle name="Warning Text 2 8 5" xfId="6764" xr:uid="{00000000-0005-0000-0000-0000B2B30000}"/>
    <cellStyle name="Warning Text 2 9" xfId="3007" xr:uid="{00000000-0005-0000-0000-0000B3B30000}"/>
    <cellStyle name="Warning Text 2 9 2" xfId="5795" xr:uid="{00000000-0005-0000-0000-0000B4B30000}"/>
    <cellStyle name="Warning Text 2 9 2 2" xfId="6767" xr:uid="{00000000-0005-0000-0000-0000B5B30000}"/>
    <cellStyle name="Warning Text 2 9 3" xfId="5649" xr:uid="{00000000-0005-0000-0000-0000B6B30000}"/>
    <cellStyle name="Warning Text 2 9 3 2" xfId="25137" xr:uid="{00000000-0005-0000-0000-0000B7B30000}"/>
    <cellStyle name="Warning Text 2 9 3 3" xfId="29349" xr:uid="{00000000-0005-0000-0000-0000B8B30000}"/>
    <cellStyle name="Warning Text 2 9 3 4" xfId="33565" xr:uid="{00000000-0005-0000-0000-0000B9B30000}"/>
    <cellStyle name="Warning Text 2 9 3 5" xfId="37769" xr:uid="{00000000-0005-0000-0000-0000BAB30000}"/>
    <cellStyle name="Warning Text 2 9 4" xfId="8940" xr:uid="{00000000-0005-0000-0000-0000BBB30000}"/>
    <cellStyle name="Warning Text 2 9 5" xfId="6766" xr:uid="{00000000-0005-0000-0000-0000BCB30000}"/>
    <cellStyle name="Warning Text 20" xfId="44484" xr:uid="{00000000-0005-0000-0000-0000BDB30000}"/>
    <cellStyle name="Warning Text 21" xfId="44485" xr:uid="{00000000-0005-0000-0000-0000BEB30000}"/>
    <cellStyle name="Warning Text 22" xfId="44486" xr:uid="{00000000-0005-0000-0000-0000BFB30000}"/>
    <cellStyle name="Warning Text 23" xfId="44487" xr:uid="{00000000-0005-0000-0000-0000C0B30000}"/>
    <cellStyle name="Warning Text 24" xfId="44488" xr:uid="{00000000-0005-0000-0000-0000C1B30000}"/>
    <cellStyle name="Warning Text 25" xfId="44489" xr:uid="{00000000-0005-0000-0000-0000C2B30000}"/>
    <cellStyle name="Warning Text 26" xfId="44490" xr:uid="{00000000-0005-0000-0000-0000C3B30000}"/>
    <cellStyle name="Warning Text 27" xfId="44491" xr:uid="{00000000-0005-0000-0000-0000C4B30000}"/>
    <cellStyle name="Warning Text 28" xfId="44492" xr:uid="{00000000-0005-0000-0000-0000C5B30000}"/>
    <cellStyle name="Warning Text 29" xfId="44493" xr:uid="{00000000-0005-0000-0000-0000C6B30000}"/>
    <cellStyle name="Warning Text 3" xfId="3008" xr:uid="{00000000-0005-0000-0000-0000C7B30000}"/>
    <cellStyle name="Warning Text 3 10" xfId="3009" xr:uid="{00000000-0005-0000-0000-0000C8B30000}"/>
    <cellStyle name="Warning Text 3 10 2" xfId="5797" xr:uid="{00000000-0005-0000-0000-0000C9B30000}"/>
    <cellStyle name="Warning Text 3 10 2 2" xfId="6770" xr:uid="{00000000-0005-0000-0000-0000CAB30000}"/>
    <cellStyle name="Warning Text 3 10 3" xfId="5651" xr:uid="{00000000-0005-0000-0000-0000CBB30000}"/>
    <cellStyle name="Warning Text 3 10 3 2" xfId="25139" xr:uid="{00000000-0005-0000-0000-0000CCB30000}"/>
    <cellStyle name="Warning Text 3 10 3 3" xfId="29351" xr:uid="{00000000-0005-0000-0000-0000CDB30000}"/>
    <cellStyle name="Warning Text 3 10 3 4" xfId="33567" xr:uid="{00000000-0005-0000-0000-0000CEB30000}"/>
    <cellStyle name="Warning Text 3 10 3 5" xfId="37771" xr:uid="{00000000-0005-0000-0000-0000CFB30000}"/>
    <cellStyle name="Warning Text 3 10 4" xfId="6769" xr:uid="{00000000-0005-0000-0000-0000D0B30000}"/>
    <cellStyle name="Warning Text 3 11" xfId="3010" xr:uid="{00000000-0005-0000-0000-0000D1B30000}"/>
    <cellStyle name="Warning Text 3 11 2" xfId="5798" xr:uid="{00000000-0005-0000-0000-0000D2B30000}"/>
    <cellStyle name="Warning Text 3 11 2 2" xfId="6772" xr:uid="{00000000-0005-0000-0000-0000D3B30000}"/>
    <cellStyle name="Warning Text 3 11 3" xfId="5652" xr:uid="{00000000-0005-0000-0000-0000D4B30000}"/>
    <cellStyle name="Warning Text 3 11 3 2" xfId="25140" xr:uid="{00000000-0005-0000-0000-0000D5B30000}"/>
    <cellStyle name="Warning Text 3 11 3 3" xfId="29352" xr:uid="{00000000-0005-0000-0000-0000D6B30000}"/>
    <cellStyle name="Warning Text 3 11 3 4" xfId="33568" xr:uid="{00000000-0005-0000-0000-0000D7B30000}"/>
    <cellStyle name="Warning Text 3 11 3 5" xfId="37772" xr:uid="{00000000-0005-0000-0000-0000D8B30000}"/>
    <cellStyle name="Warning Text 3 11 4" xfId="6771" xr:uid="{00000000-0005-0000-0000-0000D9B30000}"/>
    <cellStyle name="Warning Text 3 12" xfId="5796" xr:uid="{00000000-0005-0000-0000-0000DAB30000}"/>
    <cellStyle name="Warning Text 3 12 2" xfId="6773" xr:uid="{00000000-0005-0000-0000-0000DBB30000}"/>
    <cellStyle name="Warning Text 3 13" xfId="5650" xr:uid="{00000000-0005-0000-0000-0000DCB30000}"/>
    <cellStyle name="Warning Text 3 13 2" xfId="25138" xr:uid="{00000000-0005-0000-0000-0000DDB30000}"/>
    <cellStyle name="Warning Text 3 13 3" xfId="29350" xr:uid="{00000000-0005-0000-0000-0000DEB30000}"/>
    <cellStyle name="Warning Text 3 13 4" xfId="33566" xr:uid="{00000000-0005-0000-0000-0000DFB30000}"/>
    <cellStyle name="Warning Text 3 13 5" xfId="37770" xr:uid="{00000000-0005-0000-0000-0000E0B30000}"/>
    <cellStyle name="Warning Text 3 14" xfId="8941" xr:uid="{00000000-0005-0000-0000-0000E1B30000}"/>
    <cellStyle name="Warning Text 3 15" xfId="6768" xr:uid="{00000000-0005-0000-0000-0000E2B30000}"/>
    <cellStyle name="Warning Text 3 2" xfId="3011" xr:uid="{00000000-0005-0000-0000-0000E3B30000}"/>
    <cellStyle name="Warning Text 3 2 2" xfId="5799" xr:uid="{00000000-0005-0000-0000-0000E4B30000}"/>
    <cellStyle name="Warning Text 3 2 2 2" xfId="6775" xr:uid="{00000000-0005-0000-0000-0000E5B30000}"/>
    <cellStyle name="Warning Text 3 2 3" xfId="5653" xr:uid="{00000000-0005-0000-0000-0000E6B30000}"/>
    <cellStyle name="Warning Text 3 2 3 2" xfId="25141" xr:uid="{00000000-0005-0000-0000-0000E7B30000}"/>
    <cellStyle name="Warning Text 3 2 3 3" xfId="29353" xr:uid="{00000000-0005-0000-0000-0000E8B30000}"/>
    <cellStyle name="Warning Text 3 2 3 4" xfId="33569" xr:uid="{00000000-0005-0000-0000-0000E9B30000}"/>
    <cellStyle name="Warning Text 3 2 3 5" xfId="37773" xr:uid="{00000000-0005-0000-0000-0000EAB30000}"/>
    <cellStyle name="Warning Text 3 2 4" xfId="6774" xr:uid="{00000000-0005-0000-0000-0000EBB30000}"/>
    <cellStyle name="Warning Text 3 3" xfId="3012" xr:uid="{00000000-0005-0000-0000-0000ECB30000}"/>
    <cellStyle name="Warning Text 3 3 2" xfId="5800" xr:uid="{00000000-0005-0000-0000-0000EDB30000}"/>
    <cellStyle name="Warning Text 3 3 2 2" xfId="6777" xr:uid="{00000000-0005-0000-0000-0000EEB30000}"/>
    <cellStyle name="Warning Text 3 3 3" xfId="5654" xr:uid="{00000000-0005-0000-0000-0000EFB30000}"/>
    <cellStyle name="Warning Text 3 3 3 2" xfId="25142" xr:uid="{00000000-0005-0000-0000-0000F0B30000}"/>
    <cellStyle name="Warning Text 3 3 3 3" xfId="29354" xr:uid="{00000000-0005-0000-0000-0000F1B30000}"/>
    <cellStyle name="Warning Text 3 3 3 4" xfId="33570" xr:uid="{00000000-0005-0000-0000-0000F2B30000}"/>
    <cellStyle name="Warning Text 3 3 3 5" xfId="37774" xr:uid="{00000000-0005-0000-0000-0000F3B30000}"/>
    <cellStyle name="Warning Text 3 3 4" xfId="6776" xr:uid="{00000000-0005-0000-0000-0000F4B30000}"/>
    <cellStyle name="Warning Text 3 4" xfId="3013" xr:uid="{00000000-0005-0000-0000-0000F5B30000}"/>
    <cellStyle name="Warning Text 3 4 2" xfId="5801" xr:uid="{00000000-0005-0000-0000-0000F6B30000}"/>
    <cellStyle name="Warning Text 3 4 2 2" xfId="6779" xr:uid="{00000000-0005-0000-0000-0000F7B30000}"/>
    <cellStyle name="Warning Text 3 4 3" xfId="5655" xr:uid="{00000000-0005-0000-0000-0000F8B30000}"/>
    <cellStyle name="Warning Text 3 4 3 2" xfId="25143" xr:uid="{00000000-0005-0000-0000-0000F9B30000}"/>
    <cellStyle name="Warning Text 3 4 3 3" xfId="29355" xr:uid="{00000000-0005-0000-0000-0000FAB30000}"/>
    <cellStyle name="Warning Text 3 4 3 4" xfId="33571" xr:uid="{00000000-0005-0000-0000-0000FBB30000}"/>
    <cellStyle name="Warning Text 3 4 3 5" xfId="37775" xr:uid="{00000000-0005-0000-0000-0000FCB30000}"/>
    <cellStyle name="Warning Text 3 4 4" xfId="6778" xr:uid="{00000000-0005-0000-0000-0000FDB30000}"/>
    <cellStyle name="Warning Text 3 5" xfId="3014" xr:uid="{00000000-0005-0000-0000-0000FEB30000}"/>
    <cellStyle name="Warning Text 3 5 2" xfId="5802" xr:uid="{00000000-0005-0000-0000-0000FFB30000}"/>
    <cellStyle name="Warning Text 3 5 2 2" xfId="6781" xr:uid="{00000000-0005-0000-0000-000000B40000}"/>
    <cellStyle name="Warning Text 3 5 3" xfId="5656" xr:uid="{00000000-0005-0000-0000-000001B40000}"/>
    <cellStyle name="Warning Text 3 5 3 2" xfId="25144" xr:uid="{00000000-0005-0000-0000-000002B40000}"/>
    <cellStyle name="Warning Text 3 5 3 3" xfId="29356" xr:uid="{00000000-0005-0000-0000-000003B40000}"/>
    <cellStyle name="Warning Text 3 5 3 4" xfId="33572" xr:uid="{00000000-0005-0000-0000-000004B40000}"/>
    <cellStyle name="Warning Text 3 5 3 5" xfId="37776" xr:uid="{00000000-0005-0000-0000-000005B40000}"/>
    <cellStyle name="Warning Text 3 5 4" xfId="6780" xr:uid="{00000000-0005-0000-0000-000006B40000}"/>
    <cellStyle name="Warning Text 3 6" xfId="3015" xr:uid="{00000000-0005-0000-0000-000007B40000}"/>
    <cellStyle name="Warning Text 3 6 2" xfId="5803" xr:uid="{00000000-0005-0000-0000-000008B40000}"/>
    <cellStyle name="Warning Text 3 6 2 2" xfId="6783" xr:uid="{00000000-0005-0000-0000-000009B40000}"/>
    <cellStyle name="Warning Text 3 6 3" xfId="5657" xr:uid="{00000000-0005-0000-0000-00000AB40000}"/>
    <cellStyle name="Warning Text 3 6 3 2" xfId="25145" xr:uid="{00000000-0005-0000-0000-00000BB40000}"/>
    <cellStyle name="Warning Text 3 6 3 3" xfId="29357" xr:uid="{00000000-0005-0000-0000-00000CB40000}"/>
    <cellStyle name="Warning Text 3 6 3 4" xfId="33573" xr:uid="{00000000-0005-0000-0000-00000DB40000}"/>
    <cellStyle name="Warning Text 3 6 3 5" xfId="37777" xr:uid="{00000000-0005-0000-0000-00000EB40000}"/>
    <cellStyle name="Warning Text 3 6 4" xfId="6782" xr:uid="{00000000-0005-0000-0000-00000FB40000}"/>
    <cellStyle name="Warning Text 3 7" xfId="3016" xr:uid="{00000000-0005-0000-0000-000010B40000}"/>
    <cellStyle name="Warning Text 3 7 2" xfId="5804" xr:uid="{00000000-0005-0000-0000-000011B40000}"/>
    <cellStyle name="Warning Text 3 7 2 2" xfId="6785" xr:uid="{00000000-0005-0000-0000-000012B40000}"/>
    <cellStyle name="Warning Text 3 7 3" xfId="5658" xr:uid="{00000000-0005-0000-0000-000013B40000}"/>
    <cellStyle name="Warning Text 3 7 3 2" xfId="25146" xr:uid="{00000000-0005-0000-0000-000014B40000}"/>
    <cellStyle name="Warning Text 3 7 3 3" xfId="29358" xr:uid="{00000000-0005-0000-0000-000015B40000}"/>
    <cellStyle name="Warning Text 3 7 3 4" xfId="33574" xr:uid="{00000000-0005-0000-0000-000016B40000}"/>
    <cellStyle name="Warning Text 3 7 3 5" xfId="37778" xr:uid="{00000000-0005-0000-0000-000017B40000}"/>
    <cellStyle name="Warning Text 3 7 4" xfId="6784" xr:uid="{00000000-0005-0000-0000-000018B40000}"/>
    <cellStyle name="Warning Text 3 8" xfId="3017" xr:uid="{00000000-0005-0000-0000-000019B40000}"/>
    <cellStyle name="Warning Text 3 8 2" xfId="5805" xr:uid="{00000000-0005-0000-0000-00001AB40000}"/>
    <cellStyle name="Warning Text 3 8 2 2" xfId="6787" xr:uid="{00000000-0005-0000-0000-00001BB40000}"/>
    <cellStyle name="Warning Text 3 8 3" xfId="5659" xr:uid="{00000000-0005-0000-0000-00001CB40000}"/>
    <cellStyle name="Warning Text 3 8 3 2" xfId="25147" xr:uid="{00000000-0005-0000-0000-00001DB40000}"/>
    <cellStyle name="Warning Text 3 8 3 3" xfId="29359" xr:uid="{00000000-0005-0000-0000-00001EB40000}"/>
    <cellStyle name="Warning Text 3 8 3 4" xfId="33575" xr:uid="{00000000-0005-0000-0000-00001FB40000}"/>
    <cellStyle name="Warning Text 3 8 3 5" xfId="37779" xr:uid="{00000000-0005-0000-0000-000020B40000}"/>
    <cellStyle name="Warning Text 3 8 4" xfId="6786" xr:uid="{00000000-0005-0000-0000-000021B40000}"/>
    <cellStyle name="Warning Text 3 9" xfId="3018" xr:uid="{00000000-0005-0000-0000-000022B40000}"/>
    <cellStyle name="Warning Text 3 9 2" xfId="5806" xr:uid="{00000000-0005-0000-0000-000023B40000}"/>
    <cellStyle name="Warning Text 3 9 2 2" xfId="6789" xr:uid="{00000000-0005-0000-0000-000024B40000}"/>
    <cellStyle name="Warning Text 3 9 3" xfId="5660" xr:uid="{00000000-0005-0000-0000-000025B40000}"/>
    <cellStyle name="Warning Text 3 9 3 2" xfId="25148" xr:uid="{00000000-0005-0000-0000-000026B40000}"/>
    <cellStyle name="Warning Text 3 9 3 3" xfId="29360" xr:uid="{00000000-0005-0000-0000-000027B40000}"/>
    <cellStyle name="Warning Text 3 9 3 4" xfId="33576" xr:uid="{00000000-0005-0000-0000-000028B40000}"/>
    <cellStyle name="Warning Text 3 9 3 5" xfId="37780" xr:uid="{00000000-0005-0000-0000-000029B40000}"/>
    <cellStyle name="Warning Text 3 9 4" xfId="6788" xr:uid="{00000000-0005-0000-0000-00002AB40000}"/>
    <cellStyle name="Warning Text 30" xfId="44494" xr:uid="{00000000-0005-0000-0000-00002BB40000}"/>
    <cellStyle name="Warning Text 31" xfId="44495" xr:uid="{00000000-0005-0000-0000-00002CB40000}"/>
    <cellStyle name="Warning Text 32" xfId="44496" xr:uid="{00000000-0005-0000-0000-00002DB40000}"/>
    <cellStyle name="Warning Text 33" xfId="44497" xr:uid="{00000000-0005-0000-0000-00002EB40000}"/>
    <cellStyle name="Warning Text 34" xfId="44498" xr:uid="{00000000-0005-0000-0000-00002FB40000}"/>
    <cellStyle name="Warning Text 35" xfId="44499" xr:uid="{00000000-0005-0000-0000-000030B40000}"/>
    <cellStyle name="Warning Text 36" xfId="44500" xr:uid="{00000000-0005-0000-0000-000031B40000}"/>
    <cellStyle name="Warning Text 37" xfId="44501" xr:uid="{00000000-0005-0000-0000-000032B40000}"/>
    <cellStyle name="Warning Text 38" xfId="44502" xr:uid="{00000000-0005-0000-0000-000033B40000}"/>
    <cellStyle name="Warning Text 39" xfId="44503" xr:uid="{00000000-0005-0000-0000-000034B40000}"/>
    <cellStyle name="Warning Text 4" xfId="3019" xr:uid="{00000000-0005-0000-0000-000035B40000}"/>
    <cellStyle name="Warning Text 4 10" xfId="3020" xr:uid="{00000000-0005-0000-0000-000036B40000}"/>
    <cellStyle name="Warning Text 4 10 2" xfId="5808" xr:uid="{00000000-0005-0000-0000-000037B40000}"/>
    <cellStyle name="Warning Text 4 10 2 2" xfId="6792" xr:uid="{00000000-0005-0000-0000-000038B40000}"/>
    <cellStyle name="Warning Text 4 10 3" xfId="5662" xr:uid="{00000000-0005-0000-0000-000039B40000}"/>
    <cellStyle name="Warning Text 4 10 3 2" xfId="25150" xr:uid="{00000000-0005-0000-0000-00003AB40000}"/>
    <cellStyle name="Warning Text 4 10 3 3" xfId="29362" xr:uid="{00000000-0005-0000-0000-00003BB40000}"/>
    <cellStyle name="Warning Text 4 10 3 4" xfId="33578" xr:uid="{00000000-0005-0000-0000-00003CB40000}"/>
    <cellStyle name="Warning Text 4 10 3 5" xfId="37782" xr:uid="{00000000-0005-0000-0000-00003DB40000}"/>
    <cellStyle name="Warning Text 4 10 4" xfId="6791" xr:uid="{00000000-0005-0000-0000-00003EB40000}"/>
    <cellStyle name="Warning Text 4 11" xfId="3021" xr:uid="{00000000-0005-0000-0000-00003FB40000}"/>
    <cellStyle name="Warning Text 4 11 2" xfId="5809" xr:uid="{00000000-0005-0000-0000-000040B40000}"/>
    <cellStyle name="Warning Text 4 11 2 2" xfId="6794" xr:uid="{00000000-0005-0000-0000-000041B40000}"/>
    <cellStyle name="Warning Text 4 11 3" xfId="5663" xr:uid="{00000000-0005-0000-0000-000042B40000}"/>
    <cellStyle name="Warning Text 4 11 3 2" xfId="25151" xr:uid="{00000000-0005-0000-0000-000043B40000}"/>
    <cellStyle name="Warning Text 4 11 3 3" xfId="29363" xr:uid="{00000000-0005-0000-0000-000044B40000}"/>
    <cellStyle name="Warning Text 4 11 3 4" xfId="33579" xr:uid="{00000000-0005-0000-0000-000045B40000}"/>
    <cellStyle name="Warning Text 4 11 3 5" xfId="37783" xr:uid="{00000000-0005-0000-0000-000046B40000}"/>
    <cellStyle name="Warning Text 4 11 4" xfId="6793" xr:uid="{00000000-0005-0000-0000-000047B40000}"/>
    <cellStyle name="Warning Text 4 12" xfId="5807" xr:uid="{00000000-0005-0000-0000-000048B40000}"/>
    <cellStyle name="Warning Text 4 12 2" xfId="6795" xr:uid="{00000000-0005-0000-0000-000049B40000}"/>
    <cellStyle name="Warning Text 4 13" xfId="5661" xr:uid="{00000000-0005-0000-0000-00004AB40000}"/>
    <cellStyle name="Warning Text 4 13 2" xfId="25149" xr:uid="{00000000-0005-0000-0000-00004BB40000}"/>
    <cellStyle name="Warning Text 4 13 3" xfId="29361" xr:uid="{00000000-0005-0000-0000-00004CB40000}"/>
    <cellStyle name="Warning Text 4 13 4" xfId="33577" xr:uid="{00000000-0005-0000-0000-00004DB40000}"/>
    <cellStyle name="Warning Text 4 13 5" xfId="37781" xr:uid="{00000000-0005-0000-0000-00004EB40000}"/>
    <cellStyle name="Warning Text 4 14" xfId="6790" xr:uid="{00000000-0005-0000-0000-00004FB40000}"/>
    <cellStyle name="Warning Text 4 2" xfId="3022" xr:uid="{00000000-0005-0000-0000-000050B40000}"/>
    <cellStyle name="Warning Text 4 2 2" xfId="5810" xr:uid="{00000000-0005-0000-0000-000051B40000}"/>
    <cellStyle name="Warning Text 4 2 2 2" xfId="6797" xr:uid="{00000000-0005-0000-0000-000052B40000}"/>
    <cellStyle name="Warning Text 4 2 3" xfId="5664" xr:uid="{00000000-0005-0000-0000-000053B40000}"/>
    <cellStyle name="Warning Text 4 2 3 2" xfId="25152" xr:uid="{00000000-0005-0000-0000-000054B40000}"/>
    <cellStyle name="Warning Text 4 2 3 3" xfId="29364" xr:uid="{00000000-0005-0000-0000-000055B40000}"/>
    <cellStyle name="Warning Text 4 2 3 4" xfId="33580" xr:uid="{00000000-0005-0000-0000-000056B40000}"/>
    <cellStyle name="Warning Text 4 2 3 5" xfId="37784" xr:uid="{00000000-0005-0000-0000-000057B40000}"/>
    <cellStyle name="Warning Text 4 2 4" xfId="6796" xr:uid="{00000000-0005-0000-0000-000058B40000}"/>
    <cellStyle name="Warning Text 4 3" xfId="3023" xr:uid="{00000000-0005-0000-0000-000059B40000}"/>
    <cellStyle name="Warning Text 4 3 2" xfId="5811" xr:uid="{00000000-0005-0000-0000-00005AB40000}"/>
    <cellStyle name="Warning Text 4 3 2 2" xfId="6799" xr:uid="{00000000-0005-0000-0000-00005BB40000}"/>
    <cellStyle name="Warning Text 4 3 3" xfId="5665" xr:uid="{00000000-0005-0000-0000-00005CB40000}"/>
    <cellStyle name="Warning Text 4 3 3 2" xfId="25153" xr:uid="{00000000-0005-0000-0000-00005DB40000}"/>
    <cellStyle name="Warning Text 4 3 3 3" xfId="29365" xr:uid="{00000000-0005-0000-0000-00005EB40000}"/>
    <cellStyle name="Warning Text 4 3 3 4" xfId="33581" xr:uid="{00000000-0005-0000-0000-00005FB40000}"/>
    <cellStyle name="Warning Text 4 3 3 5" xfId="37785" xr:uid="{00000000-0005-0000-0000-000060B40000}"/>
    <cellStyle name="Warning Text 4 3 4" xfId="6798" xr:uid="{00000000-0005-0000-0000-000061B40000}"/>
    <cellStyle name="Warning Text 4 4" xfId="3024" xr:uid="{00000000-0005-0000-0000-000062B40000}"/>
    <cellStyle name="Warning Text 4 4 2" xfId="5812" xr:uid="{00000000-0005-0000-0000-000063B40000}"/>
    <cellStyle name="Warning Text 4 4 2 2" xfId="6801" xr:uid="{00000000-0005-0000-0000-000064B40000}"/>
    <cellStyle name="Warning Text 4 4 3" xfId="5666" xr:uid="{00000000-0005-0000-0000-000065B40000}"/>
    <cellStyle name="Warning Text 4 4 3 2" xfId="25154" xr:uid="{00000000-0005-0000-0000-000066B40000}"/>
    <cellStyle name="Warning Text 4 4 3 3" xfId="29366" xr:uid="{00000000-0005-0000-0000-000067B40000}"/>
    <cellStyle name="Warning Text 4 4 3 4" xfId="33582" xr:uid="{00000000-0005-0000-0000-000068B40000}"/>
    <cellStyle name="Warning Text 4 4 3 5" xfId="37786" xr:uid="{00000000-0005-0000-0000-000069B40000}"/>
    <cellStyle name="Warning Text 4 4 4" xfId="6800" xr:uid="{00000000-0005-0000-0000-00006AB40000}"/>
    <cellStyle name="Warning Text 4 5" xfId="3025" xr:uid="{00000000-0005-0000-0000-00006BB40000}"/>
    <cellStyle name="Warning Text 4 5 2" xfId="5813" xr:uid="{00000000-0005-0000-0000-00006CB40000}"/>
    <cellStyle name="Warning Text 4 5 2 2" xfId="6803" xr:uid="{00000000-0005-0000-0000-00006DB40000}"/>
    <cellStyle name="Warning Text 4 5 3" xfId="5667" xr:uid="{00000000-0005-0000-0000-00006EB40000}"/>
    <cellStyle name="Warning Text 4 5 3 2" xfId="25155" xr:uid="{00000000-0005-0000-0000-00006FB40000}"/>
    <cellStyle name="Warning Text 4 5 3 3" xfId="29367" xr:uid="{00000000-0005-0000-0000-000070B40000}"/>
    <cellStyle name="Warning Text 4 5 3 4" xfId="33583" xr:uid="{00000000-0005-0000-0000-000071B40000}"/>
    <cellStyle name="Warning Text 4 5 3 5" xfId="37787" xr:uid="{00000000-0005-0000-0000-000072B40000}"/>
    <cellStyle name="Warning Text 4 5 4" xfId="6802" xr:uid="{00000000-0005-0000-0000-000073B40000}"/>
    <cellStyle name="Warning Text 4 6" xfId="3026" xr:uid="{00000000-0005-0000-0000-000074B40000}"/>
    <cellStyle name="Warning Text 4 6 2" xfId="5814" xr:uid="{00000000-0005-0000-0000-000075B40000}"/>
    <cellStyle name="Warning Text 4 6 2 2" xfId="6805" xr:uid="{00000000-0005-0000-0000-000076B40000}"/>
    <cellStyle name="Warning Text 4 6 3" xfId="5668" xr:uid="{00000000-0005-0000-0000-000077B40000}"/>
    <cellStyle name="Warning Text 4 6 3 2" xfId="25156" xr:uid="{00000000-0005-0000-0000-000078B40000}"/>
    <cellStyle name="Warning Text 4 6 3 3" xfId="29368" xr:uid="{00000000-0005-0000-0000-000079B40000}"/>
    <cellStyle name="Warning Text 4 6 3 4" xfId="33584" xr:uid="{00000000-0005-0000-0000-00007AB40000}"/>
    <cellStyle name="Warning Text 4 6 3 5" xfId="37788" xr:uid="{00000000-0005-0000-0000-00007BB40000}"/>
    <cellStyle name="Warning Text 4 6 4" xfId="6804" xr:uid="{00000000-0005-0000-0000-00007CB40000}"/>
    <cellStyle name="Warning Text 4 7" xfId="3027" xr:uid="{00000000-0005-0000-0000-00007DB40000}"/>
    <cellStyle name="Warning Text 4 7 2" xfId="5815" xr:uid="{00000000-0005-0000-0000-00007EB40000}"/>
    <cellStyle name="Warning Text 4 7 2 2" xfId="6807" xr:uid="{00000000-0005-0000-0000-00007FB40000}"/>
    <cellStyle name="Warning Text 4 7 3" xfId="5669" xr:uid="{00000000-0005-0000-0000-000080B40000}"/>
    <cellStyle name="Warning Text 4 7 3 2" xfId="25157" xr:uid="{00000000-0005-0000-0000-000081B40000}"/>
    <cellStyle name="Warning Text 4 7 3 3" xfId="29369" xr:uid="{00000000-0005-0000-0000-000082B40000}"/>
    <cellStyle name="Warning Text 4 7 3 4" xfId="33585" xr:uid="{00000000-0005-0000-0000-000083B40000}"/>
    <cellStyle name="Warning Text 4 7 3 5" xfId="37789" xr:uid="{00000000-0005-0000-0000-000084B40000}"/>
    <cellStyle name="Warning Text 4 7 4" xfId="6806" xr:uid="{00000000-0005-0000-0000-000085B40000}"/>
    <cellStyle name="Warning Text 4 8" xfId="3028" xr:uid="{00000000-0005-0000-0000-000086B40000}"/>
    <cellStyle name="Warning Text 4 8 2" xfId="5816" xr:uid="{00000000-0005-0000-0000-000087B40000}"/>
    <cellStyle name="Warning Text 4 8 2 2" xfId="6809" xr:uid="{00000000-0005-0000-0000-000088B40000}"/>
    <cellStyle name="Warning Text 4 8 3" xfId="5670" xr:uid="{00000000-0005-0000-0000-000089B40000}"/>
    <cellStyle name="Warning Text 4 8 3 2" xfId="25158" xr:uid="{00000000-0005-0000-0000-00008AB40000}"/>
    <cellStyle name="Warning Text 4 8 3 3" xfId="29370" xr:uid="{00000000-0005-0000-0000-00008BB40000}"/>
    <cellStyle name="Warning Text 4 8 3 4" xfId="33586" xr:uid="{00000000-0005-0000-0000-00008CB40000}"/>
    <cellStyle name="Warning Text 4 8 3 5" xfId="37790" xr:uid="{00000000-0005-0000-0000-00008DB40000}"/>
    <cellStyle name="Warning Text 4 8 4" xfId="6808" xr:uid="{00000000-0005-0000-0000-00008EB40000}"/>
    <cellStyle name="Warning Text 4 9" xfId="3029" xr:uid="{00000000-0005-0000-0000-00008FB40000}"/>
    <cellStyle name="Warning Text 4 9 2" xfId="5817" xr:uid="{00000000-0005-0000-0000-000090B40000}"/>
    <cellStyle name="Warning Text 4 9 2 2" xfId="6811" xr:uid="{00000000-0005-0000-0000-000091B40000}"/>
    <cellStyle name="Warning Text 4 9 3" xfId="5671" xr:uid="{00000000-0005-0000-0000-000092B40000}"/>
    <cellStyle name="Warning Text 4 9 3 2" xfId="25159" xr:uid="{00000000-0005-0000-0000-000093B40000}"/>
    <cellStyle name="Warning Text 4 9 3 3" xfId="29371" xr:uid="{00000000-0005-0000-0000-000094B40000}"/>
    <cellStyle name="Warning Text 4 9 3 4" xfId="33587" xr:uid="{00000000-0005-0000-0000-000095B40000}"/>
    <cellStyle name="Warning Text 4 9 3 5" xfId="37791" xr:uid="{00000000-0005-0000-0000-000096B40000}"/>
    <cellStyle name="Warning Text 4 9 4" xfId="6810" xr:uid="{00000000-0005-0000-0000-000097B40000}"/>
    <cellStyle name="Warning Text 40" xfId="44504" xr:uid="{00000000-0005-0000-0000-000098B40000}"/>
    <cellStyle name="Warning Text 41" xfId="44505" xr:uid="{00000000-0005-0000-0000-000099B40000}"/>
    <cellStyle name="Warning Text 5" xfId="3030" xr:uid="{00000000-0005-0000-0000-00009AB40000}"/>
    <cellStyle name="Warning Text 5 10" xfId="3031" xr:uid="{00000000-0005-0000-0000-00009BB40000}"/>
    <cellStyle name="Warning Text 5 10 2" xfId="5819" xr:uid="{00000000-0005-0000-0000-00009CB40000}"/>
    <cellStyle name="Warning Text 5 10 2 2" xfId="6814" xr:uid="{00000000-0005-0000-0000-00009DB40000}"/>
    <cellStyle name="Warning Text 5 10 3" xfId="5673" xr:uid="{00000000-0005-0000-0000-00009EB40000}"/>
    <cellStyle name="Warning Text 5 10 3 2" xfId="25161" xr:uid="{00000000-0005-0000-0000-00009FB40000}"/>
    <cellStyle name="Warning Text 5 10 3 3" xfId="29373" xr:uid="{00000000-0005-0000-0000-0000A0B40000}"/>
    <cellStyle name="Warning Text 5 10 3 4" xfId="33589" xr:uid="{00000000-0005-0000-0000-0000A1B40000}"/>
    <cellStyle name="Warning Text 5 10 3 5" xfId="37793" xr:uid="{00000000-0005-0000-0000-0000A2B40000}"/>
    <cellStyle name="Warning Text 5 10 4" xfId="6813" xr:uid="{00000000-0005-0000-0000-0000A3B40000}"/>
    <cellStyle name="Warning Text 5 11" xfId="3032" xr:uid="{00000000-0005-0000-0000-0000A4B40000}"/>
    <cellStyle name="Warning Text 5 11 2" xfId="5820" xr:uid="{00000000-0005-0000-0000-0000A5B40000}"/>
    <cellStyle name="Warning Text 5 11 2 2" xfId="6816" xr:uid="{00000000-0005-0000-0000-0000A6B40000}"/>
    <cellStyle name="Warning Text 5 11 3" xfId="5674" xr:uid="{00000000-0005-0000-0000-0000A7B40000}"/>
    <cellStyle name="Warning Text 5 11 3 2" xfId="25162" xr:uid="{00000000-0005-0000-0000-0000A8B40000}"/>
    <cellStyle name="Warning Text 5 11 3 3" xfId="29374" xr:uid="{00000000-0005-0000-0000-0000A9B40000}"/>
    <cellStyle name="Warning Text 5 11 3 4" xfId="33590" xr:uid="{00000000-0005-0000-0000-0000AAB40000}"/>
    <cellStyle name="Warning Text 5 11 3 5" xfId="37794" xr:uid="{00000000-0005-0000-0000-0000ABB40000}"/>
    <cellStyle name="Warning Text 5 11 4" xfId="6815" xr:uid="{00000000-0005-0000-0000-0000ACB40000}"/>
    <cellStyle name="Warning Text 5 12" xfId="5818" xr:uid="{00000000-0005-0000-0000-0000ADB40000}"/>
    <cellStyle name="Warning Text 5 12 2" xfId="6817" xr:uid="{00000000-0005-0000-0000-0000AEB40000}"/>
    <cellStyle name="Warning Text 5 13" xfId="5672" xr:uid="{00000000-0005-0000-0000-0000AFB40000}"/>
    <cellStyle name="Warning Text 5 13 2" xfId="25160" xr:uid="{00000000-0005-0000-0000-0000B0B40000}"/>
    <cellStyle name="Warning Text 5 13 3" xfId="29372" xr:uid="{00000000-0005-0000-0000-0000B1B40000}"/>
    <cellStyle name="Warning Text 5 13 4" xfId="33588" xr:uid="{00000000-0005-0000-0000-0000B2B40000}"/>
    <cellStyle name="Warning Text 5 13 5" xfId="37792" xr:uid="{00000000-0005-0000-0000-0000B3B40000}"/>
    <cellStyle name="Warning Text 5 14" xfId="6812" xr:uid="{00000000-0005-0000-0000-0000B4B40000}"/>
    <cellStyle name="Warning Text 5 2" xfId="3033" xr:uid="{00000000-0005-0000-0000-0000B5B40000}"/>
    <cellStyle name="Warning Text 5 2 2" xfId="5821" xr:uid="{00000000-0005-0000-0000-0000B6B40000}"/>
    <cellStyle name="Warning Text 5 2 2 2" xfId="6819" xr:uid="{00000000-0005-0000-0000-0000B7B40000}"/>
    <cellStyle name="Warning Text 5 2 3" xfId="5675" xr:uid="{00000000-0005-0000-0000-0000B8B40000}"/>
    <cellStyle name="Warning Text 5 2 3 2" xfId="25163" xr:uid="{00000000-0005-0000-0000-0000B9B40000}"/>
    <cellStyle name="Warning Text 5 2 3 3" xfId="29375" xr:uid="{00000000-0005-0000-0000-0000BAB40000}"/>
    <cellStyle name="Warning Text 5 2 3 4" xfId="33591" xr:uid="{00000000-0005-0000-0000-0000BBB40000}"/>
    <cellStyle name="Warning Text 5 2 3 5" xfId="37795" xr:uid="{00000000-0005-0000-0000-0000BCB40000}"/>
    <cellStyle name="Warning Text 5 2 4" xfId="6818" xr:uid="{00000000-0005-0000-0000-0000BDB40000}"/>
    <cellStyle name="Warning Text 5 3" xfId="3034" xr:uid="{00000000-0005-0000-0000-0000BEB40000}"/>
    <cellStyle name="Warning Text 5 3 2" xfId="5822" xr:uid="{00000000-0005-0000-0000-0000BFB40000}"/>
    <cellStyle name="Warning Text 5 3 2 2" xfId="6821" xr:uid="{00000000-0005-0000-0000-0000C0B40000}"/>
    <cellStyle name="Warning Text 5 3 3" xfId="5676" xr:uid="{00000000-0005-0000-0000-0000C1B40000}"/>
    <cellStyle name="Warning Text 5 3 3 2" xfId="25164" xr:uid="{00000000-0005-0000-0000-0000C2B40000}"/>
    <cellStyle name="Warning Text 5 3 3 3" xfId="29376" xr:uid="{00000000-0005-0000-0000-0000C3B40000}"/>
    <cellStyle name="Warning Text 5 3 3 4" xfId="33592" xr:uid="{00000000-0005-0000-0000-0000C4B40000}"/>
    <cellStyle name="Warning Text 5 3 3 5" xfId="37796" xr:uid="{00000000-0005-0000-0000-0000C5B40000}"/>
    <cellStyle name="Warning Text 5 3 4" xfId="6820" xr:uid="{00000000-0005-0000-0000-0000C6B40000}"/>
    <cellStyle name="Warning Text 5 4" xfId="3035" xr:uid="{00000000-0005-0000-0000-0000C7B40000}"/>
    <cellStyle name="Warning Text 5 4 2" xfId="5823" xr:uid="{00000000-0005-0000-0000-0000C8B40000}"/>
    <cellStyle name="Warning Text 5 4 2 2" xfId="6823" xr:uid="{00000000-0005-0000-0000-0000C9B40000}"/>
    <cellStyle name="Warning Text 5 4 3" xfId="5677" xr:uid="{00000000-0005-0000-0000-0000CAB40000}"/>
    <cellStyle name="Warning Text 5 4 3 2" xfId="25165" xr:uid="{00000000-0005-0000-0000-0000CBB40000}"/>
    <cellStyle name="Warning Text 5 4 3 3" xfId="29377" xr:uid="{00000000-0005-0000-0000-0000CCB40000}"/>
    <cellStyle name="Warning Text 5 4 3 4" xfId="33593" xr:uid="{00000000-0005-0000-0000-0000CDB40000}"/>
    <cellStyle name="Warning Text 5 4 3 5" xfId="37797" xr:uid="{00000000-0005-0000-0000-0000CEB40000}"/>
    <cellStyle name="Warning Text 5 4 4" xfId="6822" xr:uid="{00000000-0005-0000-0000-0000CFB40000}"/>
    <cellStyle name="Warning Text 5 5" xfId="3036" xr:uid="{00000000-0005-0000-0000-0000D0B40000}"/>
    <cellStyle name="Warning Text 5 5 2" xfId="5824" xr:uid="{00000000-0005-0000-0000-0000D1B40000}"/>
    <cellStyle name="Warning Text 5 5 2 2" xfId="6825" xr:uid="{00000000-0005-0000-0000-0000D2B40000}"/>
    <cellStyle name="Warning Text 5 5 3" xfId="5678" xr:uid="{00000000-0005-0000-0000-0000D3B40000}"/>
    <cellStyle name="Warning Text 5 5 3 2" xfId="25166" xr:uid="{00000000-0005-0000-0000-0000D4B40000}"/>
    <cellStyle name="Warning Text 5 5 3 3" xfId="29378" xr:uid="{00000000-0005-0000-0000-0000D5B40000}"/>
    <cellStyle name="Warning Text 5 5 3 4" xfId="33594" xr:uid="{00000000-0005-0000-0000-0000D6B40000}"/>
    <cellStyle name="Warning Text 5 5 3 5" xfId="37798" xr:uid="{00000000-0005-0000-0000-0000D7B40000}"/>
    <cellStyle name="Warning Text 5 5 4" xfId="6824" xr:uid="{00000000-0005-0000-0000-0000D8B40000}"/>
    <cellStyle name="Warning Text 5 6" xfId="3037" xr:uid="{00000000-0005-0000-0000-0000D9B40000}"/>
    <cellStyle name="Warning Text 5 6 2" xfId="5825" xr:uid="{00000000-0005-0000-0000-0000DAB40000}"/>
    <cellStyle name="Warning Text 5 6 2 2" xfId="6827" xr:uid="{00000000-0005-0000-0000-0000DBB40000}"/>
    <cellStyle name="Warning Text 5 6 3" xfId="5679" xr:uid="{00000000-0005-0000-0000-0000DCB40000}"/>
    <cellStyle name="Warning Text 5 6 3 2" xfId="25167" xr:uid="{00000000-0005-0000-0000-0000DDB40000}"/>
    <cellStyle name="Warning Text 5 6 3 3" xfId="29379" xr:uid="{00000000-0005-0000-0000-0000DEB40000}"/>
    <cellStyle name="Warning Text 5 6 3 4" xfId="33595" xr:uid="{00000000-0005-0000-0000-0000DFB40000}"/>
    <cellStyle name="Warning Text 5 6 3 5" xfId="37799" xr:uid="{00000000-0005-0000-0000-0000E0B40000}"/>
    <cellStyle name="Warning Text 5 6 4" xfId="6826" xr:uid="{00000000-0005-0000-0000-0000E1B40000}"/>
    <cellStyle name="Warning Text 5 7" xfId="3038" xr:uid="{00000000-0005-0000-0000-0000E2B40000}"/>
    <cellStyle name="Warning Text 5 7 2" xfId="5826" xr:uid="{00000000-0005-0000-0000-0000E3B40000}"/>
    <cellStyle name="Warning Text 5 7 2 2" xfId="6829" xr:uid="{00000000-0005-0000-0000-0000E4B40000}"/>
    <cellStyle name="Warning Text 5 7 3" xfId="5680" xr:uid="{00000000-0005-0000-0000-0000E5B40000}"/>
    <cellStyle name="Warning Text 5 7 3 2" xfId="25168" xr:uid="{00000000-0005-0000-0000-0000E6B40000}"/>
    <cellStyle name="Warning Text 5 7 3 3" xfId="29380" xr:uid="{00000000-0005-0000-0000-0000E7B40000}"/>
    <cellStyle name="Warning Text 5 7 3 4" xfId="33596" xr:uid="{00000000-0005-0000-0000-0000E8B40000}"/>
    <cellStyle name="Warning Text 5 7 3 5" xfId="37800" xr:uid="{00000000-0005-0000-0000-0000E9B40000}"/>
    <cellStyle name="Warning Text 5 7 4" xfId="6828" xr:uid="{00000000-0005-0000-0000-0000EAB40000}"/>
    <cellStyle name="Warning Text 5 8" xfId="3039" xr:uid="{00000000-0005-0000-0000-0000EBB40000}"/>
    <cellStyle name="Warning Text 5 8 2" xfId="5827" xr:uid="{00000000-0005-0000-0000-0000ECB40000}"/>
    <cellStyle name="Warning Text 5 8 2 2" xfId="6831" xr:uid="{00000000-0005-0000-0000-0000EDB40000}"/>
    <cellStyle name="Warning Text 5 8 3" xfId="5681" xr:uid="{00000000-0005-0000-0000-0000EEB40000}"/>
    <cellStyle name="Warning Text 5 8 3 2" xfId="25169" xr:uid="{00000000-0005-0000-0000-0000EFB40000}"/>
    <cellStyle name="Warning Text 5 8 3 3" xfId="29381" xr:uid="{00000000-0005-0000-0000-0000F0B40000}"/>
    <cellStyle name="Warning Text 5 8 3 4" xfId="33597" xr:uid="{00000000-0005-0000-0000-0000F1B40000}"/>
    <cellStyle name="Warning Text 5 8 3 5" xfId="37801" xr:uid="{00000000-0005-0000-0000-0000F2B40000}"/>
    <cellStyle name="Warning Text 5 8 4" xfId="6830" xr:uid="{00000000-0005-0000-0000-0000F3B40000}"/>
    <cellStyle name="Warning Text 5 9" xfId="3040" xr:uid="{00000000-0005-0000-0000-0000F4B40000}"/>
    <cellStyle name="Warning Text 5 9 2" xfId="5828" xr:uid="{00000000-0005-0000-0000-0000F5B40000}"/>
    <cellStyle name="Warning Text 5 9 2 2" xfId="6833" xr:uid="{00000000-0005-0000-0000-0000F6B40000}"/>
    <cellStyle name="Warning Text 5 9 3" xfId="5682" xr:uid="{00000000-0005-0000-0000-0000F7B40000}"/>
    <cellStyle name="Warning Text 5 9 3 2" xfId="25170" xr:uid="{00000000-0005-0000-0000-0000F8B40000}"/>
    <cellStyle name="Warning Text 5 9 3 3" xfId="29382" xr:uid="{00000000-0005-0000-0000-0000F9B40000}"/>
    <cellStyle name="Warning Text 5 9 3 4" xfId="33598" xr:uid="{00000000-0005-0000-0000-0000FAB40000}"/>
    <cellStyle name="Warning Text 5 9 3 5" xfId="37802" xr:uid="{00000000-0005-0000-0000-0000FBB40000}"/>
    <cellStyle name="Warning Text 5 9 4" xfId="6832" xr:uid="{00000000-0005-0000-0000-0000FCB40000}"/>
    <cellStyle name="Warning Text 6" xfId="3041" xr:uid="{00000000-0005-0000-0000-0000FDB40000}"/>
    <cellStyle name="Warning Text 6 10" xfId="3042" xr:uid="{00000000-0005-0000-0000-0000FEB40000}"/>
    <cellStyle name="Warning Text 6 10 2" xfId="5830" xr:uid="{00000000-0005-0000-0000-0000FFB40000}"/>
    <cellStyle name="Warning Text 6 10 2 2" xfId="6836" xr:uid="{00000000-0005-0000-0000-000000B50000}"/>
    <cellStyle name="Warning Text 6 10 3" xfId="5684" xr:uid="{00000000-0005-0000-0000-000001B50000}"/>
    <cellStyle name="Warning Text 6 10 3 2" xfId="25172" xr:uid="{00000000-0005-0000-0000-000002B50000}"/>
    <cellStyle name="Warning Text 6 10 3 3" xfId="29384" xr:uid="{00000000-0005-0000-0000-000003B50000}"/>
    <cellStyle name="Warning Text 6 10 3 4" xfId="33600" xr:uid="{00000000-0005-0000-0000-000004B50000}"/>
    <cellStyle name="Warning Text 6 10 3 5" xfId="37804" xr:uid="{00000000-0005-0000-0000-000005B50000}"/>
    <cellStyle name="Warning Text 6 10 4" xfId="6835" xr:uid="{00000000-0005-0000-0000-000006B50000}"/>
    <cellStyle name="Warning Text 6 11" xfId="3043" xr:uid="{00000000-0005-0000-0000-000007B50000}"/>
    <cellStyle name="Warning Text 6 11 2" xfId="5831" xr:uid="{00000000-0005-0000-0000-000008B50000}"/>
    <cellStyle name="Warning Text 6 11 2 2" xfId="6838" xr:uid="{00000000-0005-0000-0000-000009B50000}"/>
    <cellStyle name="Warning Text 6 11 3" xfId="5685" xr:uid="{00000000-0005-0000-0000-00000AB50000}"/>
    <cellStyle name="Warning Text 6 11 3 2" xfId="25173" xr:uid="{00000000-0005-0000-0000-00000BB50000}"/>
    <cellStyle name="Warning Text 6 11 3 3" xfId="29385" xr:uid="{00000000-0005-0000-0000-00000CB50000}"/>
    <cellStyle name="Warning Text 6 11 3 4" xfId="33601" xr:uid="{00000000-0005-0000-0000-00000DB50000}"/>
    <cellStyle name="Warning Text 6 11 3 5" xfId="37805" xr:uid="{00000000-0005-0000-0000-00000EB50000}"/>
    <cellStyle name="Warning Text 6 11 4" xfId="6837" xr:uid="{00000000-0005-0000-0000-00000FB50000}"/>
    <cellStyle name="Warning Text 6 12" xfId="5829" xr:uid="{00000000-0005-0000-0000-000010B50000}"/>
    <cellStyle name="Warning Text 6 12 2" xfId="6839" xr:uid="{00000000-0005-0000-0000-000011B50000}"/>
    <cellStyle name="Warning Text 6 13" xfId="5683" xr:uid="{00000000-0005-0000-0000-000012B50000}"/>
    <cellStyle name="Warning Text 6 13 2" xfId="25171" xr:uid="{00000000-0005-0000-0000-000013B50000}"/>
    <cellStyle name="Warning Text 6 13 3" xfId="29383" xr:uid="{00000000-0005-0000-0000-000014B50000}"/>
    <cellStyle name="Warning Text 6 13 4" xfId="33599" xr:uid="{00000000-0005-0000-0000-000015B50000}"/>
    <cellStyle name="Warning Text 6 13 5" xfId="37803" xr:uid="{00000000-0005-0000-0000-000016B50000}"/>
    <cellStyle name="Warning Text 6 14" xfId="6834" xr:uid="{00000000-0005-0000-0000-000017B50000}"/>
    <cellStyle name="Warning Text 6 2" xfId="3044" xr:uid="{00000000-0005-0000-0000-000018B50000}"/>
    <cellStyle name="Warning Text 6 2 2" xfId="5832" xr:uid="{00000000-0005-0000-0000-000019B50000}"/>
    <cellStyle name="Warning Text 6 2 2 2" xfId="6841" xr:uid="{00000000-0005-0000-0000-00001AB50000}"/>
    <cellStyle name="Warning Text 6 2 3" xfId="5686" xr:uid="{00000000-0005-0000-0000-00001BB50000}"/>
    <cellStyle name="Warning Text 6 2 3 2" xfId="25174" xr:uid="{00000000-0005-0000-0000-00001CB50000}"/>
    <cellStyle name="Warning Text 6 2 3 3" xfId="29386" xr:uid="{00000000-0005-0000-0000-00001DB50000}"/>
    <cellStyle name="Warning Text 6 2 3 4" xfId="33602" xr:uid="{00000000-0005-0000-0000-00001EB50000}"/>
    <cellStyle name="Warning Text 6 2 3 5" xfId="37806" xr:uid="{00000000-0005-0000-0000-00001FB50000}"/>
    <cellStyle name="Warning Text 6 2 4" xfId="6840" xr:uid="{00000000-0005-0000-0000-000020B50000}"/>
    <cellStyle name="Warning Text 6 3" xfId="3045" xr:uid="{00000000-0005-0000-0000-000021B50000}"/>
    <cellStyle name="Warning Text 6 3 2" xfId="5833" xr:uid="{00000000-0005-0000-0000-000022B50000}"/>
    <cellStyle name="Warning Text 6 3 2 2" xfId="6843" xr:uid="{00000000-0005-0000-0000-000023B50000}"/>
    <cellStyle name="Warning Text 6 3 3" xfId="5687" xr:uid="{00000000-0005-0000-0000-000024B50000}"/>
    <cellStyle name="Warning Text 6 3 3 2" xfId="25175" xr:uid="{00000000-0005-0000-0000-000025B50000}"/>
    <cellStyle name="Warning Text 6 3 3 3" xfId="29387" xr:uid="{00000000-0005-0000-0000-000026B50000}"/>
    <cellStyle name="Warning Text 6 3 3 4" xfId="33603" xr:uid="{00000000-0005-0000-0000-000027B50000}"/>
    <cellStyle name="Warning Text 6 3 3 5" xfId="37807" xr:uid="{00000000-0005-0000-0000-000028B50000}"/>
    <cellStyle name="Warning Text 6 3 4" xfId="6842" xr:uid="{00000000-0005-0000-0000-000029B50000}"/>
    <cellStyle name="Warning Text 6 4" xfId="3046" xr:uid="{00000000-0005-0000-0000-00002AB50000}"/>
    <cellStyle name="Warning Text 6 4 2" xfId="5834" xr:uid="{00000000-0005-0000-0000-00002BB50000}"/>
    <cellStyle name="Warning Text 6 4 2 2" xfId="6845" xr:uid="{00000000-0005-0000-0000-00002CB50000}"/>
    <cellStyle name="Warning Text 6 4 3" xfId="5688" xr:uid="{00000000-0005-0000-0000-00002DB50000}"/>
    <cellStyle name="Warning Text 6 4 3 2" xfId="25176" xr:uid="{00000000-0005-0000-0000-00002EB50000}"/>
    <cellStyle name="Warning Text 6 4 3 3" xfId="29388" xr:uid="{00000000-0005-0000-0000-00002FB50000}"/>
    <cellStyle name="Warning Text 6 4 3 4" xfId="33604" xr:uid="{00000000-0005-0000-0000-000030B50000}"/>
    <cellStyle name="Warning Text 6 4 3 5" xfId="37808" xr:uid="{00000000-0005-0000-0000-000031B50000}"/>
    <cellStyle name="Warning Text 6 4 4" xfId="6844" xr:uid="{00000000-0005-0000-0000-000032B50000}"/>
    <cellStyle name="Warning Text 6 5" xfId="3047" xr:uid="{00000000-0005-0000-0000-000033B50000}"/>
    <cellStyle name="Warning Text 6 5 2" xfId="5835" xr:uid="{00000000-0005-0000-0000-000034B50000}"/>
    <cellStyle name="Warning Text 6 5 2 2" xfId="6847" xr:uid="{00000000-0005-0000-0000-000035B50000}"/>
    <cellStyle name="Warning Text 6 5 3" xfId="5689" xr:uid="{00000000-0005-0000-0000-000036B50000}"/>
    <cellStyle name="Warning Text 6 5 3 2" xfId="25177" xr:uid="{00000000-0005-0000-0000-000037B50000}"/>
    <cellStyle name="Warning Text 6 5 3 3" xfId="29389" xr:uid="{00000000-0005-0000-0000-000038B50000}"/>
    <cellStyle name="Warning Text 6 5 3 4" xfId="33605" xr:uid="{00000000-0005-0000-0000-000039B50000}"/>
    <cellStyle name="Warning Text 6 5 3 5" xfId="37809" xr:uid="{00000000-0005-0000-0000-00003AB50000}"/>
    <cellStyle name="Warning Text 6 5 4" xfId="6846" xr:uid="{00000000-0005-0000-0000-00003BB50000}"/>
    <cellStyle name="Warning Text 6 6" xfId="3048" xr:uid="{00000000-0005-0000-0000-00003CB50000}"/>
    <cellStyle name="Warning Text 6 6 2" xfId="5836" xr:uid="{00000000-0005-0000-0000-00003DB50000}"/>
    <cellStyle name="Warning Text 6 6 2 2" xfId="6849" xr:uid="{00000000-0005-0000-0000-00003EB50000}"/>
    <cellStyle name="Warning Text 6 6 3" xfId="5690" xr:uid="{00000000-0005-0000-0000-00003FB50000}"/>
    <cellStyle name="Warning Text 6 6 3 2" xfId="25178" xr:uid="{00000000-0005-0000-0000-000040B50000}"/>
    <cellStyle name="Warning Text 6 6 3 3" xfId="29390" xr:uid="{00000000-0005-0000-0000-000041B50000}"/>
    <cellStyle name="Warning Text 6 6 3 4" xfId="33606" xr:uid="{00000000-0005-0000-0000-000042B50000}"/>
    <cellStyle name="Warning Text 6 6 3 5" xfId="37810" xr:uid="{00000000-0005-0000-0000-000043B50000}"/>
    <cellStyle name="Warning Text 6 6 4" xfId="6848" xr:uid="{00000000-0005-0000-0000-000044B50000}"/>
    <cellStyle name="Warning Text 6 7" xfId="3049" xr:uid="{00000000-0005-0000-0000-000045B50000}"/>
    <cellStyle name="Warning Text 6 7 2" xfId="5837" xr:uid="{00000000-0005-0000-0000-000046B50000}"/>
    <cellStyle name="Warning Text 6 7 2 2" xfId="6851" xr:uid="{00000000-0005-0000-0000-000047B50000}"/>
    <cellStyle name="Warning Text 6 7 3" xfId="5691" xr:uid="{00000000-0005-0000-0000-000048B50000}"/>
    <cellStyle name="Warning Text 6 7 3 2" xfId="25179" xr:uid="{00000000-0005-0000-0000-000049B50000}"/>
    <cellStyle name="Warning Text 6 7 3 3" xfId="29391" xr:uid="{00000000-0005-0000-0000-00004AB50000}"/>
    <cellStyle name="Warning Text 6 7 3 4" xfId="33607" xr:uid="{00000000-0005-0000-0000-00004BB50000}"/>
    <cellStyle name="Warning Text 6 7 3 5" xfId="37811" xr:uid="{00000000-0005-0000-0000-00004CB50000}"/>
    <cellStyle name="Warning Text 6 7 4" xfId="6850" xr:uid="{00000000-0005-0000-0000-00004DB50000}"/>
    <cellStyle name="Warning Text 6 8" xfId="3050" xr:uid="{00000000-0005-0000-0000-00004EB50000}"/>
    <cellStyle name="Warning Text 6 8 2" xfId="5838" xr:uid="{00000000-0005-0000-0000-00004FB50000}"/>
    <cellStyle name="Warning Text 6 8 2 2" xfId="6853" xr:uid="{00000000-0005-0000-0000-000050B50000}"/>
    <cellStyle name="Warning Text 6 8 3" xfId="5692" xr:uid="{00000000-0005-0000-0000-000051B50000}"/>
    <cellStyle name="Warning Text 6 8 3 2" xfId="25180" xr:uid="{00000000-0005-0000-0000-000052B50000}"/>
    <cellStyle name="Warning Text 6 8 3 3" xfId="29392" xr:uid="{00000000-0005-0000-0000-000053B50000}"/>
    <cellStyle name="Warning Text 6 8 3 4" xfId="33608" xr:uid="{00000000-0005-0000-0000-000054B50000}"/>
    <cellStyle name="Warning Text 6 8 3 5" xfId="37812" xr:uid="{00000000-0005-0000-0000-000055B50000}"/>
    <cellStyle name="Warning Text 6 8 4" xfId="6852" xr:uid="{00000000-0005-0000-0000-000056B50000}"/>
    <cellStyle name="Warning Text 6 9" xfId="3051" xr:uid="{00000000-0005-0000-0000-000057B50000}"/>
    <cellStyle name="Warning Text 6 9 2" xfId="5839" xr:uid="{00000000-0005-0000-0000-000058B50000}"/>
    <cellStyle name="Warning Text 6 9 2 2" xfId="6855" xr:uid="{00000000-0005-0000-0000-000059B50000}"/>
    <cellStyle name="Warning Text 6 9 3" xfId="5693" xr:uid="{00000000-0005-0000-0000-00005AB50000}"/>
    <cellStyle name="Warning Text 6 9 3 2" xfId="25181" xr:uid="{00000000-0005-0000-0000-00005BB50000}"/>
    <cellStyle name="Warning Text 6 9 3 3" xfId="29393" xr:uid="{00000000-0005-0000-0000-00005CB50000}"/>
    <cellStyle name="Warning Text 6 9 3 4" xfId="33609" xr:uid="{00000000-0005-0000-0000-00005DB50000}"/>
    <cellStyle name="Warning Text 6 9 3 5" xfId="37813" xr:uid="{00000000-0005-0000-0000-00005EB50000}"/>
    <cellStyle name="Warning Text 6 9 4" xfId="6854" xr:uid="{00000000-0005-0000-0000-00005FB50000}"/>
    <cellStyle name="Warning Text 7" xfId="3052" xr:uid="{00000000-0005-0000-0000-000060B50000}"/>
    <cellStyle name="Warning Text 7 2" xfId="5840" xr:uid="{00000000-0005-0000-0000-000061B50000}"/>
    <cellStyle name="Warning Text 7 2 2" xfId="6857" xr:uid="{00000000-0005-0000-0000-000062B50000}"/>
    <cellStyle name="Warning Text 7 3" xfId="5694" xr:uid="{00000000-0005-0000-0000-000063B50000}"/>
    <cellStyle name="Warning Text 7 3 2" xfId="25182" xr:uid="{00000000-0005-0000-0000-000064B50000}"/>
    <cellStyle name="Warning Text 7 3 3" xfId="29394" xr:uid="{00000000-0005-0000-0000-000065B50000}"/>
    <cellStyle name="Warning Text 7 3 4" xfId="33610" xr:uid="{00000000-0005-0000-0000-000066B50000}"/>
    <cellStyle name="Warning Text 7 3 5" xfId="37814" xr:uid="{00000000-0005-0000-0000-000067B50000}"/>
    <cellStyle name="Warning Text 7 4" xfId="6856" xr:uid="{00000000-0005-0000-0000-000068B50000}"/>
    <cellStyle name="Warning Text 8" xfId="3053" xr:uid="{00000000-0005-0000-0000-000069B50000}"/>
    <cellStyle name="Warning Text 8 2" xfId="5841" xr:uid="{00000000-0005-0000-0000-00006AB50000}"/>
    <cellStyle name="Warning Text 8 2 2" xfId="6859" xr:uid="{00000000-0005-0000-0000-00006BB50000}"/>
    <cellStyle name="Warning Text 8 3" xfId="5695" xr:uid="{00000000-0005-0000-0000-00006CB50000}"/>
    <cellStyle name="Warning Text 8 3 2" xfId="25183" xr:uid="{00000000-0005-0000-0000-00006DB50000}"/>
    <cellStyle name="Warning Text 8 3 3" xfId="29395" xr:uid="{00000000-0005-0000-0000-00006EB50000}"/>
    <cellStyle name="Warning Text 8 3 4" xfId="33611" xr:uid="{00000000-0005-0000-0000-00006FB50000}"/>
    <cellStyle name="Warning Text 8 3 5" xfId="37815" xr:uid="{00000000-0005-0000-0000-000070B50000}"/>
    <cellStyle name="Warning Text 8 4" xfId="6858" xr:uid="{00000000-0005-0000-0000-000071B50000}"/>
    <cellStyle name="Warning Text 9" xfId="4421" xr:uid="{00000000-0005-0000-0000-000072B50000}"/>
    <cellStyle name="Warning Text 9 2" xfId="5842" xr:uid="{00000000-0005-0000-0000-000073B50000}"/>
    <cellStyle name="Warning Text 9 2 2" xfId="6861" xr:uid="{00000000-0005-0000-0000-000074B50000}"/>
    <cellStyle name="Warning Text 9 3" xfId="5696" xr:uid="{00000000-0005-0000-0000-000075B50000}"/>
    <cellStyle name="Warning Text 9 3 2" xfId="25184" xr:uid="{00000000-0005-0000-0000-000076B50000}"/>
    <cellStyle name="Warning Text 9 3 3" xfId="29396" xr:uid="{00000000-0005-0000-0000-000077B50000}"/>
    <cellStyle name="Warning Text 9 3 4" xfId="33612" xr:uid="{00000000-0005-0000-0000-000078B50000}"/>
    <cellStyle name="Warning Text 9 3 5" xfId="37816" xr:uid="{00000000-0005-0000-0000-000079B50000}"/>
    <cellStyle name="Warning Text 9 4" xfId="6860" xr:uid="{00000000-0005-0000-0000-00007AB50000}"/>
    <cellStyle name="Zelle überprüfen" xfId="10189" xr:uid="{00000000-0005-0000-0000-00007BB50000}"/>
    <cellStyle name="Zelle überprüfen 2" xfId="44506" xr:uid="{00000000-0005-0000-0000-00007CB50000}"/>
    <cellStyle name="Гиперссылка" xfId="7073" xr:uid="{00000000-0005-0000-0000-00007DB50000}"/>
    <cellStyle name="Гиперссылка 2" xfId="44507" xr:uid="{00000000-0005-0000-0000-00007EB50000}"/>
    <cellStyle name="Обычный_2++" xfId="7074" xr:uid="{00000000-0005-0000-0000-00007FB50000}"/>
    <cellStyle name="已访问的超链接" xfId="4422" xr:uid="{00000000-0005-0000-0000-000080B50000}"/>
    <cellStyle name="已访问的超链接 2" xfId="44508" xr:uid="{00000000-0005-0000-0000-000081B50000}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9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0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9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theme" Target="theme/theme1.xml"/><Relationship Id="rId36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externalLink" Target="externalLinks/externalLink9.xml"/><Relationship Id="rId30" Type="http://schemas.openxmlformats.org/officeDocument/2006/relationships/sharedStrings" Target="sharedStrings.xml"/><Relationship Id="rId35" Type="http://schemas.openxmlformats.org/officeDocument/2006/relationships/customXml" Target="../customXml/item2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560295</xdr:colOff>
      <xdr:row>2</xdr:row>
      <xdr:rowOff>19458</xdr:rowOff>
    </xdr:from>
    <xdr:to>
      <xdr:col>27</xdr:col>
      <xdr:colOff>347387</xdr:colOff>
      <xdr:row>43</xdr:row>
      <xdr:rowOff>134470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B321BEEA-768C-43C9-8FC4-81192ED2A1B3}"/>
            </a:ext>
          </a:extLst>
        </xdr:cNvPr>
        <xdr:cNvGrpSpPr/>
      </xdr:nvGrpSpPr>
      <xdr:grpSpPr>
        <a:xfrm>
          <a:off x="560295" y="343308"/>
          <a:ext cx="16246292" cy="6753937"/>
          <a:chOff x="280147" y="404574"/>
          <a:chExt cx="16680452" cy="6699955"/>
        </a:xfrm>
      </xdr:grpSpPr>
      <xdr:sp macro="" textlink="">
        <xdr:nvSpPr>
          <xdr:cNvPr id="135" name="Rectangle: Rounded Corners 134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SpPr/>
        </xdr:nvSpPr>
        <xdr:spPr>
          <a:xfrm>
            <a:off x="5618212" y="1815656"/>
            <a:ext cx="1244668" cy="1091822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Archetype</a:t>
            </a:r>
          </a:p>
          <a:p>
            <a:pPr algn="l"/>
            <a:r>
              <a:rPr lang="en-GB" sz="1400">
                <a:solidFill>
                  <a:sysClr val="windowText" lastClr="000000"/>
                </a:solidFill>
              </a:rPr>
              <a:t>Apartment</a:t>
            </a:r>
          </a:p>
          <a:p>
            <a:pPr algn="l"/>
            <a:r>
              <a:rPr lang="en-GB" sz="1400" baseline="0">
                <a:solidFill>
                  <a:sysClr val="windowText" lastClr="000000"/>
                </a:solidFill>
              </a:rPr>
              <a:t>Attached</a:t>
            </a:r>
          </a:p>
          <a:p>
            <a:pPr algn="l"/>
            <a:r>
              <a:rPr lang="en-GB" sz="1400" baseline="0">
                <a:solidFill>
                  <a:sysClr val="windowText" lastClr="000000"/>
                </a:solidFill>
              </a:rPr>
              <a:t>Detached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6" name="Rectangle: Rounded Corners 135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SpPr/>
        </xdr:nvSpPr>
        <xdr:spPr>
          <a:xfrm>
            <a:off x="1686218" y="968836"/>
            <a:ext cx="1667841" cy="696519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Space</a:t>
            </a:r>
            <a:r>
              <a:rPr lang="en-GB" sz="1400" b="1" u="sng" baseline="0">
                <a:solidFill>
                  <a:sysClr val="windowText" lastClr="000000"/>
                </a:solidFill>
              </a:rPr>
              <a:t> Heat appliances</a:t>
            </a:r>
          </a:p>
          <a:p>
            <a:pPr algn="l"/>
            <a:r>
              <a:rPr lang="en-GB" sz="1400" b="0" u="none" baseline="0">
                <a:solidFill>
                  <a:sysClr val="windowText" lastClr="000000"/>
                </a:solidFill>
              </a:rPr>
              <a:t>Type, efficiency</a:t>
            </a:r>
            <a:endParaRPr lang="en-GB" sz="1400" b="0" u="none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7" name="Rectangle: Rounded Corners 136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/>
        </xdr:nvSpPr>
        <xdr:spPr>
          <a:xfrm>
            <a:off x="1657627" y="1678797"/>
            <a:ext cx="1667841" cy="696519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Water</a:t>
            </a:r>
            <a:r>
              <a:rPr lang="en-GB" sz="1400" baseline="0">
                <a:solidFill>
                  <a:sysClr val="windowText" lastClr="000000"/>
                </a:solidFill>
              </a:rPr>
              <a:t> Heat appliances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8" name="Rectangle: Rounded Corners 137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SpPr/>
        </xdr:nvSpPr>
        <xdr:spPr>
          <a:xfrm>
            <a:off x="1638566" y="2399756"/>
            <a:ext cx="1667841" cy="696519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lang="en-GB" sz="1400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Lighting appliances</a:t>
            </a:r>
          </a:p>
        </xdr:txBody>
      </xdr:sp>
      <xdr:sp macro="" textlink="">
        <xdr:nvSpPr>
          <xdr:cNvPr id="139" name="Rectangle: Rounded Corners 138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SpPr/>
        </xdr:nvSpPr>
        <xdr:spPr>
          <a:xfrm>
            <a:off x="1629035" y="3124380"/>
            <a:ext cx="1667841" cy="696519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lang="en-GB" sz="1400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Pumps &amp; Fans </a:t>
            </a:r>
          </a:p>
        </xdr:txBody>
      </xdr:sp>
      <xdr:cxnSp macro="">
        <xdr:nvCxnSpPr>
          <xdr:cNvPr id="140" name="Straight Arrow Connector 139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CxnSpPr/>
        </xdr:nvCxnSpPr>
        <xdr:spPr>
          <a:xfrm flipV="1">
            <a:off x="590209" y="3460420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1" name="TextBox 16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SpPr txBox="1"/>
        </xdr:nvSpPr>
        <xdr:spPr>
          <a:xfrm>
            <a:off x="523494" y="3179548"/>
            <a:ext cx="1013413" cy="15030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42" name="Straight Arrow Connector 141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CxnSpPr/>
        </xdr:nvCxnSpPr>
        <xdr:spPr>
          <a:xfrm flipV="1">
            <a:off x="609270" y="2735795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3" name="TextBox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 txBox="1"/>
        </xdr:nvSpPr>
        <xdr:spPr>
          <a:xfrm>
            <a:off x="542555" y="2482950"/>
            <a:ext cx="912465" cy="109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44" name="Straight Arrow Connector 143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CxnSpPr/>
        </xdr:nvCxnSpPr>
        <xdr:spPr>
          <a:xfrm flipV="1">
            <a:off x="628331" y="2044164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5" name="TextBox 20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SpPr txBox="1"/>
        </xdr:nvSpPr>
        <xdr:spPr>
          <a:xfrm>
            <a:off x="573730" y="1791216"/>
            <a:ext cx="705258" cy="11730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46" name="Straight Arrow Connector 145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CxnSpPr/>
        </xdr:nvCxnSpPr>
        <xdr:spPr>
          <a:xfrm flipV="1">
            <a:off x="675983" y="1315874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7" name="TextBox 22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SpPr txBox="1"/>
        </xdr:nvSpPr>
        <xdr:spPr>
          <a:xfrm>
            <a:off x="609270" y="1072193"/>
            <a:ext cx="705258" cy="11730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48" name="Connector: Elbow 147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CxnSpPr>
            <a:cxnSpLocks/>
          </xdr:cNvCxnSpPr>
        </xdr:nvCxnSpPr>
        <xdr:spPr>
          <a:xfrm>
            <a:off x="3339763" y="1307320"/>
            <a:ext cx="2157115" cy="997121"/>
          </a:xfrm>
          <a:prstGeom prst="bentConnector3">
            <a:avLst>
              <a:gd name="adj1" fmla="val 48442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Connector: Elbow 148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CxnSpPr>
            <a:cxnSpLocks/>
          </xdr:cNvCxnSpPr>
        </xdr:nvCxnSpPr>
        <xdr:spPr>
          <a:xfrm>
            <a:off x="3311172" y="2017281"/>
            <a:ext cx="2160904" cy="287160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Connector: Elbow 149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CxnSpPr>
            <a:cxnSpLocks/>
          </xdr:cNvCxnSpPr>
        </xdr:nvCxnSpPr>
        <xdr:spPr>
          <a:xfrm flipV="1">
            <a:off x="3292111" y="2294667"/>
            <a:ext cx="2191086" cy="441130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Connector: Elbow 150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CxnSpPr>
            <a:cxnSpLocks/>
          </xdr:cNvCxnSpPr>
        </xdr:nvCxnSpPr>
        <xdr:spPr>
          <a:xfrm flipV="1">
            <a:off x="3282580" y="2304441"/>
            <a:ext cx="2200617" cy="1155982"/>
          </a:xfrm>
          <a:prstGeom prst="bentConnector3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Arrow Connector 151">
            <a:extLst>
              <a:ext uri="{FF2B5EF4-FFF2-40B4-BE49-F238E27FC236}">
                <a16:creationId xmlns:a16="http://schemas.microsoft.com/office/drawing/2014/main" id="{00000000-0008-0000-0200-000026000000}"/>
              </a:ext>
            </a:extLst>
          </xdr:cNvPr>
          <xdr:cNvCxnSpPr>
            <a:stCxn id="179" idx="3"/>
            <a:endCxn id="180" idx="1"/>
          </xdr:cNvCxnSpPr>
        </xdr:nvCxnSpPr>
        <xdr:spPr>
          <a:xfrm flipV="1">
            <a:off x="12434307" y="2397873"/>
            <a:ext cx="981034" cy="11065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3" name="TextBox 38">
            <a:extLst>
              <a:ext uri="{FF2B5EF4-FFF2-40B4-BE49-F238E27FC236}">
                <a16:creationId xmlns:a16="http://schemas.microsoft.com/office/drawing/2014/main" id="{00000000-0008-0000-0200-000027000000}"/>
              </a:ext>
            </a:extLst>
          </xdr:cNvPr>
          <xdr:cNvSpPr txBox="1"/>
        </xdr:nvSpPr>
        <xdr:spPr>
          <a:xfrm>
            <a:off x="15314356" y="2050199"/>
            <a:ext cx="1646243" cy="73012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demands</a:t>
            </a:r>
          </a:p>
        </xdr:txBody>
      </xdr:sp>
      <xdr:sp macro="" textlink="">
        <xdr:nvSpPr>
          <xdr:cNvPr id="154" name="Rectangle: Rounded Corners 153">
            <a:extLst>
              <a:ext uri="{FF2B5EF4-FFF2-40B4-BE49-F238E27FC236}">
                <a16:creationId xmlns:a16="http://schemas.microsoft.com/office/drawing/2014/main" id="{00000000-0008-0000-0200-000028000000}"/>
              </a:ext>
            </a:extLst>
          </xdr:cNvPr>
          <xdr:cNvSpPr/>
        </xdr:nvSpPr>
        <xdr:spPr>
          <a:xfrm>
            <a:off x="5521511" y="1072702"/>
            <a:ext cx="9793064" cy="2809501"/>
          </a:xfrm>
          <a:prstGeom prst="roundRect">
            <a:avLst/>
          </a:prstGeom>
          <a:noFill/>
          <a:ln>
            <a:solidFill>
              <a:sysClr val="windowText" lastClr="00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5" name="Rectangle: Rounded Corners 154">
            <a:extLst>
              <a:ext uri="{FF2B5EF4-FFF2-40B4-BE49-F238E27FC236}">
                <a16:creationId xmlns:a16="http://schemas.microsoft.com/office/drawing/2014/main" id="{00000000-0008-0000-0200-000035000000}"/>
              </a:ext>
            </a:extLst>
          </xdr:cNvPr>
          <xdr:cNvSpPr/>
        </xdr:nvSpPr>
        <xdr:spPr>
          <a:xfrm>
            <a:off x="8761041" y="4025556"/>
            <a:ext cx="1667841" cy="337262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Cooking</a:t>
            </a:r>
          </a:p>
        </xdr:txBody>
      </xdr:sp>
      <xdr:sp macro="" textlink="">
        <xdr:nvSpPr>
          <xdr:cNvPr id="156" name="Rectangle: Rounded Corners 155">
            <a:extLst>
              <a:ext uri="{FF2B5EF4-FFF2-40B4-BE49-F238E27FC236}">
                <a16:creationId xmlns:a16="http://schemas.microsoft.com/office/drawing/2014/main" id="{00000000-0008-0000-0200-000037000000}"/>
              </a:ext>
            </a:extLst>
          </xdr:cNvPr>
          <xdr:cNvSpPr/>
        </xdr:nvSpPr>
        <xdr:spPr>
          <a:xfrm>
            <a:off x="8741980" y="4432471"/>
            <a:ext cx="1667841" cy="337262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Refrigeration</a:t>
            </a:r>
          </a:p>
        </xdr:txBody>
      </xdr:sp>
      <xdr:sp macro="" textlink="">
        <xdr:nvSpPr>
          <xdr:cNvPr id="157" name="Rectangle: Rounded Corners 156">
            <a:extLst>
              <a:ext uri="{FF2B5EF4-FFF2-40B4-BE49-F238E27FC236}">
                <a16:creationId xmlns:a16="http://schemas.microsoft.com/office/drawing/2014/main" id="{00000000-0008-0000-0200-000038000000}"/>
              </a:ext>
            </a:extLst>
          </xdr:cNvPr>
          <xdr:cNvSpPr/>
        </xdr:nvSpPr>
        <xdr:spPr>
          <a:xfrm>
            <a:off x="8770572" y="6423049"/>
            <a:ext cx="1667841" cy="337262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Other energy</a:t>
            </a:r>
          </a:p>
        </xdr:txBody>
      </xdr:sp>
      <xdr:sp macro="" textlink="">
        <xdr:nvSpPr>
          <xdr:cNvPr id="158" name="Rectangle: Rounded Corners 157">
            <a:extLst>
              <a:ext uri="{FF2B5EF4-FFF2-40B4-BE49-F238E27FC236}">
                <a16:creationId xmlns:a16="http://schemas.microsoft.com/office/drawing/2014/main" id="{00000000-0008-0000-0200-000039000000}"/>
              </a:ext>
            </a:extLst>
          </xdr:cNvPr>
          <xdr:cNvSpPr/>
        </xdr:nvSpPr>
        <xdr:spPr>
          <a:xfrm>
            <a:off x="8761041" y="5215749"/>
            <a:ext cx="1667841" cy="337262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Cloth</a:t>
            </a:r>
            <a:r>
              <a:rPr lang="en-GB" sz="1400" baseline="0">
                <a:solidFill>
                  <a:sysClr val="windowText" lastClr="000000"/>
                </a:solidFill>
              </a:rPr>
              <a:t> Drying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9" name="Rectangle: Rounded Corners 158">
            <a:extLst>
              <a:ext uri="{FF2B5EF4-FFF2-40B4-BE49-F238E27FC236}">
                <a16:creationId xmlns:a16="http://schemas.microsoft.com/office/drawing/2014/main" id="{00000000-0008-0000-0200-00003A000000}"/>
              </a:ext>
            </a:extLst>
          </xdr:cNvPr>
          <xdr:cNvSpPr/>
        </xdr:nvSpPr>
        <xdr:spPr>
          <a:xfrm>
            <a:off x="8770572" y="5617775"/>
            <a:ext cx="1667841" cy="337262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Dish Washing</a:t>
            </a:r>
          </a:p>
        </xdr:txBody>
      </xdr:sp>
      <xdr:sp macro="" textlink="">
        <xdr:nvSpPr>
          <xdr:cNvPr id="160" name="Rectangle: Rounded Corners 159">
            <a:extLst>
              <a:ext uri="{FF2B5EF4-FFF2-40B4-BE49-F238E27FC236}">
                <a16:creationId xmlns:a16="http://schemas.microsoft.com/office/drawing/2014/main" id="{00000000-0008-0000-0200-00003B000000}"/>
              </a:ext>
            </a:extLst>
          </xdr:cNvPr>
          <xdr:cNvSpPr/>
        </xdr:nvSpPr>
        <xdr:spPr>
          <a:xfrm>
            <a:off x="8751511" y="4823499"/>
            <a:ext cx="1667841" cy="337262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Cloth Washing</a:t>
            </a:r>
          </a:p>
        </xdr:txBody>
      </xdr:sp>
      <xdr:sp macro="" textlink="">
        <xdr:nvSpPr>
          <xdr:cNvPr id="161" name="Rectangle: Rounded Corners 160">
            <a:extLst>
              <a:ext uri="{FF2B5EF4-FFF2-40B4-BE49-F238E27FC236}">
                <a16:creationId xmlns:a16="http://schemas.microsoft.com/office/drawing/2014/main" id="{00000000-0008-0000-0200-00003C000000}"/>
              </a:ext>
            </a:extLst>
          </xdr:cNvPr>
          <xdr:cNvSpPr/>
        </xdr:nvSpPr>
        <xdr:spPr>
          <a:xfrm>
            <a:off x="8761041" y="6016136"/>
            <a:ext cx="1667841" cy="337262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Other</a:t>
            </a:r>
            <a:r>
              <a:rPr lang="en-GB" sz="1400" baseline="0">
                <a:solidFill>
                  <a:sysClr val="windowText" lastClr="000000"/>
                </a:solidFill>
              </a:rPr>
              <a:t> Electric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2" name="Straight Arrow Connector 161">
            <a:extLst>
              <a:ext uri="{FF2B5EF4-FFF2-40B4-BE49-F238E27FC236}">
                <a16:creationId xmlns:a16="http://schemas.microsoft.com/office/drawing/2014/main" id="{00000000-0008-0000-0200-00003D000000}"/>
              </a:ext>
            </a:extLst>
          </xdr:cNvPr>
          <xdr:cNvCxnSpPr/>
        </xdr:nvCxnSpPr>
        <xdr:spPr>
          <a:xfrm flipV="1">
            <a:off x="7712684" y="4593770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3" name="TextBox 61">
            <a:extLst>
              <a:ext uri="{FF2B5EF4-FFF2-40B4-BE49-F238E27FC236}">
                <a16:creationId xmlns:a16="http://schemas.microsoft.com/office/drawing/2014/main" id="{00000000-0008-0000-0200-00003E000000}"/>
              </a:ext>
            </a:extLst>
          </xdr:cNvPr>
          <xdr:cNvSpPr txBox="1"/>
        </xdr:nvSpPr>
        <xdr:spPr>
          <a:xfrm>
            <a:off x="7645971" y="4377481"/>
            <a:ext cx="962582" cy="1723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4" name="Straight Arrow Connector 163">
            <a:extLst>
              <a:ext uri="{FF2B5EF4-FFF2-40B4-BE49-F238E27FC236}">
                <a16:creationId xmlns:a16="http://schemas.microsoft.com/office/drawing/2014/main" id="{00000000-0008-0000-0200-00003F000000}"/>
              </a:ext>
            </a:extLst>
          </xdr:cNvPr>
          <xdr:cNvCxnSpPr/>
        </xdr:nvCxnSpPr>
        <xdr:spPr>
          <a:xfrm flipV="1">
            <a:off x="7703154" y="4984798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5" name="TextBox 63">
            <a:extLst>
              <a:ext uri="{FF2B5EF4-FFF2-40B4-BE49-F238E27FC236}">
                <a16:creationId xmlns:a16="http://schemas.microsoft.com/office/drawing/2014/main" id="{00000000-0008-0000-0200-000040000000}"/>
              </a:ext>
            </a:extLst>
          </xdr:cNvPr>
          <xdr:cNvSpPr txBox="1"/>
        </xdr:nvSpPr>
        <xdr:spPr>
          <a:xfrm>
            <a:off x="7617690" y="4746516"/>
            <a:ext cx="971803" cy="2896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6" name="Straight Arrow Connector 165">
            <a:extLst>
              <a:ext uri="{FF2B5EF4-FFF2-40B4-BE49-F238E27FC236}">
                <a16:creationId xmlns:a16="http://schemas.microsoft.com/office/drawing/2014/main" id="{00000000-0008-0000-0200-000041000000}"/>
              </a:ext>
            </a:extLst>
          </xdr:cNvPr>
          <xdr:cNvCxnSpPr/>
        </xdr:nvCxnSpPr>
        <xdr:spPr>
          <a:xfrm flipV="1">
            <a:off x="7722215" y="5364829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7" name="TextBox 65">
            <a:extLst>
              <a:ext uri="{FF2B5EF4-FFF2-40B4-BE49-F238E27FC236}">
                <a16:creationId xmlns:a16="http://schemas.microsoft.com/office/drawing/2014/main" id="{00000000-0008-0000-0200-000042000000}"/>
              </a:ext>
            </a:extLst>
          </xdr:cNvPr>
          <xdr:cNvSpPr txBox="1"/>
        </xdr:nvSpPr>
        <xdr:spPr>
          <a:xfrm>
            <a:off x="7655501" y="5133159"/>
            <a:ext cx="953052" cy="1209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8" name="Straight Arrow Connector 167">
            <a:extLst>
              <a:ext uri="{FF2B5EF4-FFF2-40B4-BE49-F238E27FC236}">
                <a16:creationId xmlns:a16="http://schemas.microsoft.com/office/drawing/2014/main" id="{00000000-0008-0000-0200-000043000000}"/>
              </a:ext>
            </a:extLst>
          </xdr:cNvPr>
          <xdr:cNvCxnSpPr/>
        </xdr:nvCxnSpPr>
        <xdr:spPr>
          <a:xfrm flipV="1">
            <a:off x="7731745" y="5764411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9" name="TextBox 67">
            <a:extLst>
              <a:ext uri="{FF2B5EF4-FFF2-40B4-BE49-F238E27FC236}">
                <a16:creationId xmlns:a16="http://schemas.microsoft.com/office/drawing/2014/main" id="{00000000-0008-0000-0200-000044000000}"/>
              </a:ext>
            </a:extLst>
          </xdr:cNvPr>
          <xdr:cNvSpPr txBox="1"/>
        </xdr:nvSpPr>
        <xdr:spPr>
          <a:xfrm>
            <a:off x="7665032" y="5516352"/>
            <a:ext cx="962582" cy="2040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70" name="Straight Arrow Connector 169">
            <a:extLst>
              <a:ext uri="{FF2B5EF4-FFF2-40B4-BE49-F238E27FC236}">
                <a16:creationId xmlns:a16="http://schemas.microsoft.com/office/drawing/2014/main" id="{00000000-0008-0000-0200-000045000000}"/>
              </a:ext>
            </a:extLst>
          </xdr:cNvPr>
          <xdr:cNvCxnSpPr/>
        </xdr:nvCxnSpPr>
        <xdr:spPr>
          <a:xfrm flipV="1">
            <a:off x="7722215" y="6177435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1" name="TextBox 69">
            <a:extLst>
              <a:ext uri="{FF2B5EF4-FFF2-40B4-BE49-F238E27FC236}">
                <a16:creationId xmlns:a16="http://schemas.microsoft.com/office/drawing/2014/main" id="{00000000-0008-0000-0200-000046000000}"/>
              </a:ext>
            </a:extLst>
          </xdr:cNvPr>
          <xdr:cNvSpPr txBox="1"/>
        </xdr:nvSpPr>
        <xdr:spPr>
          <a:xfrm>
            <a:off x="7655500" y="5912772"/>
            <a:ext cx="962582" cy="2206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72" name="Straight Arrow Connector 171">
            <a:extLst>
              <a:ext uri="{FF2B5EF4-FFF2-40B4-BE49-F238E27FC236}">
                <a16:creationId xmlns:a16="http://schemas.microsoft.com/office/drawing/2014/main" id="{00000000-0008-0000-0200-000047000000}"/>
              </a:ext>
            </a:extLst>
          </xdr:cNvPr>
          <xdr:cNvCxnSpPr/>
        </xdr:nvCxnSpPr>
        <xdr:spPr>
          <a:xfrm flipV="1">
            <a:off x="7741276" y="6580683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3" name="TextBox 71">
            <a:extLst>
              <a:ext uri="{FF2B5EF4-FFF2-40B4-BE49-F238E27FC236}">
                <a16:creationId xmlns:a16="http://schemas.microsoft.com/office/drawing/2014/main" id="{00000000-0008-0000-0200-000048000000}"/>
              </a:ext>
            </a:extLst>
          </xdr:cNvPr>
          <xdr:cNvSpPr txBox="1"/>
        </xdr:nvSpPr>
        <xdr:spPr>
          <a:xfrm>
            <a:off x="7674561" y="6338735"/>
            <a:ext cx="962582" cy="20162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74" name="Straight Arrow Connector 173">
            <a:extLst>
              <a:ext uri="{FF2B5EF4-FFF2-40B4-BE49-F238E27FC236}">
                <a16:creationId xmlns:a16="http://schemas.microsoft.com/office/drawing/2014/main" id="{00000000-0008-0000-0200-000049000000}"/>
              </a:ext>
            </a:extLst>
          </xdr:cNvPr>
          <xdr:cNvCxnSpPr/>
        </xdr:nvCxnSpPr>
        <xdr:spPr>
          <a:xfrm flipV="1">
            <a:off x="7712684" y="4186856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5" name="TextBox 73">
            <a:extLst>
              <a:ext uri="{FF2B5EF4-FFF2-40B4-BE49-F238E27FC236}">
                <a16:creationId xmlns:a16="http://schemas.microsoft.com/office/drawing/2014/main" id="{00000000-0008-0000-0200-00004A000000}"/>
              </a:ext>
            </a:extLst>
          </xdr:cNvPr>
          <xdr:cNvSpPr txBox="1"/>
        </xdr:nvSpPr>
        <xdr:spPr>
          <a:xfrm>
            <a:off x="7645970" y="3938798"/>
            <a:ext cx="843451" cy="2040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76" name="Straight Arrow Connector 175">
            <a:extLst>
              <a:ext uri="{FF2B5EF4-FFF2-40B4-BE49-F238E27FC236}">
                <a16:creationId xmlns:a16="http://schemas.microsoft.com/office/drawing/2014/main" id="{00000000-0008-0000-0200-00004B000000}"/>
              </a:ext>
            </a:extLst>
          </xdr:cNvPr>
          <xdr:cNvCxnSpPr/>
        </xdr:nvCxnSpPr>
        <xdr:spPr>
          <a:xfrm flipV="1">
            <a:off x="10568663" y="5361163"/>
            <a:ext cx="962583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7" name="TextBox 75">
            <a:extLst>
              <a:ext uri="{FF2B5EF4-FFF2-40B4-BE49-F238E27FC236}">
                <a16:creationId xmlns:a16="http://schemas.microsoft.com/office/drawing/2014/main" id="{00000000-0008-0000-0200-00004C000000}"/>
              </a:ext>
            </a:extLst>
          </xdr:cNvPr>
          <xdr:cNvSpPr txBox="1"/>
        </xdr:nvSpPr>
        <xdr:spPr>
          <a:xfrm>
            <a:off x="10936609" y="5042814"/>
            <a:ext cx="1064241" cy="3201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demands</a:t>
            </a:r>
          </a:p>
        </xdr:txBody>
      </xdr:sp>
      <xdr:sp macro="" textlink="">
        <xdr:nvSpPr>
          <xdr:cNvPr id="178" name="Rectangle: Rounded Corners 177">
            <a:extLst>
              <a:ext uri="{FF2B5EF4-FFF2-40B4-BE49-F238E27FC236}">
                <a16:creationId xmlns:a16="http://schemas.microsoft.com/office/drawing/2014/main" id="{00000000-0008-0000-0200-00004D000000}"/>
              </a:ext>
            </a:extLst>
          </xdr:cNvPr>
          <xdr:cNvSpPr/>
        </xdr:nvSpPr>
        <xdr:spPr>
          <a:xfrm>
            <a:off x="8608553" y="3911914"/>
            <a:ext cx="1972818" cy="2998699"/>
          </a:xfrm>
          <a:prstGeom prst="roundRect">
            <a:avLst/>
          </a:prstGeom>
          <a:noFill/>
          <a:ln>
            <a:solidFill>
              <a:sysClr val="windowText" lastClr="00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9" name="Rectangle: Rounded Corners 178">
            <a:extLst>
              <a:ext uri="{FF2B5EF4-FFF2-40B4-BE49-F238E27FC236}">
                <a16:creationId xmlns:a16="http://schemas.microsoft.com/office/drawing/2014/main" id="{00000000-0008-0000-0200-00004F000000}"/>
              </a:ext>
            </a:extLst>
          </xdr:cNvPr>
          <xdr:cNvSpPr/>
        </xdr:nvSpPr>
        <xdr:spPr>
          <a:xfrm>
            <a:off x="11716342" y="2283075"/>
            <a:ext cx="717966" cy="251725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Adj</a:t>
            </a:r>
          </a:p>
        </xdr:txBody>
      </xdr:sp>
      <xdr:sp macro="" textlink="">
        <xdr:nvSpPr>
          <xdr:cNvPr id="180" name="Rectangle: Rounded Corners 179">
            <a:extLst>
              <a:ext uri="{FF2B5EF4-FFF2-40B4-BE49-F238E27FC236}">
                <a16:creationId xmlns:a16="http://schemas.microsoft.com/office/drawing/2014/main" id="{00000000-0008-0000-0200-000032000000}"/>
              </a:ext>
            </a:extLst>
          </xdr:cNvPr>
          <xdr:cNvSpPr/>
        </xdr:nvSpPr>
        <xdr:spPr>
          <a:xfrm>
            <a:off x="13415342" y="2186472"/>
            <a:ext cx="1378749" cy="422799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Area (m2)</a:t>
            </a:r>
          </a:p>
        </xdr:txBody>
      </xdr:sp>
      <xdr:sp macro="" textlink="">
        <xdr:nvSpPr>
          <xdr:cNvPr id="181" name="Rectangle: Rounded Corners 180">
            <a:extLst>
              <a:ext uri="{FF2B5EF4-FFF2-40B4-BE49-F238E27FC236}">
                <a16:creationId xmlns:a16="http://schemas.microsoft.com/office/drawing/2014/main" id="{00000000-0008-0000-0200-000033000000}"/>
              </a:ext>
            </a:extLst>
          </xdr:cNvPr>
          <xdr:cNvSpPr/>
        </xdr:nvSpPr>
        <xdr:spPr>
          <a:xfrm>
            <a:off x="7344709" y="1221778"/>
            <a:ext cx="3425922" cy="2522818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Energy Rating</a:t>
            </a:r>
          </a:p>
          <a:p>
            <a:pPr algn="l"/>
            <a:r>
              <a:rPr lang="en-IE" sz="1400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A -200 kWh/m2/yr to 75 kWh/m2/yr  B1 76 kWh/m2/yr to 100 kWh/m2/yr B2 101 kWh/m2/yr to 125 kWh/m2/yr B3 126 kWh/m2/yr to 150 kWh/m2/yr C 151 kWh/m2/yr to 225 kWh/m2/yr   D 226 kWh/m2/yr to 300 kWh/m2/yr   E 301 kWh/m2/yr to 380 kWh/m2/yr    F 381 kWh/m2/yr to 450 kWh/m2/yr   G 451 kWh/m2/yr to 1500 kWh/m2/yr </a:t>
            </a:r>
            <a:endParaRPr lang="en-GB" sz="1400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182" name="Straight Arrow Connector 181">
            <a:extLst>
              <a:ext uri="{FF2B5EF4-FFF2-40B4-BE49-F238E27FC236}">
                <a16:creationId xmlns:a16="http://schemas.microsoft.com/office/drawing/2014/main" id="{00000000-0008-0000-0200-00004E000000}"/>
              </a:ext>
            </a:extLst>
          </xdr:cNvPr>
          <xdr:cNvCxnSpPr>
            <a:cxnSpLocks/>
          </xdr:cNvCxnSpPr>
        </xdr:nvCxnSpPr>
        <xdr:spPr>
          <a:xfrm>
            <a:off x="6862880" y="2261674"/>
            <a:ext cx="481829" cy="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Arrow Connector 182">
            <a:extLst>
              <a:ext uri="{FF2B5EF4-FFF2-40B4-BE49-F238E27FC236}">
                <a16:creationId xmlns:a16="http://schemas.microsoft.com/office/drawing/2014/main" id="{00000000-0008-0000-0200-000051000000}"/>
              </a:ext>
            </a:extLst>
          </xdr:cNvPr>
          <xdr:cNvCxnSpPr/>
        </xdr:nvCxnSpPr>
        <xdr:spPr>
          <a:xfrm flipV="1">
            <a:off x="10781040" y="2402916"/>
            <a:ext cx="928518" cy="2758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E276741-2D88-4909-BCF0-AA9EA5FE276C}"/>
              </a:ext>
            </a:extLst>
          </xdr:cNvPr>
          <xdr:cNvSpPr txBox="1"/>
        </xdr:nvSpPr>
        <xdr:spPr>
          <a:xfrm>
            <a:off x="805877" y="494922"/>
            <a:ext cx="3643086" cy="468013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Reference Energy System</a:t>
            </a:r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85" name="Rounded Rectangle 36">
            <a:extLst>
              <a:ext uri="{FF2B5EF4-FFF2-40B4-BE49-F238E27FC236}">
                <a16:creationId xmlns:a16="http://schemas.microsoft.com/office/drawing/2014/main" id="{F661866B-3914-422E-80A5-A711C1C0C207}"/>
              </a:ext>
            </a:extLst>
          </xdr:cNvPr>
          <xdr:cNvSpPr/>
        </xdr:nvSpPr>
        <xdr:spPr>
          <a:xfrm>
            <a:off x="8335150" y="404574"/>
            <a:ext cx="1296919" cy="422160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E" sz="1400" b="1">
                <a:solidFill>
                  <a:sysClr val="windowText" lastClr="000000"/>
                </a:solidFill>
              </a:rPr>
              <a:t>U-Values</a:t>
            </a:r>
            <a:endParaRPr lang="en-IE" sz="1400" b="1" baseline="0">
              <a:solidFill>
                <a:sysClr val="windowText" lastClr="000000"/>
              </a:solidFill>
            </a:endParaRPr>
          </a:p>
          <a:p>
            <a:pPr algn="l"/>
            <a:endParaRPr lang="en-IE" sz="12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6" name="Rounded Rectangle 35">
            <a:extLst>
              <a:ext uri="{FF2B5EF4-FFF2-40B4-BE49-F238E27FC236}">
                <a16:creationId xmlns:a16="http://schemas.microsoft.com/office/drawing/2014/main" id="{089C1D1C-3A67-4560-BC2D-6CC4E2BF2F47}"/>
              </a:ext>
            </a:extLst>
          </xdr:cNvPr>
          <xdr:cNvSpPr/>
        </xdr:nvSpPr>
        <xdr:spPr>
          <a:xfrm>
            <a:off x="280147" y="4190522"/>
            <a:ext cx="3213843" cy="2914007"/>
          </a:xfrm>
          <a:prstGeom prst="roundRect">
            <a:avLst/>
          </a:prstGeom>
          <a:solidFill>
            <a:schemeClr val="bg2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E" sz="1400" b="1" u="sng">
                <a:solidFill>
                  <a:sysClr val="windowText" lastClr="000000"/>
                </a:solidFill>
              </a:rPr>
              <a:t>Fuels</a:t>
            </a:r>
            <a:r>
              <a:rPr lang="en-IE" sz="1400" b="1" u="sng" baseline="0">
                <a:solidFill>
                  <a:sysClr val="windowText" lastClr="000000"/>
                </a:solidFill>
              </a:rPr>
              <a:t>: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Gases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Derived heat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GDO and other liquids (incl. liq. bio.)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Biomass and wastes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Solids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LPG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Solar 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Geothermal Energy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Micro-generation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Biomethane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Peat</a:t>
            </a:r>
          </a:p>
        </xdr:txBody>
      </xdr:sp>
      <xdr:cxnSp macro="">
        <xdr:nvCxnSpPr>
          <xdr:cNvPr id="187" name="Straight Arrow Connector 186">
            <a:extLst>
              <a:ext uri="{FF2B5EF4-FFF2-40B4-BE49-F238E27FC236}">
                <a16:creationId xmlns:a16="http://schemas.microsoft.com/office/drawing/2014/main" id="{2D3EAEED-82BA-4CA4-A03B-3C7807186466}"/>
              </a:ext>
            </a:extLst>
          </xdr:cNvPr>
          <xdr:cNvCxnSpPr>
            <a:cxnSpLocks/>
            <a:stCxn id="185" idx="2"/>
            <a:endCxn id="181" idx="0"/>
          </xdr:cNvCxnSpPr>
        </xdr:nvCxnSpPr>
        <xdr:spPr>
          <a:xfrm>
            <a:off x="8983610" y="826734"/>
            <a:ext cx="74060" cy="395044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8" name="Rounded Rectangle 36">
            <a:extLst>
              <a:ext uri="{FF2B5EF4-FFF2-40B4-BE49-F238E27FC236}">
                <a16:creationId xmlns:a16="http://schemas.microsoft.com/office/drawing/2014/main" id="{C3D89E42-9A60-4DC2-BF65-3CCAB77E40AB}"/>
              </a:ext>
            </a:extLst>
          </xdr:cNvPr>
          <xdr:cNvSpPr/>
        </xdr:nvSpPr>
        <xdr:spPr>
          <a:xfrm>
            <a:off x="4518336" y="2071978"/>
            <a:ext cx="778347" cy="422160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E" sz="1400" b="1" baseline="0">
                <a:solidFill>
                  <a:sysClr val="windowText" lastClr="000000"/>
                </a:solidFill>
              </a:rPr>
              <a:t>County</a:t>
            </a:r>
          </a:p>
          <a:p>
            <a:pPr algn="l"/>
            <a:endParaRPr lang="en-IE" sz="12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24</xdr:col>
      <xdr:colOff>44824</xdr:colOff>
      <xdr:row>14</xdr:row>
      <xdr:rowOff>75488</xdr:rowOff>
    </xdr:from>
    <xdr:to>
      <xdr:col>25</xdr:col>
      <xdr:colOff>388089</xdr:colOff>
      <xdr:row>14</xdr:row>
      <xdr:rowOff>86301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6AEC4DE2-555B-488A-8DC6-3165BFB10464}"/>
            </a:ext>
          </a:extLst>
        </xdr:cNvPr>
        <xdr:cNvCxnSpPr/>
      </xdr:nvCxnSpPr>
      <xdr:spPr>
        <a:xfrm flipV="1">
          <a:off x="14567648" y="2271841"/>
          <a:ext cx="948382" cy="1081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</xdr:colOff>
      <xdr:row>117</xdr:row>
      <xdr:rowOff>107155</xdr:rowOff>
    </xdr:from>
    <xdr:to>
      <xdr:col>7</xdr:col>
      <xdr:colOff>654844</xdr:colOff>
      <xdr:row>130</xdr:row>
      <xdr:rowOff>119062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BE26C4-DDE2-4C00-9C1E-2D3FFC0DBC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3812" y="19966780"/>
          <a:ext cx="5965032" cy="2178845"/>
        </a:xfrm>
        <a:prstGeom prst="rect">
          <a:avLst/>
        </a:prstGeom>
      </xdr:spPr>
    </xdr:pic>
    <xdr:clientData/>
  </xdr:twoCellAnchor>
  <xdr:twoCellAnchor editAs="oneCell">
    <xdr:from>
      <xdr:col>8</xdr:col>
      <xdr:colOff>154782</xdr:colOff>
      <xdr:row>117</xdr:row>
      <xdr:rowOff>137625</xdr:rowOff>
    </xdr:from>
    <xdr:to>
      <xdr:col>17</xdr:col>
      <xdr:colOff>583407</xdr:colOff>
      <xdr:row>131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EE2A5D-8CC9-47C3-BF68-F1EEC85AEA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6203157" y="19997250"/>
          <a:ext cx="6858000" cy="21960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93137</xdr:colOff>
      <xdr:row>71</xdr:row>
      <xdr:rowOff>63427</xdr:rowOff>
    </xdr:from>
    <xdr:to>
      <xdr:col>10</xdr:col>
      <xdr:colOff>645779</xdr:colOff>
      <xdr:row>74</xdr:row>
      <xdr:rowOff>25327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DA32034-654A-4B53-AC54-16AC3BFB3699}"/>
            </a:ext>
          </a:extLst>
        </xdr:cNvPr>
        <xdr:cNvSpPr/>
      </xdr:nvSpPr>
      <xdr:spPr>
        <a:xfrm rot="16200000">
          <a:off x="15445705" y="7888359"/>
          <a:ext cx="539172" cy="55264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584204</xdr:colOff>
      <xdr:row>71</xdr:row>
      <xdr:rowOff>143668</xdr:rowOff>
    </xdr:from>
    <xdr:to>
      <xdr:col>3</xdr:col>
      <xdr:colOff>1133479</xdr:colOff>
      <xdr:row>74</xdr:row>
      <xdr:rowOff>105568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27BB4646-EB25-41F2-A228-3018A6A6B567}"/>
            </a:ext>
          </a:extLst>
        </xdr:cNvPr>
        <xdr:cNvSpPr/>
      </xdr:nvSpPr>
      <xdr:spPr>
        <a:xfrm rot="5400000">
          <a:off x="5386392" y="7485855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121</xdr:row>
      <xdr:rowOff>174625</xdr:rowOff>
    </xdr:from>
    <xdr:to>
      <xdr:col>16</xdr:col>
      <xdr:colOff>714374</xdr:colOff>
      <xdr:row>129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EE60C07A-3D36-4535-8E9E-E68D860DFE08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683303</xdr:colOff>
      <xdr:row>56</xdr:row>
      <xdr:rowOff>85460</xdr:rowOff>
    </xdr:from>
    <xdr:to>
      <xdr:col>3</xdr:col>
      <xdr:colOff>1232578</xdr:colOff>
      <xdr:row>59</xdr:row>
      <xdr:rowOff>47360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EBA56BD3-C73A-4965-A99E-E21D860B4B79}"/>
            </a:ext>
          </a:extLst>
        </xdr:cNvPr>
        <xdr:cNvSpPr/>
      </xdr:nvSpPr>
      <xdr:spPr>
        <a:xfrm rot="5400000">
          <a:off x="7875399" y="8662530"/>
          <a:ext cx="539173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347382</xdr:colOff>
      <xdr:row>7</xdr:row>
      <xdr:rowOff>123263</xdr:rowOff>
    </xdr:from>
    <xdr:to>
      <xdr:col>12</xdr:col>
      <xdr:colOff>368193</xdr:colOff>
      <xdr:row>10</xdr:row>
      <xdr:rowOff>123263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15497735" y="1860175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411116</xdr:colOff>
      <xdr:row>113</xdr:row>
      <xdr:rowOff>156882</xdr:rowOff>
    </xdr:from>
    <xdr:to>
      <xdr:col>12</xdr:col>
      <xdr:colOff>429826</xdr:colOff>
      <xdr:row>116</xdr:row>
      <xdr:rowOff>156882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15591585" y="22683507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331694</xdr:colOff>
      <xdr:row>16</xdr:row>
      <xdr:rowOff>107574</xdr:rowOff>
    </xdr:from>
    <xdr:to>
      <xdr:col>12</xdr:col>
      <xdr:colOff>352505</xdr:colOff>
      <xdr:row>19</xdr:row>
      <xdr:rowOff>107574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5C594384-1922-4A0E-896D-F31E552DAB13}"/>
            </a:ext>
          </a:extLst>
        </xdr:cNvPr>
        <xdr:cNvSpPr/>
      </xdr:nvSpPr>
      <xdr:spPr>
        <a:xfrm>
          <a:off x="15482047" y="3570192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372035</xdr:colOff>
      <xdr:row>24</xdr:row>
      <xdr:rowOff>136710</xdr:rowOff>
    </xdr:from>
    <xdr:to>
      <xdr:col>12</xdr:col>
      <xdr:colOff>392846</xdr:colOff>
      <xdr:row>27</xdr:row>
      <xdr:rowOff>136710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DA1398D3-DABB-47C5-84A3-842EA712ABE5}"/>
            </a:ext>
          </a:extLst>
        </xdr:cNvPr>
        <xdr:cNvSpPr/>
      </xdr:nvSpPr>
      <xdr:spPr>
        <a:xfrm>
          <a:off x="15522388" y="5145739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378759</xdr:colOff>
      <xdr:row>32</xdr:row>
      <xdr:rowOff>165845</xdr:rowOff>
    </xdr:from>
    <xdr:to>
      <xdr:col>12</xdr:col>
      <xdr:colOff>399570</xdr:colOff>
      <xdr:row>35</xdr:row>
      <xdr:rowOff>165845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F91E58B5-964B-4137-A406-E19C3EFE7848}"/>
            </a:ext>
          </a:extLst>
        </xdr:cNvPr>
        <xdr:cNvSpPr/>
      </xdr:nvSpPr>
      <xdr:spPr>
        <a:xfrm>
          <a:off x="15529112" y="6721286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318247</xdr:colOff>
      <xdr:row>43</xdr:row>
      <xdr:rowOff>94127</xdr:rowOff>
    </xdr:from>
    <xdr:to>
      <xdr:col>12</xdr:col>
      <xdr:colOff>339058</xdr:colOff>
      <xdr:row>46</xdr:row>
      <xdr:rowOff>94127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2626A9A4-14B6-49B5-A9D7-49FC80C66899}"/>
            </a:ext>
          </a:extLst>
        </xdr:cNvPr>
        <xdr:cNvSpPr/>
      </xdr:nvSpPr>
      <xdr:spPr>
        <a:xfrm>
          <a:off x="15468600" y="8767480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324971</xdr:colOff>
      <xdr:row>56</xdr:row>
      <xdr:rowOff>168085</xdr:rowOff>
    </xdr:from>
    <xdr:to>
      <xdr:col>12</xdr:col>
      <xdr:colOff>345782</xdr:colOff>
      <xdr:row>59</xdr:row>
      <xdr:rowOff>168085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3AC0ADAC-0F59-461B-81E5-1E6213D822E3}"/>
            </a:ext>
          </a:extLst>
        </xdr:cNvPr>
        <xdr:cNvSpPr/>
      </xdr:nvSpPr>
      <xdr:spPr>
        <a:xfrm>
          <a:off x="15475324" y="11340350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286871</xdr:colOff>
      <xdr:row>70</xdr:row>
      <xdr:rowOff>40338</xdr:rowOff>
    </xdr:from>
    <xdr:to>
      <xdr:col>12</xdr:col>
      <xdr:colOff>307682</xdr:colOff>
      <xdr:row>73</xdr:row>
      <xdr:rowOff>40338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D7A02D8F-5C14-4AA9-97C4-5727251F038D}"/>
            </a:ext>
          </a:extLst>
        </xdr:cNvPr>
        <xdr:cNvSpPr/>
      </xdr:nvSpPr>
      <xdr:spPr>
        <a:xfrm>
          <a:off x="15437224" y="13902014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282387</xdr:colOff>
      <xdr:row>83</xdr:row>
      <xdr:rowOff>80679</xdr:rowOff>
    </xdr:from>
    <xdr:to>
      <xdr:col>12</xdr:col>
      <xdr:colOff>303198</xdr:colOff>
      <xdr:row>86</xdr:row>
      <xdr:rowOff>80679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9A363921-5C97-4D51-877D-0A90F317DECF}"/>
            </a:ext>
          </a:extLst>
        </xdr:cNvPr>
        <xdr:cNvSpPr/>
      </xdr:nvSpPr>
      <xdr:spPr>
        <a:xfrm>
          <a:off x="15432740" y="16441267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289110</xdr:colOff>
      <xdr:row>97</xdr:row>
      <xdr:rowOff>31373</xdr:rowOff>
    </xdr:from>
    <xdr:to>
      <xdr:col>12</xdr:col>
      <xdr:colOff>309921</xdr:colOff>
      <xdr:row>100</xdr:row>
      <xdr:rowOff>31373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71AAB4C5-BE8A-48BC-A9B3-6EB51168033B}"/>
            </a:ext>
          </a:extLst>
        </xdr:cNvPr>
        <xdr:cNvSpPr/>
      </xdr:nvSpPr>
      <xdr:spPr>
        <a:xfrm>
          <a:off x="15439463" y="19081373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347382</xdr:colOff>
      <xdr:row>6</xdr:row>
      <xdr:rowOff>0</xdr:rowOff>
    </xdr:from>
    <xdr:to>
      <xdr:col>12</xdr:col>
      <xdr:colOff>368193</xdr:colOff>
      <xdr:row>8</xdr:row>
      <xdr:rowOff>123263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362B03B7-3EBA-4505-B292-B178039FDE43}"/>
            </a:ext>
          </a:extLst>
        </xdr:cNvPr>
        <xdr:cNvSpPr/>
      </xdr:nvSpPr>
      <xdr:spPr>
        <a:xfrm>
          <a:off x="15530232" y="1847288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481831</xdr:colOff>
      <xdr:row>148</xdr:row>
      <xdr:rowOff>24110</xdr:rowOff>
    </xdr:from>
    <xdr:to>
      <xdr:col>12</xdr:col>
      <xdr:colOff>500541</xdr:colOff>
      <xdr:row>150</xdr:row>
      <xdr:rowOff>73603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5D7B5E5A-E3E2-46AF-8F0B-C5342A2EFF3F}"/>
            </a:ext>
          </a:extLst>
        </xdr:cNvPr>
        <xdr:cNvSpPr/>
      </xdr:nvSpPr>
      <xdr:spPr>
        <a:xfrm>
          <a:off x="15704513" y="29395746"/>
          <a:ext cx="624846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331694</xdr:colOff>
      <xdr:row>14</xdr:row>
      <xdr:rowOff>107574</xdr:rowOff>
    </xdr:from>
    <xdr:to>
      <xdr:col>12</xdr:col>
      <xdr:colOff>352505</xdr:colOff>
      <xdr:row>17</xdr:row>
      <xdr:rowOff>107574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561EC403-4FB5-4682-94E9-578511E46B9C}"/>
            </a:ext>
          </a:extLst>
        </xdr:cNvPr>
        <xdr:cNvSpPr/>
      </xdr:nvSpPr>
      <xdr:spPr>
        <a:xfrm>
          <a:off x="15514544" y="3555624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372035</xdr:colOff>
      <xdr:row>25</xdr:row>
      <xdr:rowOff>136710</xdr:rowOff>
    </xdr:from>
    <xdr:to>
      <xdr:col>12</xdr:col>
      <xdr:colOff>392846</xdr:colOff>
      <xdr:row>28</xdr:row>
      <xdr:rowOff>136710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C2494B4-6614-496A-8B57-50CF8B18B711}"/>
            </a:ext>
          </a:extLst>
        </xdr:cNvPr>
        <xdr:cNvSpPr/>
      </xdr:nvSpPr>
      <xdr:spPr>
        <a:xfrm>
          <a:off x="15554885" y="5127810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378759</xdr:colOff>
      <xdr:row>37</xdr:row>
      <xdr:rowOff>165845</xdr:rowOff>
    </xdr:from>
    <xdr:to>
      <xdr:col>12</xdr:col>
      <xdr:colOff>399570</xdr:colOff>
      <xdr:row>40</xdr:row>
      <xdr:rowOff>165845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B5F7D2F0-C935-44DE-AE3F-D156D7787450}"/>
            </a:ext>
          </a:extLst>
        </xdr:cNvPr>
        <xdr:cNvSpPr/>
      </xdr:nvSpPr>
      <xdr:spPr>
        <a:xfrm>
          <a:off x="15561609" y="669999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318247</xdr:colOff>
      <xdr:row>51</xdr:row>
      <xdr:rowOff>94127</xdr:rowOff>
    </xdr:from>
    <xdr:to>
      <xdr:col>12</xdr:col>
      <xdr:colOff>339058</xdr:colOff>
      <xdr:row>54</xdr:row>
      <xdr:rowOff>94127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86DF7C34-E518-4B8A-9DF1-BB7B17430E84}"/>
            </a:ext>
          </a:extLst>
        </xdr:cNvPr>
        <xdr:cNvSpPr/>
      </xdr:nvSpPr>
      <xdr:spPr>
        <a:xfrm>
          <a:off x="15501097" y="8742827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324971</xdr:colOff>
      <xdr:row>68</xdr:row>
      <xdr:rowOff>168085</xdr:rowOff>
    </xdr:from>
    <xdr:to>
      <xdr:col>12</xdr:col>
      <xdr:colOff>345782</xdr:colOff>
      <xdr:row>71</xdr:row>
      <xdr:rowOff>168085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25D8B532-D547-4D26-835B-8A8C7B68337C}"/>
            </a:ext>
          </a:extLst>
        </xdr:cNvPr>
        <xdr:cNvSpPr/>
      </xdr:nvSpPr>
      <xdr:spPr>
        <a:xfrm>
          <a:off x="15507821" y="1131233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286871</xdr:colOff>
      <xdr:row>87</xdr:row>
      <xdr:rowOff>40338</xdr:rowOff>
    </xdr:from>
    <xdr:to>
      <xdr:col>12</xdr:col>
      <xdr:colOff>307682</xdr:colOff>
      <xdr:row>91</xdr:row>
      <xdr:rowOff>40338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CE174FE8-44CB-4E28-A86A-D1C265C82A4B}"/>
            </a:ext>
          </a:extLst>
        </xdr:cNvPr>
        <xdr:cNvSpPr/>
      </xdr:nvSpPr>
      <xdr:spPr>
        <a:xfrm>
          <a:off x="15469721" y="13870638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282387</xdr:colOff>
      <xdr:row>104</xdr:row>
      <xdr:rowOff>80679</xdr:rowOff>
    </xdr:from>
    <xdr:to>
      <xdr:col>12</xdr:col>
      <xdr:colOff>303198</xdr:colOff>
      <xdr:row>107</xdr:row>
      <xdr:rowOff>80679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8BDCE266-906A-4719-AACE-1FBF25021759}"/>
            </a:ext>
          </a:extLst>
        </xdr:cNvPr>
        <xdr:cNvSpPr/>
      </xdr:nvSpPr>
      <xdr:spPr>
        <a:xfrm>
          <a:off x="15465237" y="16406529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289110</xdr:colOff>
      <xdr:row>121</xdr:row>
      <xdr:rowOff>31373</xdr:rowOff>
    </xdr:from>
    <xdr:to>
      <xdr:col>12</xdr:col>
      <xdr:colOff>309921</xdr:colOff>
      <xdr:row>124</xdr:row>
      <xdr:rowOff>31373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4624D41C-5519-4CBD-BCED-48968B75C53B}"/>
            </a:ext>
          </a:extLst>
        </xdr:cNvPr>
        <xdr:cNvSpPr/>
      </xdr:nvSpPr>
      <xdr:spPr>
        <a:xfrm>
          <a:off x="15471960" y="19043273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417466</xdr:colOff>
      <xdr:row>115</xdr:row>
      <xdr:rowOff>106082</xdr:rowOff>
    </xdr:from>
    <xdr:to>
      <xdr:col>12</xdr:col>
      <xdr:colOff>436176</xdr:colOff>
      <xdr:row>117</xdr:row>
      <xdr:rowOff>155575</xdr:rowOff>
    </xdr:to>
    <xdr:sp macro="" textlink="">
      <xdr:nvSpPr>
        <xdr:cNvPr id="15" name="Arrow: Right 14">
          <a:extLst>
            <a:ext uri="{FF2B5EF4-FFF2-40B4-BE49-F238E27FC236}">
              <a16:creationId xmlns:a16="http://schemas.microsoft.com/office/drawing/2014/main" id="{7DCD0D55-6244-4819-BB04-F3FABE1B913D}"/>
            </a:ext>
          </a:extLst>
        </xdr:cNvPr>
        <xdr:cNvSpPr/>
      </xdr:nvSpPr>
      <xdr:spPr>
        <a:xfrm>
          <a:off x="15593966" y="22664457"/>
          <a:ext cx="62196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500016</xdr:colOff>
      <xdr:row>138</xdr:row>
      <xdr:rowOff>102907</xdr:rowOff>
    </xdr:from>
    <xdr:to>
      <xdr:col>12</xdr:col>
      <xdr:colOff>518726</xdr:colOff>
      <xdr:row>140</xdr:row>
      <xdr:rowOff>136525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CA0A69AE-0151-4E7B-B6A1-BD16CAD5D68A}"/>
            </a:ext>
          </a:extLst>
        </xdr:cNvPr>
        <xdr:cNvSpPr/>
      </xdr:nvSpPr>
      <xdr:spPr>
        <a:xfrm>
          <a:off x="15676516" y="27487282"/>
          <a:ext cx="62196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509541</xdr:colOff>
      <xdr:row>159</xdr:row>
      <xdr:rowOff>1307</xdr:rowOff>
    </xdr:from>
    <xdr:to>
      <xdr:col>12</xdr:col>
      <xdr:colOff>528251</xdr:colOff>
      <xdr:row>161</xdr:row>
      <xdr:rowOff>50800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177C06D8-D5DD-49A5-ABD1-BFABDCF9E82E}"/>
            </a:ext>
          </a:extLst>
        </xdr:cNvPr>
        <xdr:cNvSpPr/>
      </xdr:nvSpPr>
      <xdr:spPr>
        <a:xfrm>
          <a:off x="15686041" y="31497307"/>
          <a:ext cx="62196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486862</xdr:colOff>
      <xdr:row>173</xdr:row>
      <xdr:rowOff>78414</xdr:rowOff>
    </xdr:from>
    <xdr:to>
      <xdr:col>12</xdr:col>
      <xdr:colOff>505572</xdr:colOff>
      <xdr:row>175</xdr:row>
      <xdr:rowOff>127907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A6CE8686-9657-4B17-B895-A63CB1EFCC04}"/>
            </a:ext>
          </a:extLst>
        </xdr:cNvPr>
        <xdr:cNvSpPr/>
      </xdr:nvSpPr>
      <xdr:spPr>
        <a:xfrm>
          <a:off x="15740469" y="34232343"/>
          <a:ext cx="631032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503190</xdr:colOff>
      <xdr:row>191</xdr:row>
      <xdr:rowOff>13100</xdr:rowOff>
    </xdr:from>
    <xdr:to>
      <xdr:col>12</xdr:col>
      <xdr:colOff>521900</xdr:colOff>
      <xdr:row>193</xdr:row>
      <xdr:rowOff>62593</xdr:rowOff>
    </xdr:to>
    <xdr:sp macro="" textlink="">
      <xdr:nvSpPr>
        <xdr:cNvPr id="19" name="Arrow: Right 18">
          <a:extLst>
            <a:ext uri="{FF2B5EF4-FFF2-40B4-BE49-F238E27FC236}">
              <a16:creationId xmlns:a16="http://schemas.microsoft.com/office/drawing/2014/main" id="{5FD58807-1984-4755-BC9F-A68C82F6C2DA}"/>
            </a:ext>
          </a:extLst>
        </xdr:cNvPr>
        <xdr:cNvSpPr/>
      </xdr:nvSpPr>
      <xdr:spPr>
        <a:xfrm>
          <a:off x="15756797" y="37623243"/>
          <a:ext cx="631032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333774</xdr:colOff>
      <xdr:row>9</xdr:row>
      <xdr:rowOff>81643</xdr:rowOff>
    </xdr:from>
    <xdr:to>
      <xdr:col>12</xdr:col>
      <xdr:colOff>354585</xdr:colOff>
      <xdr:row>12</xdr:row>
      <xdr:rowOff>14406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9CF397E6-7CDF-47DD-84D9-6975B267D238}"/>
            </a:ext>
          </a:extLst>
        </xdr:cNvPr>
        <xdr:cNvSpPr/>
      </xdr:nvSpPr>
      <xdr:spPr>
        <a:xfrm>
          <a:off x="15587381" y="2190750"/>
          <a:ext cx="633133" cy="50426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481831</xdr:colOff>
      <xdr:row>159</xdr:row>
      <xdr:rowOff>24110</xdr:rowOff>
    </xdr:from>
    <xdr:to>
      <xdr:col>12</xdr:col>
      <xdr:colOff>500541</xdr:colOff>
      <xdr:row>162</xdr:row>
      <xdr:rowOff>73603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7EF1DE6D-CA84-42C0-9D8E-9C27DF8540CD}"/>
            </a:ext>
          </a:extLst>
        </xdr:cNvPr>
        <xdr:cNvSpPr/>
      </xdr:nvSpPr>
      <xdr:spPr>
        <a:xfrm>
          <a:off x="15664681" y="29246810"/>
          <a:ext cx="62831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358908</xdr:colOff>
      <xdr:row>21</xdr:row>
      <xdr:rowOff>39537</xdr:rowOff>
    </xdr:from>
    <xdr:to>
      <xdr:col>12</xdr:col>
      <xdr:colOff>379719</xdr:colOff>
      <xdr:row>24</xdr:row>
      <xdr:rowOff>53145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8504483-BF52-4594-BD4C-C86707672C6C}"/>
            </a:ext>
          </a:extLst>
        </xdr:cNvPr>
        <xdr:cNvSpPr/>
      </xdr:nvSpPr>
      <xdr:spPr>
        <a:xfrm>
          <a:off x="15612515" y="4475466"/>
          <a:ext cx="633133" cy="59871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372035</xdr:colOff>
      <xdr:row>32</xdr:row>
      <xdr:rowOff>136710</xdr:rowOff>
    </xdr:from>
    <xdr:to>
      <xdr:col>12</xdr:col>
      <xdr:colOff>392846</xdr:colOff>
      <xdr:row>35</xdr:row>
      <xdr:rowOff>136710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F5233365-8CE8-4301-B16E-38C9E4984470}"/>
            </a:ext>
          </a:extLst>
        </xdr:cNvPr>
        <xdr:cNvSpPr/>
      </xdr:nvSpPr>
      <xdr:spPr>
        <a:xfrm>
          <a:off x="15554885" y="532783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378759</xdr:colOff>
      <xdr:row>44</xdr:row>
      <xdr:rowOff>165845</xdr:rowOff>
    </xdr:from>
    <xdr:to>
      <xdr:col>12</xdr:col>
      <xdr:colOff>399570</xdr:colOff>
      <xdr:row>47</xdr:row>
      <xdr:rowOff>165845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8B6BB206-5238-4B5E-806F-A48E53774725}"/>
            </a:ext>
          </a:extLst>
        </xdr:cNvPr>
        <xdr:cNvSpPr/>
      </xdr:nvSpPr>
      <xdr:spPr>
        <a:xfrm>
          <a:off x="15561609" y="767154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318247</xdr:colOff>
      <xdr:row>59</xdr:row>
      <xdr:rowOff>94127</xdr:rowOff>
    </xdr:from>
    <xdr:to>
      <xdr:col>12</xdr:col>
      <xdr:colOff>339058</xdr:colOff>
      <xdr:row>62</xdr:row>
      <xdr:rowOff>94127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1B3FC090-618B-4F81-9A7A-429E8FD4D7A3}"/>
            </a:ext>
          </a:extLst>
        </xdr:cNvPr>
        <xdr:cNvSpPr/>
      </xdr:nvSpPr>
      <xdr:spPr>
        <a:xfrm>
          <a:off x="15501097" y="10285877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324971</xdr:colOff>
      <xdr:row>77</xdr:row>
      <xdr:rowOff>168085</xdr:rowOff>
    </xdr:from>
    <xdr:to>
      <xdr:col>12</xdr:col>
      <xdr:colOff>345782</xdr:colOff>
      <xdr:row>80</xdr:row>
      <xdr:rowOff>168085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84AB0C66-9EF1-4126-9180-750AED924785}"/>
            </a:ext>
          </a:extLst>
        </xdr:cNvPr>
        <xdr:cNvSpPr/>
      </xdr:nvSpPr>
      <xdr:spPr>
        <a:xfrm>
          <a:off x="15507821" y="1361738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286871</xdr:colOff>
      <xdr:row>96</xdr:row>
      <xdr:rowOff>40338</xdr:rowOff>
    </xdr:from>
    <xdr:to>
      <xdr:col>12</xdr:col>
      <xdr:colOff>307682</xdr:colOff>
      <xdr:row>100</xdr:row>
      <xdr:rowOff>40338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00ADC482-349A-4A22-9272-B9DE844E44C2}"/>
            </a:ext>
          </a:extLst>
        </xdr:cNvPr>
        <xdr:cNvSpPr/>
      </xdr:nvSpPr>
      <xdr:spPr>
        <a:xfrm>
          <a:off x="15469721" y="17128188"/>
          <a:ext cx="630411" cy="7620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282387</xdr:colOff>
      <xdr:row>111</xdr:row>
      <xdr:rowOff>80679</xdr:rowOff>
    </xdr:from>
    <xdr:to>
      <xdr:col>12</xdr:col>
      <xdr:colOff>303198</xdr:colOff>
      <xdr:row>114</xdr:row>
      <xdr:rowOff>80679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FC14E807-F96E-482E-ACD9-0811D56E2E8E}"/>
            </a:ext>
          </a:extLst>
        </xdr:cNvPr>
        <xdr:cNvSpPr/>
      </xdr:nvSpPr>
      <xdr:spPr>
        <a:xfrm>
          <a:off x="15465237" y="20426079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289110</xdr:colOff>
      <xdr:row>128</xdr:row>
      <xdr:rowOff>31373</xdr:rowOff>
    </xdr:from>
    <xdr:to>
      <xdr:col>12</xdr:col>
      <xdr:colOff>309921</xdr:colOff>
      <xdr:row>131</xdr:row>
      <xdr:rowOff>31373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7D01117E-BA60-497E-98F1-263F4E1F5427}"/>
            </a:ext>
          </a:extLst>
        </xdr:cNvPr>
        <xdr:cNvSpPr/>
      </xdr:nvSpPr>
      <xdr:spPr>
        <a:xfrm>
          <a:off x="15471960" y="23634323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500016</xdr:colOff>
      <xdr:row>146</xdr:row>
      <xdr:rowOff>102907</xdr:rowOff>
    </xdr:from>
    <xdr:to>
      <xdr:col>12</xdr:col>
      <xdr:colOff>518726</xdr:colOff>
      <xdr:row>149</xdr:row>
      <xdr:rowOff>136525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4E11701A-2C0C-4085-8412-45BBD3BDF419}"/>
            </a:ext>
          </a:extLst>
        </xdr:cNvPr>
        <xdr:cNvSpPr/>
      </xdr:nvSpPr>
      <xdr:spPr>
        <a:xfrm>
          <a:off x="15682866" y="27392032"/>
          <a:ext cx="628310" cy="42414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509541</xdr:colOff>
      <xdr:row>172</xdr:row>
      <xdr:rowOff>1307</xdr:rowOff>
    </xdr:from>
    <xdr:to>
      <xdr:col>12</xdr:col>
      <xdr:colOff>528251</xdr:colOff>
      <xdr:row>174</xdr:row>
      <xdr:rowOff>50800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43D9C999-3745-4869-97E7-69A761F8356C}"/>
            </a:ext>
          </a:extLst>
        </xdr:cNvPr>
        <xdr:cNvSpPr/>
      </xdr:nvSpPr>
      <xdr:spPr>
        <a:xfrm>
          <a:off x="15692391" y="31338557"/>
          <a:ext cx="62831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486862</xdr:colOff>
      <xdr:row>185</xdr:row>
      <xdr:rowOff>78414</xdr:rowOff>
    </xdr:from>
    <xdr:to>
      <xdr:col>12</xdr:col>
      <xdr:colOff>505572</xdr:colOff>
      <xdr:row>187</xdr:row>
      <xdr:rowOff>127907</xdr:rowOff>
    </xdr:to>
    <xdr:sp macro="" textlink="">
      <xdr:nvSpPr>
        <xdr:cNvPr id="15" name="Arrow: Right 14">
          <a:extLst>
            <a:ext uri="{FF2B5EF4-FFF2-40B4-BE49-F238E27FC236}">
              <a16:creationId xmlns:a16="http://schemas.microsoft.com/office/drawing/2014/main" id="{DD2D685B-4EA9-491A-9886-8819E64D3710}"/>
            </a:ext>
          </a:extLst>
        </xdr:cNvPr>
        <xdr:cNvSpPr/>
      </xdr:nvSpPr>
      <xdr:spPr>
        <a:xfrm>
          <a:off x="15669712" y="34111239"/>
          <a:ext cx="62831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503190</xdr:colOff>
      <xdr:row>203</xdr:row>
      <xdr:rowOff>13100</xdr:rowOff>
    </xdr:from>
    <xdr:to>
      <xdr:col>12</xdr:col>
      <xdr:colOff>521900</xdr:colOff>
      <xdr:row>205</xdr:row>
      <xdr:rowOff>62593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89ECE67-99F0-4851-9EDA-E1A6718A77E1}"/>
            </a:ext>
          </a:extLst>
        </xdr:cNvPr>
        <xdr:cNvSpPr/>
      </xdr:nvSpPr>
      <xdr:spPr>
        <a:xfrm>
          <a:off x="15686040" y="37493975"/>
          <a:ext cx="62831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.sharepoint.com/Documents%20and%20Settings/PS.IW/Local%20Settings/Temporary%20Internet%20Files/Content.Outlook/I9S5FJLC/BELGIUM_ELE%20(3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.sharepoint.com/TEMP/Common%20Reporting%20Format%20V1.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.sharepoint.com/Veda/VEDA_Models/Irish-TIMES_v2/Irish-TIMES_2p0_v04/VT_IE_COM_V00p0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.sharepoint.com/Users/AlessandroC/Dropbox/INSMART/WP.4/Cesena/Urban%20spaces/WP4_tertiary%20sector_V4_dobl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VT-Starter(v1.0)/VT_Starter_RSD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.sharepoint.com/Documents%20and%20Settings/meyered/Local%20Settings/Temporary%20Internet%20Files/OLK111/TMP/BALANCE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.sharepoint.com/sites/IrishTIMES2p0/Shared%20Documents/Residential%20sector/Connected_Data/Eurostat%20End%20Use%20Energy%20of%20Ireland_2018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/>
      <sheetData sheetId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>
        <row r="42">
          <cell r="AE42" t="str">
            <v>Menu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/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B"/>
      <sheetName val="SETUP"/>
      <sheetName val="Calibration"/>
      <sheetName val="Commodities"/>
      <sheetName val="CommData"/>
      <sheetName val="Processes"/>
      <sheetName val="ProcData_RSD"/>
      <sheetName val="ProcData-XPRCs"/>
      <sheetName val="EPA"/>
      <sheetName val="Temp"/>
      <sheetName val="EC-TIMES data"/>
    </sheetNames>
    <sheetDataSet>
      <sheetData sheetId="0"/>
      <sheetData sheetId="1">
        <row r="2">
          <cell r="F2">
            <v>2015</v>
          </cell>
          <cell r="N2">
            <v>2050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/>
      <sheetData sheetId="10">
        <row r="6">
          <cell r="L6">
            <v>301.87797839223737</v>
          </cell>
        </row>
      </sheetData>
      <sheetData sheetId="11"/>
      <sheetData sheetId="12"/>
      <sheetData sheetId="13"/>
      <sheetData sheetId="14"/>
      <sheetData sheetId="15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Mc Guire, Jason" id="{4B4DFC4A-CA11-4D86-9C95-17D05A636CB6}" userId="S::jason.mcguire@ucc.ie::a73f6400-4be2-4eab-9a5e-ae9fe9f83169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81:AH108" totalsRowShown="0" headerRowDxfId="198" headerRowBorderDxfId="197" tableBorderDxfId="196" totalsRowBorderDxfId="195">
  <autoFilter ref="R81:AH108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 dataCellStyle="Normal 5"/>
    <tableColumn id="18" xr3:uid="{24F055F8-56EA-47A1-8029-8AEF72170196}" name="visitors only" dataDxfId="185" dataCellStyle="Normal 5"/>
    <tableColumn id="19" xr3:uid="{7FD71A36-30E1-40BB-A919-E34027B464E2}" name="temporarily absent" dataDxfId="184" dataCellStyle="Normal 5"/>
    <tableColumn id="20" xr3:uid="{983C0DF0-4950-4BF4-A066-943D0CBCD5E2}" name=" house " dataDxfId="183" dataCellStyle="Normal 5"/>
    <tableColumn id="21" xr3:uid="{FD8AC94D-EACB-4729-A811-52897926688C}" name="flat" dataDxfId="182" dataCellStyle="Normal 5"/>
    <tableColumn id="22" xr3:uid="{A4B7AB23-90D0-4C7D-86B2-A1E5A1A8F071}" name="holiday home" dataDxfId="181" dataCellStyle="Normal 5"/>
    <tableColumn id="23" xr3:uid="{3D179D7C-16ED-4A84-883F-D4743261F612}" name="House Stock" dataDxfId="180" dataCellStyle="Normal 5"/>
    <tableColumn id="25" xr3:uid="{251C6A32-48E5-4D08-BF7B-F214DF4DAEE4}" name="TOTAL" dataDxfId="179" dataCellStyle="Normal 5"/>
    <tableColumn id="27" xr3:uid="{9CCD7EB1-3FC3-4CD5-AD95-F9B553D7A04B}" name="Per Household" dataDxfId="178" dataCellStyle="Normal 5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77:O156" totalsRowCount="1" headerRowDxfId="177" dataDxfId="176">
  <autoFilter ref="A77:O155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 dataCellStyle="Normal 5"/>
    <tableColumn id="12" xr3:uid="{F46568F7-2E1B-4683-B35E-8A683F2CF784}" name="B1" totalsRowFunction="sum" dataDxfId="169" totalsRowDxfId="168" dataCellStyle="Normal 5"/>
    <tableColumn id="11" xr3:uid="{53AFEEAF-B08E-4ED1-93AC-AD529138CC26}" name="B2" totalsRowFunction="sum" dataDxfId="167" totalsRowDxfId="166" dataCellStyle="Normal 5"/>
    <tableColumn id="6" xr3:uid="{DF672283-2310-4C4D-B210-69B88FC9626E}" name="B3" totalsRowFunction="sum" dataDxfId="165" totalsRowDxfId="164" dataCellStyle="Normal 5"/>
    <tableColumn id="13" xr3:uid="{A5A83843-8DB6-416F-9F9D-9C38EE8BC182}" name="C" totalsRowFunction="sum" dataDxfId="163" totalsRowDxfId="162" dataCellStyle="Normal 5"/>
    <tableColumn id="4" xr3:uid="{5FC28852-4C95-4707-BD02-404A90226529}" name="D" totalsRowFunction="sum" dataDxfId="161" totalsRowDxfId="160" dataCellStyle="Normal 5"/>
    <tableColumn id="15" xr3:uid="{4114AC19-808E-493C-ACA0-6BE02E1EB97A}" name="E" totalsRowFunction="sum" dataDxfId="159" totalsRowDxfId="158" dataCellStyle="Normal 5"/>
    <tableColumn id="14" xr3:uid="{380B2B76-F46F-4E5D-89BF-1B21B40C5B4B}" name="F" totalsRowFunction="sum" dataDxfId="157" totalsRowDxfId="156" dataCellStyle="Normal 5"/>
    <tableColumn id="5" xr3:uid="{4E08C2FD-1A3E-4731-98D5-EDC866FF5AE2}" name="G" totalsRowFunction="sum" dataDxfId="155" totalsRowDxfId="154" dataCellStyle="Normal 5"/>
    <tableColumn id="7" xr3:uid="{AA743120-D70B-4EDB-BDF2-FCEF15E161AD}" name="BER Total" totalsRowFunction="custom" dataDxfId="153" totalsRowDxfId="152" dataCellStyle="Normal 5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VLOOKUP(A78,Table2[],MATCH(B78,Table2[#Headers],0), 0 )</calculatedColumnFormula>
      <totalsRowFormula>SUM(M78:M155)</totalsRowFormula>
    </tableColumn>
    <tableColumn id="9" xr3:uid="{8737D0B3-F76C-40B2-8291-DF0F8115CB18}" name="Ratio" totalsRowFunction="custom" dataDxfId="149" totalsRowDxfId="148">
      <calculatedColumnFormula>VLOOKUP(A78,Table2[],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L78*N78</calculatedColumnFormula>
      <totalsRowFormula>SUM(O78:O155)</totalsRowFormula>
    </tableColumn>
  </tableColumns>
  <tableStyleInfo name="TableStyleMedium12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112:AI138" totalsRowShown="0" headerRowDxfId="145" dataDxfId="144" tableBorderDxfId="143" headerRowCellStyle="Normal 5">
  <autoFilter ref="AB112:AI138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S113/AG113*AG113</calculatedColumnFormula>
    </tableColumn>
    <tableColumn id="3" xr3:uid="{9DF096E0-120A-4543-A6A2-D95695579FF8}" name="Attached" dataDxfId="140">
      <calculatedColumnFormula array="1">SUM((T113:U113)/AG113)*AG113</calculatedColumnFormula>
    </tableColumn>
    <tableColumn id="4" xr3:uid="{C86FFDAC-54CF-49D5-B11F-C2E365ED6217}" name="Apartments" dataDxfId="139">
      <calculatedColumnFormula array="1">SUM((V113:Y113)/AG113)*AG113</calculatedColumnFormula>
    </tableColumn>
    <tableColumn id="5" xr3:uid="{47784C07-400C-4D61-BBC0-5E2619012207}" name="Not Stated" dataDxfId="138">
      <calculatedColumnFormula>Z113/AG113*AG113</calculatedColumnFormula>
    </tableColumn>
    <tableColumn id="6" xr3:uid="{802D838E-C585-40C6-8DF7-A9064AB0F3C1}" name="Total Residence" dataDxfId="137">
      <calculatedColumnFormula>SUM(S113:Z113)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61:F71" totalsRowShown="0" headerRowDxfId="134" dataDxfId="132" headerRowBorderDxfId="133" tableBorderDxfId="131" headerRowCellStyle="Normal 5">
  <autoFilter ref="B61:F71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SUM(C62:E62)</calculatedColumnFormula>
    </tableColumn>
  </tableColumns>
  <tableStyleInfo name="TableStyleMedium1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46:F56" totalsRowShown="0" headerRowDxfId="125" dataDxfId="123" headerRowBorderDxfId="124" tableBorderDxfId="122">
  <autoFilter ref="B46:F56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SUM(C47:E47)</calculatedColumnFormula>
    </tableColumn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213" totalsRowShown="0">
  <autoFilter ref="AA6:AV213" xr:uid="{93482FA4-94FE-46BF-B906-F4DE12E0C078}">
    <filterColumn colId="0">
      <filters>
        <filter val="A"/>
      </filters>
    </filterColumn>
  </autoFilter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MainWaterHeatingFuel" dataDxfId="97"/>
    <tableColumn id="4" xr3:uid="{5ECEA210-31E4-4BB9-AD80-DDFFD912ACDF}" name="Count of EnergyRating" dataDxfId="96"/>
    <tableColumn id="5" xr3:uid="{669BCA4A-83FF-49E8-A59E-216B194A31B9}" name="Floor Area (m2)" dataDxfId="95"/>
    <tableColumn id="6" xr3:uid="{886337F8-5AFF-4A7A-91F4-79109FC04F74}" name="BerRating" dataDxfId="94"/>
    <tableColumn id="7" xr3:uid="{74A9355A-9C40-4ABE-819D-C17CF4E6C388}" name="PrimaryEnergyMainSpace" dataDxfId="93"/>
    <tableColumn id="8" xr3:uid="{1E4F32B6-C57C-4764-B29E-79F450C7D99D}" name="DeliveredEnergyMainSpace" dataDxfId="92"/>
    <tableColumn id="9" xr3:uid="{59416566-4F68-4A0B-85FB-BAC88B15D463}" name="Avg. HSMainSystemEfficiency" dataDxfId="91"/>
    <tableColumn id="13" xr3:uid="{0E3EDD86-970C-44B3-A78B-924A5A594F3C}" name="PrimaryEnergySecondarySpace" dataDxfId="90"/>
    <tableColumn id="10" xr3:uid="{9B2E811E-10C7-4543-A328-A0D4E6169CB8}" name="DeliveredEnergySecondarySpace" dataDxfId="89"/>
    <tableColumn id="11" xr3:uid="{3292BFAC-9EB6-4025-8204-EADF01810411}" name="PrimaryEnergyLighting" dataDxfId="88"/>
    <tableColumn id="12" xr3:uid="{D6C73573-8AF3-4E14-8C39-5018D8475CF9}" name="DeliveredLightingEnergy" dataDxfId="87"/>
    <tableColumn id="14" xr3:uid="{73069199-8486-4560-98BB-1821381BFB69}" name="PrimaryEnergyPumpsFans" dataDxfId="86"/>
    <tableColumn id="20" xr3:uid="{8B48CB3C-3B63-40D4-8537-058DB0AAE1A2}" name="DeliveredEnergyPumpsFans" dataDxfId="85"/>
    <tableColumn id="19" xr3:uid="{C29E1288-C432-4C8F-B90F-F8B6A964755C}" name="PrimaryEnergyMainWater" dataDxfId="84"/>
    <tableColumn id="18" xr3:uid="{FFF6D09C-99F4-44ED-866E-A3AD645E700B}" name="DeliveredEnergyMainWater" dataDxfId="83"/>
    <tableColumn id="17" xr3:uid="{8E8C3AB4-C75E-4617-97B6-E1390F7ACE23}" name="PrimaryEnergySupplementaryWater" dataDxfId="82"/>
    <tableColumn id="21" xr3:uid="{4D2542B8-3E81-47B0-B623-10BD4B8EB06E}" name="DeliveredEnergySupplementaryWater" dataDxfId="81"/>
    <tableColumn id="16" xr3:uid="{8362ED86-8A41-48F8-8695-45C8D1FD4575}" name="TotalDeliveredEnergy" dataDxfId="80"/>
    <tableColumn id="15" xr3:uid="{71CC2515-A8AE-4D29-AE39-0DB607FB472E}" name="CalculatedDeliveredEnergy" dataDxfId="79">
      <calculatedColumnFormula>SUM(ABS(AH7), ABS(AK7),ABS(AM7),ABS(AO7),ABS(AQ7),ABS(AS7))</calculatedColumnFormula>
    </tableColumn>
    <tableColumn id="22" xr3:uid="{BCE9DC6F-04CD-4804-80C7-232399C171C8}" name="CalculatedPrimaryEnergy" dataDxfId="78">
      <calculatedColumnFormula>SUM(ABS(AG7),ABS(AJ7),ABS(AL7),ABS(AN7),ABS(AP7),ABS(AR7))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413" totalsRowShown="0">
  <autoFilter ref="AA6:AV413" xr:uid="{D3B8FAD6-39D7-4ED2-A152-B1D6E49F85FC}">
    <filterColumn colId="0">
      <filters>
        <filter val="G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MainWaterHeatingFuel" dataDxfId="58"/>
    <tableColumn id="4" xr3:uid="{23ABCD2C-6BA2-4CCC-AC6B-39C67D17A4D0}" name="Count of EnergyRating" dataDxfId="57"/>
    <tableColumn id="5" xr3:uid="{C4EF1B18-946B-4DBA-B6F9-B9CEA6F8F8EE}" name="Floor Area (m2)" dataDxfId="56"/>
    <tableColumn id="6" xr3:uid="{4A059165-8933-416C-9BF8-88BEA9CF42A1}" name="BerRating" dataDxfId="55"/>
    <tableColumn id="7" xr3:uid="{F1D0B0FC-131D-4ACA-9395-65FA1E99B29F}" name="PrimaryEnergyMainSpace" dataDxfId="54"/>
    <tableColumn id="8" xr3:uid="{2109C7F5-F09B-4D0B-872D-6032A57C46C2}" name="DeliveredEnergyMainSpace" dataDxfId="53"/>
    <tableColumn id="9" xr3:uid="{7DA0B498-A1CB-45EA-B6DB-B9AE456A3EF1}" name="Avg. HSMainSystemEfficiency" dataDxfId="52"/>
    <tableColumn id="13" xr3:uid="{9B89BD2B-3BA2-4EF3-B907-5B71124E9D91}" name="PrimaryEnergySecondarySpace" dataDxfId="51"/>
    <tableColumn id="10" xr3:uid="{70D5E91D-B718-4B82-9AB5-4AB76BC475A5}" name="DeliveredEnergySecondarySpace" dataDxfId="50"/>
    <tableColumn id="11" xr3:uid="{979F7BE7-595E-4998-9A78-F68F8FC42795}" name="PrimaryEnergyLighting" dataDxfId="49"/>
    <tableColumn id="12" xr3:uid="{1D17B1FF-2FC0-46A6-B168-03EF35846A2E}" name="DeliveredLightingEnergy" dataDxfId="48"/>
    <tableColumn id="14" xr3:uid="{039EB663-60A1-4B3C-9B29-F75E4B96D226}" name="PrimaryEnergyPumpsFans" dataDxfId="47"/>
    <tableColumn id="20" xr3:uid="{34B5AF7B-31D4-4996-AAEA-905DD48D1890}" name="DeliveredEnergyPumpsFans" dataDxfId="46"/>
    <tableColumn id="19" xr3:uid="{59FD46FB-7C41-40A9-9873-5E6E052CB8EF}" name="PrimaryEnergyMainWater" dataDxfId="45"/>
    <tableColumn id="18" xr3:uid="{92327A22-5874-4C10-BFA4-6A9E600AD080}" name="DeliveredEnergyMainWater" dataDxfId="44"/>
    <tableColumn id="17" xr3:uid="{D930EEF8-F4BE-4AC3-BDD3-7C8460E2B565}" name="PrimaryEnergySupplementaryWater" dataDxfId="43"/>
    <tableColumn id="21" xr3:uid="{5A309E19-16A4-433C-9E4B-AAA7B1B24F6D}" name="DeliveredEnergySupplementaryWater" dataDxfId="42"/>
    <tableColumn id="16" xr3:uid="{D54817B0-F835-4C9B-9E31-08062BA432D8}" name="TotalDeliveredEnergy" dataDxfId="41"/>
    <tableColumn id="15" xr3:uid="{F615EA97-A0E1-4BDC-BE82-B3055596F132}" name="CalculatedDeliveredEnergy" dataDxfId="40">
      <calculatedColumnFormula>SUM(ABS(AH7), ABS(AK7),ABS(AM7),ABS(AO7),ABS(AQ7),ABS(AS7))</calculatedColumnFormula>
    </tableColumn>
    <tableColumn id="22" xr3:uid="{DE4FD950-42BB-4B40-BC59-C87C0E98225C}" name="CalculatedPrimaryEnergy" dataDxfId="39">
      <calculatedColumnFormula>SUM(ABS(AG7),ABS(AJ7),ABS(AL7),ABS(AN7),ABS(AP7),ABS(AR7))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465" totalsRowShown="0">
  <autoFilter ref="AA6:AV465" xr:uid="{D3B8FAD6-39D7-4ED2-A152-B1D6E49F85FC}">
    <filterColumn colId="0">
      <filters>
        <filter val="A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MainWaterHeatingFuel" dataDxfId="19"/>
    <tableColumn id="4" xr3:uid="{F829DFF3-7B8F-4DC4-B81D-A60624A69859}" name="Count of EnergyRating" dataDxfId="18"/>
    <tableColumn id="5" xr3:uid="{9D899E3C-E933-4F72-B04E-EA67855240BC}" name="Floor Area (m2)" dataDxfId="17"/>
    <tableColumn id="6" xr3:uid="{2BDF39A8-0EDB-41C7-9E67-4A22B4659E94}" name="BerRating" dataDxfId="16"/>
    <tableColumn id="7" xr3:uid="{8B7EEE88-9D94-4A83-940F-312B932B464E}" name="PrimaryEnergyMainSpace" dataDxfId="15"/>
    <tableColumn id="8" xr3:uid="{A121F83E-C34D-4318-A61E-3FD728AFDF21}" name="DeliveredEnergyMainSpace" dataDxfId="14"/>
    <tableColumn id="9" xr3:uid="{76615A38-3E90-4E20-8371-38C9441D4DA6}" name="Avg. HSMainSystemEfficiency" dataDxfId="13"/>
    <tableColumn id="13" xr3:uid="{CFA74B60-EBC2-45B7-B090-C52A4FEDC663}" name="PrimaryEnergySecondarySpace" dataDxfId="12"/>
    <tableColumn id="10" xr3:uid="{50B4CDF2-EC43-4E10-8B33-7DAF2205A8DA}" name="DeliveredEnergySecondarySpace" dataDxfId="11"/>
    <tableColumn id="11" xr3:uid="{C44447A3-F0B0-4CDF-9563-AC7CE94C17C7}" name="PrimaryEnergyLighting" dataDxfId="10"/>
    <tableColumn id="12" xr3:uid="{2EF93E04-5541-438A-81D6-AB000F591EA0}" name="DeliveredLightingEnergy" dataDxfId="9"/>
    <tableColumn id="14" xr3:uid="{8794168B-A094-46FF-BF0E-C2AC841827AF}" name="PrimaryEnergyPumpsFans" dataDxfId="8"/>
    <tableColumn id="20" xr3:uid="{1CB9E793-6F90-421F-8546-3FA5720E5052}" name="DeliveredEnergyPumpsFans" dataDxfId="7"/>
    <tableColumn id="19" xr3:uid="{2C385480-827C-435E-9C3C-6C471E8984A2}" name="PrimaryEnergyMainWater" dataDxfId="6"/>
    <tableColumn id="18" xr3:uid="{8A9DDF54-5576-49EF-B441-86AB22DEC715}" name="DeliveredEnergyMainWater" dataDxfId="5"/>
    <tableColumn id="17" xr3:uid="{91B34B1C-03DD-44C2-97BA-804F1873BA53}" name="PrimaryEnergySupplementaryWater" dataDxfId="4"/>
    <tableColumn id="21" xr3:uid="{6BB07D26-5C61-4DC1-94BD-AE456B3DCEC4}" name="DeliveredEnergySupplementaryWater" dataDxfId="3"/>
    <tableColumn id="16" xr3:uid="{FDBA8E64-5575-48F9-985B-8E8D25503349}" name="TotalDeliveredEnergy" dataDxfId="2"/>
    <tableColumn id="15" xr3:uid="{FDCD2094-98B0-4C05-AF78-A2166A988222}" name="CalculatedDeliveredEnergy" dataDxfId="1">
      <calculatedColumnFormula>SUM(ABS(AH7), ABS(AK7),ABS(AM7),ABS(AO7),ABS(AQ7),ABS(AS7))</calculatedColumnFormula>
    </tableColumn>
    <tableColumn id="22" xr3:uid="{9FA898EC-D144-4BEC-92B3-19CCC25639A5}" name="CalculatedPrimaryEnergy" dataDxfId="0">
      <calculatedColumnFormula>SUM(ABS(AG7),ABS(AJ7),ABS(AL7),ABS(AN7),ABS(AP7),ABS(AR7))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N77" dT="2020-05-15T15:13:46.73" personId="{4B4DFC4A-CA11-4D86-9C95-17D05A636CB6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storage.topten.eu/source/files/WhiteGoods_in_Europe_June15.pdf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epa.ie/pubs/reports/air/airemissions/Emission%20Factors%20for%202019%20V1816122019.pdf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.xml"/><Relationship Id="rId13" Type="http://schemas.openxmlformats.org/officeDocument/2006/relationships/comments" Target="../comments4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5.vml"/><Relationship Id="rId12" Type="http://schemas.openxmlformats.org/officeDocument/2006/relationships/table" Target="../tables/table5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4.xml"/><Relationship Id="rId11" Type="http://schemas.openxmlformats.org/officeDocument/2006/relationships/table" Target="../tables/table4.xml"/><Relationship Id="rId5" Type="http://schemas.openxmlformats.org/officeDocument/2006/relationships/printerSettings" Target="../printerSettings/printerSettings9.bin"/><Relationship Id="rId10" Type="http://schemas.openxmlformats.org/officeDocument/2006/relationships/table" Target="../tables/table3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2.xml"/><Relationship Id="rId14" Type="http://schemas.microsoft.com/office/2017/10/relationships/threadedComment" Target="../threadedComments/threadedComment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>
    <tabColor theme="7"/>
  </sheetPr>
  <dimension ref="A1:N44"/>
  <sheetViews>
    <sheetView workbookViewId="0"/>
    <sheetView workbookViewId="1"/>
  </sheetViews>
  <sheetFormatPr defaultColWidth="8.85546875" defaultRowHeight="15"/>
  <cols>
    <col min="1" max="1" width="15.28515625" style="216" bestFit="1" customWidth="1"/>
    <col min="2" max="8" width="14.140625" style="216" customWidth="1"/>
    <col min="9" max="9" width="12.140625" style="216" customWidth="1"/>
    <col min="10" max="12" width="8.140625" style="216" customWidth="1"/>
    <col min="13" max="13" width="9.7109375" style="216" customWidth="1"/>
    <col min="14" max="14" width="8.140625" style="216" customWidth="1"/>
    <col min="15" max="15" width="10" style="216" customWidth="1"/>
    <col min="16" max="16" width="11.42578125" style="216" customWidth="1"/>
    <col min="17" max="17" width="13.42578125" style="216" customWidth="1"/>
    <col min="18" max="31" width="8.85546875" style="216"/>
    <col min="32" max="32" width="21.42578125" style="216" customWidth="1"/>
    <col min="33" max="38" width="8.85546875" style="216"/>
    <col min="39" max="39" width="21.28515625" style="216" customWidth="1"/>
    <col min="40" max="16384" width="8.85546875" style="216"/>
  </cols>
  <sheetData>
    <row r="1" spans="1:6">
      <c r="A1" s="820"/>
      <c r="B1" s="820"/>
      <c r="C1" s="820"/>
      <c r="D1" s="820"/>
      <c r="E1" s="820"/>
      <c r="F1" s="820"/>
    </row>
    <row r="2" spans="1:6">
      <c r="A2" s="820"/>
      <c r="B2" s="820"/>
      <c r="C2" s="820"/>
      <c r="D2" s="820"/>
      <c r="E2" s="820"/>
      <c r="F2" s="820"/>
    </row>
    <row r="3" spans="1:6">
      <c r="A3" s="820"/>
      <c r="B3" s="820"/>
      <c r="C3" s="820"/>
      <c r="D3" s="820"/>
      <c r="E3" s="820"/>
      <c r="F3" s="820"/>
    </row>
    <row r="4" spans="1:6">
      <c r="A4" s="820"/>
      <c r="B4" s="820"/>
      <c r="C4" s="820"/>
      <c r="D4" s="820"/>
      <c r="E4" s="820"/>
      <c r="F4" s="820"/>
    </row>
    <row r="5" spans="1:6">
      <c r="A5" s="820"/>
      <c r="B5" s="820"/>
      <c r="C5" s="820"/>
      <c r="D5" s="820"/>
      <c r="E5" s="820"/>
      <c r="F5" s="820"/>
    </row>
    <row r="6" spans="1:6">
      <c r="A6" s="820"/>
      <c r="B6" s="820"/>
      <c r="C6" s="820"/>
      <c r="D6" s="820"/>
      <c r="E6" s="820"/>
      <c r="F6" s="820"/>
    </row>
    <row r="7" spans="1:6">
      <c r="A7" s="820"/>
      <c r="B7" s="820"/>
      <c r="C7" s="820"/>
      <c r="D7" s="820"/>
      <c r="E7" s="820"/>
      <c r="F7" s="820"/>
    </row>
    <row r="8" spans="1:6">
      <c r="A8" s="820"/>
      <c r="B8" s="820"/>
      <c r="C8" s="820"/>
      <c r="D8" s="820"/>
      <c r="E8" s="820"/>
      <c r="F8" s="820"/>
    </row>
    <row r="9" spans="1:6">
      <c r="A9" s="820"/>
      <c r="B9" s="820"/>
      <c r="C9" s="820"/>
      <c r="D9" s="820"/>
      <c r="E9" s="820"/>
      <c r="F9" s="820"/>
    </row>
    <row r="10" spans="1:6">
      <c r="A10" s="820"/>
      <c r="B10" s="820"/>
      <c r="C10" s="820"/>
      <c r="D10" s="820"/>
      <c r="E10" s="820"/>
      <c r="F10" s="820"/>
    </row>
    <row r="11" spans="1:6">
      <c r="A11" s="820"/>
      <c r="B11" s="820"/>
      <c r="C11" s="820"/>
      <c r="D11" s="820"/>
      <c r="E11" s="820"/>
      <c r="F11" s="820"/>
    </row>
    <row r="12" spans="1:6">
      <c r="A12" s="820"/>
      <c r="B12" s="820"/>
      <c r="C12" s="820"/>
      <c r="D12" s="820"/>
      <c r="E12" s="820"/>
      <c r="F12" s="820"/>
    </row>
    <row r="13" spans="1:6">
      <c r="A13" s="820"/>
      <c r="B13" s="820"/>
      <c r="C13" s="820"/>
      <c r="D13" s="820"/>
      <c r="E13" s="820"/>
      <c r="F13" s="820"/>
    </row>
    <row r="14" spans="1:6">
      <c r="A14" s="820"/>
      <c r="B14" s="820"/>
      <c r="C14" s="820"/>
      <c r="D14" s="820"/>
      <c r="E14" s="820"/>
      <c r="F14" s="820"/>
    </row>
    <row r="15" spans="1:6">
      <c r="A15" s="820"/>
      <c r="B15" s="820"/>
      <c r="C15" s="820"/>
      <c r="D15" s="820"/>
      <c r="E15" s="820"/>
      <c r="F15" s="820"/>
    </row>
    <row r="16" spans="1:6">
      <c r="A16" s="820"/>
      <c r="B16" s="820"/>
      <c r="C16" s="820"/>
      <c r="D16" s="820"/>
      <c r="E16" s="820"/>
      <c r="F16" s="820"/>
    </row>
    <row r="17" spans="1:14" ht="102.75" customHeight="1">
      <c r="A17" s="1014" t="s">
        <v>0</v>
      </c>
      <c r="B17" s="1014"/>
      <c r="C17" s="1014"/>
      <c r="D17" s="1014"/>
      <c r="E17" s="1014"/>
      <c r="F17" s="1014"/>
      <c r="G17" s="217"/>
      <c r="H17" s="217"/>
      <c r="I17" s="218"/>
      <c r="J17" s="218"/>
      <c r="K17" s="218"/>
      <c r="L17" s="218"/>
      <c r="M17" s="218"/>
      <c r="N17" s="218"/>
    </row>
    <row r="18" spans="1:14" ht="17.25" customHeight="1">
      <c r="A18" s="821"/>
      <c r="B18" s="821"/>
      <c r="C18" s="821"/>
      <c r="D18" s="821"/>
      <c r="E18" s="821"/>
      <c r="F18" s="821"/>
      <c r="G18" s="822"/>
      <c r="H18" s="822"/>
      <c r="I18" s="822"/>
      <c r="J18" s="822"/>
      <c r="K18" s="822"/>
      <c r="L18" s="822"/>
      <c r="M18" s="822"/>
      <c r="N18" s="822"/>
    </row>
    <row r="19" spans="1:14" ht="17.25" customHeight="1">
      <c r="A19" s="821"/>
      <c r="B19" s="821"/>
      <c r="C19" s="821"/>
      <c r="D19" s="821"/>
      <c r="E19" s="821"/>
      <c r="F19" s="821"/>
      <c r="G19" s="219"/>
      <c r="H19" s="219"/>
      <c r="I19" s="220"/>
      <c r="J19" s="220"/>
      <c r="K19" s="220"/>
      <c r="L19" s="220"/>
      <c r="M19" s="220"/>
      <c r="N19" s="220"/>
    </row>
    <row r="20" spans="1:14" ht="17.25" customHeight="1">
      <c r="A20" s="221" t="s">
        <v>1</v>
      </c>
      <c r="B20" s="1015" t="s">
        <v>2</v>
      </c>
      <c r="C20" s="1015"/>
      <c r="D20" s="1015"/>
      <c r="E20" s="1015"/>
      <c r="F20" s="1015"/>
      <c r="G20" s="222"/>
      <c r="H20" s="222"/>
      <c r="I20" s="223"/>
      <c r="J20" s="223"/>
      <c r="K20" s="223"/>
      <c r="L20" s="223"/>
      <c r="M20" s="223"/>
      <c r="N20" s="223"/>
    </row>
    <row r="21" spans="1:14" ht="17.25" customHeight="1">
      <c r="A21" s="221" t="s">
        <v>3</v>
      </c>
      <c r="B21" s="1016" t="s">
        <v>4</v>
      </c>
      <c r="C21" s="1016"/>
      <c r="D21" s="1016"/>
      <c r="E21" s="1016"/>
      <c r="F21" s="1016"/>
      <c r="G21" s="222"/>
      <c r="H21" s="222"/>
      <c r="I21" s="223"/>
      <c r="J21" s="223"/>
      <c r="K21" s="223"/>
      <c r="L21" s="223"/>
      <c r="M21" s="223"/>
      <c r="N21" s="223"/>
    </row>
    <row r="22" spans="1:14" ht="17.25" customHeight="1">
      <c r="A22" s="221" t="s">
        <v>5</v>
      </c>
      <c r="B22" s="1016" t="s">
        <v>6</v>
      </c>
      <c r="C22" s="1016"/>
      <c r="D22" s="1016"/>
      <c r="E22" s="1016"/>
      <c r="F22" s="1016"/>
      <c r="G22" s="822"/>
      <c r="H22" s="822"/>
      <c r="I22" s="822"/>
      <c r="J22" s="822"/>
      <c r="K22" s="822"/>
      <c r="L22" s="822"/>
      <c r="M22" s="822"/>
      <c r="N22" s="822"/>
    </row>
    <row r="23" spans="1:14" ht="17.25" customHeight="1">
      <c r="A23" s="221" t="s">
        <v>7</v>
      </c>
      <c r="B23" s="738" t="s">
        <v>8</v>
      </c>
      <c r="C23" s="738"/>
      <c r="D23" s="738"/>
      <c r="E23" s="738"/>
      <c r="F23" s="738"/>
      <c r="G23" s="822"/>
      <c r="H23" s="822"/>
      <c r="I23" s="822"/>
      <c r="J23" s="822"/>
      <c r="K23" s="822"/>
      <c r="L23" s="822"/>
      <c r="M23" s="822"/>
      <c r="N23" s="822"/>
    </row>
    <row r="24" spans="1:14" ht="17.25" customHeight="1">
      <c r="A24" s="221" t="s">
        <v>9</v>
      </c>
      <c r="B24" s="952" t="s">
        <v>820</v>
      </c>
      <c r="C24" s="820"/>
      <c r="D24" s="820"/>
      <c r="E24" s="224"/>
      <c r="F24" s="224"/>
      <c r="G24" s="225"/>
      <c r="H24" s="225"/>
      <c r="I24" s="822"/>
      <c r="J24" s="822"/>
      <c r="K24" s="822"/>
      <c r="L24" s="822"/>
      <c r="M24" s="822"/>
      <c r="N24" s="822"/>
    </row>
    <row r="25" spans="1:14" ht="17.25" customHeight="1">
      <c r="A25" s="1017"/>
      <c r="B25" s="1017"/>
      <c r="C25" s="1017"/>
      <c r="D25" s="1017"/>
      <c r="E25" s="1017"/>
      <c r="F25" s="1017"/>
      <c r="G25" s="225"/>
      <c r="H25" s="225"/>
      <c r="I25" s="822"/>
      <c r="J25" s="822"/>
      <c r="K25" s="822"/>
      <c r="L25" s="822"/>
      <c r="M25" s="822"/>
      <c r="N25" s="822"/>
    </row>
    <row r="26" spans="1:14" ht="17.25" customHeight="1">
      <c r="A26" s="1013"/>
      <c r="B26" s="1013"/>
      <c r="C26" s="1013"/>
      <c r="D26" s="1013"/>
      <c r="E26" s="1013"/>
      <c r="F26" s="1013"/>
      <c r="G26" s="822"/>
      <c r="H26" s="822"/>
      <c r="I26" s="822"/>
      <c r="J26" s="822"/>
      <c r="K26" s="822"/>
      <c r="L26" s="822"/>
      <c r="M26" s="822"/>
      <c r="N26" s="822"/>
    </row>
    <row r="27" spans="1:14">
      <c r="A27" s="820"/>
      <c r="B27" s="820"/>
      <c r="C27" s="820"/>
      <c r="D27" s="820"/>
      <c r="E27" s="820"/>
      <c r="F27" s="820"/>
      <c r="G27" s="822"/>
      <c r="H27" s="822"/>
      <c r="I27" s="822"/>
      <c r="J27" s="822"/>
      <c r="K27" s="822"/>
      <c r="L27" s="822"/>
      <c r="M27" s="822"/>
      <c r="N27" s="822"/>
    </row>
    <row r="28" spans="1:14">
      <c r="A28" s="820"/>
      <c r="B28" s="820"/>
      <c r="C28" s="820"/>
      <c r="D28" s="820"/>
      <c r="E28" s="820"/>
      <c r="F28" s="820"/>
      <c r="G28" s="822"/>
      <c r="H28" s="822"/>
      <c r="I28" s="822"/>
      <c r="J28" s="822"/>
      <c r="K28" s="822"/>
      <c r="L28" s="822"/>
      <c r="M28" s="822"/>
      <c r="N28" s="822"/>
    </row>
    <row r="29" spans="1:14">
      <c r="A29" s="820"/>
      <c r="B29" s="820"/>
      <c r="C29" s="820"/>
      <c r="D29" s="820"/>
      <c r="E29" s="820"/>
      <c r="F29" s="820"/>
      <c r="G29" s="822"/>
      <c r="H29" s="822"/>
      <c r="I29" s="822"/>
      <c r="J29" s="822"/>
      <c r="K29" s="822"/>
      <c r="L29" s="822"/>
      <c r="M29" s="822"/>
      <c r="N29" s="822"/>
    </row>
    <row r="30" spans="1:14">
      <c r="A30" s="820"/>
      <c r="B30" s="820"/>
      <c r="C30" s="820"/>
      <c r="D30" s="820"/>
      <c r="E30" s="820"/>
      <c r="F30" s="820"/>
      <c r="G30" s="822"/>
      <c r="H30" s="822"/>
      <c r="I30" s="822"/>
      <c r="J30" s="822"/>
      <c r="K30" s="822"/>
      <c r="L30" s="822"/>
      <c r="M30" s="822"/>
      <c r="N30" s="822"/>
    </row>
    <row r="31" spans="1:14">
      <c r="A31" s="820"/>
      <c r="B31" s="820"/>
      <c r="C31" s="820"/>
      <c r="D31" s="820"/>
      <c r="E31" s="820"/>
      <c r="F31" s="820"/>
      <c r="G31" s="822"/>
      <c r="H31" s="822"/>
      <c r="I31" s="822"/>
      <c r="J31" s="822"/>
      <c r="K31" s="822"/>
      <c r="L31" s="822"/>
      <c r="M31" s="822"/>
      <c r="N31" s="822"/>
    </row>
    <row r="32" spans="1:14">
      <c r="A32" s="820"/>
      <c r="B32" s="820"/>
      <c r="C32" s="820"/>
      <c r="D32" s="820"/>
      <c r="E32" s="820"/>
      <c r="F32" s="820"/>
      <c r="G32" s="822"/>
      <c r="H32" s="822"/>
      <c r="I32" s="822"/>
      <c r="J32" s="822"/>
      <c r="K32" s="822"/>
      <c r="L32" s="822"/>
      <c r="M32" s="822"/>
      <c r="N32" s="822"/>
    </row>
    <row r="33" spans="1:14">
      <c r="A33" s="820"/>
      <c r="B33" s="820"/>
      <c r="C33" s="820"/>
      <c r="D33" s="820"/>
      <c r="E33" s="820"/>
      <c r="F33" s="820"/>
      <c r="G33" s="822"/>
      <c r="H33" s="822"/>
      <c r="I33" s="822"/>
      <c r="J33" s="822"/>
      <c r="K33" s="822"/>
      <c r="L33" s="822"/>
      <c r="M33" s="822"/>
      <c r="N33" s="822"/>
    </row>
    <row r="34" spans="1:14">
      <c r="A34" s="820"/>
      <c r="B34" s="820"/>
      <c r="C34" s="820"/>
      <c r="D34" s="820"/>
      <c r="E34" s="820"/>
      <c r="F34" s="820"/>
      <c r="G34" s="822"/>
      <c r="H34" s="822"/>
      <c r="I34" s="822"/>
      <c r="J34" s="822"/>
      <c r="K34" s="822"/>
      <c r="L34" s="822"/>
      <c r="M34" s="822"/>
      <c r="N34" s="822"/>
    </row>
    <row r="35" spans="1:14">
      <c r="A35" s="820"/>
      <c r="B35" s="820"/>
      <c r="C35" s="820"/>
      <c r="D35" s="820"/>
      <c r="E35" s="820"/>
      <c r="F35" s="820"/>
      <c r="G35" s="822"/>
      <c r="H35" s="822"/>
      <c r="I35" s="822"/>
      <c r="J35" s="822"/>
      <c r="K35" s="822"/>
      <c r="L35" s="822"/>
      <c r="M35" s="822"/>
      <c r="N35" s="822"/>
    </row>
    <row r="36" spans="1:14">
      <c r="A36" s="820"/>
      <c r="B36" s="820"/>
      <c r="C36" s="820"/>
      <c r="D36" s="820"/>
      <c r="E36" s="820"/>
      <c r="F36" s="820"/>
      <c r="G36" s="822"/>
      <c r="H36" s="822"/>
      <c r="I36" s="822"/>
      <c r="J36" s="822"/>
      <c r="K36" s="822"/>
      <c r="L36" s="822"/>
      <c r="M36" s="822"/>
      <c r="N36" s="822"/>
    </row>
    <row r="37" spans="1:14">
      <c r="A37" s="820"/>
      <c r="B37" s="820"/>
      <c r="C37" s="820"/>
      <c r="D37" s="820"/>
      <c r="E37" s="820"/>
      <c r="F37" s="820"/>
      <c r="G37" s="822"/>
      <c r="H37" s="822"/>
      <c r="I37" s="822"/>
      <c r="J37" s="822"/>
      <c r="K37" s="822"/>
      <c r="L37" s="822"/>
      <c r="M37" s="822"/>
      <c r="N37" s="822"/>
    </row>
    <row r="38" spans="1:14">
      <c r="A38" s="820"/>
      <c r="B38" s="820"/>
      <c r="C38" s="820"/>
      <c r="D38" s="820"/>
      <c r="E38" s="820"/>
      <c r="F38" s="820"/>
      <c r="G38" s="822"/>
      <c r="H38" s="822"/>
      <c r="I38" s="822"/>
      <c r="J38" s="822"/>
      <c r="K38" s="822"/>
      <c r="L38" s="822"/>
      <c r="M38" s="822"/>
      <c r="N38" s="822"/>
    </row>
    <row r="39" spans="1:14">
      <c r="A39" s="820"/>
      <c r="B39" s="820"/>
      <c r="C39" s="820"/>
      <c r="D39" s="820"/>
      <c r="E39" s="820"/>
      <c r="F39" s="820"/>
      <c r="G39" s="822"/>
      <c r="H39" s="822"/>
      <c r="I39" s="822"/>
      <c r="J39" s="822"/>
      <c r="K39" s="822"/>
      <c r="L39" s="822"/>
      <c r="M39" s="822"/>
      <c r="N39" s="822"/>
    </row>
    <row r="40" spans="1:14">
      <c r="A40" s="820"/>
      <c r="B40" s="820"/>
      <c r="C40" s="820"/>
      <c r="D40" s="820"/>
      <c r="E40" s="820"/>
      <c r="F40" s="820"/>
      <c r="G40" s="822"/>
      <c r="H40" s="822"/>
      <c r="I40" s="822"/>
      <c r="J40" s="822"/>
      <c r="K40" s="822"/>
      <c r="L40" s="822"/>
      <c r="M40" s="822"/>
      <c r="N40" s="822"/>
    </row>
    <row r="41" spans="1:14">
      <c r="A41" s="820"/>
      <c r="B41" s="820"/>
      <c r="C41" s="820"/>
      <c r="D41" s="820"/>
      <c r="E41" s="820"/>
      <c r="F41" s="820"/>
      <c r="G41" s="822"/>
      <c r="H41" s="822"/>
      <c r="I41" s="822"/>
      <c r="J41" s="822"/>
      <c r="K41" s="822"/>
      <c r="L41" s="822"/>
      <c r="M41" s="822"/>
      <c r="N41" s="822"/>
    </row>
    <row r="42" spans="1:14">
      <c r="A42" s="820"/>
      <c r="B42" s="820"/>
      <c r="C42" s="820"/>
      <c r="D42" s="820"/>
      <c r="E42" s="820"/>
      <c r="F42" s="820"/>
      <c r="G42" s="822"/>
      <c r="H42" s="822"/>
      <c r="I42" s="822"/>
      <c r="J42" s="822"/>
      <c r="K42" s="822"/>
      <c r="L42" s="822"/>
      <c r="M42" s="822"/>
      <c r="N42" s="822"/>
    </row>
    <row r="43" spans="1:14">
      <c r="A43" s="820"/>
      <c r="B43" s="820"/>
      <c r="C43" s="820"/>
      <c r="D43" s="820"/>
      <c r="E43" s="820"/>
      <c r="F43" s="820"/>
      <c r="G43" s="822"/>
      <c r="H43" s="822"/>
      <c r="I43" s="822"/>
      <c r="J43" s="822"/>
      <c r="K43" s="822"/>
      <c r="L43" s="822"/>
      <c r="M43" s="822"/>
      <c r="N43" s="822"/>
    </row>
    <row r="44" spans="1:14">
      <c r="A44" s="820"/>
      <c r="B44" s="820"/>
      <c r="C44" s="820"/>
      <c r="D44" s="820"/>
      <c r="E44" s="820"/>
      <c r="F44" s="820"/>
      <c r="G44" s="822"/>
      <c r="H44" s="822"/>
      <c r="I44" s="822"/>
      <c r="J44" s="822"/>
      <c r="K44" s="822"/>
      <c r="L44" s="822"/>
      <c r="M44" s="822"/>
      <c r="N44" s="82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7"/>
  </sheetPr>
  <dimension ref="B1:S38"/>
  <sheetViews>
    <sheetView workbookViewId="0">
      <selection activeCell="F5" sqref="F5"/>
    </sheetView>
    <sheetView workbookViewId="1">
      <selection activeCell="F5" sqref="F5"/>
    </sheetView>
  </sheetViews>
  <sheetFormatPr defaultColWidth="9.140625" defaultRowHeight="15"/>
  <cols>
    <col min="1" max="1" width="3.7109375" style="226" customWidth="1"/>
    <col min="2" max="2" width="19.5703125" style="226" customWidth="1"/>
    <col min="3" max="3" width="87" style="226" bestFit="1" customWidth="1"/>
    <col min="4" max="4" width="11.42578125" style="226" customWidth="1"/>
    <col min="5" max="5" width="9.140625" style="226"/>
    <col min="6" max="6" width="18.5703125" style="226" customWidth="1"/>
    <col min="7" max="7" width="96.5703125" style="226" customWidth="1"/>
    <col min="8" max="16384" width="9.140625" style="226"/>
  </cols>
  <sheetData>
    <row r="1" spans="2:19" ht="15.75" thickBot="1">
      <c r="B1" s="823"/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</row>
    <row r="2" spans="2:19" ht="15.75" thickBot="1">
      <c r="B2" s="708" t="s">
        <v>10</v>
      </c>
      <c r="C2" s="708"/>
      <c r="D2" s="708"/>
      <c r="E2" s="823"/>
      <c r="F2" s="809" t="s">
        <v>11</v>
      </c>
      <c r="G2" s="805"/>
      <c r="H2" s="709"/>
      <c r="I2" s="709"/>
      <c r="J2" s="710"/>
      <c r="K2" s="710"/>
      <c r="L2" s="710"/>
      <c r="M2" s="710"/>
      <c r="N2" s="710"/>
      <c r="O2" s="710"/>
      <c r="P2" s="710"/>
      <c r="Q2" s="710"/>
      <c r="R2" s="710"/>
      <c r="S2" s="710"/>
    </row>
    <row r="3" spans="2:19">
      <c r="B3" s="227" t="s">
        <v>12</v>
      </c>
      <c r="C3" s="228" t="s">
        <v>13</v>
      </c>
      <c r="D3" s="228" t="s">
        <v>14</v>
      </c>
      <c r="E3" s="823"/>
      <c r="F3" s="810"/>
      <c r="G3" s="806" t="s">
        <v>15</v>
      </c>
      <c r="H3" s="709"/>
      <c r="I3" s="709"/>
      <c r="J3" s="710"/>
      <c r="K3" s="710"/>
      <c r="L3" s="710"/>
      <c r="M3" s="710"/>
      <c r="N3" s="710"/>
      <c r="O3" s="710"/>
      <c r="P3" s="710"/>
      <c r="Q3" s="710"/>
      <c r="R3" s="710"/>
      <c r="S3" s="710"/>
    </row>
    <row r="4" spans="2:19">
      <c r="B4" s="229" t="s">
        <v>16</v>
      </c>
      <c r="C4" s="229" t="s">
        <v>17</v>
      </c>
      <c r="D4" s="824"/>
      <c r="E4" s="823"/>
      <c r="F4" s="811"/>
      <c r="G4" s="807" t="s">
        <v>18</v>
      </c>
      <c r="H4" s="709"/>
      <c r="I4" s="709"/>
      <c r="J4" s="710"/>
      <c r="K4" s="710"/>
      <c r="L4" s="710"/>
      <c r="M4" s="710"/>
      <c r="N4" s="710"/>
      <c r="O4" s="710"/>
      <c r="P4" s="710"/>
      <c r="Q4" s="710"/>
      <c r="R4" s="710"/>
      <c r="S4" s="710"/>
    </row>
    <row r="5" spans="2:19">
      <c r="B5" s="230" t="s">
        <v>19</v>
      </c>
      <c r="C5" s="230" t="s">
        <v>20</v>
      </c>
      <c r="D5" s="825"/>
      <c r="E5" s="823"/>
      <c r="F5" s="812"/>
      <c r="G5" s="807" t="s">
        <v>21</v>
      </c>
      <c r="H5" s="709"/>
      <c r="I5" s="709"/>
      <c r="J5" s="710"/>
      <c r="K5" s="710"/>
      <c r="L5" s="710"/>
      <c r="M5" s="710"/>
      <c r="N5" s="710"/>
      <c r="O5" s="710"/>
      <c r="P5" s="710"/>
      <c r="Q5" s="710"/>
      <c r="R5" s="710"/>
      <c r="S5" s="710"/>
    </row>
    <row r="6" spans="2:19">
      <c r="B6" s="230" t="s">
        <v>22</v>
      </c>
      <c r="C6" s="230" t="s">
        <v>23</v>
      </c>
      <c r="D6" s="825"/>
      <c r="E6" s="823"/>
      <c r="F6" s="813" t="s">
        <v>24</v>
      </c>
      <c r="G6" s="807" t="s">
        <v>25</v>
      </c>
      <c r="H6" s="709"/>
      <c r="I6" s="709"/>
      <c r="J6" s="710"/>
      <c r="K6" s="710"/>
      <c r="L6" s="710"/>
      <c r="M6" s="710"/>
      <c r="N6" s="710"/>
      <c r="O6" s="710"/>
      <c r="P6" s="710"/>
      <c r="Q6" s="710"/>
      <c r="R6" s="710"/>
      <c r="S6" s="710"/>
    </row>
    <row r="7" spans="2:19">
      <c r="B7" s="230" t="s">
        <v>26</v>
      </c>
      <c r="C7" s="230" t="s">
        <v>27</v>
      </c>
      <c r="D7" s="825"/>
      <c r="E7" s="823"/>
      <c r="F7" s="814"/>
      <c r="G7" s="807" t="s">
        <v>28</v>
      </c>
      <c r="H7" s="709"/>
      <c r="I7" s="709"/>
      <c r="J7" s="710"/>
      <c r="K7" s="710"/>
      <c r="L7" s="710"/>
      <c r="M7" s="710"/>
      <c r="N7" s="710"/>
      <c r="O7" s="710"/>
      <c r="P7" s="710"/>
      <c r="Q7" s="710"/>
      <c r="R7" s="710"/>
      <c r="S7" s="710"/>
    </row>
    <row r="8" spans="2:19">
      <c r="B8" s="230" t="s">
        <v>29</v>
      </c>
      <c r="C8" s="230" t="s">
        <v>30</v>
      </c>
      <c r="D8" s="825"/>
      <c r="E8" s="823"/>
      <c r="F8" s="815"/>
      <c r="G8" s="807" t="s">
        <v>31</v>
      </c>
      <c r="H8" s="711"/>
      <c r="I8" s="711"/>
      <c r="J8" s="711"/>
      <c r="K8" s="711"/>
      <c r="L8" s="711"/>
      <c r="M8" s="711"/>
      <c r="N8" s="711"/>
      <c r="O8" s="711"/>
      <c r="P8" s="711"/>
      <c r="Q8" s="711"/>
      <c r="R8" s="711"/>
      <c r="S8" s="711"/>
    </row>
    <row r="9" spans="2:19" ht="15.75" thickBot="1">
      <c r="B9" s="230" t="s">
        <v>32</v>
      </c>
      <c r="C9" s="230" t="s">
        <v>33</v>
      </c>
      <c r="D9" s="825"/>
      <c r="E9" s="823"/>
      <c r="F9" s="826"/>
      <c r="G9" s="808" t="s">
        <v>34</v>
      </c>
      <c r="H9" s="827"/>
      <c r="I9" s="827"/>
      <c r="J9" s="827"/>
      <c r="K9" s="827"/>
      <c r="L9" s="827"/>
      <c r="M9" s="827"/>
      <c r="N9" s="827"/>
      <c r="O9" s="827"/>
      <c r="P9" s="827"/>
      <c r="Q9" s="827"/>
      <c r="R9" s="827"/>
      <c r="S9" s="827"/>
    </row>
    <row r="10" spans="2:19">
      <c r="B10" s="230" t="s">
        <v>35</v>
      </c>
      <c r="C10" s="230" t="s">
        <v>36</v>
      </c>
      <c r="D10" s="828">
        <v>43966</v>
      </c>
      <c r="E10" s="823"/>
      <c r="F10" s="823"/>
      <c r="G10" s="823"/>
      <c r="H10" s="827"/>
      <c r="I10" s="827"/>
      <c r="J10" s="827"/>
      <c r="K10" s="827"/>
      <c r="L10" s="827"/>
      <c r="M10" s="827"/>
      <c r="N10" s="827"/>
      <c r="O10" s="827"/>
      <c r="P10" s="827"/>
      <c r="Q10" s="827"/>
      <c r="R10" s="827"/>
      <c r="S10" s="827"/>
    </row>
    <row r="11" spans="2:19">
      <c r="B11" s="230" t="s">
        <v>37</v>
      </c>
      <c r="C11" s="230" t="s">
        <v>38</v>
      </c>
      <c r="D11" s="825"/>
      <c r="E11" s="823"/>
      <c r="F11" s="823"/>
      <c r="G11" s="823"/>
      <c r="H11" s="827"/>
      <c r="I11" s="827"/>
      <c r="J11" s="827"/>
      <c r="K11" s="827"/>
      <c r="L11" s="827"/>
      <c r="M11" s="827"/>
      <c r="N11" s="827"/>
      <c r="O11" s="827"/>
      <c r="P11" s="827"/>
      <c r="Q11" s="827"/>
      <c r="R11" s="827"/>
      <c r="S11" s="827"/>
    </row>
    <row r="12" spans="2:19">
      <c r="B12" s="230" t="s">
        <v>39</v>
      </c>
      <c r="C12" s="230" t="s">
        <v>40</v>
      </c>
      <c r="D12" s="825"/>
      <c r="E12" s="823"/>
      <c r="F12" s="823"/>
      <c r="G12" s="823"/>
      <c r="H12" s="823"/>
      <c r="I12" s="823"/>
      <c r="J12" s="823"/>
      <c r="K12" s="823"/>
      <c r="L12" s="823"/>
      <c r="M12" s="823"/>
      <c r="N12" s="823"/>
      <c r="O12" s="823"/>
      <c r="P12" s="823"/>
      <c r="Q12" s="823"/>
      <c r="R12" s="823"/>
      <c r="S12" s="823"/>
    </row>
    <row r="13" spans="2:19">
      <c r="B13" s="230" t="s">
        <v>41</v>
      </c>
      <c r="C13" s="230" t="s">
        <v>42</v>
      </c>
      <c r="D13" s="825"/>
      <c r="E13" s="823"/>
      <c r="F13" s="823"/>
      <c r="G13" s="823"/>
      <c r="H13" s="823"/>
      <c r="I13" s="823"/>
      <c r="J13" s="823"/>
      <c r="K13" s="823"/>
      <c r="L13" s="823"/>
      <c r="M13" s="823"/>
      <c r="N13" s="823"/>
      <c r="O13" s="823"/>
      <c r="P13" s="823"/>
      <c r="Q13" s="823"/>
      <c r="R13" s="823"/>
      <c r="S13" s="823"/>
    </row>
    <row r="14" spans="2:19">
      <c r="B14" s="230" t="s">
        <v>43</v>
      </c>
      <c r="C14" s="230" t="s">
        <v>44</v>
      </c>
      <c r="D14" s="825"/>
      <c r="E14" s="823"/>
      <c r="F14" s="823"/>
      <c r="G14" s="823"/>
      <c r="H14" s="823"/>
      <c r="I14" s="823"/>
      <c r="J14" s="823"/>
      <c r="K14" s="823"/>
      <c r="L14" s="823"/>
      <c r="M14" s="823"/>
      <c r="N14" s="823"/>
      <c r="O14" s="823"/>
      <c r="P14" s="823"/>
      <c r="Q14" s="823"/>
      <c r="R14" s="823"/>
      <c r="S14" s="823"/>
    </row>
    <row r="15" spans="2:19">
      <c r="B15" s="231" t="s">
        <v>45</v>
      </c>
      <c r="C15" s="231" t="s">
        <v>46</v>
      </c>
      <c r="D15" s="829"/>
      <c r="E15" s="823"/>
      <c r="F15" s="823"/>
      <c r="G15" s="823"/>
      <c r="H15" s="823"/>
      <c r="I15" s="823"/>
      <c r="J15" s="823"/>
      <c r="K15" s="823"/>
      <c r="L15" s="823"/>
      <c r="M15" s="823"/>
      <c r="N15" s="823"/>
      <c r="O15" s="823"/>
      <c r="P15" s="823"/>
      <c r="Q15" s="823"/>
      <c r="R15" s="823"/>
      <c r="S15" s="823"/>
    </row>
    <row r="16" spans="2:19" ht="18.75">
      <c r="B16" s="232"/>
      <c r="C16" s="823"/>
      <c r="D16" s="823"/>
      <c r="E16" s="823"/>
      <c r="F16" s="254" t="s">
        <v>47</v>
      </c>
      <c r="G16" s="253"/>
      <c r="H16" s="823"/>
      <c r="I16" s="823"/>
      <c r="J16" s="823"/>
      <c r="K16" s="823"/>
      <c r="L16" s="823"/>
      <c r="M16" s="823"/>
      <c r="N16" s="823"/>
      <c r="O16" s="823"/>
      <c r="P16" s="823"/>
      <c r="Q16" s="823"/>
      <c r="R16" s="823"/>
      <c r="S16" s="823"/>
    </row>
    <row r="17" spans="2:7">
      <c r="B17" s="708" t="s">
        <v>48</v>
      </c>
      <c r="C17" s="708"/>
      <c r="D17" s="823"/>
      <c r="E17" s="823"/>
      <c r="F17" s="252" t="s">
        <v>12</v>
      </c>
      <c r="G17" s="228" t="s">
        <v>13</v>
      </c>
    </row>
    <row r="18" spans="2:7">
      <c r="B18" s="233" t="s">
        <v>49</v>
      </c>
      <c r="C18" s="830" t="s">
        <v>50</v>
      </c>
      <c r="D18" s="823"/>
      <c r="E18" s="823"/>
      <c r="F18" s="234"/>
      <c r="G18" s="831" t="s">
        <v>51</v>
      </c>
    </row>
    <row r="19" spans="2:7">
      <c r="B19" s="234" t="s">
        <v>52</v>
      </c>
      <c r="C19" s="831" t="s">
        <v>53</v>
      </c>
      <c r="D19" s="823"/>
      <c r="E19" s="823"/>
      <c r="F19" s="234"/>
      <c r="G19" s="831" t="s">
        <v>54</v>
      </c>
    </row>
    <row r="20" spans="2:7">
      <c r="B20" s="234" t="s">
        <v>55</v>
      </c>
      <c r="C20" s="953" t="s">
        <v>821</v>
      </c>
      <c r="D20" s="823"/>
      <c r="E20" s="823"/>
      <c r="F20" s="235"/>
      <c r="G20" s="956" t="s">
        <v>824</v>
      </c>
    </row>
    <row r="21" spans="2:7">
      <c r="B21" s="235" t="s">
        <v>56</v>
      </c>
      <c r="C21" s="832">
        <v>2018</v>
      </c>
      <c r="D21" s="823"/>
      <c r="E21" s="823"/>
      <c r="F21" s="823"/>
      <c r="G21" s="957"/>
    </row>
    <row r="23" spans="2:7" ht="18.75">
      <c r="B23" s="254" t="s">
        <v>57</v>
      </c>
      <c r="C23" s="253"/>
      <c r="D23" s="253"/>
      <c r="E23" s="823"/>
      <c r="F23" s="823"/>
      <c r="G23" s="823"/>
    </row>
    <row r="24" spans="2:7">
      <c r="B24" s="251" t="s">
        <v>12</v>
      </c>
      <c r="C24" s="250" t="s">
        <v>13</v>
      </c>
      <c r="D24" s="251" t="s">
        <v>58</v>
      </c>
      <c r="E24" s="823"/>
      <c r="F24" s="823"/>
      <c r="G24" s="823"/>
    </row>
    <row r="25" spans="2:7" ht="18.75">
      <c r="B25" s="233" t="s">
        <v>59</v>
      </c>
      <c r="C25" s="830" t="s">
        <v>60</v>
      </c>
      <c r="D25" s="833"/>
      <c r="E25" s="823"/>
      <c r="F25" s="254" t="s">
        <v>61</v>
      </c>
      <c r="G25" s="253"/>
    </row>
    <row r="26" spans="2:7">
      <c r="B26" s="234" t="s">
        <v>62</v>
      </c>
      <c r="C26" s="831" t="s">
        <v>63</v>
      </c>
      <c r="D26" s="834"/>
      <c r="E26" s="823"/>
      <c r="F26" s="252" t="s">
        <v>64</v>
      </c>
      <c r="G26" s="228" t="s">
        <v>13</v>
      </c>
    </row>
    <row r="27" spans="2:7">
      <c r="B27" s="234" t="s">
        <v>65</v>
      </c>
      <c r="C27" s="831" t="s">
        <v>66</v>
      </c>
      <c r="D27" s="834" t="s">
        <v>67</v>
      </c>
      <c r="E27" s="823"/>
      <c r="F27" s="234" t="s">
        <v>68</v>
      </c>
      <c r="G27" s="831" t="s">
        <v>69</v>
      </c>
    </row>
    <row r="28" spans="2:7">
      <c r="B28" s="234" t="s">
        <v>70</v>
      </c>
      <c r="C28" s="835" t="s">
        <v>71</v>
      </c>
      <c r="D28" s="836">
        <v>43466</v>
      </c>
      <c r="E28" s="823"/>
      <c r="F28" s="234"/>
      <c r="G28" s="831"/>
    </row>
    <row r="29" spans="2:7">
      <c r="B29" s="235" t="s">
        <v>72</v>
      </c>
      <c r="C29" s="411" t="s">
        <v>73</v>
      </c>
      <c r="D29" s="837">
        <v>43952</v>
      </c>
      <c r="E29" s="823"/>
      <c r="F29" s="235"/>
      <c r="G29" s="832"/>
    </row>
    <row r="30" spans="2:7">
      <c r="B30" s="235" t="s">
        <v>74</v>
      </c>
      <c r="C30" s="411" t="s">
        <v>75</v>
      </c>
      <c r="D30" s="838">
        <v>43956</v>
      </c>
      <c r="E30" s="823"/>
      <c r="F30" s="823"/>
      <c r="G30" s="823"/>
    </row>
    <row r="32" spans="2:7" ht="18.75">
      <c r="B32" s="254" t="s">
        <v>76</v>
      </c>
      <c r="C32" s="253"/>
      <c r="D32" s="253"/>
      <c r="E32" s="823"/>
      <c r="F32" s="823"/>
      <c r="G32" s="823"/>
    </row>
    <row r="33" spans="2:4">
      <c r="B33" s="251" t="s">
        <v>77</v>
      </c>
      <c r="C33" s="250" t="s">
        <v>13</v>
      </c>
      <c r="D33" s="251" t="s">
        <v>58</v>
      </c>
    </row>
    <row r="34" spans="2:4">
      <c r="B34" s="233" t="s">
        <v>78</v>
      </c>
      <c r="C34" s="830" t="s">
        <v>79</v>
      </c>
      <c r="D34" s="838">
        <v>43966</v>
      </c>
    </row>
    <row r="35" spans="2:4">
      <c r="B35" s="234"/>
      <c r="C35" s="831"/>
      <c r="D35" s="834"/>
    </row>
    <row r="36" spans="2:4">
      <c r="B36" s="234"/>
      <c r="C36" s="831"/>
      <c r="D36" s="834"/>
    </row>
    <row r="37" spans="2:4">
      <c r="B37" s="234"/>
      <c r="C37" s="835"/>
      <c r="D37" s="836"/>
    </row>
    <row r="38" spans="2:4">
      <c r="B38" s="235"/>
      <c r="C38" s="832"/>
      <c r="D38" s="837"/>
    </row>
  </sheetData>
  <hyperlinks>
    <hyperlink ref="C30" r:id="rId1" xr:uid="{00000000-0004-0000-0100-000000000000}"/>
    <hyperlink ref="C29" r:id="rId2" xr:uid="{B0557145-8DFE-4F4A-8F4C-66ACF71BB2AF}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H27" sqref="H27"/>
    </sheetView>
    <sheetView workbookViewId="1"/>
  </sheetViews>
  <sheetFormatPr defaultRowHeight="12.75"/>
  <sheetData>
    <row r="1" spans="1:1">
      <c r="A1" s="239" t="s">
        <v>80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dimension ref="A1:T200"/>
  <sheetViews>
    <sheetView workbookViewId="0">
      <selection activeCell="C23" sqref="C23"/>
    </sheetView>
    <sheetView workbookViewId="1">
      <selection activeCell="B28" sqref="B28:C28"/>
    </sheetView>
  </sheetViews>
  <sheetFormatPr defaultRowHeight="12.75"/>
  <cols>
    <col min="1" max="1" width="39" style="212" customWidth="1"/>
    <col min="2" max="2" width="24.5703125" style="212" customWidth="1"/>
    <col min="3" max="3" width="35" style="212" customWidth="1"/>
    <col min="4" max="24" width="10.7109375" style="212" customWidth="1"/>
    <col min="25" max="16384" width="9.140625" style="212"/>
  </cols>
  <sheetData>
    <row r="1" spans="1:3">
      <c r="A1" s="1021" t="s">
        <v>81</v>
      </c>
      <c r="B1" s="1022"/>
      <c r="C1" s="1022"/>
    </row>
    <row r="2" spans="1:3" s="136" customFormat="1">
      <c r="A2" s="770" t="s">
        <v>82</v>
      </c>
      <c r="B2" s="770" t="s">
        <v>83</v>
      </c>
      <c r="C2" s="770" t="s">
        <v>13</v>
      </c>
    </row>
    <row r="3" spans="1:3">
      <c r="A3" s="761"/>
      <c r="B3" s="762" t="s">
        <v>837</v>
      </c>
      <c r="C3" s="763" t="s">
        <v>4</v>
      </c>
    </row>
    <row r="4" spans="1:3">
      <c r="A4" s="761"/>
      <c r="B4" s="762" t="s">
        <v>812</v>
      </c>
      <c r="C4" s="762" t="s">
        <v>813</v>
      </c>
    </row>
    <row r="5" spans="1:3">
      <c r="A5" s="770"/>
      <c r="B5" s="770" t="s">
        <v>83</v>
      </c>
      <c r="C5" s="770" t="s">
        <v>13</v>
      </c>
    </row>
    <row r="6" spans="1:3">
      <c r="A6" s="801" t="s">
        <v>84</v>
      </c>
      <c r="B6" s="761"/>
      <c r="C6" s="761"/>
    </row>
    <row r="7" spans="1:3">
      <c r="A7" s="1018" t="s">
        <v>85</v>
      </c>
      <c r="B7" s="1019"/>
      <c r="C7" s="1020"/>
    </row>
    <row r="8" spans="1:3">
      <c r="A8" s="802" t="str">
        <f>IF(RSD_Balance!C9&gt;0," ",IF(ISBLANK(EnergyBalance!C9)," ","*"))</f>
        <v xml:space="preserve"> </v>
      </c>
      <c r="B8" s="764" t="str">
        <f>$B$3&amp;RSD_Balance!A9</f>
        <v>RSDCOABIT</v>
      </c>
      <c r="C8" s="764" t="str">
        <f>TRIM(RSD_Balance!B9&amp;" to "&amp;$C$3)</f>
        <v>Bituminous Coal to Residential</v>
      </c>
    </row>
    <row r="9" spans="1:3">
      <c r="A9" s="802" t="str">
        <f>IF(RSD_Balance!C10&gt;0," ",IF(ISBLANK(EnergyBalance!C10)," ","*"))</f>
        <v xml:space="preserve"> </v>
      </c>
      <c r="B9" s="764" t="str">
        <f>$B$3&amp;RSD_Balance!A10</f>
        <v>RSDCOAHAR</v>
      </c>
      <c r="C9" s="764" t="str">
        <f>TRIM(RSD_Balance!B10&amp;" to "&amp;$C$3)</f>
        <v>Anthracite + Manufactured Ovoids to Residential</v>
      </c>
    </row>
    <row r="10" spans="1:3">
      <c r="A10" s="802" t="str">
        <f>IF(RSD_Balance!C11&gt;0," ",IF(ISBLANK(EnergyBalance!C11)," ","*"))</f>
        <v>*</v>
      </c>
      <c r="B10" s="764" t="str">
        <f>$B$3&amp;RSD_Balance!A11</f>
        <v>RSDCOACOK</v>
      </c>
      <c r="C10" s="764" t="str">
        <f>TRIM(RSD_Balance!B11&amp;" to "&amp;$C$3)</f>
        <v>Coke to Residential</v>
      </c>
    </row>
    <row r="11" spans="1:3">
      <c r="A11" s="802" t="str">
        <f>IF(RSD_Balance!C12&gt;0," ",IF(ISBLANK(EnergyBalance!C12)," ","*"))</f>
        <v xml:space="preserve"> </v>
      </c>
      <c r="B11" s="764" t="str">
        <f>$B$3&amp;RSD_Balance!A12</f>
        <v>RSDCOALIG</v>
      </c>
      <c r="C11" s="764" t="str">
        <f>TRIM(RSD_Balance!B12&amp;" to "&amp;$C$3)</f>
        <v>Lignite \ Brown Coal Briquettes to Residential</v>
      </c>
    </row>
    <row r="12" spans="1:3">
      <c r="A12" s="802" t="str">
        <f>IF(RSD_Balance!C13&gt;0," ",IF(ISBLANK(EnergyBalance!C13)," ","*"))</f>
        <v xml:space="preserve"> </v>
      </c>
      <c r="B12" s="764" t="str">
        <f>$B$3&amp;RSD_Balance!A13</f>
        <v>RSDPEA</v>
      </c>
      <c r="C12" s="764" t="str">
        <f>TRIM(RSD_Balance!B13&amp;" to "&amp;$C$3)</f>
        <v>Peat to Residential</v>
      </c>
    </row>
    <row r="13" spans="1:3">
      <c r="A13" s="802" t="str">
        <f>IF(RSD_Balance!C14&gt;0," ",IF(ISBLANK(EnergyBalance!C14)," ","*"))</f>
        <v xml:space="preserve"> </v>
      </c>
      <c r="B13" s="764" t="str">
        <f>$B$3&amp;RSD_Balance!A14</f>
        <v>RSDOILLPG</v>
      </c>
      <c r="C13" s="764" t="str">
        <f>TRIM(RSD_Balance!B14&amp;" to "&amp;$C$3)</f>
        <v>LPG to Residential</v>
      </c>
    </row>
    <row r="14" spans="1:3">
      <c r="A14" s="802" t="str">
        <f>IF(RSD_Balance!C15&gt;0," ",IF(ISBLANK(EnergyBalance!C15)," ","*"))</f>
        <v>*</v>
      </c>
      <c r="B14" s="764" t="str">
        <f>$B$3&amp;RSD_Balance!A15</f>
        <v>RSDOILGSL</v>
      </c>
      <c r="C14" s="764" t="str">
        <f>TRIM(RSD_Balance!B15&amp;" to "&amp;$C$3)</f>
        <v>Gasoline to Residential</v>
      </c>
    </row>
    <row r="15" spans="1:3">
      <c r="A15" s="802" t="str">
        <f>IF(RSD_Balance!C16&gt;0," ",IF(ISBLANK(EnergyBalance!C16)," ","*"))</f>
        <v xml:space="preserve"> </v>
      </c>
      <c r="B15" s="764" t="str">
        <f>$B$3&amp;RSD_Balance!A16</f>
        <v>RSDOILKER</v>
      </c>
      <c r="C15" s="764" t="str">
        <f>TRIM(RSD_Balance!B16&amp;" to "&amp;$C$3)</f>
        <v>Kerosene to Residential</v>
      </c>
    </row>
    <row r="16" spans="1:3">
      <c r="A16" s="802" t="str">
        <f>IF(RSD_Balance!C17&gt;0," ",IF(ISBLANK(EnergyBalance!C17)," ","*"))</f>
        <v xml:space="preserve"> </v>
      </c>
      <c r="B16" s="764" t="str">
        <f>$B$3&amp;RSD_Balance!A17</f>
        <v>RSDOILDST</v>
      </c>
      <c r="C16" s="764" t="str">
        <f>TRIM(RSD_Balance!B17&amp;" to "&amp;$C$3)</f>
        <v>Gasoil / Diesel /DERV to Residential</v>
      </c>
    </row>
    <row r="17" spans="1:3">
      <c r="A17" s="802" t="str">
        <f>IF(RSD_Balance!C18&gt;0," ",IF(ISBLANK(EnergyBalance!C18)," ","*"))</f>
        <v xml:space="preserve"> </v>
      </c>
      <c r="B17" s="764" t="str">
        <f>$B$3&amp;RSD_Balance!A18</f>
        <v>RSDOILHFO</v>
      </c>
      <c r="C17" s="764" t="str">
        <f>TRIM(RSD_Balance!B18&amp;" to "&amp;$C$3)</f>
        <v>Fueloil to Residential</v>
      </c>
    </row>
    <row r="18" spans="1:3">
      <c r="A18" s="802" t="str">
        <f>IF(RSD_Balance!C19&gt;0," ",IF(ISBLANK(EnergyBalance!C19)," ","*"))</f>
        <v xml:space="preserve"> </v>
      </c>
      <c r="B18" s="764" t="str">
        <f>$B$3&amp;RSD_Balance!A19</f>
        <v>RSDOILCOK</v>
      </c>
      <c r="C18" s="764" t="str">
        <f>TRIM(RSD_Balance!B19&amp;" to "&amp;$C$3)</f>
        <v>Petroleum Coke to Residential</v>
      </c>
    </row>
    <row r="19" spans="1:3">
      <c r="A19" s="802" t="str">
        <f>IF(RSD_Balance!C20&gt;0," ",IF(ISBLANK(EnergyBalance!C20)," ","*"))</f>
        <v xml:space="preserve"> </v>
      </c>
      <c r="B19" s="764" t="str">
        <f>$B$3&amp;RSD_Balance!A20</f>
        <v>RSDGASNAT</v>
      </c>
      <c r="C19" s="764" t="str">
        <f>TRIM(RSD_Balance!B20&amp;" to "&amp;$C$3)</f>
        <v>Natural Gas to Residential</v>
      </c>
    </row>
    <row r="20" spans="1:3">
      <c r="A20" s="802" t="str">
        <f>IF(RSD_Balance!C21&gt;0," ",IF(ISBLANK(EnergyBalance!C21)," ","*"))</f>
        <v xml:space="preserve"> </v>
      </c>
      <c r="B20" s="764" t="str">
        <f>$B$3&amp;RSD_Balance!A21</f>
        <v>RSDRENSOL</v>
      </c>
      <c r="C20" s="764" t="str">
        <f>TRIM(RSD_Balance!B21&amp;" to "&amp;$C$3)</f>
        <v>Solar to Residential</v>
      </c>
    </row>
    <row r="21" spans="1:3">
      <c r="A21" s="802" t="str">
        <f>IF(RSD_Balance!C22&gt;0," ",IF(ISBLANK(EnergyBalance!C22)," ","*"))</f>
        <v xml:space="preserve"> </v>
      </c>
      <c r="B21" s="764" t="str">
        <f>$B$3&amp;RSD_Balance!A22</f>
        <v>RSDBIOWOO</v>
      </c>
      <c r="C21" s="764" t="str">
        <f>TRIM(RSD_Balance!B22&amp;" to "&amp;$C$3)</f>
        <v>Biomass &amp; Renewable Waste to Residential</v>
      </c>
    </row>
    <row r="22" spans="1:3">
      <c r="A22" s="802" t="str">
        <f>IF(RSD_Balance!C23&gt;0," ",IF(ISBLANK(EnergyBalance!C23)," ","*"))</f>
        <v xml:space="preserve"> </v>
      </c>
      <c r="B22" s="764" t="str">
        <f>$B$3&amp;RSD_Balance!A23</f>
        <v>RSDBIOGAS</v>
      </c>
      <c r="C22" s="764" t="str">
        <f>TRIM(RSD_Balance!B23&amp;" to "&amp;$C$3)</f>
        <v>Biogas to Residential</v>
      </c>
    </row>
    <row r="23" spans="1:3">
      <c r="A23" s="802" t="str">
        <f>IF(RSD_Balance!C24&gt;0," ",IF(ISBLANK(EnergyBalance!C24)," ","*"))</f>
        <v xml:space="preserve"> </v>
      </c>
      <c r="B23" s="764" t="str">
        <f>$B$3&amp;RSD_Balance!A24</f>
        <v>RSDBIOMUN</v>
      </c>
      <c r="C23" s="764" t="str">
        <f>TRIM(RSD_Balance!B24&amp;" to "&amp;$C$3)</f>
        <v>Landfill Gas to Residential</v>
      </c>
    </row>
    <row r="24" spans="1:3">
      <c r="A24" s="802" t="str">
        <f>IF(RSD_Balance!C25&gt;0," ",IF(ISBLANK(EnergyBalance!C25)," ","*"))</f>
        <v xml:space="preserve"> </v>
      </c>
      <c r="B24" s="764" t="str">
        <f>$B$3&amp;RSD_Balance!A25</f>
        <v>RSDRENGEO</v>
      </c>
      <c r="C24" s="764" t="str">
        <f>TRIM(RSD_Balance!B25&amp;" to "&amp;$C$3)</f>
        <v>Geothermal to Residential</v>
      </c>
    </row>
    <row r="25" spans="1:3">
      <c r="A25" s="802"/>
      <c r="B25" s="764" t="str">
        <f>$B$3&amp;RSD_Balance!A26</f>
        <v>RSDBIOETH</v>
      </c>
      <c r="C25" s="764" t="str">
        <f>TRIM(RSD_Balance!B26&amp;" to "&amp;$C$3)</f>
        <v>Ethanol to Residential</v>
      </c>
    </row>
    <row r="26" spans="1:3">
      <c r="A26" s="802" t="str">
        <f>IF(RSD_Balance!C27&gt;0," ",IF(ISBLANK(EnergyBalance!C26)," ","*"))</f>
        <v>*</v>
      </c>
      <c r="B26" s="764" t="str">
        <f>$B$3&amp;RSD_Balance!A27</f>
        <v>RSDBIODST</v>
      </c>
      <c r="C26" s="764" t="str">
        <f>TRIM(RSD_Balance!B27&amp;" to "&amp;$C$3)</f>
        <v>Biodiesel to Residential</v>
      </c>
    </row>
    <row r="27" spans="1:3">
      <c r="A27" s="802" t="str">
        <f>IF(RSD_Balance!C28&gt;0," ",IF(ISBLANK(EnergyBalance!C27)," ","*"))</f>
        <v>*</v>
      </c>
      <c r="B27" s="764" t="str">
        <f>$B$3&amp;RSD_Balance!A28</f>
        <v>RSDBIOSLU</v>
      </c>
      <c r="C27" s="764" t="str">
        <f>TRIM(RSD_Balance!B28&amp;" to "&amp;$C$3)</f>
        <v>Non-Renewable Waste to Residential</v>
      </c>
    </row>
    <row r="28" spans="1:3">
      <c r="A28" s="802"/>
      <c r="B28" s="764" t="s">
        <v>817</v>
      </c>
      <c r="C28" s="764" t="s">
        <v>665</v>
      </c>
    </row>
    <row r="29" spans="1:3">
      <c r="A29" s="802" t="str">
        <f>IF(RSD_Balance!C29&gt;0," ",IF(ISBLANK(EnergyBalance!C28)," ","*"))</f>
        <v xml:space="preserve"> </v>
      </c>
      <c r="B29" s="764" t="str">
        <f>$B$3&amp;RSD_Balance!A29</f>
        <v>RSDELCD</v>
      </c>
      <c r="C29" s="764" t="str">
        <f>TRIM(RSD_Balance!B29&amp;" to "&amp;$C$3)</f>
        <v>Electricity to Residential</v>
      </c>
    </row>
    <row r="30" spans="1:3">
      <c r="A30" s="802" t="str">
        <f>IF(RSD_Balance!C30&gt;0," ",IF(ISBLANK(EnergyBalance!C29)," ","*"))</f>
        <v>*</v>
      </c>
      <c r="B30" s="764" t="str">
        <f>$B$3&amp;RSD_Balance!A30</f>
        <v>RSDHET</v>
      </c>
      <c r="C30" s="764" t="str">
        <f>TRIM(RSD_Balance!B30&amp;" to "&amp;$C$3)</f>
        <v>Heat to Residential</v>
      </c>
    </row>
    <row r="31" spans="1:3">
      <c r="A31" s="1018" t="s">
        <v>86</v>
      </c>
      <c r="B31" s="1019"/>
      <c r="C31" s="1020"/>
    </row>
    <row r="32" spans="1:3">
      <c r="A32" s="802"/>
      <c r="B32" s="764" t="s">
        <v>87</v>
      </c>
      <c r="C32" s="764" t="s">
        <v>88</v>
      </c>
    </row>
    <row r="33" spans="1:3">
      <c r="A33" s="802"/>
      <c r="B33" s="764" t="s">
        <v>89</v>
      </c>
      <c r="C33" s="764" t="s">
        <v>90</v>
      </c>
    </row>
    <row r="34" spans="1:3">
      <c r="A34" s="802"/>
      <c r="B34" s="764" t="s">
        <v>91</v>
      </c>
      <c r="C34" s="764" t="s">
        <v>92</v>
      </c>
    </row>
    <row r="35" spans="1:3">
      <c r="A35" s="802"/>
      <c r="B35" s="764" t="s">
        <v>93</v>
      </c>
      <c r="C35" s="764" t="s">
        <v>94</v>
      </c>
    </row>
    <row r="36" spans="1:3">
      <c r="A36" s="802"/>
      <c r="B36" s="764" t="s">
        <v>95</v>
      </c>
      <c r="C36" s="764" t="s">
        <v>96</v>
      </c>
    </row>
    <row r="37" spans="1:3">
      <c r="A37" s="802"/>
      <c r="B37" s="764" t="s">
        <v>97</v>
      </c>
      <c r="C37" s="764" t="s">
        <v>98</v>
      </c>
    </row>
    <row r="38" spans="1:3">
      <c r="A38" s="1018" t="s">
        <v>99</v>
      </c>
      <c r="B38" s="1019"/>
      <c r="C38" s="1020"/>
    </row>
    <row r="39" spans="1:3">
      <c r="A39" s="802" t="s">
        <v>100</v>
      </c>
      <c r="B39" s="764" t="s">
        <v>101</v>
      </c>
      <c r="C39" s="764" t="s">
        <v>102</v>
      </c>
    </row>
    <row r="40" spans="1:3">
      <c r="A40" s="802"/>
      <c r="B40" s="764" t="s">
        <v>103</v>
      </c>
      <c r="C40" s="764" t="s">
        <v>104</v>
      </c>
    </row>
    <row r="41" spans="1:3">
      <c r="A41" s="802"/>
      <c r="B41" s="764" t="s">
        <v>105</v>
      </c>
      <c r="C41" s="764" t="s">
        <v>106</v>
      </c>
    </row>
    <row r="42" spans="1:3">
      <c r="A42" s="1018" t="s">
        <v>107</v>
      </c>
      <c r="B42" s="1019"/>
      <c r="C42" s="1020"/>
    </row>
    <row r="43" spans="1:3">
      <c r="A43" s="802" t="s">
        <v>100</v>
      </c>
      <c r="B43" s="764" t="s">
        <v>108</v>
      </c>
      <c r="C43" s="797" t="s">
        <v>109</v>
      </c>
    </row>
    <row r="44" spans="1:3">
      <c r="A44" s="802"/>
      <c r="B44" s="764" t="s">
        <v>110</v>
      </c>
      <c r="C44" s="797" t="s">
        <v>111</v>
      </c>
    </row>
    <row r="45" spans="1:3">
      <c r="A45" s="802"/>
      <c r="B45" s="764" t="s">
        <v>112</v>
      </c>
      <c r="C45" s="797" t="s">
        <v>113</v>
      </c>
    </row>
    <row r="46" spans="1:3">
      <c r="A46" s="802"/>
      <c r="B46" s="764" t="s">
        <v>114</v>
      </c>
      <c r="C46" s="797" t="s">
        <v>115</v>
      </c>
    </row>
    <row r="47" spans="1:3">
      <c r="A47" s="802"/>
      <c r="B47" s="764" t="s">
        <v>116</v>
      </c>
      <c r="C47" s="797" t="s">
        <v>117</v>
      </c>
    </row>
    <row r="48" spans="1:3">
      <c r="A48" s="802"/>
      <c r="B48" s="764" t="s">
        <v>118</v>
      </c>
      <c r="C48" s="797" t="s">
        <v>119</v>
      </c>
    </row>
    <row r="49" spans="1:3">
      <c r="A49" s="802"/>
      <c r="B49" s="764" t="s">
        <v>120</v>
      </c>
      <c r="C49" s="797" t="s">
        <v>121</v>
      </c>
    </row>
    <row r="50" spans="1:3">
      <c r="A50" s="802"/>
      <c r="B50" s="764" t="s">
        <v>122</v>
      </c>
      <c r="C50" s="797" t="s">
        <v>123</v>
      </c>
    </row>
    <row r="51" spans="1:3">
      <c r="A51" s="802"/>
      <c r="B51" s="764" t="s">
        <v>124</v>
      </c>
      <c r="C51" s="797" t="s">
        <v>125</v>
      </c>
    </row>
    <row r="52" spans="1:3">
      <c r="A52" s="1018" t="s">
        <v>126</v>
      </c>
      <c r="B52" s="1019"/>
      <c r="C52" s="1020"/>
    </row>
    <row r="53" spans="1:3">
      <c r="A53" s="803" t="str">
        <f>IF(SUM(RSD_Balance!B90:D112)=0,"*"," ")</f>
        <v xml:space="preserve"> </v>
      </c>
      <c r="B53" s="765" t="s">
        <v>127</v>
      </c>
      <c r="C53" s="764" t="s">
        <v>128</v>
      </c>
    </row>
    <row r="54" spans="1:3">
      <c r="A54" s="803" t="str">
        <f>IF(SUM(RSD_Balance!E90:G111)=0,"*"," ")</f>
        <v>*</v>
      </c>
      <c r="B54" s="765" t="s">
        <v>129</v>
      </c>
      <c r="C54" s="764" t="s">
        <v>130</v>
      </c>
    </row>
    <row r="55" spans="1:3">
      <c r="A55" s="803" t="str">
        <f>IF(SUM(RSD_Balance!H90:J112)=0,"*"," ")</f>
        <v xml:space="preserve"> </v>
      </c>
      <c r="B55" s="765" t="s">
        <v>131</v>
      </c>
      <c r="C55" s="764" t="s">
        <v>132</v>
      </c>
    </row>
    <row r="56" spans="1:3">
      <c r="A56" s="803" t="str">
        <f>IF(SUM(RSD_Balance!N90:P112)=0,"*"," ")</f>
        <v xml:space="preserve"> </v>
      </c>
      <c r="B56" s="765" t="s">
        <v>726</v>
      </c>
      <c r="C56" s="764" t="s">
        <v>727</v>
      </c>
    </row>
    <row r="57" spans="1:3">
      <c r="A57" s="803" t="str">
        <f>IF(SUM(RSD_Balance!R90:R112)=0,"*"," ")</f>
        <v xml:space="preserve"> </v>
      </c>
      <c r="B57" s="765" t="s">
        <v>133</v>
      </c>
      <c r="C57" s="764" t="s">
        <v>134</v>
      </c>
    </row>
    <row r="58" spans="1:3">
      <c r="A58" s="803" t="str">
        <f>IF(SUM(RSD_Balance!K90:M112)=0,"*"," ")</f>
        <v xml:space="preserve"> </v>
      </c>
      <c r="B58" s="765" t="s">
        <v>135</v>
      </c>
      <c r="C58" s="764" t="s">
        <v>136</v>
      </c>
    </row>
    <row r="59" spans="1:3">
      <c r="A59" s="803" t="str">
        <f>IF(SUM(RSD_Balance!Q90:Q111)=0,"*"," ")</f>
        <v xml:space="preserve"> </v>
      </c>
      <c r="B59" s="765" t="s">
        <v>137</v>
      </c>
      <c r="C59" s="764" t="s">
        <v>138</v>
      </c>
    </row>
    <row r="60" spans="1:3">
      <c r="A60" s="803" t="str">
        <f>IF(SUM(RSD_Balance!S90:S112)=0,"*"," ")</f>
        <v xml:space="preserve"> </v>
      </c>
      <c r="B60" s="765" t="s">
        <v>139</v>
      </c>
      <c r="C60" s="764" t="s">
        <v>140</v>
      </c>
    </row>
    <row r="61" spans="1:3">
      <c r="A61" s="803" t="str">
        <f>IF(SUM(RSD_Balance!T90:T112)=0,"*"," ")</f>
        <v xml:space="preserve"> </v>
      </c>
      <c r="B61" s="765" t="s">
        <v>141</v>
      </c>
      <c r="C61" s="764" t="s">
        <v>142</v>
      </c>
    </row>
    <row r="62" spans="1:3">
      <c r="A62" s="803" t="str">
        <f>IF(SUM(RSD_Balance!U90:U112)=0,"*"," ")</f>
        <v xml:space="preserve"> </v>
      </c>
      <c r="B62" s="765" t="s">
        <v>143</v>
      </c>
      <c r="C62" s="764" t="s">
        <v>144</v>
      </c>
    </row>
    <row r="63" spans="1:3">
      <c r="A63" s="803" t="str">
        <f>IF(SUM(RSD_Balance!V90:V112)=0,"*"," ")</f>
        <v xml:space="preserve"> </v>
      </c>
      <c r="B63" s="765" t="s">
        <v>145</v>
      </c>
      <c r="C63" s="764" t="s">
        <v>146</v>
      </c>
    </row>
    <row r="64" spans="1:3">
      <c r="A64" s="803" t="str">
        <f>IF(SUM(RSD_Balance!W90:W112)=0,"*"," ")</f>
        <v>*</v>
      </c>
      <c r="B64" s="765" t="s">
        <v>147</v>
      </c>
      <c r="C64" s="764" t="s">
        <v>148</v>
      </c>
    </row>
    <row r="65" spans="1:3">
      <c r="A65" s="1018" t="s">
        <v>149</v>
      </c>
      <c r="B65" s="1019"/>
      <c r="C65" s="1020"/>
    </row>
    <row r="66" spans="1:3">
      <c r="A66" s="1018" t="s">
        <v>150</v>
      </c>
      <c r="B66" s="1019"/>
      <c r="C66" s="1020"/>
    </row>
    <row r="67" spans="1:3">
      <c r="A67" s="802"/>
      <c r="B67" s="764" t="s">
        <v>151</v>
      </c>
      <c r="C67" s="765" t="s">
        <v>152</v>
      </c>
    </row>
    <row r="68" spans="1:3">
      <c r="A68" s="802"/>
      <c r="B68" s="764" t="s">
        <v>153</v>
      </c>
      <c r="C68" s="765" t="s">
        <v>154</v>
      </c>
    </row>
    <row r="69" spans="1:3">
      <c r="A69" s="802"/>
      <c r="B69" s="764" t="s">
        <v>155</v>
      </c>
      <c r="C69" s="765" t="s">
        <v>156</v>
      </c>
    </row>
    <row r="70" spans="1:3">
      <c r="A70" s="1018" t="s">
        <v>157</v>
      </c>
      <c r="B70" s="1019"/>
      <c r="C70" s="1020"/>
    </row>
    <row r="71" spans="1:3">
      <c r="A71" s="802" t="s">
        <v>100</v>
      </c>
      <c r="B71" s="765" t="s">
        <v>158</v>
      </c>
      <c r="C71" s="764" t="s">
        <v>159</v>
      </c>
    </row>
    <row r="72" spans="1:3">
      <c r="A72" s="802" t="s">
        <v>100</v>
      </c>
      <c r="B72" s="765" t="s">
        <v>160</v>
      </c>
      <c r="C72" s="764" t="s">
        <v>161</v>
      </c>
    </row>
    <row r="73" spans="1:3">
      <c r="A73" s="804"/>
      <c r="B73" s="765" t="s">
        <v>162</v>
      </c>
      <c r="C73" s="764" t="s">
        <v>163</v>
      </c>
    </row>
    <row r="74" spans="1:3">
      <c r="A74" s="804"/>
      <c r="B74" s="765" t="s">
        <v>164</v>
      </c>
      <c r="C74" s="764" t="s">
        <v>165</v>
      </c>
    </row>
    <row r="75" spans="1:3">
      <c r="A75" s="804"/>
      <c r="B75" s="765" t="s">
        <v>166</v>
      </c>
      <c r="C75" s="764" t="s">
        <v>167</v>
      </c>
    </row>
    <row r="76" spans="1:3">
      <c r="A76" s="1018" t="s">
        <v>735</v>
      </c>
      <c r="B76" s="1019"/>
      <c r="C76" s="1020"/>
    </row>
    <row r="77" spans="1:3">
      <c r="B77" s="765" t="s">
        <v>729</v>
      </c>
      <c r="C77" s="764" t="s">
        <v>730</v>
      </c>
    </row>
    <row r="78" spans="1:3">
      <c r="B78" s="765" t="s">
        <v>822</v>
      </c>
      <c r="C78" s="764" t="s">
        <v>823</v>
      </c>
    </row>
    <row r="79" spans="1:3">
      <c r="B79" s="765" t="s">
        <v>732</v>
      </c>
      <c r="C79" s="764" t="s">
        <v>731</v>
      </c>
    </row>
    <row r="80" spans="1:3">
      <c r="B80" s="765" t="s">
        <v>733</v>
      </c>
      <c r="C80" s="764" t="s">
        <v>734</v>
      </c>
    </row>
    <row r="81" spans="2:3">
      <c r="B81" s="765" t="s">
        <v>738</v>
      </c>
      <c r="C81" s="764" t="s">
        <v>737</v>
      </c>
    </row>
    <row r="82" spans="2:3">
      <c r="B82" s="765" t="s">
        <v>736</v>
      </c>
      <c r="C82" s="764" t="s">
        <v>741</v>
      </c>
    </row>
    <row r="83" spans="2:3">
      <c r="B83" s="765" t="s">
        <v>739</v>
      </c>
      <c r="C83" s="765" t="s">
        <v>740</v>
      </c>
    </row>
    <row r="84" spans="2:3">
      <c r="B84" s="765" t="s">
        <v>743</v>
      </c>
      <c r="C84" s="765" t="s">
        <v>742</v>
      </c>
    </row>
    <row r="85" spans="2:3">
      <c r="B85" s="765" t="s">
        <v>809</v>
      </c>
      <c r="C85" s="765" t="s">
        <v>810</v>
      </c>
    </row>
    <row r="89" spans="2:3">
      <c r="C89" s="761" t="s">
        <v>100</v>
      </c>
    </row>
    <row r="90" spans="2:3">
      <c r="C90" s="761" t="s">
        <v>100</v>
      </c>
    </row>
    <row r="91" spans="2:3">
      <c r="C91" s="761" t="s">
        <v>100</v>
      </c>
    </row>
    <row r="92" spans="2:3">
      <c r="C92" s="761" t="s">
        <v>100</v>
      </c>
    </row>
    <row r="108" spans="18:20" ht="15.75" thickBot="1">
      <c r="R108" s="69" t="s">
        <v>168</v>
      </c>
      <c r="S108" s="69"/>
      <c r="T108" s="69" t="s">
        <v>169</v>
      </c>
    </row>
    <row r="109" spans="18:20">
      <c r="R109" s="100" t="s">
        <v>102</v>
      </c>
      <c r="S109" s="100" t="s">
        <v>101</v>
      </c>
      <c r="T109" s="100" t="s">
        <v>108</v>
      </c>
    </row>
    <row r="110" spans="18:20">
      <c r="R110" s="100" t="s">
        <v>102</v>
      </c>
      <c r="S110" s="100" t="s">
        <v>101</v>
      </c>
      <c r="T110" s="100" t="s">
        <v>110</v>
      </c>
    </row>
    <row r="111" spans="18:20">
      <c r="R111" s="100" t="s">
        <v>102</v>
      </c>
      <c r="S111" s="100" t="s">
        <v>101</v>
      </c>
      <c r="T111" s="100" t="s">
        <v>112</v>
      </c>
    </row>
    <row r="112" spans="18:20">
      <c r="R112" s="100" t="s">
        <v>102</v>
      </c>
      <c r="S112" s="100" t="str">
        <f t="shared" ref="S112:S117" si="0">$S$109</f>
        <v>Apt</v>
      </c>
      <c r="T112" s="100" t="s">
        <v>114</v>
      </c>
    </row>
    <row r="113" spans="18:20">
      <c r="R113" s="100" t="s">
        <v>102</v>
      </c>
      <c r="S113" s="100" t="str">
        <f t="shared" si="0"/>
        <v>Apt</v>
      </c>
      <c r="T113" s="100" t="s">
        <v>116</v>
      </c>
    </row>
    <row r="114" spans="18:20">
      <c r="R114" s="100" t="s">
        <v>102</v>
      </c>
      <c r="S114" s="100" t="str">
        <f t="shared" si="0"/>
        <v>Apt</v>
      </c>
      <c r="T114" s="100" t="s">
        <v>118</v>
      </c>
    </row>
    <row r="115" spans="18:20">
      <c r="R115" s="100" t="s">
        <v>102</v>
      </c>
      <c r="S115" s="100" t="str">
        <f t="shared" si="0"/>
        <v>Apt</v>
      </c>
      <c r="T115" s="100" t="s">
        <v>120</v>
      </c>
    </row>
    <row r="116" spans="18:20">
      <c r="R116" s="100" t="s">
        <v>102</v>
      </c>
      <c r="S116" s="100" t="str">
        <f t="shared" si="0"/>
        <v>Apt</v>
      </c>
      <c r="T116" s="100" t="s">
        <v>122</v>
      </c>
    </row>
    <row r="117" spans="18:20">
      <c r="R117" s="100" t="s">
        <v>102</v>
      </c>
      <c r="S117" s="100" t="str">
        <f t="shared" si="0"/>
        <v>Apt</v>
      </c>
      <c r="T117" s="100" t="s">
        <v>124</v>
      </c>
    </row>
    <row r="118" spans="18:20">
      <c r="R118" s="100" t="s">
        <v>104</v>
      </c>
      <c r="S118" s="100" t="s">
        <v>103</v>
      </c>
      <c r="T118" s="100" t="s">
        <v>108</v>
      </c>
    </row>
    <row r="119" spans="18:20">
      <c r="R119" s="100" t="s">
        <v>104</v>
      </c>
      <c r="S119" s="100" t="s">
        <v>103</v>
      </c>
      <c r="T119" s="100" t="s">
        <v>110</v>
      </c>
    </row>
    <row r="120" spans="18:20">
      <c r="R120" s="100" t="s">
        <v>104</v>
      </c>
      <c r="S120" s="100" t="s">
        <v>103</v>
      </c>
      <c r="T120" s="100" t="s">
        <v>112</v>
      </c>
    </row>
    <row r="121" spans="18:20">
      <c r="R121" s="100" t="s">
        <v>104</v>
      </c>
      <c r="S121" s="100" t="s">
        <v>103</v>
      </c>
      <c r="T121" s="100" t="s">
        <v>114</v>
      </c>
    </row>
    <row r="122" spans="18:20">
      <c r="R122" s="100" t="s">
        <v>104</v>
      </c>
      <c r="S122" s="100" t="s">
        <v>103</v>
      </c>
      <c r="T122" s="100" t="s">
        <v>116</v>
      </c>
    </row>
    <row r="123" spans="18:20">
      <c r="R123" s="100" t="s">
        <v>104</v>
      </c>
      <c r="S123" s="100" t="s">
        <v>103</v>
      </c>
      <c r="T123" s="100" t="s">
        <v>118</v>
      </c>
    </row>
    <row r="124" spans="18:20">
      <c r="R124" s="100" t="s">
        <v>104</v>
      </c>
      <c r="S124" s="100" t="s">
        <v>103</v>
      </c>
      <c r="T124" s="100" t="s">
        <v>120</v>
      </c>
    </row>
    <row r="125" spans="18:20">
      <c r="R125" s="100" t="s">
        <v>104</v>
      </c>
      <c r="S125" s="100" t="s">
        <v>103</v>
      </c>
      <c r="T125" s="100" t="s">
        <v>122</v>
      </c>
    </row>
    <row r="126" spans="18:20">
      <c r="R126" s="100" t="s">
        <v>104</v>
      </c>
      <c r="S126" s="100" t="str">
        <f>$S$118</f>
        <v>Att</v>
      </c>
      <c r="T126" s="100" t="s">
        <v>124</v>
      </c>
    </row>
    <row r="127" spans="18:20">
      <c r="R127" s="100" t="s">
        <v>106</v>
      </c>
      <c r="S127" s="100" t="s">
        <v>105</v>
      </c>
      <c r="T127" s="100" t="s">
        <v>108</v>
      </c>
    </row>
    <row r="128" spans="18:20">
      <c r="R128" s="100" t="s">
        <v>106</v>
      </c>
      <c r="S128" s="100" t="s">
        <v>105</v>
      </c>
      <c r="T128" s="100" t="s">
        <v>110</v>
      </c>
    </row>
    <row r="129" spans="17:20">
      <c r="R129" s="100" t="s">
        <v>106</v>
      </c>
      <c r="S129" s="100" t="s">
        <v>105</v>
      </c>
      <c r="T129" s="100" t="s">
        <v>112</v>
      </c>
    </row>
    <row r="130" spans="17:20">
      <c r="R130" s="100" t="s">
        <v>106</v>
      </c>
      <c r="S130" s="100" t="s">
        <v>105</v>
      </c>
      <c r="T130" s="100" t="s">
        <v>114</v>
      </c>
    </row>
    <row r="131" spans="17:20">
      <c r="R131" s="100" t="s">
        <v>106</v>
      </c>
      <c r="S131" s="100" t="str">
        <f>$S$127</f>
        <v>Det</v>
      </c>
      <c r="T131" s="100" t="s">
        <v>116</v>
      </c>
    </row>
    <row r="132" spans="17:20">
      <c r="R132" s="100" t="s">
        <v>106</v>
      </c>
      <c r="S132" s="100" t="str">
        <f>$S$127</f>
        <v>Det</v>
      </c>
      <c r="T132" s="100" t="s">
        <v>118</v>
      </c>
    </row>
    <row r="133" spans="17:20">
      <c r="R133" s="100" t="s">
        <v>106</v>
      </c>
      <c r="S133" s="100" t="str">
        <f t="shared" ref="S133:S135" si="1">$S$127</f>
        <v>Det</v>
      </c>
      <c r="T133" s="100" t="s">
        <v>120</v>
      </c>
    </row>
    <row r="134" spans="17:20">
      <c r="R134" s="100" t="s">
        <v>106</v>
      </c>
      <c r="S134" s="100" t="str">
        <f t="shared" si="1"/>
        <v>Det</v>
      </c>
      <c r="T134" s="100" t="s">
        <v>122</v>
      </c>
    </row>
    <row r="135" spans="17:20">
      <c r="R135" s="100" t="s">
        <v>106</v>
      </c>
      <c r="S135" s="100" t="str">
        <f t="shared" si="1"/>
        <v>Det</v>
      </c>
      <c r="T135" s="100" t="s">
        <v>124</v>
      </c>
    </row>
    <row r="136" spans="17:20">
      <c r="Q136" s="100"/>
    </row>
    <row r="137" spans="17:20">
      <c r="Q137" s="100"/>
    </row>
    <row r="138" spans="17:20">
      <c r="Q138" s="100"/>
    </row>
    <row r="139" spans="17:20">
      <c r="Q139" s="100"/>
    </row>
    <row r="140" spans="17:20">
      <c r="Q140" s="100"/>
    </row>
    <row r="189" spans="17:20">
      <c r="Q189" s="100"/>
      <c r="R189" s="100"/>
      <c r="S189" s="100"/>
      <c r="T189" s="100"/>
    </row>
    <row r="190" spans="17:20">
      <c r="Q190" s="100"/>
      <c r="R190" s="100"/>
      <c r="S190" s="100"/>
      <c r="T190" s="100"/>
    </row>
    <row r="191" spans="17:20">
      <c r="Q191" s="100"/>
      <c r="R191" s="100"/>
      <c r="S191" s="100"/>
      <c r="T191" s="100"/>
    </row>
    <row r="192" spans="17:20">
      <c r="Q192" s="100"/>
      <c r="R192" s="100"/>
      <c r="S192" s="100"/>
      <c r="T192" s="100"/>
    </row>
    <row r="193" spans="17:20">
      <c r="Q193" s="100"/>
      <c r="R193" s="100"/>
      <c r="S193" s="100"/>
      <c r="T193" s="100"/>
    </row>
    <row r="194" spans="17:20">
      <c r="Q194" s="100"/>
      <c r="R194" s="100"/>
      <c r="S194" s="100"/>
      <c r="T194" s="100"/>
    </row>
    <row r="195" spans="17:20">
      <c r="Q195" s="100"/>
      <c r="R195" s="100"/>
      <c r="S195" s="100"/>
      <c r="T195" s="100"/>
    </row>
    <row r="196" spans="17:20">
      <c r="Q196" s="100"/>
      <c r="R196" s="100"/>
      <c r="S196" s="100"/>
      <c r="T196" s="100"/>
    </row>
    <row r="197" spans="17:20">
      <c r="Q197" s="100"/>
      <c r="R197" s="100"/>
      <c r="S197" s="100"/>
      <c r="T197" s="100"/>
    </row>
    <row r="198" spans="17:20">
      <c r="Q198" s="100"/>
      <c r="R198" s="100"/>
      <c r="S198" s="100"/>
      <c r="T198" s="100"/>
    </row>
    <row r="199" spans="17:20">
      <c r="Q199" s="100"/>
      <c r="R199" s="100"/>
      <c r="S199" s="100"/>
      <c r="T199" s="100"/>
    </row>
    <row r="200" spans="17:20">
      <c r="Q200" s="100"/>
      <c r="R200" s="100"/>
      <c r="S200" s="100"/>
      <c r="T200" s="100"/>
    </row>
  </sheetData>
  <mergeCells count="10">
    <mergeCell ref="A76:C76"/>
    <mergeCell ref="A70:C70"/>
    <mergeCell ref="A31:C31"/>
    <mergeCell ref="A7:C7"/>
    <mergeCell ref="A1:C1"/>
    <mergeCell ref="A38:C38"/>
    <mergeCell ref="A42:C42"/>
    <mergeCell ref="A52:C52"/>
    <mergeCell ref="A65:C65"/>
    <mergeCell ref="A66:C66"/>
  </mergeCells>
  <pageMargins left="0.75" right="0.75" top="1" bottom="1" header="0.5" footer="0.5"/>
  <pageSetup paperSize="9" orientation="portrait" horizontalDpi="0" verticalDpi="0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O72"/>
  <sheetViews>
    <sheetView zoomScaleNormal="100" workbookViewId="0">
      <selection activeCell="AM57" sqref="AM57"/>
    </sheetView>
    <sheetView topLeftCell="A5" zoomScale="70" zoomScaleNormal="70" workbookViewId="1">
      <selection activeCell="AM56" sqref="AM56"/>
    </sheetView>
  </sheetViews>
  <sheetFormatPr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170</v>
      </c>
      <c r="B1" s="2" t="s">
        <v>171</v>
      </c>
      <c r="C1" s="418" t="s">
        <v>172</v>
      </c>
      <c r="D1" s="255" t="s">
        <v>173</v>
      </c>
      <c r="E1" s="256" t="s">
        <v>174</v>
      </c>
      <c r="F1" s="257" t="s">
        <v>175</v>
      </c>
      <c r="G1" s="257" t="s">
        <v>176</v>
      </c>
      <c r="H1" s="413" t="s">
        <v>177</v>
      </c>
      <c r="I1" s="255" t="s">
        <v>178</v>
      </c>
      <c r="J1" s="256" t="s">
        <v>179</v>
      </c>
      <c r="K1" s="258" t="s">
        <v>180</v>
      </c>
      <c r="L1" s="414" t="s">
        <v>181</v>
      </c>
      <c r="M1" s="260" t="s">
        <v>182</v>
      </c>
      <c r="N1" s="261" t="s">
        <v>183</v>
      </c>
      <c r="O1" s="261" t="s">
        <v>184</v>
      </c>
      <c r="P1" s="261" t="s">
        <v>185</v>
      </c>
      <c r="Q1" s="261" t="s">
        <v>186</v>
      </c>
      <c r="R1" s="261" t="s">
        <v>187</v>
      </c>
      <c r="S1" s="261" t="s">
        <v>188</v>
      </c>
      <c r="T1" s="261" t="s">
        <v>189</v>
      </c>
      <c r="U1" s="261" t="s">
        <v>190</v>
      </c>
      <c r="V1" s="262" t="s">
        <v>191</v>
      </c>
      <c r="W1" s="262" t="s">
        <v>192</v>
      </c>
      <c r="X1" s="262" t="s">
        <v>193</v>
      </c>
      <c r="Y1" s="261" t="s">
        <v>194</v>
      </c>
      <c r="Z1" s="415" t="s">
        <v>195</v>
      </c>
      <c r="AA1" s="416" t="s">
        <v>196</v>
      </c>
      <c r="AB1" s="263" t="s">
        <v>197</v>
      </c>
      <c r="AC1" s="261" t="s">
        <v>198</v>
      </c>
      <c r="AD1" s="261" t="s">
        <v>199</v>
      </c>
      <c r="AE1" s="261" t="s">
        <v>200</v>
      </c>
      <c r="AF1" s="261" t="s">
        <v>201</v>
      </c>
      <c r="AG1" s="261" t="s">
        <v>202</v>
      </c>
      <c r="AH1" s="261" t="s">
        <v>203</v>
      </c>
      <c r="AI1" s="262" t="s">
        <v>204</v>
      </c>
      <c r="AJ1" s="415" t="s">
        <v>205</v>
      </c>
      <c r="AK1" s="415" t="s">
        <v>206</v>
      </c>
      <c r="AL1" s="416" t="s">
        <v>207</v>
      </c>
      <c r="AM1" s="3" t="s">
        <v>208</v>
      </c>
      <c r="AO1" s="5"/>
    </row>
    <row r="2" spans="1:41" s="7" customFormat="1" ht="12.75" customHeight="1">
      <c r="A2" s="6" t="s">
        <v>209</v>
      </c>
      <c r="B2" s="264"/>
      <c r="C2" s="265">
        <f>SUM(D2:G2)</f>
        <v>0</v>
      </c>
      <c r="D2" s="266">
        <v>0</v>
      </c>
      <c r="E2" s="267"/>
      <c r="F2" s="268"/>
      <c r="G2" s="268"/>
      <c r="H2" s="269">
        <f>SUM(I2:K2)</f>
        <v>815.92434898628403</v>
      </c>
      <c r="I2" s="270">
        <v>688.22034898628408</v>
      </c>
      <c r="J2" s="271">
        <v>127.70399999999999</v>
      </c>
      <c r="K2" s="272"/>
      <c r="L2" s="269">
        <f>SUM(M2:Y2)</f>
        <v>0</v>
      </c>
      <c r="M2" s="270"/>
      <c r="N2" s="273"/>
      <c r="O2" s="273"/>
      <c r="P2" s="273"/>
      <c r="Q2" s="273"/>
      <c r="R2" s="273"/>
      <c r="S2" s="273"/>
      <c r="T2" s="273"/>
      <c r="U2" s="273"/>
      <c r="V2" s="268"/>
      <c r="W2" s="268"/>
      <c r="X2" s="268"/>
      <c r="Y2" s="272"/>
      <c r="Z2" s="269">
        <v>2751.9191872187112</v>
      </c>
      <c r="AA2" s="274">
        <f>SUM(AB2:AI2)</f>
        <v>1326.3230582727738</v>
      </c>
      <c r="AB2" s="275">
        <v>59.691708987970003</v>
      </c>
      <c r="AC2" s="272">
        <v>743.01992281532614</v>
      </c>
      <c r="AD2" s="272">
        <v>386.92983626909194</v>
      </c>
      <c r="AE2" s="272">
        <v>33.531818868055431</v>
      </c>
      <c r="AF2" s="272">
        <v>16.813132576534866</v>
      </c>
      <c r="AG2" s="272">
        <v>27.095124147648001</v>
      </c>
      <c r="AH2" s="270">
        <v>14.978481167970049</v>
      </c>
      <c r="AI2" s="268">
        <v>44.263033440177487</v>
      </c>
      <c r="AJ2" s="276">
        <v>145.43710297949829</v>
      </c>
      <c r="AK2" s="276"/>
      <c r="AL2" s="274"/>
      <c r="AM2" s="277">
        <f>C2+H2+L2+Z2+AA2+AJ2+AK2+AL2</f>
        <v>5039.6036974572671</v>
      </c>
      <c r="AO2" s="8"/>
    </row>
    <row r="3" spans="1:41" s="7" customFormat="1" ht="12.75" customHeight="1">
      <c r="A3" s="9" t="s">
        <v>210</v>
      </c>
      <c r="B3" s="278"/>
      <c r="C3" s="279">
        <f>SUM(D3:G3)</f>
        <v>845.31519216250194</v>
      </c>
      <c r="D3" s="280">
        <v>795.03994947759963</v>
      </c>
      <c r="E3" s="281">
        <v>42.207539024941362</v>
      </c>
      <c r="F3" s="282"/>
      <c r="G3" s="282">
        <v>8.0677036599609497</v>
      </c>
      <c r="H3" s="283">
        <f>SUM(I3:K3)</f>
        <v>0</v>
      </c>
      <c r="I3" s="284"/>
      <c r="J3" s="285"/>
      <c r="K3" s="286"/>
      <c r="L3" s="283">
        <f>SUM(M3:Y3)</f>
        <v>9098.7612301490572</v>
      </c>
      <c r="M3" s="284">
        <v>3053.4742963851995</v>
      </c>
      <c r="N3" s="286">
        <v>0</v>
      </c>
      <c r="O3" s="286">
        <v>564.2282843555555</v>
      </c>
      <c r="P3" s="286">
        <v>369.55541863968</v>
      </c>
      <c r="Q3" s="286">
        <v>1543.1782335883197</v>
      </c>
      <c r="R3" s="286">
        <v>59.086705990112996</v>
      </c>
      <c r="S3" s="286">
        <v>157.5463640726893</v>
      </c>
      <c r="T3" s="286">
        <v>2941.4703035056637</v>
      </c>
      <c r="U3" s="286">
        <v>163.70335639230669</v>
      </c>
      <c r="V3" s="282">
        <v>0</v>
      </c>
      <c r="W3" s="282">
        <v>201.02619184950296</v>
      </c>
      <c r="X3" s="282">
        <v>1.2397796420726457</v>
      </c>
      <c r="Y3" s="286">
        <v>44.252295727955044</v>
      </c>
      <c r="Z3" s="283">
        <v>1728.338063506957</v>
      </c>
      <c r="AA3" s="287">
        <f>SUM(AB3:AI3)</f>
        <v>150.18873559012798</v>
      </c>
      <c r="AB3" s="288"/>
      <c r="AC3" s="286"/>
      <c r="AD3" s="286">
        <v>23.169037781663999</v>
      </c>
      <c r="AE3" s="286"/>
      <c r="AF3" s="286"/>
      <c r="AG3" s="286">
        <v>127.01969780846397</v>
      </c>
      <c r="AH3" s="284"/>
      <c r="AI3" s="282"/>
      <c r="AJ3" s="289"/>
      <c r="AK3" s="289">
        <v>139.45061680000001</v>
      </c>
      <c r="AL3" s="287"/>
      <c r="AM3" s="290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211</v>
      </c>
      <c r="B4" s="278"/>
      <c r="C4" s="279">
        <f>SUM(D4:G4)</f>
        <v>15.186580890896002</v>
      </c>
      <c r="D4" s="280">
        <v>0</v>
      </c>
      <c r="E4" s="291">
        <v>14.097722162000002</v>
      </c>
      <c r="F4" s="282"/>
      <c r="G4" s="282">
        <v>1.0888587288959999</v>
      </c>
      <c r="H4" s="283">
        <f>SUM(I4:K4)</f>
        <v>7.0330680000000001</v>
      </c>
      <c r="I4" s="284"/>
      <c r="J4" s="285"/>
      <c r="K4" s="286">
        <v>7.0330680000000001</v>
      </c>
      <c r="L4" s="283">
        <f>SUM(M4:Y4)</f>
        <v>1717.0574370770564</v>
      </c>
      <c r="M4" s="284">
        <v>0</v>
      </c>
      <c r="N4" s="286"/>
      <c r="O4" s="286">
        <v>364.52221864444448</v>
      </c>
      <c r="P4" s="286">
        <v>21.672508399360005</v>
      </c>
      <c r="Q4" s="286">
        <v>156.29379915984001</v>
      </c>
      <c r="R4" s="286">
        <v>986.60611760112999</v>
      </c>
      <c r="S4" s="286">
        <v>35.289733288720633</v>
      </c>
      <c r="T4" s="286">
        <v>102.14625414775992</v>
      </c>
      <c r="U4" s="286">
        <v>2.9088437938490893E-3</v>
      </c>
      <c r="V4" s="282">
        <v>36.297317128453038</v>
      </c>
      <c r="W4" s="282">
        <v>5.465927722</v>
      </c>
      <c r="X4" s="282">
        <v>1.7941621000000001E-2</v>
      </c>
      <c r="Y4" s="286">
        <v>8.7427105205545299</v>
      </c>
      <c r="Z4" s="283">
        <v>0</v>
      </c>
      <c r="AA4" s="287">
        <f>SUM(AB4:AI4)</f>
        <v>9.4476585178560004</v>
      </c>
      <c r="AB4" s="288"/>
      <c r="AC4" s="286"/>
      <c r="AD4" s="286">
        <v>0.41264639999999991</v>
      </c>
      <c r="AE4" s="286"/>
      <c r="AF4" s="286"/>
      <c r="AG4" s="286">
        <v>9.0350121178560006</v>
      </c>
      <c r="AH4" s="284"/>
      <c r="AI4" s="282"/>
      <c r="AJ4" s="289"/>
      <c r="AK4" s="289">
        <v>141.83539077999998</v>
      </c>
      <c r="AL4" s="287"/>
      <c r="AM4" s="290">
        <f t="shared" si="0"/>
        <v>1890.5601352658084</v>
      </c>
      <c r="AO4" s="8"/>
    </row>
    <row r="5" spans="1:41" s="7" customFormat="1" ht="12.75" customHeight="1">
      <c r="A5" s="9" t="s">
        <v>212</v>
      </c>
      <c r="B5" s="278"/>
      <c r="C5" s="279">
        <f>SUM(D5:G5)</f>
        <v>0</v>
      </c>
      <c r="D5" s="280"/>
      <c r="E5" s="291"/>
      <c r="F5" s="282"/>
      <c r="G5" s="282"/>
      <c r="H5" s="283">
        <f>SUM(I5:K5)</f>
        <v>0</v>
      </c>
      <c r="I5" s="284"/>
      <c r="J5" s="285"/>
      <c r="K5" s="286"/>
      <c r="L5" s="283">
        <f>SUM(M5:Y5)</f>
        <v>162.14899063248015</v>
      </c>
      <c r="M5" s="284"/>
      <c r="N5" s="286"/>
      <c r="O5" s="286"/>
      <c r="P5" s="286"/>
      <c r="Q5" s="286"/>
      <c r="R5" s="286">
        <v>15.730078096892656</v>
      </c>
      <c r="S5" s="286"/>
      <c r="T5" s="286">
        <v>146.41891253558748</v>
      </c>
      <c r="U5" s="286"/>
      <c r="V5" s="282"/>
      <c r="W5" s="282"/>
      <c r="X5" s="282"/>
      <c r="Y5" s="286"/>
      <c r="Z5" s="283"/>
      <c r="AA5" s="287">
        <f>SUM(AB5:AI5)</f>
        <v>0</v>
      </c>
      <c r="AB5" s="288"/>
      <c r="AC5" s="286"/>
      <c r="AD5" s="286"/>
      <c r="AE5" s="286"/>
      <c r="AF5" s="286"/>
      <c r="AG5" s="286"/>
      <c r="AH5" s="284"/>
      <c r="AI5" s="282"/>
      <c r="AJ5" s="289"/>
      <c r="AK5" s="289"/>
      <c r="AL5" s="287"/>
      <c r="AM5" s="290">
        <f t="shared" si="0"/>
        <v>162.14899063248015</v>
      </c>
      <c r="AO5" s="8"/>
    </row>
    <row r="6" spans="1:41" s="7" customFormat="1" ht="12.75" customHeight="1" thickBot="1">
      <c r="A6" s="10" t="s">
        <v>213</v>
      </c>
      <c r="B6" s="292"/>
      <c r="C6" s="279">
        <f>SUM(D6:G6)</f>
        <v>-105.50045932171129</v>
      </c>
      <c r="D6" s="293">
        <v>-106.11399866466098</v>
      </c>
      <c r="E6" s="282">
        <v>-0.8079766727235479</v>
      </c>
      <c r="F6" s="294"/>
      <c r="G6" s="294">
        <v>1.4215160156732278</v>
      </c>
      <c r="H6" s="295">
        <f>SUM(I6:K6)</f>
        <v>-122.93905189963694</v>
      </c>
      <c r="I6" s="296">
        <v>-136.53826589963694</v>
      </c>
      <c r="J6" s="297">
        <v>0</v>
      </c>
      <c r="K6" s="296">
        <v>13.599214000000003</v>
      </c>
      <c r="L6" s="295">
        <f>SUM(M6:Y6)</f>
        <v>160.4304507360369</v>
      </c>
      <c r="M6" s="284">
        <v>38.730964773999993</v>
      </c>
      <c r="N6" s="286"/>
      <c r="O6" s="286">
        <v>-9.6980083333333713</v>
      </c>
      <c r="P6" s="286">
        <v>12.883201938880001</v>
      </c>
      <c r="Q6" s="286">
        <v>82.12024884504001</v>
      </c>
      <c r="R6" s="286">
        <v>23.637599999999999</v>
      </c>
      <c r="S6" s="286">
        <v>1.4659197380156652</v>
      </c>
      <c r="T6" s="286">
        <v>8.3874136006762399</v>
      </c>
      <c r="U6" s="286">
        <v>3.419577960051174</v>
      </c>
      <c r="V6" s="294">
        <v>-0.51646778729281662</v>
      </c>
      <c r="W6" s="294">
        <v>0</v>
      </c>
      <c r="X6" s="294">
        <v>0</v>
      </c>
      <c r="Y6" s="296">
        <v>0</v>
      </c>
      <c r="Z6" s="295">
        <v>0</v>
      </c>
      <c r="AA6" s="298">
        <f>SUM(AB6:AI6)</f>
        <v>4.2804283179600002</v>
      </c>
      <c r="AB6" s="299"/>
      <c r="AC6" s="300"/>
      <c r="AD6" s="300">
        <v>8.7401158199999704E-2</v>
      </c>
      <c r="AE6" s="300"/>
      <c r="AF6" s="300"/>
      <c r="AG6" s="300">
        <v>4.1930271597600006</v>
      </c>
      <c r="AH6" s="296"/>
      <c r="AI6" s="294"/>
      <c r="AJ6" s="301"/>
      <c r="AK6" s="301"/>
      <c r="AL6" s="298"/>
      <c r="AM6" s="302">
        <f t="shared" si="0"/>
        <v>-63.728632167351321</v>
      </c>
      <c r="AO6" s="8"/>
    </row>
    <row r="7" spans="1:41" s="13" customFormat="1" ht="12.75" customHeight="1">
      <c r="A7" s="11" t="s">
        <v>214</v>
      </c>
      <c r="B7" s="303"/>
      <c r="C7" s="304">
        <f t="shared" ref="C7:AL7" si="1">C2+C3-C4-C5+C6</f>
        <v>724.62815194989457</v>
      </c>
      <c r="D7" s="305">
        <f t="shared" si="1"/>
        <v>688.92595081293871</v>
      </c>
      <c r="E7" s="306">
        <f t="shared" si="1"/>
        <v>27.30184019021781</v>
      </c>
      <c r="F7" s="306">
        <f t="shared" si="1"/>
        <v>0</v>
      </c>
      <c r="G7" s="306">
        <f t="shared" si="1"/>
        <v>8.4003609467381786</v>
      </c>
      <c r="H7" s="307">
        <f t="shared" si="1"/>
        <v>685.95222908664709</v>
      </c>
      <c r="I7" s="305">
        <f t="shared" si="1"/>
        <v>551.68208308664714</v>
      </c>
      <c r="J7" s="308">
        <f t="shared" si="1"/>
        <v>127.70399999999999</v>
      </c>
      <c r="K7" s="306">
        <f t="shared" si="1"/>
        <v>6.5661460000000034</v>
      </c>
      <c r="L7" s="307">
        <f t="shared" si="1"/>
        <v>7379.9852531755569</v>
      </c>
      <c r="M7" s="305">
        <f t="shared" si="1"/>
        <v>3092.2052611591994</v>
      </c>
      <c r="N7" s="306">
        <f t="shared" si="1"/>
        <v>0</v>
      </c>
      <c r="O7" s="306">
        <f t="shared" si="1"/>
        <v>190.00805737777765</v>
      </c>
      <c r="P7" s="306">
        <f t="shared" si="1"/>
        <v>360.76611217919998</v>
      </c>
      <c r="Q7" s="306">
        <f t="shared" si="1"/>
        <v>1469.0046832735197</v>
      </c>
      <c r="R7" s="306">
        <f t="shared" si="1"/>
        <v>-919.61188970790954</v>
      </c>
      <c r="S7" s="306">
        <f t="shared" si="1"/>
        <v>123.72255052198433</v>
      </c>
      <c r="T7" s="306">
        <f t="shared" si="1"/>
        <v>2701.2925504229925</v>
      </c>
      <c r="U7" s="306">
        <f t="shared" si="1"/>
        <v>167.12002550856403</v>
      </c>
      <c r="V7" s="306">
        <f t="shared" si="1"/>
        <v>-36.813784915745856</v>
      </c>
      <c r="W7" s="306">
        <f t="shared" si="1"/>
        <v>195.56026412750296</v>
      </c>
      <c r="X7" s="306">
        <f t="shared" si="1"/>
        <v>1.2218380210726456</v>
      </c>
      <c r="Y7" s="306">
        <f t="shared" si="1"/>
        <v>35.509585207400512</v>
      </c>
      <c r="Z7" s="307">
        <f t="shared" si="1"/>
        <v>4480.2572507256682</v>
      </c>
      <c r="AA7" s="307">
        <f t="shared" si="1"/>
        <v>1471.3445636630058</v>
      </c>
      <c r="AB7" s="305">
        <f t="shared" si="1"/>
        <v>59.691708987970003</v>
      </c>
      <c r="AC7" s="306">
        <f t="shared" si="1"/>
        <v>743.01992281532614</v>
      </c>
      <c r="AD7" s="306">
        <f t="shared" si="1"/>
        <v>409.77362880895589</v>
      </c>
      <c r="AE7" s="306">
        <f t="shared" si="1"/>
        <v>33.531818868055431</v>
      </c>
      <c r="AF7" s="306">
        <f t="shared" si="1"/>
        <v>16.813132576534866</v>
      </c>
      <c r="AG7" s="306">
        <f t="shared" si="1"/>
        <v>149.27283699801595</v>
      </c>
      <c r="AH7" s="309">
        <f t="shared" si="1"/>
        <v>14.978481167970049</v>
      </c>
      <c r="AI7" s="305">
        <f t="shared" si="1"/>
        <v>44.263033440177487</v>
      </c>
      <c r="AJ7" s="307">
        <f t="shared" si="1"/>
        <v>145.43710297949829</v>
      </c>
      <c r="AK7" s="307">
        <f t="shared" si="1"/>
        <v>-2.3847739799999772</v>
      </c>
      <c r="AL7" s="310">
        <f t="shared" si="1"/>
        <v>0</v>
      </c>
      <c r="AM7" s="311">
        <f t="shared" si="0"/>
        <v>14885.21977760027</v>
      </c>
      <c r="AN7" s="7"/>
      <c r="AO7" s="12"/>
    </row>
    <row r="8" spans="1:41" s="13" customFormat="1" ht="12.75" customHeight="1" thickBot="1">
      <c r="A8" s="14" t="s">
        <v>215</v>
      </c>
      <c r="B8" s="312"/>
      <c r="C8" s="313">
        <f t="shared" ref="C8:AL8" si="2">C7-C28</f>
        <v>724.62815194989457</v>
      </c>
      <c r="D8" s="314">
        <f>D7-D28</f>
        <v>688.92595081293871</v>
      </c>
      <c r="E8" s="315">
        <f t="shared" si="2"/>
        <v>27.30184019021781</v>
      </c>
      <c r="F8" s="316">
        <f t="shared" si="2"/>
        <v>0</v>
      </c>
      <c r="G8" s="316">
        <f t="shared" si="2"/>
        <v>8.4003609467381786</v>
      </c>
      <c r="H8" s="317">
        <f t="shared" si="2"/>
        <v>685.95222908664709</v>
      </c>
      <c r="I8" s="314">
        <f t="shared" si="2"/>
        <v>551.68208308664714</v>
      </c>
      <c r="J8" s="318">
        <f t="shared" si="2"/>
        <v>127.70399999999999</v>
      </c>
      <c r="K8" s="315">
        <f t="shared" si="2"/>
        <v>6.5661460000000034</v>
      </c>
      <c r="L8" s="317">
        <f t="shared" si="2"/>
        <v>7147.6935658195807</v>
      </c>
      <c r="M8" s="314">
        <f t="shared" si="2"/>
        <v>3092.2052611591994</v>
      </c>
      <c r="N8" s="315">
        <f t="shared" si="2"/>
        <v>0</v>
      </c>
      <c r="O8" s="315">
        <f t="shared" si="2"/>
        <v>190.00805737777765</v>
      </c>
      <c r="P8" s="315">
        <f t="shared" si="2"/>
        <v>360.76611217919998</v>
      </c>
      <c r="Q8" s="315">
        <f t="shared" si="2"/>
        <v>1469.0046832735197</v>
      </c>
      <c r="R8" s="315">
        <f t="shared" si="2"/>
        <v>-919.61188970790954</v>
      </c>
      <c r="S8" s="315">
        <f t="shared" si="2"/>
        <v>123.72255052198433</v>
      </c>
      <c r="T8" s="315">
        <f t="shared" si="2"/>
        <v>2701.2925504229925</v>
      </c>
      <c r="U8" s="315">
        <f t="shared" si="2"/>
        <v>167.12002550856403</v>
      </c>
      <c r="V8" s="316">
        <f t="shared" si="2"/>
        <v>-36.813784915745856</v>
      </c>
      <c r="W8" s="316">
        <f t="shared" si="2"/>
        <v>0</v>
      </c>
      <c r="X8" s="316">
        <f t="shared" si="2"/>
        <v>0</v>
      </c>
      <c r="Y8" s="315">
        <f t="shared" si="2"/>
        <v>0</v>
      </c>
      <c r="Z8" s="317">
        <f t="shared" si="2"/>
        <v>4480.2572507256682</v>
      </c>
      <c r="AA8" s="319">
        <f t="shared" si="2"/>
        <v>1471.3445636630058</v>
      </c>
      <c r="AB8" s="314">
        <f t="shared" si="2"/>
        <v>59.691708987970003</v>
      </c>
      <c r="AC8" s="315">
        <f t="shared" si="2"/>
        <v>743.01992281532614</v>
      </c>
      <c r="AD8" s="315">
        <f t="shared" si="2"/>
        <v>409.77362880895589</v>
      </c>
      <c r="AE8" s="315">
        <f t="shared" si="2"/>
        <v>33.531818868055431</v>
      </c>
      <c r="AF8" s="315">
        <f t="shared" si="2"/>
        <v>16.813132576534866</v>
      </c>
      <c r="AG8" s="315">
        <f t="shared" si="2"/>
        <v>149.27283699801595</v>
      </c>
      <c r="AH8" s="320">
        <f t="shared" si="2"/>
        <v>14.978481167970049</v>
      </c>
      <c r="AI8" s="314">
        <f t="shared" si="2"/>
        <v>44.263033440177487</v>
      </c>
      <c r="AJ8" s="317">
        <f t="shared" si="2"/>
        <v>145.43710297949829</v>
      </c>
      <c r="AK8" s="317">
        <f t="shared" si="2"/>
        <v>-2.3847739799999772</v>
      </c>
      <c r="AL8" s="314">
        <f t="shared" si="2"/>
        <v>0</v>
      </c>
      <c r="AM8" s="321">
        <f t="shared" si="0"/>
        <v>14652.928090244295</v>
      </c>
      <c r="AN8" s="7"/>
      <c r="AO8" s="12"/>
    </row>
    <row r="9" spans="1:41" s="13" customFormat="1" ht="12.75" customHeight="1">
      <c r="A9" s="11" t="s">
        <v>216</v>
      </c>
      <c r="B9" s="303"/>
      <c r="C9" s="304">
        <f t="shared" ref="C9:AL9" si="3">SUM(C10:C14)</f>
        <v>488.64939432989598</v>
      </c>
      <c r="D9" s="309">
        <f t="shared" si="3"/>
        <v>488.64939432989598</v>
      </c>
      <c r="E9" s="306">
        <f t="shared" si="3"/>
        <v>0</v>
      </c>
      <c r="F9" s="322">
        <f t="shared" si="3"/>
        <v>0</v>
      </c>
      <c r="G9" s="322">
        <f t="shared" si="3"/>
        <v>0</v>
      </c>
      <c r="H9" s="307">
        <f t="shared" si="3"/>
        <v>539.94139129191865</v>
      </c>
      <c r="I9" s="309">
        <f t="shared" si="3"/>
        <v>539.94139129191865</v>
      </c>
      <c r="J9" s="308">
        <f t="shared" si="3"/>
        <v>0</v>
      </c>
      <c r="K9" s="306">
        <f t="shared" si="3"/>
        <v>0</v>
      </c>
      <c r="L9" s="307">
        <f t="shared" si="3"/>
        <v>3126.9350452866179</v>
      </c>
      <c r="M9" s="306">
        <f t="shared" si="3"/>
        <v>3092.2052611591994</v>
      </c>
      <c r="N9" s="306">
        <f t="shared" si="3"/>
        <v>0</v>
      </c>
      <c r="O9" s="306">
        <f t="shared" si="3"/>
        <v>0</v>
      </c>
      <c r="P9" s="306">
        <f t="shared" si="3"/>
        <v>0</v>
      </c>
      <c r="Q9" s="306">
        <f t="shared" si="3"/>
        <v>0</v>
      </c>
      <c r="R9" s="306">
        <f t="shared" si="3"/>
        <v>25.868327226603597</v>
      </c>
      <c r="S9" s="306">
        <f t="shared" si="3"/>
        <v>0.63499472294399995</v>
      </c>
      <c r="T9" s="306">
        <f t="shared" si="3"/>
        <v>8.2264621778709284</v>
      </c>
      <c r="U9" s="306">
        <f t="shared" si="3"/>
        <v>0</v>
      </c>
      <c r="V9" s="322">
        <f t="shared" si="3"/>
        <v>0</v>
      </c>
      <c r="W9" s="322">
        <f t="shared" si="3"/>
        <v>0</v>
      </c>
      <c r="X9" s="322">
        <f t="shared" si="3"/>
        <v>0</v>
      </c>
      <c r="Y9" s="306">
        <f t="shared" si="3"/>
        <v>0</v>
      </c>
      <c r="Z9" s="307">
        <f t="shared" si="3"/>
        <v>2501.2994242635782</v>
      </c>
      <c r="AA9" s="305">
        <f t="shared" si="3"/>
        <v>213.29280212790383</v>
      </c>
      <c r="AB9" s="323">
        <f t="shared" si="3"/>
        <v>0</v>
      </c>
      <c r="AC9" s="306">
        <f t="shared" si="3"/>
        <v>0</v>
      </c>
      <c r="AD9" s="306">
        <f t="shared" si="3"/>
        <v>172.72491180671966</v>
      </c>
      <c r="AE9" s="306">
        <f t="shared" si="3"/>
        <v>33.531818868055431</v>
      </c>
      <c r="AF9" s="306">
        <f t="shared" si="3"/>
        <v>7.0360714531287174</v>
      </c>
      <c r="AG9" s="306">
        <f t="shared" si="3"/>
        <v>0</v>
      </c>
      <c r="AH9" s="309">
        <f t="shared" si="3"/>
        <v>0</v>
      </c>
      <c r="AI9" s="322">
        <f t="shared" si="3"/>
        <v>0</v>
      </c>
      <c r="AJ9" s="307">
        <f t="shared" si="3"/>
        <v>90.714163374524205</v>
      </c>
      <c r="AK9" s="307">
        <f t="shared" si="3"/>
        <v>54.069944079999999</v>
      </c>
      <c r="AL9" s="305">
        <f t="shared" si="3"/>
        <v>0</v>
      </c>
      <c r="AM9" s="324">
        <f t="shared" si="0"/>
        <v>7014.9021647544387</v>
      </c>
      <c r="AN9" s="7"/>
      <c r="AO9" s="12"/>
    </row>
    <row r="10" spans="1:41" s="7" customFormat="1" ht="12.75" customHeight="1">
      <c r="A10" s="15" t="s">
        <v>217</v>
      </c>
      <c r="B10" s="325"/>
      <c r="C10" s="326">
        <f>SUM(D10:G10)</f>
        <v>488.64939432989598</v>
      </c>
      <c r="D10" s="327">
        <v>488.64939432989598</v>
      </c>
      <c r="E10" s="328"/>
      <c r="F10" s="329"/>
      <c r="G10" s="329"/>
      <c r="H10" s="330">
        <f>SUM(I10:K10)</f>
        <v>467.10845991760607</v>
      </c>
      <c r="I10" s="327">
        <v>467.10845991760607</v>
      </c>
      <c r="J10" s="331">
        <v>0</v>
      </c>
      <c r="K10" s="328"/>
      <c r="L10" s="330">
        <f>SUM(M10:Y10)</f>
        <v>34.094789404474525</v>
      </c>
      <c r="M10" s="328"/>
      <c r="N10" s="328"/>
      <c r="O10" s="328"/>
      <c r="P10" s="328"/>
      <c r="Q10" s="328"/>
      <c r="R10" s="328">
        <v>25.868327226603597</v>
      </c>
      <c r="S10" s="328"/>
      <c r="T10" s="328">
        <v>8.2264621778709284</v>
      </c>
      <c r="U10" s="328"/>
      <c r="V10" s="329"/>
      <c r="W10" s="329"/>
      <c r="X10" s="329"/>
      <c r="Y10" s="328"/>
      <c r="Z10" s="330">
        <v>2187.6033883210698</v>
      </c>
      <c r="AA10" s="332">
        <f>SUM(AB10:AI10)</f>
        <v>204.19282321191795</v>
      </c>
      <c r="AB10" s="333"/>
      <c r="AC10" s="328"/>
      <c r="AD10" s="328">
        <v>170.66100434386252</v>
      </c>
      <c r="AE10" s="328">
        <v>33.531818868055431</v>
      </c>
      <c r="AF10" s="328"/>
      <c r="AG10" s="328"/>
      <c r="AH10" s="327"/>
      <c r="AI10" s="329"/>
      <c r="AJ10" s="334">
        <v>90.714163374524205</v>
      </c>
      <c r="AK10" s="330"/>
      <c r="AL10" s="332"/>
      <c r="AM10" s="335">
        <f t="shared" si="0"/>
        <v>3472.3630185594884</v>
      </c>
      <c r="AO10" s="8"/>
    </row>
    <row r="11" spans="1:41" s="7" customFormat="1" ht="12.75" customHeight="1">
      <c r="A11" s="9" t="s">
        <v>218</v>
      </c>
      <c r="B11" s="278"/>
      <c r="C11" s="279">
        <f>SUM(D11:G11)</f>
        <v>0</v>
      </c>
      <c r="D11" s="284">
        <v>0</v>
      </c>
      <c r="E11" s="286"/>
      <c r="F11" s="282"/>
      <c r="G11" s="282"/>
      <c r="H11" s="283">
        <f>SUM(I11:K11)</f>
        <v>4.7573545322072528</v>
      </c>
      <c r="I11" s="284">
        <v>4.7573545322072528</v>
      </c>
      <c r="J11" s="285"/>
      <c r="K11" s="286"/>
      <c r="L11" s="283">
        <f>SUM(M11:Y11)</f>
        <v>0.63499472294399995</v>
      </c>
      <c r="M11" s="286"/>
      <c r="N11" s="336">
        <v>0</v>
      </c>
      <c r="O11" s="286"/>
      <c r="P11" s="286"/>
      <c r="Q11" s="286"/>
      <c r="R11" s="286">
        <v>0</v>
      </c>
      <c r="S11" s="286">
        <v>0.63499472294399995</v>
      </c>
      <c r="T11" s="286">
        <v>0</v>
      </c>
      <c r="U11" s="286"/>
      <c r="V11" s="282"/>
      <c r="W11" s="282"/>
      <c r="X11" s="282"/>
      <c r="Y11" s="286"/>
      <c r="Z11" s="283">
        <v>272.96145103491432</v>
      </c>
      <c r="AA11" s="287">
        <f>SUM(AB11:AI11)</f>
        <v>9.0999789159858597</v>
      </c>
      <c r="AB11" s="288"/>
      <c r="AC11" s="286"/>
      <c r="AD11" s="286">
        <v>2.0639074628571428</v>
      </c>
      <c r="AE11" s="286"/>
      <c r="AF11" s="286">
        <v>7.0360714531287174</v>
      </c>
      <c r="AG11" s="286"/>
      <c r="AH11" s="284"/>
      <c r="AI11" s="282"/>
      <c r="AJ11" s="289"/>
      <c r="AK11" s="289"/>
      <c r="AL11" s="287"/>
      <c r="AM11" s="290">
        <f t="shared" si="0"/>
        <v>287.45377920605142</v>
      </c>
      <c r="AO11" s="8"/>
    </row>
    <row r="12" spans="1:41" s="7" customFormat="1" ht="12.75" customHeight="1">
      <c r="A12" s="9" t="s">
        <v>219</v>
      </c>
      <c r="B12" s="278"/>
      <c r="C12" s="279"/>
      <c r="D12" s="284"/>
      <c r="E12" s="286"/>
      <c r="F12" s="282"/>
      <c r="G12" s="282"/>
      <c r="H12" s="283"/>
      <c r="I12" s="284"/>
      <c r="J12" s="285"/>
      <c r="K12" s="286"/>
      <c r="L12" s="283"/>
      <c r="M12" s="286"/>
      <c r="N12" s="336"/>
      <c r="O12" s="286"/>
      <c r="P12" s="286"/>
      <c r="Q12" s="286"/>
      <c r="R12" s="286"/>
      <c r="S12" s="286"/>
      <c r="T12" s="286"/>
      <c r="U12" s="286"/>
      <c r="V12" s="282"/>
      <c r="W12" s="282"/>
      <c r="X12" s="282"/>
      <c r="Y12" s="286"/>
      <c r="Z12" s="283"/>
      <c r="AA12" s="287"/>
      <c r="AB12" s="288"/>
      <c r="AC12" s="286"/>
      <c r="AD12" s="286"/>
      <c r="AE12" s="286"/>
      <c r="AF12" s="286"/>
      <c r="AG12" s="286"/>
      <c r="AH12" s="284"/>
      <c r="AI12" s="282"/>
      <c r="AJ12" s="289"/>
      <c r="AK12" s="289">
        <v>42.942060079999997</v>
      </c>
      <c r="AL12" s="287"/>
      <c r="AM12" s="290">
        <f t="shared" si="0"/>
        <v>42.942060079999997</v>
      </c>
      <c r="AO12" s="8"/>
    </row>
    <row r="13" spans="1:41" s="7" customFormat="1" ht="12.75" customHeight="1">
      <c r="A13" s="9" t="s">
        <v>220</v>
      </c>
      <c r="B13" s="278"/>
      <c r="C13" s="279">
        <f>SUM(D13:G13)</f>
        <v>0</v>
      </c>
      <c r="D13" s="284"/>
      <c r="E13" s="282"/>
      <c r="F13" s="282"/>
      <c r="G13" s="282"/>
      <c r="H13" s="283">
        <f>SUM(I13:K13)</f>
        <v>68.075576842105264</v>
      </c>
      <c r="I13" s="284">
        <v>68.075576842105264</v>
      </c>
      <c r="J13" s="285"/>
      <c r="K13" s="286"/>
      <c r="L13" s="283">
        <f>SUM(M13:Y13)</f>
        <v>0</v>
      </c>
      <c r="M13" s="286"/>
      <c r="N13" s="286"/>
      <c r="O13" s="286"/>
      <c r="P13" s="286"/>
      <c r="Q13" s="286"/>
      <c r="R13" s="286"/>
      <c r="S13" s="286"/>
      <c r="T13" s="286"/>
      <c r="U13" s="286"/>
      <c r="V13" s="282"/>
      <c r="W13" s="282"/>
      <c r="X13" s="282"/>
      <c r="Y13" s="286"/>
      <c r="Z13" s="283"/>
      <c r="AA13" s="287">
        <f>SUM(AB13:AI13)</f>
        <v>0</v>
      </c>
      <c r="AB13" s="288"/>
      <c r="AC13" s="286"/>
      <c r="AD13" s="286"/>
      <c r="AE13" s="286"/>
      <c r="AF13" s="286"/>
      <c r="AG13" s="286"/>
      <c r="AH13" s="284"/>
      <c r="AI13" s="282"/>
      <c r="AJ13" s="289"/>
      <c r="AK13" s="289"/>
      <c r="AL13" s="287"/>
      <c r="AM13" s="290">
        <f t="shared" si="0"/>
        <v>68.075576842105264</v>
      </c>
      <c r="AO13" s="8"/>
    </row>
    <row r="14" spans="1:41" s="7" customFormat="1" ht="12.75" customHeight="1">
      <c r="A14" s="16" t="s">
        <v>221</v>
      </c>
      <c r="B14" s="337"/>
      <c r="C14" s="338">
        <f>SUM(D14:G14)</f>
        <v>0</v>
      </c>
      <c r="D14" s="339"/>
      <c r="E14" s="340"/>
      <c r="F14" s="341"/>
      <c r="G14" s="341"/>
      <c r="H14" s="342">
        <f>SUM(I14:K14)</f>
        <v>0</v>
      </c>
      <c r="I14" s="339"/>
      <c r="J14" s="343"/>
      <c r="K14" s="340"/>
      <c r="L14" s="342">
        <f>SUM(M14:Y14)</f>
        <v>3092.2052611591994</v>
      </c>
      <c r="M14" s="340">
        <v>3092.2052611591994</v>
      </c>
      <c r="N14" s="340"/>
      <c r="O14" s="340"/>
      <c r="P14" s="340"/>
      <c r="Q14" s="340"/>
      <c r="R14" s="340"/>
      <c r="S14" s="340"/>
      <c r="T14" s="340"/>
      <c r="U14" s="340"/>
      <c r="V14" s="341"/>
      <c r="W14" s="341"/>
      <c r="X14" s="341"/>
      <c r="Y14" s="340"/>
      <c r="Z14" s="342">
        <v>40.734584907594211</v>
      </c>
      <c r="AA14" s="344">
        <f>SUM(AB14:AI14)</f>
        <v>0</v>
      </c>
      <c r="AB14" s="345"/>
      <c r="AC14" s="340"/>
      <c r="AD14" s="340"/>
      <c r="AE14" s="340"/>
      <c r="AF14" s="340"/>
      <c r="AG14" s="340"/>
      <c r="AH14" s="339"/>
      <c r="AI14" s="341"/>
      <c r="AJ14" s="346"/>
      <c r="AK14" s="346">
        <v>11.127884</v>
      </c>
      <c r="AL14" s="344"/>
      <c r="AM14" s="347">
        <f t="shared" si="0"/>
        <v>3144.0677300667935</v>
      </c>
      <c r="AO14" s="8"/>
    </row>
    <row r="15" spans="1:41" s="13" customFormat="1" ht="12.75" customHeight="1">
      <c r="A15" s="17" t="s">
        <v>222</v>
      </c>
      <c r="B15" s="348"/>
      <c r="C15" s="349">
        <f t="shared" ref="C15:AL15" si="4">SUM(C16:C21)</f>
        <v>0</v>
      </c>
      <c r="D15" s="350">
        <f t="shared" si="4"/>
        <v>0</v>
      </c>
      <c r="E15" s="351">
        <f t="shared" si="4"/>
        <v>0</v>
      </c>
      <c r="F15" s="352">
        <f t="shared" si="4"/>
        <v>0</v>
      </c>
      <c r="G15" s="352">
        <f t="shared" si="4"/>
        <v>0</v>
      </c>
      <c r="H15" s="353">
        <f t="shared" si="4"/>
        <v>64.671797999999995</v>
      </c>
      <c r="I15" s="350">
        <f t="shared" si="4"/>
        <v>0</v>
      </c>
      <c r="J15" s="354">
        <f t="shared" si="4"/>
        <v>0</v>
      </c>
      <c r="K15" s="351">
        <f t="shared" si="4"/>
        <v>64.671797999999995</v>
      </c>
      <c r="L15" s="353">
        <f t="shared" si="4"/>
        <v>3166.7368998172387</v>
      </c>
      <c r="M15" s="351">
        <f t="shared" si="4"/>
        <v>0</v>
      </c>
      <c r="N15" s="351">
        <f t="shared" si="4"/>
        <v>89.969014531910801</v>
      </c>
      <c r="O15" s="351">
        <f t="shared" si="4"/>
        <v>640.53679657777786</v>
      </c>
      <c r="P15" s="351">
        <f t="shared" si="4"/>
        <v>226.77459106847999</v>
      </c>
      <c r="Q15" s="351">
        <f t="shared" si="4"/>
        <v>0</v>
      </c>
      <c r="R15" s="351">
        <f t="shared" si="4"/>
        <v>960.95017928079096</v>
      </c>
      <c r="S15" s="351">
        <f t="shared" si="4"/>
        <v>64.797462901984332</v>
      </c>
      <c r="T15" s="351">
        <f t="shared" si="4"/>
        <v>1146.9502117491124</v>
      </c>
      <c r="U15" s="351">
        <f t="shared" si="4"/>
        <v>0</v>
      </c>
      <c r="V15" s="352">
        <f t="shared" si="4"/>
        <v>36.758643707182323</v>
      </c>
      <c r="W15" s="352">
        <f t="shared" si="4"/>
        <v>0</v>
      </c>
      <c r="X15" s="352">
        <f t="shared" si="4"/>
        <v>0</v>
      </c>
      <c r="Y15" s="351">
        <f t="shared" si="4"/>
        <v>0</v>
      </c>
      <c r="Z15" s="353">
        <f t="shared" si="4"/>
        <v>0</v>
      </c>
      <c r="AA15" s="355">
        <f t="shared" si="4"/>
        <v>72.589002064606689</v>
      </c>
      <c r="AB15" s="356">
        <f t="shared" si="4"/>
        <v>0</v>
      </c>
      <c r="AC15" s="351">
        <f t="shared" si="4"/>
        <v>0</v>
      </c>
      <c r="AD15" s="351">
        <f t="shared" si="4"/>
        <v>56.757089411255542</v>
      </c>
      <c r="AE15" s="357">
        <f t="shared" si="4"/>
        <v>11.967173135751148</v>
      </c>
      <c r="AF15" s="357">
        <f t="shared" si="4"/>
        <v>3.8647395175999999</v>
      </c>
      <c r="AG15" s="357">
        <f t="shared" si="4"/>
        <v>0</v>
      </c>
      <c r="AH15" s="350">
        <f t="shared" si="4"/>
        <v>0</v>
      </c>
      <c r="AI15" s="352">
        <f t="shared" si="4"/>
        <v>0</v>
      </c>
      <c r="AJ15" s="353">
        <f t="shared" si="4"/>
        <v>25.936587456974625</v>
      </c>
      <c r="AK15" s="353">
        <f t="shared" si="4"/>
        <v>1873.361490524092</v>
      </c>
      <c r="AL15" s="355">
        <f t="shared" si="4"/>
        <v>0</v>
      </c>
      <c r="AM15" s="358">
        <f t="shared" si="0"/>
        <v>5203.2957778629116</v>
      </c>
      <c r="AN15" s="7"/>
      <c r="AO15" s="12"/>
    </row>
    <row r="16" spans="1:41" s="20" customFormat="1" ht="12.75" customHeight="1">
      <c r="A16" s="15" t="s">
        <v>217</v>
      </c>
      <c r="B16" s="325"/>
      <c r="C16" s="326">
        <f>SUM(D16:G16)</f>
        <v>0</v>
      </c>
      <c r="D16" s="327"/>
      <c r="E16" s="328"/>
      <c r="F16" s="329"/>
      <c r="G16" s="329"/>
      <c r="H16" s="330">
        <f>SUM(I16:K16)</f>
        <v>0</v>
      </c>
      <c r="I16" s="327"/>
      <c r="J16" s="331"/>
      <c r="K16" s="328"/>
      <c r="L16" s="330">
        <f>SUM(M16:Y16)</f>
        <v>0</v>
      </c>
      <c r="M16" s="328"/>
      <c r="N16" s="328"/>
      <c r="O16" s="328"/>
      <c r="P16" s="328"/>
      <c r="Q16" s="328"/>
      <c r="R16" s="328"/>
      <c r="S16" s="328"/>
      <c r="T16" s="328"/>
      <c r="U16" s="328"/>
      <c r="V16" s="329"/>
      <c r="W16" s="329"/>
      <c r="X16" s="329"/>
      <c r="Y16" s="328"/>
      <c r="Z16" s="330"/>
      <c r="AA16" s="332">
        <f>SUM(AB16:AI16)</f>
        <v>67.629224547006686</v>
      </c>
      <c r="AB16" s="333"/>
      <c r="AC16" s="328"/>
      <c r="AD16" s="328">
        <v>55.66205141125554</v>
      </c>
      <c r="AE16" s="336">
        <v>11.967173135751148</v>
      </c>
      <c r="AF16" s="336"/>
      <c r="AG16" s="336"/>
      <c r="AH16" s="327"/>
      <c r="AI16" s="329"/>
      <c r="AJ16" s="334">
        <v>25.936587456974625</v>
      </c>
      <c r="AK16" s="334">
        <v>1667.7865923774164</v>
      </c>
      <c r="AL16" s="332"/>
      <c r="AM16" s="359">
        <f>C16+H16+L16+Z16+AK16+AL16</f>
        <v>1667.7865923774164</v>
      </c>
      <c r="AN16" s="7"/>
      <c r="AO16" s="19"/>
    </row>
    <row r="17" spans="1:41" s="20" customFormat="1" ht="12.75" customHeight="1">
      <c r="A17" s="9" t="s">
        <v>223</v>
      </c>
      <c r="B17" s="278"/>
      <c r="C17" s="279">
        <f>SUM(D17:G17)</f>
        <v>0</v>
      </c>
      <c r="D17" s="284"/>
      <c r="E17" s="286"/>
      <c r="F17" s="282"/>
      <c r="G17" s="282"/>
      <c r="H17" s="283">
        <f>SUM(I17:K17)</f>
        <v>0</v>
      </c>
      <c r="I17" s="284"/>
      <c r="J17" s="285"/>
      <c r="K17" s="286"/>
      <c r="L17" s="283">
        <f>SUM(M17:Y17)</f>
        <v>0</v>
      </c>
      <c r="M17" s="286"/>
      <c r="N17" s="286"/>
      <c r="O17" s="286"/>
      <c r="P17" s="286"/>
      <c r="Q17" s="286"/>
      <c r="R17" s="286"/>
      <c r="S17" s="286"/>
      <c r="T17" s="286"/>
      <c r="U17" s="286"/>
      <c r="V17" s="282"/>
      <c r="W17" s="282"/>
      <c r="X17" s="282"/>
      <c r="Y17" s="286"/>
      <c r="Z17" s="283"/>
      <c r="AA17" s="287">
        <f>SUM(AB17:AI17)</f>
        <v>4.9597775176000001</v>
      </c>
      <c r="AB17" s="288"/>
      <c r="AC17" s="286"/>
      <c r="AD17" s="286">
        <v>1.095038</v>
      </c>
      <c r="AE17" s="286"/>
      <c r="AF17" s="286">
        <v>3.8647395175999999</v>
      </c>
      <c r="AG17" s="286"/>
      <c r="AH17" s="284"/>
      <c r="AI17" s="282"/>
      <c r="AJ17" s="289"/>
      <c r="AK17" s="360">
        <v>185.14395873624346</v>
      </c>
      <c r="AL17" s="287"/>
      <c r="AM17" s="290">
        <f>C17+H17+L17+Z17+AK17+AL17</f>
        <v>185.14395873624346</v>
      </c>
      <c r="AN17" s="7"/>
      <c r="AO17" s="19"/>
    </row>
    <row r="18" spans="1:41" s="20" customFormat="1" ht="12.75" customHeight="1">
      <c r="A18" s="9" t="s">
        <v>224</v>
      </c>
      <c r="B18" s="278"/>
      <c r="C18" s="279"/>
      <c r="D18" s="284"/>
      <c r="E18" s="286"/>
      <c r="F18" s="282"/>
      <c r="G18" s="282"/>
      <c r="H18" s="283"/>
      <c r="I18" s="284"/>
      <c r="J18" s="285"/>
      <c r="K18" s="286"/>
      <c r="L18" s="283"/>
      <c r="M18" s="286"/>
      <c r="N18" s="286"/>
      <c r="O18" s="286"/>
      <c r="P18" s="286"/>
      <c r="Q18" s="286"/>
      <c r="R18" s="286"/>
      <c r="S18" s="286"/>
      <c r="T18" s="286"/>
      <c r="U18" s="286"/>
      <c r="V18" s="282"/>
      <c r="W18" s="282"/>
      <c r="X18" s="282"/>
      <c r="Y18" s="286"/>
      <c r="Z18" s="283"/>
      <c r="AA18" s="287">
        <f>SUM(AB18:AI18)</f>
        <v>0</v>
      </c>
      <c r="AB18" s="288"/>
      <c r="AC18" s="286"/>
      <c r="AD18" s="286"/>
      <c r="AE18" s="286"/>
      <c r="AF18" s="286"/>
      <c r="AG18" s="286"/>
      <c r="AH18" s="284"/>
      <c r="AI18" s="282"/>
      <c r="AJ18" s="289"/>
      <c r="AK18" s="289"/>
      <c r="AL18" s="287"/>
      <c r="AM18" s="290">
        <f t="shared" si="0"/>
        <v>0</v>
      </c>
      <c r="AN18" s="7"/>
      <c r="AO18" s="19"/>
    </row>
    <row r="19" spans="1:41" s="20" customFormat="1" ht="12.75" customHeight="1">
      <c r="A19" s="9" t="s">
        <v>225</v>
      </c>
      <c r="B19" s="278"/>
      <c r="C19" s="279"/>
      <c r="D19" s="284"/>
      <c r="E19" s="286"/>
      <c r="F19" s="282"/>
      <c r="G19" s="282"/>
      <c r="H19" s="283"/>
      <c r="I19" s="284"/>
      <c r="J19" s="285"/>
      <c r="K19" s="286"/>
      <c r="L19" s="283"/>
      <c r="M19" s="286"/>
      <c r="N19" s="286"/>
      <c r="O19" s="286"/>
      <c r="P19" s="286"/>
      <c r="Q19" s="286"/>
      <c r="R19" s="286"/>
      <c r="S19" s="286"/>
      <c r="T19" s="286"/>
      <c r="U19" s="286"/>
      <c r="V19" s="282"/>
      <c r="W19" s="282"/>
      <c r="X19" s="282"/>
      <c r="Y19" s="286"/>
      <c r="Z19" s="283"/>
      <c r="AA19" s="287"/>
      <c r="AB19" s="288"/>
      <c r="AC19" s="286"/>
      <c r="AD19" s="286"/>
      <c r="AE19" s="286"/>
      <c r="AF19" s="286"/>
      <c r="AG19" s="286"/>
      <c r="AH19" s="284"/>
      <c r="AI19" s="282"/>
      <c r="AJ19" s="289"/>
      <c r="AK19" s="289">
        <v>20.430939410432</v>
      </c>
      <c r="AL19" s="287"/>
      <c r="AM19" s="290">
        <f t="shared" si="0"/>
        <v>20.430939410432</v>
      </c>
      <c r="AN19" s="7"/>
      <c r="AO19" s="19"/>
    </row>
    <row r="20" spans="1:41" s="20" customFormat="1" ht="12.75" customHeight="1">
      <c r="A20" s="9" t="s">
        <v>220</v>
      </c>
      <c r="B20" s="278"/>
      <c r="C20" s="279"/>
      <c r="D20" s="361"/>
      <c r="E20" s="286"/>
      <c r="F20" s="282"/>
      <c r="G20" s="282"/>
      <c r="H20" s="283">
        <f>SUM(I20:K20)</f>
        <v>64.671797999999995</v>
      </c>
      <c r="I20" s="284"/>
      <c r="J20" s="285"/>
      <c r="K20" s="286">
        <v>64.671797999999995</v>
      </c>
      <c r="L20" s="283">
        <f>SUM(M20:Y20)</f>
        <v>0</v>
      </c>
      <c r="M20" s="286"/>
      <c r="N20" s="286"/>
      <c r="O20" s="286"/>
      <c r="P20" s="286"/>
      <c r="Q20" s="286"/>
      <c r="R20" s="286"/>
      <c r="S20" s="286"/>
      <c r="T20" s="286"/>
      <c r="U20" s="286"/>
      <c r="V20" s="282"/>
      <c r="W20" s="282"/>
      <c r="X20" s="282"/>
      <c r="Y20" s="286"/>
      <c r="Z20" s="283"/>
      <c r="AA20" s="287">
        <f>SUM(AB20:AI20)</f>
        <v>0</v>
      </c>
      <c r="AB20" s="288"/>
      <c r="AC20" s="286"/>
      <c r="AD20" s="286"/>
      <c r="AE20" s="286"/>
      <c r="AF20" s="286"/>
      <c r="AG20" s="286"/>
      <c r="AH20" s="284"/>
      <c r="AI20" s="282"/>
      <c r="AJ20" s="289"/>
      <c r="AK20" s="289"/>
      <c r="AL20" s="287"/>
      <c r="AM20" s="290">
        <f t="shared" si="0"/>
        <v>64.671797999999995</v>
      </c>
      <c r="AN20" s="7"/>
      <c r="AO20" s="19"/>
    </row>
    <row r="21" spans="1:41" s="20" customFormat="1" ht="12.75" customHeight="1">
      <c r="A21" s="16" t="s">
        <v>226</v>
      </c>
      <c r="B21" s="337"/>
      <c r="C21" s="338"/>
      <c r="D21" s="339"/>
      <c r="E21" s="340"/>
      <c r="F21" s="341"/>
      <c r="G21" s="341"/>
      <c r="H21" s="342">
        <f>SUM(I21:K21)</f>
        <v>0</v>
      </c>
      <c r="I21" s="339"/>
      <c r="J21" s="343"/>
      <c r="K21" s="340"/>
      <c r="L21" s="342">
        <f>SUM(M21:Y21)</f>
        <v>3166.7368998172387</v>
      </c>
      <c r="M21" s="340"/>
      <c r="N21" s="340">
        <v>89.969014531910801</v>
      </c>
      <c r="O21" s="340">
        <v>640.53679657777786</v>
      </c>
      <c r="P21" s="340">
        <v>226.77459106847999</v>
      </c>
      <c r="Q21" s="340">
        <v>0</v>
      </c>
      <c r="R21" s="340">
        <v>960.95017928079096</v>
      </c>
      <c r="S21" s="340">
        <v>64.797462901984332</v>
      </c>
      <c r="T21" s="340">
        <v>1146.9502117491124</v>
      </c>
      <c r="U21" s="340"/>
      <c r="V21" s="341">
        <v>36.758643707182323</v>
      </c>
      <c r="W21" s="341"/>
      <c r="X21" s="341"/>
      <c r="Y21" s="340"/>
      <c r="Z21" s="342"/>
      <c r="AA21" s="344">
        <f>SUM(AB21:AI21)</f>
        <v>0</v>
      </c>
      <c r="AB21" s="345"/>
      <c r="AC21" s="340"/>
      <c r="AD21" s="340"/>
      <c r="AE21" s="340"/>
      <c r="AF21" s="340"/>
      <c r="AG21" s="340"/>
      <c r="AH21" s="339"/>
      <c r="AI21" s="341"/>
      <c r="AJ21" s="346"/>
      <c r="AK21" s="346"/>
      <c r="AL21" s="344"/>
      <c r="AM21" s="347">
        <f t="shared" si="0"/>
        <v>3166.7368998172387</v>
      </c>
      <c r="AN21" s="7"/>
      <c r="AO21" s="19"/>
    </row>
    <row r="22" spans="1:41" s="20" customFormat="1" ht="12.75" customHeight="1">
      <c r="A22" s="21" t="s">
        <v>227</v>
      </c>
      <c r="B22" s="362"/>
      <c r="C22" s="363">
        <f>SUM(C23:C25)</f>
        <v>21.675620234332229</v>
      </c>
      <c r="D22" s="364">
        <f>SUM(D23:D25)</f>
        <v>-17.141361188350004</v>
      </c>
      <c r="E22" s="365">
        <f>SUM(E23:E25)</f>
        <v>38.816981422682233</v>
      </c>
      <c r="F22" s="366">
        <f>SUM(F23:F25)</f>
        <v>0</v>
      </c>
      <c r="G22" s="366">
        <f>SUM(G23:G25)</f>
        <v>0</v>
      </c>
      <c r="H22" s="367">
        <f>SUM(I22:K22)</f>
        <v>0</v>
      </c>
      <c r="I22" s="364">
        <f>SUM(I23:I25)</f>
        <v>0</v>
      </c>
      <c r="J22" s="368">
        <f>SUM(J23:J25)</f>
        <v>0</v>
      </c>
      <c r="K22" s="365">
        <f>SUM(K23:K25)</f>
        <v>0</v>
      </c>
      <c r="L22" s="367">
        <f>SUM(M22:Y22)</f>
        <v>-24.071643477187674</v>
      </c>
      <c r="M22" s="365">
        <f t="shared" ref="M22:AM22" si="5">SUM(M23:M25)</f>
        <v>0</v>
      </c>
      <c r="N22" s="365">
        <f t="shared" si="5"/>
        <v>0</v>
      </c>
      <c r="O22" s="365">
        <f t="shared" si="5"/>
        <v>0.11733854444431926</v>
      </c>
      <c r="P22" s="365">
        <f t="shared" si="5"/>
        <v>374.46366644960005</v>
      </c>
      <c r="Q22" s="365">
        <f t="shared" si="5"/>
        <v>-373.64776418279996</v>
      </c>
      <c r="R22" s="365">
        <f t="shared" si="5"/>
        <v>0</v>
      </c>
      <c r="S22" s="365">
        <f t="shared" si="5"/>
        <v>0</v>
      </c>
      <c r="T22" s="365">
        <f t="shared" si="5"/>
        <v>-3.3292640540998377</v>
      </c>
      <c r="U22" s="365">
        <f t="shared" si="5"/>
        <v>-21.675620234332225</v>
      </c>
      <c r="V22" s="366">
        <f t="shared" si="5"/>
        <v>0</v>
      </c>
      <c r="W22" s="366">
        <f t="shared" si="5"/>
        <v>0</v>
      </c>
      <c r="X22" s="366">
        <f t="shared" si="5"/>
        <v>0</v>
      </c>
      <c r="Y22" s="365">
        <f t="shared" si="5"/>
        <v>0</v>
      </c>
      <c r="Z22" s="367">
        <f t="shared" si="5"/>
        <v>0</v>
      </c>
      <c r="AA22" s="369">
        <f t="shared" si="5"/>
        <v>-804.14402736760053</v>
      </c>
      <c r="AB22" s="370">
        <f t="shared" si="5"/>
        <v>-59.691708987970003</v>
      </c>
      <c r="AC22" s="365">
        <f t="shared" si="5"/>
        <v>-743.01992281532614</v>
      </c>
      <c r="AD22" s="365">
        <f t="shared" si="5"/>
        <v>0</v>
      </c>
      <c r="AE22" s="371">
        <f t="shared" si="5"/>
        <v>0</v>
      </c>
      <c r="AF22" s="371">
        <f t="shared" si="5"/>
        <v>0</v>
      </c>
      <c r="AG22" s="371">
        <f t="shared" si="5"/>
        <v>0</v>
      </c>
      <c r="AH22" s="364">
        <f t="shared" si="5"/>
        <v>-1.4323955643044282</v>
      </c>
      <c r="AI22" s="366">
        <f t="shared" si="5"/>
        <v>0</v>
      </c>
      <c r="AJ22" s="372">
        <f t="shared" si="5"/>
        <v>0</v>
      </c>
      <c r="AK22" s="367">
        <f t="shared" si="5"/>
        <v>804.14402736760053</v>
      </c>
      <c r="AL22" s="369">
        <f t="shared" si="5"/>
        <v>0</v>
      </c>
      <c r="AM22" s="373">
        <f t="shared" si="5"/>
        <v>-2.3960232428554455</v>
      </c>
      <c r="AN22" s="7"/>
      <c r="AO22" s="19"/>
    </row>
    <row r="23" spans="1:41" s="20" customFormat="1" ht="12.75" customHeight="1">
      <c r="A23" s="15" t="s">
        <v>228</v>
      </c>
      <c r="B23" s="325"/>
      <c r="C23" s="374"/>
      <c r="D23" s="375"/>
      <c r="E23" s="376"/>
      <c r="F23" s="329"/>
      <c r="G23" s="329"/>
      <c r="H23" s="330"/>
      <c r="I23" s="377"/>
      <c r="J23" s="331"/>
      <c r="K23" s="328"/>
      <c r="L23" s="330"/>
      <c r="M23" s="328"/>
      <c r="N23" s="328"/>
      <c r="O23" s="328"/>
      <c r="P23" s="328"/>
      <c r="Q23" s="328"/>
      <c r="R23" s="328"/>
      <c r="S23" s="328"/>
      <c r="T23" s="328"/>
      <c r="U23" s="328"/>
      <c r="V23" s="329"/>
      <c r="W23" s="329"/>
      <c r="X23" s="329"/>
      <c r="Y23" s="328"/>
      <c r="Z23" s="330"/>
      <c r="AA23" s="332">
        <f>SUM(AB23:AI23)</f>
        <v>-804.14402736760053</v>
      </c>
      <c r="AB23" s="333">
        <f>-AB2</f>
        <v>-59.691708987970003</v>
      </c>
      <c r="AC23" s="328">
        <f>-AC2</f>
        <v>-743.01992281532614</v>
      </c>
      <c r="AD23" s="328"/>
      <c r="AE23" s="336"/>
      <c r="AF23" s="336"/>
      <c r="AG23" s="336"/>
      <c r="AH23" s="327">
        <v>-1.4323955643044282</v>
      </c>
      <c r="AI23" s="329"/>
      <c r="AJ23" s="334"/>
      <c r="AK23" s="330">
        <f>-(C23+H23+L23+Z23+AA23)</f>
        <v>804.14402736760053</v>
      </c>
      <c r="AL23" s="332"/>
      <c r="AM23" s="359">
        <f>C23+H23+L23+Z23+AA23+AJ23+AK23+AL23</f>
        <v>0</v>
      </c>
      <c r="AN23" s="7"/>
      <c r="AO23" s="19"/>
    </row>
    <row r="24" spans="1:41" s="20" customFormat="1" ht="12.75" customHeight="1">
      <c r="A24" s="22" t="s">
        <v>229</v>
      </c>
      <c r="B24" s="348"/>
      <c r="C24" s="378"/>
      <c r="D24" s="379"/>
      <c r="E24" s="351"/>
      <c r="F24" s="380"/>
      <c r="G24" s="380"/>
      <c r="H24" s="353"/>
      <c r="I24" s="381"/>
      <c r="J24" s="382"/>
      <c r="K24" s="383"/>
      <c r="L24" s="353"/>
      <c r="M24" s="383"/>
      <c r="N24" s="383"/>
      <c r="O24" s="383"/>
      <c r="P24" s="383"/>
      <c r="Q24" s="383"/>
      <c r="R24" s="383"/>
      <c r="S24" s="383"/>
      <c r="T24" s="383"/>
      <c r="U24" s="383"/>
      <c r="V24" s="380"/>
      <c r="W24" s="380"/>
      <c r="X24" s="380"/>
      <c r="Y24" s="383"/>
      <c r="Z24" s="353"/>
      <c r="AA24" s="355"/>
      <c r="AB24" s="384"/>
      <c r="AC24" s="383"/>
      <c r="AD24" s="383"/>
      <c r="AE24" s="383"/>
      <c r="AF24" s="383"/>
      <c r="AG24" s="383"/>
      <c r="AH24" s="385"/>
      <c r="AI24" s="380"/>
      <c r="AJ24" s="386"/>
      <c r="AK24" s="353"/>
      <c r="AL24" s="355"/>
      <c r="AM24" s="387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230</v>
      </c>
      <c r="B25" s="292"/>
      <c r="C25" s="388">
        <f>SUM(D25:G25)</f>
        <v>21.675620234332229</v>
      </c>
      <c r="D25" s="389">
        <v>-17.141361188350004</v>
      </c>
      <c r="E25" s="300">
        <f>-D25-U25</f>
        <v>38.816981422682233</v>
      </c>
      <c r="F25" s="294"/>
      <c r="G25" s="294"/>
      <c r="H25" s="295"/>
      <c r="I25" s="390"/>
      <c r="J25" s="391"/>
      <c r="K25" s="300"/>
      <c r="L25" s="295">
        <f>SUM(N25:Y25)</f>
        <v>-24.071643477187674</v>
      </c>
      <c r="M25" s="300"/>
      <c r="N25" s="300"/>
      <c r="O25" s="300">
        <v>0.11733854444431926</v>
      </c>
      <c r="P25" s="300">
        <v>374.46366644960005</v>
      </c>
      <c r="Q25" s="300">
        <v>-373.64776418279996</v>
      </c>
      <c r="R25" s="300">
        <v>0</v>
      </c>
      <c r="S25" s="300"/>
      <c r="T25" s="300">
        <v>-3.3292640540998377</v>
      </c>
      <c r="U25" s="294">
        <v>-21.675620234332225</v>
      </c>
      <c r="V25" s="294"/>
      <c r="W25" s="294"/>
      <c r="X25" s="294"/>
      <c r="Y25" s="300"/>
      <c r="Z25" s="295"/>
      <c r="AA25" s="295">
        <f>SUM(AB25:AI25)</f>
        <v>0</v>
      </c>
      <c r="AB25" s="299"/>
      <c r="AC25" s="300"/>
      <c r="AD25" s="300"/>
      <c r="AE25" s="300"/>
      <c r="AF25" s="300"/>
      <c r="AG25" s="300"/>
      <c r="AH25" s="296"/>
      <c r="AI25" s="294"/>
      <c r="AJ25" s="301"/>
      <c r="AK25" s="295"/>
      <c r="AL25" s="298"/>
      <c r="AM25" s="302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231</v>
      </c>
      <c r="B26" s="348"/>
      <c r="C26" s="349">
        <f>SUM(D26:G26)</f>
        <v>0</v>
      </c>
      <c r="D26" s="350"/>
      <c r="E26" s="351"/>
      <c r="F26" s="380"/>
      <c r="G26" s="380"/>
      <c r="H26" s="353">
        <f>SUM(I26:K26)</f>
        <v>11.368440725877685</v>
      </c>
      <c r="I26" s="380">
        <v>11.368440725877685</v>
      </c>
      <c r="J26" s="382"/>
      <c r="K26" s="383"/>
      <c r="L26" s="353">
        <f>SUM(N26:Y26)</f>
        <v>92.978980127232518</v>
      </c>
      <c r="M26" s="383"/>
      <c r="N26" s="383">
        <v>89.969014531910801</v>
      </c>
      <c r="O26" s="383"/>
      <c r="P26" s="383"/>
      <c r="Q26" s="383"/>
      <c r="R26" s="383">
        <v>0</v>
      </c>
      <c r="S26" s="383">
        <v>4.1693256233877908E-3</v>
      </c>
      <c r="T26" s="383">
        <v>3.0057962696983291</v>
      </c>
      <c r="U26" s="383"/>
      <c r="V26" s="380"/>
      <c r="W26" s="380"/>
      <c r="X26" s="380"/>
      <c r="Y26" s="383"/>
      <c r="Z26" s="353">
        <v>57.528599543766255</v>
      </c>
      <c r="AA26" s="355">
        <f>SUM(AB26:AG26)</f>
        <v>0</v>
      </c>
      <c r="AB26" s="356"/>
      <c r="AC26" s="383"/>
      <c r="AD26" s="383"/>
      <c r="AE26" s="383"/>
      <c r="AF26" s="383"/>
      <c r="AG26" s="383"/>
      <c r="AH26" s="385"/>
      <c r="AI26" s="380"/>
      <c r="AJ26" s="386"/>
      <c r="AK26" s="353">
        <v>259.46681438260083</v>
      </c>
      <c r="AL26" s="355"/>
      <c r="AM26" s="387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232</v>
      </c>
      <c r="B27" s="392"/>
      <c r="C27" s="393">
        <f t="shared" ref="C27:AL27" si="6">C7-C9+C15+C22-C26</f>
        <v>257.65437785433085</v>
      </c>
      <c r="D27" s="394">
        <f t="shared" si="6"/>
        <v>183.13519529469272</v>
      </c>
      <c r="E27" s="395">
        <f t="shared" si="6"/>
        <v>66.118821612900035</v>
      </c>
      <c r="F27" s="395">
        <f t="shared" si="6"/>
        <v>0</v>
      </c>
      <c r="G27" s="395">
        <f t="shared" si="6"/>
        <v>8.4003609467381786</v>
      </c>
      <c r="H27" s="396">
        <f t="shared" si="6"/>
        <v>199.31419506885075</v>
      </c>
      <c r="I27" s="394">
        <f t="shared" si="6"/>
        <v>0.37225106885080628</v>
      </c>
      <c r="J27" s="397">
        <f t="shared" si="6"/>
        <v>127.70399999999999</v>
      </c>
      <c r="K27" s="395">
        <f t="shared" si="6"/>
        <v>71.237943999999999</v>
      </c>
      <c r="L27" s="396">
        <f t="shared" si="6"/>
        <v>7302.736484101757</v>
      </c>
      <c r="M27" s="395">
        <f t="shared" si="6"/>
        <v>0</v>
      </c>
      <c r="N27" s="395">
        <f t="shared" si="6"/>
        <v>0</v>
      </c>
      <c r="O27" s="395">
        <f t="shared" si="6"/>
        <v>830.66219249999983</v>
      </c>
      <c r="P27" s="395">
        <f t="shared" si="6"/>
        <v>962.00436969728003</v>
      </c>
      <c r="Q27" s="395">
        <f t="shared" si="6"/>
        <v>1095.3569190907197</v>
      </c>
      <c r="R27" s="395">
        <f t="shared" si="6"/>
        <v>15.469962346277839</v>
      </c>
      <c r="S27" s="395">
        <f t="shared" si="6"/>
        <v>187.88084937540125</v>
      </c>
      <c r="T27" s="395">
        <f t="shared" si="6"/>
        <v>3833.6812396704358</v>
      </c>
      <c r="U27" s="395">
        <f t="shared" si="6"/>
        <v>145.4444052742318</v>
      </c>
      <c r="V27" s="395">
        <f t="shared" si="6"/>
        <v>-5.5141208563533439E-2</v>
      </c>
      <c r="W27" s="395">
        <f t="shared" si="6"/>
        <v>195.56026412750296</v>
      </c>
      <c r="X27" s="395">
        <f t="shared" si="6"/>
        <v>1.2218380210726456</v>
      </c>
      <c r="Y27" s="395">
        <f t="shared" si="6"/>
        <v>35.509585207400512</v>
      </c>
      <c r="Z27" s="396">
        <f t="shared" si="6"/>
        <v>1921.4292269183238</v>
      </c>
      <c r="AA27" s="398">
        <f t="shared" ref="AA27:AJ27" si="7">AA7-AA9+AA22-AA26</f>
        <v>453.90773416750153</v>
      </c>
      <c r="AB27" s="323">
        <f t="shared" si="7"/>
        <v>0</v>
      </c>
      <c r="AC27" s="306">
        <f t="shared" si="7"/>
        <v>0</v>
      </c>
      <c r="AD27" s="306">
        <f t="shared" si="7"/>
        <v>237.04871700223623</v>
      </c>
      <c r="AE27" s="306">
        <f t="shared" si="7"/>
        <v>0</v>
      </c>
      <c r="AF27" s="306">
        <f t="shared" si="7"/>
        <v>9.7770611234061491</v>
      </c>
      <c r="AG27" s="306">
        <f t="shared" si="7"/>
        <v>149.27283699801595</v>
      </c>
      <c r="AH27" s="309">
        <f t="shared" si="7"/>
        <v>13.54608560366562</v>
      </c>
      <c r="AI27" s="399">
        <f t="shared" si="7"/>
        <v>44.263033440177487</v>
      </c>
      <c r="AJ27" s="396">
        <f t="shared" si="7"/>
        <v>54.722939604974087</v>
      </c>
      <c r="AK27" s="396">
        <f t="shared" si="6"/>
        <v>2361.5839854490919</v>
      </c>
      <c r="AL27" s="398">
        <f t="shared" si="6"/>
        <v>0</v>
      </c>
      <c r="AM27" s="400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233</v>
      </c>
      <c r="B28" s="303"/>
      <c r="C28" s="567">
        <f t="shared" ref="C28:U28" si="8">C29</f>
        <v>0</v>
      </c>
      <c r="D28" s="568">
        <f t="shared" si="8"/>
        <v>0</v>
      </c>
      <c r="E28" s="569">
        <f t="shared" si="8"/>
        <v>0</v>
      </c>
      <c r="F28" s="570">
        <f t="shared" si="8"/>
        <v>0</v>
      </c>
      <c r="G28" s="570">
        <f t="shared" si="8"/>
        <v>0</v>
      </c>
      <c r="H28" s="571">
        <f t="shared" si="8"/>
        <v>0</v>
      </c>
      <c r="I28" s="568">
        <f t="shared" si="8"/>
        <v>0</v>
      </c>
      <c r="J28" s="572">
        <f t="shared" si="8"/>
        <v>0</v>
      </c>
      <c r="K28" s="569">
        <f t="shared" si="8"/>
        <v>0</v>
      </c>
      <c r="L28" s="571">
        <f t="shared" si="8"/>
        <v>232.29168735597611</v>
      </c>
      <c r="M28" s="569">
        <f t="shared" si="8"/>
        <v>0</v>
      </c>
      <c r="N28" s="569">
        <f t="shared" si="8"/>
        <v>0</v>
      </c>
      <c r="O28" s="569">
        <f t="shared" si="8"/>
        <v>0</v>
      </c>
      <c r="P28" s="569">
        <f t="shared" si="8"/>
        <v>0</v>
      </c>
      <c r="Q28" s="569">
        <f t="shared" si="8"/>
        <v>0</v>
      </c>
      <c r="R28" s="569">
        <f t="shared" si="8"/>
        <v>0</v>
      </c>
      <c r="S28" s="569">
        <f t="shared" si="8"/>
        <v>0</v>
      </c>
      <c r="T28" s="569">
        <f t="shared" si="8"/>
        <v>0</v>
      </c>
      <c r="U28" s="569">
        <f t="shared" si="8"/>
        <v>0</v>
      </c>
      <c r="V28" s="570"/>
      <c r="W28" s="570">
        <f t="shared" ref="W28:AM28" si="9">W29</f>
        <v>195.56026412750296</v>
      </c>
      <c r="X28" s="570">
        <f t="shared" si="9"/>
        <v>1.2218380210726456</v>
      </c>
      <c r="Y28" s="569">
        <f t="shared" si="9"/>
        <v>35.509585207400512</v>
      </c>
      <c r="Z28" s="571">
        <f t="shared" si="9"/>
        <v>0</v>
      </c>
      <c r="AA28" s="573">
        <f t="shared" si="9"/>
        <v>0</v>
      </c>
      <c r="AB28" s="574">
        <f t="shared" si="9"/>
        <v>0</v>
      </c>
      <c r="AC28" s="569">
        <f t="shared" si="9"/>
        <v>0</v>
      </c>
      <c r="AD28" s="569">
        <f t="shared" si="9"/>
        <v>0</v>
      </c>
      <c r="AE28" s="569">
        <f t="shared" si="9"/>
        <v>0</v>
      </c>
      <c r="AF28" s="569">
        <f t="shared" si="9"/>
        <v>0</v>
      </c>
      <c r="AG28" s="569">
        <f t="shared" si="9"/>
        <v>0</v>
      </c>
      <c r="AH28" s="568">
        <f t="shared" si="9"/>
        <v>0</v>
      </c>
      <c r="AI28" s="570">
        <f t="shared" si="9"/>
        <v>0</v>
      </c>
      <c r="AJ28" s="571">
        <f t="shared" si="9"/>
        <v>0</v>
      </c>
      <c r="AK28" s="571">
        <f t="shared" si="9"/>
        <v>0</v>
      </c>
      <c r="AL28" s="573">
        <f t="shared" si="9"/>
        <v>0</v>
      </c>
      <c r="AM28" s="575">
        <f t="shared" si="9"/>
        <v>232.29168735597611</v>
      </c>
      <c r="AN28" s="7"/>
      <c r="AO28" s="12"/>
    </row>
    <row r="29" spans="1:41" s="7" customFormat="1" ht="12.75" customHeight="1" thickBot="1">
      <c r="A29" s="24" t="s">
        <v>234</v>
      </c>
      <c r="B29" s="401"/>
      <c r="C29" s="576">
        <f>SUM(D29:G29)</f>
        <v>0</v>
      </c>
      <c r="D29" s="577"/>
      <c r="E29" s="578"/>
      <c r="F29" s="579"/>
      <c r="G29" s="579"/>
      <c r="H29" s="580">
        <f>SUM(I29:K29)</f>
        <v>0</v>
      </c>
      <c r="I29" s="577"/>
      <c r="J29" s="581"/>
      <c r="K29" s="578"/>
      <c r="L29" s="580">
        <f>SUM(M29:Y29)</f>
        <v>232.29168735597611</v>
      </c>
      <c r="M29" s="578"/>
      <c r="N29" s="578"/>
      <c r="O29" s="578"/>
      <c r="P29" s="578"/>
      <c r="Q29" s="578"/>
      <c r="R29" s="578"/>
      <c r="S29" s="578"/>
      <c r="T29" s="578"/>
      <c r="U29" s="578"/>
      <c r="V29" s="579"/>
      <c r="W29" s="579">
        <f>W27</f>
        <v>195.56026412750296</v>
      </c>
      <c r="X29" s="579">
        <f>X27</f>
        <v>1.2218380210726456</v>
      </c>
      <c r="Y29" s="578">
        <f>Y27</f>
        <v>35.509585207400512</v>
      </c>
      <c r="Z29" s="580">
        <v>0</v>
      </c>
      <c r="AA29" s="582">
        <f>SUM(AB29:AG29)</f>
        <v>0</v>
      </c>
      <c r="AB29" s="583"/>
      <c r="AC29" s="578"/>
      <c r="AD29" s="578"/>
      <c r="AE29" s="578"/>
      <c r="AF29" s="578"/>
      <c r="AG29" s="578"/>
      <c r="AH29" s="577"/>
      <c r="AI29" s="579"/>
      <c r="AJ29" s="580"/>
      <c r="AK29" s="580"/>
      <c r="AL29" s="582"/>
      <c r="AM29" s="584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235</v>
      </c>
      <c r="B30" s="303"/>
      <c r="C30" s="567">
        <f>C31+C45+C56+C57+C60+C61</f>
        <v>260.60987477319378</v>
      </c>
      <c r="D30" s="568">
        <f t="shared" ref="D30:AL30" si="11">D31+D45+D56+D57+D60+D61</f>
        <v>182.95234745162335</v>
      </c>
      <c r="E30" s="569">
        <f t="shared" si="11"/>
        <v>70.131951348544106</v>
      </c>
      <c r="F30" s="570">
        <f t="shared" si="11"/>
        <v>0</v>
      </c>
      <c r="G30" s="570">
        <f t="shared" si="11"/>
        <v>7.5255759730262914</v>
      </c>
      <c r="H30" s="571">
        <f t="shared" si="11"/>
        <v>197.36847005356</v>
      </c>
      <c r="I30" s="568">
        <f t="shared" si="11"/>
        <v>0.82966372355999995</v>
      </c>
      <c r="J30" s="585">
        <f t="shared" si="11"/>
        <v>127.70399999999999</v>
      </c>
      <c r="K30" s="568">
        <f t="shared" si="11"/>
        <v>68.834806329999992</v>
      </c>
      <c r="L30" s="571">
        <f t="shared" si="11"/>
        <v>7064.8482904861212</v>
      </c>
      <c r="M30" s="569">
        <f t="shared" si="11"/>
        <v>0</v>
      </c>
      <c r="N30" s="569">
        <f t="shared" si="11"/>
        <v>0</v>
      </c>
      <c r="O30" s="569">
        <f t="shared" si="11"/>
        <v>821.48002832197108</v>
      </c>
      <c r="P30" s="569">
        <f t="shared" si="11"/>
        <v>946.63395628256001</v>
      </c>
      <c r="Q30" s="569">
        <f t="shared" si="11"/>
        <v>1102.0673096951998</v>
      </c>
      <c r="R30" s="569">
        <f t="shared" si="11"/>
        <v>30.568237653241653</v>
      </c>
      <c r="S30" s="569">
        <f t="shared" si="11"/>
        <v>181.32381570558749</v>
      </c>
      <c r="T30" s="569">
        <f t="shared" si="11"/>
        <v>3838.1558666328428</v>
      </c>
      <c r="U30" s="569">
        <f t="shared" si="11"/>
        <v>144.61907619471961</v>
      </c>
      <c r="V30" s="570">
        <f t="shared" si="11"/>
        <v>0</v>
      </c>
      <c r="W30" s="570">
        <f t="shared" si="11"/>
        <v>0</v>
      </c>
      <c r="X30" s="570">
        <f t="shared" si="11"/>
        <v>0</v>
      </c>
      <c r="Y30" s="568">
        <f t="shared" si="11"/>
        <v>0</v>
      </c>
      <c r="Z30" s="586">
        <f t="shared" si="11"/>
        <v>1948.4940140158224</v>
      </c>
      <c r="AA30" s="573">
        <f t="shared" si="11"/>
        <v>463.87782848328834</v>
      </c>
      <c r="AB30" s="574">
        <f t="shared" si="11"/>
        <v>0</v>
      </c>
      <c r="AC30" s="569">
        <f t="shared" si="11"/>
        <v>0</v>
      </c>
      <c r="AD30" s="569">
        <f t="shared" si="11"/>
        <v>242.05204627234301</v>
      </c>
      <c r="AE30" s="569">
        <f t="shared" si="11"/>
        <v>0</v>
      </c>
      <c r="AF30" s="569">
        <f t="shared" si="11"/>
        <v>9.7770611234061491</v>
      </c>
      <c r="AG30" s="569">
        <f t="shared" si="11"/>
        <v>154.23960204369604</v>
      </c>
      <c r="AH30" s="573">
        <f t="shared" si="11"/>
        <v>13.546085603665619</v>
      </c>
      <c r="AI30" s="573">
        <f t="shared" si="11"/>
        <v>44.263033440177495</v>
      </c>
      <c r="AJ30" s="573">
        <f t="shared" si="11"/>
        <v>54.722939604974094</v>
      </c>
      <c r="AK30" s="571">
        <f t="shared" si="11"/>
        <v>2334.3258387002484</v>
      </c>
      <c r="AL30" s="573">
        <f t="shared" si="11"/>
        <v>0</v>
      </c>
      <c r="AM30" s="587">
        <f t="shared" si="10"/>
        <v>12324.247256117205</v>
      </c>
      <c r="AN30" s="7"/>
      <c r="AO30" s="12"/>
    </row>
    <row r="31" spans="1:41" s="26" customFormat="1" ht="12.75" customHeight="1">
      <c r="A31" s="421" t="s">
        <v>236</v>
      </c>
      <c r="B31" s="402"/>
      <c r="C31" s="588">
        <f>SUM(C32:C44)</f>
        <v>105.42454930000001</v>
      </c>
      <c r="D31" s="589">
        <v>105.4245493</v>
      </c>
      <c r="E31" s="589">
        <v>0</v>
      </c>
      <c r="F31" s="590"/>
      <c r="G31" s="590"/>
      <c r="H31" s="591">
        <f t="shared" ref="H31:N31" si="12">SUM(H32:H44)</f>
        <v>0.82966372355999995</v>
      </c>
      <c r="I31" s="592">
        <f t="shared" si="12"/>
        <v>0.82966372355999995</v>
      </c>
      <c r="J31" s="593">
        <f t="shared" si="12"/>
        <v>0</v>
      </c>
      <c r="K31" s="589">
        <f t="shared" si="12"/>
        <v>0</v>
      </c>
      <c r="L31" s="591">
        <f t="shared" si="12"/>
        <v>515.57312076608696</v>
      </c>
      <c r="M31" s="589">
        <f t="shared" si="12"/>
        <v>0</v>
      </c>
      <c r="N31" s="589">
        <f t="shared" si="12"/>
        <v>0</v>
      </c>
      <c r="O31" s="589">
        <v>0</v>
      </c>
      <c r="P31" s="589">
        <v>94.663395628256012</v>
      </c>
      <c r="Q31" s="589">
        <f>SUM(Q32:Q44)</f>
        <v>0</v>
      </c>
      <c r="R31" s="589">
        <v>29.321232722679056</v>
      </c>
      <c r="S31" s="589">
        <v>126.43007128347482</v>
      </c>
      <c r="T31" s="589">
        <v>124.05002195842548</v>
      </c>
      <c r="U31" s="589">
        <v>141.10839917325163</v>
      </c>
      <c r="V31" s="590">
        <f>SUM(V32:V44)</f>
        <v>0</v>
      </c>
      <c r="W31" s="590">
        <f>SUM(W32:W44)</f>
        <v>0</v>
      </c>
      <c r="X31" s="590">
        <f>SUM(X32:X44)</f>
        <v>0</v>
      </c>
      <c r="Y31" s="589">
        <f>SUM(Y32:Y44)</f>
        <v>0</v>
      </c>
      <c r="Z31" s="591">
        <v>789.72423233353879</v>
      </c>
      <c r="AA31" s="594">
        <f>SUM(AA32:AA44)</f>
        <v>198.35341364492615</v>
      </c>
      <c r="AB31" s="595">
        <f>SUM(AB32:AB44)</f>
        <v>0</v>
      </c>
      <c r="AC31" s="589">
        <f>SUM(AC32:AC44)</f>
        <v>0</v>
      </c>
      <c r="AD31" s="589">
        <f>SUM(AD32:AD44)</f>
        <v>196.11790789019597</v>
      </c>
      <c r="AE31" s="589"/>
      <c r="AF31" s="589">
        <f>SUM(AF32:AF44)</f>
        <v>2.2355057547301662</v>
      </c>
      <c r="AG31" s="589">
        <f>SUM(AG32:AG44)</f>
        <v>0</v>
      </c>
      <c r="AH31" s="594">
        <f>SUM(AH32:AH44)</f>
        <v>0</v>
      </c>
      <c r="AI31" s="589">
        <f>SUM(AI32:AI44)</f>
        <v>0</v>
      </c>
      <c r="AJ31" s="591">
        <f>SUM(AJ32:AJ44)</f>
        <v>54.722939604974094</v>
      </c>
      <c r="AK31" s="591">
        <v>936.44298977497101</v>
      </c>
      <c r="AL31" s="594">
        <f>SUM(AL32:AL44)</f>
        <v>0</v>
      </c>
      <c r="AM31" s="596">
        <f t="shared" si="10"/>
        <v>2601.0709091480567</v>
      </c>
      <c r="AN31" s="7"/>
      <c r="AO31" s="25"/>
    </row>
    <row r="32" spans="1:41" ht="12.75" customHeight="1">
      <c r="A32" s="27" t="s">
        <v>237</v>
      </c>
      <c r="B32" s="28" t="s">
        <v>238</v>
      </c>
      <c r="C32" s="597">
        <f t="shared" ref="C32:C44" si="13">SUM(D32:G32)</f>
        <v>0</v>
      </c>
      <c r="D32" s="598">
        <v>0</v>
      </c>
      <c r="E32" s="598"/>
      <c r="F32" s="599"/>
      <c r="G32" s="599"/>
      <c r="H32" s="600">
        <f t="shared" ref="H32:H44" si="14">SUM(I32:K32)</f>
        <v>0</v>
      </c>
      <c r="I32" s="601"/>
      <c r="J32" s="602"/>
      <c r="K32" s="598"/>
      <c r="L32" s="603">
        <f t="shared" ref="L32:L44" si="15">SUM(M32:Y32)</f>
        <v>33.639134861596197</v>
      </c>
      <c r="M32" s="598"/>
      <c r="N32" s="598"/>
      <c r="O32" s="598"/>
      <c r="P32" s="598">
        <v>2.9872785510101791</v>
      </c>
      <c r="Q32" s="598"/>
      <c r="R32" s="598">
        <v>0.89247079050168787</v>
      </c>
      <c r="S32" s="598">
        <v>0.21512334429923258</v>
      </c>
      <c r="T32" s="598">
        <v>29.544262175785097</v>
      </c>
      <c r="U32" s="598">
        <v>0</v>
      </c>
      <c r="V32" s="599"/>
      <c r="W32" s="599"/>
      <c r="X32" s="599"/>
      <c r="Y32" s="598"/>
      <c r="Z32" s="604">
        <v>12.651334090576015</v>
      </c>
      <c r="AA32" s="605">
        <f t="shared" ref="AA32:AA44" si="16">SUM(AB32:AI32)</f>
        <v>0</v>
      </c>
      <c r="AB32" s="606"/>
      <c r="AC32" s="598"/>
      <c r="AD32" s="598"/>
      <c r="AE32" s="598"/>
      <c r="AF32" s="598"/>
      <c r="AG32" s="598"/>
      <c r="AH32" s="607"/>
      <c r="AI32" s="598"/>
      <c r="AJ32" s="608"/>
      <c r="AK32" s="604">
        <v>67.453701320160064</v>
      </c>
      <c r="AL32" s="605"/>
      <c r="AM32" s="609">
        <f t="shared" si="10"/>
        <v>113.74417027233227</v>
      </c>
    </row>
    <row r="33" spans="1:41" ht="12.75" customHeight="1">
      <c r="A33" s="30" t="s">
        <v>239</v>
      </c>
      <c r="B33" s="31" t="s">
        <v>240</v>
      </c>
      <c r="C33" s="610">
        <f t="shared" si="13"/>
        <v>18.505496800000003</v>
      </c>
      <c r="D33" s="598">
        <v>18.505496800000003</v>
      </c>
      <c r="E33" s="611"/>
      <c r="F33" s="612"/>
      <c r="G33" s="612"/>
      <c r="H33" s="613">
        <f t="shared" si="14"/>
        <v>0.82966372355999995</v>
      </c>
      <c r="I33" s="614">
        <v>0.82966372355999995</v>
      </c>
      <c r="J33" s="615"/>
      <c r="K33" s="611"/>
      <c r="L33" s="616">
        <f t="shared" si="15"/>
        <v>136.37317803157953</v>
      </c>
      <c r="M33" s="611"/>
      <c r="N33" s="611"/>
      <c r="O33" s="598"/>
      <c r="P33" s="598">
        <v>55.612421136590243</v>
      </c>
      <c r="Q33" s="611"/>
      <c r="R33" s="598">
        <v>16.614607779613237</v>
      </c>
      <c r="S33" s="598">
        <v>36.050508826919781</v>
      </c>
      <c r="T33" s="598">
        <v>28.095640288456277</v>
      </c>
      <c r="U33" s="598">
        <v>0</v>
      </c>
      <c r="V33" s="612"/>
      <c r="W33" s="612"/>
      <c r="X33" s="612"/>
      <c r="Y33" s="611"/>
      <c r="Z33" s="617">
        <v>111.23553213326231</v>
      </c>
      <c r="AA33" s="618">
        <f t="shared" si="16"/>
        <v>26.063524749810167</v>
      </c>
      <c r="AB33" s="619"/>
      <c r="AC33" s="611"/>
      <c r="AD33" s="611">
        <v>23.828018995080001</v>
      </c>
      <c r="AE33" s="598"/>
      <c r="AF33" s="598">
        <v>2.2355057547301662</v>
      </c>
      <c r="AG33" s="598"/>
      <c r="AH33" s="620"/>
      <c r="AI33" s="611"/>
      <c r="AJ33" s="621"/>
      <c r="AK33" s="617">
        <v>200.52429981097404</v>
      </c>
      <c r="AL33" s="618"/>
      <c r="AM33" s="622">
        <f t="shared" si="10"/>
        <v>493.53169524918599</v>
      </c>
    </row>
    <row r="34" spans="1:41" ht="12.75" customHeight="1">
      <c r="A34" s="32" t="s">
        <v>241</v>
      </c>
      <c r="B34" s="33" t="s">
        <v>242</v>
      </c>
      <c r="C34" s="610">
        <f t="shared" si="13"/>
        <v>0</v>
      </c>
      <c r="D34" s="598">
        <v>0</v>
      </c>
      <c r="E34" s="611"/>
      <c r="F34" s="612"/>
      <c r="G34" s="612"/>
      <c r="H34" s="613">
        <f t="shared" si="14"/>
        <v>0</v>
      </c>
      <c r="I34" s="614"/>
      <c r="J34" s="615"/>
      <c r="K34" s="611"/>
      <c r="L34" s="616">
        <f t="shared" si="15"/>
        <v>2.5106544550385581</v>
      </c>
      <c r="M34" s="611"/>
      <c r="N34" s="611"/>
      <c r="O34" s="598"/>
      <c r="P34" s="598">
        <v>1.2308100467681424</v>
      </c>
      <c r="Q34" s="611"/>
      <c r="R34" s="598">
        <v>0.36771328707365675</v>
      </c>
      <c r="S34" s="598">
        <v>5.551570175464067E-2</v>
      </c>
      <c r="T34" s="598">
        <v>0.85661541944211816</v>
      </c>
      <c r="U34" s="598">
        <v>0</v>
      </c>
      <c r="V34" s="612"/>
      <c r="W34" s="612"/>
      <c r="X34" s="612"/>
      <c r="Y34" s="611"/>
      <c r="Z34" s="617">
        <v>1.212219083963938</v>
      </c>
      <c r="AA34" s="618">
        <f t="shared" si="16"/>
        <v>0</v>
      </c>
      <c r="AB34" s="619"/>
      <c r="AC34" s="611"/>
      <c r="AD34" s="611"/>
      <c r="AE34" s="598"/>
      <c r="AF34" s="598"/>
      <c r="AG34" s="598"/>
      <c r="AH34" s="620"/>
      <c r="AI34" s="611"/>
      <c r="AJ34" s="621"/>
      <c r="AK34" s="617">
        <v>12.00063987648436</v>
      </c>
      <c r="AL34" s="618"/>
      <c r="AM34" s="622">
        <f t="shared" si="10"/>
        <v>15.723513415486856</v>
      </c>
    </row>
    <row r="35" spans="1:41" ht="12.75" customHeight="1">
      <c r="A35" s="32" t="s">
        <v>243</v>
      </c>
      <c r="B35" s="33" t="s">
        <v>244</v>
      </c>
      <c r="C35" s="610">
        <f t="shared" si="13"/>
        <v>0</v>
      </c>
      <c r="D35" s="598">
        <v>0</v>
      </c>
      <c r="E35" s="611"/>
      <c r="F35" s="612"/>
      <c r="G35" s="612"/>
      <c r="H35" s="613">
        <f t="shared" si="14"/>
        <v>0</v>
      </c>
      <c r="I35" s="614"/>
      <c r="J35" s="615"/>
      <c r="K35" s="611"/>
      <c r="L35" s="616">
        <f t="shared" si="15"/>
        <v>2.6786305315985559</v>
      </c>
      <c r="M35" s="611"/>
      <c r="N35" s="611"/>
      <c r="O35" s="598"/>
      <c r="P35" s="598">
        <v>0.43430927431532101</v>
      </c>
      <c r="Q35" s="611"/>
      <c r="R35" s="598">
        <v>0.12975299582937627</v>
      </c>
      <c r="S35" s="598">
        <v>0.29145743421186349</v>
      </c>
      <c r="T35" s="598">
        <v>1.8231108272419951</v>
      </c>
      <c r="U35" s="598">
        <v>0</v>
      </c>
      <c r="V35" s="612"/>
      <c r="W35" s="612"/>
      <c r="X35" s="612"/>
      <c r="Y35" s="611"/>
      <c r="Z35" s="617">
        <v>2.1627527783737563</v>
      </c>
      <c r="AA35" s="618">
        <f t="shared" si="16"/>
        <v>129.37121058215999</v>
      </c>
      <c r="AB35" s="619"/>
      <c r="AC35" s="611"/>
      <c r="AD35" s="611">
        <v>129.37121058215999</v>
      </c>
      <c r="AE35" s="598"/>
      <c r="AF35" s="598"/>
      <c r="AG35" s="598"/>
      <c r="AH35" s="620"/>
      <c r="AI35" s="611"/>
      <c r="AJ35" s="621"/>
      <c r="AK35" s="617">
        <v>40.337112401767612</v>
      </c>
      <c r="AL35" s="618"/>
      <c r="AM35" s="622">
        <f t="shared" si="10"/>
        <v>174.54970629389993</v>
      </c>
    </row>
    <row r="36" spans="1:41" ht="12.75" customHeight="1">
      <c r="A36" s="32" t="s">
        <v>245</v>
      </c>
      <c r="B36" s="33" t="s">
        <v>246</v>
      </c>
      <c r="C36" s="610">
        <f t="shared" si="13"/>
        <v>0</v>
      </c>
      <c r="D36" s="598">
        <v>0</v>
      </c>
      <c r="E36" s="611"/>
      <c r="F36" s="612"/>
      <c r="G36" s="612"/>
      <c r="H36" s="613">
        <f t="shared" si="14"/>
        <v>0</v>
      </c>
      <c r="I36" s="614"/>
      <c r="J36" s="615"/>
      <c r="K36" s="611"/>
      <c r="L36" s="616">
        <f t="shared" si="15"/>
        <v>2.916718912628498</v>
      </c>
      <c r="M36" s="611"/>
      <c r="N36" s="611"/>
      <c r="O36" s="598"/>
      <c r="P36" s="598">
        <v>1.0064436319926997</v>
      </c>
      <c r="Q36" s="611"/>
      <c r="R36" s="598">
        <v>0.30068221911752141</v>
      </c>
      <c r="S36" s="598">
        <v>0.27757850877320334</v>
      </c>
      <c r="T36" s="598">
        <v>1.3320145527450737</v>
      </c>
      <c r="U36" s="598">
        <v>0</v>
      </c>
      <c r="V36" s="612"/>
      <c r="W36" s="612"/>
      <c r="X36" s="612"/>
      <c r="Y36" s="611"/>
      <c r="Z36" s="617">
        <v>3.5770083763316833</v>
      </c>
      <c r="AA36" s="618">
        <f t="shared" si="16"/>
        <v>0</v>
      </c>
      <c r="AB36" s="619"/>
      <c r="AC36" s="611"/>
      <c r="AD36" s="611"/>
      <c r="AE36" s="598"/>
      <c r="AF36" s="598"/>
      <c r="AG36" s="598"/>
      <c r="AH36" s="620"/>
      <c r="AI36" s="611"/>
      <c r="AJ36" s="621"/>
      <c r="AK36" s="617">
        <v>22.015130585227705</v>
      </c>
      <c r="AL36" s="618"/>
      <c r="AM36" s="622">
        <f t="shared" si="10"/>
        <v>28.508857874187889</v>
      </c>
    </row>
    <row r="37" spans="1:41" ht="12.75" customHeight="1">
      <c r="A37" s="32" t="s">
        <v>247</v>
      </c>
      <c r="B37" s="33" t="s">
        <v>248</v>
      </c>
      <c r="C37" s="610">
        <f t="shared" si="13"/>
        <v>0</v>
      </c>
      <c r="D37" s="598">
        <v>0</v>
      </c>
      <c r="E37" s="611"/>
      <c r="F37" s="612"/>
      <c r="G37" s="612"/>
      <c r="H37" s="613">
        <f t="shared" si="14"/>
        <v>0</v>
      </c>
      <c r="I37" s="614"/>
      <c r="J37" s="615"/>
      <c r="K37" s="611"/>
      <c r="L37" s="616">
        <f t="shared" si="15"/>
        <v>28.334981145867548</v>
      </c>
      <c r="M37" s="611"/>
      <c r="N37" s="611"/>
      <c r="O37" s="598"/>
      <c r="P37" s="598">
        <v>13.229605385509133</v>
      </c>
      <c r="Q37" s="611"/>
      <c r="R37" s="598">
        <v>3.9524390426992668</v>
      </c>
      <c r="S37" s="598">
        <v>3.2684869408044692</v>
      </c>
      <c r="T37" s="598">
        <v>7.8844497768546802</v>
      </c>
      <c r="U37" s="598">
        <v>0</v>
      </c>
      <c r="V37" s="612"/>
      <c r="W37" s="612"/>
      <c r="X37" s="612"/>
      <c r="Y37" s="611"/>
      <c r="Z37" s="623">
        <v>68.682793971575805</v>
      </c>
      <c r="AA37" s="618">
        <f t="shared" si="16"/>
        <v>0</v>
      </c>
      <c r="AB37" s="619"/>
      <c r="AC37" s="611"/>
      <c r="AD37" s="611">
        <v>0</v>
      </c>
      <c r="AE37" s="598"/>
      <c r="AF37" s="598"/>
      <c r="AG37" s="598"/>
      <c r="AH37" s="624"/>
      <c r="AI37" s="611"/>
      <c r="AJ37" s="625"/>
      <c r="AK37" s="623">
        <v>170.86047109558422</v>
      </c>
      <c r="AL37" s="618"/>
      <c r="AM37" s="622">
        <f t="shared" si="10"/>
        <v>267.87824621302758</v>
      </c>
    </row>
    <row r="38" spans="1:41" ht="12.75" customHeight="1">
      <c r="A38" s="32" t="s">
        <v>249</v>
      </c>
      <c r="B38" s="33" t="s">
        <v>250</v>
      </c>
      <c r="C38" s="610">
        <f t="shared" si="13"/>
        <v>0</v>
      </c>
      <c r="D38" s="598">
        <v>0</v>
      </c>
      <c r="E38" s="611"/>
      <c r="F38" s="612"/>
      <c r="G38" s="612"/>
      <c r="H38" s="613">
        <f t="shared" si="14"/>
        <v>0</v>
      </c>
      <c r="I38" s="614"/>
      <c r="J38" s="615"/>
      <c r="K38" s="611"/>
      <c r="L38" s="616">
        <f t="shared" si="15"/>
        <v>10.093508126388487</v>
      </c>
      <c r="M38" s="611"/>
      <c r="N38" s="611"/>
      <c r="O38" s="598"/>
      <c r="P38" s="598">
        <v>8.4938714164988993E-2</v>
      </c>
      <c r="Q38" s="611"/>
      <c r="R38" s="598">
        <v>2.5376047154822671E-2</v>
      </c>
      <c r="S38" s="598">
        <v>6.5230949561702776</v>
      </c>
      <c r="T38" s="598">
        <v>3.4600984088983981</v>
      </c>
      <c r="U38" s="598">
        <v>0</v>
      </c>
      <c r="V38" s="612"/>
      <c r="W38" s="612"/>
      <c r="X38" s="612"/>
      <c r="Y38" s="611"/>
      <c r="Z38" s="617">
        <v>4.7507443147729562</v>
      </c>
      <c r="AA38" s="618">
        <f t="shared" si="16"/>
        <v>0</v>
      </c>
      <c r="AB38" s="619"/>
      <c r="AC38" s="611"/>
      <c r="AD38" s="611"/>
      <c r="AE38" s="598"/>
      <c r="AF38" s="598"/>
      <c r="AG38" s="598"/>
      <c r="AH38" s="620"/>
      <c r="AI38" s="611"/>
      <c r="AJ38" s="621"/>
      <c r="AK38" s="617">
        <v>41.311344389879515</v>
      </c>
      <c r="AL38" s="618"/>
      <c r="AM38" s="622">
        <f t="shared" si="10"/>
        <v>56.15559683104096</v>
      </c>
    </row>
    <row r="39" spans="1:41" ht="12.75" customHeight="1">
      <c r="A39" s="32" t="s">
        <v>251</v>
      </c>
      <c r="B39" s="33" t="s">
        <v>252</v>
      </c>
      <c r="C39" s="610">
        <f t="shared" si="13"/>
        <v>86.919052500000006</v>
      </c>
      <c r="D39" s="614">
        <v>86.919052500000006</v>
      </c>
      <c r="E39" s="611"/>
      <c r="F39" s="612"/>
      <c r="G39" s="612"/>
      <c r="H39" s="613">
        <f t="shared" si="14"/>
        <v>0</v>
      </c>
      <c r="I39" s="614"/>
      <c r="J39" s="615"/>
      <c r="K39" s="611"/>
      <c r="L39" s="616">
        <f t="shared" si="15"/>
        <v>193.30293553297051</v>
      </c>
      <c r="M39" s="611"/>
      <c r="N39" s="611"/>
      <c r="O39" s="598"/>
      <c r="P39" s="614">
        <v>8.9570278012853475</v>
      </c>
      <c r="Q39" s="611"/>
      <c r="R39" s="614">
        <v>2.6759759914774315</v>
      </c>
      <c r="S39" s="614">
        <v>1.4711660964979776</v>
      </c>
      <c r="T39" s="614">
        <v>39.090366470458122</v>
      </c>
      <c r="U39" s="614">
        <v>141.10839917325163</v>
      </c>
      <c r="V39" s="612"/>
      <c r="W39" s="612"/>
      <c r="X39" s="612"/>
      <c r="Y39" s="611"/>
      <c r="Z39" s="617">
        <v>17.906207611695887</v>
      </c>
      <c r="AA39" s="618">
        <f t="shared" si="16"/>
        <v>42.918678312955997</v>
      </c>
      <c r="AB39" s="619"/>
      <c r="AC39" s="611"/>
      <c r="AD39" s="611">
        <v>42.918678312955997</v>
      </c>
      <c r="AE39" s="598"/>
      <c r="AF39" s="598"/>
      <c r="AG39" s="598"/>
      <c r="AH39" s="620"/>
      <c r="AI39" s="611"/>
      <c r="AJ39" s="621">
        <v>54.722939604974094</v>
      </c>
      <c r="AK39" s="617">
        <v>59.821752164005545</v>
      </c>
      <c r="AL39" s="618"/>
      <c r="AM39" s="622">
        <f t="shared" si="10"/>
        <v>455.59156572660203</v>
      </c>
    </row>
    <row r="40" spans="1:41" ht="12.75" customHeight="1">
      <c r="A40" s="32" t="s">
        <v>253</v>
      </c>
      <c r="B40" s="33" t="s">
        <v>254</v>
      </c>
      <c r="C40" s="610">
        <f t="shared" si="13"/>
        <v>0</v>
      </c>
      <c r="D40" s="598">
        <v>0</v>
      </c>
      <c r="E40" s="611"/>
      <c r="F40" s="612"/>
      <c r="G40" s="612"/>
      <c r="H40" s="613">
        <f t="shared" si="14"/>
        <v>0</v>
      </c>
      <c r="I40" s="614"/>
      <c r="J40" s="615"/>
      <c r="K40" s="611"/>
      <c r="L40" s="616">
        <f t="shared" si="15"/>
        <v>9.5454998465741827</v>
      </c>
      <c r="M40" s="611"/>
      <c r="N40" s="611"/>
      <c r="O40" s="598"/>
      <c r="P40" s="598">
        <v>0</v>
      </c>
      <c r="Q40" s="611"/>
      <c r="R40" s="598">
        <v>1.0398675653004681</v>
      </c>
      <c r="S40" s="598">
        <v>6.0165141776591833</v>
      </c>
      <c r="T40" s="598">
        <v>2.4891181036145316</v>
      </c>
      <c r="U40" s="598">
        <v>0</v>
      </c>
      <c r="V40" s="612"/>
      <c r="W40" s="612"/>
      <c r="X40" s="612"/>
      <c r="Y40" s="611"/>
      <c r="Z40" s="617">
        <v>422.29485551224087</v>
      </c>
      <c r="AA40" s="618">
        <f t="shared" si="16"/>
        <v>0</v>
      </c>
      <c r="AB40" s="619"/>
      <c r="AC40" s="611"/>
      <c r="AD40" s="611"/>
      <c r="AE40" s="598"/>
      <c r="AF40" s="598"/>
      <c r="AG40" s="598"/>
      <c r="AH40" s="620"/>
      <c r="AI40" s="611"/>
      <c r="AJ40" s="621"/>
      <c r="AK40" s="617">
        <v>70.840659833219206</v>
      </c>
      <c r="AL40" s="618"/>
      <c r="AM40" s="622">
        <f t="shared" si="10"/>
        <v>502.68101519203424</v>
      </c>
    </row>
    <row r="41" spans="1:41" ht="12.75" customHeight="1">
      <c r="A41" s="32" t="s">
        <v>255</v>
      </c>
      <c r="B41" s="33" t="s">
        <v>256</v>
      </c>
      <c r="C41" s="610">
        <f t="shared" si="13"/>
        <v>0</v>
      </c>
      <c r="D41" s="598">
        <v>0</v>
      </c>
      <c r="E41" s="611"/>
      <c r="F41" s="612"/>
      <c r="G41" s="612"/>
      <c r="H41" s="613">
        <f t="shared" si="14"/>
        <v>0</v>
      </c>
      <c r="I41" s="614"/>
      <c r="J41" s="615"/>
      <c r="K41" s="611"/>
      <c r="L41" s="616">
        <f t="shared" si="15"/>
        <v>5.708883992955986</v>
      </c>
      <c r="M41" s="611"/>
      <c r="N41" s="611"/>
      <c r="O41" s="598"/>
      <c r="P41" s="598">
        <v>0.46315638478644938</v>
      </c>
      <c r="Q41" s="611"/>
      <c r="R41" s="598">
        <v>0.13837127599516511</v>
      </c>
      <c r="S41" s="598">
        <v>2.46350926536218</v>
      </c>
      <c r="T41" s="598">
        <v>2.6438470668121914</v>
      </c>
      <c r="U41" s="598">
        <v>0</v>
      </c>
      <c r="V41" s="612"/>
      <c r="W41" s="612"/>
      <c r="X41" s="612"/>
      <c r="Y41" s="611"/>
      <c r="Z41" s="617">
        <v>5.8051825020939676</v>
      </c>
      <c r="AA41" s="618">
        <f t="shared" si="16"/>
        <v>0</v>
      </c>
      <c r="AB41" s="619"/>
      <c r="AC41" s="611"/>
      <c r="AD41" s="611"/>
      <c r="AE41" s="598"/>
      <c r="AF41" s="598"/>
      <c r="AG41" s="598"/>
      <c r="AH41" s="620"/>
      <c r="AI41" s="611"/>
      <c r="AJ41" s="621"/>
      <c r="AK41" s="617">
        <v>23.96638605711944</v>
      </c>
      <c r="AL41" s="618"/>
      <c r="AM41" s="622">
        <f t="shared" si="10"/>
        <v>35.480452552169396</v>
      </c>
    </row>
    <row r="42" spans="1:41" ht="12.75" customHeight="1">
      <c r="A42" s="32" t="s">
        <v>257</v>
      </c>
      <c r="B42" s="33" t="s">
        <v>258</v>
      </c>
      <c r="C42" s="610">
        <f t="shared" si="13"/>
        <v>0</v>
      </c>
      <c r="D42" s="598">
        <v>0</v>
      </c>
      <c r="E42" s="611"/>
      <c r="F42" s="612"/>
      <c r="G42" s="612"/>
      <c r="H42" s="613">
        <f t="shared" si="14"/>
        <v>0</v>
      </c>
      <c r="I42" s="614"/>
      <c r="J42" s="615"/>
      <c r="K42" s="611"/>
      <c r="L42" s="616">
        <f t="shared" si="15"/>
        <v>45.56990540482289</v>
      </c>
      <c r="M42" s="611"/>
      <c r="N42" s="611"/>
      <c r="O42" s="598"/>
      <c r="P42" s="598">
        <v>0.38302552236664844</v>
      </c>
      <c r="Q42" s="611"/>
      <c r="R42" s="598">
        <v>0.11443160886797392</v>
      </c>
      <c r="S42" s="598">
        <v>43.552068026515606</v>
      </c>
      <c r="T42" s="598">
        <v>1.5203802470726597</v>
      </c>
      <c r="U42" s="598">
        <v>0</v>
      </c>
      <c r="V42" s="612"/>
      <c r="W42" s="612"/>
      <c r="X42" s="612"/>
      <c r="Y42" s="611"/>
      <c r="Z42" s="623">
        <v>130.62718916213302</v>
      </c>
      <c r="AA42" s="618">
        <f t="shared" si="16"/>
        <v>0</v>
      </c>
      <c r="AB42" s="619"/>
      <c r="AC42" s="611"/>
      <c r="AD42" s="611"/>
      <c r="AE42" s="598"/>
      <c r="AF42" s="598"/>
      <c r="AG42" s="598"/>
      <c r="AH42" s="624"/>
      <c r="AI42" s="611"/>
      <c r="AJ42" s="625"/>
      <c r="AK42" s="623">
        <v>116.1150538037319</v>
      </c>
      <c r="AL42" s="618"/>
      <c r="AM42" s="622">
        <f t="shared" si="10"/>
        <v>292.31214837068779</v>
      </c>
    </row>
    <row r="43" spans="1:41" ht="12.75" customHeight="1">
      <c r="A43" s="32" t="s">
        <v>259</v>
      </c>
      <c r="B43" s="33" t="s">
        <v>260</v>
      </c>
      <c r="C43" s="610">
        <f t="shared" si="13"/>
        <v>0</v>
      </c>
      <c r="D43" s="598">
        <v>0</v>
      </c>
      <c r="E43" s="611"/>
      <c r="F43" s="612"/>
      <c r="G43" s="612"/>
      <c r="H43" s="613">
        <f t="shared" si="14"/>
        <v>0</v>
      </c>
      <c r="I43" s="614"/>
      <c r="J43" s="615"/>
      <c r="K43" s="611"/>
      <c r="L43" s="616">
        <f t="shared" si="15"/>
        <v>5.0143612384070462</v>
      </c>
      <c r="M43" s="611"/>
      <c r="N43" s="611"/>
      <c r="O43" s="598"/>
      <c r="P43" s="598">
        <v>0.2996894254500555</v>
      </c>
      <c r="Q43" s="611"/>
      <c r="R43" s="598">
        <v>8.9534355055695083E-2</v>
      </c>
      <c r="S43" s="598">
        <v>3.9277358991408273</v>
      </c>
      <c r="T43" s="598">
        <v>0.69740155876046783</v>
      </c>
      <c r="U43" s="598">
        <v>0</v>
      </c>
      <c r="V43" s="612"/>
      <c r="W43" s="612"/>
      <c r="X43" s="612"/>
      <c r="Y43" s="611"/>
      <c r="Z43" s="626">
        <v>1.9741853653126986</v>
      </c>
      <c r="AA43" s="618">
        <f t="shared" si="16"/>
        <v>0</v>
      </c>
      <c r="AB43" s="619"/>
      <c r="AC43" s="611"/>
      <c r="AD43" s="611"/>
      <c r="AE43" s="598"/>
      <c r="AF43" s="598"/>
      <c r="AG43" s="598"/>
      <c r="AH43" s="627"/>
      <c r="AI43" s="611"/>
      <c r="AJ43" s="628"/>
      <c r="AK43" s="626">
        <v>19.862887425244118</v>
      </c>
      <c r="AL43" s="618"/>
      <c r="AM43" s="622">
        <f t="shared" si="10"/>
        <v>26.851434028963862</v>
      </c>
    </row>
    <row r="44" spans="1:41" ht="12.75" customHeight="1">
      <c r="A44" s="34" t="s">
        <v>261</v>
      </c>
      <c r="B44" s="35" t="s">
        <v>262</v>
      </c>
      <c r="C44" s="629">
        <f t="shared" si="13"/>
        <v>0</v>
      </c>
      <c r="D44" s="630">
        <v>0</v>
      </c>
      <c r="E44" s="630"/>
      <c r="F44" s="631"/>
      <c r="G44" s="631"/>
      <c r="H44" s="632">
        <f t="shared" si="14"/>
        <v>0</v>
      </c>
      <c r="I44" s="633"/>
      <c r="J44" s="634"/>
      <c r="K44" s="630">
        <v>0</v>
      </c>
      <c r="L44" s="635">
        <f t="shared" si="15"/>
        <v>39.884728685658985</v>
      </c>
      <c r="M44" s="630"/>
      <c r="N44" s="630"/>
      <c r="O44" s="598"/>
      <c r="P44" s="630">
        <v>9.9746897540168185</v>
      </c>
      <c r="Q44" s="630"/>
      <c r="R44" s="630">
        <v>2.9800097639927601</v>
      </c>
      <c r="S44" s="630">
        <v>22.317312105365545</v>
      </c>
      <c r="T44" s="630">
        <v>4.612717062283866</v>
      </c>
      <c r="U44" s="630">
        <v>0</v>
      </c>
      <c r="V44" s="631"/>
      <c r="W44" s="631"/>
      <c r="X44" s="631"/>
      <c r="Y44" s="630"/>
      <c r="Z44" s="636">
        <v>6.8442274312059155</v>
      </c>
      <c r="AA44" s="637">
        <f t="shared" si="16"/>
        <v>0</v>
      </c>
      <c r="AB44" s="638"/>
      <c r="AC44" s="630"/>
      <c r="AD44" s="630"/>
      <c r="AE44" s="639"/>
      <c r="AF44" s="639"/>
      <c r="AG44" s="639"/>
      <c r="AH44" s="640"/>
      <c r="AI44" s="630"/>
      <c r="AJ44" s="641"/>
      <c r="AK44" s="636">
        <v>91.333551011573277</v>
      </c>
      <c r="AL44" s="637"/>
      <c r="AM44" s="642">
        <f t="shared" si="10"/>
        <v>138.06250712843817</v>
      </c>
    </row>
    <row r="45" spans="1:41" s="13" customFormat="1" ht="12.75" customHeight="1">
      <c r="A45" s="420" t="s">
        <v>263</v>
      </c>
      <c r="B45" s="348"/>
      <c r="C45" s="643">
        <f t="shared" ref="C45:AL45" si="17">SUM(C46:C55)</f>
        <v>0</v>
      </c>
      <c r="D45" s="644">
        <f t="shared" si="17"/>
        <v>0</v>
      </c>
      <c r="E45" s="644">
        <f t="shared" si="17"/>
        <v>0</v>
      </c>
      <c r="F45" s="645">
        <f t="shared" si="17"/>
        <v>0</v>
      </c>
      <c r="G45" s="645">
        <f t="shared" si="17"/>
        <v>0</v>
      </c>
      <c r="H45" s="646">
        <f t="shared" si="17"/>
        <v>0</v>
      </c>
      <c r="I45" s="647">
        <f t="shared" si="17"/>
        <v>0</v>
      </c>
      <c r="J45" s="648">
        <f t="shared" si="17"/>
        <v>0</v>
      </c>
      <c r="K45" s="644">
        <f t="shared" si="17"/>
        <v>0</v>
      </c>
      <c r="L45" s="646">
        <f t="shared" si="17"/>
        <v>5019.924775938709</v>
      </c>
      <c r="M45" s="644">
        <f t="shared" si="17"/>
        <v>0</v>
      </c>
      <c r="N45" s="644">
        <f t="shared" si="17"/>
        <v>0</v>
      </c>
      <c r="O45" s="644">
        <f t="shared" si="17"/>
        <v>821.48002832197108</v>
      </c>
      <c r="P45" s="644">
        <f t="shared" si="17"/>
        <v>0</v>
      </c>
      <c r="Q45" s="644">
        <f t="shared" si="17"/>
        <v>1102.0673096951998</v>
      </c>
      <c r="R45" s="644">
        <f t="shared" si="17"/>
        <v>0</v>
      </c>
      <c r="S45" s="644">
        <f t="shared" si="17"/>
        <v>1.8520724281984335</v>
      </c>
      <c r="T45" s="644">
        <f>SUM(T46:T55)</f>
        <v>3094.5253654933404</v>
      </c>
      <c r="U45" s="644">
        <f t="shared" si="17"/>
        <v>0</v>
      </c>
      <c r="V45" s="645">
        <f t="shared" si="17"/>
        <v>0</v>
      </c>
      <c r="W45" s="645">
        <f t="shared" si="17"/>
        <v>0</v>
      </c>
      <c r="X45" s="645">
        <f t="shared" si="17"/>
        <v>0</v>
      </c>
      <c r="Y45" s="644">
        <f t="shared" si="17"/>
        <v>0</v>
      </c>
      <c r="Z45" s="646">
        <f t="shared" si="17"/>
        <v>22.560835415583806</v>
      </c>
      <c r="AA45" s="649">
        <f t="shared" si="17"/>
        <v>154.23960204369604</v>
      </c>
      <c r="AB45" s="650">
        <f t="shared" si="17"/>
        <v>0</v>
      </c>
      <c r="AC45" s="644">
        <f t="shared" si="17"/>
        <v>0</v>
      </c>
      <c r="AD45" s="644">
        <f t="shared" si="17"/>
        <v>0</v>
      </c>
      <c r="AE45" s="644">
        <f t="shared" si="17"/>
        <v>0</v>
      </c>
      <c r="AF45" s="644">
        <f t="shared" si="17"/>
        <v>0</v>
      </c>
      <c r="AG45" s="644">
        <f t="shared" si="17"/>
        <v>154.23960204369604</v>
      </c>
      <c r="AH45" s="649">
        <f t="shared" si="17"/>
        <v>0</v>
      </c>
      <c r="AI45" s="644">
        <f t="shared" si="17"/>
        <v>0</v>
      </c>
      <c r="AJ45" s="646">
        <f t="shared" si="17"/>
        <v>0</v>
      </c>
      <c r="AK45" s="646">
        <f t="shared" si="17"/>
        <v>5.1986846762489369</v>
      </c>
      <c r="AL45" s="649">
        <f t="shared" si="17"/>
        <v>0</v>
      </c>
      <c r="AM45" s="651">
        <f t="shared" si="10"/>
        <v>5201.9238980742384</v>
      </c>
      <c r="AN45" s="7"/>
      <c r="AO45" s="12"/>
    </row>
    <row r="46" spans="1:41" s="7" customFormat="1" ht="12.75" customHeight="1">
      <c r="A46" s="36" t="s">
        <v>264</v>
      </c>
      <c r="B46" s="325"/>
      <c r="C46" s="652">
        <f t="shared" ref="C46:C56" si="18">SUM(D46:G46)</f>
        <v>0</v>
      </c>
      <c r="D46" s="653"/>
      <c r="E46" s="654"/>
      <c r="F46" s="655"/>
      <c r="G46" s="655"/>
      <c r="H46" s="656">
        <f t="shared" ref="H46:H56" si="19">SUM(I46:K46)</f>
        <v>0</v>
      </c>
      <c r="I46" s="657"/>
      <c r="J46" s="658"/>
      <c r="K46" s="659"/>
      <c r="L46" s="656">
        <f t="shared" ref="L46:L56" si="20">SUM(M46:Y46)</f>
        <v>696.81086860411278</v>
      </c>
      <c r="M46" s="659"/>
      <c r="N46" s="659"/>
      <c r="O46" s="659"/>
      <c r="P46" s="659"/>
      <c r="Q46" s="659"/>
      <c r="R46" s="659"/>
      <c r="S46" s="659"/>
      <c r="T46" s="659">
        <v>696.81086860411278</v>
      </c>
      <c r="U46" s="659"/>
      <c r="V46" s="655"/>
      <c r="W46" s="655"/>
      <c r="X46" s="655"/>
      <c r="Y46" s="659"/>
      <c r="Z46" s="608"/>
      <c r="AA46" s="660">
        <f t="shared" ref="AA46:AA56" si="21">SUM(AB46:AI46)</f>
        <v>29.763125082569886</v>
      </c>
      <c r="AB46" s="661"/>
      <c r="AC46" s="659"/>
      <c r="AD46" s="659"/>
      <c r="AE46" s="659"/>
      <c r="AF46" s="659"/>
      <c r="AG46" s="659">
        <v>29.763125082569886</v>
      </c>
      <c r="AH46" s="607"/>
      <c r="AI46" s="659"/>
      <c r="AJ46" s="656"/>
      <c r="AK46" s="608"/>
      <c r="AL46" s="660"/>
      <c r="AM46" s="662">
        <f t="shared" si="10"/>
        <v>726.57399368668268</v>
      </c>
      <c r="AO46" s="8"/>
    </row>
    <row r="47" spans="1:41" s="7" customFormat="1" ht="12.75" customHeight="1">
      <c r="A47" s="37" t="s">
        <v>265</v>
      </c>
      <c r="B47" s="403"/>
      <c r="C47" s="597"/>
      <c r="D47" s="663"/>
      <c r="E47" s="664"/>
      <c r="F47" s="599"/>
      <c r="G47" s="599"/>
      <c r="H47" s="600"/>
      <c r="I47" s="601"/>
      <c r="J47" s="602"/>
      <c r="K47" s="598"/>
      <c r="L47" s="600">
        <f t="shared" si="20"/>
        <v>318.14346273201534</v>
      </c>
      <c r="M47" s="598"/>
      <c r="N47" s="598"/>
      <c r="O47" s="598"/>
      <c r="P47" s="598"/>
      <c r="Q47" s="598"/>
      <c r="R47" s="598"/>
      <c r="S47" s="598"/>
      <c r="T47" s="598">
        <v>318.14346273201534</v>
      </c>
      <c r="U47" s="598"/>
      <c r="V47" s="599"/>
      <c r="W47" s="599"/>
      <c r="X47" s="599"/>
      <c r="Y47" s="598"/>
      <c r="Z47" s="625">
        <v>2.9723185667999998E-2</v>
      </c>
      <c r="AA47" s="605">
        <f t="shared" si="21"/>
        <v>13.588972420111009</v>
      </c>
      <c r="AB47" s="606"/>
      <c r="AC47" s="598"/>
      <c r="AD47" s="598"/>
      <c r="AE47" s="598"/>
      <c r="AF47" s="598"/>
      <c r="AG47" s="598">
        <v>13.588972420111009</v>
      </c>
      <c r="AH47" s="624"/>
      <c r="AI47" s="598"/>
      <c r="AJ47" s="600"/>
      <c r="AK47" s="625"/>
      <c r="AL47" s="605"/>
      <c r="AM47" s="609">
        <f t="shared" si="10"/>
        <v>331.76215833779435</v>
      </c>
      <c r="AO47" s="8"/>
    </row>
    <row r="48" spans="1:41" s="7" customFormat="1" ht="12.75" customHeight="1">
      <c r="A48" s="38" t="s">
        <v>266</v>
      </c>
      <c r="B48" s="278"/>
      <c r="C48" s="610">
        <f t="shared" si="18"/>
        <v>0</v>
      </c>
      <c r="D48" s="665"/>
      <c r="E48" s="666"/>
      <c r="F48" s="612"/>
      <c r="G48" s="612"/>
      <c r="H48" s="613">
        <f t="shared" si="19"/>
        <v>0</v>
      </c>
      <c r="I48" s="614"/>
      <c r="J48" s="615"/>
      <c r="K48" s="611"/>
      <c r="L48" s="613">
        <f t="shared" si="20"/>
        <v>1979.3195171155053</v>
      </c>
      <c r="M48" s="611"/>
      <c r="N48" s="611"/>
      <c r="O48" s="611">
        <v>665.22585458348442</v>
      </c>
      <c r="P48" s="611"/>
      <c r="Q48" s="611"/>
      <c r="R48" s="611"/>
      <c r="S48" s="611">
        <v>1.8520724281984335</v>
      </c>
      <c r="T48" s="611">
        <v>1312.2415901038223</v>
      </c>
      <c r="U48" s="611"/>
      <c r="V48" s="612"/>
      <c r="W48" s="612"/>
      <c r="X48" s="612"/>
      <c r="Y48" s="611"/>
      <c r="Z48" s="621"/>
      <c r="AA48" s="618">
        <f t="shared" si="21"/>
        <v>78.152181932232637</v>
      </c>
      <c r="AB48" s="619"/>
      <c r="AC48" s="611"/>
      <c r="AD48" s="611"/>
      <c r="AE48" s="611"/>
      <c r="AF48" s="611"/>
      <c r="AG48" s="611">
        <v>78.152181932232637</v>
      </c>
      <c r="AH48" s="620"/>
      <c r="AI48" s="611"/>
      <c r="AJ48" s="613"/>
      <c r="AK48" s="621">
        <v>1.012968700248938</v>
      </c>
      <c r="AL48" s="618"/>
      <c r="AM48" s="622">
        <f t="shared" si="10"/>
        <v>2058.4846677479868</v>
      </c>
      <c r="AO48" s="8"/>
    </row>
    <row r="49" spans="1:41" s="7" customFormat="1" ht="12.75" customHeight="1">
      <c r="A49" s="38" t="s">
        <v>267</v>
      </c>
      <c r="B49" s="278"/>
      <c r="C49" s="610">
        <f t="shared" si="18"/>
        <v>0</v>
      </c>
      <c r="D49" s="665"/>
      <c r="E49" s="666"/>
      <c r="F49" s="612"/>
      <c r="G49" s="612"/>
      <c r="H49" s="613">
        <f t="shared" si="19"/>
        <v>0</v>
      </c>
      <c r="I49" s="614"/>
      <c r="J49" s="615"/>
      <c r="K49" s="611"/>
      <c r="L49" s="613">
        <f t="shared" si="20"/>
        <v>133.54472802969403</v>
      </c>
      <c r="M49" s="611"/>
      <c r="N49" s="611"/>
      <c r="O49" s="611">
        <v>6.5648739648342556</v>
      </c>
      <c r="P49" s="611"/>
      <c r="Q49" s="611"/>
      <c r="R49" s="611"/>
      <c r="S49" s="611"/>
      <c r="T49" s="611">
        <v>126.97985406485978</v>
      </c>
      <c r="U49" s="611"/>
      <c r="V49" s="612"/>
      <c r="W49" s="612"/>
      <c r="X49" s="612"/>
      <c r="Y49" s="611"/>
      <c r="Z49" s="621"/>
      <c r="AA49" s="618">
        <f t="shared" si="21"/>
        <v>5.6418508625160495</v>
      </c>
      <c r="AB49" s="619"/>
      <c r="AC49" s="611"/>
      <c r="AD49" s="611"/>
      <c r="AE49" s="611"/>
      <c r="AF49" s="611"/>
      <c r="AG49" s="611">
        <v>5.6418508625160495</v>
      </c>
      <c r="AH49" s="620"/>
      <c r="AI49" s="611"/>
      <c r="AJ49" s="613"/>
      <c r="AK49" s="621"/>
      <c r="AL49" s="618"/>
      <c r="AM49" s="622">
        <f t="shared" si="10"/>
        <v>139.18657889221006</v>
      </c>
      <c r="AO49" s="8"/>
    </row>
    <row r="50" spans="1:41" s="7" customFormat="1" ht="12.75" customHeight="1">
      <c r="A50" s="38" t="s">
        <v>268</v>
      </c>
      <c r="B50" s="278"/>
      <c r="C50" s="610">
        <f t="shared" si="18"/>
        <v>0</v>
      </c>
      <c r="D50" s="665"/>
      <c r="E50" s="666"/>
      <c r="F50" s="612"/>
      <c r="G50" s="612"/>
      <c r="H50" s="613">
        <f t="shared" si="19"/>
        <v>0</v>
      </c>
      <c r="I50" s="614"/>
      <c r="J50" s="615"/>
      <c r="K50" s="611"/>
      <c r="L50" s="613">
        <f t="shared" si="20"/>
        <v>38.043221783939138</v>
      </c>
      <c r="M50" s="611"/>
      <c r="N50" s="611"/>
      <c r="O50" s="611"/>
      <c r="P50" s="611"/>
      <c r="Q50" s="630"/>
      <c r="R50" s="611"/>
      <c r="S50" s="611"/>
      <c r="T50" s="611">
        <v>38.043221783939138</v>
      </c>
      <c r="U50" s="611"/>
      <c r="V50" s="612"/>
      <c r="W50" s="612"/>
      <c r="X50" s="612"/>
      <c r="Y50" s="611"/>
      <c r="Z50" s="621"/>
      <c r="AA50" s="618">
        <f t="shared" si="21"/>
        <v>0</v>
      </c>
      <c r="AB50" s="619"/>
      <c r="AC50" s="611"/>
      <c r="AD50" s="611"/>
      <c r="AE50" s="611"/>
      <c r="AF50" s="611"/>
      <c r="AG50" s="611">
        <v>0</v>
      </c>
      <c r="AH50" s="620"/>
      <c r="AI50" s="611"/>
      <c r="AJ50" s="613"/>
      <c r="AK50" s="621">
        <v>4.1857159759999991</v>
      </c>
      <c r="AL50" s="618"/>
      <c r="AM50" s="622">
        <f t="shared" si="10"/>
        <v>42.228937759939136</v>
      </c>
      <c r="AO50" s="8"/>
    </row>
    <row r="51" spans="1:41" s="7" customFormat="1" ht="12.75" customHeight="1">
      <c r="A51" s="38" t="s">
        <v>269</v>
      </c>
      <c r="B51" s="278"/>
      <c r="C51" s="610">
        <f t="shared" si="18"/>
        <v>0</v>
      </c>
      <c r="D51" s="665"/>
      <c r="E51" s="666"/>
      <c r="F51" s="612"/>
      <c r="G51" s="612"/>
      <c r="H51" s="613">
        <f t="shared" si="19"/>
        <v>0</v>
      </c>
      <c r="I51" s="614"/>
      <c r="J51" s="615"/>
      <c r="K51" s="611"/>
      <c r="L51" s="613">
        <f t="shared" si="20"/>
        <v>5.5768892778871404</v>
      </c>
      <c r="M51" s="611"/>
      <c r="N51" s="611"/>
      <c r="O51" s="611">
        <v>0.66818888888888883</v>
      </c>
      <c r="P51" s="611"/>
      <c r="Q51" s="611">
        <v>4.9087003889982519</v>
      </c>
      <c r="R51" s="611"/>
      <c r="S51" s="611"/>
      <c r="T51" s="611"/>
      <c r="U51" s="611"/>
      <c r="V51" s="612"/>
      <c r="W51" s="612"/>
      <c r="X51" s="612"/>
      <c r="Y51" s="611"/>
      <c r="Z51" s="621"/>
      <c r="AA51" s="618">
        <f t="shared" si="21"/>
        <v>0</v>
      </c>
      <c r="AB51" s="619"/>
      <c r="AC51" s="611"/>
      <c r="AD51" s="611"/>
      <c r="AE51" s="611"/>
      <c r="AF51" s="611"/>
      <c r="AG51" s="611"/>
      <c r="AH51" s="620"/>
      <c r="AI51" s="611"/>
      <c r="AJ51" s="613"/>
      <c r="AK51" s="621"/>
      <c r="AL51" s="618"/>
      <c r="AM51" s="622">
        <f t="shared" si="10"/>
        <v>5.5768892778871404</v>
      </c>
      <c r="AO51" s="8"/>
    </row>
    <row r="52" spans="1:41" s="7" customFormat="1" ht="12.75" customHeight="1">
      <c r="A52" s="38" t="s">
        <v>270</v>
      </c>
      <c r="B52" s="33"/>
      <c r="C52" s="629">
        <f t="shared" si="18"/>
        <v>0</v>
      </c>
      <c r="D52" s="630"/>
      <c r="E52" s="630"/>
      <c r="F52" s="631"/>
      <c r="G52" s="631"/>
      <c r="H52" s="632">
        <f t="shared" si="19"/>
        <v>0</v>
      </c>
      <c r="I52" s="633"/>
      <c r="J52" s="634"/>
      <c r="K52" s="630"/>
      <c r="L52" s="632">
        <f t="shared" si="20"/>
        <v>1097.1586093062015</v>
      </c>
      <c r="M52" s="630"/>
      <c r="N52" s="630"/>
      <c r="O52" s="598"/>
      <c r="P52" s="630"/>
      <c r="Q52" s="630">
        <v>1097.1586093062015</v>
      </c>
      <c r="R52" s="630"/>
      <c r="S52" s="630"/>
      <c r="T52" s="630"/>
      <c r="U52" s="630"/>
      <c r="V52" s="631"/>
      <c r="W52" s="631"/>
      <c r="X52" s="631"/>
      <c r="Y52" s="630"/>
      <c r="Z52" s="625"/>
      <c r="AA52" s="637">
        <f t="shared" si="21"/>
        <v>0</v>
      </c>
      <c r="AB52" s="638"/>
      <c r="AC52" s="630"/>
      <c r="AD52" s="630"/>
      <c r="AE52" s="630"/>
      <c r="AF52" s="630"/>
      <c r="AG52" s="630"/>
      <c r="AH52" s="624"/>
      <c r="AI52" s="630"/>
      <c r="AJ52" s="625"/>
      <c r="AK52" s="625"/>
      <c r="AL52" s="637"/>
      <c r="AM52" s="642">
        <f t="shared" si="10"/>
        <v>1097.1586093062015</v>
      </c>
      <c r="AO52" s="8"/>
    </row>
    <row r="53" spans="1:41" s="7" customFormat="1" ht="12.75" customHeight="1">
      <c r="A53" s="38" t="s">
        <v>271</v>
      </c>
      <c r="B53" s="33"/>
      <c r="C53" s="629">
        <f t="shared" si="18"/>
        <v>0</v>
      </c>
      <c r="D53" s="633"/>
      <c r="E53" s="630"/>
      <c r="F53" s="631"/>
      <c r="G53" s="631"/>
      <c r="H53" s="632">
        <f t="shared" si="19"/>
        <v>0</v>
      </c>
      <c r="I53" s="633"/>
      <c r="J53" s="634"/>
      <c r="K53" s="630"/>
      <c r="L53" s="632">
        <f t="shared" si="20"/>
        <v>176.94052908505745</v>
      </c>
      <c r="M53" s="630"/>
      <c r="N53" s="630"/>
      <c r="O53" s="630">
        <v>0</v>
      </c>
      <c r="P53" s="630"/>
      <c r="Q53" s="630"/>
      <c r="R53" s="630"/>
      <c r="S53" s="630"/>
      <c r="T53" s="630">
        <v>176.94052908505745</v>
      </c>
      <c r="U53" s="630"/>
      <c r="V53" s="631"/>
      <c r="W53" s="631"/>
      <c r="X53" s="631"/>
      <c r="Y53" s="630"/>
      <c r="Z53" s="625"/>
      <c r="AA53" s="637">
        <f t="shared" si="21"/>
        <v>7.5577223843887342</v>
      </c>
      <c r="AB53" s="638"/>
      <c r="AC53" s="630"/>
      <c r="AD53" s="630"/>
      <c r="AE53" s="630"/>
      <c r="AF53" s="630"/>
      <c r="AG53" s="611">
        <v>7.5577223843887342</v>
      </c>
      <c r="AH53" s="630"/>
      <c r="AI53" s="630"/>
      <c r="AJ53" s="625"/>
      <c r="AK53" s="621"/>
      <c r="AL53" s="637"/>
      <c r="AM53" s="642">
        <f t="shared" si="10"/>
        <v>184.49825146944619</v>
      </c>
      <c r="AO53" s="8"/>
    </row>
    <row r="54" spans="1:41" s="7" customFormat="1" ht="12.75" customHeight="1">
      <c r="A54" s="9" t="s">
        <v>272</v>
      </c>
      <c r="B54" s="278"/>
      <c r="C54" s="629">
        <f t="shared" si="18"/>
        <v>0</v>
      </c>
      <c r="D54" s="633"/>
      <c r="E54" s="630"/>
      <c r="F54" s="631"/>
      <c r="G54" s="631"/>
      <c r="H54" s="632">
        <f t="shared" si="19"/>
        <v>0</v>
      </c>
      <c r="I54" s="633"/>
      <c r="J54" s="634"/>
      <c r="K54" s="630"/>
      <c r="L54" s="632">
        <f t="shared" si="20"/>
        <v>83.913724293678101</v>
      </c>
      <c r="M54" s="630"/>
      <c r="N54" s="630"/>
      <c r="O54" s="630"/>
      <c r="P54" s="630"/>
      <c r="Q54" s="630"/>
      <c r="R54" s="630"/>
      <c r="S54" s="630"/>
      <c r="T54" s="630">
        <v>83.913724293678101</v>
      </c>
      <c r="U54" s="630"/>
      <c r="V54" s="631"/>
      <c r="W54" s="631"/>
      <c r="X54" s="631"/>
      <c r="Y54" s="630"/>
      <c r="Z54" s="628"/>
      <c r="AA54" s="637">
        <f t="shared" si="21"/>
        <v>0</v>
      </c>
      <c r="AB54" s="638"/>
      <c r="AC54" s="630"/>
      <c r="AD54" s="630"/>
      <c r="AE54" s="630"/>
      <c r="AF54" s="630"/>
      <c r="AG54" s="630"/>
      <c r="AH54" s="630"/>
      <c r="AI54" s="630"/>
      <c r="AJ54" s="628"/>
      <c r="AK54" s="625"/>
      <c r="AL54" s="637"/>
      <c r="AM54" s="642">
        <f t="shared" si="10"/>
        <v>83.913724293678101</v>
      </c>
      <c r="AO54" s="8"/>
    </row>
    <row r="55" spans="1:41" s="7" customFormat="1" ht="12.75" customHeight="1">
      <c r="A55" s="16" t="s">
        <v>273</v>
      </c>
      <c r="B55" s="337"/>
      <c r="C55" s="667">
        <f t="shared" si="18"/>
        <v>0</v>
      </c>
      <c r="D55" s="668"/>
      <c r="E55" s="669"/>
      <c r="F55" s="670"/>
      <c r="G55" s="670"/>
      <c r="H55" s="671">
        <f t="shared" si="19"/>
        <v>0</v>
      </c>
      <c r="I55" s="672"/>
      <c r="J55" s="673"/>
      <c r="K55" s="674"/>
      <c r="L55" s="671">
        <f t="shared" si="20"/>
        <v>490.47322571061898</v>
      </c>
      <c r="M55" s="674"/>
      <c r="N55" s="674"/>
      <c r="O55" s="674">
        <v>149.02111088476352</v>
      </c>
      <c r="P55" s="674"/>
      <c r="Q55" s="674"/>
      <c r="R55" s="674">
        <v>0</v>
      </c>
      <c r="S55" s="674"/>
      <c r="T55" s="674">
        <v>341.45211482585546</v>
      </c>
      <c r="U55" s="674"/>
      <c r="V55" s="670"/>
      <c r="W55" s="670"/>
      <c r="X55" s="670"/>
      <c r="Y55" s="674"/>
      <c r="Z55" s="641">
        <v>22.531112229915806</v>
      </c>
      <c r="AA55" s="675">
        <f t="shared" si="21"/>
        <v>19.535749361877716</v>
      </c>
      <c r="AB55" s="676"/>
      <c r="AC55" s="674"/>
      <c r="AD55" s="674"/>
      <c r="AE55" s="674"/>
      <c r="AF55" s="674"/>
      <c r="AG55" s="674">
        <v>19.535749361877716</v>
      </c>
      <c r="AH55" s="640"/>
      <c r="AI55" s="674"/>
      <c r="AJ55" s="671"/>
      <c r="AK55" s="641"/>
      <c r="AL55" s="675"/>
      <c r="AM55" s="677">
        <f t="shared" si="10"/>
        <v>532.54008730241253</v>
      </c>
      <c r="AO55" s="8"/>
    </row>
    <row r="56" spans="1:41" s="65" customFormat="1" ht="12.75" customHeight="1">
      <c r="A56" s="419" t="s">
        <v>4</v>
      </c>
      <c r="B56" s="412"/>
      <c r="C56" s="678">
        <f t="shared" si="18"/>
        <v>155.18532547319376</v>
      </c>
      <c r="D56" s="679">
        <v>77.527798151623358</v>
      </c>
      <c r="E56" s="680">
        <v>70.131951348544106</v>
      </c>
      <c r="F56" s="681"/>
      <c r="G56" s="681">
        <v>7.5255759730262914</v>
      </c>
      <c r="H56" s="682">
        <f t="shared" si="19"/>
        <v>196.53880633</v>
      </c>
      <c r="I56" s="679"/>
      <c r="J56" s="683">
        <v>127.70399999999999</v>
      </c>
      <c r="K56" s="683">
        <v>68.834806329999992</v>
      </c>
      <c r="L56" s="682">
        <f t="shared" si="20"/>
        <v>1059.0610846185803</v>
      </c>
      <c r="M56" s="683"/>
      <c r="N56" s="683"/>
      <c r="O56" s="683">
        <v>0</v>
      </c>
      <c r="P56" s="683">
        <v>851.97056065430399</v>
      </c>
      <c r="Q56" s="683"/>
      <c r="R56" s="683">
        <v>0</v>
      </c>
      <c r="S56" s="683">
        <v>43.620998386839176</v>
      </c>
      <c r="T56" s="683">
        <v>159.95923884112759</v>
      </c>
      <c r="U56" s="683">
        <v>3.5102867363093639</v>
      </c>
      <c r="V56" s="681"/>
      <c r="W56" s="681"/>
      <c r="X56" s="681"/>
      <c r="Y56" s="683"/>
      <c r="Z56" s="682">
        <v>604.09375845912712</v>
      </c>
      <c r="AA56" s="684">
        <f t="shared" si="21"/>
        <v>68.387102733754332</v>
      </c>
      <c r="AB56" s="685"/>
      <c r="AC56" s="683"/>
      <c r="AD56" s="683">
        <v>27.857660562107053</v>
      </c>
      <c r="AE56" s="683"/>
      <c r="AF56" s="683"/>
      <c r="AG56" s="683"/>
      <c r="AH56" s="684">
        <v>13.379590942008413</v>
      </c>
      <c r="AI56" s="683">
        <v>27.149851229638866</v>
      </c>
      <c r="AJ56" s="682"/>
      <c r="AK56" s="682">
        <v>702.94473599999992</v>
      </c>
      <c r="AL56" s="684"/>
      <c r="AM56" s="686">
        <f>C56+H56+L56+Z56+AA56+AJ56+AK56+AL56</f>
        <v>2786.2108136146558</v>
      </c>
      <c r="AN56" s="63"/>
      <c r="AO56" s="64"/>
    </row>
    <row r="57" spans="1:41" s="13" customFormat="1" ht="12.75" customHeight="1">
      <c r="A57" s="419" t="s">
        <v>274</v>
      </c>
      <c r="B57" s="404"/>
      <c r="C57" s="643">
        <f t="shared" ref="C57:N57" si="22">SUM(C58:C59)</f>
        <v>0</v>
      </c>
      <c r="D57" s="644">
        <f t="shared" si="22"/>
        <v>0</v>
      </c>
      <c r="E57" s="644">
        <f t="shared" si="22"/>
        <v>0</v>
      </c>
      <c r="F57" s="645">
        <f t="shared" si="22"/>
        <v>0</v>
      </c>
      <c r="G57" s="645">
        <f t="shared" si="22"/>
        <v>0</v>
      </c>
      <c r="H57" s="646">
        <f t="shared" si="22"/>
        <v>0</v>
      </c>
      <c r="I57" s="647">
        <f t="shared" si="22"/>
        <v>0</v>
      </c>
      <c r="J57" s="687">
        <f t="shared" si="22"/>
        <v>0</v>
      </c>
      <c r="K57" s="647">
        <f t="shared" si="22"/>
        <v>0</v>
      </c>
      <c r="L57" s="646">
        <f t="shared" si="22"/>
        <v>267.57395184315021</v>
      </c>
      <c r="M57" s="644">
        <f t="shared" si="22"/>
        <v>0</v>
      </c>
      <c r="N57" s="644">
        <f t="shared" si="22"/>
        <v>0</v>
      </c>
      <c r="O57" s="644">
        <v>0</v>
      </c>
      <c r="P57" s="644">
        <f>SUM(P58:P59)</f>
        <v>0</v>
      </c>
      <c r="Q57" s="644">
        <f>SUM(Q58:Q59)</f>
        <v>0</v>
      </c>
      <c r="R57" s="644">
        <v>1.247004930562597</v>
      </c>
      <c r="S57" s="644">
        <v>9.4206736070750594</v>
      </c>
      <c r="T57" s="644">
        <v>256.90588302035394</v>
      </c>
      <c r="U57" s="644">
        <f>SUM(U58:U59)</f>
        <v>3.9028515863367719E-4</v>
      </c>
      <c r="V57" s="645">
        <f>SUM(V58:V59)</f>
        <v>0</v>
      </c>
      <c r="W57" s="645">
        <f>SUM(W58:W59)</f>
        <v>0</v>
      </c>
      <c r="X57" s="645">
        <f>SUM(X58:X59)</f>
        <v>0</v>
      </c>
      <c r="Y57" s="647">
        <f>SUM(Y58:Y59)</f>
        <v>0</v>
      </c>
      <c r="Z57" s="646">
        <v>532.11518780757262</v>
      </c>
      <c r="AA57" s="649">
        <f>SUM(AA58:AA59)</f>
        <v>42.897710060911812</v>
      </c>
      <c r="AB57" s="650">
        <f>SUM(AB58:AB59)</f>
        <v>0</v>
      </c>
      <c r="AC57" s="644">
        <f>SUM(AC58:AC59)</f>
        <v>0</v>
      </c>
      <c r="AD57" s="644">
        <f>SUM(AD58:AD59)</f>
        <v>18.076477820039997</v>
      </c>
      <c r="AE57" s="644">
        <f>SUM(AE58:AE59)</f>
        <v>0</v>
      </c>
      <c r="AF57" s="644">
        <f>SUM(AF59:AF59)</f>
        <v>7.541555368675982</v>
      </c>
      <c r="AG57" s="644">
        <f>SUM(AG58:AG59)</f>
        <v>0</v>
      </c>
      <c r="AH57" s="644">
        <f>SUM(AH58:AH59)</f>
        <v>0.16649466165720572</v>
      </c>
      <c r="AI57" s="647">
        <f>SUM(AI58:AI59)</f>
        <v>17.113182210538625</v>
      </c>
      <c r="AJ57" s="646">
        <f>SUM(AJ58:AJ59)</f>
        <v>0</v>
      </c>
      <c r="AK57" s="646">
        <v>641.75142824902878</v>
      </c>
      <c r="AL57" s="649">
        <f>SUM(AL58:AL59)</f>
        <v>0</v>
      </c>
      <c r="AM57" s="651">
        <f t="shared" si="10"/>
        <v>1484.3382779606634</v>
      </c>
      <c r="AN57" s="7"/>
      <c r="AO57" s="60"/>
    </row>
    <row r="58" spans="1:41" s="7" customFormat="1" ht="12.75" customHeight="1">
      <c r="A58" s="36" t="s">
        <v>275</v>
      </c>
      <c r="B58" s="325"/>
      <c r="C58" s="652">
        <f>SUM(D58:G58)</f>
        <v>0</v>
      </c>
      <c r="D58" s="657">
        <v>0</v>
      </c>
      <c r="E58" s="659">
        <v>0</v>
      </c>
      <c r="F58" s="655"/>
      <c r="G58" s="655">
        <v>0</v>
      </c>
      <c r="H58" s="656">
        <f>SUM(I58:K58)</f>
        <v>0</v>
      </c>
      <c r="I58" s="657"/>
      <c r="J58" s="658"/>
      <c r="K58" s="659"/>
      <c r="L58" s="656">
        <f>SUM(M58:Y58)</f>
        <v>176.73204143195045</v>
      </c>
      <c r="M58" s="659"/>
      <c r="N58" s="659"/>
      <c r="O58" s="659"/>
      <c r="P58" s="659">
        <v>0</v>
      </c>
      <c r="Q58" s="659"/>
      <c r="R58" s="659"/>
      <c r="S58" s="659">
        <f>S57*7.63/10.25</f>
        <v>7.0126575240958742</v>
      </c>
      <c r="T58" s="659">
        <f>T57*319.4/483.48</f>
        <v>169.71899362269593</v>
      </c>
      <c r="U58" s="659">
        <v>3.9028515863367719E-4</v>
      </c>
      <c r="V58" s="655"/>
      <c r="W58" s="655"/>
      <c r="X58" s="655"/>
      <c r="Y58" s="659"/>
      <c r="Z58" s="656">
        <f>Z57*37.95/86.6</f>
        <v>233.18442698957719</v>
      </c>
      <c r="AA58" s="660">
        <f>SUM(AB58:AI58)</f>
        <v>35.356154692235833</v>
      </c>
      <c r="AB58" s="661"/>
      <c r="AC58" s="659"/>
      <c r="AD58" s="659">
        <v>18.076477820039997</v>
      </c>
      <c r="AE58" s="598"/>
      <c r="AF58" s="598"/>
      <c r="AG58" s="598"/>
      <c r="AH58" s="607">
        <v>0.16649466165720572</v>
      </c>
      <c r="AI58" s="659">
        <v>17.113182210538625</v>
      </c>
      <c r="AJ58" s="656"/>
      <c r="AK58" s="608">
        <f>AK57*172.28/240.31</f>
        <v>460.07630168841359</v>
      </c>
      <c r="AL58" s="660"/>
      <c r="AM58" s="662">
        <f t="shared" si="10"/>
        <v>905.34892480217695</v>
      </c>
      <c r="AO58" s="61"/>
    </row>
    <row r="59" spans="1:41" s="7" customFormat="1" ht="12.75" customHeight="1">
      <c r="A59" s="62" t="s">
        <v>276</v>
      </c>
      <c r="B59" s="337"/>
      <c r="C59" s="667">
        <f>SUM(D59:G59)</f>
        <v>0</v>
      </c>
      <c r="D59" s="672"/>
      <c r="E59" s="674"/>
      <c r="F59" s="670"/>
      <c r="G59" s="670"/>
      <c r="H59" s="671">
        <f>SUM(I59:K59)</f>
        <v>0</v>
      </c>
      <c r="I59" s="672"/>
      <c r="J59" s="673">
        <v>0</v>
      </c>
      <c r="K59" s="674">
        <v>0</v>
      </c>
      <c r="L59" s="671">
        <f>SUM(M59:Y59)</f>
        <v>90.841910411199763</v>
      </c>
      <c r="M59" s="674"/>
      <c r="N59" s="674"/>
      <c r="O59" s="674"/>
      <c r="P59" s="674"/>
      <c r="Q59" s="674"/>
      <c r="R59" s="674">
        <f>R57</f>
        <v>1.247004930562597</v>
      </c>
      <c r="S59" s="674">
        <f>S57*2.62/10.25</f>
        <v>2.4080160829791861</v>
      </c>
      <c r="T59" s="674">
        <f>T57*164.08/483.48</f>
        <v>87.186889397657978</v>
      </c>
      <c r="U59" s="674"/>
      <c r="V59" s="670"/>
      <c r="W59" s="670"/>
      <c r="X59" s="670"/>
      <c r="Y59" s="674"/>
      <c r="Z59" s="671">
        <f>Z57*48.65/86.6</f>
        <v>298.93076081799552</v>
      </c>
      <c r="AA59" s="675">
        <f>SUM(AB59:AI59)</f>
        <v>7.541555368675982</v>
      </c>
      <c r="AB59" s="676"/>
      <c r="AC59" s="674"/>
      <c r="AD59" s="674"/>
      <c r="AE59" s="674"/>
      <c r="AF59" s="674">
        <v>7.541555368675982</v>
      </c>
      <c r="AG59" s="674"/>
      <c r="AH59" s="640"/>
      <c r="AI59" s="674"/>
      <c r="AJ59" s="671"/>
      <c r="AK59" s="641">
        <f>AK57*68.03/240.31</f>
        <v>181.67512656061515</v>
      </c>
      <c r="AL59" s="675"/>
      <c r="AM59" s="677">
        <f t="shared" si="10"/>
        <v>578.98935315848644</v>
      </c>
      <c r="AO59" s="61"/>
    </row>
    <row r="60" spans="1:41" s="13" customFormat="1" ht="12.75" customHeight="1">
      <c r="A60" s="422" t="s">
        <v>277</v>
      </c>
      <c r="B60" s="362"/>
      <c r="C60" s="688">
        <f>SUM(D60:G60)</f>
        <v>0</v>
      </c>
      <c r="D60" s="689">
        <v>0</v>
      </c>
      <c r="E60" s="690"/>
      <c r="F60" s="691"/>
      <c r="G60" s="691"/>
      <c r="H60" s="692">
        <f>SUM(I60:K60)</f>
        <v>0</v>
      </c>
      <c r="I60" s="689"/>
      <c r="J60" s="693"/>
      <c r="K60" s="690"/>
      <c r="L60" s="692">
        <f>SUM(M60:Y60)</f>
        <v>175.46549158593075</v>
      </c>
      <c r="M60" s="690"/>
      <c r="N60" s="690"/>
      <c r="O60" s="690">
        <v>0</v>
      </c>
      <c r="P60" s="690">
        <v>0</v>
      </c>
      <c r="Q60" s="690"/>
      <c r="R60" s="690"/>
      <c r="S60" s="690">
        <v>0</v>
      </c>
      <c r="T60" s="690">
        <v>175.46549158593075</v>
      </c>
      <c r="U60" s="659"/>
      <c r="V60" s="691"/>
      <c r="W60" s="691"/>
      <c r="X60" s="691"/>
      <c r="Y60" s="690"/>
      <c r="Z60" s="692">
        <v>0</v>
      </c>
      <c r="AA60" s="694">
        <f>SUM(AB60:AI60)</f>
        <v>0</v>
      </c>
      <c r="AB60" s="695"/>
      <c r="AC60" s="690"/>
      <c r="AD60" s="690"/>
      <c r="AE60" s="690"/>
      <c r="AF60" s="690"/>
      <c r="AG60" s="690"/>
      <c r="AH60" s="694"/>
      <c r="AI60" s="690"/>
      <c r="AJ60" s="692"/>
      <c r="AK60" s="692">
        <v>47.988</v>
      </c>
      <c r="AL60" s="694"/>
      <c r="AM60" s="696">
        <f t="shared" si="10"/>
        <v>223.45349158593075</v>
      </c>
      <c r="AN60" s="7"/>
      <c r="AO60" s="12"/>
    </row>
    <row r="61" spans="1:41" s="13" customFormat="1" ht="12.75" customHeight="1" thickBot="1">
      <c r="A61" s="423" t="s">
        <v>278</v>
      </c>
      <c r="B61" s="337"/>
      <c r="C61" s="667">
        <f>SUM(D61:G61)</f>
        <v>0</v>
      </c>
      <c r="D61" s="672"/>
      <c r="E61" s="674"/>
      <c r="F61" s="670"/>
      <c r="G61" s="670"/>
      <c r="H61" s="671">
        <f>SUM(I61:K61)</f>
        <v>0</v>
      </c>
      <c r="I61" s="672"/>
      <c r="J61" s="673"/>
      <c r="K61" s="674"/>
      <c r="L61" s="671">
        <f>SUM(M61:Y61)</f>
        <v>27.249865733664667</v>
      </c>
      <c r="M61" s="674"/>
      <c r="N61" s="674"/>
      <c r="O61" s="674"/>
      <c r="P61" s="674"/>
      <c r="Q61" s="674"/>
      <c r="R61" s="674"/>
      <c r="S61" s="674"/>
      <c r="T61" s="669">
        <v>27.249865733664667</v>
      </c>
      <c r="U61" s="674"/>
      <c r="V61" s="670"/>
      <c r="W61" s="670"/>
      <c r="X61" s="670"/>
      <c r="Y61" s="674"/>
      <c r="Z61" s="671"/>
      <c r="AA61" s="675">
        <f>SUM(AB61:AI61)</f>
        <v>0</v>
      </c>
      <c r="AB61" s="676"/>
      <c r="AC61" s="674"/>
      <c r="AD61" s="674"/>
      <c r="AE61" s="674"/>
      <c r="AF61" s="674"/>
      <c r="AG61" s="674"/>
      <c r="AH61" s="640"/>
      <c r="AI61" s="674"/>
      <c r="AJ61" s="671"/>
      <c r="AK61" s="641"/>
      <c r="AL61" s="675"/>
      <c r="AM61" s="697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279</v>
      </c>
      <c r="B62" s="392"/>
      <c r="C62" s="698">
        <f t="shared" ref="C62:AL62" si="23">C27-C28-C30</f>
        <v>-2.9554969188629343</v>
      </c>
      <c r="D62" s="699">
        <f t="shared" si="23"/>
        <v>0.18284784306936785</v>
      </c>
      <c r="E62" s="700">
        <f t="shared" si="23"/>
        <v>-4.0131297356440712</v>
      </c>
      <c r="F62" s="701">
        <f t="shared" si="23"/>
        <v>0</v>
      </c>
      <c r="G62" s="701">
        <f t="shared" si="23"/>
        <v>0.87478497371188713</v>
      </c>
      <c r="H62" s="586">
        <f t="shared" si="23"/>
        <v>1.9457250152907477</v>
      </c>
      <c r="I62" s="699">
        <f t="shared" si="23"/>
        <v>-0.45741265470919368</v>
      </c>
      <c r="J62" s="702">
        <f t="shared" si="23"/>
        <v>0</v>
      </c>
      <c r="K62" s="700">
        <f t="shared" si="23"/>
        <v>2.4031376700000067</v>
      </c>
      <c r="L62" s="586">
        <f t="shared" si="23"/>
        <v>5.5965062596596908</v>
      </c>
      <c r="M62" s="700">
        <f t="shared" si="23"/>
        <v>0</v>
      </c>
      <c r="N62" s="700">
        <f t="shared" si="23"/>
        <v>0</v>
      </c>
      <c r="O62" s="700">
        <f t="shared" si="23"/>
        <v>9.1821641780287564</v>
      </c>
      <c r="P62" s="700">
        <f t="shared" si="23"/>
        <v>15.370413414720019</v>
      </c>
      <c r="Q62" s="700">
        <f t="shared" si="23"/>
        <v>-6.7103906044801533</v>
      </c>
      <c r="R62" s="700">
        <f t="shared" si="23"/>
        <v>-15.098275306963814</v>
      </c>
      <c r="S62" s="700">
        <f t="shared" si="23"/>
        <v>6.5570336698137623</v>
      </c>
      <c r="T62" s="700">
        <f t="shared" si="23"/>
        <v>-4.474626962407001</v>
      </c>
      <c r="U62" s="700">
        <f t="shared" si="23"/>
        <v>0.82532907951218704</v>
      </c>
      <c r="V62" s="701">
        <f t="shared" si="23"/>
        <v>-5.5141208563533439E-2</v>
      </c>
      <c r="W62" s="701">
        <f t="shared" si="23"/>
        <v>0</v>
      </c>
      <c r="X62" s="701">
        <f t="shared" si="23"/>
        <v>0</v>
      </c>
      <c r="Y62" s="700">
        <f t="shared" si="23"/>
        <v>0</v>
      </c>
      <c r="Z62" s="586">
        <f t="shared" si="23"/>
        <v>-27.064787097498538</v>
      </c>
      <c r="AA62" s="703">
        <f t="shared" si="23"/>
        <v>-9.9700943157868096</v>
      </c>
      <c r="AB62" s="704">
        <f t="shared" si="23"/>
        <v>0</v>
      </c>
      <c r="AC62" s="700">
        <f t="shared" si="23"/>
        <v>0</v>
      </c>
      <c r="AD62" s="700">
        <f t="shared" si="23"/>
        <v>-5.0033292701067751</v>
      </c>
      <c r="AE62" s="700">
        <f t="shared" si="23"/>
        <v>0</v>
      </c>
      <c r="AF62" s="700">
        <f t="shared" si="23"/>
        <v>0</v>
      </c>
      <c r="AG62" s="700">
        <f t="shared" si="23"/>
        <v>-4.9667650456800914</v>
      </c>
      <c r="AH62" s="703">
        <f t="shared" si="23"/>
        <v>0</v>
      </c>
      <c r="AI62" s="700">
        <f t="shared" si="23"/>
        <v>0</v>
      </c>
      <c r="AJ62" s="586">
        <f t="shared" si="23"/>
        <v>0</v>
      </c>
      <c r="AK62" s="586">
        <f t="shared" si="23"/>
        <v>27.258146748843501</v>
      </c>
      <c r="AL62" s="703">
        <f t="shared" si="23"/>
        <v>0</v>
      </c>
      <c r="AM62" s="587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405" t="s">
        <v>280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406" t="s">
        <v>281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407" t="s">
        <v>282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408" t="s">
        <v>283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409" t="s">
        <v>284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410" t="s">
        <v>285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410" t="s">
        <v>286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417" t="s">
        <v>287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259" t="s">
        <v>288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K151"/>
  <sheetViews>
    <sheetView workbookViewId="0">
      <selection activeCell="D27" sqref="D27"/>
    </sheetView>
    <sheetView tabSelected="1" topLeftCell="A77" zoomScale="85" zoomScaleNormal="85" workbookViewId="1">
      <selection activeCell="M118" sqref="M118"/>
    </sheetView>
  </sheetViews>
  <sheetFormatPr defaultRowHeight="12.75"/>
  <cols>
    <col min="1" max="1" width="15.7109375" style="78" customWidth="1"/>
    <col min="2" max="17" width="10.7109375" style="78" customWidth="1"/>
    <col min="18" max="19" width="13.7109375" style="78" customWidth="1"/>
    <col min="20" max="20" width="12.28515625" style="78" customWidth="1"/>
    <col min="21" max="21" width="12.140625" style="78" customWidth="1"/>
    <col min="22" max="22" width="15.42578125" style="78" customWidth="1"/>
    <col min="23" max="23" width="12.7109375" style="78" customWidth="1"/>
    <col min="24" max="24" width="11.7109375" style="212" customWidth="1"/>
    <col min="25" max="25" width="14" style="78" customWidth="1"/>
    <col min="26" max="27" width="15.7109375" style="78" customWidth="1"/>
    <col min="28" max="16384" width="9.140625" style="78"/>
  </cols>
  <sheetData>
    <row r="1" spans="1:28">
      <c r="A1" s="101" t="s">
        <v>289</v>
      </c>
      <c r="B1" s="102" t="s">
        <v>290</v>
      </c>
      <c r="C1" s="103"/>
      <c r="D1" s="103"/>
      <c r="E1" s="103"/>
      <c r="F1" s="104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212"/>
    </row>
    <row r="2" spans="1:28">
      <c r="A2" s="105" t="s">
        <v>291</v>
      </c>
      <c r="B2" s="102" t="s">
        <v>4</v>
      </c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212"/>
      <c r="O2" s="212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212"/>
    </row>
    <row r="3" spans="1:28">
      <c r="A3" s="101" t="s">
        <v>292</v>
      </c>
      <c r="B3" s="106">
        <v>2018</v>
      </c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</row>
    <row r="4" spans="1:28" ht="13.5" thickBot="1">
      <c r="A4" s="107" t="s">
        <v>293</v>
      </c>
      <c r="B4" s="108">
        <v>4.1868000000000002E-2</v>
      </c>
      <c r="C4" s="109"/>
      <c r="D4" s="103"/>
      <c r="E4" s="110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</row>
    <row r="5" spans="1:28">
      <c r="A5" s="103"/>
      <c r="B5" s="103"/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3"/>
      <c r="Z5" s="103"/>
      <c r="AA5" s="103"/>
      <c r="AB5" s="103"/>
    </row>
    <row r="6" spans="1:28" ht="13.5" thickBot="1">
      <c r="A6" s="103"/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</row>
    <row r="7" spans="1:28">
      <c r="A7" s="772" t="s">
        <v>294</v>
      </c>
      <c r="B7" s="773"/>
      <c r="C7" s="774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3"/>
      <c r="O7" s="103"/>
      <c r="P7" s="103"/>
      <c r="Q7" s="103"/>
      <c r="R7" s="103"/>
      <c r="S7" s="103"/>
      <c r="T7" s="103"/>
      <c r="U7" s="103"/>
      <c r="V7" s="103"/>
      <c r="W7" s="103"/>
      <c r="X7" s="103"/>
      <c r="Y7" s="103"/>
      <c r="Z7" s="103"/>
      <c r="AA7" s="103"/>
      <c r="AB7" s="103"/>
    </row>
    <row r="8" spans="1:28" s="212" customFormat="1" ht="13.5" thickBot="1">
      <c r="A8" s="775" t="s">
        <v>295</v>
      </c>
      <c r="B8" s="776" t="s">
        <v>13</v>
      </c>
      <c r="C8" s="777" t="s">
        <v>53</v>
      </c>
      <c r="D8" s="103"/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  <c r="AB8" s="103"/>
    </row>
    <row r="9" spans="1:28" s="212" customFormat="1" ht="12" customHeight="1">
      <c r="A9" s="778" t="s">
        <v>296</v>
      </c>
      <c r="B9" s="798" t="str">
        <f>EnergyBalance!$D1</f>
        <v xml:space="preserve"> Bituminous Coal</v>
      </c>
      <c r="C9" s="798">
        <f>EnergyBalance!D56*RSD_Balance!$B$4</f>
        <v>3.2459338530121671</v>
      </c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</row>
    <row r="10" spans="1:28" s="212" customFormat="1" ht="12" customHeight="1">
      <c r="A10" s="779" t="s">
        <v>297</v>
      </c>
      <c r="B10" s="799" t="str">
        <f>EnergyBalance!E1</f>
        <v xml:space="preserve"> Anthracite + Manufactured Ovoids</v>
      </c>
      <c r="C10" s="799">
        <f>EnergyBalance!E56*RSD_Balance!$B$4</f>
        <v>2.936284539060845</v>
      </c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</row>
    <row r="11" spans="1:28" s="212" customFormat="1" ht="12" customHeight="1">
      <c r="A11" s="780" t="s">
        <v>298</v>
      </c>
      <c r="B11" s="800" t="str">
        <f>EnergyBalance!F1</f>
        <v xml:space="preserve"> Coke</v>
      </c>
      <c r="C11" s="800">
        <f>EnergyBalance!F56*RSD_Balance!$B$4</f>
        <v>0</v>
      </c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</row>
    <row r="12" spans="1:28" s="212" customFormat="1" ht="12" customHeight="1">
      <c r="A12" s="779" t="s">
        <v>299</v>
      </c>
      <c r="B12" s="799" t="str">
        <f>EnergyBalance!G1</f>
        <v xml:space="preserve"> Lignite \ Brown Coal Briquettes</v>
      </c>
      <c r="C12" s="799">
        <f>EnergyBalance!G56*RSD_Balance!$B$4</f>
        <v>0.31508081483866479</v>
      </c>
      <c r="D12" s="103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</row>
    <row r="13" spans="1:28" s="212" customFormat="1" ht="12" customHeight="1">
      <c r="A13" s="780" t="s">
        <v>816</v>
      </c>
      <c r="B13" s="800" t="str">
        <f>EnergyBalance!H1</f>
        <v xml:space="preserve"> Peat</v>
      </c>
      <c r="C13" s="800">
        <f>EnergyBalance!H56*RSD_Balance!$B$4</f>
        <v>8.22868674342444</v>
      </c>
      <c r="D13" s="103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</row>
    <row r="14" spans="1:28" s="212" customFormat="1" ht="12" customHeight="1">
      <c r="A14" s="779" t="s">
        <v>301</v>
      </c>
      <c r="B14" s="799" t="str">
        <f>EnergyBalance!S1</f>
        <v xml:space="preserve"> LPG</v>
      </c>
      <c r="C14" s="799">
        <f>EnergyBalance!S56*RSD_Balance!$B$4</f>
        <v>1.8263239604601826</v>
      </c>
      <c r="D14" s="103"/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</row>
    <row r="15" spans="1:28" s="212" customFormat="1" ht="12" customHeight="1">
      <c r="A15" s="780" t="s">
        <v>302</v>
      </c>
      <c r="B15" s="800" t="str">
        <f>EnergyBalance!O1</f>
        <v xml:space="preserve"> Gasoline</v>
      </c>
      <c r="C15" s="800">
        <f>EnergyBalance!O56*$B$4</f>
        <v>0</v>
      </c>
      <c r="D15" s="103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</row>
    <row r="16" spans="1:28" s="212" customFormat="1" ht="12" customHeight="1">
      <c r="A16" s="779" t="s">
        <v>303</v>
      </c>
      <c r="B16" s="799" t="str">
        <f>EnergyBalance!P1</f>
        <v xml:space="preserve"> Kerosene</v>
      </c>
      <c r="C16" s="799">
        <f>EnergyBalance!P56*RSD_Balance!$B$4</f>
        <v>35.670303433474402</v>
      </c>
      <c r="D16" s="103"/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</row>
    <row r="17" spans="1:28" s="212" customFormat="1" ht="12" customHeight="1">
      <c r="A17" s="780" t="s">
        <v>304</v>
      </c>
      <c r="B17" s="800" t="str">
        <f>EnergyBalance!T1</f>
        <v xml:space="preserve"> Gasoil / Diesel /DERV</v>
      </c>
      <c r="C17" s="800">
        <f>EnergyBalance!T56*RSD_Balance!$B$4</f>
        <v>6.6971734118003301</v>
      </c>
      <c r="D17" s="103"/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</row>
    <row r="18" spans="1:28" s="212" customFormat="1" ht="12" customHeight="1">
      <c r="A18" s="779" t="s">
        <v>305</v>
      </c>
      <c r="B18" s="799" t="str">
        <f>EnergyBalance!R1</f>
        <v xml:space="preserve"> Fueloil</v>
      </c>
      <c r="C18" s="799">
        <f>EnergyBalance!R56*RSD_Balance!$B$4</f>
        <v>0</v>
      </c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</row>
    <row r="19" spans="1:28" s="212" customFormat="1" ht="12" customHeight="1">
      <c r="A19" s="780" t="s">
        <v>306</v>
      </c>
      <c r="B19" s="800" t="str">
        <f>EnergyBalance!U1</f>
        <v xml:space="preserve"> Petroleum Coke</v>
      </c>
      <c r="C19" s="800">
        <f>EnergyBalance!U56*RSD_Balance!$B$4</f>
        <v>0.14696868507580046</v>
      </c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</row>
    <row r="20" spans="1:28" s="212" customFormat="1" ht="12" customHeight="1">
      <c r="A20" s="779" t="s">
        <v>307</v>
      </c>
      <c r="B20" s="799" t="str">
        <f>EnergyBalance!Z1</f>
        <v xml:space="preserve"> Natural Gas</v>
      </c>
      <c r="C20" s="799">
        <f>EnergyBalance!Z56*RSD_Balance!$B$4</f>
        <v>25.292197479166735</v>
      </c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</row>
    <row r="21" spans="1:28" s="212" customFormat="1" ht="12" customHeight="1">
      <c r="A21" s="780" t="s">
        <v>308</v>
      </c>
      <c r="B21" s="800" t="str">
        <f>EnergyBalance!AH1</f>
        <v xml:space="preserve"> Solar</v>
      </c>
      <c r="C21" s="800">
        <f>EnergyBalance!AH56*RSD_Balance!$B$4</f>
        <v>0.56017671356000831</v>
      </c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</row>
    <row r="22" spans="1:28" s="212" customFormat="1" ht="12" customHeight="1">
      <c r="A22" s="779" t="s">
        <v>309</v>
      </c>
      <c r="B22" s="799" t="str">
        <f>EnergyBalance!AD1</f>
        <v xml:space="preserve"> Biomass &amp;   Renewable  Waste</v>
      </c>
      <c r="C22" s="799">
        <f>EnergyBalance!AD56*RSD_Balance!$B$4</f>
        <v>1.1663445324142983</v>
      </c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</row>
    <row r="23" spans="1:28" s="212" customFormat="1" ht="12" customHeight="1">
      <c r="A23" s="780" t="s">
        <v>310</v>
      </c>
      <c r="B23" s="800" t="str">
        <f>EnergyBalance!AF1</f>
        <v xml:space="preserve"> Biogas</v>
      </c>
      <c r="C23" s="800">
        <f>EnergyBalance!AF56*RSD_Balance!$B$4</f>
        <v>0</v>
      </c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</row>
    <row r="24" spans="1:28" s="212" customFormat="1" ht="12" customHeight="1">
      <c r="A24" s="779" t="s">
        <v>311</v>
      </c>
      <c r="B24" s="799" t="str">
        <f>EnergyBalance!AE1</f>
        <v xml:space="preserve"> Landfill Gas</v>
      </c>
      <c r="C24" s="799">
        <f>EnergyBalance!AE56*RSD_Balance!$B$4</f>
        <v>0</v>
      </c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</row>
    <row r="25" spans="1:28" s="212" customFormat="1" ht="12" customHeight="1">
      <c r="A25" s="780" t="s">
        <v>312</v>
      </c>
      <c r="B25" s="800" t="str">
        <f>EnergyBalance!AI1</f>
        <v xml:space="preserve"> Geothermal</v>
      </c>
      <c r="C25" s="800">
        <f>EnergyBalance!AI56*RSD_Balance!$B$4</f>
        <v>1.1367099712825202</v>
      </c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</row>
    <row r="26" spans="1:28" s="212" customFormat="1" ht="12" customHeight="1">
      <c r="A26" s="779" t="s">
        <v>313</v>
      </c>
      <c r="B26" s="799" t="s">
        <v>314</v>
      </c>
      <c r="C26" s="799">
        <f>EnergyBalance!AG56*RSD_Balance!$B$4*0.5</f>
        <v>0</v>
      </c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</row>
    <row r="27" spans="1:28" s="212" customFormat="1" ht="12" customHeight="1">
      <c r="A27" s="780" t="s">
        <v>315</v>
      </c>
      <c r="B27" s="800" t="s">
        <v>316</v>
      </c>
      <c r="C27" s="800">
        <f>EnergyBalance!AG56*RSD_Balance!$B$4*0.5</f>
        <v>0</v>
      </c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</row>
    <row r="28" spans="1:28" s="212" customFormat="1" ht="12" customHeight="1">
      <c r="A28" s="779" t="s">
        <v>317</v>
      </c>
      <c r="B28" s="799" t="str">
        <f>EnergyBalance!AJ1</f>
        <v xml:space="preserve"> Non-Renewable  Waste</v>
      </c>
      <c r="C28" s="799">
        <f>EnergyBalance!AJ56*RSD_Balance!$B$4</f>
        <v>0</v>
      </c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</row>
    <row r="29" spans="1:28" s="212" customFormat="1" ht="12" customHeight="1">
      <c r="A29" s="780" t="s">
        <v>318</v>
      </c>
      <c r="B29" s="800" t="str">
        <f>EnergyBalance!AK1</f>
        <v xml:space="preserve"> Electricity</v>
      </c>
      <c r="C29" s="800">
        <f>EnergyBalance!AK56*RSD_Balance!$B$4</f>
        <v>29.430890206847998</v>
      </c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</row>
    <row r="30" spans="1:28" s="212" customFormat="1" ht="12" customHeight="1">
      <c r="A30" s="779" t="s">
        <v>319</v>
      </c>
      <c r="B30" s="799" t="str">
        <f>EnergyBalance!AL1</f>
        <v xml:space="preserve"> Heat</v>
      </c>
      <c r="C30" s="799">
        <f>EnergyBalance!AL56*RSD_Balance!$B$4</f>
        <v>0</v>
      </c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</row>
    <row r="31" spans="1:28" s="212" customFormat="1" ht="15.75" thickBot="1">
      <c r="A31" s="781"/>
      <c r="B31" s="782" t="s">
        <v>320</v>
      </c>
      <c r="C31" s="783">
        <f>SUM(C9:C30)</f>
        <v>116.65307434441837</v>
      </c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</row>
    <row r="32" spans="1:28" s="212" customFormat="1">
      <c r="A32" s="103"/>
      <c r="B32" s="103"/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</row>
    <row r="33" spans="1:27">
      <c r="A33" s="103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</row>
    <row r="34" spans="1:27" ht="13.5" thickBot="1">
      <c r="A34" s="103"/>
      <c r="B34" s="103"/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</row>
    <row r="35" spans="1:27" ht="13.5" thickBot="1">
      <c r="A35" s="1032" t="s">
        <v>321</v>
      </c>
      <c r="B35" s="1033"/>
      <c r="C35" s="1033"/>
      <c r="D35" s="1033"/>
      <c r="E35" s="1033"/>
      <c r="F35" s="1033"/>
      <c r="G35" s="1033"/>
      <c r="H35" s="1033"/>
      <c r="I35" s="1033"/>
      <c r="J35" s="1033"/>
      <c r="K35" s="1033"/>
      <c r="L35" s="1033"/>
      <c r="M35" s="1033"/>
      <c r="N35" s="1034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</row>
    <row r="36" spans="1:27" s="212" customFormat="1" ht="13.5" thickBot="1">
      <c r="A36" s="1030" t="s">
        <v>295</v>
      </c>
      <c r="B36" s="1028" t="s">
        <v>322</v>
      </c>
      <c r="C36" s="1028"/>
      <c r="D36" s="1028"/>
      <c r="E36" s="1028"/>
      <c r="F36" s="1028"/>
      <c r="G36" s="1028"/>
      <c r="H36" s="1028"/>
      <c r="I36" s="1028"/>
      <c r="J36" s="1028"/>
      <c r="K36" s="1028"/>
      <c r="L36" s="1028"/>
      <c r="M36" s="1029"/>
      <c r="N36" s="1030" t="s">
        <v>320</v>
      </c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</row>
    <row r="37" spans="1:27" s="212" customFormat="1" ht="27.75" customHeight="1" thickBot="1">
      <c r="A37" s="1031"/>
      <c r="B37" s="784" t="s">
        <v>323</v>
      </c>
      <c r="C37" s="784" t="s">
        <v>324</v>
      </c>
      <c r="D37" s="784" t="s">
        <v>325</v>
      </c>
      <c r="E37" s="784" t="s">
        <v>326</v>
      </c>
      <c r="F37" s="784" t="s">
        <v>327</v>
      </c>
      <c r="G37" s="784" t="s">
        <v>328</v>
      </c>
      <c r="H37" s="784" t="s">
        <v>329</v>
      </c>
      <c r="I37" s="784" t="s">
        <v>330</v>
      </c>
      <c r="J37" s="784" t="s">
        <v>331</v>
      </c>
      <c r="K37" s="784" t="s">
        <v>332</v>
      </c>
      <c r="L37" s="784" t="s">
        <v>333</v>
      </c>
      <c r="M37" s="785" t="s">
        <v>334</v>
      </c>
      <c r="N37" s="1031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</row>
    <row r="38" spans="1:27">
      <c r="A38" s="786" t="s">
        <v>296</v>
      </c>
      <c r="B38" s="786"/>
      <c r="C38" s="786"/>
      <c r="D38" s="786"/>
      <c r="E38" s="786"/>
      <c r="F38" s="786"/>
      <c r="G38" s="786"/>
      <c r="H38" s="786"/>
      <c r="I38" s="786"/>
      <c r="J38" s="786"/>
      <c r="K38" s="786"/>
      <c r="L38" s="786"/>
      <c r="M38" s="786"/>
      <c r="N38" s="786"/>
      <c r="O38" s="103"/>
      <c r="P38" s="114"/>
      <c r="Q38" s="113"/>
      <c r="R38" s="113"/>
      <c r="S38" s="113"/>
      <c r="T38" s="113"/>
      <c r="U38" s="113"/>
      <c r="V38" s="113"/>
      <c r="W38" s="113"/>
      <c r="X38" s="113"/>
      <c r="Y38" s="113"/>
      <c r="Z38" s="212"/>
      <c r="AA38" s="212"/>
    </row>
    <row r="39" spans="1:27">
      <c r="A39" s="787" t="s">
        <v>297</v>
      </c>
      <c r="B39" s="787"/>
      <c r="C39" s="787"/>
      <c r="D39" s="787"/>
      <c r="E39" s="787"/>
      <c r="F39" s="787"/>
      <c r="G39" s="787"/>
      <c r="H39" s="787"/>
      <c r="I39" s="787"/>
      <c r="J39" s="787"/>
      <c r="K39" s="787"/>
      <c r="L39" s="787"/>
      <c r="M39" s="787"/>
      <c r="N39" s="787"/>
      <c r="O39" s="103"/>
      <c r="P39" s="114"/>
      <c r="Q39" s="113"/>
      <c r="R39" s="113"/>
      <c r="S39" s="113"/>
      <c r="T39" s="113"/>
      <c r="U39" s="113"/>
      <c r="V39" s="113"/>
      <c r="W39" s="113"/>
      <c r="X39" s="113"/>
      <c r="Y39" s="113"/>
      <c r="Z39" s="212"/>
      <c r="AA39" s="212"/>
    </row>
    <row r="40" spans="1:27">
      <c r="A40" s="788" t="s">
        <v>298</v>
      </c>
      <c r="B40" s="788"/>
      <c r="C40" s="788"/>
      <c r="D40" s="788"/>
      <c r="E40" s="788"/>
      <c r="F40" s="788"/>
      <c r="G40" s="788"/>
      <c r="H40" s="788"/>
      <c r="I40" s="788"/>
      <c r="J40" s="788"/>
      <c r="K40" s="788"/>
      <c r="L40" s="788"/>
      <c r="M40" s="788"/>
      <c r="N40" s="788"/>
      <c r="O40" s="103"/>
      <c r="P40" s="114"/>
      <c r="Q40" s="113"/>
      <c r="R40" s="113"/>
      <c r="S40" s="113"/>
      <c r="T40" s="113"/>
      <c r="U40" s="113"/>
      <c r="V40" s="113"/>
      <c r="W40" s="113"/>
      <c r="X40" s="113"/>
      <c r="Y40" s="113"/>
      <c r="Z40" s="212"/>
      <c r="AA40" s="212"/>
    </row>
    <row r="41" spans="1:27">
      <c r="A41" s="787" t="s">
        <v>299</v>
      </c>
      <c r="B41" s="787"/>
      <c r="C41" s="787"/>
      <c r="D41" s="787"/>
      <c r="E41" s="787"/>
      <c r="F41" s="787"/>
      <c r="G41" s="787"/>
      <c r="H41" s="787"/>
      <c r="I41" s="787"/>
      <c r="J41" s="787"/>
      <c r="K41" s="787"/>
      <c r="L41" s="787"/>
      <c r="M41" s="787"/>
      <c r="N41" s="787"/>
      <c r="O41" s="103"/>
      <c r="P41" s="114"/>
      <c r="Q41" s="113"/>
      <c r="R41" s="113"/>
      <c r="S41" s="113"/>
      <c r="T41" s="113"/>
      <c r="U41" s="113"/>
      <c r="V41" s="113"/>
      <c r="W41" s="113"/>
      <c r="X41" s="113"/>
      <c r="Y41" s="113"/>
      <c r="Z41" s="212"/>
      <c r="AA41" s="212"/>
    </row>
    <row r="42" spans="1:27">
      <c r="A42" s="788" t="s">
        <v>300</v>
      </c>
      <c r="B42" s="788"/>
      <c r="C42" s="788"/>
      <c r="D42" s="788"/>
      <c r="E42" s="788"/>
      <c r="F42" s="788"/>
      <c r="G42" s="788"/>
      <c r="H42" s="788"/>
      <c r="I42" s="788"/>
      <c r="J42" s="788"/>
      <c r="K42" s="788"/>
      <c r="L42" s="788"/>
      <c r="M42" s="788"/>
      <c r="N42" s="788"/>
      <c r="O42" s="103"/>
      <c r="P42" s="114"/>
      <c r="Q42" s="113"/>
      <c r="R42" s="113"/>
      <c r="S42" s="113"/>
      <c r="T42" s="113"/>
      <c r="U42" s="113"/>
      <c r="V42" s="113"/>
      <c r="W42" s="113"/>
      <c r="X42" s="113"/>
      <c r="Y42" s="113"/>
      <c r="Z42" s="212"/>
      <c r="AA42" s="212"/>
    </row>
    <row r="43" spans="1:27">
      <c r="A43" s="787" t="s">
        <v>301</v>
      </c>
      <c r="B43" s="787"/>
      <c r="C43" s="787"/>
      <c r="D43" s="787"/>
      <c r="E43" s="787"/>
      <c r="F43" s="787"/>
      <c r="G43" s="787"/>
      <c r="H43" s="787"/>
      <c r="I43" s="787"/>
      <c r="J43" s="787"/>
      <c r="K43" s="787"/>
      <c r="L43" s="787"/>
      <c r="M43" s="787"/>
      <c r="N43" s="787"/>
      <c r="O43" s="103"/>
      <c r="P43" s="114"/>
      <c r="Q43" s="113"/>
      <c r="R43" s="113"/>
      <c r="S43" s="113"/>
      <c r="T43" s="113"/>
      <c r="U43" s="113"/>
      <c r="V43" s="113"/>
      <c r="W43" s="113"/>
      <c r="X43" s="113"/>
      <c r="Y43" s="113"/>
      <c r="Z43" s="212"/>
      <c r="AA43" s="212"/>
    </row>
    <row r="44" spans="1:27">
      <c r="A44" s="788" t="s">
        <v>302</v>
      </c>
      <c r="B44" s="788"/>
      <c r="C44" s="788"/>
      <c r="D44" s="788"/>
      <c r="E44" s="788"/>
      <c r="F44" s="788"/>
      <c r="G44" s="788"/>
      <c r="H44" s="788"/>
      <c r="I44" s="788"/>
      <c r="J44" s="788"/>
      <c r="K44" s="788"/>
      <c r="L44" s="788"/>
      <c r="M44" s="788"/>
      <c r="N44" s="788"/>
      <c r="O44" s="103"/>
      <c r="P44" s="114"/>
      <c r="Q44" s="113"/>
      <c r="R44" s="113"/>
      <c r="S44" s="113"/>
      <c r="T44" s="113"/>
      <c r="U44" s="113"/>
      <c r="V44" s="113"/>
      <c r="W44" s="113"/>
      <c r="X44" s="113"/>
      <c r="Y44" s="113"/>
      <c r="Z44" s="212"/>
      <c r="AA44" s="212"/>
    </row>
    <row r="45" spans="1:27">
      <c r="A45" s="787" t="s">
        <v>303</v>
      </c>
      <c r="B45" s="787"/>
      <c r="C45" s="787"/>
      <c r="D45" s="787"/>
      <c r="E45" s="787"/>
      <c r="F45" s="787"/>
      <c r="G45" s="787"/>
      <c r="H45" s="787"/>
      <c r="I45" s="787"/>
      <c r="J45" s="787"/>
      <c r="K45" s="787"/>
      <c r="L45" s="787"/>
      <c r="M45" s="787"/>
      <c r="N45" s="787"/>
      <c r="O45" s="103"/>
      <c r="P45" s="114"/>
      <c r="Q45" s="113"/>
      <c r="R45" s="113"/>
      <c r="S45" s="113"/>
      <c r="T45" s="113"/>
      <c r="U45" s="113"/>
      <c r="V45" s="113"/>
      <c r="W45" s="113"/>
      <c r="X45" s="113"/>
      <c r="Y45" s="113"/>
      <c r="Z45" s="212"/>
      <c r="AA45" s="212"/>
    </row>
    <row r="46" spans="1:27">
      <c r="A46" s="788" t="s">
        <v>304</v>
      </c>
      <c r="B46" s="788"/>
      <c r="C46" s="788"/>
      <c r="D46" s="788"/>
      <c r="E46" s="788"/>
      <c r="F46" s="788"/>
      <c r="G46" s="788"/>
      <c r="H46" s="788"/>
      <c r="I46" s="788"/>
      <c r="J46" s="788"/>
      <c r="K46" s="788"/>
      <c r="L46" s="788"/>
      <c r="M46" s="788"/>
      <c r="N46" s="788"/>
      <c r="O46" s="103"/>
      <c r="P46" s="114"/>
      <c r="Q46" s="113"/>
      <c r="R46" s="113"/>
      <c r="S46" s="113"/>
      <c r="T46" s="113"/>
      <c r="U46" s="113"/>
      <c r="V46" s="113"/>
      <c r="W46" s="113"/>
      <c r="X46" s="113"/>
      <c r="Y46" s="113"/>
      <c r="Z46" s="212"/>
      <c r="AA46" s="212"/>
    </row>
    <row r="47" spans="1:27">
      <c r="A47" s="787" t="s">
        <v>305</v>
      </c>
      <c r="B47" s="787"/>
      <c r="C47" s="787"/>
      <c r="D47" s="787"/>
      <c r="E47" s="787"/>
      <c r="F47" s="787"/>
      <c r="G47" s="787"/>
      <c r="H47" s="787"/>
      <c r="I47" s="787"/>
      <c r="J47" s="787"/>
      <c r="K47" s="787"/>
      <c r="L47" s="787"/>
      <c r="M47" s="787"/>
      <c r="N47" s="787"/>
      <c r="O47" s="113"/>
      <c r="P47" s="114"/>
      <c r="Q47" s="113"/>
      <c r="R47" s="113"/>
      <c r="S47" s="113"/>
      <c r="T47" s="113"/>
      <c r="U47" s="113"/>
      <c r="V47" s="113"/>
      <c r="W47" s="113"/>
      <c r="X47" s="113"/>
      <c r="Y47" s="113"/>
      <c r="Z47" s="212"/>
      <c r="AA47" s="212"/>
    </row>
    <row r="48" spans="1:27">
      <c r="A48" s="788" t="s">
        <v>306</v>
      </c>
      <c r="B48" s="788"/>
      <c r="C48" s="788"/>
      <c r="D48" s="788"/>
      <c r="E48" s="788"/>
      <c r="F48" s="788"/>
      <c r="G48" s="788"/>
      <c r="H48" s="788"/>
      <c r="I48" s="788"/>
      <c r="J48" s="788"/>
      <c r="K48" s="788"/>
      <c r="L48" s="788"/>
      <c r="M48" s="788"/>
      <c r="N48" s="788"/>
      <c r="O48" s="212"/>
      <c r="P48" s="114"/>
      <c r="Q48" s="113"/>
      <c r="R48" s="113"/>
      <c r="S48" s="113"/>
      <c r="T48" s="113"/>
      <c r="U48" s="113"/>
      <c r="V48" s="113"/>
      <c r="W48" s="113"/>
      <c r="X48" s="113"/>
      <c r="Y48" s="113"/>
      <c r="Z48" s="103"/>
      <c r="AA48" s="143"/>
    </row>
    <row r="49" spans="1:37">
      <c r="A49" s="787" t="s">
        <v>307</v>
      </c>
      <c r="B49" s="787"/>
      <c r="C49" s="787"/>
      <c r="D49" s="787"/>
      <c r="E49" s="787"/>
      <c r="F49" s="787"/>
      <c r="G49" s="787"/>
      <c r="H49" s="787"/>
      <c r="I49" s="787"/>
      <c r="J49" s="787"/>
      <c r="K49" s="787"/>
      <c r="L49" s="787"/>
      <c r="M49" s="787"/>
      <c r="N49" s="787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212"/>
      <c r="AC49" s="212"/>
      <c r="AD49" s="212"/>
      <c r="AE49" s="212"/>
      <c r="AF49" s="212"/>
      <c r="AG49" s="212"/>
      <c r="AH49" s="212"/>
      <c r="AI49" s="212"/>
      <c r="AJ49" s="212"/>
      <c r="AK49" s="212"/>
    </row>
    <row r="50" spans="1:37" s="212" customFormat="1">
      <c r="A50" s="788" t="s">
        <v>308</v>
      </c>
      <c r="B50" s="788"/>
      <c r="C50" s="788"/>
      <c r="D50" s="788"/>
      <c r="E50" s="788"/>
      <c r="F50" s="788"/>
      <c r="G50" s="788"/>
      <c r="H50" s="788"/>
      <c r="I50" s="788"/>
      <c r="J50" s="788"/>
      <c r="K50" s="788"/>
      <c r="L50" s="788"/>
      <c r="M50" s="788"/>
      <c r="N50" s="788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</row>
    <row r="51" spans="1:37" s="212" customFormat="1">
      <c r="A51" s="787" t="s">
        <v>309</v>
      </c>
      <c r="B51" s="787"/>
      <c r="C51" s="787"/>
      <c r="D51" s="787"/>
      <c r="E51" s="787"/>
      <c r="F51" s="787"/>
      <c r="G51" s="787"/>
      <c r="H51" s="787"/>
      <c r="I51" s="787"/>
      <c r="J51" s="787"/>
      <c r="K51" s="787"/>
      <c r="L51" s="787"/>
      <c r="M51" s="787"/>
      <c r="N51" s="787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</row>
    <row r="52" spans="1:37" s="212" customFormat="1">
      <c r="A52" s="788" t="s">
        <v>335</v>
      </c>
      <c r="B52" s="788"/>
      <c r="C52" s="788"/>
      <c r="D52" s="788"/>
      <c r="E52" s="788"/>
      <c r="F52" s="788"/>
      <c r="G52" s="788"/>
      <c r="H52" s="788"/>
      <c r="I52" s="788"/>
      <c r="J52" s="788"/>
      <c r="K52" s="788"/>
      <c r="L52" s="788"/>
      <c r="M52" s="788"/>
      <c r="N52" s="788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</row>
    <row r="53" spans="1:37" s="212" customFormat="1">
      <c r="A53" s="787" t="s">
        <v>311</v>
      </c>
      <c r="B53" s="787"/>
      <c r="C53" s="787"/>
      <c r="D53" s="787"/>
      <c r="E53" s="787"/>
      <c r="F53" s="787"/>
      <c r="G53" s="787"/>
      <c r="H53" s="787"/>
      <c r="I53" s="787"/>
      <c r="J53" s="787"/>
      <c r="K53" s="787"/>
      <c r="L53" s="787"/>
      <c r="M53" s="787"/>
      <c r="N53" s="787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</row>
    <row r="54" spans="1:37" s="212" customFormat="1">
      <c r="A54" s="786" t="s">
        <v>312</v>
      </c>
      <c r="B54" s="786"/>
      <c r="C54" s="786"/>
      <c r="D54" s="786"/>
      <c r="E54" s="786"/>
      <c r="F54" s="786"/>
      <c r="G54" s="786"/>
      <c r="H54" s="786"/>
      <c r="I54" s="786"/>
      <c r="J54" s="786"/>
      <c r="K54" s="786"/>
      <c r="L54" s="786"/>
      <c r="M54" s="786"/>
      <c r="N54" s="786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</row>
    <row r="55" spans="1:37" s="212" customFormat="1">
      <c r="A55" s="787" t="s">
        <v>313</v>
      </c>
      <c r="B55" s="787"/>
      <c r="C55" s="787"/>
      <c r="D55" s="787"/>
      <c r="E55" s="787"/>
      <c r="F55" s="787"/>
      <c r="G55" s="787"/>
      <c r="H55" s="787"/>
      <c r="I55" s="787"/>
      <c r="J55" s="787"/>
      <c r="K55" s="787"/>
      <c r="L55" s="787"/>
      <c r="M55" s="787"/>
      <c r="N55" s="787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</row>
    <row r="56" spans="1:37">
      <c r="A56" s="788" t="s">
        <v>315</v>
      </c>
      <c r="B56" s="788"/>
      <c r="C56" s="788"/>
      <c r="D56" s="788"/>
      <c r="E56" s="788"/>
      <c r="F56" s="788"/>
      <c r="G56" s="788"/>
      <c r="H56" s="788"/>
      <c r="I56" s="788"/>
      <c r="J56" s="788"/>
      <c r="K56" s="788"/>
      <c r="L56" s="788"/>
      <c r="M56" s="788"/>
      <c r="N56" s="788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212"/>
      <c r="AC56" s="212"/>
      <c r="AD56" s="212"/>
      <c r="AE56" s="212"/>
      <c r="AF56" s="212"/>
      <c r="AG56" s="212"/>
      <c r="AH56" s="212"/>
      <c r="AI56" s="212"/>
      <c r="AJ56" s="212"/>
      <c r="AK56" s="212"/>
    </row>
    <row r="57" spans="1:37" s="212" customFormat="1">
      <c r="A57" s="787" t="s">
        <v>317</v>
      </c>
      <c r="B57" s="787"/>
      <c r="C57" s="787"/>
      <c r="D57" s="787"/>
      <c r="E57" s="787"/>
      <c r="F57" s="787"/>
      <c r="G57" s="787"/>
      <c r="H57" s="787"/>
      <c r="I57" s="787"/>
      <c r="J57" s="787"/>
      <c r="K57" s="787"/>
      <c r="L57" s="787"/>
      <c r="M57" s="787"/>
      <c r="N57" s="787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</row>
    <row r="58" spans="1:37" s="212" customFormat="1">
      <c r="A58" s="788" t="s">
        <v>318</v>
      </c>
      <c r="B58" s="788"/>
      <c r="C58" s="788"/>
      <c r="D58" s="788"/>
      <c r="E58" s="788"/>
      <c r="F58" s="788"/>
      <c r="G58" s="788"/>
      <c r="H58" s="788"/>
      <c r="I58" s="788"/>
      <c r="J58" s="788"/>
      <c r="K58" s="788"/>
      <c r="L58" s="788"/>
      <c r="M58" s="788"/>
      <c r="N58" s="788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</row>
    <row r="59" spans="1:37" s="212" customFormat="1">
      <c r="A59" s="787" t="s">
        <v>319</v>
      </c>
      <c r="B59" s="787"/>
      <c r="C59" s="787"/>
      <c r="D59" s="787"/>
      <c r="E59" s="787"/>
      <c r="F59" s="787"/>
      <c r="G59" s="787"/>
      <c r="H59" s="787"/>
      <c r="I59" s="787"/>
      <c r="J59" s="787"/>
      <c r="K59" s="787"/>
      <c r="L59" s="787"/>
      <c r="M59" s="787"/>
      <c r="N59" s="787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</row>
    <row r="60" spans="1:37" ht="13.5" thickBot="1">
      <c r="A60" s="103"/>
      <c r="B60" s="103"/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M60" s="771" t="s">
        <v>336</v>
      </c>
      <c r="N60" s="771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</row>
    <row r="61" spans="1:37" ht="13.5" thickBot="1">
      <c r="A61" s="1032" t="s">
        <v>337</v>
      </c>
      <c r="B61" s="1033"/>
      <c r="C61" s="1033"/>
      <c r="D61" s="1033"/>
      <c r="E61" s="1033"/>
      <c r="F61" s="1033"/>
      <c r="G61" s="1033"/>
      <c r="H61" s="1033"/>
      <c r="I61" s="1033"/>
      <c r="J61" s="1034"/>
      <c r="K61" s="103"/>
      <c r="L61" s="103"/>
      <c r="M61" s="103"/>
      <c r="N61" s="103"/>
      <c r="O61" s="103"/>
      <c r="P61" s="212"/>
      <c r="Q61" s="212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</row>
    <row r="62" spans="1:37" ht="13.5" thickBot="1">
      <c r="A62" s="1026" t="s">
        <v>295</v>
      </c>
      <c r="B62" s="1023" t="s">
        <v>323</v>
      </c>
      <c r="C62" s="1024"/>
      <c r="D62" s="1025"/>
      <c r="E62" s="1023" t="s">
        <v>324</v>
      </c>
      <c r="F62" s="1024"/>
      <c r="G62" s="1025"/>
      <c r="H62" s="1023" t="s">
        <v>325</v>
      </c>
      <c r="I62" s="1024"/>
      <c r="J62" s="1025"/>
      <c r="K62" s="115"/>
      <c r="L62" s="115"/>
      <c r="M62" s="115"/>
      <c r="N62" s="103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  <c r="AA62" s="116"/>
      <c r="AB62" s="116"/>
      <c r="AC62" s="116"/>
      <c r="AD62" s="116"/>
      <c r="AE62" s="116"/>
      <c r="AF62" s="116"/>
      <c r="AG62" s="116"/>
      <c r="AH62" s="116"/>
      <c r="AI62" s="116"/>
      <c r="AJ62" s="116"/>
      <c r="AK62" s="116"/>
    </row>
    <row r="63" spans="1:37">
      <c r="A63" s="1027"/>
      <c r="B63" s="791" t="s">
        <v>102</v>
      </c>
      <c r="C63" s="792" t="s">
        <v>104</v>
      </c>
      <c r="D63" s="793" t="s">
        <v>106</v>
      </c>
      <c r="E63" s="791" t="s">
        <v>102</v>
      </c>
      <c r="F63" s="792" t="s">
        <v>104</v>
      </c>
      <c r="G63" s="793" t="s">
        <v>106</v>
      </c>
      <c r="H63" s="791" t="s">
        <v>102</v>
      </c>
      <c r="I63" s="792" t="s">
        <v>104</v>
      </c>
      <c r="J63" s="793" t="s">
        <v>106</v>
      </c>
      <c r="K63" s="115"/>
      <c r="L63" s="115"/>
      <c r="M63" s="115"/>
      <c r="N63" s="103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  <c r="AA63" s="116"/>
      <c r="AB63" s="116"/>
      <c r="AC63" s="116"/>
      <c r="AD63" s="116"/>
      <c r="AE63" s="116"/>
      <c r="AF63" s="116"/>
      <c r="AG63" s="116"/>
      <c r="AH63" s="116"/>
      <c r="AI63" s="116"/>
      <c r="AJ63" s="116"/>
      <c r="AK63" s="116"/>
    </row>
    <row r="64" spans="1:37" s="212" customFormat="1">
      <c r="A64" s="786" t="s">
        <v>296</v>
      </c>
      <c r="B64" s="786"/>
      <c r="C64" s="786"/>
      <c r="D64" s="786"/>
      <c r="E64" s="786"/>
      <c r="F64" s="786"/>
      <c r="G64" s="786"/>
      <c r="H64" s="786"/>
      <c r="I64" s="786"/>
      <c r="J64" s="786"/>
      <c r="K64" s="115"/>
      <c r="L64" s="115"/>
      <c r="M64" s="115"/>
      <c r="N64" s="103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  <c r="AA64" s="116"/>
      <c r="AB64" s="116"/>
      <c r="AC64" s="116"/>
      <c r="AD64" s="116"/>
      <c r="AE64" s="116"/>
      <c r="AF64" s="116"/>
      <c r="AG64" s="116"/>
      <c r="AH64" s="116"/>
      <c r="AI64" s="116"/>
      <c r="AJ64" s="116"/>
      <c r="AK64" s="116"/>
    </row>
    <row r="65" spans="1:37" s="212" customFormat="1">
      <c r="A65" s="787" t="s">
        <v>297</v>
      </c>
      <c r="B65" s="787"/>
      <c r="C65" s="787"/>
      <c r="D65" s="787"/>
      <c r="E65" s="787"/>
      <c r="F65" s="787"/>
      <c r="G65" s="787"/>
      <c r="H65" s="787"/>
      <c r="I65" s="787"/>
      <c r="J65" s="787"/>
      <c r="K65" s="115"/>
      <c r="L65" s="115"/>
      <c r="M65" s="115"/>
      <c r="N65" s="103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  <c r="AA65" s="116"/>
      <c r="AB65" s="116"/>
      <c r="AC65" s="116"/>
      <c r="AD65" s="116"/>
      <c r="AE65" s="116"/>
      <c r="AF65" s="116"/>
      <c r="AG65" s="116"/>
      <c r="AH65" s="116"/>
      <c r="AI65" s="116"/>
      <c r="AJ65" s="116"/>
      <c r="AK65" s="116"/>
    </row>
    <row r="66" spans="1:37" s="212" customFormat="1">
      <c r="A66" s="788" t="s">
        <v>298</v>
      </c>
      <c r="B66" s="788"/>
      <c r="C66" s="788"/>
      <c r="D66" s="788"/>
      <c r="E66" s="788"/>
      <c r="F66" s="788"/>
      <c r="G66" s="788"/>
      <c r="H66" s="788"/>
      <c r="I66" s="788"/>
      <c r="J66" s="788"/>
      <c r="K66" s="115"/>
      <c r="L66" s="115"/>
      <c r="M66" s="115"/>
      <c r="N66" s="103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  <c r="AA66" s="116"/>
      <c r="AB66" s="116"/>
      <c r="AC66" s="116"/>
      <c r="AD66" s="116"/>
      <c r="AE66" s="116"/>
      <c r="AF66" s="116"/>
      <c r="AG66" s="116"/>
      <c r="AH66" s="116"/>
      <c r="AI66" s="116"/>
      <c r="AJ66" s="116"/>
      <c r="AK66" s="116"/>
    </row>
    <row r="67" spans="1:37" s="212" customFormat="1">
      <c r="A67" s="787" t="s">
        <v>299</v>
      </c>
      <c r="B67" s="787"/>
      <c r="C67" s="787"/>
      <c r="D67" s="787"/>
      <c r="E67" s="787"/>
      <c r="F67" s="787"/>
      <c r="G67" s="787"/>
      <c r="H67" s="787"/>
      <c r="I67" s="787"/>
      <c r="J67" s="787"/>
      <c r="K67" s="115"/>
      <c r="L67" s="115"/>
      <c r="M67" s="115"/>
      <c r="N67" s="103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  <c r="AA67" s="116"/>
      <c r="AB67" s="116"/>
      <c r="AC67" s="116"/>
      <c r="AD67" s="116"/>
      <c r="AE67" s="116"/>
      <c r="AF67" s="116"/>
      <c r="AG67" s="116"/>
      <c r="AH67" s="116"/>
      <c r="AI67" s="116"/>
      <c r="AJ67" s="116"/>
      <c r="AK67" s="116"/>
    </row>
    <row r="68" spans="1:37" s="212" customFormat="1">
      <c r="A68" s="788" t="s">
        <v>300</v>
      </c>
      <c r="B68" s="788"/>
      <c r="C68" s="788"/>
      <c r="D68" s="788"/>
      <c r="E68" s="788"/>
      <c r="F68" s="788"/>
      <c r="G68" s="788"/>
      <c r="H68" s="788"/>
      <c r="I68" s="788"/>
      <c r="J68" s="788"/>
      <c r="K68" s="115"/>
      <c r="L68" s="115"/>
      <c r="M68" s="115"/>
      <c r="N68" s="103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  <c r="AA68" s="116"/>
      <c r="AB68" s="116"/>
      <c r="AC68" s="116"/>
      <c r="AD68" s="116"/>
      <c r="AE68" s="116"/>
      <c r="AF68" s="116"/>
      <c r="AG68" s="116"/>
      <c r="AH68" s="116"/>
      <c r="AI68" s="116"/>
      <c r="AJ68" s="116"/>
      <c r="AK68" s="116"/>
    </row>
    <row r="69" spans="1:37" s="212" customFormat="1">
      <c r="A69" s="787" t="s">
        <v>301</v>
      </c>
      <c r="B69" s="787"/>
      <c r="C69" s="787"/>
      <c r="D69" s="787"/>
      <c r="E69" s="787"/>
      <c r="F69" s="787"/>
      <c r="G69" s="787"/>
      <c r="H69" s="787"/>
      <c r="I69" s="787"/>
      <c r="J69" s="787"/>
      <c r="K69" s="115"/>
      <c r="L69" s="115"/>
      <c r="M69" s="115"/>
      <c r="N69" s="103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  <c r="AA69" s="116"/>
      <c r="AB69" s="116"/>
      <c r="AC69" s="116"/>
      <c r="AD69" s="116"/>
      <c r="AE69" s="116"/>
      <c r="AF69" s="116"/>
      <c r="AG69" s="116"/>
      <c r="AH69" s="116"/>
      <c r="AI69" s="116"/>
      <c r="AJ69" s="116"/>
      <c r="AK69" s="116"/>
    </row>
    <row r="70" spans="1:37">
      <c r="A70" s="788" t="s">
        <v>302</v>
      </c>
      <c r="B70" s="788"/>
      <c r="C70" s="788"/>
      <c r="D70" s="788"/>
      <c r="E70" s="788"/>
      <c r="F70" s="788"/>
      <c r="G70" s="788"/>
      <c r="H70" s="788"/>
      <c r="I70" s="788"/>
      <c r="J70" s="788"/>
      <c r="K70" s="115"/>
      <c r="L70" s="115"/>
      <c r="M70" s="115"/>
      <c r="N70" s="103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  <c r="AA70" s="116"/>
      <c r="AB70" s="116"/>
      <c r="AC70" s="116"/>
      <c r="AD70" s="116"/>
      <c r="AE70" s="116"/>
      <c r="AF70" s="116"/>
      <c r="AG70" s="116"/>
      <c r="AH70" s="116"/>
      <c r="AI70" s="116"/>
      <c r="AJ70" s="116"/>
      <c r="AK70" s="116"/>
    </row>
    <row r="71" spans="1:37">
      <c r="A71" s="787" t="s">
        <v>303</v>
      </c>
      <c r="B71" s="787"/>
      <c r="C71" s="787"/>
      <c r="D71" s="787"/>
      <c r="E71" s="787"/>
      <c r="F71" s="787"/>
      <c r="G71" s="787"/>
      <c r="H71" s="787"/>
      <c r="I71" s="787"/>
      <c r="J71" s="787"/>
      <c r="K71" s="103"/>
      <c r="L71" s="103"/>
      <c r="M71" s="103"/>
      <c r="N71" s="103"/>
      <c r="O71" s="117"/>
      <c r="P71" s="117"/>
      <c r="Q71" s="117"/>
      <c r="R71" s="117"/>
      <c r="S71" s="117"/>
      <c r="T71" s="117"/>
      <c r="U71" s="117"/>
      <c r="V71" s="117"/>
      <c r="W71" s="117"/>
      <c r="X71" s="117"/>
      <c r="Y71" s="117"/>
      <c r="Z71" s="117"/>
      <c r="AA71" s="117"/>
      <c r="AB71" s="117"/>
      <c r="AC71" s="117"/>
      <c r="AD71" s="117"/>
      <c r="AE71" s="117"/>
      <c r="AF71" s="117"/>
      <c r="AG71" s="117"/>
      <c r="AH71" s="117"/>
      <c r="AI71" s="117"/>
      <c r="AJ71" s="117"/>
      <c r="AK71" s="117"/>
    </row>
    <row r="72" spans="1:37">
      <c r="A72" s="788" t="s">
        <v>304</v>
      </c>
      <c r="B72" s="788"/>
      <c r="C72" s="788"/>
      <c r="D72" s="788"/>
      <c r="E72" s="788"/>
      <c r="F72" s="788"/>
      <c r="G72" s="788"/>
      <c r="H72" s="788"/>
      <c r="I72" s="788"/>
      <c r="J72" s="788"/>
      <c r="K72" s="103"/>
      <c r="L72" s="103"/>
      <c r="M72" s="103"/>
      <c r="N72" s="103"/>
      <c r="O72" s="116"/>
      <c r="P72" s="116"/>
      <c r="Q72" s="116"/>
      <c r="R72" s="113"/>
      <c r="S72" s="116"/>
      <c r="T72" s="116"/>
      <c r="U72" s="113"/>
      <c r="V72" s="116"/>
      <c r="W72" s="116"/>
      <c r="X72" s="116"/>
      <c r="Y72" s="116"/>
      <c r="Z72" s="116"/>
      <c r="AA72" s="116"/>
      <c r="AB72" s="116"/>
      <c r="AC72" s="116"/>
      <c r="AD72" s="116"/>
      <c r="AE72" s="116"/>
      <c r="AF72" s="116"/>
      <c r="AG72" s="116"/>
      <c r="AH72" s="116"/>
      <c r="AI72" s="116"/>
      <c r="AJ72" s="116"/>
      <c r="AK72" s="116"/>
    </row>
    <row r="73" spans="1:37">
      <c r="A73" s="787" t="s">
        <v>305</v>
      </c>
      <c r="B73" s="787"/>
      <c r="C73" s="787"/>
      <c r="D73" s="787"/>
      <c r="E73" s="787"/>
      <c r="F73" s="787"/>
      <c r="G73" s="787"/>
      <c r="H73" s="787"/>
      <c r="I73" s="787"/>
      <c r="J73" s="787"/>
      <c r="K73" s="103"/>
      <c r="L73" s="103"/>
      <c r="M73" s="103"/>
      <c r="N73" s="103"/>
      <c r="O73" s="103"/>
      <c r="P73" s="103"/>
      <c r="Q73" s="103"/>
      <c r="R73" s="118"/>
      <c r="S73" s="103"/>
      <c r="T73" s="103"/>
      <c r="U73" s="118"/>
      <c r="V73" s="116"/>
      <c r="W73" s="116"/>
      <c r="X73" s="116"/>
      <c r="Y73" s="116"/>
      <c r="Z73" s="116"/>
      <c r="AA73" s="116"/>
      <c r="AB73" s="116"/>
      <c r="AC73" s="116"/>
      <c r="AD73" s="116"/>
      <c r="AE73" s="116"/>
      <c r="AF73" s="116"/>
      <c r="AG73" s="116"/>
      <c r="AH73" s="116"/>
      <c r="AI73" s="116"/>
      <c r="AJ73" s="116"/>
      <c r="AK73" s="116"/>
    </row>
    <row r="74" spans="1:37">
      <c r="A74" s="788" t="s">
        <v>306</v>
      </c>
      <c r="B74" s="788"/>
      <c r="C74" s="788"/>
      <c r="D74" s="788"/>
      <c r="E74" s="788"/>
      <c r="F74" s="788"/>
      <c r="G74" s="788"/>
      <c r="H74" s="788"/>
      <c r="I74" s="788"/>
      <c r="J74" s="788"/>
      <c r="K74" s="103"/>
      <c r="L74" s="103"/>
      <c r="M74" s="103"/>
      <c r="N74" s="103"/>
      <c r="O74" s="116"/>
      <c r="P74" s="116"/>
      <c r="Q74" s="116"/>
      <c r="R74" s="113"/>
      <c r="S74" s="116"/>
      <c r="T74" s="116"/>
      <c r="U74" s="113"/>
      <c r="V74" s="116"/>
      <c r="W74" s="116"/>
      <c r="X74" s="116"/>
      <c r="Y74" s="116"/>
      <c r="Z74" s="116"/>
      <c r="AA74" s="116"/>
      <c r="AB74" s="116"/>
      <c r="AC74" s="116"/>
      <c r="AD74" s="116"/>
      <c r="AE74" s="116"/>
      <c r="AF74" s="116"/>
      <c r="AG74" s="116"/>
      <c r="AH74" s="116"/>
      <c r="AI74" s="116"/>
      <c r="AJ74" s="116"/>
      <c r="AK74" s="116"/>
    </row>
    <row r="75" spans="1:37">
      <c r="A75" s="787" t="s">
        <v>307</v>
      </c>
      <c r="B75" s="787"/>
      <c r="C75" s="787"/>
      <c r="D75" s="787"/>
      <c r="E75" s="787"/>
      <c r="F75" s="787"/>
      <c r="G75" s="787"/>
      <c r="H75" s="787"/>
      <c r="I75" s="787"/>
      <c r="J75" s="787"/>
      <c r="K75" s="103"/>
      <c r="L75" s="103"/>
      <c r="M75" s="103"/>
      <c r="N75" s="103"/>
      <c r="O75" s="117"/>
      <c r="P75" s="117"/>
      <c r="Q75" s="117"/>
      <c r="R75" s="117"/>
      <c r="S75" s="117"/>
      <c r="T75" s="117"/>
      <c r="U75" s="117"/>
      <c r="V75" s="117"/>
      <c r="W75" s="117"/>
      <c r="X75" s="117"/>
      <c r="Y75" s="117"/>
      <c r="Z75" s="117"/>
      <c r="AA75" s="117"/>
      <c r="AB75" s="117"/>
      <c r="AC75" s="117"/>
      <c r="AD75" s="117"/>
      <c r="AE75" s="117"/>
      <c r="AF75" s="117"/>
      <c r="AG75" s="117"/>
      <c r="AH75" s="117"/>
      <c r="AI75" s="117"/>
      <c r="AJ75" s="117"/>
      <c r="AK75" s="117"/>
    </row>
    <row r="76" spans="1:37">
      <c r="A76" s="788" t="s">
        <v>308</v>
      </c>
      <c r="B76" s="788"/>
      <c r="C76" s="788"/>
      <c r="D76" s="788"/>
      <c r="E76" s="788"/>
      <c r="F76" s="788"/>
      <c r="G76" s="788"/>
      <c r="H76" s="788"/>
      <c r="I76" s="788"/>
      <c r="J76" s="788"/>
      <c r="K76" s="103"/>
      <c r="L76" s="103"/>
      <c r="M76" s="103"/>
      <c r="N76" s="103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  <c r="AA76" s="116"/>
      <c r="AB76" s="116"/>
      <c r="AC76" s="116"/>
      <c r="AD76" s="116"/>
      <c r="AE76" s="116"/>
      <c r="AF76" s="116"/>
      <c r="AG76" s="116"/>
      <c r="AH76" s="116"/>
      <c r="AI76" s="116"/>
      <c r="AJ76" s="116"/>
      <c r="AK76" s="116"/>
    </row>
    <row r="77" spans="1:37">
      <c r="A77" s="787" t="s">
        <v>309</v>
      </c>
      <c r="B77" s="787"/>
      <c r="C77" s="787"/>
      <c r="D77" s="787"/>
      <c r="E77" s="787"/>
      <c r="F77" s="787"/>
      <c r="G77" s="787"/>
      <c r="H77" s="787"/>
      <c r="I77" s="787"/>
      <c r="J77" s="787"/>
      <c r="K77" s="103"/>
      <c r="L77" s="103"/>
      <c r="M77" s="103"/>
      <c r="N77" s="103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03"/>
      <c r="AA77" s="103"/>
      <c r="AB77" s="212"/>
      <c r="AC77" s="212"/>
      <c r="AD77" s="212"/>
      <c r="AE77" s="212"/>
      <c r="AF77" s="212"/>
      <c r="AG77" s="212"/>
      <c r="AH77" s="212"/>
      <c r="AI77" s="212"/>
      <c r="AJ77" s="212"/>
      <c r="AK77" s="212"/>
    </row>
    <row r="78" spans="1:37">
      <c r="A78" s="788" t="s">
        <v>335</v>
      </c>
      <c r="B78" s="788"/>
      <c r="C78" s="788"/>
      <c r="D78" s="788"/>
      <c r="E78" s="788"/>
      <c r="F78" s="788"/>
      <c r="G78" s="788"/>
      <c r="H78" s="788"/>
      <c r="I78" s="788"/>
      <c r="J78" s="788"/>
      <c r="K78" s="103"/>
      <c r="L78" s="103"/>
      <c r="M78" s="103"/>
      <c r="N78" s="103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03"/>
      <c r="AA78" s="103"/>
      <c r="AB78" s="212"/>
      <c r="AC78" s="212"/>
      <c r="AD78" s="212"/>
      <c r="AE78" s="212"/>
      <c r="AF78" s="212"/>
      <c r="AG78" s="212"/>
      <c r="AH78" s="212"/>
      <c r="AI78" s="212"/>
      <c r="AJ78" s="212"/>
      <c r="AK78" s="212"/>
    </row>
    <row r="79" spans="1:37">
      <c r="A79" s="787" t="s">
        <v>311</v>
      </c>
      <c r="B79" s="787"/>
      <c r="C79" s="787"/>
      <c r="D79" s="787"/>
      <c r="E79" s="787"/>
      <c r="F79" s="787"/>
      <c r="G79" s="787"/>
      <c r="H79" s="787"/>
      <c r="I79" s="787"/>
      <c r="J79" s="787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212"/>
      <c r="AC79" s="212"/>
      <c r="AD79" s="212"/>
      <c r="AE79" s="212"/>
      <c r="AF79" s="212"/>
      <c r="AG79" s="212"/>
      <c r="AH79" s="212"/>
      <c r="AI79" s="212"/>
      <c r="AJ79" s="212"/>
      <c r="AK79" s="212"/>
    </row>
    <row r="80" spans="1:37">
      <c r="A80" s="786" t="s">
        <v>312</v>
      </c>
      <c r="B80" s="786"/>
      <c r="C80" s="786"/>
      <c r="D80" s="786"/>
      <c r="E80" s="786"/>
      <c r="F80" s="786"/>
      <c r="G80" s="786"/>
      <c r="H80" s="786"/>
      <c r="I80" s="786"/>
      <c r="J80" s="786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212"/>
      <c r="AC80" s="212"/>
      <c r="AD80" s="212"/>
      <c r="AE80" s="212"/>
      <c r="AF80" s="212"/>
      <c r="AG80" s="212"/>
      <c r="AH80" s="212"/>
      <c r="AI80" s="212"/>
      <c r="AJ80" s="212"/>
      <c r="AK80" s="212"/>
    </row>
    <row r="81" spans="1:37">
      <c r="A81" s="787" t="s">
        <v>313</v>
      </c>
      <c r="B81" s="787"/>
      <c r="C81" s="787"/>
      <c r="D81" s="787"/>
      <c r="E81" s="787"/>
      <c r="F81" s="787"/>
      <c r="G81" s="787"/>
      <c r="H81" s="787"/>
      <c r="I81" s="787"/>
      <c r="J81" s="787"/>
      <c r="K81" s="109"/>
      <c r="L81" s="109"/>
      <c r="M81" s="109"/>
      <c r="N81" s="109"/>
      <c r="O81" s="109"/>
      <c r="P81" s="109"/>
      <c r="Q81" s="109"/>
      <c r="R81" s="109"/>
      <c r="S81" s="109"/>
      <c r="T81" s="109"/>
      <c r="U81" s="109"/>
      <c r="V81" s="109"/>
      <c r="W81" s="109"/>
      <c r="X81" s="109"/>
      <c r="Y81" s="109"/>
      <c r="Z81" s="109"/>
      <c r="AA81" s="109"/>
      <c r="AB81" s="212"/>
      <c r="AC81" s="212"/>
      <c r="AD81" s="212"/>
      <c r="AE81" s="212"/>
      <c r="AF81" s="212"/>
      <c r="AG81" s="212"/>
      <c r="AH81" s="212"/>
      <c r="AI81" s="212"/>
      <c r="AJ81" s="212"/>
      <c r="AK81" s="212"/>
    </row>
    <row r="82" spans="1:37">
      <c r="A82" s="788" t="s">
        <v>315</v>
      </c>
      <c r="B82" s="788"/>
      <c r="C82" s="788"/>
      <c r="D82" s="788"/>
      <c r="E82" s="788"/>
      <c r="F82" s="788"/>
      <c r="G82" s="788"/>
      <c r="H82" s="788"/>
      <c r="I82" s="788"/>
      <c r="J82" s="788"/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  <c r="AA82" s="109"/>
      <c r="AB82" s="109"/>
      <c r="AC82" s="109"/>
      <c r="AD82" s="109"/>
      <c r="AE82" s="109"/>
      <c r="AF82" s="109"/>
      <c r="AG82" s="109"/>
      <c r="AH82" s="109"/>
      <c r="AI82" s="109"/>
      <c r="AJ82" s="212"/>
      <c r="AK82" s="212"/>
    </row>
    <row r="83" spans="1:37">
      <c r="A83" s="787" t="s">
        <v>317</v>
      </c>
      <c r="B83" s="787"/>
      <c r="C83" s="787"/>
      <c r="D83" s="787"/>
      <c r="E83" s="787"/>
      <c r="F83" s="787"/>
      <c r="G83" s="787"/>
      <c r="H83" s="787"/>
      <c r="I83" s="787"/>
      <c r="J83" s="787"/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  <c r="AA83" s="109"/>
      <c r="AB83" s="109"/>
      <c r="AC83" s="109"/>
      <c r="AD83" s="109"/>
      <c r="AE83" s="109"/>
      <c r="AF83" s="109"/>
      <c r="AG83" s="109"/>
      <c r="AH83" s="109"/>
      <c r="AI83" s="109"/>
      <c r="AJ83" s="212"/>
      <c r="AK83" s="212"/>
    </row>
    <row r="84" spans="1:37">
      <c r="A84" s="788" t="s">
        <v>318</v>
      </c>
      <c r="B84" s="788"/>
      <c r="C84" s="788"/>
      <c r="D84" s="788"/>
      <c r="E84" s="788"/>
      <c r="F84" s="788"/>
      <c r="G84" s="788"/>
      <c r="H84" s="788"/>
      <c r="I84" s="788"/>
      <c r="J84" s="788"/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  <c r="AA84" s="103"/>
      <c r="AB84" s="109"/>
      <c r="AC84" s="109"/>
      <c r="AD84" s="109"/>
      <c r="AE84" s="109"/>
      <c r="AF84" s="109"/>
      <c r="AG84" s="109"/>
      <c r="AH84" s="109"/>
      <c r="AI84" s="109"/>
      <c r="AJ84" s="212"/>
      <c r="AK84" s="212"/>
    </row>
    <row r="85" spans="1:37">
      <c r="A85" s="787" t="s">
        <v>319</v>
      </c>
      <c r="B85" s="787"/>
      <c r="C85" s="787"/>
      <c r="D85" s="787"/>
      <c r="E85" s="787"/>
      <c r="F85" s="787"/>
      <c r="G85" s="787"/>
      <c r="H85" s="787"/>
      <c r="I85" s="787"/>
      <c r="J85" s="787"/>
      <c r="K85" s="81"/>
      <c r="L85" s="81"/>
      <c r="M85" s="81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3"/>
      <c r="AA85" s="103"/>
      <c r="AB85" s="109"/>
      <c r="AC85" s="109"/>
      <c r="AD85" s="109"/>
      <c r="AE85" s="109"/>
      <c r="AF85" s="109"/>
      <c r="AG85" s="109"/>
      <c r="AH85" s="109"/>
      <c r="AI85" s="109"/>
      <c r="AJ85" s="212"/>
      <c r="AK85" s="212"/>
    </row>
    <row r="86" spans="1:37">
      <c r="A86" s="81"/>
      <c r="B86" s="81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3"/>
      <c r="AA86" s="103"/>
      <c r="AB86" s="109"/>
      <c r="AC86" s="109"/>
      <c r="AD86" s="109"/>
      <c r="AE86" s="109"/>
      <c r="AF86" s="109"/>
      <c r="AG86" s="109"/>
      <c r="AH86" s="109"/>
      <c r="AI86" s="109"/>
      <c r="AJ86" s="212"/>
      <c r="AK86" s="212"/>
    </row>
    <row r="87" spans="1:37" s="212" customFormat="1" ht="13.5" thickBot="1">
      <c r="A87" s="1035" t="s">
        <v>338</v>
      </c>
      <c r="B87" s="1036"/>
      <c r="C87" s="1036"/>
      <c r="D87" s="1036"/>
      <c r="E87" s="1036"/>
      <c r="F87" s="1036"/>
      <c r="G87" s="1036"/>
      <c r="H87" s="1036"/>
      <c r="I87" s="1036"/>
      <c r="J87" s="1036"/>
      <c r="K87" s="1036"/>
      <c r="L87" s="1036"/>
      <c r="M87" s="1036"/>
      <c r="N87" s="1036"/>
      <c r="O87" s="1036"/>
      <c r="P87" s="1036"/>
      <c r="Q87" s="1036"/>
      <c r="R87" s="1036"/>
      <c r="S87" s="1036"/>
      <c r="T87" s="1036"/>
      <c r="U87" s="1036"/>
      <c r="V87" s="1036"/>
      <c r="W87" s="1036"/>
      <c r="X87" s="1166"/>
      <c r="Y87" s="103"/>
      <c r="Z87" s="103"/>
      <c r="AA87" s="103"/>
      <c r="AB87" s="103"/>
      <c r="AC87" s="103"/>
      <c r="AD87" s="103"/>
      <c r="AE87" s="103"/>
      <c r="AF87" s="103"/>
      <c r="AG87" s="103"/>
      <c r="AH87" s="103"/>
      <c r="AI87" s="103"/>
      <c r="AJ87" s="103"/>
      <c r="AK87" s="103"/>
    </row>
    <row r="88" spans="1:37" s="212" customFormat="1" ht="13.5" thickBot="1">
      <c r="A88" s="1075" t="s">
        <v>295</v>
      </c>
      <c r="B88" s="1074" t="s">
        <v>323</v>
      </c>
      <c r="C88" s="1075"/>
      <c r="D88" s="1026"/>
      <c r="E88" s="1024" t="s">
        <v>324</v>
      </c>
      <c r="F88" s="1024"/>
      <c r="G88" s="1025"/>
      <c r="H88" s="1023" t="s">
        <v>325</v>
      </c>
      <c r="I88" s="1024"/>
      <c r="J88" s="1025"/>
      <c r="K88" s="1023" t="s">
        <v>326</v>
      </c>
      <c r="L88" s="1024"/>
      <c r="M88" s="1025"/>
      <c r="N88" s="1023" t="s">
        <v>327</v>
      </c>
      <c r="O88" s="1024"/>
      <c r="P88" s="1024"/>
      <c r="Q88" s="1023" t="s">
        <v>339</v>
      </c>
      <c r="R88" s="1024"/>
      <c r="S88" s="1024"/>
      <c r="T88" s="1024"/>
      <c r="U88" s="1024"/>
      <c r="V88" s="1024"/>
      <c r="W88" s="1025"/>
      <c r="X88" s="1167" t="s">
        <v>320</v>
      </c>
      <c r="Y88" s="1169" t="s">
        <v>848</v>
      </c>
      <c r="Z88" s="103"/>
      <c r="AA88" s="103"/>
      <c r="AB88" s="103"/>
      <c r="AC88" s="103"/>
      <c r="AD88" s="103"/>
      <c r="AE88" s="103"/>
      <c r="AF88" s="103"/>
      <c r="AG88" s="103"/>
      <c r="AH88" s="103"/>
      <c r="AI88" s="103"/>
      <c r="AJ88" s="103"/>
      <c r="AK88" s="103"/>
    </row>
    <row r="89" spans="1:37" s="212" customFormat="1" ht="13.5" thickBot="1">
      <c r="A89" s="1072"/>
      <c r="B89" s="1089" t="s">
        <v>102</v>
      </c>
      <c r="C89" s="1078" t="s">
        <v>104</v>
      </c>
      <c r="D89" s="1090" t="s">
        <v>106</v>
      </c>
      <c r="E89" s="1073" t="s">
        <v>102</v>
      </c>
      <c r="F89" s="1011" t="s">
        <v>104</v>
      </c>
      <c r="G89" s="1012" t="s">
        <v>106</v>
      </c>
      <c r="H89" s="1065" t="s">
        <v>102</v>
      </c>
      <c r="I89" s="1011" t="s">
        <v>104</v>
      </c>
      <c r="J89" s="1012" t="s">
        <v>106</v>
      </c>
      <c r="K89" s="1065" t="s">
        <v>102</v>
      </c>
      <c r="L89" s="1011" t="s">
        <v>104</v>
      </c>
      <c r="M89" s="1012" t="s">
        <v>106</v>
      </c>
      <c r="N89" s="1065" t="s">
        <v>102</v>
      </c>
      <c r="O89" s="1011" t="s">
        <v>104</v>
      </c>
      <c r="P89" s="1012" t="s">
        <v>106</v>
      </c>
      <c r="Q89" s="794" t="s">
        <v>328</v>
      </c>
      <c r="R89" s="795" t="s">
        <v>329</v>
      </c>
      <c r="S89" s="795" t="s">
        <v>330</v>
      </c>
      <c r="T89" s="795" t="s">
        <v>331</v>
      </c>
      <c r="U89" s="795" t="s">
        <v>332</v>
      </c>
      <c r="V89" s="795" t="s">
        <v>340</v>
      </c>
      <c r="W89" s="796" t="s">
        <v>334</v>
      </c>
      <c r="X89" s="1168"/>
      <c r="Y89" s="1170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/>
      <c r="AJ89" s="103"/>
      <c r="AK89" s="103"/>
    </row>
    <row r="90" spans="1:37" s="212" customFormat="1" ht="15">
      <c r="A90" s="1097" t="s">
        <v>296</v>
      </c>
      <c r="B90" s="1079">
        <f>SUMIF('SHWLP-Apt'!$N$7:$N$105,"*"&amp;A90&amp;"*",'SHWLP-Apt'!$Y$7:$Y$105)</f>
        <v>2.8166114674109189E-5</v>
      </c>
      <c r="C90" s="1080">
        <f>SUMIF('SHWLP-Att'!$N$7:$N$130,"*"&amp;A90&amp;"*",'SHWLP-Att'!$Y$7:$Y$130)</f>
        <v>4.5199273866815912E-3</v>
      </c>
      <c r="D90" s="1081">
        <f>SUMIF('SHWLP-Det'!$N$7:$N$138,"*"&amp;A90&amp;"*",'SHWLP-Det'!$Y$7:$Y$138)</f>
        <v>2.2763292728540346E-3</v>
      </c>
      <c r="E90" s="1111"/>
      <c r="F90" s="1102"/>
      <c r="G90" s="1112"/>
      <c r="H90" s="1079">
        <f>SUMIF('SHWLP-Apt'!$N$113:$N$209,"*"&amp;A90&amp;"*",'SHWLP-Apt'!$Y$113:$Y$209)</f>
        <v>3.9634930033420814E-6</v>
      </c>
      <c r="I90" s="1080">
        <f>SUMIF('SHWLP-Att'!$N$137:$N$268,"*"&amp;A90&amp;"*",'SHWLP-Att'!$Y$137:$Y$268)</f>
        <v>1.2449931842894487E-3</v>
      </c>
      <c r="J90" s="1106">
        <f>SUMIF('SHWLP-Det'!$N$145:$N$281,"*"&amp;A90&amp;"*",'SHWLP-Det'!$Y$145:$Y$281)</f>
        <v>2.5266038661840248E-4</v>
      </c>
      <c r="K90" s="1111"/>
      <c r="L90" s="1102"/>
      <c r="M90" s="1112"/>
      <c r="N90" s="1111"/>
      <c r="O90" s="1102"/>
      <c r="P90" s="1102"/>
      <c r="Q90" s="1124"/>
      <c r="R90" s="1066"/>
      <c r="S90" s="1066"/>
      <c r="T90" s="1066"/>
      <c r="U90" s="1066"/>
      <c r="V90" s="1066"/>
      <c r="W90" s="1067"/>
      <c r="X90" s="1134">
        <f>SUM(B90:W90)</f>
        <v>8.3260398381209272E-3</v>
      </c>
      <c r="Y90" s="1130">
        <f>EnergyBalance!D56*0.041868</f>
        <v>3.2459338530121671</v>
      </c>
      <c r="Z90" s="103"/>
      <c r="AA90" s="103"/>
      <c r="AB90" s="103"/>
      <c r="AC90" s="103"/>
      <c r="AD90" s="103"/>
      <c r="AE90" s="103"/>
      <c r="AF90" s="103"/>
      <c r="AG90" s="103"/>
      <c r="AH90" s="103"/>
      <c r="AI90" s="103"/>
      <c r="AJ90" s="103"/>
      <c r="AK90" s="103"/>
    </row>
    <row r="91" spans="1:37" s="212" customFormat="1" ht="15">
      <c r="A91" s="1098" t="s">
        <v>297</v>
      </c>
      <c r="B91" s="1082">
        <f>SUMIF('SHWLP-Apt'!$N$7:$N$105,"*"&amp;A91&amp;"*",'SHWLP-Apt'!$Y$7:$Y$105)</f>
        <v>1.3524952061997743E-4</v>
      </c>
      <c r="C91" s="1077">
        <f>SUMIF('SHWLP-Att'!$N$7:$N$130,"*"&amp;A91&amp;"*",'SHWLP-Att'!$Y$7:$Y$130)</f>
        <v>2.8973117353683228E-2</v>
      </c>
      <c r="D91" s="1083">
        <f>SUMIF('SHWLP-Det'!$N$7:$N$138,"*"&amp;A91&amp;"*",'SHWLP-Det'!$Y$7:$Y$138)</f>
        <v>1.3004079608123491E-3</v>
      </c>
      <c r="E91" s="1113"/>
      <c r="F91" s="1103"/>
      <c r="G91" s="1114"/>
      <c r="H91" s="1082">
        <f>SUMIF('SHWLP-Apt'!$N$113:$N$209,"*"&amp;A91&amp;"*",'SHWLP-Apt'!$Y$113:$Y$209)</f>
        <v>2.484881392303245E-5</v>
      </c>
      <c r="I91" s="1077">
        <f>SUMIF('SHWLP-Att'!$N$137:$N$268,"*"&amp;A91&amp;"*",'SHWLP-Att'!$Y$137:$Y$268)</f>
        <v>5.0222969415897566E-3</v>
      </c>
      <c r="J91" s="1107">
        <f>SUMIF('SHWLP-Det'!$N$145:$N$281,"*"&amp;A91&amp;"*",'SHWLP-Det'!$Y$145:$Y$281)</f>
        <v>1.0983322657941233E-4</v>
      </c>
      <c r="K91" s="1113"/>
      <c r="L91" s="1103"/>
      <c r="M91" s="1114"/>
      <c r="N91" s="1113"/>
      <c r="O91" s="1103"/>
      <c r="P91" s="1103"/>
      <c r="Q91" s="1070"/>
      <c r="R91" s="790"/>
      <c r="S91" s="790"/>
      <c r="T91" s="790"/>
      <c r="U91" s="790"/>
      <c r="V91" s="790"/>
      <c r="W91" s="1068"/>
      <c r="X91" s="1134">
        <f t="shared" ref="X91:X112" si="0">SUM(B91:W91)</f>
        <v>3.5565753817207758E-2</v>
      </c>
      <c r="Y91" s="1131">
        <f>EnergyBalance!E56*0.041868</f>
        <v>2.936284539060845</v>
      </c>
      <c r="Z91" s="103"/>
      <c r="AA91" s="103"/>
      <c r="AB91" s="103"/>
      <c r="AC91" s="103"/>
      <c r="AD91" s="103"/>
      <c r="AE91" s="103"/>
      <c r="AF91" s="103"/>
      <c r="AG91" s="103"/>
      <c r="AH91" s="103"/>
      <c r="AI91" s="103"/>
      <c r="AJ91" s="103"/>
      <c r="AK91" s="103"/>
    </row>
    <row r="92" spans="1:37" s="212" customFormat="1" ht="15">
      <c r="A92" s="1099" t="s">
        <v>298</v>
      </c>
      <c r="B92" s="1084">
        <f>SUMIF('SHWLP-Apt'!$N$7:$N$105,"*"&amp;A92&amp;"*",'SHWLP-Apt'!$Y$7:$Y$105)</f>
        <v>0</v>
      </c>
      <c r="C92" s="1076">
        <f>SUMIF('SHWLP-Att'!$N$7:$N$130,"*"&amp;A92&amp;"*",'SHWLP-Att'!$Y$7:$Y$130)</f>
        <v>0</v>
      </c>
      <c r="D92" s="1085">
        <f>SUMIF('SHWLP-Det'!$N$7:$N$138,"*"&amp;A92&amp;"*",'SHWLP-Det'!$Y$7:$Y$138)</f>
        <v>0</v>
      </c>
      <c r="E92" s="1115"/>
      <c r="F92" s="1104"/>
      <c r="G92" s="1116"/>
      <c r="H92" s="1084">
        <f>SUMIF('SHWLP-Apt'!$N$113:$N$209,"*"&amp;A92&amp;"*",'SHWLP-Apt'!$Y$113:$Y$209)</f>
        <v>0</v>
      </c>
      <c r="I92" s="1076">
        <f>SUMIF('SHWLP-Att'!$N$137:$N$268,"*"&amp;A92&amp;"*",'SHWLP-Att'!$Y$137:$Y$268)</f>
        <v>0</v>
      </c>
      <c r="J92" s="1108">
        <f>SUMIF('SHWLP-Det'!$N$145:$N$281,"*"&amp;A92&amp;"*",'SHWLP-Det'!$Y$145:$Y$281)</f>
        <v>0</v>
      </c>
      <c r="K92" s="1115"/>
      <c r="L92" s="1104"/>
      <c r="M92" s="1116"/>
      <c r="N92" s="1115"/>
      <c r="O92" s="1104"/>
      <c r="P92" s="1104"/>
      <c r="Q92" s="1071"/>
      <c r="R92" s="789"/>
      <c r="S92" s="789"/>
      <c r="T92" s="789"/>
      <c r="U92" s="789"/>
      <c r="V92" s="789"/>
      <c r="W92" s="1069"/>
      <c r="X92" s="1134">
        <f t="shared" si="0"/>
        <v>0</v>
      </c>
      <c r="Y92" s="1132">
        <f>EnergyBalance!F56*0.041868</f>
        <v>0</v>
      </c>
      <c r="Z92" s="103"/>
      <c r="AA92" s="103"/>
      <c r="AB92" s="103"/>
      <c r="AC92" s="103"/>
      <c r="AD92" s="103"/>
      <c r="AE92" s="103"/>
      <c r="AF92" s="103"/>
      <c r="AG92" s="103"/>
      <c r="AH92" s="103"/>
      <c r="AI92" s="103"/>
      <c r="AJ92" s="103"/>
      <c r="AK92" s="103"/>
    </row>
    <row r="93" spans="1:37" s="212" customFormat="1" ht="15">
      <c r="A93" s="1098" t="s">
        <v>299</v>
      </c>
      <c r="B93" s="1082">
        <f>SUMIF('SHWLP-Apt'!$N$7:$N$105,"*"&amp;A93&amp;"*",'SHWLP-Apt'!$Y$7:$Y$105)</f>
        <v>0</v>
      </c>
      <c r="C93" s="1077">
        <f>SUMIF('SHWLP-Att'!$N$7:$N$130,"*"&amp;A93&amp;"*",'SHWLP-Att'!$Y$7:$Y$130)</f>
        <v>0</v>
      </c>
      <c r="D93" s="1083">
        <f>SUMIF('SHWLP-Det'!$N$7:$N$138,"*"&amp;A93&amp;"*",'SHWLP-Det'!$Y$7:$Y$138)</f>
        <v>0</v>
      </c>
      <c r="E93" s="1113"/>
      <c r="F93" s="1103"/>
      <c r="G93" s="1114"/>
      <c r="H93" s="1082">
        <f>SUMIF('SHWLP-Apt'!$N$113:$N$209,"*"&amp;A93&amp;"*",'SHWLP-Apt'!$Y$113:$Y$209)</f>
        <v>0</v>
      </c>
      <c r="I93" s="1077">
        <f>SUMIF('SHWLP-Att'!$N$137:$N$268,"*"&amp;A93&amp;"*",'SHWLP-Att'!$Y$137:$Y$268)</f>
        <v>0</v>
      </c>
      <c r="J93" s="1107">
        <f>SUMIF('SHWLP-Det'!$N$145:$N$281,"*"&amp;A93&amp;"*",'SHWLP-Det'!$Y$145:$Y$281)</f>
        <v>0</v>
      </c>
      <c r="K93" s="1113"/>
      <c r="L93" s="1103"/>
      <c r="M93" s="1114"/>
      <c r="N93" s="1113"/>
      <c r="O93" s="1103"/>
      <c r="P93" s="1103"/>
      <c r="Q93" s="1070"/>
      <c r="R93" s="790"/>
      <c r="S93" s="790"/>
      <c r="T93" s="790"/>
      <c r="U93" s="790"/>
      <c r="V93" s="790"/>
      <c r="W93" s="1068"/>
      <c r="X93" s="1134">
        <f t="shared" si="0"/>
        <v>0</v>
      </c>
      <c r="Y93" s="1131">
        <f>EnergyBalance!G56*0.041868</f>
        <v>0.31508081483866479</v>
      </c>
      <c r="Z93" s="103"/>
      <c r="AA93" s="103"/>
      <c r="AB93" s="103"/>
      <c r="AC93" s="103"/>
      <c r="AD93" s="103"/>
      <c r="AE93" s="103"/>
      <c r="AF93" s="103"/>
      <c r="AG93" s="103"/>
      <c r="AH93" s="103"/>
      <c r="AI93" s="103"/>
      <c r="AJ93" s="103"/>
      <c r="AK93" s="103"/>
    </row>
    <row r="94" spans="1:37" s="212" customFormat="1" ht="15">
      <c r="A94" s="1099" t="s">
        <v>300</v>
      </c>
      <c r="B94" s="1084">
        <f>SUMIF('SHWLP-Apt'!$N$7:$N$105,"*"&amp;A94&amp;"*",'SHWLP-Apt'!$Y$7:$Y$105)</f>
        <v>0</v>
      </c>
      <c r="C94" s="1076">
        <f>SUMIF('SHWLP-Att'!$N$7:$N$130,"*"&amp;A94&amp;"*",'SHWLP-Att'!$Y$7:$Y$130)</f>
        <v>0</v>
      </c>
      <c r="D94" s="1085">
        <f>SUMIF('SHWLP-Det'!$N$7:$N$138,"*"&amp;A94&amp;"*",'SHWLP-Det'!$Y$7:$Y$138)</f>
        <v>0</v>
      </c>
      <c r="E94" s="1115"/>
      <c r="F94" s="1104"/>
      <c r="G94" s="1116"/>
      <c r="H94" s="1084">
        <f>SUMIF('SHWLP-Apt'!$N$113:$N$209,"*"&amp;A94&amp;"*",'SHWLP-Apt'!$Y$113:$Y$209)</f>
        <v>0</v>
      </c>
      <c r="I94" s="1076">
        <f>SUMIF('SHWLP-Att'!$N$137:$N$268,"*"&amp;A94&amp;"*",'SHWLP-Att'!$Y$137:$Y$268)</f>
        <v>0</v>
      </c>
      <c r="J94" s="1108">
        <f>SUMIF('SHWLP-Det'!$N$145:$N$281,"*"&amp;A94&amp;"*",'SHWLP-Det'!$Y$145:$Y$281)</f>
        <v>0</v>
      </c>
      <c r="K94" s="1115"/>
      <c r="L94" s="1104"/>
      <c r="M94" s="1116"/>
      <c r="N94" s="1115"/>
      <c r="O94" s="1104"/>
      <c r="P94" s="1104"/>
      <c r="Q94" s="1071"/>
      <c r="R94" s="789"/>
      <c r="S94" s="789"/>
      <c r="T94" s="789"/>
      <c r="U94" s="789"/>
      <c r="V94" s="789"/>
      <c r="W94" s="1069"/>
      <c r="X94" s="1134">
        <f t="shared" si="0"/>
        <v>0</v>
      </c>
      <c r="Y94" s="1132">
        <f>EnergyBalance!H56*0.041868</f>
        <v>8.22868674342444</v>
      </c>
      <c r="Z94" s="103"/>
      <c r="AA94" s="103"/>
      <c r="AB94" s="103"/>
      <c r="AC94" s="103"/>
      <c r="AD94" s="103"/>
      <c r="AE94" s="103"/>
      <c r="AF94" s="103"/>
      <c r="AG94" s="103"/>
      <c r="AH94" s="103"/>
      <c r="AI94" s="103"/>
      <c r="AJ94" s="103"/>
      <c r="AK94" s="103"/>
    </row>
    <row r="95" spans="1:37" s="212" customFormat="1" ht="15">
      <c r="A95" s="1098" t="s">
        <v>301</v>
      </c>
      <c r="B95" s="1092">
        <f>SUMIF('SHWLP-Apt'!$N$7:$N$105,"*"&amp;A95&amp;"*",'SHWLP-Apt'!$Y$7:$Y$105)</f>
        <v>5.2118204884810081E-3</v>
      </c>
      <c r="C95" s="1093">
        <f>SUMIF('SHWLP-Att'!$N$7:$N$130,"*"&amp;A95&amp;"*",'SHWLP-Att'!$Y$7:$Y$130)</f>
        <v>1.4151710530974367E-2</v>
      </c>
      <c r="D95" s="1094">
        <f>SUMIF('SHWLP-Det'!$N$7:$N$138,"*"&amp;A95&amp;"*",'SHWLP-Det'!$Y$7:$Y$138)</f>
        <v>5.3974361881653603E-2</v>
      </c>
      <c r="E95" s="1113"/>
      <c r="F95" s="1103"/>
      <c r="G95" s="1114"/>
      <c r="H95" s="1092">
        <f>SUMIF('SHWLP-Apt'!$N$113:$N$209,"*"&amp;A95&amp;"*",'SHWLP-Apt'!$Y$113:$Y$209)</f>
        <v>2.3629052486864696E-3</v>
      </c>
      <c r="I95" s="1093">
        <f>SUMIF('SHWLP-Att'!$N$137:$N$268,"*"&amp;A95&amp;"*",'SHWLP-Att'!$Y$137:$Y$268)</f>
        <v>5.9279758476828539E-3</v>
      </c>
      <c r="J95" s="1109">
        <f>SUMIF('SHWLP-Det'!$N$145:$N$281,"*"&amp;A95&amp;"*",'SHWLP-Det'!$Y$145:$Y$281)</f>
        <v>1.2791925884327694E-2</v>
      </c>
      <c r="K95" s="1113"/>
      <c r="L95" s="1103"/>
      <c r="M95" s="1114"/>
      <c r="N95" s="1113"/>
      <c r="O95" s="1103"/>
      <c r="P95" s="1103"/>
      <c r="Q95" s="1070">
        <f>'[9]1d_Cooking'!$L$11*0.041868</f>
        <v>3.9492406345735545E-2</v>
      </c>
      <c r="R95" s="790"/>
      <c r="S95" s="790"/>
      <c r="T95" s="790"/>
      <c r="U95" s="790"/>
      <c r="V95" s="790"/>
      <c r="W95" s="1068"/>
      <c r="X95" s="1134">
        <f t="shared" si="0"/>
        <v>0.13391310622754155</v>
      </c>
      <c r="Y95" s="1131">
        <f>EnergyBalance!S56*0.041868</f>
        <v>1.8263239604601826</v>
      </c>
      <c r="Z95" s="103"/>
      <c r="AA95" s="103"/>
      <c r="AB95" s="103"/>
      <c r="AC95" s="103"/>
      <c r="AD95" s="103"/>
      <c r="AE95" s="103"/>
      <c r="AF95" s="103"/>
      <c r="AG95" s="103"/>
      <c r="AH95" s="103"/>
      <c r="AI95" s="103"/>
      <c r="AJ95" s="103"/>
      <c r="AK95" s="103"/>
    </row>
    <row r="96" spans="1:37" s="212" customFormat="1" ht="15">
      <c r="A96" s="1099" t="s">
        <v>302</v>
      </c>
      <c r="B96" s="1084">
        <f>SUMIF('SHWLP-Apt'!$N$7:$N$105,"*"&amp;A96&amp;"*",'SHWLP-Apt'!$Y$7:$Y$105)</f>
        <v>0</v>
      </c>
      <c r="C96" s="1076">
        <f>SUMIF('SHWLP-Att'!$N$7:$N$130,"*"&amp;A96&amp;"*",'SHWLP-Att'!$Y$7:$Y$130)</f>
        <v>0</v>
      </c>
      <c r="D96" s="1085">
        <f>SUMIF('SHWLP-Det'!$N$7:$N$138,"*"&amp;A96&amp;"*",'SHWLP-Det'!$Y$7:$Y$138)</f>
        <v>0</v>
      </c>
      <c r="E96" s="1115"/>
      <c r="F96" s="1104"/>
      <c r="G96" s="1116"/>
      <c r="H96" s="1084">
        <f>SUMIF('SHWLP-Apt'!$N$113:$N$209,"*"&amp;A96&amp;"*",'SHWLP-Apt'!$Y$113:$Y$209)</f>
        <v>0</v>
      </c>
      <c r="I96" s="1076">
        <f>SUMIF('SHWLP-Att'!$N$137:$N$268,"*"&amp;A96&amp;"*",'SHWLP-Att'!$Y$137:$Y$268)</f>
        <v>0</v>
      </c>
      <c r="J96" s="1108">
        <f>SUMIF('SHWLP-Det'!$N$145:$N$281,"*"&amp;A96&amp;"*",'SHWLP-Det'!$Y$145:$Y$281)</f>
        <v>0</v>
      </c>
      <c r="K96" s="1115"/>
      <c r="L96" s="1104"/>
      <c r="M96" s="1116"/>
      <c r="N96" s="1115"/>
      <c r="O96" s="1104"/>
      <c r="P96" s="1104"/>
      <c r="Q96" s="1071"/>
      <c r="R96" s="789"/>
      <c r="S96" s="789"/>
      <c r="T96" s="789"/>
      <c r="U96" s="789"/>
      <c r="V96" s="789"/>
      <c r="W96" s="1069"/>
      <c r="X96" s="1134">
        <f t="shared" si="0"/>
        <v>0</v>
      </c>
      <c r="Y96" s="1132">
        <f>EnergyBalance!O56*0.041868</f>
        <v>0</v>
      </c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  <c r="AK96" s="103"/>
    </row>
    <row r="97" spans="1:37" s="212" customFormat="1" ht="15">
      <c r="A97" s="1098" t="s">
        <v>303</v>
      </c>
      <c r="B97" s="1092">
        <f>SUMIF('SHWLP-Apt'!$N$7:$N$105,"*"&amp;A97&amp;"*",'SHWLP-Apt'!$Y$7:$Y$105)</f>
        <v>3.4754636900410731E-2</v>
      </c>
      <c r="C97" s="1096">
        <f>SUMIF('SHWLP-Att'!$N$7:$N$130,"*"&amp;A97&amp;"*",'SHWLP-Att'!$Y$7:$Y$130)</f>
        <v>10.781207849108712</v>
      </c>
      <c r="D97" s="1096">
        <f>SUMIF('SHWLP-Det'!$N$7:$N$138,"*"&amp;A97&amp;"*",'SHWLP-Det'!$Y$7:$Y$138)</f>
        <v>57.904837841719875</v>
      </c>
      <c r="E97" s="1113"/>
      <c r="F97" s="1103"/>
      <c r="G97" s="1114"/>
      <c r="H97" s="1092">
        <f>SUMIF('SHWLP-Apt'!$N$113:$N$209,"*"&amp;A97&amp;"*",'SHWLP-Apt'!$Y$113:$Y$209)</f>
        <v>1.0504112355714523E-2</v>
      </c>
      <c r="I97" s="1093">
        <f>SUMIF('SHWLP-Att'!$N$137:$N$268,"*"&amp;A97&amp;"*",'SHWLP-Att'!$Y$137:$Y$268)</f>
        <v>4.0081635296625198</v>
      </c>
      <c r="J97" s="1109">
        <f>SUMIF('SHWLP-Det'!$N$145:$N$281,"*"&amp;A97&amp;"*",'SHWLP-Det'!$Y$145:$Y$281)</f>
        <v>14.339846768301083</v>
      </c>
      <c r="K97" s="1113"/>
      <c r="L97" s="1103"/>
      <c r="M97" s="1114"/>
      <c r="N97" s="1113"/>
      <c r="O97" s="1103"/>
      <c r="P97" s="1103"/>
      <c r="Q97" s="1070"/>
      <c r="R97" s="790"/>
      <c r="S97" s="790"/>
      <c r="T97" s="790"/>
      <c r="U97" s="790"/>
      <c r="V97" s="790"/>
      <c r="W97" s="1068"/>
      <c r="X97" s="1134">
        <f t="shared" si="0"/>
        <v>87.079314738048325</v>
      </c>
      <c r="Y97" s="1131">
        <f>EnergyBalance!P56*0.041868</f>
        <v>35.670303433474402</v>
      </c>
      <c r="Z97" s="103"/>
      <c r="AA97" s="103"/>
      <c r="AB97" s="103"/>
      <c r="AC97" s="103"/>
      <c r="AD97" s="103"/>
      <c r="AE97" s="103"/>
      <c r="AF97" s="103"/>
      <c r="AG97" s="103"/>
      <c r="AH97" s="103"/>
      <c r="AI97" s="103"/>
      <c r="AJ97" s="103"/>
      <c r="AK97" s="103"/>
    </row>
    <row r="98" spans="1:37" s="212" customFormat="1" ht="15">
      <c r="A98" s="1099" t="s">
        <v>304</v>
      </c>
      <c r="B98" s="1084">
        <f>SUMIF('SHWLP-Apt'!$N$7:$N$105,"*"&amp;A98&amp;"*",'SHWLP-Apt'!$Y$7:$Y$105)</f>
        <v>0</v>
      </c>
      <c r="C98" s="1076">
        <f>SUMIF('SHWLP-Att'!$N$7:$N$130,"*"&amp;A98&amp;"*",'SHWLP-Att'!$Y$7:$Y$130)</f>
        <v>0</v>
      </c>
      <c r="D98" s="1085">
        <f>SUMIF('SHWLP-Det'!$N$7:$N$138,"*"&amp;A98&amp;"*",'SHWLP-Det'!$Y$7:$Y$138)</f>
        <v>0</v>
      </c>
      <c r="E98" s="1115"/>
      <c r="F98" s="1104"/>
      <c r="G98" s="1116"/>
      <c r="H98" s="1084">
        <f>SUMIF('SHWLP-Apt'!$N$113:$N$209,"*"&amp;A98&amp;"*",'SHWLP-Apt'!$Y$113:$Y$209)</f>
        <v>0</v>
      </c>
      <c r="I98" s="1076">
        <f>SUMIF('SHWLP-Att'!$N$137:$N$268,"*"&amp;A98&amp;"*",'SHWLP-Att'!$Y$137:$Y$268)</f>
        <v>0</v>
      </c>
      <c r="J98" s="1108">
        <f>SUMIF('SHWLP-Det'!$N$145:$N$281,"*"&amp;A98&amp;"*",'SHWLP-Det'!$Y$145:$Y$281)</f>
        <v>0</v>
      </c>
      <c r="K98" s="1115"/>
      <c r="L98" s="1104"/>
      <c r="M98" s="1116"/>
      <c r="N98" s="1115"/>
      <c r="O98" s="1104"/>
      <c r="P98" s="1104"/>
      <c r="Q98" s="1071"/>
      <c r="R98" s="789"/>
      <c r="S98" s="789"/>
      <c r="T98" s="789"/>
      <c r="U98" s="789"/>
      <c r="V98" s="789"/>
      <c r="W98" s="1069"/>
      <c r="X98" s="1134">
        <f t="shared" si="0"/>
        <v>0</v>
      </c>
      <c r="Y98" s="1132">
        <f>EnergyBalance!T56*0.041868</f>
        <v>6.6971734118003301</v>
      </c>
      <c r="Z98" s="103"/>
      <c r="AA98" s="103"/>
      <c r="AB98" s="103"/>
      <c r="AC98" s="103"/>
      <c r="AD98" s="103"/>
      <c r="AE98" s="103"/>
      <c r="AF98" s="103"/>
      <c r="AG98" s="103"/>
      <c r="AH98" s="103"/>
      <c r="AI98" s="103"/>
      <c r="AJ98" s="103"/>
      <c r="AK98" s="103"/>
    </row>
    <row r="99" spans="1:37" s="212" customFormat="1" ht="15">
      <c r="A99" s="1098" t="s">
        <v>305</v>
      </c>
      <c r="B99" s="1082">
        <f>SUMIF('SHWLP-Apt'!$N$7:$N$105,"*"&amp;A99&amp;"*",'SHWLP-Apt'!$Y$7:$Y$105)</f>
        <v>0</v>
      </c>
      <c r="C99" s="1077">
        <f>SUMIF('SHWLP-Att'!$N$7:$N$130,"*"&amp;A99&amp;"*",'SHWLP-Att'!$Y$7:$Y$130)</f>
        <v>0</v>
      </c>
      <c r="D99" s="1083">
        <f>SUMIF('SHWLP-Det'!$N$7:$N$138,"*"&amp;A99&amp;"*",'SHWLP-Det'!$Y$7:$Y$138)</f>
        <v>0</v>
      </c>
      <c r="E99" s="1113"/>
      <c r="F99" s="1103"/>
      <c r="G99" s="1114"/>
      <c r="H99" s="1082">
        <f>SUMIF('SHWLP-Apt'!$N$113:$N$209,"*"&amp;A99&amp;"*",'SHWLP-Apt'!$Y$113:$Y$209)</f>
        <v>0</v>
      </c>
      <c r="I99" s="1077">
        <f>SUMIF('SHWLP-Att'!$N$137:$N$268,"*"&amp;A99&amp;"*",'SHWLP-Att'!$Y$137:$Y$268)</f>
        <v>0</v>
      </c>
      <c r="J99" s="1107">
        <f>SUMIF('SHWLP-Det'!$N$145:$N$281,"*"&amp;A99&amp;"*",'SHWLP-Det'!$Y$145:$Y$281)</f>
        <v>0</v>
      </c>
      <c r="K99" s="1113"/>
      <c r="L99" s="1103"/>
      <c r="M99" s="1114"/>
      <c r="N99" s="1113"/>
      <c r="O99" s="1103"/>
      <c r="P99" s="1103"/>
      <c r="Q99" s="1070"/>
      <c r="R99" s="790"/>
      <c r="S99" s="790"/>
      <c r="T99" s="790"/>
      <c r="U99" s="790"/>
      <c r="V99" s="790"/>
      <c r="W99" s="1068"/>
      <c r="X99" s="1134">
        <f t="shared" si="0"/>
        <v>0</v>
      </c>
      <c r="Y99" s="1131">
        <f>EnergyBalance!R56*0.041868</f>
        <v>0</v>
      </c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  <c r="AK99" s="103"/>
    </row>
    <row r="100" spans="1:37" s="212" customFormat="1" ht="15">
      <c r="A100" s="1099" t="s">
        <v>306</v>
      </c>
      <c r="B100" s="1084">
        <f>SUMIF('SHWLP-Apt'!$N$7:$N$105,"*"&amp;A100&amp;"*",'SHWLP-Apt'!$Y$7:$Y$105)</f>
        <v>0</v>
      </c>
      <c r="C100" s="1076">
        <f>SUMIF('SHWLP-Att'!$N$7:$N$130,"*"&amp;A100&amp;"*",'SHWLP-Att'!$Y$7:$Y$130)</f>
        <v>0</v>
      </c>
      <c r="D100" s="1085">
        <f>SUMIF('SHWLP-Det'!$N$7:$N$138,"*"&amp;A100&amp;"*",'SHWLP-Det'!$Y$7:$Y$138)</f>
        <v>0</v>
      </c>
      <c r="E100" s="1115"/>
      <c r="F100" s="1104"/>
      <c r="G100" s="1116"/>
      <c r="H100" s="1084">
        <f>SUMIF('SHWLP-Apt'!$N$113:$N$209,"*"&amp;A100&amp;"*",'SHWLP-Apt'!$Y$113:$Y$209)</f>
        <v>0</v>
      </c>
      <c r="I100" s="1076">
        <f>SUMIF('SHWLP-Att'!$N$137:$N$268,"*"&amp;A100&amp;"*",'SHWLP-Att'!$Y$137:$Y$268)</f>
        <v>0</v>
      </c>
      <c r="J100" s="1108">
        <f>SUMIF('SHWLP-Det'!$N$145:$N$281,"*"&amp;A100&amp;"*",'SHWLP-Det'!$Y$145:$Y$281)</f>
        <v>0</v>
      </c>
      <c r="K100" s="1115"/>
      <c r="L100" s="1104"/>
      <c r="M100" s="1116"/>
      <c r="N100" s="1115"/>
      <c r="O100" s="1104"/>
      <c r="P100" s="1104"/>
      <c r="Q100" s="1071"/>
      <c r="R100" s="789"/>
      <c r="S100" s="789"/>
      <c r="T100" s="789"/>
      <c r="U100" s="789"/>
      <c r="V100" s="789"/>
      <c r="W100" s="1069"/>
      <c r="X100" s="1134">
        <f t="shared" si="0"/>
        <v>0</v>
      </c>
      <c r="Y100" s="1132">
        <f>EnergyBalance!U56*0.041868</f>
        <v>0.14696868507580046</v>
      </c>
      <c r="Z100" s="103"/>
      <c r="AA100" s="103"/>
      <c r="AB100" s="103"/>
      <c r="AC100" s="103"/>
      <c r="AD100" s="103"/>
      <c r="AE100" s="103"/>
      <c r="AF100" s="103"/>
      <c r="AG100" s="103"/>
      <c r="AH100" s="103"/>
      <c r="AI100" s="103"/>
      <c r="AJ100" s="103"/>
      <c r="AK100" s="103"/>
    </row>
    <row r="101" spans="1:37" s="212" customFormat="1" ht="15">
      <c r="A101" s="1098" t="s">
        <v>307</v>
      </c>
      <c r="B101" s="1093">
        <f>SUMIF('SHWLP-Apt'!$N$7:$N$105,"*"&amp;A101&amp;"*",'SHWLP-Apt'!$Y$7:$Y$105)</f>
        <v>2.9297951042911352</v>
      </c>
      <c r="C101" s="1096">
        <f>SUMIF('SHWLP-Att'!$N$7:$N$130,"*"&amp;A101&amp;"*",'SHWLP-Att'!$Y$7:$Y$130)</f>
        <v>28.682898569463063</v>
      </c>
      <c r="D101" s="1095">
        <f>SUMIF('SHWLP-Det'!$N$7:$N$138,"*"&amp;A101&amp;"*",'SHWLP-Det'!$Y$7:$Y$138)</f>
        <v>2.8157052078567193</v>
      </c>
      <c r="E101" s="1113"/>
      <c r="F101" s="1103"/>
      <c r="G101" s="1114"/>
      <c r="H101" s="1093">
        <f>SUMIF('SHWLP-Apt'!$N$113:$N$209,"*"&amp;A101&amp;"*",'SHWLP-Apt'!$Y$113:$Y$209)</f>
        <v>1.860646247993738</v>
      </c>
      <c r="I101" s="1093">
        <f>SUMIF('SHWLP-Att'!$N$137:$N$268,"*"&amp;A101&amp;"*",'SHWLP-Att'!$Y$137:$Y$268)</f>
        <v>11.095821283191244</v>
      </c>
      <c r="J101" s="1109">
        <f>SUMIF('SHWLP-Det'!$N$145:$N$281,"*"&amp;A101&amp;"*",'SHWLP-Det'!$Y$145:$Y$281)</f>
        <v>0.76666390667324158</v>
      </c>
      <c r="K101" s="1113"/>
      <c r="L101" s="1103"/>
      <c r="M101" s="1114"/>
      <c r="N101" s="1113"/>
      <c r="O101" s="1103"/>
      <c r="P101" s="1103"/>
      <c r="Q101" s="1070">
        <f>'[9]1d_Cooking'!$L$8/1000</f>
        <v>0.66992893469234771</v>
      </c>
      <c r="R101" s="790"/>
      <c r="S101" s="790"/>
      <c r="T101" s="790"/>
      <c r="U101" s="790"/>
      <c r="V101" s="790"/>
      <c r="W101" s="1068"/>
      <c r="X101" s="1134">
        <f t="shared" si="0"/>
        <v>48.821459254161489</v>
      </c>
      <c r="Y101" s="1131">
        <f>EnergyBalance!Z56*0.041868</f>
        <v>25.292197479166735</v>
      </c>
      <c r="Z101" s="103"/>
      <c r="AA101" s="103"/>
      <c r="AB101" s="103"/>
      <c r="AC101" s="103"/>
      <c r="AD101" s="103"/>
      <c r="AE101" s="103"/>
      <c r="AF101" s="103"/>
      <c r="AG101" s="103"/>
      <c r="AH101" s="103"/>
      <c r="AI101" s="103"/>
      <c r="AJ101" s="103"/>
      <c r="AK101" s="103"/>
    </row>
    <row r="102" spans="1:37" s="212" customFormat="1" ht="15">
      <c r="A102" s="1099" t="s">
        <v>308</v>
      </c>
      <c r="B102" s="1084">
        <f>SUMIF('SHWLP-Apt'!$N$7:$N$105,"*"&amp;A102&amp;"*",'SHWLP-Apt'!$Y$7:$Y$105)</f>
        <v>0</v>
      </c>
      <c r="C102" s="1076">
        <f>SUMIF('SHWLP-Att'!$N$7:$N$130,"*"&amp;A102&amp;"*",'SHWLP-Att'!$Y$7:$Y$130)</f>
        <v>0</v>
      </c>
      <c r="D102" s="1085">
        <f>SUMIF('SHWLP-Det'!$N$7:$N$138,"*"&amp;A102&amp;"*",'SHWLP-Det'!$Y$7:$Y$138)</f>
        <v>0</v>
      </c>
      <c r="E102" s="1115"/>
      <c r="F102" s="1104"/>
      <c r="G102" s="1116"/>
      <c r="H102" s="1084">
        <f>SUMIF('SHWLP-Apt'!$N$113:$N$209,"*"&amp;A102&amp;"*",'SHWLP-Apt'!$Y$113:$Y$209)</f>
        <v>0</v>
      </c>
      <c r="I102" s="1076">
        <f>SUMIF('SHWLP-Att'!$N$137:$N$268,"*"&amp;A102&amp;"*",'SHWLP-Att'!$Y$137:$Y$268)</f>
        <v>0</v>
      </c>
      <c r="J102" s="1108">
        <f>SUMIF('SHWLP-Det'!$N$145:$N$281,"*"&amp;A102&amp;"*",'SHWLP-Det'!$Y$145:$Y$281)</f>
        <v>0</v>
      </c>
      <c r="K102" s="1115"/>
      <c r="L102" s="1104"/>
      <c r="M102" s="1116"/>
      <c r="N102" s="1115"/>
      <c r="O102" s="1119"/>
      <c r="P102" s="1104"/>
      <c r="Q102" s="1071"/>
      <c r="R102" s="789"/>
      <c r="S102" s="789"/>
      <c r="T102" s="789"/>
      <c r="U102" s="789"/>
      <c r="V102" s="789"/>
      <c r="W102" s="1069"/>
      <c r="X102" s="1134">
        <f t="shared" si="0"/>
        <v>0</v>
      </c>
      <c r="Y102" s="1132">
        <f>EnergyBalance!AH56*0.041868</f>
        <v>0.56017671356000831</v>
      </c>
      <c r="Z102" s="103"/>
      <c r="AA102" s="103"/>
      <c r="AB102" s="103"/>
      <c r="AC102" s="103"/>
      <c r="AD102" s="103"/>
      <c r="AE102" s="103"/>
      <c r="AF102" s="103"/>
      <c r="AG102" s="103"/>
      <c r="AH102" s="103"/>
      <c r="AI102" s="103"/>
      <c r="AJ102" s="103"/>
      <c r="AK102" s="103"/>
    </row>
    <row r="103" spans="1:37" s="212" customFormat="1" ht="15">
      <c r="A103" s="1098" t="s">
        <v>309</v>
      </c>
      <c r="B103" s="1082">
        <f>SUMIF('SHWLP-Apt'!$N$7:$N$105,"*"&amp;A103&amp;"*",'SHWLP-Apt'!$Y$7:$Y$105)</f>
        <v>2.4643248356795139E-5</v>
      </c>
      <c r="C103" s="1077">
        <f>SUMIF('SHWLP-Att'!$N$7:$N$130,"*"&amp;A103&amp;"*",'SHWLP-Att'!$Y$7:$Y$130)</f>
        <v>4.8011613763044781E-5</v>
      </c>
      <c r="D103" s="1083">
        <f>SUMIF('SHWLP-Det'!$N$7:$N$138,"*"&amp;A103&amp;"*",'SHWLP-Det'!$Y$7:$Y$138)</f>
        <v>1.6726681456894054E-3</v>
      </c>
      <c r="E103" s="1113"/>
      <c r="F103" s="1103"/>
      <c r="G103" s="1114"/>
      <c r="H103" s="1082">
        <f>SUMIF('SHWLP-Apt'!$N$113:$N$209,"*"&amp;A103&amp;"*",'SHWLP-Apt'!$Y$113:$Y$209)</f>
        <v>2.2389383848239661E-5</v>
      </c>
      <c r="I103" s="1077">
        <f>SUMIF('SHWLP-Att'!$N$137:$N$268,"*"&amp;A103&amp;"*",'SHWLP-Att'!$Y$137:$Y$268)</f>
        <v>1.7312047081083101E-5</v>
      </c>
      <c r="J103" s="1107">
        <f>SUMIF('SHWLP-Det'!$N$145:$N$281,"*"&amp;A103&amp;"*",'SHWLP-Det'!$Y$145:$Y$281)</f>
        <v>3.3293068043333955E-4</v>
      </c>
      <c r="K103" s="1113"/>
      <c r="L103" s="1103"/>
      <c r="M103" s="1114"/>
      <c r="N103" s="1113"/>
      <c r="O103" s="1120"/>
      <c r="P103" s="1103"/>
      <c r="Q103" s="1070"/>
      <c r="R103" s="790"/>
      <c r="S103" s="790"/>
      <c r="T103" s="790"/>
      <c r="U103" s="790"/>
      <c r="V103" s="790"/>
      <c r="W103" s="1068"/>
      <c r="X103" s="1134">
        <f t="shared" si="0"/>
        <v>2.1179551191719075E-3</v>
      </c>
      <c r="Y103" s="1131">
        <f>EnergyBalance!AD56*0.041868</f>
        <v>1.1663445324142983</v>
      </c>
      <c r="Z103" s="103"/>
      <c r="AA103" s="103"/>
      <c r="AB103" s="103"/>
      <c r="AC103" s="103"/>
      <c r="AD103" s="103"/>
      <c r="AE103" s="103"/>
      <c r="AF103" s="103"/>
      <c r="AG103" s="103"/>
      <c r="AH103" s="103"/>
      <c r="AI103" s="103"/>
      <c r="AJ103" s="103"/>
      <c r="AK103" s="103"/>
    </row>
    <row r="104" spans="1:37" s="212" customFormat="1" ht="15">
      <c r="A104" s="1099" t="s">
        <v>335</v>
      </c>
      <c r="B104" s="1084">
        <f>SUMIF('SHWLP-Apt'!$N$7:$N$105,"*"&amp;A104&amp;"*",'SHWLP-Apt'!$Y$7:$Y$105)</f>
        <v>0</v>
      </c>
      <c r="C104" s="1076">
        <f>SUMIF('SHWLP-Att'!$N$7:$N$130,"*"&amp;A104&amp;"*",'SHWLP-Att'!$Y$7:$Y$130)</f>
        <v>0</v>
      </c>
      <c r="D104" s="1085">
        <f>SUMIF('SHWLP-Det'!$N$7:$N$138,"*"&amp;A104&amp;"*",'SHWLP-Det'!$Y$7:$Y$138)</f>
        <v>0</v>
      </c>
      <c r="E104" s="1115"/>
      <c r="F104" s="1104"/>
      <c r="G104" s="1116"/>
      <c r="H104" s="1084">
        <f>SUMIF('SHWLP-Apt'!$N$113:$N$209,"*"&amp;A104&amp;"*",'SHWLP-Apt'!$Y$113:$Y$209)</f>
        <v>0</v>
      </c>
      <c r="I104" s="1076">
        <f>SUMIF('SHWLP-Att'!$N$137:$N$268,"*"&amp;A104&amp;"*",'SHWLP-Att'!$Y$137:$Y$268)</f>
        <v>0</v>
      </c>
      <c r="J104" s="1108">
        <f>SUMIF('SHWLP-Det'!$N$145:$N$281,"*"&amp;A104&amp;"*",'SHWLP-Det'!$Y$145:$Y$281)</f>
        <v>0</v>
      </c>
      <c r="K104" s="1115"/>
      <c r="L104" s="1104"/>
      <c r="M104" s="1116"/>
      <c r="N104" s="1115"/>
      <c r="O104" s="1119"/>
      <c r="P104" s="1104"/>
      <c r="Q104" s="1071"/>
      <c r="R104" s="789"/>
      <c r="S104" s="789"/>
      <c r="T104" s="789"/>
      <c r="U104" s="789"/>
      <c r="V104" s="789"/>
      <c r="W104" s="1069"/>
      <c r="X104" s="1134">
        <f t="shared" si="0"/>
        <v>0</v>
      </c>
      <c r="Y104" s="1132">
        <f>EnergyBalance!AF56*0.041868</f>
        <v>0</v>
      </c>
      <c r="Z104" s="103"/>
      <c r="AA104" s="103"/>
      <c r="AB104" s="103"/>
      <c r="AC104" s="103"/>
      <c r="AD104" s="103"/>
      <c r="AE104" s="103"/>
      <c r="AF104" s="103"/>
      <c r="AG104" s="103"/>
      <c r="AH104" s="103"/>
      <c r="AI104" s="103"/>
      <c r="AJ104" s="103"/>
      <c r="AK104" s="103"/>
    </row>
    <row r="105" spans="1:37" s="212" customFormat="1" ht="15">
      <c r="A105" s="1098" t="s">
        <v>311</v>
      </c>
      <c r="B105" s="1082">
        <f>SUMIF('SHWLP-Apt'!$N$7:$N$105,"*"&amp;A105&amp;"*",'SHWLP-Apt'!$Y$7:$Y$105)</f>
        <v>0</v>
      </c>
      <c r="C105" s="1077">
        <f>SUMIF('SHWLP-Att'!$N$7:$N$130,"*"&amp;A105&amp;"*",'SHWLP-Att'!$Y$7:$Y$130)</f>
        <v>0</v>
      </c>
      <c r="D105" s="1083">
        <f>SUMIF('SHWLP-Det'!$N$7:$N$138,"*"&amp;A105&amp;"*",'SHWLP-Det'!$Y$7:$Y$138)</f>
        <v>0</v>
      </c>
      <c r="E105" s="1113"/>
      <c r="F105" s="1103"/>
      <c r="G105" s="1114"/>
      <c r="H105" s="1082">
        <f>SUMIF('SHWLP-Apt'!$N$113:$N$209,"*"&amp;A105&amp;"*",'SHWLP-Apt'!$Y$113:$Y$209)</f>
        <v>0</v>
      </c>
      <c r="I105" s="1077">
        <f>SUMIF('SHWLP-Att'!$N$137:$N$268,"*"&amp;A105&amp;"*",'SHWLP-Att'!$Y$137:$Y$268)</f>
        <v>0</v>
      </c>
      <c r="J105" s="1107">
        <f>SUMIF('SHWLP-Det'!$N$145:$N$281,"*"&amp;A105&amp;"*",'SHWLP-Det'!$Y$145:$Y$281)</f>
        <v>0</v>
      </c>
      <c r="K105" s="1113"/>
      <c r="L105" s="1103"/>
      <c r="M105" s="1114"/>
      <c r="N105" s="1113"/>
      <c r="O105" s="1120"/>
      <c r="P105" s="1103"/>
      <c r="Q105" s="1125"/>
      <c r="R105" s="1121"/>
      <c r="S105" s="1121"/>
      <c r="T105" s="1121"/>
      <c r="U105" s="1121"/>
      <c r="V105" s="1121"/>
      <c r="W105" s="1068"/>
      <c r="X105" s="1134">
        <f t="shared" si="0"/>
        <v>0</v>
      </c>
      <c r="Y105" s="1131">
        <f>EnergyBalance!AE56*0.041868</f>
        <v>0</v>
      </c>
      <c r="Z105" s="103"/>
      <c r="AA105" s="103"/>
      <c r="AB105" s="103"/>
      <c r="AC105" s="103"/>
      <c r="AD105" s="103"/>
      <c r="AE105" s="103"/>
      <c r="AF105" s="103"/>
      <c r="AG105" s="103"/>
      <c r="AH105" s="103"/>
      <c r="AI105" s="103"/>
      <c r="AJ105" s="103"/>
      <c r="AK105" s="103"/>
    </row>
    <row r="106" spans="1:37" s="212" customFormat="1" ht="15">
      <c r="A106" s="1097" t="s">
        <v>312</v>
      </c>
      <c r="B106" s="1084">
        <f>SUMIF('SHWLP-Apt'!$N$7:$N$105,"*"&amp;A106&amp;"*",'SHWLP-Apt'!$Y$7:$Y$105)</f>
        <v>0</v>
      </c>
      <c r="C106" s="1076">
        <f>SUMIF('SHWLP-Att'!$N$7:$N$130,"*"&amp;A106&amp;"*",'SHWLP-Att'!$Y$7:$Y$130)</f>
        <v>0</v>
      </c>
      <c r="D106" s="1085">
        <f>SUMIF('SHWLP-Det'!$N$7:$N$138,"*"&amp;A106&amp;"*",'SHWLP-Det'!$Y$7:$Y$138)</f>
        <v>0</v>
      </c>
      <c r="E106" s="1115"/>
      <c r="F106" s="1104"/>
      <c r="G106" s="1116"/>
      <c r="H106" s="1084">
        <f>SUMIF('SHWLP-Apt'!$N$113:$N$209,"*"&amp;A106&amp;"*",'SHWLP-Apt'!$Y$113:$Y$209)</f>
        <v>0</v>
      </c>
      <c r="I106" s="1076">
        <f>SUMIF('SHWLP-Att'!$N$137:$N$268,"*"&amp;A106&amp;"*",'SHWLP-Att'!$Y$137:$Y$268)</f>
        <v>0</v>
      </c>
      <c r="J106" s="1108">
        <f>SUMIF('SHWLP-Det'!$N$145:$N$281,"*"&amp;A106&amp;"*",'SHWLP-Det'!$Y$145:$Y$281)</f>
        <v>0</v>
      </c>
      <c r="K106" s="1115"/>
      <c r="L106" s="1104"/>
      <c r="M106" s="1116"/>
      <c r="N106" s="1115"/>
      <c r="O106" s="1119"/>
      <c r="P106" s="1104"/>
      <c r="Q106" s="1126"/>
      <c r="R106" s="1123"/>
      <c r="S106" s="1123"/>
      <c r="T106" s="1123"/>
      <c r="U106" s="1123"/>
      <c r="V106" s="1123"/>
      <c r="W106" s="1069"/>
      <c r="X106" s="1134">
        <f t="shared" si="0"/>
        <v>0</v>
      </c>
      <c r="Y106" s="1132">
        <f>EnergyBalance!AI56*0.041868</f>
        <v>1.1367099712825202</v>
      </c>
      <c r="Z106" s="103"/>
      <c r="AA106" s="103"/>
      <c r="AB106" s="103"/>
      <c r="AC106" s="103"/>
      <c r="AD106" s="103"/>
      <c r="AE106" s="103"/>
      <c r="AF106" s="103"/>
      <c r="AG106" s="103"/>
      <c r="AH106" s="103"/>
      <c r="AI106" s="103"/>
      <c r="AJ106" s="103"/>
      <c r="AK106" s="103"/>
    </row>
    <row r="107" spans="1:37" s="212" customFormat="1" ht="15">
      <c r="A107" s="1098" t="s">
        <v>313</v>
      </c>
      <c r="B107" s="1082">
        <f>SUMIF('SHWLP-Apt'!$N$7:$N$105,"*"&amp;A107&amp;"*",'SHWLP-Apt'!$Y$7:$Y$105)</f>
        <v>2.7007193019462464E-12</v>
      </c>
      <c r="C107" s="1077">
        <f>SUMIF('SHWLP-Att'!$N$7:$N$130,"*"&amp;A107&amp;"*",'SHWLP-Att'!$Y$7:$Y$130)</f>
        <v>0</v>
      </c>
      <c r="D107" s="1083">
        <f>SUMIF('SHWLP-Det'!$N$7:$N$138,"*"&amp;A107&amp;"*",'SHWLP-Det'!$Y$7:$Y$138)</f>
        <v>0</v>
      </c>
      <c r="E107" s="1113"/>
      <c r="F107" s="1103"/>
      <c r="G107" s="1114"/>
      <c r="H107" s="1082">
        <f>SUMIF('SHWLP-Apt'!$N$113:$N$209,"*"&amp;A107&amp;"*",'SHWLP-Apt'!$Y$113:$Y$209)</f>
        <v>8.5445147582646888E-9</v>
      </c>
      <c r="I107" s="1077">
        <f>SUMIF('SHWLP-Att'!$N$137:$N$268,"*"&amp;A107&amp;"*",'SHWLP-Att'!$Y$137:$Y$268)</f>
        <v>0</v>
      </c>
      <c r="J107" s="1107">
        <f>SUMIF('SHWLP-Det'!$N$145:$N$281,"*"&amp;A107&amp;"*",'SHWLP-Det'!$Y$145:$Y$281)</f>
        <v>2.1327429384304753E-9</v>
      </c>
      <c r="K107" s="1113"/>
      <c r="L107" s="1103"/>
      <c r="M107" s="1114"/>
      <c r="N107" s="1113"/>
      <c r="O107" s="1120"/>
      <c r="P107" s="1103"/>
      <c r="Q107" s="1125"/>
      <c r="R107" s="1121"/>
      <c r="S107" s="1121"/>
      <c r="T107" s="1121"/>
      <c r="U107" s="1121"/>
      <c r="V107" s="1121"/>
      <c r="W107" s="1068"/>
      <c r="X107" s="1134">
        <f t="shared" si="0"/>
        <v>1.0679958415997111E-8</v>
      </c>
      <c r="Y107" s="1131">
        <f>EnergyBalance!AG56/2*0.041868</f>
        <v>0</v>
      </c>
      <c r="Z107" s="103"/>
      <c r="AA107" s="103"/>
      <c r="AB107" s="103"/>
      <c r="AC107" s="103"/>
      <c r="AD107" s="103"/>
      <c r="AE107" s="103"/>
      <c r="AF107" s="103"/>
      <c r="AG107" s="103"/>
      <c r="AH107" s="103"/>
      <c r="AI107" s="103"/>
      <c r="AJ107" s="103"/>
      <c r="AK107" s="103"/>
    </row>
    <row r="108" spans="1:37" s="212" customFormat="1" ht="15">
      <c r="A108" s="1097" t="s">
        <v>315</v>
      </c>
      <c r="B108" s="1084">
        <f>SUMIF('SHWLP-Apt'!$N$7:$N$105,"*"&amp;A108&amp;"*",'SHWLP-Apt'!$Y$7:$Y$105)</f>
        <v>4.4215224938191185E-9</v>
      </c>
      <c r="C108" s="1076">
        <f>SUMIF('SHWLP-Att'!$N$7:$N$130,"*"&amp;A108&amp;"*",'SHWLP-Att'!$Y$7:$Y$130)</f>
        <v>1.7986575939198694E-9</v>
      </c>
      <c r="D108" s="1085">
        <f>SUMIF('SHWLP-Det'!$N$7:$N$138,"*"&amp;A108&amp;"*",'SHWLP-Det'!$Y$7:$Y$138)</f>
        <v>0</v>
      </c>
      <c r="E108" s="1115"/>
      <c r="F108" s="1104"/>
      <c r="G108" s="1116"/>
      <c r="H108" s="1084">
        <f>SUMIF('SHWLP-Apt'!$N$113:$N$209,"*"&amp;A108&amp;"*",'SHWLP-Apt'!$Y$113:$Y$209)</f>
        <v>1.2196703689183062E-8</v>
      </c>
      <c r="I108" s="1076">
        <f>SUMIF('SHWLP-Att'!$N$137:$N$268,"*"&amp;A108&amp;"*",'SHWLP-Att'!$Y$137:$Y$268)</f>
        <v>3.9510080921277099E-9</v>
      </c>
      <c r="J108" s="1108">
        <f>SUMIF('SHWLP-Det'!$N$145:$N$281,"*"&amp;A108&amp;"*",'SHWLP-Det'!$Y$145:$Y$281)</f>
        <v>1.9194960355805775E-9</v>
      </c>
      <c r="K108" s="1115"/>
      <c r="L108" s="1104"/>
      <c r="M108" s="1116"/>
      <c r="N108" s="1115"/>
      <c r="O108" s="1119"/>
      <c r="P108" s="1104"/>
      <c r="Q108" s="1126"/>
      <c r="R108" s="1123"/>
      <c r="S108" s="1123"/>
      <c r="T108" s="1123"/>
      <c r="U108" s="1123"/>
      <c r="V108" s="1123"/>
      <c r="W108" s="1069"/>
      <c r="X108" s="1134">
        <f t="shared" si="0"/>
        <v>2.4287387904630336E-8</v>
      </c>
      <c r="Y108" s="1132">
        <f>EnergyBalance!AG56/2*0.041868</f>
        <v>0</v>
      </c>
      <c r="Z108" s="103"/>
      <c r="AA108" s="103"/>
      <c r="AB108" s="103"/>
      <c r="AC108" s="103"/>
      <c r="AD108" s="103"/>
      <c r="AE108" s="103"/>
      <c r="AF108" s="103"/>
      <c r="AG108" s="103"/>
      <c r="AH108" s="103"/>
      <c r="AI108" s="103"/>
      <c r="AJ108" s="103"/>
      <c r="AK108" s="103"/>
    </row>
    <row r="109" spans="1:37" s="212" customFormat="1" ht="15">
      <c r="A109" s="1098" t="s">
        <v>317</v>
      </c>
      <c r="B109" s="1082">
        <f>SUMIF('SHWLP-Apt'!$N$7:$N$105,"*"&amp;A109&amp;"*",'SHWLP-Apt'!$Y$7:$Y$105)</f>
        <v>0</v>
      </c>
      <c r="C109" s="1077">
        <f>SUMIF('SHWLP-Att'!$N$7:$N$130,"*"&amp;A109&amp;"*",'SHWLP-Att'!$Y$7:$Y$130)</f>
        <v>0</v>
      </c>
      <c r="D109" s="1083">
        <f>SUMIF('SHWLP-Det'!$N$7:$N$138,"*"&amp;A109&amp;"*",'SHWLP-Det'!$Y$7:$Y$138)</f>
        <v>0</v>
      </c>
      <c r="E109" s="1115"/>
      <c r="F109" s="1104"/>
      <c r="G109" s="1116"/>
      <c r="H109" s="1082">
        <f>SUMIF('SHWLP-Apt'!$N$113:$N$209,"*"&amp;A109&amp;"*",'SHWLP-Apt'!$Y$113:$Y$209)</f>
        <v>0</v>
      </c>
      <c r="I109" s="1077">
        <f>SUMIF('SHWLP-Att'!$N$137:$N$268,"*"&amp;A109&amp;"*",'SHWLP-Att'!$Y$137:$Y$268)</f>
        <v>0</v>
      </c>
      <c r="J109" s="1107">
        <f>SUMIF('SHWLP-Det'!$N$145:$N$281,"*"&amp;A109&amp;"*",'SHWLP-Det'!$Y$145:$Y$281)</f>
        <v>0</v>
      </c>
      <c r="K109" s="1113"/>
      <c r="L109" s="1103"/>
      <c r="M109" s="1114"/>
      <c r="N109" s="1113"/>
      <c r="O109" s="1120"/>
      <c r="P109" s="1103"/>
      <c r="Q109" s="1125"/>
      <c r="R109" s="1121"/>
      <c r="S109" s="1121"/>
      <c r="T109" s="1121"/>
      <c r="U109" s="1121"/>
      <c r="V109" s="1121"/>
      <c r="W109" s="1068"/>
      <c r="X109" s="1134">
        <f t="shared" si="0"/>
        <v>0</v>
      </c>
      <c r="Y109" s="1131">
        <f>EnergyBalance!AJ56*0.041868</f>
        <v>0</v>
      </c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103"/>
      <c r="AJ109" s="103"/>
      <c r="AK109" s="103"/>
    </row>
    <row r="110" spans="1:37" s="212" customFormat="1" ht="15">
      <c r="A110" s="1097" t="s">
        <v>845</v>
      </c>
      <c r="B110" s="1084">
        <f>SUMIF('SHWLP-Apt'!$N$7:$N$105,"*"&amp;A110&amp;"*",'SHWLP-Apt'!$Y$7:$Y$105)</f>
        <v>6.7079943376476502E-4</v>
      </c>
      <c r="C110" s="1076">
        <f>SUMIF('SHWLP-Att'!$N$7:$N$130,"*"&amp;A110&amp;"*",'SHWLP-Att'!$Y$7:$Y$130)</f>
        <v>0.25327333586228207</v>
      </c>
      <c r="D110" s="1085">
        <f>SUMIF('SHWLP-Det'!$N$7:$N$138,"*"&amp;A110&amp;"*",'SHWLP-Det'!$Y$7:$Y$138)</f>
        <v>0.3660508728887375</v>
      </c>
      <c r="E110" s="1115"/>
      <c r="F110" s="1104"/>
      <c r="G110" s="1116"/>
      <c r="H110" s="1084">
        <f>SUMIF('SHWLP-Apt'!$N$113:$N$209,"*"&amp;A110&amp;"*",'SHWLP-Apt'!$Y$113:$Y$209)</f>
        <v>1.1898367058759684E-4</v>
      </c>
      <c r="I110" s="1076">
        <f>SUMIF('SHWLP-Att'!$N$137:$N$268,"*"&amp;A110&amp;"*",'SHWLP-Att'!$Y$137:$Y$268)</f>
        <v>7.98485542212789E-2</v>
      </c>
      <c r="J110" s="1108">
        <f>SUMIF('SHWLP-Det'!$N$145:$N$281,"*"&amp;A110&amp;"*",'SHWLP-Det'!$Y$145:$Y$281)</f>
        <v>4.1283656329513779E-2</v>
      </c>
      <c r="K110" s="1115"/>
      <c r="L110" s="1104"/>
      <c r="M110" s="1116"/>
      <c r="N110" s="1115"/>
      <c r="O110" s="1119"/>
      <c r="P110" s="1104"/>
      <c r="Q110" s="1126"/>
      <c r="R110" s="1123"/>
      <c r="S110" s="1123"/>
      <c r="T110" s="1123"/>
      <c r="U110" s="1123"/>
      <c r="V110" s="1123"/>
      <c r="W110" s="1069"/>
      <c r="X110" s="1134">
        <f t="shared" si="0"/>
        <v>0.74124620240616457</v>
      </c>
      <c r="Y110" s="1132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103"/>
      <c r="AK110" s="103"/>
    </row>
    <row r="111" spans="1:37" s="212" customFormat="1" ht="15">
      <c r="A111" s="1098" t="s">
        <v>318</v>
      </c>
      <c r="B111" s="1093">
        <f>SUMIF('SHWLP-Apt'!$N$7:$N$105,"*"&amp;A111&amp;"*",'SHWLP-Apt'!$Y$7:$Y$105)</f>
        <v>2.3502057907494285</v>
      </c>
      <c r="C111" s="1093">
        <f>SUMIF('SHWLP-Att'!$N$7:$N$130,"*"&amp;A111&amp;"*",'SHWLP-Att'!$Y$7:$Y$130)</f>
        <v>0.20865533381039081</v>
      </c>
      <c r="D111" s="1094">
        <f>SUMIF('SHWLP-Det'!$N$7:$N$138,"*"&amp;A111&amp;"*",'SHWLP-Det'!$Y$7:$Y$138)</f>
        <v>0.12982064044400643</v>
      </c>
      <c r="E111" s="1113"/>
      <c r="F111" s="1103"/>
      <c r="G111" s="1114"/>
      <c r="H111" s="1093">
        <f>SUMIF('SHWLP-Apt'!$N$113:$N$209,"*"&amp;A111&amp;"*",'SHWLP-Apt'!$Y$113:$Y$209)</f>
        <v>1.5055659770744583</v>
      </c>
      <c r="I111" s="1093">
        <f>SUMIF('SHWLP-Att'!$N$137:$N$268,"*"&amp;A111&amp;"*",'SHWLP-Att'!$Y$137:$Y$268)</f>
        <v>9.4388710458290809E-2</v>
      </c>
      <c r="J111" s="1109">
        <f>SUMIF('SHWLP-Det'!$N$145:$N$281,"*"&amp;A111&amp;"*",'SHWLP-Det'!$Y$145:$Y$281)</f>
        <v>5.9489113578849152E-2</v>
      </c>
      <c r="K111" s="1070">
        <f>SUMIF('SHWLP-Apt'!$P$217:$P$225,"*"&amp;A111&amp;"*",'SHWLP-Apt'!$Y$217:$Y$225)</f>
        <v>0.33135044376992551</v>
      </c>
      <c r="L111" s="790">
        <f>SUMIF('SHWLP-Att'!$P$275:$P$283,"*"&amp;A111&amp;"*",'SHWLP-Att'!$Y$275:$Y$283)</f>
        <v>1.7200404897118975</v>
      </c>
      <c r="M111" s="1068">
        <f>SUMIF('SHWLP-Det'!$P$288:$P$296,"*"&amp;A111&amp;"*",'SHWLP-Det'!$Y$288:$Y$296)</f>
        <v>1.6735749915692129</v>
      </c>
      <c r="N111" s="1070">
        <f>SUMIF('SHWLP-Apt'!$P$231:$P$239,"*"&amp;A111&amp;"*",'SHWLP-Apt'!$Y$231:$Y$239)</f>
        <v>6.1939867072382054E-2</v>
      </c>
      <c r="O111" s="790">
        <f>SUMIF('SHWLP-Att'!$P$289:$P$297,"*"&amp;A111&amp;"*",'SHWLP-Att'!$Y$289:$Y$297)</f>
        <v>0.45723144783653402</v>
      </c>
      <c r="P111" s="1068">
        <f>SUMIF('SHWLP-Det'!$P$302:$P$310,"*"&amp;A111&amp;"*",'SHWLP-Det'!$Y$302:$Y$310)</f>
        <v>0.32014202217877352</v>
      </c>
      <c r="Q111" s="1125">
        <f>'[9]1d_Cooking'!$L$6*0.0036</f>
        <v>2.051734110329881</v>
      </c>
      <c r="R111" s="1121">
        <f>(T124*0.0000000036)*(DwellingStocks!$L$71*RSD_Balance!U124)</f>
        <v>1.4061634798103331</v>
      </c>
      <c r="S111" s="1121">
        <f>(T122*0.0000000036)*(DwellingStocks!$L$71*RSD_Balance!U122)</f>
        <v>1.0979945353713803</v>
      </c>
      <c r="T111" s="1121">
        <f>(T123*0.0000000036)*(DwellingStocks!$L$71*RSD_Balance!U123)</f>
        <v>1.7079955576584527</v>
      </c>
      <c r="U111" s="1121">
        <f>(T126*0.0000000036)*(DwellingStocks!$L$71*RSD_Balance!U126)</f>
        <v>1.1815425603081631</v>
      </c>
      <c r="V111" s="1121">
        <f>'[9]1f_OtherEndUses'!$L$6*0.0036</f>
        <v>1.0867607222120546</v>
      </c>
      <c r="W111" s="1068"/>
      <c r="X111" s="1134">
        <f t="shared" si="0"/>
        <v>17.444595793944419</v>
      </c>
      <c r="Y111" s="1131">
        <f>EnergyBalance!AK56*0.041868</f>
        <v>29.430890206847998</v>
      </c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103"/>
    </row>
    <row r="112" spans="1:37" s="212" customFormat="1" ht="15.75" thickBot="1">
      <c r="A112" s="1137" t="s">
        <v>319</v>
      </c>
      <c r="B112" s="1138">
        <f>SUMIF('SHWLP-Apt'!$N$7:$N$105,"*"&amp;A112&amp;"*",'SHWLP-Apt'!$Y$7:$Y$105)</f>
        <v>0</v>
      </c>
      <c r="C112" s="1139">
        <f>SUMIF('SHWLP-Att'!$N$7:$N$130,"*"&amp;A112&amp;"*",'SHWLP-Att'!$Y$7:$Y$130)</f>
        <v>0</v>
      </c>
      <c r="D112" s="1140">
        <f>SUMIF('SHWLP-Det'!$N$7:$N$138,"*"&amp;A112&amp;"*",'SHWLP-Det'!$Y$7:$Y$138)</f>
        <v>0</v>
      </c>
      <c r="E112" s="1149"/>
      <c r="F112" s="1150"/>
      <c r="G112" s="1151"/>
      <c r="H112" s="1086">
        <f>SUMIF('SHWLP-Apt'!$N$113:$N$209,"*"&amp;A112&amp;"*",'SHWLP-Apt'!$Y$113:$Y$209)</f>
        <v>1.6479972072814183E-4</v>
      </c>
      <c r="I112" s="1087">
        <f>SUMIF('SHWLP-Att'!$N$137:$N$268,"*"&amp;A112&amp;"*",'SHWLP-Att'!$Y$137:$Y$268)</f>
        <v>2.7144474286979106E-6</v>
      </c>
      <c r="J112" s="1110">
        <f>SUMIF('SHWLP-Det'!$N$145:$N$281,"*"&amp;A112&amp;"*",'SHWLP-Det'!$Y$145:$Y$281)</f>
        <v>2.3308434700055365E-7</v>
      </c>
      <c r="K112" s="1117"/>
      <c r="L112" s="1105"/>
      <c r="M112" s="1118"/>
      <c r="N112" s="1117"/>
      <c r="O112" s="1122"/>
      <c r="P112" s="1105"/>
      <c r="Q112" s="1127"/>
      <c r="R112" s="1128"/>
      <c r="S112" s="1128"/>
      <c r="T112" s="1128"/>
      <c r="U112" s="1128"/>
      <c r="V112" s="1128"/>
      <c r="W112" s="1129"/>
      <c r="X112" s="1134">
        <f t="shared" si="0"/>
        <v>1.6774725250384031E-4</v>
      </c>
      <c r="Y112" s="1133">
        <f>EnergyBalance!AL56*0.041868</f>
        <v>0</v>
      </c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</row>
    <row r="113" spans="1:37">
      <c r="A113" s="1141" t="s">
        <v>440</v>
      </c>
      <c r="B113" s="1142">
        <f>SUM(B90:B112)</f>
        <v>5.3208262151710937</v>
      </c>
      <c r="C113" s="1142">
        <f t="shared" ref="C113:D113" si="1">SUM(C90:C112)</f>
        <v>39.973727856928214</v>
      </c>
      <c r="D113" s="1143">
        <f t="shared" si="1"/>
        <v>61.275638330170345</v>
      </c>
      <c r="E113" s="1152">
        <f t="shared" ref="E113" si="2">SUM(E90:E112)</f>
        <v>0</v>
      </c>
      <c r="F113" s="1142">
        <f t="shared" ref="F113" si="3">SUM(F90:F112)</f>
        <v>0</v>
      </c>
      <c r="G113" s="1143">
        <f t="shared" ref="G113" si="4">SUM(G90:G112)</f>
        <v>0</v>
      </c>
      <c r="H113" s="1152">
        <f t="shared" ref="H113" si="5">SUM(H90:H112)</f>
        <v>3.3794142484959058</v>
      </c>
      <c r="I113" s="1142">
        <f t="shared" ref="I113" si="6">SUM(I90:I112)</f>
        <v>15.290437373952416</v>
      </c>
      <c r="J113" s="1143">
        <f t="shared" ref="J113" si="7">SUM(J90:J112)</f>
        <v>15.220771032197229</v>
      </c>
      <c r="K113" s="1152">
        <f t="shared" ref="K113" si="8">SUM(K90:K112)</f>
        <v>0.33135044376992551</v>
      </c>
      <c r="L113" s="1142">
        <f t="shared" ref="L113" si="9">SUM(L90:L112)</f>
        <v>1.7200404897118975</v>
      </c>
      <c r="M113" s="1143">
        <f t="shared" ref="M113" si="10">SUM(M90:M112)</f>
        <v>1.6735749915692129</v>
      </c>
      <c r="N113" s="1152">
        <f t="shared" ref="N113" si="11">SUM(N90:N112)</f>
        <v>6.1939867072382054E-2</v>
      </c>
      <c r="O113" s="1142">
        <f t="shared" ref="O113" si="12">SUM(O90:O112)</f>
        <v>0.45723144783653402</v>
      </c>
      <c r="P113" s="1143">
        <f t="shared" ref="P113:Q113" si="13">SUM(P90:P112)</f>
        <v>0.32014202217877352</v>
      </c>
      <c r="Q113" s="1152">
        <f t="shared" si="13"/>
        <v>2.7611554513679644</v>
      </c>
      <c r="R113" s="1142">
        <f t="shared" ref="R113" si="14">SUM(R90:R112)</f>
        <v>1.4061634798103331</v>
      </c>
      <c r="S113" s="1142">
        <f t="shared" ref="S113" si="15">SUM(S90:S112)</f>
        <v>1.0979945353713803</v>
      </c>
      <c r="T113" s="1142">
        <f t="shared" ref="T113" si="16">SUM(T90:T112)</f>
        <v>1.7079955576584527</v>
      </c>
      <c r="U113" s="1142">
        <f t="shared" ref="U113" si="17">SUM(U90:U112)</f>
        <v>1.1815425603081631</v>
      </c>
      <c r="V113" s="1142">
        <f t="shared" ref="V113" si="18">SUM(V90:V112)</f>
        <v>1.0867607222120546</v>
      </c>
      <c r="W113" s="1143">
        <f t="shared" ref="W113" si="19">SUM(W90:W112)</f>
        <v>0</v>
      </c>
      <c r="X113" s="1088"/>
      <c r="Y113" s="1135">
        <f>SUM(Y90:Y112)</f>
        <v>116.65307434441837</v>
      </c>
      <c r="Z113" s="103"/>
      <c r="AA113" s="103"/>
      <c r="AB113" s="103"/>
      <c r="AC113" s="103"/>
      <c r="AD113" s="103"/>
      <c r="AE113" s="103"/>
      <c r="AF113" s="103"/>
      <c r="AG113" s="212"/>
      <c r="AH113" s="212"/>
      <c r="AI113" s="212"/>
      <c r="AJ113" s="212"/>
      <c r="AK113" s="212"/>
    </row>
    <row r="114" spans="1:37">
      <c r="A114" s="1144"/>
      <c r="B114" s="109"/>
      <c r="C114" s="109"/>
      <c r="D114" s="1145"/>
      <c r="E114" s="1153"/>
      <c r="F114" s="109"/>
      <c r="G114" s="1145"/>
      <c r="H114" s="1153"/>
      <c r="I114" s="109"/>
      <c r="J114" s="1145"/>
      <c r="K114" s="1153"/>
      <c r="L114" s="109"/>
      <c r="M114" s="1156"/>
      <c r="N114" s="1158"/>
      <c r="O114" s="103"/>
      <c r="P114" s="1159"/>
      <c r="Q114" s="1158"/>
      <c r="R114" s="103"/>
      <c r="S114" s="103"/>
      <c r="T114" s="103"/>
      <c r="U114" s="103"/>
      <c r="V114" s="103"/>
      <c r="W114" s="1159"/>
      <c r="X114" s="103"/>
      <c r="Y114" s="103"/>
      <c r="Z114" s="103"/>
      <c r="AA114" s="103"/>
      <c r="AB114" s="103"/>
      <c r="AC114" s="103"/>
      <c r="AD114" s="103"/>
      <c r="AE114" s="103"/>
      <c r="AF114" s="103"/>
    </row>
    <row r="115" spans="1:37" ht="13.5" thickBot="1">
      <c r="A115" s="1146" t="s">
        <v>849</v>
      </c>
      <c r="B115" s="1147">
        <f>SUM(B113:D113)</f>
        <v>106.57019240226965</v>
      </c>
      <c r="C115" s="768"/>
      <c r="D115" s="1148"/>
      <c r="E115" s="1154">
        <f>SUM(E113:G113)</f>
        <v>0</v>
      </c>
      <c r="F115" s="768"/>
      <c r="G115" s="1148"/>
      <c r="H115" s="1155">
        <f>SUM(H113:J113)</f>
        <v>33.890622654645554</v>
      </c>
      <c r="I115" s="768"/>
      <c r="J115" s="1148"/>
      <c r="K115" s="1157">
        <f>SUM(K111:M111)</f>
        <v>3.7249659250510359</v>
      </c>
      <c r="L115" s="768"/>
      <c r="M115" s="1148"/>
      <c r="N115" s="1157">
        <f>SUM(N111:P111)</f>
        <v>0.83931333708768963</v>
      </c>
      <c r="O115" s="1160"/>
      <c r="P115" s="1161"/>
      <c r="Q115" s="1162">
        <f>SUM(Q113:W113)</f>
        <v>9.2416123067283458</v>
      </c>
      <c r="R115" s="1160"/>
      <c r="S115" s="768"/>
      <c r="T115" s="1160"/>
      <c r="U115" s="1160"/>
      <c r="V115" s="1160"/>
      <c r="W115" s="1161"/>
      <c r="X115" s="109">
        <f>SUM(A115:W115)</f>
        <v>154.26670662578229</v>
      </c>
      <c r="Y115" s="109"/>
      <c r="Z115" s="1134"/>
      <c r="AA115" s="103"/>
      <c r="AB115" s="103"/>
      <c r="AC115" s="103"/>
      <c r="AD115" s="103"/>
      <c r="AE115" s="103"/>
      <c r="AF115" s="103"/>
    </row>
    <row r="116" spans="1:37" s="212" customFormat="1">
      <c r="A116" s="1164"/>
      <c r="B116" s="1165">
        <f>B115/$X$115</f>
        <v>0.69081783576793354</v>
      </c>
      <c r="C116" s="1164" t="s">
        <v>856</v>
      </c>
      <c r="D116" s="1164"/>
      <c r="E116" s="1165">
        <f>E115/$X$115</f>
        <v>0</v>
      </c>
      <c r="F116" s="1164"/>
      <c r="G116" s="1164"/>
      <c r="H116" s="1165">
        <f>H115/$X$115</f>
        <v>0.21968850827195582</v>
      </c>
      <c r="I116" s="1164" t="s">
        <v>855</v>
      </c>
      <c r="J116" s="1164"/>
      <c r="K116" s="1165">
        <f>SUM((K115+N115+Q115-Q113))/$X$115</f>
        <v>7.1595072968603984E-2</v>
      </c>
      <c r="L116" s="1164" t="s">
        <v>854</v>
      </c>
      <c r="M116" s="1164"/>
      <c r="N116" s="1164"/>
      <c r="O116" s="109"/>
      <c r="P116" s="109"/>
      <c r="Q116" s="1136">
        <f>Q113/X115</f>
        <v>1.7898582991506592E-2</v>
      </c>
      <c r="R116" s="109" t="s">
        <v>328</v>
      </c>
      <c r="S116" s="1164"/>
      <c r="T116" s="109"/>
      <c r="U116" s="109"/>
      <c r="V116" s="109"/>
      <c r="W116" s="109"/>
      <c r="X116" s="109"/>
      <c r="Y116" s="109"/>
      <c r="Z116" s="1134"/>
      <c r="AA116" s="103"/>
      <c r="AB116" s="103"/>
      <c r="AC116" s="103"/>
      <c r="AD116" s="103"/>
      <c r="AE116" s="103"/>
      <c r="AF116" s="103"/>
    </row>
    <row r="117" spans="1:37" s="212" customFormat="1">
      <c r="A117" s="212" t="s">
        <v>847</v>
      </c>
      <c r="B117" s="1101"/>
      <c r="H117" s="1091"/>
      <c r="N117" s="103"/>
      <c r="O117" s="103"/>
      <c r="P117" s="103"/>
      <c r="Q117" s="103"/>
      <c r="R117" s="103"/>
      <c r="T117" s="103"/>
      <c r="U117" s="103"/>
      <c r="V117" s="103"/>
      <c r="W117" s="103"/>
      <c r="X117" s="103"/>
      <c r="Y117" s="109"/>
      <c r="Z117" s="103"/>
      <c r="AA117" s="103"/>
      <c r="AB117" s="103"/>
      <c r="AC117" s="103"/>
      <c r="AD117" s="103"/>
      <c r="AE117" s="103"/>
      <c r="AF117" s="103"/>
    </row>
    <row r="118" spans="1:37" s="136" customFormat="1">
      <c r="N118" s="109"/>
      <c r="O118" s="109"/>
      <c r="P118" s="109"/>
      <c r="Q118" s="109"/>
      <c r="R118" s="109"/>
      <c r="S118" s="109"/>
      <c r="T118" s="109"/>
      <c r="U118" s="109"/>
      <c r="V118" s="109"/>
      <c r="W118" s="109"/>
      <c r="X118" s="109"/>
      <c r="Y118" s="109"/>
      <c r="Z118" s="109"/>
      <c r="AA118" s="109"/>
      <c r="AB118" s="109"/>
      <c r="AC118" s="109"/>
      <c r="AD118" s="109"/>
      <c r="AE118" s="109"/>
      <c r="AF118" s="109"/>
    </row>
    <row r="119" spans="1:37">
      <c r="A119" s="212"/>
      <c r="B119" s="212"/>
      <c r="C119" s="212"/>
      <c r="D119" s="212"/>
      <c r="E119" s="212"/>
      <c r="F119" s="212"/>
      <c r="G119" s="212"/>
      <c r="H119" s="212"/>
      <c r="I119" s="212"/>
      <c r="J119" s="212"/>
      <c r="K119" s="212"/>
      <c r="L119" s="212"/>
      <c r="M119" s="212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</row>
    <row r="120" spans="1:37">
      <c r="A120" s="212"/>
      <c r="B120" s="212"/>
      <c r="C120" s="212"/>
      <c r="D120" s="212"/>
      <c r="E120" s="212"/>
      <c r="F120" s="212"/>
      <c r="G120" s="212"/>
      <c r="H120" s="212"/>
      <c r="I120" s="212"/>
      <c r="J120" s="212"/>
      <c r="K120" s="212"/>
      <c r="L120" s="212"/>
      <c r="M120" s="212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</row>
    <row r="121" spans="1:37">
      <c r="A121" s="212"/>
      <c r="B121" s="212"/>
      <c r="C121" s="212"/>
      <c r="D121" s="212"/>
      <c r="E121" s="212"/>
      <c r="F121" s="212"/>
      <c r="G121" s="212"/>
      <c r="H121" s="212"/>
      <c r="I121" s="212"/>
      <c r="J121" s="212"/>
      <c r="K121" s="212"/>
      <c r="L121" s="212"/>
      <c r="M121" s="212"/>
      <c r="N121" s="103"/>
      <c r="O121" s="103"/>
      <c r="P121" s="103"/>
      <c r="Q121" s="103"/>
      <c r="R121" s="103"/>
      <c r="S121" s="103" t="s">
        <v>852</v>
      </c>
      <c r="T121" s="103" t="s">
        <v>851</v>
      </c>
      <c r="U121" s="103" t="s">
        <v>853</v>
      </c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</row>
    <row r="122" spans="1:37" ht="13.5" thickBot="1">
      <c r="A122" s="212"/>
      <c r="B122" s="212"/>
      <c r="C122" s="212"/>
      <c r="D122" s="212"/>
      <c r="E122" s="212"/>
      <c r="F122" s="212"/>
      <c r="G122" s="212"/>
      <c r="H122" s="212"/>
      <c r="I122" s="212"/>
      <c r="J122" s="212"/>
      <c r="K122" s="212"/>
      <c r="L122" s="212"/>
      <c r="M122" s="212"/>
      <c r="N122" s="103"/>
      <c r="O122" s="103"/>
      <c r="P122" s="103"/>
      <c r="Q122" s="103"/>
      <c r="R122" s="103"/>
      <c r="S122" s="795" t="s">
        <v>330</v>
      </c>
      <c r="T122" s="109">
        <v>185</v>
      </c>
      <c r="U122" s="103">
        <v>0.97499999999999998</v>
      </c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</row>
    <row r="123" spans="1:37" ht="13.5" thickBot="1">
      <c r="A123" s="212"/>
      <c r="B123" s="212"/>
      <c r="C123" s="212"/>
      <c r="D123" s="212"/>
      <c r="E123" s="212"/>
      <c r="F123" s="212"/>
      <c r="G123" s="212"/>
      <c r="H123" s="212"/>
      <c r="I123" s="212"/>
      <c r="J123" s="212"/>
      <c r="K123" s="212"/>
      <c r="L123" s="212"/>
      <c r="M123" s="212"/>
      <c r="N123" s="103"/>
      <c r="O123" s="103"/>
      <c r="P123" s="103"/>
      <c r="Q123" s="103"/>
      <c r="R123" s="103"/>
      <c r="S123" s="795" t="s">
        <v>331</v>
      </c>
      <c r="T123" s="103">
        <v>433</v>
      </c>
      <c r="U123" s="103">
        <v>0.64800000000000002</v>
      </c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</row>
    <row r="124" spans="1:37" ht="13.5" thickBot="1">
      <c r="A124" s="212"/>
      <c r="B124" s="212"/>
      <c r="C124" s="212"/>
      <c r="D124" s="212"/>
      <c r="E124" s="212"/>
      <c r="F124" s="212"/>
      <c r="G124" s="212"/>
      <c r="H124" s="212"/>
      <c r="I124" s="212"/>
      <c r="J124" s="212"/>
      <c r="K124" s="212"/>
      <c r="L124" s="212"/>
      <c r="M124" s="212"/>
      <c r="N124" s="103"/>
      <c r="O124" s="103"/>
      <c r="P124" s="103"/>
      <c r="Q124" s="103"/>
      <c r="R124" s="103"/>
      <c r="S124" s="795" t="s">
        <v>329</v>
      </c>
      <c r="T124" s="103">
        <v>231</v>
      </c>
      <c r="U124" s="103">
        <v>1</v>
      </c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</row>
    <row r="125" spans="1:37">
      <c r="A125" s="212"/>
      <c r="B125" s="212"/>
      <c r="C125" s="212"/>
      <c r="D125" s="212"/>
      <c r="E125" s="212"/>
      <c r="F125" s="212"/>
      <c r="G125" s="212"/>
      <c r="H125" s="212"/>
      <c r="I125" s="212"/>
      <c r="J125" s="212"/>
      <c r="K125" s="212"/>
      <c r="L125" s="212"/>
      <c r="M125" s="212"/>
      <c r="N125" s="103"/>
      <c r="O125" s="103"/>
      <c r="P125" s="103"/>
      <c r="Q125" s="103"/>
      <c r="R125" s="103"/>
      <c r="S125" s="1163" t="s">
        <v>850</v>
      </c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</row>
    <row r="126" spans="1:37" ht="13.5" thickBot="1">
      <c r="A126" s="212"/>
      <c r="B126" s="212"/>
      <c r="C126" s="212"/>
      <c r="D126" s="212"/>
      <c r="E126" s="212"/>
      <c r="F126" s="212"/>
      <c r="G126" s="212"/>
      <c r="H126" s="212"/>
      <c r="I126" s="212"/>
      <c r="J126" s="212"/>
      <c r="K126" s="212"/>
      <c r="L126" s="212"/>
      <c r="M126" s="212"/>
      <c r="N126" s="103"/>
      <c r="O126" s="103"/>
      <c r="P126" s="103"/>
      <c r="Q126" s="103"/>
      <c r="R126" s="103"/>
      <c r="S126" s="795" t="s">
        <v>332</v>
      </c>
      <c r="T126" s="812">
        <v>300</v>
      </c>
      <c r="U126" s="103">
        <v>0.64700000000000002</v>
      </c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</row>
    <row r="127" spans="1:37">
      <c r="A127" s="212"/>
      <c r="B127" s="212"/>
      <c r="C127" s="212"/>
      <c r="D127" s="212"/>
      <c r="E127" s="212"/>
      <c r="F127" s="212"/>
      <c r="G127" s="212"/>
      <c r="H127" s="212"/>
      <c r="I127" s="212"/>
      <c r="J127" s="212"/>
      <c r="K127" s="212"/>
      <c r="L127" s="212"/>
      <c r="M127" s="212"/>
      <c r="N127" s="103"/>
      <c r="O127" s="103"/>
      <c r="P127" s="103"/>
      <c r="Q127" s="103"/>
      <c r="R127" s="103"/>
      <c r="S127" s="103"/>
      <c r="T127" s="103"/>
      <c r="U127" s="103"/>
      <c r="V127" s="103"/>
      <c r="W127" s="103"/>
      <c r="X127" s="103"/>
      <c r="Y127" s="103"/>
      <c r="Z127" s="103"/>
      <c r="AA127" s="103"/>
      <c r="AB127" s="103"/>
      <c r="AC127" s="103"/>
      <c r="AD127" s="103"/>
      <c r="AE127" s="103"/>
      <c r="AF127" s="103"/>
    </row>
    <row r="128" spans="1:37">
      <c r="A128" s="212"/>
      <c r="B128" s="212"/>
      <c r="C128" s="212"/>
      <c r="D128" s="212"/>
      <c r="E128" s="212"/>
      <c r="F128" s="212"/>
      <c r="G128" s="212"/>
      <c r="H128" s="212"/>
      <c r="I128" s="212"/>
      <c r="J128" s="212"/>
      <c r="K128" s="212"/>
      <c r="L128" s="212"/>
      <c r="M128" s="212"/>
      <c r="N128" s="103"/>
      <c r="O128" s="103"/>
      <c r="P128" s="103"/>
      <c r="Q128" s="103"/>
      <c r="R128" s="103"/>
      <c r="S128" s="103"/>
      <c r="T128" s="103"/>
      <c r="U128" s="103"/>
      <c r="V128" s="103"/>
      <c r="W128" s="103"/>
      <c r="X128" s="103"/>
      <c r="Y128" s="103"/>
      <c r="Z128" s="103"/>
      <c r="AA128" s="103"/>
      <c r="AB128" s="103"/>
      <c r="AC128" s="103"/>
      <c r="AD128" s="103"/>
      <c r="AE128" s="103"/>
      <c r="AF128" s="103"/>
    </row>
    <row r="129" spans="1:32">
      <c r="A129" s="212"/>
      <c r="B129" s="212"/>
      <c r="C129" s="212"/>
      <c r="D129" s="212"/>
      <c r="E129" s="212"/>
      <c r="F129" s="212"/>
      <c r="G129" s="212"/>
      <c r="H129" s="212"/>
      <c r="I129" s="212"/>
      <c r="J129" s="212"/>
      <c r="K129" s="212"/>
      <c r="L129" s="212"/>
      <c r="M129" s="212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  <c r="AA129" s="103"/>
      <c r="AB129" s="103"/>
      <c r="AC129" s="103"/>
      <c r="AD129" s="103"/>
      <c r="AE129" s="103"/>
      <c r="AF129" s="103"/>
    </row>
    <row r="130" spans="1:32">
      <c r="A130" s="212"/>
      <c r="B130" s="212"/>
      <c r="C130" s="212"/>
      <c r="D130" s="212"/>
      <c r="E130" s="212"/>
      <c r="F130" s="212"/>
      <c r="G130" s="212"/>
      <c r="H130" s="212"/>
      <c r="I130" s="212"/>
      <c r="J130" s="212"/>
      <c r="K130" s="212"/>
      <c r="L130" s="212"/>
      <c r="M130" s="212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  <c r="AA130" s="103"/>
      <c r="AB130" s="103"/>
      <c r="AC130" s="103"/>
      <c r="AD130" s="103"/>
      <c r="AE130" s="103"/>
      <c r="AF130" s="103"/>
    </row>
    <row r="131" spans="1:32">
      <c r="A131" s="212"/>
      <c r="B131" s="212"/>
      <c r="C131" s="212"/>
      <c r="D131" s="212"/>
      <c r="E131" s="212"/>
      <c r="F131" s="212"/>
      <c r="G131" s="212"/>
      <c r="H131" s="212"/>
      <c r="I131" s="212"/>
      <c r="J131" s="212"/>
      <c r="K131" s="212"/>
      <c r="L131" s="212"/>
      <c r="M131" s="212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  <c r="AB131" s="103"/>
      <c r="AC131" s="103"/>
      <c r="AD131" s="103"/>
      <c r="AE131" s="103"/>
      <c r="AF131" s="103"/>
    </row>
    <row r="132" spans="1:32">
      <c r="A132" s="212"/>
      <c r="B132" s="212"/>
      <c r="C132" s="212"/>
      <c r="D132" s="212"/>
      <c r="E132" s="212"/>
      <c r="F132" s="212"/>
      <c r="G132" s="212"/>
      <c r="H132" s="212"/>
      <c r="I132" s="212"/>
      <c r="J132" s="212"/>
      <c r="K132" s="212"/>
      <c r="L132" s="212"/>
      <c r="M132" s="212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  <c r="AA132" s="103"/>
      <c r="AB132" s="103"/>
      <c r="AC132" s="103"/>
      <c r="AD132" s="103"/>
      <c r="AE132" s="103"/>
      <c r="AF132" s="103"/>
    </row>
    <row r="133" spans="1:32">
      <c r="A133" s="212"/>
      <c r="B133" s="212"/>
      <c r="C133" s="212"/>
      <c r="D133" s="212"/>
      <c r="E133" s="212"/>
      <c r="F133" s="212"/>
      <c r="G133" s="212"/>
      <c r="H133" s="212"/>
      <c r="I133" s="212"/>
      <c r="J133" s="212"/>
      <c r="K133" s="212"/>
      <c r="L133" s="212"/>
      <c r="M133" s="212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</row>
    <row r="134" spans="1:32">
      <c r="A134" s="212"/>
      <c r="B134" s="212"/>
      <c r="C134" s="212"/>
      <c r="D134" s="212"/>
      <c r="E134" s="212"/>
      <c r="F134" s="212"/>
      <c r="G134" s="212"/>
      <c r="H134" s="212"/>
      <c r="I134" s="212"/>
      <c r="J134" s="212"/>
      <c r="K134" s="212"/>
      <c r="L134" s="212"/>
      <c r="M134" s="212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3"/>
      <c r="AD134" s="103"/>
      <c r="AE134" s="103"/>
      <c r="AF134" s="103"/>
    </row>
    <row r="135" spans="1:32">
      <c r="A135" s="212"/>
      <c r="B135" s="212"/>
      <c r="C135" s="212"/>
      <c r="D135" s="212"/>
      <c r="E135" s="212"/>
      <c r="F135" s="212"/>
      <c r="G135" s="212"/>
      <c r="H135" s="212"/>
      <c r="I135" s="212"/>
      <c r="J135" s="212"/>
      <c r="K135" s="212"/>
      <c r="L135" s="212"/>
      <c r="M135" s="212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3"/>
      <c r="AD135" s="103"/>
      <c r="AE135" s="103"/>
      <c r="AF135" s="103"/>
    </row>
    <row r="136" spans="1:32">
      <c r="A136" s="212"/>
      <c r="B136" s="212"/>
      <c r="C136" s="212"/>
      <c r="D136" s="212"/>
      <c r="E136" s="212"/>
      <c r="F136" s="212"/>
      <c r="G136" s="212"/>
      <c r="H136" s="212"/>
      <c r="I136" s="212"/>
      <c r="J136" s="212"/>
      <c r="K136" s="212"/>
      <c r="L136" s="212"/>
      <c r="M136" s="212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  <c r="AB136" s="103"/>
      <c r="AC136" s="103"/>
      <c r="AD136" s="103"/>
      <c r="AE136" s="103"/>
      <c r="AF136" s="103"/>
    </row>
    <row r="137" spans="1:32">
      <c r="A137" s="212"/>
      <c r="B137" s="212"/>
      <c r="C137" s="212"/>
      <c r="D137" s="212"/>
      <c r="E137" s="212"/>
      <c r="F137" s="212"/>
      <c r="G137" s="212"/>
      <c r="H137" s="212"/>
      <c r="I137" s="212"/>
      <c r="J137" s="212"/>
      <c r="K137" s="212"/>
      <c r="L137" s="212"/>
      <c r="M137" s="212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  <c r="AA137" s="103"/>
      <c r="AB137" s="103"/>
      <c r="AC137" s="103"/>
      <c r="AD137" s="103"/>
      <c r="AE137" s="103"/>
      <c r="AF137" s="103"/>
    </row>
    <row r="138" spans="1:32">
      <c r="A138" s="212"/>
      <c r="B138" s="212"/>
      <c r="C138" s="212"/>
      <c r="D138" s="212"/>
      <c r="E138" s="212"/>
      <c r="F138" s="212"/>
      <c r="G138" s="212"/>
      <c r="H138" s="212"/>
      <c r="I138" s="212"/>
      <c r="J138" s="212"/>
      <c r="K138" s="212"/>
      <c r="L138" s="212"/>
      <c r="M138" s="212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  <c r="AA138" s="103"/>
      <c r="AB138" s="103"/>
      <c r="AC138" s="103"/>
      <c r="AD138" s="103"/>
      <c r="AE138" s="103"/>
      <c r="AF138" s="103"/>
    </row>
    <row r="139" spans="1:32">
      <c r="A139" s="212"/>
      <c r="B139" s="212"/>
      <c r="C139" s="212"/>
      <c r="D139" s="212"/>
      <c r="E139" s="212"/>
      <c r="F139" s="212"/>
      <c r="G139" s="212"/>
      <c r="H139" s="212"/>
      <c r="I139" s="212"/>
      <c r="J139" s="212"/>
      <c r="K139" s="212"/>
      <c r="L139" s="212"/>
      <c r="M139" s="212"/>
      <c r="N139" s="103"/>
      <c r="O139" s="103"/>
      <c r="P139" s="103"/>
      <c r="Q139" s="212"/>
      <c r="R139" s="212"/>
      <c r="S139" s="212"/>
      <c r="T139" s="212"/>
      <c r="U139" s="212"/>
      <c r="V139" s="212"/>
      <c r="W139" s="212"/>
      <c r="Y139" s="212"/>
      <c r="Z139" s="212"/>
      <c r="AA139" s="212"/>
      <c r="AB139" s="212"/>
      <c r="AC139" s="212"/>
      <c r="AD139" s="212"/>
      <c r="AE139" s="212"/>
      <c r="AF139" s="212"/>
    </row>
    <row r="140" spans="1:32">
      <c r="A140" s="212"/>
      <c r="B140" s="212"/>
      <c r="C140" s="212"/>
      <c r="D140" s="212"/>
      <c r="E140" s="212"/>
      <c r="F140" s="212"/>
      <c r="G140" s="212"/>
      <c r="H140" s="212"/>
      <c r="I140" s="212"/>
      <c r="J140" s="212"/>
      <c r="K140" s="212"/>
      <c r="L140" s="212"/>
      <c r="M140" s="212"/>
      <c r="N140" s="103"/>
      <c r="O140" s="103"/>
      <c r="P140" s="103"/>
      <c r="Q140" s="212"/>
      <c r="R140" s="212"/>
      <c r="S140" s="212"/>
      <c r="T140" s="212"/>
      <c r="U140" s="212"/>
      <c r="V140" s="212"/>
      <c r="W140" s="212"/>
      <c r="Y140" s="212"/>
      <c r="Z140" s="212"/>
      <c r="AA140" s="212"/>
      <c r="AB140" s="212"/>
      <c r="AC140" s="212"/>
      <c r="AD140" s="212"/>
      <c r="AE140" s="212"/>
      <c r="AF140" s="212"/>
    </row>
    <row r="141" spans="1:32">
      <c r="A141" s="212"/>
      <c r="B141" s="212"/>
      <c r="C141" s="212"/>
      <c r="D141" s="212"/>
      <c r="E141" s="212"/>
      <c r="F141" s="212"/>
      <c r="G141" s="212"/>
      <c r="H141" s="212"/>
      <c r="I141" s="212"/>
      <c r="J141" s="212"/>
      <c r="K141" s="212"/>
      <c r="L141" s="212"/>
      <c r="M141" s="212"/>
      <c r="N141" s="103"/>
      <c r="O141" s="103"/>
      <c r="P141" s="103"/>
      <c r="Q141" s="212"/>
      <c r="R141" s="212"/>
      <c r="S141" s="212"/>
      <c r="T141" s="212"/>
      <c r="U141" s="212"/>
      <c r="V141" s="212"/>
      <c r="W141" s="212"/>
      <c r="Y141" s="212"/>
      <c r="Z141" s="212"/>
      <c r="AA141" s="212"/>
      <c r="AB141" s="212"/>
      <c r="AC141" s="212"/>
      <c r="AD141" s="212"/>
      <c r="AE141" s="212"/>
      <c r="AF141" s="212"/>
    </row>
    <row r="142" spans="1:32">
      <c r="A142" s="212"/>
      <c r="B142" s="212"/>
      <c r="C142" s="212"/>
      <c r="D142" s="212"/>
      <c r="E142" s="212"/>
      <c r="F142" s="212"/>
      <c r="G142" s="212"/>
      <c r="H142" s="212"/>
      <c r="I142" s="212"/>
      <c r="J142" s="212"/>
      <c r="K142" s="212"/>
      <c r="L142" s="212"/>
      <c r="M142" s="212"/>
      <c r="N142" s="103"/>
      <c r="O142" s="103"/>
      <c r="P142" s="103"/>
      <c r="Q142" s="212"/>
      <c r="R142" s="212"/>
      <c r="S142" s="212"/>
      <c r="T142" s="212"/>
      <c r="U142" s="212"/>
      <c r="V142" s="212"/>
      <c r="W142" s="212"/>
      <c r="Y142" s="212"/>
      <c r="Z142" s="212"/>
      <c r="AA142" s="212"/>
      <c r="AB142" s="212"/>
      <c r="AC142" s="212"/>
      <c r="AD142" s="212"/>
      <c r="AE142" s="212"/>
      <c r="AF142" s="212"/>
    </row>
    <row r="143" spans="1:32">
      <c r="A143" s="212"/>
      <c r="B143" s="212"/>
      <c r="C143" s="212"/>
      <c r="D143" s="212"/>
      <c r="E143" s="212"/>
      <c r="F143" s="212"/>
      <c r="G143" s="212"/>
      <c r="H143" s="212"/>
      <c r="I143" s="212"/>
      <c r="J143" s="212"/>
      <c r="K143" s="212"/>
      <c r="L143" s="212"/>
      <c r="M143" s="212"/>
      <c r="N143" s="103"/>
      <c r="O143" s="103"/>
      <c r="P143" s="103"/>
      <c r="Q143" s="212"/>
      <c r="R143" s="212"/>
      <c r="S143" s="212"/>
      <c r="T143" s="212"/>
      <c r="U143" s="212"/>
      <c r="V143" s="212"/>
      <c r="W143" s="212"/>
      <c r="Y143" s="212"/>
      <c r="Z143" s="212"/>
      <c r="AA143" s="212"/>
      <c r="AB143" s="212"/>
      <c r="AC143" s="212"/>
      <c r="AD143" s="212"/>
      <c r="AE143" s="212"/>
      <c r="AF143" s="212"/>
    </row>
    <row r="144" spans="1:32">
      <c r="A144" s="212"/>
      <c r="B144" s="212"/>
      <c r="C144" s="212"/>
      <c r="D144" s="212"/>
      <c r="E144" s="212"/>
      <c r="F144" s="212"/>
      <c r="G144" s="212"/>
      <c r="H144" s="212"/>
      <c r="I144" s="212"/>
      <c r="J144" s="212"/>
      <c r="K144" s="212"/>
      <c r="L144" s="212"/>
      <c r="M144" s="212"/>
      <c r="N144" s="103"/>
      <c r="O144" s="103"/>
      <c r="P144" s="103"/>
      <c r="Q144" s="103"/>
      <c r="R144" s="103"/>
      <c r="S144" s="103"/>
      <c r="T144" s="103"/>
      <c r="U144" s="103"/>
      <c r="V144" s="103"/>
      <c r="W144" s="103"/>
      <c r="X144" s="103"/>
      <c r="Y144" s="103"/>
      <c r="Z144" s="103"/>
      <c r="AA144" s="103"/>
      <c r="AB144" s="212"/>
      <c r="AC144" s="212"/>
      <c r="AD144" s="212"/>
      <c r="AE144" s="212"/>
      <c r="AF144" s="212"/>
    </row>
    <row r="145" spans="1:32">
      <c r="A145" s="212"/>
      <c r="B145" s="212"/>
      <c r="C145" s="212"/>
      <c r="D145" s="212"/>
      <c r="E145" s="212"/>
      <c r="F145" s="212"/>
      <c r="G145" s="212"/>
      <c r="H145" s="212"/>
      <c r="I145" s="212"/>
      <c r="J145" s="212"/>
      <c r="K145" s="212"/>
      <c r="L145" s="212"/>
      <c r="M145" s="212"/>
      <c r="N145" s="212"/>
      <c r="O145" s="212"/>
      <c r="P145" s="212"/>
      <c r="Q145" s="212"/>
      <c r="R145" s="212"/>
      <c r="S145" s="212"/>
      <c r="T145" s="212"/>
      <c r="U145" s="212"/>
      <c r="V145" s="212"/>
      <c r="W145" s="212"/>
      <c r="Y145" s="212"/>
      <c r="Z145" s="212"/>
      <c r="AA145" s="212"/>
      <c r="AB145" s="212"/>
      <c r="AC145" s="212"/>
      <c r="AD145" s="212"/>
      <c r="AE145" s="212"/>
      <c r="AF145" s="212"/>
    </row>
    <row r="146" spans="1:32">
      <c r="A146" s="212"/>
      <c r="B146" s="212"/>
      <c r="C146" s="212"/>
      <c r="D146" s="212"/>
      <c r="E146" s="212"/>
      <c r="F146" s="212"/>
      <c r="G146" s="212"/>
      <c r="H146" s="212"/>
      <c r="I146" s="212"/>
      <c r="J146" s="212"/>
      <c r="K146" s="212"/>
      <c r="L146" s="212"/>
      <c r="M146" s="212"/>
      <c r="N146" s="212"/>
      <c r="O146" s="212"/>
      <c r="P146" s="212"/>
      <c r="Q146" s="212"/>
      <c r="R146" s="212"/>
      <c r="S146" s="212"/>
      <c r="T146" s="212"/>
      <c r="U146" s="212"/>
      <c r="V146" s="212"/>
      <c r="W146" s="212"/>
      <c r="Y146" s="212"/>
      <c r="Z146" s="212"/>
      <c r="AA146" s="212"/>
      <c r="AB146" s="212"/>
      <c r="AC146" s="212"/>
      <c r="AD146" s="212"/>
      <c r="AE146" s="212"/>
      <c r="AF146" s="212"/>
    </row>
    <row r="147" spans="1:32">
      <c r="A147" s="212"/>
      <c r="B147" s="212"/>
      <c r="C147" s="212"/>
      <c r="D147" s="212"/>
      <c r="E147" s="212"/>
      <c r="F147" s="212"/>
      <c r="G147" s="212"/>
      <c r="H147" s="212"/>
      <c r="I147" s="212"/>
      <c r="J147" s="212"/>
      <c r="K147" s="212"/>
      <c r="L147" s="212"/>
      <c r="M147" s="212"/>
    </row>
    <row r="148" spans="1:32">
      <c r="A148" s="212"/>
      <c r="B148" s="212"/>
      <c r="C148" s="212"/>
      <c r="D148" s="212"/>
      <c r="E148" s="212"/>
      <c r="F148" s="212"/>
      <c r="G148" s="212"/>
      <c r="H148" s="212"/>
      <c r="I148" s="212"/>
      <c r="J148" s="212"/>
      <c r="K148" s="212"/>
      <c r="L148" s="212"/>
      <c r="M148" s="212"/>
    </row>
    <row r="149" spans="1:32">
      <c r="A149" s="212"/>
      <c r="B149" s="212"/>
      <c r="C149" s="212"/>
      <c r="D149" s="212"/>
      <c r="E149" s="212"/>
      <c r="F149" s="212"/>
      <c r="G149" s="212"/>
      <c r="H149" s="212"/>
      <c r="I149" s="212"/>
      <c r="J149" s="212"/>
      <c r="K149" s="212"/>
      <c r="L149" s="212"/>
      <c r="M149" s="212"/>
    </row>
    <row r="150" spans="1:32">
      <c r="A150" s="103"/>
      <c r="B150" s="103"/>
      <c r="C150" s="103"/>
      <c r="D150" s="103"/>
      <c r="E150" s="103"/>
      <c r="F150" s="103"/>
      <c r="G150" s="103"/>
      <c r="H150" s="103"/>
      <c r="I150" s="103"/>
      <c r="J150" s="103"/>
      <c r="K150" s="103"/>
      <c r="L150" s="103"/>
      <c r="M150" s="212"/>
    </row>
    <row r="151" spans="1:32">
      <c r="A151" s="103"/>
      <c r="B151" s="103"/>
      <c r="C151" s="103"/>
      <c r="D151" s="103"/>
      <c r="E151" s="103"/>
      <c r="F151" s="103"/>
      <c r="G151" s="103"/>
      <c r="H151" s="103"/>
      <c r="I151" s="103"/>
      <c r="J151" s="103"/>
      <c r="K151" s="103"/>
      <c r="L151" s="103"/>
      <c r="M151" s="212"/>
    </row>
  </sheetData>
  <mergeCells count="18">
    <mergeCell ref="Y88:Y89"/>
    <mergeCell ref="B36:M36"/>
    <mergeCell ref="N36:N37"/>
    <mergeCell ref="A35:N35"/>
    <mergeCell ref="A36:A37"/>
    <mergeCell ref="A87:W87"/>
    <mergeCell ref="B62:D62"/>
    <mergeCell ref="E62:G62"/>
    <mergeCell ref="H62:J62"/>
    <mergeCell ref="A61:J61"/>
    <mergeCell ref="A62:A63"/>
    <mergeCell ref="K88:M88"/>
    <mergeCell ref="N88:P88"/>
    <mergeCell ref="Q88:W88"/>
    <mergeCell ref="A88:A89"/>
    <mergeCell ref="B88:D88"/>
    <mergeCell ref="E88:G88"/>
    <mergeCell ref="H88:J88"/>
  </mergeCells>
  <phoneticPr fontId="0" type="noConversion"/>
  <hyperlinks>
    <hyperlink ref="S125" r:id="rId1" xr:uid="{1826FA52-5C9A-4BFF-B3F6-174B0FE91F27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V144"/>
  <sheetViews>
    <sheetView topLeftCell="A102" workbookViewId="0">
      <selection activeCell="M135" sqref="M135"/>
    </sheetView>
    <sheetView topLeftCell="A10" workbookViewId="1">
      <selection activeCell="L27" sqref="L27"/>
    </sheetView>
  </sheetViews>
  <sheetFormatPr defaultRowHeight="12.75"/>
  <cols>
    <col min="1" max="1" width="4.7109375" style="212" customWidth="1"/>
    <col min="2" max="2" width="9.140625" style="212"/>
    <col min="3" max="3" width="15.85546875" style="212" customWidth="1"/>
    <col min="4" max="4" width="36.28515625" style="212" customWidth="1"/>
    <col min="5" max="5" width="13.140625" style="212" customWidth="1"/>
    <col min="6" max="6" width="16.28515625" style="212" customWidth="1"/>
    <col min="7" max="7" width="12.85546875" style="212" customWidth="1"/>
    <col min="8" max="8" width="13.42578125" style="212" customWidth="1"/>
    <col min="9" max="10" width="9.140625" style="212"/>
    <col min="11" max="11" width="4.42578125" style="212" customWidth="1"/>
    <col min="12" max="12" width="14.42578125" style="212" bestFit="1" customWidth="1"/>
    <col min="13" max="13" width="47.5703125" style="212" customWidth="1"/>
    <col min="14" max="14" width="43.5703125" style="212" customWidth="1"/>
    <col min="15" max="15" width="9.140625" style="212"/>
    <col min="16" max="16" width="13.42578125" style="212" customWidth="1"/>
    <col min="17" max="17" width="9.140625" style="212"/>
    <col min="18" max="18" width="12.7109375" style="212" customWidth="1"/>
    <col min="19" max="19" width="9.140625" style="212"/>
    <col min="20" max="20" width="10.5703125" style="212" bestFit="1" customWidth="1"/>
    <col min="21" max="21" width="4.28515625" style="212" bestFit="1" customWidth="1"/>
    <col min="22" max="22" width="10" style="212" bestFit="1" customWidth="1"/>
    <col min="23" max="16384" width="9.140625" style="212"/>
  </cols>
  <sheetData>
    <row r="2" spans="1:19" ht="21">
      <c r="B2" s="77" t="s">
        <v>341</v>
      </c>
      <c r="C2" s="79"/>
      <c r="L2" s="77" t="s">
        <v>341</v>
      </c>
      <c r="M2" s="79"/>
    </row>
    <row r="3" spans="1:19" ht="15">
      <c r="B3" s="68" t="s">
        <v>342</v>
      </c>
      <c r="C3" s="68"/>
      <c r="D3" s="80"/>
      <c r="E3" s="80"/>
      <c r="F3" s="80"/>
      <c r="G3" s="80"/>
      <c r="H3" s="80"/>
      <c r="I3" s="80"/>
      <c r="L3" s="68" t="s">
        <v>342</v>
      </c>
      <c r="M3" s="68"/>
      <c r="N3" s="82"/>
      <c r="O3" s="82"/>
      <c r="P3" s="82"/>
      <c r="Q3" s="82"/>
      <c r="R3" s="82"/>
      <c r="S3" s="82"/>
    </row>
    <row r="4" spans="1:19" ht="15.75" thickBot="1">
      <c r="B4" s="69" t="s">
        <v>343</v>
      </c>
      <c r="C4" s="69" t="s">
        <v>344</v>
      </c>
      <c r="D4" s="69" t="s">
        <v>345</v>
      </c>
      <c r="E4" s="69" t="s">
        <v>346</v>
      </c>
      <c r="F4" s="69" t="s">
        <v>347</v>
      </c>
      <c r="G4" s="69" t="s">
        <v>348</v>
      </c>
      <c r="H4" s="69" t="s">
        <v>349</v>
      </c>
      <c r="I4" s="69" t="s">
        <v>350</v>
      </c>
      <c r="L4" s="818" t="s">
        <v>343</v>
      </c>
      <c r="M4" s="818" t="s">
        <v>344</v>
      </c>
      <c r="N4" s="818" t="s">
        <v>345</v>
      </c>
      <c r="O4" s="818" t="s">
        <v>346</v>
      </c>
      <c r="P4" s="818" t="s">
        <v>347</v>
      </c>
      <c r="Q4" s="818" t="s">
        <v>348</v>
      </c>
      <c r="R4" s="818" t="s">
        <v>349</v>
      </c>
      <c r="S4" s="818" t="s">
        <v>350</v>
      </c>
    </row>
    <row r="5" spans="1:19" ht="36.75" customHeight="1" thickBot="1">
      <c r="B5" s="816" t="s">
        <v>351</v>
      </c>
      <c r="C5" s="816" t="s">
        <v>352</v>
      </c>
      <c r="D5" s="816" t="s">
        <v>353</v>
      </c>
      <c r="E5" s="817" t="s">
        <v>346</v>
      </c>
      <c r="F5" s="817" t="s">
        <v>354</v>
      </c>
      <c r="G5" s="817" t="s">
        <v>355</v>
      </c>
      <c r="H5" s="817" t="s">
        <v>356</v>
      </c>
      <c r="I5" s="817" t="s">
        <v>357</v>
      </c>
      <c r="L5" s="817" t="s">
        <v>351</v>
      </c>
      <c r="M5" s="817" t="s">
        <v>352</v>
      </c>
      <c r="N5" s="817" t="s">
        <v>353</v>
      </c>
      <c r="O5" s="817" t="s">
        <v>346</v>
      </c>
      <c r="P5" s="817" t="s">
        <v>354</v>
      </c>
      <c r="Q5" s="817" t="s">
        <v>355</v>
      </c>
      <c r="R5" s="817" t="s">
        <v>356</v>
      </c>
      <c r="S5" s="817" t="s">
        <v>357</v>
      </c>
    </row>
    <row r="6" spans="1:19">
      <c r="A6" s="212" t="str">
        <f>TRIM(SETUP!A8)</f>
        <v/>
      </c>
      <c r="B6" s="212" t="str">
        <f>A6&amp;"NRG"</f>
        <v>NRG</v>
      </c>
      <c r="C6" s="212" t="str">
        <f>SETUP!B8</f>
        <v>RSDCOABIT</v>
      </c>
      <c r="D6" s="212" t="str">
        <f>SETUP!C8</f>
        <v>Bituminous Coal to Residential</v>
      </c>
      <c r="E6" s="213" t="s">
        <v>53</v>
      </c>
      <c r="F6" s="212" t="s">
        <v>358</v>
      </c>
      <c r="G6" s="100" t="s">
        <v>359</v>
      </c>
      <c r="H6" s="212" t="s">
        <v>358</v>
      </c>
      <c r="I6" s="212" t="s">
        <v>358</v>
      </c>
      <c r="L6" s="766" t="s">
        <v>360</v>
      </c>
      <c r="M6" s="766" t="str">
        <f>SETUP!$B$3&amp;"_"&amp;SETUP!B39</f>
        <v>RSD_Apt</v>
      </c>
      <c r="N6" s="766" t="str">
        <f>"Residential "&amp;SETUP!C39&amp;" demand"</f>
        <v>Residential Apartment demand</v>
      </c>
      <c r="O6" s="767" t="s">
        <v>361</v>
      </c>
      <c r="P6" s="766"/>
      <c r="Q6" s="766"/>
      <c r="R6" s="766"/>
      <c r="S6" s="766"/>
    </row>
    <row r="7" spans="1:19">
      <c r="A7" s="212" t="str">
        <f>TRIM(SETUP!A9)</f>
        <v/>
      </c>
      <c r="B7" s="212" t="str">
        <f t="shared" ref="B7:B28" si="0">A7&amp;"NRG"</f>
        <v>NRG</v>
      </c>
      <c r="C7" s="212" t="str">
        <f>SETUP!B9</f>
        <v>RSDCOAHAR</v>
      </c>
      <c r="D7" s="212" t="str">
        <f>SETUP!C9</f>
        <v>Anthracite + Manufactured Ovoids to Residential</v>
      </c>
      <c r="E7" s="213" t="s">
        <v>53</v>
      </c>
      <c r="G7" s="100" t="s">
        <v>359</v>
      </c>
      <c r="L7" s="100" t="s">
        <v>360</v>
      </c>
      <c r="M7" s="100" t="str">
        <f>SETUP!$B$3&amp;"_"&amp;SETUP!B40</f>
        <v>RSD_Att</v>
      </c>
      <c r="N7" s="100" t="str">
        <f>"Residential "&amp;SETUP!C40&amp;" demand"</f>
        <v>Residential Attached demand</v>
      </c>
      <c r="O7" s="125" t="s">
        <v>361</v>
      </c>
      <c r="P7" s="100"/>
      <c r="Q7" s="100"/>
      <c r="R7" s="100"/>
      <c r="S7" s="100"/>
    </row>
    <row r="8" spans="1:19" ht="13.5" thickBot="1">
      <c r="A8" s="212" t="str">
        <f>TRIM(SETUP!A10)</f>
        <v>*</v>
      </c>
      <c r="B8" s="212" t="str">
        <f t="shared" si="0"/>
        <v>*NRG</v>
      </c>
      <c r="C8" s="212" t="str">
        <f>SETUP!B10</f>
        <v>RSDCOACOK</v>
      </c>
      <c r="D8" s="212" t="str">
        <f>SETUP!C10</f>
        <v>Coke to Residential</v>
      </c>
      <c r="E8" s="213" t="s">
        <v>53</v>
      </c>
      <c r="G8" s="100" t="s">
        <v>359</v>
      </c>
      <c r="L8" s="768" t="s">
        <v>360</v>
      </c>
      <c r="M8" s="768" t="str">
        <f>SETUP!$B$3&amp;"_"&amp;SETUP!B41</f>
        <v>RSD_Det</v>
      </c>
      <c r="N8" s="768" t="str">
        <f>"Residential "&amp;SETUP!C41&amp;" demand"</f>
        <v>Residential Detached demand</v>
      </c>
      <c r="O8" s="769" t="s">
        <v>361</v>
      </c>
      <c r="P8" s="768"/>
      <c r="Q8" s="768"/>
      <c r="R8" s="768"/>
      <c r="S8" s="768"/>
    </row>
    <row r="9" spans="1:19">
      <c r="A9" s="212" t="str">
        <f>TRIM(SETUP!A11)</f>
        <v/>
      </c>
      <c r="B9" s="212" t="str">
        <f t="shared" si="0"/>
        <v>NRG</v>
      </c>
      <c r="C9" s="212" t="str">
        <f>SETUP!B11</f>
        <v>RSDCOALIG</v>
      </c>
      <c r="D9" s="212" t="str">
        <f>SETUP!C11</f>
        <v>Lignite \ Brown Coal Briquettes to Residential</v>
      </c>
      <c r="E9" s="213" t="s">
        <v>53</v>
      </c>
      <c r="G9" s="100" t="s">
        <v>359</v>
      </c>
      <c r="L9" s="766" t="s">
        <v>363</v>
      </c>
      <c r="M9" s="766" t="str">
        <f>SETUP!$B$53&amp;"_"&amp;SETUP!$B$39&amp;"-"&amp;SETUP!B43</f>
        <v>SH_Apt-A</v>
      </c>
      <c r="N9" s="766" t="str">
        <f>SETUP!$C$53&amp;" "&amp;  SETUP!$C$39&amp;"-"&amp;SETUP!B43</f>
        <v>Residential Space Heating Apartment-A</v>
      </c>
      <c r="O9" s="766" t="s">
        <v>53</v>
      </c>
      <c r="P9" s="766"/>
      <c r="Q9" s="766"/>
      <c r="R9" s="766"/>
      <c r="S9" s="766"/>
    </row>
    <row r="10" spans="1:19">
      <c r="A10" s="212" t="str">
        <f>TRIM(SETUP!A12)</f>
        <v/>
      </c>
      <c r="B10" s="212" t="str">
        <f t="shared" si="0"/>
        <v>NRG</v>
      </c>
      <c r="C10" s="212" t="str">
        <f>SETUP!B12</f>
        <v>RSDPEA</v>
      </c>
      <c r="D10" s="212" t="str">
        <f>SETUP!C12</f>
        <v>Peat to Residential</v>
      </c>
      <c r="E10" s="213" t="s">
        <v>53</v>
      </c>
      <c r="G10" s="100" t="s">
        <v>359</v>
      </c>
      <c r="L10" s="100" t="s">
        <v>363</v>
      </c>
      <c r="M10" s="100" t="str">
        <f>SETUP!$B$53&amp;"_"&amp;SETUP!$B$39&amp;"-"&amp;SETUP!B44</f>
        <v>SH_Apt-B1</v>
      </c>
      <c r="N10" s="100" t="str">
        <f>SETUP!$C$53&amp;" "&amp;  SETUP!$C$39&amp;"-"&amp;SETUP!B44</f>
        <v>Residential Space Heating Apartment-B1</v>
      </c>
      <c r="O10" s="100" t="s">
        <v>53</v>
      </c>
      <c r="P10" s="100"/>
      <c r="Q10" s="100"/>
      <c r="R10" s="100"/>
      <c r="S10" s="100"/>
    </row>
    <row r="11" spans="1:19">
      <c r="A11" s="212" t="str">
        <f>TRIM(SETUP!A13)</f>
        <v/>
      </c>
      <c r="B11" s="212" t="str">
        <f t="shared" si="0"/>
        <v>NRG</v>
      </c>
      <c r="C11" s="212" t="str">
        <f>SETUP!B13</f>
        <v>RSDOILLPG</v>
      </c>
      <c r="D11" s="212" t="str">
        <f>SETUP!C13</f>
        <v>LPG to Residential</v>
      </c>
      <c r="E11" s="213" t="s">
        <v>53</v>
      </c>
      <c r="G11" s="100" t="s">
        <v>359</v>
      </c>
      <c r="L11" s="100" t="s">
        <v>363</v>
      </c>
      <c r="M11" s="100" t="str">
        <f>SETUP!$B$53&amp;"_"&amp;SETUP!$B$39&amp;"-"&amp;SETUP!B45</f>
        <v>SH_Apt-B2</v>
      </c>
      <c r="N11" s="100" t="str">
        <f>SETUP!$C$53&amp;" "&amp;  SETUP!$C$39&amp;"-"&amp;SETUP!B45</f>
        <v>Residential Space Heating Apartment-B2</v>
      </c>
      <c r="O11" s="100" t="s">
        <v>53</v>
      </c>
      <c r="P11" s="100"/>
      <c r="Q11" s="100"/>
      <c r="R11" s="100"/>
      <c r="S11" s="100"/>
    </row>
    <row r="12" spans="1:19">
      <c r="A12" s="212" t="str">
        <f>TRIM(SETUP!A14)</f>
        <v>*</v>
      </c>
      <c r="B12" s="212" t="str">
        <f t="shared" si="0"/>
        <v>*NRG</v>
      </c>
      <c r="C12" s="212" t="str">
        <f>SETUP!B14</f>
        <v>RSDOILGSL</v>
      </c>
      <c r="D12" s="212" t="str">
        <f>SETUP!C14</f>
        <v>Gasoline to Residential</v>
      </c>
      <c r="E12" s="213" t="s">
        <v>53</v>
      </c>
      <c r="G12" s="212" t="s">
        <v>359</v>
      </c>
      <c r="L12" s="100" t="s">
        <v>363</v>
      </c>
      <c r="M12" s="100" t="str">
        <f>SETUP!$B$53&amp;"_"&amp;SETUP!$B$39&amp;"-"&amp;SETUP!B46</f>
        <v>SH_Apt-B3</v>
      </c>
      <c r="N12" s="100" t="str">
        <f>SETUP!$C$53&amp;" "&amp;  SETUP!$C$39&amp;"-"&amp;SETUP!B46</f>
        <v>Residential Space Heating Apartment-B3</v>
      </c>
      <c r="O12" s="100" t="s">
        <v>53</v>
      </c>
      <c r="P12" s="100"/>
      <c r="Q12" s="100"/>
      <c r="R12" s="100"/>
      <c r="S12" s="100"/>
    </row>
    <row r="13" spans="1:19">
      <c r="A13" s="212" t="str">
        <f>TRIM(SETUP!A15)</f>
        <v/>
      </c>
      <c r="B13" s="212" t="str">
        <f t="shared" si="0"/>
        <v>NRG</v>
      </c>
      <c r="C13" s="212" t="str">
        <f>SETUP!B15</f>
        <v>RSDOILKER</v>
      </c>
      <c r="D13" s="212" t="str">
        <f>SETUP!C15</f>
        <v>Kerosene to Residential</v>
      </c>
      <c r="E13" s="213" t="s">
        <v>53</v>
      </c>
      <c r="G13" s="212" t="s">
        <v>359</v>
      </c>
      <c r="L13" s="100" t="s">
        <v>363</v>
      </c>
      <c r="M13" s="100" t="str">
        <f>SETUP!$B$53&amp;"_"&amp;SETUP!$B$39&amp;"-"&amp;SETUP!B47</f>
        <v>SH_Apt-C</v>
      </c>
      <c r="N13" s="100" t="str">
        <f>SETUP!$C$53&amp;" "&amp;  SETUP!$C$39&amp;"-"&amp;SETUP!B47</f>
        <v>Residential Space Heating Apartment-C</v>
      </c>
      <c r="O13" s="100" t="s">
        <v>53</v>
      </c>
      <c r="P13" s="100"/>
      <c r="Q13" s="100"/>
      <c r="R13" s="100"/>
      <c r="S13" s="100"/>
    </row>
    <row r="14" spans="1:19">
      <c r="A14" s="212" t="str">
        <f>TRIM(SETUP!A16)</f>
        <v/>
      </c>
      <c r="B14" s="212" t="str">
        <f t="shared" si="0"/>
        <v>NRG</v>
      </c>
      <c r="C14" s="212" t="str">
        <f>SETUP!B16</f>
        <v>RSDOILDST</v>
      </c>
      <c r="D14" s="212" t="str">
        <f>SETUP!C16</f>
        <v>Gasoil / Diesel /DERV to Residential</v>
      </c>
      <c r="E14" s="213" t="s">
        <v>53</v>
      </c>
      <c r="G14" s="212" t="s">
        <v>359</v>
      </c>
      <c r="L14" s="100" t="s">
        <v>363</v>
      </c>
      <c r="M14" s="100" t="str">
        <f>SETUP!$B$53&amp;"_"&amp;SETUP!$B$39&amp;"-"&amp;SETUP!B48</f>
        <v>SH_Apt-D</v>
      </c>
      <c r="N14" s="100" t="str">
        <f>SETUP!$C$53&amp;" "&amp;  SETUP!$C$39&amp;"-"&amp;SETUP!B48</f>
        <v>Residential Space Heating Apartment-D</v>
      </c>
      <c r="O14" s="100" t="s">
        <v>53</v>
      </c>
      <c r="P14" s="100"/>
      <c r="Q14" s="100"/>
      <c r="R14" s="100"/>
      <c r="S14" s="100"/>
    </row>
    <row r="15" spans="1:19">
      <c r="A15" s="212" t="str">
        <f>TRIM(SETUP!A17)</f>
        <v/>
      </c>
      <c r="B15" s="212" t="str">
        <f t="shared" si="0"/>
        <v>NRG</v>
      </c>
      <c r="C15" s="212" t="str">
        <f>SETUP!B17</f>
        <v>RSDOILHFO</v>
      </c>
      <c r="D15" s="212" t="str">
        <f>SETUP!C17</f>
        <v>Fueloil to Residential</v>
      </c>
      <c r="E15" s="213" t="s">
        <v>53</v>
      </c>
      <c r="G15" s="212" t="s">
        <v>359</v>
      </c>
      <c r="L15" s="100" t="s">
        <v>363</v>
      </c>
      <c r="M15" s="100" t="str">
        <f>SETUP!$B$53&amp;"_"&amp;SETUP!$B$39&amp;"-"&amp;SETUP!B49</f>
        <v>SH_Apt-E</v>
      </c>
      <c r="N15" s="100" t="str">
        <f>SETUP!$C$53&amp;" "&amp;  SETUP!$C$39&amp;"-"&amp;SETUP!B49</f>
        <v>Residential Space Heating Apartment-E</v>
      </c>
      <c r="O15" s="100" t="s">
        <v>53</v>
      </c>
      <c r="P15" s="100"/>
      <c r="Q15" s="100"/>
      <c r="R15" s="100"/>
      <c r="S15" s="100"/>
    </row>
    <row r="16" spans="1:19">
      <c r="A16" s="212" t="str">
        <f>TRIM(SETUP!A18)</f>
        <v/>
      </c>
      <c r="B16" s="212" t="str">
        <f t="shared" si="0"/>
        <v>NRG</v>
      </c>
      <c r="C16" s="212" t="str">
        <f>SETUP!B18</f>
        <v>RSDOILCOK</v>
      </c>
      <c r="D16" s="212" t="str">
        <f>SETUP!C18</f>
        <v>Petroleum Coke to Residential</v>
      </c>
      <c r="E16" s="125" t="s">
        <v>53</v>
      </c>
      <c r="F16" s="100"/>
      <c r="G16" s="212" t="s">
        <v>359</v>
      </c>
      <c r="H16" s="100"/>
      <c r="I16" s="100"/>
      <c r="L16" s="100" t="s">
        <v>363</v>
      </c>
      <c r="M16" s="100" t="str">
        <f>SETUP!$B$53&amp;"_"&amp;SETUP!$B$39&amp;"-"&amp;SETUP!B50</f>
        <v>SH_Apt-F</v>
      </c>
      <c r="N16" s="100" t="str">
        <f>SETUP!$C$53&amp;" "&amp;  SETUP!$C$39&amp;"-"&amp;SETUP!B50</f>
        <v>Residential Space Heating Apartment-F</v>
      </c>
      <c r="O16" s="100" t="s">
        <v>53</v>
      </c>
      <c r="P16" s="100"/>
      <c r="Q16" s="100"/>
      <c r="R16" s="100"/>
      <c r="S16" s="100"/>
    </row>
    <row r="17" spans="1:19" ht="13.5" thickBot="1">
      <c r="A17" s="212" t="str">
        <f>TRIM(SETUP!A19)</f>
        <v/>
      </c>
      <c r="B17" s="212" t="str">
        <f t="shared" si="0"/>
        <v>NRG</v>
      </c>
      <c r="C17" s="212" t="str">
        <f>SETUP!B19</f>
        <v>RSDGASNAT</v>
      </c>
      <c r="D17" s="212" t="str">
        <f>SETUP!C19</f>
        <v>Natural Gas to Residential</v>
      </c>
      <c r="E17" s="125" t="s">
        <v>53</v>
      </c>
      <c r="F17" s="100"/>
      <c r="G17" s="100" t="s">
        <v>359</v>
      </c>
      <c r="H17" s="100"/>
      <c r="I17" s="100"/>
      <c r="L17" s="768" t="s">
        <v>363</v>
      </c>
      <c r="M17" s="768" t="str">
        <f>SETUP!$B$53&amp;"_"&amp;SETUP!$B$39&amp;"-"&amp;SETUP!B51</f>
        <v>SH_Apt-G</v>
      </c>
      <c r="N17" s="768" t="str">
        <f>SETUP!$C$53&amp;" "&amp;  SETUP!$C$39&amp;"-"&amp;SETUP!B51</f>
        <v>Residential Space Heating Apartment-G</v>
      </c>
      <c r="O17" s="768" t="s">
        <v>53</v>
      </c>
      <c r="P17" s="768"/>
      <c r="Q17" s="768"/>
      <c r="R17" s="768"/>
      <c r="S17" s="768"/>
    </row>
    <row r="18" spans="1:19">
      <c r="A18" s="212" t="str">
        <f>TRIM(SETUP!A20)</f>
        <v/>
      </c>
      <c r="B18" s="212" t="str">
        <f t="shared" si="0"/>
        <v>NRG</v>
      </c>
      <c r="C18" s="212" t="str">
        <f>SETUP!B20</f>
        <v>RSDRENSOL</v>
      </c>
      <c r="D18" s="212" t="str">
        <f>SETUP!C20</f>
        <v>Solar to Residential</v>
      </c>
      <c r="E18" s="125" t="s">
        <v>53</v>
      </c>
      <c r="F18" s="100"/>
      <c r="G18" s="100" t="s">
        <v>359</v>
      </c>
      <c r="H18" s="100"/>
      <c r="I18" s="100"/>
      <c r="L18" s="766" t="s">
        <v>363</v>
      </c>
      <c r="M18" s="766" t="str">
        <f>SETUP!$B$53&amp;"_"&amp;SETUP!$B$40&amp;"-"&amp;SETUP!B43</f>
        <v>SH_Att-A</v>
      </c>
      <c r="N18" s="766" t="str">
        <f>SETUP!$C$53&amp;" "&amp;  SETUP!$C$40&amp;"-"&amp;SETUP!B43</f>
        <v>Residential Space Heating Attached-A</v>
      </c>
      <c r="O18" s="766" t="s">
        <v>53</v>
      </c>
      <c r="P18" s="766"/>
      <c r="Q18" s="766"/>
      <c r="R18" s="766"/>
      <c r="S18" s="766"/>
    </row>
    <row r="19" spans="1:19">
      <c r="A19" s="212" t="str">
        <f>TRIM(SETUP!A21)</f>
        <v/>
      </c>
      <c r="B19" s="212" t="str">
        <f t="shared" si="0"/>
        <v>NRG</v>
      </c>
      <c r="C19" s="212" t="str">
        <f>SETUP!B21</f>
        <v>RSDBIOWOO</v>
      </c>
      <c r="D19" s="212" t="str">
        <f>SETUP!C21</f>
        <v>Biomass &amp; Renewable Waste to Residential</v>
      </c>
      <c r="E19" s="125" t="s">
        <v>53</v>
      </c>
      <c r="F19" s="100"/>
      <c r="G19" s="100" t="s">
        <v>359</v>
      </c>
      <c r="H19" s="100"/>
      <c r="I19" s="100"/>
      <c r="L19" s="100" t="s">
        <v>363</v>
      </c>
      <c r="M19" s="100" t="str">
        <f>SETUP!$B$53&amp;"_"&amp;SETUP!$B$40&amp;"-"&amp;SETUP!B44</f>
        <v>SH_Att-B1</v>
      </c>
      <c r="N19" s="100" t="str">
        <f>SETUP!$C$53&amp;" "&amp;  SETUP!$C$40&amp;"-"&amp;SETUP!B44</f>
        <v>Residential Space Heating Attached-B1</v>
      </c>
      <c r="O19" s="100" t="s">
        <v>53</v>
      </c>
      <c r="P19" s="100"/>
      <c r="Q19" s="100"/>
      <c r="R19" s="100"/>
      <c r="S19" s="100"/>
    </row>
    <row r="20" spans="1:19">
      <c r="A20" s="212" t="str">
        <f>TRIM(SETUP!A22)</f>
        <v/>
      </c>
      <c r="B20" s="212" t="str">
        <f t="shared" si="0"/>
        <v>NRG</v>
      </c>
      <c r="C20" s="212" t="str">
        <f>SETUP!B22</f>
        <v>RSDBIOGAS</v>
      </c>
      <c r="D20" s="212" t="str">
        <f>SETUP!C22</f>
        <v>Biogas to Residential</v>
      </c>
      <c r="E20" s="125" t="s">
        <v>53</v>
      </c>
      <c r="F20" s="100"/>
      <c r="G20" s="100" t="s">
        <v>359</v>
      </c>
      <c r="H20" s="100"/>
      <c r="I20" s="100"/>
      <c r="L20" s="100" t="s">
        <v>363</v>
      </c>
      <c r="M20" s="100" t="str">
        <f>SETUP!$B$53&amp;"_"&amp;SETUP!$B$40&amp;"-"&amp;SETUP!B45</f>
        <v>SH_Att-B2</v>
      </c>
      <c r="N20" s="100" t="str">
        <f>SETUP!$C$53&amp;" "&amp;  SETUP!$C$40&amp;"-"&amp;SETUP!B45</f>
        <v>Residential Space Heating Attached-B2</v>
      </c>
      <c r="O20" s="100" t="s">
        <v>53</v>
      </c>
      <c r="P20" s="100"/>
      <c r="Q20" s="100"/>
      <c r="R20" s="100"/>
      <c r="S20" s="100"/>
    </row>
    <row r="21" spans="1:19">
      <c r="A21" s="212" t="str">
        <f>TRIM(SETUP!A23)</f>
        <v/>
      </c>
      <c r="B21" s="212" t="str">
        <f t="shared" si="0"/>
        <v>NRG</v>
      </c>
      <c r="C21" s="212" t="str">
        <f>SETUP!B23</f>
        <v>RSDBIOMUN</v>
      </c>
      <c r="D21" s="212" t="str">
        <f>SETUP!C23</f>
        <v>Landfill Gas to Residential</v>
      </c>
      <c r="E21" s="125" t="s">
        <v>53</v>
      </c>
      <c r="F21" s="100"/>
      <c r="G21" s="100" t="s">
        <v>359</v>
      </c>
      <c r="H21" s="100"/>
      <c r="I21" s="100"/>
      <c r="L21" s="100" t="s">
        <v>363</v>
      </c>
      <c r="M21" s="100" t="str">
        <f>SETUP!$B$53&amp;"_"&amp;SETUP!$B$40&amp;"-"&amp;SETUP!B46</f>
        <v>SH_Att-B3</v>
      </c>
      <c r="N21" s="100" t="str">
        <f>SETUP!$C$53&amp;" "&amp;  SETUP!$C$40&amp;"-"&amp;SETUP!B46</f>
        <v>Residential Space Heating Attached-B3</v>
      </c>
      <c r="O21" s="100" t="s">
        <v>53</v>
      </c>
      <c r="P21" s="100"/>
      <c r="Q21" s="100"/>
      <c r="R21" s="100"/>
      <c r="S21" s="100"/>
    </row>
    <row r="22" spans="1:19">
      <c r="A22" s="212" t="str">
        <f>TRIM(SETUP!A24)</f>
        <v/>
      </c>
      <c r="B22" s="212" t="str">
        <f t="shared" si="0"/>
        <v>NRG</v>
      </c>
      <c r="C22" s="212" t="str">
        <f>SETUP!B24</f>
        <v>RSDRENGEO</v>
      </c>
      <c r="D22" s="212" t="str">
        <f>SETUP!C24</f>
        <v>Geothermal to Residential</v>
      </c>
      <c r="E22" s="125" t="s">
        <v>53</v>
      </c>
      <c r="F22" s="100"/>
      <c r="G22" s="100" t="s">
        <v>359</v>
      </c>
      <c r="H22" s="100"/>
      <c r="I22" s="100"/>
      <c r="L22" s="100" t="s">
        <v>363</v>
      </c>
      <c r="M22" s="100" t="str">
        <f>SETUP!$B$53&amp;"_"&amp;SETUP!$B$40&amp;"-"&amp;SETUP!B47</f>
        <v>SH_Att-C</v>
      </c>
      <c r="N22" s="100" t="str">
        <f>SETUP!$C$53&amp;" "&amp;  SETUP!$C$40&amp;"-"&amp;SETUP!B47</f>
        <v>Residential Space Heating Attached-C</v>
      </c>
      <c r="O22" s="100" t="s">
        <v>53</v>
      </c>
      <c r="P22" s="100"/>
      <c r="Q22" s="100"/>
      <c r="R22" s="100"/>
      <c r="S22" s="100"/>
    </row>
    <row r="23" spans="1:19">
      <c r="A23" s="212" t="str">
        <f>TRIM(SETUP!A25)</f>
        <v/>
      </c>
      <c r="B23" s="212" t="str">
        <f t="shared" si="0"/>
        <v>NRG</v>
      </c>
      <c r="C23" s="212" t="str">
        <f>SETUP!B25</f>
        <v>RSDBIOETH</v>
      </c>
      <c r="D23" s="212" t="str">
        <f>SETUP!C25</f>
        <v>Ethanol to Residential</v>
      </c>
      <c r="E23" s="125" t="s">
        <v>53</v>
      </c>
      <c r="F23" s="100"/>
      <c r="G23" s="100" t="s">
        <v>359</v>
      </c>
      <c r="H23" s="100"/>
      <c r="I23" s="100"/>
      <c r="L23" s="100" t="s">
        <v>363</v>
      </c>
      <c r="M23" s="100" t="str">
        <f>SETUP!$B$53&amp;"_"&amp;SETUP!$B$40&amp;"-"&amp;SETUP!B48</f>
        <v>SH_Att-D</v>
      </c>
      <c r="N23" s="100" t="str">
        <f>SETUP!$C$53&amp;" "&amp;  SETUP!$C$40&amp;"-"&amp;SETUP!B48</f>
        <v>Residential Space Heating Attached-D</v>
      </c>
      <c r="O23" s="100" t="s">
        <v>53</v>
      </c>
      <c r="P23" s="100"/>
      <c r="Q23" s="100"/>
      <c r="R23" s="100"/>
      <c r="S23" s="100"/>
    </row>
    <row r="24" spans="1:19">
      <c r="A24" s="212" t="str">
        <f>TRIM(SETUP!A26)</f>
        <v>*</v>
      </c>
      <c r="B24" s="212" t="str">
        <f t="shared" si="0"/>
        <v>*NRG</v>
      </c>
      <c r="C24" s="212" t="str">
        <f>SETUP!B26</f>
        <v>RSDBIODST</v>
      </c>
      <c r="D24" s="212" t="str">
        <f>SETUP!C26</f>
        <v>Biodiesel to Residential</v>
      </c>
      <c r="E24" s="125" t="s">
        <v>53</v>
      </c>
      <c r="F24" s="100"/>
      <c r="G24" s="100" t="s">
        <v>359</v>
      </c>
      <c r="H24" s="100"/>
      <c r="I24" s="100"/>
      <c r="L24" s="100" t="s">
        <v>363</v>
      </c>
      <c r="M24" s="100" t="str">
        <f>SETUP!$B$53&amp;"_"&amp;SETUP!$B$40&amp;"-"&amp;SETUP!B49</f>
        <v>SH_Att-E</v>
      </c>
      <c r="N24" s="100" t="str">
        <f>SETUP!$C$53&amp;" "&amp;  SETUP!$C$40&amp;"-"&amp;SETUP!B49</f>
        <v>Residential Space Heating Attached-E</v>
      </c>
      <c r="O24" s="100" t="s">
        <v>53</v>
      </c>
      <c r="P24" s="100"/>
      <c r="Q24" s="100"/>
      <c r="R24" s="100"/>
      <c r="S24" s="100"/>
    </row>
    <row r="25" spans="1:19">
      <c r="A25" s="212" t="str">
        <f>TRIM(SETUP!A27)</f>
        <v>*</v>
      </c>
      <c r="B25" s="212" t="str">
        <f t="shared" si="0"/>
        <v>*NRG</v>
      </c>
      <c r="C25" s="212" t="str">
        <f>SETUP!B27</f>
        <v>RSDBIOSLU</v>
      </c>
      <c r="D25" s="212" t="str">
        <f>SETUP!C27</f>
        <v>Non-Renewable Waste to Residential</v>
      </c>
      <c r="E25" s="125" t="s">
        <v>53</v>
      </c>
      <c r="F25" s="100"/>
      <c r="G25" s="100" t="s">
        <v>359</v>
      </c>
      <c r="H25" s="100"/>
      <c r="I25" s="100"/>
      <c r="L25" s="100" t="s">
        <v>363</v>
      </c>
      <c r="M25" s="100" t="str">
        <f>SETUP!$B$53&amp;"_"&amp;SETUP!$B$40&amp;"-"&amp;SETUP!B50</f>
        <v>SH_Att-F</v>
      </c>
      <c r="N25" s="100" t="str">
        <f>SETUP!$C$53&amp;" "&amp;  SETUP!$C$40&amp;"-"&amp;SETUP!B50</f>
        <v>Residential Space Heating Attached-F</v>
      </c>
      <c r="O25" s="100" t="s">
        <v>53</v>
      </c>
      <c r="P25" s="100"/>
      <c r="Q25" s="100"/>
      <c r="R25" s="100"/>
      <c r="S25" s="100"/>
    </row>
    <row r="26" spans="1:19" ht="13.5" thickBot="1">
      <c r="B26" s="212" t="s">
        <v>363</v>
      </c>
      <c r="C26" s="212" t="str">
        <f>SETUP!B28</f>
        <v>RSDSMF</v>
      </c>
      <c r="D26" s="212" t="str">
        <f>SETUP!C28</f>
        <v>Solid Multi-Fuel</v>
      </c>
      <c r="E26" s="125" t="s">
        <v>53</v>
      </c>
      <c r="F26" s="100"/>
      <c r="G26" s="100" t="s">
        <v>359</v>
      </c>
      <c r="H26" s="100"/>
      <c r="I26" s="100"/>
      <c r="L26" s="768" t="s">
        <v>363</v>
      </c>
      <c r="M26" s="768" t="str">
        <f>SETUP!$B$53&amp;"_"&amp;SETUP!$B$40&amp;"-"&amp;SETUP!B51</f>
        <v>SH_Att-G</v>
      </c>
      <c r="N26" s="768" t="str">
        <f>SETUP!$C$53&amp;" "&amp;  SETUP!$C$40&amp;"-"&amp;SETUP!B51</f>
        <v>Residential Space Heating Attached-G</v>
      </c>
      <c r="O26" s="768" t="s">
        <v>53</v>
      </c>
      <c r="P26" s="768"/>
      <c r="Q26" s="768"/>
      <c r="R26" s="768"/>
      <c r="S26" s="768"/>
    </row>
    <row r="27" spans="1:19">
      <c r="A27" s="212" t="str">
        <f>TRIM(SETUP!A29)</f>
        <v/>
      </c>
      <c r="B27" s="212" t="str">
        <f t="shared" si="0"/>
        <v>NRG</v>
      </c>
      <c r="C27" s="212" t="str">
        <f>SETUP!B29</f>
        <v>RSDELCD</v>
      </c>
      <c r="D27" s="212" t="str">
        <f>SETUP!C29</f>
        <v>Electricity to Residential</v>
      </c>
      <c r="E27" s="125" t="s">
        <v>53</v>
      </c>
      <c r="F27" s="100"/>
      <c r="G27" s="212" t="s">
        <v>362</v>
      </c>
      <c r="H27" s="100"/>
      <c r="L27" s="100" t="s">
        <v>363</v>
      </c>
      <c r="M27" s="100" t="str">
        <f>SETUP!$B$53&amp;"_"&amp;SETUP!$B$41&amp;"-"&amp;SETUP!B43</f>
        <v>SH_Det-A</v>
      </c>
      <c r="N27" s="100" t="str">
        <f>SETUP!$C$53&amp;" "&amp;  SETUP!$C$41&amp;"-"&amp;SETUP!B43</f>
        <v>Residential Space Heating Detached-A</v>
      </c>
      <c r="O27" s="100" t="s">
        <v>53</v>
      </c>
      <c r="P27" s="100"/>
      <c r="Q27" s="100"/>
      <c r="R27" s="100"/>
      <c r="S27" s="100"/>
    </row>
    <row r="28" spans="1:19" ht="13.5" thickBot="1">
      <c r="A28" s="212" t="str">
        <f>TRIM(SETUP!A30)</f>
        <v>*</v>
      </c>
      <c r="B28" s="768" t="str">
        <f t="shared" si="0"/>
        <v>*NRG</v>
      </c>
      <c r="C28" s="768" t="str">
        <f>SETUP!B30</f>
        <v>RSDHET</v>
      </c>
      <c r="D28" s="768" t="str">
        <f>SETUP!C30</f>
        <v>Heat to Residential</v>
      </c>
      <c r="E28" s="769" t="s">
        <v>53</v>
      </c>
      <c r="F28" s="768"/>
      <c r="G28" s="768" t="s">
        <v>359</v>
      </c>
      <c r="H28" s="768"/>
      <c r="I28" s="768"/>
      <c r="L28" s="100" t="s">
        <v>363</v>
      </c>
      <c r="M28" s="100" t="str">
        <f>SETUP!$B$53&amp;"_"&amp;SETUP!$B$41&amp;"-"&amp;SETUP!B44</f>
        <v>SH_Det-B1</v>
      </c>
      <c r="N28" s="100" t="str">
        <f>SETUP!$C$53&amp;" "&amp;  SETUP!$C$41&amp;"-"&amp;SETUP!B44</f>
        <v>Residential Space Heating Detached-B1</v>
      </c>
      <c r="O28" s="100" t="s">
        <v>53</v>
      </c>
      <c r="P28" s="100"/>
      <c r="Q28" s="100"/>
      <c r="R28" s="100"/>
      <c r="S28" s="100"/>
    </row>
    <row r="29" spans="1:19">
      <c r="B29" s="100" t="str">
        <f>A29&amp;"ENV"</f>
        <v>ENV</v>
      </c>
      <c r="C29" s="100" t="str">
        <f>A29&amp;SETUP!B32</f>
        <v>RSDCO2</v>
      </c>
      <c r="D29" s="100" t="str">
        <f>A29&amp;SETUP!C32</f>
        <v>Carbon Dioxide - Combustion (RSD)</v>
      </c>
      <c r="E29" s="125" t="s">
        <v>364</v>
      </c>
      <c r="F29" s="100"/>
      <c r="G29" s="100"/>
      <c r="H29" s="100"/>
      <c r="I29" s="100"/>
      <c r="L29" s="100" t="s">
        <v>363</v>
      </c>
      <c r="M29" s="100" t="str">
        <f>SETUP!$B$53&amp;"_"&amp;SETUP!$B$41&amp;"-"&amp;SETUP!B45</f>
        <v>SH_Det-B2</v>
      </c>
      <c r="N29" s="100" t="str">
        <f>SETUP!$C$53&amp;" "&amp;  SETUP!$C$41&amp;"-"&amp;SETUP!B45</f>
        <v>Residential Space Heating Detached-B2</v>
      </c>
      <c r="O29" s="100" t="s">
        <v>53</v>
      </c>
      <c r="P29" s="100"/>
      <c r="Q29" s="100"/>
      <c r="R29" s="100"/>
      <c r="S29" s="100"/>
    </row>
    <row r="30" spans="1:19">
      <c r="B30" s="100" t="str">
        <f t="shared" ref="B30:B34" si="1">A30&amp;"ENV"</f>
        <v>ENV</v>
      </c>
      <c r="C30" s="100" t="str">
        <f>A30&amp;SETUP!B33</f>
        <v>RSDCH4</v>
      </c>
      <c r="D30" s="100" t="str">
        <f>A30&amp;SETUP!C33</f>
        <v>Methane (RSD)</v>
      </c>
      <c r="E30" s="125" t="s">
        <v>364</v>
      </c>
      <c r="F30" s="100"/>
      <c r="G30" s="100"/>
      <c r="H30" s="100"/>
      <c r="I30" s="100"/>
      <c r="L30" s="100" t="s">
        <v>363</v>
      </c>
      <c r="M30" s="100" t="str">
        <f>SETUP!$B$53&amp;"_"&amp;SETUP!$B$41&amp;"-"&amp;SETUP!B46</f>
        <v>SH_Det-B3</v>
      </c>
      <c r="N30" s="100" t="str">
        <f>SETUP!$C$53&amp;" "&amp;  SETUP!$C$41&amp;"-"&amp;SETUP!B46</f>
        <v>Residential Space Heating Detached-B3</v>
      </c>
      <c r="O30" s="100" t="s">
        <v>53</v>
      </c>
      <c r="P30" s="100"/>
      <c r="Q30" s="100"/>
      <c r="R30" s="100"/>
      <c r="S30" s="100"/>
    </row>
    <row r="31" spans="1:19">
      <c r="B31" s="100" t="str">
        <f t="shared" si="1"/>
        <v>ENV</v>
      </c>
      <c r="C31" s="100" t="str">
        <f>A31&amp;SETUP!B34</f>
        <v>RSDSO2N</v>
      </c>
      <c r="D31" s="100" t="str">
        <f>A31&amp;SETUP!C34</f>
        <v>Sulphur Oxides (RSD)</v>
      </c>
      <c r="E31" s="125" t="s">
        <v>364</v>
      </c>
      <c r="F31" s="100"/>
      <c r="G31" s="100"/>
      <c r="H31" s="100"/>
      <c r="I31" s="100"/>
      <c r="L31" s="100" t="s">
        <v>363</v>
      </c>
      <c r="M31" s="100" t="str">
        <f>SETUP!$B$53&amp;"_"&amp;SETUP!$B$41&amp;"-"&amp;SETUP!B47</f>
        <v>SH_Det-C</v>
      </c>
      <c r="N31" s="100" t="str">
        <f>SETUP!$C$53&amp;" "&amp;  SETUP!$C$41&amp;"-"&amp;SETUP!B47</f>
        <v>Residential Space Heating Detached-C</v>
      </c>
      <c r="O31" s="100" t="s">
        <v>53</v>
      </c>
      <c r="P31" s="100"/>
      <c r="Q31" s="100"/>
      <c r="R31" s="100"/>
      <c r="S31" s="100"/>
    </row>
    <row r="32" spans="1:19">
      <c r="B32" s="100" t="str">
        <f t="shared" si="1"/>
        <v>ENV</v>
      </c>
      <c r="C32" s="100" t="str">
        <f>A32&amp;SETUP!B35</f>
        <v>RSDN2O</v>
      </c>
      <c r="D32" s="100" t="str">
        <f>A32&amp;SETUP!C35</f>
        <v>Nitrogen Oxide (RSD)</v>
      </c>
      <c r="E32" s="125" t="s">
        <v>364</v>
      </c>
      <c r="F32" s="100"/>
      <c r="G32" s="100"/>
      <c r="H32" s="100"/>
      <c r="I32" s="100"/>
      <c r="L32" s="100" t="s">
        <v>363</v>
      </c>
      <c r="M32" s="100" t="str">
        <f>SETUP!$B$53&amp;"_"&amp;SETUP!$B$41&amp;"-"&amp;SETUP!B48</f>
        <v>SH_Det-D</v>
      </c>
      <c r="N32" s="100" t="str">
        <f>SETUP!$C$53&amp;" "&amp;  SETUP!$C$41&amp;"-"&amp;SETUP!B48</f>
        <v>Residential Space Heating Detached-D</v>
      </c>
      <c r="O32" s="100" t="s">
        <v>53</v>
      </c>
      <c r="P32" s="100"/>
      <c r="Q32" s="100"/>
      <c r="R32" s="100"/>
      <c r="S32" s="100"/>
    </row>
    <row r="33" spans="1:19">
      <c r="B33" s="100" t="str">
        <f t="shared" si="1"/>
        <v>ENV</v>
      </c>
      <c r="C33" s="100" t="str">
        <f>A33&amp;SETUP!B36</f>
        <v>RSDPM10</v>
      </c>
      <c r="D33" s="100" t="str">
        <f>A33&amp;SETUP!C36</f>
        <v>Particulate Matter &lt;10 µm (RSD)</v>
      </c>
      <c r="E33" s="125" t="s">
        <v>364</v>
      </c>
      <c r="F33" s="100"/>
      <c r="G33" s="100"/>
      <c r="H33" s="100"/>
      <c r="I33" s="100"/>
      <c r="J33" s="81"/>
      <c r="L33" s="100" t="s">
        <v>363</v>
      </c>
      <c r="M33" s="100" t="str">
        <f>SETUP!$B$53&amp;"_"&amp;SETUP!$B$41&amp;"-"&amp;SETUP!B49</f>
        <v>SH_Det-E</v>
      </c>
      <c r="N33" s="100" t="str">
        <f>SETUP!$C$53&amp;" "&amp;  SETUP!$C$41&amp;"-"&amp;SETUP!B49</f>
        <v>Residential Space Heating Detached-E</v>
      </c>
      <c r="O33" s="100" t="s">
        <v>53</v>
      </c>
      <c r="P33" s="100"/>
      <c r="Q33" s="100"/>
      <c r="R33" s="100"/>
      <c r="S33" s="100"/>
    </row>
    <row r="34" spans="1:19" ht="13.5" thickBot="1">
      <c r="B34" s="768" t="str">
        <f t="shared" si="1"/>
        <v>ENV</v>
      </c>
      <c r="C34" s="768" t="str">
        <f>A34&amp;SETUP!B37</f>
        <v>RSDPM25</v>
      </c>
      <c r="D34" s="768" t="str">
        <f>A34&amp;SETUP!C37</f>
        <v>Particulate Matter &lt;2.5 µm (RSD)</v>
      </c>
      <c r="E34" s="769" t="s">
        <v>364</v>
      </c>
      <c r="F34" s="768"/>
      <c r="G34" s="768"/>
      <c r="H34" s="768"/>
      <c r="I34" s="768"/>
      <c r="L34" s="100" t="s">
        <v>363</v>
      </c>
      <c r="M34" s="100" t="str">
        <f>SETUP!$B$53&amp;"_"&amp;SETUP!$B$41&amp;"-"&amp;SETUP!B50</f>
        <v>SH_Det-F</v>
      </c>
      <c r="N34" s="100" t="str">
        <f>SETUP!$C$53&amp;" "&amp;  SETUP!$C$41&amp;"-"&amp;SETUP!B50</f>
        <v>Residential Space Heating Detached-F</v>
      </c>
      <c r="O34" s="100" t="s">
        <v>53</v>
      </c>
      <c r="P34" s="100"/>
      <c r="Q34" s="100"/>
      <c r="R34" s="100"/>
      <c r="S34" s="100"/>
    </row>
    <row r="35" spans="1:19" ht="13.5" thickBot="1">
      <c r="A35" s="212" t="str">
        <f>TRIM(SETUP!A57)</f>
        <v/>
      </c>
      <c r="B35" s="100" t="str">
        <f t="shared" ref="B35:B41" si="2">A35&amp;"DEM"</f>
        <v>DEM</v>
      </c>
      <c r="C35" s="100" t="str">
        <f>SETUP!$B$3&amp;SETUP!B57</f>
        <v>RSDRF</v>
      </c>
      <c r="D35" s="100" t="str">
        <f>SETUP!C57</f>
        <v>Residential Refrigeration</v>
      </c>
      <c r="E35" s="100" t="s">
        <v>53</v>
      </c>
      <c r="F35" s="100"/>
      <c r="G35" s="100"/>
      <c r="H35" s="100"/>
      <c r="I35" s="100"/>
      <c r="J35" s="81"/>
      <c r="L35" s="819" t="s">
        <v>363</v>
      </c>
      <c r="M35" s="819" t="str">
        <f>SETUP!$B$53&amp;"_"&amp;SETUP!$B$41&amp;"-"&amp;SETUP!B51</f>
        <v>SH_Det-G</v>
      </c>
      <c r="N35" s="819" t="str">
        <f>SETUP!$C$53&amp;" "&amp;  SETUP!$C$41&amp;"-"&amp;SETUP!B51</f>
        <v>Residential Space Heating Detached-G</v>
      </c>
      <c r="O35" s="819" t="s">
        <v>53</v>
      </c>
      <c r="P35" s="819"/>
      <c r="Q35" s="819"/>
      <c r="R35" s="819"/>
      <c r="S35" s="819"/>
    </row>
    <row r="36" spans="1:19" ht="13.5" thickTop="1">
      <c r="A36" s="212" t="str">
        <f>TRIM(SETUP!A59)</f>
        <v/>
      </c>
      <c r="B36" s="100" t="str">
        <f t="shared" si="2"/>
        <v>DEM</v>
      </c>
      <c r="C36" s="100" t="str">
        <f>SETUP!$B$3&amp;SETUP!B59</f>
        <v>RSDCK</v>
      </c>
      <c r="D36" s="100" t="str">
        <f>SETUP!C59</f>
        <v>Residential Cooking</v>
      </c>
      <c r="E36" s="100" t="s">
        <v>53</v>
      </c>
      <c r="F36" s="100"/>
      <c r="G36" s="100"/>
      <c r="H36" s="100"/>
      <c r="I36" s="100"/>
      <c r="J36" s="81"/>
      <c r="L36" s="100" t="s">
        <v>363</v>
      </c>
      <c r="M36" s="100" t="str">
        <f>SETUP!$B$54&amp;"_"&amp;SETUP!$B$39&amp;"-"&amp;SETUP!B43</f>
        <v>SC_Apt-A</v>
      </c>
      <c r="N36" s="100" t="str">
        <f>SETUP!$C$54&amp;" "&amp;  SETUP!$C$39&amp;"-"&amp;SETUP!B43</f>
        <v>Residential Space Cooling Apartment-A</v>
      </c>
      <c r="O36" s="100" t="s">
        <v>53</v>
      </c>
      <c r="P36" s="100"/>
      <c r="Q36" s="100"/>
      <c r="R36" s="100"/>
      <c r="S36" s="100"/>
    </row>
    <row r="37" spans="1:19">
      <c r="A37" s="212" t="str">
        <f>TRIM(SETUP!A60)</f>
        <v/>
      </c>
      <c r="B37" s="100" t="str">
        <f t="shared" si="2"/>
        <v>DEM</v>
      </c>
      <c r="C37" s="100" t="str">
        <f>SETUP!$B$3&amp;SETUP!B60</f>
        <v>RSDCW</v>
      </c>
      <c r="D37" s="100" t="str">
        <f>SETUP!C60</f>
        <v>Residential Cloth Washing demand</v>
      </c>
      <c r="E37" s="100" t="s">
        <v>53</v>
      </c>
      <c r="F37" s="100"/>
      <c r="G37" s="100"/>
      <c r="H37" s="100"/>
      <c r="I37" s="100"/>
      <c r="J37" s="81"/>
      <c r="L37" s="100" t="s">
        <v>363</v>
      </c>
      <c r="M37" s="100" t="str">
        <f>SETUP!$B$54&amp;"_"&amp;SETUP!$B$39&amp;"-"&amp;SETUP!B44</f>
        <v>SC_Apt-B1</v>
      </c>
      <c r="N37" s="100" t="str">
        <f>SETUP!$C$54&amp;" "&amp;  SETUP!$C$39&amp;"-"&amp;SETUP!B44</f>
        <v>Residential Space Cooling Apartment-B1</v>
      </c>
      <c r="O37" s="100" t="s">
        <v>53</v>
      </c>
      <c r="P37" s="100"/>
      <c r="Q37" s="100"/>
      <c r="R37" s="100"/>
      <c r="S37" s="100"/>
    </row>
    <row r="38" spans="1:19">
      <c r="A38" s="212" t="str">
        <f>TRIM(SETUP!A61)</f>
        <v/>
      </c>
      <c r="B38" s="100" t="str">
        <f t="shared" si="2"/>
        <v>DEM</v>
      </c>
      <c r="C38" s="100" t="str">
        <f>SETUP!$B$3&amp;SETUP!B61</f>
        <v>RSDCD</v>
      </c>
      <c r="D38" s="100" t="str">
        <f>SETUP!C61</f>
        <v>Residential Cloth Drying demand</v>
      </c>
      <c r="E38" s="100" t="s">
        <v>53</v>
      </c>
      <c r="F38" s="100"/>
      <c r="G38" s="100"/>
      <c r="H38" s="100"/>
      <c r="I38" s="100"/>
      <c r="J38" s="81"/>
      <c r="L38" s="100" t="s">
        <v>363</v>
      </c>
      <c r="M38" s="100" t="str">
        <f>SETUP!$B$54&amp;"_"&amp;SETUP!$B$39&amp;"-"&amp;SETUP!B45</f>
        <v>SC_Apt-B2</v>
      </c>
      <c r="N38" s="100" t="str">
        <f>SETUP!$C$54&amp;" "&amp;  SETUP!$C$39&amp;"-"&amp;SETUP!B45</f>
        <v>Residential Space Cooling Apartment-B2</v>
      </c>
      <c r="O38" s="100" t="s">
        <v>53</v>
      </c>
      <c r="P38" s="100"/>
      <c r="Q38" s="100"/>
      <c r="R38" s="100"/>
      <c r="S38" s="100"/>
    </row>
    <row r="39" spans="1:19">
      <c r="A39" s="212" t="str">
        <f>TRIM(SETUP!A62)</f>
        <v/>
      </c>
      <c r="B39" s="100" t="str">
        <f t="shared" si="2"/>
        <v>DEM</v>
      </c>
      <c r="C39" s="100" t="str">
        <f>SETUP!$B$3&amp;SETUP!B62</f>
        <v>RSDDW</v>
      </c>
      <c r="D39" s="100" t="str">
        <f>SETUP!C62</f>
        <v>Residential Dish Washing demand</v>
      </c>
      <c r="E39" s="100" t="s">
        <v>53</v>
      </c>
      <c r="F39" s="100"/>
      <c r="G39" s="100"/>
      <c r="H39" s="100"/>
      <c r="I39" s="100"/>
      <c r="J39" s="81"/>
      <c r="L39" s="100" t="s">
        <v>363</v>
      </c>
      <c r="M39" s="100" t="str">
        <f>SETUP!$B$54&amp;"_"&amp;SETUP!$B$39&amp;"-"&amp;SETUP!B46</f>
        <v>SC_Apt-B3</v>
      </c>
      <c r="N39" s="100" t="str">
        <f>SETUP!$C$54&amp;" "&amp;  SETUP!$C$39&amp;"-"&amp;SETUP!B46</f>
        <v>Residential Space Cooling Apartment-B3</v>
      </c>
      <c r="O39" s="100" t="s">
        <v>53</v>
      </c>
      <c r="P39" s="100"/>
      <c r="Q39" s="100"/>
      <c r="R39" s="100"/>
      <c r="S39" s="100"/>
    </row>
    <row r="40" spans="1:19">
      <c r="A40" s="212" t="str">
        <f>TRIM(SETUP!A63)</f>
        <v/>
      </c>
      <c r="B40" s="100" t="str">
        <f t="shared" si="2"/>
        <v>DEM</v>
      </c>
      <c r="C40" s="100" t="str">
        <f>SETUP!$B$3&amp;SETUP!B63</f>
        <v>RSDME</v>
      </c>
      <c r="D40" s="100" t="str">
        <f>SETUP!C63</f>
        <v>Residential ELC Appliances</v>
      </c>
      <c r="E40" s="100" t="s">
        <v>53</v>
      </c>
      <c r="F40" s="100"/>
      <c r="G40" s="100"/>
      <c r="H40" s="100"/>
      <c r="I40" s="100"/>
      <c r="J40" s="81"/>
      <c r="L40" s="100" t="s">
        <v>363</v>
      </c>
      <c r="M40" s="100" t="str">
        <f>SETUP!$B$54&amp;"_"&amp;SETUP!$B$39&amp;"-"&amp;SETUP!B47</f>
        <v>SC_Apt-C</v>
      </c>
      <c r="N40" s="100" t="str">
        <f>SETUP!$C$54&amp;" "&amp;  SETUP!$C$39&amp;"-"&amp;SETUP!B47</f>
        <v>Residential Space Cooling Apartment-C</v>
      </c>
      <c r="O40" s="100" t="s">
        <v>53</v>
      </c>
      <c r="P40" s="100"/>
      <c r="Q40" s="100"/>
      <c r="R40" s="100"/>
      <c r="S40" s="100"/>
    </row>
    <row r="41" spans="1:19" ht="13.5" thickBot="1">
      <c r="A41" s="212" t="str">
        <f>TRIM(SETUP!A64)</f>
        <v>*</v>
      </c>
      <c r="B41" s="768" t="str">
        <f t="shared" si="2"/>
        <v>*DEM</v>
      </c>
      <c r="C41" s="768" t="str">
        <f>SETUP!$B$3&amp;SETUP!B64</f>
        <v>RSDMA</v>
      </c>
      <c r="D41" s="768" t="str">
        <f>SETUP!C64</f>
        <v>Residential Other Applications</v>
      </c>
      <c r="E41" s="768" t="s">
        <v>53</v>
      </c>
      <c r="F41" s="768"/>
      <c r="G41" s="768"/>
      <c r="H41" s="768"/>
      <c r="I41" s="768"/>
      <c r="J41" s="81"/>
      <c r="L41" s="100" t="s">
        <v>363</v>
      </c>
      <c r="M41" s="100" t="str">
        <f>SETUP!$B$54&amp;"_"&amp;SETUP!$B$39&amp;"-"&amp;SETUP!B48</f>
        <v>SC_Apt-D</v>
      </c>
      <c r="N41" s="100" t="str">
        <f>SETUP!$C$54&amp;" "&amp;  SETUP!$C$39&amp;"-"&amp;SETUP!B48</f>
        <v>Residential Space Cooling Apartment-D</v>
      </c>
      <c r="O41" s="100" t="s">
        <v>53</v>
      </c>
      <c r="P41" s="100"/>
      <c r="Q41" s="100"/>
      <c r="R41" s="100"/>
      <c r="S41" s="100"/>
    </row>
    <row r="42" spans="1:19">
      <c r="J42" s="81"/>
      <c r="L42" s="100" t="s">
        <v>363</v>
      </c>
      <c r="M42" s="100" t="str">
        <f>SETUP!$B$54&amp;"_"&amp;SETUP!$B$39&amp;"-"&amp;SETUP!B49</f>
        <v>SC_Apt-E</v>
      </c>
      <c r="N42" s="100" t="str">
        <f>SETUP!$C$54&amp;" "&amp;  SETUP!$C$39&amp;"-"&amp;SETUP!B49</f>
        <v>Residential Space Cooling Apartment-E</v>
      </c>
      <c r="O42" s="100" t="s">
        <v>53</v>
      </c>
      <c r="P42" s="100"/>
      <c r="Q42" s="100"/>
      <c r="R42" s="100"/>
      <c r="S42" s="100"/>
    </row>
    <row r="43" spans="1:19">
      <c r="J43" s="81"/>
      <c r="L43" s="100" t="s">
        <v>363</v>
      </c>
      <c r="M43" s="100" t="str">
        <f>SETUP!$B$54&amp;"_"&amp;SETUP!$B$39&amp;"-"&amp;SETUP!B50</f>
        <v>SC_Apt-F</v>
      </c>
      <c r="N43" s="100" t="str">
        <f>SETUP!$C$54&amp;" "&amp;  SETUP!$C$39&amp;"-"&amp;SETUP!B50</f>
        <v>Residential Space Cooling Apartment-F</v>
      </c>
      <c r="O43" s="100" t="s">
        <v>53</v>
      </c>
      <c r="P43" s="100"/>
      <c r="Q43" s="100"/>
      <c r="R43" s="100"/>
      <c r="S43" s="100"/>
    </row>
    <row r="44" spans="1:19" ht="13.5" thickBot="1">
      <c r="J44" s="81"/>
      <c r="L44" s="768" t="s">
        <v>363</v>
      </c>
      <c r="M44" s="768" t="str">
        <f>SETUP!$B$54&amp;"_"&amp;SETUP!$B$39&amp;"-"&amp;SETUP!B51</f>
        <v>SC_Apt-G</v>
      </c>
      <c r="N44" s="768" t="str">
        <f>SETUP!$C$54&amp;" "&amp;  SETUP!$C$39&amp;"-"&amp;SETUP!B51</f>
        <v>Residential Space Cooling Apartment-G</v>
      </c>
      <c r="O44" s="768" t="s">
        <v>53</v>
      </c>
      <c r="P44" s="768"/>
      <c r="Q44" s="768"/>
      <c r="R44" s="768"/>
      <c r="S44" s="768"/>
    </row>
    <row r="45" spans="1:19">
      <c r="J45" s="81"/>
      <c r="L45" s="100" t="s">
        <v>363</v>
      </c>
      <c r="M45" s="100" t="str">
        <f>SETUP!$B$54&amp;"_"&amp;SETUP!$B$40&amp;"-"&amp;SETUP!B43</f>
        <v>SC_Att-A</v>
      </c>
      <c r="N45" s="100" t="str">
        <f>SETUP!$C$54&amp;" "&amp;  SETUP!$C$40&amp;"-"&amp;SETUP!B43</f>
        <v>Residential Space Cooling Attached-A</v>
      </c>
      <c r="O45" s="100" t="s">
        <v>53</v>
      </c>
      <c r="P45" s="100"/>
      <c r="Q45" s="100"/>
      <c r="R45" s="100"/>
      <c r="S45" s="100"/>
    </row>
    <row r="46" spans="1:19">
      <c r="J46" s="81"/>
      <c r="L46" s="100" t="s">
        <v>363</v>
      </c>
      <c r="M46" s="100" t="str">
        <f>SETUP!$B$54&amp;"_"&amp;SETUP!$B$40&amp;"-"&amp;SETUP!B44</f>
        <v>SC_Att-B1</v>
      </c>
      <c r="N46" s="100" t="str">
        <f>SETUP!$C$54&amp;" "&amp;  SETUP!$C$40&amp;"-"&amp;SETUP!B44</f>
        <v>Residential Space Cooling Attached-B1</v>
      </c>
      <c r="O46" s="100" t="s">
        <v>53</v>
      </c>
      <c r="P46" s="100"/>
      <c r="Q46" s="100"/>
      <c r="R46" s="100"/>
      <c r="S46" s="100"/>
    </row>
    <row r="47" spans="1:19">
      <c r="J47" s="81"/>
      <c r="L47" s="100" t="s">
        <v>363</v>
      </c>
      <c r="M47" s="100" t="str">
        <f>SETUP!$B$54&amp;"_"&amp;SETUP!$B$40&amp;"-"&amp;SETUP!B45</f>
        <v>SC_Att-B2</v>
      </c>
      <c r="N47" s="100" t="str">
        <f>SETUP!$C$54&amp;" "&amp;  SETUP!$C$40&amp;"-"&amp;SETUP!B45</f>
        <v>Residential Space Cooling Attached-B2</v>
      </c>
      <c r="O47" s="100" t="s">
        <v>53</v>
      </c>
      <c r="P47" s="100"/>
      <c r="Q47" s="100"/>
      <c r="R47" s="100"/>
      <c r="S47" s="100"/>
    </row>
    <row r="48" spans="1:19">
      <c r="J48" s="81"/>
      <c r="L48" s="100" t="s">
        <v>363</v>
      </c>
      <c r="M48" s="100" t="str">
        <f>SETUP!$B$54&amp;"_"&amp;SETUP!$B$40&amp;"-"&amp;SETUP!B46</f>
        <v>SC_Att-B3</v>
      </c>
      <c r="N48" s="100" t="str">
        <f>SETUP!$C$54&amp;" "&amp;  SETUP!$C$40&amp;"-"&amp;SETUP!B46</f>
        <v>Residential Space Cooling Attached-B3</v>
      </c>
      <c r="O48" s="100" t="s">
        <v>53</v>
      </c>
      <c r="P48" s="100"/>
      <c r="Q48" s="100"/>
      <c r="R48" s="100"/>
      <c r="S48" s="100"/>
    </row>
    <row r="49" spans="10:19">
      <c r="J49" s="81"/>
      <c r="L49" s="100" t="s">
        <v>363</v>
      </c>
      <c r="M49" s="100" t="str">
        <f>SETUP!$B$54&amp;"_"&amp;SETUP!$B$40&amp;"-"&amp;SETUP!B47</f>
        <v>SC_Att-C</v>
      </c>
      <c r="N49" s="100" t="str">
        <f>SETUP!$C$54&amp;" "&amp;  SETUP!$C$40&amp;"-"&amp;SETUP!B47</f>
        <v>Residential Space Cooling Attached-C</v>
      </c>
      <c r="O49" s="100" t="s">
        <v>53</v>
      </c>
      <c r="P49" s="100"/>
      <c r="Q49" s="100"/>
      <c r="R49" s="100"/>
      <c r="S49" s="100"/>
    </row>
    <row r="50" spans="10:19">
      <c r="J50" s="81"/>
      <c r="L50" s="100" t="s">
        <v>363</v>
      </c>
      <c r="M50" s="100" t="str">
        <f>SETUP!$B$54&amp;"_"&amp;SETUP!$B$40&amp;"-"&amp;SETUP!B48</f>
        <v>SC_Att-D</v>
      </c>
      <c r="N50" s="100" t="str">
        <f>SETUP!$C$54&amp;" "&amp;  SETUP!$C$40&amp;"-"&amp;SETUP!B48</f>
        <v>Residential Space Cooling Attached-D</v>
      </c>
      <c r="O50" s="100" t="s">
        <v>53</v>
      </c>
      <c r="P50" s="100"/>
      <c r="Q50" s="100"/>
      <c r="R50" s="100"/>
      <c r="S50" s="100"/>
    </row>
    <row r="51" spans="10:19">
      <c r="J51" s="81"/>
      <c r="L51" s="100" t="s">
        <v>363</v>
      </c>
      <c r="M51" s="100" t="str">
        <f>SETUP!$B$54&amp;"_"&amp;SETUP!$B$40&amp;"-"&amp;SETUP!B49</f>
        <v>SC_Att-E</v>
      </c>
      <c r="N51" s="100" t="str">
        <f>SETUP!$C$54&amp;" "&amp;  SETUP!$C$40&amp;"-"&amp;SETUP!B49</f>
        <v>Residential Space Cooling Attached-E</v>
      </c>
      <c r="O51" s="100" t="s">
        <v>53</v>
      </c>
      <c r="P51" s="100"/>
      <c r="Q51" s="100"/>
      <c r="R51" s="100"/>
      <c r="S51" s="100"/>
    </row>
    <row r="52" spans="10:19">
      <c r="J52" s="81"/>
      <c r="L52" s="100" t="s">
        <v>363</v>
      </c>
      <c r="M52" s="100" t="str">
        <f>SETUP!$B$54&amp;"_"&amp;SETUP!$B$40&amp;"-"&amp;SETUP!B50</f>
        <v>SC_Att-F</v>
      </c>
      <c r="N52" s="100" t="str">
        <f>SETUP!$C$54&amp;" "&amp;  SETUP!$C$40&amp;"-"&amp;SETUP!B50</f>
        <v>Residential Space Cooling Attached-F</v>
      </c>
      <c r="O52" s="100" t="s">
        <v>53</v>
      </c>
      <c r="P52" s="100"/>
      <c r="Q52" s="100"/>
      <c r="R52" s="100"/>
      <c r="S52" s="100"/>
    </row>
    <row r="53" spans="10:19" ht="13.5" thickBot="1">
      <c r="J53" s="81"/>
      <c r="L53" s="768" t="s">
        <v>363</v>
      </c>
      <c r="M53" s="768" t="str">
        <f>SETUP!$B$54&amp;"_"&amp;SETUP!$B$40&amp;"-"&amp;SETUP!B51</f>
        <v>SC_Att-G</v>
      </c>
      <c r="N53" s="768" t="str">
        <f>SETUP!$C$54&amp;" "&amp;  SETUP!$C$40&amp;"-"&amp;SETUP!B51</f>
        <v>Residential Space Cooling Attached-G</v>
      </c>
      <c r="O53" s="768" t="s">
        <v>53</v>
      </c>
      <c r="P53" s="768"/>
      <c r="Q53" s="768"/>
      <c r="R53" s="768"/>
      <c r="S53" s="768"/>
    </row>
    <row r="54" spans="10:19">
      <c r="J54" s="81"/>
      <c r="L54" s="100" t="s">
        <v>363</v>
      </c>
      <c r="M54" s="100" t="str">
        <f>SETUP!$B$54&amp;"_"&amp;SETUP!$B$41&amp;"-"&amp;SETUP!B43</f>
        <v>SC_Det-A</v>
      </c>
      <c r="N54" s="100" t="str">
        <f>SETUP!$C$54&amp;" "&amp;  SETUP!$C$41&amp;"-"&amp;SETUP!B43</f>
        <v>Residential Space Cooling Detached-A</v>
      </c>
      <c r="O54" s="100" t="s">
        <v>53</v>
      </c>
      <c r="P54" s="100"/>
      <c r="Q54" s="100"/>
      <c r="R54" s="100"/>
      <c r="S54" s="100"/>
    </row>
    <row r="55" spans="10:19">
      <c r="J55" s="81"/>
      <c r="L55" s="100" t="s">
        <v>363</v>
      </c>
      <c r="M55" s="100" t="str">
        <f>SETUP!$B$54&amp;"_"&amp;SETUP!$B$41&amp;"-"&amp;SETUP!B44</f>
        <v>SC_Det-B1</v>
      </c>
      <c r="N55" s="100" t="str">
        <f>SETUP!$C$54&amp;" "&amp;  SETUP!$C$41&amp;"-"&amp;SETUP!B44</f>
        <v>Residential Space Cooling Detached-B1</v>
      </c>
      <c r="O55" s="100" t="s">
        <v>53</v>
      </c>
      <c r="P55" s="100"/>
      <c r="Q55" s="100"/>
      <c r="R55" s="100"/>
      <c r="S55" s="100"/>
    </row>
    <row r="56" spans="10:19">
      <c r="J56" s="81"/>
      <c r="L56" s="100" t="s">
        <v>363</v>
      </c>
      <c r="M56" s="100" t="str">
        <f>SETUP!$B$54&amp;"_"&amp;SETUP!$B$41&amp;"-"&amp;SETUP!B45</f>
        <v>SC_Det-B2</v>
      </c>
      <c r="N56" s="100" t="str">
        <f>SETUP!$C$54&amp;" "&amp;  SETUP!$C$41&amp;"-"&amp;SETUP!B45</f>
        <v>Residential Space Cooling Detached-B2</v>
      </c>
      <c r="O56" s="100" t="s">
        <v>53</v>
      </c>
      <c r="P56" s="100"/>
      <c r="Q56" s="100"/>
      <c r="R56" s="100"/>
      <c r="S56" s="100"/>
    </row>
    <row r="57" spans="10:19">
      <c r="J57" s="81"/>
      <c r="L57" s="100" t="s">
        <v>363</v>
      </c>
      <c r="M57" s="100" t="str">
        <f>SETUP!$B$54&amp;"_"&amp;SETUP!$B$41&amp;"-"&amp;SETUP!B46</f>
        <v>SC_Det-B3</v>
      </c>
      <c r="N57" s="100" t="str">
        <f>SETUP!$C$54&amp;" "&amp;  SETUP!$C$41&amp;"-"&amp;SETUP!B46</f>
        <v>Residential Space Cooling Detached-B3</v>
      </c>
      <c r="O57" s="100" t="s">
        <v>53</v>
      </c>
      <c r="P57" s="100"/>
      <c r="Q57" s="100"/>
      <c r="R57" s="100"/>
      <c r="S57" s="100"/>
    </row>
    <row r="58" spans="10:19">
      <c r="J58" s="81"/>
      <c r="L58" s="100" t="s">
        <v>363</v>
      </c>
      <c r="M58" s="100" t="str">
        <f>SETUP!$B$54&amp;"_"&amp;SETUP!$B$41&amp;"-"&amp;SETUP!B47</f>
        <v>SC_Det-C</v>
      </c>
      <c r="N58" s="100" t="str">
        <f>SETUP!$C$54&amp;" "&amp;  SETUP!$C$41&amp;"-"&amp;SETUP!B47</f>
        <v>Residential Space Cooling Detached-C</v>
      </c>
      <c r="O58" s="100" t="s">
        <v>53</v>
      </c>
      <c r="P58" s="100"/>
      <c r="Q58" s="100"/>
      <c r="R58" s="100"/>
      <c r="S58" s="100"/>
    </row>
    <row r="59" spans="10:19">
      <c r="J59" s="81"/>
      <c r="L59" s="100" t="s">
        <v>363</v>
      </c>
      <c r="M59" s="100" t="str">
        <f>SETUP!$B$54&amp;"_"&amp;SETUP!$B$41&amp;"-"&amp;SETUP!B48</f>
        <v>SC_Det-D</v>
      </c>
      <c r="N59" s="100" t="str">
        <f>SETUP!$C$54&amp;" "&amp;  SETUP!$C$41&amp;"-"&amp;SETUP!B48</f>
        <v>Residential Space Cooling Detached-D</v>
      </c>
      <c r="O59" s="100" t="s">
        <v>53</v>
      </c>
      <c r="P59" s="100"/>
      <c r="Q59" s="100"/>
      <c r="R59" s="100"/>
      <c r="S59" s="100"/>
    </row>
    <row r="60" spans="10:19">
      <c r="J60" s="81"/>
      <c r="L60" s="100" t="s">
        <v>363</v>
      </c>
      <c r="M60" s="100" t="str">
        <f>SETUP!$B$54&amp;"_"&amp;SETUP!$B$41&amp;"-"&amp;SETUP!B49</f>
        <v>SC_Det-E</v>
      </c>
      <c r="N60" s="100" t="str">
        <f>SETUP!$C$54&amp;" "&amp;  SETUP!$C$41&amp;"-"&amp;SETUP!B49</f>
        <v>Residential Space Cooling Detached-E</v>
      </c>
      <c r="O60" s="100" t="s">
        <v>53</v>
      </c>
      <c r="P60" s="100"/>
      <c r="Q60" s="100"/>
      <c r="R60" s="100"/>
      <c r="S60" s="100"/>
    </row>
    <row r="61" spans="10:19">
      <c r="J61" s="81"/>
      <c r="L61" s="100" t="s">
        <v>363</v>
      </c>
      <c r="M61" s="100" t="str">
        <f>SETUP!$B$54&amp;"_"&amp;SETUP!$B$41&amp;"-"&amp;SETUP!B50</f>
        <v>SC_Det-F</v>
      </c>
      <c r="N61" s="100" t="str">
        <f>SETUP!$C$54&amp;" "&amp;  SETUP!$C$41&amp;"-"&amp;SETUP!B50</f>
        <v>Residential Space Cooling Detached-F</v>
      </c>
      <c r="O61" s="100" t="s">
        <v>53</v>
      </c>
      <c r="P61" s="100"/>
      <c r="Q61" s="100"/>
      <c r="R61" s="100"/>
      <c r="S61" s="100"/>
    </row>
    <row r="62" spans="10:19" ht="13.5" thickBot="1">
      <c r="J62" s="81"/>
      <c r="L62" s="819" t="s">
        <v>363</v>
      </c>
      <c r="M62" s="819" t="str">
        <f>SETUP!$B$54&amp;"_"&amp;SETUP!$B$41&amp;"-"&amp;SETUP!B51</f>
        <v>SC_Det-G</v>
      </c>
      <c r="N62" s="819" t="str">
        <f>SETUP!$C$54&amp;" "&amp;  SETUP!$C$41&amp;"-"&amp;SETUP!B51</f>
        <v>Residential Space Cooling Detached-G</v>
      </c>
      <c r="O62" s="819" t="s">
        <v>53</v>
      </c>
      <c r="P62" s="819"/>
      <c r="Q62" s="819"/>
      <c r="R62" s="819"/>
      <c r="S62" s="819"/>
    </row>
    <row r="63" spans="10:19" ht="13.5" thickTop="1">
      <c r="J63" s="81"/>
      <c r="L63" s="100" t="s">
        <v>363</v>
      </c>
      <c r="M63" s="212" t="str">
        <f>SETUP!$B$55&amp;"_"&amp;SETUP!$B$39&amp;"-"&amp;SETUP!B43</f>
        <v>WH_Apt-A</v>
      </c>
      <c r="N63" s="212" t="str">
        <f>SETUP!$C$55&amp;" "&amp;  SETUP!$C$39&amp;"-"&amp;SETUP!B43</f>
        <v>Residential Water Heating Apartment-A</v>
      </c>
      <c r="O63" s="212" t="s">
        <v>53</v>
      </c>
    </row>
    <row r="64" spans="10:19">
      <c r="J64" s="81"/>
      <c r="L64" s="100" t="s">
        <v>363</v>
      </c>
      <c r="M64" s="212" t="str">
        <f>SETUP!$B$55&amp;"_"&amp;SETUP!$B$39&amp;"-"&amp;SETUP!B44</f>
        <v>WH_Apt-B1</v>
      </c>
      <c r="N64" s="212" t="str">
        <f>SETUP!$C$55&amp;" "&amp;  SETUP!$C$39&amp;"-"&amp;SETUP!B44</f>
        <v>Residential Water Heating Apartment-B1</v>
      </c>
      <c r="O64" s="212" t="s">
        <v>53</v>
      </c>
    </row>
    <row r="65" spans="10:19">
      <c r="J65" s="81"/>
      <c r="L65" s="212" t="s">
        <v>363</v>
      </c>
      <c r="M65" s="212" t="str">
        <f>SETUP!$B$55&amp;"_"&amp;SETUP!$B$39&amp;"-"&amp;SETUP!B45</f>
        <v>WH_Apt-B2</v>
      </c>
      <c r="N65" s="212" t="str">
        <f>SETUP!$C$55&amp;" "&amp;  SETUP!$C$39&amp;"-"&amp;SETUP!B45</f>
        <v>Residential Water Heating Apartment-B2</v>
      </c>
      <c r="O65" s="212" t="s">
        <v>53</v>
      </c>
    </row>
    <row r="66" spans="10:19">
      <c r="J66" s="81"/>
      <c r="L66" s="212" t="s">
        <v>363</v>
      </c>
      <c r="M66" s="212" t="str">
        <f>SETUP!$B$55&amp;"_"&amp;SETUP!$B$39&amp;"-"&amp;SETUP!B46</f>
        <v>WH_Apt-B3</v>
      </c>
      <c r="N66" s="212" t="str">
        <f>SETUP!$C$55&amp;" "&amp;  SETUP!$C$39&amp;"-"&amp;SETUP!B46</f>
        <v>Residential Water Heating Apartment-B3</v>
      </c>
      <c r="O66" s="212" t="s">
        <v>53</v>
      </c>
    </row>
    <row r="67" spans="10:19">
      <c r="J67" s="81"/>
      <c r="L67" s="212" t="s">
        <v>363</v>
      </c>
      <c r="M67" s="212" t="str">
        <f>SETUP!$B$55&amp;"_"&amp;SETUP!$B$39&amp;"-"&amp;SETUP!B47</f>
        <v>WH_Apt-C</v>
      </c>
      <c r="N67" s="212" t="str">
        <f>SETUP!$C$55&amp;" "&amp;  SETUP!$C$39&amp;"-"&amp;SETUP!B47</f>
        <v>Residential Water Heating Apartment-C</v>
      </c>
      <c r="O67" s="212" t="s">
        <v>53</v>
      </c>
    </row>
    <row r="68" spans="10:19">
      <c r="J68" s="81"/>
      <c r="L68" s="212" t="s">
        <v>363</v>
      </c>
      <c r="M68" s="212" t="str">
        <f>SETUP!$B$55&amp;"_"&amp;SETUP!$B$39&amp;"-"&amp;SETUP!B48</f>
        <v>WH_Apt-D</v>
      </c>
      <c r="N68" s="212" t="str">
        <f>SETUP!$C$55&amp;" "&amp;  SETUP!$C$39&amp;"-"&amp;SETUP!B48</f>
        <v>Residential Water Heating Apartment-D</v>
      </c>
      <c r="O68" s="212" t="s">
        <v>53</v>
      </c>
    </row>
    <row r="69" spans="10:19">
      <c r="J69" s="81"/>
      <c r="L69" s="212" t="s">
        <v>363</v>
      </c>
      <c r="M69" s="212" t="str">
        <f>SETUP!$B$55&amp;"_"&amp;SETUP!$B$39&amp;"-"&amp;SETUP!B49</f>
        <v>WH_Apt-E</v>
      </c>
      <c r="N69" s="212" t="str">
        <f>SETUP!$C$55&amp;" "&amp;  SETUP!$C$39&amp;"-"&amp;SETUP!B49</f>
        <v>Residential Water Heating Apartment-E</v>
      </c>
      <c r="O69" s="212" t="s">
        <v>53</v>
      </c>
    </row>
    <row r="70" spans="10:19">
      <c r="J70" s="81"/>
      <c r="L70" s="212" t="s">
        <v>363</v>
      </c>
      <c r="M70" s="212" t="str">
        <f>SETUP!$B$55&amp;"_"&amp;SETUP!$B$39&amp;"-"&amp;SETUP!B50</f>
        <v>WH_Apt-F</v>
      </c>
      <c r="N70" s="212" t="str">
        <f>SETUP!$C$55&amp;" "&amp;  SETUP!$C$39&amp;"-"&amp;SETUP!B50</f>
        <v>Residential Water Heating Apartment-F</v>
      </c>
      <c r="O70" s="212" t="s">
        <v>53</v>
      </c>
    </row>
    <row r="71" spans="10:19" ht="13.5" thickBot="1">
      <c r="J71" s="81"/>
      <c r="L71" s="768" t="s">
        <v>363</v>
      </c>
      <c r="M71" s="768" t="str">
        <f>SETUP!$B$55&amp;"_"&amp;SETUP!$B$39&amp;"-"&amp;SETUP!B51</f>
        <v>WH_Apt-G</v>
      </c>
      <c r="N71" s="768" t="str">
        <f>SETUP!$C$55&amp;" "&amp;  SETUP!$C$39&amp;"-"&amp;SETUP!B51</f>
        <v>Residential Water Heating Apartment-G</v>
      </c>
      <c r="O71" s="768" t="s">
        <v>53</v>
      </c>
      <c r="P71" s="768"/>
      <c r="Q71" s="768"/>
      <c r="R71" s="768"/>
      <c r="S71" s="768"/>
    </row>
    <row r="72" spans="10:19">
      <c r="J72" s="81"/>
      <c r="L72" s="212" t="s">
        <v>363</v>
      </c>
      <c r="M72" s="212" t="str">
        <f>SETUP!$B$55&amp;"_"&amp;SETUP!$B$40&amp;"-"&amp;SETUP!B43</f>
        <v>WH_Att-A</v>
      </c>
      <c r="N72" s="212" t="str">
        <f>SETUP!$C$55&amp;" "&amp;  SETUP!$C$40&amp;"-"&amp;SETUP!B43</f>
        <v>Residential Water Heating Attached-A</v>
      </c>
      <c r="O72" s="212" t="s">
        <v>53</v>
      </c>
    </row>
    <row r="73" spans="10:19">
      <c r="J73" s="81"/>
      <c r="L73" s="212" t="s">
        <v>363</v>
      </c>
      <c r="M73" s="212" t="str">
        <f>SETUP!$B$55&amp;"_"&amp;SETUP!$B$40&amp;"-"&amp;SETUP!B44</f>
        <v>WH_Att-B1</v>
      </c>
      <c r="N73" s="212" t="str">
        <f>SETUP!$C$55&amp;" "&amp;  SETUP!$C$40&amp;"-"&amp;SETUP!B44</f>
        <v>Residential Water Heating Attached-B1</v>
      </c>
      <c r="O73" s="212" t="s">
        <v>53</v>
      </c>
    </row>
    <row r="74" spans="10:19">
      <c r="J74" s="81"/>
      <c r="L74" s="212" t="s">
        <v>363</v>
      </c>
      <c r="M74" s="212" t="str">
        <f>SETUP!$B$55&amp;"_"&amp;SETUP!$B$40&amp;"-"&amp;SETUP!B45</f>
        <v>WH_Att-B2</v>
      </c>
      <c r="N74" s="212" t="str">
        <f>SETUP!$C$55&amp;" "&amp;  SETUP!$C$40&amp;"-"&amp;SETUP!B45</f>
        <v>Residential Water Heating Attached-B2</v>
      </c>
      <c r="O74" s="212" t="s">
        <v>53</v>
      </c>
    </row>
    <row r="75" spans="10:19">
      <c r="J75" s="81"/>
      <c r="L75" s="212" t="s">
        <v>363</v>
      </c>
      <c r="M75" s="212" t="str">
        <f>SETUP!$B$55&amp;"_"&amp;SETUP!$B$40&amp;"-"&amp;SETUP!B46</f>
        <v>WH_Att-B3</v>
      </c>
      <c r="N75" s="212" t="str">
        <f>SETUP!$C$55&amp;" "&amp;  SETUP!$C$40&amp;"-"&amp;SETUP!B46</f>
        <v>Residential Water Heating Attached-B3</v>
      </c>
      <c r="O75" s="212" t="s">
        <v>53</v>
      </c>
    </row>
    <row r="76" spans="10:19">
      <c r="J76" s="81"/>
      <c r="L76" s="212" t="s">
        <v>363</v>
      </c>
      <c r="M76" s="212" t="str">
        <f>SETUP!$B$55&amp;"_"&amp;SETUP!$B$40&amp;"-"&amp;SETUP!B47</f>
        <v>WH_Att-C</v>
      </c>
      <c r="N76" s="212" t="str">
        <f>SETUP!$C$55&amp;" "&amp;  SETUP!$C$40&amp;"-"&amp;SETUP!B47</f>
        <v>Residential Water Heating Attached-C</v>
      </c>
      <c r="O76" s="212" t="s">
        <v>53</v>
      </c>
    </row>
    <row r="77" spans="10:19">
      <c r="J77" s="81"/>
      <c r="L77" s="212" t="s">
        <v>363</v>
      </c>
      <c r="M77" s="212" t="str">
        <f>SETUP!$B$55&amp;"_"&amp;SETUP!$B$40&amp;"-"&amp;SETUP!B48</f>
        <v>WH_Att-D</v>
      </c>
      <c r="N77" s="212" t="str">
        <f>SETUP!$C$55&amp;" "&amp;  SETUP!$C$40&amp;"-"&amp;SETUP!B48</f>
        <v>Residential Water Heating Attached-D</v>
      </c>
      <c r="O77" s="212" t="s">
        <v>53</v>
      </c>
    </row>
    <row r="78" spans="10:19">
      <c r="J78" s="81"/>
      <c r="L78" s="212" t="s">
        <v>363</v>
      </c>
      <c r="M78" s="212" t="str">
        <f>SETUP!$B$55&amp;"_"&amp;SETUP!$B$40&amp;"-"&amp;SETUP!B49</f>
        <v>WH_Att-E</v>
      </c>
      <c r="N78" s="212" t="str">
        <f>SETUP!$C$55&amp;" "&amp;  SETUP!$C$40&amp;"-"&amp;SETUP!B49</f>
        <v>Residential Water Heating Attached-E</v>
      </c>
      <c r="O78" s="212" t="s">
        <v>53</v>
      </c>
    </row>
    <row r="79" spans="10:19">
      <c r="J79" s="81"/>
      <c r="L79" s="212" t="s">
        <v>363</v>
      </c>
      <c r="M79" s="212" t="str">
        <f>SETUP!$B$55&amp;"_"&amp;SETUP!$B$40&amp;"-"&amp;SETUP!B50</f>
        <v>WH_Att-F</v>
      </c>
      <c r="N79" s="212" t="str">
        <f>SETUP!$C$55&amp;" "&amp;  SETUP!$C$40&amp;"-"&amp;SETUP!B50</f>
        <v>Residential Water Heating Attached-F</v>
      </c>
      <c r="O79" s="212" t="s">
        <v>53</v>
      </c>
    </row>
    <row r="80" spans="10:19" ht="13.5" thickBot="1">
      <c r="J80" s="81"/>
      <c r="L80" s="768" t="s">
        <v>363</v>
      </c>
      <c r="M80" s="768" t="str">
        <f>SETUP!$B$55&amp;"_"&amp;SETUP!$B$40&amp;"-"&amp;SETUP!B51</f>
        <v>WH_Att-G</v>
      </c>
      <c r="N80" s="768" t="str">
        <f>SETUP!$C$55&amp;" "&amp;  SETUP!$C$40&amp;"-"&amp;SETUP!B51</f>
        <v>Residential Water Heating Attached-G</v>
      </c>
      <c r="O80" s="768" t="s">
        <v>53</v>
      </c>
      <c r="P80" s="768"/>
      <c r="Q80" s="768"/>
      <c r="R80" s="768"/>
      <c r="S80" s="768"/>
    </row>
    <row r="81" spans="10:21">
      <c r="J81" s="81"/>
      <c r="L81" s="212" t="s">
        <v>363</v>
      </c>
      <c r="M81" s="212" t="str">
        <f>SETUP!$B$55&amp;"_"&amp;SETUP!$B$41&amp;"-"&amp;SETUP!B43</f>
        <v>WH_Det-A</v>
      </c>
      <c r="N81" s="212" t="str">
        <f>SETUP!$C$55&amp;" "&amp;  SETUP!$C$41&amp;"-"&amp;SETUP!B43</f>
        <v>Residential Water Heating Detached-A</v>
      </c>
      <c r="O81" s="212" t="s">
        <v>53</v>
      </c>
    </row>
    <row r="82" spans="10:21">
      <c r="J82" s="81"/>
      <c r="L82" s="212" t="s">
        <v>363</v>
      </c>
      <c r="M82" s="212" t="str">
        <f>SETUP!$B$55&amp;"_"&amp;SETUP!$B$41&amp;"-"&amp;SETUP!B44</f>
        <v>WH_Det-B1</v>
      </c>
      <c r="N82" s="212" t="str">
        <f>SETUP!$C$55&amp;" "&amp;  SETUP!$C$41&amp;"-"&amp;SETUP!B44</f>
        <v>Residential Water Heating Detached-B1</v>
      </c>
      <c r="O82" s="212" t="s">
        <v>53</v>
      </c>
    </row>
    <row r="83" spans="10:21">
      <c r="J83" s="81"/>
      <c r="L83" s="212" t="s">
        <v>363</v>
      </c>
      <c r="M83" s="212" t="str">
        <f>SETUP!$B$55&amp;"_"&amp;SETUP!$B$41&amp;"-"&amp;SETUP!B45</f>
        <v>WH_Det-B2</v>
      </c>
      <c r="N83" s="212" t="str">
        <f>SETUP!$C$55&amp;" "&amp;  SETUP!$C$41&amp;"-"&amp;SETUP!B45</f>
        <v>Residential Water Heating Detached-B2</v>
      </c>
      <c r="O83" s="212" t="s">
        <v>53</v>
      </c>
    </row>
    <row r="84" spans="10:21">
      <c r="J84" s="81"/>
      <c r="L84" s="212" t="s">
        <v>363</v>
      </c>
      <c r="M84" s="212" t="str">
        <f>SETUP!$B$55&amp;"_"&amp;SETUP!$B$41&amp;"-"&amp;SETUP!B46</f>
        <v>WH_Det-B3</v>
      </c>
      <c r="N84" s="212" t="str">
        <f>SETUP!$C$55&amp;" "&amp;  SETUP!$C$41&amp;"-"&amp;SETUP!B46</f>
        <v>Residential Water Heating Detached-B3</v>
      </c>
      <c r="O84" s="212" t="s">
        <v>53</v>
      </c>
    </row>
    <row r="85" spans="10:21">
      <c r="J85" s="81"/>
      <c r="L85" s="212" t="s">
        <v>363</v>
      </c>
      <c r="M85" s="212" t="str">
        <f>SETUP!$B$55&amp;"_"&amp;SETUP!$B$41&amp;"-"&amp;SETUP!B47</f>
        <v>WH_Det-C</v>
      </c>
      <c r="N85" s="212" t="str">
        <f>SETUP!$C$55&amp;" "&amp;  SETUP!$C$41&amp;"-"&amp;SETUP!B47</f>
        <v>Residential Water Heating Detached-C</v>
      </c>
      <c r="O85" s="212" t="s">
        <v>53</v>
      </c>
    </row>
    <row r="86" spans="10:21">
      <c r="J86" s="81"/>
      <c r="L86" s="212" t="s">
        <v>363</v>
      </c>
      <c r="M86" s="212" t="str">
        <f>SETUP!$B$55&amp;"_"&amp;SETUP!$B$41&amp;"-"&amp;SETUP!B48</f>
        <v>WH_Det-D</v>
      </c>
      <c r="N86" s="212" t="str">
        <f>SETUP!$C$55&amp;" "&amp;  SETUP!$C$41&amp;"-"&amp;SETUP!B48</f>
        <v>Residential Water Heating Detached-D</v>
      </c>
      <c r="O86" s="212" t="s">
        <v>53</v>
      </c>
    </row>
    <row r="87" spans="10:21">
      <c r="J87" s="81"/>
      <c r="L87" s="212" t="s">
        <v>363</v>
      </c>
      <c r="M87" s="212" t="str">
        <f>SETUP!$B$55&amp;"_"&amp;SETUP!$B$41&amp;"-"&amp;SETUP!B49</f>
        <v>WH_Det-E</v>
      </c>
      <c r="N87" s="212" t="str">
        <f>SETUP!$C$55&amp;" "&amp;  SETUP!$C$41&amp;"-"&amp;SETUP!B49</f>
        <v>Residential Water Heating Detached-E</v>
      </c>
      <c r="O87" s="212" t="s">
        <v>53</v>
      </c>
    </row>
    <row r="88" spans="10:21">
      <c r="J88" s="81"/>
      <c r="L88" s="212" t="s">
        <v>363</v>
      </c>
      <c r="M88" s="212" t="str">
        <f>SETUP!$B$55&amp;"_"&amp;SETUP!$B$41&amp;"-"&amp;SETUP!B50</f>
        <v>WH_Det-F</v>
      </c>
      <c r="N88" s="212" t="str">
        <f>SETUP!$C$55&amp;" "&amp;  SETUP!$C$41&amp;"-"&amp;SETUP!B50</f>
        <v>Residential Water Heating Detached-F</v>
      </c>
      <c r="O88" s="212" t="s">
        <v>53</v>
      </c>
    </row>
    <row r="89" spans="10:21" ht="13.5" thickBot="1">
      <c r="J89" s="81"/>
      <c r="K89" s="81"/>
      <c r="L89" s="819" t="s">
        <v>363</v>
      </c>
      <c r="M89" s="819" t="str">
        <f>SETUP!$B$55&amp;"_"&amp;SETUP!$B$41&amp;"-"&amp;SETUP!B51</f>
        <v>WH_Det-G</v>
      </c>
      <c r="N89" s="819" t="str">
        <f>SETUP!$C$55&amp;" "&amp;  SETUP!$C$41&amp;"-"&amp;SETUP!B51</f>
        <v>Residential Water Heating Detached-G</v>
      </c>
      <c r="O89" s="819" t="s">
        <v>53</v>
      </c>
      <c r="P89" s="874"/>
      <c r="Q89" s="874"/>
      <c r="R89" s="874"/>
      <c r="S89" s="874"/>
      <c r="T89" s="81"/>
      <c r="U89" s="81"/>
    </row>
    <row r="90" spans="10:21" ht="13.5" thickTop="1">
      <c r="J90" s="81"/>
      <c r="K90" s="81"/>
      <c r="L90" s="100" t="s">
        <v>363</v>
      </c>
      <c r="M90" s="212" t="str">
        <f>SETUP!$B$58&amp;"_"&amp;SETUP!$B$39&amp;"-"&amp;SETUP!B43</f>
        <v>LT_Apt-A</v>
      </c>
      <c r="N90" s="212" t="str">
        <f>SETUP!$C$58&amp;" "&amp;  SETUP!$C$39&amp;"-"&amp;SETUP!B43</f>
        <v>Residential Lighting Apartment-A</v>
      </c>
      <c r="O90" s="212" t="s">
        <v>53</v>
      </c>
      <c r="T90" s="81"/>
      <c r="U90" s="81"/>
    </row>
    <row r="91" spans="10:21">
      <c r="J91" s="81"/>
      <c r="K91" s="81"/>
      <c r="L91" s="100" t="s">
        <v>363</v>
      </c>
      <c r="M91" s="212" t="str">
        <f>SETUP!$B$58&amp;"_"&amp;SETUP!$B$39&amp;"-"&amp;SETUP!B44</f>
        <v>LT_Apt-B1</v>
      </c>
      <c r="N91" s="212" t="str">
        <f>SETUP!$C$58&amp;" "&amp;  SETUP!$C$39&amp;"-"&amp;SETUP!B44</f>
        <v>Residential Lighting Apartment-B1</v>
      </c>
      <c r="O91" s="212" t="s">
        <v>53</v>
      </c>
      <c r="T91" s="81"/>
      <c r="U91" s="81"/>
    </row>
    <row r="92" spans="10:21">
      <c r="J92" s="81"/>
      <c r="K92" s="81"/>
      <c r="L92" s="100" t="s">
        <v>363</v>
      </c>
      <c r="M92" s="212" t="str">
        <f>SETUP!$B$58&amp;"_"&amp;SETUP!$B$39&amp;"-"&amp;SETUP!B45</f>
        <v>LT_Apt-B2</v>
      </c>
      <c r="N92" s="212" t="str">
        <f>SETUP!$C$58&amp;" "&amp;  SETUP!$C$39&amp;"-"&amp;SETUP!B45</f>
        <v>Residential Lighting Apartment-B2</v>
      </c>
      <c r="O92" s="212" t="s">
        <v>53</v>
      </c>
      <c r="T92" s="81"/>
      <c r="U92" s="81"/>
    </row>
    <row r="93" spans="10:21">
      <c r="J93" s="81"/>
      <c r="K93" s="81"/>
      <c r="L93" s="100" t="s">
        <v>363</v>
      </c>
      <c r="M93" s="212" t="str">
        <f>SETUP!$B$58&amp;"_"&amp;SETUP!$B$39&amp;"-"&amp;SETUP!B46</f>
        <v>LT_Apt-B3</v>
      </c>
      <c r="N93" s="212" t="str">
        <f>SETUP!$C$58&amp;" "&amp;  SETUP!$C$39&amp;"-"&amp;SETUP!B46</f>
        <v>Residential Lighting Apartment-B3</v>
      </c>
      <c r="O93" s="212" t="s">
        <v>53</v>
      </c>
      <c r="T93" s="81"/>
      <c r="U93" s="81"/>
    </row>
    <row r="94" spans="10:21">
      <c r="J94" s="81"/>
      <c r="K94" s="81"/>
      <c r="L94" s="100" t="s">
        <v>363</v>
      </c>
      <c r="M94" s="212" t="str">
        <f>SETUP!$B$58&amp;"_"&amp;SETUP!$B$39&amp;"-"&amp;SETUP!B47</f>
        <v>LT_Apt-C</v>
      </c>
      <c r="N94" s="212" t="str">
        <f>SETUP!$C$58&amp;" "&amp;  SETUP!$C$39&amp;"-"&amp;SETUP!B47</f>
        <v>Residential Lighting Apartment-C</v>
      </c>
      <c r="O94" s="212" t="s">
        <v>53</v>
      </c>
      <c r="T94" s="81"/>
      <c r="U94" s="81"/>
    </row>
    <row r="95" spans="10:21">
      <c r="J95" s="81"/>
      <c r="K95" s="81"/>
      <c r="L95" s="100" t="s">
        <v>363</v>
      </c>
      <c r="M95" s="212" t="str">
        <f>SETUP!$B$58&amp;"_"&amp;SETUP!$B$39&amp;"-"&amp;SETUP!B48</f>
        <v>LT_Apt-D</v>
      </c>
      <c r="N95" s="212" t="str">
        <f>SETUP!$C$58&amp;" "&amp;  SETUP!$C$39&amp;"-"&amp;SETUP!B48</f>
        <v>Residential Lighting Apartment-D</v>
      </c>
      <c r="O95" s="212" t="s">
        <v>53</v>
      </c>
      <c r="T95" s="81"/>
      <c r="U95" s="81"/>
    </row>
    <row r="96" spans="10:21">
      <c r="J96" s="81"/>
      <c r="K96" s="81"/>
      <c r="L96" s="100" t="s">
        <v>363</v>
      </c>
      <c r="M96" s="212" t="str">
        <f>SETUP!$B$58&amp;"_"&amp;SETUP!$B$39&amp;"-"&amp;SETUP!B49</f>
        <v>LT_Apt-E</v>
      </c>
      <c r="N96" s="212" t="str">
        <f>SETUP!$C$58&amp;" "&amp;  SETUP!$C$39&amp;"-"&amp;SETUP!B49</f>
        <v>Residential Lighting Apartment-E</v>
      </c>
      <c r="O96" s="212" t="s">
        <v>53</v>
      </c>
      <c r="T96" s="81"/>
      <c r="U96" s="81"/>
    </row>
    <row r="97" spans="10:21">
      <c r="J97" s="81"/>
      <c r="K97" s="81"/>
      <c r="L97" s="100" t="s">
        <v>363</v>
      </c>
      <c r="M97" s="212" t="str">
        <f>SETUP!$B$58&amp;"_"&amp;SETUP!$B$39&amp;"-"&amp;SETUP!B50</f>
        <v>LT_Apt-F</v>
      </c>
      <c r="N97" s="212" t="str">
        <f>SETUP!$C$58&amp;" "&amp;  SETUP!$C$39&amp;"-"&amp;SETUP!B50</f>
        <v>Residential Lighting Apartment-F</v>
      </c>
      <c r="O97" s="212" t="s">
        <v>53</v>
      </c>
      <c r="T97" s="81"/>
      <c r="U97" s="81"/>
    </row>
    <row r="98" spans="10:21" ht="13.5" thickBot="1">
      <c r="J98" s="81"/>
      <c r="K98" s="81"/>
      <c r="L98" s="768" t="s">
        <v>363</v>
      </c>
      <c r="M98" s="768" t="str">
        <f>SETUP!$B$58&amp;"_"&amp;SETUP!$B$39&amp;"-"&amp;SETUP!B51</f>
        <v>LT_Apt-G</v>
      </c>
      <c r="N98" s="768" t="str">
        <f>SETUP!$C$58&amp;" "&amp;  SETUP!$C$39&amp;"-"&amp;SETUP!B51</f>
        <v>Residential Lighting Apartment-G</v>
      </c>
      <c r="O98" s="768" t="s">
        <v>53</v>
      </c>
      <c r="P98" s="768"/>
      <c r="Q98" s="768"/>
      <c r="R98" s="768"/>
      <c r="S98" s="768"/>
      <c r="T98" s="81"/>
      <c r="U98" s="81"/>
    </row>
    <row r="99" spans="10:21">
      <c r="J99" s="81"/>
      <c r="K99" s="81"/>
      <c r="L99" s="100" t="s">
        <v>363</v>
      </c>
      <c r="M99" s="212" t="str">
        <f>SETUP!$B$58&amp;"_"&amp;SETUP!$B$40&amp;"-"&amp;SETUP!B43</f>
        <v>LT_Att-A</v>
      </c>
      <c r="N99" s="212" t="str">
        <f>SETUP!$C$58&amp;" "&amp;  SETUP!$C$40&amp;"-"&amp;SETUP!B43</f>
        <v>Residential Lighting Attached-A</v>
      </c>
      <c r="O99" s="212" t="s">
        <v>53</v>
      </c>
      <c r="T99" s="81"/>
      <c r="U99" s="81"/>
    </row>
    <row r="100" spans="10:21">
      <c r="J100" s="81"/>
      <c r="K100" s="81"/>
      <c r="L100" s="100" t="s">
        <v>363</v>
      </c>
      <c r="M100" s="212" t="str">
        <f>SETUP!$B$58&amp;"_"&amp;SETUP!$B$40&amp;"-"&amp;SETUP!B44</f>
        <v>LT_Att-B1</v>
      </c>
      <c r="N100" s="212" t="str">
        <f>SETUP!$C$58&amp;" "&amp;  SETUP!$C$40&amp;"-"&amp;SETUP!B44</f>
        <v>Residential Lighting Attached-B1</v>
      </c>
      <c r="O100" s="212" t="s">
        <v>53</v>
      </c>
      <c r="T100" s="81"/>
      <c r="U100" s="81"/>
    </row>
    <row r="101" spans="10:21">
      <c r="J101" s="81"/>
      <c r="L101" s="100" t="s">
        <v>363</v>
      </c>
      <c r="M101" s="212" t="str">
        <f>SETUP!$B$58&amp;"_"&amp;SETUP!$B$40&amp;"-"&amp;SETUP!B45</f>
        <v>LT_Att-B2</v>
      </c>
      <c r="N101" s="212" t="str">
        <f>SETUP!$C$58&amp;" "&amp;  SETUP!$C$40&amp;"-"&amp;SETUP!B45</f>
        <v>Residential Lighting Attached-B2</v>
      </c>
      <c r="O101" s="212" t="s">
        <v>53</v>
      </c>
    </row>
    <row r="102" spans="10:21">
      <c r="J102" s="81"/>
      <c r="L102" s="100" t="s">
        <v>363</v>
      </c>
      <c r="M102" s="212" t="str">
        <f>SETUP!$B$58&amp;"_"&amp;SETUP!$B$40&amp;"-"&amp;SETUP!B46</f>
        <v>LT_Att-B3</v>
      </c>
      <c r="N102" s="212" t="str">
        <f>SETUP!$C$58&amp;" "&amp;  SETUP!$C$40&amp;"-"&amp;SETUP!B46</f>
        <v>Residential Lighting Attached-B3</v>
      </c>
      <c r="O102" s="212" t="s">
        <v>53</v>
      </c>
    </row>
    <row r="103" spans="10:21">
      <c r="J103" s="81"/>
      <c r="L103" s="100" t="s">
        <v>363</v>
      </c>
      <c r="M103" s="212" t="str">
        <f>SETUP!$B$58&amp;"_"&amp;SETUP!$B$40&amp;"-"&amp;SETUP!B47</f>
        <v>LT_Att-C</v>
      </c>
      <c r="N103" s="212" t="str">
        <f>SETUP!$C$58&amp;" "&amp;  SETUP!$C$40&amp;"-"&amp;SETUP!B47</f>
        <v>Residential Lighting Attached-C</v>
      </c>
      <c r="O103" s="212" t="s">
        <v>53</v>
      </c>
    </row>
    <row r="104" spans="10:21">
      <c r="J104" s="81"/>
      <c r="L104" s="100" t="s">
        <v>363</v>
      </c>
      <c r="M104" s="212" t="str">
        <f>SETUP!$B$58&amp;"_"&amp;SETUP!$B$40&amp;"-"&amp;SETUP!B48</f>
        <v>LT_Att-D</v>
      </c>
      <c r="N104" s="212" t="str">
        <f>SETUP!$C$58&amp;" "&amp;  SETUP!$C$40&amp;"-"&amp;SETUP!B48</f>
        <v>Residential Lighting Attached-D</v>
      </c>
      <c r="O104" s="212" t="s">
        <v>53</v>
      </c>
    </row>
    <row r="105" spans="10:21">
      <c r="J105" s="81"/>
      <c r="L105" s="100" t="s">
        <v>363</v>
      </c>
      <c r="M105" s="212" t="str">
        <f>SETUP!$B$58&amp;"_"&amp;SETUP!$B$40&amp;"-"&amp;SETUP!B49</f>
        <v>LT_Att-E</v>
      </c>
      <c r="N105" s="212" t="str">
        <f>SETUP!$C$58&amp;" "&amp;  SETUP!$C$40&amp;"-"&amp;SETUP!B49</f>
        <v>Residential Lighting Attached-E</v>
      </c>
      <c r="O105" s="212" t="s">
        <v>53</v>
      </c>
    </row>
    <row r="106" spans="10:21">
      <c r="J106" s="81"/>
      <c r="L106" s="100" t="s">
        <v>363</v>
      </c>
      <c r="M106" s="212" t="str">
        <f>SETUP!$B$58&amp;"_"&amp;SETUP!$B$40&amp;"-"&amp;SETUP!B50</f>
        <v>LT_Att-F</v>
      </c>
      <c r="N106" s="212" t="str">
        <f>SETUP!$C$58&amp;" "&amp;  SETUP!$C$40&amp;"-"&amp;SETUP!B50</f>
        <v>Residential Lighting Attached-F</v>
      </c>
      <c r="O106" s="212" t="s">
        <v>53</v>
      </c>
    </row>
    <row r="107" spans="10:21" ht="13.5" thickBot="1">
      <c r="J107" s="81"/>
      <c r="L107" s="768" t="s">
        <v>363</v>
      </c>
      <c r="M107" s="768" t="str">
        <f>SETUP!$B$58&amp;"_"&amp;SETUP!$B$40&amp;"-"&amp;SETUP!B51</f>
        <v>LT_Att-G</v>
      </c>
      <c r="N107" s="768" t="str">
        <f>SETUP!$C$58&amp;" "&amp;  SETUP!$C$40&amp;"-"&amp;SETUP!B51</f>
        <v>Residential Lighting Attached-G</v>
      </c>
      <c r="O107" s="768" t="s">
        <v>53</v>
      </c>
      <c r="P107" s="768"/>
      <c r="Q107" s="768"/>
      <c r="R107" s="768"/>
      <c r="S107" s="768"/>
    </row>
    <row r="108" spans="10:21">
      <c r="J108" s="81"/>
      <c r="L108" s="100" t="s">
        <v>363</v>
      </c>
      <c r="M108" s="212" t="str">
        <f>SETUP!$B$58&amp;"_"&amp;SETUP!$B$41&amp;"-"&amp;SETUP!B43</f>
        <v>LT_Det-A</v>
      </c>
      <c r="N108" s="212" t="str">
        <f>SETUP!$C$58&amp;" "&amp;  SETUP!$C$41&amp;"-"&amp;SETUP!B43</f>
        <v>Residential Lighting Detached-A</v>
      </c>
      <c r="O108" s="212" t="s">
        <v>53</v>
      </c>
    </row>
    <row r="109" spans="10:21">
      <c r="J109" s="81"/>
      <c r="L109" s="100" t="s">
        <v>363</v>
      </c>
      <c r="M109" s="212" t="str">
        <f>SETUP!$B$58&amp;"_"&amp;SETUP!$B$41&amp;"-"&amp;SETUP!B44</f>
        <v>LT_Det-B1</v>
      </c>
      <c r="N109" s="212" t="str">
        <f>SETUP!$C$58&amp;" "&amp;  SETUP!$C$41&amp;"-"&amp;SETUP!B44</f>
        <v>Residential Lighting Detached-B1</v>
      </c>
      <c r="O109" s="212" t="s">
        <v>53</v>
      </c>
      <c r="P109" s="81"/>
      <c r="Q109" s="81"/>
      <c r="R109" s="81"/>
      <c r="S109" s="81"/>
    </row>
    <row r="110" spans="10:21">
      <c r="J110" s="81"/>
      <c r="L110" s="100" t="s">
        <v>363</v>
      </c>
      <c r="M110" s="212" t="str">
        <f>SETUP!$B$58&amp;"_"&amp;SETUP!$B$41&amp;"-"&amp;SETUP!B45</f>
        <v>LT_Det-B2</v>
      </c>
      <c r="N110" s="212" t="str">
        <f>SETUP!$C$58&amp;" "&amp;  SETUP!$C$41&amp;"-"&amp;SETUP!B45</f>
        <v>Residential Lighting Detached-B2</v>
      </c>
      <c r="O110" s="212" t="s">
        <v>53</v>
      </c>
      <c r="P110" s="81"/>
      <c r="Q110" s="81"/>
      <c r="R110" s="81"/>
      <c r="S110" s="81"/>
    </row>
    <row r="111" spans="10:21">
      <c r="J111" s="81"/>
      <c r="L111" s="100" t="s">
        <v>363</v>
      </c>
      <c r="M111" s="212" t="str">
        <f>SETUP!$B$58&amp;"_"&amp;SETUP!$B$41&amp;"-"&amp;SETUP!B46</f>
        <v>LT_Det-B3</v>
      </c>
      <c r="N111" s="212" t="str">
        <f>SETUP!$C$58&amp;" "&amp;  SETUP!$C$41&amp;"-"&amp;SETUP!B46</f>
        <v>Residential Lighting Detached-B3</v>
      </c>
      <c r="O111" s="212" t="s">
        <v>53</v>
      </c>
      <c r="P111" s="81"/>
      <c r="Q111" s="81"/>
      <c r="R111" s="81"/>
      <c r="S111" s="81"/>
    </row>
    <row r="112" spans="10:21">
      <c r="J112" s="81"/>
      <c r="L112" s="100" t="s">
        <v>363</v>
      </c>
      <c r="M112" s="212" t="str">
        <f>SETUP!$B$58&amp;"_"&amp;SETUP!$B$41&amp;"-"&amp;SETUP!B47</f>
        <v>LT_Det-C</v>
      </c>
      <c r="N112" s="212" t="str">
        <f>SETUP!$C$58&amp;" "&amp;  SETUP!$C$41&amp;"-"&amp;SETUP!B47</f>
        <v>Residential Lighting Detached-C</v>
      </c>
      <c r="O112" s="212" t="s">
        <v>53</v>
      </c>
      <c r="P112" s="81"/>
      <c r="Q112" s="81"/>
      <c r="R112" s="81"/>
      <c r="S112" s="81"/>
    </row>
    <row r="113" spans="10:22">
      <c r="J113" s="81"/>
      <c r="L113" s="100" t="s">
        <v>363</v>
      </c>
      <c r="M113" s="212" t="str">
        <f>SETUP!$B$58&amp;"_"&amp;SETUP!$B$41&amp;"-"&amp;SETUP!B48</f>
        <v>LT_Det-D</v>
      </c>
      <c r="N113" s="212" t="str">
        <f>SETUP!$C$58&amp;" "&amp;  SETUP!$C$41&amp;"-"&amp;SETUP!B48</f>
        <v>Residential Lighting Detached-D</v>
      </c>
      <c r="O113" s="212" t="s">
        <v>53</v>
      </c>
      <c r="P113" s="81"/>
      <c r="Q113" s="81"/>
      <c r="R113" s="81"/>
      <c r="S113" s="81"/>
    </row>
    <row r="114" spans="10:22">
      <c r="J114" s="81"/>
      <c r="L114" s="100" t="s">
        <v>363</v>
      </c>
      <c r="M114" s="212" t="str">
        <f>SETUP!$B$58&amp;"_"&amp;SETUP!$B$41&amp;"-"&amp;SETUP!B49</f>
        <v>LT_Det-E</v>
      </c>
      <c r="N114" s="212" t="str">
        <f>SETUP!$C$58&amp;" "&amp;  SETUP!$C$41&amp;"-"&amp;SETUP!B49</f>
        <v>Residential Lighting Detached-E</v>
      </c>
      <c r="O114" s="212" t="s">
        <v>53</v>
      </c>
      <c r="P114" s="81"/>
      <c r="Q114" s="81"/>
      <c r="R114" s="81"/>
      <c r="S114" s="81"/>
    </row>
    <row r="115" spans="10:22">
      <c r="J115" s="81"/>
      <c r="L115" s="100" t="s">
        <v>363</v>
      </c>
      <c r="M115" s="212" t="str">
        <f>SETUP!$B$58&amp;"_"&amp;SETUP!$B$41&amp;"-"&amp;SETUP!B50</f>
        <v>LT_Det-F</v>
      </c>
      <c r="N115" s="212" t="str">
        <f>SETUP!$C$58&amp;" "&amp;  SETUP!$C$41&amp;"-"&amp;SETUP!B50</f>
        <v>Residential Lighting Detached-F</v>
      </c>
      <c r="O115" s="212" t="s">
        <v>53</v>
      </c>
      <c r="P115" s="81"/>
      <c r="Q115" s="81"/>
      <c r="R115" s="81"/>
      <c r="S115" s="81"/>
      <c r="T115" s="100"/>
      <c r="U115" s="100"/>
      <c r="V115" s="100"/>
    </row>
    <row r="116" spans="10:22" ht="13.5" thickBot="1">
      <c r="J116" s="81"/>
      <c r="L116" s="819" t="s">
        <v>363</v>
      </c>
      <c r="M116" s="819" t="str">
        <f>SETUP!$B$58&amp;"_"&amp;SETUP!$B$41&amp;"-"&amp;SETUP!B51</f>
        <v>LT_Det-G</v>
      </c>
      <c r="N116" s="819" t="str">
        <f>SETUP!$C$58&amp;" "&amp;  SETUP!$C$41&amp;"-"&amp;SETUP!B51</f>
        <v>Residential Lighting Detached-G</v>
      </c>
      <c r="O116" s="819" t="s">
        <v>53</v>
      </c>
      <c r="P116" s="874"/>
      <c r="Q116" s="874"/>
      <c r="R116" s="874"/>
      <c r="S116" s="874"/>
      <c r="T116" s="100"/>
      <c r="U116" s="100"/>
      <c r="V116" s="100"/>
    </row>
    <row r="117" spans="10:22" ht="13.5" thickTop="1">
      <c r="J117" s="81"/>
      <c r="L117" s="81" t="s">
        <v>363</v>
      </c>
      <c r="M117" s="81" t="str">
        <f>SETUP!$B$56&amp;"_"&amp;SETUP!$B$39&amp;"-"&amp;SETUP!B43</f>
        <v>PF_Apt-A</v>
      </c>
      <c r="N117" s="81" t="str">
        <f>SETUP!$C$56&amp;" "&amp;  SETUP!$C$39&amp;"-"&amp;SETUP!B43</f>
        <v>Residential Pumps &amp; Fans Apartment-A</v>
      </c>
      <c r="O117" s="81" t="s">
        <v>53</v>
      </c>
      <c r="P117" s="81"/>
      <c r="Q117" s="81"/>
      <c r="R117" s="81"/>
      <c r="S117" s="81"/>
      <c r="T117" s="100"/>
      <c r="U117" s="100"/>
      <c r="V117" s="100"/>
    </row>
    <row r="118" spans="10:22">
      <c r="J118" s="81"/>
      <c r="L118" s="81" t="s">
        <v>363</v>
      </c>
      <c r="M118" s="81" t="str">
        <f>SETUP!$B$56&amp;"_"&amp;SETUP!$B$39&amp;"-"&amp;SETUP!B44</f>
        <v>PF_Apt-B1</v>
      </c>
      <c r="N118" s="81" t="str">
        <f>SETUP!$C$56&amp;" "&amp;  SETUP!$C$39&amp;"-"&amp;SETUP!B44</f>
        <v>Residential Pumps &amp; Fans Apartment-B1</v>
      </c>
      <c r="O118" s="81" t="s">
        <v>53</v>
      </c>
      <c r="P118" s="81"/>
      <c r="Q118" s="81"/>
      <c r="R118" s="81"/>
      <c r="S118" s="81"/>
      <c r="T118" s="100"/>
      <c r="U118" s="100"/>
      <c r="V118" s="100"/>
    </row>
    <row r="119" spans="10:22">
      <c r="J119" s="81"/>
      <c r="K119" s="81"/>
      <c r="L119" s="81" t="s">
        <v>363</v>
      </c>
      <c r="M119" s="81" t="str">
        <f>SETUP!$B$56&amp;"_"&amp;SETUP!$B$39&amp;"-"&amp;SETUP!B45</f>
        <v>PF_Apt-B2</v>
      </c>
      <c r="N119" s="81" t="str">
        <f>SETUP!$C$56&amp;" "&amp;  SETUP!$C$39&amp;"-"&amp;SETUP!B45</f>
        <v>Residential Pumps &amp; Fans Apartment-B2</v>
      </c>
      <c r="O119" s="81" t="s">
        <v>53</v>
      </c>
      <c r="P119" s="81"/>
      <c r="Q119" s="81"/>
      <c r="R119" s="81"/>
      <c r="S119" s="81"/>
      <c r="T119" s="81"/>
      <c r="U119" s="100"/>
      <c r="V119" s="100"/>
    </row>
    <row r="120" spans="10:22">
      <c r="J120" s="81"/>
      <c r="K120" s="81"/>
      <c r="L120" s="81" t="s">
        <v>363</v>
      </c>
      <c r="M120" s="81" t="str">
        <f>SETUP!$B$56&amp;"_"&amp;SETUP!$B$39&amp;"-"&amp;SETUP!B46</f>
        <v>PF_Apt-B3</v>
      </c>
      <c r="N120" s="81" t="str">
        <f>SETUP!$C$56&amp;" "&amp;  SETUP!$C$39&amp;"-"&amp;SETUP!B46</f>
        <v>Residential Pumps &amp; Fans Apartment-B3</v>
      </c>
      <c r="O120" s="81" t="s">
        <v>53</v>
      </c>
      <c r="P120" s="81"/>
      <c r="Q120" s="81"/>
      <c r="R120" s="81"/>
      <c r="S120" s="81"/>
      <c r="T120" s="81"/>
      <c r="U120" s="100"/>
      <c r="V120" s="100"/>
    </row>
    <row r="121" spans="10:22">
      <c r="J121" s="81"/>
      <c r="K121" s="81"/>
      <c r="L121" s="81" t="s">
        <v>363</v>
      </c>
      <c r="M121" s="81" t="str">
        <f>SETUP!$B$56&amp;"_"&amp;SETUP!$B$39&amp;"-"&amp;SETUP!B47</f>
        <v>PF_Apt-C</v>
      </c>
      <c r="N121" s="81" t="str">
        <f>SETUP!$C$56&amp;" "&amp;  SETUP!$C$39&amp;"-"&amp;SETUP!B47</f>
        <v>Residential Pumps &amp; Fans Apartment-C</v>
      </c>
      <c r="O121" s="81" t="s">
        <v>53</v>
      </c>
      <c r="P121" s="81"/>
      <c r="Q121" s="81"/>
      <c r="R121" s="81"/>
      <c r="S121" s="81"/>
      <c r="T121" s="81"/>
      <c r="U121" s="100"/>
      <c r="V121" s="100"/>
    </row>
    <row r="122" spans="10:22">
      <c r="J122" s="81"/>
      <c r="K122" s="81"/>
      <c r="L122" s="81" t="s">
        <v>363</v>
      </c>
      <c r="M122" s="81" t="str">
        <f>SETUP!$B$56&amp;"_"&amp;SETUP!$B$39&amp;"-"&amp;SETUP!B48</f>
        <v>PF_Apt-D</v>
      </c>
      <c r="N122" s="81" t="str">
        <f>SETUP!$C$56&amp;" "&amp;  SETUP!$C$39&amp;"-"&amp;SETUP!B48</f>
        <v>Residential Pumps &amp; Fans Apartment-D</v>
      </c>
      <c r="O122" s="81" t="s">
        <v>53</v>
      </c>
      <c r="P122" s="81"/>
      <c r="Q122" s="81"/>
      <c r="R122" s="81"/>
      <c r="S122" s="81"/>
      <c r="T122" s="81"/>
      <c r="U122" s="100"/>
      <c r="V122" s="100"/>
    </row>
    <row r="123" spans="10:22">
      <c r="J123" s="81"/>
      <c r="K123" s="81"/>
      <c r="L123" s="81" t="s">
        <v>363</v>
      </c>
      <c r="M123" s="81" t="str">
        <f>SETUP!$B$56&amp;"_"&amp;SETUP!$B$39&amp;"-"&amp;SETUP!B49</f>
        <v>PF_Apt-E</v>
      </c>
      <c r="N123" s="81" t="str">
        <f>SETUP!$C$56&amp;" "&amp;  SETUP!$C$39&amp;"-"&amp;SETUP!B49</f>
        <v>Residential Pumps &amp; Fans Apartment-E</v>
      </c>
      <c r="O123" s="81" t="s">
        <v>53</v>
      </c>
      <c r="P123" s="81"/>
      <c r="Q123" s="81"/>
      <c r="R123" s="81"/>
      <c r="S123" s="81"/>
      <c r="T123" s="81"/>
      <c r="U123" s="100"/>
      <c r="V123" s="100"/>
    </row>
    <row r="124" spans="10:22">
      <c r="J124" s="81"/>
      <c r="K124" s="81"/>
      <c r="L124" s="81" t="s">
        <v>363</v>
      </c>
      <c r="M124" s="81" t="str">
        <f>SETUP!$B$56&amp;"_"&amp;SETUP!$B$39&amp;"-"&amp;SETUP!B50</f>
        <v>PF_Apt-F</v>
      </c>
      <c r="N124" s="81" t="str">
        <f>SETUP!$C$56&amp;" "&amp;  SETUP!$C$39&amp;"-"&amp;SETUP!B50</f>
        <v>Residential Pumps &amp; Fans Apartment-F</v>
      </c>
      <c r="O124" s="81" t="s">
        <v>53</v>
      </c>
      <c r="P124" s="81"/>
      <c r="Q124" s="81"/>
      <c r="R124" s="81"/>
      <c r="S124" s="81"/>
      <c r="T124" s="81"/>
      <c r="U124" s="100"/>
      <c r="V124" s="100"/>
    </row>
    <row r="125" spans="10:22" ht="13.5" thickBot="1">
      <c r="J125" s="81"/>
      <c r="K125" s="81"/>
      <c r="L125" s="875" t="s">
        <v>363</v>
      </c>
      <c r="M125" s="875" t="str">
        <f>SETUP!$B$56&amp;"_"&amp;SETUP!$B$39&amp;"-"&amp;SETUP!B51</f>
        <v>PF_Apt-G</v>
      </c>
      <c r="N125" s="875" t="str">
        <f>SETUP!$C$56&amp;" "&amp;  SETUP!$C$39&amp;"-"&amp;SETUP!B51</f>
        <v>Residential Pumps &amp; Fans Apartment-G</v>
      </c>
      <c r="O125" s="875" t="s">
        <v>53</v>
      </c>
      <c r="P125" s="875"/>
      <c r="Q125" s="875"/>
      <c r="R125" s="875"/>
      <c r="S125" s="875"/>
      <c r="T125" s="81"/>
      <c r="U125" s="100"/>
      <c r="V125" s="100"/>
    </row>
    <row r="126" spans="10:22">
      <c r="J126" s="81"/>
      <c r="K126" s="81"/>
      <c r="L126" s="81" t="s">
        <v>363</v>
      </c>
      <c r="M126" s="81" t="str">
        <f>SETUP!$B$56&amp;"_"&amp;SETUP!$B$40&amp;"-"&amp;SETUP!B43</f>
        <v>PF_Att-A</v>
      </c>
      <c r="N126" s="81" t="str">
        <f>SETUP!$C$56&amp;" "&amp;  SETUP!$C$40&amp;"-"&amp;SETUP!B43</f>
        <v>Residential Pumps &amp; Fans Attached-A</v>
      </c>
      <c r="O126" s="81" t="s">
        <v>53</v>
      </c>
      <c r="P126" s="81"/>
      <c r="Q126" s="81"/>
      <c r="R126" s="81"/>
      <c r="S126" s="81"/>
      <c r="T126" s="81"/>
      <c r="U126" s="100"/>
      <c r="V126" s="100"/>
    </row>
    <row r="127" spans="10:22">
      <c r="J127" s="81"/>
      <c r="K127" s="81"/>
      <c r="L127" s="81" t="s">
        <v>363</v>
      </c>
      <c r="M127" s="81" t="str">
        <f>SETUP!$B$56&amp;"_"&amp;SETUP!$B$40&amp;"-"&amp;SETUP!B44</f>
        <v>PF_Att-B1</v>
      </c>
      <c r="N127" s="81" t="str">
        <f>SETUP!$C$56&amp;" "&amp;  SETUP!$C$40&amp;"-"&amp;SETUP!B44</f>
        <v>Residential Pumps &amp; Fans Attached-B1</v>
      </c>
      <c r="O127" s="81" t="s">
        <v>53</v>
      </c>
      <c r="P127" s="81"/>
      <c r="Q127" s="81"/>
      <c r="R127" s="81"/>
      <c r="S127" s="81"/>
      <c r="T127" s="81"/>
    </row>
    <row r="128" spans="10:22">
      <c r="J128" s="81"/>
      <c r="K128" s="81"/>
      <c r="L128" s="81" t="s">
        <v>363</v>
      </c>
      <c r="M128" s="81" t="str">
        <f>SETUP!$B$56&amp;"_"&amp;SETUP!$B$40&amp;"-"&amp;SETUP!B45</f>
        <v>PF_Att-B2</v>
      </c>
      <c r="N128" s="81" t="str">
        <f>SETUP!$C$56&amp;" "&amp;  SETUP!$C$40&amp;"-"&amp;SETUP!B45</f>
        <v>Residential Pumps &amp; Fans Attached-B2</v>
      </c>
      <c r="O128" s="81" t="s">
        <v>53</v>
      </c>
      <c r="P128" s="81"/>
      <c r="Q128" s="81"/>
      <c r="R128" s="81"/>
      <c r="S128" s="81"/>
      <c r="T128" s="81"/>
    </row>
    <row r="129" spans="10:20">
      <c r="J129" s="81"/>
      <c r="K129" s="81"/>
      <c r="L129" s="81" t="s">
        <v>363</v>
      </c>
      <c r="M129" s="81" t="str">
        <f>SETUP!$B$56&amp;"_"&amp;SETUP!$B$40&amp;"-"&amp;SETUP!B46</f>
        <v>PF_Att-B3</v>
      </c>
      <c r="N129" s="81" t="str">
        <f>SETUP!$C$56&amp;" "&amp;  SETUP!$C$40&amp;"-"&amp;SETUP!B46</f>
        <v>Residential Pumps &amp; Fans Attached-B3</v>
      </c>
      <c r="O129" s="81" t="s">
        <v>53</v>
      </c>
      <c r="P129" s="81"/>
      <c r="Q129" s="81"/>
      <c r="R129" s="81"/>
      <c r="S129" s="81"/>
      <c r="T129" s="81"/>
    </row>
    <row r="130" spans="10:20">
      <c r="J130" s="81"/>
      <c r="K130" s="81"/>
      <c r="L130" s="81" t="s">
        <v>363</v>
      </c>
      <c r="M130" s="81" t="str">
        <f>SETUP!$B$56&amp;"_"&amp;SETUP!$B$40&amp;"-"&amp;SETUP!B47</f>
        <v>PF_Att-C</v>
      </c>
      <c r="N130" s="81" t="str">
        <f>SETUP!$C$56&amp;" "&amp;  SETUP!$C$40&amp;"-"&amp;SETUP!B47</f>
        <v>Residential Pumps &amp; Fans Attached-C</v>
      </c>
      <c r="O130" s="81" t="s">
        <v>53</v>
      </c>
      <c r="P130" s="81"/>
      <c r="Q130" s="81"/>
      <c r="R130" s="81"/>
      <c r="S130" s="81"/>
      <c r="T130" s="81"/>
    </row>
    <row r="131" spans="10:20">
      <c r="J131" s="81"/>
      <c r="K131" s="81"/>
      <c r="L131" s="81" t="s">
        <v>363</v>
      </c>
      <c r="M131" s="81" t="str">
        <f>SETUP!$B$56&amp;"_"&amp;SETUP!$B$40&amp;"-"&amp;SETUP!B48</f>
        <v>PF_Att-D</v>
      </c>
      <c r="N131" s="81" t="str">
        <f>SETUP!$C$56&amp;" "&amp;  SETUP!$C$40&amp;"-"&amp;SETUP!B48</f>
        <v>Residential Pumps &amp; Fans Attached-D</v>
      </c>
      <c r="O131" s="81" t="s">
        <v>53</v>
      </c>
      <c r="P131" s="81"/>
      <c r="Q131" s="81"/>
      <c r="R131" s="81"/>
      <c r="S131" s="81"/>
      <c r="T131" s="81"/>
    </row>
    <row r="132" spans="10:20">
      <c r="J132" s="81"/>
      <c r="K132" s="81"/>
      <c r="L132" s="81" t="s">
        <v>363</v>
      </c>
      <c r="M132" s="81" t="str">
        <f>SETUP!$B$56&amp;"_"&amp;SETUP!$B$40&amp;"-"&amp;SETUP!B49</f>
        <v>PF_Att-E</v>
      </c>
      <c r="N132" s="81" t="str">
        <f>SETUP!$C$56&amp;" "&amp;  SETUP!$C$40&amp;"-"&amp;SETUP!B49</f>
        <v>Residential Pumps &amp; Fans Attached-E</v>
      </c>
      <c r="O132" s="81" t="s">
        <v>53</v>
      </c>
      <c r="P132" s="81"/>
      <c r="Q132" s="81"/>
      <c r="R132" s="81"/>
      <c r="S132" s="81"/>
      <c r="T132" s="81"/>
    </row>
    <row r="133" spans="10:20">
      <c r="J133" s="81"/>
      <c r="K133" s="81"/>
      <c r="L133" s="81" t="s">
        <v>363</v>
      </c>
      <c r="M133" s="81" t="str">
        <f>SETUP!$B$56&amp;"_"&amp;SETUP!$B$40&amp;"-"&amp;SETUP!B50</f>
        <v>PF_Att-F</v>
      </c>
      <c r="N133" s="81" t="str">
        <f>SETUP!$C$56&amp;" "&amp;  SETUP!$C$40&amp;"-"&amp;SETUP!B50</f>
        <v>Residential Pumps &amp; Fans Attached-F</v>
      </c>
      <c r="O133" s="81" t="s">
        <v>53</v>
      </c>
      <c r="P133" s="81"/>
      <c r="Q133" s="81"/>
      <c r="R133" s="81"/>
      <c r="S133" s="81"/>
      <c r="T133" s="81"/>
    </row>
    <row r="134" spans="10:20" ht="13.5" thickBot="1">
      <c r="J134" s="81"/>
      <c r="K134" s="81"/>
      <c r="L134" s="875" t="s">
        <v>363</v>
      </c>
      <c r="M134" s="875" t="str">
        <f>SETUP!$B$56&amp;"_"&amp;SETUP!$B$40&amp;"-"&amp;SETUP!B51</f>
        <v>PF_Att-G</v>
      </c>
      <c r="N134" s="875" t="str">
        <f>SETUP!$C$56&amp;" "&amp;  SETUP!$C$40&amp;"-"&amp;SETUP!B51</f>
        <v>Residential Pumps &amp; Fans Attached-G</v>
      </c>
      <c r="O134" s="875" t="s">
        <v>53</v>
      </c>
      <c r="P134" s="875"/>
      <c r="Q134" s="875"/>
      <c r="R134" s="875"/>
      <c r="S134" s="875"/>
    </row>
    <row r="135" spans="10:20">
      <c r="J135" s="81"/>
      <c r="K135" s="81"/>
      <c r="L135" s="81" t="s">
        <v>363</v>
      </c>
      <c r="M135" s="81" t="str">
        <f>SETUP!$B$56&amp;"_"&amp;SETUP!$B$41&amp;"-"&amp;SETUP!B43</f>
        <v>PF_Det-A</v>
      </c>
      <c r="N135" s="81" t="str">
        <f>SETUP!$C$56&amp;" "&amp;  SETUP!$C$41&amp;"-"&amp;SETUP!B43</f>
        <v>Residential Pumps &amp; Fans Detached-A</v>
      </c>
      <c r="O135" s="81" t="s">
        <v>53</v>
      </c>
      <c r="P135" s="81"/>
      <c r="Q135" s="81"/>
      <c r="R135" s="81"/>
      <c r="S135" s="81"/>
    </row>
    <row r="136" spans="10:20">
      <c r="J136" s="81"/>
      <c r="K136" s="81"/>
      <c r="L136" s="81" t="s">
        <v>363</v>
      </c>
      <c r="M136" s="81" t="str">
        <f>SETUP!$B$56&amp;"_"&amp;SETUP!$B$41&amp;"-"&amp;SETUP!B44</f>
        <v>PF_Det-B1</v>
      </c>
      <c r="N136" s="81" t="str">
        <f>SETUP!$C$56&amp;" "&amp;  SETUP!$C$41&amp;"-"&amp;SETUP!B44</f>
        <v>Residential Pumps &amp; Fans Detached-B1</v>
      </c>
      <c r="O136" s="81" t="s">
        <v>53</v>
      </c>
      <c r="P136" s="81"/>
      <c r="Q136" s="81"/>
      <c r="R136" s="81"/>
      <c r="S136" s="81"/>
    </row>
    <row r="137" spans="10:20">
      <c r="J137" s="81"/>
      <c r="K137" s="81"/>
      <c r="L137" s="81" t="s">
        <v>363</v>
      </c>
      <c r="M137" s="81" t="str">
        <f>SETUP!$B$56&amp;"_"&amp;SETUP!$B$41&amp;"-"&amp;SETUP!B45</f>
        <v>PF_Det-B2</v>
      </c>
      <c r="N137" s="81" t="str">
        <f>SETUP!$C$56&amp;" "&amp;  SETUP!$C$41&amp;"-"&amp;SETUP!B45</f>
        <v>Residential Pumps &amp; Fans Detached-B2</v>
      </c>
      <c r="O137" s="81" t="s">
        <v>53</v>
      </c>
      <c r="P137" s="81"/>
      <c r="Q137" s="81"/>
      <c r="R137" s="81"/>
      <c r="S137" s="81"/>
    </row>
    <row r="138" spans="10:20">
      <c r="J138" s="81"/>
      <c r="K138" s="81"/>
      <c r="L138" s="81" t="s">
        <v>363</v>
      </c>
      <c r="M138" s="81" t="str">
        <f>SETUP!$B$56&amp;"_"&amp;SETUP!$B$41&amp;"-"&amp;SETUP!B46</f>
        <v>PF_Det-B3</v>
      </c>
      <c r="N138" s="81" t="str">
        <f>SETUP!$C$56&amp;" "&amp;  SETUP!$C$41&amp;"-"&amp;SETUP!B46</f>
        <v>Residential Pumps &amp; Fans Detached-B3</v>
      </c>
      <c r="O138" s="81" t="s">
        <v>53</v>
      </c>
      <c r="P138" s="81"/>
      <c r="Q138" s="81"/>
      <c r="R138" s="81"/>
      <c r="S138" s="81"/>
    </row>
    <row r="139" spans="10:20">
      <c r="J139" s="81"/>
      <c r="K139" s="81"/>
      <c r="L139" s="81" t="s">
        <v>363</v>
      </c>
      <c r="M139" s="81" t="str">
        <f>SETUP!$B$56&amp;"_"&amp;SETUP!$B$41&amp;"-"&amp;SETUP!B47</f>
        <v>PF_Det-C</v>
      </c>
      <c r="N139" s="81" t="str">
        <f>SETUP!$C$56&amp;" "&amp;  SETUP!$C$41&amp;"-"&amp;SETUP!B47</f>
        <v>Residential Pumps &amp; Fans Detached-C</v>
      </c>
      <c r="O139" s="81" t="s">
        <v>53</v>
      </c>
      <c r="P139" s="81"/>
      <c r="Q139" s="81"/>
      <c r="R139" s="81"/>
      <c r="S139" s="81"/>
    </row>
    <row r="140" spans="10:20">
      <c r="J140" s="81"/>
      <c r="K140" s="81"/>
      <c r="L140" s="81" t="s">
        <v>363</v>
      </c>
      <c r="M140" s="81" t="str">
        <f>SETUP!$B$56&amp;"_"&amp;SETUP!$B$41&amp;"-"&amp;SETUP!B48</f>
        <v>PF_Det-D</v>
      </c>
      <c r="N140" s="81" t="str">
        <f>SETUP!$C$56&amp;" "&amp;  SETUP!$C$41&amp;"-"&amp;SETUP!B48</f>
        <v>Residential Pumps &amp; Fans Detached-D</v>
      </c>
      <c r="O140" s="81" t="s">
        <v>53</v>
      </c>
      <c r="P140" s="81"/>
      <c r="Q140" s="81"/>
      <c r="R140" s="81"/>
      <c r="S140" s="81"/>
    </row>
    <row r="141" spans="10:20">
      <c r="J141" s="81"/>
      <c r="K141" s="81"/>
      <c r="L141" s="81" t="s">
        <v>363</v>
      </c>
      <c r="M141" s="81" t="str">
        <f>SETUP!$B$56&amp;"_"&amp;SETUP!$B$41&amp;"-"&amp;SETUP!B49</f>
        <v>PF_Det-E</v>
      </c>
      <c r="N141" s="81" t="str">
        <f>SETUP!$C$56&amp;" "&amp;  SETUP!$C$41&amp;"-"&amp;SETUP!B49</f>
        <v>Residential Pumps &amp; Fans Detached-E</v>
      </c>
      <c r="O141" s="81" t="s">
        <v>53</v>
      </c>
      <c r="P141" s="81"/>
      <c r="Q141" s="81"/>
      <c r="R141" s="81"/>
      <c r="S141" s="81"/>
    </row>
    <row r="142" spans="10:20">
      <c r="J142" s="81"/>
      <c r="K142" s="81"/>
      <c r="L142" s="81" t="s">
        <v>363</v>
      </c>
      <c r="M142" s="81" t="str">
        <f>SETUP!$B$56&amp;"_"&amp;SETUP!$B$41&amp;"-"&amp;SETUP!B50</f>
        <v>PF_Det-F</v>
      </c>
      <c r="N142" s="81" t="str">
        <f>SETUP!$C$56&amp;" "&amp;  SETUP!$C$41&amp;"-"&amp;SETUP!B50</f>
        <v>Residential Pumps &amp; Fans Detached-F</v>
      </c>
      <c r="O142" s="81" t="s">
        <v>53</v>
      </c>
      <c r="P142" s="81"/>
      <c r="Q142" s="81"/>
      <c r="R142" s="81"/>
      <c r="S142" s="81"/>
    </row>
    <row r="143" spans="10:20" ht="13.5" thickBot="1">
      <c r="J143" s="81"/>
      <c r="K143" s="81"/>
      <c r="L143" s="874" t="s">
        <v>363</v>
      </c>
      <c r="M143" s="874" t="str">
        <f>SETUP!$B$56&amp;"_"&amp;SETUP!$B$41&amp;"-"&amp;SETUP!B51</f>
        <v>PF_Det-G</v>
      </c>
      <c r="N143" s="874" t="str">
        <f>SETUP!$C$56&amp;" "&amp;  SETUP!$C$41&amp;"-"&amp;SETUP!B51</f>
        <v>Residential Pumps &amp; Fans Detached-G</v>
      </c>
      <c r="O143" s="874" t="s">
        <v>53</v>
      </c>
      <c r="P143" s="874"/>
      <c r="Q143" s="874"/>
      <c r="R143" s="874"/>
      <c r="S143" s="874"/>
    </row>
    <row r="144" spans="10:20" ht="13.5" thickTop="1"/>
  </sheetData>
  <phoneticPr fontId="0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  <sheetView workbookViewId="1"/>
  </sheetViews>
  <sheetFormatPr defaultRowHeight="12.75"/>
  <cols>
    <col min="1" max="1" width="9.140625" style="78"/>
    <col min="2" max="2" width="24.7109375" style="78" customWidth="1"/>
    <col min="3" max="3" width="15.7109375" style="78" bestFit="1" customWidth="1"/>
    <col min="4" max="4" width="11" style="78" customWidth="1"/>
    <col min="5" max="5" width="15.7109375" style="78" customWidth="1"/>
    <col min="6" max="6" width="18.140625" style="78" customWidth="1"/>
    <col min="7" max="7" width="13.85546875" style="78" customWidth="1"/>
    <col min="8" max="8" width="11" style="78" customWidth="1"/>
    <col min="9" max="9" width="13.28515625" style="78" customWidth="1"/>
    <col min="10" max="10" width="12" style="78" customWidth="1"/>
    <col min="11" max="11" width="12.5703125" style="78" customWidth="1"/>
    <col min="12" max="12" width="11.42578125" style="78" customWidth="1"/>
    <col min="13" max="13" width="14.42578125" style="78" customWidth="1"/>
    <col min="14" max="14" width="11.42578125" style="78" customWidth="1"/>
    <col min="15" max="16" width="11.85546875" style="78" customWidth="1"/>
    <col min="17" max="17" width="9.140625" style="78"/>
    <col min="18" max="18" width="11.140625" style="78" customWidth="1"/>
    <col min="19" max="19" width="14.140625" style="78" customWidth="1"/>
    <col min="20" max="20" width="12.140625" style="78" customWidth="1"/>
    <col min="21" max="21" width="11.28515625" style="78" customWidth="1"/>
    <col min="22" max="22" width="12.42578125" style="78" customWidth="1"/>
    <col min="23" max="23" width="12.140625" style="78" customWidth="1"/>
    <col min="24" max="16384" width="9.140625" style="78"/>
  </cols>
  <sheetData>
    <row r="1" spans="2:38"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</row>
    <row r="2" spans="2:38"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424" t="s">
        <v>728</v>
      </c>
      <c r="O2" s="81"/>
      <c r="P2" s="81"/>
      <c r="Q2" s="81"/>
      <c r="R2" s="81"/>
      <c r="S2" s="81"/>
      <c r="T2" s="81"/>
      <c r="U2" s="81"/>
      <c r="V2" s="81"/>
      <c r="W2" s="81"/>
      <c r="X2" s="81"/>
    </row>
    <row r="3" spans="2:38" ht="28.5">
      <c r="B3" s="197" t="s">
        <v>365</v>
      </c>
      <c r="C3" s="206"/>
      <c r="D3" s="206"/>
      <c r="E3" s="206"/>
      <c r="F3" s="206"/>
      <c r="G3" s="206"/>
      <c r="H3" s="206"/>
      <c r="I3" s="206"/>
      <c r="J3" s="206"/>
      <c r="K3" s="206"/>
      <c r="L3" s="206"/>
      <c r="M3" s="206"/>
      <c r="N3" s="206"/>
      <c r="O3" s="206"/>
      <c r="P3" s="206"/>
      <c r="Q3" s="206"/>
      <c r="R3" s="206"/>
      <c r="S3" s="206"/>
      <c r="T3" s="81"/>
      <c r="U3" s="81"/>
      <c r="V3" s="81"/>
      <c r="W3" s="81"/>
      <c r="X3" s="81"/>
    </row>
    <row r="4" spans="2:38" ht="48.75" thickBot="1">
      <c r="B4" s="198"/>
      <c r="C4" s="199"/>
      <c r="D4" s="816" t="s">
        <v>173</v>
      </c>
      <c r="E4" s="816" t="s">
        <v>174</v>
      </c>
      <c r="F4" s="816" t="s">
        <v>175</v>
      </c>
      <c r="G4" s="817" t="s">
        <v>176</v>
      </c>
      <c r="H4" s="817" t="s">
        <v>177</v>
      </c>
      <c r="I4" s="817" t="s">
        <v>188</v>
      </c>
      <c r="J4" s="816" t="s">
        <v>184</v>
      </c>
      <c r="K4" s="816" t="s">
        <v>185</v>
      </c>
      <c r="L4" s="816" t="s">
        <v>189</v>
      </c>
      <c r="M4" s="817" t="s">
        <v>187</v>
      </c>
      <c r="N4" s="817" t="s">
        <v>190</v>
      </c>
      <c r="O4" s="817" t="s">
        <v>195</v>
      </c>
      <c r="P4" s="816" t="s">
        <v>203</v>
      </c>
      <c r="Q4" s="816" t="s">
        <v>199</v>
      </c>
      <c r="R4" s="816" t="s">
        <v>201</v>
      </c>
      <c r="S4" s="817" t="s">
        <v>200</v>
      </c>
      <c r="T4" s="817" t="s">
        <v>204</v>
      </c>
      <c r="U4" s="817" t="s">
        <v>314</v>
      </c>
      <c r="V4" s="816" t="s">
        <v>316</v>
      </c>
      <c r="W4" s="816" t="s">
        <v>205</v>
      </c>
      <c r="X4" s="816" t="s">
        <v>206</v>
      </c>
      <c r="Y4" s="817" t="s">
        <v>207</v>
      </c>
    </row>
    <row r="5" spans="2:38" ht="15.75" thickBot="1">
      <c r="B5" s="200"/>
      <c r="C5" s="201" t="s">
        <v>295</v>
      </c>
      <c r="D5" s="202" t="str">
        <f>RSD_Balance!A9</f>
        <v>COABIT</v>
      </c>
      <c r="E5" s="202" t="str">
        <f>RSD_Balance!A10</f>
        <v>COAHAR</v>
      </c>
      <c r="F5" s="202" t="str">
        <f>RSD_Balance!A11</f>
        <v>COACOK</v>
      </c>
      <c r="G5" s="202" t="str">
        <f>RSD_Balance!A12</f>
        <v>COALIG</v>
      </c>
      <c r="H5" s="202" t="str">
        <f>RSD_Balance!A13</f>
        <v>PEA</v>
      </c>
      <c r="I5" s="202" t="str">
        <f>RSD_Balance!A14</f>
        <v>OILLPG</v>
      </c>
      <c r="J5" s="202" t="str">
        <f>RSD_Balance!A15</f>
        <v>OILGSL</v>
      </c>
      <c r="K5" s="202" t="str">
        <f>RSD_Balance!A16</f>
        <v>OILKER</v>
      </c>
      <c r="L5" s="202" t="str">
        <f>RSD_Balance!A17</f>
        <v>OILDST</v>
      </c>
      <c r="M5" s="202" t="str">
        <f>RSD_Balance!A18</f>
        <v>OILHFO</v>
      </c>
      <c r="N5" s="202" t="str">
        <f>RSD_Balance!A19</f>
        <v>OILCOK</v>
      </c>
      <c r="O5" s="202" t="str">
        <f>RSD_Balance!A20</f>
        <v>GASNAT</v>
      </c>
      <c r="P5" s="202" t="str">
        <f>RSD_Balance!A21</f>
        <v>RENSOL</v>
      </c>
      <c r="Q5" s="202" t="str">
        <f>RSD_Balance!A22</f>
        <v>BIOWOO</v>
      </c>
      <c r="R5" s="202" t="str">
        <f>RSD_Balance!A23</f>
        <v>BIOGAS</v>
      </c>
      <c r="S5" s="202" t="str">
        <f>RSD_Balance!A24</f>
        <v>BIOMUN</v>
      </c>
      <c r="T5" s="202" t="str">
        <f>RSD_Balance!A25</f>
        <v>RENGEO</v>
      </c>
      <c r="U5" s="202" t="str">
        <f>RSD_Balance!A26</f>
        <v>BIOETH</v>
      </c>
      <c r="V5" s="202" t="str">
        <f>RSD_Balance!A27</f>
        <v>BIODST</v>
      </c>
      <c r="W5" s="202" t="str">
        <f>RSD_Balance!A28</f>
        <v>BIOSLU</v>
      </c>
      <c r="X5" s="202" t="str">
        <f>RSD_Balance!A29</f>
        <v>ELCD</v>
      </c>
      <c r="Y5" s="202" t="str">
        <f>RSD_Balance!A30</f>
        <v>HET</v>
      </c>
    </row>
    <row r="6" spans="2:38" ht="30">
      <c r="B6" s="195" t="s">
        <v>366</v>
      </c>
      <c r="C6" s="207" t="s">
        <v>367</v>
      </c>
      <c r="D6" s="208">
        <v>94.6</v>
      </c>
      <c r="E6" s="208">
        <v>98.3</v>
      </c>
      <c r="F6" s="210">
        <v>107</v>
      </c>
      <c r="G6" s="210">
        <v>101</v>
      </c>
      <c r="H6" s="211">
        <v>106</v>
      </c>
      <c r="I6" s="210">
        <v>63.1</v>
      </c>
      <c r="J6" s="210">
        <v>69.3</v>
      </c>
      <c r="K6" s="210">
        <v>71.900000000000006</v>
      </c>
      <c r="L6" s="210">
        <v>74.099999999999994</v>
      </c>
      <c r="M6" s="210">
        <v>77.400000000000006</v>
      </c>
      <c r="N6" s="210">
        <v>97.5</v>
      </c>
      <c r="O6" s="210">
        <v>56.1</v>
      </c>
      <c r="P6" s="210"/>
      <c r="Q6" s="210"/>
      <c r="R6" s="209"/>
      <c r="S6" s="209"/>
      <c r="T6" s="209"/>
      <c r="U6" s="209"/>
      <c r="V6" s="209"/>
      <c r="W6" s="209"/>
      <c r="X6" s="209"/>
    </row>
    <row r="7" spans="2:38" ht="15">
      <c r="B7" s="195"/>
      <c r="C7" s="196"/>
      <c r="D7" s="203"/>
      <c r="E7" s="20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81"/>
      <c r="U7" s="81"/>
      <c r="V7" s="81"/>
      <c r="W7" s="81"/>
      <c r="X7" s="81"/>
    </row>
    <row r="8" spans="2:38" ht="28.5">
      <c r="B8" s="197" t="s">
        <v>368</v>
      </c>
      <c r="C8" s="197"/>
      <c r="D8" s="197"/>
      <c r="E8" s="197"/>
      <c r="F8" s="197"/>
      <c r="G8" s="197"/>
      <c r="H8" s="197"/>
      <c r="I8" s="197"/>
      <c r="J8" s="197"/>
      <c r="K8" s="197"/>
      <c r="L8" s="81"/>
      <c r="M8" s="81"/>
      <c r="N8" s="81"/>
      <c r="O8" s="81"/>
      <c r="P8" s="81"/>
      <c r="Q8" s="81"/>
      <c r="R8" s="81"/>
      <c r="S8" s="81"/>
      <c r="T8" s="81"/>
      <c r="U8" s="81"/>
      <c r="V8" s="81"/>
      <c r="W8" s="81"/>
      <c r="X8" s="81"/>
    </row>
    <row r="9" spans="2:38" ht="15.75" thickBot="1">
      <c r="C9" s="204" t="s">
        <v>369</v>
      </c>
      <c r="D9" s="205"/>
      <c r="E9" s="206"/>
      <c r="F9" s="206"/>
      <c r="G9" s="206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</row>
    <row r="10" spans="2:38" ht="15">
      <c r="C10" s="880" t="s">
        <v>344</v>
      </c>
      <c r="D10" s="884" t="str">
        <f t="array" ref="D10:Y10">TRANSPOSE(RSD_Commodities!C6:C28)</f>
        <v>RSDCOABIT</v>
      </c>
      <c r="E10" s="884" t="str">
        <v>RSDCOAHAR</v>
      </c>
      <c r="F10" s="884" t="str">
        <v>RSDCOACOK</v>
      </c>
      <c r="G10" s="884" t="str">
        <v>RSDCOALIG</v>
      </c>
      <c r="H10" s="884" t="str">
        <v>RSDPEA</v>
      </c>
      <c r="I10" s="884" t="str">
        <v>RSDOILLPG</v>
      </c>
      <c r="J10" s="884" t="str">
        <v>RSDOILGSL</v>
      </c>
      <c r="K10" s="884" t="str">
        <v>RSDOILKER</v>
      </c>
      <c r="L10" s="884" t="str">
        <v>RSDOILDST</v>
      </c>
      <c r="M10" s="884" t="str">
        <v>RSDOILHFO</v>
      </c>
      <c r="N10" s="884" t="str">
        <v>RSDOILCOK</v>
      </c>
      <c r="O10" s="884" t="str">
        <v>RSDGASNAT</v>
      </c>
      <c r="P10" s="884" t="str">
        <v>RSDRENSOL</v>
      </c>
      <c r="Q10" s="884" t="str">
        <v>RSDBIOWOO</v>
      </c>
      <c r="R10" s="884" t="str">
        <v>RSDBIOGAS</v>
      </c>
      <c r="S10" s="884" t="str">
        <v>RSDBIOMUN</v>
      </c>
      <c r="T10" s="884" t="str">
        <v>RSDRENGEO</v>
      </c>
      <c r="U10" s="884" t="str">
        <v>RSDBIOETH</v>
      </c>
      <c r="V10" s="884" t="str">
        <v>RSDBIODST</v>
      </c>
      <c r="W10" s="884" t="str">
        <v>RSDBIOSLU</v>
      </c>
      <c r="X10" s="884" t="str">
        <v>RSDSMF</v>
      </c>
      <c r="Y10" s="885" t="str">
        <v>RSDELCD</v>
      </c>
    </row>
    <row r="11" spans="2:38" ht="13.5" thickBot="1">
      <c r="C11" s="886" t="s">
        <v>370</v>
      </c>
      <c r="D11" s="887" t="s">
        <v>367</v>
      </c>
      <c r="E11" s="888" t="s">
        <v>367</v>
      </c>
      <c r="F11" s="888" t="s">
        <v>367</v>
      </c>
      <c r="G11" s="888" t="s">
        <v>367</v>
      </c>
      <c r="H11" s="888" t="s">
        <v>367</v>
      </c>
      <c r="I11" s="888" t="s">
        <v>367</v>
      </c>
      <c r="J11" s="888" t="s">
        <v>367</v>
      </c>
      <c r="K11" s="888" t="s">
        <v>367</v>
      </c>
      <c r="L11" s="888" t="s">
        <v>367</v>
      </c>
      <c r="M11" s="888" t="s">
        <v>367</v>
      </c>
      <c r="N11" s="888" t="s">
        <v>367</v>
      </c>
      <c r="O11" s="888" t="s">
        <v>367</v>
      </c>
      <c r="P11" s="888" t="s">
        <v>367</v>
      </c>
      <c r="Q11" s="888" t="s">
        <v>367</v>
      </c>
      <c r="R11" s="888" t="s">
        <v>367</v>
      </c>
      <c r="S11" s="888" t="s">
        <v>367</v>
      </c>
      <c r="T11" s="888" t="s">
        <v>367</v>
      </c>
      <c r="U11" s="888" t="s">
        <v>367</v>
      </c>
      <c r="V11" s="888" t="s">
        <v>367</v>
      </c>
      <c r="W11" s="888" t="s">
        <v>367</v>
      </c>
      <c r="X11" s="888" t="s">
        <v>367</v>
      </c>
      <c r="Y11" s="889" t="s">
        <v>367</v>
      </c>
    </row>
    <row r="12" spans="2:38">
      <c r="C12" s="881" t="str">
        <f>RSD_Commodities!C29</f>
        <v>RSDCO2</v>
      </c>
      <c r="D12" s="890">
        <f>D6</f>
        <v>94.6</v>
      </c>
      <c r="E12" s="891">
        <f t="shared" ref="E12:Y12" si="0">E6</f>
        <v>98.3</v>
      </c>
      <c r="F12" s="892">
        <f t="shared" si="0"/>
        <v>107</v>
      </c>
      <c r="G12" s="892">
        <f t="shared" si="0"/>
        <v>101</v>
      </c>
      <c r="H12" s="891">
        <f t="shared" si="0"/>
        <v>106</v>
      </c>
      <c r="I12" s="891">
        <f t="shared" si="0"/>
        <v>63.1</v>
      </c>
      <c r="J12" s="892">
        <f t="shared" si="0"/>
        <v>69.3</v>
      </c>
      <c r="K12" s="892">
        <f t="shared" si="0"/>
        <v>71.900000000000006</v>
      </c>
      <c r="L12" s="891">
        <f t="shared" si="0"/>
        <v>74.099999999999994</v>
      </c>
      <c r="M12" s="891">
        <f t="shared" si="0"/>
        <v>77.400000000000006</v>
      </c>
      <c r="N12" s="892">
        <f t="shared" si="0"/>
        <v>97.5</v>
      </c>
      <c r="O12" s="892">
        <f t="shared" si="0"/>
        <v>56.1</v>
      </c>
      <c r="P12" s="891">
        <f t="shared" si="0"/>
        <v>0</v>
      </c>
      <c r="Q12" s="891">
        <f t="shared" si="0"/>
        <v>0</v>
      </c>
      <c r="R12" s="892">
        <f t="shared" si="0"/>
        <v>0</v>
      </c>
      <c r="S12" s="892">
        <f t="shared" si="0"/>
        <v>0</v>
      </c>
      <c r="T12" s="891">
        <f t="shared" si="0"/>
        <v>0</v>
      </c>
      <c r="U12" s="891">
        <f t="shared" si="0"/>
        <v>0</v>
      </c>
      <c r="V12" s="892">
        <f t="shared" si="0"/>
        <v>0</v>
      </c>
      <c r="W12" s="892">
        <f t="shared" si="0"/>
        <v>0</v>
      </c>
      <c r="X12" s="891">
        <f t="shared" si="0"/>
        <v>0</v>
      </c>
      <c r="Y12" s="893">
        <f t="shared" si="0"/>
        <v>0</v>
      </c>
    </row>
    <row r="13" spans="2:38">
      <c r="C13" s="882" t="str">
        <f>RSD_Commodities!C30</f>
        <v>RSDCH4</v>
      </c>
      <c r="D13" s="894">
        <v>0.3</v>
      </c>
      <c r="E13" s="879">
        <v>0.3</v>
      </c>
      <c r="F13" s="878">
        <v>0.3</v>
      </c>
      <c r="G13" s="878">
        <v>0.3</v>
      </c>
      <c r="H13" s="879">
        <v>0.3</v>
      </c>
      <c r="I13" s="879">
        <v>5.0000000000000001E-3</v>
      </c>
      <c r="J13" s="878">
        <v>1E-4</v>
      </c>
      <c r="K13" s="878">
        <v>0.01</v>
      </c>
      <c r="L13" s="879">
        <v>0.01</v>
      </c>
      <c r="M13" s="879">
        <v>0.01</v>
      </c>
      <c r="N13" s="878"/>
      <c r="O13" s="878">
        <v>5.0000000000000001E-3</v>
      </c>
      <c r="P13" s="879"/>
      <c r="Q13" s="879">
        <v>0.3</v>
      </c>
      <c r="R13" s="878">
        <v>5.0000000000000001E-3</v>
      </c>
      <c r="S13" s="878"/>
      <c r="T13" s="879"/>
      <c r="U13" s="879">
        <v>0.01</v>
      </c>
      <c r="V13" s="878">
        <v>0.01</v>
      </c>
      <c r="W13" s="878"/>
      <c r="X13" s="879"/>
      <c r="Y13" s="895"/>
    </row>
    <row r="14" spans="2:38">
      <c r="C14" s="881" t="str">
        <f>RSD_Commodities!C31</f>
        <v>RSDSO2N</v>
      </c>
      <c r="D14" s="896"/>
      <c r="E14" s="877"/>
      <c r="F14" s="876"/>
      <c r="G14" s="876"/>
      <c r="H14" s="877"/>
      <c r="I14" s="877"/>
      <c r="J14" s="876"/>
      <c r="K14" s="876"/>
      <c r="L14" s="877"/>
      <c r="M14" s="877"/>
      <c r="N14" s="876"/>
      <c r="O14" s="876"/>
      <c r="P14" s="877"/>
      <c r="Q14" s="877"/>
      <c r="R14" s="876"/>
      <c r="S14" s="876"/>
      <c r="T14" s="877"/>
      <c r="U14" s="877"/>
      <c r="V14" s="876"/>
      <c r="W14" s="876"/>
      <c r="X14" s="877"/>
      <c r="Y14" s="897"/>
    </row>
    <row r="15" spans="2:38">
      <c r="C15" s="882" t="str">
        <f>RSD_Commodities!C32</f>
        <v>RSDN2O</v>
      </c>
      <c r="D15" s="894">
        <v>1.5E-3</v>
      </c>
      <c r="E15" s="879">
        <v>1.5E-3</v>
      </c>
      <c r="F15" s="878">
        <v>1.5E-3</v>
      </c>
      <c r="G15" s="878">
        <v>1.5E-3</v>
      </c>
      <c r="H15" s="879">
        <v>1.4E-3</v>
      </c>
      <c r="I15" s="879">
        <v>1E-4</v>
      </c>
      <c r="J15" s="878">
        <v>5.9999999999999995E-4</v>
      </c>
      <c r="K15" s="878">
        <v>5.9999999999999995E-4</v>
      </c>
      <c r="L15" s="879">
        <v>5.9999999999999995E-4</v>
      </c>
      <c r="M15" s="879">
        <v>5.9999999999999995E-4</v>
      </c>
      <c r="N15" s="878"/>
      <c r="O15" s="878"/>
      <c r="P15" s="879"/>
      <c r="Q15" s="879">
        <v>4.0000000000000001E-3</v>
      </c>
      <c r="R15" s="878">
        <v>1E-4</v>
      </c>
      <c r="S15" s="878"/>
      <c r="T15" s="879"/>
      <c r="U15" s="879">
        <v>5.9999999999999995E-4</v>
      </c>
      <c r="V15" s="878">
        <v>5.9999999999999995E-4</v>
      </c>
      <c r="W15" s="878"/>
      <c r="X15" s="879"/>
      <c r="Y15" s="895"/>
      <c r="Z15" s="212"/>
      <c r="AA15" s="212"/>
      <c r="AB15" s="212"/>
      <c r="AC15" s="212"/>
      <c r="AD15" s="212"/>
      <c r="AE15" s="212"/>
      <c r="AF15" s="212"/>
      <c r="AG15" s="212"/>
      <c r="AH15" s="212"/>
      <c r="AI15" s="212"/>
      <c r="AJ15" s="212"/>
      <c r="AK15" s="212"/>
      <c r="AL15" s="212"/>
    </row>
    <row r="16" spans="2:38">
      <c r="C16" s="881" t="str">
        <f>RSD_Commodities!C33</f>
        <v>RSDPM10</v>
      </c>
      <c r="D16" s="896"/>
      <c r="E16" s="877"/>
      <c r="F16" s="876"/>
      <c r="G16" s="876"/>
      <c r="H16" s="877"/>
      <c r="I16" s="877"/>
      <c r="J16" s="876"/>
      <c r="K16" s="876"/>
      <c r="L16" s="877"/>
      <c r="M16" s="877"/>
      <c r="N16" s="876"/>
      <c r="O16" s="876"/>
      <c r="P16" s="877"/>
      <c r="Q16" s="877"/>
      <c r="R16" s="876"/>
      <c r="S16" s="876"/>
      <c r="T16" s="877"/>
      <c r="U16" s="877"/>
      <c r="V16" s="876"/>
      <c r="W16" s="876"/>
      <c r="X16" s="877"/>
      <c r="Y16" s="897"/>
      <c r="Z16" s="212"/>
      <c r="AA16" s="212"/>
      <c r="AB16" s="212"/>
      <c r="AC16" s="212"/>
      <c r="AD16" s="212"/>
      <c r="AE16" s="212"/>
      <c r="AF16" s="212"/>
      <c r="AG16" s="212"/>
      <c r="AH16" s="212"/>
      <c r="AI16" s="212"/>
      <c r="AJ16" s="212"/>
      <c r="AK16" s="212"/>
      <c r="AL16" s="212"/>
    </row>
    <row r="17" spans="2:47" ht="13.5" thickBot="1">
      <c r="C17" s="883" t="str">
        <f>RSD_Commodities!C34</f>
        <v>RSDPM25</v>
      </c>
      <c r="D17" s="898"/>
      <c r="E17" s="899"/>
      <c r="F17" s="900"/>
      <c r="G17" s="900"/>
      <c r="H17" s="899"/>
      <c r="I17" s="899"/>
      <c r="J17" s="900"/>
      <c r="K17" s="900"/>
      <c r="L17" s="899"/>
      <c r="M17" s="899"/>
      <c r="N17" s="900"/>
      <c r="O17" s="900"/>
      <c r="P17" s="899"/>
      <c r="Q17" s="899"/>
      <c r="R17" s="900"/>
      <c r="S17" s="900"/>
      <c r="T17" s="899"/>
      <c r="U17" s="899"/>
      <c r="V17" s="900"/>
      <c r="W17" s="900"/>
      <c r="X17" s="899"/>
      <c r="Y17" s="901"/>
      <c r="Z17" s="212"/>
      <c r="AA17" s="212"/>
      <c r="AB17" s="212"/>
      <c r="AC17" s="212"/>
      <c r="AD17" s="212"/>
      <c r="AE17" s="212"/>
      <c r="AF17" s="212"/>
      <c r="AG17" s="212"/>
      <c r="AH17" s="212"/>
      <c r="AI17" s="212"/>
      <c r="AJ17" s="212"/>
      <c r="AK17" s="212"/>
      <c r="AL17" s="212"/>
    </row>
    <row r="18" spans="2:47">
      <c r="B18" s="192"/>
      <c r="C18" s="194"/>
      <c r="D18" s="194"/>
      <c r="E18" s="194"/>
      <c r="F18" s="194"/>
      <c r="G18" s="194"/>
      <c r="H18" s="81"/>
      <c r="I18" s="81"/>
      <c r="J18" s="81"/>
      <c r="K18" s="81"/>
      <c r="L18" s="81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X18" s="212"/>
      <c r="Y18" s="212"/>
      <c r="Z18" s="212"/>
      <c r="AA18" s="212"/>
      <c r="AB18" s="212"/>
      <c r="AC18" s="212"/>
      <c r="AD18" s="212"/>
      <c r="AE18" s="212"/>
      <c r="AF18" s="212"/>
      <c r="AG18" s="212"/>
      <c r="AH18" s="212"/>
      <c r="AI18" s="212"/>
      <c r="AJ18" s="212"/>
      <c r="AK18" s="212"/>
      <c r="AL18" s="212"/>
    </row>
    <row r="19" spans="2:47">
      <c r="B19" s="192"/>
      <c r="C19" s="194"/>
      <c r="D19" s="194"/>
      <c r="E19" s="194"/>
      <c r="F19" s="194"/>
      <c r="G19" s="194"/>
      <c r="H19" s="81"/>
      <c r="I19" s="81"/>
      <c r="J19" s="81"/>
      <c r="K19" s="81"/>
      <c r="L19" s="81"/>
      <c r="M19" s="212"/>
      <c r="N19" s="212"/>
      <c r="O19" s="212"/>
      <c r="P19" s="212"/>
      <c r="Q19" s="212"/>
      <c r="R19" s="212"/>
      <c r="S19" s="212"/>
      <c r="T19" s="212"/>
      <c r="U19" s="212"/>
      <c r="V19" s="212"/>
      <c r="W19" s="212"/>
      <c r="X19" s="212"/>
      <c r="Y19" s="212"/>
      <c r="Z19" s="212"/>
      <c r="AA19" s="212"/>
      <c r="AB19" s="212"/>
      <c r="AC19" s="212"/>
      <c r="AD19" s="212"/>
      <c r="AE19" s="212"/>
      <c r="AF19" s="212"/>
      <c r="AG19" s="212"/>
      <c r="AH19" s="212"/>
      <c r="AI19" s="212"/>
      <c r="AJ19" s="212"/>
      <c r="AK19" s="212"/>
      <c r="AL19" s="212"/>
    </row>
    <row r="20" spans="2:47">
      <c r="B20" s="192"/>
      <c r="C20" s="194"/>
      <c r="D20" s="194"/>
      <c r="E20" s="194"/>
      <c r="F20" s="194"/>
      <c r="G20" s="194"/>
      <c r="H20" s="81"/>
      <c r="I20" s="81"/>
      <c r="J20" s="81"/>
      <c r="K20" s="81"/>
      <c r="L20" s="81"/>
      <c r="M20" s="212"/>
      <c r="N20" s="212"/>
      <c r="O20" s="212"/>
      <c r="P20" s="212"/>
      <c r="Q20" s="212"/>
      <c r="R20" s="212"/>
      <c r="S20" s="212"/>
      <c r="T20" s="212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2"/>
      <c r="AI20" s="212"/>
      <c r="AJ20" s="212"/>
      <c r="AK20" s="212"/>
      <c r="AL20" s="212"/>
    </row>
    <row r="21" spans="2:47">
      <c r="B21" s="192"/>
      <c r="C21" s="194"/>
      <c r="D21" s="194"/>
      <c r="E21" s="194"/>
      <c r="F21" s="194"/>
      <c r="G21" s="194"/>
      <c r="H21" s="81"/>
      <c r="I21" s="81"/>
      <c r="J21" s="81"/>
      <c r="K21" s="81"/>
      <c r="L21" s="81"/>
      <c r="M21" s="212"/>
      <c r="N21" s="212"/>
      <c r="O21" s="212"/>
      <c r="P21" s="212"/>
      <c r="Q21" s="212"/>
      <c r="R21" s="212"/>
      <c r="S21" s="212"/>
      <c r="T21" s="212"/>
      <c r="U21" s="212"/>
      <c r="V21" s="212"/>
      <c r="W21" s="212"/>
      <c r="X21" s="212"/>
      <c r="Y21" s="212"/>
      <c r="Z21" s="212"/>
      <c r="AA21" s="212"/>
      <c r="AB21" s="212"/>
      <c r="AC21" s="212"/>
      <c r="AD21" s="212"/>
      <c r="AE21" s="212"/>
      <c r="AF21" s="212"/>
      <c r="AG21" s="212"/>
      <c r="AH21" s="212"/>
      <c r="AI21" s="212"/>
      <c r="AJ21" s="212"/>
      <c r="AK21" s="212"/>
      <c r="AL21" s="212"/>
    </row>
    <row r="22" spans="2:47">
      <c r="B22" s="81"/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X22" s="212"/>
      <c r="Y22" s="212"/>
      <c r="Z22" s="212"/>
      <c r="AA22" s="212"/>
      <c r="AB22" s="212"/>
      <c r="AC22" s="212"/>
      <c r="AD22" s="212"/>
      <c r="AE22" s="212"/>
      <c r="AF22" s="212"/>
      <c r="AG22" s="212"/>
      <c r="AH22" s="212"/>
      <c r="AI22" s="212"/>
      <c r="AJ22" s="212"/>
      <c r="AK22" s="212"/>
      <c r="AL22" s="212"/>
    </row>
    <row r="23" spans="2:47">
      <c r="B23" s="81"/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212"/>
      <c r="N23" s="212"/>
      <c r="O23" s="212"/>
      <c r="P23" s="212"/>
      <c r="Q23" s="212"/>
      <c r="R23" s="212"/>
      <c r="S23" s="212"/>
      <c r="T23" s="212"/>
      <c r="U23" s="212"/>
      <c r="V23" s="212"/>
      <c r="W23" s="212"/>
      <c r="X23" s="212"/>
      <c r="Y23" s="212"/>
      <c r="Z23" s="212"/>
      <c r="AA23" s="212"/>
      <c r="AB23" s="212"/>
      <c r="AC23" s="212"/>
      <c r="AD23" s="212"/>
      <c r="AE23" s="212"/>
      <c r="AF23" s="212"/>
      <c r="AG23" s="212"/>
      <c r="AH23" s="212"/>
      <c r="AI23" s="212"/>
      <c r="AJ23" s="212"/>
      <c r="AK23" s="212"/>
      <c r="AL23" s="212"/>
      <c r="AM23" s="212"/>
      <c r="AN23" s="212"/>
      <c r="AO23" s="212"/>
      <c r="AP23" s="212"/>
      <c r="AQ23" s="212"/>
      <c r="AR23" s="212"/>
      <c r="AS23" s="212"/>
      <c r="AT23" s="212"/>
      <c r="AU23" s="212"/>
    </row>
    <row r="24" spans="2:47">
      <c r="B24" s="120"/>
      <c r="C24" s="212"/>
      <c r="D24" s="212"/>
      <c r="E24" s="212"/>
      <c r="F24" s="212"/>
      <c r="G24" s="212"/>
      <c r="H24" s="212"/>
      <c r="I24" s="212"/>
      <c r="J24" s="212"/>
      <c r="K24" s="212"/>
      <c r="L24" s="212"/>
      <c r="M24" s="212"/>
      <c r="N24" s="212"/>
      <c r="O24" s="212"/>
      <c r="P24" s="212"/>
      <c r="Q24" s="212"/>
      <c r="R24" s="212"/>
      <c r="S24" s="212"/>
      <c r="T24" s="212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2"/>
      <c r="AI24" s="212"/>
      <c r="AJ24" s="212"/>
      <c r="AK24" s="212"/>
      <c r="AL24" s="212"/>
      <c r="AM24" s="212"/>
      <c r="AN24" s="212"/>
      <c r="AO24" s="212"/>
      <c r="AP24" s="212"/>
      <c r="AQ24" s="212"/>
      <c r="AR24" s="212"/>
      <c r="AS24" s="212"/>
      <c r="AT24" s="212"/>
      <c r="AU24" s="212"/>
    </row>
    <row r="25" spans="2:47">
      <c r="B25" s="212"/>
      <c r="C25" s="212"/>
      <c r="D25" s="212"/>
      <c r="E25" s="212"/>
      <c r="F25" s="212"/>
      <c r="G25" s="212"/>
      <c r="H25" s="212"/>
      <c r="I25" s="212"/>
      <c r="J25" s="212"/>
      <c r="K25" s="212"/>
      <c r="L25" s="212"/>
      <c r="M25" s="212"/>
      <c r="N25" s="212"/>
      <c r="O25" s="212"/>
      <c r="P25" s="212"/>
      <c r="Q25" s="212"/>
      <c r="R25" s="212"/>
      <c r="S25" s="212"/>
      <c r="T25" s="212"/>
      <c r="U25" s="212"/>
      <c r="V25" s="212"/>
      <c r="W25" s="212"/>
      <c r="X25" s="212"/>
      <c r="Y25" s="212"/>
      <c r="Z25" s="212"/>
      <c r="AA25" s="212"/>
      <c r="AB25" s="212"/>
      <c r="AC25" s="212"/>
      <c r="AD25" s="212"/>
      <c r="AE25" s="212"/>
      <c r="AF25" s="212"/>
      <c r="AG25" s="212"/>
      <c r="AH25" s="212"/>
      <c r="AI25" s="212"/>
      <c r="AJ25" s="212"/>
      <c r="AK25" s="212"/>
      <c r="AL25" s="212"/>
      <c r="AM25" s="212"/>
      <c r="AN25" s="212"/>
      <c r="AO25" s="212"/>
      <c r="AP25" s="212"/>
      <c r="AQ25" s="212"/>
      <c r="AR25" s="212"/>
      <c r="AS25" s="212"/>
      <c r="AT25" s="212"/>
      <c r="AU25" s="212"/>
    </row>
    <row r="26" spans="2:47">
      <c r="C26" s="212"/>
      <c r="D26" s="212"/>
      <c r="E26" s="212"/>
      <c r="F26" s="212"/>
      <c r="G26" s="212"/>
      <c r="H26" s="212"/>
      <c r="I26" s="212"/>
      <c r="J26" s="212"/>
      <c r="K26" s="212"/>
      <c r="L26" s="212"/>
      <c r="M26" s="212"/>
      <c r="N26" s="212"/>
      <c r="O26" s="212"/>
      <c r="P26" s="212"/>
      <c r="Q26" s="212"/>
      <c r="R26" s="212"/>
      <c r="S26" s="212"/>
      <c r="T26" s="212"/>
      <c r="U26" s="212"/>
      <c r="V26" s="212"/>
      <c r="W26" s="212"/>
      <c r="X26" s="212"/>
      <c r="Y26" s="212"/>
      <c r="Z26" s="212"/>
      <c r="AA26" s="212"/>
      <c r="AB26" s="212"/>
      <c r="AC26" s="212"/>
      <c r="AD26" s="212"/>
      <c r="AE26" s="212"/>
      <c r="AF26" s="212"/>
      <c r="AG26" s="212"/>
      <c r="AH26" s="212"/>
      <c r="AI26" s="212"/>
      <c r="AJ26" s="212"/>
      <c r="AK26" s="212"/>
      <c r="AL26" s="212"/>
      <c r="AM26" s="212"/>
      <c r="AN26" s="212"/>
      <c r="AO26" s="212"/>
      <c r="AP26" s="212"/>
      <c r="AQ26" s="212"/>
      <c r="AR26" s="212"/>
      <c r="AS26" s="212"/>
      <c r="AT26" s="212"/>
      <c r="AU26" s="212"/>
    </row>
    <row r="27" spans="2:47">
      <c r="C27" s="212"/>
      <c r="D27" s="902" t="s">
        <v>808</v>
      </c>
      <c r="E27" s="902"/>
      <c r="F27" s="212"/>
      <c r="G27" s="212"/>
      <c r="H27" s="212"/>
      <c r="I27" s="212"/>
      <c r="J27" s="212"/>
      <c r="K27" s="212"/>
      <c r="L27" s="212"/>
      <c r="M27" s="212"/>
      <c r="N27" s="212"/>
      <c r="O27" s="212"/>
      <c r="P27" s="212"/>
      <c r="Q27" s="212"/>
      <c r="R27" s="212"/>
      <c r="S27" s="212"/>
      <c r="T27" s="212"/>
      <c r="U27" s="212"/>
      <c r="V27" s="212"/>
      <c r="W27" s="212"/>
      <c r="X27" s="212"/>
      <c r="Y27" s="212"/>
      <c r="Z27" s="212"/>
      <c r="AA27" s="212"/>
      <c r="AB27" s="212"/>
      <c r="AC27" s="212"/>
      <c r="AD27" s="212"/>
      <c r="AE27" s="212"/>
      <c r="AF27" s="212"/>
      <c r="AG27" s="212"/>
      <c r="AH27" s="212"/>
      <c r="AI27" s="212"/>
      <c r="AJ27" s="212"/>
      <c r="AK27" s="212"/>
      <c r="AL27" s="212"/>
      <c r="AM27" s="212"/>
      <c r="AN27" s="212"/>
      <c r="AO27" s="212"/>
      <c r="AP27" s="212"/>
      <c r="AQ27" s="212"/>
      <c r="AR27" s="212"/>
      <c r="AS27" s="212"/>
      <c r="AT27" s="212"/>
      <c r="AU27" s="212"/>
    </row>
    <row r="28" spans="2:47"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2"/>
      <c r="O28" s="212"/>
      <c r="P28" s="212"/>
      <c r="Q28" s="212"/>
      <c r="R28" s="212"/>
      <c r="S28" s="212"/>
      <c r="T28" s="212"/>
      <c r="U28" s="212"/>
      <c r="V28" s="212"/>
      <c r="W28" s="212"/>
      <c r="X28" s="212"/>
      <c r="Y28" s="212"/>
      <c r="Z28" s="212"/>
      <c r="AD28" s="212"/>
      <c r="AE28" s="212"/>
      <c r="AF28" s="212"/>
      <c r="AG28" s="212"/>
      <c r="AH28" s="212"/>
      <c r="AI28" s="212"/>
      <c r="AJ28" s="212"/>
      <c r="AK28" s="212"/>
      <c r="AL28" s="212"/>
      <c r="AM28" s="212"/>
      <c r="AN28" s="212"/>
      <c r="AO28" s="212"/>
      <c r="AP28" s="212"/>
      <c r="AQ28" s="212"/>
      <c r="AR28" s="212"/>
      <c r="AS28" s="212"/>
      <c r="AT28" s="212"/>
      <c r="AU28" s="212"/>
    </row>
    <row r="29" spans="2:47"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  <c r="O29" s="212"/>
      <c r="P29" s="212"/>
      <c r="Q29" s="212"/>
      <c r="R29" s="212"/>
      <c r="S29" s="212"/>
      <c r="T29" s="212"/>
      <c r="U29" s="212"/>
      <c r="V29" s="212"/>
      <c r="W29" s="212"/>
      <c r="X29" s="212"/>
      <c r="Y29" s="212"/>
      <c r="Z29" s="212"/>
    </row>
    <row r="30" spans="2:47">
      <c r="C30" s="212"/>
      <c r="D30" s="212"/>
      <c r="E30" s="212"/>
      <c r="F30" s="212" t="s">
        <v>744</v>
      </c>
      <c r="G30" s="212"/>
      <c r="H30" s="212"/>
      <c r="I30" s="212"/>
      <c r="J30" s="212"/>
      <c r="K30" s="212"/>
      <c r="L30" s="212"/>
      <c r="M30" s="212"/>
      <c r="N30" s="212"/>
      <c r="O30" s="212"/>
      <c r="P30" s="212"/>
      <c r="Q30" s="212"/>
      <c r="R30" s="212"/>
      <c r="S30" s="212"/>
      <c r="T30" s="212"/>
      <c r="U30" s="212"/>
      <c r="V30" s="212"/>
      <c r="W30" s="212"/>
      <c r="X30" s="212"/>
      <c r="Y30" s="212"/>
      <c r="Z30" s="212"/>
    </row>
    <row r="31" spans="2:47">
      <c r="C31" s="212"/>
      <c r="D31" s="212"/>
      <c r="E31" s="212"/>
      <c r="F31" s="212" t="s">
        <v>819</v>
      </c>
      <c r="G31" s="212"/>
      <c r="H31" s="212"/>
      <c r="I31" s="212"/>
      <c r="J31" s="212"/>
      <c r="K31" s="212"/>
      <c r="L31" s="212"/>
      <c r="M31" s="212"/>
      <c r="N31" s="212"/>
      <c r="O31" s="212"/>
      <c r="P31" s="212"/>
      <c r="Q31" s="212"/>
      <c r="R31" s="212"/>
      <c r="S31" s="212"/>
      <c r="T31" s="212"/>
      <c r="U31" s="212"/>
      <c r="V31" s="212"/>
      <c r="W31" s="212"/>
      <c r="X31" s="212"/>
      <c r="Y31" s="212"/>
      <c r="Z31" s="212"/>
    </row>
    <row r="32" spans="2:47">
      <c r="D32" s="81"/>
      <c r="F32" s="78" t="s">
        <v>344</v>
      </c>
      <c r="G32" s="78" t="s">
        <v>745</v>
      </c>
      <c r="H32" s="81" t="s">
        <v>746</v>
      </c>
      <c r="I32" s="78" t="s">
        <v>747</v>
      </c>
      <c r="J32" s="120" t="s">
        <v>748</v>
      </c>
      <c r="K32" s="78" t="s">
        <v>749</v>
      </c>
      <c r="L32" s="78" t="s">
        <v>750</v>
      </c>
      <c r="M32" s="78" t="s">
        <v>751</v>
      </c>
      <c r="N32" s="81" t="s">
        <v>752</v>
      </c>
      <c r="O32" s="78" t="s">
        <v>753</v>
      </c>
      <c r="P32" s="212" t="s">
        <v>754</v>
      </c>
      <c r="Q32" s="78" t="s">
        <v>755</v>
      </c>
      <c r="R32" s="78" t="s">
        <v>756</v>
      </c>
      <c r="S32" s="78" t="s">
        <v>757</v>
      </c>
      <c r="T32" s="78" t="s">
        <v>758</v>
      </c>
      <c r="U32" s="78" t="s">
        <v>759</v>
      </c>
    </row>
    <row r="33" spans="3:21">
      <c r="D33" s="81" t="s">
        <v>760</v>
      </c>
      <c r="F33" s="78" t="s">
        <v>370</v>
      </c>
      <c r="G33" s="78" t="s">
        <v>761</v>
      </c>
      <c r="H33" s="78" t="s">
        <v>762</v>
      </c>
      <c r="I33" s="78" t="s">
        <v>763</v>
      </c>
      <c r="J33" s="78" t="s">
        <v>764</v>
      </c>
      <c r="K33" s="78" t="s">
        <v>765</v>
      </c>
      <c r="L33" s="78" t="s">
        <v>766</v>
      </c>
      <c r="M33" s="78" t="s">
        <v>767</v>
      </c>
      <c r="N33" s="81" t="s">
        <v>768</v>
      </c>
      <c r="O33" s="78" t="s">
        <v>769</v>
      </c>
      <c r="P33" s="212" t="s">
        <v>770</v>
      </c>
      <c r="Q33" s="78" t="s">
        <v>771</v>
      </c>
      <c r="R33" s="78" t="s">
        <v>772</v>
      </c>
      <c r="S33" s="78" t="s">
        <v>773</v>
      </c>
      <c r="T33" s="78" t="s">
        <v>774</v>
      </c>
      <c r="U33" s="78" t="s">
        <v>775</v>
      </c>
    </row>
    <row r="34" spans="3:21">
      <c r="F34" s="78" t="s">
        <v>370</v>
      </c>
      <c r="G34" s="78" t="s">
        <v>367</v>
      </c>
      <c r="H34" s="78" t="s">
        <v>367</v>
      </c>
      <c r="I34" s="78" t="s">
        <v>367</v>
      </c>
      <c r="J34" s="78" t="s">
        <v>367</v>
      </c>
      <c r="K34" s="78" t="s">
        <v>367</v>
      </c>
      <c r="L34" s="78" t="s">
        <v>367</v>
      </c>
      <c r="M34" s="78" t="s">
        <v>367</v>
      </c>
      <c r="N34" s="81" t="s">
        <v>367</v>
      </c>
      <c r="O34" s="78" t="s">
        <v>367</v>
      </c>
      <c r="P34" s="212" t="s">
        <v>367</v>
      </c>
      <c r="Q34" s="78" t="s">
        <v>367</v>
      </c>
      <c r="R34" s="78" t="s">
        <v>367</v>
      </c>
      <c r="S34" s="78" t="s">
        <v>367</v>
      </c>
      <c r="T34" s="78" t="s">
        <v>367</v>
      </c>
      <c r="U34" s="78" t="s">
        <v>367</v>
      </c>
    </row>
    <row r="35" spans="3:21">
      <c r="D35" s="78" t="s">
        <v>776</v>
      </c>
      <c r="F35" s="78" t="s">
        <v>777</v>
      </c>
      <c r="G35" s="78">
        <v>107</v>
      </c>
      <c r="H35" s="78">
        <v>85.347222222222229</v>
      </c>
      <c r="I35" s="78">
        <v>68.155555555555551</v>
      </c>
      <c r="J35" s="78">
        <v>70.441666666666663</v>
      </c>
      <c r="K35" s="78">
        <v>59.497222222222213</v>
      </c>
      <c r="L35" s="78">
        <v>52.493611289944454</v>
      </c>
      <c r="M35" s="78">
        <v>52.493611289944454</v>
      </c>
      <c r="N35" s="78">
        <v>0</v>
      </c>
      <c r="O35" s="78">
        <v>0</v>
      </c>
      <c r="P35" s="212">
        <v>0</v>
      </c>
      <c r="Q35" s="78">
        <v>0</v>
      </c>
      <c r="R35" s="78">
        <v>0</v>
      </c>
      <c r="S35" s="78">
        <v>0</v>
      </c>
      <c r="T35" s="78">
        <v>35.554760322712013</v>
      </c>
      <c r="U35" s="78">
        <v>0</v>
      </c>
    </row>
    <row r="36" spans="3:21">
      <c r="D36" s="78" t="s">
        <v>778</v>
      </c>
      <c r="F36" s="78" t="s">
        <v>779</v>
      </c>
      <c r="G36" s="78">
        <v>0.25</v>
      </c>
      <c r="H36" s="78">
        <v>1.9444444444444441E-2</v>
      </c>
      <c r="I36" s="78">
        <v>0.16666666666666666</v>
      </c>
      <c r="J36" s="78">
        <v>7.4999999999999997E-2</v>
      </c>
      <c r="K36" s="78">
        <v>6.6666666666666666E-2</v>
      </c>
      <c r="L36" s="78">
        <v>7.9851204222222222E-2</v>
      </c>
      <c r="M36" s="78">
        <v>7.9851204222222222E-2</v>
      </c>
      <c r="N36" s="78">
        <v>7.9851204222222222E-2</v>
      </c>
      <c r="O36" s="78">
        <v>7.9851204222222222E-2</v>
      </c>
      <c r="P36" s="212">
        <v>0</v>
      </c>
      <c r="Q36" s="78">
        <v>0</v>
      </c>
      <c r="R36" s="78">
        <v>7.4999999999999997E-2</v>
      </c>
      <c r="S36" s="78">
        <v>0</v>
      </c>
      <c r="T36" s="78">
        <v>7.5</v>
      </c>
      <c r="U36" s="78">
        <v>0</v>
      </c>
    </row>
    <row r="37" spans="3:21">
      <c r="D37" s="78" t="s">
        <v>780</v>
      </c>
      <c r="F37" s="78" t="s">
        <v>781</v>
      </c>
      <c r="G37" s="78">
        <v>0.44700000000000001</v>
      </c>
      <c r="H37" s="78">
        <v>0.7138888888888888</v>
      </c>
      <c r="I37" s="78">
        <v>0.16944444444444443</v>
      </c>
      <c r="J37" s="78">
        <v>4.7638888888888884</v>
      </c>
      <c r="K37" s="78">
        <v>6.9444444444444448E-2</v>
      </c>
      <c r="L37" s="78">
        <v>2.851828722222223E-2</v>
      </c>
      <c r="M37" s="78">
        <v>2.851828722222223E-2</v>
      </c>
      <c r="N37" s="78">
        <v>2.851828722222223E-2</v>
      </c>
      <c r="O37" s="78">
        <v>2.851828722222223E-2</v>
      </c>
      <c r="P37" s="212">
        <v>0</v>
      </c>
      <c r="Q37" s="78">
        <v>0</v>
      </c>
      <c r="R37" s="78">
        <v>4.7638888888888884</v>
      </c>
      <c r="S37" s="78">
        <v>0</v>
      </c>
      <c r="T37" s="78">
        <v>1.1919999999999999</v>
      </c>
      <c r="U37" s="78">
        <v>0</v>
      </c>
    </row>
    <row r="38" spans="3:21">
      <c r="D38" s="78" t="s">
        <v>782</v>
      </c>
      <c r="F38" s="78" t="s">
        <v>783</v>
      </c>
      <c r="N38" s="78">
        <v>7.9851204222222222E-2</v>
      </c>
      <c r="O38" s="78">
        <v>7.9851204222222222E-2</v>
      </c>
      <c r="P38" s="212">
        <v>0</v>
      </c>
      <c r="Q38" s="78">
        <v>0</v>
      </c>
      <c r="R38" s="78">
        <v>7.4999999999999997E-2</v>
      </c>
      <c r="S38" s="78">
        <v>0</v>
      </c>
    </row>
    <row r="39" spans="3:21">
      <c r="D39" s="78" t="s">
        <v>784</v>
      </c>
      <c r="F39" s="78" t="s">
        <v>785</v>
      </c>
      <c r="N39" s="78">
        <v>2.851828722222223E-2</v>
      </c>
      <c r="O39" s="78">
        <v>2.851828722222223E-2</v>
      </c>
      <c r="P39" s="212">
        <v>0</v>
      </c>
      <c r="Q39" s="78">
        <v>0</v>
      </c>
      <c r="R39" s="78">
        <v>4.7638888888888884</v>
      </c>
      <c r="S39" s="78">
        <v>0</v>
      </c>
    </row>
    <row r="40" spans="3:21">
      <c r="P40" s="212"/>
    </row>
    <row r="41" spans="3:21">
      <c r="C41" s="78" t="s">
        <v>786</v>
      </c>
      <c r="P41" s="212"/>
    </row>
    <row r="42" spans="3:21">
      <c r="F42" s="78" t="s">
        <v>787</v>
      </c>
      <c r="P42" s="212"/>
    </row>
    <row r="43" spans="3:21">
      <c r="F43" s="78" t="s">
        <v>819</v>
      </c>
      <c r="P43" s="212"/>
    </row>
    <row r="44" spans="3:21">
      <c r="F44" s="78" t="s">
        <v>344</v>
      </c>
      <c r="G44" s="78" t="s">
        <v>745</v>
      </c>
      <c r="H44" s="78" t="s">
        <v>746</v>
      </c>
      <c r="I44" s="78" t="s">
        <v>747</v>
      </c>
      <c r="J44" s="78" t="s">
        <v>748</v>
      </c>
      <c r="K44" s="78" t="s">
        <v>749</v>
      </c>
      <c r="L44" s="78" t="s">
        <v>750</v>
      </c>
      <c r="M44" s="78" t="s">
        <v>751</v>
      </c>
      <c r="N44" s="78" t="s">
        <v>752</v>
      </c>
      <c r="O44" s="78" t="s">
        <v>753</v>
      </c>
      <c r="P44" s="212" t="s">
        <v>754</v>
      </c>
      <c r="Q44" s="78" t="s">
        <v>755</v>
      </c>
      <c r="R44" s="78" t="s">
        <v>756</v>
      </c>
      <c r="S44" s="78" t="s">
        <v>757</v>
      </c>
      <c r="T44" s="78" t="s">
        <v>758</v>
      </c>
      <c r="U44" s="78" t="s">
        <v>759</v>
      </c>
    </row>
    <row r="45" spans="3:21">
      <c r="D45" s="78" t="s">
        <v>760</v>
      </c>
      <c r="F45" s="78" t="s">
        <v>370</v>
      </c>
      <c r="G45" s="78" t="s">
        <v>761</v>
      </c>
      <c r="H45" s="78" t="s">
        <v>762</v>
      </c>
      <c r="I45" s="78" t="s">
        <v>763</v>
      </c>
      <c r="J45" s="78" t="s">
        <v>764</v>
      </c>
      <c r="K45" s="78" t="s">
        <v>765</v>
      </c>
      <c r="L45" s="78" t="s">
        <v>766</v>
      </c>
      <c r="M45" s="78" t="s">
        <v>767</v>
      </c>
      <c r="N45" s="78" t="s">
        <v>768</v>
      </c>
      <c r="O45" s="78" t="s">
        <v>769</v>
      </c>
      <c r="P45" s="212" t="s">
        <v>770</v>
      </c>
      <c r="Q45" s="78" t="s">
        <v>771</v>
      </c>
      <c r="R45" s="78" t="s">
        <v>772</v>
      </c>
      <c r="S45" s="78" t="s">
        <v>773</v>
      </c>
      <c r="T45" s="78" t="s">
        <v>788</v>
      </c>
      <c r="U45" s="78" t="s">
        <v>789</v>
      </c>
    </row>
    <row r="46" spans="3:21">
      <c r="F46" s="78" t="s">
        <v>370</v>
      </c>
      <c r="G46" s="78" t="s">
        <v>367</v>
      </c>
      <c r="H46" s="78" t="s">
        <v>367</v>
      </c>
      <c r="I46" s="78" t="s">
        <v>367</v>
      </c>
      <c r="J46" s="78" t="s">
        <v>367</v>
      </c>
      <c r="K46" s="78" t="s">
        <v>367</v>
      </c>
      <c r="L46" s="78" t="s">
        <v>367</v>
      </c>
      <c r="M46" s="78" t="s">
        <v>367</v>
      </c>
      <c r="N46" s="78" t="s">
        <v>367</v>
      </c>
      <c r="O46" s="78" t="s">
        <v>367</v>
      </c>
      <c r="P46" s="212" t="s">
        <v>367</v>
      </c>
      <c r="Q46" s="78" t="s">
        <v>367</v>
      </c>
      <c r="R46" s="78" t="s">
        <v>367</v>
      </c>
      <c r="S46" s="78" t="s">
        <v>367</v>
      </c>
      <c r="T46" s="78" t="s">
        <v>367</v>
      </c>
      <c r="U46" s="78" t="s">
        <v>367</v>
      </c>
    </row>
    <row r="47" spans="3:21">
      <c r="D47" s="78" t="s">
        <v>790</v>
      </c>
      <c r="E47" s="78" t="s">
        <v>791</v>
      </c>
      <c r="F47" s="78" t="s">
        <v>792</v>
      </c>
      <c r="G47" s="78">
        <v>6.0378947368421053E-2</v>
      </c>
      <c r="H47" s="78">
        <v>0.32414999999999922</v>
      </c>
      <c r="I47" s="78">
        <v>3.1602980079786249E-3</v>
      </c>
      <c r="J47" s="78">
        <v>3.1783986177098497E-3</v>
      </c>
      <c r="K47" s="78">
        <v>3.609253890302349E-3</v>
      </c>
      <c r="L47" s="78">
        <v>5.6935265820658805E-4</v>
      </c>
      <c r="M47" s="78">
        <v>5.6935265820658805E-4</v>
      </c>
      <c r="N47" s="78">
        <v>5.6935265820658805E-4</v>
      </c>
      <c r="O47" s="78">
        <v>5.6935265820658805E-4</v>
      </c>
      <c r="P47" s="212">
        <v>0.62378182960067274</v>
      </c>
      <c r="Q47" s="78">
        <v>0.62378182960067274</v>
      </c>
      <c r="R47" s="78">
        <v>3.1783986177098497E-3</v>
      </c>
      <c r="S47" s="78">
        <v>0</v>
      </c>
      <c r="T47" s="78">
        <v>8.9270747226252213E-4</v>
      </c>
      <c r="U47" s="78">
        <v>8.9270747226252213E-4</v>
      </c>
    </row>
    <row r="48" spans="3:21">
      <c r="D48" s="78" t="s">
        <v>793</v>
      </c>
      <c r="E48" s="78" t="s">
        <v>794</v>
      </c>
      <c r="F48" s="78" t="s">
        <v>795</v>
      </c>
      <c r="G48" s="78">
        <v>5.948223032829595E-2</v>
      </c>
      <c r="H48" s="78">
        <v>0.31933589108910831</v>
      </c>
      <c r="I48" s="78">
        <v>3.1602980079786249E-3</v>
      </c>
      <c r="J48" s="78">
        <v>3.1783986177098497E-3</v>
      </c>
      <c r="K48" s="78">
        <v>3.609253890302349E-3</v>
      </c>
      <c r="L48" s="78">
        <v>5.6935265820658805E-4</v>
      </c>
      <c r="M48" s="78">
        <v>5.6935265820658805E-4</v>
      </c>
      <c r="N48" s="78">
        <v>5.6935265820658805E-4</v>
      </c>
      <c r="O48" s="78">
        <v>5.6935265820658805E-4</v>
      </c>
      <c r="P48" s="212">
        <v>0.5825145977400924</v>
      </c>
      <c r="Q48" s="78">
        <v>0.5825145977400924</v>
      </c>
      <c r="R48" s="78">
        <v>3.1783986177098497E-3</v>
      </c>
      <c r="S48" s="78">
        <v>0</v>
      </c>
      <c r="T48" s="78">
        <v>8.9270747226252213E-4</v>
      </c>
      <c r="U48" s="78">
        <v>8.9270747226252213E-4</v>
      </c>
    </row>
    <row r="49" spans="4:21">
      <c r="D49" s="78" t="s">
        <v>796</v>
      </c>
      <c r="E49" s="78" t="s">
        <v>797</v>
      </c>
      <c r="F49" s="78" t="s">
        <v>798</v>
      </c>
      <c r="G49" s="78">
        <v>0.14096</v>
      </c>
      <c r="H49" s="78">
        <v>0.12428399999999938</v>
      </c>
      <c r="I49" s="78">
        <v>7.3740286852834708E-2</v>
      </c>
      <c r="J49" s="78">
        <v>7.4162634413229872E-2</v>
      </c>
      <c r="K49" s="78">
        <v>7.1001715874800309E-2</v>
      </c>
      <c r="L49" s="78">
        <v>2.5214189149148903E-2</v>
      </c>
      <c r="M49" s="78">
        <v>2.5214189149148903E-2</v>
      </c>
      <c r="N49" s="78">
        <v>2.5214189149148903E-2</v>
      </c>
      <c r="O49" s="78">
        <v>2.5214189149148903E-2</v>
      </c>
      <c r="P49" s="212">
        <v>6.6463970401742165E-2</v>
      </c>
      <c r="Q49" s="78">
        <v>6.6463970401742165E-2</v>
      </c>
      <c r="R49" s="78">
        <v>7.4162634413229872E-2</v>
      </c>
      <c r="S49" s="78">
        <v>2.4559474332180361E-2</v>
      </c>
      <c r="T49" s="78">
        <v>9.392181949335765E-2</v>
      </c>
      <c r="U49" s="78">
        <v>9.392181949335765E-2</v>
      </c>
    </row>
    <row r="50" spans="4:21">
      <c r="D50" s="78" t="s">
        <v>799</v>
      </c>
      <c r="E50" s="78" t="s">
        <v>800</v>
      </c>
      <c r="F50" s="78" t="s">
        <v>801</v>
      </c>
      <c r="G50" s="78">
        <v>0.53128974259841977</v>
      </c>
      <c r="H50" s="78">
        <v>0.63084192317241516</v>
      </c>
      <c r="I50" s="78">
        <v>1.1537595902144211E-2</v>
      </c>
      <c r="J50" s="78">
        <v>3.3517996246435561E-2</v>
      </c>
      <c r="K50" s="78">
        <v>1.2999999999999999E-4</v>
      </c>
      <c r="L50" s="78">
        <v>3.0799750200000001E-4</v>
      </c>
      <c r="M50" s="78">
        <v>3.0799750200000001E-4</v>
      </c>
      <c r="N50" s="78">
        <v>3.0799750200000001E-4</v>
      </c>
      <c r="O50" s="78">
        <v>3.0799750200000001E-4</v>
      </c>
      <c r="P50" s="212">
        <v>8.1408557364634569E-3</v>
      </c>
      <c r="Q50" s="78">
        <v>8.1408557364634569E-3</v>
      </c>
      <c r="R50" s="78">
        <v>3.3517996246435561E-2</v>
      </c>
      <c r="S50" s="78">
        <v>0</v>
      </c>
      <c r="T50" s="78">
        <v>2.9957464107348863E-3</v>
      </c>
      <c r="U50" s="78">
        <v>2.9957464107348863E-3</v>
      </c>
    </row>
    <row r="51" spans="4:21">
      <c r="D51" s="78" t="s">
        <v>802</v>
      </c>
      <c r="E51" s="78" t="s">
        <v>803</v>
      </c>
      <c r="F51" s="78" t="s">
        <v>804</v>
      </c>
      <c r="G51" s="78">
        <v>3.4969975273754859E-2</v>
      </c>
      <c r="H51" s="78">
        <v>3.4953356417820346E-2</v>
      </c>
      <c r="I51" s="78">
        <v>0</v>
      </c>
      <c r="J51" s="78">
        <v>0</v>
      </c>
      <c r="K51" s="78">
        <v>2.0000000000000001E-9</v>
      </c>
      <c r="L51" s="78">
        <v>1.0266583400000001E-6</v>
      </c>
      <c r="M51" s="78">
        <v>1.0266583400000001E-6</v>
      </c>
      <c r="N51" s="78">
        <v>1.0266583400000001E-6</v>
      </c>
      <c r="O51" s="78">
        <v>1.0266583400000001E-6</v>
      </c>
      <c r="P51" s="212">
        <v>7.4971601666035462E-2</v>
      </c>
      <c r="Q51" s="78">
        <v>7.4971601666035462E-2</v>
      </c>
      <c r="R51" s="78">
        <v>0</v>
      </c>
      <c r="S51" s="78">
        <v>0</v>
      </c>
      <c r="T51" s="78">
        <v>1.6515436926579597E-3</v>
      </c>
      <c r="U51" s="78">
        <v>1.6515436926579597E-3</v>
      </c>
    </row>
    <row r="52" spans="4:21">
      <c r="D52" s="78" t="s">
        <v>805</v>
      </c>
      <c r="E52" s="78" t="s">
        <v>806</v>
      </c>
      <c r="F52" s="78" t="s">
        <v>807</v>
      </c>
      <c r="G52" s="78">
        <v>0.17308371600141292</v>
      </c>
      <c r="H52" s="78">
        <v>0.49428988873685414</v>
      </c>
      <c r="I52" s="78">
        <v>1.0754316268882429E-3</v>
      </c>
      <c r="J52" s="78">
        <v>1.0963034600304342E-3</v>
      </c>
      <c r="K52" s="78">
        <v>4.0825986628010178E-3</v>
      </c>
      <c r="L52" s="78">
        <v>2.52141891491489E-3</v>
      </c>
      <c r="M52" s="78">
        <v>2.52141891491489E-3</v>
      </c>
      <c r="N52" s="78">
        <v>2.52141891491489E-3</v>
      </c>
      <c r="O52" s="78">
        <v>2.52141891491489E-3</v>
      </c>
      <c r="P52" s="212">
        <v>0.53559257856872389</v>
      </c>
      <c r="Q52" s="78">
        <v>0.53559257856872389</v>
      </c>
      <c r="R52" s="78">
        <v>1.0963034600304342E-3</v>
      </c>
      <c r="S52" s="78">
        <v>0</v>
      </c>
      <c r="T52" s="78">
        <v>5.5096335592964808E-4</v>
      </c>
      <c r="U52" s="78">
        <v>5.5096335592964808E-4</v>
      </c>
    </row>
    <row r="53" spans="4:21">
      <c r="P53" s="212"/>
    </row>
  </sheetData>
  <phoneticPr fontId="0" type="noConversion"/>
  <hyperlinks>
    <hyperlink ref="N2" r:id="rId1" display="http://www.epa.ie/pubs/reports/air/airemissions/Emission Factors for 2019 V1816122019.pdf" xr:uid="{30CC4910-8EA4-45EE-91B8-19BDC97ED8B7}"/>
  </hyperlinks>
  <pageMargins left="0.75" right="0.75" top="1" bottom="1" header="0.5" footer="0.5"/>
  <pageSetup paperSize="9" orientation="portrait" horizontalDpi="300" verticalDpi="300" r:id="rId2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7">
    <tabColor rgb="FFFF0000"/>
  </sheetPr>
  <dimension ref="B1:W28"/>
  <sheetViews>
    <sheetView workbookViewId="0"/>
    <sheetView workbookViewId="1"/>
  </sheetViews>
  <sheetFormatPr defaultRowHeight="12.75"/>
  <cols>
    <col min="1" max="1" width="9.140625" style="124"/>
    <col min="2" max="2" width="14.28515625" style="124" customWidth="1"/>
    <col min="3" max="3" width="38.7109375" style="124" customWidth="1"/>
    <col min="4" max="4" width="15.5703125" style="124" customWidth="1"/>
    <col min="5" max="5" width="11.7109375" style="124" customWidth="1"/>
    <col min="6" max="6" width="9.140625" style="124"/>
    <col min="7" max="7" width="13.42578125" style="124" customWidth="1"/>
    <col min="8" max="8" width="13.28515625" style="124" customWidth="1"/>
    <col min="9" max="9" width="12.28515625" style="124" customWidth="1"/>
    <col min="10" max="16" width="9.140625" style="124"/>
    <col min="17" max="17" width="14.5703125" style="124" customWidth="1"/>
    <col min="18" max="18" width="30.5703125" style="124" customWidth="1"/>
    <col min="19" max="19" width="42.28515625" style="124" bestFit="1" customWidth="1"/>
    <col min="20" max="21" width="9.140625" style="124"/>
    <col min="22" max="22" width="11" style="124" customWidth="1"/>
    <col min="23" max="16384" width="9.140625" style="124"/>
  </cols>
  <sheetData>
    <row r="1" spans="2:23">
      <c r="B1" s="130"/>
      <c r="C1" s="130"/>
      <c r="D1" s="130"/>
      <c r="E1" s="129"/>
      <c r="F1" s="130"/>
      <c r="G1" s="130"/>
      <c r="H1" s="130"/>
      <c r="I1" s="130"/>
      <c r="J1" s="130"/>
      <c r="K1" s="130"/>
      <c r="L1" s="130"/>
      <c r="M1" s="130"/>
      <c r="N1" s="130"/>
      <c r="O1" s="130"/>
    </row>
    <row r="2" spans="2:23" ht="15">
      <c r="B2" s="130"/>
      <c r="C2" s="130"/>
      <c r="D2" s="130"/>
      <c r="E2" s="128"/>
      <c r="F2" s="130"/>
      <c r="G2" s="130"/>
      <c r="H2" s="130"/>
      <c r="I2" s="132">
        <v>1.01</v>
      </c>
      <c r="J2" s="130"/>
      <c r="K2" s="130"/>
      <c r="L2" s="130"/>
      <c r="M2" s="130"/>
      <c r="N2" s="130"/>
      <c r="O2" s="130"/>
    </row>
    <row r="3" spans="2:23" ht="18.75">
      <c r="B3" s="127" t="s">
        <v>371</v>
      </c>
      <c r="C3" s="127"/>
      <c r="D3" s="127"/>
      <c r="E3" s="129" t="s">
        <v>372</v>
      </c>
      <c r="F3" s="130"/>
      <c r="G3" s="130"/>
      <c r="H3" s="130"/>
      <c r="I3" s="130"/>
      <c r="J3" s="130"/>
      <c r="K3" s="130"/>
      <c r="L3" s="130"/>
      <c r="M3" s="130"/>
      <c r="N3" s="130"/>
      <c r="O3" s="130"/>
      <c r="Q3" s="133" t="s">
        <v>373</v>
      </c>
      <c r="R3" s="134"/>
      <c r="S3" s="134"/>
      <c r="T3" s="134"/>
      <c r="U3" s="134"/>
      <c r="V3" s="134"/>
      <c r="W3" s="134"/>
    </row>
    <row r="4" spans="2:23" s="909" customFormat="1" ht="30" customHeight="1">
      <c r="B4" s="908" t="s">
        <v>374</v>
      </c>
      <c r="C4" s="908" t="s">
        <v>375</v>
      </c>
      <c r="D4" s="908" t="s">
        <v>376</v>
      </c>
      <c r="E4" s="908" t="s">
        <v>377</v>
      </c>
      <c r="F4" s="908" t="s">
        <v>378</v>
      </c>
      <c r="G4" s="908" t="str">
        <f>"FLO_SHAR~FX~"&amp;RSD_Balance!B3</f>
        <v>FLO_SHAR~FX~2018</v>
      </c>
      <c r="H4" s="908" t="s">
        <v>814</v>
      </c>
      <c r="I4" s="908" t="s">
        <v>379</v>
      </c>
      <c r="J4" s="908" t="s">
        <v>380</v>
      </c>
      <c r="K4" s="908" t="s">
        <v>381</v>
      </c>
      <c r="L4" s="908" t="s">
        <v>382</v>
      </c>
      <c r="M4" s="908" t="s">
        <v>383</v>
      </c>
      <c r="N4" s="908" t="s">
        <v>384</v>
      </c>
      <c r="P4" s="908" t="s">
        <v>385</v>
      </c>
      <c r="Q4" s="908" t="s">
        <v>374</v>
      </c>
      <c r="R4" s="908" t="s">
        <v>375</v>
      </c>
      <c r="S4" s="908" t="s">
        <v>386</v>
      </c>
      <c r="T4" s="908" t="s">
        <v>387</v>
      </c>
      <c r="U4" s="908" t="s">
        <v>388</v>
      </c>
      <c r="V4" s="908" t="s">
        <v>389</v>
      </c>
    </row>
    <row r="5" spans="2:23" ht="13.5" thickBot="1">
      <c r="B5" s="903" t="s">
        <v>815</v>
      </c>
      <c r="C5" s="903"/>
      <c r="D5" s="903"/>
      <c r="E5" s="903" t="s">
        <v>390</v>
      </c>
      <c r="F5" s="903"/>
      <c r="G5" s="903"/>
      <c r="H5" s="903"/>
      <c r="I5" s="903"/>
      <c r="J5" s="903"/>
      <c r="K5" s="903" t="s">
        <v>391</v>
      </c>
      <c r="L5" s="903" t="s">
        <v>392</v>
      </c>
      <c r="M5" s="903" t="s">
        <v>391</v>
      </c>
      <c r="N5" s="903" t="s">
        <v>392</v>
      </c>
      <c r="P5" s="131" t="s">
        <v>370</v>
      </c>
      <c r="Q5" s="131"/>
      <c r="R5" s="131"/>
      <c r="S5" s="131"/>
      <c r="T5" s="131"/>
      <c r="U5" s="131"/>
      <c r="V5" s="131"/>
    </row>
    <row r="6" spans="2:23" ht="13.5" customHeight="1">
      <c r="B6" s="878" t="str">
        <f>SETUP!B8&amp;"_"&amp;SETUP!$B$4</f>
        <v>RSDCOABIT_INF</v>
      </c>
      <c r="C6" s="907" t="str">
        <f>RSD_Commodities!D6</f>
        <v>Bituminous Coal to Residential</v>
      </c>
      <c r="D6" s="879" t="str">
        <f>SETUP!B8</f>
        <v>RSDCOABIT</v>
      </c>
      <c r="E6" s="905" t="str">
        <f>RSD_Commodities!C6</f>
        <v>RSDCOABIT</v>
      </c>
      <c r="F6" s="879">
        <v>1</v>
      </c>
      <c r="G6" s="879">
        <f>RSD_Balance!C9</f>
        <v>3.2459338530121671</v>
      </c>
      <c r="H6" s="879">
        <f>G6*$I$2</f>
        <v>3.2783931915422886</v>
      </c>
      <c r="I6" s="879">
        <v>2</v>
      </c>
      <c r="J6" s="878">
        <v>20</v>
      </c>
      <c r="K6" s="879"/>
      <c r="L6" s="879"/>
      <c r="M6" s="878"/>
      <c r="N6" s="879"/>
      <c r="P6" s="878" t="s">
        <v>393</v>
      </c>
      <c r="Q6" s="879" t="str">
        <f>B6</f>
        <v>RSDCOABIT_INF</v>
      </c>
      <c r="R6" s="879" t="str">
        <f>C6</f>
        <v>Bituminous Coal to Residential</v>
      </c>
      <c r="S6" s="905" t="s">
        <v>53</v>
      </c>
      <c r="T6" s="879" t="s">
        <v>394</v>
      </c>
      <c r="U6" s="879" t="s">
        <v>359</v>
      </c>
      <c r="V6" s="879"/>
      <c r="W6" s="80"/>
    </row>
    <row r="7" spans="2:23" ht="13.5" customHeight="1">
      <c r="B7" s="877" t="str">
        <f>SETUP!B9&amp;"_"&amp;SETUP!$B$4</f>
        <v>RSDCOAHAR_INF</v>
      </c>
      <c r="C7" s="904" t="str">
        <f>RSD_Commodities!D7</f>
        <v>Anthracite + Manufactured Ovoids to Residential</v>
      </c>
      <c r="D7" s="877" t="str">
        <f>SETUP!B9</f>
        <v>RSDCOAHAR</v>
      </c>
      <c r="E7" s="877" t="str">
        <f>RSD_Commodities!C7</f>
        <v>RSDCOAHAR</v>
      </c>
      <c r="F7" s="877">
        <v>1</v>
      </c>
      <c r="G7" s="877">
        <f>RSD_Balance!C10</f>
        <v>2.936284539060845</v>
      </c>
      <c r="H7" s="877">
        <f t="shared" ref="H7:H27" si="0">G7*$I$2</f>
        <v>2.9656473844514535</v>
      </c>
      <c r="I7" s="877"/>
      <c r="J7" s="876">
        <v>20</v>
      </c>
      <c r="K7" s="877"/>
      <c r="L7" s="877"/>
      <c r="M7" s="876"/>
      <c r="N7" s="877"/>
      <c r="P7" s="877"/>
      <c r="Q7" s="877" t="str">
        <f t="shared" ref="Q7:Q27" si="1">B7</f>
        <v>RSDCOAHAR_INF</v>
      </c>
      <c r="R7" s="877" t="str">
        <f t="shared" ref="R7:R27" si="2">C7</f>
        <v>Anthracite + Manufactured Ovoids to Residential</v>
      </c>
      <c r="S7" s="877" t="s">
        <v>53</v>
      </c>
      <c r="T7" s="877" t="s">
        <v>394</v>
      </c>
      <c r="U7" s="877" t="s">
        <v>359</v>
      </c>
      <c r="V7" s="877"/>
      <c r="W7" s="80"/>
    </row>
    <row r="8" spans="2:23" ht="13.5" customHeight="1">
      <c r="B8" s="879" t="str">
        <f>SETUP!B10&amp;"_"&amp;SETUP!$B$4</f>
        <v>RSDCOACOK_INF</v>
      </c>
      <c r="C8" s="905" t="str">
        <f>RSD_Commodities!D8</f>
        <v>Coke to Residential</v>
      </c>
      <c r="D8" s="879" t="str">
        <f>SETUP!B10</f>
        <v>RSDCOACOK</v>
      </c>
      <c r="E8" s="879" t="str">
        <f>RSD_Commodities!C8</f>
        <v>RSDCOACOK</v>
      </c>
      <c r="F8" s="879">
        <v>1</v>
      </c>
      <c r="G8" s="879">
        <f>RSD_Balance!C11</f>
        <v>0</v>
      </c>
      <c r="H8" s="879">
        <f t="shared" si="0"/>
        <v>0</v>
      </c>
      <c r="I8" s="879"/>
      <c r="J8" s="878">
        <v>20</v>
      </c>
      <c r="K8" s="879"/>
      <c r="L8" s="879"/>
      <c r="M8" s="878"/>
      <c r="N8" s="879"/>
      <c r="P8" s="879"/>
      <c r="Q8" s="879" t="str">
        <f t="shared" si="1"/>
        <v>RSDCOACOK_INF</v>
      </c>
      <c r="R8" s="879" t="str">
        <f t="shared" si="2"/>
        <v>Coke to Residential</v>
      </c>
      <c r="S8" s="879" t="s">
        <v>53</v>
      </c>
      <c r="T8" s="879" t="s">
        <v>394</v>
      </c>
      <c r="U8" s="879" t="s">
        <v>359</v>
      </c>
      <c r="V8" s="879"/>
      <c r="W8" s="80"/>
    </row>
    <row r="9" spans="2:23" ht="13.5" customHeight="1">
      <c r="B9" s="877" t="str">
        <f>SETUP!B11&amp;"_"&amp;SETUP!$B$4</f>
        <v>RSDCOALIG_INF</v>
      </c>
      <c r="C9" s="906" t="str">
        <f>RSD_Commodities!D9</f>
        <v>Lignite \ Brown Coal Briquettes to Residential</v>
      </c>
      <c r="D9" s="877" t="str">
        <f>SETUP!B11</f>
        <v>RSDCOALIG</v>
      </c>
      <c r="E9" s="877" t="str">
        <f>RSD_Commodities!C9</f>
        <v>RSDCOALIG</v>
      </c>
      <c r="F9" s="877">
        <v>1</v>
      </c>
      <c r="G9" s="877">
        <f>RSD_Balance!C12</f>
        <v>0.31508081483866479</v>
      </c>
      <c r="H9" s="877">
        <f t="shared" si="0"/>
        <v>0.31823162298705143</v>
      </c>
      <c r="I9" s="877"/>
      <c r="J9" s="876">
        <v>20</v>
      </c>
      <c r="K9" s="877"/>
      <c r="L9" s="877"/>
      <c r="M9" s="876"/>
      <c r="N9" s="877"/>
      <c r="P9" s="877"/>
      <c r="Q9" s="877" t="str">
        <f t="shared" si="1"/>
        <v>RSDCOALIG_INF</v>
      </c>
      <c r="R9" s="877" t="str">
        <f t="shared" si="2"/>
        <v>Lignite \ Brown Coal Briquettes to Residential</v>
      </c>
      <c r="S9" s="877" t="s">
        <v>53</v>
      </c>
      <c r="T9" s="877" t="s">
        <v>394</v>
      </c>
      <c r="U9" s="877" t="s">
        <v>359</v>
      </c>
      <c r="V9" s="877"/>
      <c r="W9" s="80"/>
    </row>
    <row r="10" spans="2:23" ht="13.5" customHeight="1">
      <c r="B10" s="879" t="str">
        <f>SETUP!B12&amp;"_"&amp;SETUP!$B$4</f>
        <v>RSDPEA_INF</v>
      </c>
      <c r="C10" s="878" t="str">
        <f>RSD_Commodities!D10</f>
        <v>Peat to Residential</v>
      </c>
      <c r="D10" s="879" t="str">
        <f>SETUP!B12</f>
        <v>RSDPEA</v>
      </c>
      <c r="E10" s="879" t="str">
        <f>RSD_Commodities!C10</f>
        <v>RSDPEA</v>
      </c>
      <c r="F10" s="879">
        <v>1</v>
      </c>
      <c r="G10" s="879">
        <f>RSD_Balance!C13</f>
        <v>8.22868674342444</v>
      </c>
      <c r="H10" s="879">
        <f t="shared" si="0"/>
        <v>8.3109736108586851</v>
      </c>
      <c r="I10" s="879"/>
      <c r="J10" s="878">
        <v>20</v>
      </c>
      <c r="K10" s="879"/>
      <c r="L10" s="879"/>
      <c r="M10" s="878"/>
      <c r="N10" s="879"/>
      <c r="P10" s="879"/>
      <c r="Q10" s="879" t="str">
        <f t="shared" si="1"/>
        <v>RSDPEA_INF</v>
      </c>
      <c r="R10" s="879" t="str">
        <f t="shared" si="2"/>
        <v>Peat to Residential</v>
      </c>
      <c r="S10" s="879" t="s">
        <v>53</v>
      </c>
      <c r="T10" s="879" t="s">
        <v>394</v>
      </c>
      <c r="U10" s="879" t="s">
        <v>359</v>
      </c>
      <c r="V10" s="879"/>
      <c r="W10" s="80"/>
    </row>
    <row r="11" spans="2:23" ht="13.5" customHeight="1">
      <c r="B11" s="877" t="str">
        <f>SETUP!B13&amp;"_"&amp;SETUP!$B$4</f>
        <v>RSDOILLPG_INF</v>
      </c>
      <c r="C11" s="876" t="str">
        <f>RSD_Commodities!D11</f>
        <v>LPG to Residential</v>
      </c>
      <c r="D11" s="877" t="str">
        <f>SETUP!B13</f>
        <v>RSDOILLPG</v>
      </c>
      <c r="E11" s="877" t="str">
        <f>RSD_Commodities!C11</f>
        <v>RSDOILLPG</v>
      </c>
      <c r="F11" s="877">
        <v>1</v>
      </c>
      <c r="G11" s="877">
        <f>RSD_Balance!C14</f>
        <v>1.8263239604601826</v>
      </c>
      <c r="H11" s="877">
        <f t="shared" si="0"/>
        <v>1.8445872000647845</v>
      </c>
      <c r="I11" s="877">
        <v>2</v>
      </c>
      <c r="J11" s="876">
        <v>20</v>
      </c>
      <c r="K11" s="877"/>
      <c r="L11" s="877"/>
      <c r="M11" s="876"/>
      <c r="N11" s="877"/>
      <c r="P11" s="877"/>
      <c r="Q11" s="877" t="str">
        <f t="shared" si="1"/>
        <v>RSDOILLPG_INF</v>
      </c>
      <c r="R11" s="877" t="str">
        <f t="shared" si="2"/>
        <v>LPG to Residential</v>
      </c>
      <c r="S11" s="877" t="s">
        <v>53</v>
      </c>
      <c r="T11" s="877" t="s">
        <v>394</v>
      </c>
      <c r="U11" s="877" t="s">
        <v>359</v>
      </c>
      <c r="V11" s="877"/>
      <c r="W11" s="80"/>
    </row>
    <row r="12" spans="2:23" ht="13.5" customHeight="1">
      <c r="B12" s="879" t="str">
        <f>SETUP!B14&amp;"_"&amp;SETUP!$B$4</f>
        <v>RSDOILGSL_INF</v>
      </c>
      <c r="C12" s="878" t="str">
        <f>RSD_Commodities!D12</f>
        <v>Gasoline to Residential</v>
      </c>
      <c r="D12" s="879" t="str">
        <f>SETUP!B14</f>
        <v>RSDOILGSL</v>
      </c>
      <c r="E12" s="879" t="str">
        <f>RSD_Commodities!C12</f>
        <v>RSDOILGSL</v>
      </c>
      <c r="F12" s="879">
        <v>1</v>
      </c>
      <c r="G12" s="879">
        <f>RSD_Balance!C15</f>
        <v>0</v>
      </c>
      <c r="H12" s="879">
        <f t="shared" si="0"/>
        <v>0</v>
      </c>
      <c r="I12" s="879"/>
      <c r="J12" s="878">
        <v>20</v>
      </c>
      <c r="K12" s="879">
        <v>1</v>
      </c>
      <c r="L12" s="879"/>
      <c r="M12" s="878"/>
      <c r="N12" s="879"/>
      <c r="P12" s="878"/>
      <c r="Q12" s="879" t="str">
        <f t="shared" si="1"/>
        <v>RSDOILGSL_INF</v>
      </c>
      <c r="R12" s="879" t="str">
        <f t="shared" si="2"/>
        <v>Gasoline to Residential</v>
      </c>
      <c r="S12" s="905" t="s">
        <v>53</v>
      </c>
      <c r="T12" s="879" t="s">
        <v>394</v>
      </c>
      <c r="U12" s="879" t="s">
        <v>359</v>
      </c>
      <c r="V12" s="879"/>
      <c r="W12" s="80"/>
    </row>
    <row r="13" spans="2:23" ht="13.5" customHeight="1">
      <c r="B13" s="877" t="str">
        <f>SETUP!B15&amp;"_"&amp;SETUP!$B$4</f>
        <v>RSDOILKER_INF</v>
      </c>
      <c r="C13" s="876" t="str">
        <f>RSD_Commodities!D13</f>
        <v>Kerosene to Residential</v>
      </c>
      <c r="D13" s="877" t="str">
        <f>SETUP!B15</f>
        <v>RSDOILKER</v>
      </c>
      <c r="E13" s="877" t="str">
        <f>RSD_Commodities!C13</f>
        <v>RSDOILKER</v>
      </c>
      <c r="F13" s="877">
        <v>1</v>
      </c>
      <c r="G13" s="877">
        <f>RSD_Balance!C16</f>
        <v>35.670303433474402</v>
      </c>
      <c r="H13" s="877">
        <f t="shared" si="0"/>
        <v>36.027006467809144</v>
      </c>
      <c r="I13" s="877"/>
      <c r="J13" s="876">
        <v>20</v>
      </c>
      <c r="K13" s="877">
        <v>1</v>
      </c>
      <c r="L13" s="877"/>
      <c r="M13" s="876"/>
      <c r="N13" s="877"/>
      <c r="P13" s="877"/>
      <c r="Q13" s="877" t="str">
        <f t="shared" si="1"/>
        <v>RSDOILKER_INF</v>
      </c>
      <c r="R13" s="877" t="str">
        <f t="shared" si="2"/>
        <v>Kerosene to Residential</v>
      </c>
      <c r="S13" s="877" t="s">
        <v>53</v>
      </c>
      <c r="T13" s="877" t="s">
        <v>394</v>
      </c>
      <c r="U13" s="877" t="s">
        <v>359</v>
      </c>
      <c r="V13" s="877"/>
      <c r="W13" s="80"/>
    </row>
    <row r="14" spans="2:23" ht="13.5" customHeight="1">
      <c r="B14" s="879" t="str">
        <f>SETUP!B16&amp;"_"&amp;SETUP!$B$4</f>
        <v>RSDOILDST_INF</v>
      </c>
      <c r="C14" s="878" t="str">
        <f>RSD_Commodities!D14</f>
        <v>Gasoil / Diesel /DERV to Residential</v>
      </c>
      <c r="D14" s="879" t="str">
        <f>SETUP!B16</f>
        <v>RSDOILDST</v>
      </c>
      <c r="E14" s="879" t="str">
        <f>RSD_Commodities!C14</f>
        <v>RSDOILDST</v>
      </c>
      <c r="F14" s="879">
        <v>1</v>
      </c>
      <c r="G14" s="879">
        <f>RSD_Balance!C17</f>
        <v>6.6971734118003301</v>
      </c>
      <c r="H14" s="879">
        <f t="shared" si="0"/>
        <v>6.7641451459183335</v>
      </c>
      <c r="I14" s="879"/>
      <c r="J14" s="878">
        <v>20</v>
      </c>
      <c r="K14" s="879"/>
      <c r="L14" s="879"/>
      <c r="M14" s="878"/>
      <c r="N14" s="879"/>
      <c r="P14" s="879"/>
      <c r="Q14" s="879" t="str">
        <f t="shared" si="1"/>
        <v>RSDOILDST_INF</v>
      </c>
      <c r="R14" s="879" t="str">
        <f t="shared" si="2"/>
        <v>Gasoil / Diesel /DERV to Residential</v>
      </c>
      <c r="S14" s="879" t="s">
        <v>53</v>
      </c>
      <c r="T14" s="879" t="s">
        <v>394</v>
      </c>
      <c r="U14" s="879" t="s">
        <v>362</v>
      </c>
      <c r="V14" s="879"/>
      <c r="W14" s="80"/>
    </row>
    <row r="15" spans="2:23" ht="13.5" customHeight="1">
      <c r="B15" s="877" t="str">
        <f>SETUP!B17&amp;"_"&amp;SETUP!$B$4</f>
        <v>RSDOILHFO_INF</v>
      </c>
      <c r="C15" s="876" t="str">
        <f>RSD_Commodities!D15</f>
        <v>Fueloil to Residential</v>
      </c>
      <c r="D15" s="877" t="str">
        <f>SETUP!B17</f>
        <v>RSDOILHFO</v>
      </c>
      <c r="E15" s="877" t="str">
        <f>RSD_Commodities!C15</f>
        <v>RSDOILHFO</v>
      </c>
      <c r="F15" s="877">
        <v>1</v>
      </c>
      <c r="G15" s="877">
        <f>RSD_Balance!C18</f>
        <v>0</v>
      </c>
      <c r="H15" s="877">
        <f t="shared" si="0"/>
        <v>0</v>
      </c>
      <c r="I15" s="877"/>
      <c r="J15" s="876">
        <v>20</v>
      </c>
      <c r="K15" s="877"/>
      <c r="L15" s="877"/>
      <c r="M15" s="876"/>
      <c r="N15" s="877"/>
      <c r="P15" s="877"/>
      <c r="Q15" s="877" t="str">
        <f t="shared" si="1"/>
        <v>RSDOILHFO_INF</v>
      </c>
      <c r="R15" s="877" t="str">
        <f t="shared" si="2"/>
        <v>Fueloil to Residential</v>
      </c>
      <c r="S15" s="877" t="s">
        <v>53</v>
      </c>
      <c r="T15" s="877" t="s">
        <v>394</v>
      </c>
      <c r="U15" s="877" t="s">
        <v>359</v>
      </c>
      <c r="V15" s="877"/>
      <c r="W15" s="80"/>
    </row>
    <row r="16" spans="2:23" ht="13.5" customHeight="1">
      <c r="B16" s="879" t="str">
        <f>SETUP!B18&amp;"_"&amp;SETUP!$B$4</f>
        <v>RSDOILCOK_INF</v>
      </c>
      <c r="C16" s="878" t="str">
        <f>RSD_Commodities!D16</f>
        <v>Petroleum Coke to Residential</v>
      </c>
      <c r="D16" s="879" t="str">
        <f>SETUP!B18</f>
        <v>RSDOILCOK</v>
      </c>
      <c r="E16" s="879" t="str">
        <f>RSD_Commodities!C16</f>
        <v>RSDOILCOK</v>
      </c>
      <c r="F16" s="879">
        <v>1</v>
      </c>
      <c r="G16" s="879">
        <f>RSD_Balance!C19</f>
        <v>0.14696868507580046</v>
      </c>
      <c r="H16" s="879">
        <f t="shared" si="0"/>
        <v>0.14843837192655848</v>
      </c>
      <c r="I16" s="879"/>
      <c r="J16" s="878">
        <v>20</v>
      </c>
      <c r="K16" s="879"/>
      <c r="L16" s="879"/>
      <c r="M16" s="878"/>
      <c r="N16" s="879"/>
      <c r="P16" s="879"/>
      <c r="Q16" s="879" t="str">
        <f t="shared" si="1"/>
        <v>RSDOILCOK_INF</v>
      </c>
      <c r="R16" s="879" t="str">
        <f t="shared" si="2"/>
        <v>Petroleum Coke to Residential</v>
      </c>
      <c r="S16" s="879" t="s">
        <v>53</v>
      </c>
      <c r="T16" s="879" t="s">
        <v>394</v>
      </c>
      <c r="U16" s="879" t="s">
        <v>359</v>
      </c>
      <c r="V16" s="879"/>
      <c r="W16" s="80"/>
    </row>
    <row r="17" spans="2:23" ht="13.5" customHeight="1">
      <c r="B17" s="877" t="str">
        <f>SETUP!B19&amp;"_"&amp;SETUP!$B$4</f>
        <v>RSDGASNAT_INF</v>
      </c>
      <c r="C17" s="876" t="str">
        <f>RSD_Commodities!D17</f>
        <v>Natural Gas to Residential</v>
      </c>
      <c r="D17" s="877" t="str">
        <f>SETUP!B19</f>
        <v>RSDGASNAT</v>
      </c>
      <c r="E17" s="877" t="str">
        <f>RSD_Commodities!C17</f>
        <v>RSDGASNAT</v>
      </c>
      <c r="F17" s="877">
        <v>1</v>
      </c>
      <c r="G17" s="877">
        <f>RSD_Balance!C20</f>
        <v>25.292197479166735</v>
      </c>
      <c r="H17" s="877">
        <f t="shared" si="0"/>
        <v>25.545119453958403</v>
      </c>
      <c r="I17" s="877"/>
      <c r="J17" s="876">
        <v>20</v>
      </c>
      <c r="K17" s="877"/>
      <c r="L17" s="877"/>
      <c r="M17" s="876"/>
      <c r="N17" s="877"/>
      <c r="P17" s="877"/>
      <c r="Q17" s="877" t="str">
        <f t="shared" si="1"/>
        <v>RSDGASNAT_INF</v>
      </c>
      <c r="R17" s="877" t="str">
        <f t="shared" si="2"/>
        <v>Natural Gas to Residential</v>
      </c>
      <c r="S17" s="877" t="s">
        <v>53</v>
      </c>
      <c r="T17" s="877" t="s">
        <v>394</v>
      </c>
      <c r="U17" s="877" t="s">
        <v>359</v>
      </c>
      <c r="V17" s="877"/>
      <c r="W17" s="80"/>
    </row>
    <row r="18" spans="2:23" ht="13.5" customHeight="1">
      <c r="B18" s="879" t="str">
        <f>SETUP!B20&amp;"_"&amp;SETUP!$B$4</f>
        <v>RSDRENSOL_INF</v>
      </c>
      <c r="C18" s="878" t="str">
        <f>RSD_Commodities!D18</f>
        <v>Solar to Residential</v>
      </c>
      <c r="D18" s="879" t="str">
        <f>SETUP!B20</f>
        <v>RSDRENSOL</v>
      </c>
      <c r="E18" s="879" t="str">
        <f>RSD_Commodities!C18</f>
        <v>RSDRENSOL</v>
      </c>
      <c r="F18" s="879">
        <v>1</v>
      </c>
      <c r="G18" s="879">
        <f>RSD_Balance!C21</f>
        <v>0.56017671356000831</v>
      </c>
      <c r="H18" s="879">
        <f t="shared" si="0"/>
        <v>0.56577848069560843</v>
      </c>
      <c r="I18" s="879"/>
      <c r="J18" s="878">
        <v>20</v>
      </c>
      <c r="K18" s="879"/>
      <c r="L18" s="879"/>
      <c r="M18" s="878"/>
      <c r="N18" s="879"/>
      <c r="P18" s="878"/>
      <c r="Q18" s="879" t="str">
        <f t="shared" si="1"/>
        <v>RSDRENSOL_INF</v>
      </c>
      <c r="R18" s="879" t="str">
        <f t="shared" si="2"/>
        <v>Solar to Residential</v>
      </c>
      <c r="S18" s="905" t="s">
        <v>53</v>
      </c>
      <c r="T18" s="879" t="s">
        <v>394</v>
      </c>
      <c r="U18" s="879" t="s">
        <v>359</v>
      </c>
      <c r="V18" s="879"/>
      <c r="W18" s="80"/>
    </row>
    <row r="19" spans="2:23" ht="13.5" customHeight="1">
      <c r="B19" s="877" t="str">
        <f>SETUP!B21&amp;"_"&amp;SETUP!$B$4</f>
        <v>RSDBIOWOO_INF</v>
      </c>
      <c r="C19" s="876" t="str">
        <f>RSD_Commodities!D19</f>
        <v>Biomass &amp; Renewable Waste to Residential</v>
      </c>
      <c r="D19" s="877" t="str">
        <f>SETUP!B21</f>
        <v>RSDBIOWOO</v>
      </c>
      <c r="E19" s="877" t="str">
        <f>RSD_Commodities!C19</f>
        <v>RSDBIOWOO</v>
      </c>
      <c r="F19" s="877">
        <v>1</v>
      </c>
      <c r="G19" s="877">
        <f>RSD_Balance!C22</f>
        <v>1.1663445324142983</v>
      </c>
      <c r="H19" s="877">
        <f t="shared" si="0"/>
        <v>1.1780079777384413</v>
      </c>
      <c r="I19" s="877"/>
      <c r="J19" s="876">
        <v>20</v>
      </c>
      <c r="K19" s="877">
        <v>1</v>
      </c>
      <c r="L19" s="877"/>
      <c r="M19" s="876"/>
      <c r="N19" s="877"/>
      <c r="P19" s="877"/>
      <c r="Q19" s="877" t="str">
        <f t="shared" si="1"/>
        <v>RSDBIOWOO_INF</v>
      </c>
      <c r="R19" s="877" t="str">
        <f t="shared" si="2"/>
        <v>Biomass &amp; Renewable Waste to Residential</v>
      </c>
      <c r="S19" s="877" t="s">
        <v>53</v>
      </c>
      <c r="T19" s="877" t="s">
        <v>394</v>
      </c>
      <c r="U19" s="877" t="s">
        <v>359</v>
      </c>
      <c r="V19" s="877"/>
      <c r="W19" s="80"/>
    </row>
    <row r="20" spans="2:23" ht="13.5" customHeight="1">
      <c r="B20" s="879" t="str">
        <f>SETUP!B22&amp;"_"&amp;SETUP!$B$4</f>
        <v>RSDBIOGAS_INF</v>
      </c>
      <c r="C20" s="878" t="str">
        <f>RSD_Commodities!D20</f>
        <v>Biogas to Residential</v>
      </c>
      <c r="D20" s="879" t="str">
        <f>SETUP!B22</f>
        <v>RSDBIOGAS</v>
      </c>
      <c r="E20" s="879" t="str">
        <f>RSD_Commodities!C20</f>
        <v>RSDBIOGAS</v>
      </c>
      <c r="F20" s="879">
        <v>1</v>
      </c>
      <c r="G20" s="879">
        <f>RSD_Balance!C23</f>
        <v>0</v>
      </c>
      <c r="H20" s="879">
        <f t="shared" si="0"/>
        <v>0</v>
      </c>
      <c r="I20" s="879"/>
      <c r="J20" s="878">
        <v>20</v>
      </c>
      <c r="K20" s="879">
        <v>1</v>
      </c>
      <c r="L20" s="879"/>
      <c r="M20" s="878"/>
      <c r="N20" s="879"/>
      <c r="P20" s="879"/>
      <c r="Q20" s="879" t="str">
        <f t="shared" si="1"/>
        <v>RSDBIOGAS_INF</v>
      </c>
      <c r="R20" s="879" t="str">
        <f t="shared" si="2"/>
        <v>Biogas to Residential</v>
      </c>
      <c r="S20" s="879" t="s">
        <v>53</v>
      </c>
      <c r="T20" s="879" t="s">
        <v>394</v>
      </c>
      <c r="U20" s="879" t="s">
        <v>359</v>
      </c>
      <c r="V20" s="879"/>
    </row>
    <row r="21" spans="2:23" ht="13.5" customHeight="1">
      <c r="B21" s="877" t="str">
        <f>SETUP!B23&amp;"_"&amp;SETUP!$B$4</f>
        <v>RSDBIOMUN_INF</v>
      </c>
      <c r="C21" s="876" t="str">
        <f>RSD_Commodities!D21</f>
        <v>Landfill Gas to Residential</v>
      </c>
      <c r="D21" s="877" t="str">
        <f>SETUP!B23</f>
        <v>RSDBIOMUN</v>
      </c>
      <c r="E21" s="877" t="str">
        <f>RSD_Commodities!C21</f>
        <v>RSDBIOMUN</v>
      </c>
      <c r="F21" s="877">
        <v>1</v>
      </c>
      <c r="G21" s="877">
        <f>RSD_Balance!C24</f>
        <v>0</v>
      </c>
      <c r="H21" s="877">
        <f t="shared" si="0"/>
        <v>0</v>
      </c>
      <c r="I21" s="877"/>
      <c r="J21" s="876">
        <v>20</v>
      </c>
      <c r="K21" s="877"/>
      <c r="L21" s="877"/>
      <c r="M21" s="876"/>
      <c r="N21" s="877"/>
      <c r="P21" s="877"/>
      <c r="Q21" s="877" t="str">
        <f t="shared" si="1"/>
        <v>RSDBIOMUN_INF</v>
      </c>
      <c r="R21" s="877" t="str">
        <f t="shared" si="2"/>
        <v>Landfill Gas to Residential</v>
      </c>
      <c r="S21" s="877" t="s">
        <v>53</v>
      </c>
      <c r="T21" s="877" t="s">
        <v>394</v>
      </c>
      <c r="U21" s="877" t="s">
        <v>359</v>
      </c>
      <c r="V21" s="877"/>
    </row>
    <row r="22" spans="2:23" ht="13.5" customHeight="1">
      <c r="B22" s="879" t="str">
        <f>SETUP!B24&amp;"_"&amp;SETUP!$B$4</f>
        <v>RSDRENGEO_INF</v>
      </c>
      <c r="C22" s="878" t="str">
        <f>RSD_Commodities!D22</f>
        <v>Geothermal to Residential</v>
      </c>
      <c r="D22" s="879" t="str">
        <f>SETUP!B24</f>
        <v>RSDRENGEO</v>
      </c>
      <c r="E22" s="879" t="str">
        <f>RSD_Commodities!C22</f>
        <v>RSDRENGEO</v>
      </c>
      <c r="F22" s="879">
        <v>1</v>
      </c>
      <c r="G22" s="879">
        <f>RSD_Balance!C25</f>
        <v>1.1367099712825202</v>
      </c>
      <c r="H22" s="879">
        <f t="shared" si="0"/>
        <v>1.1480770709953454</v>
      </c>
      <c r="I22" s="879"/>
      <c r="J22" s="878">
        <v>20</v>
      </c>
      <c r="K22" s="879"/>
      <c r="L22" s="879"/>
      <c r="M22" s="878"/>
      <c r="N22" s="879"/>
      <c r="P22" s="879"/>
      <c r="Q22" s="879" t="str">
        <f t="shared" si="1"/>
        <v>RSDRENGEO_INF</v>
      </c>
      <c r="R22" s="879" t="str">
        <f t="shared" si="2"/>
        <v>Geothermal to Residential</v>
      </c>
      <c r="S22" s="879" t="s">
        <v>53</v>
      </c>
      <c r="T22" s="879" t="s">
        <v>394</v>
      </c>
      <c r="U22" s="879" t="s">
        <v>359</v>
      </c>
      <c r="V22" s="879"/>
    </row>
    <row r="23" spans="2:23" ht="13.5" customHeight="1">
      <c r="B23" s="877" t="str">
        <f>SETUP!B25&amp;"_"&amp;SETUP!$B$4</f>
        <v>RSDBIOETH_INF</v>
      </c>
      <c r="C23" s="876" t="str">
        <f>RSD_Commodities!D23</f>
        <v>Ethanol to Residential</v>
      </c>
      <c r="D23" s="877" t="str">
        <f>SETUP!B25</f>
        <v>RSDBIOETH</v>
      </c>
      <c r="E23" s="877" t="str">
        <f>RSD_Commodities!C23</f>
        <v>RSDBIOETH</v>
      </c>
      <c r="F23" s="877">
        <v>1</v>
      </c>
      <c r="G23" s="877">
        <f>RSD_Balance!C26</f>
        <v>0</v>
      </c>
      <c r="H23" s="877">
        <f t="shared" si="0"/>
        <v>0</v>
      </c>
      <c r="I23" s="877"/>
      <c r="J23" s="876">
        <v>20</v>
      </c>
      <c r="K23" s="877"/>
      <c r="L23" s="877"/>
      <c r="M23" s="876"/>
      <c r="N23" s="877"/>
      <c r="P23" s="877"/>
      <c r="Q23" s="877" t="str">
        <f t="shared" si="1"/>
        <v>RSDBIOETH_INF</v>
      </c>
      <c r="R23" s="877" t="str">
        <f t="shared" si="2"/>
        <v>Ethanol to Residential</v>
      </c>
      <c r="S23" s="877" t="s">
        <v>53</v>
      </c>
      <c r="T23" s="877" t="s">
        <v>394</v>
      </c>
      <c r="U23" s="877" t="s">
        <v>359</v>
      </c>
      <c r="V23" s="877"/>
    </row>
    <row r="24" spans="2:23" ht="13.5" customHeight="1">
      <c r="B24" s="879" t="str">
        <f>SETUP!B26&amp;"_"&amp;SETUP!$B$4</f>
        <v>RSDBIODST_INF</v>
      </c>
      <c r="C24" s="878" t="str">
        <f>RSD_Commodities!D24</f>
        <v>Biodiesel to Residential</v>
      </c>
      <c r="D24" s="879" t="str">
        <f>SETUP!B26</f>
        <v>RSDBIODST</v>
      </c>
      <c r="E24" s="879" t="str">
        <f>RSD_Commodities!C24</f>
        <v>RSDBIODST</v>
      </c>
      <c r="F24" s="879">
        <v>1</v>
      </c>
      <c r="G24" s="879">
        <f>RSD_Balance!C27</f>
        <v>0</v>
      </c>
      <c r="H24" s="879">
        <f t="shared" si="0"/>
        <v>0</v>
      </c>
      <c r="I24" s="879"/>
      <c r="J24" s="878">
        <v>20</v>
      </c>
      <c r="K24" s="879">
        <v>1</v>
      </c>
      <c r="L24" s="879"/>
      <c r="M24" s="878"/>
      <c r="N24" s="879"/>
      <c r="P24" s="878"/>
      <c r="Q24" s="878" t="str">
        <f t="shared" si="1"/>
        <v>RSDBIODST_INF</v>
      </c>
      <c r="R24" s="878" t="str">
        <f t="shared" si="2"/>
        <v>Biodiesel to Residential</v>
      </c>
      <c r="S24" s="878" t="s">
        <v>53</v>
      </c>
      <c r="T24" s="878" t="s">
        <v>394</v>
      </c>
      <c r="U24" s="879" t="s">
        <v>359</v>
      </c>
      <c r="V24" s="879"/>
    </row>
    <row r="25" spans="2:23" ht="13.5" customHeight="1">
      <c r="B25" s="877" t="str">
        <f>SETUP!B27&amp;"_"&amp;SETUP!$B$4</f>
        <v>RSDBIOSLU_INF</v>
      </c>
      <c r="C25" s="876" t="str">
        <f>RSD_Commodities!D25</f>
        <v>Non-Renewable Waste to Residential</v>
      </c>
      <c r="D25" s="877" t="str">
        <f>SETUP!B27</f>
        <v>RSDBIOSLU</v>
      </c>
      <c r="E25" s="877" t="str">
        <f>RSD_Commodities!C25</f>
        <v>RSDBIOSLU</v>
      </c>
      <c r="F25" s="877">
        <v>1</v>
      </c>
      <c r="G25" s="877">
        <f>RSD_Balance!C28</f>
        <v>0</v>
      </c>
      <c r="H25" s="877">
        <f t="shared" si="0"/>
        <v>0</v>
      </c>
      <c r="I25" s="877"/>
      <c r="J25" s="876">
        <v>20</v>
      </c>
      <c r="K25" s="877">
        <v>1</v>
      </c>
      <c r="L25" s="877"/>
      <c r="M25" s="876"/>
      <c r="N25" s="877"/>
      <c r="P25" s="877"/>
      <c r="Q25" s="877" t="str">
        <f t="shared" si="1"/>
        <v>RSDBIOSLU_INF</v>
      </c>
      <c r="R25" s="877" t="str">
        <f t="shared" si="2"/>
        <v>Non-Renewable Waste to Residential</v>
      </c>
      <c r="S25" s="877" t="s">
        <v>53</v>
      </c>
      <c r="T25" s="877" t="s">
        <v>394</v>
      </c>
      <c r="U25" s="877" t="s">
        <v>359</v>
      </c>
      <c r="V25" s="877"/>
    </row>
    <row r="26" spans="2:23">
      <c r="B26" s="879" t="str">
        <f>SETUP!B29&amp;"_"&amp;SETUP!$B$4</f>
        <v>RSDELCD_INF</v>
      </c>
      <c r="C26" s="878" t="str">
        <f>RSD_Commodities!D27</f>
        <v>Electricity to Residential</v>
      </c>
      <c r="D26" s="879" t="str">
        <f>SETUP!B29</f>
        <v>RSDELCD</v>
      </c>
      <c r="E26" s="879" t="str">
        <f>RSD_Commodities!C27</f>
        <v>RSDELCD</v>
      </c>
      <c r="F26" s="879">
        <v>1</v>
      </c>
      <c r="G26" s="879">
        <f>RSD_Balance!C29</f>
        <v>29.430890206847998</v>
      </c>
      <c r="H26" s="879">
        <f t="shared" si="0"/>
        <v>29.725199108916478</v>
      </c>
      <c r="I26" s="879"/>
      <c r="J26" s="878">
        <v>20</v>
      </c>
      <c r="K26" s="879">
        <v>1</v>
      </c>
      <c r="L26" s="879"/>
      <c r="M26" s="878"/>
      <c r="N26" s="879"/>
      <c r="P26" s="879"/>
      <c r="Q26" s="879" t="str">
        <f t="shared" si="1"/>
        <v>RSDELCD_INF</v>
      </c>
      <c r="R26" s="879" t="str">
        <f t="shared" si="2"/>
        <v>Electricity to Residential</v>
      </c>
      <c r="S26" s="879" t="s">
        <v>53</v>
      </c>
      <c r="T26" s="879" t="s">
        <v>394</v>
      </c>
      <c r="U26" s="879" t="s">
        <v>362</v>
      </c>
      <c r="V26" s="879"/>
    </row>
    <row r="27" spans="2:23">
      <c r="B27" s="877" t="str">
        <f>SETUP!B30&amp;"_"&amp;SETUP!$B$4</f>
        <v>RSDHET_INF</v>
      </c>
      <c r="C27" s="876" t="str">
        <f>RSD_Commodities!D28</f>
        <v>Heat to Residential</v>
      </c>
      <c r="D27" s="877" t="str">
        <f>SETUP!B30</f>
        <v>RSDHET</v>
      </c>
      <c r="E27" s="877" t="str">
        <f>RSD_Commodities!C28</f>
        <v>RSDHET</v>
      </c>
      <c r="F27" s="877">
        <v>1</v>
      </c>
      <c r="G27" s="877">
        <f>RSD_Balance!C30</f>
        <v>0</v>
      </c>
      <c r="H27" s="877">
        <f t="shared" si="0"/>
        <v>0</v>
      </c>
      <c r="I27" s="877"/>
      <c r="J27" s="876">
        <v>20</v>
      </c>
      <c r="K27" s="877">
        <v>1</v>
      </c>
      <c r="L27" s="877"/>
      <c r="M27" s="876"/>
      <c r="N27" s="877"/>
      <c r="P27" s="877"/>
      <c r="Q27" s="877" t="str">
        <f t="shared" si="1"/>
        <v>RSDHET_INF</v>
      </c>
      <c r="R27" s="877" t="str">
        <f t="shared" si="2"/>
        <v>Heat to Residential</v>
      </c>
      <c r="S27" s="877" t="s">
        <v>53</v>
      </c>
      <c r="T27" s="877" t="s">
        <v>394</v>
      </c>
      <c r="U27" s="877" t="s">
        <v>359</v>
      </c>
      <c r="V27" s="877"/>
    </row>
    <row r="28" spans="2:23">
      <c r="P28" s="879"/>
      <c r="Q28" s="879"/>
      <c r="R28" s="879"/>
      <c r="S28" s="879"/>
      <c r="T28" s="879"/>
      <c r="U28" s="879"/>
      <c r="V28" s="879"/>
    </row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42"/>
  <sheetViews>
    <sheetView topLeftCell="A39" workbookViewId="0">
      <selection activeCell="A62" sqref="A62:XFD62"/>
    </sheetView>
    <sheetView topLeftCell="D42" workbookViewId="1"/>
  </sheetViews>
  <sheetFormatPr defaultRowHeight="1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38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20" width="10.28515625" style="66" customWidth="1"/>
    <col min="21" max="21" width="13.140625" style="66" customWidth="1"/>
    <col min="22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21">
      <c r="A1" s="138" t="s">
        <v>395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</row>
    <row r="2" spans="1:18" customFormat="1" ht="12.75"/>
    <row r="3" spans="1:18" ht="21">
      <c r="A3" s="138" t="s">
        <v>396</v>
      </c>
      <c r="B3" s="138"/>
      <c r="C3" s="138"/>
      <c r="D3" s="84" t="s">
        <v>372</v>
      </c>
      <c r="E3" s="84"/>
      <c r="J3" s="68" t="s">
        <v>373</v>
      </c>
      <c r="K3" s="68"/>
      <c r="L3" s="839"/>
      <c r="M3" s="839"/>
      <c r="N3" s="839"/>
      <c r="O3" s="839"/>
      <c r="P3" s="839"/>
      <c r="Q3" s="839"/>
    </row>
    <row r="4" spans="1:18">
      <c r="A4" s="73" t="s">
        <v>374</v>
      </c>
      <c r="B4" s="73" t="s">
        <v>397</v>
      </c>
      <c r="C4" s="73" t="s">
        <v>376</v>
      </c>
      <c r="D4" s="73" t="s">
        <v>377</v>
      </c>
      <c r="E4" s="86" t="s">
        <v>398</v>
      </c>
      <c r="F4" s="86" t="s">
        <v>399</v>
      </c>
      <c r="G4" s="86" t="s">
        <v>400</v>
      </c>
      <c r="I4" s="73" t="s">
        <v>385</v>
      </c>
      <c r="J4" s="73" t="s">
        <v>374</v>
      </c>
      <c r="K4" s="73" t="s">
        <v>375</v>
      </c>
      <c r="L4" s="73" t="s">
        <v>386</v>
      </c>
      <c r="M4" s="73" t="s">
        <v>387</v>
      </c>
      <c r="N4" s="73" t="s">
        <v>388</v>
      </c>
      <c r="O4" s="73" t="s">
        <v>389</v>
      </c>
    </row>
    <row r="5" spans="1:18" ht="15.75" thickBot="1">
      <c r="A5" s="74" t="s">
        <v>402</v>
      </c>
      <c r="B5" s="74" t="s">
        <v>403</v>
      </c>
      <c r="C5" s="74" t="s">
        <v>404</v>
      </c>
      <c r="D5" s="74" t="s">
        <v>405</v>
      </c>
      <c r="E5" s="89" t="s">
        <v>406</v>
      </c>
      <c r="F5" s="87"/>
      <c r="G5" s="87"/>
      <c r="I5" s="75" t="s">
        <v>370</v>
      </c>
      <c r="J5" s="75"/>
      <c r="K5" s="74"/>
      <c r="L5" s="75"/>
      <c r="M5" s="75"/>
      <c r="N5" s="75"/>
      <c r="O5" s="75"/>
    </row>
    <row r="6" spans="1:18">
      <c r="A6" s="76" t="str">
        <f>"*"&amp;I61</f>
        <v>*Apartment</v>
      </c>
      <c r="B6" s="76"/>
      <c r="C6" s="76"/>
      <c r="D6" s="76"/>
      <c r="E6" s="76"/>
      <c r="F6" s="76"/>
      <c r="G6" s="76"/>
      <c r="I6" s="71" t="str">
        <f>A6</f>
        <v>*Apartment</v>
      </c>
      <c r="J6" s="70"/>
      <c r="K6" s="70"/>
      <c r="L6" s="70"/>
      <c r="M6" s="70"/>
      <c r="N6" s="70"/>
      <c r="O6" s="70"/>
    </row>
    <row r="7" spans="1:18">
      <c r="A7" s="914" t="str">
        <f>RSD_Commodities!$M$6&amp;"-"&amp;SETUP!B43</f>
        <v>RSD_Apt-A</v>
      </c>
      <c r="B7" s="914" t="str">
        <f>RSD_Commodities!$N$6&amp;"-"&amp;SETUP!B43</f>
        <v>Residential Apartment demand-A</v>
      </c>
      <c r="C7" s="915" t="str">
        <f>RSD_Commodities!M9&amp;","&amp;RSD_Commodities!M36&amp;","&amp;RSD_Commodities!M63&amp;","&amp;RSD_Commodities!M90&amp;","&amp;RSD_Commodities!M117</f>
        <v>SH_Apt-A,SC_Apt-A,WH_Apt-A,LT_Apt-A,PF_Apt-A</v>
      </c>
      <c r="D7" s="914" t="str">
        <f>RSD_Commodities!$M$6</f>
        <v>RSD_Apt</v>
      </c>
      <c r="E7" s="916">
        <f>IF(I62=0,"",I62/1000)</f>
        <v>10.546016296175715</v>
      </c>
      <c r="F7" s="914">
        <v>200</v>
      </c>
      <c r="G7" s="914">
        <v>1</v>
      </c>
      <c r="I7" s="914" t="s">
        <v>407</v>
      </c>
      <c r="J7" s="914" t="str">
        <f t="shared" ref="J7:J15" si="0">A7</f>
        <v>RSD_Apt-A</v>
      </c>
      <c r="K7" s="915" t="str">
        <f t="shared" ref="K7:K15" si="1">B7</f>
        <v>Residential Apartment demand-A</v>
      </c>
      <c r="L7" s="914" t="s">
        <v>406</v>
      </c>
      <c r="M7" s="916" t="s">
        <v>406</v>
      </c>
      <c r="N7" s="914"/>
      <c r="O7" s="914"/>
    </row>
    <row r="8" spans="1:18">
      <c r="A8" s="66" t="str">
        <f>RSD_Commodities!$M$6&amp;"-"&amp;SETUP!B44</f>
        <v>RSD_Apt-B1</v>
      </c>
      <c r="B8" s="66" t="str">
        <f>RSD_Commodities!$N$6&amp;"-"&amp;SETUP!B44</f>
        <v>Residential Apartment demand-B1</v>
      </c>
      <c r="C8" s="83" t="str">
        <f>RSD_Commodities!M10&amp;","&amp;RSD_Commodities!M37&amp;","&amp;RSD_Commodities!M64&amp;","&amp;RSD_Commodities!M91&amp;","&amp;RSD_Commodities!M118</f>
        <v>SH_Apt-B1,SC_Apt-B1,WH_Apt-B1,LT_Apt-B1,PF_Apt-B1</v>
      </c>
      <c r="D8" s="66" t="str">
        <f>RSD_Commodities!$M$6</f>
        <v>RSD_Apt</v>
      </c>
      <c r="E8" s="88">
        <f t="shared" ref="E8:E15" si="2">IF(I63=0,"",I63/1000)</f>
        <v>5.1975616110573819</v>
      </c>
      <c r="F8" s="66">
        <v>200</v>
      </c>
      <c r="G8" s="66">
        <v>1</v>
      </c>
      <c r="I8" s="66" t="s">
        <v>407</v>
      </c>
      <c r="J8" s="66" t="str">
        <f t="shared" si="0"/>
        <v>RSD_Apt-B1</v>
      </c>
      <c r="K8" s="83" t="str">
        <f t="shared" si="1"/>
        <v>Residential Apartment demand-B1</v>
      </c>
      <c r="L8" s="66" t="s">
        <v>406</v>
      </c>
      <c r="M8" s="88" t="s">
        <v>406</v>
      </c>
    </row>
    <row r="9" spans="1:18">
      <c r="A9" s="914" t="str">
        <f>RSD_Commodities!$M$6&amp;"-"&amp;SETUP!B45</f>
        <v>RSD_Apt-B2</v>
      </c>
      <c r="B9" s="914" t="str">
        <f>RSD_Commodities!$N$6&amp;"-"&amp;SETUP!B45</f>
        <v>Residential Apartment demand-B2</v>
      </c>
      <c r="C9" s="915" t="str">
        <f>RSD_Commodities!M11&amp;","&amp;RSD_Commodities!M38&amp;","&amp;RSD_Commodities!M65&amp;","&amp;RSD_Commodities!M92&amp;","&amp;RSD_Commodities!M119</f>
        <v>SH_Apt-B2,SC_Apt-B2,WH_Apt-B2,LT_Apt-B2,PF_Apt-B2</v>
      </c>
      <c r="D9" s="914" t="str">
        <f>RSD_Commodities!$M$6</f>
        <v>RSD_Apt</v>
      </c>
      <c r="E9" s="916">
        <f t="shared" si="2"/>
        <v>13.979360125415267</v>
      </c>
      <c r="F9" s="914">
        <v>200</v>
      </c>
      <c r="G9" s="914">
        <v>1</v>
      </c>
      <c r="I9" s="914" t="s">
        <v>407</v>
      </c>
      <c r="J9" s="914" t="str">
        <f t="shared" si="0"/>
        <v>RSD_Apt-B2</v>
      </c>
      <c r="K9" s="915" t="str">
        <f t="shared" si="1"/>
        <v>Residential Apartment demand-B2</v>
      </c>
      <c r="L9" s="914" t="s">
        <v>406</v>
      </c>
      <c r="M9" s="916" t="s">
        <v>406</v>
      </c>
      <c r="N9" s="914"/>
      <c r="O9" s="914"/>
    </row>
    <row r="10" spans="1:18">
      <c r="A10" s="66" t="str">
        <f>RSD_Commodities!$M$6&amp;"-"&amp;SETUP!B46</f>
        <v>RSD_Apt-B3</v>
      </c>
      <c r="B10" s="66" t="str">
        <f>RSD_Commodities!$N$6&amp;"-"&amp;SETUP!B46</f>
        <v>Residential Apartment demand-B3</v>
      </c>
      <c r="C10" s="83" t="str">
        <f>RSD_Commodities!M12&amp;","&amp;RSD_Commodities!M39&amp;","&amp;RSD_Commodities!M66&amp;","&amp;RSD_Commodities!M93&amp;","&amp;RSD_Commodities!M120</f>
        <v>SH_Apt-B3,SC_Apt-B3,WH_Apt-B3,LT_Apt-B3,PF_Apt-B3</v>
      </c>
      <c r="D10" s="66" t="str">
        <f>RSD_Commodities!$M$6</f>
        <v>RSD_Apt</v>
      </c>
      <c r="E10" s="88">
        <f t="shared" si="2"/>
        <v>21.709448468490152</v>
      </c>
      <c r="F10" s="66">
        <v>200</v>
      </c>
      <c r="G10" s="66">
        <v>1</v>
      </c>
      <c r="I10" s="66" t="s">
        <v>407</v>
      </c>
      <c r="J10" s="66" t="str">
        <f t="shared" si="0"/>
        <v>RSD_Apt-B3</v>
      </c>
      <c r="K10" s="83" t="str">
        <f t="shared" si="1"/>
        <v>Residential Apartment demand-B3</v>
      </c>
      <c r="L10" s="66" t="s">
        <v>406</v>
      </c>
      <c r="M10" s="88" t="s">
        <v>406</v>
      </c>
    </row>
    <row r="11" spans="1:18">
      <c r="A11" s="914" t="str">
        <f>RSD_Commodities!$M$6&amp;"-"&amp;SETUP!B47</f>
        <v>RSD_Apt-C</v>
      </c>
      <c r="B11" s="914" t="str">
        <f>RSD_Commodities!$N$6&amp;"-"&amp;SETUP!B47</f>
        <v>Residential Apartment demand-C</v>
      </c>
      <c r="C11" s="915" t="str">
        <f>RSD_Commodities!M13&amp;","&amp;RSD_Commodities!M40&amp;","&amp;RSD_Commodities!M67&amp;","&amp;RSD_Commodities!M94&amp;","&amp;RSD_Commodities!M121</f>
        <v>SH_Apt-C,SC_Apt-C,WH_Apt-C,LT_Apt-C,PF_Apt-C</v>
      </c>
      <c r="D11" s="914" t="str">
        <f>RSD_Commodities!$M$6</f>
        <v>RSD_Apt</v>
      </c>
      <c r="E11" s="916">
        <f t="shared" si="2"/>
        <v>71.164377318364544</v>
      </c>
      <c r="F11" s="914">
        <v>200</v>
      </c>
      <c r="G11" s="914">
        <v>1</v>
      </c>
      <c r="I11" s="914" t="s">
        <v>407</v>
      </c>
      <c r="J11" s="914" t="str">
        <f t="shared" si="0"/>
        <v>RSD_Apt-C</v>
      </c>
      <c r="K11" s="915" t="str">
        <f t="shared" si="1"/>
        <v>Residential Apartment demand-C</v>
      </c>
      <c r="L11" s="914" t="s">
        <v>406</v>
      </c>
      <c r="M11" s="916" t="s">
        <v>406</v>
      </c>
      <c r="N11" s="914"/>
      <c r="O11" s="914"/>
    </row>
    <row r="12" spans="1:18">
      <c r="A12" s="66" t="str">
        <f>RSD_Commodities!$M$6&amp;"-"&amp;SETUP!B48</f>
        <v>RSD_Apt-D</v>
      </c>
      <c r="B12" s="66" t="str">
        <f>RSD_Commodities!$N$6&amp;"-"&amp;SETUP!B48</f>
        <v>Residential Apartment demand-D</v>
      </c>
      <c r="C12" s="83" t="str">
        <f>RSD_Commodities!M14&amp;","&amp;RSD_Commodities!M41&amp;","&amp;RSD_Commodities!M68&amp;","&amp;RSD_Commodities!M95&amp;","&amp;RSD_Commodities!M122</f>
        <v>SH_Apt-D,SC_Apt-D,WH_Apt-D,LT_Apt-D,PF_Apt-D</v>
      </c>
      <c r="D12" s="66" t="str">
        <f>RSD_Commodities!$M$6</f>
        <v>RSD_Apt</v>
      </c>
      <c r="E12" s="88">
        <f t="shared" si="2"/>
        <v>47.488929602754283</v>
      </c>
      <c r="F12" s="66">
        <v>200</v>
      </c>
      <c r="G12" s="66">
        <v>1</v>
      </c>
      <c r="I12" s="66" t="s">
        <v>407</v>
      </c>
      <c r="J12" s="66" t="str">
        <f t="shared" si="0"/>
        <v>RSD_Apt-D</v>
      </c>
      <c r="K12" s="83" t="str">
        <f t="shared" si="1"/>
        <v>Residential Apartment demand-D</v>
      </c>
      <c r="L12" s="66" t="s">
        <v>406</v>
      </c>
      <c r="M12" s="88" t="s">
        <v>406</v>
      </c>
    </row>
    <row r="13" spans="1:18">
      <c r="A13" s="914" t="str">
        <f>RSD_Commodities!$M$6&amp;"-"&amp;SETUP!B49</f>
        <v>RSD_Apt-E</v>
      </c>
      <c r="B13" s="914" t="str">
        <f>RSD_Commodities!$N$6&amp;"-"&amp;SETUP!B49</f>
        <v>Residential Apartment demand-E</v>
      </c>
      <c r="C13" s="915" t="str">
        <f>RSD_Commodities!M15&amp;","&amp;RSD_Commodities!M42&amp;","&amp;RSD_Commodities!M69&amp;","&amp;RSD_Commodities!M96&amp;","&amp;RSD_Commodities!M123</f>
        <v>SH_Apt-E,SC_Apt-E,WH_Apt-E,LT_Apt-E,PF_Apt-E</v>
      </c>
      <c r="D13" s="914" t="str">
        <f>RSD_Commodities!$M$6</f>
        <v>RSD_Apt</v>
      </c>
      <c r="E13" s="916">
        <f t="shared" si="2"/>
        <v>23.789689153173637</v>
      </c>
      <c r="F13" s="914">
        <v>200</v>
      </c>
      <c r="G13" s="914">
        <v>1</v>
      </c>
      <c r="I13" s="914" t="s">
        <v>407</v>
      </c>
      <c r="J13" s="914" t="str">
        <f t="shared" si="0"/>
        <v>RSD_Apt-E</v>
      </c>
      <c r="K13" s="915" t="str">
        <f t="shared" si="1"/>
        <v>Residential Apartment demand-E</v>
      </c>
      <c r="L13" s="914" t="s">
        <v>406</v>
      </c>
      <c r="M13" s="916" t="s">
        <v>406</v>
      </c>
      <c r="N13" s="914"/>
      <c r="O13" s="914"/>
    </row>
    <row r="14" spans="1:18">
      <c r="A14" s="66" t="str">
        <f>RSD_Commodities!$M$6&amp;"-"&amp;SETUP!B50</f>
        <v>RSD_Apt-F</v>
      </c>
      <c r="B14" s="66" t="str">
        <f>RSD_Commodities!$N$6&amp;"-"&amp;SETUP!B50</f>
        <v>Residential Apartment demand-F</v>
      </c>
      <c r="C14" s="83" t="str">
        <f>RSD_Commodities!M16&amp;","&amp;RSD_Commodities!M43&amp;","&amp;RSD_Commodities!M70&amp;","&amp;RSD_Commodities!M97&amp;","&amp;RSD_Commodities!M124</f>
        <v>SH_Apt-F,SC_Apt-F,WH_Apt-F,LT_Apt-F,PF_Apt-F</v>
      </c>
      <c r="D14" s="66" t="str">
        <f>RSD_Commodities!$M$6</f>
        <v>RSD_Apt</v>
      </c>
      <c r="E14" s="88">
        <f t="shared" si="2"/>
        <v>8.0104158356430144</v>
      </c>
      <c r="F14" s="66">
        <v>200</v>
      </c>
      <c r="G14" s="66">
        <v>1</v>
      </c>
      <c r="I14" s="66" t="s">
        <v>407</v>
      </c>
      <c r="J14" s="66" t="str">
        <f t="shared" si="0"/>
        <v>RSD_Apt-F</v>
      </c>
      <c r="K14" s="83" t="str">
        <f t="shared" si="1"/>
        <v>Residential Apartment demand-F</v>
      </c>
      <c r="L14" s="66" t="s">
        <v>406</v>
      </c>
      <c r="M14" s="88" t="s">
        <v>406</v>
      </c>
    </row>
    <row r="15" spans="1:18">
      <c r="A15" s="914" t="str">
        <f>RSD_Commodities!$M$6&amp;"-"&amp;SETUP!B51</f>
        <v>RSD_Apt-G</v>
      </c>
      <c r="B15" s="914" t="str">
        <f>RSD_Commodities!$N$6&amp;"-"&amp;SETUP!B51</f>
        <v>Residential Apartment demand-G</v>
      </c>
      <c r="C15" s="915" t="str">
        <f>RSD_Commodities!M17&amp;","&amp;RSD_Commodities!M44&amp;","&amp;RSD_Commodities!M71&amp;","&amp;RSD_Commodities!M98&amp;","&amp;RSD_Commodities!M125</f>
        <v>SH_Apt-G,SC_Apt-G,WH_Apt-G,LT_Apt-G,PF_Apt-G</v>
      </c>
      <c r="D15" s="914" t="str">
        <f>RSD_Commodities!$M$6</f>
        <v>RSD_Apt</v>
      </c>
      <c r="E15" s="916">
        <f t="shared" si="2"/>
        <v>8.6576911134790731</v>
      </c>
      <c r="F15" s="914">
        <v>200</v>
      </c>
      <c r="G15" s="914">
        <v>1</v>
      </c>
      <c r="I15" s="914" t="s">
        <v>407</v>
      </c>
      <c r="J15" s="914" t="str">
        <f t="shared" si="0"/>
        <v>RSD_Apt-G</v>
      </c>
      <c r="K15" s="915" t="str">
        <f t="shared" si="1"/>
        <v>Residential Apartment demand-G</v>
      </c>
      <c r="L15" s="914" t="s">
        <v>406</v>
      </c>
      <c r="M15" s="916" t="s">
        <v>406</v>
      </c>
      <c r="N15" s="914"/>
      <c r="O15" s="914"/>
    </row>
    <row r="16" spans="1:18">
      <c r="A16" s="76" t="str">
        <f>"*"&amp;J61</f>
        <v>*Attached</v>
      </c>
      <c r="B16" s="76"/>
      <c r="C16" s="76"/>
      <c r="D16" s="76"/>
      <c r="E16" s="76"/>
      <c r="F16" s="76"/>
      <c r="G16" s="76"/>
      <c r="I16" s="71" t="str">
        <f>A16</f>
        <v>*Attached</v>
      </c>
      <c r="J16" s="70"/>
      <c r="K16" s="70"/>
      <c r="L16" s="70"/>
      <c r="M16" s="70"/>
      <c r="N16" s="70"/>
      <c r="O16" s="70"/>
    </row>
    <row r="17" spans="1:15">
      <c r="A17" s="914" t="str">
        <f>RSD_Commodities!$M$7&amp;"-"&amp;SETUP!B43</f>
        <v>RSD_Att-A</v>
      </c>
      <c r="B17" s="914" t="str">
        <f>RSD_Commodities!$N$7&amp;"-"&amp;SETUP!B43</f>
        <v>Residential Attached demand-A</v>
      </c>
      <c r="C17" s="915" t="str">
        <f>RSD_Commodities!M18&amp;","&amp;RSD_Commodities!M45&amp;","&amp;RSD_Commodities!M72&amp;","&amp;RSD_Commodities!M99&amp;","&amp;RSD_Commodities!M126</f>
        <v>SH_Att-A,SC_Att-A,WH_Att-A,LT_Att-A,PF_Att-A</v>
      </c>
      <c r="D17" s="914" t="str">
        <f>RSD_Commodities!$M$7</f>
        <v>RSD_Att</v>
      </c>
      <c r="E17" s="916">
        <f>IF(J62=0,"",J62/1000)</f>
        <v>58.525908345606105</v>
      </c>
      <c r="F17" s="914">
        <v>200</v>
      </c>
      <c r="G17" s="914">
        <v>1</v>
      </c>
      <c r="I17" s="914" t="s">
        <v>407</v>
      </c>
      <c r="J17" s="914" t="str">
        <f t="shared" ref="J17:J25" si="3">A17</f>
        <v>RSD_Att-A</v>
      </c>
      <c r="K17" s="915" t="str">
        <f t="shared" ref="K17:K25" si="4">B17</f>
        <v>Residential Attached demand-A</v>
      </c>
      <c r="L17" s="914" t="s">
        <v>406</v>
      </c>
      <c r="M17" s="916" t="s">
        <v>406</v>
      </c>
      <c r="N17" s="914"/>
      <c r="O17" s="914"/>
    </row>
    <row r="18" spans="1:15">
      <c r="A18" s="66" t="str">
        <f>RSD_Commodities!$M$7&amp;"-"&amp;SETUP!B44</f>
        <v>RSD_Att-B1</v>
      </c>
      <c r="B18" s="66" t="str">
        <f>RSD_Commodities!$N$7&amp;"-"&amp;SETUP!B44</f>
        <v>Residential Attached demand-B1</v>
      </c>
      <c r="C18" s="83" t="str">
        <f>RSD_Commodities!M19&amp;","&amp;RSD_Commodities!M46&amp;","&amp;RSD_Commodities!M73&amp;","&amp;RSD_Commodities!M100&amp;","&amp;RSD_Commodities!M127</f>
        <v>SH_Att-B1,SC_Att-B1,WH_Att-B1,LT_Att-B1,PF_Att-B1</v>
      </c>
      <c r="D18" s="66" t="str">
        <f>RSD_Commodities!$M$7</f>
        <v>RSD_Att</v>
      </c>
      <c r="E18" s="88">
        <f t="shared" ref="E18:E25" si="5">IF(J63=0,"",J63/1000)</f>
        <v>6.7259453223661856</v>
      </c>
      <c r="F18" s="66">
        <v>200</v>
      </c>
      <c r="G18" s="66">
        <v>1</v>
      </c>
      <c r="I18" s="66" t="s">
        <v>407</v>
      </c>
      <c r="J18" s="66" t="str">
        <f t="shared" si="3"/>
        <v>RSD_Att-B1</v>
      </c>
      <c r="K18" s="83" t="str">
        <f t="shared" si="4"/>
        <v>Residential Attached demand-B1</v>
      </c>
      <c r="L18" s="66" t="s">
        <v>406</v>
      </c>
      <c r="M18" s="88" t="s">
        <v>406</v>
      </c>
    </row>
    <row r="19" spans="1:15">
      <c r="A19" s="914" t="str">
        <f>RSD_Commodities!$M$7&amp;"-"&amp;SETUP!B45</f>
        <v>RSD_Att-B2</v>
      </c>
      <c r="B19" s="914" t="str">
        <f>RSD_Commodities!$N$7&amp;"-"&amp;SETUP!B45</f>
        <v>Residential Attached demand-B2</v>
      </c>
      <c r="C19" s="915" t="str">
        <f>RSD_Commodities!M20&amp;","&amp;RSD_Commodities!M47&amp;","&amp;RSD_Commodities!M74&amp;","&amp;RSD_Commodities!M101&amp;","&amp;RSD_Commodities!M128</f>
        <v>SH_Att-B2,SC_Att-B2,WH_Att-B2,LT_Att-B2,PF_Att-B2</v>
      </c>
      <c r="D19" s="914" t="str">
        <f>RSD_Commodities!$M$7</f>
        <v>RSD_Att</v>
      </c>
      <c r="E19" s="916">
        <f t="shared" si="5"/>
        <v>14.578962065952789</v>
      </c>
      <c r="F19" s="914">
        <v>200</v>
      </c>
      <c r="G19" s="914">
        <v>1</v>
      </c>
      <c r="I19" s="914" t="s">
        <v>407</v>
      </c>
      <c r="J19" s="914" t="str">
        <f t="shared" si="3"/>
        <v>RSD_Att-B2</v>
      </c>
      <c r="K19" s="915" t="str">
        <f t="shared" si="4"/>
        <v>Residential Attached demand-B2</v>
      </c>
      <c r="L19" s="914" t="s">
        <v>406</v>
      </c>
      <c r="M19" s="916" t="s">
        <v>406</v>
      </c>
      <c r="N19" s="914"/>
      <c r="O19" s="914"/>
    </row>
    <row r="20" spans="1:15">
      <c r="A20" s="66" t="str">
        <f>RSD_Commodities!$M$7&amp;"-"&amp;SETUP!B46</f>
        <v>RSD_Att-B3</v>
      </c>
      <c r="B20" s="66" t="str">
        <f>RSD_Commodities!$N$7&amp;"-"&amp;SETUP!B46</f>
        <v>Residential Attached demand-B3</v>
      </c>
      <c r="C20" s="83" t="str">
        <f>RSD_Commodities!M21&amp;","&amp;RSD_Commodities!M48&amp;","&amp;RSD_Commodities!M75&amp;","&amp;RSD_Commodities!M102&amp;","&amp;RSD_Commodities!M129</f>
        <v>SH_Att-B3,SC_Att-B3,WH_Att-B3,LT_Att-B3,PF_Att-B3</v>
      </c>
      <c r="D20" s="66" t="str">
        <f>RSD_Commodities!$M$7</f>
        <v>RSD_Att</v>
      </c>
      <c r="E20" s="88">
        <f t="shared" si="5"/>
        <v>49.405543321250903</v>
      </c>
      <c r="F20" s="66">
        <v>200</v>
      </c>
      <c r="G20" s="66">
        <v>1</v>
      </c>
      <c r="I20" s="66" t="s">
        <v>407</v>
      </c>
      <c r="J20" s="66" t="str">
        <f t="shared" si="3"/>
        <v>RSD_Att-B3</v>
      </c>
      <c r="K20" s="83" t="str">
        <f t="shared" si="4"/>
        <v>Residential Attached demand-B3</v>
      </c>
      <c r="L20" s="66" t="s">
        <v>406</v>
      </c>
      <c r="M20" s="88" t="s">
        <v>406</v>
      </c>
    </row>
    <row r="21" spans="1:15">
      <c r="A21" s="914" t="str">
        <f>RSD_Commodities!$M$7&amp;"-"&amp;SETUP!B47</f>
        <v>RSD_Att-C</v>
      </c>
      <c r="B21" s="914" t="str">
        <f>RSD_Commodities!$N$7&amp;"-"&amp;SETUP!B47</f>
        <v>Residential Attached demand-C</v>
      </c>
      <c r="C21" s="915" t="str">
        <f>RSD_Commodities!M22&amp;","&amp;RSD_Commodities!M49&amp;","&amp;RSD_Commodities!M76&amp;","&amp;RSD_Commodities!M103&amp;","&amp;RSD_Commodities!M130</f>
        <v>SH_Att-C,SC_Att-C,WH_Att-C,LT_Att-C,PF_Att-C</v>
      </c>
      <c r="D21" s="914" t="str">
        <f>RSD_Commodities!$M$7</f>
        <v>RSD_Att</v>
      </c>
      <c r="E21" s="916">
        <f t="shared" si="5"/>
        <v>293.56893901268421</v>
      </c>
      <c r="F21" s="914">
        <v>200</v>
      </c>
      <c r="G21" s="914">
        <v>1</v>
      </c>
      <c r="I21" s="914" t="s">
        <v>407</v>
      </c>
      <c r="J21" s="914" t="str">
        <f t="shared" si="3"/>
        <v>RSD_Att-C</v>
      </c>
      <c r="K21" s="915" t="str">
        <f t="shared" si="4"/>
        <v>Residential Attached demand-C</v>
      </c>
      <c r="L21" s="914" t="s">
        <v>406</v>
      </c>
      <c r="M21" s="916" t="s">
        <v>406</v>
      </c>
      <c r="N21" s="914"/>
      <c r="O21" s="914"/>
    </row>
    <row r="22" spans="1:15">
      <c r="A22" s="66" t="str">
        <f>RSD_Commodities!$M$7&amp;"-"&amp;SETUP!B48</f>
        <v>RSD_Att-D</v>
      </c>
      <c r="B22" s="66" t="str">
        <f>RSD_Commodities!$N$7&amp;"-"&amp;SETUP!B48</f>
        <v>Residential Attached demand-D</v>
      </c>
      <c r="C22" s="83" t="str">
        <f>RSD_Commodities!M23&amp;","&amp;RSD_Commodities!M50&amp;","&amp;RSD_Commodities!M77&amp;","&amp;RSD_Commodities!M104&amp;","&amp;RSD_Commodities!M131</f>
        <v>SH_Att-D,SC_Att-D,WH_Att-D,LT_Att-D,PF_Att-D</v>
      </c>
      <c r="D22" s="66" t="str">
        <f>RSD_Commodities!$M$7</f>
        <v>RSD_Att</v>
      </c>
      <c r="E22" s="88">
        <f t="shared" si="5"/>
        <v>175.86576450372354</v>
      </c>
      <c r="F22" s="66">
        <v>200</v>
      </c>
      <c r="G22" s="66">
        <v>1</v>
      </c>
      <c r="I22" s="66" t="s">
        <v>407</v>
      </c>
      <c r="J22" s="66" t="str">
        <f t="shared" si="3"/>
        <v>RSD_Att-D</v>
      </c>
      <c r="K22" s="83" t="str">
        <f t="shared" si="4"/>
        <v>Residential Attached demand-D</v>
      </c>
      <c r="L22" s="66" t="s">
        <v>406</v>
      </c>
      <c r="M22" s="88" t="s">
        <v>406</v>
      </c>
    </row>
    <row r="23" spans="1:15">
      <c r="A23" s="914" t="str">
        <f>RSD_Commodities!$M$7&amp;"-"&amp;SETUP!B49</f>
        <v>RSD_Att-E</v>
      </c>
      <c r="B23" s="914" t="str">
        <f>RSD_Commodities!$N$7&amp;"-"&amp;SETUP!B49</f>
        <v>Residential Attached demand-E</v>
      </c>
      <c r="C23" s="915" t="str">
        <f>RSD_Commodities!M24&amp;","&amp;RSD_Commodities!M51&amp;","&amp;RSD_Commodities!M78&amp;","&amp;RSD_Commodities!M105&amp;","&amp;RSD_Commodities!M132</f>
        <v>SH_Att-E,SC_Att-E,WH_Att-E,LT_Att-E,PF_Att-E</v>
      </c>
      <c r="D23" s="914" t="str">
        <f>RSD_Commodities!$M$7</f>
        <v>RSD_Att</v>
      </c>
      <c r="E23" s="916">
        <f t="shared" si="5"/>
        <v>85.736085430645531</v>
      </c>
      <c r="F23" s="914">
        <v>200</v>
      </c>
      <c r="G23" s="914">
        <v>1</v>
      </c>
      <c r="I23" s="914" t="s">
        <v>407</v>
      </c>
      <c r="J23" s="914" t="str">
        <f t="shared" si="3"/>
        <v>RSD_Att-E</v>
      </c>
      <c r="K23" s="915" t="str">
        <f t="shared" si="4"/>
        <v>Residential Attached demand-E</v>
      </c>
      <c r="L23" s="914" t="s">
        <v>406</v>
      </c>
      <c r="M23" s="916" t="s">
        <v>406</v>
      </c>
      <c r="N23" s="914"/>
      <c r="O23" s="914"/>
    </row>
    <row r="24" spans="1:15">
      <c r="A24" s="66" t="str">
        <f>RSD_Commodities!$M$7&amp;"-"&amp;SETUP!B50</f>
        <v>RSD_Att-F</v>
      </c>
      <c r="B24" s="66" t="str">
        <f>RSD_Commodities!$N$7&amp;"-"&amp;SETUP!B50</f>
        <v>Residential Attached demand-F</v>
      </c>
      <c r="C24" s="83" t="str">
        <f>RSD_Commodities!M25&amp;","&amp;RSD_Commodities!M52&amp;","&amp;RSD_Commodities!M79&amp;","&amp;RSD_Commodities!M106&amp;","&amp;RSD_Commodities!M133</f>
        <v>SH_Att-F,SC_Att-F,WH_Att-F,LT_Att-F,PF_Att-F</v>
      </c>
      <c r="D24" s="66" t="str">
        <f>RSD_Commodities!$M$7</f>
        <v>RSD_Att</v>
      </c>
      <c r="E24" s="88">
        <f t="shared" si="5"/>
        <v>38.57924537305437</v>
      </c>
      <c r="F24" s="66">
        <v>200</v>
      </c>
      <c r="G24" s="66">
        <v>1</v>
      </c>
      <c r="I24" s="66" t="s">
        <v>407</v>
      </c>
      <c r="J24" s="66" t="str">
        <f t="shared" si="3"/>
        <v>RSD_Att-F</v>
      </c>
      <c r="K24" s="83" t="str">
        <f t="shared" si="4"/>
        <v>Residential Attached demand-F</v>
      </c>
      <c r="L24" s="66" t="s">
        <v>406</v>
      </c>
      <c r="M24" s="88" t="s">
        <v>406</v>
      </c>
    </row>
    <row r="25" spans="1:15">
      <c r="A25" s="914" t="str">
        <f>RSD_Commodities!$M$7&amp;"-"&amp;SETUP!B51</f>
        <v>RSD_Att-G</v>
      </c>
      <c r="B25" s="914" t="str">
        <f>RSD_Commodities!$N$7&amp;"-"&amp;SETUP!B51</f>
        <v>Residential Attached demand-G</v>
      </c>
      <c r="C25" s="915" t="str">
        <f>RSD_Commodities!M26&amp;","&amp;RSD_Commodities!M53&amp;","&amp;RSD_Commodities!M80&amp;","&amp;RSD_Commodities!M107&amp;","&amp;RSD_Commodities!M134</f>
        <v>SH_Att-G,SC_Att-G,WH_Att-G,LT_Att-G,PF_Att-G</v>
      </c>
      <c r="D25" s="914" t="str">
        <f>RSD_Commodities!$M$7</f>
        <v>RSD_Att</v>
      </c>
      <c r="E25" s="916">
        <f t="shared" si="5"/>
        <v>38.89596028399724</v>
      </c>
      <c r="F25" s="914">
        <v>200</v>
      </c>
      <c r="G25" s="914">
        <v>1</v>
      </c>
      <c r="I25" s="914" t="s">
        <v>407</v>
      </c>
      <c r="J25" s="914" t="str">
        <f t="shared" si="3"/>
        <v>RSD_Att-G</v>
      </c>
      <c r="K25" s="915" t="str">
        <f t="shared" si="4"/>
        <v>Residential Attached demand-G</v>
      </c>
      <c r="L25" s="914" t="s">
        <v>406</v>
      </c>
      <c r="M25" s="916" t="s">
        <v>406</v>
      </c>
      <c r="N25" s="914"/>
      <c r="O25" s="914"/>
    </row>
    <row r="26" spans="1:15">
      <c r="A26" s="76" t="str">
        <f>"*"&amp;K61</f>
        <v>*Detached</v>
      </c>
      <c r="B26" s="76"/>
      <c r="C26" s="76"/>
      <c r="D26" s="76"/>
      <c r="E26" s="76"/>
      <c r="F26" s="76"/>
      <c r="G26" s="76"/>
      <c r="I26" s="71" t="str">
        <f>A26</f>
        <v>*Detached</v>
      </c>
      <c r="J26" s="70"/>
      <c r="K26" s="70"/>
      <c r="L26" s="70"/>
      <c r="M26" s="70"/>
      <c r="N26" s="70"/>
      <c r="O26" s="70"/>
    </row>
    <row r="27" spans="1:15">
      <c r="A27" s="914" t="str">
        <f>RSD_Commodities!$M$8&amp;"-"&amp;SETUP!B43</f>
        <v>RSD_Det-A</v>
      </c>
      <c r="B27" s="914" t="str">
        <f>RSD_Commodities!$N$8&amp;"-"&amp;SETUP!B43</f>
        <v>Residential Detached demand-A</v>
      </c>
      <c r="C27" s="915" t="str">
        <f>RSD_Commodities!M27&amp;","&amp;RSD_Commodities!M54&amp;","&amp;RSD_Commodities!M81&amp;","&amp;RSD_Commodities!M108&amp;","&amp;RSD_Commodities!M135</f>
        <v>SH_Det-A,SC_Det-A,WH_Det-A,LT_Det-A,PF_Det-A</v>
      </c>
      <c r="D27" s="914" t="str">
        <f>RSD_Commodities!$M$8</f>
        <v>RSD_Det</v>
      </c>
      <c r="E27" s="916">
        <f>IF(K62=0,"",K62/1000)</f>
        <v>26.489081443386819</v>
      </c>
      <c r="F27" s="914">
        <v>200</v>
      </c>
      <c r="G27" s="914">
        <v>1</v>
      </c>
      <c r="I27" s="914" t="s">
        <v>407</v>
      </c>
      <c r="J27" s="914" t="str">
        <f t="shared" ref="J27:J35" si="6">A27</f>
        <v>RSD_Det-A</v>
      </c>
      <c r="K27" s="915" t="str">
        <f t="shared" ref="K27:K35" si="7">B27</f>
        <v>Residential Detached demand-A</v>
      </c>
      <c r="L27" s="914" t="s">
        <v>406</v>
      </c>
      <c r="M27" s="916" t="s">
        <v>406</v>
      </c>
      <c r="N27" s="914"/>
      <c r="O27" s="914"/>
    </row>
    <row r="28" spans="1:15">
      <c r="A28" s="66" t="str">
        <f>RSD_Commodities!$M$8&amp;"-"&amp;SETUP!B44</f>
        <v>RSD_Det-B1</v>
      </c>
      <c r="B28" s="66" t="str">
        <f>RSD_Commodities!$N$8&amp;"-"&amp;SETUP!B44</f>
        <v>Residential Detached demand-B1</v>
      </c>
      <c r="C28" s="83" t="str">
        <f>RSD_Commodities!M28&amp;","&amp;RSD_Commodities!M55&amp;","&amp;RSD_Commodities!M82&amp;","&amp;RSD_Commodities!M109&amp;","&amp;RSD_Commodities!M136</f>
        <v>SH_Det-B1,SC_Det-B1,WH_Det-B1,LT_Det-B1,PF_Det-B1</v>
      </c>
      <c r="D28" s="66" t="str">
        <f>RSD_Commodities!$M$8</f>
        <v>RSD_Det</v>
      </c>
      <c r="E28" s="88">
        <f t="shared" ref="E28:E35" si="8">IF(K63=0,"",K63/1000)</f>
        <v>8.1851580987578956</v>
      </c>
      <c r="F28" s="66">
        <v>200</v>
      </c>
      <c r="G28" s="66">
        <v>1</v>
      </c>
      <c r="I28" s="66" t="s">
        <v>407</v>
      </c>
      <c r="J28" s="66" t="str">
        <f t="shared" si="6"/>
        <v>RSD_Det-B1</v>
      </c>
      <c r="K28" s="83" t="str">
        <f t="shared" si="7"/>
        <v>Residential Detached demand-B1</v>
      </c>
      <c r="L28" s="66" t="s">
        <v>406</v>
      </c>
      <c r="M28" s="88" t="s">
        <v>406</v>
      </c>
    </row>
    <row r="29" spans="1:15">
      <c r="A29" s="914" t="str">
        <f>RSD_Commodities!$M$8&amp;"-"&amp;SETUP!B45</f>
        <v>RSD_Det-B2</v>
      </c>
      <c r="B29" s="914" t="str">
        <f>RSD_Commodities!$N$8&amp;"-"&amp;SETUP!B45</f>
        <v>Residential Detached demand-B2</v>
      </c>
      <c r="C29" s="915" t="str">
        <f>RSD_Commodities!M29&amp;","&amp;RSD_Commodities!M56&amp;","&amp;RSD_Commodities!M83&amp;","&amp;RSD_Commodities!M110&amp;","&amp;RSD_Commodities!M137</f>
        <v>SH_Det-B2,SC_Det-B2,WH_Det-B2,LT_Det-B2,PF_Det-B2</v>
      </c>
      <c r="D29" s="914" t="str">
        <f>RSD_Commodities!$M$8</f>
        <v>RSD_Det</v>
      </c>
      <c r="E29" s="916">
        <f t="shared" si="8"/>
        <v>18.971592326674298</v>
      </c>
      <c r="F29" s="914">
        <v>200</v>
      </c>
      <c r="G29" s="914">
        <v>1</v>
      </c>
      <c r="I29" s="914" t="s">
        <v>407</v>
      </c>
      <c r="J29" s="914" t="str">
        <f t="shared" si="6"/>
        <v>RSD_Det-B2</v>
      </c>
      <c r="K29" s="915" t="str">
        <f t="shared" si="7"/>
        <v>Residential Detached demand-B2</v>
      </c>
      <c r="L29" s="914" t="s">
        <v>406</v>
      </c>
      <c r="M29" s="916" t="s">
        <v>406</v>
      </c>
      <c r="N29" s="914"/>
      <c r="O29" s="914"/>
    </row>
    <row r="30" spans="1:15">
      <c r="A30" s="66" t="str">
        <f>RSD_Commodities!$M$8&amp;"-"&amp;SETUP!B46</f>
        <v>RSD_Det-B3</v>
      </c>
      <c r="B30" s="66" t="str">
        <f>RSD_Commodities!$N$8&amp;"-"&amp;SETUP!B46</f>
        <v>Residential Detached demand-B3</v>
      </c>
      <c r="C30" s="83" t="str">
        <f>RSD_Commodities!M30&amp;","&amp;RSD_Commodities!M57&amp;","&amp;RSD_Commodities!M84&amp;","&amp;RSD_Commodities!M111&amp;","&amp;RSD_Commodities!M138</f>
        <v>SH_Det-B3,SC_Det-B3,WH_Det-B3,LT_Det-B3,PF_Det-B3</v>
      </c>
      <c r="D30" s="66" t="str">
        <f>RSD_Commodities!$M$8</f>
        <v>RSD_Det</v>
      </c>
      <c r="E30" s="88">
        <f t="shared" si="8"/>
        <v>54.539382014559052</v>
      </c>
      <c r="F30" s="66">
        <v>200</v>
      </c>
      <c r="G30" s="66">
        <v>1</v>
      </c>
      <c r="I30" s="66" t="s">
        <v>407</v>
      </c>
      <c r="J30" s="66" t="str">
        <f t="shared" si="6"/>
        <v>RSD_Det-B3</v>
      </c>
      <c r="K30" s="83" t="str">
        <f t="shared" si="7"/>
        <v>Residential Detached demand-B3</v>
      </c>
      <c r="L30" s="66" t="s">
        <v>406</v>
      </c>
      <c r="M30" s="88" t="s">
        <v>406</v>
      </c>
    </row>
    <row r="31" spans="1:15">
      <c r="A31" s="914" t="str">
        <f>RSD_Commodities!$M$8&amp;"-"&amp;SETUP!B47</f>
        <v>RSD_Det-C</v>
      </c>
      <c r="B31" s="914" t="str">
        <f>RSD_Commodities!$N$8&amp;"-"&amp;SETUP!B47</f>
        <v>Residential Detached demand-C</v>
      </c>
      <c r="C31" s="915" t="str">
        <f>RSD_Commodities!M31&amp;","&amp;RSD_Commodities!M58&amp;","&amp;RSD_Commodities!M85&amp;","&amp;RSD_Commodities!M112&amp;","&amp;RSD_Commodities!M139</f>
        <v>SH_Det-C,SC_Det-C,WH_Det-C,LT_Det-C,PF_Det-C</v>
      </c>
      <c r="D31" s="914" t="str">
        <f>RSD_Commodities!$M$8</f>
        <v>RSD_Det</v>
      </c>
      <c r="E31" s="916">
        <f t="shared" si="8"/>
        <v>264.71456579971721</v>
      </c>
      <c r="F31" s="914">
        <v>200</v>
      </c>
      <c r="G31" s="914">
        <v>1</v>
      </c>
      <c r="I31" s="914" t="s">
        <v>407</v>
      </c>
      <c r="J31" s="914" t="str">
        <f t="shared" si="6"/>
        <v>RSD_Det-C</v>
      </c>
      <c r="K31" s="915" t="str">
        <f t="shared" si="7"/>
        <v>Residential Detached demand-C</v>
      </c>
      <c r="L31" s="914" t="s">
        <v>406</v>
      </c>
      <c r="M31" s="916" t="s">
        <v>406</v>
      </c>
      <c r="N31" s="914"/>
      <c r="O31" s="914"/>
    </row>
    <row r="32" spans="1:15">
      <c r="A32" s="66" t="str">
        <f>RSD_Commodities!$M$8&amp;"-"&amp;SETUP!B48</f>
        <v>RSD_Det-D</v>
      </c>
      <c r="B32" s="66" t="str">
        <f>RSD_Commodities!$N$8&amp;"-"&amp;SETUP!B48</f>
        <v>Residential Detached demand-D</v>
      </c>
      <c r="C32" s="83" t="str">
        <f>RSD_Commodities!M32&amp;","&amp;RSD_Commodities!M59&amp;","&amp;RSD_Commodities!M86&amp;","&amp;RSD_Commodities!M113&amp;","&amp;RSD_Commodities!M140</f>
        <v>SH_Det-D,SC_Det-D,WH_Det-D,LT_Det-D,PF_Det-D</v>
      </c>
      <c r="D32" s="66" t="str">
        <f>RSD_Commodities!$M$8</f>
        <v>RSD_Det</v>
      </c>
      <c r="E32" s="88">
        <f t="shared" si="8"/>
        <v>166.94970641955547</v>
      </c>
      <c r="F32" s="66">
        <v>200</v>
      </c>
      <c r="G32" s="66">
        <v>1</v>
      </c>
      <c r="I32" s="66" t="s">
        <v>407</v>
      </c>
      <c r="J32" s="66" t="str">
        <f t="shared" si="6"/>
        <v>RSD_Det-D</v>
      </c>
      <c r="K32" s="83" t="str">
        <f t="shared" si="7"/>
        <v>Residential Detached demand-D</v>
      </c>
      <c r="L32" s="66" t="s">
        <v>406</v>
      </c>
      <c r="M32" s="88" t="s">
        <v>406</v>
      </c>
    </row>
    <row r="33" spans="1:15">
      <c r="A33" s="914" t="str">
        <f>RSD_Commodities!$M$8&amp;"-"&amp;SETUP!B49</f>
        <v>RSD_Det-E</v>
      </c>
      <c r="B33" s="914" t="str">
        <f>RSD_Commodities!$N$8&amp;"-"&amp;SETUP!B49</f>
        <v>Residential Detached demand-E</v>
      </c>
      <c r="C33" s="915" t="str">
        <f>RSD_Commodities!M33&amp;","&amp;RSD_Commodities!M60&amp;","&amp;RSD_Commodities!M87&amp;","&amp;RSD_Commodities!M114&amp;","&amp;RSD_Commodities!M141</f>
        <v>SH_Det-E,SC_Det-E,WH_Det-E,LT_Det-E,PF_Det-E</v>
      </c>
      <c r="D33" s="914" t="str">
        <f>RSD_Commodities!$M$8</f>
        <v>RSD_Det</v>
      </c>
      <c r="E33" s="916">
        <f t="shared" si="8"/>
        <v>74.822404557345266</v>
      </c>
      <c r="F33" s="914">
        <v>200</v>
      </c>
      <c r="G33" s="914">
        <v>1</v>
      </c>
      <c r="I33" s="914" t="s">
        <v>407</v>
      </c>
      <c r="J33" s="914" t="str">
        <f t="shared" si="6"/>
        <v>RSD_Det-E</v>
      </c>
      <c r="K33" s="915" t="str">
        <f t="shared" si="7"/>
        <v>Residential Detached demand-E</v>
      </c>
      <c r="L33" s="914" t="s">
        <v>406</v>
      </c>
      <c r="M33" s="916" t="s">
        <v>406</v>
      </c>
      <c r="N33" s="914"/>
      <c r="O33" s="914"/>
    </row>
    <row r="34" spans="1:15">
      <c r="A34" s="66" t="str">
        <f>RSD_Commodities!$M$8&amp;"-"&amp;SETUP!B50</f>
        <v>RSD_Det-F</v>
      </c>
      <c r="B34" s="66" t="str">
        <f>RSD_Commodities!$N$8&amp;"-"&amp;SETUP!B50</f>
        <v>Residential Detached demand-F</v>
      </c>
      <c r="C34" s="83" t="str">
        <f>RSD_Commodities!M34&amp;","&amp;RSD_Commodities!M61&amp;","&amp;RSD_Commodities!M88&amp;","&amp;RSD_Commodities!M115&amp;","&amp;RSD_Commodities!M142</f>
        <v>SH_Det-F,SC_Det-F,WH_Det-F,LT_Det-F,PF_Det-F</v>
      </c>
      <c r="D34" s="66" t="str">
        <f>RSD_Commodities!$M$8</f>
        <v>RSD_Det</v>
      </c>
      <c r="E34" s="88">
        <f t="shared" si="8"/>
        <v>37.360975483448989</v>
      </c>
      <c r="F34" s="66">
        <v>200</v>
      </c>
      <c r="G34" s="66">
        <v>1</v>
      </c>
      <c r="I34" s="66" t="s">
        <v>407</v>
      </c>
      <c r="J34" s="66" t="str">
        <f t="shared" si="6"/>
        <v>RSD_Det-F</v>
      </c>
      <c r="K34" s="83" t="str">
        <f t="shared" si="7"/>
        <v>Residential Detached demand-F</v>
      </c>
      <c r="L34" s="66" t="s">
        <v>406</v>
      </c>
      <c r="M34" s="88" t="s">
        <v>406</v>
      </c>
    </row>
    <row r="35" spans="1:15">
      <c r="A35" s="914" t="str">
        <f>RSD_Commodities!$M$8&amp;"-"&amp;SETUP!B51</f>
        <v>RSD_Det-G</v>
      </c>
      <c r="B35" s="914" t="str">
        <f>RSD_Commodities!$N$8&amp;"-"&amp;SETUP!B51</f>
        <v>Residential Detached demand-G</v>
      </c>
      <c r="C35" s="915" t="str">
        <f>RSD_Commodities!M35&amp;","&amp;RSD_Commodities!M62&amp;","&amp;RSD_Commodities!M89&amp;","&amp;RSD_Commodities!M116&amp;","&amp;RSD_Commodities!M143</f>
        <v>SH_Det-G,SC_Det-G,WH_Det-G,LT_Det-G,PF_Det-G</v>
      </c>
      <c r="D35" s="914" t="str">
        <f>RSD_Commodities!$M$8</f>
        <v>RSD_Det</v>
      </c>
      <c r="E35" s="916">
        <f t="shared" si="8"/>
        <v>66.454566057921909</v>
      </c>
      <c r="F35" s="914">
        <v>200</v>
      </c>
      <c r="G35" s="914">
        <v>1</v>
      </c>
      <c r="I35" s="914" t="s">
        <v>407</v>
      </c>
      <c r="J35" s="914" t="str">
        <f t="shared" si="6"/>
        <v>RSD_Det-G</v>
      </c>
      <c r="K35" s="915" t="str">
        <f t="shared" si="7"/>
        <v>Residential Detached demand-G</v>
      </c>
      <c r="L35" s="914" t="s">
        <v>406</v>
      </c>
      <c r="M35" s="916" t="s">
        <v>406</v>
      </c>
      <c r="N35" s="914"/>
      <c r="O35" s="914"/>
    </row>
    <row r="37" spans="1:15">
      <c r="E37" s="88"/>
      <c r="F37" s="88"/>
    </row>
    <row r="38" spans="1:15" ht="21">
      <c r="A38" s="138" t="s">
        <v>408</v>
      </c>
      <c r="B38" s="138"/>
      <c r="C38" s="126" t="s">
        <v>372</v>
      </c>
      <c r="D38" s="126"/>
      <c r="E38" s="72"/>
      <c r="F38" s="72"/>
    </row>
    <row r="39" spans="1:15">
      <c r="A39" s="73" t="s">
        <v>344</v>
      </c>
      <c r="B39" s="73" t="s">
        <v>409</v>
      </c>
      <c r="C39" s="73" t="s">
        <v>410</v>
      </c>
      <c r="D39" s="73"/>
      <c r="E39" s="86">
        <v>2018</v>
      </c>
      <c r="F39" s="73" t="s">
        <v>411</v>
      </c>
      <c r="G39" s="73" t="s">
        <v>412</v>
      </c>
    </row>
    <row r="40" spans="1:15">
      <c r="A40" s="841" t="str">
        <f>RSD_Commodities!M6</f>
        <v>RSD_Apt</v>
      </c>
      <c r="B40" s="841" t="str">
        <f>RSD_Commodities!N6</f>
        <v>Residential Apartment demand</v>
      </c>
      <c r="C40" s="841" t="s">
        <v>413</v>
      </c>
      <c r="D40" s="841"/>
      <c r="E40" s="236">
        <f>SUM(I62:I70)/1000</f>
        <v>210.54348952455305</v>
      </c>
      <c r="F40" s="842" t="s">
        <v>361</v>
      </c>
      <c r="G40" s="237" t="s">
        <v>414</v>
      </c>
    </row>
    <row r="41" spans="1:15">
      <c r="A41" s="841" t="str">
        <f>RSD_Commodities!M7</f>
        <v>RSD_Att</v>
      </c>
      <c r="B41" s="841" t="str">
        <f>RSD_Commodities!N7</f>
        <v>Residential Attached demand</v>
      </c>
      <c r="C41" s="841" t="s">
        <v>413</v>
      </c>
      <c r="D41" s="841"/>
      <c r="E41" s="236">
        <f>SUM(J62:J70)/1000</f>
        <v>761.88235365928097</v>
      </c>
      <c r="F41" s="842" t="s">
        <v>361</v>
      </c>
      <c r="G41" s="237" t="s">
        <v>414</v>
      </c>
    </row>
    <row r="42" spans="1:15">
      <c r="A42" s="841" t="str">
        <f>RSD_Commodities!M8</f>
        <v>RSD_Det</v>
      </c>
      <c r="B42" s="841" t="str">
        <f>RSD_Commodities!N8</f>
        <v>Residential Detached demand</v>
      </c>
      <c r="C42" s="841" t="s">
        <v>413</v>
      </c>
      <c r="D42" s="841"/>
      <c r="E42" s="236">
        <f>SUM(K62:K70)/1000</f>
        <v>718.48743220136691</v>
      </c>
      <c r="F42" s="842" t="s">
        <v>361</v>
      </c>
      <c r="G42" s="237" t="s">
        <v>414</v>
      </c>
    </row>
    <row r="43" spans="1:15">
      <c r="A43" s="841"/>
      <c r="B43" s="841"/>
      <c r="C43" s="841"/>
      <c r="D43" s="841"/>
      <c r="E43" s="236"/>
      <c r="F43" s="842"/>
      <c r="G43" s="237"/>
    </row>
    <row r="44" spans="1:15" ht="21">
      <c r="A44" s="139" t="s">
        <v>415</v>
      </c>
      <c r="B44" s="98"/>
      <c r="C44" s="98"/>
      <c r="D44" s="98"/>
      <c r="E44" s="98"/>
      <c r="F44" s="98"/>
      <c r="G44" s="98"/>
      <c r="H44" s="98"/>
      <c r="I44" s="98"/>
      <c r="J44" s="98"/>
      <c r="K44" s="98"/>
    </row>
    <row r="45" spans="1:15" ht="15.75" thickBot="1">
      <c r="N45" s="840"/>
    </row>
    <row r="46" spans="1:15" ht="15.75" thickBot="1">
      <c r="B46" s="712" t="s">
        <v>416</v>
      </c>
      <c r="C46" s="713" t="s">
        <v>102</v>
      </c>
      <c r="D46" s="713" t="s">
        <v>104</v>
      </c>
      <c r="E46" s="713" t="s">
        <v>106</v>
      </c>
      <c r="F46" s="714" t="s">
        <v>417</v>
      </c>
      <c r="N46" s="840"/>
    </row>
    <row r="47" spans="1:15">
      <c r="B47" s="725" t="s">
        <v>108</v>
      </c>
      <c r="C47" s="494">
        <v>9653</v>
      </c>
      <c r="D47" s="843">
        <v>42710</v>
      </c>
      <c r="E47" s="494">
        <v>14320</v>
      </c>
      <c r="F47" s="726">
        <f>SUM(Table14[[#This Row],[Apartment]:[Detached]])</f>
        <v>66683</v>
      </c>
      <c r="N47" s="840"/>
    </row>
    <row r="48" spans="1:15">
      <c r="B48" s="727" t="s">
        <v>110</v>
      </c>
      <c r="C48" s="494">
        <v>3864</v>
      </c>
      <c r="D48" s="843">
        <v>4354</v>
      </c>
      <c r="E48" s="494">
        <v>4186</v>
      </c>
      <c r="F48" s="728">
        <f>SUM(Table14[[#This Row],[Apartment]:[Detached]])</f>
        <v>12404</v>
      </c>
    </row>
    <row r="49" spans="1:12">
      <c r="B49" s="727" t="s">
        <v>112</v>
      </c>
      <c r="C49" s="494">
        <v>10156</v>
      </c>
      <c r="D49" s="843">
        <v>9145</v>
      </c>
      <c r="E49" s="494">
        <v>8345</v>
      </c>
      <c r="F49" s="728">
        <f>SUM(Table14[[#This Row],[Apartment]:[Detached]])</f>
        <v>27646</v>
      </c>
    </row>
    <row r="50" spans="1:12">
      <c r="B50" s="727" t="s">
        <v>114</v>
      </c>
      <c r="C50" s="494">
        <v>15567</v>
      </c>
      <c r="D50" s="843">
        <v>29841</v>
      </c>
      <c r="E50" s="494">
        <v>21964</v>
      </c>
      <c r="F50" s="728">
        <f>SUM(Table14[[#This Row],[Apartment]:[Detached]])</f>
        <v>67372</v>
      </c>
    </row>
    <row r="51" spans="1:12">
      <c r="B51" s="727" t="s">
        <v>116</v>
      </c>
      <c r="C51" s="494">
        <v>52934</v>
      </c>
      <c r="D51" s="843">
        <v>171938</v>
      </c>
      <c r="E51" s="494">
        <v>102168</v>
      </c>
      <c r="F51" s="728">
        <f>SUM(Table14[[#This Row],[Apartment]:[Detached]])</f>
        <v>327040</v>
      </c>
    </row>
    <row r="52" spans="1:12">
      <c r="B52" s="727" t="s">
        <v>118</v>
      </c>
      <c r="C52" s="494">
        <v>37122</v>
      </c>
      <c r="D52" s="843">
        <v>101025</v>
      </c>
      <c r="E52" s="494">
        <v>63942</v>
      </c>
      <c r="F52" s="728">
        <f>SUM(Table14[[#This Row],[Apartment]:[Detached]])</f>
        <v>202089</v>
      </c>
    </row>
    <row r="53" spans="1:12">
      <c r="B53" s="727" t="s">
        <v>120</v>
      </c>
      <c r="C53" s="494">
        <v>19084</v>
      </c>
      <c r="D53" s="843">
        <v>49573</v>
      </c>
      <c r="E53" s="494">
        <v>28805</v>
      </c>
      <c r="F53" s="728">
        <f>SUM(Table14[[#This Row],[Apartment]:[Detached]])</f>
        <v>97462</v>
      </c>
    </row>
    <row r="54" spans="1:12">
      <c r="B54" s="727" t="s">
        <v>122</v>
      </c>
      <c r="C54" s="494">
        <v>6931</v>
      </c>
      <c r="D54" s="494">
        <v>22580</v>
      </c>
      <c r="E54" s="494">
        <v>14352</v>
      </c>
      <c r="F54" s="728">
        <f>SUM(Table14[[#This Row],[Apartment]:[Detached]])</f>
        <v>43863</v>
      </c>
    </row>
    <row r="55" spans="1:12" ht="15.75" thickBot="1">
      <c r="B55" s="727" t="s">
        <v>124</v>
      </c>
      <c r="C55" s="494">
        <v>10519</v>
      </c>
      <c r="D55" s="494">
        <v>24771</v>
      </c>
      <c r="E55" s="494">
        <v>26199</v>
      </c>
      <c r="F55" s="728">
        <f>SUM(Table14[[#This Row],[Apartment]:[Detached]])</f>
        <v>61489</v>
      </c>
    </row>
    <row r="56" spans="1:12" ht="15.75" thickBot="1">
      <c r="B56" s="744" t="s">
        <v>320</v>
      </c>
      <c r="C56" s="745">
        <f>SUM(C47:C55)</f>
        <v>165830</v>
      </c>
      <c r="D56" s="746">
        <f>SUM(D47:D55)</f>
        <v>455937</v>
      </c>
      <c r="E56" s="746">
        <f>SUM(E47:E55)</f>
        <v>284281</v>
      </c>
      <c r="F56" s="743">
        <f>SUM(C56:E56)</f>
        <v>906048</v>
      </c>
    </row>
    <row r="58" spans="1:12">
      <c r="E58" s="840" t="s">
        <v>418</v>
      </c>
    </row>
    <row r="60" spans="1:12" ht="15.75" thickBot="1">
      <c r="A60" s="67"/>
      <c r="B60" s="67"/>
      <c r="C60" s="67"/>
      <c r="D60" s="67"/>
      <c r="E60" s="67"/>
      <c r="F60" s="67"/>
    </row>
    <row r="61" spans="1:12" ht="15.75" thickBot="1">
      <c r="A61" s="67"/>
      <c r="B61" s="562" t="s">
        <v>416</v>
      </c>
      <c r="C61" s="563" t="s">
        <v>102</v>
      </c>
      <c r="D61" s="563" t="s">
        <v>104</v>
      </c>
      <c r="E61" s="564" t="s">
        <v>106</v>
      </c>
      <c r="F61" s="565" t="s">
        <v>417</v>
      </c>
      <c r="H61" s="747" t="s">
        <v>419</v>
      </c>
      <c r="I61" s="748" t="s">
        <v>102</v>
      </c>
      <c r="J61" s="748" t="s">
        <v>104</v>
      </c>
      <c r="K61" s="748" t="s">
        <v>106</v>
      </c>
      <c r="L61" s="749" t="s">
        <v>417</v>
      </c>
    </row>
    <row r="62" spans="1:12">
      <c r="A62" s="67"/>
      <c r="B62" s="716" t="s">
        <v>108</v>
      </c>
      <c r="C62" s="844" cm="1">
        <f t="array" ref="C62">SUMPRODUCT((Table8[A])*(Table8[Archetype]="Apartments"))</f>
        <v>6419</v>
      </c>
      <c r="D62" s="844" cm="1">
        <f t="array" ref="D62">SUMPRODUCT((Table8[A])*(Table8[Archetype]="Attached"))</f>
        <v>30917</v>
      </c>
      <c r="E62" s="844" cm="1">
        <f t="array" ref="E62">SUMPRODUCT((Table8[A])*(Table8[Archetype]="Detached"))</f>
        <v>9878</v>
      </c>
      <c r="F62" s="717">
        <f>SUM(C62:E62)</f>
        <v>47214</v>
      </c>
      <c r="H62" s="734" t="s">
        <v>108</v>
      </c>
      <c r="I62" s="845" cm="1">
        <f t="array" ref="I62">SUMPRODUCT((Table8[A])*(Table8[Adjusted Total]/Table8[BER Total])*(Table8[Archetype]="Apartments"))</f>
        <v>10546.016296175714</v>
      </c>
      <c r="J62" s="845" cm="1">
        <f t="array" ref="J62">SUMPRODUCT((Table8[A])*(Table8[Adjusted Total]/Table8[BER Total])*(Table8[Archetype]="Attached"))</f>
        <v>58525.908345606105</v>
      </c>
      <c r="K62" s="845" cm="1">
        <f t="array" ref="K62">SUMPRODUCT((Table8[A])*(Table8[Adjusted Total]/Table8[BER Total])*(Table8[Archetype]="Detached"))</f>
        <v>26489.081443386818</v>
      </c>
      <c r="L62" s="750">
        <f t="shared" ref="L62:L70" si="9">SUM(I62:K62)</f>
        <v>95561.006085168643</v>
      </c>
    </row>
    <row r="63" spans="1:12">
      <c r="A63" s="67"/>
      <c r="B63" s="718" t="s">
        <v>110</v>
      </c>
      <c r="C63" s="846" cm="1">
        <f t="array" ref="C63">SUMPRODUCT((Table8[B1])*(Table8[Archetype]="Apartments"))</f>
        <v>3209</v>
      </c>
      <c r="D63" s="846" cm="1">
        <f t="array" ref="D63">SUMPRODUCT((Table8[B1])*(Table8[Archetype]="Attached"))</f>
        <v>3722</v>
      </c>
      <c r="E63" s="846" cm="1">
        <f t="array" ref="E63">SUMPRODUCT((Table8[B1])*(Table8[Archetype]="Detached"))</f>
        <v>3037</v>
      </c>
      <c r="F63" s="719">
        <f t="shared" ref="F63:F65" si="10">SUM(C63:E63)</f>
        <v>9968</v>
      </c>
      <c r="H63" s="729" t="s">
        <v>110</v>
      </c>
      <c r="I63" s="847" cm="1">
        <f t="array" ref="I63">SUMPRODUCT((Table8[B1])*(Table8[Adjusted Total]/Table8[BER Total])*(Table8[Archetype]="Apartments"))</f>
        <v>5197.5616110573819</v>
      </c>
      <c r="J63" s="847" cm="1">
        <f t="array" ref="J63">SUMPRODUCT((Table8[B1])*(Table8[Adjusted Total]/Table8[BER Total])*(Table8[Archetype]="Attached"))</f>
        <v>6725.9453223661858</v>
      </c>
      <c r="K63" s="847" cm="1">
        <f t="array" ref="K63">SUMPRODUCT((Table8[B1])*(Table8[Adjusted Total]/Table8[BER Total])*(Table8[Archetype]="Detached"))</f>
        <v>8185.1580987578955</v>
      </c>
      <c r="L63" s="730">
        <f t="shared" si="9"/>
        <v>20108.665032181463</v>
      </c>
    </row>
    <row r="64" spans="1:12">
      <c r="A64" s="67"/>
      <c r="B64" s="720" t="s">
        <v>112</v>
      </c>
      <c r="C64" s="848" cm="1">
        <f t="array" ref="C64">SUMPRODUCT((Table8[B2])*(Table8[Archetype]="Apartments"))</f>
        <v>8665</v>
      </c>
      <c r="D64" s="848" cm="1">
        <f t="array" ref="D64">SUMPRODUCT((Table8[B2])*(Table8[Archetype]="Attached"))</f>
        <v>7882</v>
      </c>
      <c r="E64" s="848" cm="1">
        <f t="array" ref="E64">SUMPRODUCT((Table8[B2])*(Table8[Archetype]="Detached"))</f>
        <v>7052</v>
      </c>
      <c r="F64" s="721">
        <f t="shared" si="10"/>
        <v>23599</v>
      </c>
      <c r="H64" s="735" t="s">
        <v>112</v>
      </c>
      <c r="I64" s="849" cm="1">
        <f t="array" ref="I64">SUMPRODUCT((Table8[B2])*(Table8[Adjusted Total]/Table8[BER Total])*(Table8[Archetype]="Apartments"))</f>
        <v>13979.360125415267</v>
      </c>
      <c r="J64" s="849" cm="1">
        <f t="array" ref="J64">SUMPRODUCT((Table8[B2])*(Table8[Adjusted Total]/Table8[BER Total])*(Table8[Archetype]="Attached"))</f>
        <v>14578.962065952788</v>
      </c>
      <c r="K64" s="849" cm="1">
        <f t="array" ref="K64">SUMPRODUCT((Table8[B2])*(Table8[Adjusted Total]/Table8[BER Total])*(Table8[Archetype]="Detached"))</f>
        <v>18971.592326674298</v>
      </c>
      <c r="L64" s="751">
        <f t="shared" si="9"/>
        <v>47529.914518042351</v>
      </c>
    </row>
    <row r="65" spans="1:34">
      <c r="A65" s="67"/>
      <c r="B65" s="718" t="s">
        <v>114</v>
      </c>
      <c r="C65" s="846" cm="1">
        <f t="array" ref="C65">SUMPRODUCT((Table8[B3])*(Table8[Archetype]="Apartments"))</f>
        <v>13570</v>
      </c>
      <c r="D65" s="846" cm="1">
        <f t="array" ref="D65">SUMPRODUCT((Table8[B3])*(Table8[Archetype]="Attached"))</f>
        <v>27081</v>
      </c>
      <c r="E65" s="846" cm="1">
        <f t="array" ref="E65">SUMPRODUCT((Table8[B3])*(Table8[Archetype]="Detached"))</f>
        <v>20170</v>
      </c>
      <c r="F65" s="719">
        <f t="shared" si="10"/>
        <v>60821</v>
      </c>
      <c r="H65" s="729" t="s">
        <v>114</v>
      </c>
      <c r="I65" s="847" cm="1">
        <f t="array" ref="I65">SUMPRODUCT((Table8[B3])*(Table8[Adjusted Total]/Table8[BER Total])*(Table8[Archetype]="Apartments"))</f>
        <v>21709.448468490151</v>
      </c>
      <c r="J65" s="847" cm="1">
        <f t="array" ref="J65">SUMPRODUCT((Table8[B3])*(Table8[Adjusted Total]/Table8[BER Total])*(Table8[Archetype]="Attached"))</f>
        <v>49405.543321250901</v>
      </c>
      <c r="K65" s="847" cm="1">
        <f t="array" ref="K65">SUMPRODUCT((Table8[B3])*(Table8[Adjusted Total]/Table8[BER Total])*(Table8[Archetype]="Detached"))</f>
        <v>54539.382014559051</v>
      </c>
      <c r="L65" s="730">
        <f t="shared" si="9"/>
        <v>125654.37380430009</v>
      </c>
    </row>
    <row r="66" spans="1:34">
      <c r="A66" s="67"/>
      <c r="B66" s="720" t="s">
        <v>116</v>
      </c>
      <c r="C66" s="848" cm="1">
        <f t="array" ref="C66">SUMPRODUCT((Table8[C])*(Table8[Archetype]="Apartments"))</f>
        <v>45566</v>
      </c>
      <c r="D66" s="848" cm="1">
        <f t="array" ref="D66">SUMPRODUCT((Table8[C])*(Table8[Archetype]="Attached"))</f>
        <v>161926</v>
      </c>
      <c r="E66" s="848" cm="1">
        <f t="array" ref="E66">SUMPRODUCT((Table8[C])*(Table8[Archetype]="Detached"))</f>
        <v>97809</v>
      </c>
      <c r="F66" s="721">
        <f>SUM(C66:E66)</f>
        <v>305301</v>
      </c>
      <c r="H66" s="735" t="s">
        <v>116</v>
      </c>
      <c r="I66" s="849" cm="1">
        <f t="array" ref="I66">SUMPRODUCT((Table8[C])*(Table8[Adjusted Total]/Table8[BER Total])*(Table8[Archetype]="Apartments"))</f>
        <v>71164.377318364539</v>
      </c>
      <c r="J66" s="849" cm="1">
        <f t="array" ref="J66">SUMPRODUCT((Table8[C])*(Table8[Adjusted Total]/Table8[BER Total])*(Table8[Archetype]="Attached"))</f>
        <v>293568.93901268422</v>
      </c>
      <c r="K66" s="849" cm="1">
        <f t="array" ref="K66">SUMPRODUCT((Table8[C])*(Table8[Adjusted Total]/Table8[BER Total])*(Table8[Archetype]="Detached"))</f>
        <v>264714.56579971721</v>
      </c>
      <c r="L66" s="751">
        <f t="shared" si="9"/>
        <v>629447.88213076594</v>
      </c>
    </row>
    <row r="67" spans="1:34">
      <c r="A67" s="67"/>
      <c r="B67" s="718" t="s">
        <v>118</v>
      </c>
      <c r="C67" s="846" cm="1">
        <f t="array" ref="C67">SUMPRODUCT((Table8[D])*(Table8[Archetype]="Apartments"))</f>
        <v>30979</v>
      </c>
      <c r="D67" s="846" cm="1">
        <f t="array" ref="D67">SUMPRODUCT((Table8[D])*(Table8[Archetype]="Attached"))</f>
        <v>95372</v>
      </c>
      <c r="E67" s="846" cm="1">
        <f t="array" ref="E67">SUMPRODUCT((Table8[D])*(Table8[Archetype]="Detached"))</f>
        <v>61656</v>
      </c>
      <c r="F67" s="719">
        <f>SUM(C67:E67)</f>
        <v>188007</v>
      </c>
      <c r="H67" s="729" t="s">
        <v>118</v>
      </c>
      <c r="I67" s="847" cm="1">
        <f t="array" ref="I67">SUMPRODUCT((Table8[D])*(Table8[Adjusted Total]/Table8[BER Total])*(Table8[Archetype]="Apartments"))</f>
        <v>47488.92960275428</v>
      </c>
      <c r="J67" s="847" cm="1">
        <f t="array" ref="J67">SUMPRODUCT((Table8[D])*(Table8[Adjusted Total]/Table8[BER Total])*(Table8[Archetype]="Attached"))</f>
        <v>175865.76450372353</v>
      </c>
      <c r="K67" s="847" cm="1">
        <f t="array" ref="K67">SUMPRODUCT((Table8[D])*(Table8[Adjusted Total]/Table8[BER Total])*(Table8[Archetype]="Detached"))</f>
        <v>166949.70641955547</v>
      </c>
      <c r="L67" s="730">
        <f t="shared" si="9"/>
        <v>390304.40052603325</v>
      </c>
    </row>
    <row r="68" spans="1:34">
      <c r="A68" s="67"/>
      <c r="B68" s="739" t="s">
        <v>120</v>
      </c>
      <c r="C68" s="850" cm="1">
        <f t="array" ref="C68">SUMPRODUCT((Table8[E])*(Table8[Archetype]="Apartments"))</f>
        <v>15595</v>
      </c>
      <c r="D68" s="850" cm="1">
        <f t="array" ref="D68">SUMPRODUCT((Table8[E])*(Table8[Archetype]="Attached"))</f>
        <v>46130</v>
      </c>
      <c r="E68" s="850" cm="1">
        <f t="array" ref="E68">SUMPRODUCT((Table8[E])*(Table8[Archetype]="Detached"))</f>
        <v>27666</v>
      </c>
      <c r="F68" s="740">
        <f>SUM(C68:E68)</f>
        <v>89391</v>
      </c>
      <c r="H68" s="735" t="s">
        <v>120</v>
      </c>
      <c r="I68" s="849" cm="1">
        <f t="array" ref="I68">SUMPRODUCT((Table8[E])*(Table8[Adjusted Total]/Table8[BER Total])*(Table8[Archetype]="Apartments"))</f>
        <v>23789.689153173636</v>
      </c>
      <c r="J68" s="849" cm="1">
        <f t="array" ref="J68">SUMPRODUCT((Table8[E])*(Table8[Adjusted Total]/Table8[BER Total])*(Table8[Archetype]="Attached"))</f>
        <v>85736.085430645529</v>
      </c>
      <c r="K68" s="849" cm="1">
        <f t="array" ref="K68">SUMPRODUCT((Table8[E])*(Table8[Adjusted Total]/Table8[BER Total])*(Table8[Archetype]="Detached"))</f>
        <v>74822.40455734526</v>
      </c>
      <c r="L68" s="751">
        <f t="shared" si="9"/>
        <v>184348.17914116441</v>
      </c>
    </row>
    <row r="69" spans="1:34">
      <c r="A69" s="67"/>
      <c r="B69" s="718" t="s">
        <v>122</v>
      </c>
      <c r="C69" s="846" cm="1">
        <f t="array" ref="C69">SUMPRODUCT((Table8[F])*(Table8[Archetype]="Apartments"))</f>
        <v>5191</v>
      </c>
      <c r="D69" s="846" cm="1">
        <f t="array" ref="D69">SUMPRODUCT((Table8[F])*(Table8[Archetype]="Attached"))</f>
        <v>20720</v>
      </c>
      <c r="E69" s="846" cm="1">
        <f t="array" ref="E69">SUMPRODUCT((Table8[F])*(Table8[Archetype]="Detached"))</f>
        <v>13787</v>
      </c>
      <c r="F69" s="719">
        <f t="shared" ref="F69:F70" si="11">SUM(C69:E69)</f>
        <v>39698</v>
      </c>
      <c r="H69" s="729" t="s">
        <v>122</v>
      </c>
      <c r="I69" s="847" cm="1">
        <f t="array" ref="I69">SUMPRODUCT((Table8[F])*(Table8[Adjusted Total]/Table8[BER Total])*(Table8[Archetype]="Apartments"))</f>
        <v>8010.4158356430144</v>
      </c>
      <c r="J69" s="847" cm="1">
        <f t="array" ref="J69">SUMPRODUCT((Table8[F])*(Table8[Adjusted Total]/Table8[BER Total])*(Table8[Archetype]="Attached"))</f>
        <v>38579.245373054371</v>
      </c>
      <c r="K69" s="847" cm="1">
        <f t="array" ref="K69">SUMPRODUCT((Table8[F])*(Table8[Adjusted Total]/Table8[BER Total])*(Table8[Archetype]="Detached"))</f>
        <v>37360.975483448987</v>
      </c>
      <c r="L69" s="730">
        <f t="shared" si="9"/>
        <v>83950.636692146363</v>
      </c>
    </row>
    <row r="70" spans="1:34" ht="15.75" thickBot="1">
      <c r="A70" s="67"/>
      <c r="B70" s="741" t="s">
        <v>124</v>
      </c>
      <c r="C70" s="851" cm="1">
        <f t="array" ref="C70">SUMPRODUCT((Table8[G])*(Table8[Archetype]="Apartments"))</f>
        <v>5603</v>
      </c>
      <c r="D70" s="851" cm="1">
        <f t="array" ref="D70">SUMPRODUCT((Table8[G])*(Table8[Archetype]="Attached"))</f>
        <v>21208</v>
      </c>
      <c r="E70" s="851" cm="1">
        <f t="array" ref="E70">SUMPRODUCT((Table8[G])*(Table8[Archetype]="Detached"))</f>
        <v>24436</v>
      </c>
      <c r="F70" s="742">
        <f t="shared" si="11"/>
        <v>51247</v>
      </c>
      <c r="H70" s="752" t="s">
        <v>124</v>
      </c>
      <c r="I70" s="852" cm="1">
        <f t="array" ref="I70">SUMPRODUCT((Table8[G])*(Table8[Adjusted Total]/Table8[BER Total])*(Table8[Archetype]="Apartments"))</f>
        <v>8657.6911134790735</v>
      </c>
      <c r="J70" s="852" cm="1">
        <f t="array" ref="J70">SUMPRODUCT((Table8[G])*(Table8[Adjusted Total]/Table8[BER Total])*(Table8[Archetype]="Attached"))</f>
        <v>38895.960283997243</v>
      </c>
      <c r="K70" s="852" cm="1">
        <f t="array" ref="K70">SUMPRODUCT((Table8[G])*(Table8[Adjusted Total]/Table8[BER Total])*(Table8[Archetype]="Detached"))</f>
        <v>66454.566057921911</v>
      </c>
      <c r="L70" s="751">
        <f t="shared" si="9"/>
        <v>114008.21745539823</v>
      </c>
    </row>
    <row r="71" spans="1:34" ht="15.75" thickBot="1">
      <c r="A71" s="67"/>
      <c r="B71" s="722" t="s">
        <v>320</v>
      </c>
      <c r="C71" s="723">
        <f>SUM(C62:C70)</f>
        <v>134797</v>
      </c>
      <c r="D71" s="723">
        <f>SUM(D62:D70)</f>
        <v>414958</v>
      </c>
      <c r="E71" s="723">
        <f>SUM(E62:E70)</f>
        <v>265491</v>
      </c>
      <c r="F71" s="724">
        <f>SUM(C71:E71)</f>
        <v>815246</v>
      </c>
      <c r="H71" s="753" t="s">
        <v>320</v>
      </c>
      <c r="I71" s="853">
        <f>SUM(I62:I70)</f>
        <v>210543.48952455306</v>
      </c>
      <c r="J71" s="853">
        <f>SUM(J62:J70)</f>
        <v>761882.35365928093</v>
      </c>
      <c r="K71" s="853">
        <f>SUM(K62:K70)</f>
        <v>718487.43220136687</v>
      </c>
      <c r="L71" s="754">
        <f>SUM(I71:K71)</f>
        <v>1690913.275385201</v>
      </c>
      <c r="M71" s="67"/>
    </row>
    <row r="72" spans="1:34">
      <c r="C72" s="840"/>
    </row>
    <row r="74" spans="1:34">
      <c r="L74" s="755"/>
    </row>
    <row r="75" spans="1:34" ht="15.75" thickBot="1">
      <c r="C75" s="494"/>
      <c r="D75" s="494"/>
      <c r="E75" s="494"/>
    </row>
    <row r="76" spans="1:34" ht="15.75" thickBot="1">
      <c r="A76"/>
      <c r="B76" s="1045" t="s">
        <v>420</v>
      </c>
      <c r="C76" s="1046"/>
      <c r="D76" s="1046"/>
      <c r="E76" s="1046"/>
      <c r="F76" s="1046"/>
      <c r="G76" s="1046"/>
      <c r="H76" s="1046"/>
      <c r="I76" s="1046"/>
      <c r="J76" s="1046"/>
      <c r="K76" s="1046"/>
      <c r="L76" s="1047"/>
      <c r="M76" s="1042" t="s">
        <v>421</v>
      </c>
      <c r="N76" s="1043"/>
      <c r="O76" s="1044"/>
    </row>
    <row r="77" spans="1:34" ht="15.75" thickBot="1">
      <c r="A77" s="495" t="s">
        <v>422</v>
      </c>
      <c r="B77" s="495" t="s">
        <v>168</v>
      </c>
      <c r="C77" s="555" t="s">
        <v>108</v>
      </c>
      <c r="D77" s="556" t="s">
        <v>110</v>
      </c>
      <c r="E77" s="556" t="s">
        <v>112</v>
      </c>
      <c r="F77" s="556" t="s">
        <v>114</v>
      </c>
      <c r="G77" s="556" t="s">
        <v>116</v>
      </c>
      <c r="H77" s="556" t="s">
        <v>118</v>
      </c>
      <c r="I77" s="556" t="s">
        <v>120</v>
      </c>
      <c r="J77" s="556" t="s">
        <v>122</v>
      </c>
      <c r="K77" s="556" t="s">
        <v>124</v>
      </c>
      <c r="L77" s="557" t="s">
        <v>423</v>
      </c>
      <c r="M77" s="715" t="s">
        <v>424</v>
      </c>
      <c r="N77" s="707" t="s">
        <v>425</v>
      </c>
      <c r="O77" s="707" t="s">
        <v>426</v>
      </c>
      <c r="R77" s="854" t="s">
        <v>427</v>
      </c>
      <c r="S77" s="512"/>
      <c r="T77" s="512"/>
      <c r="U77" s="512"/>
      <c r="V77" s="512"/>
      <c r="W77" s="512"/>
      <c r="X77" s="512"/>
      <c r="Y77" s="512"/>
      <c r="Z77" s="512"/>
      <c r="AA77" s="512"/>
      <c r="AB77" s="512"/>
      <c r="AC77" s="512"/>
      <c r="AD77" s="512"/>
      <c r="AE77" s="512"/>
      <c r="AF77" s="512"/>
      <c r="AG77" s="512"/>
      <c r="AH77" s="512"/>
    </row>
    <row r="78" spans="1:34" ht="15.75" thickBot="1">
      <c r="A78" s="496" t="s">
        <v>428</v>
      </c>
      <c r="B78" s="496" t="s">
        <v>429</v>
      </c>
      <c r="C78" s="66">
        <v>3</v>
      </c>
      <c r="D78" s="66">
        <v>7</v>
      </c>
      <c r="E78" s="66">
        <v>8</v>
      </c>
      <c r="F78" s="66">
        <v>56</v>
      </c>
      <c r="G78" s="66">
        <v>368</v>
      </c>
      <c r="H78" s="66">
        <v>261</v>
      </c>
      <c r="I78" s="66">
        <v>135</v>
      </c>
      <c r="J78" s="66">
        <v>52</v>
      </c>
      <c r="K78" s="66">
        <v>59</v>
      </c>
      <c r="L78" s="553">
        <f>SUM(Table8[[#This Row],[A]:[G]])</f>
        <v>949</v>
      </c>
      <c r="M78" s="550">
        <f>VLOOKUP(A78,Table2[],MATCH(B78,Table2[#Headers],0), 0 )</f>
        <v>1239</v>
      </c>
      <c r="N78" s="546">
        <f>VLOOKUP(A78,Table2[], 8, 0 )+SUM(Table8[[#This Row],[Residence Total]]/Table8[[#This Row],[BER Total]])</f>
        <v>1.3256948714168928</v>
      </c>
      <c r="O78" s="547">
        <f>L78*N78</f>
        <v>1258.0844329746312</v>
      </c>
      <c r="R78" s="840" t="s">
        <v>430</v>
      </c>
      <c r="S78" s="424" t="s">
        <v>431</v>
      </c>
      <c r="X78" s="424" t="s">
        <v>432</v>
      </c>
      <c r="Y78"/>
      <c r="Z78"/>
      <c r="AA78"/>
      <c r="AB78" s="424" t="s">
        <v>432</v>
      </c>
      <c r="AC78" t="s">
        <v>100</v>
      </c>
      <c r="AE78" t="s">
        <v>100</v>
      </c>
      <c r="AG78" s="424" t="s">
        <v>433</v>
      </c>
    </row>
    <row r="79" spans="1:34" ht="15" customHeight="1" thickBot="1">
      <c r="A79" s="496" t="s">
        <v>428</v>
      </c>
      <c r="B79" s="496" t="s">
        <v>104</v>
      </c>
      <c r="C79" s="66">
        <v>284</v>
      </c>
      <c r="D79" s="66">
        <v>40</v>
      </c>
      <c r="E79" s="66">
        <v>146</v>
      </c>
      <c r="F79" s="66">
        <v>407</v>
      </c>
      <c r="G79" s="494">
        <v>2752</v>
      </c>
      <c r="H79" s="494">
        <v>1444</v>
      </c>
      <c r="I79" s="66">
        <v>512</v>
      </c>
      <c r="J79" s="66">
        <v>258</v>
      </c>
      <c r="K79" s="66">
        <v>242</v>
      </c>
      <c r="L79" s="553">
        <f>SUM(Table8[[#This Row],[A]:[G]])</f>
        <v>6085</v>
      </c>
      <c r="M79" s="550">
        <f>VLOOKUP(A79,Table2[],MATCH(B79,Table2[#Headers],0), 0 )</f>
        <v>8435</v>
      </c>
      <c r="N79" s="546">
        <f>VLOOKUP(A79,Table2[], 8, 0 )+SUM(Table8[[#This Row],[Residence Total]]/Table8[[#This Row],[BER Total]])</f>
        <v>1.4063056081436121</v>
      </c>
      <c r="O79" s="547">
        <f>L79*N79</f>
        <v>8557.3696255538798</v>
      </c>
      <c r="R79" s="855"/>
      <c r="S79" s="498" t="s">
        <v>434</v>
      </c>
      <c r="T79" s="499"/>
      <c r="U79" s="499"/>
      <c r="V79" s="499"/>
      <c r="W79" s="499"/>
      <c r="X79" s="499"/>
      <c r="Y79" s="499"/>
      <c r="Z79" s="500"/>
      <c r="AA79" s="501" t="s">
        <v>435</v>
      </c>
      <c r="AB79" s="502"/>
      <c r="AC79" s="502"/>
      <c r="AD79" s="502"/>
      <c r="AE79" s="502"/>
      <c r="AF79" s="503"/>
      <c r="AG79" s="467" t="s">
        <v>436</v>
      </c>
      <c r="AH79" s="468"/>
    </row>
    <row r="80" spans="1:34" ht="14.25" customHeight="1" thickBot="1">
      <c r="A80" s="496" t="s">
        <v>428</v>
      </c>
      <c r="B80" s="496" t="s">
        <v>106</v>
      </c>
      <c r="C80" s="66">
        <v>131</v>
      </c>
      <c r="D80" s="66">
        <v>49</v>
      </c>
      <c r="E80" s="66">
        <v>93</v>
      </c>
      <c r="F80" s="66">
        <v>291</v>
      </c>
      <c r="G80" s="494">
        <v>1524</v>
      </c>
      <c r="H80" s="494">
        <v>1034</v>
      </c>
      <c r="I80" s="66">
        <v>434</v>
      </c>
      <c r="J80" s="66">
        <v>233</v>
      </c>
      <c r="K80" s="66">
        <v>438</v>
      </c>
      <c r="L80" s="553">
        <f>SUM(Table8[[#This Row],[A]:[G]])</f>
        <v>4227</v>
      </c>
      <c r="M80" s="545">
        <f>VLOOKUP(A80,Table2[],MATCH(B80,Table2[#Headers],0), 0 )</f>
        <v>10450</v>
      </c>
      <c r="N80" s="546">
        <f>VLOOKUP(A80,Table2[], 8, 0 )+SUM(Table8[[#This Row],[Residence Total]]/Table8[[#This Row],[BER Total]])</f>
        <v>2.4923125529727894</v>
      </c>
      <c r="O80" s="547">
        <f t="shared" ref="O80:O109" si="12">L80*N80</f>
        <v>10535.00516141598</v>
      </c>
      <c r="R80" s="856"/>
      <c r="S80" s="426" t="s">
        <v>437</v>
      </c>
      <c r="T80" s="426"/>
      <c r="U80" s="425" t="s">
        <v>438</v>
      </c>
      <c r="V80" s="425"/>
      <c r="W80" s="425"/>
      <c r="X80" s="425"/>
      <c r="Y80" s="430" t="s">
        <v>439</v>
      </c>
      <c r="Z80" s="466" t="s">
        <v>440</v>
      </c>
      <c r="AA80" s="504" t="s">
        <v>441</v>
      </c>
      <c r="AB80" s="425"/>
      <c r="AC80" s="425" t="s">
        <v>442</v>
      </c>
      <c r="AD80" s="425"/>
      <c r="AE80" s="505"/>
      <c r="AF80" s="466" t="s">
        <v>440</v>
      </c>
      <c r="AG80" s="506" t="s">
        <v>443</v>
      </c>
      <c r="AH80" s="507"/>
    </row>
    <row r="81" spans="1:34" ht="15.75" thickBot="1">
      <c r="A81" s="496" t="s">
        <v>444</v>
      </c>
      <c r="B81" s="496" t="s">
        <v>429</v>
      </c>
      <c r="C81" s="66">
        <v>3</v>
      </c>
      <c r="D81" s="66">
        <v>2</v>
      </c>
      <c r="E81" s="66">
        <v>30</v>
      </c>
      <c r="F81" s="66">
        <v>63</v>
      </c>
      <c r="G81" s="66">
        <v>261</v>
      </c>
      <c r="H81" s="66">
        <v>272</v>
      </c>
      <c r="I81" s="66">
        <v>136</v>
      </c>
      <c r="J81" s="66">
        <v>50</v>
      </c>
      <c r="K81" s="66">
        <v>60</v>
      </c>
      <c r="L81" s="553">
        <f>SUM(Table8[[#This Row],[A]:[G]])</f>
        <v>877</v>
      </c>
      <c r="M81" s="545">
        <f>VLOOKUP(A81,Table2[],MATCH(B81,Table2[#Headers],0), 0 )</f>
        <v>1225</v>
      </c>
      <c r="N81" s="546">
        <f>VLOOKUP(A81,Table2[], 8, 0 )+SUM(Table8[[#This Row],[Residence Total]]/Table8[[#This Row],[BER Total]])</f>
        <v>1.4094099965905658</v>
      </c>
      <c r="O81" s="547">
        <f t="shared" si="12"/>
        <v>1236.0525670099262</v>
      </c>
      <c r="R81" s="433" t="s">
        <v>445</v>
      </c>
      <c r="S81" s="432" t="s">
        <v>446</v>
      </c>
      <c r="T81" s="427" t="s">
        <v>447</v>
      </c>
      <c r="U81" s="427" t="s">
        <v>448</v>
      </c>
      <c r="V81" s="427" t="s">
        <v>449</v>
      </c>
      <c r="W81" s="427" t="s">
        <v>450</v>
      </c>
      <c r="X81" s="427" t="s">
        <v>451</v>
      </c>
      <c r="Y81" s="436" t="s">
        <v>452</v>
      </c>
      <c r="Z81" s="431" t="s">
        <v>453</v>
      </c>
      <c r="AA81" s="428" t="s">
        <v>454</v>
      </c>
      <c r="AB81" s="427" t="s">
        <v>455</v>
      </c>
      <c r="AC81" s="427" t="s">
        <v>456</v>
      </c>
      <c r="AD81" s="427" t="s">
        <v>457</v>
      </c>
      <c r="AE81" s="437" t="s">
        <v>458</v>
      </c>
      <c r="AF81" s="438" t="s">
        <v>459</v>
      </c>
      <c r="AG81" s="444" t="s">
        <v>440</v>
      </c>
      <c r="AH81" s="469" t="s">
        <v>460</v>
      </c>
    </row>
    <row r="82" spans="1:34">
      <c r="A82" s="496" t="s">
        <v>444</v>
      </c>
      <c r="B82" s="496" t="s">
        <v>104</v>
      </c>
      <c r="C82" s="66">
        <v>77</v>
      </c>
      <c r="D82" s="66">
        <v>41</v>
      </c>
      <c r="E82" s="66">
        <v>114</v>
      </c>
      <c r="F82" s="66">
        <v>503</v>
      </c>
      <c r="G82" s="494">
        <v>2433</v>
      </c>
      <c r="H82" s="66">
        <v>834</v>
      </c>
      <c r="I82" s="66">
        <v>441</v>
      </c>
      <c r="J82" s="66">
        <v>198</v>
      </c>
      <c r="K82" s="66">
        <v>269</v>
      </c>
      <c r="L82" s="553">
        <f>SUM(Table8[[#This Row],[A]:[G]])</f>
        <v>4910</v>
      </c>
      <c r="M82" s="545">
        <f>VLOOKUP(A82,Table2[],MATCH(B82,Table2[#Headers],0), 0 )</f>
        <v>7563.0000000000009</v>
      </c>
      <c r="N82" s="546">
        <f>VLOOKUP(A82,Table2[], 8, 0 )+SUM(Table8[[#This Row],[Residence Total]]/Table8[[#This Row],[BER Total]])</f>
        <v>1.5529285645655406</v>
      </c>
      <c r="O82" s="547">
        <f t="shared" si="12"/>
        <v>7624.8792520168045</v>
      </c>
      <c r="R82" s="434" t="s">
        <v>428</v>
      </c>
      <c r="S82" s="446">
        <v>6232</v>
      </c>
      <c r="T82" s="447">
        <v>7591</v>
      </c>
      <c r="U82" s="447">
        <v>3130</v>
      </c>
      <c r="V82" s="447">
        <v>2115</v>
      </c>
      <c r="W82" s="447">
        <v>294</v>
      </c>
      <c r="X82" s="447">
        <v>368</v>
      </c>
      <c r="Y82" s="448">
        <v>735</v>
      </c>
      <c r="Z82" s="449">
        <v>20465</v>
      </c>
      <c r="AA82" s="450">
        <v>119</v>
      </c>
      <c r="AB82" s="451">
        <v>528</v>
      </c>
      <c r="AC82" s="451">
        <v>1441</v>
      </c>
      <c r="AD82" s="451">
        <v>423</v>
      </c>
      <c r="AE82" s="452">
        <v>298</v>
      </c>
      <c r="AF82" s="453">
        <f>SUM(Z82:AE82)</f>
        <v>23274</v>
      </c>
      <c r="AG82" s="470">
        <v>1350000000</v>
      </c>
      <c r="AH82" s="471">
        <f>Table4[[#This Row],[TOTAL]]/Table4[[#This Row],[Total Residence]]</f>
        <v>65966.283899340342</v>
      </c>
    </row>
    <row r="83" spans="1:34">
      <c r="A83" s="496" t="s">
        <v>444</v>
      </c>
      <c r="B83" s="496" t="s">
        <v>106</v>
      </c>
      <c r="C83" s="66">
        <v>106</v>
      </c>
      <c r="D83" s="66">
        <v>58</v>
      </c>
      <c r="E83" s="66">
        <v>182</v>
      </c>
      <c r="F83" s="66">
        <v>564</v>
      </c>
      <c r="G83" s="494">
        <v>2604</v>
      </c>
      <c r="H83" s="494">
        <v>1380</v>
      </c>
      <c r="I83" s="66">
        <v>668</v>
      </c>
      <c r="J83" s="66">
        <v>340</v>
      </c>
      <c r="K83" s="66">
        <v>674</v>
      </c>
      <c r="L83" s="553">
        <f>SUM(Table8[[#This Row],[A]:[G]])</f>
        <v>6576</v>
      </c>
      <c r="M83" s="545">
        <f>VLOOKUP(A83,Table2[],MATCH(B83,Table2[#Headers],0), 0 )</f>
        <v>17772</v>
      </c>
      <c r="N83" s="546">
        <f>VLOOKUP(A83,Table2[], 8, 0 )+SUM(Table8[[#This Row],[Residence Total]]/Table8[[#This Row],[BER Total]])</f>
        <v>2.7151574435106398</v>
      </c>
      <c r="O83" s="547">
        <f t="shared" si="12"/>
        <v>17854.875348525966</v>
      </c>
      <c r="R83" s="435" t="s">
        <v>461</v>
      </c>
      <c r="S83" s="454">
        <v>146918</v>
      </c>
      <c r="T83" s="455">
        <v>140851</v>
      </c>
      <c r="U83" s="455">
        <v>114462</v>
      </c>
      <c r="V83" s="455">
        <v>44684</v>
      </c>
      <c r="W83" s="455">
        <v>5990</v>
      </c>
      <c r="X83" s="455">
        <v>5341</v>
      </c>
      <c r="Y83" s="456">
        <v>20913</v>
      </c>
      <c r="Z83" s="457">
        <v>479159</v>
      </c>
      <c r="AA83" s="458">
        <v>2609</v>
      </c>
      <c r="AB83" s="459">
        <v>15988</v>
      </c>
      <c r="AC83" s="459">
        <v>15305</v>
      </c>
      <c r="AD83" s="459">
        <v>16154</v>
      </c>
      <c r="AE83" s="460">
        <v>1538</v>
      </c>
      <c r="AF83" s="457">
        <v>530753</v>
      </c>
      <c r="AG83" s="470">
        <v>29964000000</v>
      </c>
      <c r="AH83" s="471">
        <f>Table4[[#This Row],[TOTAL]]/Table4[[#This Row],[Total Residence]]</f>
        <v>62534.565770443631</v>
      </c>
    </row>
    <row r="84" spans="1:34">
      <c r="A84" s="496" t="s">
        <v>462</v>
      </c>
      <c r="B84" s="496" t="s">
        <v>429</v>
      </c>
      <c r="C84" s="66">
        <v>19</v>
      </c>
      <c r="D84" s="66">
        <v>1</v>
      </c>
      <c r="E84" s="66">
        <v>34</v>
      </c>
      <c r="F84" s="66">
        <v>140</v>
      </c>
      <c r="G84" s="494">
        <v>596</v>
      </c>
      <c r="H84" s="66">
        <v>540</v>
      </c>
      <c r="I84" s="66">
        <v>355</v>
      </c>
      <c r="J84" s="66">
        <v>95</v>
      </c>
      <c r="K84" s="66">
        <v>145</v>
      </c>
      <c r="L84" s="553">
        <f>SUM(Table8[[#This Row],[A]:[G]])</f>
        <v>1925</v>
      </c>
      <c r="M84" s="545">
        <f>VLOOKUP(A84,Table2[],MATCH(B84,Table2[#Headers],0), 0 )</f>
        <v>2451</v>
      </c>
      <c r="N84" s="546">
        <f>VLOOKUP(A84,Table2[], 8, 0 )+SUM(Table8[[#This Row],[Residence Total]]/Table8[[#This Row],[BER Total]])</f>
        <v>1.2858304335706623</v>
      </c>
      <c r="O84" s="547">
        <f t="shared" si="12"/>
        <v>2475.2235846235249</v>
      </c>
      <c r="R84" s="435" t="s">
        <v>463</v>
      </c>
      <c r="S84" s="454">
        <v>30295</v>
      </c>
      <c r="T84" s="455">
        <v>22511</v>
      </c>
      <c r="U84" s="455">
        <v>12629</v>
      </c>
      <c r="V84" s="455">
        <v>4497</v>
      </c>
      <c r="W84" s="455">
        <v>742</v>
      </c>
      <c r="X84" s="455">
        <v>1061</v>
      </c>
      <c r="Y84" s="456">
        <v>1613</v>
      </c>
      <c r="Z84" s="461">
        <v>73348</v>
      </c>
      <c r="AA84" s="462">
        <v>281</v>
      </c>
      <c r="AB84" s="455">
        <v>1817</v>
      </c>
      <c r="AC84" s="455">
        <v>3377</v>
      </c>
      <c r="AD84" s="455">
        <v>1183</v>
      </c>
      <c r="AE84" s="456">
        <v>152</v>
      </c>
      <c r="AF84" s="463">
        <f t="shared" ref="AF84:AF108" si="13">SUM(Z84:AE84)</f>
        <v>80158</v>
      </c>
      <c r="AG84" s="470">
        <v>4450000000</v>
      </c>
      <c r="AH84" s="471">
        <f>Table4[[#This Row],[TOTAL]]/Table4[[#This Row],[Total Residence]]</f>
        <v>60669.68424496919</v>
      </c>
    </row>
    <row r="85" spans="1:34">
      <c r="A85" s="496" t="s">
        <v>462</v>
      </c>
      <c r="B85" s="496" t="s">
        <v>104</v>
      </c>
      <c r="C85" s="66">
        <v>228</v>
      </c>
      <c r="D85" s="66">
        <v>52</v>
      </c>
      <c r="E85" s="66">
        <v>112</v>
      </c>
      <c r="F85" s="66">
        <v>466</v>
      </c>
      <c r="G85" s="494">
        <v>3507</v>
      </c>
      <c r="H85" s="494">
        <v>2729</v>
      </c>
      <c r="I85" s="494">
        <v>1175</v>
      </c>
      <c r="J85" s="66">
        <v>438</v>
      </c>
      <c r="K85" s="66">
        <v>431</v>
      </c>
      <c r="L85" s="553">
        <f>SUM(Table8[[#This Row],[A]:[G]])</f>
        <v>9138</v>
      </c>
      <c r="M85" s="545">
        <f>VLOOKUP(A85,Table2[],MATCH(B85,Table2[#Headers],0), 0 )</f>
        <v>14782</v>
      </c>
      <c r="N85" s="546">
        <f>VLOOKUP(A85,Table2[], 8, 0 )+SUM(Table8[[#This Row],[Residence Total]]/Table8[[#This Row],[BER Total]])</f>
        <v>1.6302243019041236</v>
      </c>
      <c r="O85" s="547">
        <f t="shared" si="12"/>
        <v>14896.989670799881</v>
      </c>
      <c r="R85" s="435" t="s">
        <v>464</v>
      </c>
      <c r="S85" s="454">
        <v>11287</v>
      </c>
      <c r="T85" s="455">
        <v>14039</v>
      </c>
      <c r="U85" s="455">
        <v>4767</v>
      </c>
      <c r="V85" s="455">
        <v>2938</v>
      </c>
      <c r="W85" s="455">
        <v>422</v>
      </c>
      <c r="X85" s="455">
        <v>614</v>
      </c>
      <c r="Y85" s="456">
        <v>676</v>
      </c>
      <c r="Z85" s="461">
        <v>34743</v>
      </c>
      <c r="AA85" s="462">
        <v>104</v>
      </c>
      <c r="AB85" s="455">
        <v>833</v>
      </c>
      <c r="AC85" s="455">
        <v>2616</v>
      </c>
      <c r="AD85" s="455">
        <v>379</v>
      </c>
      <c r="AE85" s="456">
        <v>551</v>
      </c>
      <c r="AF85" s="463">
        <f t="shared" si="13"/>
        <v>39226</v>
      </c>
      <c r="AG85" s="470">
        <v>1854000000</v>
      </c>
      <c r="AH85" s="471">
        <f>Table4[[#This Row],[TOTAL]]/Table4[[#This Row],[Total Residence]]</f>
        <v>53363.26742077541</v>
      </c>
    </row>
    <row r="86" spans="1:34">
      <c r="A86" s="496" t="s">
        <v>462</v>
      </c>
      <c r="B86" s="496" t="s">
        <v>106</v>
      </c>
      <c r="C86" s="66">
        <v>166</v>
      </c>
      <c r="D86" s="66">
        <v>78</v>
      </c>
      <c r="E86" s="66">
        <v>241</v>
      </c>
      <c r="F86" s="66">
        <v>708</v>
      </c>
      <c r="G86" s="494">
        <v>4046</v>
      </c>
      <c r="H86" s="494">
        <v>2416</v>
      </c>
      <c r="I86" s="494">
        <v>1174</v>
      </c>
      <c r="J86" s="66">
        <v>527</v>
      </c>
      <c r="K86" s="494">
        <v>1094</v>
      </c>
      <c r="L86" s="553">
        <f>SUM(Table8[[#This Row],[A]:[G]])</f>
        <v>10450</v>
      </c>
      <c r="M86" s="545">
        <f>VLOOKUP(A86,Table2[],MATCH(B86,Table2[#Headers],0), 0 )</f>
        <v>25688.999999999996</v>
      </c>
      <c r="N86" s="546">
        <f>VLOOKUP(A86,Table2[], 8, 0 )+SUM(Table8[[#This Row],[Residence Total]]/Table8[[#This Row],[BER Total]])</f>
        <v>2.4708611922856312</v>
      </c>
      <c r="O86" s="547">
        <f t="shared" si="12"/>
        <v>25820.499459384846</v>
      </c>
      <c r="R86" s="435" t="s">
        <v>465</v>
      </c>
      <c r="S86" s="454">
        <v>10351</v>
      </c>
      <c r="T86" s="455">
        <v>10429</v>
      </c>
      <c r="U86" s="455">
        <v>4024</v>
      </c>
      <c r="V86" s="455">
        <v>2601</v>
      </c>
      <c r="W86" s="455">
        <v>321</v>
      </c>
      <c r="X86" s="455">
        <v>460</v>
      </c>
      <c r="Y86" s="456">
        <v>811</v>
      </c>
      <c r="Z86" s="461">
        <v>28997</v>
      </c>
      <c r="AA86" s="462">
        <v>78</v>
      </c>
      <c r="AB86" s="455">
        <v>559</v>
      </c>
      <c r="AC86" s="455">
        <v>2583</v>
      </c>
      <c r="AD86" s="455">
        <v>424</v>
      </c>
      <c r="AE86" s="456">
        <v>153</v>
      </c>
      <c r="AF86" s="463">
        <f t="shared" si="13"/>
        <v>32794</v>
      </c>
      <c r="AG86" s="470">
        <v>1460000000</v>
      </c>
      <c r="AH86" s="471">
        <f>Table4[[#This Row],[TOTAL]]/Table4[[#This Row],[Total Residence]]</f>
        <v>50350.03621064248</v>
      </c>
    </row>
    <row r="87" spans="1:34">
      <c r="A87" s="496" t="s">
        <v>466</v>
      </c>
      <c r="B87" s="496" t="s">
        <v>429</v>
      </c>
      <c r="C87" s="66">
        <v>102</v>
      </c>
      <c r="D87" s="66">
        <v>408</v>
      </c>
      <c r="E87" s="494">
        <v>1027</v>
      </c>
      <c r="F87" s="494">
        <v>1475</v>
      </c>
      <c r="G87" s="494">
        <v>3593</v>
      </c>
      <c r="H87" s="494">
        <v>2102</v>
      </c>
      <c r="I87" s="494">
        <v>1200</v>
      </c>
      <c r="J87" s="66">
        <v>458</v>
      </c>
      <c r="K87" s="66">
        <v>661</v>
      </c>
      <c r="L87" s="553">
        <f>SUM(Table8[[#This Row],[A]:[G]])</f>
        <v>11026</v>
      </c>
      <c r="M87" s="545">
        <f>VLOOKUP(A87,Table2[],MATCH(B87,Table2[#Headers],0), 0 )</f>
        <v>17739.999999999996</v>
      </c>
      <c r="N87" s="546">
        <f>VLOOKUP(A87,Table2[], 8, 0 )+SUM(Table8[[#This Row],[Residence Total]]/Table8[[#This Row],[BER Total]])</f>
        <v>1.6204942625184457</v>
      </c>
      <c r="O87" s="547">
        <f t="shared" si="12"/>
        <v>17867.569738528382</v>
      </c>
      <c r="R87" s="435" t="s">
        <v>467</v>
      </c>
      <c r="S87" s="454">
        <v>3864</v>
      </c>
      <c r="T87" s="455">
        <v>5753</v>
      </c>
      <c r="U87" s="455">
        <v>2621</v>
      </c>
      <c r="V87" s="455">
        <v>2031</v>
      </c>
      <c r="W87" s="455">
        <v>167</v>
      </c>
      <c r="X87" s="455">
        <v>257</v>
      </c>
      <c r="Y87" s="456">
        <v>399</v>
      </c>
      <c r="Z87" s="461">
        <v>15092</v>
      </c>
      <c r="AA87" s="462">
        <v>54</v>
      </c>
      <c r="AB87" s="455">
        <v>343</v>
      </c>
      <c r="AC87" s="455">
        <v>2383</v>
      </c>
      <c r="AD87" s="455">
        <v>441</v>
      </c>
      <c r="AE87" s="456">
        <v>278</v>
      </c>
      <c r="AF87" s="463">
        <f t="shared" si="13"/>
        <v>18591</v>
      </c>
      <c r="AG87" s="470">
        <v>702000000</v>
      </c>
      <c r="AH87" s="471">
        <f>Table4[[#This Row],[TOTAL]]/Table4[[#This Row],[Total Residence]]</f>
        <v>46514.709780015903</v>
      </c>
    </row>
    <row r="88" spans="1:34">
      <c r="A88" s="496" t="s">
        <v>466</v>
      </c>
      <c r="B88" s="496" t="s">
        <v>104</v>
      </c>
      <c r="C88" s="494">
        <v>2582</v>
      </c>
      <c r="D88" s="66">
        <v>560</v>
      </c>
      <c r="E88" s="494">
        <v>1386</v>
      </c>
      <c r="F88" s="494">
        <v>5217</v>
      </c>
      <c r="G88" s="494">
        <v>20749</v>
      </c>
      <c r="H88" s="494">
        <v>9469</v>
      </c>
      <c r="I88" s="494">
        <v>4680</v>
      </c>
      <c r="J88" s="494">
        <v>2061</v>
      </c>
      <c r="K88" s="494">
        <v>2467</v>
      </c>
      <c r="L88" s="553">
        <f>SUM(Table8[[#This Row],[A]:[G]])</f>
        <v>49171</v>
      </c>
      <c r="M88" s="545">
        <f>VLOOKUP(A88,Table2[],MATCH(B88,Table2[#Headers],0), 0 )</f>
        <v>88961</v>
      </c>
      <c r="N88" s="546">
        <f>VLOOKUP(A88,Table2[], 8, 0 )+SUM(Table8[[#This Row],[Residence Total]]/Table8[[#This Row],[BER Total]])</f>
        <v>1.8207867167054381</v>
      </c>
      <c r="O88" s="547">
        <f t="shared" si="12"/>
        <v>89529.903647123094</v>
      </c>
      <c r="R88" s="435" t="s">
        <v>468</v>
      </c>
      <c r="S88" s="454">
        <v>16356</v>
      </c>
      <c r="T88" s="455">
        <v>15145</v>
      </c>
      <c r="U88" s="455">
        <v>6909</v>
      </c>
      <c r="V88" s="455">
        <v>4248</v>
      </c>
      <c r="W88" s="455">
        <v>582</v>
      </c>
      <c r="X88" s="455">
        <v>611</v>
      </c>
      <c r="Y88" s="456">
        <v>1512</v>
      </c>
      <c r="Z88" s="461">
        <v>45363</v>
      </c>
      <c r="AA88" s="462">
        <v>165</v>
      </c>
      <c r="AB88" s="455">
        <v>1158</v>
      </c>
      <c r="AC88" s="455">
        <v>3148</v>
      </c>
      <c r="AD88" s="455">
        <v>804</v>
      </c>
      <c r="AE88" s="456">
        <v>761</v>
      </c>
      <c r="AF88" s="463">
        <f t="shared" si="13"/>
        <v>51399</v>
      </c>
      <c r="AG88" s="470">
        <v>2352000000</v>
      </c>
      <c r="AH88" s="471">
        <f>Table4[[#This Row],[TOTAL]]/Table4[[#This Row],[Total Residence]]</f>
        <v>51848.422723364856</v>
      </c>
    </row>
    <row r="89" spans="1:34">
      <c r="A89" s="496" t="s">
        <v>466</v>
      </c>
      <c r="B89" s="496" t="s">
        <v>106</v>
      </c>
      <c r="C89" s="494">
        <v>1437</v>
      </c>
      <c r="D89" s="66">
        <v>457</v>
      </c>
      <c r="E89" s="494">
        <v>1121</v>
      </c>
      <c r="F89" s="494">
        <v>3353</v>
      </c>
      <c r="G89" s="494">
        <v>12062</v>
      </c>
      <c r="H89" s="494">
        <v>6695</v>
      </c>
      <c r="I89" s="494">
        <v>2864</v>
      </c>
      <c r="J89" s="494">
        <v>1337</v>
      </c>
      <c r="K89" s="494">
        <v>2707</v>
      </c>
      <c r="L89" s="553">
        <f>SUM(Table8[[#This Row],[A]:[G]])</f>
        <v>32033</v>
      </c>
      <c r="M89" s="545">
        <f>VLOOKUP(A89,Table2[],MATCH(B89,Table2[#Headers],0), 0 )</f>
        <v>86886</v>
      </c>
      <c r="N89" s="546">
        <f>VLOOKUP(A89,Table2[], 8, 0 )+SUM(Table8[[#This Row],[Residence Total]]/Table8[[#This Row],[BER Total]])</f>
        <v>2.7239602493704207</v>
      </c>
      <c r="O89" s="547">
        <f t="shared" si="12"/>
        <v>87256.61866808268</v>
      </c>
      <c r="R89" s="435" t="s">
        <v>469</v>
      </c>
      <c r="S89" s="454">
        <v>27678</v>
      </c>
      <c r="T89" s="455">
        <v>20987</v>
      </c>
      <c r="U89" s="455">
        <v>9332</v>
      </c>
      <c r="V89" s="455">
        <v>3244</v>
      </c>
      <c r="W89" s="455">
        <v>301</v>
      </c>
      <c r="X89" s="455">
        <v>903</v>
      </c>
      <c r="Y89" s="456">
        <v>1416</v>
      </c>
      <c r="Z89" s="461">
        <v>63861</v>
      </c>
      <c r="AA89" s="462">
        <v>128</v>
      </c>
      <c r="AB89" s="455">
        <v>1785</v>
      </c>
      <c r="AC89" s="455">
        <v>3495</v>
      </c>
      <c r="AD89" s="455">
        <v>1145</v>
      </c>
      <c r="AE89" s="456">
        <v>235</v>
      </c>
      <c r="AF89" s="463">
        <f t="shared" si="13"/>
        <v>70649</v>
      </c>
      <c r="AG89" s="470">
        <v>3736000000</v>
      </c>
      <c r="AH89" s="471">
        <f>Table4[[#This Row],[TOTAL]]/Table4[[#This Row],[Total Residence]]</f>
        <v>58502.059159737553</v>
      </c>
    </row>
    <row r="90" spans="1:34">
      <c r="A90" s="496" t="s">
        <v>470</v>
      </c>
      <c r="B90" s="496" t="s">
        <v>429</v>
      </c>
      <c r="C90" s="66">
        <v>6</v>
      </c>
      <c r="D90" s="66">
        <v>33</v>
      </c>
      <c r="E90" s="66">
        <v>112</v>
      </c>
      <c r="F90" s="66">
        <v>135</v>
      </c>
      <c r="G90" s="494">
        <v>786</v>
      </c>
      <c r="H90" s="66">
        <v>487</v>
      </c>
      <c r="I90" s="66">
        <v>289</v>
      </c>
      <c r="J90" s="66">
        <v>99</v>
      </c>
      <c r="K90" s="66">
        <v>120</v>
      </c>
      <c r="L90" s="553">
        <f>SUM(Table8[[#This Row],[A]:[G]])</f>
        <v>2067</v>
      </c>
      <c r="M90" s="545">
        <f>VLOOKUP(A90,Table2[],MATCH(B90,Table2[#Headers],0), 0 )</f>
        <v>2334</v>
      </c>
      <c r="N90" s="546">
        <f>VLOOKUP(A90,Table2[], 8, 0 )+SUM(Table8[[#This Row],[Residence Total]]/Table8[[#This Row],[BER Total]])</f>
        <v>1.1422314270088934</v>
      </c>
      <c r="O90" s="547">
        <f t="shared" si="12"/>
        <v>2360.9923596273825</v>
      </c>
      <c r="R90" s="435" t="s">
        <v>471</v>
      </c>
      <c r="S90" s="454">
        <v>8973</v>
      </c>
      <c r="T90" s="455">
        <v>10920</v>
      </c>
      <c r="U90" s="455">
        <v>3721</v>
      </c>
      <c r="V90" s="455">
        <v>2206</v>
      </c>
      <c r="W90" s="455">
        <v>251</v>
      </c>
      <c r="X90" s="455">
        <v>467</v>
      </c>
      <c r="Y90" s="456">
        <v>646</v>
      </c>
      <c r="Z90" s="461">
        <v>27184</v>
      </c>
      <c r="AA90" s="462">
        <v>76</v>
      </c>
      <c r="AB90" s="455">
        <v>596</v>
      </c>
      <c r="AC90" s="455">
        <v>2252</v>
      </c>
      <c r="AD90" s="455">
        <v>388</v>
      </c>
      <c r="AE90" s="456">
        <v>244</v>
      </c>
      <c r="AF90" s="463">
        <f t="shared" si="13"/>
        <v>30740</v>
      </c>
      <c r="AG90" s="470">
        <v>1336000000</v>
      </c>
      <c r="AH90" s="471">
        <f>Table4[[#This Row],[TOTAL]]/Table4[[#This Row],[Total Residence]]</f>
        <v>49146.556798116537</v>
      </c>
    </row>
    <row r="91" spans="1:34">
      <c r="A91" s="496" t="s">
        <v>470</v>
      </c>
      <c r="B91" s="496" t="s">
        <v>104</v>
      </c>
      <c r="C91" s="66">
        <v>163</v>
      </c>
      <c r="D91" s="66">
        <v>43</v>
      </c>
      <c r="E91" s="66">
        <v>90</v>
      </c>
      <c r="F91" s="66">
        <v>482</v>
      </c>
      <c r="G91" s="494">
        <v>4614</v>
      </c>
      <c r="H91" s="494">
        <v>2101</v>
      </c>
      <c r="I91" s="66">
        <v>937</v>
      </c>
      <c r="J91" s="66">
        <v>423</v>
      </c>
      <c r="K91" s="66">
        <v>534</v>
      </c>
      <c r="L91" s="553">
        <f>SUM(Table8[[#This Row],[A]:[G]])</f>
        <v>9387</v>
      </c>
      <c r="M91" s="545">
        <f>VLOOKUP(A91,Table2[],MATCH(B91,Table2[#Headers],0), 0 )</f>
        <v>15554.000000000002</v>
      </c>
      <c r="N91" s="546">
        <f>VLOOKUP(A91,Table2[], 8, 0 )+SUM(Table8[[#This Row],[Residence Total]]/Table8[[#This Row],[BER Total]])</f>
        <v>1.6700311215807802</v>
      </c>
      <c r="O91" s="547">
        <f t="shared" si="12"/>
        <v>15676.582138278784</v>
      </c>
      <c r="R91" s="435" t="s">
        <v>472</v>
      </c>
      <c r="S91" s="454">
        <v>10325</v>
      </c>
      <c r="T91" s="455">
        <v>11590</v>
      </c>
      <c r="U91" s="455">
        <v>5928</v>
      </c>
      <c r="V91" s="455">
        <v>2404</v>
      </c>
      <c r="W91" s="455">
        <v>141</v>
      </c>
      <c r="X91" s="455">
        <v>498</v>
      </c>
      <c r="Y91" s="456">
        <v>799</v>
      </c>
      <c r="Z91" s="461">
        <v>31685</v>
      </c>
      <c r="AA91" s="462">
        <v>173</v>
      </c>
      <c r="AB91" s="455">
        <v>1023</v>
      </c>
      <c r="AC91" s="455">
        <v>2854</v>
      </c>
      <c r="AD91" s="455">
        <v>874</v>
      </c>
      <c r="AE91" s="456">
        <v>281</v>
      </c>
      <c r="AF91" s="463">
        <f t="shared" si="13"/>
        <v>36890</v>
      </c>
      <c r="AG91" s="470">
        <v>1594000000</v>
      </c>
      <c r="AH91" s="471">
        <f>Table4[[#This Row],[TOTAL]]/Table4[[#This Row],[Total Residence]]</f>
        <v>50307.71658513492</v>
      </c>
    </row>
    <row r="92" spans="1:34">
      <c r="A92" s="496" t="s">
        <v>470</v>
      </c>
      <c r="B92" s="496" t="s">
        <v>106</v>
      </c>
      <c r="C92" s="66">
        <v>248</v>
      </c>
      <c r="D92" s="66">
        <v>120</v>
      </c>
      <c r="E92" s="66">
        <v>280</v>
      </c>
      <c r="F92" s="66">
        <v>856</v>
      </c>
      <c r="G92" s="494">
        <v>5260</v>
      </c>
      <c r="H92" s="494">
        <v>3295</v>
      </c>
      <c r="I92" s="494">
        <v>1523</v>
      </c>
      <c r="J92" s="66">
        <v>732</v>
      </c>
      <c r="K92" s="494">
        <v>1276</v>
      </c>
      <c r="L92" s="553">
        <f>SUM(Table8[[#This Row],[A]:[G]])</f>
        <v>13590</v>
      </c>
      <c r="M92" s="545">
        <f>VLOOKUP(A92,Table2[],MATCH(B92,Table2[#Headers],0), 0 )</f>
        <v>39853</v>
      </c>
      <c r="N92" s="546">
        <f>VLOOKUP(A92,Table2[], 8, 0 )+SUM(Table8[[#This Row],[Residence Total]]/Table8[[#This Row],[BER Total]])</f>
        <v>2.9455826275736388</v>
      </c>
      <c r="O92" s="547">
        <f t="shared" si="12"/>
        <v>40030.467908725754</v>
      </c>
      <c r="R92" s="435" t="s">
        <v>473</v>
      </c>
      <c r="S92" s="454">
        <v>16562</v>
      </c>
      <c r="T92" s="455">
        <v>22049</v>
      </c>
      <c r="U92" s="455">
        <v>7887</v>
      </c>
      <c r="V92" s="455">
        <v>4961</v>
      </c>
      <c r="W92" s="455">
        <v>364</v>
      </c>
      <c r="X92" s="455">
        <v>1096</v>
      </c>
      <c r="Y92" s="456">
        <v>1087</v>
      </c>
      <c r="Z92" s="461">
        <v>54006</v>
      </c>
      <c r="AA92" s="462">
        <v>226</v>
      </c>
      <c r="AB92" s="455">
        <v>1427</v>
      </c>
      <c r="AC92" s="455">
        <v>4744</v>
      </c>
      <c r="AD92" s="455">
        <v>1174</v>
      </c>
      <c r="AE92" s="456">
        <v>6629</v>
      </c>
      <c r="AF92" s="463">
        <f t="shared" si="13"/>
        <v>68206</v>
      </c>
      <c r="AG92" s="470">
        <v>2839000000</v>
      </c>
      <c r="AH92" s="471">
        <f>Table4[[#This Row],[TOTAL]]/Table4[[#This Row],[Total Residence]]</f>
        <v>52568.233159278599</v>
      </c>
    </row>
    <row r="93" spans="1:34">
      <c r="A93" s="496" t="s">
        <v>474</v>
      </c>
      <c r="B93" s="496" t="s">
        <v>429</v>
      </c>
      <c r="C93" s="494">
        <v>5627</v>
      </c>
      <c r="D93" s="494">
        <v>2343</v>
      </c>
      <c r="E93" s="494">
        <v>5914</v>
      </c>
      <c r="F93" s="494">
        <v>8517</v>
      </c>
      <c r="G93" s="494">
        <v>24763</v>
      </c>
      <c r="H93" s="494">
        <v>15131</v>
      </c>
      <c r="I93" s="494">
        <v>7279</v>
      </c>
      <c r="J93" s="494">
        <v>2497</v>
      </c>
      <c r="K93" s="494">
        <v>2368</v>
      </c>
      <c r="L93" s="553">
        <f>SUM(Table8[[#This Row],[A]:[G]])</f>
        <v>74439</v>
      </c>
      <c r="M93" s="545">
        <f>VLOOKUP(A93,Table2[],MATCH(B93,Table2[#Headers],0), 0 )</f>
        <v>122231.99999999997</v>
      </c>
      <c r="N93" s="546">
        <f>VLOOKUP(A93,Table2[], 8, 0 )+SUM(Table8[[#This Row],[Residence Total]]/Table8[[#This Row],[BER Total]])</f>
        <v>1.6558078185939724</v>
      </c>
      <c r="O93" s="547">
        <f t="shared" si="12"/>
        <v>123256.67820831671</v>
      </c>
      <c r="R93" s="435" t="s">
        <v>475</v>
      </c>
      <c r="S93" s="454">
        <v>17790</v>
      </c>
      <c r="T93" s="455">
        <v>17315</v>
      </c>
      <c r="U93" s="455">
        <v>7237</v>
      </c>
      <c r="V93" s="455">
        <v>4588</v>
      </c>
      <c r="W93" s="455">
        <v>203</v>
      </c>
      <c r="X93" s="455">
        <v>805</v>
      </c>
      <c r="Y93" s="456">
        <v>1067</v>
      </c>
      <c r="Z93" s="461">
        <v>49005</v>
      </c>
      <c r="AA93" s="462">
        <v>156</v>
      </c>
      <c r="AB93" s="455">
        <v>1371</v>
      </c>
      <c r="AC93" s="455">
        <v>2685</v>
      </c>
      <c r="AD93" s="455">
        <v>729</v>
      </c>
      <c r="AE93" s="456">
        <v>1040</v>
      </c>
      <c r="AF93" s="463">
        <f t="shared" si="13"/>
        <v>54986</v>
      </c>
      <c r="AG93" s="470">
        <v>2781000000</v>
      </c>
      <c r="AH93" s="471">
        <f>Table4[[#This Row],[TOTAL]]/Table4[[#This Row],[Total Residence]]</f>
        <v>56749.311294765837</v>
      </c>
    </row>
    <row r="94" spans="1:34">
      <c r="A94" s="496" t="s">
        <v>474</v>
      </c>
      <c r="B94" s="496" t="s">
        <v>104</v>
      </c>
      <c r="C94" s="494">
        <v>14265</v>
      </c>
      <c r="D94" s="66">
        <v>965</v>
      </c>
      <c r="E94" s="494">
        <v>2784</v>
      </c>
      <c r="F94" s="494">
        <v>7916</v>
      </c>
      <c r="G94" s="494">
        <v>47027</v>
      </c>
      <c r="H94" s="494">
        <v>34459</v>
      </c>
      <c r="I94" s="494">
        <v>17902</v>
      </c>
      <c r="J94" s="494">
        <v>8287</v>
      </c>
      <c r="K94" s="494">
        <v>7029</v>
      </c>
      <c r="L94" s="553">
        <f>SUM(Table8[[#This Row],[A]:[G]])</f>
        <v>140634</v>
      </c>
      <c r="M94" s="545">
        <f>VLOOKUP(A94,Table2[],MATCH(B94,Table2[#Headers],0), 0 )</f>
        <v>295699</v>
      </c>
      <c r="N94" s="546">
        <f>VLOOKUP(A94,Table2[], 8, 0 )+SUM(Table8[[#This Row],[Residence Total]]/Table8[[#This Row],[BER Total]])</f>
        <v>2.1163792180168333</v>
      </c>
      <c r="O94" s="547">
        <f t="shared" si="12"/>
        <v>297634.87494657934</v>
      </c>
      <c r="R94" s="435" t="s">
        <v>462</v>
      </c>
      <c r="S94" s="454">
        <v>14124</v>
      </c>
      <c r="T94" s="455">
        <v>18036</v>
      </c>
      <c r="U94" s="455">
        <v>6323</v>
      </c>
      <c r="V94" s="455">
        <v>2703</v>
      </c>
      <c r="W94" s="455">
        <v>289</v>
      </c>
      <c r="X94" s="455">
        <v>793</v>
      </c>
      <c r="Y94" s="456">
        <v>1080</v>
      </c>
      <c r="Z94" s="461">
        <v>43348</v>
      </c>
      <c r="AA94" s="462">
        <v>301</v>
      </c>
      <c r="AB94" s="455">
        <v>1205</v>
      </c>
      <c r="AC94" s="455">
        <v>5083</v>
      </c>
      <c r="AD94" s="455">
        <v>1021</v>
      </c>
      <c r="AE94" s="456">
        <v>4821</v>
      </c>
      <c r="AF94" s="463">
        <f t="shared" si="13"/>
        <v>55779</v>
      </c>
      <c r="AG94" s="470">
        <v>2141000000</v>
      </c>
      <c r="AH94" s="471">
        <f>Table4[[#This Row],[TOTAL]]/Table4[[#This Row],[Total Residence]]</f>
        <v>49390.975362185105</v>
      </c>
    </row>
    <row r="95" spans="1:34">
      <c r="A95" s="496" t="s">
        <v>474</v>
      </c>
      <c r="B95" s="496" t="s">
        <v>106</v>
      </c>
      <c r="C95" s="494">
        <v>2025</v>
      </c>
      <c r="D95" s="66">
        <v>344</v>
      </c>
      <c r="E95" s="66">
        <v>732</v>
      </c>
      <c r="F95" s="494">
        <v>1585</v>
      </c>
      <c r="G95" s="494">
        <v>7280</v>
      </c>
      <c r="H95" s="494">
        <v>5161</v>
      </c>
      <c r="I95" s="494">
        <v>2654</v>
      </c>
      <c r="J95" s="494">
        <v>1293</v>
      </c>
      <c r="K95" s="494">
        <v>1459</v>
      </c>
      <c r="L95" s="553">
        <f>SUM(Table8[[#This Row],[A]:[G]])</f>
        <v>22533</v>
      </c>
      <c r="M95" s="545">
        <f>VLOOKUP(A95,Table2[],MATCH(B95,Table2[#Headers],0), 0 )</f>
        <v>55149</v>
      </c>
      <c r="N95" s="546">
        <f>VLOOKUP(A95,Table2[], 8, 0 )+SUM(Table8[[#This Row],[Residence Total]]/Table8[[#This Row],[BER Total]])</f>
        <v>2.4612423745444572</v>
      </c>
      <c r="O95" s="547">
        <f t="shared" si="12"/>
        <v>55459.174425610254</v>
      </c>
      <c r="R95" s="435" t="s">
        <v>466</v>
      </c>
      <c r="S95" s="454">
        <v>59098</v>
      </c>
      <c r="T95" s="455">
        <v>72301</v>
      </c>
      <c r="U95" s="455">
        <v>36031</v>
      </c>
      <c r="V95" s="455">
        <v>17024</v>
      </c>
      <c r="W95" s="455">
        <v>1861</v>
      </c>
      <c r="X95" s="455">
        <v>3395</v>
      </c>
      <c r="Y95" s="456">
        <v>5712</v>
      </c>
      <c r="Z95" s="457">
        <v>195422</v>
      </c>
      <c r="AA95" s="458">
        <v>1253</v>
      </c>
      <c r="AB95" s="459">
        <v>5611</v>
      </c>
      <c r="AC95" s="459">
        <v>16150</v>
      </c>
      <c r="AD95" s="459">
        <v>3787</v>
      </c>
      <c r="AE95" s="460">
        <v>7272</v>
      </c>
      <c r="AF95" s="457">
        <f t="shared" si="13"/>
        <v>229495</v>
      </c>
      <c r="AG95" s="470">
        <v>10643000000</v>
      </c>
      <c r="AH95" s="471">
        <f>Table4[[#This Row],[TOTAL]]/Table4[[#This Row],[Total Residence]]</f>
        <v>54461.626633644111</v>
      </c>
    </row>
    <row r="96" spans="1:34">
      <c r="A96" s="496" t="s">
        <v>476</v>
      </c>
      <c r="B96" s="496" t="s">
        <v>429</v>
      </c>
      <c r="C96" s="66">
        <v>67</v>
      </c>
      <c r="D96" s="66">
        <v>51</v>
      </c>
      <c r="E96" s="66">
        <v>198</v>
      </c>
      <c r="F96" s="66">
        <v>414</v>
      </c>
      <c r="G96" s="494">
        <v>2196</v>
      </c>
      <c r="H96" s="494">
        <v>2273</v>
      </c>
      <c r="I96" s="494">
        <v>1246</v>
      </c>
      <c r="J96" s="66">
        <v>340</v>
      </c>
      <c r="K96" s="66">
        <v>249</v>
      </c>
      <c r="L96" s="553">
        <f>SUM(Table8[[#This Row],[A]:[G]])</f>
        <v>7034</v>
      </c>
      <c r="M96" s="545">
        <f>VLOOKUP(A96,Table2[],MATCH(B96,Table2[#Headers],0), 0 )</f>
        <v>9669</v>
      </c>
      <c r="N96" s="546">
        <f>VLOOKUP(A96,Table2[], 8, 0 )+SUM(Table8[[#This Row],[Residence Total]]/Table8[[#This Row],[BER Total]])</f>
        <v>1.3884829686079416</v>
      </c>
      <c r="O96" s="547">
        <f t="shared" si="12"/>
        <v>9766.5892011882606</v>
      </c>
      <c r="R96" s="435" t="s">
        <v>477</v>
      </c>
      <c r="S96" s="454">
        <v>14236</v>
      </c>
      <c r="T96" s="455">
        <v>24879</v>
      </c>
      <c r="U96" s="455">
        <v>7865</v>
      </c>
      <c r="V96" s="455">
        <v>4373</v>
      </c>
      <c r="W96" s="455">
        <v>350</v>
      </c>
      <c r="X96" s="455">
        <v>1182</v>
      </c>
      <c r="Y96" s="456">
        <v>1403</v>
      </c>
      <c r="Z96" s="461">
        <v>54288</v>
      </c>
      <c r="AA96" s="462">
        <v>603</v>
      </c>
      <c r="AB96" s="455">
        <v>1456</v>
      </c>
      <c r="AC96" s="455">
        <v>8527</v>
      </c>
      <c r="AD96" s="455">
        <v>1164</v>
      </c>
      <c r="AE96" s="456">
        <v>8056</v>
      </c>
      <c r="AF96" s="463">
        <f t="shared" si="13"/>
        <v>74094</v>
      </c>
      <c r="AG96" s="470">
        <v>2632000000</v>
      </c>
      <c r="AH96" s="471">
        <f>Table4[[#This Row],[TOTAL]]/Table4[[#This Row],[Total Residence]]</f>
        <v>48482.169171824346</v>
      </c>
    </row>
    <row r="97" spans="1:35">
      <c r="A97" s="496" t="s">
        <v>476</v>
      </c>
      <c r="B97" s="496" t="s">
        <v>104</v>
      </c>
      <c r="C97" s="66">
        <v>629</v>
      </c>
      <c r="D97" s="66">
        <v>102</v>
      </c>
      <c r="E97" s="66">
        <v>281</v>
      </c>
      <c r="F97" s="66">
        <v>859</v>
      </c>
      <c r="G97" s="494">
        <v>7635</v>
      </c>
      <c r="H97" s="494">
        <v>4270</v>
      </c>
      <c r="I97" s="494">
        <v>1807</v>
      </c>
      <c r="J97" s="66">
        <v>817</v>
      </c>
      <c r="K97" s="66">
        <v>788</v>
      </c>
      <c r="L97" s="553">
        <f>SUM(Table8[[#This Row],[A]:[G]])</f>
        <v>17188</v>
      </c>
      <c r="M97" s="545">
        <f>VLOOKUP(A97,Table2[],MATCH(B97,Table2[#Headers],0), 0 )</f>
        <v>26860.000000000004</v>
      </c>
      <c r="N97" s="546">
        <f>VLOOKUP(A97,Table2[], 8, 0 )+SUM(Table8[[#This Row],[Residence Total]]/Table8[[#This Row],[BER Total]])</f>
        <v>1.5765921022822147</v>
      </c>
      <c r="O97" s="547">
        <f t="shared" si="12"/>
        <v>27098.465054026707</v>
      </c>
      <c r="R97" s="435" t="s">
        <v>478</v>
      </c>
      <c r="S97" s="454">
        <v>20667</v>
      </c>
      <c r="T97" s="455">
        <v>27562</v>
      </c>
      <c r="U97" s="455">
        <v>12787</v>
      </c>
      <c r="V97" s="455">
        <v>5803</v>
      </c>
      <c r="W97" s="455">
        <v>761</v>
      </c>
      <c r="X97" s="455">
        <v>1266</v>
      </c>
      <c r="Y97" s="456">
        <v>2176</v>
      </c>
      <c r="Z97" s="461">
        <v>71022</v>
      </c>
      <c r="AA97" s="462">
        <v>472</v>
      </c>
      <c r="AB97" s="455">
        <v>2434</v>
      </c>
      <c r="AC97" s="455">
        <v>6153</v>
      </c>
      <c r="AD97" s="455">
        <v>1599</v>
      </c>
      <c r="AE97" s="456">
        <v>432</v>
      </c>
      <c r="AF97" s="463">
        <f t="shared" si="13"/>
        <v>82112</v>
      </c>
      <c r="AG97" s="470">
        <v>4299000000</v>
      </c>
      <c r="AH97" s="471">
        <f>Table4[[#This Row],[TOTAL]]/Table4[[#This Row],[Total Residence]]</f>
        <v>60530.539832727889</v>
      </c>
    </row>
    <row r="98" spans="1:35">
      <c r="A98" s="496" t="s">
        <v>476</v>
      </c>
      <c r="B98" s="496" t="s">
        <v>106</v>
      </c>
      <c r="C98" s="66">
        <v>638</v>
      </c>
      <c r="D98" s="66">
        <v>234</v>
      </c>
      <c r="E98" s="66">
        <v>562</v>
      </c>
      <c r="F98" s="494">
        <v>1758</v>
      </c>
      <c r="G98" s="494">
        <v>8063</v>
      </c>
      <c r="H98" s="494">
        <v>4834</v>
      </c>
      <c r="I98" s="494">
        <v>2179</v>
      </c>
      <c r="J98" s="494">
        <v>1025</v>
      </c>
      <c r="K98" s="494">
        <v>1940</v>
      </c>
      <c r="L98" s="553">
        <f>SUM(Table8[[#This Row],[A]:[G]])</f>
        <v>21233</v>
      </c>
      <c r="M98" s="545">
        <f>VLOOKUP(A98,Table2[],MATCH(B98,Table2[#Headers],0), 0 )</f>
        <v>54095</v>
      </c>
      <c r="N98" s="546">
        <f>VLOOKUP(A98,Table2[], 8, 0 )+SUM(Table8[[#This Row],[Residence Total]]/Table8[[#This Row],[BER Total]])</f>
        <v>2.5615591338000758</v>
      </c>
      <c r="O98" s="547">
        <f t="shared" si="12"/>
        <v>54389.585087977008</v>
      </c>
      <c r="R98" s="435" t="s">
        <v>479</v>
      </c>
      <c r="S98" s="454">
        <v>17616</v>
      </c>
      <c r="T98" s="455">
        <v>24414</v>
      </c>
      <c r="U98" s="455">
        <v>7894</v>
      </c>
      <c r="V98" s="455">
        <v>5719</v>
      </c>
      <c r="W98" s="455">
        <v>723</v>
      </c>
      <c r="X98" s="455">
        <v>1276</v>
      </c>
      <c r="Y98" s="456">
        <v>1429</v>
      </c>
      <c r="Z98" s="461">
        <v>59071</v>
      </c>
      <c r="AA98" s="462">
        <v>213</v>
      </c>
      <c r="AB98" s="455">
        <v>1320</v>
      </c>
      <c r="AC98" s="455">
        <v>6399</v>
      </c>
      <c r="AD98" s="455">
        <v>1094</v>
      </c>
      <c r="AE98" s="456">
        <v>1009</v>
      </c>
      <c r="AF98" s="463">
        <f t="shared" si="13"/>
        <v>69106</v>
      </c>
      <c r="AG98" s="445">
        <v>3091000000</v>
      </c>
      <c r="AH98" s="471">
        <f>Table4[[#This Row],[TOTAL]]/Table4[[#This Row],[Total Residence]]</f>
        <v>52326.860896209648</v>
      </c>
    </row>
    <row r="99" spans="1:35">
      <c r="A99" s="496" t="s">
        <v>477</v>
      </c>
      <c r="B99" s="496" t="s">
        <v>429</v>
      </c>
      <c r="C99" s="66">
        <v>19</v>
      </c>
      <c r="D99" s="66">
        <v>34</v>
      </c>
      <c r="E99" s="66">
        <v>48</v>
      </c>
      <c r="F99" s="66">
        <v>134</v>
      </c>
      <c r="G99" s="494">
        <v>779</v>
      </c>
      <c r="H99" s="66">
        <v>685</v>
      </c>
      <c r="I99" s="66">
        <v>326</v>
      </c>
      <c r="J99" s="66">
        <v>99</v>
      </c>
      <c r="K99" s="66">
        <v>152</v>
      </c>
      <c r="L99" s="553">
        <f>SUM(Table8[[#This Row],[A]:[G]])</f>
        <v>2276</v>
      </c>
      <c r="M99" s="545">
        <f>VLOOKUP(A99,Table2[],MATCH(B99,Table2[#Headers],0), 0 )</f>
        <v>2822</v>
      </c>
      <c r="N99" s="546">
        <f>VLOOKUP(A99,Table2[], 8, 0 )+SUM(Table8[[#This Row],[Residence Total]]/Table8[[#This Row],[BER Total]])</f>
        <v>1.2531072580644902</v>
      </c>
      <c r="O99" s="547">
        <f t="shared" si="12"/>
        <v>2852.0721193547797</v>
      </c>
      <c r="R99" s="435" t="s">
        <v>480</v>
      </c>
      <c r="S99" s="454">
        <v>12917</v>
      </c>
      <c r="T99" s="455">
        <v>16134</v>
      </c>
      <c r="U99" s="455">
        <v>6592</v>
      </c>
      <c r="V99" s="455">
        <v>5087</v>
      </c>
      <c r="W99" s="455">
        <v>662</v>
      </c>
      <c r="X99" s="455">
        <v>696</v>
      </c>
      <c r="Y99" s="456">
        <v>1367</v>
      </c>
      <c r="Z99" s="461">
        <v>43455</v>
      </c>
      <c r="AA99" s="462">
        <v>264</v>
      </c>
      <c r="AB99" s="455">
        <v>1436</v>
      </c>
      <c r="AC99" s="455">
        <v>3770</v>
      </c>
      <c r="AD99" s="455">
        <v>1424</v>
      </c>
      <c r="AE99" s="456">
        <v>2142</v>
      </c>
      <c r="AF99" s="463">
        <f t="shared" si="13"/>
        <v>52491</v>
      </c>
      <c r="AG99" s="470">
        <v>2312000000</v>
      </c>
      <c r="AH99" s="471">
        <f>Table4[[#This Row],[TOTAL]]/Table4[[#This Row],[Total Residence]]</f>
        <v>53204.464388447821</v>
      </c>
    </row>
    <row r="100" spans="1:35">
      <c r="A100" s="496" t="s">
        <v>477</v>
      </c>
      <c r="B100" s="496" t="s">
        <v>104</v>
      </c>
      <c r="C100" s="66">
        <v>236</v>
      </c>
      <c r="D100" s="66">
        <v>116</v>
      </c>
      <c r="E100" s="66">
        <v>170</v>
      </c>
      <c r="F100" s="66">
        <v>708</v>
      </c>
      <c r="G100" s="494">
        <v>3811</v>
      </c>
      <c r="H100" s="494">
        <v>2638</v>
      </c>
      <c r="I100" s="494">
        <v>1346</v>
      </c>
      <c r="J100" s="66">
        <v>516</v>
      </c>
      <c r="K100" s="66">
        <v>578</v>
      </c>
      <c r="L100" s="553">
        <f>SUM(Table8[[#This Row],[A]:[G]])</f>
        <v>10119</v>
      </c>
      <c r="M100" s="545">
        <f>VLOOKUP(A100,Table2[],MATCH(B100,Table2[#Headers],0), 0 )</f>
        <v>15284</v>
      </c>
      <c r="N100" s="546">
        <f>VLOOKUP(A100,Table2[], 8, 0 )+SUM(Table8[[#This Row],[Residence Total]]/Table8[[#This Row],[BER Total]])</f>
        <v>1.5236386376352953</v>
      </c>
      <c r="O100" s="547">
        <f t="shared" si="12"/>
        <v>15417.699374231554</v>
      </c>
      <c r="R100" s="435" t="s">
        <v>476</v>
      </c>
      <c r="S100" s="488">
        <v>27318</v>
      </c>
      <c r="T100" s="489">
        <v>34326</v>
      </c>
      <c r="U100" s="489">
        <v>18870</v>
      </c>
      <c r="V100" s="489">
        <v>5662</v>
      </c>
      <c r="W100" s="489">
        <v>766</v>
      </c>
      <c r="X100" s="489">
        <v>1743</v>
      </c>
      <c r="Y100" s="490">
        <v>2871</v>
      </c>
      <c r="Z100" s="857">
        <v>91556</v>
      </c>
      <c r="AA100" s="858">
        <v>812</v>
      </c>
      <c r="AB100" s="859">
        <v>3080</v>
      </c>
      <c r="AC100" s="859">
        <v>9861</v>
      </c>
      <c r="AD100" s="859">
        <v>2626</v>
      </c>
      <c r="AE100" s="860">
        <v>4119</v>
      </c>
      <c r="AF100" s="857">
        <f t="shared" si="13"/>
        <v>112054</v>
      </c>
      <c r="AG100" s="491">
        <v>4809000000</v>
      </c>
      <c r="AH100" s="861">
        <f>Table4[[#This Row],[TOTAL]]/Table4[[#This Row],[Total Residence]]</f>
        <v>52525.23046004631</v>
      </c>
    </row>
    <row r="101" spans="1:35">
      <c r="A101" s="496" t="s">
        <v>477</v>
      </c>
      <c r="B101" s="496" t="s">
        <v>106</v>
      </c>
      <c r="C101" s="66">
        <v>330</v>
      </c>
      <c r="D101" s="66">
        <v>251</v>
      </c>
      <c r="E101" s="66">
        <v>495</v>
      </c>
      <c r="F101" s="494">
        <v>1137</v>
      </c>
      <c r="G101" s="494">
        <v>5084</v>
      </c>
      <c r="H101" s="494">
        <v>3395</v>
      </c>
      <c r="I101" s="494">
        <v>1565</v>
      </c>
      <c r="J101" s="66">
        <v>684</v>
      </c>
      <c r="K101" s="494">
        <v>1256</v>
      </c>
      <c r="L101" s="553">
        <f>SUM(Table8[[#This Row],[A]:[G]])</f>
        <v>14197</v>
      </c>
      <c r="M101" s="545">
        <f>VLOOKUP(A101,Table2[],MATCH(B101,Table2[#Headers],0), 0 )</f>
        <v>35667</v>
      </c>
      <c r="N101" s="546">
        <f>VLOOKUP(A101,Table2[], 8, 0 )+SUM(Table8[[#This Row],[Residence Total]]/Table8[[#This Row],[BER Total]])</f>
        <v>2.5255040353731939</v>
      </c>
      <c r="O101" s="547">
        <f t="shared" si="12"/>
        <v>35854.580790193235</v>
      </c>
      <c r="R101" s="435" t="s">
        <v>481</v>
      </c>
      <c r="S101" s="488">
        <v>3476</v>
      </c>
      <c r="T101" s="489">
        <v>5570</v>
      </c>
      <c r="U101" s="489">
        <v>1773</v>
      </c>
      <c r="V101" s="489">
        <v>933</v>
      </c>
      <c r="W101" s="489">
        <v>70</v>
      </c>
      <c r="X101" s="489">
        <v>275</v>
      </c>
      <c r="Y101" s="490">
        <v>307</v>
      </c>
      <c r="Z101" s="492">
        <v>12404</v>
      </c>
      <c r="AA101" s="493">
        <v>82</v>
      </c>
      <c r="AB101" s="489">
        <v>339</v>
      </c>
      <c r="AC101" s="489">
        <v>3083</v>
      </c>
      <c r="AD101" s="489">
        <v>506</v>
      </c>
      <c r="AE101" s="490">
        <v>1637</v>
      </c>
      <c r="AF101" s="862">
        <f t="shared" si="13"/>
        <v>18051</v>
      </c>
      <c r="AG101" s="491">
        <v>587000000</v>
      </c>
      <c r="AH101" s="861">
        <f>Table4[[#This Row],[TOTAL]]/Table4[[#This Row],[Total Residence]]</f>
        <v>47323.444050306352</v>
      </c>
    </row>
    <row r="102" spans="1:35">
      <c r="A102" s="496" t="s">
        <v>463</v>
      </c>
      <c r="B102" s="496" t="s">
        <v>429</v>
      </c>
      <c r="C102" s="66">
        <v>185</v>
      </c>
      <c r="D102" s="66">
        <v>11</v>
      </c>
      <c r="E102" s="66">
        <v>135</v>
      </c>
      <c r="F102" s="66">
        <v>379</v>
      </c>
      <c r="G102" s="494">
        <v>1684</v>
      </c>
      <c r="H102" s="66">
        <v>946</v>
      </c>
      <c r="I102" s="66">
        <v>525</v>
      </c>
      <c r="J102" s="66">
        <v>172</v>
      </c>
      <c r="K102" s="66">
        <v>146</v>
      </c>
      <c r="L102" s="553">
        <f>SUM(Table8[[#This Row],[A]:[G]])</f>
        <v>4183</v>
      </c>
      <c r="M102" s="545">
        <f>VLOOKUP(A102,Table2[],MATCH(B102,Table2[#Headers],0), 0 )</f>
        <v>7268.0000000000009</v>
      </c>
      <c r="N102" s="546">
        <f>VLOOKUP(A102,Table2[], 8, 0 )+SUM(Table8[[#This Row],[Residence Total]]/Table8[[#This Row],[BER Total]])</f>
        <v>1.7465447820217341</v>
      </c>
      <c r="O102" s="547">
        <f t="shared" si="12"/>
        <v>7305.7968231969135</v>
      </c>
      <c r="R102" s="435" t="s">
        <v>482</v>
      </c>
      <c r="S102" s="488">
        <v>13762</v>
      </c>
      <c r="T102" s="489">
        <v>22777</v>
      </c>
      <c r="U102" s="489">
        <v>7151</v>
      </c>
      <c r="V102" s="489">
        <v>2598</v>
      </c>
      <c r="W102" s="489">
        <v>398</v>
      </c>
      <c r="X102" s="489">
        <v>1019</v>
      </c>
      <c r="Y102" s="490">
        <v>1040</v>
      </c>
      <c r="Z102" s="492">
        <v>48745</v>
      </c>
      <c r="AA102" s="493">
        <v>356</v>
      </c>
      <c r="AB102" s="489">
        <v>1368</v>
      </c>
      <c r="AC102" s="489">
        <v>9263</v>
      </c>
      <c r="AD102" s="489">
        <v>1334</v>
      </c>
      <c r="AE102" s="490">
        <v>4855</v>
      </c>
      <c r="AF102" s="862">
        <f t="shared" si="13"/>
        <v>65921</v>
      </c>
      <c r="AG102" s="491">
        <v>2295000000</v>
      </c>
      <c r="AH102" s="861">
        <f>Table4[[#This Row],[TOTAL]]/Table4[[#This Row],[Total Residence]]</f>
        <v>47081.751974561492</v>
      </c>
    </row>
    <row r="103" spans="1:35">
      <c r="A103" s="496" t="s">
        <v>463</v>
      </c>
      <c r="B103" s="496" t="s">
        <v>104</v>
      </c>
      <c r="C103" s="494">
        <v>3495</v>
      </c>
      <c r="D103" s="66">
        <v>213</v>
      </c>
      <c r="E103" s="66">
        <v>302</v>
      </c>
      <c r="F103" s="494">
        <v>1126</v>
      </c>
      <c r="G103" s="494">
        <v>7817</v>
      </c>
      <c r="H103" s="494">
        <v>4393</v>
      </c>
      <c r="I103" s="494">
        <v>1370</v>
      </c>
      <c r="J103" s="66">
        <v>484</v>
      </c>
      <c r="K103" s="66">
        <v>522</v>
      </c>
      <c r="L103" s="553">
        <f>SUM(Table8[[#This Row],[A]:[G]])</f>
        <v>19722</v>
      </c>
      <c r="M103" s="545">
        <f>VLOOKUP(A103,Table2[],MATCH(B103,Table2[#Headers],0), 0 )</f>
        <v>35861</v>
      </c>
      <c r="N103" s="546">
        <f>VLOOKUP(A103,Table2[], 8, 0 )+SUM(Table8[[#This Row],[Residence Total]]/Table8[[#This Row],[BER Total]])</f>
        <v>1.8273605306818752</v>
      </c>
      <c r="O103" s="547">
        <f t="shared" si="12"/>
        <v>36039.204386107944</v>
      </c>
      <c r="R103" s="435" t="s">
        <v>483</v>
      </c>
      <c r="S103" s="488">
        <v>7163</v>
      </c>
      <c r="T103" s="489">
        <v>11071</v>
      </c>
      <c r="U103" s="489">
        <v>3210</v>
      </c>
      <c r="V103" s="489">
        <v>1493</v>
      </c>
      <c r="W103" s="489">
        <v>86</v>
      </c>
      <c r="X103" s="489">
        <v>447</v>
      </c>
      <c r="Y103" s="490">
        <v>492</v>
      </c>
      <c r="Z103" s="492">
        <v>23962</v>
      </c>
      <c r="AA103" s="493">
        <v>119</v>
      </c>
      <c r="AB103" s="489">
        <v>656</v>
      </c>
      <c r="AC103" s="489">
        <v>4701</v>
      </c>
      <c r="AD103" s="489">
        <v>622</v>
      </c>
      <c r="AE103" s="490">
        <v>1225</v>
      </c>
      <c r="AF103" s="862">
        <f t="shared" si="13"/>
        <v>31285</v>
      </c>
      <c r="AG103" s="491">
        <v>1073000000</v>
      </c>
      <c r="AH103" s="861">
        <f>Table4[[#This Row],[TOTAL]]/Table4[[#This Row],[Total Residence]]</f>
        <v>44779.233786829143</v>
      </c>
    </row>
    <row r="104" spans="1:35">
      <c r="A104" s="496" t="s">
        <v>463</v>
      </c>
      <c r="B104" s="496" t="s">
        <v>106</v>
      </c>
      <c r="C104" s="66">
        <v>765</v>
      </c>
      <c r="D104" s="66">
        <v>134</v>
      </c>
      <c r="E104" s="66">
        <v>344</v>
      </c>
      <c r="F104" s="494">
        <v>1034</v>
      </c>
      <c r="G104" s="494">
        <v>4452</v>
      </c>
      <c r="H104" s="494">
        <v>2301</v>
      </c>
      <c r="I104" s="66">
        <v>871</v>
      </c>
      <c r="J104" s="66">
        <v>363</v>
      </c>
      <c r="K104" s="66">
        <v>639</v>
      </c>
      <c r="L104" s="553">
        <f>SUM(Table8[[#This Row],[A]:[G]])</f>
        <v>10903</v>
      </c>
      <c r="M104" s="545">
        <f>VLOOKUP(A104,Table2[],MATCH(B104,Table2[#Headers],0), 0 )</f>
        <v>29802</v>
      </c>
      <c r="N104" s="546">
        <f>VLOOKUP(A104,Table2[], 8, 0 )+SUM(Table8[[#This Row],[Residence Total]]/Table8[[#This Row],[BER Total]])</f>
        <v>2.7424119521726897</v>
      </c>
      <c r="O104" s="547">
        <f t="shared" si="12"/>
        <v>29900.517514538835</v>
      </c>
      <c r="R104" s="435" t="s">
        <v>484</v>
      </c>
      <c r="S104" s="488">
        <v>6997</v>
      </c>
      <c r="T104" s="489">
        <v>10154</v>
      </c>
      <c r="U104" s="489">
        <v>3959</v>
      </c>
      <c r="V104" s="489">
        <v>2272</v>
      </c>
      <c r="W104" s="489">
        <v>285</v>
      </c>
      <c r="X104" s="489">
        <v>440</v>
      </c>
      <c r="Y104" s="490">
        <v>654</v>
      </c>
      <c r="Z104" s="492">
        <v>24761</v>
      </c>
      <c r="AA104" s="493">
        <v>287</v>
      </c>
      <c r="AB104" s="489">
        <v>1145</v>
      </c>
      <c r="AC104" s="489">
        <v>3878</v>
      </c>
      <c r="AD104" s="489">
        <v>849</v>
      </c>
      <c r="AE104" s="490">
        <v>1844</v>
      </c>
      <c r="AF104" s="862">
        <f t="shared" si="13"/>
        <v>32764</v>
      </c>
      <c r="AG104" s="491">
        <v>1255000000</v>
      </c>
      <c r="AH104" s="861">
        <f>Table4[[#This Row],[TOTAL]]/Table4[[#This Row],[Total Residence]]</f>
        <v>50684.544242962722</v>
      </c>
    </row>
    <row r="105" spans="1:35">
      <c r="A105" s="496" t="s">
        <v>464</v>
      </c>
      <c r="B105" s="496" t="s">
        <v>429</v>
      </c>
      <c r="C105" s="66">
        <v>17</v>
      </c>
      <c r="D105" s="66">
        <v>9</v>
      </c>
      <c r="E105" s="66">
        <v>42</v>
      </c>
      <c r="F105" s="66">
        <v>96</v>
      </c>
      <c r="G105" s="66">
        <v>436</v>
      </c>
      <c r="H105" s="66">
        <v>217</v>
      </c>
      <c r="I105" s="66">
        <v>101</v>
      </c>
      <c r="J105" s="66">
        <v>43</v>
      </c>
      <c r="K105" s="66">
        <v>67</v>
      </c>
      <c r="L105" s="553">
        <f>SUM(Table8[[#This Row],[A]:[G]])</f>
        <v>1028</v>
      </c>
      <c r="M105" s="545">
        <f>VLOOKUP(A105,Table2[],MATCH(B105,Table2[#Headers],0), 0 )</f>
        <v>1693</v>
      </c>
      <c r="N105" s="546">
        <f>VLOOKUP(A105,Table2[], 8, 0 )+SUM(Table8[[#This Row],[Residence Total]]/Table8[[#This Row],[BER Total]])</f>
        <v>1.6569861410278379</v>
      </c>
      <c r="O105" s="547">
        <f t="shared" si="12"/>
        <v>1703.3817529766175</v>
      </c>
      <c r="R105" s="435" t="s">
        <v>444</v>
      </c>
      <c r="S105" s="454">
        <v>8507</v>
      </c>
      <c r="T105" s="455">
        <v>10657</v>
      </c>
      <c r="U105" s="455">
        <v>4171</v>
      </c>
      <c r="V105" s="455">
        <v>2169</v>
      </c>
      <c r="W105" s="455">
        <v>133</v>
      </c>
      <c r="X105" s="455">
        <v>511</v>
      </c>
      <c r="Y105" s="456">
        <v>658</v>
      </c>
      <c r="Z105" s="461">
        <v>26806</v>
      </c>
      <c r="AA105" s="462">
        <v>119</v>
      </c>
      <c r="AB105" s="455">
        <v>785</v>
      </c>
      <c r="AC105" s="455">
        <v>4072</v>
      </c>
      <c r="AD105" s="455">
        <v>757</v>
      </c>
      <c r="AE105" s="456">
        <v>1046</v>
      </c>
      <c r="AF105" s="463">
        <f t="shared" si="13"/>
        <v>33585</v>
      </c>
      <c r="AG105" s="470">
        <v>1068000000</v>
      </c>
      <c r="AH105" s="471">
        <f>Table4[[#This Row],[TOTAL]]/Table4[[#This Row],[Total Residence]]</f>
        <v>39841.826456763411</v>
      </c>
    </row>
    <row r="106" spans="1:35">
      <c r="A106" s="496" t="s">
        <v>464</v>
      </c>
      <c r="B106" s="496" t="s">
        <v>104</v>
      </c>
      <c r="C106" s="66">
        <v>163</v>
      </c>
      <c r="D106" s="66">
        <v>65</v>
      </c>
      <c r="E106" s="66">
        <v>137</v>
      </c>
      <c r="F106" s="66">
        <v>505</v>
      </c>
      <c r="G106" s="494">
        <v>2612</v>
      </c>
      <c r="H106" s="494">
        <v>1522</v>
      </c>
      <c r="I106" s="66">
        <v>711</v>
      </c>
      <c r="J106" s="66">
        <v>324</v>
      </c>
      <c r="K106" s="66">
        <v>342</v>
      </c>
      <c r="L106" s="553">
        <f>SUM(Table8[[#This Row],[A]:[G]])</f>
        <v>6381</v>
      </c>
      <c r="M106" s="545">
        <f>VLOOKUP(A106,Table2[],MATCH(B106,Table2[#Headers],0), 0 )</f>
        <v>12351.999999999998</v>
      </c>
      <c r="N106" s="546">
        <f>VLOOKUP(A106,Table2[], 8, 0 )+SUM(Table8[[#This Row],[Residence Total]]/Table8[[#This Row],[BER Total]])</f>
        <v>1.9458457296533596</v>
      </c>
      <c r="O106" s="547">
        <f t="shared" si="12"/>
        <v>12416.441600918088</v>
      </c>
      <c r="R106" s="435" t="s">
        <v>470</v>
      </c>
      <c r="S106" s="454">
        <v>16335</v>
      </c>
      <c r="T106" s="455">
        <v>25875</v>
      </c>
      <c r="U106" s="455">
        <v>7393</v>
      </c>
      <c r="V106" s="455">
        <v>5133</v>
      </c>
      <c r="W106" s="455">
        <v>439</v>
      </c>
      <c r="X106" s="455">
        <v>1469</v>
      </c>
      <c r="Y106" s="456">
        <v>1661</v>
      </c>
      <c r="Z106" s="461">
        <v>58305</v>
      </c>
      <c r="AA106" s="462">
        <v>659</v>
      </c>
      <c r="AB106" s="455">
        <v>1975</v>
      </c>
      <c r="AC106" s="455">
        <v>9848</v>
      </c>
      <c r="AD106" s="455">
        <v>1856</v>
      </c>
      <c r="AE106" s="456">
        <v>11288</v>
      </c>
      <c r="AF106" s="463">
        <f t="shared" si="13"/>
        <v>83931</v>
      </c>
      <c r="AG106" s="470">
        <v>2557000000</v>
      </c>
      <c r="AH106" s="471">
        <f>Table4[[#This Row],[TOTAL]]/Table4[[#This Row],[Total Residence]]</f>
        <v>43855.586999399711</v>
      </c>
    </row>
    <row r="107" spans="1:35" ht="15.75" thickBot="1">
      <c r="A107" s="496" t="s">
        <v>464</v>
      </c>
      <c r="B107" s="496" t="s">
        <v>106</v>
      </c>
      <c r="C107" s="66">
        <v>201</v>
      </c>
      <c r="D107" s="66">
        <v>61</v>
      </c>
      <c r="E107" s="66">
        <v>126</v>
      </c>
      <c r="F107" s="66">
        <v>366</v>
      </c>
      <c r="G107" s="494">
        <v>2098</v>
      </c>
      <c r="H107" s="494">
        <v>1461</v>
      </c>
      <c r="I107" s="66">
        <v>643</v>
      </c>
      <c r="J107" s="66">
        <v>306</v>
      </c>
      <c r="K107" s="66">
        <v>618</v>
      </c>
      <c r="L107" s="553">
        <f>SUM(Table8[[#This Row],[A]:[G]])</f>
        <v>5880</v>
      </c>
      <c r="M107" s="545">
        <f>VLOOKUP(A107,Table2[],MATCH(B107,Table2[#Headers],0), 0 )</f>
        <v>20458</v>
      </c>
      <c r="N107" s="546">
        <f>VLOOKUP(A107,Table2[], 8, 0 )+SUM(Table8[[#This Row],[Residence Total]]/Table8[[#This Row],[BER Total]])</f>
        <v>3.489350682175036</v>
      </c>
      <c r="O107" s="547">
        <f t="shared" si="12"/>
        <v>20517.382011189213</v>
      </c>
      <c r="R107" s="472" t="s">
        <v>485</v>
      </c>
      <c r="S107" s="473">
        <v>6828</v>
      </c>
      <c r="T107" s="474">
        <v>8941</v>
      </c>
      <c r="U107" s="474">
        <v>3062</v>
      </c>
      <c r="V107" s="474">
        <v>1692</v>
      </c>
      <c r="W107" s="474">
        <v>164</v>
      </c>
      <c r="X107" s="474">
        <v>447</v>
      </c>
      <c r="Y107" s="475">
        <v>478</v>
      </c>
      <c r="Z107" s="476">
        <v>21612</v>
      </c>
      <c r="AA107" s="477">
        <v>79</v>
      </c>
      <c r="AB107" s="474">
        <v>494</v>
      </c>
      <c r="AC107" s="474">
        <v>2449</v>
      </c>
      <c r="AD107" s="474">
        <v>435</v>
      </c>
      <c r="AE107" s="475">
        <v>242</v>
      </c>
      <c r="AF107" s="478">
        <f t="shared" si="13"/>
        <v>25311</v>
      </c>
      <c r="AG107" s="470">
        <v>1075000000</v>
      </c>
      <c r="AH107" s="479">
        <f>Table4[[#This Row],[TOTAL]]/Table4[[#This Row],[Total Residence]]</f>
        <v>49740.884693688691</v>
      </c>
    </row>
    <row r="108" spans="1:35" ht="15.75" thickBot="1">
      <c r="A108" s="496" t="s">
        <v>465</v>
      </c>
      <c r="B108" s="496" t="s">
        <v>429</v>
      </c>
      <c r="C108" s="66">
        <v>1</v>
      </c>
      <c r="D108" s="66">
        <v>5</v>
      </c>
      <c r="E108" s="66">
        <v>69</v>
      </c>
      <c r="F108" s="66">
        <v>94</v>
      </c>
      <c r="G108" s="66">
        <v>285</v>
      </c>
      <c r="H108" s="66">
        <v>239</v>
      </c>
      <c r="I108" s="66">
        <v>93</v>
      </c>
      <c r="J108" s="66">
        <v>32</v>
      </c>
      <c r="K108" s="66">
        <v>49</v>
      </c>
      <c r="L108" s="553">
        <f>SUM(Table8[[#This Row],[A]:[G]])</f>
        <v>867</v>
      </c>
      <c r="M108" s="545">
        <f>VLOOKUP(A108,Table2[],MATCH(B108,Table2[#Headers],0), 0 )</f>
        <v>1404.0000000000002</v>
      </c>
      <c r="N108" s="546">
        <f>VLOOKUP(A108,Table2[], 8, 0 )+SUM(Table8[[#This Row],[Residence Total]]/Table8[[#This Row],[BER Total]])</f>
        <v>1.6355244811442047</v>
      </c>
      <c r="O108" s="547">
        <f t="shared" si="12"/>
        <v>1417.9997251520253</v>
      </c>
      <c r="R108" s="480" t="s">
        <v>440</v>
      </c>
      <c r="S108" s="481">
        <f t="shared" ref="S108:AE108" si="14">SUM(S82:S107)</f>
        <v>535675</v>
      </c>
      <c r="T108" s="482">
        <f t="shared" si="14"/>
        <v>611877</v>
      </c>
      <c r="U108" s="482">
        <f t="shared" si="14"/>
        <v>309728</v>
      </c>
      <c r="V108" s="482">
        <f t="shared" si="14"/>
        <v>143178</v>
      </c>
      <c r="W108" s="482">
        <f t="shared" si="14"/>
        <v>16765</v>
      </c>
      <c r="X108" s="482">
        <f t="shared" si="14"/>
        <v>27440</v>
      </c>
      <c r="Y108" s="483">
        <f t="shared" si="14"/>
        <v>53002</v>
      </c>
      <c r="Z108" s="484">
        <f t="shared" si="14"/>
        <v>1697665</v>
      </c>
      <c r="AA108" s="485">
        <f t="shared" si="14"/>
        <v>9788</v>
      </c>
      <c r="AB108" s="482">
        <f t="shared" si="14"/>
        <v>50732</v>
      </c>
      <c r="AC108" s="482">
        <f t="shared" si="14"/>
        <v>140120</v>
      </c>
      <c r="AD108" s="482">
        <f t="shared" si="14"/>
        <v>43192</v>
      </c>
      <c r="AE108" s="483">
        <f t="shared" si="14"/>
        <v>62148</v>
      </c>
      <c r="AF108" s="486">
        <f t="shared" si="13"/>
        <v>2003645</v>
      </c>
      <c r="AG108" s="487">
        <f>SUM(AG82:AG107)</f>
        <v>94255000000</v>
      </c>
      <c r="AH108" s="863"/>
    </row>
    <row r="109" spans="1:35" ht="15.75" thickBot="1">
      <c r="A109" s="496" t="s">
        <v>465</v>
      </c>
      <c r="B109" s="496" t="s">
        <v>104</v>
      </c>
      <c r="C109" s="66">
        <v>80</v>
      </c>
      <c r="D109" s="66">
        <v>83</v>
      </c>
      <c r="E109" s="66">
        <v>120</v>
      </c>
      <c r="F109" s="66">
        <v>594</v>
      </c>
      <c r="G109" s="494">
        <v>2825</v>
      </c>
      <c r="H109" s="494">
        <v>1047</v>
      </c>
      <c r="I109" s="66">
        <v>821</v>
      </c>
      <c r="J109" s="66">
        <v>370</v>
      </c>
      <c r="K109" s="66">
        <v>413</v>
      </c>
      <c r="L109" s="553">
        <f>SUM(Table8[[#This Row],[A]:[G]])</f>
        <v>6353</v>
      </c>
      <c r="M109" s="545">
        <f>VLOOKUP(A109,Table2[],MATCH(B109,Table2[#Headers],0), 0 )</f>
        <v>11269</v>
      </c>
      <c r="N109" s="546">
        <f>VLOOKUP(A109,Table2[], 8, 0 )+SUM(Table8[[#This Row],[Residence Total]]/Table8[[#This Row],[BER Total]])</f>
        <v>1.789954968443614</v>
      </c>
      <c r="O109" s="547">
        <f t="shared" si="12"/>
        <v>11371.58391452228</v>
      </c>
      <c r="Y109" t="s">
        <v>100</v>
      </c>
      <c r="Z109" t="s">
        <v>100</v>
      </c>
      <c r="AA109" t="s">
        <v>100</v>
      </c>
      <c r="AB109" t="s">
        <v>100</v>
      </c>
      <c r="AC109" t="s">
        <v>100</v>
      </c>
      <c r="AD109" t="s">
        <v>100</v>
      </c>
      <c r="AE109" t="s">
        <v>100</v>
      </c>
      <c r="AF109" t="s">
        <v>100</v>
      </c>
    </row>
    <row r="110" spans="1:35" ht="15.75" thickBot="1">
      <c r="A110" s="496" t="s">
        <v>465</v>
      </c>
      <c r="B110" s="496" t="s">
        <v>106</v>
      </c>
      <c r="C110" s="66">
        <v>112</v>
      </c>
      <c r="D110" s="66">
        <v>43</v>
      </c>
      <c r="E110" s="66">
        <v>127</v>
      </c>
      <c r="F110" s="66">
        <v>401</v>
      </c>
      <c r="G110" s="494">
        <v>2082</v>
      </c>
      <c r="H110" s="494">
        <v>1232</v>
      </c>
      <c r="I110" s="66">
        <v>512</v>
      </c>
      <c r="J110" s="66">
        <v>308</v>
      </c>
      <c r="K110" s="66">
        <v>547</v>
      </c>
      <c r="L110" s="553">
        <f>SUM(Table8[[#This Row],[A]:[G]])</f>
        <v>5364</v>
      </c>
      <c r="M110" s="545">
        <f>VLOOKUP(A110,Table2[],MATCH(B110,Table2[#Headers],0), 0 )</f>
        <v>15963.999999999998</v>
      </c>
      <c r="N110" s="546">
        <f>VLOOKUP(A110,Table2[], 8, 0 )+SUM(Table8[[#This Row],[Residence Total]]/Table8[[#This Row],[BER Total]])</f>
        <v>2.9922845295509859</v>
      </c>
      <c r="O110" s="547">
        <f t="shared" ref="O110:O141" si="15">L110*N110</f>
        <v>16050.614216511489</v>
      </c>
      <c r="S110" s="1037" t="s">
        <v>486</v>
      </c>
      <c r="T110" s="1038"/>
      <c r="U110" s="1038"/>
      <c r="V110" s="1038"/>
      <c r="W110" s="1038"/>
      <c r="X110" s="1038"/>
      <c r="Y110" s="1038"/>
      <c r="Z110" s="1039"/>
      <c r="AB110" s="1040" t="s">
        <v>487</v>
      </c>
      <c r="AC110" s="1040"/>
      <c r="AD110" s="1040"/>
      <c r="AE110" s="1040"/>
      <c r="AF110" s="1041"/>
      <c r="AG110" s="464" t="s">
        <v>440</v>
      </c>
    </row>
    <row r="111" spans="1:35" ht="15.75" thickBot="1">
      <c r="A111" s="496" t="s">
        <v>481</v>
      </c>
      <c r="B111" s="496" t="s">
        <v>429</v>
      </c>
      <c r="D111" s="66">
        <v>1</v>
      </c>
      <c r="E111" s="66">
        <v>8</v>
      </c>
      <c r="F111" s="66">
        <v>13</v>
      </c>
      <c r="G111" s="66">
        <v>195</v>
      </c>
      <c r="H111" s="66">
        <v>200</v>
      </c>
      <c r="I111" s="66">
        <v>66</v>
      </c>
      <c r="J111" s="66">
        <v>25</v>
      </c>
      <c r="K111" s="66">
        <v>24</v>
      </c>
      <c r="L111" s="553">
        <f>SUM(Table8[[#This Row],[A]:[G]])</f>
        <v>532</v>
      </c>
      <c r="M111" s="545">
        <f>VLOOKUP(A111,Table2[],MATCH(B111,Table2[#Headers],0), 0 )</f>
        <v>537</v>
      </c>
      <c r="N111" s="546">
        <f>VLOOKUP(A111,Table2[], 8, 0 )+SUM(Table8[[#This Row],[Residence Total]]/Table8[[#This Row],[BER Total]])</f>
        <v>1.0207219784121402</v>
      </c>
      <c r="O111" s="547">
        <f t="shared" si="15"/>
        <v>543.02409251525853</v>
      </c>
      <c r="S111" s="523" t="s">
        <v>106</v>
      </c>
      <c r="T111" s="520" t="s">
        <v>104</v>
      </c>
      <c r="U111" s="521"/>
      <c r="V111" s="520" t="s">
        <v>102</v>
      </c>
      <c r="W111" s="522"/>
      <c r="X111" s="522"/>
      <c r="Y111" s="521"/>
      <c r="Z111" s="524" t="s">
        <v>439</v>
      </c>
      <c r="AB111" s="1040"/>
      <c r="AC111" s="1040"/>
      <c r="AD111" s="1040"/>
      <c r="AE111" s="1040"/>
      <c r="AF111" s="1041"/>
      <c r="AG111" s="465"/>
    </row>
    <row r="112" spans="1:35">
      <c r="A112" s="496" t="s">
        <v>481</v>
      </c>
      <c r="B112" s="496" t="s">
        <v>104</v>
      </c>
      <c r="C112" s="66">
        <v>14</v>
      </c>
      <c r="E112" s="66">
        <v>28</v>
      </c>
      <c r="F112" s="66">
        <v>166</v>
      </c>
      <c r="G112" s="494">
        <v>979</v>
      </c>
      <c r="H112" s="66">
        <v>360</v>
      </c>
      <c r="I112" s="66">
        <v>226</v>
      </c>
      <c r="J112" s="66">
        <v>168</v>
      </c>
      <c r="K112" s="66">
        <v>159</v>
      </c>
      <c r="L112" s="553">
        <f>SUM(Table8[[#This Row],[A]:[G]])</f>
        <v>2100</v>
      </c>
      <c r="M112" s="545">
        <f>VLOOKUP(A112,Table2[],MATCH(B112,Table2[#Headers],0), 0 )</f>
        <v>2714</v>
      </c>
      <c r="N112" s="546">
        <f>VLOOKUP(A112,Table2[], 8, 0 )+SUM(Table8[[#This Row],[Residence Total]]/Table8[[#This Row],[BER Total]])</f>
        <v>1.3037044345524911</v>
      </c>
      <c r="O112" s="547">
        <f t="shared" si="15"/>
        <v>2737.7793125602311</v>
      </c>
      <c r="R112" s="528" t="s">
        <v>445</v>
      </c>
      <c r="S112" s="533" t="s">
        <v>106</v>
      </c>
      <c r="T112" s="513" t="s">
        <v>488</v>
      </c>
      <c r="U112" s="535" t="s">
        <v>489</v>
      </c>
      <c r="V112" s="513" t="s">
        <v>490</v>
      </c>
      <c r="W112" s="514" t="s">
        <v>491</v>
      </c>
      <c r="X112" s="514" t="s">
        <v>492</v>
      </c>
      <c r="Y112" s="535" t="s">
        <v>493</v>
      </c>
      <c r="Z112" s="540" t="s">
        <v>452</v>
      </c>
      <c r="AB112" s="508" t="s">
        <v>494</v>
      </c>
      <c r="AC112" s="508" t="s">
        <v>106</v>
      </c>
      <c r="AD112" s="508" t="s">
        <v>104</v>
      </c>
      <c r="AE112" s="508" t="s">
        <v>429</v>
      </c>
      <c r="AF112" s="508" t="s">
        <v>495</v>
      </c>
      <c r="AG112" s="508" t="s">
        <v>453</v>
      </c>
      <c r="AH112" s="508" t="s">
        <v>459</v>
      </c>
      <c r="AI112" s="508" t="s">
        <v>425</v>
      </c>
    </row>
    <row r="113" spans="1:35">
      <c r="A113" s="496" t="s">
        <v>481</v>
      </c>
      <c r="B113" s="496" t="s">
        <v>106</v>
      </c>
      <c r="C113" s="66">
        <v>13</v>
      </c>
      <c r="D113" s="66">
        <v>30</v>
      </c>
      <c r="E113" s="66">
        <v>89</v>
      </c>
      <c r="F113" s="66">
        <v>233</v>
      </c>
      <c r="G113" s="494">
        <v>1315</v>
      </c>
      <c r="H113" s="494">
        <v>753</v>
      </c>
      <c r="I113" s="66">
        <v>435</v>
      </c>
      <c r="J113" s="66">
        <v>237</v>
      </c>
      <c r="K113" s="66">
        <v>530</v>
      </c>
      <c r="L113" s="553">
        <f>SUM(Table8[[#This Row],[A]:[G]])</f>
        <v>3635</v>
      </c>
      <c r="M113" s="545">
        <f>VLOOKUP(A113,Table2[],MATCH(B113,Table2[#Headers],0), 0 )</f>
        <v>9060</v>
      </c>
      <c r="N113" s="546">
        <f>VLOOKUP(A113,Table2[], 8, 0 )+SUM(Table8[[#This Row],[Residence Total]]/Table8[[#This Row],[BER Total]])</f>
        <v>2.5037581451701634</v>
      </c>
      <c r="O113" s="547">
        <f t="shared" si="15"/>
        <v>9101.1608576935432</v>
      </c>
      <c r="R113" s="529" t="s">
        <v>428</v>
      </c>
      <c r="S113" s="534">
        <v>10450</v>
      </c>
      <c r="T113" s="536">
        <v>5829</v>
      </c>
      <c r="U113" s="537">
        <v>2606</v>
      </c>
      <c r="V113" s="536">
        <v>922</v>
      </c>
      <c r="W113" s="525">
        <v>222</v>
      </c>
      <c r="X113" s="525">
        <v>23</v>
      </c>
      <c r="Y113" s="537">
        <v>72</v>
      </c>
      <c r="Z113" s="534">
        <v>413</v>
      </c>
      <c r="AB113" s="439" t="s">
        <v>428</v>
      </c>
      <c r="AC113" s="439">
        <f t="shared" ref="AC113:AC138" si="16">S113/AG113*AG113</f>
        <v>10450</v>
      </c>
      <c r="AD113" s="439" cm="1">
        <f t="array" ref="AD113">SUM((T113:U113)/AG113)*AG113</f>
        <v>8435</v>
      </c>
      <c r="AE113" s="439" cm="1">
        <f t="array" ref="AE113">SUM((V113:Y113)/AG113)*AG113</f>
        <v>1239</v>
      </c>
      <c r="AF113" s="439">
        <f t="shared" ref="AF113:AF138" si="17">Z113/AG113*AG113</f>
        <v>413</v>
      </c>
      <c r="AG113" s="541">
        <f t="shared" ref="AG113:AG138" si="18">SUM(S113:Z113)</f>
        <v>20537</v>
      </c>
      <c r="AH113" s="543">
        <v>23274</v>
      </c>
      <c r="AI113" s="559">
        <f>Table2[[#This Row],[Not Stated]]/Table2[[#This Row],[Total Residence]]</f>
        <v>2.0110045284121341E-2</v>
      </c>
    </row>
    <row r="114" spans="1:35">
      <c r="A114" s="496" t="s">
        <v>478</v>
      </c>
      <c r="B114" s="496" t="s">
        <v>429</v>
      </c>
      <c r="C114" s="66">
        <v>27</v>
      </c>
      <c r="D114" s="66">
        <v>55</v>
      </c>
      <c r="E114" s="66">
        <v>167</v>
      </c>
      <c r="F114" s="66">
        <v>383</v>
      </c>
      <c r="G114" s="494">
        <v>2609</v>
      </c>
      <c r="H114" s="494">
        <v>1549</v>
      </c>
      <c r="I114" s="66">
        <v>636</v>
      </c>
      <c r="J114" s="66">
        <v>214</v>
      </c>
      <c r="K114" s="66">
        <v>254</v>
      </c>
      <c r="L114" s="553">
        <f>SUM(Table8[[#This Row],[A]:[G]])</f>
        <v>5894</v>
      </c>
      <c r="M114" s="545">
        <f>VLOOKUP(A114,Table2[],MATCH(B114,Table2[#Headers],0), 0 )</f>
        <v>7338</v>
      </c>
      <c r="N114" s="546">
        <f>VLOOKUP(A114,Table2[], 8, 0 )+SUM(Table8[[#This Row],[Residence Total]]/Table8[[#This Row],[BER Total]])</f>
        <v>1.2580803868836168</v>
      </c>
      <c r="O114" s="547">
        <f t="shared" si="15"/>
        <v>7415.1258002920376</v>
      </c>
      <c r="R114" s="530" t="s">
        <v>474</v>
      </c>
      <c r="S114" s="515">
        <v>55149</v>
      </c>
      <c r="T114" s="538">
        <v>167090</v>
      </c>
      <c r="U114" s="442">
        <v>128609</v>
      </c>
      <c r="V114" s="538">
        <v>105095</v>
      </c>
      <c r="W114" s="526">
        <v>14404</v>
      </c>
      <c r="X114" s="526">
        <v>2209</v>
      </c>
      <c r="Y114" s="442">
        <v>524</v>
      </c>
      <c r="Z114" s="515">
        <v>6603</v>
      </c>
      <c r="AB114" s="440" t="s">
        <v>474</v>
      </c>
      <c r="AC114" s="440">
        <f t="shared" si="16"/>
        <v>55149</v>
      </c>
      <c r="AD114" s="440" cm="1">
        <f t="array" ref="AD114">SUM((T114:U114)/AG114)*AG114</f>
        <v>295699</v>
      </c>
      <c r="AE114" s="440" cm="1">
        <f t="array" ref="AE114">SUM((V114:Y114)/AG114)*AG114</f>
        <v>122231.99999999997</v>
      </c>
      <c r="AF114" s="440">
        <f t="shared" si="17"/>
        <v>6603</v>
      </c>
      <c r="AG114" s="440">
        <f t="shared" si="18"/>
        <v>479683</v>
      </c>
      <c r="AH114" s="542">
        <v>530753</v>
      </c>
      <c r="AI114" s="560">
        <f>Table2[[#This Row],[Not Stated]]/Table2[[#This Row],[Total Residence]]</f>
        <v>1.3765340860526639E-2</v>
      </c>
    </row>
    <row r="115" spans="1:35">
      <c r="A115" s="496" t="s">
        <v>478</v>
      </c>
      <c r="B115" s="496" t="s">
        <v>104</v>
      </c>
      <c r="C115" s="66">
        <v>723</v>
      </c>
      <c r="D115" s="66">
        <v>143</v>
      </c>
      <c r="E115" s="66">
        <v>294</v>
      </c>
      <c r="F115" s="66">
        <v>997</v>
      </c>
      <c r="G115" s="494">
        <v>7954</v>
      </c>
      <c r="H115" s="494">
        <v>4929</v>
      </c>
      <c r="I115" s="494">
        <v>2068</v>
      </c>
      <c r="J115" s="66">
        <v>853</v>
      </c>
      <c r="K115" s="66">
        <v>911</v>
      </c>
      <c r="L115" s="553">
        <f>SUM(Table8[[#This Row],[A]:[G]])</f>
        <v>18872</v>
      </c>
      <c r="M115" s="545">
        <f>VLOOKUP(A115,Table2[],MATCH(B115,Table2[#Headers],0), 0 )</f>
        <v>30774</v>
      </c>
      <c r="N115" s="546">
        <f>VLOOKUP(A115,Table2[], 8, 0 )+SUM(Table8[[#This Row],[Residence Total]]/Table8[[#This Row],[BER Total]])</f>
        <v>1.6437552521341003</v>
      </c>
      <c r="O115" s="547">
        <f t="shared" si="15"/>
        <v>31020.949118274741</v>
      </c>
      <c r="R115" s="531" t="s">
        <v>463</v>
      </c>
      <c r="S115" s="516">
        <v>29802</v>
      </c>
      <c r="T115" s="539">
        <v>27726</v>
      </c>
      <c r="U115" s="443">
        <v>8135</v>
      </c>
      <c r="V115" s="539">
        <v>6232</v>
      </c>
      <c r="W115" s="527">
        <v>742</v>
      </c>
      <c r="X115" s="527">
        <v>46</v>
      </c>
      <c r="Y115" s="443">
        <v>248</v>
      </c>
      <c r="Z115" s="516">
        <v>665</v>
      </c>
      <c r="AB115" s="441" t="s">
        <v>463</v>
      </c>
      <c r="AC115" s="441">
        <f t="shared" si="16"/>
        <v>29802</v>
      </c>
      <c r="AD115" s="441" cm="1">
        <f t="array" ref="AD115">SUM((T115:U115)/AG115)*AG115</f>
        <v>35861</v>
      </c>
      <c r="AE115" s="441" cm="1">
        <f t="array" ref="AE115">SUM((V115:Y115)/AG115)*AG115</f>
        <v>7268.0000000000009</v>
      </c>
      <c r="AF115" s="441">
        <f t="shared" si="17"/>
        <v>665</v>
      </c>
      <c r="AG115" s="441">
        <f t="shared" si="18"/>
        <v>73596</v>
      </c>
      <c r="AH115" s="542">
        <v>80158</v>
      </c>
      <c r="AI115" s="560">
        <f>Table2[[#This Row],[Not Stated]]/Table2[[#This Row],[Total Residence]]</f>
        <v>9.0358171639763028E-3</v>
      </c>
    </row>
    <row r="116" spans="1:35">
      <c r="A116" s="496" t="s">
        <v>478</v>
      </c>
      <c r="B116" s="496" t="s">
        <v>106</v>
      </c>
      <c r="C116" s="66">
        <v>277</v>
      </c>
      <c r="D116" s="66">
        <v>99</v>
      </c>
      <c r="E116" s="66">
        <v>228</v>
      </c>
      <c r="F116" s="66">
        <v>782</v>
      </c>
      <c r="G116" s="494">
        <v>4190</v>
      </c>
      <c r="H116" s="494">
        <v>3113</v>
      </c>
      <c r="I116" s="494">
        <v>1265</v>
      </c>
      <c r="J116" s="66">
        <v>668</v>
      </c>
      <c r="K116" s="494">
        <v>1210</v>
      </c>
      <c r="L116" s="553">
        <f>SUM(Table8[[#This Row],[A]:[G]])</f>
        <v>11832</v>
      </c>
      <c r="M116" s="545">
        <f>VLOOKUP(A116,Table2[],MATCH(B116,Table2[#Headers],0), 0 )</f>
        <v>32180</v>
      </c>
      <c r="N116" s="546">
        <f>VLOOKUP(A116,Table2[], 8, 0 )+SUM(Table8[[#This Row],[Residence Total]]/Table8[[#This Row],[BER Total]])</f>
        <v>2.7328285464472208</v>
      </c>
      <c r="O116" s="547">
        <f t="shared" si="15"/>
        <v>32334.827361563515</v>
      </c>
      <c r="R116" s="530" t="s">
        <v>464</v>
      </c>
      <c r="S116" s="515">
        <v>20458</v>
      </c>
      <c r="T116" s="538">
        <v>7728</v>
      </c>
      <c r="U116" s="442">
        <v>4624</v>
      </c>
      <c r="V116" s="538">
        <v>1250</v>
      </c>
      <c r="W116" s="526">
        <v>306</v>
      </c>
      <c r="X116" s="526">
        <v>25</v>
      </c>
      <c r="Y116" s="442">
        <v>112</v>
      </c>
      <c r="Z116" s="515">
        <v>352</v>
      </c>
      <c r="AB116" s="440" t="s">
        <v>464</v>
      </c>
      <c r="AC116" s="440">
        <f t="shared" si="16"/>
        <v>20458</v>
      </c>
      <c r="AD116" s="440" cm="1">
        <f t="array" ref="AD116">SUM((T116:U116)/AG116)*AG116</f>
        <v>12351.999999999998</v>
      </c>
      <c r="AE116" s="440" cm="1">
        <f t="array" ref="AE116">SUM((V116:Y116)/AG116)*AG116</f>
        <v>1693</v>
      </c>
      <c r="AF116" s="440">
        <f t="shared" si="17"/>
        <v>352</v>
      </c>
      <c r="AG116" s="440">
        <f t="shared" si="18"/>
        <v>34855</v>
      </c>
      <c r="AH116" s="542">
        <v>39226</v>
      </c>
      <c r="AI116" s="560">
        <f>Table2[[#This Row],[Not Stated]]/Table2[[#This Row],[Total Residence]]</f>
        <v>1.0098981494764023E-2</v>
      </c>
    </row>
    <row r="117" spans="1:35">
      <c r="A117" s="496" t="s">
        <v>467</v>
      </c>
      <c r="B117" s="496" t="s">
        <v>429</v>
      </c>
      <c r="C117" s="66">
        <v>8</v>
      </c>
      <c r="D117" s="66">
        <v>3</v>
      </c>
      <c r="E117" s="66">
        <v>6</v>
      </c>
      <c r="F117" s="66">
        <v>12</v>
      </c>
      <c r="G117" s="66">
        <v>159</v>
      </c>
      <c r="H117" s="66">
        <v>223</v>
      </c>
      <c r="I117" s="66">
        <v>96</v>
      </c>
      <c r="J117" s="66">
        <v>25</v>
      </c>
      <c r="K117" s="66">
        <v>34</v>
      </c>
      <c r="L117" s="553">
        <f>SUM(Table8[[#This Row],[A]:[G]])</f>
        <v>566</v>
      </c>
      <c r="M117" s="545">
        <f>VLOOKUP(A117,Table2[],MATCH(B117,Table2[#Headers],0), 0 )</f>
        <v>667</v>
      </c>
      <c r="N117" s="546">
        <f>VLOOKUP(A117,Table2[], 8, 0 )+SUM(Table8[[#This Row],[Residence Total]]/Table8[[#This Row],[BER Total]])</f>
        <v>1.1951096920546807</v>
      </c>
      <c r="O117" s="547">
        <f t="shared" si="15"/>
        <v>676.43208570294928</v>
      </c>
      <c r="R117" s="531" t="s">
        <v>465</v>
      </c>
      <c r="S117" s="516">
        <v>15964</v>
      </c>
      <c r="T117" s="539">
        <v>8584</v>
      </c>
      <c r="U117" s="443">
        <v>2685</v>
      </c>
      <c r="V117" s="539">
        <v>1101</v>
      </c>
      <c r="W117" s="527">
        <v>177</v>
      </c>
      <c r="X117" s="527">
        <v>16</v>
      </c>
      <c r="Y117" s="443">
        <v>110</v>
      </c>
      <c r="Z117" s="516">
        <v>470</v>
      </c>
      <c r="AB117" s="441" t="s">
        <v>465</v>
      </c>
      <c r="AC117" s="441">
        <f t="shared" si="16"/>
        <v>15963.999999999998</v>
      </c>
      <c r="AD117" s="441" cm="1">
        <f t="array" ref="AD117">SUM((T117:U117)/AG117)*AG117</f>
        <v>11269</v>
      </c>
      <c r="AE117" s="441" cm="1">
        <f t="array" ref="AE117">SUM((V117:Y117)/AG117)*AG117</f>
        <v>1404.0000000000002</v>
      </c>
      <c r="AF117" s="441">
        <f t="shared" si="17"/>
        <v>470.00000000000006</v>
      </c>
      <c r="AG117" s="441">
        <f t="shared" si="18"/>
        <v>29107</v>
      </c>
      <c r="AH117" s="542">
        <v>32794</v>
      </c>
      <c r="AI117" s="560">
        <f>Table2[[#This Row],[Not Stated]]/Table2[[#This Row],[Total Residence]]</f>
        <v>1.6147318514446698E-2</v>
      </c>
    </row>
    <row r="118" spans="1:35">
      <c r="A118" s="496" t="s">
        <v>467</v>
      </c>
      <c r="B118" s="496" t="s">
        <v>104</v>
      </c>
      <c r="C118" s="66">
        <v>16</v>
      </c>
      <c r="D118" s="66">
        <v>95</v>
      </c>
      <c r="E118" s="66">
        <v>61</v>
      </c>
      <c r="F118" s="66">
        <v>213</v>
      </c>
      <c r="G118" s="494">
        <v>1167</v>
      </c>
      <c r="H118" s="66">
        <v>721</v>
      </c>
      <c r="I118" s="66">
        <v>296</v>
      </c>
      <c r="J118" s="66">
        <v>140</v>
      </c>
      <c r="K118" s="66">
        <v>128</v>
      </c>
      <c r="L118" s="553">
        <f>SUM(Table8[[#This Row],[A]:[G]])</f>
        <v>2837</v>
      </c>
      <c r="M118" s="545">
        <f>VLOOKUP(A118,Table2[],MATCH(B118,Table2[#Headers],0), 0 )</f>
        <v>4662</v>
      </c>
      <c r="N118" s="546">
        <f>VLOOKUP(A118,Table2[], 8, 0 )+SUM(Table8[[#This Row],[Residence Total]]/Table8[[#This Row],[BER Total]])</f>
        <v>1.6599496227533856</v>
      </c>
      <c r="O118" s="547">
        <f t="shared" si="15"/>
        <v>4709.2770797513549</v>
      </c>
      <c r="R118" s="530" t="s">
        <v>467</v>
      </c>
      <c r="S118" s="515">
        <v>9541</v>
      </c>
      <c r="T118" s="538">
        <v>3133</v>
      </c>
      <c r="U118" s="442">
        <v>1529</v>
      </c>
      <c r="V118" s="538">
        <v>550</v>
      </c>
      <c r="W118" s="526">
        <v>78</v>
      </c>
      <c r="X118" s="526">
        <v>9</v>
      </c>
      <c r="Y118" s="442">
        <v>30</v>
      </c>
      <c r="Z118" s="515">
        <v>252</v>
      </c>
      <c r="AB118" s="440" t="s">
        <v>467</v>
      </c>
      <c r="AC118" s="440">
        <f t="shared" si="16"/>
        <v>9541</v>
      </c>
      <c r="AD118" s="440" cm="1">
        <f t="array" ref="AD118">SUM((T118:U118)/AG118)*AG118</f>
        <v>4662</v>
      </c>
      <c r="AE118" s="440" cm="1">
        <f t="array" ref="AE118">SUM((V118:Y118)/AG118)*AG118</f>
        <v>667</v>
      </c>
      <c r="AF118" s="440">
        <f t="shared" si="17"/>
        <v>252</v>
      </c>
      <c r="AG118" s="440">
        <f t="shared" si="18"/>
        <v>15122</v>
      </c>
      <c r="AH118" s="542">
        <v>18591</v>
      </c>
      <c r="AI118" s="560">
        <f>Table2[[#This Row],[Not Stated]]/Table2[[#This Row],[Total Residence]]</f>
        <v>1.6664462372702023E-2</v>
      </c>
    </row>
    <row r="119" spans="1:35">
      <c r="A119" s="496" t="s">
        <v>467</v>
      </c>
      <c r="B119" s="496" t="s">
        <v>106</v>
      </c>
      <c r="C119" s="66">
        <v>28</v>
      </c>
      <c r="D119" s="66">
        <v>41</v>
      </c>
      <c r="E119" s="66">
        <v>85</v>
      </c>
      <c r="F119" s="66">
        <v>259</v>
      </c>
      <c r="G119" s="494">
        <v>1252</v>
      </c>
      <c r="H119" s="494">
        <v>802</v>
      </c>
      <c r="I119" s="66">
        <v>401</v>
      </c>
      <c r="J119" s="66">
        <v>281</v>
      </c>
      <c r="K119" s="66">
        <v>446</v>
      </c>
      <c r="L119" s="553">
        <f>SUM(Table8[[#This Row],[A]:[G]])</f>
        <v>3595</v>
      </c>
      <c r="M119" s="545">
        <f>VLOOKUP(A119,Table2[],MATCH(B119,Table2[#Headers],0), 0 )</f>
        <v>9541</v>
      </c>
      <c r="N119" s="546">
        <f>VLOOKUP(A119,Table2[], 8, 0 )+SUM(Table8[[#This Row],[Residence Total]]/Table8[[#This Row],[BER Total]])</f>
        <v>2.6706283010375143</v>
      </c>
      <c r="O119" s="547">
        <f t="shared" si="15"/>
        <v>9600.9087422298635</v>
      </c>
      <c r="R119" s="531" t="s">
        <v>468</v>
      </c>
      <c r="S119" s="516">
        <v>18482</v>
      </c>
      <c r="T119" s="539">
        <v>13392</v>
      </c>
      <c r="U119" s="443">
        <v>9934</v>
      </c>
      <c r="V119" s="539">
        <v>2456</v>
      </c>
      <c r="W119" s="527">
        <v>392</v>
      </c>
      <c r="X119" s="527">
        <v>26</v>
      </c>
      <c r="Y119" s="443">
        <v>85</v>
      </c>
      <c r="Z119" s="516">
        <v>681</v>
      </c>
      <c r="AB119" s="441" t="s">
        <v>468</v>
      </c>
      <c r="AC119" s="441">
        <f t="shared" si="16"/>
        <v>18482</v>
      </c>
      <c r="AD119" s="441" cm="1">
        <f t="array" ref="AD119">SUM((T119:U119)/AG119)*AG119</f>
        <v>23326</v>
      </c>
      <c r="AE119" s="441" cm="1">
        <f t="array" ref="AE119">SUM((V119:Y119)/AG119)*AG119</f>
        <v>2959.0000000000005</v>
      </c>
      <c r="AF119" s="441">
        <f t="shared" si="17"/>
        <v>681</v>
      </c>
      <c r="AG119" s="441">
        <f t="shared" si="18"/>
        <v>45448</v>
      </c>
      <c r="AH119" s="542">
        <v>51399</v>
      </c>
      <c r="AI119" s="560">
        <f>Table2[[#This Row],[Not Stated]]/Table2[[#This Row],[Total Residence]]</f>
        <v>1.4984157718711495E-2</v>
      </c>
    </row>
    <row r="120" spans="1:35">
      <c r="A120" s="496" t="s">
        <v>468</v>
      </c>
      <c r="B120" s="496" t="s">
        <v>429</v>
      </c>
      <c r="C120" s="66">
        <v>67</v>
      </c>
      <c r="D120" s="66">
        <v>39</v>
      </c>
      <c r="E120" s="66">
        <v>160</v>
      </c>
      <c r="F120" s="66">
        <v>268</v>
      </c>
      <c r="G120" s="494">
        <v>881</v>
      </c>
      <c r="H120" s="66">
        <v>379</v>
      </c>
      <c r="I120" s="66">
        <v>218</v>
      </c>
      <c r="J120" s="66">
        <v>83</v>
      </c>
      <c r="K120" s="66">
        <v>95</v>
      </c>
      <c r="L120" s="553">
        <f>SUM(Table8[[#This Row],[A]:[G]])</f>
        <v>2190</v>
      </c>
      <c r="M120" s="545">
        <f>VLOOKUP(A120,Table2[],MATCH(B120,Table2[#Headers],0), 0 )</f>
        <v>2959.0000000000005</v>
      </c>
      <c r="N120" s="546">
        <f>VLOOKUP(A120,Table2[], 8, 0 )+SUM(Table8[[#This Row],[Residence Total]]/Table8[[#This Row],[BER Total]])</f>
        <v>1.3661257102301272</v>
      </c>
      <c r="O120" s="547">
        <f t="shared" si="15"/>
        <v>2991.8153054039785</v>
      </c>
      <c r="R120" s="530" t="s">
        <v>469</v>
      </c>
      <c r="S120" s="515">
        <v>33556</v>
      </c>
      <c r="T120" s="538">
        <v>18454</v>
      </c>
      <c r="U120" s="442">
        <v>6193</v>
      </c>
      <c r="V120" s="538">
        <v>4388</v>
      </c>
      <c r="W120" s="526">
        <v>507</v>
      </c>
      <c r="X120" s="526">
        <v>39</v>
      </c>
      <c r="Y120" s="442">
        <v>373</v>
      </c>
      <c r="Z120" s="515">
        <v>724</v>
      </c>
      <c r="AB120" s="440" t="s">
        <v>469</v>
      </c>
      <c r="AC120" s="440">
        <f t="shared" si="16"/>
        <v>33556</v>
      </c>
      <c r="AD120" s="440" cm="1">
        <f t="array" ref="AD120">SUM((T120:U120)/AG120)*AG120</f>
        <v>24647</v>
      </c>
      <c r="AE120" s="440" cm="1">
        <f t="array" ref="AE120">SUM((V120:Y120)/AG120)*AG120</f>
        <v>5307</v>
      </c>
      <c r="AF120" s="440">
        <f t="shared" si="17"/>
        <v>724</v>
      </c>
      <c r="AG120" s="440">
        <f t="shared" si="18"/>
        <v>64234</v>
      </c>
      <c r="AH120" s="542">
        <v>70649</v>
      </c>
      <c r="AI120" s="560">
        <f>Table2[[#This Row],[Not Stated]]/Table2[[#This Row],[Total Residence]]</f>
        <v>1.1271289348320205E-2</v>
      </c>
    </row>
    <row r="121" spans="1:35">
      <c r="A121" s="496" t="s">
        <v>468</v>
      </c>
      <c r="B121" s="496" t="s">
        <v>104</v>
      </c>
      <c r="C121" s="494">
        <v>1067</v>
      </c>
      <c r="D121" s="66">
        <v>293</v>
      </c>
      <c r="E121" s="66">
        <v>333</v>
      </c>
      <c r="F121" s="494">
        <v>1295</v>
      </c>
      <c r="G121" s="494">
        <v>6649</v>
      </c>
      <c r="H121" s="494">
        <v>2639</v>
      </c>
      <c r="I121" s="494">
        <v>1061</v>
      </c>
      <c r="J121" s="66">
        <v>478</v>
      </c>
      <c r="K121" s="66">
        <v>703</v>
      </c>
      <c r="L121" s="553">
        <f>SUM(Table8[[#This Row],[A]:[G]])</f>
        <v>14518</v>
      </c>
      <c r="M121" s="545">
        <f>VLOOKUP(A121,Table2[],MATCH(B121,Table2[#Headers],0), 0 )</f>
        <v>23326</v>
      </c>
      <c r="N121" s="546">
        <f>VLOOKUP(A121,Table2[], 8, 0 )+SUM(Table8[[#This Row],[Residence Total]]/Table8[[#This Row],[BER Total]])</f>
        <v>1.6216792947899334</v>
      </c>
      <c r="O121" s="547">
        <f t="shared" si="15"/>
        <v>23543.540001760255</v>
      </c>
      <c r="R121" s="531" t="s">
        <v>471</v>
      </c>
      <c r="S121" s="516">
        <v>15701</v>
      </c>
      <c r="T121" s="539">
        <v>7313</v>
      </c>
      <c r="U121" s="443">
        <v>2759</v>
      </c>
      <c r="V121" s="539">
        <v>752</v>
      </c>
      <c r="W121" s="527">
        <v>215</v>
      </c>
      <c r="X121" s="527">
        <v>25</v>
      </c>
      <c r="Y121" s="443">
        <v>159</v>
      </c>
      <c r="Z121" s="516">
        <v>419</v>
      </c>
      <c r="AB121" s="441" t="s">
        <v>471</v>
      </c>
      <c r="AC121" s="441">
        <f t="shared" si="16"/>
        <v>15701.000000000002</v>
      </c>
      <c r="AD121" s="441" cm="1">
        <f t="array" ref="AD121">SUM((T121:U121)/AG121)*AG121</f>
        <v>10072</v>
      </c>
      <c r="AE121" s="441" cm="1">
        <f t="array" ref="AE121">SUM((V121:Y121)/AG121)*AG121</f>
        <v>1151</v>
      </c>
      <c r="AF121" s="441">
        <f t="shared" si="17"/>
        <v>419</v>
      </c>
      <c r="AG121" s="441">
        <f t="shared" si="18"/>
        <v>27343</v>
      </c>
      <c r="AH121" s="542">
        <v>30740</v>
      </c>
      <c r="AI121" s="560">
        <f>Table2[[#This Row],[Not Stated]]/Table2[[#This Row],[Total Residence]]</f>
        <v>1.5323848882712212E-2</v>
      </c>
    </row>
    <row r="122" spans="1:35">
      <c r="A122" s="496" t="s">
        <v>468</v>
      </c>
      <c r="B122" s="496" t="s">
        <v>106</v>
      </c>
      <c r="C122" s="66">
        <v>370</v>
      </c>
      <c r="D122" s="66">
        <v>110</v>
      </c>
      <c r="E122" s="66">
        <v>254</v>
      </c>
      <c r="F122" s="66">
        <v>611</v>
      </c>
      <c r="G122" s="494">
        <v>2762</v>
      </c>
      <c r="H122" s="494">
        <v>1485</v>
      </c>
      <c r="I122" s="66">
        <v>654</v>
      </c>
      <c r="J122" s="66">
        <v>293</v>
      </c>
      <c r="K122" s="66">
        <v>518</v>
      </c>
      <c r="L122" s="553">
        <f>SUM(Table8[[#This Row],[A]:[G]])</f>
        <v>7057</v>
      </c>
      <c r="M122" s="545">
        <f>VLOOKUP(A122,Table2[],MATCH(B122,Table2[#Headers],0), 0 )</f>
        <v>18482</v>
      </c>
      <c r="N122" s="546">
        <f>VLOOKUP(A122,Table2[], 8, 0 )+SUM(Table8[[#This Row],[Residence Total]]/Table8[[#This Row],[BER Total]])</f>
        <v>2.6339440556923548</v>
      </c>
      <c r="O122" s="547">
        <f t="shared" si="15"/>
        <v>18587.743201020949</v>
      </c>
      <c r="R122" s="530" t="s">
        <v>472</v>
      </c>
      <c r="S122" s="515">
        <v>16482</v>
      </c>
      <c r="T122" s="538">
        <v>8765</v>
      </c>
      <c r="U122" s="442">
        <v>3337</v>
      </c>
      <c r="V122" s="538">
        <v>2373</v>
      </c>
      <c r="W122" s="526">
        <v>318</v>
      </c>
      <c r="X122" s="526">
        <v>28</v>
      </c>
      <c r="Y122" s="442">
        <v>128</v>
      </c>
      <c r="Z122" s="515">
        <v>382</v>
      </c>
      <c r="AB122" s="440" t="s">
        <v>472</v>
      </c>
      <c r="AC122" s="440">
        <f t="shared" si="16"/>
        <v>16482</v>
      </c>
      <c r="AD122" s="440" cm="1">
        <f t="array" ref="AD122">SUM((T122:U122)/AG122)*AG122</f>
        <v>12102.000000000002</v>
      </c>
      <c r="AE122" s="440" cm="1">
        <f t="array" ref="AE122">SUM((V122:Y122)/AG122)*AG122</f>
        <v>2847</v>
      </c>
      <c r="AF122" s="440">
        <f t="shared" si="17"/>
        <v>382</v>
      </c>
      <c r="AG122" s="440">
        <f t="shared" si="18"/>
        <v>31813</v>
      </c>
      <c r="AH122" s="542">
        <v>36890</v>
      </c>
      <c r="AI122" s="560">
        <f>Table2[[#This Row],[Not Stated]]/Table2[[#This Row],[Total Residence]]</f>
        <v>1.2007669820513626E-2</v>
      </c>
    </row>
    <row r="123" spans="1:35">
      <c r="A123" s="496" t="s">
        <v>482</v>
      </c>
      <c r="B123" s="496" t="s">
        <v>429</v>
      </c>
      <c r="C123" s="66">
        <v>11</v>
      </c>
      <c r="D123" s="66">
        <v>8</v>
      </c>
      <c r="E123" s="66">
        <v>36</v>
      </c>
      <c r="F123" s="66">
        <v>67</v>
      </c>
      <c r="G123" s="494">
        <v>462</v>
      </c>
      <c r="H123" s="66">
        <v>548</v>
      </c>
      <c r="I123" s="66">
        <v>227</v>
      </c>
      <c r="J123" s="66">
        <v>87</v>
      </c>
      <c r="K123" s="66">
        <v>96</v>
      </c>
      <c r="L123" s="553">
        <f>SUM(Table8[[#This Row],[A]:[G]])</f>
        <v>1542</v>
      </c>
      <c r="M123" s="545">
        <f>VLOOKUP(A123,Table2[],MATCH(B123,Table2[#Headers],0), 0 )</f>
        <v>2108.9999999999995</v>
      </c>
      <c r="N123" s="546">
        <f>VLOOKUP(A123,Table2[], 8, 0 )+SUM(Table8[[#This Row],[Residence Total]]/Table8[[#This Row],[BER Total]])</f>
        <v>1.3769887236002931</v>
      </c>
      <c r="O123" s="547">
        <f t="shared" si="15"/>
        <v>2123.3166117916521</v>
      </c>
      <c r="R123" s="531" t="s">
        <v>473</v>
      </c>
      <c r="S123" s="516">
        <v>33134</v>
      </c>
      <c r="T123" s="539">
        <v>11467</v>
      </c>
      <c r="U123" s="443">
        <v>6432</v>
      </c>
      <c r="V123" s="539">
        <v>1743</v>
      </c>
      <c r="W123" s="527">
        <v>576</v>
      </c>
      <c r="X123" s="527">
        <v>25</v>
      </c>
      <c r="Y123" s="443">
        <v>283</v>
      </c>
      <c r="Z123" s="516">
        <v>629</v>
      </c>
      <c r="AB123" s="441" t="s">
        <v>473</v>
      </c>
      <c r="AC123" s="441">
        <f t="shared" si="16"/>
        <v>33134</v>
      </c>
      <c r="AD123" s="441" cm="1">
        <f t="array" ref="AD123">SUM((T123:U123)/AG123)*AG123</f>
        <v>17899</v>
      </c>
      <c r="AE123" s="441" cm="1">
        <f t="array" ref="AE123">SUM((V123:Y123)/AG123)*AG123</f>
        <v>2627</v>
      </c>
      <c r="AF123" s="441">
        <f t="shared" si="17"/>
        <v>629</v>
      </c>
      <c r="AG123" s="441">
        <f t="shared" si="18"/>
        <v>54289</v>
      </c>
      <c r="AH123" s="542">
        <v>68206</v>
      </c>
      <c r="AI123" s="560">
        <f>Table2[[#This Row],[Not Stated]]/Table2[[#This Row],[Total Residence]]</f>
        <v>1.1586140838843965E-2</v>
      </c>
    </row>
    <row r="124" spans="1:35">
      <c r="A124" s="496" t="s">
        <v>482</v>
      </c>
      <c r="B124" s="496" t="s">
        <v>104</v>
      </c>
      <c r="C124" s="66">
        <v>209</v>
      </c>
      <c r="D124" s="66">
        <v>86</v>
      </c>
      <c r="E124" s="66">
        <v>144</v>
      </c>
      <c r="F124" s="66">
        <v>324</v>
      </c>
      <c r="G124" s="494">
        <v>3219</v>
      </c>
      <c r="H124" s="494">
        <v>1938</v>
      </c>
      <c r="I124" s="66">
        <v>743</v>
      </c>
      <c r="J124" s="66">
        <v>393</v>
      </c>
      <c r="K124" s="66">
        <v>559</v>
      </c>
      <c r="L124" s="553">
        <f>SUM(Table8[[#This Row],[A]:[G]])</f>
        <v>7615</v>
      </c>
      <c r="M124" s="545">
        <f>VLOOKUP(A124,Table2[],MATCH(B124,Table2[#Headers],0), 0 )</f>
        <v>12311</v>
      </c>
      <c r="N124" s="546">
        <f>VLOOKUP(A124,Table2[], 8, 0 )+SUM(Table8[[#This Row],[Residence Total]]/Table8[[#This Row],[BER Total]])</f>
        <v>1.6259620534249533</v>
      </c>
      <c r="O124" s="547">
        <f t="shared" si="15"/>
        <v>12381.701036831018</v>
      </c>
      <c r="R124" s="530" t="s">
        <v>475</v>
      </c>
      <c r="S124" s="515">
        <v>22110</v>
      </c>
      <c r="T124" s="538">
        <v>14326</v>
      </c>
      <c r="U124" s="442">
        <v>7778</v>
      </c>
      <c r="V124" s="538">
        <v>3381</v>
      </c>
      <c r="W124" s="526">
        <v>789</v>
      </c>
      <c r="X124" s="526">
        <v>66</v>
      </c>
      <c r="Y124" s="442">
        <v>206</v>
      </c>
      <c r="Z124" s="515">
        <v>555</v>
      </c>
      <c r="AB124" s="440" t="s">
        <v>475</v>
      </c>
      <c r="AC124" s="440">
        <f t="shared" si="16"/>
        <v>22110</v>
      </c>
      <c r="AD124" s="440" cm="1">
        <f t="array" ref="AD124">SUM((T124:U124)/AG124)*AG124</f>
        <v>22104</v>
      </c>
      <c r="AE124" s="440" cm="1">
        <f t="array" ref="AE124">SUM((V124:Y124)/AG124)*AG124</f>
        <v>4442</v>
      </c>
      <c r="AF124" s="440">
        <f t="shared" si="17"/>
        <v>555</v>
      </c>
      <c r="AG124" s="440">
        <f t="shared" si="18"/>
        <v>49211</v>
      </c>
      <c r="AH124" s="542">
        <v>54986</v>
      </c>
      <c r="AI124" s="560">
        <f>Table2[[#This Row],[Not Stated]]/Table2[[#This Row],[Total Residence]]</f>
        <v>1.1277966308345695E-2</v>
      </c>
    </row>
    <row r="125" spans="1:35">
      <c r="A125" s="496" t="s">
        <v>482</v>
      </c>
      <c r="B125" s="496" t="s">
        <v>106</v>
      </c>
      <c r="C125" s="66">
        <v>288</v>
      </c>
      <c r="D125" s="66">
        <v>111</v>
      </c>
      <c r="E125" s="66">
        <v>227</v>
      </c>
      <c r="F125" s="66">
        <v>699</v>
      </c>
      <c r="G125" s="494">
        <v>4401</v>
      </c>
      <c r="H125" s="494">
        <v>3175</v>
      </c>
      <c r="I125" s="494">
        <v>1498</v>
      </c>
      <c r="J125" s="66">
        <v>767</v>
      </c>
      <c r="K125" s="494">
        <v>1469</v>
      </c>
      <c r="L125" s="553">
        <f>SUM(Table8[[#This Row],[A]:[G]])</f>
        <v>12635</v>
      </c>
      <c r="M125" s="545">
        <f>VLOOKUP(A125,Table2[],MATCH(B125,Table2[#Headers],0), 0 )</f>
        <v>34025</v>
      </c>
      <c r="N125" s="546">
        <f>VLOOKUP(A125,Table2[], 8, 0 )+SUM(Table8[[#This Row],[Residence Total]]/Table8[[#This Row],[BER Total]])</f>
        <v>2.7022009452254192</v>
      </c>
      <c r="O125" s="547">
        <f t="shared" si="15"/>
        <v>34142.30894292317</v>
      </c>
      <c r="R125" s="531" t="s">
        <v>462</v>
      </c>
      <c r="S125" s="516">
        <v>25689</v>
      </c>
      <c r="T125" s="539">
        <v>9772</v>
      </c>
      <c r="U125" s="443">
        <v>5010</v>
      </c>
      <c r="V125" s="539">
        <v>1954</v>
      </c>
      <c r="W125" s="527">
        <v>343</v>
      </c>
      <c r="X125" s="527">
        <v>33</v>
      </c>
      <c r="Y125" s="443">
        <v>121</v>
      </c>
      <c r="Z125" s="516">
        <v>547</v>
      </c>
      <c r="AB125" s="441" t="s">
        <v>462</v>
      </c>
      <c r="AC125" s="441">
        <f t="shared" si="16"/>
        <v>25688.999999999996</v>
      </c>
      <c r="AD125" s="441" cm="1">
        <f t="array" ref="AD125">SUM((T125:U125)/AG125)*AG125</f>
        <v>14782</v>
      </c>
      <c r="AE125" s="441" cm="1">
        <f t="array" ref="AE125">SUM((V125:Y125)/AG125)*AG125</f>
        <v>2451</v>
      </c>
      <c r="AF125" s="441">
        <f t="shared" si="17"/>
        <v>547</v>
      </c>
      <c r="AG125" s="441">
        <f t="shared" si="18"/>
        <v>43469</v>
      </c>
      <c r="AH125" s="542">
        <v>55779</v>
      </c>
      <c r="AI125" s="560">
        <f>Table2[[#This Row],[Not Stated]]/Table2[[#This Row],[Total Residence]]</f>
        <v>1.2583680323908993E-2</v>
      </c>
    </row>
    <row r="126" spans="1:35">
      <c r="A126" s="496" t="s">
        <v>469</v>
      </c>
      <c r="B126" s="496" t="s">
        <v>429</v>
      </c>
      <c r="C126" s="66">
        <v>53</v>
      </c>
      <c r="D126" s="66">
        <v>45</v>
      </c>
      <c r="E126" s="66">
        <v>211</v>
      </c>
      <c r="F126" s="66">
        <v>370</v>
      </c>
      <c r="G126" s="494">
        <v>1312</v>
      </c>
      <c r="H126" s="66">
        <v>647</v>
      </c>
      <c r="I126" s="66">
        <v>270</v>
      </c>
      <c r="J126" s="66">
        <v>70</v>
      </c>
      <c r="K126" s="66">
        <v>76</v>
      </c>
      <c r="L126" s="553">
        <f>SUM(Table8[[#This Row],[A]:[G]])</f>
        <v>3054</v>
      </c>
      <c r="M126" s="545">
        <f>VLOOKUP(A126,Table2[],MATCH(B126,Table2[#Headers],0), 0 )</f>
        <v>5307</v>
      </c>
      <c r="N126" s="546">
        <f>VLOOKUP(A126,Table2[], 8, 0 )+SUM(Table8[[#This Row],[Residence Total]]/Table8[[#This Row],[BER Total]])</f>
        <v>1.7489923109593222</v>
      </c>
      <c r="O126" s="547">
        <f t="shared" si="15"/>
        <v>5341.4225176697701</v>
      </c>
      <c r="R126" s="530" t="s">
        <v>466</v>
      </c>
      <c r="S126" s="515">
        <v>86886</v>
      </c>
      <c r="T126" s="538">
        <v>49597</v>
      </c>
      <c r="U126" s="442">
        <v>39364</v>
      </c>
      <c r="V126" s="538">
        <v>13238</v>
      </c>
      <c r="W126" s="526">
        <v>3796</v>
      </c>
      <c r="X126" s="526">
        <v>275</v>
      </c>
      <c r="Y126" s="442">
        <v>431</v>
      </c>
      <c r="Z126" s="515">
        <v>2266</v>
      </c>
      <c r="AB126" s="440" t="s">
        <v>466</v>
      </c>
      <c r="AC126" s="440">
        <f t="shared" si="16"/>
        <v>86886</v>
      </c>
      <c r="AD126" s="440" cm="1">
        <f t="array" ref="AD126">SUM((T126:U126)/AG126)*AG126</f>
        <v>88961</v>
      </c>
      <c r="AE126" s="440" cm="1">
        <f t="array" ref="AE126">SUM((V126:Y126)/AG126)*AG126</f>
        <v>17739.999999999996</v>
      </c>
      <c r="AF126" s="440">
        <f t="shared" si="17"/>
        <v>2266</v>
      </c>
      <c r="AG126" s="440">
        <f t="shared" si="18"/>
        <v>195853</v>
      </c>
      <c r="AH126" s="542">
        <v>229495</v>
      </c>
      <c r="AI126" s="560">
        <f>Table2[[#This Row],[Not Stated]]/Table2[[#This Row],[Total Residence]]</f>
        <v>1.1569901916233093E-2</v>
      </c>
    </row>
    <row r="127" spans="1:35">
      <c r="A127" s="496" t="s">
        <v>469</v>
      </c>
      <c r="B127" s="496" t="s">
        <v>104</v>
      </c>
      <c r="C127" s="494">
        <v>3202</v>
      </c>
      <c r="D127" s="66">
        <v>180</v>
      </c>
      <c r="E127" s="66">
        <v>351</v>
      </c>
      <c r="F127" s="494">
        <v>1325</v>
      </c>
      <c r="G127" s="494">
        <v>7280</v>
      </c>
      <c r="H127" s="494">
        <v>2176</v>
      </c>
      <c r="I127" s="66">
        <v>762</v>
      </c>
      <c r="J127" s="66">
        <v>374</v>
      </c>
      <c r="K127" s="66">
        <v>353</v>
      </c>
      <c r="L127" s="553">
        <f>SUM(Table8[[#This Row],[A]:[G]])</f>
        <v>16003</v>
      </c>
      <c r="M127" s="545">
        <f>VLOOKUP(A127,Table2[],MATCH(B127,Table2[#Headers],0), 0 )</f>
        <v>24647</v>
      </c>
      <c r="N127" s="546">
        <f>VLOOKUP(A127,Table2[], 8, 0 )+SUM(Table8[[#This Row],[Residence Total]]/Table8[[#This Row],[BER Total]])</f>
        <v>1.5514200114629237</v>
      </c>
      <c r="O127" s="547">
        <f t="shared" si="15"/>
        <v>24827.374443441167</v>
      </c>
      <c r="R127" s="531" t="s">
        <v>477</v>
      </c>
      <c r="S127" s="516">
        <v>35667</v>
      </c>
      <c r="T127" s="539">
        <v>10232</v>
      </c>
      <c r="U127" s="443">
        <v>5052</v>
      </c>
      <c r="V127" s="539">
        <v>1984</v>
      </c>
      <c r="W127" s="527">
        <v>572</v>
      </c>
      <c r="X127" s="527">
        <v>61</v>
      </c>
      <c r="Y127" s="443">
        <v>205</v>
      </c>
      <c r="Z127" s="516">
        <v>720</v>
      </c>
      <c r="AB127" s="441" t="s">
        <v>477</v>
      </c>
      <c r="AC127" s="441">
        <f t="shared" si="16"/>
        <v>35667</v>
      </c>
      <c r="AD127" s="441" cm="1">
        <f t="array" ref="AD127">SUM((T127:U127)/AG127)*AG127</f>
        <v>15284</v>
      </c>
      <c r="AE127" s="441" cm="1">
        <f t="array" ref="AE127">SUM((V127:Y127)/AG127)*AG127</f>
        <v>2822</v>
      </c>
      <c r="AF127" s="441">
        <f t="shared" si="17"/>
        <v>720</v>
      </c>
      <c r="AG127" s="441">
        <f t="shared" si="18"/>
        <v>54493</v>
      </c>
      <c r="AH127" s="542">
        <v>74094</v>
      </c>
      <c r="AI127" s="560">
        <f>Table2[[#This Row],[Not Stated]]/Table2[[#This Row],[Total Residence]]</f>
        <v>1.3212706219147413E-2</v>
      </c>
    </row>
    <row r="128" spans="1:35">
      <c r="A128" s="496" t="s">
        <v>469</v>
      </c>
      <c r="B128" s="496" t="s">
        <v>106</v>
      </c>
      <c r="C128" s="66">
        <v>825</v>
      </c>
      <c r="D128" s="66">
        <v>120</v>
      </c>
      <c r="E128" s="66">
        <v>308</v>
      </c>
      <c r="F128" s="66">
        <v>920</v>
      </c>
      <c r="G128" s="494">
        <v>4486</v>
      </c>
      <c r="H128" s="494">
        <v>2437</v>
      </c>
      <c r="I128" s="66">
        <v>959</v>
      </c>
      <c r="J128" s="66">
        <v>473</v>
      </c>
      <c r="K128" s="66">
        <v>837</v>
      </c>
      <c r="L128" s="553">
        <f>SUM(Table8[[#This Row],[A]:[G]])</f>
        <v>11365</v>
      </c>
      <c r="M128" s="545">
        <f>VLOOKUP(A128,Table2[],MATCH(B128,Table2[#Headers],0), 0 )</f>
        <v>33556</v>
      </c>
      <c r="N128" s="546">
        <f>VLOOKUP(A128,Table2[], 8, 0 )+SUM(Table8[[#This Row],[Residence Total]]/Table8[[#This Row],[BER Total]])</f>
        <v>2.9638449805053813</v>
      </c>
      <c r="O128" s="547">
        <f t="shared" si="15"/>
        <v>33684.09820344366</v>
      </c>
      <c r="R128" s="530" t="s">
        <v>478</v>
      </c>
      <c r="S128" s="515">
        <v>32180</v>
      </c>
      <c r="T128" s="538">
        <v>19735</v>
      </c>
      <c r="U128" s="442">
        <v>11039</v>
      </c>
      <c r="V128" s="538">
        <v>6172</v>
      </c>
      <c r="W128" s="526">
        <v>896</v>
      </c>
      <c r="X128" s="526">
        <v>68</v>
      </c>
      <c r="Y128" s="442">
        <v>202</v>
      </c>
      <c r="Z128" s="515">
        <v>932</v>
      </c>
      <c r="AB128" s="440" t="s">
        <v>478</v>
      </c>
      <c r="AC128" s="440">
        <f t="shared" si="16"/>
        <v>32180</v>
      </c>
      <c r="AD128" s="440" cm="1">
        <f t="array" ref="AD128">SUM((T128:U128)/AG128)*AG128</f>
        <v>30774</v>
      </c>
      <c r="AE128" s="440" cm="1">
        <f t="array" ref="AE128">SUM((V128:Y128)/AG128)*AG128</f>
        <v>7338</v>
      </c>
      <c r="AF128" s="440">
        <f t="shared" si="17"/>
        <v>932</v>
      </c>
      <c r="AG128" s="440">
        <f t="shared" si="18"/>
        <v>71224</v>
      </c>
      <c r="AH128" s="542">
        <v>82112</v>
      </c>
      <c r="AI128" s="560">
        <f>Table2[[#This Row],[Not Stated]]/Table2[[#This Row],[Total Residence]]</f>
        <v>1.3085476805571155E-2</v>
      </c>
    </row>
    <row r="129" spans="1:35">
      <c r="A129" s="496" t="s">
        <v>485</v>
      </c>
      <c r="B129" s="496" t="s">
        <v>429</v>
      </c>
      <c r="C129" s="66">
        <v>3</v>
      </c>
      <c r="D129" s="66">
        <v>3</v>
      </c>
      <c r="E129" s="66">
        <v>25</v>
      </c>
      <c r="F129" s="66">
        <v>39</v>
      </c>
      <c r="G129" s="66">
        <v>154</v>
      </c>
      <c r="H129" s="66">
        <v>125</v>
      </c>
      <c r="I129" s="66">
        <v>86</v>
      </c>
      <c r="J129" s="66">
        <v>36</v>
      </c>
      <c r="K129" s="66">
        <v>90</v>
      </c>
      <c r="L129" s="553">
        <f>SUM(Table8[[#This Row],[A]:[G]])</f>
        <v>561</v>
      </c>
      <c r="M129" s="545">
        <f>VLOOKUP(A129,Table2[],MATCH(B129,Table2[#Headers],0), 0 )</f>
        <v>1003</v>
      </c>
      <c r="N129" s="546">
        <f>VLOOKUP(A129,Table2[], 8, 0 )+SUM(Table8[[#This Row],[Residence Total]]/Table8[[#This Row],[BER Total]])</f>
        <v>1.8030938738670768</v>
      </c>
      <c r="O129" s="547">
        <f t="shared" si="15"/>
        <v>1011.5356632394301</v>
      </c>
      <c r="R129" s="531" t="s">
        <v>479</v>
      </c>
      <c r="S129" s="516">
        <v>34404</v>
      </c>
      <c r="T129" s="539">
        <v>13870</v>
      </c>
      <c r="U129" s="443">
        <v>7855</v>
      </c>
      <c r="V129" s="539">
        <v>1455</v>
      </c>
      <c r="W129" s="527">
        <v>623</v>
      </c>
      <c r="X129" s="527">
        <v>50</v>
      </c>
      <c r="Y129" s="443">
        <v>205</v>
      </c>
      <c r="Z129" s="516">
        <v>814</v>
      </c>
      <c r="AB129" s="441" t="s">
        <v>479</v>
      </c>
      <c r="AC129" s="441">
        <f t="shared" si="16"/>
        <v>34404</v>
      </c>
      <c r="AD129" s="441" cm="1">
        <f t="array" ref="AD129">SUM((T129:U129)/AG129)*AG129</f>
        <v>21724.999999999996</v>
      </c>
      <c r="AE129" s="441" cm="1">
        <f t="array" ref="AE129">SUM((V129:Y129)/AG129)*AG129</f>
        <v>2333</v>
      </c>
      <c r="AF129" s="441">
        <f t="shared" si="17"/>
        <v>814</v>
      </c>
      <c r="AG129" s="441">
        <f t="shared" si="18"/>
        <v>59276</v>
      </c>
      <c r="AH129" s="542">
        <v>69106</v>
      </c>
      <c r="AI129" s="560">
        <f>Table2[[#This Row],[Not Stated]]/Table2[[#This Row],[Total Residence]]</f>
        <v>1.3732370605304002E-2</v>
      </c>
    </row>
    <row r="130" spans="1:35">
      <c r="A130" s="496" t="s">
        <v>485</v>
      </c>
      <c r="B130" s="496" t="s">
        <v>104</v>
      </c>
      <c r="C130" s="66">
        <v>165</v>
      </c>
      <c r="D130" s="66">
        <v>55</v>
      </c>
      <c r="E130" s="66">
        <v>75</v>
      </c>
      <c r="F130" s="66">
        <v>300</v>
      </c>
      <c r="G130" s="494">
        <v>1391</v>
      </c>
      <c r="H130" s="66">
        <v>933</v>
      </c>
      <c r="I130" s="66">
        <v>367</v>
      </c>
      <c r="J130" s="66">
        <v>163</v>
      </c>
      <c r="K130" s="66">
        <v>174</v>
      </c>
      <c r="L130" s="553">
        <f>SUM(Table8[[#This Row],[A]:[G]])</f>
        <v>3623</v>
      </c>
      <c r="M130" s="545">
        <f>VLOOKUP(A130,Table2[],MATCH(B130,Table2[#Headers],0), 0 )</f>
        <v>6497.9999999999991</v>
      </c>
      <c r="N130" s="546">
        <f>VLOOKUP(A130,Table2[], 8, 0 )+SUM(Table8[[#This Row],[Residence Total]]/Table8[[#This Row],[BER Total]])</f>
        <v>1.8087563501340242</v>
      </c>
      <c r="O130" s="547">
        <f t="shared" si="15"/>
        <v>6553.1242565355697</v>
      </c>
      <c r="R130" s="530" t="s">
        <v>480</v>
      </c>
      <c r="S130" s="515">
        <v>18782</v>
      </c>
      <c r="T130" s="538">
        <v>12957</v>
      </c>
      <c r="U130" s="442">
        <v>8126</v>
      </c>
      <c r="V130" s="538">
        <v>2480</v>
      </c>
      <c r="W130" s="526">
        <v>501</v>
      </c>
      <c r="X130" s="526">
        <v>21</v>
      </c>
      <c r="Y130" s="442">
        <v>94</v>
      </c>
      <c r="Z130" s="515">
        <v>588</v>
      </c>
      <c r="AB130" s="440" t="s">
        <v>480</v>
      </c>
      <c r="AC130" s="440">
        <f t="shared" si="16"/>
        <v>18782</v>
      </c>
      <c r="AD130" s="440" cm="1">
        <f t="array" ref="AD130">SUM((T130:U130)/AG130)*AG130</f>
        <v>21083</v>
      </c>
      <c r="AE130" s="440" cm="1">
        <f t="array" ref="AE130">SUM((V130:Y130)/AG130)*AG130</f>
        <v>3095.9999999999995</v>
      </c>
      <c r="AF130" s="440">
        <f t="shared" si="17"/>
        <v>588</v>
      </c>
      <c r="AG130" s="440">
        <f t="shared" si="18"/>
        <v>43549</v>
      </c>
      <c r="AH130" s="542">
        <v>52491</v>
      </c>
      <c r="AI130" s="560">
        <f>Table2[[#This Row],[Not Stated]]/Table2[[#This Row],[Total Residence]]</f>
        <v>1.3502032193620979E-2</v>
      </c>
    </row>
    <row r="131" spans="1:35">
      <c r="A131" s="496" t="s">
        <v>485</v>
      </c>
      <c r="B131" s="496" t="s">
        <v>106</v>
      </c>
      <c r="C131" s="66">
        <v>89</v>
      </c>
      <c r="D131" s="66">
        <v>54</v>
      </c>
      <c r="E131" s="66">
        <v>95</v>
      </c>
      <c r="F131" s="66">
        <v>286</v>
      </c>
      <c r="G131" s="494">
        <v>1245</v>
      </c>
      <c r="H131" s="66">
        <v>932</v>
      </c>
      <c r="I131" s="66">
        <v>425</v>
      </c>
      <c r="J131" s="66">
        <v>185</v>
      </c>
      <c r="K131" s="66">
        <v>311</v>
      </c>
      <c r="L131" s="553">
        <f>SUM(Table8[[#This Row],[A]:[G]])</f>
        <v>3622</v>
      </c>
      <c r="M131" s="545">
        <f>VLOOKUP(A131,Table2[],MATCH(B131,Table2[#Headers],0), 0 )</f>
        <v>13858</v>
      </c>
      <c r="N131" s="546">
        <f>VLOOKUP(A131,Table2[], 8, 0 )+SUM(Table8[[#This Row],[Residence Total]]/Table8[[#This Row],[BER Total]])</f>
        <v>3.8412780346354451</v>
      </c>
      <c r="O131" s="547">
        <f t="shared" si="15"/>
        <v>13913.109041449583</v>
      </c>
      <c r="R131" s="531" t="s">
        <v>476</v>
      </c>
      <c r="S131" s="516">
        <v>54095</v>
      </c>
      <c r="T131" s="539">
        <v>19400</v>
      </c>
      <c r="U131" s="443">
        <v>7460</v>
      </c>
      <c r="V131" s="539">
        <v>7787</v>
      </c>
      <c r="W131" s="527">
        <v>1439</v>
      </c>
      <c r="X131" s="527">
        <v>100</v>
      </c>
      <c r="Y131" s="443">
        <v>343</v>
      </c>
      <c r="Z131" s="516">
        <v>1275</v>
      </c>
      <c r="AB131" s="441" t="s">
        <v>476</v>
      </c>
      <c r="AC131" s="441">
        <f t="shared" si="16"/>
        <v>54095</v>
      </c>
      <c r="AD131" s="441" cm="1">
        <f t="array" ref="AD131">SUM((T131:U131)/AG131)*AG131</f>
        <v>26860.000000000004</v>
      </c>
      <c r="AE131" s="441" cm="1">
        <f t="array" ref="AE131">SUM((V131:Y131)/AG131)*AG131</f>
        <v>9669</v>
      </c>
      <c r="AF131" s="441">
        <f t="shared" si="17"/>
        <v>1275</v>
      </c>
      <c r="AG131" s="441">
        <f t="shared" si="18"/>
        <v>91899</v>
      </c>
      <c r="AH131" s="542">
        <v>112054</v>
      </c>
      <c r="AI131" s="560">
        <f>Table2[[#This Row],[Not Stated]]/Table2[[#This Row],[Total Residence]]</f>
        <v>1.3873926810955506E-2</v>
      </c>
    </row>
    <row r="132" spans="1:35">
      <c r="A132" s="496" t="s">
        <v>471</v>
      </c>
      <c r="B132" s="496" t="s">
        <v>429</v>
      </c>
      <c r="E132" s="66">
        <v>13</v>
      </c>
      <c r="F132" s="66">
        <v>41</v>
      </c>
      <c r="G132" s="66">
        <v>204</v>
      </c>
      <c r="H132" s="66">
        <v>232</v>
      </c>
      <c r="I132" s="66">
        <v>128</v>
      </c>
      <c r="J132" s="66">
        <v>59</v>
      </c>
      <c r="K132" s="66">
        <v>60</v>
      </c>
      <c r="L132" s="553">
        <f>SUM(Table8[[#This Row],[A]:[G]])</f>
        <v>737</v>
      </c>
      <c r="M132" s="545">
        <f>VLOOKUP(A132,Table2[],MATCH(B132,Table2[#Headers],0), 0 )</f>
        <v>1151</v>
      </c>
      <c r="N132" s="546">
        <f>VLOOKUP(A132,Table2[], 8, 0 )+SUM(Table8[[#This Row],[Residence Total]]/Table8[[#This Row],[BER Total]])</f>
        <v>1.577060619574707</v>
      </c>
      <c r="O132" s="547">
        <f t="shared" si="15"/>
        <v>1162.2936766265591</v>
      </c>
      <c r="R132" s="530" t="s">
        <v>481</v>
      </c>
      <c r="S132" s="515">
        <v>9060</v>
      </c>
      <c r="T132" s="538">
        <v>1983</v>
      </c>
      <c r="U132" s="442">
        <v>731</v>
      </c>
      <c r="V132" s="538">
        <v>415</v>
      </c>
      <c r="W132" s="526">
        <v>70</v>
      </c>
      <c r="X132" s="526">
        <v>4</v>
      </c>
      <c r="Y132" s="442">
        <v>48</v>
      </c>
      <c r="Z132" s="515">
        <v>141</v>
      </c>
      <c r="AB132" s="440" t="s">
        <v>481</v>
      </c>
      <c r="AC132" s="440">
        <f t="shared" si="16"/>
        <v>9060</v>
      </c>
      <c r="AD132" s="440" cm="1">
        <f t="array" ref="AD132">SUM((T132:U132)/AG132)*AG132</f>
        <v>2714</v>
      </c>
      <c r="AE132" s="440" cm="1">
        <f t="array" ref="AE132">SUM((V132:Y132)/AG132)*AG132</f>
        <v>537</v>
      </c>
      <c r="AF132" s="440">
        <f t="shared" si="17"/>
        <v>141</v>
      </c>
      <c r="AG132" s="440">
        <f t="shared" si="18"/>
        <v>12452</v>
      </c>
      <c r="AH132" s="542">
        <v>18051</v>
      </c>
      <c r="AI132" s="560">
        <f>Table2[[#This Row],[Not Stated]]/Table2[[#This Row],[Total Residence]]</f>
        <v>1.1323482171538708E-2</v>
      </c>
    </row>
    <row r="133" spans="1:35">
      <c r="A133" s="496" t="s">
        <v>471</v>
      </c>
      <c r="B133" s="496" t="s">
        <v>104</v>
      </c>
      <c r="C133" s="66">
        <v>71</v>
      </c>
      <c r="D133" s="66">
        <v>19</v>
      </c>
      <c r="E133" s="66">
        <v>74</v>
      </c>
      <c r="F133" s="66">
        <v>208</v>
      </c>
      <c r="G133" s="494">
        <v>1955</v>
      </c>
      <c r="H133" s="494">
        <v>922</v>
      </c>
      <c r="I133" s="494">
        <v>1087</v>
      </c>
      <c r="J133" s="66">
        <v>525</v>
      </c>
      <c r="K133" s="66">
        <v>507</v>
      </c>
      <c r="L133" s="553">
        <f>SUM(Table8[[#This Row],[A]:[G]])</f>
        <v>5368</v>
      </c>
      <c r="M133" s="545">
        <f>VLOOKUP(A133,Table2[],MATCH(B133,Table2[#Headers],0), 0 )</f>
        <v>10072</v>
      </c>
      <c r="N133" s="546">
        <f>VLOOKUP(A133,Table2[], 8, 0 )+SUM(Table8[[#This Row],[Residence Total]]/Table8[[#This Row],[BER Total]])</f>
        <v>1.8916278727277198</v>
      </c>
      <c r="O133" s="547">
        <f t="shared" si="15"/>
        <v>10154.2584208024</v>
      </c>
      <c r="R133" s="531" t="s">
        <v>482</v>
      </c>
      <c r="S133" s="516">
        <v>34025</v>
      </c>
      <c r="T133" s="539">
        <v>8899</v>
      </c>
      <c r="U133" s="443">
        <v>3412</v>
      </c>
      <c r="V133" s="539">
        <v>1431</v>
      </c>
      <c r="W133" s="527">
        <v>501</v>
      </c>
      <c r="X133" s="527">
        <v>23</v>
      </c>
      <c r="Y133" s="443">
        <v>154</v>
      </c>
      <c r="Z133" s="516">
        <v>454</v>
      </c>
      <c r="AB133" s="441" t="s">
        <v>482</v>
      </c>
      <c r="AC133" s="441">
        <f t="shared" si="16"/>
        <v>34025</v>
      </c>
      <c r="AD133" s="441" cm="1">
        <f t="array" ref="AD133">SUM((T133:U133)/AG133)*AG133</f>
        <v>12311</v>
      </c>
      <c r="AE133" s="441" cm="1">
        <f t="array" ref="AE133">SUM((V133:Y133)/AG133)*AG133</f>
        <v>2108.9999999999995</v>
      </c>
      <c r="AF133" s="441">
        <f t="shared" si="17"/>
        <v>454</v>
      </c>
      <c r="AG133" s="441">
        <f t="shared" si="18"/>
        <v>48899</v>
      </c>
      <c r="AH133" s="542">
        <v>65921</v>
      </c>
      <c r="AI133" s="560">
        <f>Table2[[#This Row],[Not Stated]]/Table2[[#This Row],[Total Residence]]</f>
        <v>9.2844434446512202E-3</v>
      </c>
    </row>
    <row r="134" spans="1:35">
      <c r="A134" s="496" t="s">
        <v>471</v>
      </c>
      <c r="B134" s="496" t="s">
        <v>106</v>
      </c>
      <c r="C134" s="66">
        <v>101</v>
      </c>
      <c r="D134" s="66">
        <v>45</v>
      </c>
      <c r="E134" s="66">
        <v>89</v>
      </c>
      <c r="F134" s="66">
        <v>271</v>
      </c>
      <c r="G134" s="494">
        <v>1708</v>
      </c>
      <c r="H134" s="494">
        <v>1188</v>
      </c>
      <c r="I134" s="66">
        <v>528</v>
      </c>
      <c r="J134" s="66">
        <v>316</v>
      </c>
      <c r="K134" s="66">
        <v>531</v>
      </c>
      <c r="L134" s="553">
        <f>SUM(Table8[[#This Row],[A]:[G]])</f>
        <v>4777</v>
      </c>
      <c r="M134" s="545">
        <f>VLOOKUP(A134,Table2[],MATCH(B134,Table2[#Headers],0), 0 )</f>
        <v>15701.000000000002</v>
      </c>
      <c r="N134" s="546">
        <f>VLOOKUP(A134,Table2[], 8, 0 )+SUM(Table8[[#This Row],[Residence Total]]/Table8[[#This Row],[BER Total]])</f>
        <v>3.3021147218155154</v>
      </c>
      <c r="O134" s="547">
        <f t="shared" si="15"/>
        <v>15774.202026112716</v>
      </c>
      <c r="R134" s="530" t="s">
        <v>483</v>
      </c>
      <c r="S134" s="515">
        <v>17809</v>
      </c>
      <c r="T134" s="538">
        <v>4280</v>
      </c>
      <c r="U134" s="442">
        <v>972</v>
      </c>
      <c r="V134" s="538">
        <v>436</v>
      </c>
      <c r="W134" s="526">
        <v>152</v>
      </c>
      <c r="X134" s="526">
        <v>11</v>
      </c>
      <c r="Y134" s="442">
        <v>51</v>
      </c>
      <c r="Z134" s="515">
        <v>302</v>
      </c>
      <c r="AB134" s="440" t="s">
        <v>483</v>
      </c>
      <c r="AC134" s="440">
        <f t="shared" si="16"/>
        <v>17809</v>
      </c>
      <c r="AD134" s="440" cm="1">
        <f t="array" ref="AD134">SUM((T134:U134)/AG134)*AG134</f>
        <v>5252</v>
      </c>
      <c r="AE134" s="440" cm="1">
        <f t="array" ref="AE134">SUM((V134:Y134)/AG134)*AG134</f>
        <v>650</v>
      </c>
      <c r="AF134" s="440">
        <f t="shared" si="17"/>
        <v>302</v>
      </c>
      <c r="AG134" s="440">
        <f t="shared" si="18"/>
        <v>24013</v>
      </c>
      <c r="AH134" s="542">
        <v>31285</v>
      </c>
      <c r="AI134" s="560">
        <f>Table2[[#This Row],[Not Stated]]/Table2[[#This Row],[Total Residence]]</f>
        <v>1.2576521051097323E-2</v>
      </c>
    </row>
    <row r="135" spans="1:35">
      <c r="A135" s="496" t="s">
        <v>483</v>
      </c>
      <c r="B135" s="496" t="s">
        <v>429</v>
      </c>
      <c r="D135" s="66">
        <v>9</v>
      </c>
      <c r="E135" s="66">
        <v>9</v>
      </c>
      <c r="F135" s="66">
        <v>18</v>
      </c>
      <c r="G135" s="66">
        <v>166</v>
      </c>
      <c r="H135" s="66">
        <v>155</v>
      </c>
      <c r="I135" s="66">
        <v>86</v>
      </c>
      <c r="J135" s="66">
        <v>26</v>
      </c>
      <c r="K135" s="66">
        <v>44</v>
      </c>
      <c r="L135" s="553">
        <f>SUM(Table8[[#This Row],[A]:[G]])</f>
        <v>513</v>
      </c>
      <c r="M135" s="545">
        <f>VLOOKUP(A135,Table2[],MATCH(B135,Table2[#Headers],0), 0 )</f>
        <v>650</v>
      </c>
      <c r="N135" s="546">
        <f>VLOOKUP(A135,Table2[], 8, 0 )+SUM(Table8[[#This Row],[Residence Total]]/Table8[[#This Row],[BER Total]])</f>
        <v>1.2796330512655223</v>
      </c>
      <c r="O135" s="547">
        <f t="shared" si="15"/>
        <v>656.45175529921289</v>
      </c>
      <c r="R135" s="531" t="s">
        <v>484</v>
      </c>
      <c r="S135" s="516">
        <v>14224</v>
      </c>
      <c r="T135" s="539">
        <v>6010</v>
      </c>
      <c r="U135" s="443">
        <v>2718</v>
      </c>
      <c r="V135" s="539">
        <v>1315</v>
      </c>
      <c r="W135" s="527">
        <v>227</v>
      </c>
      <c r="X135" s="527">
        <v>14</v>
      </c>
      <c r="Y135" s="443">
        <v>70</v>
      </c>
      <c r="Z135" s="516">
        <v>253</v>
      </c>
      <c r="AB135" s="441" t="s">
        <v>484</v>
      </c>
      <c r="AC135" s="441">
        <f t="shared" si="16"/>
        <v>14223.999999999998</v>
      </c>
      <c r="AD135" s="441" cm="1">
        <f t="array" ref="AD135">SUM((T135:U135)/AG135)*AG135</f>
        <v>8728</v>
      </c>
      <c r="AE135" s="441" cm="1">
        <f t="array" ref="AE135">SUM((V135:Y135)/AG135)*AG135</f>
        <v>1626</v>
      </c>
      <c r="AF135" s="441">
        <f t="shared" si="17"/>
        <v>253</v>
      </c>
      <c r="AG135" s="441">
        <f t="shared" si="18"/>
        <v>24831</v>
      </c>
      <c r="AH135" s="542">
        <v>32764</v>
      </c>
      <c r="AI135" s="560">
        <f>Table2[[#This Row],[Not Stated]]/Table2[[#This Row],[Total Residence]]</f>
        <v>1.0188876807216786E-2</v>
      </c>
    </row>
    <row r="136" spans="1:35">
      <c r="A136" s="496" t="s">
        <v>483</v>
      </c>
      <c r="B136" s="496" t="s">
        <v>104</v>
      </c>
      <c r="C136" s="66">
        <v>42</v>
      </c>
      <c r="D136" s="66">
        <v>11</v>
      </c>
      <c r="E136" s="66">
        <v>12</v>
      </c>
      <c r="F136" s="66">
        <v>107</v>
      </c>
      <c r="G136" s="494">
        <v>1754</v>
      </c>
      <c r="H136" s="66">
        <v>592</v>
      </c>
      <c r="I136" s="66">
        <v>414</v>
      </c>
      <c r="J136" s="66">
        <v>219</v>
      </c>
      <c r="K136" s="66">
        <v>212</v>
      </c>
      <c r="L136" s="553">
        <f>SUM(Table8[[#This Row],[A]:[G]])</f>
        <v>3363</v>
      </c>
      <c r="M136" s="545">
        <f>VLOOKUP(A136,Table2[],MATCH(B136,Table2[#Headers],0), 0 )</f>
        <v>5252</v>
      </c>
      <c r="N136" s="546">
        <f>VLOOKUP(A136,Table2[], 8, 0 )+SUM(Table8[[#This Row],[Residence Total]]/Table8[[#This Row],[BER Total]])</f>
        <v>1.5742773833764021</v>
      </c>
      <c r="O136" s="547">
        <f t="shared" si="15"/>
        <v>5294.2948402948405</v>
      </c>
      <c r="R136" s="530" t="s">
        <v>444</v>
      </c>
      <c r="S136" s="515">
        <v>17772</v>
      </c>
      <c r="T136" s="538">
        <v>5500</v>
      </c>
      <c r="U136" s="442">
        <v>2063</v>
      </c>
      <c r="V136" s="538">
        <v>869</v>
      </c>
      <c r="W136" s="526">
        <v>241</v>
      </c>
      <c r="X136" s="526">
        <v>22</v>
      </c>
      <c r="Y136" s="442">
        <v>93</v>
      </c>
      <c r="Z136" s="515">
        <v>339</v>
      </c>
      <c r="AB136" s="440" t="s">
        <v>444</v>
      </c>
      <c r="AC136" s="440">
        <f t="shared" si="16"/>
        <v>17772</v>
      </c>
      <c r="AD136" s="440" cm="1">
        <f t="array" ref="AD136">SUM((T136:U136)/AG136)*AG136</f>
        <v>7563.0000000000009</v>
      </c>
      <c r="AE136" s="440" cm="1">
        <f t="array" ref="AE136">SUM((V136:Y136)/AG136)*AG136</f>
        <v>1225</v>
      </c>
      <c r="AF136" s="440">
        <f t="shared" si="17"/>
        <v>339</v>
      </c>
      <c r="AG136" s="440">
        <f t="shared" si="18"/>
        <v>26899</v>
      </c>
      <c r="AH136" s="542">
        <v>33585</v>
      </c>
      <c r="AI136" s="560">
        <f>Table2[[#This Row],[Not Stated]]/Table2[[#This Row],[Total Residence]]</f>
        <v>1.2602698985092383E-2</v>
      </c>
    </row>
    <row r="137" spans="1:35">
      <c r="A137" s="496" t="s">
        <v>483</v>
      </c>
      <c r="B137" s="496" t="s">
        <v>106</v>
      </c>
      <c r="C137" s="66">
        <v>75</v>
      </c>
      <c r="D137" s="66">
        <v>28</v>
      </c>
      <c r="E137" s="66">
        <v>97</v>
      </c>
      <c r="F137" s="66">
        <v>380</v>
      </c>
      <c r="G137" s="494">
        <v>2194</v>
      </c>
      <c r="H137" s="494">
        <v>1364</v>
      </c>
      <c r="I137" s="66">
        <v>691</v>
      </c>
      <c r="J137" s="66">
        <v>399</v>
      </c>
      <c r="K137" s="66">
        <v>894</v>
      </c>
      <c r="L137" s="553">
        <f>SUM(Table8[[#This Row],[A]:[G]])</f>
        <v>6122</v>
      </c>
      <c r="M137" s="545">
        <f>VLOOKUP(A137,Table2[],MATCH(B137,Table2[#Headers],0), 0 )</f>
        <v>17809</v>
      </c>
      <c r="N137" s="546">
        <f>VLOOKUP(A137,Table2[], 8, 0 )+SUM(Table8[[#This Row],[Residence Total]]/Table8[[#This Row],[BER Total]])</f>
        <v>2.9215931822729204</v>
      </c>
      <c r="O137" s="547">
        <f t="shared" si="15"/>
        <v>17885.993461874819</v>
      </c>
      <c r="R137" s="531" t="s">
        <v>470</v>
      </c>
      <c r="S137" s="516">
        <v>39853</v>
      </c>
      <c r="T137" s="539">
        <v>11693</v>
      </c>
      <c r="U137" s="443">
        <v>3861</v>
      </c>
      <c r="V137" s="539">
        <v>1631</v>
      </c>
      <c r="W137" s="527">
        <v>479</v>
      </c>
      <c r="X137" s="527">
        <v>24</v>
      </c>
      <c r="Y137" s="443">
        <v>200</v>
      </c>
      <c r="Z137" s="516">
        <v>764</v>
      </c>
      <c r="AB137" s="441" t="s">
        <v>470</v>
      </c>
      <c r="AC137" s="441">
        <f t="shared" si="16"/>
        <v>39853</v>
      </c>
      <c r="AD137" s="441" cm="1">
        <f t="array" ref="AD137">SUM((T137:U137)/AG137)*AG137</f>
        <v>15554.000000000002</v>
      </c>
      <c r="AE137" s="441" cm="1">
        <f t="array" ref="AE137">SUM((V137:Y137)/AG137)*AG137</f>
        <v>2334</v>
      </c>
      <c r="AF137" s="441">
        <f t="shared" si="17"/>
        <v>764</v>
      </c>
      <c r="AG137" s="441">
        <f t="shared" si="18"/>
        <v>58505</v>
      </c>
      <c r="AH137" s="542">
        <v>83931</v>
      </c>
      <c r="AI137" s="560">
        <f>Table2[[#This Row],[Not Stated]]/Table2[[#This Row],[Total Residence]]</f>
        <v>1.3058712930518759E-2</v>
      </c>
    </row>
    <row r="138" spans="1:35">
      <c r="A138" s="496" t="s">
        <v>484</v>
      </c>
      <c r="B138" s="496" t="s">
        <v>429</v>
      </c>
      <c r="C138" s="66">
        <v>9</v>
      </c>
      <c r="D138" s="66">
        <v>8</v>
      </c>
      <c r="E138" s="66">
        <v>44</v>
      </c>
      <c r="F138" s="66">
        <v>116</v>
      </c>
      <c r="G138" s="494">
        <v>495</v>
      </c>
      <c r="H138" s="66">
        <v>647</v>
      </c>
      <c r="I138" s="66">
        <v>431</v>
      </c>
      <c r="J138" s="66">
        <v>74</v>
      </c>
      <c r="K138" s="66">
        <v>50</v>
      </c>
      <c r="L138" s="553">
        <f>SUM(Table8[[#This Row],[A]:[G]])</f>
        <v>1874</v>
      </c>
      <c r="M138" s="545">
        <f>VLOOKUP(A138,Table2[],MATCH(B138,Table2[#Headers],0), 0 )</f>
        <v>1626</v>
      </c>
      <c r="N138" s="546">
        <f>VLOOKUP(A138,Table2[], 8, 0 )+SUM(Table8[[#This Row],[Residence Total]]/Table8[[#This Row],[BER Total]])</f>
        <v>0.87785163027573332</v>
      </c>
      <c r="O138" s="547">
        <f t="shared" si="15"/>
        <v>1645.0939551367242</v>
      </c>
      <c r="R138" s="530" t="s">
        <v>485</v>
      </c>
      <c r="S138" s="515">
        <v>13858</v>
      </c>
      <c r="T138" s="538">
        <v>4213</v>
      </c>
      <c r="U138" s="442">
        <v>2285</v>
      </c>
      <c r="V138" s="538">
        <v>686</v>
      </c>
      <c r="W138" s="526">
        <v>217</v>
      </c>
      <c r="X138" s="526">
        <v>23</v>
      </c>
      <c r="Y138" s="442">
        <v>77</v>
      </c>
      <c r="Z138" s="515">
        <v>330</v>
      </c>
      <c r="AB138" s="511" t="s">
        <v>485</v>
      </c>
      <c r="AC138" s="511">
        <f t="shared" si="16"/>
        <v>13858</v>
      </c>
      <c r="AD138" s="511" cm="1">
        <f t="array" ref="AD138">SUM((T138:U138)/AG138)*AG138</f>
        <v>6497.9999999999991</v>
      </c>
      <c r="AE138" s="511" cm="1">
        <f t="array" ref="AE138">SUM((V138:Y138)/AG138)*AG138</f>
        <v>1003</v>
      </c>
      <c r="AF138" s="511">
        <f t="shared" si="17"/>
        <v>330</v>
      </c>
      <c r="AG138" s="511">
        <f t="shared" si="18"/>
        <v>21689</v>
      </c>
      <c r="AH138" s="544">
        <v>25311</v>
      </c>
      <c r="AI138" s="561">
        <f>Table2[[#This Row],[Not Stated]]/Table2[[#This Row],[Total Residence]]</f>
        <v>1.5215085988288994E-2</v>
      </c>
    </row>
    <row r="139" spans="1:35" ht="15.75" thickBot="1">
      <c r="A139" s="496" t="s">
        <v>484</v>
      </c>
      <c r="B139" s="496" t="s">
        <v>104</v>
      </c>
      <c r="C139" s="66">
        <v>88</v>
      </c>
      <c r="D139" s="66">
        <v>77</v>
      </c>
      <c r="E139" s="66">
        <v>81</v>
      </c>
      <c r="F139" s="66">
        <v>410</v>
      </c>
      <c r="G139" s="494">
        <v>2317</v>
      </c>
      <c r="H139" s="494">
        <v>1408</v>
      </c>
      <c r="I139" s="66">
        <v>761</v>
      </c>
      <c r="J139" s="66">
        <v>318</v>
      </c>
      <c r="K139" s="66">
        <v>386</v>
      </c>
      <c r="L139" s="553">
        <f>SUM(Table8[[#This Row],[A]:[G]])</f>
        <v>5846</v>
      </c>
      <c r="M139" s="545">
        <f>VLOOKUP(A139,Table2[],MATCH(B139,Table2[#Headers],0), 0 )</f>
        <v>8728</v>
      </c>
      <c r="N139" s="546">
        <f>VLOOKUP(A139,Table2[], 8, 0 )+SUM(Table8[[#This Row],[Residence Total]]/Table8[[#This Row],[BER Total]])</f>
        <v>1.5031755343508362</v>
      </c>
      <c r="O139" s="547">
        <f t="shared" si="15"/>
        <v>8787.564173814988</v>
      </c>
      <c r="R139" s="532" t="s">
        <v>440</v>
      </c>
      <c r="S139" s="431">
        <f t="shared" ref="S139:Z139" si="19">SUM(S113:S138)</f>
        <v>715133</v>
      </c>
      <c r="T139" s="517">
        <f t="shared" si="19"/>
        <v>471948</v>
      </c>
      <c r="U139" s="519">
        <f t="shared" si="19"/>
        <v>284569</v>
      </c>
      <c r="V139" s="517">
        <f t="shared" si="19"/>
        <v>172096</v>
      </c>
      <c r="W139" s="518">
        <f t="shared" si="19"/>
        <v>28783</v>
      </c>
      <c r="X139" s="518">
        <f t="shared" si="19"/>
        <v>3266</v>
      </c>
      <c r="Y139" s="519">
        <f t="shared" si="19"/>
        <v>4624</v>
      </c>
      <c r="Z139" s="431">
        <f t="shared" si="19"/>
        <v>21870</v>
      </c>
      <c r="AB139" s="509"/>
      <c r="AC139" s="510"/>
      <c r="AD139" s="510"/>
      <c r="AE139" s="510"/>
      <c r="AF139" s="510"/>
      <c r="AG139" s="431">
        <f>SUM(AG113:AG138)</f>
        <v>1702289</v>
      </c>
      <c r="AH139" s="558">
        <v>2003645</v>
      </c>
    </row>
    <row r="140" spans="1:35">
      <c r="A140" s="496" t="s">
        <v>484</v>
      </c>
      <c r="B140" s="496" t="s">
        <v>106</v>
      </c>
      <c r="C140" s="66">
        <v>133</v>
      </c>
      <c r="D140" s="66">
        <v>67</v>
      </c>
      <c r="E140" s="66">
        <v>112</v>
      </c>
      <c r="F140" s="66">
        <v>377</v>
      </c>
      <c r="G140" s="494">
        <v>1749</v>
      </c>
      <c r="H140" s="494">
        <v>1256</v>
      </c>
      <c r="I140" s="66">
        <v>620</v>
      </c>
      <c r="J140" s="66">
        <v>380</v>
      </c>
      <c r="K140" s="66">
        <v>627</v>
      </c>
      <c r="L140" s="553">
        <f>SUM(Table8[[#This Row],[A]:[G]])</f>
        <v>5321</v>
      </c>
      <c r="M140" s="545">
        <f>VLOOKUP(A140,Table2[],MATCH(B140,Table2[#Headers],0), 0 )</f>
        <v>14223.999999999998</v>
      </c>
      <c r="N140" s="546">
        <f>VLOOKUP(A140,Table2[], 8, 0 )+SUM(Table8[[#This Row],[Residence Total]]/Table8[[#This Row],[BER Total]])</f>
        <v>2.6833706095642174</v>
      </c>
      <c r="O140" s="547">
        <f t="shared" si="15"/>
        <v>14278.215013491201</v>
      </c>
      <c r="Y140" t="s">
        <v>100</v>
      </c>
      <c r="Z140" t="s">
        <v>100</v>
      </c>
      <c r="AA140" t="s">
        <v>100</v>
      </c>
    </row>
    <row r="141" spans="1:35">
      <c r="A141" s="496" t="s">
        <v>479</v>
      </c>
      <c r="B141" s="496" t="s">
        <v>429</v>
      </c>
      <c r="C141" s="66">
        <v>2</v>
      </c>
      <c r="D141" s="66">
        <v>9</v>
      </c>
      <c r="E141" s="66">
        <v>10</v>
      </c>
      <c r="F141" s="66">
        <v>39</v>
      </c>
      <c r="G141" s="66">
        <v>252</v>
      </c>
      <c r="H141" s="66">
        <v>432</v>
      </c>
      <c r="I141" s="66">
        <v>244</v>
      </c>
      <c r="J141" s="66">
        <v>101</v>
      </c>
      <c r="K141" s="66">
        <v>166</v>
      </c>
      <c r="L141" s="553">
        <f>SUM(Table8[[#This Row],[A]:[G]])</f>
        <v>1255</v>
      </c>
      <c r="M141" s="545">
        <f>VLOOKUP(A141,Table2[],MATCH(B141,Table2[#Headers],0), 0 )</f>
        <v>2333</v>
      </c>
      <c r="N141" s="546">
        <f>VLOOKUP(A141,Table2[], 8, 0 )+SUM(Table8[[#This Row],[Residence Total]]/Table8[[#This Row],[BER Total]])</f>
        <v>1.872696514031599</v>
      </c>
      <c r="O141" s="547">
        <f t="shared" si="15"/>
        <v>2350.2341251096568</v>
      </c>
    </row>
    <row r="142" spans="1:35">
      <c r="A142" s="496" t="s">
        <v>479</v>
      </c>
      <c r="B142" s="496" t="s">
        <v>104</v>
      </c>
      <c r="C142" s="66">
        <v>120</v>
      </c>
      <c r="D142" s="66">
        <v>122</v>
      </c>
      <c r="E142" s="66">
        <v>172</v>
      </c>
      <c r="F142" s="66">
        <v>638</v>
      </c>
      <c r="G142" s="494">
        <v>4905</v>
      </c>
      <c r="H142" s="494">
        <v>3232</v>
      </c>
      <c r="I142" s="494">
        <v>1819</v>
      </c>
      <c r="J142" s="66">
        <v>878</v>
      </c>
      <c r="K142" s="494">
        <v>1093</v>
      </c>
      <c r="L142" s="553">
        <f>SUM(Table8[[#This Row],[A]:[G]])</f>
        <v>12979</v>
      </c>
      <c r="M142" s="545">
        <f>VLOOKUP(A142,Table2[],MATCH(B142,Table2[#Headers],0), 0 )</f>
        <v>21724.999999999996</v>
      </c>
      <c r="N142" s="546">
        <f>VLOOKUP(A142,Table2[], 8, 0 )+SUM(Table8[[#This Row],[Residence Total]]/Table8[[#This Row],[BER Total]])</f>
        <v>1.6875901408495444</v>
      </c>
      <c r="O142" s="547">
        <f t="shared" ref="O142:O155" si="20">L142*N142</f>
        <v>21903.232438086237</v>
      </c>
    </row>
    <row r="143" spans="1:35">
      <c r="A143" s="496" t="s">
        <v>479</v>
      </c>
      <c r="B143" s="496" t="s">
        <v>106</v>
      </c>
      <c r="C143" s="66">
        <v>233</v>
      </c>
      <c r="D143" s="66">
        <v>143</v>
      </c>
      <c r="E143" s="66">
        <v>273</v>
      </c>
      <c r="F143" s="66">
        <v>776</v>
      </c>
      <c r="G143" s="494">
        <v>4390</v>
      </c>
      <c r="H143" s="494">
        <v>3207</v>
      </c>
      <c r="I143" s="494">
        <v>1576</v>
      </c>
      <c r="J143" s="66">
        <v>869</v>
      </c>
      <c r="K143" s="494">
        <v>1498</v>
      </c>
      <c r="L143" s="553">
        <f>SUM(Table8[[#This Row],[A]:[G]])</f>
        <v>12965</v>
      </c>
      <c r="M143" s="545">
        <f>VLOOKUP(A143,Table2[],MATCH(B143,Table2[#Headers],0), 0 )</f>
        <v>34404</v>
      </c>
      <c r="N143" s="546">
        <f>VLOOKUP(A143,Table2[], 8, 0 )+SUM(Table8[[#This Row],[Residence Total]]/Table8[[#This Row],[BER Total]])</f>
        <v>2.6673382325412853</v>
      </c>
      <c r="O143" s="547">
        <f t="shared" si="20"/>
        <v>34582.040184897764</v>
      </c>
    </row>
    <row r="144" spans="1:35">
      <c r="A144" s="496" t="s">
        <v>480</v>
      </c>
      <c r="B144" s="496" t="s">
        <v>429</v>
      </c>
      <c r="C144" s="66">
        <v>75</v>
      </c>
      <c r="D144" s="66">
        <v>16</v>
      </c>
      <c r="E144" s="66">
        <v>38</v>
      </c>
      <c r="F144" s="66">
        <v>120</v>
      </c>
      <c r="G144" s="494">
        <v>836</v>
      </c>
      <c r="H144" s="66">
        <v>860</v>
      </c>
      <c r="I144" s="66">
        <v>458</v>
      </c>
      <c r="J144" s="66">
        <v>125</v>
      </c>
      <c r="K144" s="66">
        <v>151</v>
      </c>
      <c r="L144" s="553">
        <f>SUM(Table8[[#This Row],[A]:[G]])</f>
        <v>2679</v>
      </c>
      <c r="M144" s="545">
        <f>VLOOKUP(A144,Table2[],MATCH(B144,Table2[#Headers],0), 0 )</f>
        <v>3095.9999999999995</v>
      </c>
      <c r="N144" s="546">
        <f>VLOOKUP(A144,Table2[], 8, 0 )+SUM(Table8[[#This Row],[Residence Total]]/Table8[[#This Row],[BER Total]])</f>
        <v>1.1691571273783912</v>
      </c>
      <c r="O144" s="547">
        <f t="shared" si="20"/>
        <v>3132.1719442467102</v>
      </c>
    </row>
    <row r="145" spans="1:29">
      <c r="A145" s="496" t="s">
        <v>480</v>
      </c>
      <c r="B145" s="496" t="s">
        <v>104</v>
      </c>
      <c r="C145" s="66">
        <v>659</v>
      </c>
      <c r="D145" s="66">
        <v>149</v>
      </c>
      <c r="E145" s="66">
        <v>219</v>
      </c>
      <c r="F145" s="66">
        <v>685</v>
      </c>
      <c r="G145" s="494">
        <v>4857</v>
      </c>
      <c r="H145" s="494">
        <v>3147</v>
      </c>
      <c r="I145" s="494">
        <v>1184</v>
      </c>
      <c r="J145" s="66">
        <v>523</v>
      </c>
      <c r="K145" s="66">
        <v>592</v>
      </c>
      <c r="L145" s="553">
        <f>SUM(Table8[[#This Row],[A]:[G]])</f>
        <v>12015</v>
      </c>
      <c r="M145" s="545">
        <f>VLOOKUP(A145,Table2[],MATCH(B145,Table2[#Headers],0), 0 )</f>
        <v>21083</v>
      </c>
      <c r="N145" s="546">
        <f>VLOOKUP(A145,Table2[], 8, 0 )+SUM(Table8[[#This Row],[Residence Total]]/Table8[[#This Row],[BER Total]])</f>
        <v>1.768225294782052</v>
      </c>
      <c r="O145" s="547">
        <f t="shared" si="20"/>
        <v>21245.226916806354</v>
      </c>
      <c r="T145" s="66" t="s">
        <v>496</v>
      </c>
      <c r="U145" s="66" t="s">
        <v>497</v>
      </c>
      <c r="V145" s="66" t="s">
        <v>498</v>
      </c>
      <c r="W145" s="66" t="s">
        <v>499</v>
      </c>
      <c r="X145" s="66" t="s">
        <v>500</v>
      </c>
      <c r="Y145" s="66" t="s">
        <v>501</v>
      </c>
      <c r="Z145" s="66" t="s">
        <v>502</v>
      </c>
      <c r="AA145" s="66" t="s">
        <v>503</v>
      </c>
      <c r="AB145" s="840" t="s">
        <v>504</v>
      </c>
      <c r="AC145" s="66" t="s">
        <v>505</v>
      </c>
    </row>
    <row r="146" spans="1:29">
      <c r="A146" s="496" t="s">
        <v>480</v>
      </c>
      <c r="B146" s="496" t="s">
        <v>106</v>
      </c>
      <c r="C146" s="66">
        <v>280</v>
      </c>
      <c r="D146" s="66">
        <v>99</v>
      </c>
      <c r="E146" s="66">
        <v>190</v>
      </c>
      <c r="F146" s="66">
        <v>558</v>
      </c>
      <c r="G146" s="494">
        <v>2785</v>
      </c>
      <c r="H146" s="494">
        <v>1775</v>
      </c>
      <c r="I146" s="66">
        <v>588</v>
      </c>
      <c r="J146" s="66">
        <v>318</v>
      </c>
      <c r="K146" s="66">
        <v>421</v>
      </c>
      <c r="L146" s="553">
        <f>SUM(Table8[[#This Row],[A]:[G]])</f>
        <v>7014</v>
      </c>
      <c r="M146" s="545">
        <f>VLOOKUP(A146,Table2[],MATCH(B146,Table2[#Headers],0), 0 )</f>
        <v>18782</v>
      </c>
      <c r="N146" s="546">
        <f>VLOOKUP(A146,Table2[], 8, 0 )+SUM(Table8[[#This Row],[Residence Total]]/Table8[[#This Row],[BER Total]])</f>
        <v>2.6912893147713226</v>
      </c>
      <c r="O146" s="547">
        <f t="shared" si="20"/>
        <v>18876.703253806056</v>
      </c>
      <c r="T146" s="66" t="s">
        <v>506</v>
      </c>
      <c r="U146" s="66">
        <v>2</v>
      </c>
      <c r="V146" s="494">
        <v>10761</v>
      </c>
      <c r="W146" s="494">
        <v>7149</v>
      </c>
      <c r="X146" s="494">
        <v>10297</v>
      </c>
      <c r="Y146" s="494">
        <v>8385</v>
      </c>
      <c r="Z146" s="494">
        <v>1291</v>
      </c>
      <c r="AA146" s="494">
        <v>37885</v>
      </c>
      <c r="AB146" s="494">
        <v>86043</v>
      </c>
      <c r="AC146" s="494">
        <v>32930</v>
      </c>
    </row>
    <row r="147" spans="1:29">
      <c r="A147" s="496" t="s">
        <v>472</v>
      </c>
      <c r="B147" s="496" t="s">
        <v>429</v>
      </c>
      <c r="C147" s="66">
        <v>3</v>
      </c>
      <c r="D147" s="66">
        <v>29</v>
      </c>
      <c r="E147" s="66">
        <v>126</v>
      </c>
      <c r="F147" s="66">
        <v>179</v>
      </c>
      <c r="G147" s="494">
        <v>659</v>
      </c>
      <c r="H147" s="66">
        <v>660</v>
      </c>
      <c r="I147" s="66">
        <v>301</v>
      </c>
      <c r="J147" s="66">
        <v>115</v>
      </c>
      <c r="K147" s="66">
        <v>90</v>
      </c>
      <c r="L147" s="553">
        <f>SUM(Table8[[#This Row],[A]:[G]])</f>
        <v>2162</v>
      </c>
      <c r="M147" s="545">
        <f>VLOOKUP(A147,Table2[],MATCH(B147,Table2[#Headers],0), 0 )</f>
        <v>2847</v>
      </c>
      <c r="N147" s="546">
        <f>VLOOKUP(A147,Table2[], 8, 0 )+SUM(Table8[[#This Row],[Residence Total]]/Table8[[#This Row],[BER Total]])</f>
        <v>1.3288439325402175</v>
      </c>
      <c r="O147" s="547">
        <f t="shared" si="20"/>
        <v>2872.9605821519503</v>
      </c>
      <c r="T147" s="66" t="s">
        <v>507</v>
      </c>
      <c r="U147" s="66">
        <v>8</v>
      </c>
      <c r="V147" s="494">
        <v>19963</v>
      </c>
      <c r="W147" s="494">
        <v>6212</v>
      </c>
      <c r="X147" s="494">
        <v>15205</v>
      </c>
      <c r="Y147" s="494">
        <v>9647</v>
      </c>
      <c r="Z147" s="494">
        <v>2488</v>
      </c>
      <c r="AA147" s="494">
        <v>53523</v>
      </c>
      <c r="AB147" s="494">
        <v>152545</v>
      </c>
      <c r="AC147" s="494">
        <v>77362</v>
      </c>
    </row>
    <row r="148" spans="1:29">
      <c r="A148" s="496" t="s">
        <v>472</v>
      </c>
      <c r="B148" s="496" t="s">
        <v>104</v>
      </c>
      <c r="C148" s="66">
        <v>65</v>
      </c>
      <c r="D148" s="66">
        <v>17</v>
      </c>
      <c r="E148" s="66">
        <v>125</v>
      </c>
      <c r="F148" s="66">
        <v>554</v>
      </c>
      <c r="G148" s="494">
        <v>2930</v>
      </c>
      <c r="H148" s="494">
        <v>1637</v>
      </c>
      <c r="I148" s="66">
        <v>808</v>
      </c>
      <c r="J148" s="66">
        <v>365</v>
      </c>
      <c r="K148" s="66">
        <v>511</v>
      </c>
      <c r="L148" s="553">
        <f>SUM(Table8[[#This Row],[A]:[G]])</f>
        <v>7012</v>
      </c>
      <c r="M148" s="545">
        <f>VLOOKUP(A148,Table2[],MATCH(B148,Table2[#Headers],0), 0 )</f>
        <v>12102.000000000002</v>
      </c>
      <c r="N148" s="546">
        <f>VLOOKUP(A148,Table2[], 8, 0 )+SUM(Table8[[#This Row],[Residence Total]]/Table8[[#This Row],[BER Total]])</f>
        <v>1.7379061296037426</v>
      </c>
      <c r="O148" s="547">
        <f t="shared" si="20"/>
        <v>12186.197780781444</v>
      </c>
      <c r="T148" s="66" t="s">
        <v>508</v>
      </c>
      <c r="V148" s="494">
        <v>26043</v>
      </c>
      <c r="W148" s="494">
        <v>12568</v>
      </c>
      <c r="X148" s="494">
        <v>18118</v>
      </c>
      <c r="Y148" s="494">
        <v>21355</v>
      </c>
      <c r="Z148" s="494">
        <v>2912</v>
      </c>
      <c r="AA148" s="494">
        <v>80996</v>
      </c>
      <c r="AB148" s="494">
        <v>198987</v>
      </c>
      <c r="AC148" s="494">
        <v>76514</v>
      </c>
    </row>
    <row r="149" spans="1:29">
      <c r="A149" s="496" t="s">
        <v>472</v>
      </c>
      <c r="B149" s="496" t="s">
        <v>106</v>
      </c>
      <c r="C149" s="66">
        <v>108</v>
      </c>
      <c r="D149" s="66">
        <v>49</v>
      </c>
      <c r="E149" s="66">
        <v>121</v>
      </c>
      <c r="F149" s="66">
        <v>397</v>
      </c>
      <c r="G149" s="494">
        <v>2092</v>
      </c>
      <c r="H149" s="494">
        <v>1359</v>
      </c>
      <c r="I149" s="66">
        <v>625</v>
      </c>
      <c r="J149" s="66">
        <v>354</v>
      </c>
      <c r="K149" s="66">
        <v>719</v>
      </c>
      <c r="L149" s="553">
        <f>SUM(Table8[[#This Row],[A]:[G]])</f>
        <v>5824</v>
      </c>
      <c r="M149" s="545">
        <f>VLOOKUP(A149,Table2[],MATCH(B149,Table2[#Headers],0), 0 )</f>
        <v>16482</v>
      </c>
      <c r="N149" s="546">
        <f>VLOOKUP(A149,Table2[], 8, 0 )+SUM(Table8[[#This Row],[Residence Total]]/Table8[[#This Row],[BER Total]])</f>
        <v>2.8420214060842501</v>
      </c>
      <c r="O149" s="547">
        <f t="shared" si="20"/>
        <v>16551.932669034672</v>
      </c>
      <c r="T149" s="66" t="s">
        <v>509</v>
      </c>
      <c r="U149" s="66">
        <v>45</v>
      </c>
      <c r="V149" s="494">
        <v>46800</v>
      </c>
      <c r="W149" s="494">
        <v>15682</v>
      </c>
      <c r="X149" s="494">
        <v>37214</v>
      </c>
      <c r="Y149" s="494">
        <v>18029</v>
      </c>
      <c r="Z149" s="494">
        <v>6957</v>
      </c>
      <c r="AA149" s="494">
        <v>124727</v>
      </c>
      <c r="AB149" s="494">
        <v>345133</v>
      </c>
      <c r="AC149" s="494">
        <v>145419</v>
      </c>
    </row>
    <row r="150" spans="1:29">
      <c r="A150" s="496" t="s">
        <v>473</v>
      </c>
      <c r="B150" s="496" t="s">
        <v>429</v>
      </c>
      <c r="C150" s="66">
        <v>8</v>
      </c>
      <c r="D150" s="66">
        <v>21</v>
      </c>
      <c r="E150" s="66">
        <v>41</v>
      </c>
      <c r="F150" s="66">
        <v>111</v>
      </c>
      <c r="G150" s="494">
        <v>598</v>
      </c>
      <c r="H150" s="66">
        <v>654</v>
      </c>
      <c r="I150" s="66">
        <v>435</v>
      </c>
      <c r="J150" s="66">
        <v>132</v>
      </c>
      <c r="K150" s="66">
        <v>156</v>
      </c>
      <c r="L150" s="553">
        <f>SUM(Table8[[#This Row],[A]:[G]])</f>
        <v>2156</v>
      </c>
      <c r="M150" s="545">
        <f>VLOOKUP(A150,Table2[],MATCH(B150,Table2[#Headers],0), 0 )</f>
        <v>2627</v>
      </c>
      <c r="N150" s="546">
        <f>VLOOKUP(A150,Table2[], 8, 0 )+SUM(Table8[[#This Row],[Residence Total]]/Table8[[#This Row],[BER Total]])</f>
        <v>1.2300462521560982</v>
      </c>
      <c r="O150" s="547">
        <f t="shared" si="20"/>
        <v>2651.9797196485479</v>
      </c>
      <c r="T150" s="66" t="s">
        <v>510</v>
      </c>
      <c r="U150" s="66">
        <v>98</v>
      </c>
      <c r="V150" s="494">
        <v>40536</v>
      </c>
      <c r="W150" s="494">
        <v>17489</v>
      </c>
      <c r="X150" s="494">
        <v>23660</v>
      </c>
      <c r="Y150" s="494">
        <v>27577</v>
      </c>
      <c r="Z150" s="494">
        <v>4211</v>
      </c>
      <c r="AA150" s="494">
        <v>113571</v>
      </c>
      <c r="AB150" s="494">
        <v>277141</v>
      </c>
      <c r="AC150" s="494">
        <v>102153</v>
      </c>
    </row>
    <row r="151" spans="1:29">
      <c r="A151" s="496" t="s">
        <v>473</v>
      </c>
      <c r="B151" s="496" t="s">
        <v>104</v>
      </c>
      <c r="C151" s="66">
        <v>570</v>
      </c>
      <c r="D151" s="66">
        <v>86</v>
      </c>
      <c r="E151" s="66">
        <v>93</v>
      </c>
      <c r="F151" s="66">
        <v>352</v>
      </c>
      <c r="G151" s="494">
        <v>4191</v>
      </c>
      <c r="H151" s="494">
        <v>3031</v>
      </c>
      <c r="I151" s="494">
        <v>1326</v>
      </c>
      <c r="J151" s="66">
        <v>541</v>
      </c>
      <c r="K151" s="66">
        <v>642</v>
      </c>
      <c r="L151" s="553">
        <f>SUM(Table8[[#This Row],[A]:[G]])</f>
        <v>10832</v>
      </c>
      <c r="M151" s="545">
        <f>VLOOKUP(A151,Table2[],MATCH(B151,Table2[#Headers],0), 0 )</f>
        <v>17899</v>
      </c>
      <c r="N151" s="546">
        <f>VLOOKUP(A151,Table2[], 8, 0 )+SUM(Table8[[#This Row],[Residence Total]]/Table8[[#This Row],[BER Total]])</f>
        <v>1.6640049000707495</v>
      </c>
      <c r="O151" s="547">
        <f t="shared" si="20"/>
        <v>18024.501077566358</v>
      </c>
      <c r="T151" s="66" t="s">
        <v>511</v>
      </c>
      <c r="U151" s="66">
        <v>130</v>
      </c>
      <c r="V151" s="494">
        <v>22049</v>
      </c>
      <c r="W151" s="494">
        <v>20400</v>
      </c>
      <c r="X151" s="494">
        <v>40935</v>
      </c>
      <c r="Y151" s="494">
        <v>16926</v>
      </c>
      <c r="Z151" s="494">
        <v>2865</v>
      </c>
      <c r="AA151" s="494">
        <v>103305</v>
      </c>
      <c r="AB151" s="494">
        <v>205387</v>
      </c>
      <c r="AC151" s="494">
        <v>55135</v>
      </c>
    </row>
    <row r="152" spans="1:29">
      <c r="A152" s="496" t="s">
        <v>473</v>
      </c>
      <c r="B152" s="496" t="s">
        <v>106</v>
      </c>
      <c r="C152" s="66">
        <v>411</v>
      </c>
      <c r="D152" s="66">
        <v>123</v>
      </c>
      <c r="E152" s="66">
        <v>347</v>
      </c>
      <c r="F152" s="66">
        <v>946</v>
      </c>
      <c r="G152" s="494">
        <v>5784</v>
      </c>
      <c r="H152" s="494">
        <v>3598</v>
      </c>
      <c r="I152" s="494">
        <v>1419</v>
      </c>
      <c r="J152" s="66">
        <v>622</v>
      </c>
      <c r="K152" s="494">
        <v>1016</v>
      </c>
      <c r="L152" s="553">
        <f>SUM(Table8[[#This Row],[A]:[G]])</f>
        <v>14266</v>
      </c>
      <c r="M152" s="545">
        <f>VLOOKUP(A152,Table2[],MATCH(B152,Table2[#Headers],0), 0 )</f>
        <v>33134</v>
      </c>
      <c r="N152" s="546">
        <f>VLOOKUP(A152,Table2[], 8, 0 )+SUM(Table8[[#This Row],[Residence Total]]/Table8[[#This Row],[BER Total]])</f>
        <v>2.3341713083700371</v>
      </c>
      <c r="O152" s="547">
        <f t="shared" si="20"/>
        <v>33299.287885206948</v>
      </c>
      <c r="T152" s="66" t="s">
        <v>512</v>
      </c>
      <c r="U152" s="66">
        <v>75</v>
      </c>
      <c r="V152" s="494">
        <v>12945</v>
      </c>
      <c r="W152" s="494">
        <v>4820</v>
      </c>
      <c r="X152" s="494">
        <v>9558</v>
      </c>
      <c r="Y152" s="494">
        <v>12512</v>
      </c>
      <c r="Z152" s="494">
        <v>1642</v>
      </c>
      <c r="AA152" s="494">
        <v>41552</v>
      </c>
      <c r="AB152" s="494">
        <v>82866</v>
      </c>
      <c r="AC152" s="494">
        <v>31576</v>
      </c>
    </row>
    <row r="153" spans="1:29">
      <c r="A153" s="496" t="s">
        <v>475</v>
      </c>
      <c r="B153" s="496" t="s">
        <v>429</v>
      </c>
      <c r="C153" s="66">
        <v>104</v>
      </c>
      <c r="D153" s="66">
        <v>59</v>
      </c>
      <c r="E153" s="66">
        <v>154</v>
      </c>
      <c r="F153" s="66">
        <v>291</v>
      </c>
      <c r="G153" s="494">
        <v>837</v>
      </c>
      <c r="H153" s="66">
        <v>515</v>
      </c>
      <c r="I153" s="66">
        <v>228</v>
      </c>
      <c r="J153" s="66">
        <v>82</v>
      </c>
      <c r="K153" s="66">
        <v>141</v>
      </c>
      <c r="L153" s="553">
        <f>SUM(Table8[[#This Row],[A]:[G]])</f>
        <v>2411</v>
      </c>
      <c r="M153" s="545">
        <f>VLOOKUP(A153,Table2[],MATCH(B153,Table2[#Headers],0), 0 )</f>
        <v>4442</v>
      </c>
      <c r="N153" s="546">
        <f>VLOOKUP(A153,Table2[], 8, 0 )+SUM(Table8[[#This Row],[Residence Total]]/Table8[[#This Row],[BER Total]])</f>
        <v>1.8536670164949902</v>
      </c>
      <c r="O153" s="547">
        <f t="shared" si="20"/>
        <v>4469.191176769421</v>
      </c>
      <c r="T153" s="66" t="s">
        <v>513</v>
      </c>
      <c r="V153" s="494">
        <v>14403</v>
      </c>
      <c r="W153" s="494">
        <v>7132</v>
      </c>
      <c r="X153" s="494">
        <v>16218</v>
      </c>
      <c r="Y153" s="494">
        <v>11188</v>
      </c>
      <c r="Z153" s="494">
        <v>857</v>
      </c>
      <c r="AA153" s="494">
        <v>49798</v>
      </c>
      <c r="AB153" s="494">
        <v>105288</v>
      </c>
      <c r="AC153" s="494">
        <v>40882</v>
      </c>
    </row>
    <row r="154" spans="1:29">
      <c r="A154" s="496" t="s">
        <v>475</v>
      </c>
      <c r="B154" s="496" t="s">
        <v>104</v>
      </c>
      <c r="C154" s="494">
        <v>1704</v>
      </c>
      <c r="D154" s="66">
        <v>109</v>
      </c>
      <c r="E154" s="66">
        <v>178</v>
      </c>
      <c r="F154" s="66">
        <v>724</v>
      </c>
      <c r="G154" s="494">
        <v>4596</v>
      </c>
      <c r="H154" s="494">
        <v>2801</v>
      </c>
      <c r="I154" s="494">
        <v>1506</v>
      </c>
      <c r="J154" s="66">
        <v>606</v>
      </c>
      <c r="K154" s="66">
        <v>663</v>
      </c>
      <c r="L154" s="553">
        <f>SUM(Table8[[#This Row],[A]:[G]])</f>
        <v>12887</v>
      </c>
      <c r="M154" s="545">
        <f>VLOOKUP(A154,Table2[],MATCH(B154,Table2[#Headers],0), 0 )</f>
        <v>22104</v>
      </c>
      <c r="N154" s="546">
        <f>VLOOKUP(A154,Table2[], 8, 0 )+SUM(Table8[[#This Row],[Residence Total]]/Table8[[#This Row],[BER Total]])</f>
        <v>1.7264948515415266</v>
      </c>
      <c r="O154" s="547">
        <f t="shared" si="20"/>
        <v>22249.339151815653</v>
      </c>
      <c r="T154" s="66" t="s">
        <v>514</v>
      </c>
      <c r="V154" s="494">
        <v>18155</v>
      </c>
      <c r="W154" s="494">
        <v>3389</v>
      </c>
      <c r="X154" s="494">
        <v>7847</v>
      </c>
      <c r="Y154" s="494">
        <v>6442</v>
      </c>
      <c r="Z154" s="494">
        <v>1025</v>
      </c>
      <c r="AA154" s="494">
        <v>36858</v>
      </c>
      <c r="AB154" s="494">
        <v>120737</v>
      </c>
      <c r="AC154" s="494">
        <v>55111</v>
      </c>
    </row>
    <row r="155" spans="1:29">
      <c r="A155" s="496" t="s">
        <v>475</v>
      </c>
      <c r="B155" s="496" t="s">
        <v>106</v>
      </c>
      <c r="C155" s="66">
        <v>488</v>
      </c>
      <c r="D155" s="66">
        <v>89</v>
      </c>
      <c r="E155" s="66">
        <v>234</v>
      </c>
      <c r="F155" s="66">
        <v>622</v>
      </c>
      <c r="G155" s="494">
        <v>2901</v>
      </c>
      <c r="H155" s="494">
        <v>2008</v>
      </c>
      <c r="I155" s="66">
        <v>895</v>
      </c>
      <c r="J155" s="66">
        <v>477</v>
      </c>
      <c r="K155" s="66">
        <v>761</v>
      </c>
      <c r="L155" s="553">
        <f>SUM(Table8[[#This Row],[A]:[G]])</f>
        <v>8475</v>
      </c>
      <c r="M155" s="545">
        <f>VLOOKUP(A155,Table2[],MATCH(B155,Table2[#Headers],0), 0 )</f>
        <v>22110</v>
      </c>
      <c r="N155" s="546">
        <f>VLOOKUP(A155,Table2[], 8, 0 )+SUM(Table8[[#This Row],[Residence Total]]/Table8[[#This Row],[BER Total]])</f>
        <v>2.6201275238304693</v>
      </c>
      <c r="O155" s="547">
        <f t="shared" si="20"/>
        <v>22205.580764463226</v>
      </c>
      <c r="T155" s="66" t="s">
        <v>515</v>
      </c>
      <c r="V155" s="494">
        <v>13537</v>
      </c>
      <c r="W155" s="494">
        <v>5778</v>
      </c>
      <c r="X155" s="494">
        <v>9909</v>
      </c>
      <c r="Y155" s="494">
        <v>7559</v>
      </c>
      <c r="Z155" s="494">
        <v>1293</v>
      </c>
      <c r="AA155" s="494">
        <v>38076</v>
      </c>
      <c r="AB155" s="494">
        <v>93824</v>
      </c>
      <c r="AC155" s="494">
        <v>43838</v>
      </c>
    </row>
    <row r="156" spans="1:29" ht="15.75" thickBot="1">
      <c r="A156" s="429" t="s">
        <v>320</v>
      </c>
      <c r="B156" s="497"/>
      <c r="C156" s="548">
        <f>SUBTOTAL(109,Table8[A])</f>
        <v>47214</v>
      </c>
      <c r="D156" s="548">
        <f>SUBTOTAL(109,Table8[B1])</f>
        <v>9968</v>
      </c>
      <c r="E156" s="548">
        <f>SUBTOTAL(109,Table8[B2])</f>
        <v>23599</v>
      </c>
      <c r="F156" s="548">
        <f>SUBTOTAL(109,Table8[B3])</f>
        <v>60821</v>
      </c>
      <c r="G156" s="548">
        <f>SUBTOTAL(109,Table8[C])</f>
        <v>305301</v>
      </c>
      <c r="H156" s="548">
        <f>SUBTOTAL(109,Table8[D])</f>
        <v>188007</v>
      </c>
      <c r="I156" s="548">
        <f>SUBTOTAL(109,Table8[E])</f>
        <v>89391</v>
      </c>
      <c r="J156" s="548">
        <f>SUBTOTAL(109,Table8[F])</f>
        <v>39698</v>
      </c>
      <c r="K156" s="549">
        <f>SUBTOTAL(109,Table8[G])</f>
        <v>51247</v>
      </c>
      <c r="L156" s="554">
        <f>SUM(Table8[BER Total])</f>
        <v>815246</v>
      </c>
      <c r="M156" s="551">
        <f>SUM(M78:M155)</f>
        <v>1680419</v>
      </c>
      <c r="N156" s="566">
        <f>Table8[[#Totals],[Residence Total]]/Table8[[#Totals],[BER Total]]</f>
        <v>2.0612416374934681</v>
      </c>
      <c r="O156" s="552">
        <f>SUM(O78:O155)</f>
        <v>1690913.2753852012</v>
      </c>
      <c r="T156" s="66" t="s">
        <v>516</v>
      </c>
      <c r="U156" s="66">
        <v>47</v>
      </c>
      <c r="V156" s="494">
        <v>16960</v>
      </c>
      <c r="W156" s="494">
        <v>9367</v>
      </c>
      <c r="X156" s="494">
        <v>22496</v>
      </c>
      <c r="Y156" s="494">
        <v>32190</v>
      </c>
      <c r="Z156" s="494">
        <v>3896</v>
      </c>
      <c r="AA156" s="494">
        <v>84956</v>
      </c>
      <c r="AB156" s="494">
        <v>174761</v>
      </c>
      <c r="AC156" s="494">
        <v>65416</v>
      </c>
    </row>
    <row r="157" spans="1:29">
      <c r="Q157" s="66" t="s">
        <v>517</v>
      </c>
      <c r="S157" s="494">
        <v>36098</v>
      </c>
      <c r="T157" s="494">
        <v>11025</v>
      </c>
      <c r="U157" s="494">
        <v>24416</v>
      </c>
      <c r="V157" s="494">
        <v>18692</v>
      </c>
      <c r="W157" s="494">
        <v>6647</v>
      </c>
      <c r="X157" s="494">
        <v>96878</v>
      </c>
      <c r="Y157" s="494">
        <v>263522</v>
      </c>
      <c r="Z157" s="494">
        <v>117361</v>
      </c>
    </row>
    <row r="158" spans="1:29">
      <c r="Q158" s="66" t="s">
        <v>518</v>
      </c>
      <c r="R158" s="66">
        <v>65</v>
      </c>
      <c r="S158" s="494">
        <v>23463</v>
      </c>
      <c r="T158" s="494">
        <v>16751</v>
      </c>
      <c r="U158" s="494">
        <v>29864</v>
      </c>
      <c r="V158" s="494">
        <v>13904</v>
      </c>
      <c r="W158" s="494">
        <v>1903</v>
      </c>
      <c r="X158" s="494">
        <v>85950</v>
      </c>
      <c r="Y158" s="494">
        <v>184879</v>
      </c>
      <c r="Z158" s="494">
        <v>45448</v>
      </c>
    </row>
    <row r="159" spans="1:29">
      <c r="Q159" s="66" t="s">
        <v>519</v>
      </c>
      <c r="R159" s="66">
        <v>14</v>
      </c>
      <c r="S159" s="494">
        <v>9157</v>
      </c>
      <c r="T159" s="494">
        <v>2409</v>
      </c>
      <c r="U159" s="494">
        <v>7181</v>
      </c>
      <c r="V159" s="494">
        <v>8472</v>
      </c>
      <c r="W159" s="494">
        <v>3262</v>
      </c>
      <c r="X159" s="494">
        <v>30495</v>
      </c>
      <c r="Y159" s="494">
        <v>76164</v>
      </c>
      <c r="Z159" s="494">
        <v>30742</v>
      </c>
    </row>
    <row r="160" spans="1:29">
      <c r="Q160" s="66" t="s">
        <v>520</v>
      </c>
      <c r="S160" s="494">
        <v>12706</v>
      </c>
      <c r="T160" s="494">
        <v>2383</v>
      </c>
      <c r="U160" s="494">
        <v>12030</v>
      </c>
      <c r="V160" s="494">
        <v>8981</v>
      </c>
      <c r="W160" s="494">
        <v>2854</v>
      </c>
      <c r="X160" s="494">
        <v>38954</v>
      </c>
      <c r="Y160" s="494">
        <v>85527</v>
      </c>
      <c r="Z160" s="494">
        <v>29619</v>
      </c>
    </row>
    <row r="161" spans="2:26">
      <c r="Q161" s="66" t="s">
        <v>521</v>
      </c>
      <c r="S161" s="494">
        <v>21330</v>
      </c>
      <c r="T161" s="494">
        <v>6579</v>
      </c>
      <c r="U161" s="494">
        <v>14498</v>
      </c>
      <c r="V161" s="494">
        <v>7184</v>
      </c>
      <c r="W161" s="494">
        <v>1574</v>
      </c>
      <c r="X161" s="494">
        <v>51165</v>
      </c>
      <c r="Y161" s="494">
        <v>153260</v>
      </c>
      <c r="Z161" s="494">
        <v>83086</v>
      </c>
    </row>
    <row r="162" spans="2:26">
      <c r="Q162" s="66" t="s">
        <v>522</v>
      </c>
      <c r="R162" s="66">
        <v>18</v>
      </c>
      <c r="S162" s="494">
        <v>17266</v>
      </c>
      <c r="T162" s="494">
        <v>14630</v>
      </c>
      <c r="U162" s="494">
        <v>20208</v>
      </c>
      <c r="V162" s="494">
        <v>18072</v>
      </c>
      <c r="W162" s="494">
        <v>3010</v>
      </c>
      <c r="X162" s="494">
        <v>73204</v>
      </c>
      <c r="Y162" s="494">
        <v>198366</v>
      </c>
      <c r="Z162" s="494">
        <v>91316</v>
      </c>
    </row>
    <row r="163" spans="2:26">
      <c r="D163" s="66" t="s">
        <v>420</v>
      </c>
      <c r="E163" s="66" t="s">
        <v>420</v>
      </c>
      <c r="F163" s="66" t="s">
        <v>420</v>
      </c>
      <c r="G163" s="66" t="s">
        <v>420</v>
      </c>
      <c r="H163" s="66" t="s">
        <v>420</v>
      </c>
      <c r="I163" s="66" t="s">
        <v>420</v>
      </c>
      <c r="J163" s="66" t="s">
        <v>420</v>
      </c>
      <c r="K163" s="66" t="s">
        <v>420</v>
      </c>
      <c r="L163" s="66" t="s">
        <v>420</v>
      </c>
      <c r="Q163" s="66" t="s">
        <v>523</v>
      </c>
      <c r="R163" s="66">
        <v>24</v>
      </c>
      <c r="S163" s="494">
        <v>35956</v>
      </c>
      <c r="T163" s="494">
        <v>10665</v>
      </c>
      <c r="U163" s="494">
        <v>26752</v>
      </c>
      <c r="V163" s="494">
        <v>34073</v>
      </c>
      <c r="W163" s="494">
        <v>6411</v>
      </c>
      <c r="X163" s="494">
        <v>113881</v>
      </c>
      <c r="Y163" s="494">
        <v>254067</v>
      </c>
      <c r="Z163" s="494">
        <v>108117</v>
      </c>
    </row>
    <row r="164" spans="2:26">
      <c r="B164" s="66" t="s">
        <v>524</v>
      </c>
      <c r="C164" s="66" t="s">
        <v>525</v>
      </c>
      <c r="D164" s="66" t="s">
        <v>108</v>
      </c>
      <c r="E164" s="66" t="s">
        <v>110</v>
      </c>
      <c r="F164" s="66" t="s">
        <v>112</v>
      </c>
      <c r="G164" s="66" t="s">
        <v>114</v>
      </c>
      <c r="H164" s="66" t="s">
        <v>116</v>
      </c>
      <c r="I164" s="66" t="s">
        <v>118</v>
      </c>
      <c r="J164" s="66" t="s">
        <v>120</v>
      </c>
      <c r="K164" s="66" t="s">
        <v>122</v>
      </c>
      <c r="L164" s="66" t="s">
        <v>124</v>
      </c>
      <c r="Q164" s="66" t="s">
        <v>526</v>
      </c>
      <c r="R164" s="66">
        <v>242</v>
      </c>
      <c r="S164" s="494">
        <v>16579</v>
      </c>
      <c r="T164" s="494">
        <v>17385</v>
      </c>
      <c r="U164" s="494">
        <v>18773</v>
      </c>
      <c r="V164" s="494">
        <v>12553</v>
      </c>
      <c r="W164" s="494">
        <v>3102</v>
      </c>
      <c r="X164" s="494">
        <v>68634</v>
      </c>
      <c r="Y164" s="494">
        <v>152048</v>
      </c>
      <c r="Z164" s="494">
        <v>58206</v>
      </c>
    </row>
    <row r="165" spans="2:26">
      <c r="B165" s="66" t="s">
        <v>527</v>
      </c>
      <c r="C165" s="66" t="s">
        <v>429</v>
      </c>
      <c r="D165" s="66">
        <v>3</v>
      </c>
      <c r="E165" s="66">
        <v>7</v>
      </c>
      <c r="F165" s="66">
        <v>8</v>
      </c>
      <c r="G165" s="66">
        <v>56</v>
      </c>
      <c r="H165" s="66">
        <v>368</v>
      </c>
      <c r="I165" s="66">
        <v>261</v>
      </c>
      <c r="J165" s="66">
        <v>135</v>
      </c>
      <c r="K165" s="66">
        <v>52</v>
      </c>
      <c r="L165" s="66">
        <v>59</v>
      </c>
      <c r="Q165" s="66" t="s">
        <v>528</v>
      </c>
      <c r="R165" s="66">
        <v>55</v>
      </c>
      <c r="S165" s="494">
        <v>32120</v>
      </c>
      <c r="T165" s="494">
        <v>12631</v>
      </c>
      <c r="U165" s="494">
        <v>22512</v>
      </c>
      <c r="V165" s="494">
        <v>27216</v>
      </c>
      <c r="W165" s="494">
        <v>6144</v>
      </c>
      <c r="X165" s="494">
        <v>100678</v>
      </c>
      <c r="Y165" s="494">
        <v>234587</v>
      </c>
      <c r="Z165" s="494">
        <v>82858</v>
      </c>
    </row>
    <row r="166" spans="2:26">
      <c r="B166" s="66" t="s">
        <v>527</v>
      </c>
      <c r="C166" s="66" t="s">
        <v>104</v>
      </c>
      <c r="D166" s="66">
        <v>284</v>
      </c>
      <c r="E166" s="66">
        <v>40</v>
      </c>
      <c r="F166" s="66">
        <v>146</v>
      </c>
      <c r="G166" s="66">
        <v>407</v>
      </c>
      <c r="H166" s="494">
        <v>2752</v>
      </c>
      <c r="I166" s="494">
        <v>1444</v>
      </c>
      <c r="J166" s="66">
        <v>512</v>
      </c>
      <c r="K166" s="66">
        <v>258</v>
      </c>
      <c r="L166" s="66">
        <v>242</v>
      </c>
      <c r="Q166" s="66" t="s">
        <v>529</v>
      </c>
      <c r="R166" s="66">
        <v>68</v>
      </c>
      <c r="S166" s="494">
        <v>25051</v>
      </c>
      <c r="T166" s="494">
        <v>8954</v>
      </c>
      <c r="U166" s="494">
        <v>15831</v>
      </c>
      <c r="V166" s="494">
        <v>17042</v>
      </c>
      <c r="W166" s="494">
        <v>4850</v>
      </c>
      <c r="X166" s="494">
        <v>71796</v>
      </c>
      <c r="Y166" s="494">
        <v>134269</v>
      </c>
      <c r="Z166" s="494">
        <v>34048</v>
      </c>
    </row>
    <row r="167" spans="2:26">
      <c r="B167" s="66" t="s">
        <v>527</v>
      </c>
      <c r="C167" s="66" t="s">
        <v>106</v>
      </c>
      <c r="D167" s="66">
        <v>131</v>
      </c>
      <c r="E167" s="66">
        <v>49</v>
      </c>
      <c r="F167" s="66">
        <v>93</v>
      </c>
      <c r="G167" s="66">
        <v>291</v>
      </c>
      <c r="H167" s="494">
        <v>1524</v>
      </c>
      <c r="I167" s="494">
        <v>1034</v>
      </c>
      <c r="J167" s="66">
        <v>434</v>
      </c>
      <c r="K167" s="66">
        <v>233</v>
      </c>
      <c r="L167" s="66">
        <v>438</v>
      </c>
      <c r="Q167" s="66" t="s">
        <v>530</v>
      </c>
      <c r="R167" s="66">
        <v>234</v>
      </c>
      <c r="S167" s="494">
        <v>81134</v>
      </c>
      <c r="T167" s="494">
        <v>54591</v>
      </c>
      <c r="U167" s="494">
        <v>71990</v>
      </c>
      <c r="V167" s="494">
        <v>119693</v>
      </c>
      <c r="W167" s="494">
        <v>24076</v>
      </c>
      <c r="X167" s="494">
        <v>351718</v>
      </c>
      <c r="Y167" s="494">
        <v>765130</v>
      </c>
      <c r="Z167" s="494">
        <v>276681</v>
      </c>
    </row>
    <row r="168" spans="2:26">
      <c r="B168" s="66" t="s">
        <v>531</v>
      </c>
      <c r="C168" s="66" t="s">
        <v>429</v>
      </c>
      <c r="D168" s="66">
        <v>3</v>
      </c>
      <c r="E168" s="66">
        <v>2</v>
      </c>
      <c r="F168" s="66">
        <v>30</v>
      </c>
      <c r="G168" s="66">
        <v>63</v>
      </c>
      <c r="H168" s="66">
        <v>261</v>
      </c>
      <c r="I168" s="66">
        <v>272</v>
      </c>
      <c r="J168" s="66">
        <v>136</v>
      </c>
      <c r="K168" s="66">
        <v>50</v>
      </c>
      <c r="L168" s="66">
        <v>60</v>
      </c>
      <c r="Q168" s="66" t="s">
        <v>532</v>
      </c>
      <c r="R168" s="494">
        <v>5956</v>
      </c>
      <c r="S168" s="494">
        <v>67725</v>
      </c>
      <c r="T168" s="494">
        <v>412255</v>
      </c>
      <c r="U168" s="494">
        <v>165934</v>
      </c>
      <c r="V168" s="494">
        <v>265518</v>
      </c>
      <c r="W168" s="494">
        <v>80264</v>
      </c>
      <c r="X168" s="494">
        <v>997652</v>
      </c>
      <c r="Y168" s="494">
        <v>1824235</v>
      </c>
      <c r="Z168" s="494">
        <v>336786</v>
      </c>
    </row>
    <row r="169" spans="2:26">
      <c r="B169" s="66" t="s">
        <v>531</v>
      </c>
      <c r="C169" s="66" t="s">
        <v>104</v>
      </c>
      <c r="D169" s="66">
        <v>77</v>
      </c>
      <c r="E169" s="66">
        <v>41</v>
      </c>
      <c r="F169" s="66">
        <v>114</v>
      </c>
      <c r="G169" s="66">
        <v>503</v>
      </c>
      <c r="H169" s="494">
        <v>2433</v>
      </c>
      <c r="I169" s="66">
        <v>834</v>
      </c>
      <c r="J169" s="66">
        <v>441</v>
      </c>
      <c r="K169" s="66">
        <v>198</v>
      </c>
      <c r="L169" s="66">
        <v>269</v>
      </c>
      <c r="Q169" s="66" t="s">
        <v>533</v>
      </c>
      <c r="R169" s="66">
        <v>177</v>
      </c>
      <c r="S169" s="494">
        <v>49227</v>
      </c>
      <c r="T169" s="494">
        <v>47427</v>
      </c>
      <c r="U169" s="494">
        <v>44203</v>
      </c>
      <c r="V169" s="494">
        <v>26918</v>
      </c>
      <c r="W169" s="494">
        <v>9998</v>
      </c>
      <c r="X169" s="494">
        <v>177950</v>
      </c>
      <c r="Y169" s="494">
        <v>395176</v>
      </c>
      <c r="Z169" s="494">
        <v>139727</v>
      </c>
    </row>
    <row r="170" spans="2:26">
      <c r="B170" s="66" t="s">
        <v>531</v>
      </c>
      <c r="C170" s="66" t="s">
        <v>106</v>
      </c>
      <c r="D170" s="66">
        <v>106</v>
      </c>
      <c r="E170" s="66">
        <v>58</v>
      </c>
      <c r="F170" s="66">
        <v>182</v>
      </c>
      <c r="G170" s="66">
        <v>564</v>
      </c>
      <c r="H170" s="494">
        <v>2604</v>
      </c>
      <c r="I170" s="494">
        <v>1380</v>
      </c>
      <c r="J170" s="66">
        <v>668</v>
      </c>
      <c r="K170" s="66">
        <v>340</v>
      </c>
      <c r="L170" s="66">
        <v>674</v>
      </c>
      <c r="Q170" s="66" t="s">
        <v>534</v>
      </c>
      <c r="R170" s="66">
        <v>104</v>
      </c>
      <c r="S170" s="494">
        <v>27970</v>
      </c>
      <c r="T170" s="494">
        <v>31939</v>
      </c>
      <c r="U170" s="494">
        <v>35307</v>
      </c>
      <c r="V170" s="494">
        <v>42414</v>
      </c>
      <c r="W170" s="494">
        <v>6835</v>
      </c>
      <c r="X170" s="494">
        <v>144569</v>
      </c>
      <c r="Y170" s="494">
        <v>276872</v>
      </c>
      <c r="Z170" s="494">
        <v>93007</v>
      </c>
    </row>
    <row r="171" spans="2:26">
      <c r="B171" s="66" t="s">
        <v>535</v>
      </c>
      <c r="C171" s="66" t="s">
        <v>429</v>
      </c>
      <c r="D171" s="66">
        <v>19</v>
      </c>
      <c r="E171" s="66">
        <v>1</v>
      </c>
      <c r="F171" s="66">
        <v>34</v>
      </c>
      <c r="G171" s="66">
        <v>140</v>
      </c>
      <c r="H171" s="494">
        <v>596</v>
      </c>
      <c r="I171" s="66">
        <v>540</v>
      </c>
      <c r="J171" s="66">
        <v>355</v>
      </c>
      <c r="K171" s="66">
        <v>95</v>
      </c>
      <c r="L171" s="66">
        <v>145</v>
      </c>
      <c r="Q171" s="66" t="s">
        <v>536</v>
      </c>
      <c r="R171" s="66">
        <v>33</v>
      </c>
      <c r="S171" s="494">
        <v>16935</v>
      </c>
      <c r="T171" s="494">
        <v>18997</v>
      </c>
      <c r="U171" s="494">
        <v>22795</v>
      </c>
      <c r="V171" s="494">
        <v>34785</v>
      </c>
      <c r="W171" s="494">
        <v>8411</v>
      </c>
      <c r="X171" s="494">
        <v>101956</v>
      </c>
      <c r="Y171" s="494">
        <v>211786</v>
      </c>
      <c r="Z171" s="494">
        <v>74202</v>
      </c>
    </row>
    <row r="172" spans="2:26">
      <c r="B172" s="66" t="s">
        <v>535</v>
      </c>
      <c r="C172" s="66" t="s">
        <v>104</v>
      </c>
      <c r="D172" s="66">
        <v>228</v>
      </c>
      <c r="E172" s="66">
        <v>52</v>
      </c>
      <c r="F172" s="66">
        <v>112</v>
      </c>
      <c r="G172" s="66">
        <v>466</v>
      </c>
      <c r="H172" s="494">
        <v>3507</v>
      </c>
      <c r="I172" s="494">
        <v>2729</v>
      </c>
      <c r="J172" s="494">
        <v>1175</v>
      </c>
      <c r="K172" s="66">
        <v>438</v>
      </c>
      <c r="L172" s="66">
        <v>431</v>
      </c>
      <c r="X172" s="494">
        <f>SUM(X146:X171)</f>
        <v>2716937</v>
      </c>
    </row>
    <row r="173" spans="2:26">
      <c r="B173" s="66" t="s">
        <v>535</v>
      </c>
      <c r="C173" s="66" t="s">
        <v>106</v>
      </c>
      <c r="D173" s="66">
        <v>166</v>
      </c>
      <c r="E173" s="66">
        <v>78</v>
      </c>
      <c r="F173" s="66">
        <v>241</v>
      </c>
      <c r="G173" s="66">
        <v>708</v>
      </c>
      <c r="H173" s="494">
        <v>4046</v>
      </c>
      <c r="I173" s="494">
        <v>2416</v>
      </c>
      <c r="J173" s="494">
        <v>1174</v>
      </c>
      <c r="K173" s="66">
        <v>527</v>
      </c>
      <c r="L173" s="494">
        <v>1094</v>
      </c>
    </row>
    <row r="174" spans="2:26">
      <c r="B174" s="66" t="s">
        <v>537</v>
      </c>
      <c r="C174" s="66" t="s">
        <v>429</v>
      </c>
      <c r="D174" s="66">
        <v>102</v>
      </c>
      <c r="E174" s="66">
        <v>408</v>
      </c>
      <c r="F174" s="494">
        <v>1027</v>
      </c>
      <c r="G174" s="494">
        <v>1475</v>
      </c>
      <c r="H174" s="494">
        <v>3593</v>
      </c>
      <c r="I174" s="494">
        <v>2102</v>
      </c>
      <c r="J174" s="494">
        <v>1200</v>
      </c>
      <c r="K174" s="66">
        <v>458</v>
      </c>
      <c r="L174" s="66">
        <v>661</v>
      </c>
    </row>
    <row r="175" spans="2:26">
      <c r="B175" s="66" t="s">
        <v>537</v>
      </c>
      <c r="C175" s="66" t="s">
        <v>104</v>
      </c>
      <c r="D175" s="494">
        <v>2582</v>
      </c>
      <c r="E175" s="66">
        <v>560</v>
      </c>
      <c r="F175" s="494">
        <v>1386</v>
      </c>
      <c r="G175" s="494">
        <v>5217</v>
      </c>
      <c r="H175" s="494">
        <v>20749</v>
      </c>
      <c r="I175" s="494">
        <v>9469</v>
      </c>
      <c r="J175" s="494">
        <v>4680</v>
      </c>
      <c r="K175" s="494">
        <v>2061</v>
      </c>
      <c r="L175" s="494">
        <v>2467</v>
      </c>
    </row>
    <row r="176" spans="2:26">
      <c r="B176" s="66" t="s">
        <v>537</v>
      </c>
      <c r="C176" s="66" t="s">
        <v>106</v>
      </c>
      <c r="D176" s="494">
        <v>1437</v>
      </c>
      <c r="E176" s="66">
        <v>457</v>
      </c>
      <c r="F176" s="494">
        <v>1121</v>
      </c>
      <c r="G176" s="494">
        <v>3353</v>
      </c>
      <c r="H176" s="494">
        <v>12062</v>
      </c>
      <c r="I176" s="494">
        <v>6695</v>
      </c>
      <c r="J176" s="494">
        <v>2864</v>
      </c>
      <c r="K176" s="494">
        <v>1337</v>
      </c>
      <c r="L176" s="494">
        <v>2707</v>
      </c>
    </row>
    <row r="177" spans="2:12">
      <c r="B177" s="66" t="s">
        <v>538</v>
      </c>
      <c r="C177" s="66" t="s">
        <v>429</v>
      </c>
      <c r="D177" s="66">
        <v>6</v>
      </c>
      <c r="E177" s="66">
        <v>33</v>
      </c>
      <c r="F177" s="66">
        <v>112</v>
      </c>
      <c r="G177" s="66">
        <v>135</v>
      </c>
      <c r="H177" s="494">
        <v>786</v>
      </c>
      <c r="I177" s="66">
        <v>487</v>
      </c>
      <c r="J177" s="66">
        <v>289</v>
      </c>
      <c r="K177" s="66">
        <v>99</v>
      </c>
      <c r="L177" s="66">
        <v>120</v>
      </c>
    </row>
    <row r="178" spans="2:12">
      <c r="B178" s="66" t="s">
        <v>538</v>
      </c>
      <c r="C178" s="66" t="s">
        <v>104</v>
      </c>
      <c r="D178" s="66">
        <v>163</v>
      </c>
      <c r="E178" s="66">
        <v>43</v>
      </c>
      <c r="F178" s="66">
        <v>90</v>
      </c>
      <c r="G178" s="66">
        <v>482</v>
      </c>
      <c r="H178" s="494">
        <v>4614</v>
      </c>
      <c r="I178" s="494">
        <v>2101</v>
      </c>
      <c r="J178" s="66">
        <v>937</v>
      </c>
      <c r="K178" s="66">
        <v>423</v>
      </c>
      <c r="L178" s="66">
        <v>534</v>
      </c>
    </row>
    <row r="179" spans="2:12">
      <c r="B179" s="66" t="s">
        <v>538</v>
      </c>
      <c r="C179" s="66" t="s">
        <v>106</v>
      </c>
      <c r="D179" s="66">
        <v>248</v>
      </c>
      <c r="E179" s="66">
        <v>120</v>
      </c>
      <c r="F179" s="66">
        <v>280</v>
      </c>
      <c r="G179" s="66">
        <v>856</v>
      </c>
      <c r="H179" s="494">
        <v>5260</v>
      </c>
      <c r="I179" s="494">
        <v>3295</v>
      </c>
      <c r="J179" s="494">
        <v>1523</v>
      </c>
      <c r="K179" s="66">
        <v>732</v>
      </c>
      <c r="L179" s="494">
        <v>1276</v>
      </c>
    </row>
    <row r="180" spans="2:12">
      <c r="B180" s="66" t="s">
        <v>539</v>
      </c>
      <c r="C180" s="66" t="s">
        <v>429</v>
      </c>
      <c r="D180" s="494">
        <v>5627</v>
      </c>
      <c r="E180" s="494">
        <v>2343</v>
      </c>
      <c r="F180" s="494">
        <v>5914</v>
      </c>
      <c r="G180" s="494">
        <v>8517</v>
      </c>
      <c r="H180" s="494">
        <v>24763</v>
      </c>
      <c r="I180" s="494">
        <v>15131</v>
      </c>
      <c r="J180" s="494">
        <v>7279</v>
      </c>
      <c r="K180" s="494">
        <v>2497</v>
      </c>
      <c r="L180" s="494">
        <v>2368</v>
      </c>
    </row>
    <row r="181" spans="2:12">
      <c r="B181" s="66" t="s">
        <v>539</v>
      </c>
      <c r="C181" s="66" t="s">
        <v>104</v>
      </c>
      <c r="D181" s="494">
        <v>14265</v>
      </c>
      <c r="E181" s="66">
        <v>965</v>
      </c>
      <c r="F181" s="494">
        <v>2784</v>
      </c>
      <c r="G181" s="494">
        <v>7916</v>
      </c>
      <c r="H181" s="494">
        <v>47027</v>
      </c>
      <c r="I181" s="494">
        <v>34459</v>
      </c>
      <c r="J181" s="494">
        <v>17902</v>
      </c>
      <c r="K181" s="494">
        <v>8287</v>
      </c>
      <c r="L181" s="494">
        <v>7029</v>
      </c>
    </row>
    <row r="182" spans="2:12">
      <c r="B182" s="66" t="s">
        <v>539</v>
      </c>
      <c r="C182" s="66" t="s">
        <v>106</v>
      </c>
      <c r="D182" s="494">
        <v>2025</v>
      </c>
      <c r="E182" s="66">
        <v>344</v>
      </c>
      <c r="F182" s="66">
        <v>732</v>
      </c>
      <c r="G182" s="494">
        <v>1585</v>
      </c>
      <c r="H182" s="494">
        <v>7280</v>
      </c>
      <c r="I182" s="494">
        <v>5161</v>
      </c>
      <c r="J182" s="494">
        <v>2654</v>
      </c>
      <c r="K182" s="494">
        <v>1293</v>
      </c>
      <c r="L182" s="494">
        <v>1459</v>
      </c>
    </row>
    <row r="183" spans="2:12">
      <c r="B183" s="66" t="s">
        <v>540</v>
      </c>
      <c r="C183" s="66" t="s">
        <v>429</v>
      </c>
      <c r="D183" s="66">
        <v>67</v>
      </c>
      <c r="E183" s="66">
        <v>51</v>
      </c>
      <c r="F183" s="66">
        <v>198</v>
      </c>
      <c r="G183" s="66">
        <v>414</v>
      </c>
      <c r="H183" s="494">
        <v>2196</v>
      </c>
      <c r="I183" s="494">
        <v>2273</v>
      </c>
      <c r="J183" s="494">
        <v>1246</v>
      </c>
      <c r="K183" s="66">
        <v>340</v>
      </c>
      <c r="L183" s="66">
        <v>249</v>
      </c>
    </row>
    <row r="184" spans="2:12">
      <c r="B184" s="66" t="s">
        <v>540</v>
      </c>
      <c r="C184" s="66" t="s">
        <v>104</v>
      </c>
      <c r="D184" s="66">
        <v>629</v>
      </c>
      <c r="E184" s="66">
        <v>102</v>
      </c>
      <c r="F184" s="66">
        <v>281</v>
      </c>
      <c r="G184" s="66">
        <v>859</v>
      </c>
      <c r="H184" s="494">
        <v>7635</v>
      </c>
      <c r="I184" s="494">
        <v>4270</v>
      </c>
      <c r="J184" s="494">
        <v>1807</v>
      </c>
      <c r="K184" s="66">
        <v>817</v>
      </c>
      <c r="L184" s="66">
        <v>788</v>
      </c>
    </row>
    <row r="185" spans="2:12">
      <c r="B185" s="66" t="s">
        <v>540</v>
      </c>
      <c r="C185" s="66" t="s">
        <v>106</v>
      </c>
      <c r="D185" s="66">
        <v>638</v>
      </c>
      <c r="E185" s="66">
        <v>234</v>
      </c>
      <c r="F185" s="66">
        <v>562</v>
      </c>
      <c r="G185" s="494">
        <v>1758</v>
      </c>
      <c r="H185" s="494">
        <v>8063</v>
      </c>
      <c r="I185" s="494">
        <v>4834</v>
      </c>
      <c r="J185" s="494">
        <v>2179</v>
      </c>
      <c r="K185" s="494">
        <v>1025</v>
      </c>
      <c r="L185" s="494">
        <v>1940</v>
      </c>
    </row>
    <row r="186" spans="2:12">
      <c r="B186" s="66" t="s">
        <v>541</v>
      </c>
      <c r="C186" s="66" t="s">
        <v>429</v>
      </c>
      <c r="D186" s="66">
        <v>19</v>
      </c>
      <c r="E186" s="66">
        <v>34</v>
      </c>
      <c r="F186" s="66">
        <v>48</v>
      </c>
      <c r="G186" s="66">
        <v>134</v>
      </c>
      <c r="H186" s="494">
        <v>779</v>
      </c>
      <c r="I186" s="66">
        <v>685</v>
      </c>
      <c r="J186" s="66">
        <v>326</v>
      </c>
      <c r="K186" s="66">
        <v>99</v>
      </c>
      <c r="L186" s="66">
        <v>152</v>
      </c>
    </row>
    <row r="187" spans="2:12">
      <c r="B187" s="66" t="s">
        <v>541</v>
      </c>
      <c r="C187" s="66" t="s">
        <v>104</v>
      </c>
      <c r="D187" s="66">
        <v>236</v>
      </c>
      <c r="E187" s="66">
        <v>116</v>
      </c>
      <c r="F187" s="66">
        <v>170</v>
      </c>
      <c r="G187" s="66">
        <v>708</v>
      </c>
      <c r="H187" s="494">
        <v>3811</v>
      </c>
      <c r="I187" s="494">
        <v>2638</v>
      </c>
      <c r="J187" s="494">
        <v>1346</v>
      </c>
      <c r="K187" s="66">
        <v>516</v>
      </c>
      <c r="L187" s="66">
        <v>578</v>
      </c>
    </row>
    <row r="188" spans="2:12">
      <c r="B188" s="66" t="s">
        <v>541</v>
      </c>
      <c r="C188" s="66" t="s">
        <v>106</v>
      </c>
      <c r="D188" s="66">
        <v>330</v>
      </c>
      <c r="E188" s="66">
        <v>251</v>
      </c>
      <c r="F188" s="66">
        <v>495</v>
      </c>
      <c r="G188" s="494">
        <v>1137</v>
      </c>
      <c r="H188" s="494">
        <v>5084</v>
      </c>
      <c r="I188" s="494">
        <v>3395</v>
      </c>
      <c r="J188" s="494">
        <v>1565</v>
      </c>
      <c r="K188" s="66">
        <v>684</v>
      </c>
      <c r="L188" s="494">
        <v>1256</v>
      </c>
    </row>
    <row r="189" spans="2:12">
      <c r="B189" s="66" t="s">
        <v>542</v>
      </c>
      <c r="C189" s="66" t="s">
        <v>429</v>
      </c>
      <c r="D189" s="66">
        <v>185</v>
      </c>
      <c r="E189" s="66">
        <v>11</v>
      </c>
      <c r="F189" s="66">
        <v>135</v>
      </c>
      <c r="G189" s="66">
        <v>379</v>
      </c>
      <c r="H189" s="494">
        <v>1684</v>
      </c>
      <c r="I189" s="66">
        <v>946</v>
      </c>
      <c r="J189" s="66">
        <v>525</v>
      </c>
      <c r="K189" s="66">
        <v>172</v>
      </c>
      <c r="L189" s="66">
        <v>146</v>
      </c>
    </row>
    <row r="190" spans="2:12">
      <c r="B190" s="66" t="s">
        <v>542</v>
      </c>
      <c r="C190" s="66" t="s">
        <v>104</v>
      </c>
      <c r="D190" s="494">
        <v>3495</v>
      </c>
      <c r="E190" s="66">
        <v>213</v>
      </c>
      <c r="F190" s="66">
        <v>302</v>
      </c>
      <c r="G190" s="494">
        <v>1126</v>
      </c>
      <c r="H190" s="494">
        <v>7817</v>
      </c>
      <c r="I190" s="494">
        <v>4393</v>
      </c>
      <c r="J190" s="494">
        <v>1370</v>
      </c>
      <c r="K190" s="66">
        <v>484</v>
      </c>
      <c r="L190" s="66">
        <v>522</v>
      </c>
    </row>
    <row r="191" spans="2:12">
      <c r="B191" s="66" t="s">
        <v>542</v>
      </c>
      <c r="C191" s="66" t="s">
        <v>106</v>
      </c>
      <c r="D191" s="66">
        <v>765</v>
      </c>
      <c r="E191" s="66">
        <v>134</v>
      </c>
      <c r="F191" s="66">
        <v>344</v>
      </c>
      <c r="G191" s="494">
        <v>1034</v>
      </c>
      <c r="H191" s="494">
        <v>4452</v>
      </c>
      <c r="I191" s="494">
        <v>2301</v>
      </c>
      <c r="J191" s="66">
        <v>871</v>
      </c>
      <c r="K191" s="66">
        <v>363</v>
      </c>
      <c r="L191" s="66">
        <v>639</v>
      </c>
    </row>
    <row r="192" spans="2:12">
      <c r="B192" s="66" t="s">
        <v>543</v>
      </c>
      <c r="C192" s="66" t="s">
        <v>429</v>
      </c>
      <c r="D192" s="66">
        <v>17</v>
      </c>
      <c r="E192" s="66">
        <v>9</v>
      </c>
      <c r="F192" s="66">
        <v>42</v>
      </c>
      <c r="G192" s="66">
        <v>96</v>
      </c>
      <c r="H192" s="66">
        <v>436</v>
      </c>
      <c r="I192" s="66">
        <v>217</v>
      </c>
      <c r="J192" s="66">
        <v>101</v>
      </c>
      <c r="K192" s="66">
        <v>43</v>
      </c>
      <c r="L192" s="66">
        <v>67</v>
      </c>
    </row>
    <row r="193" spans="2:12">
      <c r="B193" s="66" t="s">
        <v>543</v>
      </c>
      <c r="C193" s="66" t="s">
        <v>104</v>
      </c>
      <c r="D193" s="66">
        <v>163</v>
      </c>
      <c r="E193" s="66">
        <v>65</v>
      </c>
      <c r="F193" s="66">
        <v>137</v>
      </c>
      <c r="G193" s="66">
        <v>505</v>
      </c>
      <c r="H193" s="494">
        <v>2612</v>
      </c>
      <c r="I193" s="494">
        <v>1522</v>
      </c>
      <c r="J193" s="66">
        <v>711</v>
      </c>
      <c r="K193" s="66">
        <v>324</v>
      </c>
      <c r="L193" s="66">
        <v>342</v>
      </c>
    </row>
    <row r="194" spans="2:12">
      <c r="B194" s="66" t="s">
        <v>543</v>
      </c>
      <c r="C194" s="66" t="s">
        <v>106</v>
      </c>
      <c r="D194" s="66">
        <v>201</v>
      </c>
      <c r="E194" s="66">
        <v>61</v>
      </c>
      <c r="F194" s="66">
        <v>126</v>
      </c>
      <c r="G194" s="66">
        <v>366</v>
      </c>
      <c r="H194" s="494">
        <v>2098</v>
      </c>
      <c r="I194" s="494">
        <v>1461</v>
      </c>
      <c r="J194" s="66">
        <v>643</v>
      </c>
      <c r="K194" s="66">
        <v>306</v>
      </c>
      <c r="L194" s="66">
        <v>618</v>
      </c>
    </row>
    <row r="195" spans="2:12">
      <c r="B195" s="66" t="s">
        <v>544</v>
      </c>
      <c r="C195" s="66" t="s">
        <v>429</v>
      </c>
      <c r="D195" s="66">
        <v>1</v>
      </c>
      <c r="E195" s="66">
        <v>5</v>
      </c>
      <c r="F195" s="66">
        <v>69</v>
      </c>
      <c r="G195" s="66">
        <v>94</v>
      </c>
      <c r="H195" s="66">
        <v>285</v>
      </c>
      <c r="I195" s="66">
        <v>239</v>
      </c>
      <c r="J195" s="66">
        <v>93</v>
      </c>
      <c r="K195" s="66">
        <v>32</v>
      </c>
      <c r="L195" s="66">
        <v>49</v>
      </c>
    </row>
    <row r="196" spans="2:12">
      <c r="B196" s="66" t="s">
        <v>544</v>
      </c>
      <c r="C196" s="66" t="s">
        <v>104</v>
      </c>
      <c r="D196" s="66">
        <v>80</v>
      </c>
      <c r="E196" s="66">
        <v>83</v>
      </c>
      <c r="F196" s="66">
        <v>120</v>
      </c>
      <c r="G196" s="66">
        <v>594</v>
      </c>
      <c r="H196" s="494">
        <v>2825</v>
      </c>
      <c r="I196" s="494">
        <v>1047</v>
      </c>
      <c r="J196" s="66">
        <v>821</v>
      </c>
      <c r="K196" s="66">
        <v>370</v>
      </c>
      <c r="L196" s="66">
        <v>413</v>
      </c>
    </row>
    <row r="197" spans="2:12">
      <c r="B197" s="66" t="s">
        <v>544</v>
      </c>
      <c r="C197" s="66" t="s">
        <v>106</v>
      </c>
      <c r="D197" s="66">
        <v>112</v>
      </c>
      <c r="E197" s="66">
        <v>43</v>
      </c>
      <c r="F197" s="66">
        <v>127</v>
      </c>
      <c r="G197" s="66">
        <v>401</v>
      </c>
      <c r="H197" s="494">
        <v>2082</v>
      </c>
      <c r="I197" s="494">
        <v>1232</v>
      </c>
      <c r="J197" s="66">
        <v>512</v>
      </c>
      <c r="K197" s="66">
        <v>308</v>
      </c>
      <c r="L197" s="66">
        <v>547</v>
      </c>
    </row>
    <row r="198" spans="2:12">
      <c r="B198" s="66" t="s">
        <v>545</v>
      </c>
      <c r="C198" s="66" t="s">
        <v>429</v>
      </c>
      <c r="E198" s="66">
        <v>1</v>
      </c>
      <c r="F198" s="66">
        <v>8</v>
      </c>
      <c r="G198" s="66">
        <v>13</v>
      </c>
      <c r="H198" s="66">
        <v>195</v>
      </c>
      <c r="I198" s="66">
        <v>200</v>
      </c>
      <c r="J198" s="66">
        <v>66</v>
      </c>
      <c r="K198" s="66">
        <v>25</v>
      </c>
      <c r="L198" s="66">
        <v>24</v>
      </c>
    </row>
    <row r="199" spans="2:12">
      <c r="B199" s="66" t="s">
        <v>545</v>
      </c>
      <c r="C199" s="66" t="s">
        <v>104</v>
      </c>
      <c r="D199" s="66">
        <v>14</v>
      </c>
      <c r="F199" s="66">
        <v>28</v>
      </c>
      <c r="G199" s="66">
        <v>166</v>
      </c>
      <c r="H199" s="494">
        <v>979</v>
      </c>
      <c r="I199" s="66">
        <v>360</v>
      </c>
      <c r="J199" s="66">
        <v>226</v>
      </c>
      <c r="K199" s="66">
        <v>168</v>
      </c>
      <c r="L199" s="66">
        <v>159</v>
      </c>
    </row>
    <row r="200" spans="2:12">
      <c r="B200" s="66" t="s">
        <v>545</v>
      </c>
      <c r="C200" s="66" t="s">
        <v>106</v>
      </c>
      <c r="D200" s="66">
        <v>13</v>
      </c>
      <c r="E200" s="66">
        <v>30</v>
      </c>
      <c r="F200" s="66">
        <v>89</v>
      </c>
      <c r="G200" s="66">
        <v>233</v>
      </c>
      <c r="H200" s="494">
        <v>1315</v>
      </c>
      <c r="I200" s="494">
        <v>753</v>
      </c>
      <c r="J200" s="66">
        <v>435</v>
      </c>
      <c r="K200" s="66">
        <v>237</v>
      </c>
      <c r="L200" s="66">
        <v>530</v>
      </c>
    </row>
    <row r="201" spans="2:12">
      <c r="B201" s="66" t="s">
        <v>546</v>
      </c>
      <c r="C201" s="66" t="s">
        <v>429</v>
      </c>
      <c r="D201" s="66">
        <v>27</v>
      </c>
      <c r="E201" s="66">
        <v>55</v>
      </c>
      <c r="F201" s="66">
        <v>167</v>
      </c>
      <c r="G201" s="66">
        <v>383</v>
      </c>
      <c r="H201" s="494">
        <v>2609</v>
      </c>
      <c r="I201" s="494">
        <v>1549</v>
      </c>
      <c r="J201" s="66">
        <v>636</v>
      </c>
      <c r="K201" s="66">
        <v>214</v>
      </c>
      <c r="L201" s="66">
        <v>254</v>
      </c>
    </row>
    <row r="202" spans="2:12">
      <c r="B202" s="66" t="s">
        <v>546</v>
      </c>
      <c r="C202" s="66" t="s">
        <v>104</v>
      </c>
      <c r="D202" s="66">
        <v>723</v>
      </c>
      <c r="E202" s="66">
        <v>143</v>
      </c>
      <c r="F202" s="66">
        <v>294</v>
      </c>
      <c r="G202" s="66">
        <v>997</v>
      </c>
      <c r="H202" s="494">
        <v>7954</v>
      </c>
      <c r="I202" s="494">
        <v>4929</v>
      </c>
      <c r="J202" s="494">
        <v>2068</v>
      </c>
      <c r="K202" s="66">
        <v>853</v>
      </c>
      <c r="L202" s="66">
        <v>911</v>
      </c>
    </row>
    <row r="203" spans="2:12">
      <c r="B203" s="66" t="s">
        <v>546</v>
      </c>
      <c r="C203" s="66" t="s">
        <v>106</v>
      </c>
      <c r="D203" s="66">
        <v>277</v>
      </c>
      <c r="E203" s="66">
        <v>99</v>
      </c>
      <c r="F203" s="66">
        <v>228</v>
      </c>
      <c r="G203" s="66">
        <v>782</v>
      </c>
      <c r="H203" s="494">
        <v>4190</v>
      </c>
      <c r="I203" s="494">
        <v>3113</v>
      </c>
      <c r="J203" s="494">
        <v>1265</v>
      </c>
      <c r="K203" s="66">
        <v>668</v>
      </c>
      <c r="L203" s="494">
        <v>1210</v>
      </c>
    </row>
    <row r="204" spans="2:12">
      <c r="B204" s="66" t="s">
        <v>547</v>
      </c>
      <c r="C204" s="66" t="s">
        <v>429</v>
      </c>
      <c r="D204" s="66">
        <v>8</v>
      </c>
      <c r="E204" s="66">
        <v>3</v>
      </c>
      <c r="F204" s="66">
        <v>6</v>
      </c>
      <c r="G204" s="66">
        <v>12</v>
      </c>
      <c r="H204" s="66">
        <v>159</v>
      </c>
      <c r="I204" s="66">
        <v>223</v>
      </c>
      <c r="J204" s="66">
        <v>96</v>
      </c>
      <c r="K204" s="66">
        <v>25</v>
      </c>
      <c r="L204" s="66">
        <v>34</v>
      </c>
    </row>
    <row r="205" spans="2:12">
      <c r="B205" s="66" t="s">
        <v>547</v>
      </c>
      <c r="C205" s="66" t="s">
        <v>104</v>
      </c>
      <c r="D205" s="66">
        <v>16</v>
      </c>
      <c r="E205" s="66">
        <v>95</v>
      </c>
      <c r="F205" s="66">
        <v>61</v>
      </c>
      <c r="G205" s="66">
        <v>213</v>
      </c>
      <c r="H205" s="494">
        <v>1167</v>
      </c>
      <c r="I205" s="66">
        <v>721</v>
      </c>
      <c r="J205" s="66">
        <v>296</v>
      </c>
      <c r="K205" s="66">
        <v>140</v>
      </c>
      <c r="L205" s="66">
        <v>128</v>
      </c>
    </row>
    <row r="206" spans="2:12">
      <c r="B206" s="66" t="s">
        <v>547</v>
      </c>
      <c r="C206" s="66" t="s">
        <v>106</v>
      </c>
      <c r="D206" s="66">
        <v>28</v>
      </c>
      <c r="E206" s="66">
        <v>41</v>
      </c>
      <c r="F206" s="66">
        <v>85</v>
      </c>
      <c r="G206" s="66">
        <v>259</v>
      </c>
      <c r="H206" s="494">
        <v>1252</v>
      </c>
      <c r="I206" s="494">
        <v>802</v>
      </c>
      <c r="J206" s="66">
        <v>401</v>
      </c>
      <c r="K206" s="66">
        <v>281</v>
      </c>
      <c r="L206" s="66">
        <v>446</v>
      </c>
    </row>
    <row r="207" spans="2:12">
      <c r="B207" s="66" t="s">
        <v>548</v>
      </c>
      <c r="C207" s="66" t="s">
        <v>429</v>
      </c>
      <c r="D207" s="66">
        <v>67</v>
      </c>
      <c r="E207" s="66">
        <v>39</v>
      </c>
      <c r="F207" s="66">
        <v>160</v>
      </c>
      <c r="G207" s="66">
        <v>268</v>
      </c>
      <c r="H207" s="494">
        <v>881</v>
      </c>
      <c r="I207" s="66">
        <v>379</v>
      </c>
      <c r="J207" s="66">
        <v>218</v>
      </c>
      <c r="K207" s="66">
        <v>83</v>
      </c>
      <c r="L207" s="66">
        <v>95</v>
      </c>
    </row>
    <row r="208" spans="2:12">
      <c r="B208" s="66" t="s">
        <v>548</v>
      </c>
      <c r="C208" s="66" t="s">
        <v>104</v>
      </c>
      <c r="D208" s="494">
        <v>1067</v>
      </c>
      <c r="E208" s="66">
        <v>293</v>
      </c>
      <c r="F208" s="66">
        <v>333</v>
      </c>
      <c r="G208" s="494">
        <v>1295</v>
      </c>
      <c r="H208" s="494">
        <v>6649</v>
      </c>
      <c r="I208" s="494">
        <v>2639</v>
      </c>
      <c r="J208" s="494">
        <v>1061</v>
      </c>
      <c r="K208" s="66">
        <v>478</v>
      </c>
      <c r="L208" s="66">
        <v>703</v>
      </c>
    </row>
    <row r="209" spans="2:12">
      <c r="B209" s="66" t="s">
        <v>548</v>
      </c>
      <c r="C209" s="66" t="s">
        <v>106</v>
      </c>
      <c r="D209" s="66">
        <v>370</v>
      </c>
      <c r="E209" s="66">
        <v>110</v>
      </c>
      <c r="F209" s="66">
        <v>254</v>
      </c>
      <c r="G209" s="66">
        <v>611</v>
      </c>
      <c r="H209" s="494">
        <v>2762</v>
      </c>
      <c r="I209" s="494">
        <v>1485</v>
      </c>
      <c r="J209" s="66">
        <v>654</v>
      </c>
      <c r="K209" s="66">
        <v>293</v>
      </c>
      <c r="L209" s="66">
        <v>518</v>
      </c>
    </row>
    <row r="210" spans="2:12">
      <c r="B210" s="66" t="s">
        <v>549</v>
      </c>
      <c r="C210" s="66" t="s">
        <v>429</v>
      </c>
      <c r="D210" s="66">
        <v>11</v>
      </c>
      <c r="E210" s="66">
        <v>8</v>
      </c>
      <c r="F210" s="66">
        <v>36</v>
      </c>
      <c r="G210" s="66">
        <v>67</v>
      </c>
      <c r="H210" s="494">
        <v>462</v>
      </c>
      <c r="I210" s="66">
        <v>548</v>
      </c>
      <c r="J210" s="66">
        <v>227</v>
      </c>
      <c r="K210" s="66">
        <v>87</v>
      </c>
      <c r="L210" s="66">
        <v>96</v>
      </c>
    </row>
    <row r="211" spans="2:12">
      <c r="B211" s="66" t="s">
        <v>549</v>
      </c>
      <c r="C211" s="66" t="s">
        <v>104</v>
      </c>
      <c r="D211" s="66">
        <v>209</v>
      </c>
      <c r="E211" s="66">
        <v>86</v>
      </c>
      <c r="F211" s="66">
        <v>144</v>
      </c>
      <c r="G211" s="66">
        <v>324</v>
      </c>
      <c r="H211" s="494">
        <v>3219</v>
      </c>
      <c r="I211" s="494">
        <v>1938</v>
      </c>
      <c r="J211" s="66">
        <v>743</v>
      </c>
      <c r="K211" s="66">
        <v>393</v>
      </c>
      <c r="L211" s="66">
        <v>559</v>
      </c>
    </row>
    <row r="212" spans="2:12">
      <c r="B212" s="66" t="s">
        <v>549</v>
      </c>
      <c r="C212" s="66" t="s">
        <v>106</v>
      </c>
      <c r="D212" s="66">
        <v>288</v>
      </c>
      <c r="E212" s="66">
        <v>111</v>
      </c>
      <c r="F212" s="66">
        <v>227</v>
      </c>
      <c r="G212" s="66">
        <v>699</v>
      </c>
      <c r="H212" s="494">
        <v>4401</v>
      </c>
      <c r="I212" s="494">
        <v>3175</v>
      </c>
      <c r="J212" s="494">
        <v>1498</v>
      </c>
      <c r="K212" s="66">
        <v>767</v>
      </c>
      <c r="L212" s="494">
        <v>1469</v>
      </c>
    </row>
    <row r="213" spans="2:12">
      <c r="B213" s="66" t="s">
        <v>550</v>
      </c>
      <c r="C213" s="66" t="s">
        <v>429</v>
      </c>
      <c r="D213" s="66">
        <v>53</v>
      </c>
      <c r="E213" s="66">
        <v>45</v>
      </c>
      <c r="F213" s="66">
        <v>211</v>
      </c>
      <c r="G213" s="66">
        <v>370</v>
      </c>
      <c r="H213" s="494">
        <v>1312</v>
      </c>
      <c r="I213" s="66">
        <v>647</v>
      </c>
      <c r="J213" s="66">
        <v>270</v>
      </c>
      <c r="K213" s="66">
        <v>70</v>
      </c>
      <c r="L213" s="66">
        <v>76</v>
      </c>
    </row>
    <row r="214" spans="2:12">
      <c r="B214" s="66" t="s">
        <v>550</v>
      </c>
      <c r="C214" s="66" t="s">
        <v>104</v>
      </c>
      <c r="D214" s="494">
        <v>3202</v>
      </c>
      <c r="E214" s="66">
        <v>180</v>
      </c>
      <c r="F214" s="66">
        <v>351</v>
      </c>
      <c r="G214" s="494">
        <v>1325</v>
      </c>
      <c r="H214" s="494">
        <v>7280</v>
      </c>
      <c r="I214" s="494">
        <v>2176</v>
      </c>
      <c r="J214" s="66">
        <v>762</v>
      </c>
      <c r="K214" s="66">
        <v>374</v>
      </c>
      <c r="L214" s="66">
        <v>353</v>
      </c>
    </row>
    <row r="215" spans="2:12">
      <c r="B215" s="66" t="s">
        <v>550</v>
      </c>
      <c r="C215" s="66" t="s">
        <v>106</v>
      </c>
      <c r="D215" s="66">
        <v>825</v>
      </c>
      <c r="E215" s="66">
        <v>120</v>
      </c>
      <c r="F215" s="66">
        <v>308</v>
      </c>
      <c r="G215" s="66">
        <v>920</v>
      </c>
      <c r="H215" s="494">
        <v>4486</v>
      </c>
      <c r="I215" s="494">
        <v>2437</v>
      </c>
      <c r="J215" s="66">
        <v>959</v>
      </c>
      <c r="K215" s="66">
        <v>473</v>
      </c>
      <c r="L215" s="66">
        <v>837</v>
      </c>
    </row>
    <row r="216" spans="2:12">
      <c r="B216" s="66" t="s">
        <v>551</v>
      </c>
      <c r="C216" s="66" t="s">
        <v>429</v>
      </c>
      <c r="D216" s="66">
        <v>3</v>
      </c>
      <c r="E216" s="66">
        <v>3</v>
      </c>
      <c r="F216" s="66">
        <v>25</v>
      </c>
      <c r="G216" s="66">
        <v>39</v>
      </c>
      <c r="H216" s="66">
        <v>154</v>
      </c>
      <c r="I216" s="66">
        <v>125</v>
      </c>
      <c r="J216" s="66">
        <v>86</v>
      </c>
      <c r="K216" s="66">
        <v>36</v>
      </c>
      <c r="L216" s="66">
        <v>90</v>
      </c>
    </row>
    <row r="217" spans="2:12">
      <c r="B217" s="66" t="s">
        <v>551</v>
      </c>
      <c r="C217" s="66" t="s">
        <v>104</v>
      </c>
      <c r="D217" s="66">
        <v>165</v>
      </c>
      <c r="E217" s="66">
        <v>55</v>
      </c>
      <c r="F217" s="66">
        <v>75</v>
      </c>
      <c r="G217" s="66">
        <v>300</v>
      </c>
      <c r="H217" s="494">
        <v>1391</v>
      </c>
      <c r="I217" s="66">
        <v>933</v>
      </c>
      <c r="J217" s="66">
        <v>367</v>
      </c>
      <c r="K217" s="66">
        <v>163</v>
      </c>
      <c r="L217" s="66">
        <v>174</v>
      </c>
    </row>
    <row r="218" spans="2:12">
      <c r="B218" s="66" t="s">
        <v>551</v>
      </c>
      <c r="C218" s="66" t="s">
        <v>106</v>
      </c>
      <c r="D218" s="66">
        <v>89</v>
      </c>
      <c r="E218" s="66">
        <v>54</v>
      </c>
      <c r="F218" s="66">
        <v>95</v>
      </c>
      <c r="G218" s="66">
        <v>286</v>
      </c>
      <c r="H218" s="494">
        <v>1245</v>
      </c>
      <c r="I218" s="66">
        <v>932</v>
      </c>
      <c r="J218" s="66">
        <v>425</v>
      </c>
      <c r="K218" s="66">
        <v>185</v>
      </c>
      <c r="L218" s="66">
        <v>311</v>
      </c>
    </row>
    <row r="219" spans="2:12">
      <c r="B219" s="66" t="s">
        <v>552</v>
      </c>
      <c r="C219" s="66" t="s">
        <v>429</v>
      </c>
      <c r="F219" s="66">
        <v>13</v>
      </c>
      <c r="G219" s="66">
        <v>41</v>
      </c>
      <c r="H219" s="66">
        <v>204</v>
      </c>
      <c r="I219" s="66">
        <v>232</v>
      </c>
      <c r="J219" s="66">
        <v>128</v>
      </c>
      <c r="K219" s="66">
        <v>59</v>
      </c>
      <c r="L219" s="66">
        <v>60</v>
      </c>
    </row>
    <row r="220" spans="2:12">
      <c r="B220" s="66" t="s">
        <v>552</v>
      </c>
      <c r="C220" s="66" t="s">
        <v>104</v>
      </c>
      <c r="D220" s="66">
        <v>71</v>
      </c>
      <c r="E220" s="66">
        <v>19</v>
      </c>
      <c r="F220" s="66">
        <v>74</v>
      </c>
      <c r="G220" s="66">
        <v>208</v>
      </c>
      <c r="H220" s="494">
        <v>1955</v>
      </c>
      <c r="I220" s="494">
        <v>922</v>
      </c>
      <c r="J220" s="494">
        <v>1087</v>
      </c>
      <c r="K220" s="66">
        <v>525</v>
      </c>
      <c r="L220" s="66">
        <v>507</v>
      </c>
    </row>
    <row r="221" spans="2:12">
      <c r="B221" s="66" t="s">
        <v>552</v>
      </c>
      <c r="C221" s="66" t="s">
        <v>106</v>
      </c>
      <c r="D221" s="66">
        <v>101</v>
      </c>
      <c r="E221" s="66">
        <v>45</v>
      </c>
      <c r="F221" s="66">
        <v>89</v>
      </c>
      <c r="G221" s="66">
        <v>271</v>
      </c>
      <c r="H221" s="494">
        <v>1708</v>
      </c>
      <c r="I221" s="494">
        <v>1188</v>
      </c>
      <c r="J221" s="66">
        <v>528</v>
      </c>
      <c r="K221" s="66">
        <v>316</v>
      </c>
      <c r="L221" s="66">
        <v>531</v>
      </c>
    </row>
    <row r="222" spans="2:12">
      <c r="B222" s="66" t="s">
        <v>553</v>
      </c>
      <c r="C222" s="66" t="s">
        <v>429</v>
      </c>
      <c r="E222" s="66">
        <v>9</v>
      </c>
      <c r="F222" s="66">
        <v>9</v>
      </c>
      <c r="G222" s="66">
        <v>18</v>
      </c>
      <c r="H222" s="66">
        <v>166</v>
      </c>
      <c r="I222" s="66">
        <v>155</v>
      </c>
      <c r="J222" s="66">
        <v>86</v>
      </c>
      <c r="K222" s="66">
        <v>26</v>
      </c>
      <c r="L222" s="66">
        <v>44</v>
      </c>
    </row>
    <row r="223" spans="2:12">
      <c r="B223" s="66" t="s">
        <v>553</v>
      </c>
      <c r="C223" s="66" t="s">
        <v>104</v>
      </c>
      <c r="D223" s="66">
        <v>42</v>
      </c>
      <c r="E223" s="66">
        <v>11</v>
      </c>
      <c r="F223" s="66">
        <v>12</v>
      </c>
      <c r="G223" s="66">
        <v>107</v>
      </c>
      <c r="H223" s="494">
        <v>1754</v>
      </c>
      <c r="I223" s="66">
        <v>592</v>
      </c>
      <c r="J223" s="66">
        <v>414</v>
      </c>
      <c r="K223" s="66">
        <v>219</v>
      </c>
      <c r="L223" s="66">
        <v>212</v>
      </c>
    </row>
    <row r="224" spans="2:12">
      <c r="B224" s="66" t="s">
        <v>553</v>
      </c>
      <c r="C224" s="66" t="s">
        <v>106</v>
      </c>
      <c r="D224" s="66">
        <v>75</v>
      </c>
      <c r="E224" s="66">
        <v>28</v>
      </c>
      <c r="F224" s="66">
        <v>97</v>
      </c>
      <c r="G224" s="66">
        <v>380</v>
      </c>
      <c r="H224" s="494">
        <v>2194</v>
      </c>
      <c r="I224" s="494">
        <v>1364</v>
      </c>
      <c r="J224" s="66">
        <v>691</v>
      </c>
      <c r="K224" s="66">
        <v>399</v>
      </c>
      <c r="L224" s="66">
        <v>894</v>
      </c>
    </row>
    <row r="225" spans="2:12">
      <c r="B225" s="66" t="s">
        <v>554</v>
      </c>
      <c r="C225" s="66" t="s">
        <v>429</v>
      </c>
      <c r="D225" s="66">
        <v>9</v>
      </c>
      <c r="E225" s="66">
        <v>8</v>
      </c>
      <c r="F225" s="66">
        <v>44</v>
      </c>
      <c r="G225" s="66">
        <v>116</v>
      </c>
      <c r="H225" s="494">
        <v>495</v>
      </c>
      <c r="I225" s="66">
        <v>647</v>
      </c>
      <c r="J225" s="66">
        <v>431</v>
      </c>
      <c r="K225" s="66">
        <v>74</v>
      </c>
      <c r="L225" s="66">
        <v>50</v>
      </c>
    </row>
    <row r="226" spans="2:12">
      <c r="B226" s="66" t="s">
        <v>554</v>
      </c>
      <c r="C226" s="66" t="s">
        <v>104</v>
      </c>
      <c r="D226" s="66">
        <v>88</v>
      </c>
      <c r="E226" s="66">
        <v>77</v>
      </c>
      <c r="F226" s="66">
        <v>81</v>
      </c>
      <c r="G226" s="66">
        <v>410</v>
      </c>
      <c r="H226" s="494">
        <v>2317</v>
      </c>
      <c r="I226" s="494">
        <v>1408</v>
      </c>
      <c r="J226" s="66">
        <v>761</v>
      </c>
      <c r="K226" s="66">
        <v>318</v>
      </c>
      <c r="L226" s="66">
        <v>386</v>
      </c>
    </row>
    <row r="227" spans="2:12">
      <c r="B227" s="66" t="s">
        <v>554</v>
      </c>
      <c r="C227" s="66" t="s">
        <v>106</v>
      </c>
      <c r="D227" s="66">
        <v>133</v>
      </c>
      <c r="E227" s="66">
        <v>67</v>
      </c>
      <c r="F227" s="66">
        <v>112</v>
      </c>
      <c r="G227" s="66">
        <v>377</v>
      </c>
      <c r="H227" s="494">
        <v>1749</v>
      </c>
      <c r="I227" s="494">
        <v>1256</v>
      </c>
      <c r="J227" s="66">
        <v>620</v>
      </c>
      <c r="K227" s="66">
        <v>380</v>
      </c>
      <c r="L227" s="66">
        <v>627</v>
      </c>
    </row>
    <row r="228" spans="2:12">
      <c r="B228" s="66" t="s">
        <v>555</v>
      </c>
      <c r="C228" s="66" t="s">
        <v>429</v>
      </c>
      <c r="D228" s="66">
        <v>2</v>
      </c>
      <c r="E228" s="66">
        <v>9</v>
      </c>
      <c r="F228" s="66">
        <v>10</v>
      </c>
      <c r="G228" s="66">
        <v>39</v>
      </c>
      <c r="H228" s="66">
        <v>252</v>
      </c>
      <c r="I228" s="66">
        <v>432</v>
      </c>
      <c r="J228" s="66">
        <v>244</v>
      </c>
      <c r="K228" s="66">
        <v>101</v>
      </c>
      <c r="L228" s="66">
        <v>166</v>
      </c>
    </row>
    <row r="229" spans="2:12">
      <c r="B229" s="66" t="s">
        <v>555</v>
      </c>
      <c r="C229" s="66" t="s">
        <v>104</v>
      </c>
      <c r="D229" s="66">
        <v>120</v>
      </c>
      <c r="E229" s="66">
        <v>122</v>
      </c>
      <c r="F229" s="66">
        <v>172</v>
      </c>
      <c r="G229" s="66">
        <v>638</v>
      </c>
      <c r="H229" s="494">
        <v>4905</v>
      </c>
      <c r="I229" s="494">
        <v>3232</v>
      </c>
      <c r="J229" s="494">
        <v>1819</v>
      </c>
      <c r="K229" s="66">
        <v>878</v>
      </c>
      <c r="L229" s="494">
        <v>1093</v>
      </c>
    </row>
    <row r="230" spans="2:12">
      <c r="B230" s="66" t="s">
        <v>555</v>
      </c>
      <c r="C230" s="66" t="s">
        <v>106</v>
      </c>
      <c r="D230" s="66">
        <v>233</v>
      </c>
      <c r="E230" s="66">
        <v>143</v>
      </c>
      <c r="F230" s="66">
        <v>273</v>
      </c>
      <c r="G230" s="66">
        <v>776</v>
      </c>
      <c r="H230" s="494">
        <v>4390</v>
      </c>
      <c r="I230" s="494">
        <v>3207</v>
      </c>
      <c r="J230" s="494">
        <v>1576</v>
      </c>
      <c r="K230" s="66">
        <v>869</v>
      </c>
      <c r="L230" s="494">
        <v>1498</v>
      </c>
    </row>
    <row r="231" spans="2:12">
      <c r="B231" s="66" t="s">
        <v>556</v>
      </c>
      <c r="C231" s="66" t="s">
        <v>429</v>
      </c>
      <c r="D231" s="66">
        <v>75</v>
      </c>
      <c r="E231" s="66">
        <v>16</v>
      </c>
      <c r="F231" s="66">
        <v>38</v>
      </c>
      <c r="G231" s="66">
        <v>120</v>
      </c>
      <c r="H231" s="494">
        <v>836</v>
      </c>
      <c r="I231" s="66">
        <v>860</v>
      </c>
      <c r="J231" s="66">
        <v>458</v>
      </c>
      <c r="K231" s="66">
        <v>125</v>
      </c>
      <c r="L231" s="66">
        <v>151</v>
      </c>
    </row>
    <row r="232" spans="2:12">
      <c r="B232" s="66" t="s">
        <v>556</v>
      </c>
      <c r="C232" s="66" t="s">
        <v>104</v>
      </c>
      <c r="D232" s="66">
        <v>659</v>
      </c>
      <c r="E232" s="66">
        <v>149</v>
      </c>
      <c r="F232" s="66">
        <v>219</v>
      </c>
      <c r="G232" s="66">
        <v>685</v>
      </c>
      <c r="H232" s="494">
        <v>4857</v>
      </c>
      <c r="I232" s="494">
        <v>3147</v>
      </c>
      <c r="J232" s="494">
        <v>1184</v>
      </c>
      <c r="K232" s="66">
        <v>523</v>
      </c>
      <c r="L232" s="66">
        <v>592</v>
      </c>
    </row>
    <row r="233" spans="2:12">
      <c r="B233" s="66" t="s">
        <v>556</v>
      </c>
      <c r="C233" s="66" t="s">
        <v>106</v>
      </c>
      <c r="D233" s="66">
        <v>280</v>
      </c>
      <c r="E233" s="66">
        <v>99</v>
      </c>
      <c r="F233" s="66">
        <v>190</v>
      </c>
      <c r="G233" s="66">
        <v>558</v>
      </c>
      <c r="H233" s="494">
        <v>2785</v>
      </c>
      <c r="I233" s="494">
        <v>1775</v>
      </c>
      <c r="J233" s="66">
        <v>588</v>
      </c>
      <c r="K233" s="66">
        <v>318</v>
      </c>
      <c r="L233" s="66">
        <v>421</v>
      </c>
    </row>
    <row r="234" spans="2:12">
      <c r="B234" s="66" t="s">
        <v>557</v>
      </c>
      <c r="C234" s="66" t="s">
        <v>429</v>
      </c>
      <c r="D234" s="66">
        <v>3</v>
      </c>
      <c r="E234" s="66">
        <v>29</v>
      </c>
      <c r="F234" s="66">
        <v>126</v>
      </c>
      <c r="G234" s="66">
        <v>179</v>
      </c>
      <c r="H234" s="494">
        <v>659</v>
      </c>
      <c r="I234" s="66">
        <v>660</v>
      </c>
      <c r="J234" s="66">
        <v>301</v>
      </c>
      <c r="K234" s="66">
        <v>115</v>
      </c>
      <c r="L234" s="66">
        <v>90</v>
      </c>
    </row>
    <row r="235" spans="2:12">
      <c r="B235" s="66" t="s">
        <v>557</v>
      </c>
      <c r="C235" s="66" t="s">
        <v>104</v>
      </c>
      <c r="D235" s="66">
        <v>65</v>
      </c>
      <c r="E235" s="66">
        <v>17</v>
      </c>
      <c r="F235" s="66">
        <v>125</v>
      </c>
      <c r="G235" s="66">
        <v>554</v>
      </c>
      <c r="H235" s="494">
        <v>2930</v>
      </c>
      <c r="I235" s="494">
        <v>1637</v>
      </c>
      <c r="J235" s="66">
        <v>808</v>
      </c>
      <c r="K235" s="66">
        <v>365</v>
      </c>
      <c r="L235" s="66">
        <v>511</v>
      </c>
    </row>
    <row r="236" spans="2:12">
      <c r="B236" s="66" t="s">
        <v>557</v>
      </c>
      <c r="C236" s="66" t="s">
        <v>106</v>
      </c>
      <c r="D236" s="66">
        <v>108</v>
      </c>
      <c r="E236" s="66">
        <v>49</v>
      </c>
      <c r="F236" s="66">
        <v>121</v>
      </c>
      <c r="G236" s="66">
        <v>397</v>
      </c>
      <c r="H236" s="494">
        <v>2092</v>
      </c>
      <c r="I236" s="494">
        <v>1359</v>
      </c>
      <c r="J236" s="66">
        <v>625</v>
      </c>
      <c r="K236" s="66">
        <v>354</v>
      </c>
      <c r="L236" s="66">
        <v>719</v>
      </c>
    </row>
    <row r="237" spans="2:12">
      <c r="B237" s="66" t="s">
        <v>558</v>
      </c>
      <c r="C237" s="66" t="s">
        <v>429</v>
      </c>
      <c r="D237" s="66">
        <v>8</v>
      </c>
      <c r="E237" s="66">
        <v>21</v>
      </c>
      <c r="F237" s="66">
        <v>41</v>
      </c>
      <c r="G237" s="66">
        <v>111</v>
      </c>
      <c r="H237" s="494">
        <v>598</v>
      </c>
      <c r="I237" s="66">
        <v>654</v>
      </c>
      <c r="J237" s="66">
        <v>435</v>
      </c>
      <c r="K237" s="66">
        <v>132</v>
      </c>
      <c r="L237" s="66">
        <v>156</v>
      </c>
    </row>
    <row r="238" spans="2:12">
      <c r="B238" s="66" t="s">
        <v>558</v>
      </c>
      <c r="C238" s="66" t="s">
        <v>104</v>
      </c>
      <c r="D238" s="66">
        <v>570</v>
      </c>
      <c r="E238" s="66">
        <v>86</v>
      </c>
      <c r="F238" s="66">
        <v>93</v>
      </c>
      <c r="G238" s="66">
        <v>352</v>
      </c>
      <c r="H238" s="494">
        <v>4191</v>
      </c>
      <c r="I238" s="494">
        <v>3031</v>
      </c>
      <c r="J238" s="494">
        <v>1326</v>
      </c>
      <c r="K238" s="66">
        <v>541</v>
      </c>
      <c r="L238" s="66">
        <v>642</v>
      </c>
    </row>
    <row r="239" spans="2:12">
      <c r="B239" s="66" t="s">
        <v>558</v>
      </c>
      <c r="C239" s="66" t="s">
        <v>106</v>
      </c>
      <c r="D239" s="66">
        <v>411</v>
      </c>
      <c r="E239" s="66">
        <v>123</v>
      </c>
      <c r="F239" s="66">
        <v>347</v>
      </c>
      <c r="G239" s="66">
        <v>946</v>
      </c>
      <c r="H239" s="494">
        <v>5784</v>
      </c>
      <c r="I239" s="494">
        <v>3598</v>
      </c>
      <c r="J239" s="494">
        <v>1419</v>
      </c>
      <c r="K239" s="66">
        <v>622</v>
      </c>
      <c r="L239" s="494">
        <v>1016</v>
      </c>
    </row>
    <row r="240" spans="2:12">
      <c r="B240" s="66" t="s">
        <v>559</v>
      </c>
      <c r="C240" s="66" t="s">
        <v>429</v>
      </c>
      <c r="D240" s="66">
        <v>104</v>
      </c>
      <c r="E240" s="66">
        <v>59</v>
      </c>
      <c r="F240" s="66">
        <v>154</v>
      </c>
      <c r="G240" s="66">
        <v>291</v>
      </c>
      <c r="H240" s="494">
        <v>837</v>
      </c>
      <c r="I240" s="66">
        <v>515</v>
      </c>
      <c r="J240" s="66">
        <v>228</v>
      </c>
      <c r="K240" s="66">
        <v>82</v>
      </c>
      <c r="L240" s="66">
        <v>141</v>
      </c>
    </row>
    <row r="241" spans="2:12">
      <c r="B241" s="66" t="s">
        <v>559</v>
      </c>
      <c r="C241" s="66" t="s">
        <v>104</v>
      </c>
      <c r="D241" s="494">
        <v>1704</v>
      </c>
      <c r="E241" s="66">
        <v>109</v>
      </c>
      <c r="F241" s="66">
        <v>178</v>
      </c>
      <c r="G241" s="66">
        <v>724</v>
      </c>
      <c r="H241" s="494">
        <v>4596</v>
      </c>
      <c r="I241" s="494">
        <v>2801</v>
      </c>
      <c r="J241" s="494">
        <v>1506</v>
      </c>
      <c r="K241" s="66">
        <v>606</v>
      </c>
      <c r="L241" s="66">
        <v>663</v>
      </c>
    </row>
    <row r="242" spans="2:12">
      <c r="B242" s="66" t="s">
        <v>559</v>
      </c>
      <c r="C242" s="66" t="s">
        <v>106</v>
      </c>
      <c r="D242" s="66">
        <v>488</v>
      </c>
      <c r="E242" s="66">
        <v>89</v>
      </c>
      <c r="F242" s="66">
        <v>234</v>
      </c>
      <c r="G242" s="66">
        <v>622</v>
      </c>
      <c r="H242" s="494">
        <v>2901</v>
      </c>
      <c r="I242" s="494">
        <v>2008</v>
      </c>
      <c r="J242" s="66">
        <v>895</v>
      </c>
      <c r="K242" s="66">
        <v>477</v>
      </c>
      <c r="L242" s="66">
        <v>761</v>
      </c>
    </row>
  </sheetData>
  <mergeCells count="4">
    <mergeCell ref="S110:Z110"/>
    <mergeCell ref="AB110:AF111"/>
    <mergeCell ref="M76:O76"/>
    <mergeCell ref="B76:L76"/>
  </mergeCells>
  <phoneticPr fontId="23" type="noConversion"/>
  <hyperlinks>
    <hyperlink ref="S78" r:id="rId1" xr:uid="{3DB1FD5A-FBB4-4A80-A1B4-1364D9B863D0}"/>
    <hyperlink ref="X78" r:id="rId2" xr:uid="{53AA4CE7-F1AD-4E78-A8DF-94AB19E8F6EE}"/>
    <hyperlink ref="AB78" r:id="rId3" xr:uid="{2D53BFC4-BD79-44E2-BB94-260B0D7E0B44}"/>
    <hyperlink ref="AG78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P239"/>
  <sheetViews>
    <sheetView topLeftCell="K204" zoomScale="85" zoomScaleNormal="85" workbookViewId="0">
      <selection activeCell="Z241" sqref="Z241"/>
    </sheetView>
    <sheetView zoomScale="70" zoomScaleNormal="70" workbookViewId="1">
      <selection activeCell="Y26" sqref="Y26"/>
    </sheetView>
  </sheetViews>
  <sheetFormatPr defaultRowHeight="15"/>
  <cols>
    <col min="1" max="1" width="9.140625" style="137"/>
    <col min="2" max="2" width="32.140625" style="137" customWidth="1"/>
    <col min="3" max="11" width="20.7109375" style="137" customWidth="1"/>
    <col min="12" max="12" width="9.140625" style="137"/>
    <col min="13" max="13" width="12.7109375" style="137" customWidth="1"/>
    <col min="14" max="14" width="29.7109375" style="137" customWidth="1"/>
    <col min="15" max="15" width="87" style="137" customWidth="1"/>
    <col min="16" max="16" width="32" style="137" customWidth="1"/>
    <col min="17" max="17" width="12.42578125" style="137" bestFit="1" customWidth="1"/>
    <col min="18" max="18" width="13.7109375" style="137" customWidth="1"/>
    <col min="19" max="19" width="8.5703125" style="137" customWidth="1"/>
    <col min="20" max="20" width="10.85546875" style="137" customWidth="1"/>
    <col min="21" max="23" width="8.5703125" style="137" customWidth="1"/>
    <col min="24" max="24" width="2.7109375" style="137" customWidth="1"/>
    <col min="25" max="25" width="13.42578125" style="137" customWidth="1"/>
    <col min="26" max="26" width="13.28515625" style="137" customWidth="1"/>
    <col min="27" max="27" width="2.7109375" style="137" customWidth="1"/>
    <col min="28" max="28" width="16.140625" style="137" bestFit="1" customWidth="1"/>
    <col min="29" max="29" width="27" style="137" customWidth="1"/>
    <col min="30" max="30" width="79.28515625" style="137" customWidth="1"/>
    <col min="31" max="33" width="9.140625" style="137"/>
    <col min="34" max="34" width="12.28515625" style="137" customWidth="1"/>
    <col min="35" max="35" width="9.140625" style="137"/>
    <col min="36" max="36" width="2.28515625" style="137" bestFit="1" customWidth="1"/>
    <col min="37" max="37" width="2.85546875" style="137" bestFit="1" customWidth="1"/>
    <col min="38" max="38" width="11" style="137" bestFit="1" customWidth="1"/>
    <col min="39" max="39" width="10.5703125" style="137" bestFit="1" customWidth="1"/>
    <col min="40" max="40" width="4.140625" style="137" bestFit="1" customWidth="1"/>
    <col min="41" max="41" width="6.5703125" style="137" customWidth="1"/>
    <col min="42" max="16384" width="9.140625" style="137"/>
  </cols>
  <sheetData>
    <row r="1" spans="1:40" ht="21.95" customHeight="1">
      <c r="A1" s="139" t="s">
        <v>560</v>
      </c>
      <c r="B1" s="139"/>
      <c r="C1" s="139"/>
      <c r="D1" s="139"/>
      <c r="E1" s="139"/>
      <c r="F1" s="139"/>
      <c r="G1" s="139"/>
      <c r="H1" s="139"/>
      <c r="I1" s="139"/>
      <c r="J1" s="139"/>
      <c r="K1" s="139"/>
      <c r="L1" s="840"/>
      <c r="M1" s="840"/>
      <c r="N1" s="138" t="s">
        <v>395</v>
      </c>
      <c r="O1" s="99"/>
      <c r="P1" s="99"/>
      <c r="Q1" s="99"/>
      <c r="R1" s="99"/>
      <c r="S1" s="864"/>
      <c r="T1" s="99"/>
      <c r="U1" s="864"/>
      <c r="V1" s="864"/>
      <c r="W1" s="864"/>
      <c r="X1" s="864"/>
      <c r="Y1" s="864"/>
      <c r="Z1" s="864"/>
      <c r="AA1" s="840"/>
      <c r="AB1" s="864"/>
      <c r="AC1" s="864"/>
      <c r="AD1" s="864"/>
      <c r="AE1" s="864"/>
      <c r="AF1" s="864"/>
      <c r="AG1" s="864"/>
      <c r="AH1" s="864"/>
      <c r="AI1" s="840"/>
      <c r="AJ1" s="840"/>
      <c r="AK1" s="840"/>
      <c r="AL1" s="840"/>
      <c r="AM1" s="840"/>
      <c r="AN1" s="840"/>
    </row>
    <row r="2" spans="1:40" ht="15" customHeight="1">
      <c r="A2" s="1100" t="s">
        <v>846</v>
      </c>
      <c r="B2" s="865">
        <f>3.6*10^-9/8760</f>
        <v>4.1095890410958911E-13</v>
      </c>
      <c r="C2" s="865"/>
      <c r="D2" s="865" t="s">
        <v>53</v>
      </c>
      <c r="E2" s="865"/>
      <c r="F2" s="865"/>
      <c r="G2" s="840"/>
      <c r="H2" s="840"/>
      <c r="I2" s="840"/>
      <c r="J2" s="840"/>
      <c r="K2" s="840"/>
      <c r="L2" s="840"/>
      <c r="M2" s="840"/>
      <c r="N2" s="840"/>
      <c r="O2" s="840"/>
      <c r="P2" s="840"/>
      <c r="Q2" s="840"/>
      <c r="R2" s="840"/>
      <c r="S2" s="840"/>
      <c r="T2" s="840"/>
      <c r="U2" s="840"/>
      <c r="V2" s="840"/>
      <c r="W2" s="840"/>
      <c r="X2" s="840"/>
      <c r="Y2" s="840"/>
      <c r="Z2" s="840"/>
      <c r="AA2" s="840"/>
      <c r="AB2" s="840"/>
      <c r="AC2" s="840"/>
      <c r="AD2" s="840"/>
      <c r="AE2" s="840"/>
      <c r="AF2" s="840"/>
      <c r="AG2" s="840"/>
      <c r="AH2" s="840"/>
      <c r="AI2" s="840"/>
      <c r="AJ2" s="840"/>
      <c r="AK2" s="840"/>
      <c r="AL2" s="840"/>
      <c r="AM2" s="840"/>
      <c r="AN2" s="840"/>
    </row>
    <row r="3" spans="1:40" ht="21">
      <c r="A3" s="840"/>
      <c r="B3" s="840"/>
      <c r="C3" s="840"/>
      <c r="D3" s="840"/>
      <c r="E3" s="840"/>
      <c r="F3" s="840"/>
      <c r="G3" s="840"/>
      <c r="H3" s="840"/>
      <c r="I3" s="840"/>
      <c r="J3" s="840"/>
      <c r="K3" s="840"/>
      <c r="L3" s="840"/>
      <c r="M3" s="840"/>
      <c r="N3" s="138" t="s">
        <v>830</v>
      </c>
      <c r="O3" s="138"/>
      <c r="P3" s="138"/>
      <c r="Q3" s="142" t="s">
        <v>372</v>
      </c>
      <c r="R3" s="85"/>
      <c r="S3" s="85"/>
      <c r="T3" s="85"/>
      <c r="U3" s="85"/>
      <c r="V3" s="85"/>
      <c r="W3" s="85"/>
      <c r="X3" s="90"/>
      <c r="Y3" s="96" t="s">
        <v>561</v>
      </c>
      <c r="Z3" s="866"/>
      <c r="AA3" s="866"/>
      <c r="AB3" s="68" t="s">
        <v>373</v>
      </c>
      <c r="AC3" s="68"/>
      <c r="AD3" s="839"/>
      <c r="AE3" s="839"/>
      <c r="AF3" s="839"/>
      <c r="AG3" s="839"/>
      <c r="AH3" s="839"/>
      <c r="AI3" s="840"/>
      <c r="AJ3" s="840"/>
      <c r="AK3" s="840"/>
      <c r="AL3" s="840"/>
      <c r="AM3" s="840"/>
      <c r="AN3" s="840"/>
    </row>
    <row r="4" spans="1:40" ht="15" customHeight="1" thickBot="1">
      <c r="A4" s="840"/>
      <c r="B4" s="840"/>
      <c r="C4" s="840"/>
      <c r="D4" s="840"/>
      <c r="E4" s="840"/>
      <c r="F4" s="840"/>
      <c r="G4" s="840"/>
      <c r="H4" s="840"/>
      <c r="I4" s="840"/>
      <c r="J4" s="840"/>
      <c r="K4" s="840"/>
      <c r="L4" s="840"/>
      <c r="M4" s="840"/>
      <c r="N4" s="73" t="s">
        <v>374</v>
      </c>
      <c r="O4" s="73" t="s">
        <v>397</v>
      </c>
      <c r="P4" s="73" t="s">
        <v>376</v>
      </c>
      <c r="Q4" s="73" t="s">
        <v>377</v>
      </c>
      <c r="R4" s="73" t="s">
        <v>562</v>
      </c>
      <c r="S4" s="86" t="s">
        <v>398</v>
      </c>
      <c r="T4" s="73" t="s">
        <v>811</v>
      </c>
      <c r="U4" s="73" t="s">
        <v>378</v>
      </c>
      <c r="V4" s="86" t="s">
        <v>380</v>
      </c>
      <c r="W4" s="86" t="s">
        <v>400</v>
      </c>
      <c r="X4" s="91"/>
      <c r="Y4" s="94" t="s">
        <v>563</v>
      </c>
      <c r="Z4" s="95" t="s">
        <v>564</v>
      </c>
      <c r="AA4" s="91"/>
      <c r="AB4" s="73" t="s">
        <v>385</v>
      </c>
      <c r="AC4" s="73" t="s">
        <v>374</v>
      </c>
      <c r="AD4" s="73" t="s">
        <v>375</v>
      </c>
      <c r="AE4" s="73" t="s">
        <v>386</v>
      </c>
      <c r="AF4" s="73" t="s">
        <v>387</v>
      </c>
      <c r="AG4" s="73" t="s">
        <v>388</v>
      </c>
      <c r="AH4" s="73" t="s">
        <v>389</v>
      </c>
      <c r="AI4" s="840"/>
      <c r="AJ4" s="840"/>
      <c r="AK4" s="840"/>
      <c r="AL4" s="840"/>
      <c r="AM4" s="840"/>
      <c r="AN4" s="840"/>
    </row>
    <row r="5" spans="1:40" ht="21.75" customHeight="1" thickBot="1">
      <c r="A5" s="756" t="s">
        <v>108</v>
      </c>
      <c r="B5" s="756"/>
      <c r="C5" s="756" t="s">
        <v>565</v>
      </c>
      <c r="D5" s="756" t="s">
        <v>565</v>
      </c>
      <c r="E5" s="756" t="s">
        <v>565</v>
      </c>
      <c r="F5" s="756" t="s">
        <v>565</v>
      </c>
      <c r="G5" s="756" t="s">
        <v>566</v>
      </c>
      <c r="H5" s="756" t="s">
        <v>567</v>
      </c>
      <c r="I5" s="756" t="s">
        <v>568</v>
      </c>
      <c r="J5" s="736" t="s">
        <v>565</v>
      </c>
      <c r="K5" s="737" t="s">
        <v>565</v>
      </c>
      <c r="L5" s="135"/>
      <c r="M5" s="840"/>
      <c r="N5" s="74" t="s">
        <v>402</v>
      </c>
      <c r="O5" s="74" t="s">
        <v>403</v>
      </c>
      <c r="P5" s="74" t="s">
        <v>404</v>
      </c>
      <c r="Q5" s="74" t="s">
        <v>405</v>
      </c>
      <c r="R5" s="74"/>
      <c r="S5" s="89" t="s">
        <v>406</v>
      </c>
      <c r="T5" s="74"/>
      <c r="U5" s="74" t="s">
        <v>568</v>
      </c>
      <c r="V5" s="87"/>
      <c r="W5" s="87"/>
      <c r="X5" s="92"/>
      <c r="Y5" s="732" t="s">
        <v>53</v>
      </c>
      <c r="Z5" s="733" t="s">
        <v>53</v>
      </c>
      <c r="AA5" s="92"/>
      <c r="AB5" s="75" t="s">
        <v>370</v>
      </c>
      <c r="AC5" s="75"/>
      <c r="AD5" s="74"/>
      <c r="AE5" s="75"/>
      <c r="AF5" s="75"/>
      <c r="AG5" s="75"/>
      <c r="AH5" s="75"/>
      <c r="AI5" s="840"/>
      <c r="AJ5" s="840"/>
      <c r="AK5" s="840"/>
      <c r="AL5" s="840"/>
      <c r="AM5" s="840"/>
      <c r="AN5" s="840"/>
    </row>
    <row r="6" spans="1:40" ht="26.25" customHeight="1" thickBot="1">
      <c r="A6" s="945" t="s">
        <v>569</v>
      </c>
      <c r="B6" s="946" t="s">
        <v>570</v>
      </c>
      <c r="C6" s="946" t="s">
        <v>571</v>
      </c>
      <c r="D6" s="946" t="s">
        <v>572</v>
      </c>
      <c r="E6" s="946" t="s">
        <v>573</v>
      </c>
      <c r="F6" s="946" t="s">
        <v>574</v>
      </c>
      <c r="G6" s="946" t="s">
        <v>575</v>
      </c>
      <c r="H6" s="946" t="s">
        <v>576</v>
      </c>
      <c r="I6" s="946" t="s">
        <v>577</v>
      </c>
      <c r="J6" s="947" t="s">
        <v>578</v>
      </c>
      <c r="K6" s="948" t="s">
        <v>579</v>
      </c>
      <c r="L6" s="135"/>
      <c r="M6" s="840"/>
      <c r="N6" s="76" t="str">
        <f>AB6</f>
        <v>*A Rating</v>
      </c>
      <c r="O6" s="76"/>
      <c r="P6" s="76"/>
      <c r="Q6" s="76"/>
      <c r="R6" s="949">
        <f>SUM(R7:R14)</f>
        <v>1</v>
      </c>
      <c r="S6" s="76"/>
      <c r="T6" s="97"/>
      <c r="U6" s="76"/>
      <c r="V6" s="76"/>
      <c r="W6" s="76"/>
      <c r="X6" s="93"/>
      <c r="Y6" s="76"/>
      <c r="Z6" s="76"/>
      <c r="AA6" s="93"/>
      <c r="AB6" s="140" t="str">
        <f>"*"&amp; A7 &amp; " Rating"</f>
        <v>*A Rating</v>
      </c>
      <c r="AC6" s="141"/>
      <c r="AD6" s="141"/>
      <c r="AE6" s="141"/>
      <c r="AF6" s="141"/>
      <c r="AG6" s="141"/>
      <c r="AH6" s="141"/>
      <c r="AI6" s="840"/>
      <c r="AJ6" s="840"/>
      <c r="AK6" s="840"/>
      <c r="AL6" s="840"/>
      <c r="AM6" s="840"/>
      <c r="AN6" s="840"/>
    </row>
    <row r="7" spans="1:40">
      <c r="A7" s="757" t="s">
        <v>108</v>
      </c>
      <c r="B7" s="757" t="s">
        <v>580</v>
      </c>
      <c r="C7" s="757">
        <f>SUMIFS(INDEX(Table7[],,MATCH(C$6,Table7[#Headers],0)),Table7[MainSpaceHeatingFuel],$B7,Table7[EnergyRating (group)],$A7)</f>
        <v>16</v>
      </c>
      <c r="D7" s="757">
        <f>SUMIFS(INDEX(Table7[],,MATCH(D$6,Table7[#Headers],0)),Table7[MainSpaceHeatingFuel],$B7,Table7[EnergyRating (group)],$A7)</f>
        <v>6</v>
      </c>
      <c r="E7" s="757">
        <f>SUMIFS(INDEX(Table7[],,MATCH(E$6,Table7[#Headers],0)),Table7[MainSpaceHeatingFuel],$B7,Table7[EnergyRating (group)],$A7)</f>
        <v>0</v>
      </c>
      <c r="F7" s="757">
        <f>SUMIFS(INDEX(Table7[],,MATCH(F$6,Table7[#Headers],0)),Table7[MainSpaceHeatingFuel],$B7,Table7[EnergyRating (group)],$A7)</f>
        <v>0</v>
      </c>
      <c r="G7" s="757">
        <f>SUMIFS(INDEX(Table7[],,MATCH(G$6,Table7[#Headers],0)),Table7[MainSpaceHeatingFuel],$B7,Table7[EnergyRating (group)],$A7)</f>
        <v>1</v>
      </c>
      <c r="H7" s="757">
        <f>SUMIFS(INDEX(Table7[],,MATCH(H$6,Table7[#Headers],0)),Table7[MainSpaceHeatingFuel],$B7,Table7[EnergyRating (group)],$A7)</f>
        <v>48</v>
      </c>
      <c r="I7" s="911">
        <f>AVERAGEIFS(INDEX(Table7[],,MATCH(I$6,Table7[#Headers],0)),Table7[MainSpaceHeatingFuel],$B7,Table7[EnergyRating (group)],$A7)</f>
        <v>523</v>
      </c>
      <c r="J7" s="845">
        <f>SUMIFS(INDEX(Table7[],,MATCH(J$6,Table7[#Headers],0)),Table7[MainSpaceHeatingFuel],$B7,Table7[EnergyRating (group)],$A7)</f>
        <v>2421</v>
      </c>
      <c r="K7" s="867">
        <f>SUMIFS(INDEX(Table7[],,MATCH(K$6,Table7[#Headers],0)),Table7[MainSpaceHeatingFuel],$B7,Table7[EnergyRating (group)],$A7)</f>
        <v>897</v>
      </c>
      <c r="L7" s="135"/>
      <c r="M7" s="840"/>
      <c r="N7" s="914" t="str">
        <f>RSD_Commodities!$M$9&amp;"_"&amp;RIGHT(P7,LEN(P7)-3)&amp;"_"&amp;SETUP!$B$67</f>
        <v>SH_Apt-A_BIODST_X0</v>
      </c>
      <c r="O7" s="914" t="str">
        <f>RSD_Commodities!$N$9&amp;"_"&amp;RSD_Commodities!D24&amp;"_"&amp;SETUP!$C$67</f>
        <v>Residential Space Heating Apartment-A_Biodiesel to Residential_Existing 00</v>
      </c>
      <c r="P7" s="915" t="str">
        <f>RSD_Commodities!C24</f>
        <v>RSDBIODST</v>
      </c>
      <c r="Q7" s="914" t="str">
        <f>RSD_Commodities!$M$9</f>
        <v>SH_Apt-A</v>
      </c>
      <c r="R7" s="931">
        <f>G7/SUM($G$7:$G$14)</f>
        <v>1.5578750584203146E-4</v>
      </c>
      <c r="S7" s="914">
        <f>R7*DwellingStocks!$I$62/1000</f>
        <v>1.6429375753506329E-3</v>
      </c>
      <c r="T7" s="914">
        <v>1</v>
      </c>
      <c r="U7" s="914">
        <f>I7/100</f>
        <v>5.23</v>
      </c>
      <c r="V7" s="914">
        <v>20</v>
      </c>
      <c r="W7" s="914">
        <v>1</v>
      </c>
      <c r="X7" s="866"/>
      <c r="Y7" s="918">
        <f>IF(SUM((D7+F7)*S7*1000*$B$2)&lt;=0,0,SUM((D7+F7)*S7*1000*$B$2))</f>
        <v>4.0510789529193691E-12</v>
      </c>
      <c r="Z7" s="919">
        <f>IF(SUM((C7+E7)*S7*1000*$B$2)&lt;=0,0,SUM((C7+E7)*S7*1000*$B$2))</f>
        <v>1.0802877207784985E-11</v>
      </c>
      <c r="AA7" s="866"/>
      <c r="AB7" s="914" t="s">
        <v>393</v>
      </c>
      <c r="AC7" s="914" t="str">
        <f>N7</f>
        <v>SH_Apt-A_BIODST_X0</v>
      </c>
      <c r="AD7" s="915" t="str">
        <f>O7</f>
        <v>Residential Space Heating Apartment-A_Biodiesel to Residential_Existing 00</v>
      </c>
      <c r="AE7" s="914" t="s">
        <v>53</v>
      </c>
      <c r="AF7" s="916" t="s">
        <v>406</v>
      </c>
      <c r="AG7" s="914"/>
      <c r="AH7" s="914"/>
      <c r="AI7" s="840"/>
      <c r="AJ7" s="840"/>
      <c r="AK7" s="840"/>
      <c r="AL7" s="840"/>
      <c r="AM7" s="840"/>
      <c r="AN7" s="840"/>
    </row>
    <row r="8" spans="1:40">
      <c r="A8" s="758" t="s">
        <v>108</v>
      </c>
      <c r="B8" s="758" t="s">
        <v>581</v>
      </c>
      <c r="C8" s="758">
        <f>SUMIFS(INDEX(Table7[],,MATCH(C$6,Table7[#Headers],0)),Table7[MainSpaceHeatingFuel],$B8,Table7[EnergyRating (group)],$A8)</f>
        <v>11</v>
      </c>
      <c r="D8" s="758">
        <f>SUMIFS(INDEX(Table7[],,MATCH($D$6,Table7[#Headers],0)),Table7[MainSpaceHeatingFuel],B8,Table7[EnergyRating (group)],A8)</f>
        <v>4</v>
      </c>
      <c r="E8" s="759">
        <f>SUMIFS(INDEX(Table7[],,MATCH(E$6,Table7[#Headers],0)),Table7[MainSpaceHeatingFuel],$B8,Table7[EnergyRating (group)],$A8)</f>
        <v>0</v>
      </c>
      <c r="F8" s="759">
        <f>SUMIFS(INDEX(Table7[],,MATCH(F$6,Table7[#Headers],0)),Table7[MainSpaceHeatingFuel],$B8,Table7[EnergyRating (group)],$A8)</f>
        <v>0</v>
      </c>
      <c r="G8" s="758">
        <f>SUMIFS(INDEX(Table7[],,MATCH(G$6,Table7[#Headers],0)),Table7[MainSpaceHeatingFuel],$B8,Table7[EnergyRating (group)],$A8)</f>
        <v>1</v>
      </c>
      <c r="H8" s="758">
        <f>SUMIFS(INDEX(Table7[],,MATCH(H$6,Table7[#Headers],0)),Table7[MainSpaceHeatingFuel],$B8,Table7[EnergyRating (group)],$A8)</f>
        <v>98</v>
      </c>
      <c r="I8" s="912">
        <f>AVERAGEIFS(INDEX(Table7[],,MATCH(I$6,Table7[#Headers],0)),Table7[MainSpaceHeatingFuel],$B8,Table7[EnergyRating (group)],$A8)</f>
        <v>377</v>
      </c>
      <c r="J8" s="847">
        <f>SUMIFS(INDEX(Table7[],,MATCH(J$6,Table7[#Headers],0)),Table7[MainSpaceHeatingFuel],$B8,Table7[EnergyRating (group)],$A8)</f>
        <v>5593</v>
      </c>
      <c r="K8" s="869">
        <f>SUMIFS(INDEX(Table7[],,MATCH(K$6,Table7[#Headers],0)),Table7[MainSpaceHeatingFuel],$B8,Table7[EnergyRating (group)],$A8)</f>
        <v>2071</v>
      </c>
      <c r="L8" s="135"/>
      <c r="M8" s="840"/>
      <c r="N8" s="66" t="str">
        <f>RSD_Commodities!$M$9&amp;"_"&amp;RIGHT(P8,LEN(P8)-3)&amp;"_"&amp;SETUP!$B$67</f>
        <v>SH_Apt-A_BIOETH_X0</v>
      </c>
      <c r="O8" s="66" t="str">
        <f>RSD_Commodities!$N$9&amp;"_"&amp;RSD_Commodities!D23&amp;"_"&amp;SETUP!$C$67</f>
        <v>Residential Space Heating Apartment-A_Ethanol to Residential_Existing 00</v>
      </c>
      <c r="P8" s="83" t="str">
        <f>RSD_Commodities!C23</f>
        <v>RSDBIOETH</v>
      </c>
      <c r="Q8" s="66" t="str">
        <f>RSD_Commodities!$M$9</f>
        <v>SH_Apt-A</v>
      </c>
      <c r="R8" s="936">
        <f t="shared" ref="R8:R14" si="0">G8/SUM($G$7:$G$14)</f>
        <v>1.5578750584203146E-4</v>
      </c>
      <c r="S8" s="66">
        <f>R8*DwellingStocks!$I$62/1000</f>
        <v>1.6429375753506329E-3</v>
      </c>
      <c r="T8" s="66">
        <v>1</v>
      </c>
      <c r="U8" s="66">
        <f t="shared" ref="U8:U13" si="1">I8/100</f>
        <v>3.77</v>
      </c>
      <c r="V8" s="66">
        <v>20</v>
      </c>
      <c r="W8" s="66">
        <v>1</v>
      </c>
      <c r="X8" s="866"/>
      <c r="Y8" s="920">
        <f t="shared" ref="Y8:Y14" si="2">IF(SUM((D8+F8)*S8*1000*$B$2)&lt;=0,0,SUM((D8+F8)*S8*1000*$B$2))</f>
        <v>2.7007193019462464E-12</v>
      </c>
      <c r="Z8" s="921">
        <f t="shared" ref="Z8:Z14" si="3">IF(SUM((C8+E8)*S8*1000*$B$2)&lt;=0,0,SUM((C8+E8)*S8*1000*$B$2))</f>
        <v>7.4269780803521769E-12</v>
      </c>
      <c r="AA8" s="866"/>
      <c r="AB8" s="66" t="s">
        <v>393</v>
      </c>
      <c r="AC8" s="66" t="str">
        <f t="shared" ref="AC8:AC14" si="4">N8</f>
        <v>SH_Apt-A_BIOETH_X0</v>
      </c>
      <c r="AD8" s="83" t="str">
        <f t="shared" ref="AD8:AD14" si="5">O8</f>
        <v>Residential Space Heating Apartment-A_Ethanol to Residential_Existing 00</v>
      </c>
      <c r="AE8" s="66" t="s">
        <v>53</v>
      </c>
      <c r="AF8" s="88" t="s">
        <v>406</v>
      </c>
      <c r="AG8" s="66"/>
      <c r="AH8" s="66"/>
      <c r="AI8" s="840"/>
      <c r="AJ8" s="840"/>
      <c r="AK8" s="840"/>
      <c r="AL8" s="840"/>
      <c r="AM8" s="840"/>
      <c r="AN8" s="840"/>
    </row>
    <row r="9" spans="1:40">
      <c r="A9" s="757" t="s">
        <v>108</v>
      </c>
      <c r="B9" s="757" t="s">
        <v>582</v>
      </c>
      <c r="C9" s="757">
        <f>SUMIFS(INDEX(Table7[],,MATCH(C$6,Table7[#Headers],0)),Table7[MainSpaceHeatingFuel],$B9,Table7[EnergyRating (group)],$A9)</f>
        <v>1196</v>
      </c>
      <c r="D9" s="757">
        <f>SUMIFS(INDEX(Table7[],,MATCH($D$6,Table7[#Headers],0)),Table7[MainSpaceHeatingFuel],B9,Table7[EnergyRating (group)],A9)</f>
        <v>1088</v>
      </c>
      <c r="E9" s="760">
        <f>SUMIFS(INDEX(Table7[],,MATCH(E$6,Table7[#Headers],0)),Table7[MainSpaceHeatingFuel],$B9,Table7[EnergyRating (group)],$A9)</f>
        <v>0</v>
      </c>
      <c r="F9" s="760">
        <f>SUMIFS(INDEX(Table7[],,MATCH(F$6,Table7[#Headers],0)),Table7[MainSpaceHeatingFuel],$B9,Table7[EnergyRating (group)],$A9)</f>
        <v>0</v>
      </c>
      <c r="G9" s="757">
        <f>SUMIFS(INDEX(Table7[],,MATCH(G$6,Table7[#Headers],0)),Table7[MainSpaceHeatingFuel],$B9,Table7[EnergyRating (group)],$A9)</f>
        <v>1</v>
      </c>
      <c r="H9" s="757">
        <f>SUMIFS(INDEX(Table7[],,MATCH(H$6,Table7[#Headers],0)),Table7[MainSpaceHeatingFuel],$B9,Table7[EnergyRating (group)],$A9)</f>
        <v>80</v>
      </c>
      <c r="I9" s="911">
        <f>AVERAGEIFS(INDEX(Table7[],,MATCH(I$6,Table7[#Headers],0)),Table7[MainSpaceHeatingFuel],$B9,Table7[EnergyRating (group)],$A9)</f>
        <v>92</v>
      </c>
      <c r="J9" s="849">
        <f>SUMIFS(INDEX(Table7[],,MATCH(J$6,Table7[#Headers],0)),Table7[MainSpaceHeatingFuel],$B9,Table7[EnergyRating (group)],$A9)</f>
        <v>5666</v>
      </c>
      <c r="K9" s="870">
        <f>SUMIFS(INDEX(Table7[],,MATCH(K$6,Table7[#Headers],0)),Table7[MainSpaceHeatingFuel],$B9,Table7[EnergyRating (group)],$A9)</f>
        <v>4437</v>
      </c>
      <c r="L9" s="135"/>
      <c r="M9" s="840"/>
      <c r="N9" s="914" t="str">
        <f>RSD_Commodities!$M$9&amp;"_"&amp;RIGHT(P9,LEN(P9)-3)&amp;"_"&amp;SETUP!$B$67</f>
        <v>SH_Apt-A_OILLPG_X0</v>
      </c>
      <c r="O9" s="914" t="str">
        <f>RSD_Commodities!$N$9&amp;"_"&amp;RSD_Commodities!D11&amp;"_"&amp;SETUP!$C$67</f>
        <v>Residential Space Heating Apartment-A_LPG to Residential_Existing 00</v>
      </c>
      <c r="P9" s="915" t="str">
        <f>RSD_Commodities!$C$11</f>
        <v>RSDOILLPG</v>
      </c>
      <c r="Q9" s="914" t="str">
        <f>RSD_Commodities!$M$9</f>
        <v>SH_Apt-A</v>
      </c>
      <c r="R9" s="931">
        <f>G9/SUM($G$7:$G$14)</f>
        <v>1.5578750584203146E-4</v>
      </c>
      <c r="S9" s="914">
        <f>R9*DwellingStocks!$I$62/1000</f>
        <v>1.6429375753506329E-3</v>
      </c>
      <c r="T9" s="914">
        <v>1</v>
      </c>
      <c r="U9" s="914">
        <f t="shared" si="1"/>
        <v>0.92</v>
      </c>
      <c r="V9" s="914">
        <v>20</v>
      </c>
      <c r="W9" s="914">
        <v>1</v>
      </c>
      <c r="X9" s="866"/>
      <c r="Y9" s="922">
        <f t="shared" si="2"/>
        <v>7.3459565012937899E-10</v>
      </c>
      <c r="Z9" s="923">
        <f t="shared" si="3"/>
        <v>8.0751507128192768E-10</v>
      </c>
      <c r="AA9" s="866"/>
      <c r="AB9" s="914" t="s">
        <v>393</v>
      </c>
      <c r="AC9" s="914" t="str">
        <f t="shared" si="4"/>
        <v>SH_Apt-A_OILLPG_X0</v>
      </c>
      <c r="AD9" s="915" t="str">
        <f t="shared" si="5"/>
        <v>Residential Space Heating Apartment-A_LPG to Residential_Existing 00</v>
      </c>
      <c r="AE9" s="914" t="s">
        <v>53</v>
      </c>
      <c r="AF9" s="916" t="s">
        <v>406</v>
      </c>
      <c r="AG9" s="914"/>
      <c r="AH9" s="914"/>
      <c r="AI9" s="840"/>
      <c r="AJ9" s="840"/>
      <c r="AK9" s="840"/>
      <c r="AL9" s="840"/>
      <c r="AM9" s="840"/>
      <c r="AN9" s="840"/>
    </row>
    <row r="10" spans="1:40">
      <c r="A10" s="758" t="s">
        <v>108</v>
      </c>
      <c r="B10" s="758" t="s">
        <v>228</v>
      </c>
      <c r="C10" s="758">
        <f>SUMIFS(INDEX(Table7[],,MATCH(C$6,Table7[#Headers],0)),Table7[MainSpaceHeatingFuel],$B10,Table7[EnergyRating (group)],$A10)</f>
        <v>-392755</v>
      </c>
      <c r="D10" s="758">
        <f>SUMIFS(INDEX(Table7[],,MATCH($D$6,Table7[#Headers],0)),Table7[MainSpaceHeatingFuel],B10,Table7[EnergyRating (group)],A10)</f>
        <v>-145465</v>
      </c>
      <c r="E10" s="758">
        <f>SUMIFS(INDEX(Table7[],,MATCH(E$6,Table7[#Headers],0)),Table7[MainSpaceHeatingFuel],$B10,Table7[EnergyRating (group)],$A10)</f>
        <v>8076</v>
      </c>
      <c r="F10" s="758">
        <f>SUMIFS(INDEX(Table7[],,MATCH(F$6,Table7[#Headers],0)),Table7[MainSpaceHeatingFuel],$B10,Table7[EnergyRating (group)],$A10)</f>
        <v>6912</v>
      </c>
      <c r="G10" s="758">
        <f>SUMIFS(INDEX(Table7[],,MATCH(G$6,Table7[#Headers],0)),Table7[MainSpaceHeatingFuel],$B10,Table7[EnergyRating (group)],$A10)</f>
        <v>1125</v>
      </c>
      <c r="H10" s="758">
        <f>SUMIFS(INDEX(Table7[],,MATCH(H$6,Table7[#Headers],0)),Table7[MainSpaceHeatingFuel],$B10,Table7[EnergyRating (group)],$A10)</f>
        <v>90353</v>
      </c>
      <c r="I10" s="912">
        <f>AVERAGEIFS(INDEX(Table7[],,MATCH(I$6,Table7[#Headers],0)),Table7[MainSpaceHeatingFuel],$B10,Table7[EnergyRating (group)],$A10)</f>
        <v>442</v>
      </c>
      <c r="J10" s="847">
        <f>SUMIFS(INDEX(Table7[],,MATCH(J$6,Table7[#Headers],0)),Table7[MainSpaceHeatingFuel],$B10,Table7[EnergyRating (group)],$A10)</f>
        <v>5675449</v>
      </c>
      <c r="K10" s="869">
        <f>SUMIFS(INDEX(Table7[],,MATCH(K$6,Table7[#Headers],0)),Table7[MainSpaceHeatingFuel],$B10,Table7[EnergyRating (group)],$A10)</f>
        <v>2118245</v>
      </c>
      <c r="L10" s="135"/>
      <c r="M10" s="840"/>
      <c r="N10" s="66" t="str">
        <f>RSD_Commodities!$M$9&amp;"_"&amp;RIGHT(P10,LEN(P10)-3)&amp;"_"&amp;SETUP!$B$67</f>
        <v>SH_Apt-A_ELCD_X0</v>
      </c>
      <c r="O10" s="66" t="str">
        <f>RSD_Commodities!$N$9&amp;"_"&amp;RSD_Commodities!D27&amp;"_"&amp;SETUP!$C$67</f>
        <v>Residential Space Heating Apartment-A_Electricity to Residential_Existing 00</v>
      </c>
      <c r="P10" s="83" t="str">
        <f>RSD_Commodities!$C$27</f>
        <v>RSDELCD</v>
      </c>
      <c r="Q10" s="66" t="str">
        <f>RSD_Commodities!$M$9</f>
        <v>SH_Apt-A</v>
      </c>
      <c r="R10" s="936">
        <f t="shared" si="0"/>
        <v>0.1752609440722854</v>
      </c>
      <c r="S10" s="66">
        <f>R10*DwellingStocks!$I$62/1000</f>
        <v>1.8483047722694623</v>
      </c>
      <c r="T10" s="66">
        <v>1</v>
      </c>
      <c r="U10" s="66">
        <f t="shared" si="1"/>
        <v>4.42</v>
      </c>
      <c r="V10" s="66">
        <v>20</v>
      </c>
      <c r="W10" s="66">
        <v>1</v>
      </c>
      <c r="X10" s="866"/>
      <c r="Y10" s="920">
        <f t="shared" si="2"/>
        <v>0</v>
      </c>
      <c r="Z10" s="921">
        <f t="shared" si="3"/>
        <v>0</v>
      </c>
      <c r="AA10" s="866"/>
      <c r="AB10" s="66" t="s">
        <v>393</v>
      </c>
      <c r="AC10" s="66" t="str">
        <f t="shared" si="4"/>
        <v>SH_Apt-A_ELCD_X0</v>
      </c>
      <c r="AD10" s="83" t="str">
        <f t="shared" si="5"/>
        <v>Residential Space Heating Apartment-A_Electricity to Residential_Existing 00</v>
      </c>
      <c r="AE10" s="66" t="s">
        <v>53</v>
      </c>
      <c r="AF10" s="88" t="s">
        <v>406</v>
      </c>
      <c r="AG10" s="66"/>
      <c r="AH10" s="66"/>
      <c r="AI10" s="840"/>
      <c r="AJ10" s="840"/>
      <c r="AK10" s="840"/>
      <c r="AL10" s="840"/>
      <c r="AM10" s="840"/>
      <c r="AN10" s="840"/>
    </row>
    <row r="11" spans="1:40">
      <c r="A11" s="757" t="s">
        <v>108</v>
      </c>
      <c r="B11" s="757" t="s">
        <v>583</v>
      </c>
      <c r="C11" s="757">
        <f>SUMIFS(INDEX(Table7[],,MATCH(C$6,Table7[#Headers],0)),Table7[MainSpaceHeatingFuel],$B11,Table7[EnergyRating (group)],$A11)</f>
        <v>4716</v>
      </c>
      <c r="D11" s="757">
        <f>SUMIFS(INDEX(Table7[],,MATCH($D$6,Table7[#Headers],0)),Table7[MainSpaceHeatingFuel],B11,Table7[EnergyRating (group)],A11)</f>
        <v>4287</v>
      </c>
      <c r="E11" s="760">
        <f>SUMIFS(INDEX(Table7[],,MATCH(E$6,Table7[#Headers],0)),Table7[MainSpaceHeatingFuel],$B11,Table7[EnergyRating (group)],$A11)</f>
        <v>1455</v>
      </c>
      <c r="F11" s="757">
        <f>SUMIFS(INDEX(Table7[],,MATCH(F$6,Table7[#Headers],0)),Table7[MainSpaceHeatingFuel],$B11,Table7[EnergyRating (group)],$A11)</f>
        <v>1323</v>
      </c>
      <c r="G11" s="757">
        <f>SUMIFS(INDEX(Table7[],,MATCH(G$6,Table7[#Headers],0)),Table7[MainSpaceHeatingFuel],$B11,Table7[EnergyRating (group)],$A11)</f>
        <v>5</v>
      </c>
      <c r="H11" s="757">
        <f>SUMIFS(INDEX(Table7[],,MATCH(H$6,Table7[#Headers],0)),Table7[MainSpaceHeatingFuel],$B11,Table7[EnergyRating (group)],$A11)</f>
        <v>741</v>
      </c>
      <c r="I11" s="911">
        <f>AVERAGEIFS(INDEX(Table7[],,MATCH(I$6,Table7[#Headers],0)),Table7[MainSpaceHeatingFuel],$B11,Table7[EnergyRating (group)],$A11)</f>
        <v>87</v>
      </c>
      <c r="J11" s="849">
        <f>SUMIFS(INDEX(Table7[],,MATCH(J$6,Table7[#Headers],0)),Table7[MainSpaceHeatingFuel],$B11,Table7[EnergyRating (group)],$A11)</f>
        <v>49417</v>
      </c>
      <c r="K11" s="870">
        <f>SUMIFS(INDEX(Table7[],,MATCH(K$6,Table7[#Headers],0)),Table7[MainSpaceHeatingFuel],$B11,Table7[EnergyRating (group)],$A11)</f>
        <v>33795</v>
      </c>
      <c r="L11" s="135"/>
      <c r="M11" s="840"/>
      <c r="N11" s="914" t="str">
        <f>RSD_Commodities!$M$9&amp;"_"&amp;RIGHT(P11,LEN(P11)-3)&amp;"_"&amp;SETUP!$B$67</f>
        <v>SH_Apt-A_OILKER_X0</v>
      </c>
      <c r="O11" s="914" t="str">
        <f>RSD_Commodities!$N$9&amp;"_"&amp;RSD_Commodities!D13&amp;"_"&amp;SETUP!$C$67</f>
        <v>Residential Space Heating Apartment-A_Kerosene to Residential_Existing 00</v>
      </c>
      <c r="P11" s="915" t="str">
        <f>RSD_Commodities!$C$13</f>
        <v>RSDOILKER</v>
      </c>
      <c r="Q11" s="914" t="str">
        <f>RSD_Commodities!$M$9</f>
        <v>SH_Apt-A</v>
      </c>
      <c r="R11" s="931">
        <f t="shared" si="0"/>
        <v>7.789375292101573E-4</v>
      </c>
      <c r="S11" s="914">
        <f>R11*DwellingStocks!$I$62/1000</f>
        <v>8.2146878767531649E-3</v>
      </c>
      <c r="T11" s="914">
        <v>1</v>
      </c>
      <c r="U11" s="914">
        <f t="shared" si="1"/>
        <v>0.87</v>
      </c>
      <c r="V11" s="914">
        <v>20</v>
      </c>
      <c r="W11" s="914">
        <v>1</v>
      </c>
      <c r="X11" s="866"/>
      <c r="Y11" s="922">
        <f t="shared" si="2"/>
        <v>1.8938794104898055E-8</v>
      </c>
      <c r="Z11" s="923">
        <f t="shared" si="3"/>
        <v>2.0832673515387858E-8</v>
      </c>
      <c r="AA11" s="866"/>
      <c r="AB11" s="914" t="s">
        <v>393</v>
      </c>
      <c r="AC11" s="914" t="str">
        <f t="shared" si="4"/>
        <v>SH_Apt-A_OILKER_X0</v>
      </c>
      <c r="AD11" s="915" t="str">
        <f t="shared" si="5"/>
        <v>Residential Space Heating Apartment-A_Kerosene to Residential_Existing 00</v>
      </c>
      <c r="AE11" s="914" t="s">
        <v>53</v>
      </c>
      <c r="AF11" s="916" t="s">
        <v>406</v>
      </c>
      <c r="AG11" s="914"/>
      <c r="AH11" s="914"/>
      <c r="AI11" s="840"/>
      <c r="AJ11" s="840"/>
      <c r="AK11" s="840"/>
      <c r="AL11" s="840"/>
      <c r="AM11" s="840"/>
      <c r="AN11" s="840"/>
    </row>
    <row r="12" spans="1:40">
      <c r="A12" s="758" t="s">
        <v>108</v>
      </c>
      <c r="B12" s="758" t="s">
        <v>584</v>
      </c>
      <c r="C12" s="758">
        <f>SUMIFS(INDEX(Table7[],,MATCH(C$6,Table7[#Headers],0)),Table7[MainSpaceHeatingFuel],$B12,Table7[EnergyRating (group)],$A12)</f>
        <v>-395216</v>
      </c>
      <c r="D12" s="758">
        <f>SUMIFS(INDEX(Table7[],,MATCH($D$6,Table7[#Headers],0)),Table7[MainSpaceHeatingFuel],B12,Table7[EnergyRating (group)],A12)</f>
        <v>-359287</v>
      </c>
      <c r="E12" s="759">
        <f>SUMIFS(INDEX(Table7[],,MATCH(E$6,Table7[#Headers],0)),Table7[MainSpaceHeatingFuel],$B12,Table7[EnergyRating (group)],$A12)</f>
        <v>4592</v>
      </c>
      <c r="F12" s="759">
        <f>SUMIFS(INDEX(Table7[],,MATCH(F$6,Table7[#Headers],0)),Table7[MainSpaceHeatingFuel],$B12,Table7[EnergyRating (group)],$A12)</f>
        <v>3476</v>
      </c>
      <c r="G12" s="758">
        <f>SUMIFS(INDEX(Table7[],,MATCH(G$6,Table7[#Headers],0)),Table7[MainSpaceHeatingFuel],$B12,Table7[EnergyRating (group)],$A12)</f>
        <v>1868</v>
      </c>
      <c r="H12" s="758">
        <f>SUMIFS(INDEX(Table7[],,MATCH(H$6,Table7[#Headers],0)),Table7[MainSpaceHeatingFuel],$B12,Table7[EnergyRating (group)],$A12)</f>
        <v>151241</v>
      </c>
      <c r="I12" s="912">
        <f>AVERAGEIFS(INDEX(Table7[],,MATCH(I$6,Table7[#Headers],0)),Table7[MainSpaceHeatingFuel],$B12,Table7[EnergyRating (group)],$A12)</f>
        <v>91</v>
      </c>
      <c r="J12" s="847">
        <f>SUMIFS(INDEX(Table7[],,MATCH(J$6,Table7[#Headers],0)),Table7[MainSpaceHeatingFuel],$B12,Table7[EnergyRating (group)],$A12)</f>
        <v>9022369</v>
      </c>
      <c r="K12" s="869">
        <f>SUMIFS(INDEX(Table7[],,MATCH(K$6,Table7[#Headers],0)),Table7[MainSpaceHeatingFuel],$B12,Table7[EnergyRating (group)],$A12)</f>
        <v>6231592</v>
      </c>
      <c r="L12" s="135"/>
      <c r="M12" s="840"/>
      <c r="N12" s="66" t="str">
        <f>RSD_Commodities!$M$9&amp;"_"&amp;RIGHT(P12,LEN(P12)-3)&amp;"_"&amp;SETUP!$B$67</f>
        <v>SH_Apt-A_GASNAT_X0</v>
      </c>
      <c r="O12" s="66" t="str">
        <f>RSD_Commodities!$N$9&amp;"_"&amp;RSD_Commodities!D17&amp;"_"&amp;SETUP!$C$67</f>
        <v>Residential Space Heating Apartment-A_Natural Gas to Residential_Existing 00</v>
      </c>
      <c r="P12" s="83" t="str">
        <f>RSD_Commodities!$C$17</f>
        <v>RSDGASNAT</v>
      </c>
      <c r="Q12" s="66" t="str">
        <f>RSD_Commodities!$M$9</f>
        <v>SH_Apt-A</v>
      </c>
      <c r="R12" s="936">
        <f t="shared" si="0"/>
        <v>0.29101106091291479</v>
      </c>
      <c r="S12" s="66">
        <f>R12*DwellingStocks!$I$62/1000</f>
        <v>3.0690073907549826</v>
      </c>
      <c r="T12" s="66">
        <v>1</v>
      </c>
      <c r="U12" s="66">
        <f t="shared" si="1"/>
        <v>0.91</v>
      </c>
      <c r="V12" s="66">
        <v>20</v>
      </c>
      <c r="W12" s="66">
        <v>1</v>
      </c>
      <c r="X12" s="866"/>
      <c r="Y12" s="920">
        <f t="shared" si="2"/>
        <v>0</v>
      </c>
      <c r="Z12" s="920">
        <f t="shared" si="3"/>
        <v>0</v>
      </c>
      <c r="AA12" s="866"/>
      <c r="AB12" s="66" t="s">
        <v>393</v>
      </c>
      <c r="AC12" s="66" t="str">
        <f t="shared" si="4"/>
        <v>SH_Apt-A_GASNAT_X0</v>
      </c>
      <c r="AD12" s="83" t="str">
        <f t="shared" si="5"/>
        <v>Residential Space Heating Apartment-A_Natural Gas to Residential_Existing 00</v>
      </c>
      <c r="AE12" s="66" t="s">
        <v>53</v>
      </c>
      <c r="AF12" s="88" t="s">
        <v>406</v>
      </c>
      <c r="AG12" s="66"/>
      <c r="AH12" s="66"/>
      <c r="AI12" s="840"/>
      <c r="AJ12" s="840"/>
      <c r="AK12" s="840"/>
      <c r="AL12" s="840"/>
      <c r="AM12" s="840"/>
      <c r="AN12" s="840"/>
    </row>
    <row r="13" spans="1:40">
      <c r="A13" s="757" t="s">
        <v>108</v>
      </c>
      <c r="B13" s="757" t="s">
        <v>585</v>
      </c>
      <c r="C13" s="757">
        <f>SUMIFS(INDEX(Table7[],,MATCH(C$6,Table7[#Headers],0)),Table7[MainSpaceHeatingFuel],$B13,Table7[EnergyRating (group)],$A13)</f>
        <v>-7017</v>
      </c>
      <c r="D13" s="757">
        <f>SUMIFS(INDEX(Table7[],,MATCH($D$6,Table7[#Headers],0)),Table7[MainSpaceHeatingFuel],B13,Table7[EnergyRating (group)],A13)</f>
        <v>-6379</v>
      </c>
      <c r="E13" s="760">
        <f>SUMIFS(INDEX(Table7[],,MATCH(E$6,Table7[#Headers],0)),Table7[MainSpaceHeatingFuel],$B13,Table7[EnergyRating (group)],$A13)</f>
        <v>-1244</v>
      </c>
      <c r="F13" s="757">
        <f>SUMIFS(INDEX(Table7[],,MATCH(F$6,Table7[#Headers],0)),Table7[MainSpaceHeatingFuel],$B13,Table7[EnergyRating (group)],$A13)</f>
        <v>-461</v>
      </c>
      <c r="G13" s="757">
        <f>SUMIFS(INDEX(Table7[],,MATCH(G$6,Table7[#Headers],0)),Table7[MainSpaceHeatingFuel],$B13,Table7[EnergyRating (group)],$A13)</f>
        <v>3</v>
      </c>
      <c r="H13" s="757">
        <f>SUMIFS(INDEX(Table7[],,MATCH(H$6,Table7[#Headers],0)),Table7[MainSpaceHeatingFuel],$B13,Table7[EnergyRating (group)],$A13)</f>
        <v>144</v>
      </c>
      <c r="I13" s="911">
        <f>AVERAGEIFS(INDEX(Table7[],,MATCH(I$6,Table7[#Headers],0)),Table7[MainSpaceHeatingFuel],$B13,Table7[EnergyRating (group)],$A13)</f>
        <v>65</v>
      </c>
      <c r="J13" s="849">
        <f>SUMIFS(INDEX(Table7[],,MATCH(J$6,Table7[#Headers],0)),Table7[MainSpaceHeatingFuel],$B13,Table7[EnergyRating (group)],$A13)</f>
        <v>25874</v>
      </c>
      <c r="K13" s="870">
        <f>SUMIFS(INDEX(Table7[],,MATCH(K$6,Table7[#Headers],0)),Table7[MainSpaceHeatingFuel],$B13,Table7[EnergyRating (group)],$A13)</f>
        <v>20442</v>
      </c>
      <c r="L13" s="135"/>
      <c r="M13" s="840"/>
      <c r="N13" s="914" t="str">
        <f>RSD_Commodities!$M$9&amp;"_"&amp;RIGHT(P13,LEN(P13)-3)&amp;"_"&amp;SETUP!$B$67</f>
        <v>SH_Apt-A_BIOWOO_X0</v>
      </c>
      <c r="O13" s="914" t="str">
        <f>RSD_Commodities!$N$9&amp;"_"&amp;RSD_Commodities!D19&amp;"_"&amp;SETUP!$C$67</f>
        <v>Residential Space Heating Apartment-A_Biomass &amp; Renewable Waste to Residential_Existing 00</v>
      </c>
      <c r="P13" s="915" t="str">
        <f>RSD_Commodities!$C$19</f>
        <v>RSDBIOWOO</v>
      </c>
      <c r="Q13" s="914" t="str">
        <f>RSD_Commodities!$M$9</f>
        <v>SH_Apt-A</v>
      </c>
      <c r="R13" s="931">
        <f t="shared" si="0"/>
        <v>4.6736251752609438E-4</v>
      </c>
      <c r="S13" s="914">
        <f>R13*DwellingStocks!$I$62/1000</f>
        <v>4.9288127260518995E-3</v>
      </c>
      <c r="T13" s="914">
        <v>1</v>
      </c>
      <c r="U13" s="914">
        <f t="shared" si="1"/>
        <v>0.65</v>
      </c>
      <c r="V13" s="914">
        <v>20</v>
      </c>
      <c r="W13" s="914">
        <v>1</v>
      </c>
      <c r="X13" s="866"/>
      <c r="Y13" s="922">
        <f t="shared" si="2"/>
        <v>0</v>
      </c>
      <c r="Z13" s="922">
        <f t="shared" si="3"/>
        <v>0</v>
      </c>
      <c r="AA13" s="866"/>
      <c r="AB13" s="914" t="s">
        <v>393</v>
      </c>
      <c r="AC13" s="914" t="str">
        <f t="shared" si="4"/>
        <v>SH_Apt-A_BIOWOO_X0</v>
      </c>
      <c r="AD13" s="915" t="str">
        <f t="shared" si="5"/>
        <v>Residential Space Heating Apartment-A_Biomass &amp; Renewable Waste to Residential_Existing 00</v>
      </c>
      <c r="AE13" s="914" t="s">
        <v>53</v>
      </c>
      <c r="AF13" s="916" t="s">
        <v>406</v>
      </c>
      <c r="AG13" s="914"/>
      <c r="AH13" s="914"/>
      <c r="AI13" s="840"/>
      <c r="AJ13" s="840"/>
      <c r="AK13" s="840"/>
      <c r="AL13" s="840"/>
      <c r="AM13" s="840"/>
      <c r="AN13" s="840"/>
    </row>
    <row r="14" spans="1:40" ht="15.75" thickBot="1">
      <c r="A14" s="758" t="s">
        <v>108</v>
      </c>
      <c r="B14" s="758" t="s">
        <v>587</v>
      </c>
      <c r="C14" s="758">
        <f>SUMIFS(INDEX(Table7[],,MATCH(C$6,Table7[#Headers],0)),Table7[MainSpaceHeatingFuel],"",Table7[EnergyRating (group)],$A14)</f>
        <v>0</v>
      </c>
      <c r="D14" s="758">
        <f>SUMIFS(INDEX(Table7[],,MATCH($D$6,Table7[#Headers],0)),Table7[MainSpaceHeatingFuel],"",Table7[EnergyRating (group)],$A14)</f>
        <v>0</v>
      </c>
      <c r="E14" s="759">
        <f>SUMIFS(INDEX(Table7[],,MATCH(E$6,Table7[#Headers],0)),Table7[MainSpaceHeatingFuel],"",Table7[EnergyRating (group)],$A14)</f>
        <v>0</v>
      </c>
      <c r="F14" s="759">
        <f>SUMIFS(INDEX(Table7[],,MATCH(F$6,Table7[#Headers],0)),Table7[MainSpaceHeatingFuel],"",Table7[EnergyRating (group)],$A14)</f>
        <v>0</v>
      </c>
      <c r="G14" s="758">
        <f>SUMIFS(INDEX(Table7[],,MATCH(G$6,Table7[#Headers],0)),Table7[MainSpaceHeatingFuel],"",Table7[EnergyRating (group)],$A14)</f>
        <v>3415</v>
      </c>
      <c r="H14" s="758">
        <f>SUMIFS(INDEX(Table7[],,MATCH(H$6,Table7[#Headers],0)),Table7[MainSpaceHeatingFuel],"",Table7[EnergyRating (group)],$A14)</f>
        <v>292431</v>
      </c>
      <c r="I14" s="913">
        <f>SUMIFS(INDEX(Table7[],,MATCH(I$6,Table7[#Headers],0)),Table7[MainSpaceHeatingFuel],"",Table7[EnergyRating (group)],$A14)</f>
        <v>0</v>
      </c>
      <c r="J14" s="871">
        <f>SUMIFS(INDEX(Table7[],,MATCH(J$6,Table7[#Headers],0)),Table7[MainSpaceHeatingFuel],"",Table7[EnergyRating (group)],$A14)</f>
        <v>6340226</v>
      </c>
      <c r="K14" s="872">
        <f>SUMIFS(INDEX(Table7[],,MATCH(K$6,Table7[#Headers],0)),Table7[MainSpaceHeatingFuel],"",Table7[EnergyRating (group)],$A14)</f>
        <v>2348231</v>
      </c>
      <c r="L14" s="135"/>
      <c r="M14" s="840"/>
      <c r="N14" s="66" t="str">
        <f>RSD_Commodities!$M$9&amp;"_"&amp;RIGHT(P14,LEN(P14)-3)&amp;"_"&amp;SETUP!$B$67</f>
        <v>SH_Apt-A_HET_X0</v>
      </c>
      <c r="O14" s="66" t="str">
        <f>RSD_Commodities!$N$9&amp;"_"&amp;RSD_Commodities!D28&amp;"_"&amp;SETUP!$C$67</f>
        <v>Residential Space Heating Apartment-A_Heat to Residential_Existing 00</v>
      </c>
      <c r="P14" s="83" t="str">
        <f>RSD_Commodities!$C$28</f>
        <v>RSDHET</v>
      </c>
      <c r="Q14" s="66" t="str">
        <f>RSD_Commodities!$M$9</f>
        <v>SH_Apt-A</v>
      </c>
      <c r="R14" s="936">
        <f t="shared" si="0"/>
        <v>0.53201433245053742</v>
      </c>
      <c r="S14" s="66">
        <f>R14*DwellingStocks!$I$62/1000</f>
        <v>5.6106318198224114</v>
      </c>
      <c r="T14" s="66">
        <v>1</v>
      </c>
      <c r="U14" s="917">
        <f>IF(I14=0, 1, I14)</f>
        <v>1</v>
      </c>
      <c r="V14" s="66">
        <v>20</v>
      </c>
      <c r="W14" s="66">
        <v>1</v>
      </c>
      <c r="X14" s="866"/>
      <c r="Y14" s="920">
        <f t="shared" si="2"/>
        <v>0</v>
      </c>
      <c r="Z14" s="921">
        <f t="shared" si="3"/>
        <v>0</v>
      </c>
      <c r="AA14" s="866"/>
      <c r="AB14" s="66" t="s">
        <v>393</v>
      </c>
      <c r="AC14" s="66" t="str">
        <f t="shared" si="4"/>
        <v>SH_Apt-A_HET_X0</v>
      </c>
      <c r="AD14" s="83" t="str">
        <f t="shared" si="5"/>
        <v>Residential Space Heating Apartment-A_Heat to Residential_Existing 00</v>
      </c>
      <c r="AE14" s="66" t="s">
        <v>53</v>
      </c>
      <c r="AF14" s="88" t="s">
        <v>406</v>
      </c>
      <c r="AG14" s="66"/>
      <c r="AH14" s="66"/>
      <c r="AI14" s="840"/>
      <c r="AJ14" s="840"/>
      <c r="AK14" s="840"/>
      <c r="AL14" s="840"/>
      <c r="AM14" s="840"/>
      <c r="AN14" s="840"/>
    </row>
    <row r="15" spans="1:40" ht="15" customHeight="1" thickBot="1">
      <c r="A15" s="756" t="s">
        <v>110</v>
      </c>
      <c r="B15" s="1048"/>
      <c r="C15" s="1049"/>
      <c r="D15" s="1049"/>
      <c r="E15" s="1049"/>
      <c r="F15" s="1049"/>
      <c r="G15" s="1049"/>
      <c r="H15" s="1049"/>
      <c r="I15" s="1053"/>
      <c r="J15" s="736" t="s">
        <v>565</v>
      </c>
      <c r="K15" s="737" t="s">
        <v>565</v>
      </c>
      <c r="L15" s="840"/>
      <c r="M15" s="840"/>
      <c r="N15" s="76" t="str">
        <f>AB15</f>
        <v>*B1 Rating</v>
      </c>
      <c r="O15" s="76"/>
      <c r="P15" s="76"/>
      <c r="Q15" s="76"/>
      <c r="R15" s="949">
        <f>SUM(R16:R21)</f>
        <v>1</v>
      </c>
      <c r="S15" s="76"/>
      <c r="T15" s="97"/>
      <c r="U15" s="76"/>
      <c r="V15" s="76"/>
      <c r="W15" s="76"/>
      <c r="X15" s="866"/>
      <c r="Y15" s="76"/>
      <c r="Z15" s="76"/>
      <c r="AA15" s="866"/>
      <c r="AB15" s="140" t="str">
        <f>"*"&amp; A16 &amp; " Rating"</f>
        <v>*B1 Rating</v>
      </c>
      <c r="AC15" s="141"/>
      <c r="AD15" s="141"/>
      <c r="AE15" s="141"/>
      <c r="AF15" s="141"/>
      <c r="AG15" s="141"/>
      <c r="AH15" s="141"/>
      <c r="AI15" s="840"/>
      <c r="AJ15" s="840"/>
      <c r="AK15" s="840"/>
      <c r="AL15" s="840"/>
      <c r="AM15" s="840"/>
      <c r="AN15" s="840"/>
    </row>
    <row r="16" spans="1:40">
      <c r="A16" s="758" t="s">
        <v>110</v>
      </c>
      <c r="B16" s="758" t="s">
        <v>582</v>
      </c>
      <c r="C16" s="758">
        <f>SUMIFS(INDEX(Table7[],,MATCH(C$6,Table7[#Headers],0)),Table7[MainSpaceHeatingFuel],$B16,Table7[EnergyRating (group)],$A16)</f>
        <v>150332</v>
      </c>
      <c r="D16" s="758">
        <f>SUMIFS(INDEX(Table7[],,MATCH(D$6,Table7[#Headers],0)),Table7[MainSpaceHeatingFuel],$B16,Table7[EnergyRating (group)],$A16)</f>
        <v>136666</v>
      </c>
      <c r="E16" s="759">
        <f>SUMIFS(INDEX(Table7[],,MATCH(E$6,Table7[#Headers],0)),Table7[MainSpaceHeatingFuel],$B16,Table7[EnergyRating (group)],$A16)</f>
        <v>6937</v>
      </c>
      <c r="F16" s="759">
        <f>SUMIFS(INDEX(Table7[],,MATCH(F$6,Table7[#Headers],0)),Table7[MainSpaceHeatingFuel],$B16,Table7[EnergyRating (group)],$A16)</f>
        <v>4567</v>
      </c>
      <c r="G16" s="758">
        <f>SUMIFS(INDEX(Table7[],,MATCH(G$6,Table7[#Headers],0)),Table7[MainSpaceHeatingFuel],$B16,Table7[EnergyRating (group)],$A16)</f>
        <v>44</v>
      </c>
      <c r="H16" s="758">
        <f>SUMIFS(INDEX(Table7[],,MATCH(H$6,Table7[#Headers],0)),Table7[MainSpaceHeatingFuel],$B16,Table7[EnergyRating (group)],$A16)</f>
        <v>4215</v>
      </c>
      <c r="I16" s="911">
        <f>AVERAGEIFS(INDEX(Table7[],,MATCH(I$6,Table7[#Headers],0)),Table7[MainSpaceHeatingFuel],$B16,Table7[EnergyRating (group)],$A16)</f>
        <v>90</v>
      </c>
      <c r="J16" s="849">
        <f>SUMIFS(INDEX(Table7[],,MATCH(J$6,Table7[#Headers],0)),Table7[MainSpaceHeatingFuel],$B16,Table7[EnergyRating (group)],$A16)</f>
        <v>382553</v>
      </c>
      <c r="K16" s="849">
        <f>SUMIFS(INDEX(Table7[],,MATCH(K$6,Table7[#Headers],0)),Table7[MainSpaceHeatingFuel],$B16,Table7[EnergyRating (group)],$A16)</f>
        <v>299283</v>
      </c>
      <c r="L16" s="135"/>
      <c r="M16" s="840"/>
      <c r="N16" s="914" t="str">
        <f>RSD_Commodities!$M$10&amp;"_"&amp;RIGHT(P16,LEN(P16)-3)&amp;"_"&amp;SETUP!$B$67</f>
        <v>SH_Apt-B1_OILLPG_X0</v>
      </c>
      <c r="O16" s="914" t="str">
        <f>RSD_Commodities!$N$10&amp;"_"&amp;RSD_Commodities!D11&amp;"_"&amp;SETUP!$C$67</f>
        <v>Residential Space Heating Apartment-B1_LPG to Residential_Existing 00</v>
      </c>
      <c r="P16" s="915" t="str">
        <f>RSD_Commodities!$C$11</f>
        <v>RSDOILLPG</v>
      </c>
      <c r="Q16" s="930" t="str">
        <f>RSD_Commodities!$M$10</f>
        <v>SH_Apt-B1</v>
      </c>
      <c r="R16" s="931">
        <f>G16/SUM($G$16:$G$21)</f>
        <v>1.3711436584605797E-2</v>
      </c>
      <c r="S16" s="932">
        <f>R16*DwellingStocks!$I$63/1000</f>
        <v>7.1266036424594836E-2</v>
      </c>
      <c r="T16" s="914">
        <v>1</v>
      </c>
      <c r="U16" s="914">
        <f t="shared" ref="U16:U20" si="6">I16/100</f>
        <v>0.9</v>
      </c>
      <c r="V16" s="930">
        <v>20</v>
      </c>
      <c r="W16" s="930">
        <v>1</v>
      </c>
      <c r="X16" s="866"/>
      <c r="Y16" s="918">
        <f>IF(SUM((D16+F16)*S16*1000*$B$2)&lt;=0,0,SUM((D16+F16)*S16*1000*$B$2))</f>
        <v>4.1363490913786864E-6</v>
      </c>
      <c r="Z16" s="919">
        <f>IF(SUM((C16+E16)*S16*1000*$B$2)&lt;=0,0,SUM((C16+E16)*S16*1000*$B$2))</f>
        <v>4.6060020338875098E-6</v>
      </c>
      <c r="AA16" s="866"/>
      <c r="AB16" s="939" t="s">
        <v>393</v>
      </c>
      <c r="AC16" s="914" t="str">
        <f>N16</f>
        <v>SH_Apt-B1_OILLPG_X0</v>
      </c>
      <c r="AD16" s="915" t="str">
        <f>O16</f>
        <v>Residential Space Heating Apartment-B1_LPG to Residential_Existing 00</v>
      </c>
      <c r="AE16" s="914" t="s">
        <v>53</v>
      </c>
      <c r="AF16" s="916" t="s">
        <v>406</v>
      </c>
      <c r="AG16" s="914"/>
      <c r="AH16" s="914"/>
      <c r="AI16" s="840"/>
      <c r="AJ16" s="840"/>
      <c r="AK16" s="840"/>
      <c r="AL16" s="840"/>
      <c r="AM16" s="840"/>
      <c r="AN16" s="840"/>
    </row>
    <row r="17" spans="1:40">
      <c r="A17" s="757" t="s">
        <v>110</v>
      </c>
      <c r="B17" s="757" t="s">
        <v>228</v>
      </c>
      <c r="C17" s="757">
        <f>SUMIFS(INDEX(Table7[],,MATCH(C$6,Table7[#Headers],0)),Table7[MainSpaceHeatingFuel],$B17,Table7[EnergyRating (group)],$A17)</f>
        <v>272880</v>
      </c>
      <c r="D17" s="757">
        <f>SUMIFS(INDEX(Table7[],,MATCH(D$6,Table7[#Headers],0)),Table7[MainSpaceHeatingFuel],$B17,Table7[EnergyRating (group)],$A17)</f>
        <v>101067</v>
      </c>
      <c r="E17" s="757">
        <f>SUMIFS(INDEX(Table7[],,MATCH(E$6,Table7[#Headers],0)),Table7[MainSpaceHeatingFuel],$B17,Table7[EnergyRating (group)],$A17)</f>
        <v>26010</v>
      </c>
      <c r="F17" s="757">
        <f>SUMIFS(INDEX(Table7[],,MATCH(F$6,Table7[#Headers],0)),Table7[MainSpaceHeatingFuel],$B17,Table7[EnergyRating (group)],$A17)</f>
        <v>23087</v>
      </c>
      <c r="G17" s="757">
        <f>SUMIFS(INDEX(Table7[],,MATCH(G$6,Table7[#Headers],0)),Table7[MainSpaceHeatingFuel],$B17,Table7[EnergyRating (group)],$A17)</f>
        <v>155</v>
      </c>
      <c r="H17" s="757">
        <f>SUMIFS(INDEX(Table7[],,MATCH(H$6,Table7[#Headers],0)),Table7[MainSpaceHeatingFuel],$B17,Table7[EnergyRating (group)],$A17)</f>
        <v>11455</v>
      </c>
      <c r="I17" s="912">
        <f>AVERAGEIFS(INDEX(Table7[],,MATCH(I$6,Table7[#Headers],0)),Table7[MainSpaceHeatingFuel],$B17,Table7[EnergyRating (group)],$A17)</f>
        <v>361</v>
      </c>
      <c r="J17" s="847">
        <f>SUMIFS(INDEX(Table7[],,MATCH(J$6,Table7[#Headers],0)),Table7[MainSpaceHeatingFuel],$B17,Table7[EnergyRating (group)],$A17)</f>
        <v>999852</v>
      </c>
      <c r="K17" s="847">
        <f>SUMIFS(INDEX(Table7[],,MATCH(K$6,Table7[#Headers],0)),Table7[MainSpaceHeatingFuel],$B17,Table7[EnergyRating (group)],$A17)</f>
        <v>383770</v>
      </c>
      <c r="L17" s="135"/>
      <c r="M17" s="840"/>
      <c r="N17" s="66" t="str">
        <f>RSD_Commodities!$M$10&amp;"_"&amp;RIGHT(P17,LEN(P17)-3)&amp;"_"&amp;SETUP!$B$67</f>
        <v>SH_Apt-B1_ELCD_X0</v>
      </c>
      <c r="O17" s="933" t="str">
        <f>RSD_Commodities!$N$9&amp;"_"&amp;RSD_Commodities!D27&amp;"_"&amp;SETUP!$C$67</f>
        <v>Residential Space Heating Apartment-A_Electricity to Residential_Existing 00</v>
      </c>
      <c r="P17" s="83" t="str">
        <f>RSD_Commodities!$C$27</f>
        <v>RSDELCD</v>
      </c>
      <c r="Q17" s="935" t="str">
        <f>RSD_Commodities!$M$10</f>
        <v>SH_Apt-B1</v>
      </c>
      <c r="R17" s="936">
        <f t="shared" ref="R17:R21" si="7">G17/SUM($G$16:$G$21)</f>
        <v>4.8301651604861329E-2</v>
      </c>
      <c r="S17" s="937">
        <f>R17*DwellingStocks!$I$63/1000</f>
        <v>0.2510508101320954</v>
      </c>
      <c r="T17" s="66">
        <v>1</v>
      </c>
      <c r="U17" s="66">
        <f t="shared" si="6"/>
        <v>3.61</v>
      </c>
      <c r="V17" s="935">
        <v>20</v>
      </c>
      <c r="W17" s="935">
        <v>1</v>
      </c>
      <c r="X17" s="873"/>
      <c r="Y17" s="920">
        <f t="shared" ref="Y17:Y21" si="8">IF(SUM((D17+F17)*S17*1000*$B$2)&lt;=0,0,SUM((D17+F17)*S17*1000*$B$2))</f>
        <v>1.2809162581290484E-5</v>
      </c>
      <c r="Z17" s="921">
        <f t="shared" ref="Z17:Z21" si="9">IF(SUM((C17+E17)*S17*1000*$B$2)&lt;=0,0,SUM((C17+E17)*S17*1000*$B$2))</f>
        <v>3.0836949304266585E-5</v>
      </c>
      <c r="AA17" s="873"/>
      <c r="AB17" s="941" t="s">
        <v>393</v>
      </c>
      <c r="AC17" s="933" t="str">
        <f t="shared" ref="AC17:AC21" si="10">N17</f>
        <v>SH_Apt-B1_ELCD_X0</v>
      </c>
      <c r="AD17" s="934" t="str">
        <f t="shared" ref="AD17:AD21" si="11">O17</f>
        <v>Residential Space Heating Apartment-A_Electricity to Residential_Existing 00</v>
      </c>
      <c r="AE17" s="935" t="s">
        <v>53</v>
      </c>
      <c r="AF17" s="942" t="s">
        <v>406</v>
      </c>
      <c r="AG17" s="935"/>
      <c r="AH17" s="935"/>
      <c r="AI17" s="840"/>
      <c r="AJ17" s="840"/>
      <c r="AK17" s="840"/>
      <c r="AL17" s="840"/>
      <c r="AM17" s="840"/>
      <c r="AN17" s="840"/>
    </row>
    <row r="18" spans="1:40">
      <c r="A18" s="758" t="s">
        <v>110</v>
      </c>
      <c r="B18" s="758" t="s">
        <v>583</v>
      </c>
      <c r="C18" s="758">
        <f>SUMIFS(INDEX(Table7[],,MATCH(C$6,Table7[#Headers],0)),Table7[MainSpaceHeatingFuel],$B18,Table7[EnergyRating (group)],$A18)</f>
        <v>188473</v>
      </c>
      <c r="D18" s="758">
        <f>SUMIFS(INDEX(Table7[],,MATCH(D$6,Table7[#Headers],0)),Table7[MainSpaceHeatingFuel],$B18,Table7[EnergyRating (group)],$A18)</f>
        <v>171339</v>
      </c>
      <c r="E18" s="759">
        <f>SUMIFS(INDEX(Table7[],,MATCH(E$6,Table7[#Headers],0)),Table7[MainSpaceHeatingFuel],$B18,Table7[EnergyRating (group)],$A18)</f>
        <v>23903</v>
      </c>
      <c r="F18" s="759">
        <f>SUMIFS(INDEX(Table7[],,MATCH(F$6,Table7[#Headers],0)),Table7[MainSpaceHeatingFuel],$B18,Table7[EnergyRating (group)],$A18)</f>
        <v>21212</v>
      </c>
      <c r="G18" s="758">
        <f>SUMIFS(INDEX(Table7[],,MATCH(G$6,Table7[#Headers],0)),Table7[MainSpaceHeatingFuel],$B18,Table7[EnergyRating (group)],$A18)</f>
        <v>25</v>
      </c>
      <c r="H18" s="758">
        <f>SUMIFS(INDEX(Table7[],,MATCH(H$6,Table7[#Headers],0)),Table7[MainSpaceHeatingFuel],$B18,Table7[EnergyRating (group)],$A18)</f>
        <v>4168</v>
      </c>
      <c r="I18" s="911">
        <f>AVERAGEIFS(INDEX(Table7[],,MATCH(I$6,Table7[#Headers],0)),Table7[MainSpaceHeatingFuel],$B18,Table7[EnergyRating (group)],$A18)</f>
        <v>93.5</v>
      </c>
      <c r="J18" s="849">
        <f>SUMIFS(INDEX(Table7[],,MATCH(J$6,Table7[#Headers],0)),Table7[MainSpaceHeatingFuel],$B18,Table7[EnergyRating (group)],$A18)</f>
        <v>392097</v>
      </c>
      <c r="K18" s="849">
        <f>SUMIFS(INDEX(Table7[],,MATCH(K$6,Table7[#Headers],0)),Table7[MainSpaceHeatingFuel],$B18,Table7[EnergyRating (group)],$A18)</f>
        <v>309550</v>
      </c>
      <c r="L18" s="135"/>
      <c r="M18" s="840"/>
      <c r="N18" s="914" t="str">
        <f>RSD_Commodities!$M$10&amp;"_"&amp;RIGHT(P18,LEN(P18)-3)&amp;"_"&amp;SETUP!$B$67</f>
        <v>SH_Apt-B1_OILKER_X0</v>
      </c>
      <c r="O18" s="914" t="str">
        <f>RSD_Commodities!$N$9&amp;"_"&amp;RSD_Commodities!D13&amp;"_"&amp;SETUP!$C$67</f>
        <v>Residential Space Heating Apartment-A_Kerosene to Residential_Existing 00</v>
      </c>
      <c r="P18" s="915" t="str">
        <f>RSD_Commodities!$C$13</f>
        <v>RSDOILKER</v>
      </c>
      <c r="Q18" s="930" t="str">
        <f>RSD_Commodities!$M$10</f>
        <v>SH_Apt-B1</v>
      </c>
      <c r="R18" s="931">
        <f t="shared" si="7"/>
        <v>7.7905889685260209E-3</v>
      </c>
      <c r="S18" s="932">
        <f>R18*DwellingStocks!$I$63/1000</f>
        <v>4.0492066150337971E-2</v>
      </c>
      <c r="T18" s="914">
        <v>1</v>
      </c>
      <c r="U18" s="916">
        <f t="shared" si="6"/>
        <v>0.93500000000000005</v>
      </c>
      <c r="V18" s="930">
        <v>20</v>
      </c>
      <c r="W18" s="930">
        <v>1</v>
      </c>
      <c r="X18" s="840"/>
      <c r="Y18" s="922">
        <f t="shared" si="8"/>
        <v>3.2041593819097512E-6</v>
      </c>
      <c r="Z18" s="923">
        <f t="shared" si="9"/>
        <v>3.53405878386747E-6</v>
      </c>
      <c r="AA18" s="840"/>
      <c r="AB18" s="939" t="s">
        <v>393</v>
      </c>
      <c r="AC18" s="914" t="str">
        <f t="shared" si="10"/>
        <v>SH_Apt-B1_OILKER_X0</v>
      </c>
      <c r="AD18" s="915" t="str">
        <f t="shared" si="11"/>
        <v>Residential Space Heating Apartment-A_Kerosene to Residential_Existing 00</v>
      </c>
      <c r="AE18" s="930" t="s">
        <v>53</v>
      </c>
      <c r="AF18" s="940" t="s">
        <v>406</v>
      </c>
      <c r="AG18" s="930"/>
      <c r="AH18" s="930"/>
      <c r="AI18" s="840"/>
      <c r="AJ18" s="840"/>
      <c r="AK18" s="840"/>
      <c r="AL18" s="840"/>
      <c r="AM18" s="840"/>
      <c r="AN18" s="840"/>
    </row>
    <row r="19" spans="1:40">
      <c r="A19" s="757" t="s">
        <v>110</v>
      </c>
      <c r="B19" s="757" t="s">
        <v>584</v>
      </c>
      <c r="C19" s="757">
        <f>SUMIFS(INDEX(Table7[],,MATCH(C$6,Table7[#Headers],0)),Table7[MainSpaceHeatingFuel],$B19,Table7[EnergyRating (group)],$A19)</f>
        <v>5211775</v>
      </c>
      <c r="D19" s="757">
        <f>SUMIFS(INDEX(Table7[],,MATCH(D$6,Table7[#Headers],0)),Table7[MainSpaceHeatingFuel],$B19,Table7[EnergyRating (group)],$A19)</f>
        <v>4737977</v>
      </c>
      <c r="E19" s="760">
        <f>SUMIFS(INDEX(Table7[],,MATCH(E$6,Table7[#Headers],0)),Table7[MainSpaceHeatingFuel],$B19,Table7[EnergyRating (group)],$A19)</f>
        <v>186179</v>
      </c>
      <c r="F19" s="760">
        <f>SUMIFS(INDEX(Table7[],,MATCH(F$6,Table7[#Headers],0)),Table7[MainSpaceHeatingFuel],$B19,Table7[EnergyRating (group)],$A19)</f>
        <v>108346</v>
      </c>
      <c r="G19" s="757">
        <f>SUMIFS(INDEX(Table7[],,MATCH(G$6,Table7[#Headers],0)),Table7[MainSpaceHeatingFuel],$B19,Table7[EnergyRating (group)],$A19)</f>
        <v>2296</v>
      </c>
      <c r="H19" s="757">
        <f>SUMIFS(INDEX(Table7[],,MATCH(H$6,Table7[#Headers],0)),Table7[MainSpaceHeatingFuel],$B19,Table7[EnergyRating (group)],$A19)</f>
        <v>191367</v>
      </c>
      <c r="I19" s="912">
        <f>AVERAGEIFS(INDEX(Table7[],,MATCH(I$6,Table7[#Headers],0)),Table7[MainSpaceHeatingFuel],$B19,Table7[EnergyRating (group)],$A19)</f>
        <v>88</v>
      </c>
      <c r="J19" s="847">
        <f>SUMIFS(INDEX(Table7[],,MATCH(J$6,Table7[#Headers],0)),Table7[MainSpaceHeatingFuel],$B19,Table7[EnergyRating (group)],$A19)</f>
        <v>17527477</v>
      </c>
      <c r="K19" s="847">
        <f>SUMIFS(INDEX(Table7[],,MATCH(K$6,Table7[#Headers],0)),Table7[MainSpaceHeatingFuel],$B19,Table7[EnergyRating (group)],$A19)</f>
        <v>13235055</v>
      </c>
      <c r="L19" s="135"/>
      <c r="M19" s="840"/>
      <c r="N19" s="66" t="str">
        <f>RSD_Commodities!$M$10&amp;"_"&amp;RIGHT(P19,LEN(P19)-3)&amp;"_"&amp;SETUP!$B$67</f>
        <v>SH_Apt-B1_GASNAT_X0</v>
      </c>
      <c r="O19" s="933" t="str">
        <f>RSD_Commodities!$N$9&amp;"_"&amp;RSD_Commodities!D17&amp;"_"&amp;SETUP!$C$67</f>
        <v>Residential Space Heating Apartment-A_Natural Gas to Residential_Existing 00</v>
      </c>
      <c r="P19" s="83" t="str">
        <f>RSD_Commodities!$C$17</f>
        <v>RSDGASNAT</v>
      </c>
      <c r="Q19" s="935" t="str">
        <f>RSD_Commodities!$M$10</f>
        <v>SH_Apt-B1</v>
      </c>
      <c r="R19" s="936">
        <f t="shared" si="7"/>
        <v>0.71548769086942976</v>
      </c>
      <c r="S19" s="937">
        <f>R19*DwellingStocks!$I$63/1000</f>
        <v>3.7187913552470393</v>
      </c>
      <c r="T19" s="66">
        <v>1</v>
      </c>
      <c r="U19" s="66">
        <f t="shared" si="6"/>
        <v>0.88</v>
      </c>
      <c r="V19" s="935">
        <v>20</v>
      </c>
      <c r="W19" s="935">
        <v>1</v>
      </c>
      <c r="X19" s="935"/>
      <c r="Y19" s="920">
        <f t="shared" si="8"/>
        <v>7.4064920864937937E-3</v>
      </c>
      <c r="Z19" s="921">
        <f t="shared" si="9"/>
        <v>8.249533426529251E-3</v>
      </c>
      <c r="AA19" s="840"/>
      <c r="AB19" s="941" t="s">
        <v>393</v>
      </c>
      <c r="AC19" s="933" t="str">
        <f t="shared" si="10"/>
        <v>SH_Apt-B1_GASNAT_X0</v>
      </c>
      <c r="AD19" s="934" t="str">
        <f t="shared" si="11"/>
        <v>Residential Space Heating Apartment-A_Natural Gas to Residential_Existing 00</v>
      </c>
      <c r="AE19" s="935" t="s">
        <v>53</v>
      </c>
      <c r="AF19" s="942" t="s">
        <v>406</v>
      </c>
      <c r="AG19" s="935"/>
      <c r="AH19" s="935"/>
      <c r="AI19" s="840"/>
      <c r="AJ19" s="840"/>
      <c r="AK19" s="840"/>
      <c r="AL19" s="840"/>
      <c r="AM19" s="840"/>
      <c r="AN19" s="840"/>
    </row>
    <row r="20" spans="1:40">
      <c r="A20" s="758" t="s">
        <v>110</v>
      </c>
      <c r="B20" s="758" t="s">
        <v>585</v>
      </c>
      <c r="C20" s="758">
        <f>SUMIFS(INDEX(Table7[],,MATCH(C$6,Table7[#Headers],0)),Table7[MainSpaceHeatingFuel],$B20,Table7[EnergyRating (group)],$A20)</f>
        <v>2225</v>
      </c>
      <c r="D20" s="758">
        <f>SUMIFS(INDEX(Table7[],,MATCH(D$6,Table7[#Headers],0)),Table7[MainSpaceHeatingFuel],$B20,Table7[EnergyRating (group)],$A20)</f>
        <v>2022</v>
      </c>
      <c r="E20" s="758">
        <f>SUMIFS(INDEX(Table7[],,MATCH(E$6,Table7[#Headers],0)),Table7[MainSpaceHeatingFuel],$B20,Table7[EnergyRating (group)],$A20)</f>
        <v>174</v>
      </c>
      <c r="F20" s="758">
        <f>SUMIFS(INDEX(Table7[],,MATCH(F$6,Table7[#Headers],0)),Table7[MainSpaceHeatingFuel],$B20,Table7[EnergyRating (group)],$A20)</f>
        <v>239</v>
      </c>
      <c r="G20" s="758">
        <f>SUMIFS(INDEX(Table7[],,MATCH(G$6,Table7[#Headers],0)),Table7[MainSpaceHeatingFuel],$B20,Table7[EnergyRating (group)],$A20)</f>
        <v>2</v>
      </c>
      <c r="H20" s="758">
        <f>SUMIFS(INDEX(Table7[],,MATCH(H$6,Table7[#Headers],0)),Table7[MainSpaceHeatingFuel],$B20,Table7[EnergyRating (group)],$A20)</f>
        <v>168</v>
      </c>
      <c r="I20" s="911">
        <f>AVERAGEIFS(INDEX(Table7[],,MATCH(I$6,Table7[#Headers],0)),Table7[MainSpaceHeatingFuel],$B20,Table7[EnergyRating (group)],$A20)</f>
        <v>70</v>
      </c>
      <c r="J20" s="849">
        <f>SUMIFS(INDEX(Table7[],,MATCH(J$6,Table7[#Headers],0)),Table7[MainSpaceHeatingFuel],$B20,Table7[EnergyRating (group)],$A20)</f>
        <v>14735</v>
      </c>
      <c r="K20" s="849">
        <f>SUMIFS(INDEX(Table7[],,MATCH(K$6,Table7[#Headers],0)),Table7[MainSpaceHeatingFuel],$B20,Table7[EnergyRating (group)],$A20)</f>
        <v>11840</v>
      </c>
      <c r="L20" s="135"/>
      <c r="M20" s="840"/>
      <c r="N20" s="914" t="str">
        <f>RSD_Commodities!$M$10&amp;"_"&amp;RIGHT(P20,LEN(P20)-3)&amp;"_"&amp;SETUP!$B$67</f>
        <v>SH_Apt-B1_BIOWOO_X0</v>
      </c>
      <c r="O20" s="914" t="str">
        <f>RSD_Commodities!$N$9&amp;"_"&amp;RSD_Commodities!D19&amp;"_"&amp;SETUP!$C$67</f>
        <v>Residential Space Heating Apartment-A_Biomass &amp; Renewable Waste to Residential_Existing 00</v>
      </c>
      <c r="P20" s="915" t="str">
        <f>RSD_Commodities!$C$19</f>
        <v>RSDBIOWOO</v>
      </c>
      <c r="Q20" s="930" t="str">
        <f>RSD_Commodities!$M$10</f>
        <v>SH_Apt-B1</v>
      </c>
      <c r="R20" s="931">
        <f t="shared" si="7"/>
        <v>6.2324711748208163E-4</v>
      </c>
      <c r="S20" s="932">
        <f>R20*DwellingStocks!$I$63/1000</f>
        <v>3.2393652920270377E-3</v>
      </c>
      <c r="T20" s="914">
        <v>1</v>
      </c>
      <c r="U20" s="914">
        <f t="shared" si="6"/>
        <v>0.7</v>
      </c>
      <c r="V20" s="930">
        <v>20</v>
      </c>
      <c r="W20" s="930">
        <v>1</v>
      </c>
      <c r="X20" s="840"/>
      <c r="Y20" s="922">
        <f t="shared" si="8"/>
        <v>3.0099472295643014E-9</v>
      </c>
      <c r="Z20" s="923">
        <f t="shared" si="9"/>
        <v>3.1936591790025471E-9</v>
      </c>
      <c r="AA20" s="840"/>
      <c r="AB20" s="939" t="s">
        <v>393</v>
      </c>
      <c r="AC20" s="914" t="str">
        <f t="shared" si="10"/>
        <v>SH_Apt-B1_BIOWOO_X0</v>
      </c>
      <c r="AD20" s="915" t="str">
        <f t="shared" si="11"/>
        <v>Residential Space Heating Apartment-A_Biomass &amp; Renewable Waste to Residential_Existing 00</v>
      </c>
      <c r="AE20" s="930" t="s">
        <v>53</v>
      </c>
      <c r="AF20" s="940" t="s">
        <v>406</v>
      </c>
      <c r="AG20" s="930"/>
      <c r="AH20" s="930"/>
      <c r="AI20" s="840"/>
      <c r="AJ20" s="840"/>
      <c r="AK20" s="840"/>
      <c r="AL20" s="840"/>
      <c r="AM20" s="840"/>
      <c r="AN20" s="840"/>
    </row>
    <row r="21" spans="1:40" ht="15.75" thickBot="1">
      <c r="A21" s="757" t="s">
        <v>110</v>
      </c>
      <c r="B21" s="757" t="s">
        <v>587</v>
      </c>
      <c r="C21" s="757">
        <f>SUMIFS(INDEX(Table7[],,MATCH(C$6,Table7[#Headers],0)),Table7[MainSpaceHeatingFuel],"",Table7[EnergyRating (group)],$A21)</f>
        <v>0</v>
      </c>
      <c r="D21" s="757">
        <f>SUMIFS(INDEX(Table7[],,MATCH(D$6,Table7[#Headers],0)),Table7[MainSpaceHeatingFuel],"",Table7[EnergyRating (group)],$A21)</f>
        <v>0</v>
      </c>
      <c r="E21" s="760">
        <f>SUMIFS(INDEX(Table7[],,MATCH(E$6,Table7[#Headers],0)),Table7[MainSpaceHeatingFuel],"",Table7[EnergyRating (group)],$A21)</f>
        <v>0</v>
      </c>
      <c r="F21" s="757">
        <f>SUMIFS(INDEX(Table7[],,MATCH(F$6,Table7[#Headers],0)),Table7[MainSpaceHeatingFuel],"",Table7[EnergyRating (group)],$A21)</f>
        <v>0</v>
      </c>
      <c r="G21" s="757">
        <f>SUMIFS(INDEX(Table7[],,MATCH(G$6,Table7[#Headers],0)),Table7[MainSpaceHeatingFuel],"",Table7[EnergyRating (group)],$A21)</f>
        <v>687</v>
      </c>
      <c r="H21" s="757">
        <f>SUMIFS(INDEX(Table7[],,MATCH(H$6,Table7[#Headers],0)),Table7[MainSpaceHeatingFuel],"",Table7[EnergyRating (group)],$A21)</f>
        <v>52639</v>
      </c>
      <c r="I21" s="913">
        <f>SUMIFS(INDEX(Table7[],,MATCH(I$6,Table7[#Headers],0)),Table7[MainSpaceHeatingFuel],"",Table7[EnergyRating (group)],$A21)</f>
        <v>0</v>
      </c>
      <c r="J21" s="847">
        <f>SUMIFS(INDEX(Table7[],,MATCH(J$6,Table7[#Headers],0)),Table7[MainSpaceHeatingFuel],"",Table7[EnergyRating (group)],$A21)</f>
        <v>1220044</v>
      </c>
      <c r="K21" s="847">
        <f>SUMIFS(INDEX(Table7[],,MATCH(K$6,Table7[#Headers],0)),Table7[MainSpaceHeatingFuel],"",Table7[EnergyRating (group)],$A21)</f>
        <v>451869</v>
      </c>
      <c r="L21" s="135"/>
      <c r="M21" s="840"/>
      <c r="N21" s="66" t="str">
        <f>RSD_Commodities!$M$10&amp;"_"&amp;RIGHT(P21,LEN(P21)-3)&amp;"_"&amp;SETUP!$B$67</f>
        <v>SH_Apt-B1_HET_X0</v>
      </c>
      <c r="O21" s="933" t="str">
        <f>RSD_Commodities!$N$9&amp;"_"&amp;RSD_Commodities!D28&amp;"_"&amp;SETUP!$C$67</f>
        <v>Residential Space Heating Apartment-A_Heat to Residential_Existing 00</v>
      </c>
      <c r="P21" s="83" t="str">
        <f>RSD_Commodities!$C$28</f>
        <v>RSDHET</v>
      </c>
      <c r="Q21" s="935" t="str">
        <f>RSD_Commodities!$M$10</f>
        <v>SH_Apt-B1</v>
      </c>
      <c r="R21" s="936">
        <f t="shared" si="7"/>
        <v>0.21408538485509504</v>
      </c>
      <c r="S21" s="937">
        <f>R21*DwellingStocks!$I$63/1000</f>
        <v>1.1127219778112873</v>
      </c>
      <c r="T21" s="66">
        <v>1</v>
      </c>
      <c r="U21" s="917">
        <f>IF(I21=0, 1, I21)</f>
        <v>1</v>
      </c>
      <c r="V21" s="935">
        <v>20</v>
      </c>
      <c r="W21" s="935">
        <v>1</v>
      </c>
      <c r="X21" s="935"/>
      <c r="Y21" s="920">
        <f t="shared" si="8"/>
        <v>0</v>
      </c>
      <c r="Z21" s="920">
        <f t="shared" si="9"/>
        <v>0</v>
      </c>
      <c r="AA21" s="840"/>
      <c r="AB21" s="941" t="s">
        <v>393</v>
      </c>
      <c r="AC21" s="933" t="str">
        <f t="shared" si="10"/>
        <v>SH_Apt-B1_HET_X0</v>
      </c>
      <c r="AD21" s="934" t="str">
        <f t="shared" si="11"/>
        <v>Residential Space Heating Apartment-A_Heat to Residential_Existing 00</v>
      </c>
      <c r="AE21" s="935" t="s">
        <v>53</v>
      </c>
      <c r="AF21" s="942" t="s">
        <v>406</v>
      </c>
      <c r="AG21" s="840"/>
      <c r="AH21" s="840"/>
      <c r="AI21" s="840"/>
      <c r="AJ21" s="840"/>
      <c r="AK21" s="840"/>
      <c r="AL21" s="840"/>
      <c r="AM21" s="840"/>
      <c r="AN21" s="840"/>
    </row>
    <row r="22" spans="1:40" ht="15.75" thickBot="1">
      <c r="A22" s="756" t="s">
        <v>112</v>
      </c>
      <c r="B22" s="1048"/>
      <c r="C22" s="1049"/>
      <c r="D22" s="1049"/>
      <c r="E22" s="1049"/>
      <c r="F22" s="1049"/>
      <c r="G22" s="1049"/>
      <c r="H22" s="1049"/>
      <c r="I22" s="1053"/>
      <c r="J22" s="736" t="s">
        <v>565</v>
      </c>
      <c r="K22" s="737" t="s">
        <v>565</v>
      </c>
      <c r="L22" s="135"/>
      <c r="M22" s="840"/>
      <c r="N22" s="76" t="str">
        <f>AB22</f>
        <v>*B2 Rating</v>
      </c>
      <c r="O22" s="76"/>
      <c r="P22" s="76"/>
      <c r="Q22" s="76"/>
      <c r="R22" s="949">
        <f>SUM(R23:R29)</f>
        <v>1</v>
      </c>
      <c r="S22" s="76"/>
      <c r="T22" s="97"/>
      <c r="U22" s="76"/>
      <c r="V22" s="76"/>
      <c r="W22" s="76"/>
      <c r="X22" s="840"/>
      <c r="Y22" s="76"/>
      <c r="Z22" s="76"/>
      <c r="AA22" s="840"/>
      <c r="AB22" s="140" t="str">
        <f>"*"&amp; A23 &amp; " Rating"</f>
        <v>*B2 Rating</v>
      </c>
      <c r="AC22" s="141"/>
      <c r="AD22" s="141"/>
      <c r="AE22" s="141"/>
      <c r="AF22" s="141"/>
      <c r="AG22" s="141"/>
      <c r="AH22" s="141"/>
      <c r="AI22" s="840"/>
      <c r="AJ22" s="840"/>
      <c r="AK22" s="840"/>
      <c r="AL22" s="840"/>
      <c r="AM22" s="840"/>
      <c r="AN22" s="840"/>
    </row>
    <row r="23" spans="1:40">
      <c r="A23" s="758" t="s">
        <v>112</v>
      </c>
      <c r="B23" s="758" t="s">
        <v>582</v>
      </c>
      <c r="C23" s="758">
        <f>SUMIFS(INDEX(Table7[],,MATCH(C$6,Table7[#Headers],0)),Table7[MainSpaceHeatingFuel],$B23,Table7[EnergyRating (group)],$A23)</f>
        <v>875874</v>
      </c>
      <c r="D23" s="758">
        <f>SUMIFS(INDEX(Table7[],,MATCH(D$6,Table7[#Headers],0)),Table7[MainSpaceHeatingFuel],$B23,Table7[EnergyRating (group)],$A23)</f>
        <v>796249</v>
      </c>
      <c r="E23" s="759">
        <f>SUMIFS(INDEX(Table7[],,MATCH(E$6,Table7[#Headers],0)),Table7[MainSpaceHeatingFuel],$B23,Table7[EnergyRating (group)],$A23)</f>
        <v>53630</v>
      </c>
      <c r="F23" s="759">
        <f>SUMIFS(INDEX(Table7[],,MATCH(F$6,Table7[#Headers],0)),Table7[MainSpaceHeatingFuel],$B23,Table7[EnergyRating (group)],$A23)</f>
        <v>47761</v>
      </c>
      <c r="G23" s="758">
        <f>SUMIFS(INDEX(Table7[],,MATCH(G$6,Table7[#Headers],0)),Table7[MainSpaceHeatingFuel],$B23,Table7[EnergyRating (group)],$A23)</f>
        <v>177</v>
      </c>
      <c r="H23" s="758">
        <f>SUMIFS(INDEX(Table7[],,MATCH(H$6,Table7[#Headers],0)),Table7[MainSpaceHeatingFuel],$B23,Table7[EnergyRating (group)],$A23)</f>
        <v>16444</v>
      </c>
      <c r="I23" s="911">
        <f>AVERAGEIFS(INDEX(Table7[],,MATCH(I$6,Table7[#Headers],0)),Table7[MainSpaceHeatingFuel],$B23,Table7[EnergyRating (group)],$A23)</f>
        <v>86.333333333333329</v>
      </c>
      <c r="J23" s="849">
        <f>SUMIFS(INDEX(Table7[],,MATCH(J$6,Table7[#Headers],0)),Table7[MainSpaceHeatingFuel],$B23,Table7[EnergyRating (group)],$A23)</f>
        <v>1910332</v>
      </c>
      <c r="K23" s="849">
        <f>SUMIFS(INDEX(Table7[],,MATCH(K$6,Table7[#Headers],0)),Table7[MainSpaceHeatingFuel],$B23,Table7[EnergyRating (group)],$A23)</f>
        <v>1512265</v>
      </c>
      <c r="L23" s="135"/>
      <c r="M23" s="840"/>
      <c r="N23" s="914" t="str">
        <f>RSD_Commodities!$M$11&amp;"_"&amp;RIGHT(P23,LEN(P23)-3)&amp;"_"&amp;SETUP!$B$67</f>
        <v>SH_Apt-B2_OILLPG_X0</v>
      </c>
      <c r="O23" s="930" t="str">
        <f>RSD_Commodities!$N$11&amp;"_"&amp;RSD_Commodities!D11&amp;"_"&amp;SETUP!$C$67</f>
        <v>Residential Space Heating Apartment-B2_LPG to Residential_Existing 00</v>
      </c>
      <c r="P23" s="915" t="str">
        <f>RSD_Commodities!$C$11</f>
        <v>RSDOILLPG</v>
      </c>
      <c r="Q23" s="930" t="str">
        <f>RSD_Commodities!$M$11</f>
        <v>SH_Apt-B2</v>
      </c>
      <c r="R23" s="931">
        <f>G23/SUM($G$23:$G$29)</f>
        <v>2.0427005193306404E-2</v>
      </c>
      <c r="S23" s="932">
        <f>R23*DwellingStocks!$I$64/1000</f>
        <v>0.28555646188095812</v>
      </c>
      <c r="T23" s="914">
        <v>1</v>
      </c>
      <c r="U23" s="916">
        <f t="shared" ref="U23:U29" si="12">I23/100</f>
        <v>0.86333333333333329</v>
      </c>
      <c r="V23" s="930">
        <v>20</v>
      </c>
      <c r="W23" s="930">
        <v>1</v>
      </c>
      <c r="X23" s="840"/>
      <c r="Y23" s="918">
        <f>IF(SUM((D23+F23)*S23*1000*$B$2)&lt;=0,0,SUM((D23+F23)*S23*1000*$B$2))</f>
        <v>9.9046236736498975E-5</v>
      </c>
      <c r="Z23" s="919">
        <f>IF(SUM((C23+E23)*S23*1000*$B$2)&lt;=0,0,SUM((C23+E23)*S23*1000*$B$2))</f>
        <v>1.0907912611405405E-4</v>
      </c>
      <c r="AA23" s="840"/>
      <c r="AB23" s="939" t="s">
        <v>393</v>
      </c>
      <c r="AC23" s="930" t="str">
        <f>N23</f>
        <v>SH_Apt-B2_OILLPG_X0</v>
      </c>
      <c r="AD23" s="915" t="str">
        <f>O23</f>
        <v>Residential Space Heating Apartment-B2_LPG to Residential_Existing 00</v>
      </c>
      <c r="AE23" s="914" t="s">
        <v>53</v>
      </c>
      <c r="AF23" s="916" t="s">
        <v>406</v>
      </c>
      <c r="AG23" s="914"/>
      <c r="AH23" s="914"/>
      <c r="AI23" s="840"/>
      <c r="AJ23" s="840"/>
      <c r="AK23" s="840"/>
      <c r="AL23" s="840"/>
      <c r="AM23" s="840"/>
      <c r="AN23" s="840"/>
    </row>
    <row r="24" spans="1:40">
      <c r="A24" s="757" t="s">
        <v>112</v>
      </c>
      <c r="B24" s="757" t="s">
        <v>228</v>
      </c>
      <c r="C24" s="757">
        <f>SUMIFS(INDEX(Table7[],,MATCH(C$6,Table7[#Headers],0)),Table7[MainSpaceHeatingFuel],$B24,Table7[EnergyRating (group)],$A24)</f>
        <v>531175</v>
      </c>
      <c r="D24" s="757">
        <f>SUMIFS(INDEX(Table7[],,MATCH(D$6,Table7[#Headers],0)),Table7[MainSpaceHeatingFuel],$B24,Table7[EnergyRating (group)],$A24)</f>
        <v>196731</v>
      </c>
      <c r="E24" s="757">
        <f>SUMIFS(INDEX(Table7[],,MATCH(E$6,Table7[#Headers],0)),Table7[MainSpaceHeatingFuel],$B24,Table7[EnergyRating (group)],$A24)</f>
        <v>53805</v>
      </c>
      <c r="F24" s="757">
        <f>SUMIFS(INDEX(Table7[],,MATCH(F$6,Table7[#Headers],0)),Table7[MainSpaceHeatingFuel],$B24,Table7[EnergyRating (group)],$A24)</f>
        <v>36877</v>
      </c>
      <c r="G24" s="757">
        <f>SUMIFS(INDEX(Table7[],,MATCH(G$6,Table7[#Headers],0)),Table7[MainSpaceHeatingFuel],$B24,Table7[EnergyRating (group)],$A24)</f>
        <v>359</v>
      </c>
      <c r="H24" s="757">
        <f>SUMIFS(INDEX(Table7[],,MATCH(H$6,Table7[#Headers],0)),Table7[MainSpaceHeatingFuel],$B24,Table7[EnergyRating (group)],$A24)</f>
        <v>26049</v>
      </c>
      <c r="I24" s="912">
        <f>AVERAGEIFS(INDEX(Table7[],,MATCH(I$6,Table7[#Headers],0)),Table7[MainSpaceHeatingFuel],$B24,Table7[EnergyRating (group)],$A24)</f>
        <v>173</v>
      </c>
      <c r="J24" s="847">
        <f>SUMIFS(INDEX(Table7[],,MATCH(J$6,Table7[#Headers],0)),Table7[MainSpaceHeatingFuel],$B24,Table7[EnergyRating (group)],$A24)</f>
        <v>2968904</v>
      </c>
      <c r="K24" s="847">
        <f>SUMIFS(INDEX(Table7[],,MATCH(K$6,Table7[#Headers],0)),Table7[MainSpaceHeatingFuel],$B24,Table7[EnergyRating (group)],$A24)</f>
        <v>1117886</v>
      </c>
      <c r="L24" s="135"/>
      <c r="M24" s="840"/>
      <c r="N24" s="66" t="str">
        <f>RSD_Commodities!$M$11&amp;"_"&amp;RIGHT(P24,LEN(P24)-3)&amp;"_"&amp;SETUP!$B$67</f>
        <v>SH_Apt-B2_ELCD_X0</v>
      </c>
      <c r="O24" s="935" t="str">
        <f>RSD_Commodities!$N$11&amp;"_"&amp;RSD_Commodities!D27&amp;"_"&amp;SETUP!$C$67</f>
        <v>Residential Space Heating Apartment-B2_Electricity to Residential_Existing 00</v>
      </c>
      <c r="P24" s="934" t="str">
        <f>RSD_Commodities!$C$27</f>
        <v>RSDELCD</v>
      </c>
      <c r="Q24" s="935" t="str">
        <f>RSD_Commodities!$M$11</f>
        <v>SH_Apt-B2</v>
      </c>
      <c r="R24" s="936">
        <f t="shared" ref="R24:R29" si="13">G24/SUM($G$23:$G$29)</f>
        <v>4.1431044431621468E-2</v>
      </c>
      <c r="S24" s="937">
        <f>R24*DwellingStocks!$I$64/1000</f>
        <v>0.57917949048171735</v>
      </c>
      <c r="T24" s="66">
        <v>1</v>
      </c>
      <c r="U24" s="66">
        <f t="shared" si="12"/>
        <v>1.73</v>
      </c>
      <c r="V24" s="935">
        <v>20</v>
      </c>
      <c r="W24" s="935">
        <v>1</v>
      </c>
      <c r="X24" s="840"/>
      <c r="Y24" s="920">
        <f t="shared" ref="Y24:Y28" si="14">IF(SUM((D24+F24)*S24*1000*$B$2)&lt;=0,0,SUM((D24+F24)*S24*1000*$B$2))</f>
        <v>5.5603135237994403E-5</v>
      </c>
      <c r="Z24" s="921">
        <f t="shared" ref="Z24:Z28" si="15">IF(SUM((C24+E24)*S24*1000*$B$2)&lt;=0,0,SUM((C24+E24)*S24*1000*$B$2))</f>
        <v>1.3923633630492951E-4</v>
      </c>
      <c r="AA24" s="840"/>
      <c r="AB24" s="941" t="s">
        <v>393</v>
      </c>
      <c r="AC24" s="935" t="str">
        <f t="shared" ref="AC24:AC29" si="16">N24</f>
        <v>SH_Apt-B2_ELCD_X0</v>
      </c>
      <c r="AD24" s="934" t="str">
        <f t="shared" ref="AD24:AD29" si="17">O24</f>
        <v>Residential Space Heating Apartment-B2_Electricity to Residential_Existing 00</v>
      </c>
      <c r="AE24" s="935" t="s">
        <v>53</v>
      </c>
      <c r="AF24" s="942" t="s">
        <v>406</v>
      </c>
      <c r="AG24" s="935"/>
      <c r="AH24" s="935"/>
      <c r="AI24" s="840"/>
      <c r="AJ24" s="840"/>
      <c r="AK24" s="840"/>
      <c r="AL24" s="840"/>
      <c r="AM24" s="840"/>
      <c r="AN24" s="840"/>
    </row>
    <row r="25" spans="1:40">
      <c r="A25" s="758" t="s">
        <v>112</v>
      </c>
      <c r="B25" s="758" t="s">
        <v>583</v>
      </c>
      <c r="C25" s="758">
        <f>SUMIFS(INDEX(Table7[],,MATCH(C$6,Table7[#Headers],0)),Table7[MainSpaceHeatingFuel],$B25,Table7[EnergyRating (group)],$A25)</f>
        <v>706086</v>
      </c>
      <c r="D25" s="758">
        <f>SUMIFS(INDEX(Table7[],,MATCH(D$6,Table7[#Headers],0)),Table7[MainSpaceHeatingFuel],$B25,Table7[EnergyRating (group)],$A25)</f>
        <v>641897</v>
      </c>
      <c r="E25" s="759">
        <f>SUMIFS(INDEX(Table7[],,MATCH(E$6,Table7[#Headers],0)),Table7[MainSpaceHeatingFuel],$B25,Table7[EnergyRating (group)],$A25)</f>
        <v>106591</v>
      </c>
      <c r="F25" s="759">
        <f>SUMIFS(INDEX(Table7[],,MATCH(F$6,Table7[#Headers],0)),Table7[MainSpaceHeatingFuel],$B25,Table7[EnergyRating (group)],$A25)</f>
        <v>95152</v>
      </c>
      <c r="G25" s="758">
        <f>SUMIFS(INDEX(Table7[],,MATCH(G$6,Table7[#Headers],0)),Table7[MainSpaceHeatingFuel],$B25,Table7[EnergyRating (group)],$A25)</f>
        <v>64</v>
      </c>
      <c r="H25" s="758">
        <f>SUMIFS(INDEX(Table7[],,MATCH(H$6,Table7[#Headers],0)),Table7[MainSpaceHeatingFuel],$B25,Table7[EnergyRating (group)],$A25)</f>
        <v>10623</v>
      </c>
      <c r="I25" s="911">
        <f>AVERAGEIFS(INDEX(Table7[],,MATCH(I$6,Table7[#Headers],0)),Table7[MainSpaceHeatingFuel],$B25,Table7[EnergyRating (group)],$A25)</f>
        <v>93</v>
      </c>
      <c r="J25" s="849">
        <f>SUMIFS(INDEX(Table7[],,MATCH(J$6,Table7[#Headers],0)),Table7[MainSpaceHeatingFuel],$B25,Table7[EnergyRating (group)],$A25)</f>
        <v>1331500</v>
      </c>
      <c r="K25" s="849">
        <f>SUMIFS(INDEX(Table7[],,MATCH(K$6,Table7[#Headers],0)),Table7[MainSpaceHeatingFuel],$B25,Table7[EnergyRating (group)],$A25)</f>
        <v>1079609</v>
      </c>
      <c r="L25" s="135"/>
      <c r="M25" s="840"/>
      <c r="N25" s="914" t="str">
        <f>RSD_Commodities!$M$11&amp;"_"&amp;RIGHT(P25,LEN(P25)-3)&amp;"_"&amp;SETUP!$B$67</f>
        <v>SH_Apt-B2_OILKER_X0</v>
      </c>
      <c r="O25" s="930" t="str">
        <f>RSD_Commodities!$N$11&amp;"_"&amp;RSD_Commodities!D13&amp;"_"&amp;SETUP!$C$67</f>
        <v>Residential Space Heating Apartment-B2_Kerosene to Residential_Existing 00</v>
      </c>
      <c r="P25" s="915" t="str">
        <f>RSD_Commodities!$C$13</f>
        <v>RSDOILKER</v>
      </c>
      <c r="Q25" s="930" t="str">
        <f>RSD_Commodities!$M$11</f>
        <v>SH_Apt-B2</v>
      </c>
      <c r="R25" s="931">
        <f t="shared" si="13"/>
        <v>7.3860357761107902E-3</v>
      </c>
      <c r="S25" s="932">
        <f>R25*DwellingStocks!$I$64/1000</f>
        <v>0.10325205401345379</v>
      </c>
      <c r="T25" s="914">
        <v>1</v>
      </c>
      <c r="U25" s="914">
        <f t="shared" si="12"/>
        <v>0.93</v>
      </c>
      <c r="V25" s="930">
        <v>20</v>
      </c>
      <c r="W25" s="930">
        <v>1</v>
      </c>
      <c r="X25" s="840"/>
      <c r="Y25" s="922">
        <f t="shared" si="14"/>
        <v>3.1274721845984427E-5</v>
      </c>
      <c r="Z25" s="923">
        <f t="shared" si="15"/>
        <v>3.4483795684722573E-5</v>
      </c>
      <c r="AA25" s="840"/>
      <c r="AB25" s="939" t="s">
        <v>393</v>
      </c>
      <c r="AC25" s="930" t="str">
        <f t="shared" si="16"/>
        <v>SH_Apt-B2_OILKER_X0</v>
      </c>
      <c r="AD25" s="915" t="str">
        <f t="shared" si="17"/>
        <v>Residential Space Heating Apartment-B2_Kerosene to Residential_Existing 00</v>
      </c>
      <c r="AE25" s="930" t="s">
        <v>53</v>
      </c>
      <c r="AF25" s="940" t="s">
        <v>406</v>
      </c>
      <c r="AG25" s="930"/>
      <c r="AH25" s="930"/>
      <c r="AI25" s="840"/>
      <c r="AJ25" s="840"/>
      <c r="AK25" s="840"/>
      <c r="AL25" s="840"/>
      <c r="AM25" s="840"/>
      <c r="AN25" s="840"/>
    </row>
    <row r="26" spans="1:40">
      <c r="A26" s="757" t="s">
        <v>112</v>
      </c>
      <c r="B26" s="757" t="s">
        <v>584</v>
      </c>
      <c r="C26" s="757">
        <f>SUMIFS(INDEX(Table7[],,MATCH(C$6,Table7[#Headers],0)),Table7[MainSpaceHeatingFuel],$B26,Table7[EnergyRating (group)],$A26)</f>
        <v>24804330</v>
      </c>
      <c r="D26" s="757">
        <f>SUMIFS(INDEX(Table7[],,MATCH(D$6,Table7[#Headers],0)),Table7[MainSpaceHeatingFuel],$B26,Table7[EnergyRating (group)],$A26)</f>
        <v>22549391</v>
      </c>
      <c r="E26" s="760">
        <f>SUMIFS(INDEX(Table7[],,MATCH(E$6,Table7[#Headers],0)),Table7[MainSpaceHeatingFuel],$B26,Table7[EnergyRating (group)],$A26)</f>
        <v>1286261</v>
      </c>
      <c r="F26" s="760">
        <f>SUMIFS(INDEX(Table7[],,MATCH(F$6,Table7[#Headers],0)),Table7[MainSpaceHeatingFuel],$B26,Table7[EnergyRating (group)],$A26)</f>
        <v>896075</v>
      </c>
      <c r="G26" s="757">
        <f>SUMIFS(INDEX(Table7[],,MATCH(G$6,Table7[#Headers],0)),Table7[MainSpaceHeatingFuel],$B26,Table7[EnergyRating (group)],$A26)</f>
        <v>6967</v>
      </c>
      <c r="H26" s="757">
        <f>SUMIFS(INDEX(Table7[],,MATCH(H$6,Table7[#Headers],0)),Table7[MainSpaceHeatingFuel],$B26,Table7[EnergyRating (group)],$A26)</f>
        <v>573751</v>
      </c>
      <c r="I26" s="912">
        <f>AVERAGEIFS(INDEX(Table7[],,MATCH(I$6,Table7[#Headers],0)),Table7[MainSpaceHeatingFuel],$B26,Table7[EnergyRating (group)],$A26)</f>
        <v>85</v>
      </c>
      <c r="J26" s="847">
        <f>SUMIFS(INDEX(Table7[],,MATCH(J$6,Table7[#Headers],0)),Table7[MainSpaceHeatingFuel],$B26,Table7[EnergyRating (group)],$A26)</f>
        <v>65739316</v>
      </c>
      <c r="K26" s="847">
        <f>SUMIFS(INDEX(Table7[],,MATCH(K$6,Table7[#Headers],0)),Table7[MainSpaceHeatingFuel],$B26,Table7[EnergyRating (group)],$A26)</f>
        <v>51203493</v>
      </c>
      <c r="L26" s="135"/>
      <c r="M26" s="840"/>
      <c r="N26" s="66" t="str">
        <f>RSD_Commodities!$M$11&amp;"_"&amp;RIGHT(P26,LEN(P26)-3)&amp;"_"&amp;SETUP!$B$67</f>
        <v>SH_Apt-B2_GASNAT_X0</v>
      </c>
      <c r="O26" s="935" t="str">
        <f>RSD_Commodities!$N$11&amp;"_"&amp;RSD_Commodities!D17&amp;"_"&amp;SETUP!$C$67</f>
        <v>Residential Space Heating Apartment-B2_Natural Gas to Residential_Existing 00</v>
      </c>
      <c r="P26" s="934" t="str">
        <f>RSD_Commodities!$C$17</f>
        <v>RSDGASNAT</v>
      </c>
      <c r="Q26" s="935" t="str">
        <f>RSD_Commodities!$M$11</f>
        <v>SH_Apt-B2</v>
      </c>
      <c r="R26" s="936">
        <f t="shared" si="13"/>
        <v>0.80403923831506063</v>
      </c>
      <c r="S26" s="937">
        <f>R26*DwellingStocks!$I$64/1000</f>
        <v>11.239954067370821</v>
      </c>
      <c r="T26" s="66">
        <v>1</v>
      </c>
      <c r="U26" s="66">
        <f t="shared" si="12"/>
        <v>0.85</v>
      </c>
      <c r="V26" s="935">
        <v>20</v>
      </c>
      <c r="W26" s="935">
        <v>1</v>
      </c>
      <c r="X26" s="840"/>
      <c r="Y26" s="920">
        <f>IF(SUM((D26+F26)*S26*1000*$B$2)&lt;=0,0,SUM((D26+F26)*S26*1000*$B$2))</f>
        <v>0.10829834010744013</v>
      </c>
      <c r="Z26" s="921">
        <f t="shared" si="15"/>
        <v>0.12051659360159941</v>
      </c>
      <c r="AA26" s="840"/>
      <c r="AB26" s="941" t="s">
        <v>393</v>
      </c>
      <c r="AC26" s="935" t="str">
        <f t="shared" si="16"/>
        <v>SH_Apt-B2_GASNAT_X0</v>
      </c>
      <c r="AD26" s="934" t="str">
        <f t="shared" si="17"/>
        <v>Residential Space Heating Apartment-B2_Natural Gas to Residential_Existing 00</v>
      </c>
      <c r="AE26" s="935" t="s">
        <v>53</v>
      </c>
      <c r="AF26" s="942" t="s">
        <v>406</v>
      </c>
      <c r="AG26" s="840"/>
      <c r="AH26" s="840"/>
      <c r="AI26" s="840"/>
      <c r="AJ26" s="840"/>
      <c r="AK26" s="840"/>
      <c r="AL26" s="840"/>
      <c r="AM26" s="840"/>
      <c r="AN26" s="840"/>
    </row>
    <row r="27" spans="1:40">
      <c r="A27" s="758" t="s">
        <v>112</v>
      </c>
      <c r="B27" s="758" t="s">
        <v>585</v>
      </c>
      <c r="C27" s="758">
        <f>SUMIFS(INDEX(Table7[],,MATCH(C$6,Table7[#Headers],0)),Table7[MainSpaceHeatingFuel],$B27,Table7[EnergyRating (group)],$A27)</f>
        <v>228057</v>
      </c>
      <c r="D27" s="758">
        <f>SUMIFS(INDEX(Table7[],,MATCH(D$6,Table7[#Headers],0)),Table7[MainSpaceHeatingFuel],$B27,Table7[EnergyRating (group)],$A27)</f>
        <v>207324</v>
      </c>
      <c r="E27" s="758">
        <f>SUMIFS(INDEX(Table7[],,MATCH(E$6,Table7[#Headers],0)),Table7[MainSpaceHeatingFuel],$B27,Table7[EnergyRating (group)],$A27)</f>
        <v>24057</v>
      </c>
      <c r="F27" s="758">
        <f>SUMIFS(INDEX(Table7[],,MATCH(F$6,Table7[#Headers],0)),Table7[MainSpaceHeatingFuel],$B27,Table7[EnergyRating (group)],$A27)</f>
        <v>21870</v>
      </c>
      <c r="G27" s="758">
        <f>SUMIFS(INDEX(Table7[],,MATCH(G$6,Table7[#Headers],0)),Table7[MainSpaceHeatingFuel],$B27,Table7[EnergyRating (group)],$A27)</f>
        <v>69</v>
      </c>
      <c r="H27" s="758">
        <f>SUMIFS(INDEX(Table7[],,MATCH(H$6,Table7[#Headers],0)),Table7[MainSpaceHeatingFuel],$B27,Table7[EnergyRating (group)],$A27)</f>
        <v>5408</v>
      </c>
      <c r="I27" s="911">
        <f>AVERAGEIFS(INDEX(Table7[],,MATCH(I$6,Table7[#Headers],0)),Table7[MainSpaceHeatingFuel],$B27,Table7[EnergyRating (group)],$A27)</f>
        <v>75</v>
      </c>
      <c r="J27" s="849">
        <f>SUMIFS(INDEX(Table7[],,MATCH(J$6,Table7[#Headers],0)),Table7[MainSpaceHeatingFuel],$B27,Table7[EnergyRating (group)],$A27)</f>
        <v>611291</v>
      </c>
      <c r="K27" s="849">
        <f>SUMIFS(INDEX(Table7[],,MATCH(K$6,Table7[#Headers],0)),Table7[MainSpaceHeatingFuel],$B27,Table7[EnergyRating (group)],$A27)</f>
        <v>507174</v>
      </c>
      <c r="L27" s="135"/>
      <c r="M27" s="840"/>
      <c r="N27" s="914" t="str">
        <f>RSD_Commodities!$M$11&amp;"_"&amp;RIGHT(P27,LEN(P27)-3)&amp;"_"&amp;SETUP!$B$67</f>
        <v>SH_Apt-B2_BIOWOO_X0</v>
      </c>
      <c r="O27" s="930" t="str">
        <f>RSD_Commodities!$N$11&amp;"_"&amp;RSD_Commodities!D19&amp;"_"&amp;SETUP!$C$67</f>
        <v>Residential Space Heating Apartment-B2_Biomass &amp; Renewable Waste to Residential_Existing 00</v>
      </c>
      <c r="P27" s="915" t="str">
        <f>RSD_Commodities!$C$19</f>
        <v>RSDBIOWOO</v>
      </c>
      <c r="Q27" s="930" t="str">
        <f>RSD_Commodities!$M$11</f>
        <v>SH_Apt-B2</v>
      </c>
      <c r="R27" s="931">
        <f t="shared" si="13"/>
        <v>7.9630698211194464E-3</v>
      </c>
      <c r="S27" s="932">
        <f>R27*DwellingStocks!$I$64/1000</f>
        <v>0.11131862073325488</v>
      </c>
      <c r="T27" s="914">
        <v>1</v>
      </c>
      <c r="U27" s="914">
        <f t="shared" si="12"/>
        <v>0.75</v>
      </c>
      <c r="V27" s="930">
        <v>20</v>
      </c>
      <c r="W27" s="930">
        <v>1</v>
      </c>
      <c r="X27" s="840"/>
      <c r="Y27" s="922">
        <f t="shared" si="14"/>
        <v>1.0485024641234639E-5</v>
      </c>
      <c r="Z27" s="923">
        <f t="shared" si="15"/>
        <v>1.1533554553785135E-5</v>
      </c>
      <c r="AA27" s="840"/>
      <c r="AB27" s="939" t="s">
        <v>393</v>
      </c>
      <c r="AC27" s="930" t="str">
        <f t="shared" si="16"/>
        <v>SH_Apt-B2_BIOWOO_X0</v>
      </c>
      <c r="AD27" s="915" t="str">
        <f t="shared" si="17"/>
        <v>Residential Space Heating Apartment-B2_Biomass &amp; Renewable Waste to Residential_Existing 00</v>
      </c>
      <c r="AE27" s="930" t="s">
        <v>53</v>
      </c>
      <c r="AF27" s="940" t="s">
        <v>406</v>
      </c>
      <c r="AG27" s="930"/>
      <c r="AH27" s="930"/>
      <c r="AI27" s="840"/>
      <c r="AJ27" s="840"/>
      <c r="AK27" s="840"/>
      <c r="AL27" s="840"/>
      <c r="AM27" s="840"/>
      <c r="AN27" s="840"/>
    </row>
    <row r="28" spans="1:40">
      <c r="A28" s="757" t="s">
        <v>112</v>
      </c>
      <c r="B28" s="757" t="s">
        <v>587</v>
      </c>
      <c r="C28" s="757">
        <f>SUMIFS(INDEX(Table7[],,MATCH(C$6,Table7[#Headers],0)),Table7[MainSpaceHeatingFuel],"",Table7[EnergyRating (group)],$A28)</f>
        <v>0</v>
      </c>
      <c r="D28" s="757">
        <f>SUMIFS(INDEX(Table7[],,MATCH(D$6,Table7[#Headers],0)),Table7[MainSpaceHeatingFuel],"",Table7[EnergyRating (group)],$A28)</f>
        <v>0</v>
      </c>
      <c r="E28" s="760">
        <f>SUMIFS(INDEX(Table7[],,MATCH(E$6,Table7[#Headers],0)),Table7[MainSpaceHeatingFuel],"",Table7[EnergyRating (group)],$A28)</f>
        <v>0</v>
      </c>
      <c r="F28" s="757">
        <f>SUMIFS(INDEX(Table7[],,MATCH(F$6,Table7[#Headers],0)),Table7[MainSpaceHeatingFuel],"",Table7[EnergyRating (group)],$A28)</f>
        <v>0</v>
      </c>
      <c r="G28" s="757">
        <f>SUMIFS(INDEX(Table7[],,MATCH(G$6,Table7[#Headers],0)),Table7[MainSpaceHeatingFuel],"",Table7[EnergyRating (group)],$A28)</f>
        <v>1018</v>
      </c>
      <c r="H28" s="757">
        <f>SUMIFS(INDEX(Table7[],,MATCH(H$6,Table7[#Headers],0)),Table7[MainSpaceHeatingFuel],"",Table7[EnergyRating (group)],$A28)</f>
        <v>78778</v>
      </c>
      <c r="I28" s="913">
        <f>SUMIFS(INDEX(Table7[],,MATCH(I$6,Table7[#Headers],0)),Table7[MainSpaceHeatingFuel],"",Table7[EnergyRating (group)],$A28)</f>
        <v>0</v>
      </c>
      <c r="J28" s="847">
        <f>SUMIFS(INDEX(Table7[],,MATCH(J$6,Table7[#Headers],0)),Table7[MainSpaceHeatingFuel],"",Table7[EnergyRating (group)],$A28)</f>
        <v>2078322</v>
      </c>
      <c r="K28" s="847">
        <f>SUMIFS(INDEX(Table7[],,MATCH(K$6,Table7[#Headers],0)),Table7[MainSpaceHeatingFuel],"",Table7[EnergyRating (group)],$A28)</f>
        <v>769748</v>
      </c>
      <c r="L28" s="840"/>
      <c r="M28" s="840"/>
      <c r="N28" s="66" t="str">
        <f>RSD_Commodities!$M$11&amp;"_"&amp;RIGHT(P28,LEN(P28)-3)&amp;"_"&amp;SETUP!$B$67</f>
        <v>SH_Apt-B2_HET_X0</v>
      </c>
      <c r="O28" s="935" t="str">
        <f>RSD_Commodities!$N$11&amp;"_"&amp;RSD_Commodities!D28&amp;"_"&amp;SETUP!$C$67</f>
        <v>Residential Space Heating Apartment-B2_Heat to Residential_Existing 00</v>
      </c>
      <c r="P28" s="934" t="str">
        <f>RSD_Commodities!$C$28</f>
        <v>RSDHET</v>
      </c>
      <c r="Q28" s="935" t="str">
        <f>RSD_Commodities!$M$11</f>
        <v>SH_Apt-B2</v>
      </c>
      <c r="R28" s="936">
        <f t="shared" si="13"/>
        <v>0.11748413156376226</v>
      </c>
      <c r="S28" s="937">
        <f>R28*DwellingStocks!$I$64/1000</f>
        <v>1.6423529841514994</v>
      </c>
      <c r="T28" s="66">
        <v>1</v>
      </c>
      <c r="U28" s="917">
        <f>IF(I28=0, 1, I28)</f>
        <v>1</v>
      </c>
      <c r="V28" s="840">
        <v>20</v>
      </c>
      <c r="W28" s="840">
        <v>1</v>
      </c>
      <c r="X28" s="840"/>
      <c r="Y28" s="920">
        <f t="shared" ref="Y28:Y29" si="18">IF(SUM((D28+F28)*S28*1000*$B$2)&lt;=0,0,SUM((D28+F28)*S28*1000*$B$2))</f>
        <v>0</v>
      </c>
      <c r="Z28" s="921">
        <f t="shared" ref="Z28:Z29" si="19">IF(SUM((C28+E28)*S28*1000*$B$2)&lt;=0,0,SUM((C28+E28)*S28*1000*$B$2))</f>
        <v>0</v>
      </c>
      <c r="AA28" s="840"/>
      <c r="AB28" s="941" t="s">
        <v>393</v>
      </c>
      <c r="AC28" s="935" t="str">
        <f t="shared" si="16"/>
        <v>SH_Apt-B2_HET_X0</v>
      </c>
      <c r="AD28" s="934" t="str">
        <f t="shared" si="17"/>
        <v>Residential Space Heating Apartment-B2_Heat to Residential_Existing 00</v>
      </c>
      <c r="AE28" s="935" t="s">
        <v>53</v>
      </c>
      <c r="AF28" s="942" t="s">
        <v>406</v>
      </c>
      <c r="AG28" s="840"/>
      <c r="AH28" s="840"/>
      <c r="AI28" s="840"/>
      <c r="AJ28" s="840"/>
      <c r="AK28" s="840"/>
      <c r="AL28" s="840"/>
      <c r="AM28" s="840"/>
      <c r="AN28" s="840"/>
    </row>
    <row r="29" spans="1:40" ht="15.75" thickBot="1">
      <c r="A29" s="758" t="s">
        <v>112</v>
      </c>
      <c r="B29" s="758" t="s">
        <v>664</v>
      </c>
      <c r="C29" s="758">
        <f>SUMIFS(INDEX(Table7[],,MATCH(C$6,Table7[#Headers],0)),Table7[MainSpaceHeatingFuel],$B29,Table7[EnergyRating (group)],$A29)</f>
        <v>57332</v>
      </c>
      <c r="D29" s="758">
        <f>SUMIFS(INDEX(Table7[],,MATCH(D$6,Table7[#Headers],0)),Table7[MainSpaceHeatingFuel],$B29,Table7[EnergyRating (group)],$A29)</f>
        <v>52120</v>
      </c>
      <c r="E29" s="758">
        <f>SUMIFS(INDEX(Table7[],,MATCH(E$6,Table7[#Headers],0)),Table7[MainSpaceHeatingFuel],$B29,Table7[EnergyRating (group)],$A29)</f>
        <v>0</v>
      </c>
      <c r="F29" s="758">
        <f>SUMIFS(INDEX(Table7[],,MATCH(F$6,Table7[#Headers],0)),Table7[MainSpaceHeatingFuel],$B29,Table7[EnergyRating (group)],$A29)</f>
        <v>5357</v>
      </c>
      <c r="G29" s="758">
        <f>SUMIFS(INDEX(Table7[],,MATCH(G$6,Table7[#Headers],0)),Table7[MainSpaceHeatingFuel],$B29,Table7[EnergyRating (group)],$A29)</f>
        <v>11</v>
      </c>
      <c r="H29" s="758">
        <f>SUMIFS(INDEX(Table7[],,MATCH(H$6,Table7[#Headers],0)),Table7[MainSpaceHeatingFuel],$B29,Table7[EnergyRating (group)],$A29)</f>
        <v>1170</v>
      </c>
      <c r="I29" s="911">
        <f>AVERAGEIFS(INDEX(Table7[],,MATCH(I$6,Table7[#Headers],0)),Table7[MainSpaceHeatingFuel],$B29,Table7[EnergyRating (group)],$A29)</f>
        <v>84.5</v>
      </c>
      <c r="J29" s="849">
        <f>SUMIFS(INDEX(Table7[],,MATCH(J$6,Table7[#Headers],0)),Table7[MainSpaceHeatingFuel],$B29,Table7[EnergyRating (group)],$A29)</f>
        <v>131330</v>
      </c>
      <c r="K29" s="849">
        <f>SUMIFS(INDEX(Table7[],,MATCH(K$6,Table7[#Headers],0)),Table7[MainSpaceHeatingFuel],$B29,Table7[EnergyRating (group)],$A29)</f>
        <v>109666</v>
      </c>
      <c r="L29" s="840"/>
      <c r="M29" s="840"/>
      <c r="N29" s="914" t="str">
        <f>RSD_Commodities!$M$11&amp;"_"&amp;RIGHT(P29,LEN(P29)-3)&amp;"_"&amp;SETUP!$B$68</f>
        <v>SH_Apt-B2_OILLPG_X1</v>
      </c>
      <c r="O29" s="930" t="str">
        <f>RSD_Commodities!$N$11&amp;"_"&amp;RSD_Commodities!D11&amp;"_"&amp;SETUP!$C$68</f>
        <v>Residential Space Heating Apartment-B2_LPG to Residential_Existing 01</v>
      </c>
      <c r="P29" s="915" t="str">
        <f>RSD_Commodities!$C$11</f>
        <v>RSDOILLPG</v>
      </c>
      <c r="Q29" s="930" t="str">
        <f>RSD_Commodities!$M$11</f>
        <v>SH_Apt-B2</v>
      </c>
      <c r="R29" s="931">
        <f t="shared" si="13"/>
        <v>1.2694748990190422E-3</v>
      </c>
      <c r="S29" s="932">
        <f>R29*DwellingStocks!$I$64/1000</f>
        <v>1.7746446783562374E-2</v>
      </c>
      <c r="T29" s="914">
        <v>1</v>
      </c>
      <c r="U29" s="914">
        <f t="shared" si="12"/>
        <v>0.84499999999999997</v>
      </c>
      <c r="V29" s="930">
        <v>20</v>
      </c>
      <c r="W29" s="930">
        <v>1</v>
      </c>
      <c r="X29" s="840"/>
      <c r="Y29" s="922">
        <f t="shared" si="18"/>
        <v>4.1918322812828E-7</v>
      </c>
      <c r="Z29" s="923">
        <f t="shared" si="19"/>
        <v>4.1812573438158827E-7</v>
      </c>
      <c r="AA29" s="840"/>
      <c r="AB29" s="939" t="s">
        <v>393</v>
      </c>
      <c r="AC29" s="930" t="str">
        <f t="shared" si="16"/>
        <v>SH_Apt-B2_OILLPG_X1</v>
      </c>
      <c r="AD29" s="915" t="str">
        <f t="shared" si="17"/>
        <v>Residential Space Heating Apartment-B2_LPG to Residential_Existing 01</v>
      </c>
      <c r="AE29" s="930" t="s">
        <v>53</v>
      </c>
      <c r="AF29" s="940" t="s">
        <v>406</v>
      </c>
      <c r="AG29" s="930"/>
      <c r="AH29" s="930"/>
      <c r="AI29" s="840"/>
      <c r="AJ29" s="840"/>
      <c r="AK29" s="840"/>
      <c r="AL29" s="840"/>
      <c r="AM29" s="840"/>
      <c r="AN29" s="840"/>
    </row>
    <row r="30" spans="1:40" ht="15.75" thickBot="1">
      <c r="A30" s="756" t="s">
        <v>114</v>
      </c>
      <c r="B30" s="1048"/>
      <c r="C30" s="1049"/>
      <c r="D30" s="1049"/>
      <c r="E30" s="1049"/>
      <c r="F30" s="1049"/>
      <c r="G30" s="1049"/>
      <c r="H30" s="1049"/>
      <c r="I30" s="1053"/>
      <c r="J30" s="736" t="s">
        <v>565</v>
      </c>
      <c r="K30" s="737" t="s">
        <v>565</v>
      </c>
      <c r="L30" s="840"/>
      <c r="M30" s="840"/>
      <c r="N30" s="76" t="str">
        <f>AB30</f>
        <v>*B3 Rating</v>
      </c>
      <c r="O30" s="76"/>
      <c r="P30" s="76"/>
      <c r="Q30" s="76"/>
      <c r="R30" s="949">
        <f>SUM(R31:R38)</f>
        <v>1</v>
      </c>
      <c r="S30" s="76"/>
      <c r="T30" s="97"/>
      <c r="U30" s="76"/>
      <c r="V30" s="76"/>
      <c r="W30" s="76"/>
      <c r="X30" s="840"/>
      <c r="Y30" s="76"/>
      <c r="Z30" s="76"/>
      <c r="AA30" s="840"/>
      <c r="AB30" s="140" t="str">
        <f>"*"&amp; A31 &amp; " Rating"</f>
        <v>*B3 Rating</v>
      </c>
      <c r="AC30" s="141"/>
      <c r="AD30" s="141"/>
      <c r="AE30" s="141"/>
      <c r="AF30" s="141"/>
      <c r="AG30" s="141"/>
      <c r="AH30" s="141"/>
      <c r="AI30" s="840"/>
      <c r="AJ30" s="840"/>
      <c r="AK30" s="840"/>
      <c r="AL30" s="840"/>
      <c r="AM30" s="840"/>
      <c r="AN30" s="840"/>
    </row>
    <row r="31" spans="1:40">
      <c r="A31" s="758" t="s">
        <v>114</v>
      </c>
      <c r="B31" s="758" t="s">
        <v>582</v>
      </c>
      <c r="C31" s="758">
        <f>SUMIFS(INDEX(Table7[],,MATCH(C$6,Table7[#Headers],0)),Table7[MainSpaceHeatingFuel],$B31,Table7[EnergyRating (group)],$A31)</f>
        <v>1792600</v>
      </c>
      <c r="D31" s="758">
        <f>SUMIFS(INDEX(Table7[],,MATCH(D$6,Table7[#Headers],0)),Table7[MainSpaceHeatingFuel],$B31,Table7[EnergyRating (group)],$A31)</f>
        <v>1629636</v>
      </c>
      <c r="E31" s="759">
        <f>SUMIFS(INDEX(Table7[],,MATCH(E$6,Table7[#Headers],0)),Table7[MainSpaceHeatingFuel],$B31,Table7[EnergyRating (group)],$A31)</f>
        <v>133849</v>
      </c>
      <c r="F31" s="759">
        <f>SUMIFS(INDEX(Table7[],,MATCH(F$6,Table7[#Headers],0)),Table7[MainSpaceHeatingFuel],$B31,Table7[EnergyRating (group)],$A31)</f>
        <v>103276</v>
      </c>
      <c r="G31" s="758">
        <f>SUMIFS(INDEX(Table7[],,MATCH(G$6,Table7[#Headers],0)),Table7[MainSpaceHeatingFuel],$B31,Table7[EnergyRating (group)],$A31)</f>
        <v>325</v>
      </c>
      <c r="H31" s="758">
        <f>SUMIFS(INDEX(Table7[],,MATCH(H$6,Table7[#Headers],0)),Table7[MainSpaceHeatingFuel],$B31,Table7[EnergyRating (group)],$A31)</f>
        <v>27056</v>
      </c>
      <c r="I31" s="911">
        <f>AVERAGEIFS(INDEX(Table7[],,MATCH(I$6,Table7[#Headers],0)),Table7[MainSpaceHeatingFuel],$B31,Table7[EnergyRating (group)],$A31)</f>
        <v>86.333333333333329</v>
      </c>
      <c r="J31" s="849">
        <f>SUMIFS(INDEX(Table7[],,MATCH(J$6,Table7[#Headers],0)),Table7[MainSpaceHeatingFuel],$B31,Table7[EnergyRating (group)],$A31)</f>
        <v>3782126</v>
      </c>
      <c r="K31" s="849">
        <f>SUMIFS(INDEX(Table7[],,MATCH(K$6,Table7[#Headers],0)),Table7[MainSpaceHeatingFuel],$B31,Table7[EnergyRating (group)],$A31)</f>
        <v>3017453</v>
      </c>
      <c r="L31" s="840"/>
      <c r="M31" s="840"/>
      <c r="N31" s="914" t="str">
        <f>RSD_Commodities!$M$12&amp;"_"&amp;RIGHT(P31,LEN(P31)-3)&amp;"_"&amp;SETUP!$B$67</f>
        <v>SH_Apt-B3_OILLPG_X0</v>
      </c>
      <c r="O31" s="914" t="str">
        <f>RSD_Commodities!$N$12&amp;"_"&amp;RSD_Commodities!D11&amp;"_"&amp;SETUP!$C$67</f>
        <v>Residential Space Heating Apartment-B3_LPG to Residential_Existing 00</v>
      </c>
      <c r="P31" s="915" t="str">
        <f>RSD_Commodities!$C$11</f>
        <v>RSDOILLPG</v>
      </c>
      <c r="Q31" s="930" t="str">
        <f>RSD_Commodities!$M$12</f>
        <v>SH_Apt-B3</v>
      </c>
      <c r="R31" s="931">
        <f>G31/SUM($G$31:$G$38)</f>
        <v>2.3949889462048637E-2</v>
      </c>
      <c r="S31" s="932">
        <f>R31*DwellingStocks!$I$65/1000</f>
        <v>0.51993889110238023</v>
      </c>
      <c r="T31" s="914">
        <v>1</v>
      </c>
      <c r="U31" s="914">
        <f t="shared" ref="U31:U100" si="20">I31/100</f>
        <v>0.86333333333333329</v>
      </c>
      <c r="V31" s="930">
        <v>20</v>
      </c>
      <c r="W31" s="930">
        <v>1</v>
      </c>
      <c r="X31" s="840"/>
      <c r="Y31" s="918">
        <f>ABS((D31+F31)*S31*1000*$B$2)</f>
        <v>3.7027740150329097E-4</v>
      </c>
      <c r="Z31" s="919">
        <f>ABS((C31+E31)*S31*1000*$B$2)</f>
        <v>4.1163113294189981E-4</v>
      </c>
      <c r="AA31" s="840"/>
      <c r="AB31" s="939" t="s">
        <v>393</v>
      </c>
      <c r="AC31" s="930" t="str">
        <f>N31</f>
        <v>SH_Apt-B3_OILLPG_X0</v>
      </c>
      <c r="AD31" s="915" t="str">
        <f>O31</f>
        <v>Residential Space Heating Apartment-B3_LPG to Residential_Existing 00</v>
      </c>
      <c r="AE31" s="914" t="s">
        <v>53</v>
      </c>
      <c r="AF31" s="916" t="s">
        <v>406</v>
      </c>
      <c r="AG31" s="914"/>
      <c r="AH31" s="914"/>
      <c r="AI31" s="840"/>
      <c r="AJ31" s="840"/>
      <c r="AK31" s="840"/>
      <c r="AL31" s="840"/>
      <c r="AM31" s="840"/>
      <c r="AN31" s="840"/>
    </row>
    <row r="32" spans="1:40">
      <c r="A32" s="757" t="s">
        <v>114</v>
      </c>
      <c r="B32" s="757" t="s">
        <v>228</v>
      </c>
      <c r="C32" s="757">
        <f>SUMIFS(INDEX(Table7[],,MATCH(C$6,Table7[#Headers],0)),Table7[MainSpaceHeatingFuel],$B32,Table7[EnergyRating (group)],$A32)</f>
        <v>3094689</v>
      </c>
      <c r="D32" s="757">
        <f>SUMIFS(INDEX(Table7[],,MATCH(D$6,Table7[#Headers],0)),Table7[MainSpaceHeatingFuel],$B32,Table7[EnergyRating (group)],$A32)</f>
        <v>1146182</v>
      </c>
      <c r="E32" s="757">
        <f>SUMIFS(INDEX(Table7[],,MATCH(E$6,Table7[#Headers],0)),Table7[MainSpaceHeatingFuel],$B32,Table7[EnergyRating (group)],$A32)</f>
        <v>414043</v>
      </c>
      <c r="F32" s="757">
        <f>SUMIFS(INDEX(Table7[],,MATCH(F$6,Table7[#Headers],0)),Table7[MainSpaceHeatingFuel],$B32,Table7[EnergyRating (group)],$A32)</f>
        <v>188278</v>
      </c>
      <c r="G32" s="757">
        <f>SUMIFS(INDEX(Table7[],,MATCH(G$6,Table7[#Headers],0)),Table7[MainSpaceHeatingFuel],$B32,Table7[EnergyRating (group)],$A32)</f>
        <v>1133</v>
      </c>
      <c r="H32" s="757">
        <f>SUMIFS(INDEX(Table7[],,MATCH(H$6,Table7[#Headers],0)),Table7[MainSpaceHeatingFuel],$B32,Table7[EnergyRating (group)],$A32)</f>
        <v>85613</v>
      </c>
      <c r="I32" s="912">
        <f>AVERAGEIFS(INDEX(Table7[],,MATCH(I$6,Table7[#Headers],0)),Table7[MainSpaceHeatingFuel],$B32,Table7[EnergyRating (group)],$A32)</f>
        <v>110.6</v>
      </c>
      <c r="J32" s="847">
        <f>SUMIFS(INDEX(Table7[],,MATCH(J$6,Table7[#Headers],0)),Table7[MainSpaceHeatingFuel],$B32,Table7[EnergyRating (group)],$A32)</f>
        <v>12035047</v>
      </c>
      <c r="K32" s="847">
        <f>SUMIFS(INDEX(Table7[],,MATCH(K$6,Table7[#Headers],0)),Table7[MainSpaceHeatingFuel],$B32,Table7[EnergyRating (group)],$A32)</f>
        <v>4538714</v>
      </c>
      <c r="L32" s="840"/>
      <c r="M32" s="840"/>
      <c r="N32" s="66" t="str">
        <f>RSD_Commodities!$M$12&amp;"_"&amp;RIGHT(P32,LEN(P32)-3)&amp;"_"&amp;SETUP!$B$67</f>
        <v>SH_Apt-B3_ELCD_X0</v>
      </c>
      <c r="O32" s="933" t="str">
        <f>RSD_Commodities!$N$12&amp;"_"&amp;RSD_Commodities!D27&amp;"_"&amp;SETUP!$C$67</f>
        <v>Residential Space Heating Apartment-B3_Electricity to Residential_Existing 00</v>
      </c>
      <c r="P32" s="83" t="str">
        <f>RSD_Commodities!$C$27</f>
        <v>RSDELCD</v>
      </c>
      <c r="Q32" s="935" t="str">
        <f>RSD_Commodities!$M$12</f>
        <v>SH_Apt-B3</v>
      </c>
      <c r="R32" s="936">
        <f t="shared" ref="R32:R38" si="21">G32/SUM($G$31:$G$38)</f>
        <v>8.349299926308032E-2</v>
      </c>
      <c r="S32" s="937">
        <f>R32*DwellingStocks!$I$65/1000</f>
        <v>1.8125869649815283</v>
      </c>
      <c r="T32" s="66">
        <v>1</v>
      </c>
      <c r="U32" s="66">
        <f t="shared" si="20"/>
        <v>1.1059999999999999</v>
      </c>
      <c r="V32" s="935">
        <v>20</v>
      </c>
      <c r="W32" s="935">
        <v>1</v>
      </c>
      <c r="X32" s="840"/>
      <c r="Y32" s="920">
        <f t="shared" ref="Y32:Y38" si="22">ABS((D32+F32)*S32*1000*$B$2)</f>
        <v>9.9403758957092498E-4</v>
      </c>
      <c r="Z32" s="921">
        <f t="shared" ref="Z32:Z38" si="23">ABS((C32+E32)*S32*1000*$B$2)</f>
        <v>2.6136500904713296E-3</v>
      </c>
      <c r="AA32" s="840"/>
      <c r="AB32" s="941" t="s">
        <v>393</v>
      </c>
      <c r="AC32" s="935" t="str">
        <f t="shared" ref="AC32:AC38" si="24">N32</f>
        <v>SH_Apt-B3_ELCD_X0</v>
      </c>
      <c r="AD32" s="934" t="str">
        <f t="shared" ref="AD32:AD38" si="25">O32</f>
        <v>Residential Space Heating Apartment-B3_Electricity to Residential_Existing 00</v>
      </c>
      <c r="AE32" s="935" t="s">
        <v>53</v>
      </c>
      <c r="AF32" s="942" t="s">
        <v>406</v>
      </c>
      <c r="AG32" s="935"/>
      <c r="AH32" s="935"/>
      <c r="AI32" s="840"/>
      <c r="AJ32" s="840"/>
      <c r="AK32" s="840"/>
      <c r="AL32" s="840"/>
      <c r="AM32" s="840"/>
      <c r="AN32" s="840"/>
    </row>
    <row r="33" spans="1:40">
      <c r="A33" s="758" t="s">
        <v>114</v>
      </c>
      <c r="B33" s="758" t="s">
        <v>583</v>
      </c>
      <c r="C33" s="758">
        <f>SUMIFS(INDEX(Table7[],,MATCH(C$6,Table7[#Headers],0)),Table7[MainSpaceHeatingFuel],$B33,Table7[EnergyRating (group)],$A33)</f>
        <v>2440675</v>
      </c>
      <c r="D33" s="758">
        <f>SUMIFS(INDEX(Table7[],,MATCH(D$6,Table7[#Headers],0)),Table7[MainSpaceHeatingFuel],$B33,Table7[EnergyRating (group)],$A33)</f>
        <v>2218795</v>
      </c>
      <c r="E33" s="759">
        <f>SUMIFS(INDEX(Table7[],,MATCH(E$6,Table7[#Headers],0)),Table7[MainSpaceHeatingFuel],$B33,Table7[EnergyRating (group)],$A33)</f>
        <v>447461</v>
      </c>
      <c r="F33" s="759">
        <f>SUMIFS(INDEX(Table7[],,MATCH(F$6,Table7[#Headers],0)),Table7[MainSpaceHeatingFuel],$B33,Table7[EnergyRating (group)],$A33)</f>
        <v>399420</v>
      </c>
      <c r="G33" s="758">
        <f>SUMIFS(INDEX(Table7[],,MATCH(G$6,Table7[#Headers],0)),Table7[MainSpaceHeatingFuel],$B33,Table7[EnergyRating (group)],$A33)</f>
        <v>204</v>
      </c>
      <c r="H33" s="758">
        <f>SUMIFS(INDEX(Table7[],,MATCH(H$6,Table7[#Headers],0)),Table7[MainSpaceHeatingFuel],$B33,Table7[EnergyRating (group)],$A33)</f>
        <v>31957</v>
      </c>
      <c r="I33" s="911">
        <f>AVERAGEIFS(INDEX(Table7[],,MATCH(I$6,Table7[#Headers],0)),Table7[MainSpaceHeatingFuel],$B33,Table7[EnergyRating (group)],$A33)</f>
        <v>84.666666666666671</v>
      </c>
      <c r="J33" s="849">
        <f>SUMIFS(INDEX(Table7[],,MATCH(J$6,Table7[#Headers],0)),Table7[MainSpaceHeatingFuel],$B33,Table7[EnergyRating (group)],$A33)</f>
        <v>4674450</v>
      </c>
      <c r="K33" s="849">
        <f>SUMIFS(INDEX(Table7[],,MATCH(K$6,Table7[#Headers],0)),Table7[MainSpaceHeatingFuel],$B33,Table7[EnergyRating (group)],$A33)</f>
        <v>3794784</v>
      </c>
      <c r="M33" s="840"/>
      <c r="N33" s="914" t="str">
        <f>RSD_Commodities!$M$12&amp;"_"&amp;RIGHT(P33,LEN(P33)-3)&amp;"_"&amp;SETUP!$B$67</f>
        <v>SH_Apt-B3_OILKER_X0</v>
      </c>
      <c r="O33" s="914" t="str">
        <f>RSD_Commodities!$N$12&amp;"_"&amp;RSD_Commodities!D13&amp;"_"&amp;SETUP!$C$67</f>
        <v>Residential Space Heating Apartment-B3_Kerosene to Residential_Existing 00</v>
      </c>
      <c r="P33" s="915" t="str">
        <f>RSD_Commodities!$C$13</f>
        <v>RSDOILKER</v>
      </c>
      <c r="Q33" s="930" t="str">
        <f>RSD_Commodities!$M$12</f>
        <v>SH_Apt-B3</v>
      </c>
      <c r="R33" s="931">
        <f t="shared" si="21"/>
        <v>1.5033161385408991E-2</v>
      </c>
      <c r="S33" s="932">
        <f>R33*DwellingStocks!$I$65/1000</f>
        <v>0.32636164241503252</v>
      </c>
      <c r="T33" s="914">
        <v>1</v>
      </c>
      <c r="U33" s="916">
        <f t="shared" si="20"/>
        <v>0.84666666666666668</v>
      </c>
      <c r="V33" s="930">
        <v>20</v>
      </c>
      <c r="W33" s="930">
        <v>1</v>
      </c>
      <c r="X33" s="840"/>
      <c r="Y33" s="922">
        <f t="shared" si="22"/>
        <v>3.5115819764205795E-4</v>
      </c>
      <c r="Z33" s="923">
        <f t="shared" si="23"/>
        <v>3.8736033225122567E-4</v>
      </c>
      <c r="AA33" s="840"/>
      <c r="AB33" s="939" t="s">
        <v>393</v>
      </c>
      <c r="AC33" s="930" t="str">
        <f t="shared" si="24"/>
        <v>SH_Apt-B3_OILKER_X0</v>
      </c>
      <c r="AD33" s="915" t="str">
        <f t="shared" si="25"/>
        <v>Residential Space Heating Apartment-B3_Kerosene to Residential_Existing 00</v>
      </c>
      <c r="AE33" s="930" t="s">
        <v>53</v>
      </c>
      <c r="AF33" s="940" t="s">
        <v>406</v>
      </c>
      <c r="AG33" s="930"/>
      <c r="AH33" s="930"/>
      <c r="AI33" s="840"/>
      <c r="AJ33" s="840"/>
      <c r="AK33" s="840"/>
      <c r="AL33" s="840"/>
      <c r="AM33" s="840"/>
      <c r="AN33" s="840"/>
    </row>
    <row r="34" spans="1:40">
      <c r="A34" s="757" t="s">
        <v>114</v>
      </c>
      <c r="B34" s="757" t="s">
        <v>584</v>
      </c>
      <c r="C34" s="757">
        <f>SUMIFS(INDEX(Table7[],,MATCH(C$6,Table7[#Headers],0)),Table7[MainSpaceHeatingFuel],$B34,Table7[EnergyRating (group)],$A34)</f>
        <v>50157464</v>
      </c>
      <c r="D34" s="757">
        <f>SUMIFS(INDEX(Table7[],,MATCH(D$6,Table7[#Headers],0)),Table7[MainSpaceHeatingFuel],$B34,Table7[EnergyRating (group)],$A34)</f>
        <v>45597694</v>
      </c>
      <c r="E34" s="760">
        <f>SUMIFS(INDEX(Table7[],,MATCH(E$6,Table7[#Headers],0)),Table7[MainSpaceHeatingFuel],$B34,Table7[EnergyRating (group)],$A34)</f>
        <v>3426123</v>
      </c>
      <c r="F34" s="760">
        <f>SUMIFS(INDEX(Table7[],,MATCH(F$6,Table7[#Headers],0)),Table7[MainSpaceHeatingFuel],$B34,Table7[EnergyRating (group)],$A34)</f>
        <v>2415311</v>
      </c>
      <c r="G34" s="757">
        <f>SUMIFS(INDEX(Table7[],,MATCH(G$6,Table7[#Headers],0)),Table7[MainSpaceHeatingFuel],$B34,Table7[EnergyRating (group)],$A34)</f>
        <v>10886</v>
      </c>
      <c r="H34" s="757">
        <f>SUMIFS(INDEX(Table7[],,MATCH(H$6,Table7[#Headers],0)),Table7[MainSpaceHeatingFuel],$B34,Table7[EnergyRating (group)],$A34)</f>
        <v>854892</v>
      </c>
      <c r="I34" s="912">
        <f>AVERAGEIFS(INDEX(Table7[],,MATCH(I$6,Table7[#Headers],0)),Table7[MainSpaceHeatingFuel],$B34,Table7[EnergyRating (group)],$A34)</f>
        <v>83.4</v>
      </c>
      <c r="J34" s="847">
        <f>SUMIFS(INDEX(Table7[],,MATCH(J$6,Table7[#Headers],0)),Table7[MainSpaceHeatingFuel],$B34,Table7[EnergyRating (group)],$A34)</f>
        <v>118642155</v>
      </c>
      <c r="K34" s="847">
        <f>SUMIFS(INDEX(Table7[],,MATCH(K$6,Table7[#Headers],0)),Table7[MainSpaceHeatingFuel],$B34,Table7[EnergyRating (group)],$A34)</f>
        <v>93743195</v>
      </c>
      <c r="M34" s="840"/>
      <c r="N34" s="66" t="str">
        <f>RSD_Commodities!$M$12&amp;"_"&amp;RIGHT(P34,LEN(P34)-3)&amp;"_"&amp;SETUP!$B$67</f>
        <v>SH_Apt-B3_GASNAT_X0</v>
      </c>
      <c r="O34" s="933" t="str">
        <f>RSD_Commodities!$N$12&amp;"_"&amp;RSD_Commodities!D17&amp;"_"&amp;SETUP!$C$67</f>
        <v>Residential Space Heating Apartment-B3_Natural Gas to Residential_Existing 00</v>
      </c>
      <c r="P34" s="83" t="str">
        <f>RSD_Commodities!$C$17</f>
        <v>RSDGASNAT</v>
      </c>
      <c r="Q34" s="935" t="str">
        <f>RSD_Commodities!$M$12</f>
        <v>SH_Apt-B3</v>
      </c>
      <c r="R34" s="936">
        <f t="shared" si="21"/>
        <v>0.80221075902726602</v>
      </c>
      <c r="S34" s="937">
        <f>R34*DwellingStocks!$I$65/1000</f>
        <v>17.415553133970803</v>
      </c>
      <c r="T34" s="66">
        <v>1</v>
      </c>
      <c r="U34" s="66">
        <f t="shared" si="20"/>
        <v>0.83400000000000007</v>
      </c>
      <c r="V34" s="935">
        <v>20</v>
      </c>
      <c r="W34" s="935">
        <v>1</v>
      </c>
      <c r="X34" s="840"/>
      <c r="Y34" s="920">
        <f t="shared" si="22"/>
        <v>0.34363275604072846</v>
      </c>
      <c r="Z34" s="921">
        <f t="shared" si="23"/>
        <v>0.3835018382906496</v>
      </c>
      <c r="AA34" s="840"/>
      <c r="AB34" s="941" t="s">
        <v>393</v>
      </c>
      <c r="AC34" s="935" t="str">
        <f t="shared" si="24"/>
        <v>SH_Apt-B3_GASNAT_X0</v>
      </c>
      <c r="AD34" s="934" t="str">
        <f t="shared" si="25"/>
        <v>Residential Space Heating Apartment-B3_Natural Gas to Residential_Existing 00</v>
      </c>
      <c r="AE34" s="935" t="s">
        <v>53</v>
      </c>
      <c r="AF34" s="942" t="s">
        <v>406</v>
      </c>
      <c r="AG34" s="840"/>
      <c r="AH34" s="840"/>
      <c r="AI34" s="840"/>
      <c r="AJ34" s="840"/>
      <c r="AK34" s="840"/>
      <c r="AL34" s="840"/>
      <c r="AM34" s="840"/>
      <c r="AN34" s="840"/>
    </row>
    <row r="35" spans="1:40">
      <c r="A35" s="758" t="s">
        <v>114</v>
      </c>
      <c r="B35" s="758" t="s">
        <v>585</v>
      </c>
      <c r="C35" s="758">
        <f>SUMIFS(INDEX(Table7[],,MATCH(C$6,Table7[#Headers],0)),Table7[MainSpaceHeatingFuel],$B35,Table7[EnergyRating (group)],$A35)</f>
        <v>225219</v>
      </c>
      <c r="D35" s="758">
        <f>SUMIFS(INDEX(Table7[],,MATCH(D$6,Table7[#Headers],0)),Table7[MainSpaceHeatingFuel],$B35,Table7[EnergyRating (group)],$A35)</f>
        <v>204745</v>
      </c>
      <c r="E35" s="758">
        <f>SUMIFS(INDEX(Table7[],,MATCH(E$6,Table7[#Headers],0)),Table7[MainSpaceHeatingFuel],$B35,Table7[EnergyRating (group)],$A35)</f>
        <v>22088</v>
      </c>
      <c r="F35" s="758">
        <f>SUMIFS(INDEX(Table7[],,MATCH(F$6,Table7[#Headers],0)),Table7[MainSpaceHeatingFuel],$B35,Table7[EnergyRating (group)],$A35)</f>
        <v>19427</v>
      </c>
      <c r="G35" s="758">
        <f>SUMIFS(INDEX(Table7[],,MATCH(G$6,Table7[#Headers],0)),Table7[MainSpaceHeatingFuel],$B35,Table7[EnergyRating (group)],$A35)</f>
        <v>67</v>
      </c>
      <c r="H35" s="758">
        <f>SUMIFS(INDEX(Table7[],,MATCH(H$6,Table7[#Headers],0)),Table7[MainSpaceHeatingFuel],$B35,Table7[EnergyRating (group)],$A35)</f>
        <v>4197</v>
      </c>
      <c r="I35" s="911">
        <f>AVERAGEIFS(INDEX(Table7[],,MATCH(I$6,Table7[#Headers],0)),Table7[MainSpaceHeatingFuel],$B35,Table7[EnergyRating (group)],$A35)</f>
        <v>75</v>
      </c>
      <c r="J35" s="849">
        <f>SUMIFS(INDEX(Table7[],,MATCH(J$6,Table7[#Headers],0)),Table7[MainSpaceHeatingFuel],$B35,Table7[EnergyRating (group)],$A35)</f>
        <v>564239</v>
      </c>
      <c r="K35" s="849">
        <f>SUMIFS(INDEX(Table7[],,MATCH(K$6,Table7[#Headers],0)),Table7[MainSpaceHeatingFuel],$B35,Table7[EnergyRating (group)],$A35)</f>
        <v>469985</v>
      </c>
      <c r="M35" s="840"/>
      <c r="N35" s="914" t="str">
        <f>RSD_Commodities!$M$12&amp;"_"&amp;RIGHT(P35,LEN(P35)-3)&amp;"_"&amp;SETUP!$B$67</f>
        <v>SH_Apt-B3_BIOWOO_X0</v>
      </c>
      <c r="O35" s="914" t="str">
        <f>RSD_Commodities!$N$12&amp;"_"&amp;RSD_Commodities!D19&amp;"_"&amp;SETUP!$C$67</f>
        <v>Residential Space Heating Apartment-B3_Biomass &amp; Renewable Waste to Residential_Existing 00</v>
      </c>
      <c r="P35" s="915" t="str">
        <f>RSD_Commodities!$C$19</f>
        <v>RSDBIOWOO</v>
      </c>
      <c r="Q35" s="930" t="str">
        <f>RSD_Commodities!$M$12</f>
        <v>SH_Apt-B3</v>
      </c>
      <c r="R35" s="931">
        <f t="shared" si="21"/>
        <v>4.9373618275607963E-3</v>
      </c>
      <c r="S35" s="932">
        <f>R35*DwellingStocks!$I$65/1000</f>
        <v>0.10718740216572147</v>
      </c>
      <c r="T35" s="914">
        <v>1</v>
      </c>
      <c r="U35" s="914">
        <f t="shared" si="20"/>
        <v>0.75</v>
      </c>
      <c r="V35" s="930">
        <v>20</v>
      </c>
      <c r="W35" s="930">
        <v>1</v>
      </c>
      <c r="X35" s="840"/>
      <c r="Y35" s="922">
        <f t="shared" si="22"/>
        <v>9.8746908157373074E-6</v>
      </c>
      <c r="Z35" s="923">
        <f t="shared" si="23"/>
        <v>1.0893778712629348E-5</v>
      </c>
      <c r="AA35" s="840"/>
      <c r="AB35" s="939" t="s">
        <v>393</v>
      </c>
      <c r="AC35" s="930" t="str">
        <f t="shared" si="24"/>
        <v>SH_Apt-B3_BIOWOO_X0</v>
      </c>
      <c r="AD35" s="915" t="str">
        <f t="shared" si="25"/>
        <v>Residential Space Heating Apartment-B3_Biomass &amp; Renewable Waste to Residential_Existing 00</v>
      </c>
      <c r="AE35" s="930" t="s">
        <v>53</v>
      </c>
      <c r="AF35" s="940" t="s">
        <v>406</v>
      </c>
      <c r="AG35" s="930"/>
      <c r="AH35" s="930"/>
      <c r="AI35" s="840"/>
      <c r="AJ35" s="840"/>
      <c r="AK35" s="840"/>
      <c r="AL35" s="840"/>
      <c r="AM35" s="840"/>
      <c r="AN35" s="840"/>
    </row>
    <row r="36" spans="1:40">
      <c r="A36" s="757" t="s">
        <v>114</v>
      </c>
      <c r="B36" s="757" t="s">
        <v>587</v>
      </c>
      <c r="C36" s="757">
        <f>SUMIFS(INDEX(Table7[],,MATCH(C$6,Table7[#Headers],0)),Table7[MainSpaceHeatingFuel],$B36,Table7[EnergyRating (group)],$A36)</f>
        <v>0</v>
      </c>
      <c r="D36" s="757">
        <f>SUMIFS(INDEX(Table7[],,MATCH(D$6,Table7[#Headers],0)),Table7[MainSpaceHeatingFuel],$B36,Table7[EnergyRating (group)],$A36)</f>
        <v>0</v>
      </c>
      <c r="E36" s="760">
        <f>SUMIFS(INDEX(Table7[],,MATCH(E$6,Table7[#Headers],0)),Table7[MainSpaceHeatingFuel],$B36,Table7[EnergyRating (group)],$A36)</f>
        <v>0</v>
      </c>
      <c r="F36" s="757">
        <f>SUMIFS(INDEX(Table7[],,MATCH(F$6,Table7[#Headers],0)),Table7[MainSpaceHeatingFuel],$B36,Table7[EnergyRating (group)],$A36)</f>
        <v>0</v>
      </c>
      <c r="G36" s="757">
        <f>SUMIFS(INDEX(Table7[],,MATCH(G$6,Table7[#Headers],0)),Table7[MainSpaceHeatingFuel],"",Table7[EnergyRating (group)],$A36)</f>
        <v>946</v>
      </c>
      <c r="H36" s="757">
        <f>SUMIFS(INDEX(Table7[],,MATCH(H$6,Table7[#Headers],0)),Table7[MainSpaceHeatingFuel],"",Table7[EnergyRating (group)],$A36)</f>
        <v>69256</v>
      </c>
      <c r="I36" s="913">
        <f>SUMIFS(INDEX(Table7[],,MATCH(I$6,Table7[#Headers],0)),Table7[MainSpaceHeatingFuel],"",Table7[EnergyRating (group)],$A36)</f>
        <v>0</v>
      </c>
      <c r="J36" s="847">
        <f>SUMIFS(INDEX(Table7[],,MATCH(J$6,Table7[#Headers],0)),Table7[MainSpaceHeatingFuel],"",Table7[EnergyRating (group)],$A36)</f>
        <v>1828651</v>
      </c>
      <c r="K36" s="847">
        <f>SUMIFS(INDEX(Table7[],,MATCH(K$6,Table7[#Headers],0)),Table7[MainSpaceHeatingFuel],"",Table7[EnergyRating (group)],$A36)</f>
        <v>677278</v>
      </c>
      <c r="M36" s="840"/>
      <c r="N36" s="66" t="str">
        <f>RSD_Commodities!$M$12&amp;"_"&amp;RIGHT(P36,LEN(P36)-3)&amp;"_"&amp;SETUP!$B$67</f>
        <v>SH_Apt-B3_HET_X0</v>
      </c>
      <c r="O36" s="933" t="str">
        <f>RSD_Commodities!$N$12&amp;"_"&amp;RSD_Commodities!D28&amp;"_"&amp;SETUP!$C$67</f>
        <v>Residential Space Heating Apartment-B3_Heat to Residential_Existing 00</v>
      </c>
      <c r="P36" s="83" t="str">
        <f>RSD_Commodities!$C$28</f>
        <v>RSDHET</v>
      </c>
      <c r="Q36" s="935" t="str">
        <f>RSD_Commodities!$M$12</f>
        <v>SH_Apt-B3</v>
      </c>
      <c r="R36" s="936">
        <f t="shared" si="21"/>
        <v>6.9712601326455417E-2</v>
      </c>
      <c r="S36" s="937">
        <f>R36*DwellingStocks!$I$65/1000</f>
        <v>1.5134221261010821</v>
      </c>
      <c r="T36" s="933">
        <v>1</v>
      </c>
      <c r="U36" s="917">
        <f>IF(I36=0, 1, I36)</f>
        <v>1</v>
      </c>
      <c r="V36" s="935">
        <v>20</v>
      </c>
      <c r="W36" s="935">
        <v>1</v>
      </c>
      <c r="X36" s="840"/>
      <c r="Y36" s="920">
        <f t="shared" si="22"/>
        <v>0</v>
      </c>
      <c r="Z36" s="921">
        <f t="shared" si="23"/>
        <v>0</v>
      </c>
      <c r="AA36" s="840"/>
      <c r="AB36" s="941" t="s">
        <v>393</v>
      </c>
      <c r="AC36" s="935" t="str">
        <f t="shared" si="24"/>
        <v>SH_Apt-B3_HET_X0</v>
      </c>
      <c r="AD36" s="934" t="str">
        <f t="shared" si="25"/>
        <v>Residential Space Heating Apartment-B3_Heat to Residential_Existing 00</v>
      </c>
      <c r="AE36" s="935" t="s">
        <v>53</v>
      </c>
      <c r="AF36" s="942" t="s">
        <v>406</v>
      </c>
      <c r="AG36" s="840"/>
      <c r="AH36" s="840"/>
      <c r="AI36" s="840"/>
      <c r="AJ36" s="840"/>
      <c r="AK36" s="840"/>
      <c r="AL36" s="840"/>
      <c r="AM36" s="840"/>
      <c r="AN36" s="840"/>
    </row>
    <row r="37" spans="1:40">
      <c r="A37" s="758" t="s">
        <v>114</v>
      </c>
      <c r="B37" s="758" t="s">
        <v>664</v>
      </c>
      <c r="C37" s="758">
        <f>SUMIFS(INDEX(Table7[],,MATCH(C$6,Table7[#Headers],0)),Table7[MainSpaceHeatingFuel],$B37,Table7[EnergyRating (group)],$A37)</f>
        <v>46915</v>
      </c>
      <c r="D37" s="758">
        <f>SUMIFS(INDEX(Table7[],,MATCH(D$6,Table7[#Headers],0)),Table7[MainSpaceHeatingFuel],$B37,Table7[EnergyRating (group)],$A37)</f>
        <v>42650</v>
      </c>
      <c r="E37" s="758">
        <f>SUMIFS(INDEX(Table7[],,MATCH(E$6,Table7[#Headers],0)),Table7[MainSpaceHeatingFuel],$B37,Table7[EnergyRating (group)],$A37)</f>
        <v>856</v>
      </c>
      <c r="F37" s="758">
        <f>SUMIFS(INDEX(Table7[],,MATCH(F$6,Table7[#Headers],0)),Table7[MainSpaceHeatingFuel],$B37,Table7[EnergyRating (group)],$A37)</f>
        <v>905</v>
      </c>
      <c r="G37" s="758">
        <f>SUMIFS(INDEX(Table7[],,MATCH(G$6,Table7[#Headers],0)),Table7[MainSpaceHeatingFuel],$B37,Table7[EnergyRating (group)],$A37)</f>
        <v>8</v>
      </c>
      <c r="H37" s="758">
        <f>SUMIFS(INDEX(Table7[],,MATCH(H$6,Table7[#Headers],0)),Table7[MainSpaceHeatingFuel],$B37,Table7[EnergyRating (group)],$A37)</f>
        <v>640</v>
      </c>
      <c r="I37" s="911">
        <f>AVERAGEIFS(INDEX(Table7[],,MATCH(I$6,Table7[#Headers],0)),Table7[MainSpaceHeatingFuel],$B37,Table7[EnergyRating (group)],$A37)</f>
        <v>87.333333333333329</v>
      </c>
      <c r="J37" s="849">
        <f>SUMIFS(INDEX(Table7[],,MATCH(J$6,Table7[#Headers],0)),Table7[MainSpaceHeatingFuel],$B37,Table7[EnergyRating (group)],$A37)</f>
        <v>86538</v>
      </c>
      <c r="K37" s="849">
        <f>SUMIFS(INDEX(Table7[],,MATCH(K$6,Table7[#Headers],0)),Table7[MainSpaceHeatingFuel],$B37,Table7[EnergyRating (group)],$A37)</f>
        <v>69700</v>
      </c>
      <c r="M37" s="840"/>
      <c r="N37" s="914" t="str">
        <f>RSD_Commodities!$M$12&amp;"_"&amp;RIGHT(P37,LEN(P37)-3)&amp;"_"&amp;SETUP!$B$68</f>
        <v>SH_Apt-B3_OILLPG_X1</v>
      </c>
      <c r="O37" s="914" t="str">
        <f>RSD_Commodities!$N$12&amp;"_"&amp;RSD_Commodities!D11&amp;"_"&amp;SETUP!$C$68</f>
        <v>Residential Space Heating Apartment-B3_LPG to Residential_Existing 01</v>
      </c>
      <c r="P37" s="915" t="str">
        <f>RSD_Commodities!$C$11</f>
        <v>RSDOILLPG</v>
      </c>
      <c r="Q37" s="930" t="str">
        <f>RSD_Commodities!$M$12</f>
        <v>SH_Apt-B3</v>
      </c>
      <c r="R37" s="931">
        <f t="shared" si="21"/>
        <v>5.8953574060427417E-4</v>
      </c>
      <c r="S37" s="932">
        <f>R37*DwellingStocks!$I$65/1000</f>
        <v>1.2798495780981667E-2</v>
      </c>
      <c r="T37" s="914">
        <v>1</v>
      </c>
      <c r="U37" s="916">
        <f t="shared" si="20"/>
        <v>0.87333333333333329</v>
      </c>
      <c r="V37" s="930">
        <v>20</v>
      </c>
      <c r="W37" s="930">
        <v>1</v>
      </c>
      <c r="X37" s="840"/>
      <c r="Y37" s="922">
        <f t="shared" si="22"/>
        <v>2.2908430838657122E-7</v>
      </c>
      <c r="Z37" s="923">
        <f t="shared" si="23"/>
        <v>2.5125901724107206E-7</v>
      </c>
      <c r="AA37" s="840"/>
      <c r="AB37" s="939" t="s">
        <v>393</v>
      </c>
      <c r="AC37" s="930" t="str">
        <f t="shared" si="24"/>
        <v>SH_Apt-B3_OILLPG_X1</v>
      </c>
      <c r="AD37" s="915" t="str">
        <f t="shared" si="25"/>
        <v>Residential Space Heating Apartment-B3_LPG to Residential_Existing 01</v>
      </c>
      <c r="AE37" s="930" t="s">
        <v>53</v>
      </c>
      <c r="AF37" s="940" t="s">
        <v>406</v>
      </c>
      <c r="AG37" s="930"/>
      <c r="AH37" s="930"/>
      <c r="AI37" s="840"/>
      <c r="AJ37" s="840"/>
      <c r="AK37" s="840"/>
      <c r="AL37" s="840"/>
      <c r="AM37" s="840"/>
      <c r="AN37" s="840"/>
    </row>
    <row r="38" spans="1:40" ht="15.75" thickBot="1">
      <c r="A38" s="757" t="s">
        <v>114</v>
      </c>
      <c r="B38" s="757" t="s">
        <v>665</v>
      </c>
      <c r="C38" s="757">
        <f>SUMIFS(INDEX(Table7[],,MATCH(C$6,Table7[#Headers],0)),Table7[MainSpaceHeatingFuel],$B38,Table7[EnergyRating (group)],$A38)</f>
        <v>21019</v>
      </c>
      <c r="D38" s="757">
        <f>SUMIFS(INDEX(Table7[],,MATCH(D$6,Table7[#Headers],0)),Table7[MainSpaceHeatingFuel],$B38,Table7[EnergyRating (group)],$A38)</f>
        <v>19108</v>
      </c>
      <c r="E38" s="760">
        <f>SUMIFS(INDEX(Table7[],,MATCH(E$6,Table7[#Headers],0)),Table7[MainSpaceHeatingFuel],$B38,Table7[EnergyRating (group)],$A38)</f>
        <v>0</v>
      </c>
      <c r="F38" s="757">
        <f>SUMIFS(INDEX(Table7[],,MATCH(F$6,Table7[#Headers],0)),Table7[MainSpaceHeatingFuel],$B38,Table7[EnergyRating (group)],$A38)</f>
        <v>2482</v>
      </c>
      <c r="G38" s="757">
        <f>SUMIFS(INDEX(Table7[],,MATCH(G$6,Table7[#Headers],0)),Table7[MainSpaceHeatingFuel],$B38,Table7[EnergyRating (group)],$A38)</f>
        <v>1</v>
      </c>
      <c r="H38" s="757">
        <f>SUMIFS(INDEX(Table7[],,MATCH(H$6,Table7[#Headers],0)),Table7[MainSpaceHeatingFuel],$B38,Table7[EnergyRating (group)],$A38)</f>
        <v>218</v>
      </c>
      <c r="I38" s="943">
        <f>AVERAGEIFS(INDEX(Table7[],,MATCH(I$6,Table7[#Headers],0)),Table7[MainSpaceHeatingFuel],$B38,Table7[EnergyRating (group)],$A38)</f>
        <v>76</v>
      </c>
      <c r="J38" s="847">
        <f>SUMIFS(INDEX(Table7[],,MATCH(J$6,Table7[#Headers],0)),Table7[MainSpaceHeatingFuel],$B38,Table7[EnergyRating (group)],$A38)</f>
        <v>30564</v>
      </c>
      <c r="K38" s="847">
        <f>SUMIFS(INDEX(Table7[],,MATCH(K$6,Table7[#Headers],0)),Table7[MainSpaceHeatingFuel],$B38,Table7[EnergyRating (group)],$A38)</f>
        <v>28550</v>
      </c>
      <c r="M38" s="840"/>
      <c r="N38" s="840" t="str">
        <f>RSD_Commodities!$M$12&amp;"_"&amp;RSD_Commodities!$C$26&amp;"_"&amp;SETUP!$B$67</f>
        <v>SH_Apt-B3_RSDSMF_X0</v>
      </c>
      <c r="O38" s="840" t="str">
        <f>RSD_Commodities!$N$12&amp;"_"&amp;RSD_Commodities!$D$26&amp;"_"&amp;SETUP!$C$67</f>
        <v>Residential Space Heating Apartment-B3_Solid Multi-Fuel_Existing 00</v>
      </c>
      <c r="P38" s="935" t="str">
        <f>RSD_Commodities!$C$6&amp;","&amp;RSD_Commodities!$C$7&amp;","&amp;RSD_Commodities!$C$9&amp;","&amp;RSD_Commodities!$C$10&amp;","&amp;RSD_Commodities!$C$19</f>
        <v>RSDCOABIT,RSDCOAHAR,RSDCOALIG,RSDPEA,RSDBIOWOO</v>
      </c>
      <c r="Q38" s="840" t="str">
        <f>RSD_Commodities!$M$12</f>
        <v>SH_Apt-B3</v>
      </c>
      <c r="R38" s="936">
        <f t="shared" si="21"/>
        <v>7.3691967575534271E-5</v>
      </c>
      <c r="S38" s="937">
        <f>R38*DwellingStocks!$I$65/1000</f>
        <v>1.5998119726227083E-3</v>
      </c>
      <c r="T38" s="933">
        <v>1</v>
      </c>
      <c r="U38" s="933">
        <f t="shared" si="20"/>
        <v>0.76</v>
      </c>
      <c r="V38" s="935">
        <v>20</v>
      </c>
      <c r="W38" s="935">
        <v>1</v>
      </c>
      <c r="X38" s="840"/>
      <c r="Y38" s="920">
        <f t="shared" si="22"/>
        <v>1.4194496091338745E-8</v>
      </c>
      <c r="Z38" s="921">
        <f t="shared" si="23"/>
        <v>1.3819088158584952E-8</v>
      </c>
      <c r="AA38" s="840"/>
      <c r="AB38" s="938" t="s">
        <v>393</v>
      </c>
      <c r="AC38" s="840" t="str">
        <f t="shared" si="24"/>
        <v>SH_Apt-B3_RSDSMF_X0</v>
      </c>
      <c r="AD38" s="840" t="str">
        <f t="shared" si="25"/>
        <v>Residential Space Heating Apartment-B3_Solid Multi-Fuel_Existing 00</v>
      </c>
      <c r="AE38" s="840" t="s">
        <v>53</v>
      </c>
      <c r="AF38" s="868" t="s">
        <v>406</v>
      </c>
      <c r="AG38" s="840"/>
      <c r="AH38" s="840"/>
      <c r="AI38" s="840"/>
      <c r="AJ38" s="840"/>
      <c r="AK38" s="840"/>
      <c r="AL38" s="840"/>
      <c r="AM38" s="840"/>
      <c r="AN38" s="840"/>
    </row>
    <row r="39" spans="1:40" ht="15.75" thickBot="1">
      <c r="A39" s="756" t="s">
        <v>116</v>
      </c>
      <c r="B39" s="1048"/>
      <c r="C39" s="1049"/>
      <c r="D39" s="1049"/>
      <c r="E39" s="1049"/>
      <c r="F39" s="1049"/>
      <c r="G39" s="1049"/>
      <c r="H39" s="1049"/>
      <c r="I39" s="1053"/>
      <c r="J39" s="736" t="s">
        <v>565</v>
      </c>
      <c r="K39" s="737" t="s">
        <v>565</v>
      </c>
      <c r="M39" s="840"/>
      <c r="N39" s="76" t="str">
        <f>AB39</f>
        <v>*C Rating</v>
      </c>
      <c r="O39" s="76"/>
      <c r="P39" s="76"/>
      <c r="Q39" s="76"/>
      <c r="R39" s="949">
        <f>SUM(R40:R50)</f>
        <v>1.0000000000000002</v>
      </c>
      <c r="S39" s="76"/>
      <c r="T39" s="97"/>
      <c r="U39" s="76"/>
      <c r="V39" s="76"/>
      <c r="W39" s="76"/>
      <c r="X39" s="840"/>
      <c r="Y39" s="76"/>
      <c r="Z39" s="76"/>
      <c r="AA39" s="840"/>
      <c r="AB39" s="140" t="str">
        <f>"*"&amp; A40 &amp; " Rating"</f>
        <v>*C Rating</v>
      </c>
      <c r="AC39" s="141"/>
      <c r="AD39" s="141"/>
      <c r="AE39" s="141"/>
      <c r="AF39" s="141"/>
      <c r="AG39" s="141"/>
      <c r="AH39" s="141"/>
      <c r="AI39" s="840"/>
      <c r="AJ39" s="840"/>
      <c r="AK39" s="840"/>
      <c r="AL39" s="840"/>
      <c r="AM39" s="840"/>
      <c r="AN39" s="840"/>
    </row>
    <row r="40" spans="1:40">
      <c r="A40" s="758" t="s">
        <v>116</v>
      </c>
      <c r="B40" s="758" t="s">
        <v>580</v>
      </c>
      <c r="C40" s="758">
        <f>SUMIFS(INDEX(Table7[],,MATCH(C$6,Table7[#Headers],0)),Table7[MainSpaceHeatingFuel],$B40,Table7[EnergyRating (group)],$A40)</f>
        <v>5633</v>
      </c>
      <c r="D40" s="758">
        <f>SUMIFS(INDEX(Table7[],,MATCH(D$6,Table7[#Headers],0)),Table7[MainSpaceHeatingFuel],$B40,Table7[EnergyRating (group)],$A40)</f>
        <v>2086</v>
      </c>
      <c r="E40" s="759">
        <f>SUMIFS(INDEX(Table7[],,MATCH(E$6,Table7[#Headers],0)),Table7[MainSpaceHeatingFuel],$B40,Table7[EnergyRating (group)],$A40)</f>
        <v>1408</v>
      </c>
      <c r="F40" s="759">
        <f>SUMIFS(INDEX(Table7[],,MATCH(F$6,Table7[#Headers],0)),Table7[MainSpaceHeatingFuel],$B40,Table7[EnergyRating (group)],$A40)</f>
        <v>522</v>
      </c>
      <c r="G40" s="758">
        <f>SUMIFS(INDEX(Table7[],,MATCH(G$6,Table7[#Headers],0)),Table7[MainSpaceHeatingFuel],$B40,Table7[EnergyRating (group)],$A40)</f>
        <v>1</v>
      </c>
      <c r="H40" s="758">
        <f>SUMIFS(INDEX(Table7[],,MATCH(H$6,Table7[#Headers],0)),Table7[MainSpaceHeatingFuel],$B40,Table7[EnergyRating (group)],$A40)</f>
        <v>73</v>
      </c>
      <c r="I40" s="911">
        <f>AVERAGEIFS(INDEX(Table7[],,MATCH(I$6,Table7[#Headers],0)),Table7[MainSpaceHeatingFuel],$B40,Table7[EnergyRating (group)],$A40)</f>
        <v>100</v>
      </c>
      <c r="J40" s="849">
        <f>SUMIFS(INDEX(Table7[],,MATCH(J$6,Table7[#Headers],0)),Table7[MainSpaceHeatingFuel],$B40,Table7[EnergyRating (group)],$A40)</f>
        <v>14447</v>
      </c>
      <c r="K40" s="849">
        <f>SUMIFS(INDEX(Table7[],,MATCH(K$6,Table7[#Headers],0)),Table7[MainSpaceHeatingFuel],$B40,Table7[EnergyRating (group)],$A40)</f>
        <v>5351</v>
      </c>
      <c r="M40" s="840"/>
      <c r="N40" s="933" t="str">
        <f>RSD_Commodities!$M$13&amp;"_"&amp;RIGHT(P40,LEN(P40)-3)&amp;"_"&amp;SETUP!$B$67</f>
        <v>SH_Apt-C_BIODST_X0</v>
      </c>
      <c r="O40" s="933" t="str">
        <f>RSD_Commodities!$N$13&amp;"_"&amp;RSD_Commodities!D24&amp;"_"&amp;SETUP!$C$67</f>
        <v>Residential Space Heating Apartment-C_Biodiesel to Residential_Existing 00</v>
      </c>
      <c r="P40" s="934" t="str">
        <f>RSD_Commodities!$C$24</f>
        <v>RSDBIODST</v>
      </c>
      <c r="Q40" s="935" t="str">
        <f>RSD_Commodities!$M$13</f>
        <v>SH_Apt-C</v>
      </c>
      <c r="R40" s="936">
        <f>G40/SUM($G$40:$G$50)</f>
        <v>2.194666959288928E-5</v>
      </c>
      <c r="S40" s="937">
        <f>R40*DwellingStocks!$I$66/1000</f>
        <v>1.5618210757898504E-3</v>
      </c>
      <c r="T40" s="933">
        <v>1</v>
      </c>
      <c r="U40" s="933">
        <f t="shared" si="20"/>
        <v>1</v>
      </c>
      <c r="V40" s="935">
        <v>20</v>
      </c>
      <c r="W40" s="935">
        <v>1</v>
      </c>
      <c r="X40" s="840"/>
      <c r="Y40" s="918">
        <f>ABS((D40+F40)*S40*1000*$B$2)</f>
        <v>1.6739298762986018E-9</v>
      </c>
      <c r="Z40" s="919">
        <f>ABS((C40+E40)*S40*1000*$B$2)</f>
        <v>4.5192255594395913E-9</v>
      </c>
      <c r="AA40" s="840"/>
      <c r="AB40" s="933" t="s">
        <v>393</v>
      </c>
      <c r="AC40" s="933" t="str">
        <f>N40</f>
        <v>SH_Apt-C_BIODST_X0</v>
      </c>
      <c r="AD40" s="933" t="str">
        <f>O40</f>
        <v>Residential Space Heating Apartment-C_Biodiesel to Residential_Existing 00</v>
      </c>
      <c r="AE40" s="933" t="s">
        <v>53</v>
      </c>
      <c r="AF40" s="933" t="s">
        <v>406</v>
      </c>
      <c r="AG40" s="933"/>
      <c r="AH40" s="933"/>
      <c r="AI40" s="840"/>
      <c r="AJ40" s="840"/>
      <c r="AK40" s="840"/>
      <c r="AL40" s="840"/>
      <c r="AM40" s="840"/>
      <c r="AN40" s="840"/>
    </row>
    <row r="41" spans="1:40">
      <c r="A41" s="757" t="s">
        <v>116</v>
      </c>
      <c r="B41" s="757" t="s">
        <v>582</v>
      </c>
      <c r="C41" s="757">
        <f>SUMIFS(INDEX(Table7[],,MATCH(C$6,Table7[#Headers],0)),Table7[MainSpaceHeatingFuel],$B41,Table7[EnergyRating (group)],$A41)</f>
        <v>7015764</v>
      </c>
      <c r="D41" s="757">
        <f>SUMIFS(INDEX(Table7[],,MATCH(D$6,Table7[#Headers],0)),Table7[MainSpaceHeatingFuel],$B41,Table7[EnergyRating (group)],$A41)</f>
        <v>6377968</v>
      </c>
      <c r="E41" s="757">
        <f>SUMIFS(INDEX(Table7[],,MATCH(E$6,Table7[#Headers],0)),Table7[MainSpaceHeatingFuel],$B41,Table7[EnergyRating (group)],$A41)</f>
        <v>717197</v>
      </c>
      <c r="F41" s="757">
        <f>SUMIFS(INDEX(Table7[],,MATCH(F$6,Table7[#Headers],0)),Table7[MainSpaceHeatingFuel],$B41,Table7[EnergyRating (group)],$A41)</f>
        <v>535700</v>
      </c>
      <c r="G41" s="757">
        <f>SUMIFS(INDEX(Table7[],,MATCH(G$6,Table7[#Headers],0)),Table7[MainSpaceHeatingFuel],$B41,Table7[EnergyRating (group)],$A41)</f>
        <v>1001</v>
      </c>
      <c r="H41" s="757">
        <f>SUMIFS(INDEX(Table7[],,MATCH(H$6,Table7[#Headers],0)),Table7[MainSpaceHeatingFuel],$B41,Table7[EnergyRating (group)],$A41)</f>
        <v>72679</v>
      </c>
      <c r="I41" s="912">
        <f>AVERAGEIFS(INDEX(Table7[],,MATCH(I$6,Table7[#Headers],0)),Table7[MainSpaceHeatingFuel],$B41,Table7[EnergyRating (group)],$A41)</f>
        <v>81</v>
      </c>
      <c r="J41" s="847">
        <f>SUMIFS(INDEX(Table7[],,MATCH(J$6,Table7[#Headers],0)),Table7[MainSpaceHeatingFuel],$B41,Table7[EnergyRating (group)],$A41)</f>
        <v>13184022</v>
      </c>
      <c r="K41" s="847">
        <f>SUMIFS(INDEX(Table7[],,MATCH(K$6,Table7[#Headers],0)),Table7[MainSpaceHeatingFuel],$B41,Table7[EnergyRating (group)],$A41)</f>
        <v>10690869</v>
      </c>
      <c r="M41" s="840"/>
      <c r="N41" s="914" t="str">
        <f>RSD_Commodities!$M$13&amp;"_"&amp;RIGHT(P41,LEN(P41)-3)&amp;"_"&amp;SETUP!$B$67</f>
        <v>SH_Apt-C_OILLPG_X0</v>
      </c>
      <c r="O41" s="914" t="str">
        <f>RSD_Commodities!$N$13&amp;"_"&amp;RSD_Commodities!D11&amp;"_"&amp;SETUP!$C$67</f>
        <v>Residential Space Heating Apartment-C_LPG to Residential_Existing 00</v>
      </c>
      <c r="P41" s="915" t="str">
        <f>RSD_Commodities!$C$11</f>
        <v>RSDOILLPG</v>
      </c>
      <c r="Q41" s="930" t="str">
        <f>RSD_Commodities!$M$13</f>
        <v>SH_Apt-C</v>
      </c>
      <c r="R41" s="931">
        <f t="shared" ref="R41:R50" si="26">G41/SUM($G$40:$G$50)</f>
        <v>2.1968616262482168E-2</v>
      </c>
      <c r="S41" s="932">
        <f>R41*DwellingStocks!$I$66/1000</f>
        <v>1.5633828968656402</v>
      </c>
      <c r="T41" s="914">
        <v>1</v>
      </c>
      <c r="U41" s="914">
        <f t="shared" si="20"/>
        <v>0.81</v>
      </c>
      <c r="V41" s="930">
        <v>20</v>
      </c>
      <c r="W41" s="930">
        <v>1</v>
      </c>
      <c r="X41" s="840"/>
      <c r="Y41" s="920">
        <f t="shared" ref="Y41:Y47" si="27">ABS((D41+F41)*S41*1000*$B$2)</f>
        <v>4.4419357421125807E-3</v>
      </c>
      <c r="Z41" s="921">
        <f t="shared" ref="Z41:Z47" si="28">ABS((C41+E41)*S41*1000*$B$2)</f>
        <v>4.9683201244639808E-3</v>
      </c>
      <c r="AA41" s="840"/>
      <c r="AB41" s="914" t="s">
        <v>393</v>
      </c>
      <c r="AC41" s="914" t="str">
        <f t="shared" ref="AC41:AC50" si="29">N41</f>
        <v>SH_Apt-C_OILLPG_X0</v>
      </c>
      <c r="AD41" s="914" t="str">
        <f t="shared" ref="AD41:AD50" si="30">O41</f>
        <v>Residential Space Heating Apartment-C_LPG to Residential_Existing 00</v>
      </c>
      <c r="AE41" s="914" t="s">
        <v>53</v>
      </c>
      <c r="AF41" s="914" t="s">
        <v>406</v>
      </c>
      <c r="AG41" s="914"/>
      <c r="AH41" s="914"/>
      <c r="AI41" s="840"/>
      <c r="AJ41" s="840"/>
      <c r="AK41" s="840"/>
      <c r="AL41" s="840"/>
      <c r="AM41" s="840"/>
      <c r="AN41" s="840"/>
    </row>
    <row r="42" spans="1:40">
      <c r="A42" s="758" t="s">
        <v>116</v>
      </c>
      <c r="B42" s="758" t="s">
        <v>228</v>
      </c>
      <c r="C42" s="758">
        <f>SUMIFS(INDEX(Table7[],,MATCH(C$6,Table7[#Headers],0)),Table7[MainSpaceHeatingFuel],$B42,Table7[EnergyRating (group)],$A42)</f>
        <v>95058791</v>
      </c>
      <c r="D42" s="758">
        <f>SUMIFS(INDEX(Table7[],,MATCH(D$6,Table7[#Headers],0)),Table7[MainSpaceHeatingFuel],$B42,Table7[EnergyRating (group)],$A42)</f>
        <v>35206959</v>
      </c>
      <c r="E42" s="759">
        <f>SUMIFS(INDEX(Table7[],,MATCH(E$6,Table7[#Headers],0)),Table7[MainSpaceHeatingFuel],$B42,Table7[EnergyRating (group)],$A42)</f>
        <v>11726983</v>
      </c>
      <c r="F42" s="759">
        <f>SUMIFS(INDEX(Table7[],,MATCH(F$6,Table7[#Headers],0)),Table7[MainSpaceHeatingFuel],$B42,Table7[EnergyRating (group)],$A42)</f>
        <v>4778195</v>
      </c>
      <c r="G42" s="758">
        <f>SUMIFS(INDEX(Table7[],,MATCH(G$6,Table7[#Headers],0)),Table7[MainSpaceHeatingFuel],$B42,Table7[EnergyRating (group)],$A42)</f>
        <v>17395</v>
      </c>
      <c r="H42" s="758">
        <f>SUMIFS(INDEX(Table7[],,MATCH(H$6,Table7[#Headers],0)),Table7[MainSpaceHeatingFuel],$B42,Table7[EnergyRating (group)],$A42)</f>
        <v>1230378</v>
      </c>
      <c r="I42" s="911">
        <f>AVERAGEIFS(INDEX(Table7[],,MATCH(I$6,Table7[#Headers],0)),Table7[MainSpaceHeatingFuel],$B42,Table7[EnergyRating (group)],$A42)</f>
        <v>133.5</v>
      </c>
      <c r="J42" s="849">
        <f>SUMIFS(INDEX(Table7[],,MATCH(J$6,Table7[#Headers],0)),Table7[MainSpaceHeatingFuel],$B42,Table7[EnergyRating (group)],$A42)</f>
        <v>240170387</v>
      </c>
      <c r="K42" s="849">
        <f>SUMIFS(INDEX(Table7[],,MATCH(K$6,Table7[#Headers],0)),Table7[MainSpaceHeatingFuel],$B42,Table7[EnergyRating (group)],$A42)</f>
        <v>89538030</v>
      </c>
      <c r="M42" s="840"/>
      <c r="N42" s="933" t="str">
        <f>RSD_Commodities!$M$13&amp;"_"&amp;RIGHT(P42,LEN(P42)-3)&amp;"_"&amp;SETUP!$B$67</f>
        <v>SH_Apt-C_ELCD_X0</v>
      </c>
      <c r="O42" s="933" t="str">
        <f>RSD_Commodities!$N$13&amp;"_"&amp;RSD_Commodities!D27&amp;"_"&amp;SETUP!$C$67</f>
        <v>Residential Space Heating Apartment-C_Electricity to Residential_Existing 00</v>
      </c>
      <c r="P42" s="934" t="str">
        <f>RSD_Commodities!$C$27</f>
        <v>RSDELCD</v>
      </c>
      <c r="Q42" s="935" t="str">
        <f>RSD_Commodities!$M$13</f>
        <v>SH_Apt-C</v>
      </c>
      <c r="R42" s="936">
        <f t="shared" si="26"/>
        <v>0.38176231756830903</v>
      </c>
      <c r="S42" s="937">
        <f>R42*DwellingStocks!$I$66/1000</f>
        <v>27.16787761336445</v>
      </c>
      <c r="T42" s="933">
        <v>1</v>
      </c>
      <c r="U42" s="933">
        <f t="shared" si="20"/>
        <v>1.335</v>
      </c>
      <c r="V42" s="935">
        <v>20</v>
      </c>
      <c r="W42" s="935">
        <v>1</v>
      </c>
      <c r="X42" s="840"/>
      <c r="Y42" s="922">
        <f t="shared" si="27"/>
        <v>0.44642949461240966</v>
      </c>
      <c r="Z42" s="923">
        <f t="shared" si="28"/>
        <v>1.1922504817316695</v>
      </c>
      <c r="AA42" s="840"/>
      <c r="AB42" s="933" t="s">
        <v>393</v>
      </c>
      <c r="AC42" s="933" t="str">
        <f t="shared" si="29"/>
        <v>SH_Apt-C_ELCD_X0</v>
      </c>
      <c r="AD42" s="933" t="str">
        <f t="shared" si="30"/>
        <v>Residential Space Heating Apartment-C_Electricity to Residential_Existing 00</v>
      </c>
      <c r="AE42" s="933" t="s">
        <v>53</v>
      </c>
      <c r="AF42" s="933" t="s">
        <v>406</v>
      </c>
      <c r="AG42" s="933"/>
      <c r="AH42" s="933"/>
      <c r="AI42" s="840"/>
      <c r="AJ42" s="840"/>
      <c r="AK42" s="840"/>
      <c r="AL42" s="840"/>
      <c r="AM42" s="840"/>
      <c r="AN42" s="840"/>
    </row>
    <row r="43" spans="1:40">
      <c r="A43" s="757" t="s">
        <v>116</v>
      </c>
      <c r="B43" s="757" t="s">
        <v>583</v>
      </c>
      <c r="C43" s="757">
        <f>SUMIFS(INDEX(Table7[],,MATCH(C$6,Table7[#Headers],0)),Table7[MainSpaceHeatingFuel],$B43,Table7[EnergyRating (group)],$A43)</f>
        <v>17100212</v>
      </c>
      <c r="D43" s="757">
        <f>SUMIFS(INDEX(Table7[],,MATCH(D$6,Table7[#Headers],0)),Table7[MainSpaceHeatingFuel],$B43,Table7[EnergyRating (group)],$A43)</f>
        <v>15545648</v>
      </c>
      <c r="E43" s="760">
        <f>SUMIFS(INDEX(Table7[],,MATCH(E$6,Table7[#Headers],0)),Table7[MainSpaceHeatingFuel],$B43,Table7[EnergyRating (group)],$A43)</f>
        <v>3458817</v>
      </c>
      <c r="F43" s="760">
        <f>SUMIFS(INDEX(Table7[],,MATCH(F$6,Table7[#Headers],0)),Table7[MainSpaceHeatingFuel],$B43,Table7[EnergyRating (group)],$A43)</f>
        <v>2982264</v>
      </c>
      <c r="G43" s="757">
        <f>SUMIFS(INDEX(Table7[],,MATCH(G$6,Table7[#Headers],0)),Table7[MainSpaceHeatingFuel],$B43,Table7[EnergyRating (group)],$A43)</f>
        <v>1477</v>
      </c>
      <c r="H43" s="757">
        <f>SUMIFS(INDEX(Table7[],,MATCH(H$6,Table7[#Headers],0)),Table7[MainSpaceHeatingFuel],$B43,Table7[EnergyRating (group)],$A43)</f>
        <v>168327</v>
      </c>
      <c r="I43" s="912">
        <f>AVERAGEIFS(INDEX(Table7[],,MATCH(I$6,Table7[#Headers],0)),Table7[MainSpaceHeatingFuel],$B43,Table7[EnergyRating (group)],$A43)</f>
        <v>83</v>
      </c>
      <c r="J43" s="847">
        <f>SUMIFS(INDEX(Table7[],,MATCH(J$6,Table7[#Headers],0)),Table7[MainSpaceHeatingFuel],$B43,Table7[EnergyRating (group)],$A43)</f>
        <v>32988465</v>
      </c>
      <c r="K43" s="847">
        <f>SUMIFS(INDEX(Table7[],,MATCH(K$6,Table7[#Headers],0)),Table7[MainSpaceHeatingFuel],$B43,Table7[EnergyRating (group)],$A43)</f>
        <v>26674089</v>
      </c>
      <c r="M43" s="840"/>
      <c r="N43" s="914" t="str">
        <f>RSD_Commodities!$M$13&amp;"_"&amp;RIGHT(P43,LEN(P43)-3)&amp;"_"&amp;SETUP!$B$67</f>
        <v>SH_Apt-C_OILKER_X0</v>
      </c>
      <c r="O43" s="914" t="str">
        <f>RSD_Commodities!$N$13&amp;"_"&amp;RSD_Commodities!D13&amp;"_"&amp;SETUP!$C$67</f>
        <v>Residential Space Heating Apartment-C_Kerosene to Residential_Existing 00</v>
      </c>
      <c r="P43" s="915" t="str">
        <f>RSD_Commodities!$C$13</f>
        <v>RSDOILKER</v>
      </c>
      <c r="Q43" s="930" t="str">
        <f>RSD_Commodities!$M$13</f>
        <v>SH_Apt-C</v>
      </c>
      <c r="R43" s="931">
        <f t="shared" si="26"/>
        <v>3.2415230988697467E-2</v>
      </c>
      <c r="S43" s="932">
        <f>R43*DwellingStocks!$I$66/1000</f>
        <v>2.3068097289416096</v>
      </c>
      <c r="T43" s="914">
        <v>1</v>
      </c>
      <c r="U43" s="914">
        <f t="shared" si="20"/>
        <v>0.83</v>
      </c>
      <c r="V43" s="930">
        <v>20</v>
      </c>
      <c r="W43" s="930">
        <v>1</v>
      </c>
      <c r="X43" s="840"/>
      <c r="Y43" s="920">
        <f t="shared" si="27"/>
        <v>1.7564534654208496E-2</v>
      </c>
      <c r="Z43" s="921">
        <f t="shared" si="28"/>
        <v>1.9490041691010696E-2</v>
      </c>
      <c r="AA43" s="840"/>
      <c r="AB43" s="914" t="s">
        <v>393</v>
      </c>
      <c r="AC43" s="914" t="str">
        <f t="shared" si="29"/>
        <v>SH_Apt-C_OILKER_X0</v>
      </c>
      <c r="AD43" s="914" t="str">
        <f t="shared" si="30"/>
        <v>Residential Space Heating Apartment-C_Kerosene to Residential_Existing 00</v>
      </c>
      <c r="AE43" s="914" t="s">
        <v>53</v>
      </c>
      <c r="AF43" s="914" t="s">
        <v>406</v>
      </c>
      <c r="AG43" s="914"/>
      <c r="AH43" s="914"/>
      <c r="AI43" s="840"/>
      <c r="AJ43" s="840"/>
      <c r="AK43" s="840"/>
      <c r="AL43" s="840"/>
      <c r="AM43" s="840"/>
      <c r="AN43" s="840"/>
    </row>
    <row r="44" spans="1:40">
      <c r="A44" s="758" t="s">
        <v>116</v>
      </c>
      <c r="B44" s="758" t="s">
        <v>584</v>
      </c>
      <c r="C44" s="758">
        <f>SUMIFS(INDEX(Table7[],,MATCH(C$6,Table7[#Headers],0)),Table7[MainSpaceHeatingFuel],$B44,Table7[EnergyRating (group)],$A44)</f>
        <v>147097782</v>
      </c>
      <c r="D44" s="758">
        <f>SUMIFS(INDEX(Table7[],,MATCH(D$6,Table7[#Headers],0)),Table7[MainSpaceHeatingFuel],$B44,Table7[EnergyRating (group)],$A44)</f>
        <v>133725257</v>
      </c>
      <c r="E44" s="758">
        <f>SUMIFS(INDEX(Table7[],,MATCH(E$6,Table7[#Headers],0)),Table7[MainSpaceHeatingFuel],$B44,Table7[EnergyRating (group)],$A44)</f>
        <v>15554006</v>
      </c>
      <c r="F44" s="758">
        <f>SUMIFS(INDEX(Table7[],,MATCH(F$6,Table7[#Headers],0)),Table7[MainSpaceHeatingFuel],$B44,Table7[EnergyRating (group)],$A44)</f>
        <v>11849609</v>
      </c>
      <c r="G44" s="758">
        <f>SUMIFS(INDEX(Table7[],,MATCH(G$6,Table7[#Headers],0)),Table7[MainSpaceHeatingFuel],$B44,Table7[EnergyRating (group)],$A44)</f>
        <v>24136</v>
      </c>
      <c r="H44" s="758">
        <f>SUMIFS(INDEX(Table7[],,MATCH(H$6,Table7[#Headers],0)),Table7[MainSpaceHeatingFuel],$B44,Table7[EnergyRating (group)],$A44)</f>
        <v>1741609</v>
      </c>
      <c r="I44" s="911">
        <f>AVERAGEIFS(INDEX(Table7[],,MATCH(I$6,Table7[#Headers],0)),Table7[MainSpaceHeatingFuel],$B44,Table7[EnergyRating (group)],$A44)</f>
        <v>79.833333333333329</v>
      </c>
      <c r="J44" s="849">
        <f>SUMIFS(INDEX(Table7[],,MATCH(J$6,Table7[#Headers],0)),Table7[MainSpaceHeatingFuel],$B44,Table7[EnergyRating (group)],$A44)</f>
        <v>316783706</v>
      </c>
      <c r="K44" s="849">
        <f>SUMIFS(INDEX(Table7[],,MATCH(K$6,Table7[#Headers],0)),Table7[MainSpaceHeatingFuel],$B44,Table7[EnergyRating (group)],$A44)</f>
        <v>253320988</v>
      </c>
      <c r="M44" s="840"/>
      <c r="N44" s="933" t="str">
        <f>RSD_Commodities!$M$13&amp;"_"&amp;RIGHT(P44,LEN(P44)-3)&amp;"_"&amp;SETUP!$B$67</f>
        <v>SH_Apt-C_GASNAT_X0</v>
      </c>
      <c r="O44" s="933" t="str">
        <f>RSD_Commodities!$N$13&amp;"_"&amp;RSD_Commodities!D17&amp;"_"&amp;SETUP!$C$67</f>
        <v>Residential Space Heating Apartment-C_Natural Gas to Residential_Existing 00</v>
      </c>
      <c r="P44" s="934" t="str">
        <f>RSD_Commodities!$C$17</f>
        <v>RSDGASNAT</v>
      </c>
      <c r="Q44" s="935" t="str">
        <f>RSD_Commodities!$M$13</f>
        <v>SH_Apt-C</v>
      </c>
      <c r="R44" s="936">
        <f t="shared" si="26"/>
        <v>0.52970481729397567</v>
      </c>
      <c r="S44" s="937">
        <f>R44*DwellingStocks!$I$66/1000</f>
        <v>37.696113485263837</v>
      </c>
      <c r="T44" s="933">
        <v>1</v>
      </c>
      <c r="U44" s="954">
        <f t="shared" si="20"/>
        <v>0.79833333333333334</v>
      </c>
      <c r="V44" s="935">
        <v>20</v>
      </c>
      <c r="W44" s="935">
        <v>1</v>
      </c>
      <c r="X44" s="840"/>
      <c r="Y44" s="922">
        <f t="shared" si="27"/>
        <v>2.2551808230156478</v>
      </c>
      <c r="Z44" s="923">
        <f t="shared" si="28"/>
        <v>2.5197288735735923</v>
      </c>
      <c r="AA44" s="840"/>
      <c r="AB44" s="933" t="s">
        <v>393</v>
      </c>
      <c r="AC44" s="933" t="str">
        <f t="shared" si="29"/>
        <v>SH_Apt-C_GASNAT_X0</v>
      </c>
      <c r="AD44" s="933" t="str">
        <f t="shared" si="30"/>
        <v>Residential Space Heating Apartment-C_Natural Gas to Residential_Existing 00</v>
      </c>
      <c r="AE44" s="933" t="s">
        <v>53</v>
      </c>
      <c r="AF44" s="933" t="s">
        <v>406</v>
      </c>
      <c r="AG44" s="933"/>
      <c r="AH44" s="933"/>
      <c r="AI44" s="840"/>
      <c r="AJ44" s="840"/>
      <c r="AK44" s="840"/>
      <c r="AL44" s="840"/>
      <c r="AM44" s="840"/>
      <c r="AN44" s="840"/>
    </row>
    <row r="45" spans="1:40">
      <c r="A45" s="757" t="s">
        <v>116</v>
      </c>
      <c r="B45" s="757" t="s">
        <v>585</v>
      </c>
      <c r="C45" s="757">
        <f>SUMIFS(INDEX(Table7[],,MATCH(C$6,Table7[#Headers],0)),Table7[MainSpaceHeatingFuel],$B45,Table7[EnergyRating (group)],$A45)</f>
        <v>186483</v>
      </c>
      <c r="D45" s="757">
        <f>SUMIFS(INDEX(Table7[],,MATCH(D$6,Table7[#Headers],0)),Table7[MainSpaceHeatingFuel],$B45,Table7[EnergyRating (group)],$A45)</f>
        <v>169530</v>
      </c>
      <c r="E45" s="757">
        <f>SUMIFS(INDEX(Table7[],,MATCH(E$6,Table7[#Headers],0)),Table7[MainSpaceHeatingFuel],$B45,Table7[EnergyRating (group)],$A45)</f>
        <v>12813</v>
      </c>
      <c r="F45" s="757">
        <f>SUMIFS(INDEX(Table7[],,MATCH(F$6,Table7[#Headers],0)),Table7[MainSpaceHeatingFuel],$B45,Table7[EnergyRating (group)],$A45)</f>
        <v>11139</v>
      </c>
      <c r="G45" s="757">
        <f>SUMIFS(INDEX(Table7[],,MATCH(G$6,Table7[#Headers],0)),Table7[MainSpaceHeatingFuel],$B45,Table7[EnergyRating (group)],$A45)</f>
        <v>33</v>
      </c>
      <c r="H45" s="757">
        <f>SUMIFS(INDEX(Table7[],,MATCH(H$6,Table7[#Headers],0)),Table7[MainSpaceHeatingFuel],$B45,Table7[EnergyRating (group)],$A45)</f>
        <v>2138</v>
      </c>
      <c r="I45" s="912">
        <f>AVERAGEIFS(INDEX(Table7[],,MATCH(I$6,Table7[#Headers],0)),Table7[MainSpaceHeatingFuel],$B45,Table7[EnergyRating (group)],$A45)</f>
        <v>78</v>
      </c>
      <c r="J45" s="847">
        <f>SUMIFS(INDEX(Table7[],,MATCH(J$6,Table7[#Headers],0)),Table7[MainSpaceHeatingFuel],$B45,Table7[EnergyRating (group)],$A45)</f>
        <v>375273</v>
      </c>
      <c r="K45" s="847">
        <f>SUMIFS(INDEX(Table7[],,MATCH(K$6,Table7[#Headers],0)),Table7[MainSpaceHeatingFuel],$B45,Table7[EnergyRating (group)],$A45)</f>
        <v>303579</v>
      </c>
      <c r="M45" s="840"/>
      <c r="N45" s="914" t="str">
        <f>RSD_Commodities!$M$13&amp;"_"&amp;RIGHT(P45,LEN(P45)-3)&amp;"_"&amp;SETUP!$B$67</f>
        <v>SH_Apt-C_BIOWOO_X0</v>
      </c>
      <c r="O45" s="914" t="str">
        <f>RSD_Commodities!$N$13&amp;"_"&amp;RSD_Commodities!D19&amp;"_"&amp;SETUP!$C$67</f>
        <v>Residential Space Heating Apartment-C_Biomass &amp; Renewable Waste to Residential_Existing 00</v>
      </c>
      <c r="P45" s="915" t="str">
        <f>RSD_Commodities!$C$19</f>
        <v>RSDBIOWOO</v>
      </c>
      <c r="Q45" s="930" t="str">
        <f>RSD_Commodities!$M$13</f>
        <v>SH_Apt-C</v>
      </c>
      <c r="R45" s="931">
        <f t="shared" si="26"/>
        <v>7.2424009656534623E-4</v>
      </c>
      <c r="S45" s="932">
        <f>R45*DwellingStocks!$I$66/1000</f>
        <v>5.1540095501065065E-2</v>
      </c>
      <c r="T45" s="914">
        <v>1</v>
      </c>
      <c r="U45" s="914">
        <f t="shared" si="20"/>
        <v>0.78</v>
      </c>
      <c r="V45" s="930">
        <v>20</v>
      </c>
      <c r="W45" s="930">
        <v>1</v>
      </c>
      <c r="X45" s="840"/>
      <c r="Y45" s="920">
        <f t="shared" ref="Y45:Y50" si="31">ABS((D45+F45)*S45*1000*$B$2)</f>
        <v>3.8267250057870928E-6</v>
      </c>
      <c r="Z45" s="921">
        <f t="shared" ref="Z45:Z50" si="32">ABS((C45+E45)*S45*1000*$B$2)</f>
        <v>4.2212609067042181E-6</v>
      </c>
      <c r="AA45" s="840"/>
      <c r="AB45" s="914" t="s">
        <v>393</v>
      </c>
      <c r="AC45" s="914" t="str">
        <f t="shared" si="29"/>
        <v>SH_Apt-C_BIOWOO_X0</v>
      </c>
      <c r="AD45" s="914" t="str">
        <f t="shared" si="30"/>
        <v>Residential Space Heating Apartment-C_Biomass &amp; Renewable Waste to Residential_Existing 00</v>
      </c>
      <c r="AE45" s="914" t="s">
        <v>53</v>
      </c>
      <c r="AF45" s="914" t="s">
        <v>406</v>
      </c>
      <c r="AG45" s="914"/>
      <c r="AH45" s="914"/>
      <c r="AI45" s="840"/>
      <c r="AJ45" s="840"/>
      <c r="AK45" s="840"/>
      <c r="AL45" s="840"/>
      <c r="AM45" s="840"/>
      <c r="AN45" s="840"/>
    </row>
    <row r="46" spans="1:40">
      <c r="A46" s="758" t="s">
        <v>116</v>
      </c>
      <c r="B46" s="758" t="s">
        <v>587</v>
      </c>
      <c r="C46" s="758">
        <f>SUMIFS(INDEX(Table7[],,MATCH(C$6,Table7[#Headers],0)),Table7[MainSpaceHeatingFuel],$B46,Table7[EnergyRating (group)],$A46)</f>
        <v>0</v>
      </c>
      <c r="D46" s="758">
        <f>SUMIFS(INDEX(Table7[],,MATCH(D$6,Table7[#Headers],0)),Table7[MainSpaceHeatingFuel],$B46,Table7[EnergyRating (group)],$A46)</f>
        <v>0</v>
      </c>
      <c r="E46" s="759">
        <f>SUMIFS(INDEX(Table7[],,MATCH(E$6,Table7[#Headers],0)),Table7[MainSpaceHeatingFuel],$B46,Table7[EnergyRating (group)],$A46)</f>
        <v>0</v>
      </c>
      <c r="F46" s="759">
        <f>SUMIFS(INDEX(Table7[],,MATCH(F$6,Table7[#Headers],0)),Table7[MainSpaceHeatingFuel],$B46,Table7[EnergyRating (group)],$A46)</f>
        <v>0</v>
      </c>
      <c r="G46" s="758">
        <f>SUMIFS(INDEX(Table7[],,MATCH(G$6,Table7[#Headers],0)),Table7[MainSpaceHeatingFuel],"",Table7[EnergyRating (group)],$A46)</f>
        <v>1474</v>
      </c>
      <c r="H46" s="758">
        <f>SUMIFS(INDEX(Table7[],,MATCH(H$6,Table7[#Headers],0)),Table7[MainSpaceHeatingFuel],"",Table7[EnergyRating (group)],$A46)</f>
        <v>89665</v>
      </c>
      <c r="I46" s="944">
        <f>SUMIFS(INDEX(Table7[],,MATCH(I$6,Table7[#Headers],0)),Table7[MainSpaceHeatingFuel],"",Table7[EnergyRating (group)],$A46)</f>
        <v>0</v>
      </c>
      <c r="J46" s="849">
        <f>SUMIFS(INDEX(Table7[],,MATCH(J$6,Table7[#Headers],0)),Table7[MainSpaceHeatingFuel],"",Table7[EnergyRating (group)],$A46)</f>
        <v>2296247</v>
      </c>
      <c r="K46" s="849">
        <f>SUMIFS(INDEX(Table7[],,MATCH(K$6,Table7[#Headers],0)),Table7[MainSpaceHeatingFuel],"",Table7[EnergyRating (group)],$A46)</f>
        <v>850462</v>
      </c>
      <c r="M46" s="840"/>
      <c r="N46" s="933" t="str">
        <f>RSD_Commodities!$M$13&amp;"_"&amp;RIGHT(P46,LEN(P46)-3)&amp;"_"&amp;SETUP!$B$67</f>
        <v>SH_Apt-C_HET_X0</v>
      </c>
      <c r="O46" s="933" t="str">
        <f>RSD_Commodities!$N$13&amp;"_"&amp;RSD_Commodities!D28&amp;"_"&amp;SETUP!$C$67</f>
        <v>Residential Space Heating Apartment-C_Heat to Residential_Existing 00</v>
      </c>
      <c r="P46" s="934" t="str">
        <f>RSD_Commodities!$C$28</f>
        <v>RSDHET</v>
      </c>
      <c r="Q46" s="935" t="str">
        <f>RSD_Commodities!$M$13</f>
        <v>SH_Apt-C</v>
      </c>
      <c r="R46" s="936">
        <f t="shared" si="26"/>
        <v>3.2349390979918798E-2</v>
      </c>
      <c r="S46" s="937">
        <f>R46*DwellingStocks!$I$66/1000</f>
        <v>2.3021242657142396</v>
      </c>
      <c r="T46" s="933">
        <v>1</v>
      </c>
      <c r="U46" s="917">
        <f>IF(I46=0, 1, I46)</f>
        <v>1</v>
      </c>
      <c r="V46" s="935">
        <v>20</v>
      </c>
      <c r="W46" s="935">
        <v>1</v>
      </c>
      <c r="X46" s="840"/>
      <c r="Y46" s="922">
        <f t="shared" si="31"/>
        <v>0</v>
      </c>
      <c r="Z46" s="923">
        <f t="shared" si="32"/>
        <v>0</v>
      </c>
      <c r="AA46" s="840"/>
      <c r="AB46" s="933" t="s">
        <v>393</v>
      </c>
      <c r="AC46" s="933" t="str">
        <f t="shared" si="29"/>
        <v>SH_Apt-C_HET_X0</v>
      </c>
      <c r="AD46" s="933" t="str">
        <f t="shared" si="30"/>
        <v>Residential Space Heating Apartment-C_Heat to Residential_Existing 00</v>
      </c>
      <c r="AE46" s="933" t="s">
        <v>53</v>
      </c>
      <c r="AF46" s="933" t="s">
        <v>406</v>
      </c>
      <c r="AG46" s="933"/>
      <c r="AH46" s="933"/>
      <c r="AI46" s="840"/>
      <c r="AJ46" s="840"/>
      <c r="AK46" s="840"/>
      <c r="AL46" s="840"/>
      <c r="AM46" s="840"/>
      <c r="AN46" s="840"/>
    </row>
    <row r="47" spans="1:40">
      <c r="A47" s="757" t="s">
        <v>116</v>
      </c>
      <c r="B47" s="757" t="s">
        <v>664</v>
      </c>
      <c r="C47" s="757">
        <f>SUMIFS(INDEX(Table7[],,MATCH(C$6,Table7[#Headers],0)),Table7[MainSpaceHeatingFuel],$B47,Table7[EnergyRating (group)],$A47)</f>
        <v>232312</v>
      </c>
      <c r="D47" s="757">
        <f>SUMIFS(INDEX(Table7[],,MATCH(D$6,Table7[#Headers],0)),Table7[MainSpaceHeatingFuel],$B47,Table7[EnergyRating (group)],$A47)</f>
        <v>211193</v>
      </c>
      <c r="E47" s="760">
        <f>SUMIFS(INDEX(Table7[],,MATCH(E$6,Table7[#Headers],0)),Table7[MainSpaceHeatingFuel],$B47,Table7[EnergyRating (group)],$A47)</f>
        <v>21952</v>
      </c>
      <c r="F47" s="760">
        <f>SUMIFS(INDEX(Table7[],,MATCH(F$6,Table7[#Headers],0)),Table7[MainSpaceHeatingFuel],$B47,Table7[EnergyRating (group)],$A47)</f>
        <v>18632</v>
      </c>
      <c r="G47" s="757">
        <f>SUMIFS(INDEX(Table7[],,MATCH(G$6,Table7[#Headers],0)),Table7[MainSpaceHeatingFuel],$B47,Table7[EnergyRating (group)],$A47)</f>
        <v>31</v>
      </c>
      <c r="H47" s="757">
        <f>SUMIFS(INDEX(Table7[],,MATCH(H$6,Table7[#Headers],0)),Table7[MainSpaceHeatingFuel],$B47,Table7[EnergyRating (group)],$A47)</f>
        <v>2418</v>
      </c>
      <c r="I47" s="912">
        <f>AVERAGEIFS(INDEX(Table7[],,MATCH(I$6,Table7[#Headers],0)),Table7[MainSpaceHeatingFuel],$B47,Table7[EnergyRating (group)],$A47)</f>
        <v>83.333333333333329</v>
      </c>
      <c r="J47" s="847">
        <f>SUMIFS(INDEX(Table7[],,MATCH(J$6,Table7[#Headers],0)),Table7[MainSpaceHeatingFuel],$B47,Table7[EnergyRating (group)],$A47)</f>
        <v>447694</v>
      </c>
      <c r="K47" s="847">
        <f>SUMIFS(INDEX(Table7[],,MATCH(K$6,Table7[#Headers],0)),Table7[MainSpaceHeatingFuel],$B47,Table7[EnergyRating (group)],$A47)</f>
        <v>361458</v>
      </c>
      <c r="M47" s="840"/>
      <c r="N47" s="914" t="str">
        <f>RSD_Commodities!$M$13&amp;"_"&amp;RIGHT(P47,LEN(P47)-3)&amp;"_"&amp;SETUP!$B$68</f>
        <v>SH_Apt-C_OILLPG_X1</v>
      </c>
      <c r="O47" s="914" t="str">
        <f>RSD_Commodities!$N$13&amp;"_"&amp;RSD_Commodities!D11&amp;"_"&amp;SETUP!$C$68</f>
        <v>Residential Space Heating Apartment-C_LPG to Residential_Existing 01</v>
      </c>
      <c r="P47" s="915" t="str">
        <f>RSD_Commodities!$C$11</f>
        <v>RSDOILLPG</v>
      </c>
      <c r="Q47" s="930" t="str">
        <f>RSD_Commodities!$M$13</f>
        <v>SH_Apt-C</v>
      </c>
      <c r="R47" s="931">
        <f t="shared" si="26"/>
        <v>6.8034675737956767E-4</v>
      </c>
      <c r="S47" s="932">
        <f>R47*DwellingStocks!$I$66/1000</f>
        <v>4.8416453349485362E-2</v>
      </c>
      <c r="T47" s="914">
        <v>1</v>
      </c>
      <c r="U47" s="916">
        <f t="shared" si="20"/>
        <v>0.83333333333333326</v>
      </c>
      <c r="V47" s="930">
        <v>20</v>
      </c>
      <c r="W47" s="930">
        <v>1</v>
      </c>
      <c r="X47" s="840"/>
      <c r="Y47" s="920">
        <f t="shared" si="31"/>
        <v>4.5728676949501954E-6</v>
      </c>
      <c r="Z47" s="921">
        <f t="shared" si="32"/>
        <v>5.0591346963507725E-6</v>
      </c>
      <c r="AA47" s="840"/>
      <c r="AB47" s="914" t="s">
        <v>393</v>
      </c>
      <c r="AC47" s="914" t="str">
        <f t="shared" si="29"/>
        <v>SH_Apt-C_OILLPG_X1</v>
      </c>
      <c r="AD47" s="914" t="str">
        <f t="shared" si="30"/>
        <v>Residential Space Heating Apartment-C_LPG to Residential_Existing 01</v>
      </c>
      <c r="AE47" s="914" t="s">
        <v>53</v>
      </c>
      <c r="AF47" s="914" t="s">
        <v>406</v>
      </c>
      <c r="AG47" s="914"/>
      <c r="AH47" s="914"/>
      <c r="AI47" s="840"/>
      <c r="AJ47" s="840"/>
      <c r="AK47" s="840"/>
      <c r="AL47" s="840"/>
      <c r="AM47" s="840"/>
      <c r="AN47" s="840"/>
    </row>
    <row r="48" spans="1:40">
      <c r="A48" s="758" t="s">
        <v>116</v>
      </c>
      <c r="B48" s="758" t="s">
        <v>665</v>
      </c>
      <c r="C48" s="758">
        <f>SUMIFS(INDEX(Table7[],,MATCH(C$6,Table7[#Headers],0)),Table7[MainSpaceHeatingFuel],$B48,Table7[EnergyRating (group)],$A48)</f>
        <v>131358</v>
      </c>
      <c r="D48" s="758">
        <f>SUMIFS(INDEX(Table7[],,MATCH(D$6,Table7[#Headers],0)),Table7[MainSpaceHeatingFuel],$B48,Table7[EnergyRating (group)],$A48)</f>
        <v>119415</v>
      </c>
      <c r="E48" s="758">
        <f>SUMIFS(INDEX(Table7[],,MATCH(E$6,Table7[#Headers],0)),Table7[MainSpaceHeatingFuel],$B48,Table7[EnergyRating (group)],$A48)</f>
        <v>11748</v>
      </c>
      <c r="F48" s="758">
        <f>SUMIFS(INDEX(Table7[],,MATCH(F$6,Table7[#Headers],0)),Table7[MainSpaceHeatingFuel],$B48,Table7[EnergyRating (group)],$A48)</f>
        <v>4923</v>
      </c>
      <c r="G48" s="758">
        <f>SUMIFS(INDEX(Table7[],,MATCH(G$6,Table7[#Headers],0)),Table7[MainSpaceHeatingFuel],$B48,Table7[EnergyRating (group)],$A48)</f>
        <v>15</v>
      </c>
      <c r="H48" s="758">
        <f>SUMIFS(INDEX(Table7[],,MATCH(H$6,Table7[#Headers],0)),Table7[MainSpaceHeatingFuel],$B48,Table7[EnergyRating (group)],$A48)</f>
        <v>1281</v>
      </c>
      <c r="I48" s="911">
        <f>AVERAGEIFS(INDEX(Table7[],,MATCH(I$6,Table7[#Headers],0)),Table7[MainSpaceHeatingFuel],$B48,Table7[EnergyRating (group)],$A48)</f>
        <v>70</v>
      </c>
      <c r="J48" s="849">
        <f>SUMIFS(INDEX(Table7[],,MATCH(J$6,Table7[#Headers],0)),Table7[MainSpaceHeatingFuel],$B48,Table7[EnergyRating (group)],$A48)</f>
        <v>267077</v>
      </c>
      <c r="K48" s="849">
        <f>SUMIFS(INDEX(Table7[],,MATCH(K$6,Table7[#Headers],0)),Table7[MainSpaceHeatingFuel],$B48,Table7[EnergyRating (group)],$A48)</f>
        <v>199458</v>
      </c>
      <c r="M48" s="840"/>
      <c r="N48" s="840" t="str">
        <f>RSD_Commodities!$M$13&amp;"_"&amp;RSD_Commodities!$C$26&amp;"_"&amp;SETUP!$B$67</f>
        <v>SH_Apt-C_RSDSMF_X0</v>
      </c>
      <c r="O48" s="840" t="str">
        <f>RSD_Commodities!$N$13&amp;"_"&amp;RSD_Commodities!$D$26&amp;"_"&amp;SETUP!$C$67</f>
        <v>Residential Space Heating Apartment-C_Solid Multi-Fuel_Existing 00</v>
      </c>
      <c r="P48" s="935" t="str">
        <f>RSD_Commodities!$C$6&amp;","&amp;RSD_Commodities!$C$7&amp;","&amp;RSD_Commodities!$C$9&amp;","&amp;RSD_Commodities!$C$10&amp;","&amp;RSD_Commodities!$C$19</f>
        <v>RSDCOABIT,RSDCOAHAR,RSDCOALIG,RSDPEA,RSDBIOWOO</v>
      </c>
      <c r="Q48" s="935" t="str">
        <f>RSD_Commodities!$M$13</f>
        <v>SH_Apt-C</v>
      </c>
      <c r="R48" s="936">
        <f t="shared" si="26"/>
        <v>3.2920004389333919E-4</v>
      </c>
      <c r="S48" s="937">
        <f>R48*DwellingStocks!$I$66/1000</f>
        <v>2.3427316136847759E-2</v>
      </c>
      <c r="T48" s="933">
        <v>1</v>
      </c>
      <c r="U48" s="933">
        <f t="shared" si="20"/>
        <v>0.7</v>
      </c>
      <c r="V48" s="935">
        <v>20</v>
      </c>
      <c r="W48" s="935">
        <v>1</v>
      </c>
      <c r="X48" s="840"/>
      <c r="Y48" s="922">
        <f t="shared" si="31"/>
        <v>1.1970845070507029E-6</v>
      </c>
      <c r="Z48" s="923">
        <f t="shared" si="32"/>
        <v>1.37777650811496E-6</v>
      </c>
      <c r="AA48" s="840"/>
      <c r="AB48" s="840" t="s">
        <v>393</v>
      </c>
      <c r="AC48" s="840" t="str">
        <f t="shared" si="29"/>
        <v>SH_Apt-C_RSDSMF_X0</v>
      </c>
      <c r="AD48" s="840" t="str">
        <f t="shared" si="30"/>
        <v>Residential Space Heating Apartment-C_Solid Multi-Fuel_Existing 00</v>
      </c>
      <c r="AE48" s="840" t="s">
        <v>53</v>
      </c>
      <c r="AF48" s="840" t="s">
        <v>406</v>
      </c>
      <c r="AG48" s="840"/>
      <c r="AH48" s="840"/>
      <c r="AI48" s="840"/>
      <c r="AJ48" s="840"/>
      <c r="AK48" s="840"/>
      <c r="AL48" s="840"/>
      <c r="AM48" s="840"/>
      <c r="AN48" s="840"/>
    </row>
    <row r="49" spans="1:40">
      <c r="A49" s="757" t="s">
        <v>116</v>
      </c>
      <c r="B49" s="757" t="s">
        <v>669</v>
      </c>
      <c r="C49" s="757">
        <f>SUMIFS(INDEX(Table7[],,MATCH(C$6,Table7[#Headers],0)),Table7[MainSpaceHeatingFuel],$B49,Table7[EnergyRating (group)],$A49)</f>
        <v>8259</v>
      </c>
      <c r="D49" s="757">
        <f>SUMIFS(INDEX(Table7[],,MATCH(D$6,Table7[#Headers],0)),Table7[MainSpaceHeatingFuel],$B49,Table7[EnergyRating (group)],$A49)</f>
        <v>6882</v>
      </c>
      <c r="E49" s="757">
        <f>SUMIFS(INDEX(Table7[],,MATCH(E$6,Table7[#Headers],0)),Table7[MainSpaceHeatingFuel],$B49,Table7[EnergyRating (group)],$A49)</f>
        <v>0</v>
      </c>
      <c r="F49" s="757">
        <f>SUMIFS(INDEX(Table7[],,MATCH(F$6,Table7[#Headers],0)),Table7[MainSpaceHeatingFuel],$B49,Table7[EnergyRating (group)],$A49)</f>
        <v>0</v>
      </c>
      <c r="G49" s="757">
        <f>SUMIFS(INDEX(Table7[],,MATCH(G$6,Table7[#Headers],0)),Table7[MainSpaceHeatingFuel],$B49,Table7[EnergyRating (group)],$A49)</f>
        <v>1</v>
      </c>
      <c r="H49" s="757">
        <f>SUMIFS(INDEX(Table7[],,MATCH(H$6,Table7[#Headers],0)),Table7[MainSpaceHeatingFuel],$B49,Table7[EnergyRating (group)],$A49)</f>
        <v>74</v>
      </c>
      <c r="I49" s="912">
        <f>AVERAGEIFS(INDEX(Table7[],,MATCH(I$6,Table7[#Headers],0)),Table7[MainSpaceHeatingFuel],$B49,Table7[EnergyRating (group)],$A49)</f>
        <v>65</v>
      </c>
      <c r="J49" s="847">
        <f>SUMIFS(INDEX(Table7[],,MATCH(J$6,Table7[#Headers],0)),Table7[MainSpaceHeatingFuel],$B49,Table7[EnergyRating (group)],$A49)</f>
        <v>16018</v>
      </c>
      <c r="K49" s="847">
        <f>SUMIFS(INDEX(Table7[],,MATCH(K$6,Table7[#Headers],0)),Table7[MainSpaceHeatingFuel],$B49,Table7[EnergyRating (group)],$A49)</f>
        <v>11797</v>
      </c>
      <c r="M49" s="840"/>
      <c r="N49" s="914" t="str">
        <f>RSD_Commodities!$M$13&amp;"_"&amp;RIGHT(P49,LEN(P49)-3)&amp;"_"&amp;SETUP!$B$67</f>
        <v>SH_Apt-C_COAHAR_X0</v>
      </c>
      <c r="O49" s="914" t="str">
        <f>RSD_Commodities!$N$13&amp;"_"&amp;RSD_Commodities!D7&amp;"_"&amp;SETUP!$C$67</f>
        <v>Residential Space Heating Apartment-C_Anthracite + Manufactured Ovoids to Residential_Existing 00</v>
      </c>
      <c r="P49" s="930" t="str">
        <f>RSD_Commodities!$C$7</f>
        <v>RSDCOAHAR</v>
      </c>
      <c r="Q49" s="930" t="str">
        <f>RSD_Commodities!$M$13</f>
        <v>SH_Apt-C</v>
      </c>
      <c r="R49" s="931">
        <f t="shared" si="26"/>
        <v>2.194666959288928E-5</v>
      </c>
      <c r="S49" s="932">
        <f>R49*DwellingStocks!$I$66/1000</f>
        <v>1.5618210757898504E-3</v>
      </c>
      <c r="T49" s="914">
        <v>1</v>
      </c>
      <c r="U49" s="914">
        <f t="shared" si="20"/>
        <v>0.65</v>
      </c>
      <c r="V49" s="930">
        <v>20</v>
      </c>
      <c r="W49" s="930">
        <v>1</v>
      </c>
      <c r="X49" s="840"/>
      <c r="Y49" s="920">
        <f t="shared" si="31"/>
        <v>4.4171723192818153E-9</v>
      </c>
      <c r="Z49" s="921">
        <f t="shared" si="32"/>
        <v>5.3009918897048122E-9</v>
      </c>
      <c r="AA49" s="840"/>
      <c r="AB49" s="914" t="s">
        <v>393</v>
      </c>
      <c r="AC49" s="914" t="str">
        <f t="shared" si="29"/>
        <v>SH_Apt-C_COAHAR_X0</v>
      </c>
      <c r="AD49" s="914" t="str">
        <f t="shared" si="30"/>
        <v>Residential Space Heating Apartment-C_Anthracite + Manufactured Ovoids to Residential_Existing 00</v>
      </c>
      <c r="AE49" s="914" t="s">
        <v>53</v>
      </c>
      <c r="AF49" s="914" t="s">
        <v>406</v>
      </c>
      <c r="AG49" s="914"/>
      <c r="AH49" s="914"/>
      <c r="AI49" s="840"/>
      <c r="AJ49" s="840"/>
      <c r="AK49" s="840"/>
      <c r="AL49" s="840"/>
      <c r="AM49" s="840"/>
      <c r="AN49" s="840"/>
    </row>
    <row r="50" spans="1:40" ht="15.75" thickBot="1">
      <c r="A50" s="758" t="s">
        <v>116</v>
      </c>
      <c r="B50" s="758" t="s">
        <v>671</v>
      </c>
      <c r="C50" s="758">
        <f>SUMIFS(INDEX(Table7[],,MATCH(C$6,Table7[#Headers],0)),Table7[MainSpaceHeatingFuel],$B50,Table7[EnergyRating (group)],$A50)</f>
        <v>5574</v>
      </c>
      <c r="D50" s="758">
        <f>SUMIFS(INDEX(Table7[],,MATCH(D$6,Table7[#Headers],0)),Table7[MainSpaceHeatingFuel],$B50,Table7[EnergyRating (group)],$A50)</f>
        <v>5067</v>
      </c>
      <c r="E50" s="759">
        <f>SUMIFS(INDEX(Table7[],,MATCH(E$6,Table7[#Headers],0)),Table7[MainSpaceHeatingFuel],$B50,Table7[EnergyRating (group)],$A50)</f>
        <v>0</v>
      </c>
      <c r="F50" s="759">
        <f>SUMIFS(INDEX(Table7[],,MATCH(F$6,Table7[#Headers],0)),Table7[MainSpaceHeatingFuel],$B50,Table7[EnergyRating (group)],$A50)</f>
        <v>0</v>
      </c>
      <c r="G50" s="758">
        <f>SUMIFS(INDEX(Table7[],,MATCH(G$6,Table7[#Headers],0)),Table7[MainSpaceHeatingFuel],$B50,Table7[EnergyRating (group)],$A50)</f>
        <v>1</v>
      </c>
      <c r="H50" s="758">
        <f>SUMIFS(INDEX(Table7[],,MATCH(H$6,Table7[#Headers],0)),Table7[MainSpaceHeatingFuel],$B50,Table7[EnergyRating (group)],$A50)</f>
        <v>69</v>
      </c>
      <c r="I50" s="911">
        <f>AVERAGEIFS(INDEX(Table7[],,MATCH(I$6,Table7[#Headers],0)),Table7[MainSpaceHeatingFuel],$B50,Table7[EnergyRating (group)],$A50)</f>
        <v>65</v>
      </c>
      <c r="J50" s="849">
        <f>SUMIFS(INDEX(Table7[],,MATCH(J$6,Table7[#Headers],0)),Table7[MainSpaceHeatingFuel],$B50,Table7[EnergyRating (group)],$A50)</f>
        <v>13407</v>
      </c>
      <c r="K50" s="849">
        <f>SUMIFS(INDEX(Table7[],,MATCH(K$6,Table7[#Headers],0)),Table7[MainSpaceHeatingFuel],$B50,Table7[EnergyRating (group)],$A50)</f>
        <v>10066</v>
      </c>
      <c r="M50" s="840"/>
      <c r="N50" s="933" t="str">
        <f>RSD_Commodities!$M$13&amp;"_"&amp;RIGHT(P50,LEN(P50)-3)&amp;"_"&amp;SETUP!$B$67</f>
        <v>SH_Apt-C_PEA_X0</v>
      </c>
      <c r="O50" s="933" t="str">
        <f>RSD_Commodities!$N$13&amp;"_"&amp;RSD_Commodities!D10&amp;"_"&amp;SETUP!$C$67</f>
        <v>Residential Space Heating Apartment-C_Peat to Residential_Existing 00</v>
      </c>
      <c r="P50" s="935" t="str">
        <f>RSD_Commodities!$C$10</f>
        <v>RSDPEA</v>
      </c>
      <c r="Q50" s="935" t="str">
        <f>RSD_Commodities!$M$13</f>
        <v>SH_Apt-C</v>
      </c>
      <c r="R50" s="936">
        <f t="shared" si="26"/>
        <v>2.194666959288928E-5</v>
      </c>
      <c r="S50" s="937">
        <f>R50*DwellingStocks!$I$66/1000</f>
        <v>1.5618210757898504E-3</v>
      </c>
      <c r="T50" s="933">
        <v>1</v>
      </c>
      <c r="U50" s="933">
        <f t="shared" si="20"/>
        <v>0.65</v>
      </c>
      <c r="V50" s="935">
        <v>20</v>
      </c>
      <c r="W50" s="935">
        <v>1</v>
      </c>
      <c r="X50" s="840"/>
      <c r="Y50" s="922">
        <f t="shared" si="31"/>
        <v>3.2522249552166465E-9</v>
      </c>
      <c r="Z50" s="923">
        <f t="shared" si="32"/>
        <v>3.5776400040216277E-9</v>
      </c>
      <c r="AA50" s="840"/>
      <c r="AB50" s="933" t="s">
        <v>393</v>
      </c>
      <c r="AC50" s="933" t="str">
        <f t="shared" si="29"/>
        <v>SH_Apt-C_PEA_X0</v>
      </c>
      <c r="AD50" s="933" t="str">
        <f t="shared" si="30"/>
        <v>Residential Space Heating Apartment-C_Peat to Residential_Existing 00</v>
      </c>
      <c r="AE50" s="933" t="s">
        <v>53</v>
      </c>
      <c r="AF50" s="933" t="s">
        <v>406</v>
      </c>
      <c r="AG50" s="933"/>
      <c r="AH50" s="933"/>
      <c r="AI50" s="840"/>
      <c r="AJ50" s="840"/>
      <c r="AK50" s="840"/>
      <c r="AL50" s="840"/>
      <c r="AM50" s="840"/>
      <c r="AN50" s="840"/>
    </row>
    <row r="51" spans="1:40" ht="15.75" thickBot="1">
      <c r="A51" s="756" t="s">
        <v>118</v>
      </c>
      <c r="B51" s="1048"/>
      <c r="C51" s="1049"/>
      <c r="D51" s="1049"/>
      <c r="E51" s="1049"/>
      <c r="F51" s="1049"/>
      <c r="G51" s="1049"/>
      <c r="H51" s="1049"/>
      <c r="I51" s="1053"/>
      <c r="J51" s="736" t="s">
        <v>565</v>
      </c>
      <c r="K51" s="737" t="s">
        <v>565</v>
      </c>
      <c r="M51" s="840"/>
      <c r="N51" s="76" t="str">
        <f>AB51</f>
        <v>*D Rating</v>
      </c>
      <c r="O51" s="76"/>
      <c r="P51" s="76"/>
      <c r="Q51" s="76"/>
      <c r="R51" s="949">
        <f>SUM(R52:R64)</f>
        <v>0.99999999999999978</v>
      </c>
      <c r="S51" s="76"/>
      <c r="T51" s="97"/>
      <c r="U51" s="76"/>
      <c r="V51" s="76"/>
      <c r="W51" s="76"/>
      <c r="X51" s="840"/>
      <c r="Y51" s="76"/>
      <c r="Z51" s="76"/>
      <c r="AA51" s="840"/>
      <c r="AB51" s="140" t="str">
        <f>"*"&amp; A52 &amp; " Rating"</f>
        <v>*D Rating</v>
      </c>
      <c r="AC51" s="141"/>
      <c r="AD51" s="141"/>
      <c r="AE51" s="141"/>
      <c r="AF51" s="141"/>
      <c r="AG51" s="141"/>
      <c r="AH51" s="141"/>
      <c r="AI51" s="840"/>
      <c r="AJ51" s="840"/>
      <c r="AK51" s="840"/>
      <c r="AL51" s="840"/>
      <c r="AM51" s="840"/>
      <c r="AN51" s="840"/>
    </row>
    <row r="52" spans="1:40">
      <c r="A52" s="758" t="s">
        <v>118</v>
      </c>
      <c r="B52" s="758" t="s">
        <v>580</v>
      </c>
      <c r="C52" s="758">
        <f>SUMIFS(INDEX(Table7[],,MATCH(C$6,Table7[#Headers],0)),Table7[MainSpaceHeatingFuel],$B52,Table7[EnergyRating (group)],$A52)</f>
        <v>9406</v>
      </c>
      <c r="D52" s="758">
        <f>SUMIFS(INDEX(Table7[],,MATCH(D$6,Table7[#Headers],0)),Table7[MainSpaceHeatingFuel],$B52,Table7[EnergyRating (group)],$A52)</f>
        <v>3484</v>
      </c>
      <c r="E52" s="759">
        <f>SUMIFS(INDEX(Table7[],,MATCH(E$6,Table7[#Headers],0)),Table7[MainSpaceHeatingFuel],$B52,Table7[EnergyRating (group)],$A52)</f>
        <v>2352</v>
      </c>
      <c r="F52" s="759">
        <f>SUMIFS(INDEX(Table7[],,MATCH(F$6,Table7[#Headers],0)),Table7[MainSpaceHeatingFuel],$B52,Table7[EnergyRating (group)],$A52)</f>
        <v>871</v>
      </c>
      <c r="G52" s="758">
        <f>SUMIFS(INDEX(Table7[],,MATCH(G$6,Table7[#Headers],0)),Table7[MainSpaceHeatingFuel],$B52,Table7[EnergyRating (group)],$A52)</f>
        <v>1</v>
      </c>
      <c r="H52" s="758">
        <f>SUMIFS(INDEX(Table7[],,MATCH(H$6,Table7[#Headers],0)),Table7[MainSpaceHeatingFuel],$B52,Table7[EnergyRating (group)],$A52)</f>
        <v>58</v>
      </c>
      <c r="I52" s="911">
        <f>AVERAGEIFS(INDEX(Table7[],,MATCH(I$6,Table7[#Headers],0)),Table7[MainSpaceHeatingFuel],$B52,Table7[EnergyRating (group)],$A52)</f>
        <v>100</v>
      </c>
      <c r="J52" s="849">
        <f>SUMIFS(INDEX(Table7[],,MATCH(J$6,Table7[#Headers],0)),Table7[MainSpaceHeatingFuel],$B52,Table7[EnergyRating (group)],$A52)</f>
        <v>17247</v>
      </c>
      <c r="K52" s="849">
        <f>SUMIFS(INDEX(Table7[],,MATCH(K$6,Table7[#Headers],0)),Table7[MainSpaceHeatingFuel],$B52,Table7[EnergyRating (group)],$A52)</f>
        <v>6388</v>
      </c>
      <c r="M52" s="840"/>
      <c r="N52" s="933" t="str">
        <f>RSD_Commodities!$M$14&amp;"_"&amp;RIGHT(P52,LEN(P52)-3)&amp;"_"&amp;SETUP!$B$67</f>
        <v>SH_Apt-D_BIODST_X0</v>
      </c>
      <c r="O52" s="933" t="str">
        <f>RSD_Commodities!$N$14&amp;"_"&amp;RSD_Commodities!D24&amp;"_"&amp;SETUP!$C$67</f>
        <v>Residential Space Heating Apartment-D_Biodiesel to Residential_Existing 00</v>
      </c>
      <c r="P52" s="934" t="str">
        <f>RSD_Commodities!$C$24</f>
        <v>RSDBIODST</v>
      </c>
      <c r="Q52" s="935" t="str">
        <f>RSD_Commodities!$M$14</f>
        <v>SH_Apt-D</v>
      </c>
      <c r="R52" s="936">
        <f>G52/SUM($G$52:$G$64)</f>
        <v>3.2279931566545082E-5</v>
      </c>
      <c r="S52" s="937">
        <f>R52*DwellingStocks!$I$67/1000</f>
        <v>1.5329393977453851E-3</v>
      </c>
      <c r="T52" s="933">
        <v>1</v>
      </c>
      <c r="U52" s="933">
        <f t="shared" si="20"/>
        <v>1</v>
      </c>
      <c r="V52" s="935">
        <v>20</v>
      </c>
      <c r="W52" s="935">
        <v>1</v>
      </c>
      <c r="X52" s="840"/>
      <c r="Y52" s="918">
        <f>ABS((D52+F52)*S52*1000*$B$2)</f>
        <v>2.7435415385675974E-9</v>
      </c>
      <c r="Z52" s="919">
        <f>ABS((C52+E52)*S52*1000*$B$2)</f>
        <v>7.40724716658503E-9</v>
      </c>
      <c r="AA52" s="840"/>
      <c r="AB52" s="933" t="s">
        <v>393</v>
      </c>
      <c r="AC52" s="933" t="str">
        <f>N52</f>
        <v>SH_Apt-D_BIODST_X0</v>
      </c>
      <c r="AD52" s="933" t="str">
        <f>O52</f>
        <v>Residential Space Heating Apartment-D_Biodiesel to Residential_Existing 00</v>
      </c>
      <c r="AE52" s="933" t="s">
        <v>53</v>
      </c>
      <c r="AF52" s="933" t="s">
        <v>406</v>
      </c>
      <c r="AG52" s="933"/>
      <c r="AH52" s="933"/>
      <c r="AI52" s="840"/>
      <c r="AJ52" s="840"/>
      <c r="AK52" s="840"/>
      <c r="AL52" s="840"/>
      <c r="AM52" s="840"/>
      <c r="AN52" s="840"/>
    </row>
    <row r="53" spans="1:40">
      <c r="A53" s="757" t="s">
        <v>118</v>
      </c>
      <c r="B53" s="757" t="s">
        <v>582</v>
      </c>
      <c r="C53" s="757">
        <f>SUMIFS(INDEX(Table7[],,MATCH(C$6,Table7[#Headers],0)),Table7[MainSpaceHeatingFuel],$B53,Table7[EnergyRating (group)],$A53)</f>
        <v>1991379</v>
      </c>
      <c r="D53" s="757">
        <f>SUMIFS(INDEX(Table7[],,MATCH(D$6,Table7[#Headers],0)),Table7[MainSpaceHeatingFuel],$B53,Table7[EnergyRating (group)],$A53)</f>
        <v>1810344</v>
      </c>
      <c r="E53" s="757">
        <f>SUMIFS(INDEX(Table7[],,MATCH(E$6,Table7[#Headers],0)),Table7[MainSpaceHeatingFuel],$B53,Table7[EnergyRating (group)],$A53)</f>
        <v>270667</v>
      </c>
      <c r="F53" s="757">
        <f>SUMIFS(INDEX(Table7[],,MATCH(F$6,Table7[#Headers],0)),Table7[MainSpaceHeatingFuel],$B53,Table7[EnergyRating (group)],$A53)</f>
        <v>223125</v>
      </c>
      <c r="G53" s="757">
        <f>SUMIFS(INDEX(Table7[],,MATCH(G$6,Table7[#Headers],0)),Table7[MainSpaceHeatingFuel],$B53,Table7[EnergyRating (group)],$A53)</f>
        <v>208</v>
      </c>
      <c r="H53" s="757">
        <f>SUMIFS(INDEX(Table7[],,MATCH(H$6,Table7[#Headers],0)),Table7[MainSpaceHeatingFuel],$B53,Table7[EnergyRating (group)],$A53)</f>
        <v>13529</v>
      </c>
      <c r="I53" s="912">
        <f>AVERAGEIFS(INDEX(Table7[],,MATCH(I$6,Table7[#Headers],0)),Table7[MainSpaceHeatingFuel],$B53,Table7[EnergyRating (group)],$A53)</f>
        <v>78</v>
      </c>
      <c r="J53" s="847">
        <f>SUMIFS(INDEX(Table7[],,MATCH(J$6,Table7[#Headers],0)),Table7[MainSpaceHeatingFuel],$B53,Table7[EnergyRating (group)],$A53)</f>
        <v>3427860</v>
      </c>
      <c r="K53" s="847">
        <f>SUMIFS(INDEX(Table7[],,MATCH(K$6,Table7[#Headers],0)),Table7[MainSpaceHeatingFuel],$B53,Table7[EnergyRating (group)],$A53)</f>
        <v>2840246</v>
      </c>
      <c r="M53" s="840"/>
      <c r="N53" s="914" t="str">
        <f>RSD_Commodities!$M$14&amp;"_"&amp;RIGHT(P53,LEN(P53)-3)&amp;"_"&amp;SETUP!$B$67</f>
        <v>SH_Apt-D_OILLPG_X0</v>
      </c>
      <c r="O53" s="914" t="str">
        <f>RSD_Commodities!$N$14&amp;"_"&amp;RSD_Commodities!D11&amp;"_"&amp;SETUP!$C$67</f>
        <v>Residential Space Heating Apartment-D_LPG to Residential_Existing 00</v>
      </c>
      <c r="P53" s="915" t="str">
        <f>RSD_Commodities!$C$11</f>
        <v>RSDOILLPG</v>
      </c>
      <c r="Q53" s="930" t="str">
        <f>RSD_Commodities!$M$14</f>
        <v>SH_Apt-D</v>
      </c>
      <c r="R53" s="931">
        <f t="shared" ref="R53:R64" si="33">G53/SUM($G$52:$G$64)</f>
        <v>6.7142257658413763E-3</v>
      </c>
      <c r="S53" s="932">
        <f>R53*DwellingStocks!$I$67/1000</f>
        <v>0.31885139473104007</v>
      </c>
      <c r="T53" s="914">
        <v>1</v>
      </c>
      <c r="U53" s="914">
        <f t="shared" si="20"/>
        <v>0.78</v>
      </c>
      <c r="V53" s="930">
        <v>20</v>
      </c>
      <c r="W53" s="930">
        <v>1</v>
      </c>
      <c r="X53" s="840"/>
      <c r="Y53" s="920">
        <f t="shared" ref="Y53:Y59" si="34">ABS((D53+F53)*S53*1000*$B$2)</f>
        <v>2.6645524388726035E-4</v>
      </c>
      <c r="Z53" s="921">
        <f t="shared" ref="Z53:Z59" si="35">ABS((C53+E53)*S53*1000*$B$2)</f>
        <v>2.9640678988182345E-4</v>
      </c>
      <c r="AA53" s="840"/>
      <c r="AB53" s="914" t="s">
        <v>393</v>
      </c>
      <c r="AC53" s="914" t="str">
        <f t="shared" ref="AC53:AC64" si="36">N53</f>
        <v>SH_Apt-D_OILLPG_X0</v>
      </c>
      <c r="AD53" s="914" t="str">
        <f t="shared" ref="AD53:AD62" si="37">O53</f>
        <v>Residential Space Heating Apartment-D_LPG to Residential_Existing 00</v>
      </c>
      <c r="AE53" s="914" t="s">
        <v>53</v>
      </c>
      <c r="AF53" s="914" t="s">
        <v>406</v>
      </c>
      <c r="AG53" s="914"/>
      <c r="AH53" s="914"/>
      <c r="AI53" s="840"/>
      <c r="AJ53" s="840"/>
      <c r="AK53" s="840"/>
      <c r="AL53" s="840"/>
      <c r="AM53" s="840"/>
      <c r="AN53" s="840"/>
    </row>
    <row r="54" spans="1:40">
      <c r="A54" s="758" t="s">
        <v>118</v>
      </c>
      <c r="B54" s="758" t="s">
        <v>228</v>
      </c>
      <c r="C54" s="758">
        <f>SUMIFS(INDEX(Table7[],,MATCH(C$6,Table7[#Headers],0)),Table7[MainSpaceHeatingFuel],$B54,Table7[EnergyRating (group)],$A54)</f>
        <v>197807687</v>
      </c>
      <c r="D54" s="758">
        <f>SUMIFS(INDEX(Table7[],,MATCH(D$6,Table7[#Headers],0)),Table7[MainSpaceHeatingFuel],$B54,Table7[EnergyRating (group)],$A54)</f>
        <v>73262106</v>
      </c>
      <c r="E54" s="759">
        <f>SUMIFS(INDEX(Table7[],,MATCH(E$6,Table7[#Headers],0)),Table7[MainSpaceHeatingFuel],$B54,Table7[EnergyRating (group)],$A54)</f>
        <v>23230060</v>
      </c>
      <c r="F54" s="759">
        <f>SUMIFS(INDEX(Table7[],,MATCH(F$6,Table7[#Headers],0)),Table7[MainSpaceHeatingFuel],$B54,Table7[EnergyRating (group)],$A54)</f>
        <v>9886584</v>
      </c>
      <c r="G54" s="758">
        <f>SUMIFS(INDEX(Table7[],,MATCH(G$6,Table7[#Headers],0)),Table7[MainSpaceHeatingFuel],$B54,Table7[EnergyRating (group)],$A54)</f>
        <v>23187</v>
      </c>
      <c r="H54" s="758">
        <f>SUMIFS(INDEX(Table7[],,MATCH(H$6,Table7[#Headers],0)),Table7[MainSpaceHeatingFuel],$B54,Table7[EnergyRating (group)],$A54)</f>
        <v>1497321</v>
      </c>
      <c r="I54" s="911">
        <f>AVERAGEIFS(INDEX(Table7[],,MATCH(I$6,Table7[#Headers],0)),Table7[MainSpaceHeatingFuel],$B54,Table7[EnergyRating (group)],$A54)</f>
        <v>111.33333333333333</v>
      </c>
      <c r="J54" s="849">
        <f>SUMIFS(INDEX(Table7[],,MATCH(J$6,Table7[#Headers],0)),Table7[MainSpaceHeatingFuel],$B54,Table7[EnergyRating (group)],$A54)</f>
        <v>393055615</v>
      </c>
      <c r="K54" s="849">
        <f>SUMIFS(INDEX(Table7[],,MATCH(K$6,Table7[#Headers],0)),Table7[MainSpaceHeatingFuel],$B54,Table7[EnergyRating (group)],$A54)</f>
        <v>146958376</v>
      </c>
      <c r="M54" s="840"/>
      <c r="N54" s="933" t="str">
        <f>RSD_Commodities!$M$14&amp;"_"&amp;RIGHT(P54,LEN(P54)-3)&amp;"_"&amp;SETUP!$B$67</f>
        <v>SH_Apt-D_ELCD_X0</v>
      </c>
      <c r="O54" s="933" t="str">
        <f>RSD_Commodities!$N$14&amp;"_"&amp;RSD_Commodities!D27&amp;"_"&amp;SETUP!$C$67</f>
        <v>Residential Space Heating Apartment-D_Electricity to Residential_Existing 00</v>
      </c>
      <c r="P54" s="934" t="str">
        <f>RSD_Commodities!$C$27</f>
        <v>RSDELCD</v>
      </c>
      <c r="Q54" s="935" t="str">
        <f>RSD_Commodities!$M$14</f>
        <v>SH_Apt-D</v>
      </c>
      <c r="R54" s="936">
        <f t="shared" si="33"/>
        <v>0.74847477323348077</v>
      </c>
      <c r="S54" s="937">
        <f>R54*DwellingStocks!$I$67/1000</f>
        <v>35.544265815522245</v>
      </c>
      <c r="T54" s="933">
        <v>1</v>
      </c>
      <c r="U54" s="954">
        <f t="shared" si="20"/>
        <v>1.1133333333333333</v>
      </c>
      <c r="V54" s="935">
        <v>20</v>
      </c>
      <c r="W54" s="935">
        <v>1</v>
      </c>
      <c r="X54" s="840"/>
      <c r="Y54" s="922">
        <f t="shared" si="34"/>
        <v>1.2145722491393658</v>
      </c>
      <c r="Z54" s="923">
        <f t="shared" si="35"/>
        <v>3.22874976765705</v>
      </c>
      <c r="AA54" s="840"/>
      <c r="AB54" s="933" t="s">
        <v>393</v>
      </c>
      <c r="AC54" s="933" t="str">
        <f t="shared" si="36"/>
        <v>SH_Apt-D_ELCD_X0</v>
      </c>
      <c r="AD54" s="933" t="str">
        <f t="shared" si="37"/>
        <v>Residential Space Heating Apartment-D_Electricity to Residential_Existing 00</v>
      </c>
      <c r="AE54" s="933" t="s">
        <v>53</v>
      </c>
      <c r="AF54" s="933" t="s">
        <v>406</v>
      </c>
      <c r="AG54" s="933"/>
      <c r="AH54" s="933"/>
      <c r="AI54" s="840"/>
      <c r="AJ54" s="840"/>
      <c r="AK54" s="840"/>
      <c r="AL54" s="840"/>
      <c r="AM54" s="840"/>
      <c r="AN54" s="840"/>
    </row>
    <row r="55" spans="1:40">
      <c r="A55" s="757" t="s">
        <v>118</v>
      </c>
      <c r="B55" s="757" t="s">
        <v>583</v>
      </c>
      <c r="C55" s="757">
        <f>SUMIFS(INDEX(Table7[],,MATCH(C$6,Table7[#Headers],0)),Table7[MainSpaceHeatingFuel],$B55,Table7[EnergyRating (group)],$A55)</f>
        <v>14480990</v>
      </c>
      <c r="D55" s="757">
        <f>SUMIFS(INDEX(Table7[],,MATCH(D$6,Table7[#Headers],0)),Table7[MainSpaceHeatingFuel],$B55,Table7[EnergyRating (group)],$A55)</f>
        <v>13164536</v>
      </c>
      <c r="E55" s="760">
        <f>SUMIFS(INDEX(Table7[],,MATCH(E$6,Table7[#Headers],0)),Table7[MainSpaceHeatingFuel],$B55,Table7[EnergyRating (group)],$A55)</f>
        <v>2829560</v>
      </c>
      <c r="F55" s="760">
        <f>SUMIFS(INDEX(Table7[],,MATCH(F$6,Table7[#Headers],0)),Table7[MainSpaceHeatingFuel],$B55,Table7[EnergyRating (group)],$A55)</f>
        <v>2411707</v>
      </c>
      <c r="G55" s="757">
        <f>SUMIFS(INDEX(Table7[],,MATCH(G$6,Table7[#Headers],0)),Table7[MainSpaceHeatingFuel],$B55,Table7[EnergyRating (group)],$A55)</f>
        <v>1034</v>
      </c>
      <c r="H55" s="757">
        <f>SUMIFS(INDEX(Table7[],,MATCH(H$6,Table7[#Headers],0)),Table7[MainSpaceHeatingFuel],$B55,Table7[EnergyRating (group)],$A55)</f>
        <v>98004</v>
      </c>
      <c r="I55" s="912">
        <f>AVERAGEIFS(INDEX(Table7[],,MATCH(I$6,Table7[#Headers],0)),Table7[MainSpaceHeatingFuel],$B55,Table7[EnergyRating (group)],$A55)</f>
        <v>75.5</v>
      </c>
      <c r="J55" s="847">
        <f>SUMIFS(INDEX(Table7[],,MATCH(J$6,Table7[#Headers],0)),Table7[MainSpaceHeatingFuel],$B55,Table7[EnergyRating (group)],$A55)</f>
        <v>26023758</v>
      </c>
      <c r="K55" s="847">
        <f>SUMIFS(INDEX(Table7[],,MATCH(K$6,Table7[#Headers],0)),Table7[MainSpaceHeatingFuel],$B55,Table7[EnergyRating (group)],$A55)</f>
        <v>21209517</v>
      </c>
      <c r="M55" s="840"/>
      <c r="N55" s="914" t="str">
        <f>RSD_Commodities!$M$14&amp;"_"&amp;RIGHT(P55,LEN(P55)-3)&amp;"_"&amp;SETUP!$B$67</f>
        <v>SH_Apt-D_OILKER_X0</v>
      </c>
      <c r="O55" s="914" t="str">
        <f>RSD_Commodities!$N$14&amp;"_"&amp;RSD_Commodities!D13&amp;"_"&amp;SETUP!$C$67</f>
        <v>Residential Space Heating Apartment-D_Kerosene to Residential_Existing 00</v>
      </c>
      <c r="P55" s="915" t="str">
        <f>RSD_Commodities!$C$13</f>
        <v>RSDOILKER</v>
      </c>
      <c r="Q55" s="930" t="str">
        <f>RSD_Commodities!$M$14</f>
        <v>SH_Apt-D</v>
      </c>
      <c r="R55" s="931">
        <f t="shared" si="33"/>
        <v>3.3377449239807615E-2</v>
      </c>
      <c r="S55" s="932">
        <f>R55*DwellingStocks!$I$67/1000</f>
        <v>1.5850593372687281</v>
      </c>
      <c r="T55" s="914">
        <v>1</v>
      </c>
      <c r="U55" s="914">
        <f t="shared" si="20"/>
        <v>0.755</v>
      </c>
      <c r="V55" s="930">
        <v>20</v>
      </c>
      <c r="W55" s="930">
        <v>1</v>
      </c>
      <c r="X55" s="840"/>
      <c r="Y55" s="920">
        <f t="shared" si="34"/>
        <v>1.0146275098650685E-2</v>
      </c>
      <c r="Z55" s="921">
        <f t="shared" si="35"/>
        <v>1.1275992703050897E-2</v>
      </c>
      <c r="AA55" s="840"/>
      <c r="AB55" s="914" t="s">
        <v>393</v>
      </c>
      <c r="AC55" s="914" t="str">
        <f t="shared" si="36"/>
        <v>SH_Apt-D_OILKER_X0</v>
      </c>
      <c r="AD55" s="914" t="str">
        <f t="shared" si="37"/>
        <v>Residential Space Heating Apartment-D_Kerosene to Residential_Existing 00</v>
      </c>
      <c r="AE55" s="914" t="s">
        <v>53</v>
      </c>
      <c r="AF55" s="914" t="s">
        <v>406</v>
      </c>
      <c r="AG55" s="914"/>
      <c r="AH55" s="914"/>
      <c r="AI55" s="840"/>
      <c r="AJ55" s="840"/>
      <c r="AK55" s="840"/>
      <c r="AL55" s="840"/>
      <c r="AM55" s="840"/>
      <c r="AN55" s="840"/>
    </row>
    <row r="56" spans="1:40">
      <c r="A56" s="758" t="s">
        <v>118</v>
      </c>
      <c r="B56" s="758" t="s">
        <v>584</v>
      </c>
      <c r="C56" s="758">
        <f>SUMIFS(INDEX(Table7[],,MATCH(C$6,Table7[#Headers],0)),Table7[MainSpaceHeatingFuel],$B56,Table7[EnergyRating (group)],$A56)</f>
        <v>47785763</v>
      </c>
      <c r="D56" s="758">
        <f>SUMIFS(INDEX(Table7[],,MATCH(D$6,Table7[#Headers],0)),Table7[MainSpaceHeatingFuel],$B56,Table7[EnergyRating (group)],$A56)</f>
        <v>43441603</v>
      </c>
      <c r="E56" s="758">
        <f>SUMIFS(INDEX(Table7[],,MATCH(E$6,Table7[#Headers],0)),Table7[MainSpaceHeatingFuel],$B56,Table7[EnergyRating (group)],$A56)</f>
        <v>7871394</v>
      </c>
      <c r="F56" s="758">
        <f>SUMIFS(INDEX(Table7[],,MATCH(F$6,Table7[#Headers],0)),Table7[MainSpaceHeatingFuel],$B56,Table7[EnergyRating (group)],$A56)</f>
        <v>6745632</v>
      </c>
      <c r="G56" s="758">
        <f>SUMIFS(INDEX(Table7[],,MATCH(G$6,Table7[#Headers],0)),Table7[MainSpaceHeatingFuel],$B56,Table7[EnergyRating (group)],$A56)</f>
        <v>5774</v>
      </c>
      <c r="H56" s="758">
        <f>SUMIFS(INDEX(Table7[],,MATCH(H$6,Table7[#Headers],0)),Table7[MainSpaceHeatingFuel],$B56,Table7[EnergyRating (group)],$A56)</f>
        <v>365553</v>
      </c>
      <c r="I56" s="911">
        <f>AVERAGEIFS(INDEX(Table7[],,MATCH(I$6,Table7[#Headers],0)),Table7[MainSpaceHeatingFuel],$B56,Table7[EnergyRating (group)],$A56)</f>
        <v>81.2</v>
      </c>
      <c r="J56" s="849">
        <f>SUMIFS(INDEX(Table7[],,MATCH(J$6,Table7[#Headers],0)),Table7[MainSpaceHeatingFuel],$B56,Table7[EnergyRating (group)],$A56)</f>
        <v>93782195</v>
      </c>
      <c r="K56" s="849">
        <f>SUMIFS(INDEX(Table7[],,MATCH(K$6,Table7[#Headers],0)),Table7[MainSpaceHeatingFuel],$B56,Table7[EnergyRating (group)],$A56)</f>
        <v>76534065</v>
      </c>
      <c r="M56" s="840"/>
      <c r="N56" s="933" t="str">
        <f>RSD_Commodities!$M$14&amp;"_"&amp;RIGHT(P56,LEN(P56)-3)&amp;"_"&amp;SETUP!$B$67</f>
        <v>SH_Apt-D_GASNAT_X0</v>
      </c>
      <c r="O56" s="933" t="str">
        <f>RSD_Commodities!$N$14&amp;"_"&amp;RSD_Commodities!D17&amp;"_"&amp;SETUP!$C$67</f>
        <v>Residential Space Heating Apartment-D_Natural Gas to Residential_Existing 00</v>
      </c>
      <c r="P56" s="934" t="str">
        <f>RSD_Commodities!$C$17</f>
        <v>RSDGASNAT</v>
      </c>
      <c r="Q56" s="935" t="str">
        <f>RSD_Commodities!$M$14</f>
        <v>SH_Apt-D</v>
      </c>
      <c r="R56" s="936">
        <f t="shared" si="33"/>
        <v>0.18638432486523129</v>
      </c>
      <c r="S56" s="937">
        <f>R56*DwellingStocks!$I$67/1000</f>
        <v>8.8511920825818517</v>
      </c>
      <c r="T56" s="933">
        <v>1</v>
      </c>
      <c r="U56" s="933">
        <f t="shared" si="20"/>
        <v>0.81200000000000006</v>
      </c>
      <c r="V56" s="935">
        <v>20</v>
      </c>
      <c r="W56" s="935">
        <v>1</v>
      </c>
      <c r="X56" s="840"/>
      <c r="Y56" s="922">
        <f t="shared" si="34"/>
        <v>0.18255487277205817</v>
      </c>
      <c r="Z56" s="923">
        <f t="shared" si="35"/>
        <v>0.20245158385373224</v>
      </c>
      <c r="AA56" s="840"/>
      <c r="AB56" s="933" t="s">
        <v>393</v>
      </c>
      <c r="AC56" s="933" t="str">
        <f t="shared" si="36"/>
        <v>SH_Apt-D_GASNAT_X0</v>
      </c>
      <c r="AD56" s="933" t="str">
        <f t="shared" si="37"/>
        <v>Residential Space Heating Apartment-D_Natural Gas to Residential_Existing 00</v>
      </c>
      <c r="AE56" s="933" t="s">
        <v>53</v>
      </c>
      <c r="AF56" s="933" t="s">
        <v>406</v>
      </c>
      <c r="AG56" s="933"/>
      <c r="AH56" s="933"/>
      <c r="AI56" s="840"/>
      <c r="AJ56" s="840"/>
      <c r="AK56" s="840"/>
      <c r="AL56" s="840"/>
      <c r="AM56" s="840"/>
      <c r="AN56" s="840"/>
    </row>
    <row r="57" spans="1:40">
      <c r="A57" s="757" t="s">
        <v>118</v>
      </c>
      <c r="B57" s="757" t="s">
        <v>585</v>
      </c>
      <c r="C57" s="757">
        <f>SUMIFS(INDEX(Table7[],,MATCH(C$6,Table7[#Headers],0)),Table7[MainSpaceHeatingFuel],$B57,Table7[EnergyRating (group)],$A57)</f>
        <v>95369</v>
      </c>
      <c r="D57" s="757">
        <f>SUMIFS(INDEX(Table7[],,MATCH(D$6,Table7[#Headers],0)),Table7[MainSpaceHeatingFuel],$B57,Table7[EnergyRating (group)],$A57)</f>
        <v>86699</v>
      </c>
      <c r="E57" s="757">
        <f>SUMIFS(INDEX(Table7[],,MATCH(E$6,Table7[#Headers],0)),Table7[MainSpaceHeatingFuel],$B57,Table7[EnergyRating (group)],$A57)</f>
        <v>10353</v>
      </c>
      <c r="F57" s="757">
        <f>SUMIFS(INDEX(Table7[],,MATCH(F$6,Table7[#Headers],0)),Table7[MainSpaceHeatingFuel],$B57,Table7[EnergyRating (group)],$A57)</f>
        <v>9412</v>
      </c>
      <c r="G57" s="757">
        <f>SUMIFS(INDEX(Table7[],,MATCH(G$6,Table7[#Headers],0)),Table7[MainSpaceHeatingFuel],$B57,Table7[EnergyRating (group)],$A57)</f>
        <v>4</v>
      </c>
      <c r="H57" s="757">
        <f>SUMIFS(INDEX(Table7[],,MATCH(H$6,Table7[#Headers],0)),Table7[MainSpaceHeatingFuel],$B57,Table7[EnergyRating (group)],$A57)</f>
        <v>524</v>
      </c>
      <c r="I57" s="912">
        <f>AVERAGEIFS(INDEX(Table7[],,MATCH(I$6,Table7[#Headers],0)),Table7[MainSpaceHeatingFuel],$B57,Table7[EnergyRating (group)],$A57)</f>
        <v>81.5</v>
      </c>
      <c r="J57" s="847">
        <f>SUMIFS(INDEX(Table7[],,MATCH(J$6,Table7[#Headers],0)),Table7[MainSpaceHeatingFuel],$B57,Table7[EnergyRating (group)],$A57)</f>
        <v>138990</v>
      </c>
      <c r="K57" s="847">
        <f>SUMIFS(INDEX(Table7[],,MATCH(K$6,Table7[#Headers],0)),Table7[MainSpaceHeatingFuel],$B57,Table7[EnergyRating (group)],$A57)</f>
        <v>112363</v>
      </c>
      <c r="M57" s="840"/>
      <c r="N57" s="914" t="str">
        <f>RSD_Commodities!$M$14&amp;"_"&amp;RIGHT(P57,LEN(P57)-3)&amp;"_"&amp;SETUP!$B$67</f>
        <v>SH_Apt-D_BIOWOO_X0</v>
      </c>
      <c r="O57" s="914" t="str">
        <f>RSD_Commodities!$N$14&amp;"_"&amp;RSD_Commodities!D19&amp;"_"&amp;SETUP!$C$67</f>
        <v>Residential Space Heating Apartment-D_Biomass &amp; Renewable Waste to Residential_Existing 00</v>
      </c>
      <c r="P57" s="915" t="str">
        <f>RSD_Commodities!$C$19</f>
        <v>RSDBIOWOO</v>
      </c>
      <c r="Q57" s="930" t="str">
        <f>RSD_Commodities!$M$14</f>
        <v>SH_Apt-D</v>
      </c>
      <c r="R57" s="931">
        <f t="shared" si="33"/>
        <v>1.2911972626618033E-4</v>
      </c>
      <c r="S57" s="932">
        <f>R57*DwellingStocks!$I$67/1000</f>
        <v>6.1317575909815404E-3</v>
      </c>
      <c r="T57" s="914">
        <v>1</v>
      </c>
      <c r="U57" s="914">
        <f t="shared" si="20"/>
        <v>0.81499999999999995</v>
      </c>
      <c r="V57" s="930">
        <v>20</v>
      </c>
      <c r="W57" s="930">
        <v>1</v>
      </c>
      <c r="X57" s="840"/>
      <c r="Y57" s="920">
        <f t="shared" si="34"/>
        <v>2.4219014540828504E-7</v>
      </c>
      <c r="Z57" s="921">
        <f t="shared" si="35"/>
        <v>2.6640890795907557E-7</v>
      </c>
      <c r="AA57" s="840"/>
      <c r="AB57" s="914" t="s">
        <v>393</v>
      </c>
      <c r="AC57" s="914" t="str">
        <f t="shared" si="36"/>
        <v>SH_Apt-D_BIOWOO_X0</v>
      </c>
      <c r="AD57" s="914" t="str">
        <f t="shared" si="37"/>
        <v>Residential Space Heating Apartment-D_Biomass &amp; Renewable Waste to Residential_Existing 00</v>
      </c>
      <c r="AE57" s="914" t="s">
        <v>53</v>
      </c>
      <c r="AF57" s="914" t="s">
        <v>406</v>
      </c>
      <c r="AG57" s="914"/>
      <c r="AH57" s="914"/>
      <c r="AI57" s="840"/>
      <c r="AJ57" s="840"/>
      <c r="AK57" s="840"/>
      <c r="AL57" s="840"/>
      <c r="AM57" s="840"/>
      <c r="AN57" s="840"/>
    </row>
    <row r="58" spans="1:40">
      <c r="A58" s="758" t="s">
        <v>118</v>
      </c>
      <c r="B58" s="758" t="s">
        <v>587</v>
      </c>
      <c r="C58" s="758">
        <f>SUMIFS(INDEX(Table7[],,MATCH(C$6,Table7[#Headers],0)),Table7[MainSpaceHeatingFuel],$B58,Table7[EnergyRating (group)],$A58)</f>
        <v>0</v>
      </c>
      <c r="D58" s="758">
        <f>SUMIFS(INDEX(Table7[],,MATCH(D$6,Table7[#Headers],0)),Table7[MainSpaceHeatingFuel],$B58,Table7[EnergyRating (group)],$A58)</f>
        <v>0</v>
      </c>
      <c r="E58" s="759">
        <f>SUMIFS(INDEX(Table7[],,MATCH(E$6,Table7[#Headers],0)),Table7[MainSpaceHeatingFuel],$B58,Table7[EnergyRating (group)],$A58)</f>
        <v>0</v>
      </c>
      <c r="F58" s="759">
        <f>SUMIFS(INDEX(Table7[],,MATCH(F$6,Table7[#Headers],0)),Table7[MainSpaceHeatingFuel],$B58,Table7[EnergyRating (group)],$A58)</f>
        <v>0</v>
      </c>
      <c r="G58" s="758">
        <f>SUMIFS(INDEX(Table7[],,MATCH(G$6,Table7[#Headers],0)),Table7[MainSpaceHeatingFuel],"",Table7[EnergyRating (group)],$A58)</f>
        <v>596</v>
      </c>
      <c r="H58" s="758">
        <f>SUMIFS(INDEX(Table7[],,MATCH(H$6,Table7[#Headers],0)),Table7[MainSpaceHeatingFuel],"",Table7[EnergyRating (group)],$A58)</f>
        <v>31349</v>
      </c>
      <c r="I58" s="944">
        <f>SUMIFS(INDEX(Table7[],,MATCH(I$6,Table7[#Headers],0)),Table7[MainSpaceHeatingFuel],"",Table7[EnergyRating (group)],$A58)</f>
        <v>0</v>
      </c>
      <c r="J58" s="849">
        <f>SUMIFS(INDEX(Table7[],,MATCH(J$6,Table7[#Headers],0)),Table7[MainSpaceHeatingFuel],"",Table7[EnergyRating (group)],$A58)</f>
        <v>945343</v>
      </c>
      <c r="K58" s="849">
        <f>SUMIFS(INDEX(Table7[],,MATCH(K$6,Table7[#Headers],0)),Table7[MainSpaceHeatingFuel],"",Table7[EnergyRating (group)],$A58)</f>
        <v>350127</v>
      </c>
      <c r="M58" s="840"/>
      <c r="N58" s="933" t="str">
        <f>RSD_Commodities!$M$14&amp;"_"&amp;RIGHT(P58,LEN(P58)-3)&amp;"_"&amp;SETUP!$B$67</f>
        <v>SH_Apt-D_HET_X0</v>
      </c>
      <c r="O58" s="933" t="str">
        <f>RSD_Commodities!$N$14&amp;"_"&amp;RSD_Commodities!D28&amp;"_"&amp;SETUP!$C$67</f>
        <v>Residential Space Heating Apartment-D_Heat to Residential_Existing 00</v>
      </c>
      <c r="P58" s="934" t="str">
        <f>RSD_Commodities!$C$28</f>
        <v>RSDHET</v>
      </c>
      <c r="Q58" s="935" t="str">
        <f>RSD_Commodities!$M$14</f>
        <v>SH_Apt-D</v>
      </c>
      <c r="R58" s="936">
        <f t="shared" si="33"/>
        <v>1.9238839213660867E-2</v>
      </c>
      <c r="S58" s="937">
        <f>R58*DwellingStocks!$I$67/1000</f>
        <v>0.91363188105624937</v>
      </c>
      <c r="T58" s="933">
        <v>1</v>
      </c>
      <c r="U58" s="917">
        <f>IF(I58=0, 1, I58)</f>
        <v>1</v>
      </c>
      <c r="V58" s="935">
        <v>20</v>
      </c>
      <c r="W58" s="935">
        <v>1</v>
      </c>
      <c r="X58" s="840"/>
      <c r="Y58" s="922">
        <f t="shared" si="34"/>
        <v>0</v>
      </c>
      <c r="Z58" s="923">
        <f t="shared" si="35"/>
        <v>0</v>
      </c>
      <c r="AA58" s="840"/>
      <c r="AB58" s="933" t="s">
        <v>393</v>
      </c>
      <c r="AC58" s="933" t="str">
        <f t="shared" si="36"/>
        <v>SH_Apt-D_HET_X0</v>
      </c>
      <c r="AD58" s="933" t="str">
        <f t="shared" si="37"/>
        <v>Residential Space Heating Apartment-D_Heat to Residential_Existing 00</v>
      </c>
      <c r="AE58" s="933" t="s">
        <v>53</v>
      </c>
      <c r="AF58" s="933" t="s">
        <v>406</v>
      </c>
      <c r="AG58" s="933"/>
      <c r="AH58" s="933"/>
      <c r="AI58" s="840"/>
      <c r="AJ58" s="840"/>
      <c r="AK58" s="840"/>
      <c r="AL58" s="840"/>
      <c r="AM58" s="840"/>
      <c r="AN58" s="840"/>
    </row>
    <row r="59" spans="1:40">
      <c r="A59" s="757" t="s">
        <v>118</v>
      </c>
      <c r="B59" s="757" t="s">
        <v>664</v>
      </c>
      <c r="C59" s="757">
        <f>SUMIFS(INDEX(Table7[],,MATCH(C$6,Table7[#Headers],0)),Table7[MainSpaceHeatingFuel],$B59,Table7[EnergyRating (group)],$A59)</f>
        <v>186293</v>
      </c>
      <c r="D59" s="757">
        <f>SUMIFS(INDEX(Table7[],,MATCH(D$6,Table7[#Headers],0)),Table7[MainSpaceHeatingFuel],$B59,Table7[EnergyRating (group)],$A59)</f>
        <v>169355</v>
      </c>
      <c r="E59" s="760">
        <f>SUMIFS(INDEX(Table7[],,MATCH(E$6,Table7[#Headers],0)),Table7[MainSpaceHeatingFuel],$B59,Table7[EnergyRating (group)],$A59)</f>
        <v>32526</v>
      </c>
      <c r="F59" s="760">
        <f>SUMIFS(INDEX(Table7[],,MATCH(F$6,Table7[#Headers],0)),Table7[MainSpaceHeatingFuel],$B59,Table7[EnergyRating (group)],$A59)</f>
        <v>25843</v>
      </c>
      <c r="G59" s="757">
        <f>SUMIFS(INDEX(Table7[],,MATCH(G$6,Table7[#Headers],0)),Table7[MainSpaceHeatingFuel],$B59,Table7[EnergyRating (group)],$A59)</f>
        <v>16</v>
      </c>
      <c r="H59" s="757">
        <f>SUMIFS(INDEX(Table7[],,MATCH(H$6,Table7[#Headers],0)),Table7[MainSpaceHeatingFuel],$B59,Table7[EnergyRating (group)],$A59)</f>
        <v>1212</v>
      </c>
      <c r="I59" s="912">
        <f>AVERAGEIFS(INDEX(Table7[],,MATCH(I$6,Table7[#Headers],0)),Table7[MainSpaceHeatingFuel],$B59,Table7[EnergyRating (group)],$A59)</f>
        <v>72.25</v>
      </c>
      <c r="J59" s="847">
        <f>SUMIFS(INDEX(Table7[],,MATCH(J$6,Table7[#Headers],0)),Table7[MainSpaceHeatingFuel],$B59,Table7[EnergyRating (group)],$A59)</f>
        <v>328835</v>
      </c>
      <c r="K59" s="847">
        <f>SUMIFS(INDEX(Table7[],,MATCH(K$6,Table7[#Headers],0)),Table7[MainSpaceHeatingFuel],$B59,Table7[EnergyRating (group)],$A59)</f>
        <v>264013</v>
      </c>
      <c r="M59" s="840"/>
      <c r="N59" s="914" t="str">
        <f>RSD_Commodities!$M$14&amp;"_"&amp;RIGHT(P59,LEN(P59)-3)&amp;"_"&amp;SETUP!$B$68</f>
        <v>SH_Apt-D_OILLPG_X1</v>
      </c>
      <c r="O59" s="914" t="str">
        <f>RSD_Commodities!$N$14&amp;"_"&amp;RSD_Commodities!D11&amp;"_"&amp;SETUP!$C$68</f>
        <v>Residential Space Heating Apartment-D_LPG to Residential_Existing 01</v>
      </c>
      <c r="P59" s="915" t="str">
        <f>RSD_Commodities!$C$11</f>
        <v>RSDOILLPG</v>
      </c>
      <c r="Q59" s="930" t="str">
        <f>RSD_Commodities!$M$14</f>
        <v>SH_Apt-D</v>
      </c>
      <c r="R59" s="931">
        <f t="shared" si="33"/>
        <v>5.1647890506472131E-4</v>
      </c>
      <c r="S59" s="932">
        <f>R59*DwellingStocks!$I$67/1000</f>
        <v>2.4527030363926162E-2</v>
      </c>
      <c r="T59" s="914">
        <v>1</v>
      </c>
      <c r="U59" s="916">
        <f t="shared" si="20"/>
        <v>0.72250000000000003</v>
      </c>
      <c r="V59" s="930">
        <v>20</v>
      </c>
      <c r="W59" s="930">
        <v>1</v>
      </c>
      <c r="X59" s="840"/>
      <c r="Y59" s="920">
        <f t="shared" si="34"/>
        <v>1.9675180573880796E-6</v>
      </c>
      <c r="Z59" s="921">
        <f t="shared" si="35"/>
        <v>2.2056083248783395E-6</v>
      </c>
      <c r="AA59" s="840"/>
      <c r="AB59" s="914" t="s">
        <v>393</v>
      </c>
      <c r="AC59" s="914" t="str">
        <f t="shared" si="36"/>
        <v>SH_Apt-D_OILLPG_X1</v>
      </c>
      <c r="AD59" s="914" t="str">
        <f t="shared" si="37"/>
        <v>Residential Space Heating Apartment-D_LPG to Residential_Existing 01</v>
      </c>
      <c r="AE59" s="914" t="s">
        <v>53</v>
      </c>
      <c r="AF59" s="914" t="s">
        <v>406</v>
      </c>
      <c r="AG59" s="914"/>
      <c r="AH59" s="914"/>
      <c r="AI59" s="840"/>
      <c r="AJ59" s="840"/>
      <c r="AK59" s="840"/>
      <c r="AL59" s="840"/>
      <c r="AM59" s="840"/>
      <c r="AN59" s="840"/>
    </row>
    <row r="60" spans="1:40">
      <c r="A60" s="758" t="s">
        <v>118</v>
      </c>
      <c r="B60" s="758" t="s">
        <v>665</v>
      </c>
      <c r="C60" s="758">
        <f>SUMIFS(INDEX(Table7[],,MATCH(C$6,Table7[#Headers],0)),Table7[MainSpaceHeatingFuel],$B60,Table7[EnergyRating (group)],$A60)</f>
        <v>985479</v>
      </c>
      <c r="D60" s="758">
        <f>SUMIFS(INDEX(Table7[],,MATCH(D$6,Table7[#Headers],0)),Table7[MainSpaceHeatingFuel],$B60,Table7[EnergyRating (group)],$A60)</f>
        <v>895890</v>
      </c>
      <c r="E60" s="758">
        <f>SUMIFS(INDEX(Table7[],,MATCH(E$6,Table7[#Headers],0)),Table7[MainSpaceHeatingFuel],$B60,Table7[EnergyRating (group)],$A60)</f>
        <v>116379</v>
      </c>
      <c r="F60" s="758">
        <f>SUMIFS(INDEX(Table7[],,MATCH(F$6,Table7[#Headers],0)),Table7[MainSpaceHeatingFuel],$B60,Table7[EnergyRating (group)],$A60)</f>
        <v>76745</v>
      </c>
      <c r="G60" s="758">
        <f>SUMIFS(INDEX(Table7[],,MATCH(G$6,Table7[#Headers],0)),Table7[MainSpaceHeatingFuel],$B60,Table7[EnergyRating (group)],$A60)</f>
        <v>103</v>
      </c>
      <c r="H60" s="758">
        <f>SUMIFS(INDEX(Table7[],,MATCH(H$6,Table7[#Headers],0)),Table7[MainSpaceHeatingFuel],$B60,Table7[EnergyRating (group)],$A60)</f>
        <v>6881</v>
      </c>
      <c r="I60" s="911">
        <f>AVERAGEIFS(INDEX(Table7[],,MATCH(I$6,Table7[#Headers],0)),Table7[MainSpaceHeatingFuel],$B60,Table7[EnergyRating (group)],$A60)</f>
        <v>70</v>
      </c>
      <c r="J60" s="849">
        <f>SUMIFS(INDEX(Table7[],,MATCH(J$6,Table7[#Headers],0)),Table7[MainSpaceHeatingFuel],$B60,Table7[EnergyRating (group)],$A60)</f>
        <v>1911747</v>
      </c>
      <c r="K60" s="849">
        <f>SUMIFS(INDEX(Table7[],,MATCH(K$6,Table7[#Headers],0)),Table7[MainSpaceHeatingFuel],$B60,Table7[EnergyRating (group)],$A60)</f>
        <v>1493068</v>
      </c>
      <c r="M60" s="840"/>
      <c r="N60" s="935" t="str">
        <f>RSD_Commodities!$M$14&amp;"_"&amp;RSD_Commodities!$C$26&amp;"_"&amp;SETUP!$B$67</f>
        <v>SH_Apt-D_RSDSMF_X0</v>
      </c>
      <c r="O60" s="935" t="str">
        <f>RSD_Commodities!$N$14&amp;"_"&amp;RSD_Commodities!$D$26&amp;"_"&amp;SETUP!$C$67</f>
        <v>Residential Space Heating Apartment-D_Solid Multi-Fuel_Existing 00</v>
      </c>
      <c r="P60" s="935" t="str">
        <f>RSD_Commodities!$C$6&amp;","&amp;RSD_Commodities!$C$7&amp;","&amp;RSD_Commodities!$C$9&amp;","&amp;RSD_Commodities!$C$10&amp;","&amp;RSD_Commodities!$C$19</f>
        <v>RSDCOABIT,RSDCOAHAR,RSDCOALIG,RSDPEA,RSDBIOWOO</v>
      </c>
      <c r="Q60" s="935" t="str">
        <f>RSD_Commodities!$M$14</f>
        <v>SH_Apt-D</v>
      </c>
      <c r="R60" s="936">
        <f t="shared" si="33"/>
        <v>3.3248329513541433E-3</v>
      </c>
      <c r="S60" s="937">
        <f>R60*DwellingStocks!$I$67/1000</f>
        <v>0.15789275796777466</v>
      </c>
      <c r="T60" s="933">
        <v>1</v>
      </c>
      <c r="U60" s="933">
        <f t="shared" si="20"/>
        <v>0.7</v>
      </c>
      <c r="V60" s="935">
        <v>20</v>
      </c>
      <c r="W60" s="935">
        <v>1</v>
      </c>
      <c r="X60" s="840"/>
      <c r="Y60" s="922">
        <f t="shared" ref="Y60:Y64" si="38">ABS((D60+F60)*S60*1000*$B$2)</f>
        <v>6.3111790128487607E-5</v>
      </c>
      <c r="Z60" s="923">
        <f t="shared" ref="Z60:Z64" si="39">ABS((C60+E60)*S60*1000*$B$2)</f>
        <v>7.1496739113228596E-5</v>
      </c>
      <c r="AA60" s="840"/>
      <c r="AB60" s="840" t="s">
        <v>393</v>
      </c>
      <c r="AC60" s="840" t="str">
        <f t="shared" si="36"/>
        <v>SH_Apt-D_RSDSMF_X0</v>
      </c>
      <c r="AD60" s="840" t="str">
        <f t="shared" si="37"/>
        <v>Residential Space Heating Apartment-D_Solid Multi-Fuel_Existing 00</v>
      </c>
      <c r="AE60" s="840" t="s">
        <v>53</v>
      </c>
      <c r="AF60" s="840" t="s">
        <v>406</v>
      </c>
      <c r="AG60" s="840"/>
      <c r="AH60" s="840"/>
      <c r="AI60" s="840"/>
      <c r="AJ60" s="840"/>
      <c r="AK60" s="840"/>
      <c r="AL60" s="840"/>
      <c r="AM60" s="840"/>
      <c r="AN60" s="840"/>
    </row>
    <row r="61" spans="1:40">
      <c r="A61" s="757" t="s">
        <v>118</v>
      </c>
      <c r="B61" s="757" t="s">
        <v>669</v>
      </c>
      <c r="C61" s="757">
        <f>SUMIFS(INDEX(Table7[],,MATCH(C$6,Table7[#Headers],0)),Table7[MainSpaceHeatingFuel],$B61,Table7[EnergyRating (group)],$A61)</f>
        <v>389688</v>
      </c>
      <c r="D61" s="757">
        <f>SUMIFS(INDEX(Table7[],,MATCH(D$6,Table7[#Headers],0)),Table7[MainSpaceHeatingFuel],$B61,Table7[EnergyRating (group)],$A61)</f>
        <v>324741</v>
      </c>
      <c r="E61" s="757">
        <f>SUMIFS(INDEX(Table7[],,MATCH(E$6,Table7[#Headers],0)),Table7[MainSpaceHeatingFuel],$B61,Table7[EnergyRating (group)],$A61)</f>
        <v>21714</v>
      </c>
      <c r="F61" s="757">
        <f>SUMIFS(INDEX(Table7[],,MATCH(F$6,Table7[#Headers],0)),Table7[MainSpaceHeatingFuel],$B61,Table7[EnergyRating (group)],$A61)</f>
        <v>10025</v>
      </c>
      <c r="G61" s="757">
        <f>SUMIFS(INDEX(Table7[],,MATCH(G$6,Table7[#Headers],0)),Table7[MainSpaceHeatingFuel],$B61,Table7[EnergyRating (group)],$A61)</f>
        <v>48</v>
      </c>
      <c r="H61" s="757">
        <f>SUMIFS(INDEX(Table7[],,MATCH(H$6,Table7[#Headers],0)),Table7[MainSpaceHeatingFuel],$B61,Table7[EnergyRating (group)],$A61)</f>
        <v>2927</v>
      </c>
      <c r="I61" s="912">
        <f>AVERAGEIFS(INDEX(Table7[],,MATCH(I$6,Table7[#Headers],0)),Table7[MainSpaceHeatingFuel],$B61,Table7[EnergyRating (group)],$A61)</f>
        <v>53.5</v>
      </c>
      <c r="J61" s="847">
        <f>SUMIFS(INDEX(Table7[],,MATCH(J$6,Table7[#Headers],0)),Table7[MainSpaceHeatingFuel],$B61,Table7[EnergyRating (group)],$A61)</f>
        <v>801838</v>
      </c>
      <c r="K61" s="847">
        <f>SUMIFS(INDEX(Table7[],,MATCH(K$6,Table7[#Headers],0)),Table7[MainSpaceHeatingFuel],$B61,Table7[EnergyRating (group)],$A61)</f>
        <v>580295</v>
      </c>
      <c r="M61" s="840"/>
      <c r="N61" s="914" t="str">
        <f>RSD_Commodities!$M$14&amp;"_"&amp;RIGHT(P61,LEN(P61)-3)&amp;"_"&amp;SETUP!$B$67</f>
        <v>SH_Apt-D_COAHAR_X0</v>
      </c>
      <c r="O61" s="914" t="str">
        <f>RSD_Commodities!$N$14&amp;"_"&amp;RSD_Commodities!D7&amp;"_"&amp;SETUP!$C$67</f>
        <v>Residential Space Heating Apartment-D_Anthracite + Manufactured Ovoids to Residential_Existing 00</v>
      </c>
      <c r="P61" s="930" t="str">
        <f>RSD_Commodities!$C$7</f>
        <v>RSDCOAHAR</v>
      </c>
      <c r="Q61" s="930" t="str">
        <f>RSD_Commodities!$M$14</f>
        <v>SH_Apt-D</v>
      </c>
      <c r="R61" s="931">
        <f t="shared" si="33"/>
        <v>1.5494367151941638E-3</v>
      </c>
      <c r="S61" s="932">
        <f>R61*DwellingStocks!$I$67/1000</f>
        <v>7.3581091091778475E-2</v>
      </c>
      <c r="T61" s="914">
        <v>1</v>
      </c>
      <c r="U61" s="914">
        <f t="shared" si="20"/>
        <v>0.53500000000000003</v>
      </c>
      <c r="V61" s="930">
        <v>20</v>
      </c>
      <c r="W61" s="930">
        <v>1</v>
      </c>
      <c r="X61" s="840"/>
      <c r="Y61" s="920">
        <f t="shared" si="38"/>
        <v>1.0122923646752184E-5</v>
      </c>
      <c r="Z61" s="921">
        <f t="shared" si="39"/>
        <v>1.2440304672879391E-5</v>
      </c>
      <c r="AA61" s="840"/>
      <c r="AB61" s="914" t="s">
        <v>393</v>
      </c>
      <c r="AC61" s="914" t="str">
        <f t="shared" si="36"/>
        <v>SH_Apt-D_COAHAR_X0</v>
      </c>
      <c r="AD61" s="914" t="str">
        <f t="shared" si="37"/>
        <v>Residential Space Heating Apartment-D_Anthracite + Manufactured Ovoids to Residential_Existing 00</v>
      </c>
      <c r="AE61" s="914" t="s">
        <v>53</v>
      </c>
      <c r="AF61" s="914" t="s">
        <v>406</v>
      </c>
      <c r="AG61" s="914"/>
      <c r="AH61" s="914"/>
      <c r="AI61" s="840"/>
      <c r="AJ61" s="840"/>
      <c r="AK61" s="840"/>
      <c r="AL61" s="840"/>
      <c r="AM61" s="840"/>
      <c r="AN61" s="840"/>
    </row>
    <row r="62" spans="1:40">
      <c r="A62" s="758" t="s">
        <v>118</v>
      </c>
      <c r="B62" s="758" t="s">
        <v>666</v>
      </c>
      <c r="C62" s="758">
        <f>SUMIFS(INDEX(Table7[],,MATCH(C$6,Table7[#Headers],0)),Table7[MainSpaceHeatingFuel],$B62,Table7[EnergyRating (group)],$A62)</f>
        <v>55587</v>
      </c>
      <c r="D62" s="758">
        <f>SUMIFS(INDEX(Table7[],,MATCH(D$6,Table7[#Headers],0)),Table7[MainSpaceHeatingFuel],$B62,Table7[EnergyRating (group)],$A62)</f>
        <v>50534</v>
      </c>
      <c r="E62" s="759">
        <f>SUMIFS(INDEX(Table7[],,MATCH(E$6,Table7[#Headers],0)),Table7[MainSpaceHeatingFuel],$B62,Table7[EnergyRating (group)],$A62)</f>
        <v>10405</v>
      </c>
      <c r="F62" s="759">
        <f>SUMIFS(INDEX(Table7[],,MATCH(F$6,Table7[#Headers],0)),Table7[MainSpaceHeatingFuel],$B62,Table7[EnergyRating (group)],$A62)</f>
        <v>6537</v>
      </c>
      <c r="G62" s="758">
        <f>SUMIFS(INDEX(Table7[],,MATCH(G$6,Table7[#Headers],0)),Table7[MainSpaceHeatingFuel],$B62,Table7[EnergyRating (group)],$A62)</f>
        <v>5</v>
      </c>
      <c r="H62" s="758">
        <f>SUMIFS(INDEX(Table7[],,MATCH(H$6,Table7[#Headers],0)),Table7[MainSpaceHeatingFuel],$B62,Table7[EnergyRating (group)],$A62)</f>
        <v>402</v>
      </c>
      <c r="I62" s="911">
        <f>AVERAGEIFS(INDEX(Table7[],,MATCH(I$6,Table7[#Headers],0)),Table7[MainSpaceHeatingFuel],$B62,Table7[EnergyRating (group)],$A62)</f>
        <v>45</v>
      </c>
      <c r="J62" s="849">
        <f>SUMIFS(INDEX(Table7[],,MATCH(J$6,Table7[#Headers],0)),Table7[MainSpaceHeatingFuel],$B62,Table7[EnergyRating (group)],$A62)</f>
        <v>110388</v>
      </c>
      <c r="K62" s="849">
        <f>SUMIFS(INDEX(Table7[],,MATCH(K$6,Table7[#Headers],0)),Table7[MainSpaceHeatingFuel],$B62,Table7[EnergyRating (group)],$A62)</f>
        <v>88146</v>
      </c>
      <c r="M62" s="840"/>
      <c r="N62" s="933" t="str">
        <f>RSD_Commodities!$M$14&amp;"_"&amp;RIGHT(P62,LEN(P62)-3)&amp;"_"&amp;SETUP!$B$67</f>
        <v>SH_Apt-D_COABIT_X0</v>
      </c>
      <c r="O62" s="933" t="str">
        <f>RSD_Commodities!$N$14&amp;"_"&amp;RSD_Commodities!D6&amp;"_"&amp;SETUP!$C$67</f>
        <v>Residential Space Heating Apartment-D_Bituminous Coal to Residential_Existing 00</v>
      </c>
      <c r="P62" s="935" t="str">
        <f>RSD_Commodities!$C$6</f>
        <v>RSDCOABIT</v>
      </c>
      <c r="Q62" s="935" t="str">
        <f>RSD_Commodities!$M$14</f>
        <v>SH_Apt-D</v>
      </c>
      <c r="R62" s="936">
        <f t="shared" si="33"/>
        <v>1.6139965783272539E-4</v>
      </c>
      <c r="S62" s="937">
        <f>R62*DwellingStocks!$I$67/1000</f>
        <v>7.6646969887269245E-3</v>
      </c>
      <c r="T62" s="933">
        <v>1</v>
      </c>
      <c r="U62" s="933">
        <f t="shared" si="20"/>
        <v>0.45</v>
      </c>
      <c r="V62" s="935">
        <v>20</v>
      </c>
      <c r="W62" s="935">
        <v>1</v>
      </c>
      <c r="X62" s="840"/>
      <c r="Y62" s="922">
        <f t="shared" si="38"/>
        <v>1.7976654322341141E-7</v>
      </c>
      <c r="Z62" s="923">
        <f t="shared" si="39"/>
        <v>2.0786658233427423E-7</v>
      </c>
      <c r="AA62" s="840"/>
      <c r="AB62" s="933" t="s">
        <v>393</v>
      </c>
      <c r="AC62" s="933" t="str">
        <f t="shared" si="36"/>
        <v>SH_Apt-D_COABIT_X0</v>
      </c>
      <c r="AD62" s="933" t="str">
        <f t="shared" si="37"/>
        <v>Residential Space Heating Apartment-D_Bituminous Coal to Residential_Existing 00</v>
      </c>
      <c r="AE62" s="933" t="s">
        <v>53</v>
      </c>
      <c r="AF62" s="933" t="s">
        <v>406</v>
      </c>
      <c r="AG62" s="933"/>
      <c r="AH62" s="933"/>
      <c r="AI62" s="840"/>
      <c r="AJ62" s="840"/>
      <c r="AK62" s="840"/>
      <c r="AL62" s="840"/>
      <c r="AM62" s="840"/>
      <c r="AN62" s="840"/>
    </row>
    <row r="63" spans="1:40">
      <c r="A63" s="757" t="s">
        <v>118</v>
      </c>
      <c r="B63" s="757" t="s">
        <v>667</v>
      </c>
      <c r="C63" s="757">
        <f>SUMIFS(INDEX(Table7[],,MATCH(C$6,Table7[#Headers],0)),Table7[MainSpaceHeatingFuel],$B63,Table7[EnergyRating (group)],$A63)</f>
        <v>11041</v>
      </c>
      <c r="D63" s="757">
        <f>SUMIFS(INDEX(Table7[],,MATCH(D$6,Table7[#Headers],0)),Table7[MainSpaceHeatingFuel],$B63,Table7[EnergyRating (group)],$A63)</f>
        <v>10038</v>
      </c>
      <c r="E63" s="760">
        <f>SUMIFS(INDEX(Table7[],,MATCH(E$6,Table7[#Headers],0)),Table7[MainSpaceHeatingFuel],$B63,Table7[EnergyRating (group)],$A63)</f>
        <v>404</v>
      </c>
      <c r="F63" s="760">
        <f>SUMIFS(INDEX(Table7[],,MATCH(F$6,Table7[#Headers],0)),Table7[MainSpaceHeatingFuel],$B63,Table7[EnergyRating (group)],$A63)</f>
        <v>150</v>
      </c>
      <c r="G63" s="757">
        <f>SUMIFS(INDEX(Table7[],,MATCH(G$6,Table7[#Headers],0)),Table7[MainSpaceHeatingFuel],$B63,Table7[EnergyRating (group)],$A63)</f>
        <v>2</v>
      </c>
      <c r="H63" s="757">
        <f>SUMIFS(INDEX(Table7[],,MATCH(H$6,Table7[#Headers],0)),Table7[MainSpaceHeatingFuel],$B63,Table7[EnergyRating (group)],$A63)</f>
        <v>96</v>
      </c>
      <c r="I63" s="912">
        <f>AVERAGEIFS(INDEX(Table7[],,MATCH(I$6,Table7[#Headers],0)),Table7[MainSpaceHeatingFuel],$B63,Table7[EnergyRating (group)],$A63)</f>
        <v>45</v>
      </c>
      <c r="J63" s="847">
        <f>SUMIFS(INDEX(Table7[],,MATCH(J$6,Table7[#Headers],0)),Table7[MainSpaceHeatingFuel],$B63,Table7[EnergyRating (group)],$A63)</f>
        <v>24583</v>
      </c>
      <c r="K63" s="847">
        <f>SUMIFS(INDEX(Table7[],,MATCH(K$6,Table7[#Headers],0)),Table7[MainSpaceHeatingFuel],$B63,Table7[EnergyRating (group)],$A63)</f>
        <v>15054</v>
      </c>
      <c r="M63" s="840"/>
      <c r="N63" s="914" t="str">
        <f>RSD_Commodities!$M$14&amp;"_"&amp;RIGHT(P63,LEN(P63)-3)&amp;"_"&amp;SETUP!$B$68</f>
        <v>SH_Apt-D_PEA_X1</v>
      </c>
      <c r="O63" s="914" t="str">
        <f>RSD_Commodities!$N$14&amp;"_"&amp;RSD_Commodities!D10&amp;"_"&amp;SETUP!$C$68</f>
        <v>Residential Space Heating Apartment-D_Peat to Residential_Existing 01</v>
      </c>
      <c r="P63" s="930" t="str">
        <f>RSD_Commodities!$C$10</f>
        <v>RSDPEA</v>
      </c>
      <c r="Q63" s="930" t="str">
        <f>RSD_Commodities!$M$14</f>
        <v>SH_Apt-D</v>
      </c>
      <c r="R63" s="931">
        <f t="shared" si="33"/>
        <v>6.4559863133090164E-5</v>
      </c>
      <c r="S63" s="932">
        <f>R63*DwellingStocks!$I$67/1000</f>
        <v>3.0658787954907702E-3</v>
      </c>
      <c r="T63" s="914">
        <v>1</v>
      </c>
      <c r="U63" s="914">
        <f t="shared" si="20"/>
        <v>0.45</v>
      </c>
      <c r="V63" s="930">
        <v>20</v>
      </c>
      <c r="W63" s="930">
        <v>1</v>
      </c>
      <c r="X63" s="840"/>
      <c r="Y63" s="920">
        <f t="shared" si="38"/>
        <v>1.2836372534983549E-8</v>
      </c>
      <c r="Z63" s="921">
        <f t="shared" si="39"/>
        <v>1.4420129923722686E-8</v>
      </c>
      <c r="AA63" s="840"/>
      <c r="AB63" s="914" t="s">
        <v>393</v>
      </c>
      <c r="AC63" s="914" t="str">
        <f t="shared" si="36"/>
        <v>SH_Apt-D_PEA_X1</v>
      </c>
      <c r="AD63" s="914" t="str">
        <f t="shared" ref="AD63:AD64" si="40">O63</f>
        <v>Residential Space Heating Apartment-D_Peat to Residential_Existing 01</v>
      </c>
      <c r="AE63" s="914" t="s">
        <v>53</v>
      </c>
      <c r="AF63" s="914" t="s">
        <v>406</v>
      </c>
      <c r="AG63" s="914"/>
      <c r="AH63" s="914"/>
      <c r="AI63" s="840"/>
      <c r="AJ63" s="840"/>
      <c r="AK63" s="840"/>
      <c r="AL63" s="840"/>
      <c r="AM63" s="840"/>
      <c r="AN63" s="840"/>
    </row>
    <row r="64" spans="1:40" ht="15.75" thickBot="1">
      <c r="A64" s="758" t="s">
        <v>118</v>
      </c>
      <c r="B64" s="758" t="s">
        <v>673</v>
      </c>
      <c r="C64" s="758">
        <f>SUMIFS(INDEX(Table7[],,MATCH(C$6,Table7[#Headers],0)),Table7[MainSpaceHeatingFuel],$B64,Table7[EnergyRating (group)],$A64)</f>
        <v>5533</v>
      </c>
      <c r="D64" s="758">
        <f>SUMIFS(INDEX(Table7[],,MATCH(D$6,Table7[#Headers],0)),Table7[MainSpaceHeatingFuel],$B64,Table7[EnergyRating (group)],$A64)</f>
        <v>5030</v>
      </c>
      <c r="E64" s="759">
        <f>SUMIFS(INDEX(Table7[],,MATCH(E$6,Table7[#Headers],0)),Table7[MainSpaceHeatingFuel],$B64,Table7[EnergyRating (group)],$A64)</f>
        <v>981</v>
      </c>
      <c r="F64" s="759">
        <f>SUMIFS(INDEX(Table7[],,MATCH(F$6,Table7[#Headers],0)),Table7[MainSpaceHeatingFuel],$B64,Table7[EnergyRating (group)],$A64)</f>
        <v>363</v>
      </c>
      <c r="G64" s="758">
        <f>SUMIFS(INDEX(Table7[],,MATCH(G$6,Table7[#Headers],0)),Table7[MainSpaceHeatingFuel],$B64,Table7[EnergyRating (group)],$A64)</f>
        <v>1</v>
      </c>
      <c r="H64" s="758">
        <f>SUMIFS(INDEX(Table7[],,MATCH(H$6,Table7[#Headers],0)),Table7[MainSpaceHeatingFuel],$B64,Table7[EnergyRating (group)],$A64)</f>
        <v>45</v>
      </c>
      <c r="I64" s="911">
        <f>AVERAGEIFS(INDEX(Table7[],,MATCH(I$6,Table7[#Headers],0)),Table7[MainSpaceHeatingFuel],$B64,Table7[EnergyRating (group)],$A64)</f>
        <v>65</v>
      </c>
      <c r="J64" s="849">
        <f>SUMIFS(INDEX(Table7[],,MATCH(J$6,Table7[#Headers],0)),Table7[MainSpaceHeatingFuel],$B64,Table7[EnergyRating (group)],$A64)</f>
        <v>11897</v>
      </c>
      <c r="K64" s="849">
        <f>SUMIFS(INDEX(Table7[],,MATCH(K$6,Table7[#Headers],0)),Table7[MainSpaceHeatingFuel],$B64,Table7[EnergyRating (group)],$A64)</f>
        <v>8905</v>
      </c>
      <c r="M64" s="840"/>
      <c r="N64" s="933" t="str">
        <f>RSD_Commodities!$M$14&amp;"_"&amp;RIGHT(P64,LEN(P64)-3)&amp;"_"&amp;SETUP!$B$68</f>
        <v>SH_Apt-D_BIOWOO_X1</v>
      </c>
      <c r="O64" s="933" t="str">
        <f>RSD_Commodities!$N$14&amp;"_"&amp;RSD_Commodities!D19&amp;"_"&amp;SETUP!$C$68</f>
        <v>Residential Space Heating Apartment-D_Biomass &amp; Renewable Waste to Residential_Existing 01</v>
      </c>
      <c r="P64" s="935" t="str">
        <f>RSD_Commodities!$C$19</f>
        <v>RSDBIOWOO</v>
      </c>
      <c r="Q64" s="935" t="str">
        <f>RSD_Commodities!$M$14</f>
        <v>SH_Apt-D</v>
      </c>
      <c r="R64" s="936">
        <f t="shared" si="33"/>
        <v>3.2279931566545082E-5</v>
      </c>
      <c r="S64" s="937">
        <f>R64*DwellingStocks!$I$67/1000</f>
        <v>1.5329393977453851E-3</v>
      </c>
      <c r="T64" s="933">
        <v>1</v>
      </c>
      <c r="U64" s="933">
        <f t="shared" si="20"/>
        <v>0.65</v>
      </c>
      <c r="V64" s="935">
        <v>20</v>
      </c>
      <c r="W64" s="935">
        <v>1</v>
      </c>
      <c r="X64" s="840"/>
      <c r="Y64" s="922">
        <f t="shared" si="38"/>
        <v>3.3974556871400805E-9</v>
      </c>
      <c r="Z64" s="923">
        <f t="shared" si="39"/>
        <v>4.1036577685945635E-9</v>
      </c>
      <c r="AA64" s="840"/>
      <c r="AB64" s="933" t="s">
        <v>393</v>
      </c>
      <c r="AC64" s="933" t="str">
        <f t="shared" si="36"/>
        <v>SH_Apt-D_BIOWOO_X1</v>
      </c>
      <c r="AD64" s="933" t="str">
        <f t="shared" si="40"/>
        <v>Residential Space Heating Apartment-D_Biomass &amp; Renewable Waste to Residential_Existing 01</v>
      </c>
      <c r="AE64" s="933" t="s">
        <v>53</v>
      </c>
      <c r="AF64" s="933" t="s">
        <v>406</v>
      </c>
      <c r="AG64" s="933"/>
      <c r="AH64" s="933"/>
      <c r="AI64" s="840"/>
      <c r="AJ64" s="840"/>
      <c r="AK64" s="840"/>
      <c r="AL64" s="840"/>
      <c r="AM64" s="840"/>
      <c r="AN64" s="840"/>
    </row>
    <row r="65" spans="1:40" ht="15.75" thickBot="1">
      <c r="A65" s="756" t="s">
        <v>120</v>
      </c>
      <c r="B65" s="1048"/>
      <c r="C65" s="1049"/>
      <c r="D65" s="1049"/>
      <c r="E65" s="1049"/>
      <c r="F65" s="1049"/>
      <c r="G65" s="1049"/>
      <c r="H65" s="1049"/>
      <c r="I65" s="1053"/>
      <c r="J65" s="736" t="s">
        <v>565</v>
      </c>
      <c r="K65" s="737" t="s">
        <v>565</v>
      </c>
      <c r="M65" s="840"/>
      <c r="N65" s="76" t="str">
        <f>"*"&amp;AB65</f>
        <v>*E Rating</v>
      </c>
      <c r="O65" s="76"/>
      <c r="P65" s="76"/>
      <c r="Q65" s="76"/>
      <c r="R65" s="949">
        <f>SUM(R66:R78)</f>
        <v>1</v>
      </c>
      <c r="S65" s="76"/>
      <c r="T65" s="97"/>
      <c r="U65" s="76"/>
      <c r="V65" s="76"/>
      <c r="W65" s="76"/>
      <c r="X65" s="840"/>
      <c r="Y65" s="76"/>
      <c r="Z65" s="76"/>
      <c r="AA65" s="840"/>
      <c r="AB65" s="140" t="str">
        <f>A66 &amp; " Rating"</f>
        <v>E Rating</v>
      </c>
      <c r="AC65" s="141"/>
      <c r="AD65" s="141"/>
      <c r="AE65" s="141"/>
      <c r="AF65" s="141"/>
      <c r="AG65" s="141"/>
      <c r="AH65" s="141"/>
      <c r="AI65" s="840"/>
      <c r="AJ65" s="840"/>
      <c r="AK65" s="840"/>
      <c r="AL65" s="840"/>
      <c r="AM65" s="840"/>
      <c r="AN65" s="840"/>
    </row>
    <row r="66" spans="1:40">
      <c r="A66" s="758" t="s">
        <v>120</v>
      </c>
      <c r="B66" s="758" t="s">
        <v>582</v>
      </c>
      <c r="C66" s="758">
        <f>SUMIFS(INDEX(Table7[],,MATCH(C$6,Table7[#Headers],0)),Table7[MainSpaceHeatingFuel],$B66,Table7[EnergyRating (group)],$A66)</f>
        <v>572239</v>
      </c>
      <c r="D66" s="758">
        <f>SUMIFS(INDEX(Table7[],,MATCH(D$6,Table7[#Headers],0)),Table7[MainSpaceHeatingFuel],$B66,Table7[EnergyRating (group)],$A66)</f>
        <v>520217</v>
      </c>
      <c r="E66" s="759">
        <f>SUMIFS(INDEX(Table7[],,MATCH(E$6,Table7[#Headers],0)),Table7[MainSpaceHeatingFuel],$B66,Table7[EnergyRating (group)],$A66)</f>
        <v>53368</v>
      </c>
      <c r="F66" s="759">
        <f>SUMIFS(INDEX(Table7[],,MATCH(F$6,Table7[#Headers],0)),Table7[MainSpaceHeatingFuel],$B66,Table7[EnergyRating (group)],$A66)</f>
        <v>47478</v>
      </c>
      <c r="G66" s="758">
        <f>SUMIFS(INDEX(Table7[],,MATCH(G$6,Table7[#Headers],0)),Table7[MainSpaceHeatingFuel],$B66,Table7[EnergyRating (group)],$A66)</f>
        <v>42</v>
      </c>
      <c r="H66" s="758">
        <f>SUMIFS(INDEX(Table7[],,MATCH(H$6,Table7[#Headers],0)),Table7[MainSpaceHeatingFuel],$B66,Table7[EnergyRating (group)],$A66)</f>
        <v>2544</v>
      </c>
      <c r="I66" s="911">
        <f>AVERAGEIFS(INDEX(Table7[],,MATCH(I$6,Table7[#Headers],0)),Table7[MainSpaceHeatingFuel],$B66,Table7[EnergyRating (group)],$A66)</f>
        <v>81</v>
      </c>
      <c r="J66" s="849">
        <f>SUMIFS(INDEX(Table7[],,MATCH(J$6,Table7[#Headers],0)),Table7[MainSpaceHeatingFuel],$B66,Table7[EnergyRating (group)],$A66)</f>
        <v>854634</v>
      </c>
      <c r="K66" s="849">
        <f>SUMIFS(INDEX(Table7[],,MATCH(K$6,Table7[#Headers],0)),Table7[MainSpaceHeatingFuel],$B66,Table7[EnergyRating (group)],$A66)</f>
        <v>719817</v>
      </c>
      <c r="M66" s="840"/>
      <c r="N66" s="933" t="str">
        <f>RSD_Commodities!$M$15&amp;"_"&amp;RIGHT(P66,LEN(P66)-3)&amp;"_"&amp;SETUP!$B$67</f>
        <v>SH_Apt-E_OILLPG_X0</v>
      </c>
      <c r="O66" s="933" t="str">
        <f>RSD_Commodities!$N$15&amp;"_"&amp;RSD_Commodities!D11&amp;"_"&amp;SETUP!$C$67</f>
        <v>Residential Space Heating Apartment-E_LPG to Residential_Existing 00</v>
      </c>
      <c r="P66" s="934" t="str">
        <f>RSD_Commodities!$C$11</f>
        <v>RSDOILLPG</v>
      </c>
      <c r="Q66" s="935" t="str">
        <f>RSD_Commodities!$M$15</f>
        <v>SH_Apt-E</v>
      </c>
      <c r="R66" s="936">
        <f>G66/SUM($G$66:$G$78)</f>
        <v>2.6931708881051618E-3</v>
      </c>
      <c r="S66" s="937">
        <f>R66*DwellingStocks!$I$68/1000</f>
        <v>6.4069698264398386E-2</v>
      </c>
      <c r="T66" s="933">
        <v>1</v>
      </c>
      <c r="U66" s="933">
        <f t="shared" si="20"/>
        <v>0.81</v>
      </c>
      <c r="V66" s="935">
        <v>20</v>
      </c>
      <c r="W66" s="935">
        <v>1</v>
      </c>
      <c r="X66" s="840"/>
      <c r="Y66" s="918">
        <f>ABS((D66+F66)*S66*1000*$B$2)</f>
        <v>1.4947416721729172E-5</v>
      </c>
      <c r="Z66" s="919">
        <f>ABS((C66+E66)*S66*1000*$B$2)</f>
        <v>1.6472240433737872E-5</v>
      </c>
      <c r="AA66" s="840"/>
      <c r="AB66" s="933" t="s">
        <v>393</v>
      </c>
      <c r="AC66" s="933" t="str">
        <f>N66</f>
        <v>SH_Apt-E_OILLPG_X0</v>
      </c>
      <c r="AD66" s="933" t="str">
        <f>O66</f>
        <v>Residential Space Heating Apartment-E_LPG to Residential_Existing 00</v>
      </c>
      <c r="AE66" s="933" t="s">
        <v>53</v>
      </c>
      <c r="AF66" s="933" t="s">
        <v>406</v>
      </c>
      <c r="AG66" s="933"/>
      <c r="AH66" s="933"/>
      <c r="AI66" s="840"/>
      <c r="AJ66" s="840"/>
      <c r="AK66" s="840"/>
      <c r="AL66" s="840"/>
      <c r="AM66" s="840"/>
      <c r="AN66" s="840"/>
    </row>
    <row r="67" spans="1:40">
      <c r="A67" s="757" t="s">
        <v>120</v>
      </c>
      <c r="B67" s="757" t="s">
        <v>228</v>
      </c>
      <c r="C67" s="757">
        <f>SUMIFS(INDEX(Table7[],,MATCH(C$6,Table7[#Headers],0)),Table7[MainSpaceHeatingFuel],$B67,Table7[EnergyRating (group)],$A67)</f>
        <v>144014311</v>
      </c>
      <c r="D67" s="757">
        <f>SUMIFS(INDEX(Table7[],,MATCH(D$6,Table7[#Headers],0)),Table7[MainSpaceHeatingFuel],$B67,Table7[EnergyRating (group)],$A67)</f>
        <v>53338633</v>
      </c>
      <c r="E67" s="757">
        <f>SUMIFS(INDEX(Table7[],,MATCH(E$6,Table7[#Headers],0)),Table7[MainSpaceHeatingFuel],$B67,Table7[EnergyRating (group)],$A67)</f>
        <v>16773230</v>
      </c>
      <c r="F67" s="757">
        <f>SUMIFS(INDEX(Table7[],,MATCH(F$6,Table7[#Headers],0)),Table7[MainSpaceHeatingFuel],$B67,Table7[EnergyRating (group)],$A67)</f>
        <v>11568157</v>
      </c>
      <c r="G67" s="757">
        <f>SUMIFS(INDEX(Table7[],,MATCH(G$6,Table7[#Headers],0)),Table7[MainSpaceHeatingFuel],$B67,Table7[EnergyRating (group)],$A67)</f>
        <v>12740</v>
      </c>
      <c r="H67" s="757">
        <f>SUMIFS(INDEX(Table7[],,MATCH(H$6,Table7[#Headers],0)),Table7[MainSpaceHeatingFuel],$B67,Table7[EnergyRating (group)],$A67)</f>
        <v>747875</v>
      </c>
      <c r="I67" s="912">
        <f>AVERAGEIFS(INDEX(Table7[],,MATCH(I$6,Table7[#Headers],0)),Table7[MainSpaceHeatingFuel],$B67,Table7[EnergyRating (group)],$A67)</f>
        <v>100</v>
      </c>
      <c r="J67" s="847">
        <f>SUMIFS(INDEX(Table7[],,MATCH(J$6,Table7[#Headers],0)),Table7[MainSpaceHeatingFuel],$B67,Table7[EnergyRating (group)],$A67)</f>
        <v>251886348</v>
      </c>
      <c r="K67" s="847">
        <f>SUMIFS(INDEX(Table7[],,MATCH(K$6,Table7[#Headers],0)),Table7[MainSpaceHeatingFuel],$B67,Table7[EnergyRating (group)],$A67)</f>
        <v>98695689</v>
      </c>
      <c r="M67" s="840"/>
      <c r="N67" s="914" t="str">
        <f>RSD_Commodities!$M$15&amp;"_"&amp;RIGHT(P67,LEN(P67)-3)&amp;"_"&amp;SETUP!$B$67</f>
        <v>SH_Apt-E_ELCD_X0</v>
      </c>
      <c r="O67" s="914" t="str">
        <f>RSD_Commodities!$N$15&amp;"_"&amp;RSD_Commodities!D27&amp;"_"&amp;SETUP!$C$67</f>
        <v>Residential Space Heating Apartment-E_Electricity to Residential_Existing 00</v>
      </c>
      <c r="P67" s="930" t="str">
        <f>RSD_Commodities!$C$27</f>
        <v>RSDELCD</v>
      </c>
      <c r="Q67" s="930" t="str">
        <f>RSD_Commodities!$M$15</f>
        <v>SH_Apt-E</v>
      </c>
      <c r="R67" s="931">
        <f t="shared" ref="R67:R78" si="41">G67/SUM($G$66:$G$78)</f>
        <v>0.81692850272523243</v>
      </c>
      <c r="S67" s="932">
        <f>R67*DwellingStocks!$I$68/1000</f>
        <v>19.434475140200842</v>
      </c>
      <c r="T67" s="914">
        <v>1</v>
      </c>
      <c r="U67" s="914">
        <f t="shared" si="20"/>
        <v>1</v>
      </c>
      <c r="V67" s="930">
        <v>20</v>
      </c>
      <c r="W67" s="930">
        <v>1</v>
      </c>
      <c r="X67" s="840"/>
      <c r="Y67" s="920">
        <f t="shared" ref="Y67:Y74" si="42">ABS((D67+F67)*S67*1000*$B$2)</f>
        <v>0.51839564247338499</v>
      </c>
      <c r="Z67" s="921">
        <f t="shared" ref="Z67:Z74" si="43">ABS((C67+E67)*S67*1000*$B$2)</f>
        <v>1.2841732061993936</v>
      </c>
      <c r="AA67" s="840"/>
      <c r="AB67" s="914" t="s">
        <v>393</v>
      </c>
      <c r="AC67" s="914" t="str">
        <f t="shared" ref="AC67:AC78" si="44">N67</f>
        <v>SH_Apt-E_ELCD_X0</v>
      </c>
      <c r="AD67" s="914" t="str">
        <f t="shared" ref="AD67:AD78" si="45">O67</f>
        <v>Residential Space Heating Apartment-E_Electricity to Residential_Existing 00</v>
      </c>
      <c r="AE67" s="914" t="s">
        <v>53</v>
      </c>
      <c r="AF67" s="914" t="s">
        <v>406</v>
      </c>
      <c r="AG67" s="914"/>
      <c r="AH67" s="914"/>
      <c r="AI67" s="840"/>
      <c r="AJ67" s="840"/>
      <c r="AK67" s="840"/>
      <c r="AL67" s="840"/>
      <c r="AM67" s="840"/>
      <c r="AN67" s="840"/>
    </row>
    <row r="68" spans="1:40">
      <c r="A68" s="758" t="s">
        <v>120</v>
      </c>
      <c r="B68" s="758" t="s">
        <v>583</v>
      </c>
      <c r="C68" s="758">
        <f>SUMIFS(INDEX(Table7[],,MATCH(C$6,Table7[#Headers],0)),Table7[MainSpaceHeatingFuel],$B68,Table7[EnergyRating (group)],$A68)</f>
        <v>9769600</v>
      </c>
      <c r="D68" s="758">
        <f>SUMIFS(INDEX(Table7[],,MATCH(D$6,Table7[#Headers],0)),Table7[MainSpaceHeatingFuel],$B68,Table7[EnergyRating (group)],$A68)</f>
        <v>8881454</v>
      </c>
      <c r="E68" s="759">
        <f>SUMIFS(INDEX(Table7[],,MATCH(E$6,Table7[#Headers],0)),Table7[MainSpaceHeatingFuel],$B68,Table7[EnergyRating (group)],$A68)</f>
        <v>1682969</v>
      </c>
      <c r="F68" s="759">
        <f>SUMIFS(INDEX(Table7[],,MATCH(F$6,Table7[#Headers],0)),Table7[MainSpaceHeatingFuel],$B68,Table7[EnergyRating (group)],$A68)</f>
        <v>1431282</v>
      </c>
      <c r="G68" s="758">
        <f>SUMIFS(INDEX(Table7[],,MATCH(G$6,Table7[#Headers],0)),Table7[MainSpaceHeatingFuel],$B68,Table7[EnergyRating (group)],$A68)</f>
        <v>518</v>
      </c>
      <c r="H68" s="758">
        <f>SUMIFS(INDEX(Table7[],,MATCH(H$6,Table7[#Headers],0)),Table7[MainSpaceHeatingFuel],$B68,Table7[EnergyRating (group)],$A68)</f>
        <v>46609</v>
      </c>
      <c r="I68" s="911">
        <f>AVERAGEIFS(INDEX(Table7[],,MATCH(I$6,Table7[#Headers],0)),Table7[MainSpaceHeatingFuel],$B68,Table7[EnergyRating (group)],$A68)</f>
        <v>78.2</v>
      </c>
      <c r="J68" s="849">
        <f>SUMIFS(INDEX(Table7[],,MATCH(J$6,Table7[#Headers],0)),Table7[MainSpaceHeatingFuel],$B68,Table7[EnergyRating (group)],$A68)</f>
        <v>15899372</v>
      </c>
      <c r="K68" s="849">
        <f>SUMIFS(INDEX(Table7[],,MATCH(K$6,Table7[#Headers],0)),Table7[MainSpaceHeatingFuel],$B68,Table7[EnergyRating (group)],$A68)</f>
        <v>13129797</v>
      </c>
      <c r="M68" s="840"/>
      <c r="N68" s="933" t="str">
        <f>RSD_Commodities!$M$15&amp;"_"&amp;RIGHT(P68,LEN(P68)-3)&amp;"_"&amp;SETUP!$B$67</f>
        <v>SH_Apt-E_OILKER_X0</v>
      </c>
      <c r="O68" s="933" t="str">
        <f>RSD_Commodities!$N$15&amp;"_"&amp;RSD_Commodities!D13&amp;"_"&amp;SETUP!$C$67</f>
        <v>Residential Space Heating Apartment-E_Kerosene to Residential_Existing 00</v>
      </c>
      <c r="P68" s="935" t="str">
        <f>RSD_Commodities!$C$13</f>
        <v>RSDOILKER</v>
      </c>
      <c r="Q68" s="935" t="str">
        <f>RSD_Commodities!$M$15</f>
        <v>SH_Apt-E</v>
      </c>
      <c r="R68" s="936">
        <f t="shared" si="41"/>
        <v>3.3215774286630327E-2</v>
      </c>
      <c r="S68" s="937">
        <f>R68*DwellingStocks!$I$68/1000</f>
        <v>0.79019294526091322</v>
      </c>
      <c r="T68" s="933">
        <v>1</v>
      </c>
      <c r="U68" s="933">
        <f t="shared" si="20"/>
        <v>0.78200000000000003</v>
      </c>
      <c r="V68" s="935">
        <v>20</v>
      </c>
      <c r="W68" s="935">
        <v>1</v>
      </c>
      <c r="X68" s="840"/>
      <c r="Y68" s="922">
        <f t="shared" si="42"/>
        <v>3.3489251644677745E-3</v>
      </c>
      <c r="Z68" s="923">
        <f t="shared" si="43"/>
        <v>3.7190709159919864E-3</v>
      </c>
      <c r="AA68" s="840"/>
      <c r="AB68" s="933" t="s">
        <v>393</v>
      </c>
      <c r="AC68" s="933" t="str">
        <f t="shared" si="44"/>
        <v>SH_Apt-E_OILKER_X0</v>
      </c>
      <c r="AD68" s="933" t="str">
        <f t="shared" si="45"/>
        <v>Residential Space Heating Apartment-E_Kerosene to Residential_Existing 00</v>
      </c>
      <c r="AE68" s="933" t="s">
        <v>53</v>
      </c>
      <c r="AF68" s="933" t="s">
        <v>406</v>
      </c>
      <c r="AG68" s="933"/>
      <c r="AH68" s="933"/>
      <c r="AI68" s="840"/>
      <c r="AJ68" s="840"/>
      <c r="AK68" s="840"/>
      <c r="AL68" s="840"/>
      <c r="AM68" s="840"/>
      <c r="AN68" s="840"/>
    </row>
    <row r="69" spans="1:40">
      <c r="A69" s="757" t="s">
        <v>120</v>
      </c>
      <c r="B69" s="757" t="s">
        <v>584</v>
      </c>
      <c r="C69" s="757">
        <f>SUMIFS(INDEX(Table7[],,MATCH(C$6,Table7[#Headers],0)),Table7[MainSpaceHeatingFuel],$B69,Table7[EnergyRating (group)],$A69)</f>
        <v>20840298</v>
      </c>
      <c r="D69" s="757">
        <f>SUMIFS(INDEX(Table7[],,MATCH(D$6,Table7[#Headers],0)),Table7[MainSpaceHeatingFuel],$B69,Table7[EnergyRating (group)],$A69)</f>
        <v>18945725</v>
      </c>
      <c r="E69" s="760">
        <f>SUMIFS(INDEX(Table7[],,MATCH(E$6,Table7[#Headers],0)),Table7[MainSpaceHeatingFuel],$B69,Table7[EnergyRating (group)],$A69)</f>
        <v>3619274</v>
      </c>
      <c r="F69" s="760">
        <f>SUMIFS(INDEX(Table7[],,MATCH(F$6,Table7[#Headers],0)),Table7[MainSpaceHeatingFuel],$B69,Table7[EnergyRating (group)],$A69)</f>
        <v>3002928</v>
      </c>
      <c r="G69" s="757">
        <f>SUMIFS(INDEX(Table7[],,MATCH(G$6,Table7[#Headers],0)),Table7[MainSpaceHeatingFuel],$B69,Table7[EnergyRating (group)],$A69)</f>
        <v>1816</v>
      </c>
      <c r="H69" s="757">
        <f>SUMIFS(INDEX(Table7[],,MATCH(H$6,Table7[#Headers],0)),Table7[MainSpaceHeatingFuel],$B69,Table7[EnergyRating (group)],$A69)</f>
        <v>108437</v>
      </c>
      <c r="I69" s="912">
        <f>AVERAGEIFS(INDEX(Table7[],,MATCH(I$6,Table7[#Headers],0)),Table7[MainSpaceHeatingFuel],$B69,Table7[EnergyRating (group)],$A69)</f>
        <v>80.333333333333329</v>
      </c>
      <c r="J69" s="847">
        <f>SUMIFS(INDEX(Table7[],,MATCH(J$6,Table7[#Headers],0)),Table7[MainSpaceHeatingFuel],$B69,Table7[EnergyRating (group)],$A69)</f>
        <v>36554567</v>
      </c>
      <c r="K69" s="847">
        <f>SUMIFS(INDEX(Table7[],,MATCH(K$6,Table7[#Headers],0)),Table7[MainSpaceHeatingFuel],$B69,Table7[EnergyRating (group)],$A69)</f>
        <v>30092325</v>
      </c>
      <c r="M69" s="840"/>
      <c r="N69" s="914" t="str">
        <f>RSD_Commodities!$M$15&amp;"_"&amp;RIGHT(P69,LEN(P69)-3)&amp;"_"&amp;SETUP!$B$67</f>
        <v>SH_Apt-E_GASNAT_X0</v>
      </c>
      <c r="O69" s="914" t="str">
        <f>RSD_Commodities!$N$15&amp;"_"&amp;RSD_Commodities!D17&amp;"_"&amp;SETUP!$C$67</f>
        <v>Residential Space Heating Apartment-E_Natural Gas to Residential_Existing 00</v>
      </c>
      <c r="P69" s="930" t="str">
        <f>RSD_Commodities!$C$17</f>
        <v>RSDGASNAT</v>
      </c>
      <c r="Q69" s="930" t="str">
        <f>RSD_Commodities!$M$15</f>
        <v>SH_Apt-E</v>
      </c>
      <c r="R69" s="931">
        <f t="shared" si="41"/>
        <v>0.11644757935235653</v>
      </c>
      <c r="S69" s="932">
        <f>R69*DwellingStocks!$I$68/1000</f>
        <v>2.7702517154320825</v>
      </c>
      <c r="T69" s="914">
        <v>1</v>
      </c>
      <c r="U69" s="916">
        <f t="shared" si="20"/>
        <v>0.80333333333333323</v>
      </c>
      <c r="V69" s="930">
        <v>20</v>
      </c>
      <c r="W69" s="930">
        <v>1</v>
      </c>
      <c r="X69" s="840"/>
      <c r="Y69" s="920">
        <f t="shared" si="42"/>
        <v>2.4987654914249396E-2</v>
      </c>
      <c r="Z69" s="921">
        <f t="shared" si="43"/>
        <v>2.7846234777425156E-2</v>
      </c>
      <c r="AA69" s="840"/>
      <c r="AB69" s="914" t="s">
        <v>393</v>
      </c>
      <c r="AC69" s="914" t="str">
        <f t="shared" si="44"/>
        <v>SH_Apt-E_GASNAT_X0</v>
      </c>
      <c r="AD69" s="914" t="str">
        <f t="shared" si="45"/>
        <v>Residential Space Heating Apartment-E_Natural Gas to Residential_Existing 00</v>
      </c>
      <c r="AE69" s="914" t="s">
        <v>53</v>
      </c>
      <c r="AF69" s="914" t="s">
        <v>406</v>
      </c>
      <c r="AG69" s="914"/>
      <c r="AH69" s="914"/>
      <c r="AI69" s="840"/>
      <c r="AJ69" s="840"/>
      <c r="AK69" s="840"/>
      <c r="AL69" s="840"/>
      <c r="AM69" s="840"/>
      <c r="AN69" s="840"/>
    </row>
    <row r="70" spans="1:40">
      <c r="A70" s="758" t="s">
        <v>120</v>
      </c>
      <c r="B70" s="758" t="s">
        <v>587</v>
      </c>
      <c r="C70" s="758">
        <f>SUMIFS(INDEX(Table7[],,MATCH(C$6,Table7[#Headers],0)),Table7[MainSpaceHeatingFuel],$B70,Table7[EnergyRating (group)],$A70)</f>
        <v>0</v>
      </c>
      <c r="D70" s="758">
        <f>SUMIFS(INDEX(Table7[],,MATCH(D$6,Table7[#Headers],0)),Table7[MainSpaceHeatingFuel],$B70,Table7[EnergyRating (group)],$A70)</f>
        <v>0</v>
      </c>
      <c r="E70" s="758">
        <f>SUMIFS(INDEX(Table7[],,MATCH(E$6,Table7[#Headers],0)),Table7[MainSpaceHeatingFuel],$B70,Table7[EnergyRating (group)],$A70)</f>
        <v>0</v>
      </c>
      <c r="F70" s="758">
        <f>SUMIFS(INDEX(Table7[],,MATCH(F$6,Table7[#Headers],0)),Table7[MainSpaceHeatingFuel],$B70,Table7[EnergyRating (group)],$A70)</f>
        <v>0</v>
      </c>
      <c r="G70" s="758">
        <f>SUMIFS(INDEX(Table7[],,MATCH(G$6,Table7[#Headers],0)),Table7[MainSpaceHeatingFuel],"",Table7[EnergyRating (group)],$A70)</f>
        <v>272</v>
      </c>
      <c r="H70" s="758">
        <f>SUMIFS(INDEX(Table7[],,MATCH(H$6,Table7[#Headers],0)),Table7[MainSpaceHeatingFuel],"",Table7[EnergyRating (group)],$A70)</f>
        <v>13228</v>
      </c>
      <c r="I70" s="944">
        <f>SUMIFS(INDEX(Table7[],,MATCH(I$6,Table7[#Headers],0)),Table7[MainSpaceHeatingFuel],"",Table7[EnergyRating (group)],$A70)</f>
        <v>0</v>
      </c>
      <c r="J70" s="849">
        <f>SUMIFS(INDEX(Table7[],,MATCH(J$6,Table7[#Headers],0)),Table7[MainSpaceHeatingFuel],"",Table7[EnergyRating (group)],$A70)</f>
        <v>388067</v>
      </c>
      <c r="K70" s="849">
        <f>SUMIFS(INDEX(Table7[],,MATCH(K$6,Table7[#Headers],0)),Table7[MainSpaceHeatingFuel],"",Table7[EnergyRating (group)],$A70)</f>
        <v>143728</v>
      </c>
      <c r="M70" s="840"/>
      <c r="N70" s="933" t="str">
        <f>RSD_Commodities!$M$15&amp;"_"&amp;RIGHT(P70,LEN(P70)-3)&amp;"_"&amp;SETUP!$B$67</f>
        <v>SH_Apt-E_HET_X0</v>
      </c>
      <c r="O70" s="933" t="str">
        <f>RSD_Commodities!$N$15&amp;"_"&amp;RSD_Commodities!D28&amp;"_"&amp;SETUP!$C$28</f>
        <v>Residential Space Heating Apartment-E_Heat to Residential_Solid Multi-Fuel</v>
      </c>
      <c r="P70" s="935" t="str">
        <f>RSD_Commodities!$C$28</f>
        <v>RSDHET</v>
      </c>
      <c r="Q70" s="935" t="str">
        <f>RSD_Commodities!$M$15</f>
        <v>SH_Apt-E</v>
      </c>
      <c r="R70" s="936">
        <f t="shared" si="41"/>
        <v>1.7441487656300096E-2</v>
      </c>
      <c r="S70" s="937">
        <f>R70*DwellingStocks!$I$68/1000</f>
        <v>0.41492756971229428</v>
      </c>
      <c r="T70" s="933">
        <v>1</v>
      </c>
      <c r="U70" s="917">
        <f>IF(I70=0, 1, I70)</f>
        <v>1</v>
      </c>
      <c r="V70" s="935">
        <v>20</v>
      </c>
      <c r="W70" s="935">
        <v>1</v>
      </c>
      <c r="X70" s="840"/>
      <c r="Y70" s="922">
        <f t="shared" si="42"/>
        <v>0</v>
      </c>
      <c r="Z70" s="923">
        <f t="shared" si="43"/>
        <v>0</v>
      </c>
      <c r="AA70" s="840"/>
      <c r="AB70" s="933" t="s">
        <v>393</v>
      </c>
      <c r="AC70" s="933" t="str">
        <f t="shared" si="44"/>
        <v>SH_Apt-E_HET_X0</v>
      </c>
      <c r="AD70" s="933" t="str">
        <f t="shared" si="45"/>
        <v>Residential Space Heating Apartment-E_Heat to Residential_Solid Multi-Fuel</v>
      </c>
      <c r="AE70" s="933" t="s">
        <v>53</v>
      </c>
      <c r="AF70" s="933" t="s">
        <v>406</v>
      </c>
      <c r="AG70" s="933"/>
      <c r="AH70" s="933"/>
      <c r="AI70" s="840"/>
      <c r="AJ70" s="840"/>
      <c r="AK70" s="840"/>
      <c r="AL70" s="840"/>
      <c r="AM70" s="840"/>
      <c r="AN70" s="840"/>
    </row>
    <row r="71" spans="1:40">
      <c r="A71" s="757" t="s">
        <v>120</v>
      </c>
      <c r="B71" s="757" t="s">
        <v>664</v>
      </c>
      <c r="C71" s="757">
        <f>SUMIFS(INDEX(Table7[],,MATCH(C$6,Table7[#Headers],0)),Table7[MainSpaceHeatingFuel],$B71,Table7[EnergyRating (group)],$A71)</f>
        <v>111891</v>
      </c>
      <c r="D71" s="757">
        <f>SUMIFS(INDEX(Table7[],,MATCH(D$6,Table7[#Headers],0)),Table7[MainSpaceHeatingFuel],$B71,Table7[EnergyRating (group)],$A71)</f>
        <v>101718</v>
      </c>
      <c r="E71" s="757">
        <f>SUMIFS(INDEX(Table7[],,MATCH(E$6,Table7[#Headers],0)),Table7[MainSpaceHeatingFuel],$B71,Table7[EnergyRating (group)],$A71)</f>
        <v>18377</v>
      </c>
      <c r="F71" s="757">
        <f>SUMIFS(INDEX(Table7[],,MATCH(F$6,Table7[#Headers],0)),Table7[MainSpaceHeatingFuel],$B71,Table7[EnergyRating (group)],$A71)</f>
        <v>16492</v>
      </c>
      <c r="G71" s="757">
        <f>SUMIFS(INDEX(Table7[],,MATCH(G$6,Table7[#Headers],0)),Table7[MainSpaceHeatingFuel],$B71,Table7[EnergyRating (group)],$A71)</f>
        <v>9</v>
      </c>
      <c r="H71" s="757">
        <f>SUMIFS(INDEX(Table7[],,MATCH(H$6,Table7[#Headers],0)),Table7[MainSpaceHeatingFuel],$B71,Table7[EnergyRating (group)],$A71)</f>
        <v>517</v>
      </c>
      <c r="I71" s="912">
        <f>AVERAGEIFS(INDEX(Table7[],,MATCH(I$6,Table7[#Headers],0)),Table7[MainSpaceHeatingFuel],$B71,Table7[EnergyRating (group)],$A71)</f>
        <v>80.333333333333329</v>
      </c>
      <c r="J71" s="847">
        <f>SUMIFS(INDEX(Table7[],,MATCH(J$6,Table7[#Headers],0)),Table7[MainSpaceHeatingFuel],$B71,Table7[EnergyRating (group)],$A71)</f>
        <v>179339</v>
      </c>
      <c r="K71" s="847">
        <f>SUMIFS(INDEX(Table7[],,MATCH(K$6,Table7[#Headers],0)),Table7[MainSpaceHeatingFuel],$B71,Table7[EnergyRating (group)],$A71)</f>
        <v>150490</v>
      </c>
      <c r="M71" s="840"/>
      <c r="N71" s="914" t="str">
        <f>RSD_Commodities!$M$15&amp;"_"&amp;RIGHT(P71,LEN(P71)-3)&amp;"_"&amp;SETUP!$B$68</f>
        <v>SH_Apt-E_OILLPG_X1</v>
      </c>
      <c r="O71" s="914" t="str">
        <f>RSD_Commodities!$N$15&amp;"_"&amp;RSD_Commodities!D11&amp;"_"&amp;SETUP!$C$68</f>
        <v>Residential Space Heating Apartment-E_LPG to Residential_Existing 01</v>
      </c>
      <c r="P71" s="930" t="str">
        <f>RSD_Commodities!$C$11</f>
        <v>RSDOILLPG</v>
      </c>
      <c r="Q71" s="930" t="str">
        <f>RSD_Commodities!$M$15</f>
        <v>SH_Apt-E</v>
      </c>
      <c r="R71" s="931">
        <f t="shared" si="41"/>
        <v>5.7710804745110609E-4</v>
      </c>
      <c r="S71" s="932">
        <f>R71*DwellingStocks!$I$68/1000</f>
        <v>1.3729221056656795E-2</v>
      </c>
      <c r="T71" s="914">
        <v>1</v>
      </c>
      <c r="U71" s="916">
        <f t="shared" si="20"/>
        <v>0.80333333333333323</v>
      </c>
      <c r="V71" s="930">
        <v>20</v>
      </c>
      <c r="W71" s="930">
        <v>1</v>
      </c>
      <c r="X71" s="840"/>
      <c r="Y71" s="920">
        <f t="shared" si="42"/>
        <v>6.6695803607153422E-7</v>
      </c>
      <c r="Z71" s="921">
        <f t="shared" si="43"/>
        <v>7.3499102819530178E-7</v>
      </c>
      <c r="AA71" s="840"/>
      <c r="AB71" s="914" t="s">
        <v>393</v>
      </c>
      <c r="AC71" s="914" t="str">
        <f t="shared" si="44"/>
        <v>SH_Apt-E_OILLPG_X1</v>
      </c>
      <c r="AD71" s="914" t="str">
        <f t="shared" si="45"/>
        <v>Residential Space Heating Apartment-E_LPG to Residential_Existing 01</v>
      </c>
      <c r="AE71" s="914" t="s">
        <v>53</v>
      </c>
      <c r="AF71" s="914" t="s">
        <v>406</v>
      </c>
      <c r="AG71" s="914"/>
      <c r="AH71" s="914"/>
      <c r="AI71" s="840"/>
      <c r="AJ71" s="840"/>
      <c r="AK71" s="840"/>
      <c r="AL71" s="840"/>
      <c r="AM71" s="840"/>
      <c r="AN71" s="840"/>
    </row>
    <row r="72" spans="1:40">
      <c r="A72" s="758" t="s">
        <v>120</v>
      </c>
      <c r="B72" s="758" t="s">
        <v>665</v>
      </c>
      <c r="C72" s="758">
        <f>SUMIFS(INDEX(Table7[],,MATCH(C$6,Table7[#Headers],0)),Table7[MainSpaceHeatingFuel],$B72,Table7[EnergyRating (group)],$A72)</f>
        <v>1348641</v>
      </c>
      <c r="D72" s="758">
        <f>SUMIFS(INDEX(Table7[],,MATCH(D$6,Table7[#Headers],0)),Table7[MainSpaceHeatingFuel],$B72,Table7[EnergyRating (group)],$A72)</f>
        <v>1226038</v>
      </c>
      <c r="E72" s="759">
        <f>SUMIFS(INDEX(Table7[],,MATCH(E$6,Table7[#Headers],0)),Table7[MainSpaceHeatingFuel],$B72,Table7[EnergyRating (group)],$A72)</f>
        <v>160972</v>
      </c>
      <c r="F72" s="759">
        <f>SUMIFS(INDEX(Table7[],,MATCH(F$6,Table7[#Headers],0)),Table7[MainSpaceHeatingFuel],$B72,Table7[EnergyRating (group)],$A72)</f>
        <v>118669</v>
      </c>
      <c r="G72" s="758">
        <f>SUMIFS(INDEX(Table7[],,MATCH(G$6,Table7[#Headers],0)),Table7[MainSpaceHeatingFuel],$B72,Table7[EnergyRating (group)],$A72)</f>
        <v>109</v>
      </c>
      <c r="H72" s="758">
        <f>SUMIFS(INDEX(Table7[],,MATCH(H$6,Table7[#Headers],0)),Table7[MainSpaceHeatingFuel],$B72,Table7[EnergyRating (group)],$A72)</f>
        <v>7394</v>
      </c>
      <c r="I72" s="950">
        <f>AVERAGEIFS(INDEX(Table7[],,MATCH(I$6,Table7[#Headers],0)),Table7[MainSpaceHeatingFuel],$B72,Table7[EnergyRating (group)],$A72)</f>
        <v>53.5</v>
      </c>
      <c r="J72" s="849">
        <f>SUMIFS(INDEX(Table7[],,MATCH(J$6,Table7[#Headers],0)),Table7[MainSpaceHeatingFuel],$B72,Table7[EnergyRating (group)],$A72)</f>
        <v>2458509</v>
      </c>
      <c r="K72" s="849">
        <f>SUMIFS(INDEX(Table7[],,MATCH(K$6,Table7[#Headers],0)),Table7[MainSpaceHeatingFuel],$B72,Table7[EnergyRating (group)],$A72)</f>
        <v>1971557</v>
      </c>
      <c r="M72" s="840"/>
      <c r="N72" s="933" t="str">
        <f>RSD_Commodities!$M$15&amp;"_"&amp;RSD_Commodities!$C$26&amp;"_"&amp;SETUP!$B$67</f>
        <v>SH_Apt-E_RSDSMF_X0</v>
      </c>
      <c r="O72" s="933" t="str">
        <f>RSD_Commodities!$N$15&amp;"_"&amp;RSD_Commodities!$D$26&amp;"_"&amp;SETUP!$C$67</f>
        <v>Residential Space Heating Apartment-E_Solid Multi-Fuel_Existing 00</v>
      </c>
      <c r="P72" s="935" t="str">
        <f>RSD_Commodities!$C$6&amp;","&amp;RSD_Commodities!$C$7&amp;","&amp;RSD_Commodities!$C$9&amp;","&amp;RSD_Commodities!$C$10&amp;","&amp;RSD_Commodities!$C$19</f>
        <v>RSDCOABIT,RSDCOAHAR,RSDCOALIG,RSDPEA,RSDBIOWOO</v>
      </c>
      <c r="Q72" s="935" t="str">
        <f>RSD_Commodities!$M$15</f>
        <v>SH_Apt-E</v>
      </c>
      <c r="R72" s="936">
        <f t="shared" si="41"/>
        <v>6.9894196857967295E-3</v>
      </c>
      <c r="S72" s="937">
        <f>R72*DwellingStocks!$I$68/1000</f>
        <v>0.16627612168617673</v>
      </c>
      <c r="T72" s="933">
        <v>1</v>
      </c>
      <c r="U72" s="933">
        <f t="shared" si="20"/>
        <v>0.53500000000000003</v>
      </c>
      <c r="V72" s="935">
        <v>20</v>
      </c>
      <c r="W72" s="935">
        <v>1</v>
      </c>
      <c r="X72" s="840"/>
      <c r="Y72" s="922">
        <f t="shared" si="42"/>
        <v>9.188739647846041E-5</v>
      </c>
      <c r="Z72" s="923">
        <f t="shared" si="43"/>
        <v>1.0315586091247987E-4</v>
      </c>
      <c r="AA72" s="840"/>
      <c r="AB72" s="933" t="s">
        <v>393</v>
      </c>
      <c r="AC72" s="933" t="str">
        <f t="shared" si="44"/>
        <v>SH_Apt-E_RSDSMF_X0</v>
      </c>
      <c r="AD72" s="933" t="str">
        <f t="shared" si="45"/>
        <v>Residential Space Heating Apartment-E_Solid Multi-Fuel_Existing 00</v>
      </c>
      <c r="AE72" s="933" t="s">
        <v>53</v>
      </c>
      <c r="AF72" s="933" t="s">
        <v>406</v>
      </c>
      <c r="AG72" s="933"/>
      <c r="AH72" s="933"/>
      <c r="AI72" s="840"/>
      <c r="AJ72" s="840"/>
      <c r="AK72" s="840"/>
      <c r="AL72" s="840"/>
      <c r="AM72" s="840"/>
      <c r="AN72" s="840"/>
    </row>
    <row r="73" spans="1:40">
      <c r="A73" s="757" t="s">
        <v>120</v>
      </c>
      <c r="B73" s="757" t="s">
        <v>669</v>
      </c>
      <c r="C73" s="757">
        <f>SUMIFS(INDEX(Table7[],,MATCH(C$6,Table7[#Headers],0)),Table7[MainSpaceHeatingFuel],$B73,Table7[EnergyRating (group)],$A73)</f>
        <v>620999</v>
      </c>
      <c r="D73" s="757">
        <f>SUMIFS(INDEX(Table7[],,MATCH(D$6,Table7[#Headers],0)),Table7[MainSpaceHeatingFuel],$B73,Table7[EnergyRating (group)],$A73)</f>
        <v>517499</v>
      </c>
      <c r="E73" s="760">
        <f>SUMIFS(INDEX(Table7[],,MATCH(E$6,Table7[#Headers],0)),Table7[MainSpaceHeatingFuel],$B73,Table7[EnergyRating (group)],$A73)</f>
        <v>60328</v>
      </c>
      <c r="F73" s="760">
        <f>SUMIFS(INDEX(Table7[],,MATCH(F$6,Table7[#Headers],0)),Table7[MainSpaceHeatingFuel],$B73,Table7[EnergyRating (group)],$A73)</f>
        <v>32380</v>
      </c>
      <c r="G73" s="757">
        <f>SUMIFS(INDEX(Table7[],,MATCH(G$6,Table7[#Headers],0)),Table7[MainSpaceHeatingFuel],$B73,Table7[EnergyRating (group)],$A73)</f>
        <v>66</v>
      </c>
      <c r="H73" s="757">
        <f>SUMIFS(INDEX(Table7[],,MATCH(H$6,Table7[#Headers],0)),Table7[MainSpaceHeatingFuel],$B73,Table7[EnergyRating (group)],$A73)</f>
        <v>3555</v>
      </c>
      <c r="I73" s="912">
        <f>AVERAGEIFS(INDEX(Table7[],,MATCH(I$6,Table7[#Headers],0)),Table7[MainSpaceHeatingFuel],$B73,Table7[EnergyRating (group)],$A73)</f>
        <v>51.5</v>
      </c>
      <c r="J73" s="847">
        <f>SUMIFS(INDEX(Table7[],,MATCH(J$6,Table7[#Headers],0)),Table7[MainSpaceHeatingFuel],$B73,Table7[EnergyRating (group)],$A73)</f>
        <v>1198230</v>
      </c>
      <c r="K73" s="847">
        <f>SUMIFS(INDEX(Table7[],,MATCH(K$6,Table7[#Headers],0)),Table7[MainSpaceHeatingFuel],$B73,Table7[EnergyRating (group)],$A73)</f>
        <v>872028</v>
      </c>
      <c r="M73" s="840"/>
      <c r="N73" s="914" t="str">
        <f>RSD_Commodities!$M$15&amp;"_"&amp;RIGHT(P73,LEN(P73)-3)&amp;"_"&amp;SETUP!$B$67</f>
        <v>SH_Apt-E_COAHAR_X0</v>
      </c>
      <c r="O73" s="914" t="str">
        <f>RSD_Commodities!$N$15&amp;"_"&amp;RSD_Commodities!D7&amp;"_"&amp;SETUP!$C$67</f>
        <v>Residential Space Heating Apartment-E_Anthracite + Manufactured Ovoids to Residential_Existing 00</v>
      </c>
      <c r="P73" s="930" t="str">
        <f>RSD_Commodities!$C$7</f>
        <v>RSDCOAHAR</v>
      </c>
      <c r="Q73" s="930" t="str">
        <f>RSD_Commodities!$M$15</f>
        <v>SH_Apt-E</v>
      </c>
      <c r="R73" s="931">
        <f t="shared" si="41"/>
        <v>4.2321256813081113E-3</v>
      </c>
      <c r="S73" s="932">
        <f>R73*DwellingStocks!$I$68/1000</f>
        <v>0.10068095441548315</v>
      </c>
      <c r="T73" s="914">
        <v>1</v>
      </c>
      <c r="U73" s="914">
        <f t="shared" si="20"/>
        <v>0.51500000000000001</v>
      </c>
      <c r="V73" s="914">
        <v>20</v>
      </c>
      <c r="W73" s="930">
        <v>1</v>
      </c>
      <c r="X73" s="840"/>
      <c r="Y73" s="920">
        <f t="shared" si="42"/>
        <v>2.2751647616314301E-5</v>
      </c>
      <c r="Z73" s="921">
        <f t="shared" si="43"/>
        <v>2.8190405190015576E-5</v>
      </c>
      <c r="AA73" s="840"/>
      <c r="AB73" s="914" t="s">
        <v>393</v>
      </c>
      <c r="AC73" s="914" t="str">
        <f t="shared" si="44"/>
        <v>SH_Apt-E_COAHAR_X0</v>
      </c>
      <c r="AD73" s="914" t="str">
        <f t="shared" si="45"/>
        <v>Residential Space Heating Apartment-E_Anthracite + Manufactured Ovoids to Residential_Existing 00</v>
      </c>
      <c r="AE73" s="914" t="s">
        <v>53</v>
      </c>
      <c r="AF73" s="914" t="s">
        <v>406</v>
      </c>
      <c r="AG73" s="914"/>
      <c r="AH73" s="914"/>
      <c r="AI73" s="840"/>
      <c r="AJ73" s="840"/>
      <c r="AK73" s="840"/>
      <c r="AL73" s="840"/>
      <c r="AM73" s="840"/>
      <c r="AN73" s="840"/>
    </row>
    <row r="74" spans="1:40">
      <c r="A74" s="758" t="s">
        <v>120</v>
      </c>
      <c r="B74" s="758" t="s">
        <v>671</v>
      </c>
      <c r="C74" s="758">
        <f>SUMIFS(INDEX(Table7[],,MATCH(C$6,Table7[#Headers],0)),Table7[MainSpaceHeatingFuel],$B74,Table7[EnergyRating (group)],$A74)</f>
        <v>23392</v>
      </c>
      <c r="D74" s="758">
        <f>SUMIFS(INDEX(Table7[],,MATCH(D$6,Table7[#Headers],0)),Table7[MainSpaceHeatingFuel],$B74,Table7[EnergyRating (group)],$A74)</f>
        <v>21266</v>
      </c>
      <c r="E74" s="758">
        <f>SUMIFS(INDEX(Table7[],,MATCH(E$6,Table7[#Headers],0)),Table7[MainSpaceHeatingFuel],$B74,Table7[EnergyRating (group)],$A74)</f>
        <v>5631</v>
      </c>
      <c r="F74" s="758">
        <f>SUMIFS(INDEX(Table7[],,MATCH(F$6,Table7[#Headers],0)),Table7[MainSpaceHeatingFuel],$B74,Table7[EnergyRating (group)],$A74)</f>
        <v>5119</v>
      </c>
      <c r="G74" s="758">
        <f>SUMIFS(INDEX(Table7[],,MATCH(G$6,Table7[#Headers],0)),Table7[MainSpaceHeatingFuel],$B74,Table7[EnergyRating (group)],$A74)</f>
        <v>1</v>
      </c>
      <c r="H74" s="758">
        <f>SUMIFS(INDEX(Table7[],,MATCH(H$6,Table7[#Headers],0)),Table7[MainSpaceHeatingFuel],$B74,Table7[EnergyRating (group)],$A74)</f>
        <v>108</v>
      </c>
      <c r="I74" s="911">
        <f>AVERAGEIFS(INDEX(Table7[],,MATCH(I$6,Table7[#Headers],0)),Table7[MainSpaceHeatingFuel],$B74,Table7[EnergyRating (group)],$A74)</f>
        <v>65</v>
      </c>
      <c r="J74" s="849">
        <f>SUMIFS(INDEX(Table7[],,MATCH(J$6,Table7[#Headers],0)),Table7[MainSpaceHeatingFuel],$B74,Table7[EnergyRating (group)],$A74)</f>
        <v>38015</v>
      </c>
      <c r="K74" s="849">
        <f>SUMIFS(INDEX(Table7[],,MATCH(K$6,Table7[#Headers],0)),Table7[MainSpaceHeatingFuel],$B74,Table7[EnergyRating (group)],$A74)</f>
        <v>32133</v>
      </c>
      <c r="M74" s="840"/>
      <c r="N74" s="933" t="str">
        <f>RSD_Commodities!$M$15&amp;"_"&amp;RIGHT(P74,LEN(P74)-3)&amp;"_"&amp;SETUP!$B$67</f>
        <v>SH_Apt-E_PEA_X0</v>
      </c>
      <c r="O74" s="933" t="str">
        <f>RSD_Commodities!$N$15&amp;"_"&amp;RSD_Commodities!$D$10&amp;"_"&amp;SETUP!$C$67</f>
        <v>Residential Space Heating Apartment-E_Peat to Residential_Existing 00</v>
      </c>
      <c r="P74" s="935" t="str">
        <f>RSD_Commodities!$C$10</f>
        <v>RSDPEA</v>
      </c>
      <c r="Q74" s="935" t="str">
        <f>RSD_Commodities!$M$15</f>
        <v>SH_Apt-E</v>
      </c>
      <c r="R74" s="936">
        <f t="shared" si="41"/>
        <v>6.412311638345624E-5</v>
      </c>
      <c r="S74" s="937">
        <f>R74*DwellingStocks!$I$68/1000</f>
        <v>1.5254690062951996E-3</v>
      </c>
      <c r="T74" s="933">
        <v>1</v>
      </c>
      <c r="U74" s="933">
        <f t="shared" si="20"/>
        <v>0.65</v>
      </c>
      <c r="V74" s="933">
        <v>20</v>
      </c>
      <c r="W74" s="935">
        <v>1</v>
      </c>
      <c r="X74" s="840"/>
      <c r="Y74" s="922">
        <f t="shared" si="42"/>
        <v>1.6540890300451583E-8</v>
      </c>
      <c r="Z74" s="923">
        <f t="shared" si="43"/>
        <v>1.8194665877961201E-8</v>
      </c>
      <c r="AA74" s="840"/>
      <c r="AB74" s="840" t="s">
        <v>393</v>
      </c>
      <c r="AC74" s="840" t="str">
        <f t="shared" si="44"/>
        <v>SH_Apt-E_PEA_X0</v>
      </c>
      <c r="AD74" s="840" t="str">
        <f t="shared" si="45"/>
        <v>Residential Space Heating Apartment-E_Peat to Residential_Existing 00</v>
      </c>
      <c r="AE74" s="840" t="s">
        <v>53</v>
      </c>
      <c r="AF74" s="840" t="s">
        <v>406</v>
      </c>
      <c r="AG74" s="840"/>
      <c r="AH74" s="840"/>
      <c r="AI74" s="840"/>
      <c r="AJ74" s="840"/>
      <c r="AK74" s="840"/>
      <c r="AL74" s="840"/>
      <c r="AM74" s="840"/>
      <c r="AN74" s="840"/>
    </row>
    <row r="75" spans="1:40">
      <c r="A75" s="757" t="s">
        <v>120</v>
      </c>
      <c r="B75" s="757" t="s">
        <v>666</v>
      </c>
      <c r="C75" s="757">
        <f>SUMIFS(INDEX(Table7[],,MATCH(C$6,Table7[#Headers],0)),Table7[MainSpaceHeatingFuel],$B75,Table7[EnergyRating (group)],$A75)</f>
        <v>159479</v>
      </c>
      <c r="D75" s="757">
        <f>SUMIFS(INDEX(Table7[],,MATCH(D$6,Table7[#Headers],0)),Table7[MainSpaceHeatingFuel],$B75,Table7[EnergyRating (group)],$A75)</f>
        <v>144981</v>
      </c>
      <c r="E75" s="757">
        <f>SUMIFS(INDEX(Table7[],,MATCH(E$6,Table7[#Headers],0)),Table7[MainSpaceHeatingFuel],$B75,Table7[EnergyRating (group)],$A75)</f>
        <v>13537</v>
      </c>
      <c r="F75" s="757">
        <f>SUMIFS(INDEX(Table7[],,MATCH(F$6,Table7[#Headers],0)),Table7[MainSpaceHeatingFuel],$B75,Table7[EnergyRating (group)],$A75)</f>
        <v>8851</v>
      </c>
      <c r="G75" s="757">
        <f>SUMIFS(INDEX(Table7[],,MATCH(G$6,Table7[#Headers],0)),Table7[MainSpaceHeatingFuel],$B75,Table7[EnergyRating (group)],$A75)</f>
        <v>16</v>
      </c>
      <c r="H75" s="757">
        <f>SUMIFS(INDEX(Table7[],,MATCH(H$6,Table7[#Headers],0)),Table7[MainSpaceHeatingFuel],$B75,Table7[EnergyRating (group)],$A75)</f>
        <v>907</v>
      </c>
      <c r="I75" s="912">
        <f>AVERAGEIFS(INDEX(Table7[],,MATCH(I$6,Table7[#Headers],0)),Table7[MainSpaceHeatingFuel],$B75,Table7[EnergyRating (group)],$A75)</f>
        <v>58</v>
      </c>
      <c r="J75" s="847">
        <f>SUMIFS(INDEX(Table7[],,MATCH(J$6,Table7[#Headers],0)),Table7[MainSpaceHeatingFuel],$B75,Table7[EnergyRating (group)],$A75)</f>
        <v>304593</v>
      </c>
      <c r="K75" s="847">
        <f>SUMIFS(INDEX(Table7[],,MATCH(K$6,Table7[#Headers],0)),Table7[MainSpaceHeatingFuel],$B75,Table7[EnergyRating (group)],$A75)</f>
        <v>240378</v>
      </c>
      <c r="M75" s="840"/>
      <c r="N75" s="914" t="str">
        <f>RSD_Commodities!$M$15&amp;"_"&amp;RIGHT(P75,LEN(P75)-3)&amp;"_"&amp;SETUP!$B$67</f>
        <v>SH_Apt-E_COABIT_X0</v>
      </c>
      <c r="O75" s="914" t="str">
        <f>RSD_Commodities!$N$15&amp;"_"&amp;RSD_Commodities!D6&amp;"_"&amp;SETUP!$C$67</f>
        <v>Residential Space Heating Apartment-E_Bituminous Coal to Residential_Existing 00</v>
      </c>
      <c r="P75" s="930" t="str">
        <f>RSD_Commodities!$C$6</f>
        <v>RSDCOABIT</v>
      </c>
      <c r="Q75" s="930" t="str">
        <f>RSD_Commodities!$M$15</f>
        <v>SH_Apt-E</v>
      </c>
      <c r="R75" s="931">
        <f t="shared" si="41"/>
        <v>1.0259698621352998E-3</v>
      </c>
      <c r="S75" s="932">
        <f>R75*DwellingStocks!$I$68/1000</f>
        <v>2.4407504100723194E-2</v>
      </c>
      <c r="T75" s="914">
        <v>1</v>
      </c>
      <c r="U75" s="914">
        <f t="shared" si="20"/>
        <v>0.57999999999999996</v>
      </c>
      <c r="V75" s="914">
        <v>20</v>
      </c>
      <c r="W75" s="930">
        <v>1</v>
      </c>
      <c r="X75" s="840"/>
      <c r="Y75" s="920">
        <f t="shared" ref="Y75:Y78" si="46">ABS((D75+F75)*S75*1000*$B$2)</f>
        <v>1.5430089743105962E-6</v>
      </c>
      <c r="Z75" s="921">
        <f t="shared" ref="Z75:Z78" si="47">ABS((C75+E75)*S75*1000*$B$2)</f>
        <v>1.7354337244482431E-6</v>
      </c>
      <c r="AA75" s="840"/>
      <c r="AB75" s="914" t="s">
        <v>393</v>
      </c>
      <c r="AC75" s="914" t="str">
        <f t="shared" si="44"/>
        <v>SH_Apt-E_COABIT_X0</v>
      </c>
      <c r="AD75" s="914" t="str">
        <f t="shared" si="45"/>
        <v>Residential Space Heating Apartment-E_Bituminous Coal to Residential_Existing 00</v>
      </c>
      <c r="AE75" s="914" t="s">
        <v>53</v>
      </c>
      <c r="AF75" s="914" t="s">
        <v>406</v>
      </c>
      <c r="AG75" s="914"/>
      <c r="AH75" s="914"/>
      <c r="AI75" s="840"/>
      <c r="AJ75" s="840"/>
      <c r="AK75" s="840"/>
      <c r="AL75" s="840"/>
      <c r="AM75" s="840"/>
      <c r="AN75" s="840"/>
    </row>
    <row r="76" spans="1:40">
      <c r="A76" s="758" t="s">
        <v>120</v>
      </c>
      <c r="B76" s="758" t="s">
        <v>667</v>
      </c>
      <c r="C76" s="758">
        <f>SUMIFS(INDEX(Table7[],,MATCH(C$6,Table7[#Headers],0)),Table7[MainSpaceHeatingFuel],$B76,Table7[EnergyRating (group)],$A76)</f>
        <v>9782</v>
      </c>
      <c r="D76" s="758">
        <f>SUMIFS(INDEX(Table7[],,MATCH(D$6,Table7[#Headers],0)),Table7[MainSpaceHeatingFuel],$B76,Table7[EnergyRating (group)],$A76)</f>
        <v>8893</v>
      </c>
      <c r="E76" s="759">
        <f>SUMIFS(INDEX(Table7[],,MATCH(E$6,Table7[#Headers],0)),Table7[MainSpaceHeatingFuel],$B76,Table7[EnergyRating (group)],$A76)</f>
        <v>0</v>
      </c>
      <c r="F76" s="759">
        <f>SUMIFS(INDEX(Table7[],,MATCH(F$6,Table7[#Headers],0)),Table7[MainSpaceHeatingFuel],$B76,Table7[EnergyRating (group)],$A76)</f>
        <v>0</v>
      </c>
      <c r="G76" s="758">
        <f>SUMIFS(INDEX(Table7[],,MATCH(G$6,Table7[#Headers],0)),Table7[MainSpaceHeatingFuel],$B76,Table7[EnergyRating (group)],$A76)</f>
        <v>1</v>
      </c>
      <c r="H76" s="758">
        <f>SUMIFS(INDEX(Table7[],,MATCH(H$6,Table7[#Headers],0)),Table7[MainSpaceHeatingFuel],$B76,Table7[EnergyRating (group)],$A76)</f>
        <v>46</v>
      </c>
      <c r="I76" s="911">
        <f>AVERAGEIFS(INDEX(Table7[],,MATCH(I$6,Table7[#Headers],0)),Table7[MainSpaceHeatingFuel],$B76,Table7[EnergyRating (group)],$A76)</f>
        <v>55</v>
      </c>
      <c r="J76" s="849">
        <f>SUMIFS(INDEX(Table7[],,MATCH(J$6,Table7[#Headers],0)),Table7[MainSpaceHeatingFuel],$B76,Table7[EnergyRating (group)],$A76)</f>
        <v>16964</v>
      </c>
      <c r="K76" s="849">
        <f>SUMIFS(INDEX(Table7[],,MATCH(K$6,Table7[#Headers],0)),Table7[MainSpaceHeatingFuel],$B76,Table7[EnergyRating (group)],$A76)</f>
        <v>13770</v>
      </c>
      <c r="M76" s="840"/>
      <c r="N76" s="933" t="str">
        <f>RSD_Commodities!$M$15&amp;"_"&amp;RIGHT(P76,LEN(P76)-3)&amp;"_"&amp;SETUP!$B$68</f>
        <v>SH_Apt-E_PEA_X1</v>
      </c>
      <c r="O76" s="933" t="str">
        <f>RSD_Commodities!$N$15&amp;"_"&amp;RSD_Commodities!D10&amp;"_"&amp;SETUP!$C$68</f>
        <v>Residential Space Heating Apartment-E_Peat to Residential_Existing 01</v>
      </c>
      <c r="P76" s="935" t="str">
        <f>RSD_Commodities!$C$10</f>
        <v>RSDPEA</v>
      </c>
      <c r="Q76" s="935" t="str">
        <f>RSD_Commodities!$M$15</f>
        <v>SH_Apt-E</v>
      </c>
      <c r="R76" s="936">
        <f t="shared" si="41"/>
        <v>6.412311638345624E-5</v>
      </c>
      <c r="S76" s="937">
        <f>R76*DwellingStocks!$I$68/1000</f>
        <v>1.5254690062951996E-3</v>
      </c>
      <c r="T76" s="933">
        <v>1</v>
      </c>
      <c r="U76" s="933">
        <f t="shared" si="20"/>
        <v>0.55000000000000004</v>
      </c>
      <c r="V76" s="933">
        <v>20</v>
      </c>
      <c r="W76" s="935">
        <v>1</v>
      </c>
      <c r="X76" s="840"/>
      <c r="Y76" s="922">
        <f t="shared" si="46"/>
        <v>5.5750667971163889E-9</v>
      </c>
      <c r="Z76" s="923">
        <f t="shared" si="47"/>
        <v>6.1323854053067031E-9</v>
      </c>
      <c r="AA76" s="840"/>
      <c r="AB76" s="933" t="s">
        <v>393</v>
      </c>
      <c r="AC76" s="933" t="str">
        <f t="shared" si="44"/>
        <v>SH_Apt-E_PEA_X1</v>
      </c>
      <c r="AD76" s="933" t="str">
        <f t="shared" si="45"/>
        <v>Residential Space Heating Apartment-E_Peat to Residential_Existing 01</v>
      </c>
      <c r="AE76" s="933" t="s">
        <v>53</v>
      </c>
      <c r="AF76" s="933" t="s">
        <v>406</v>
      </c>
      <c r="AG76" s="933"/>
      <c r="AH76" s="933"/>
      <c r="AI76" s="840"/>
      <c r="AJ76" s="840"/>
      <c r="AK76" s="840"/>
      <c r="AL76" s="840"/>
      <c r="AM76" s="840"/>
      <c r="AN76" s="840"/>
    </row>
    <row r="77" spans="1:40">
      <c r="A77" s="757" t="s">
        <v>120</v>
      </c>
      <c r="B77" s="757" t="s">
        <v>673</v>
      </c>
      <c r="C77" s="757">
        <f>SUMIFS(INDEX(Table7[],,MATCH(C$6,Table7[#Headers],0)),Table7[MainSpaceHeatingFuel],$B77,Table7[EnergyRating (group)],$A77)</f>
        <v>45932</v>
      </c>
      <c r="D77" s="757">
        <f>SUMIFS(INDEX(Table7[],,MATCH(D$6,Table7[#Headers],0)),Table7[MainSpaceHeatingFuel],$B77,Table7[EnergyRating (group)],$A77)</f>
        <v>41756</v>
      </c>
      <c r="E77" s="760">
        <f>SUMIFS(INDEX(Table7[],,MATCH(E$6,Table7[#Headers],0)),Table7[MainSpaceHeatingFuel],$B77,Table7[EnergyRating (group)],$A77)</f>
        <v>8156</v>
      </c>
      <c r="F77" s="760">
        <f>SUMIFS(INDEX(Table7[],,MATCH(F$6,Table7[#Headers],0)),Table7[MainSpaceHeatingFuel],$B77,Table7[EnergyRating (group)],$A77)</f>
        <v>6528</v>
      </c>
      <c r="G77" s="757">
        <f>SUMIFS(INDEX(Table7[],,MATCH(G$6,Table7[#Headers],0)),Table7[MainSpaceHeatingFuel],$B77,Table7[EnergyRating (group)],$A77)</f>
        <v>3</v>
      </c>
      <c r="H77" s="757">
        <f>SUMIFS(INDEX(Table7[],,MATCH(H$6,Table7[#Headers],0)),Table7[MainSpaceHeatingFuel],$B77,Table7[EnergyRating (group)],$A77)</f>
        <v>216</v>
      </c>
      <c r="I77" s="912">
        <f>AVERAGEIFS(INDEX(Table7[],,MATCH(I$6,Table7[#Headers],0)),Table7[MainSpaceHeatingFuel],$B77,Table7[EnergyRating (group)],$A77)</f>
        <v>62</v>
      </c>
      <c r="J77" s="847">
        <f>SUMIFS(INDEX(Table7[],,MATCH(J$6,Table7[#Headers],0)),Table7[MainSpaceHeatingFuel],$B77,Table7[EnergyRating (group)],$A77)</f>
        <v>75941</v>
      </c>
      <c r="K77" s="847">
        <f>SUMIFS(INDEX(Table7[],,MATCH(K$6,Table7[#Headers],0)),Table7[MainSpaceHeatingFuel],$B77,Table7[EnergyRating (group)],$A77)</f>
        <v>56378</v>
      </c>
      <c r="M77" s="840"/>
      <c r="N77" s="914" t="str">
        <f>RSD_Commodities!$M$15&amp;"_"&amp;RIGHT(P77,LEN(P77)-3)&amp;"_"&amp;SETUP!$B$68</f>
        <v>SH_Apt-E_BIOWOO_X1</v>
      </c>
      <c r="O77" s="914" t="str">
        <f>RSD_Commodities!$N$15&amp;"_"&amp;RSD_Commodities!D19&amp;"_"&amp;SETUP!$C$68</f>
        <v>Residential Space Heating Apartment-E_Biomass &amp; Renewable Waste to Residential_Existing 01</v>
      </c>
      <c r="P77" s="930" t="str">
        <f>RSD_Commodities!$C$19</f>
        <v>RSDBIOWOO</v>
      </c>
      <c r="Q77" s="930" t="str">
        <f>RSD_Commodities!$M$15</f>
        <v>SH_Apt-E</v>
      </c>
      <c r="R77" s="931">
        <f t="shared" si="41"/>
        <v>1.9236934915036871E-4</v>
      </c>
      <c r="S77" s="932">
        <f>R77*DwellingStocks!$I$68/1000</f>
        <v>4.5764070188855982E-3</v>
      </c>
      <c r="T77" s="914">
        <v>1</v>
      </c>
      <c r="U77" s="914">
        <f t="shared" si="20"/>
        <v>0.62</v>
      </c>
      <c r="V77" s="914">
        <v>20</v>
      </c>
      <c r="W77" s="930">
        <v>1</v>
      </c>
      <c r="X77" s="840"/>
      <c r="Y77" s="920">
        <f t="shared" si="46"/>
        <v>9.0808453356111885E-8</v>
      </c>
      <c r="Z77" s="921">
        <f t="shared" si="47"/>
        <v>1.0172412445376066E-7</v>
      </c>
      <c r="AA77" s="840"/>
      <c r="AB77" s="914" t="s">
        <v>393</v>
      </c>
      <c r="AC77" s="914" t="str">
        <f t="shared" si="44"/>
        <v>SH_Apt-E_BIOWOO_X1</v>
      </c>
      <c r="AD77" s="914" t="str">
        <f t="shared" si="45"/>
        <v>Residential Space Heating Apartment-E_Biomass &amp; Renewable Waste to Residential_Existing 01</v>
      </c>
      <c r="AE77" s="914" t="s">
        <v>53</v>
      </c>
      <c r="AF77" s="914" t="s">
        <v>406</v>
      </c>
      <c r="AG77" s="914"/>
      <c r="AH77" s="914"/>
      <c r="AI77" s="840"/>
      <c r="AJ77" s="840"/>
      <c r="AK77" s="840"/>
      <c r="AL77" s="840"/>
      <c r="AM77" s="840"/>
      <c r="AN77" s="840"/>
    </row>
    <row r="78" spans="1:40" ht="15.75" thickBot="1">
      <c r="A78" s="758" t="s">
        <v>120</v>
      </c>
      <c r="B78" s="758" t="s">
        <v>674</v>
      </c>
      <c r="C78" s="758">
        <f>SUMIFS(INDEX(Table7[],,MATCH(C$6,Table7[#Headers],0)),Table7[MainSpaceHeatingFuel],$B78,Table7[EnergyRating (group)],$A78)</f>
        <v>19940</v>
      </c>
      <c r="D78" s="758">
        <f>SUMIFS(INDEX(Table7[],,MATCH(D$6,Table7[#Headers],0)),Table7[MainSpaceHeatingFuel],$B78,Table7[EnergyRating (group)],$A78)</f>
        <v>18127</v>
      </c>
      <c r="E78" s="759">
        <f>SUMIFS(INDEX(Table7[],,MATCH(E$6,Table7[#Headers],0)),Table7[MainSpaceHeatingFuel],$B78,Table7[EnergyRating (group)],$A78)</f>
        <v>4187</v>
      </c>
      <c r="F78" s="759">
        <f>SUMIFS(INDEX(Table7[],,MATCH(F$6,Table7[#Headers],0)),Table7[MainSpaceHeatingFuel],$B78,Table7[EnergyRating (group)],$A78)</f>
        <v>1551</v>
      </c>
      <c r="G78" s="758">
        <f>SUMIFS(INDEX(Table7[],,MATCH(G$6,Table7[#Headers],0)),Table7[MainSpaceHeatingFuel],$B78,Table7[EnergyRating (group)],$A78)</f>
        <v>2</v>
      </c>
      <c r="H78" s="758">
        <f>SUMIFS(INDEX(Table7[],,MATCH(H$6,Table7[#Headers],0)),Table7[MainSpaceHeatingFuel],$B78,Table7[EnergyRating (group)],$A78)</f>
        <v>106</v>
      </c>
      <c r="I78" s="911">
        <f>AVERAGEIFS(INDEX(Table7[],,MATCH(I$6,Table7[#Headers],0)),Table7[MainSpaceHeatingFuel],$B78,Table7[EnergyRating (group)],$A78)</f>
        <v>77</v>
      </c>
      <c r="J78" s="849">
        <f>SUMIFS(INDEX(Table7[],,MATCH(J$6,Table7[#Headers],0)),Table7[MainSpaceHeatingFuel],$B78,Table7[EnergyRating (group)],$A78)</f>
        <v>37748</v>
      </c>
      <c r="K78" s="849">
        <f>SUMIFS(INDEX(Table7[],,MATCH(K$6,Table7[#Headers],0)),Table7[MainSpaceHeatingFuel],$B78,Table7[EnergyRating (group)],$A78)</f>
        <v>24723</v>
      </c>
      <c r="M78" s="840"/>
      <c r="N78" s="933" t="str">
        <f>RSD_Commodities!$M$15&amp;"_"&amp;RIGHT(P78,LEN(P78)-3)&amp;"_"&amp;SETUP!$B$68</f>
        <v>SH_Apt-E_COAHAR_X1</v>
      </c>
      <c r="O78" s="933" t="str">
        <f>RSD_Commodities!$N$15&amp;"_"&amp;RSD_Commodities!D7&amp;"_"&amp;SETUP!$C$68</f>
        <v>Residential Space Heating Apartment-E_Anthracite + Manufactured Ovoids to Residential_Existing 01</v>
      </c>
      <c r="P78" s="935" t="str">
        <f>RSD_Commodities!$C$7</f>
        <v>RSDCOAHAR</v>
      </c>
      <c r="Q78" s="935" t="str">
        <f>RSD_Commodities!$M$15</f>
        <v>SH_Apt-E</v>
      </c>
      <c r="R78" s="936">
        <f t="shared" si="41"/>
        <v>1.2824623276691248E-4</v>
      </c>
      <c r="S78" s="937">
        <f>R78*DwellingStocks!$I$68/1000</f>
        <v>3.0509380125903992E-3</v>
      </c>
      <c r="T78" s="933">
        <v>1</v>
      </c>
      <c r="U78" s="933">
        <f t="shared" si="20"/>
        <v>0.77</v>
      </c>
      <c r="V78" s="933">
        <v>20</v>
      </c>
      <c r="W78" s="935">
        <v>1</v>
      </c>
      <c r="X78" s="840"/>
      <c r="Y78" s="922">
        <f t="shared" si="46"/>
        <v>2.4672475977433104E-8</v>
      </c>
      <c r="Z78" s="923">
        <f t="shared" si="47"/>
        <v>3.0250677299904896E-8</v>
      </c>
      <c r="AA78" s="840"/>
      <c r="AB78" s="933" t="s">
        <v>393</v>
      </c>
      <c r="AC78" s="933" t="str">
        <f t="shared" si="44"/>
        <v>SH_Apt-E_COAHAR_X1</v>
      </c>
      <c r="AD78" s="933" t="str">
        <f t="shared" si="45"/>
        <v>Residential Space Heating Apartment-E_Anthracite + Manufactured Ovoids to Residential_Existing 01</v>
      </c>
      <c r="AE78" s="933" t="s">
        <v>53</v>
      </c>
      <c r="AF78" s="933" t="s">
        <v>406</v>
      </c>
      <c r="AG78" s="933"/>
      <c r="AH78" s="933"/>
      <c r="AI78" s="840"/>
      <c r="AJ78" s="840"/>
      <c r="AK78" s="840"/>
      <c r="AL78" s="840"/>
      <c r="AM78" s="840"/>
      <c r="AN78" s="840"/>
    </row>
    <row r="79" spans="1:40" ht="15.75" thickBot="1">
      <c r="A79" s="756" t="s">
        <v>122</v>
      </c>
      <c r="B79" s="1048"/>
      <c r="C79" s="1049"/>
      <c r="D79" s="1049"/>
      <c r="E79" s="1049"/>
      <c r="F79" s="1049"/>
      <c r="G79" s="1049"/>
      <c r="H79" s="1049"/>
      <c r="I79" s="1053"/>
      <c r="J79" s="736" t="s">
        <v>565</v>
      </c>
      <c r="K79" s="737" t="s">
        <v>565</v>
      </c>
      <c r="M79" s="840"/>
      <c r="N79" s="76" t="str">
        <f>AB79</f>
        <v>*F Rating</v>
      </c>
      <c r="O79" s="76"/>
      <c r="P79" s="76"/>
      <c r="Q79" s="76"/>
      <c r="R79" s="949">
        <f>SUM(R80:R90)</f>
        <v>1</v>
      </c>
      <c r="S79" s="76"/>
      <c r="T79" s="97"/>
      <c r="U79" s="76"/>
      <c r="V79" s="76"/>
      <c r="W79" s="76"/>
      <c r="X79" s="840"/>
      <c r="Y79" s="76"/>
      <c r="Z79" s="76"/>
      <c r="AA79" s="840"/>
      <c r="AB79" s="140" t="str">
        <f>"*"&amp; A80 &amp; " Rating"</f>
        <v>*F Rating</v>
      </c>
      <c r="AC79" s="141"/>
      <c r="AD79" s="141"/>
      <c r="AE79" s="141"/>
      <c r="AF79" s="141"/>
      <c r="AG79" s="141"/>
      <c r="AH79" s="141"/>
      <c r="AI79" s="840"/>
      <c r="AJ79" s="840"/>
      <c r="AK79" s="840"/>
      <c r="AL79" s="840"/>
      <c r="AM79" s="840"/>
      <c r="AN79" s="840"/>
    </row>
    <row r="80" spans="1:40">
      <c r="A80" s="758" t="s">
        <v>122</v>
      </c>
      <c r="B80" s="758" t="s">
        <v>582</v>
      </c>
      <c r="C80" s="758">
        <f>SUMIFS(INDEX(Table7[],,MATCH(C$6,Table7[#Headers],0)),Table7[MainSpaceHeatingFuel],$B80,Table7[EnergyRating (group)],$A80)</f>
        <v>249430</v>
      </c>
      <c r="D80" s="758">
        <f>SUMIFS(INDEX(Table7[],,MATCH(D$6,Table7[#Headers],0)),Table7[MainSpaceHeatingFuel],$B80,Table7[EnergyRating (group)],$A80)</f>
        <v>226755</v>
      </c>
      <c r="E80" s="759">
        <f>SUMIFS(INDEX(Table7[],,MATCH(E$6,Table7[#Headers],0)),Table7[MainSpaceHeatingFuel],$B80,Table7[EnergyRating (group)],$A80)</f>
        <v>33120</v>
      </c>
      <c r="F80" s="759">
        <f>SUMIFS(INDEX(Table7[],,MATCH(F$6,Table7[#Headers],0)),Table7[MainSpaceHeatingFuel],$B80,Table7[EnergyRating (group)],$A80)</f>
        <v>28289</v>
      </c>
      <c r="G80" s="758">
        <f>SUMIFS(INDEX(Table7[],,MATCH(G$6,Table7[#Headers],0)),Table7[MainSpaceHeatingFuel],$B80,Table7[EnergyRating (group)],$A80)</f>
        <v>16</v>
      </c>
      <c r="H80" s="758">
        <f>SUMIFS(INDEX(Table7[],,MATCH(H$6,Table7[#Headers],0)),Table7[MainSpaceHeatingFuel],$B80,Table7[EnergyRating (group)],$A80)</f>
        <v>950</v>
      </c>
      <c r="I80" s="911">
        <f>AVERAGEIFS(INDEX(Table7[],,MATCH(I$6,Table7[#Headers],0)),Table7[MainSpaceHeatingFuel],$B80,Table7[EnergyRating (group)],$A80)</f>
        <v>72</v>
      </c>
      <c r="J80" s="849">
        <f>SUMIFS(INDEX(Table7[],,MATCH(J$6,Table7[#Headers],0)),Table7[MainSpaceHeatingFuel],$B80,Table7[EnergyRating (group)],$A80)</f>
        <v>384472</v>
      </c>
      <c r="K80" s="849">
        <f>SUMIFS(INDEX(Table7[],,MATCH(K$6,Table7[#Headers],0)),Table7[MainSpaceHeatingFuel],$B80,Table7[EnergyRating (group)],$A80)</f>
        <v>319975</v>
      </c>
      <c r="M80" s="840"/>
      <c r="N80" s="933" t="str">
        <f>RSD_Commodities!$M$16&amp;"_"&amp;RIGHT(P80,LEN(P80)-3)&amp;"_"&amp;SETUP!$B$67</f>
        <v>SH_Apt-F_OILLPG_X0</v>
      </c>
      <c r="O80" s="933" t="str">
        <f>RSD_Commodities!$N$16&amp;"_"&amp;RSD_Commodities!D11&amp;"_"&amp;SETUP!$C$67</f>
        <v>Residential Space Heating Apartment-F_LPG to Residential_Existing 00</v>
      </c>
      <c r="P80" s="934" t="str">
        <f>RSD_Commodities!$C$11</f>
        <v>RSDOILLPG</v>
      </c>
      <c r="Q80" s="935" t="str">
        <f>RSD_Commodities!$M$16</f>
        <v>SH_Apt-F</v>
      </c>
      <c r="R80" s="936">
        <f>G80/SUM($G$80:$G$90)</f>
        <v>3.0822577538046621E-3</v>
      </c>
      <c r="S80" s="937">
        <f>R80*DwellingStocks!$I$69/1000</f>
        <v>2.4690166320610329E-2</v>
      </c>
      <c r="T80" s="933">
        <v>1</v>
      </c>
      <c r="U80" s="933">
        <f t="shared" si="20"/>
        <v>0.72</v>
      </c>
      <c r="V80" s="935">
        <v>20</v>
      </c>
      <c r="W80" s="935">
        <v>1</v>
      </c>
      <c r="X80" s="840"/>
      <c r="Y80" s="918">
        <f>ABS((D80+F80)*S80*1000*$B$2)</f>
        <v>2.587840594139894E-6</v>
      </c>
      <c r="Z80" s="919">
        <f>ABS((C80+E80)*S80*1000*$B$2)</f>
        <v>2.8669341755705957E-6</v>
      </c>
      <c r="AA80" s="840"/>
      <c r="AB80" s="933" t="s">
        <v>393</v>
      </c>
      <c r="AC80" s="933" t="str">
        <f>N80</f>
        <v>SH_Apt-F_OILLPG_X0</v>
      </c>
      <c r="AD80" s="933" t="str">
        <f>O80</f>
        <v>Residential Space Heating Apartment-F_LPG to Residential_Existing 00</v>
      </c>
      <c r="AE80" s="933" t="s">
        <v>53</v>
      </c>
      <c r="AF80" s="933" t="s">
        <v>406</v>
      </c>
      <c r="AG80" s="933"/>
      <c r="AH80" s="933"/>
      <c r="AI80" s="840"/>
      <c r="AJ80" s="840"/>
      <c r="AK80" s="840"/>
      <c r="AL80" s="840"/>
      <c r="AM80" s="840"/>
      <c r="AN80" s="840"/>
    </row>
    <row r="81" spans="1:40">
      <c r="A81" s="757" t="s">
        <v>122</v>
      </c>
      <c r="B81" s="757" t="s">
        <v>228</v>
      </c>
      <c r="C81" s="757">
        <f>SUMIFS(INDEX(Table7[],,MATCH(C$6,Table7[#Headers],0)),Table7[MainSpaceHeatingFuel],$B81,Table7[EnergyRating (group)],$A81)</f>
        <v>53071181</v>
      </c>
      <c r="D81" s="757">
        <f>SUMIFS(INDEX(Table7[],,MATCH(D$6,Table7[#Headers],0)),Table7[MainSpaceHeatingFuel],$B81,Table7[EnergyRating (group)],$A81)</f>
        <v>19655994</v>
      </c>
      <c r="E81" s="757">
        <f>SUMIFS(INDEX(Table7[],,MATCH(E$6,Table7[#Headers],0)),Table7[MainSpaceHeatingFuel],$B81,Table7[EnergyRating (group)],$A81)</f>
        <v>6137362</v>
      </c>
      <c r="F81" s="757">
        <f>SUMIFS(INDEX(Table7[],,MATCH(F$6,Table7[#Headers],0)),Table7[MainSpaceHeatingFuel],$B81,Table7[EnergyRating (group)],$A81)</f>
        <v>4464150</v>
      </c>
      <c r="G81" s="757">
        <f>SUMIFS(INDEX(Table7[],,MATCH(G$6,Table7[#Headers],0)),Table7[MainSpaceHeatingFuel],$B81,Table7[EnergyRating (group)],$A81)</f>
        <v>3925</v>
      </c>
      <c r="H81" s="757">
        <f>SUMIFS(INDEX(Table7[],,MATCH(H$6,Table7[#Headers],0)),Table7[MainSpaceHeatingFuel],$B81,Table7[EnergyRating (group)],$A81)</f>
        <v>208763</v>
      </c>
      <c r="I81" s="912">
        <f>AVERAGEIFS(INDEX(Table7[],,MATCH(I$6,Table7[#Headers],0)),Table7[MainSpaceHeatingFuel],$B81,Table7[EnergyRating (group)],$A81)</f>
        <v>100</v>
      </c>
      <c r="J81" s="847">
        <f>SUMIFS(INDEX(Table7[],,MATCH(J$6,Table7[#Headers],0)),Table7[MainSpaceHeatingFuel],$B81,Table7[EnergyRating (group)],$A81)</f>
        <v>86049845</v>
      </c>
      <c r="K81" s="847">
        <f>SUMIFS(INDEX(Table7[],,MATCH(K$6,Table7[#Headers],0)),Table7[MainSpaceHeatingFuel],$B81,Table7[EnergyRating (group)],$A81)</f>
        <v>34071925</v>
      </c>
      <c r="M81" s="840"/>
      <c r="N81" s="914" t="str">
        <f>RSD_Commodities!$M$16&amp;"_"&amp;RIGHT(P81,LEN(P81)-3)&amp;"_"&amp;SETUP!$B$67</f>
        <v>SH_Apt-F_ELCD_X0</v>
      </c>
      <c r="O81" s="914" t="str">
        <f>RSD_Commodities!$N$16&amp;"_"&amp;RSD_Commodities!D27&amp;"_"&amp;SETUP!$C$67</f>
        <v>Residential Space Heating Apartment-F_Electricity to Residential_Existing 00</v>
      </c>
      <c r="P81" s="930" t="str">
        <f>RSD_Commodities!$C$27</f>
        <v>RSDELCD</v>
      </c>
      <c r="Q81" s="930" t="str">
        <f>RSD_Commodities!$M$16</f>
        <v>SH_Apt-F</v>
      </c>
      <c r="R81" s="931">
        <f t="shared" ref="R81:R90" si="48">G81/SUM($G$80:$G$90)</f>
        <v>0.75611635523020615</v>
      </c>
      <c r="S81" s="932">
        <f>R81*DwellingStocks!$I$69/1000</f>
        <v>6.056806425524722</v>
      </c>
      <c r="T81" s="914">
        <v>1</v>
      </c>
      <c r="U81" s="914">
        <f t="shared" si="20"/>
        <v>1</v>
      </c>
      <c r="V81" s="930">
        <v>20</v>
      </c>
      <c r="W81" s="930">
        <v>1</v>
      </c>
      <c r="X81" s="840"/>
      <c r="Y81" s="920">
        <f t="shared" ref="Y81:Y89" si="49">ABS((D81+F81)*S81*1000*$B$2)</f>
        <v>6.0037414998814362E-2</v>
      </c>
      <c r="Z81" s="921">
        <f t="shared" ref="Z81:Z89" si="50">ABS((C81+E81)*S81*1000*$B$2)</f>
        <v>0.14737589740617404</v>
      </c>
      <c r="AA81" s="840"/>
      <c r="AB81" s="914" t="s">
        <v>393</v>
      </c>
      <c r="AC81" s="914" t="str">
        <f t="shared" ref="AC81:AC90" si="51">N81</f>
        <v>SH_Apt-F_ELCD_X0</v>
      </c>
      <c r="AD81" s="914" t="str">
        <f t="shared" ref="AD81:AD90" si="52">O81</f>
        <v>Residential Space Heating Apartment-F_Electricity to Residential_Existing 00</v>
      </c>
      <c r="AE81" s="914" t="s">
        <v>53</v>
      </c>
      <c r="AF81" s="914" t="s">
        <v>406</v>
      </c>
      <c r="AG81" s="914"/>
      <c r="AH81" s="914"/>
      <c r="AI81" s="840"/>
      <c r="AJ81" s="840"/>
      <c r="AK81" s="840"/>
      <c r="AL81" s="840"/>
      <c r="AM81" s="840"/>
      <c r="AN81" s="840"/>
    </row>
    <row r="82" spans="1:40">
      <c r="A82" s="758" t="s">
        <v>122</v>
      </c>
      <c r="B82" s="758" t="s">
        <v>583</v>
      </c>
      <c r="C82" s="758">
        <f>SUMIFS(INDEX(Table7[],,MATCH(C$6,Table7[#Headers],0)),Table7[MainSpaceHeatingFuel],$B82,Table7[EnergyRating (group)],$A82)</f>
        <v>6617227</v>
      </c>
      <c r="D82" s="758">
        <f>SUMIFS(INDEX(Table7[],,MATCH(D$6,Table7[#Headers],0)),Table7[MainSpaceHeatingFuel],$B82,Table7[EnergyRating (group)],$A82)</f>
        <v>6015661</v>
      </c>
      <c r="E82" s="759">
        <f>SUMIFS(INDEX(Table7[],,MATCH(E$6,Table7[#Headers],0)),Table7[MainSpaceHeatingFuel],$B82,Table7[EnergyRating (group)],$A82)</f>
        <v>1093085</v>
      </c>
      <c r="F82" s="759">
        <f>SUMIFS(INDEX(Table7[],,MATCH(F$6,Table7[#Headers],0)),Table7[MainSpaceHeatingFuel],$B82,Table7[EnergyRating (group)],$A82)</f>
        <v>898095</v>
      </c>
      <c r="G82" s="758">
        <f>SUMIFS(INDEX(Table7[],,MATCH(G$6,Table7[#Headers],0)),Table7[MainSpaceHeatingFuel],$B82,Table7[EnergyRating (group)],$A82)</f>
        <v>278</v>
      </c>
      <c r="H82" s="758">
        <f>SUMIFS(INDEX(Table7[],,MATCH(H$6,Table7[#Headers],0)),Table7[MainSpaceHeatingFuel],$B82,Table7[EnergyRating (group)],$A82)</f>
        <v>24092</v>
      </c>
      <c r="I82" s="911">
        <f>AVERAGEIFS(INDEX(Table7[],,MATCH(I$6,Table7[#Headers],0)),Table7[MainSpaceHeatingFuel],$B82,Table7[EnergyRating (group)],$A82)</f>
        <v>76</v>
      </c>
      <c r="J82" s="849">
        <f>SUMIFS(INDEX(Table7[],,MATCH(J$6,Table7[#Headers],0)),Table7[MainSpaceHeatingFuel],$B82,Table7[EnergyRating (group)],$A82)</f>
        <v>10100692</v>
      </c>
      <c r="K82" s="849">
        <f>SUMIFS(INDEX(Table7[],,MATCH(K$6,Table7[#Headers],0)),Table7[MainSpaceHeatingFuel],$B82,Table7[EnergyRating (group)],$A82)</f>
        <v>8421920</v>
      </c>
      <c r="M82" s="840"/>
      <c r="N82" s="933" t="str">
        <f>RSD_Commodities!$M$16&amp;"_"&amp;RIGHT(P82,LEN(P82)-3)&amp;"_"&amp;SETUP!$B$67</f>
        <v>SH_Apt-F_OILKER_X0</v>
      </c>
      <c r="O82" s="933" t="str">
        <f>RSD_Commodities!$N$16&amp;"_"&amp;RSD_Commodities!D13&amp;"_"&amp;SETUP!$C$67</f>
        <v>Residential Space Heating Apartment-F_Kerosene to Residential_Existing 00</v>
      </c>
      <c r="P82" s="935" t="str">
        <f>RSD_Commodities!$C$13</f>
        <v>RSDOILKER</v>
      </c>
      <c r="Q82" s="935" t="str">
        <f>RSD_Commodities!$M$16</f>
        <v>SH_Apt-F</v>
      </c>
      <c r="R82" s="936">
        <f t="shared" si="48"/>
        <v>5.3554228472356004E-2</v>
      </c>
      <c r="S82" s="937">
        <f>R82*DwellingStocks!$I$69/1000</f>
        <v>0.42899163982060451</v>
      </c>
      <c r="T82" s="933">
        <v>1</v>
      </c>
      <c r="U82" s="933">
        <f t="shared" si="20"/>
        <v>0.76</v>
      </c>
      <c r="V82" s="935">
        <v>20</v>
      </c>
      <c r="W82" s="935">
        <v>1</v>
      </c>
      <c r="X82" s="840"/>
      <c r="Y82" s="922">
        <f t="shared" si="49"/>
        <v>1.218880900175155E-3</v>
      </c>
      <c r="Z82" s="923">
        <f t="shared" si="50"/>
        <v>1.3593120774281447E-3</v>
      </c>
      <c r="AA82" s="840"/>
      <c r="AB82" s="933" t="s">
        <v>393</v>
      </c>
      <c r="AC82" s="933" t="str">
        <f t="shared" si="51"/>
        <v>SH_Apt-F_OILKER_X0</v>
      </c>
      <c r="AD82" s="933" t="str">
        <f t="shared" si="52"/>
        <v>Residential Space Heating Apartment-F_Kerosene to Residential_Existing 00</v>
      </c>
      <c r="AE82" s="933" t="s">
        <v>53</v>
      </c>
      <c r="AF82" s="933" t="s">
        <v>406</v>
      </c>
      <c r="AG82" s="933"/>
      <c r="AH82" s="933"/>
      <c r="AI82" s="840"/>
      <c r="AJ82" s="840"/>
      <c r="AK82" s="840"/>
      <c r="AL82" s="840"/>
      <c r="AM82" s="840"/>
      <c r="AN82" s="840"/>
    </row>
    <row r="83" spans="1:40">
      <c r="A83" s="757" t="s">
        <v>122</v>
      </c>
      <c r="B83" s="757" t="s">
        <v>584</v>
      </c>
      <c r="C83" s="757">
        <f>SUMIFS(INDEX(Table7[],,MATCH(C$6,Table7[#Headers],0)),Table7[MainSpaceHeatingFuel],$B83,Table7[EnergyRating (group)],$A83)</f>
        <v>10340544</v>
      </c>
      <c r="D83" s="757">
        <f>SUMIFS(INDEX(Table7[],,MATCH(D$6,Table7[#Headers],0)),Table7[MainSpaceHeatingFuel],$B83,Table7[EnergyRating (group)],$A83)</f>
        <v>9400494</v>
      </c>
      <c r="E83" s="760">
        <f>SUMIFS(INDEX(Table7[],,MATCH(E$6,Table7[#Headers],0)),Table7[MainSpaceHeatingFuel],$B83,Table7[EnergyRating (group)],$A83)</f>
        <v>1788748</v>
      </c>
      <c r="F83" s="760">
        <f>SUMIFS(INDEX(Table7[],,MATCH(F$6,Table7[#Headers],0)),Table7[MainSpaceHeatingFuel],$B83,Table7[EnergyRating (group)],$A83)</f>
        <v>1502630</v>
      </c>
      <c r="G83" s="757">
        <f>SUMIFS(INDEX(Table7[],,MATCH(G$6,Table7[#Headers],0)),Table7[MainSpaceHeatingFuel],$B83,Table7[EnergyRating (group)],$A83)</f>
        <v>687</v>
      </c>
      <c r="H83" s="757">
        <f>SUMIFS(INDEX(Table7[],,MATCH(H$6,Table7[#Headers],0)),Table7[MainSpaceHeatingFuel],$B83,Table7[EnergyRating (group)],$A83)</f>
        <v>40779</v>
      </c>
      <c r="I83" s="912">
        <f>AVERAGEIFS(INDEX(Table7[],,MATCH(I$6,Table7[#Headers],0)),Table7[MainSpaceHeatingFuel],$B83,Table7[EnergyRating (group)],$A83)</f>
        <v>75</v>
      </c>
      <c r="J83" s="847">
        <f>SUMIFS(INDEX(Table7[],,MATCH(J$6,Table7[#Headers],0)),Table7[MainSpaceHeatingFuel],$B83,Table7[EnergyRating (group)],$A83)</f>
        <v>16861202</v>
      </c>
      <c r="K83" s="847">
        <f>SUMIFS(INDEX(Table7[],,MATCH(K$6,Table7[#Headers],0)),Table7[MainSpaceHeatingFuel],$B83,Table7[EnergyRating (group)],$A83)</f>
        <v>14072718</v>
      </c>
      <c r="M83" s="840"/>
      <c r="N83" s="914" t="str">
        <f>RSD_Commodities!$M$16&amp;"_"&amp;RIGHT(P83,LEN(P83)-3)&amp;"_"&amp;SETUP!$B$67</f>
        <v>SH_Apt-F_GASNAT_X0</v>
      </c>
      <c r="O83" s="914" t="str">
        <f>RSD_Commodities!$N$16&amp;"_"&amp;RSD_Commodities!D17&amp;"_"&amp;SETUP!$C$67</f>
        <v>Residential Space Heating Apartment-F_Natural Gas to Residential_Existing 00</v>
      </c>
      <c r="P83" s="930" t="str">
        <f>RSD_Commodities!$C$17</f>
        <v>RSDGASNAT</v>
      </c>
      <c r="Q83" s="930" t="str">
        <f>RSD_Commodities!$M$16</f>
        <v>SH_Apt-F</v>
      </c>
      <c r="R83" s="931">
        <f t="shared" si="48"/>
        <v>0.13234444230398767</v>
      </c>
      <c r="S83" s="932">
        <f>R83*DwellingStocks!$I$69/1000</f>
        <v>1.0601340163912061</v>
      </c>
      <c r="T83" s="914">
        <v>1</v>
      </c>
      <c r="U83" s="914">
        <f t="shared" si="20"/>
        <v>0.75</v>
      </c>
      <c r="V83" s="930">
        <v>20</v>
      </c>
      <c r="W83" s="930">
        <v>1</v>
      </c>
      <c r="X83" s="840"/>
      <c r="Y83" s="920">
        <f t="shared" si="49"/>
        <v>4.7501805358895971E-3</v>
      </c>
      <c r="Z83" s="921">
        <f t="shared" si="50"/>
        <v>5.284387004359614E-3</v>
      </c>
      <c r="AA83" s="840"/>
      <c r="AB83" s="914" t="s">
        <v>393</v>
      </c>
      <c r="AC83" s="914" t="str">
        <f t="shared" si="51"/>
        <v>SH_Apt-F_GASNAT_X0</v>
      </c>
      <c r="AD83" s="914" t="str">
        <f t="shared" si="52"/>
        <v>Residential Space Heating Apartment-F_Natural Gas to Residential_Existing 00</v>
      </c>
      <c r="AE83" s="914" t="s">
        <v>53</v>
      </c>
      <c r="AF83" s="914" t="s">
        <v>406</v>
      </c>
      <c r="AG83" s="914"/>
      <c r="AH83" s="914"/>
      <c r="AI83" s="840"/>
      <c r="AJ83" s="840"/>
      <c r="AK83" s="840"/>
      <c r="AL83" s="840"/>
      <c r="AM83" s="840"/>
      <c r="AN83" s="840"/>
    </row>
    <row r="84" spans="1:40">
      <c r="A84" s="758" t="s">
        <v>122</v>
      </c>
      <c r="B84" s="758" t="s">
        <v>587</v>
      </c>
      <c r="C84" s="758">
        <f>SUMIFS(INDEX(Table7[],,MATCH(C$6,Table7[#Headers],0)),Table7[MainSpaceHeatingFuel],$B84,Table7[EnergyRating (group)],$A84)</f>
        <v>0</v>
      </c>
      <c r="D84" s="758">
        <f>SUMIFS(INDEX(Table7[],,MATCH(D$6,Table7[#Headers],0)),Table7[MainSpaceHeatingFuel],$B84,Table7[EnergyRating (group)],$A84)</f>
        <v>0</v>
      </c>
      <c r="E84" s="758">
        <f>SUMIFS(INDEX(Table7[],,MATCH(E$6,Table7[#Headers],0)),Table7[MainSpaceHeatingFuel],$B84,Table7[EnergyRating (group)],$A84)</f>
        <v>0</v>
      </c>
      <c r="F84" s="758">
        <f>SUMIFS(INDEX(Table7[],,MATCH(F$6,Table7[#Headers],0)),Table7[MainSpaceHeatingFuel],$B84,Table7[EnergyRating (group)],$A84)</f>
        <v>0</v>
      </c>
      <c r="G84" s="758">
        <f>SUMIFS(INDEX(Table7[],,MATCH(G$6,Table7[#Headers],0)),Table7[MainSpaceHeatingFuel],"",Table7[EnergyRating (group)],$A84)</f>
        <v>169</v>
      </c>
      <c r="H84" s="758">
        <f>SUMIFS(INDEX(Table7[],,MATCH(H$6,Table7[#Headers],0)),Table7[MainSpaceHeatingFuel],"",Table7[EnergyRating (group)],$A84)</f>
        <v>8061</v>
      </c>
      <c r="I84" s="944">
        <f>SUMIFS(INDEX(Table7[],,MATCH(I$6,Table7[#Headers],0)),Table7[MainSpaceHeatingFuel],"",Table7[EnergyRating (group)],$A84)</f>
        <v>0</v>
      </c>
      <c r="J84" s="849">
        <f>SUMIFS(INDEX(Table7[],,MATCH(J$6,Table7[#Headers],0)),Table7[MainSpaceHeatingFuel],"",Table7[EnergyRating (group)],$A84)</f>
        <v>240772</v>
      </c>
      <c r="K84" s="849">
        <f>SUMIFS(INDEX(Table7[],,MATCH(K$6,Table7[#Headers],0)),Table7[MainSpaceHeatingFuel],"",Table7[EnergyRating (group)],$A84)</f>
        <v>89175</v>
      </c>
      <c r="M84" s="840"/>
      <c r="N84" s="933" t="str">
        <f>RSD_Commodities!$M$16&amp;"_"&amp;RIGHT(P84,LEN(P84)-3)&amp;"_"&amp;SETUP!$B$67</f>
        <v>SH_Apt-F_HET_X0</v>
      </c>
      <c r="O84" s="933" t="str">
        <f>RSD_Commodities!$N$16&amp;"_"&amp;RSD_Commodities!D28&amp;"_"&amp;SETUP!$C$67</f>
        <v>Residential Space Heating Apartment-F_Heat to Residential_Existing 00</v>
      </c>
      <c r="P84" s="935" t="str">
        <f>RSD_Commodities!$C$28</f>
        <v>RSDHET</v>
      </c>
      <c r="Q84" s="935" t="str">
        <f>RSD_Commodities!$M$16</f>
        <v>SH_Apt-F</v>
      </c>
      <c r="R84" s="936">
        <f t="shared" si="48"/>
        <v>3.2556347524561741E-2</v>
      </c>
      <c r="S84" s="937">
        <f>R84*DwellingStocks!$I$69/1000</f>
        <v>0.26078988176144663</v>
      </c>
      <c r="T84" s="933">
        <v>1</v>
      </c>
      <c r="U84" s="917">
        <f>IF(I84=0, 1, I84)</f>
        <v>1</v>
      </c>
      <c r="V84" s="935">
        <v>20</v>
      </c>
      <c r="W84" s="935">
        <v>1</v>
      </c>
      <c r="X84" s="840"/>
      <c r="Y84" s="922">
        <f t="shared" si="49"/>
        <v>0</v>
      </c>
      <c r="Z84" s="923">
        <f t="shared" si="50"/>
        <v>0</v>
      </c>
      <c r="AA84" s="840"/>
      <c r="AB84" s="933" t="s">
        <v>393</v>
      </c>
      <c r="AC84" s="933" t="str">
        <f t="shared" si="51"/>
        <v>SH_Apt-F_HET_X0</v>
      </c>
      <c r="AD84" s="933" t="str">
        <f t="shared" si="52"/>
        <v>Residential Space Heating Apartment-F_Heat to Residential_Existing 00</v>
      </c>
      <c r="AE84" s="933" t="s">
        <v>53</v>
      </c>
      <c r="AF84" s="933" t="s">
        <v>406</v>
      </c>
      <c r="AG84" s="933"/>
      <c r="AH84" s="933"/>
      <c r="AI84" s="840"/>
      <c r="AJ84" s="840"/>
      <c r="AK84" s="840"/>
      <c r="AL84" s="840"/>
      <c r="AM84" s="840"/>
      <c r="AN84" s="840"/>
    </row>
    <row r="85" spans="1:40">
      <c r="A85" s="757" t="s">
        <v>122</v>
      </c>
      <c r="B85" s="757" t="s">
        <v>664</v>
      </c>
      <c r="C85" s="757">
        <f>SUMIFS(INDEX(Table7[],,MATCH(C$6,Table7[#Headers],0)),Table7[MainSpaceHeatingFuel],$B85,Table7[EnergyRating (group)],$A85)</f>
        <v>30803</v>
      </c>
      <c r="D85" s="757">
        <f>SUMIFS(INDEX(Table7[],,MATCH(D$6,Table7[#Headers],0)),Table7[MainSpaceHeatingFuel],$B85,Table7[EnergyRating (group)],$A85)</f>
        <v>28003</v>
      </c>
      <c r="E85" s="757">
        <f>SUMIFS(INDEX(Table7[],,MATCH(E$6,Table7[#Headers],0)),Table7[MainSpaceHeatingFuel],$B85,Table7[EnergyRating (group)],$A85)</f>
        <v>7050</v>
      </c>
      <c r="F85" s="757">
        <f>SUMIFS(INDEX(Table7[],,MATCH(F$6,Table7[#Headers],0)),Table7[MainSpaceHeatingFuel],$B85,Table7[EnergyRating (group)],$A85)</f>
        <v>6409</v>
      </c>
      <c r="G85" s="757">
        <f>SUMIFS(INDEX(Table7[],,MATCH(G$6,Table7[#Headers],0)),Table7[MainSpaceHeatingFuel],$B85,Table7[EnergyRating (group)],$A85)</f>
        <v>1</v>
      </c>
      <c r="H85" s="757">
        <f>SUMIFS(INDEX(Table7[],,MATCH(H$6,Table7[#Headers],0)),Table7[MainSpaceHeatingFuel],$B85,Table7[EnergyRating (group)],$A85)</f>
        <v>115</v>
      </c>
      <c r="I85" s="912">
        <f>AVERAGEIFS(INDEX(Table7[],,MATCH(I$6,Table7[#Headers],0)),Table7[MainSpaceHeatingFuel],$B85,Table7[EnergyRating (group)],$A85)</f>
        <v>65</v>
      </c>
      <c r="J85" s="847">
        <f>SUMIFS(INDEX(Table7[],,MATCH(J$6,Table7[#Headers],0)),Table7[MainSpaceHeatingFuel],$B85,Table7[EnergyRating (group)],$A85)</f>
        <v>49581</v>
      </c>
      <c r="K85" s="847">
        <f>SUMIFS(INDEX(Table7[],,MATCH(K$6,Table7[#Headers],0)),Table7[MainSpaceHeatingFuel],$B85,Table7[EnergyRating (group)],$A85)</f>
        <v>41744</v>
      </c>
      <c r="M85" s="840"/>
      <c r="N85" s="914" t="str">
        <f>RSD_Commodities!$M$16&amp;"_"&amp;RIGHT(P85,LEN(P85)-3)&amp;"_"&amp;SETUP!$B$68</f>
        <v>SH_Apt-F_OILLPG_X1</v>
      </c>
      <c r="O85" s="914" t="str">
        <f>RSD_Commodities!$N$16&amp;"_"&amp;RSD_Commodities!D11&amp;"_"&amp;SETUP!$C$68</f>
        <v>Residential Space Heating Apartment-F_LPG to Residential_Existing 01</v>
      </c>
      <c r="P85" s="915" t="str">
        <f>RSD_Commodities!$C$11</f>
        <v>RSDOILLPG</v>
      </c>
      <c r="Q85" s="930" t="str">
        <f>RSD_Commodities!$M$16</f>
        <v>SH_Apt-F</v>
      </c>
      <c r="R85" s="931">
        <f t="shared" si="48"/>
        <v>1.9264110961279138E-4</v>
      </c>
      <c r="S85" s="932">
        <f>R85*DwellingStocks!$I$69/1000</f>
        <v>1.5431353950381456E-3</v>
      </c>
      <c r="T85" s="914">
        <v>1</v>
      </c>
      <c r="U85" s="914">
        <f t="shared" si="20"/>
        <v>0.65</v>
      </c>
      <c r="V85" s="930">
        <v>20</v>
      </c>
      <c r="W85" s="930">
        <v>1</v>
      </c>
      <c r="X85" s="840"/>
      <c r="Y85" s="920">
        <f t="shared" si="49"/>
        <v>2.182289392358329E-8</v>
      </c>
      <c r="Z85" s="921">
        <f t="shared" si="50"/>
        <v>2.4005056482895455E-8</v>
      </c>
      <c r="AA85" s="840"/>
      <c r="AB85" s="914" t="s">
        <v>393</v>
      </c>
      <c r="AC85" s="914" t="str">
        <f t="shared" si="51"/>
        <v>SH_Apt-F_OILLPG_X1</v>
      </c>
      <c r="AD85" s="914" t="str">
        <f t="shared" si="52"/>
        <v>Residential Space Heating Apartment-F_LPG to Residential_Existing 01</v>
      </c>
      <c r="AE85" s="914" t="s">
        <v>53</v>
      </c>
      <c r="AF85" s="914" t="s">
        <v>406</v>
      </c>
      <c r="AG85" s="914"/>
      <c r="AH85" s="914"/>
      <c r="AI85" s="840"/>
      <c r="AJ85" s="840"/>
      <c r="AK85" s="840"/>
      <c r="AL85" s="840"/>
      <c r="AM85" s="840"/>
      <c r="AN85" s="840"/>
    </row>
    <row r="86" spans="1:40">
      <c r="A86" s="758" t="s">
        <v>122</v>
      </c>
      <c r="B86" s="758" t="s">
        <v>665</v>
      </c>
      <c r="C86" s="758">
        <f>SUMIFS(INDEX(Table7[],,MATCH(C$6,Table7[#Headers],0)),Table7[MainSpaceHeatingFuel],$B86,Table7[EnergyRating (group)],$A86)</f>
        <v>1101363</v>
      </c>
      <c r="D86" s="758">
        <f>SUMIFS(INDEX(Table7[],,MATCH(D$6,Table7[#Headers],0)),Table7[MainSpaceHeatingFuel],$B86,Table7[EnergyRating (group)],$A86)</f>
        <v>1001238</v>
      </c>
      <c r="E86" s="759">
        <f>SUMIFS(INDEX(Table7[],,MATCH(E$6,Table7[#Headers],0)),Table7[MainSpaceHeatingFuel],$B86,Table7[EnergyRating (group)],$A86)</f>
        <v>132172</v>
      </c>
      <c r="F86" s="759">
        <f>SUMIFS(INDEX(Table7[],,MATCH(F$6,Table7[#Headers],0)),Table7[MainSpaceHeatingFuel],$B86,Table7[EnergyRating (group)],$A86)</f>
        <v>81042</v>
      </c>
      <c r="G86" s="758">
        <f>SUMIFS(INDEX(Table7[],,MATCH(G$6,Table7[#Headers],0)),Table7[MainSpaceHeatingFuel],$B86,Table7[EnergyRating (group)],$A86)</f>
        <v>66</v>
      </c>
      <c r="H86" s="758">
        <f>SUMIFS(INDEX(Table7[],,MATCH(H$6,Table7[#Headers],0)),Table7[MainSpaceHeatingFuel],$B86,Table7[EnergyRating (group)],$A86)</f>
        <v>4347</v>
      </c>
      <c r="I86" s="950">
        <f>AVERAGEIFS(INDEX(Table7[],,MATCH(I$6,Table7[#Headers],0)),Table7[MainSpaceHeatingFuel],$B86,Table7[EnergyRating (group)],$A86)</f>
        <v>56.5</v>
      </c>
      <c r="J86" s="849">
        <f>SUMIFS(INDEX(Table7[],,MATCH(J$6,Table7[#Headers],0)),Table7[MainSpaceHeatingFuel],$B86,Table7[EnergyRating (group)],$A86)</f>
        <v>1825858</v>
      </c>
      <c r="K86" s="849">
        <f>SUMIFS(INDEX(Table7[],,MATCH(K$6,Table7[#Headers],0)),Table7[MainSpaceHeatingFuel],$B86,Table7[EnergyRating (group)],$A86)</f>
        <v>1455385</v>
      </c>
      <c r="M86" s="840"/>
      <c r="N86" s="933" t="str">
        <f>RSD_Commodities!$M$16&amp;"_"&amp;RSD_Commodities!$C$26&amp;"_"&amp;SETUP!$B$67</f>
        <v>SH_Apt-F_RSDSMF_X0</v>
      </c>
      <c r="O86" s="933" t="str">
        <f>RSD_Commodities!$N$16&amp;"_"&amp;RSD_Commodities!$D$26&amp;"_"&amp;SETUP!$C$67</f>
        <v>Residential Space Heating Apartment-F_Solid Multi-Fuel_Existing 00</v>
      </c>
      <c r="P86" s="935" t="str">
        <f>RSD_Commodities!$C$6&amp;","&amp;RSD_Commodities!$C$7&amp;","&amp;RSD_Commodities!$C$9&amp;","&amp;RSD_Commodities!$C$10&amp;","&amp;RSD_Commodities!$C$19</f>
        <v>RSDCOABIT,RSDCOAHAR,RSDCOALIG,RSDPEA,RSDBIOWOO</v>
      </c>
      <c r="Q86" s="935" t="str">
        <f>RSD_Commodities!$M$16</f>
        <v>SH_Apt-F</v>
      </c>
      <c r="R86" s="936">
        <f t="shared" si="48"/>
        <v>1.2714313234444231E-2</v>
      </c>
      <c r="S86" s="937">
        <f>R86*DwellingStocks!$I$69/1000</f>
        <v>0.10184693607251762</v>
      </c>
      <c r="T86" s="933">
        <v>1</v>
      </c>
      <c r="U86" s="933">
        <f t="shared" si="20"/>
        <v>0.56499999999999995</v>
      </c>
      <c r="V86" s="935">
        <v>20</v>
      </c>
      <c r="W86" s="935">
        <v>1</v>
      </c>
      <c r="X86" s="840"/>
      <c r="Y86" s="922">
        <f t="shared" si="49"/>
        <v>4.5298726838040153E-5</v>
      </c>
      <c r="Z86" s="923">
        <f t="shared" si="50"/>
        <v>5.1629490529402616E-5</v>
      </c>
      <c r="AA86" s="840"/>
      <c r="AB86" s="933" t="s">
        <v>393</v>
      </c>
      <c r="AC86" s="933" t="str">
        <f t="shared" si="51"/>
        <v>SH_Apt-F_RSDSMF_X0</v>
      </c>
      <c r="AD86" s="933" t="str">
        <f t="shared" si="52"/>
        <v>Residential Space Heating Apartment-F_Solid Multi-Fuel_Existing 00</v>
      </c>
      <c r="AE86" s="933" t="s">
        <v>53</v>
      </c>
      <c r="AF86" s="933" t="s">
        <v>406</v>
      </c>
      <c r="AG86" s="933"/>
      <c r="AH86" s="933"/>
      <c r="AI86" s="840"/>
      <c r="AJ86" s="840"/>
      <c r="AK86" s="840"/>
      <c r="AL86" s="840"/>
      <c r="AM86" s="840"/>
      <c r="AN86" s="840"/>
    </row>
    <row r="87" spans="1:40">
      <c r="A87" s="757" t="s">
        <v>122</v>
      </c>
      <c r="B87" s="757" t="s">
        <v>669</v>
      </c>
      <c r="C87" s="757">
        <f>SUMIFS(INDEX(Table7[],,MATCH(C$6,Table7[#Headers],0)),Table7[MainSpaceHeatingFuel],$B87,Table7[EnergyRating (group)],$A87)</f>
        <v>449879</v>
      </c>
      <c r="D87" s="757">
        <f>SUMIFS(INDEX(Table7[],,MATCH(D$6,Table7[#Headers],0)),Table7[MainSpaceHeatingFuel],$B87,Table7[EnergyRating (group)],$A87)</f>
        <v>374899</v>
      </c>
      <c r="E87" s="760">
        <f>SUMIFS(INDEX(Table7[],,MATCH(E$6,Table7[#Headers],0)),Table7[MainSpaceHeatingFuel],$B87,Table7[EnergyRating (group)],$A87)</f>
        <v>50438</v>
      </c>
      <c r="F87" s="760">
        <f>SUMIFS(INDEX(Table7[],,MATCH(F$6,Table7[#Headers],0)),Table7[MainSpaceHeatingFuel],$B87,Table7[EnergyRating (group)],$A87)</f>
        <v>25472</v>
      </c>
      <c r="G87" s="757">
        <f>SUMIFS(INDEX(Table7[],,MATCH(G$6,Table7[#Headers],0)),Table7[MainSpaceHeatingFuel],$B87,Table7[EnergyRating (group)],$A87)</f>
        <v>31</v>
      </c>
      <c r="H87" s="757">
        <f>SUMIFS(INDEX(Table7[],,MATCH(H$6,Table7[#Headers],0)),Table7[MainSpaceHeatingFuel],$B87,Table7[EnergyRating (group)],$A87)</f>
        <v>1779</v>
      </c>
      <c r="I87" s="912">
        <f>AVERAGEIFS(INDEX(Table7[],,MATCH(I$6,Table7[#Headers],0)),Table7[MainSpaceHeatingFuel],$B87,Table7[EnergyRating (group)],$A87)</f>
        <v>51.5</v>
      </c>
      <c r="J87" s="847">
        <f>SUMIFS(INDEX(Table7[],,MATCH(J$6,Table7[#Headers],0)),Table7[MainSpaceHeatingFuel],$B87,Table7[EnergyRating (group)],$A87)</f>
        <v>744832</v>
      </c>
      <c r="K87" s="847">
        <f>SUMIFS(INDEX(Table7[],,MATCH(K$6,Table7[#Headers],0)),Table7[MainSpaceHeatingFuel],$B87,Table7[EnergyRating (group)],$A87)</f>
        <v>545635</v>
      </c>
      <c r="M87" s="840"/>
      <c r="N87" s="914" t="str">
        <f>RSD_Commodities!$M$16&amp;"_"&amp;RIGHT(P87,LEN(P87)-3)&amp;"_"&amp;SETUP!$B$67</f>
        <v>SH_Apt-F_COAHAR_X0</v>
      </c>
      <c r="O87" s="914" t="str">
        <f>RSD_Commodities!$N$16&amp;"_"&amp;RSD_Commodities!D7&amp;"_"&amp;SETUP!$C$67</f>
        <v>Residential Space Heating Apartment-F_Anthracite + Manufactured Ovoids to Residential_Existing 00</v>
      </c>
      <c r="P87" s="915" t="str">
        <f>RSD_Commodities!$C$7</f>
        <v>RSDCOAHAR</v>
      </c>
      <c r="Q87" s="930" t="str">
        <f>RSD_Commodities!$M$16</f>
        <v>SH_Apt-F</v>
      </c>
      <c r="R87" s="931">
        <f t="shared" si="48"/>
        <v>5.9718743979965327E-3</v>
      </c>
      <c r="S87" s="932">
        <f>R87*DwellingStocks!$I$69/1000</f>
        <v>4.7837197246182517E-2</v>
      </c>
      <c r="T87" s="914">
        <v>1</v>
      </c>
      <c r="U87" s="914">
        <f t="shared" si="20"/>
        <v>0.51500000000000001</v>
      </c>
      <c r="V87" s="930">
        <v>20</v>
      </c>
      <c r="W87" s="930">
        <v>1</v>
      </c>
      <c r="X87" s="840"/>
      <c r="Y87" s="920">
        <f t="shared" si="49"/>
        <v>7.870942396706032E-6</v>
      </c>
      <c r="Z87" s="921">
        <f t="shared" si="50"/>
        <v>9.8357930197061511E-6</v>
      </c>
      <c r="AA87" s="840"/>
      <c r="AB87" s="914" t="s">
        <v>393</v>
      </c>
      <c r="AC87" s="914" t="str">
        <f t="shared" si="51"/>
        <v>SH_Apt-F_COAHAR_X0</v>
      </c>
      <c r="AD87" s="914" t="str">
        <f t="shared" si="52"/>
        <v>Residential Space Heating Apartment-F_Anthracite + Manufactured Ovoids to Residential_Existing 00</v>
      </c>
      <c r="AE87" s="914" t="s">
        <v>53</v>
      </c>
      <c r="AF87" s="914" t="s">
        <v>406</v>
      </c>
      <c r="AG87" s="914"/>
      <c r="AH87" s="914"/>
      <c r="AI87" s="840"/>
      <c r="AJ87" s="840"/>
      <c r="AK87" s="840"/>
      <c r="AL87" s="840"/>
      <c r="AM87" s="840"/>
      <c r="AN87" s="840"/>
    </row>
    <row r="88" spans="1:40">
      <c r="A88" s="758" t="s">
        <v>122</v>
      </c>
      <c r="B88" s="758" t="s">
        <v>671</v>
      </c>
      <c r="C88" s="758">
        <f>SUMIFS(INDEX(Table7[],,MATCH(C$6,Table7[#Headers],0)),Table7[MainSpaceHeatingFuel],$B88,Table7[EnergyRating (group)],$A88)</f>
        <v>24775</v>
      </c>
      <c r="D88" s="758">
        <f>SUMIFS(INDEX(Table7[],,MATCH(D$6,Table7[#Headers],0)),Table7[MainSpaceHeatingFuel],$B88,Table7[EnergyRating (group)],$A88)</f>
        <v>22523</v>
      </c>
      <c r="E88" s="758">
        <f>SUMIFS(INDEX(Table7[],,MATCH(E$6,Table7[#Headers],0)),Table7[MainSpaceHeatingFuel],$B88,Table7[EnergyRating (group)],$A88)</f>
        <v>2065</v>
      </c>
      <c r="F88" s="758">
        <f>SUMIFS(INDEX(Table7[],,MATCH(F$6,Table7[#Headers],0)),Table7[MainSpaceHeatingFuel],$B88,Table7[EnergyRating (group)],$A88)</f>
        <v>1877</v>
      </c>
      <c r="G88" s="758">
        <f>SUMIFS(INDEX(Table7[],,MATCH(G$6,Table7[#Headers],0)),Table7[MainSpaceHeatingFuel],$B88,Table7[EnergyRating (group)],$A88)</f>
        <v>1</v>
      </c>
      <c r="H88" s="758">
        <f>SUMIFS(INDEX(Table7[],,MATCH(H$6,Table7[#Headers],0)),Table7[MainSpaceHeatingFuel],$B88,Table7[EnergyRating (group)],$A88)</f>
        <v>89</v>
      </c>
      <c r="I88" s="911">
        <f>AVERAGEIFS(INDEX(Table7[],,MATCH(I$6,Table7[#Headers],0)),Table7[MainSpaceHeatingFuel],$B88,Table7[EnergyRating (group)],$A88)</f>
        <v>45</v>
      </c>
      <c r="J88" s="849">
        <f>SUMIFS(INDEX(Table7[],,MATCH(J$6,Table7[#Headers],0)),Table7[MainSpaceHeatingFuel],$B88,Table7[EnergyRating (group)],$A88)</f>
        <v>37567</v>
      </c>
      <c r="K88" s="849">
        <f>SUMIFS(INDEX(Table7[],,MATCH(K$6,Table7[#Headers],0)),Table7[MainSpaceHeatingFuel],$B88,Table7[EnergyRating (group)],$A88)</f>
        <v>31711</v>
      </c>
      <c r="M88" s="840"/>
      <c r="N88" s="935" t="str">
        <f>RSD_Commodities!$M$16&amp;"_"&amp;RIGHT(P88,LEN(P88)-3)&amp;"_"&amp;SETUP!$B$67</f>
        <v>SH_Apt-F_PEA_X0</v>
      </c>
      <c r="O88" s="935" t="str">
        <f>RSD_Commodities!$N$16&amp;"_"&amp;RSD_Commodities!$D$10&amp;"_"&amp;SETUP!$C$67</f>
        <v>Residential Space Heating Apartment-F_Peat to Residential_Existing 00</v>
      </c>
      <c r="P88" s="934" t="str">
        <f>RSD_Commodities!$C$10</f>
        <v>RSDPEA</v>
      </c>
      <c r="Q88" s="935" t="str">
        <f>RSD_Commodities!$M$16</f>
        <v>SH_Apt-F</v>
      </c>
      <c r="R88" s="936">
        <f t="shared" si="48"/>
        <v>1.9264110961279138E-4</v>
      </c>
      <c r="S88" s="937">
        <f>R88*DwellingStocks!$I$69/1000</f>
        <v>1.5431353950381456E-3</v>
      </c>
      <c r="T88" s="933">
        <v>1</v>
      </c>
      <c r="U88" s="933">
        <f t="shared" si="20"/>
        <v>0.45</v>
      </c>
      <c r="V88" s="935">
        <v>20</v>
      </c>
      <c r="W88" s="935">
        <v>1</v>
      </c>
      <c r="X88" s="840"/>
      <c r="Y88" s="922">
        <f t="shared" si="49"/>
        <v>1.5473631632437297E-8</v>
      </c>
      <c r="Z88" s="923">
        <f t="shared" si="50"/>
        <v>1.7020994795681028E-8</v>
      </c>
      <c r="AA88" s="840"/>
      <c r="AB88" s="840" t="s">
        <v>393</v>
      </c>
      <c r="AC88" s="840" t="str">
        <f t="shared" si="51"/>
        <v>SH_Apt-F_PEA_X0</v>
      </c>
      <c r="AD88" s="840" t="str">
        <f t="shared" si="52"/>
        <v>Residential Space Heating Apartment-F_Peat to Residential_Existing 00</v>
      </c>
      <c r="AE88" s="840" t="s">
        <v>53</v>
      </c>
      <c r="AF88" s="840" t="s">
        <v>406</v>
      </c>
      <c r="AG88" s="840"/>
      <c r="AH88" s="840"/>
      <c r="AI88" s="840"/>
      <c r="AJ88" s="840"/>
      <c r="AK88" s="840"/>
      <c r="AL88" s="840"/>
      <c r="AM88" s="840"/>
      <c r="AN88" s="840"/>
    </row>
    <row r="89" spans="1:40">
      <c r="A89" s="757" t="s">
        <v>122</v>
      </c>
      <c r="B89" s="757" t="s">
        <v>666</v>
      </c>
      <c r="C89" s="757">
        <f>SUMIFS(INDEX(Table7[],,MATCH(C$6,Table7[#Headers],0)),Table7[MainSpaceHeatingFuel],$B89,Table7[EnergyRating (group)],$A89)</f>
        <v>283982</v>
      </c>
      <c r="D89" s="757">
        <f>SUMIFS(INDEX(Table7[],,MATCH(D$6,Table7[#Headers],0)),Table7[MainSpaceHeatingFuel],$B89,Table7[EnergyRating (group)],$A89)</f>
        <v>258165</v>
      </c>
      <c r="E89" s="757">
        <f>SUMIFS(INDEX(Table7[],,MATCH(E$6,Table7[#Headers],0)),Table7[MainSpaceHeatingFuel],$B89,Table7[EnergyRating (group)],$A89)</f>
        <v>39061</v>
      </c>
      <c r="F89" s="757">
        <f>SUMIFS(INDEX(Table7[],,MATCH(F$6,Table7[#Headers],0)),Table7[MainSpaceHeatingFuel],$B89,Table7[EnergyRating (group)],$A89)</f>
        <v>33020</v>
      </c>
      <c r="G89" s="757">
        <f>SUMIFS(INDEX(Table7[],,MATCH(G$6,Table7[#Headers],0)),Table7[MainSpaceHeatingFuel],$B89,Table7[EnergyRating (group)],$A89)</f>
        <v>16</v>
      </c>
      <c r="H89" s="757">
        <f>SUMIFS(INDEX(Table7[],,MATCH(H$6,Table7[#Headers],0)),Table7[MainSpaceHeatingFuel],$B89,Table7[EnergyRating (group)],$A89)</f>
        <v>1168</v>
      </c>
      <c r="I89" s="912">
        <f>AVERAGEIFS(INDEX(Table7[],,MATCH(I$6,Table7[#Headers],0)),Table7[MainSpaceHeatingFuel],$B89,Table7[EnergyRating (group)],$A89)</f>
        <v>55</v>
      </c>
      <c r="J89" s="847">
        <f>SUMIFS(INDEX(Table7[],,MATCH(J$6,Table7[#Headers],0)),Table7[MainSpaceHeatingFuel],$B89,Table7[EnergyRating (group)],$A89)</f>
        <v>483507</v>
      </c>
      <c r="K89" s="847">
        <f>SUMIFS(INDEX(Table7[],,MATCH(K$6,Table7[#Headers],0)),Table7[MainSpaceHeatingFuel],$B89,Table7[EnergyRating (group)],$A89)</f>
        <v>397154</v>
      </c>
      <c r="M89" s="840"/>
      <c r="N89" s="914" t="str">
        <f>RSD_Commodities!$M$16&amp;"_"&amp;RIGHT(P89,LEN(P89)-3)&amp;"_"&amp;SETUP!$B$67</f>
        <v>SH_Apt-F_COABIT_X0</v>
      </c>
      <c r="O89" s="914" t="str">
        <f>RSD_Commodities!$N$16&amp;"_"&amp;RSD_Commodities!D6&amp;"_"&amp;SETUP!$C$67</f>
        <v>Residential Space Heating Apartment-F_Bituminous Coal to Residential_Existing 00</v>
      </c>
      <c r="P89" s="930" t="str">
        <f>RSD_Commodities!$C$6</f>
        <v>RSDCOABIT</v>
      </c>
      <c r="Q89" s="930" t="str">
        <f>RSD_Commodities!$M$16</f>
        <v>SH_Apt-F</v>
      </c>
      <c r="R89" s="931">
        <f t="shared" si="48"/>
        <v>3.0822577538046621E-3</v>
      </c>
      <c r="S89" s="932">
        <f>R89*DwellingStocks!$I$69/1000</f>
        <v>2.4690166320610329E-2</v>
      </c>
      <c r="T89" s="914">
        <v>1</v>
      </c>
      <c r="U89" s="914">
        <f t="shared" si="20"/>
        <v>0.55000000000000004</v>
      </c>
      <c r="V89" s="930">
        <v>20</v>
      </c>
      <c r="W89" s="930">
        <v>1</v>
      </c>
      <c r="X89" s="840"/>
      <c r="Y89" s="920">
        <f t="shared" si="49"/>
        <v>2.9545504438631176E-6</v>
      </c>
      <c r="Z89" s="921">
        <f t="shared" si="50"/>
        <v>3.2778022186475029E-6</v>
      </c>
      <c r="AA89" s="840"/>
      <c r="AB89" s="914" t="s">
        <v>393</v>
      </c>
      <c r="AC89" s="914" t="str">
        <f t="shared" si="51"/>
        <v>SH_Apt-F_COABIT_X0</v>
      </c>
      <c r="AD89" s="914" t="str">
        <f t="shared" si="52"/>
        <v>Residential Space Heating Apartment-F_Bituminous Coal to Residential_Existing 00</v>
      </c>
      <c r="AE89" s="914" t="s">
        <v>53</v>
      </c>
      <c r="AF89" s="914" t="s">
        <v>406</v>
      </c>
      <c r="AG89" s="914"/>
      <c r="AH89" s="914"/>
      <c r="AI89" s="840"/>
      <c r="AJ89" s="840"/>
      <c r="AK89" s="840"/>
      <c r="AL89" s="840"/>
      <c r="AM89" s="840"/>
      <c r="AN89" s="840"/>
    </row>
    <row r="90" spans="1:40" ht="15.75" thickBot="1">
      <c r="A90" s="758" t="s">
        <v>122</v>
      </c>
      <c r="B90" s="758" t="s">
        <v>673</v>
      </c>
      <c r="C90" s="758">
        <f>SUMIFS(INDEX(Table7[],,MATCH(C$6,Table7[#Headers],0)),Table7[MainSpaceHeatingFuel],$B90,Table7[EnergyRating (group)],$A90)</f>
        <v>10514</v>
      </c>
      <c r="D90" s="758">
        <f>SUMIFS(INDEX(Table7[],,MATCH(D$6,Table7[#Headers],0)),Table7[MainSpaceHeatingFuel],$B90,Table7[EnergyRating (group)],$A90)</f>
        <v>9558</v>
      </c>
      <c r="E90" s="759">
        <f>SUMIFS(INDEX(Table7[],,MATCH(E$6,Table7[#Headers],0)),Table7[MainSpaceHeatingFuel],$B90,Table7[EnergyRating (group)],$A90)</f>
        <v>2116</v>
      </c>
      <c r="F90" s="759">
        <f>SUMIFS(INDEX(Table7[],,MATCH(F$6,Table7[#Headers],0)),Table7[MainSpaceHeatingFuel],$B90,Table7[EnergyRating (group)],$A90)</f>
        <v>784</v>
      </c>
      <c r="G90" s="758">
        <f>SUMIFS(INDEX(Table7[],,MATCH(G$6,Table7[#Headers],0)),Table7[MainSpaceHeatingFuel],$B90,Table7[EnergyRating (group)],$A90)</f>
        <v>1</v>
      </c>
      <c r="H90" s="758">
        <f>SUMIFS(INDEX(Table7[],,MATCH(H$6,Table7[#Headers],0)),Table7[MainSpaceHeatingFuel],$B90,Table7[EnergyRating (group)],$A90)</f>
        <v>46</v>
      </c>
      <c r="I90" s="911">
        <f>AVERAGEIFS(INDEX(Table7[],,MATCH(I$6,Table7[#Headers],0)),Table7[MainSpaceHeatingFuel],$B90,Table7[EnergyRating (group)],$A90)</f>
        <v>74</v>
      </c>
      <c r="J90" s="849">
        <f>SUMIFS(INDEX(Table7[],,MATCH(J$6,Table7[#Headers],0)),Table7[MainSpaceHeatingFuel],$B90,Table7[EnergyRating (group)],$A90)</f>
        <v>19959</v>
      </c>
      <c r="K90" s="849">
        <f>SUMIFS(INDEX(Table7[],,MATCH(K$6,Table7[#Headers],0)),Table7[MainSpaceHeatingFuel],$B90,Table7[EnergyRating (group)],$A90)</f>
        <v>13057</v>
      </c>
      <c r="L90" s="840"/>
      <c r="M90" s="840"/>
      <c r="N90" s="933" t="str">
        <f>RSD_Commodities!$M$16&amp;"_"&amp;RIGHT(P90,LEN(P90)-3)&amp;"_"&amp;SETUP!$B$68</f>
        <v>SH_Apt-F_BIOWOO_X1</v>
      </c>
      <c r="O90" s="933" t="str">
        <f>RSD_Commodities!$N$16&amp;"_"&amp;RSD_Commodities!D19&amp;"_"&amp;SETUP!$C$68</f>
        <v>Residential Space Heating Apartment-F_Biomass &amp; Renewable Waste to Residential_Existing 01</v>
      </c>
      <c r="P90" s="935" t="str">
        <f>RSD_Commodities!$C$19</f>
        <v>RSDBIOWOO</v>
      </c>
      <c r="Q90" s="935" t="str">
        <f>RSD_Commodities!$M$16</f>
        <v>SH_Apt-F</v>
      </c>
      <c r="R90" s="936">
        <f t="shared" si="48"/>
        <v>1.9264110961279138E-4</v>
      </c>
      <c r="S90" s="937">
        <f>R90*DwellingStocks!$I$69/1000</f>
        <v>1.5431353950381456E-3</v>
      </c>
      <c r="T90" s="933">
        <v>1</v>
      </c>
      <c r="U90" s="933">
        <f t="shared" si="20"/>
        <v>0.74</v>
      </c>
      <c r="V90" s="935">
        <v>20</v>
      </c>
      <c r="W90" s="935">
        <v>1</v>
      </c>
      <c r="X90" s="840"/>
      <c r="Y90" s="922">
        <f t="shared" ref="Y90" si="53">ABS((D90+F90)*S90*1000*$B$2)</f>
        <v>6.5585368173223984E-9</v>
      </c>
      <c r="Z90" s="923">
        <f t="shared" ref="Z90" si="54">ABS((C90+E90)*S90*1000*$B$2)</f>
        <v>8.0095068654788135E-9</v>
      </c>
      <c r="AA90" s="840"/>
      <c r="AB90" s="933" t="s">
        <v>393</v>
      </c>
      <c r="AC90" s="933" t="str">
        <f t="shared" si="51"/>
        <v>SH_Apt-F_BIOWOO_X1</v>
      </c>
      <c r="AD90" s="933" t="str">
        <f t="shared" si="52"/>
        <v>Residential Space Heating Apartment-F_Biomass &amp; Renewable Waste to Residential_Existing 01</v>
      </c>
      <c r="AE90" s="933" t="s">
        <v>53</v>
      </c>
      <c r="AF90" s="933" t="s">
        <v>406</v>
      </c>
      <c r="AG90" s="933"/>
      <c r="AH90" s="933"/>
      <c r="AI90" s="840"/>
      <c r="AJ90" s="840"/>
      <c r="AK90" s="840"/>
      <c r="AL90" s="840"/>
      <c r="AM90" s="840"/>
      <c r="AN90" s="840"/>
    </row>
    <row r="91" spans="1:40" ht="15.75" thickBot="1">
      <c r="A91" s="756" t="s">
        <v>124</v>
      </c>
      <c r="B91" s="1048"/>
      <c r="C91" s="1049"/>
      <c r="D91" s="1049"/>
      <c r="E91" s="1049"/>
      <c r="F91" s="1049"/>
      <c r="G91" s="1049"/>
      <c r="H91" s="1049"/>
      <c r="I91" s="1053"/>
      <c r="J91" s="736" t="s">
        <v>565</v>
      </c>
      <c r="K91" s="737" t="s">
        <v>565</v>
      </c>
      <c r="L91" s="840"/>
      <c r="M91" s="840"/>
      <c r="N91" s="76" t="str">
        <f>AB91</f>
        <v>*G Rating</v>
      </c>
      <c r="O91" s="76"/>
      <c r="P91" s="76"/>
      <c r="Q91" s="76"/>
      <c r="R91" s="949">
        <f>SUM(R92:R105)</f>
        <v>0.99999999999999989</v>
      </c>
      <c r="S91" s="76"/>
      <c r="T91" s="97"/>
      <c r="U91" s="76"/>
      <c r="V91" s="76"/>
      <c r="W91" s="76"/>
      <c r="X91" s="840"/>
      <c r="Y91" s="76"/>
      <c r="Z91" s="76"/>
      <c r="AA91" s="840"/>
      <c r="AB91" s="140" t="str">
        <f>"*"&amp; A92 &amp; " Rating"</f>
        <v>*G Rating</v>
      </c>
      <c r="AC91" s="141"/>
      <c r="AD91" s="141"/>
      <c r="AE91" s="141"/>
      <c r="AF91" s="141"/>
      <c r="AG91" s="141"/>
      <c r="AH91" s="141"/>
      <c r="AI91" s="840"/>
      <c r="AJ91" s="840"/>
      <c r="AK91" s="840"/>
      <c r="AL91" s="840"/>
      <c r="AM91" s="840"/>
      <c r="AN91" s="840"/>
    </row>
    <row r="92" spans="1:40">
      <c r="A92" s="758" t="s">
        <v>124</v>
      </c>
      <c r="B92" s="758" t="s">
        <v>582</v>
      </c>
      <c r="C92" s="758">
        <f>SUMIFS(INDEX(Table7[],,MATCH(C$6,Table7[#Headers],0)),Table7[MainSpaceHeatingFuel],$B92,Table7[EnergyRating (group)],$A92)</f>
        <v>469934</v>
      </c>
      <c r="D92" s="758">
        <f>SUMIFS(INDEX(Table7[],,MATCH(D$6,Table7[#Headers],0)),Table7[MainSpaceHeatingFuel],$B92,Table7[EnergyRating (group)],$A92)</f>
        <v>427212</v>
      </c>
      <c r="E92" s="759">
        <f>SUMIFS(INDEX(Table7[],,MATCH(E$6,Table7[#Headers],0)),Table7[MainSpaceHeatingFuel],$B92,Table7[EnergyRating (group)],$A92)</f>
        <v>85799</v>
      </c>
      <c r="F92" s="759">
        <f>SUMIFS(INDEX(Table7[],,MATCH(F$6,Table7[#Headers],0)),Table7[MainSpaceHeatingFuel],$B92,Table7[EnergyRating (group)],$A92)</f>
        <v>76466</v>
      </c>
      <c r="G92" s="758">
        <f>SUMIFS(INDEX(Table7[],,MATCH(G$6,Table7[#Headers],0)),Table7[MainSpaceHeatingFuel],$B92,Table7[EnergyRating (group)],$A92)</f>
        <v>14</v>
      </c>
      <c r="H92" s="758">
        <f>SUMIFS(INDEX(Table7[],,MATCH(H$6,Table7[#Headers],0)),Table7[MainSpaceHeatingFuel],$B92,Table7[EnergyRating (group)],$A92)</f>
        <v>1336</v>
      </c>
      <c r="I92" s="911">
        <f>AVERAGEIFS(INDEX(Table7[],,MATCH(I$6,Table7[#Headers],0)),Table7[MainSpaceHeatingFuel],$B92,Table7[EnergyRating (group)],$A92)</f>
        <v>71.333333333333329</v>
      </c>
      <c r="J92" s="849">
        <f>SUMIFS(INDEX(Table7[],,MATCH(J$6,Table7[#Headers],0)),Table7[MainSpaceHeatingFuel],$B92,Table7[EnergyRating (group)],$A92)</f>
        <v>683523</v>
      </c>
      <c r="K92" s="849">
        <f>SUMIFS(INDEX(Table7[],,MATCH(K$6,Table7[#Headers],0)),Table7[MainSpaceHeatingFuel],$B92,Table7[EnergyRating (group)],$A92)</f>
        <v>590685</v>
      </c>
      <c r="L92" s="840"/>
      <c r="M92" s="840"/>
      <c r="N92" s="933" t="str">
        <f>RSD_Commodities!$M$17&amp;"_"&amp;RIGHT(P92,LEN(P92)-3)&amp;"_"&amp;SETUP!$B$67</f>
        <v>SH_Apt-G_OILLPG_X0</v>
      </c>
      <c r="O92" s="933" t="str">
        <f>RSD_Commodities!$N$17&amp;"_"&amp;RSD_Commodities!D11&amp;"_"&amp;SETUP!$C$67</f>
        <v>Residential Space Heating Apartment-G_LPG to Residential_Existing 00</v>
      </c>
      <c r="P92" s="934" t="str">
        <f>RSD_Commodities!$C$11</f>
        <v>RSDOILLPG</v>
      </c>
      <c r="Q92" s="935" t="str">
        <f>RSD_Commodities!$M$17</f>
        <v>SH_Apt-G</v>
      </c>
      <c r="R92" s="936">
        <f>G92/SUM($G$92:$G$105)</f>
        <v>2.4986614313760487E-3</v>
      </c>
      <c r="S92" s="937">
        <f>R92*DwellingStocks!$I$70/1000</f>
        <v>2.1632638870017318E-2</v>
      </c>
      <c r="T92" s="935">
        <v>1</v>
      </c>
      <c r="U92" s="954">
        <f t="shared" si="20"/>
        <v>0.71333333333333326</v>
      </c>
      <c r="V92" s="935">
        <v>20</v>
      </c>
      <c r="W92" s="935">
        <v>1</v>
      </c>
      <c r="X92" s="840"/>
      <c r="Y92" s="918">
        <f>ABS((D92+F92)*S92*1000*$B$2)</f>
        <v>4.4777606633311991E-6</v>
      </c>
      <c r="Z92" s="919">
        <f>ABS((C92+E92)*S92*1000*$B$2)</f>
        <v>4.9405361495142482E-6</v>
      </c>
      <c r="AA92" s="840"/>
      <c r="AB92" s="933" t="s">
        <v>393</v>
      </c>
      <c r="AC92" s="933" t="str">
        <f>N92</f>
        <v>SH_Apt-G_OILLPG_X0</v>
      </c>
      <c r="AD92" s="933" t="str">
        <f>O92</f>
        <v>Residential Space Heating Apartment-G_LPG to Residential_Existing 00</v>
      </c>
      <c r="AE92" s="933" t="s">
        <v>53</v>
      </c>
      <c r="AF92" s="933" t="s">
        <v>406</v>
      </c>
      <c r="AG92" s="933"/>
      <c r="AH92" s="933"/>
      <c r="AI92" s="840"/>
      <c r="AJ92" s="840"/>
      <c r="AK92" s="840"/>
      <c r="AL92" s="840"/>
      <c r="AM92" s="840"/>
      <c r="AN92" s="840"/>
    </row>
    <row r="93" spans="1:40">
      <c r="A93" s="757" t="s">
        <v>124</v>
      </c>
      <c r="B93" s="757" t="s">
        <v>228</v>
      </c>
      <c r="C93" s="757">
        <f>SUMIFS(INDEX(Table7[],,MATCH(C$6,Table7[#Headers],0)),Table7[MainSpaceHeatingFuel],$B93,Table7[EnergyRating (group)],$A93)</f>
        <v>91308033</v>
      </c>
      <c r="D93" s="757">
        <f>SUMIFS(INDEX(Table7[],,MATCH(D$6,Table7[#Headers],0)),Table7[MainSpaceHeatingFuel],$B93,Table7[EnergyRating (group)],$A93)</f>
        <v>33817789</v>
      </c>
      <c r="E93" s="757">
        <f>SUMIFS(INDEX(Table7[],,MATCH(E$6,Table7[#Headers],0)),Table7[MainSpaceHeatingFuel],$B93,Table7[EnergyRating (group)],$A93)</f>
        <v>10439080</v>
      </c>
      <c r="F93" s="757">
        <f>SUMIFS(INDEX(Table7[],,MATCH(F$6,Table7[#Headers],0)),Table7[MainSpaceHeatingFuel],$B93,Table7[EnergyRating (group)],$A93)</f>
        <v>6063770</v>
      </c>
      <c r="G93" s="757">
        <f>SUMIFS(INDEX(Table7[],,MATCH(G$6,Table7[#Headers],0)),Table7[MainSpaceHeatingFuel],$B93,Table7[EnergyRating (group)],$A93)</f>
        <v>4332</v>
      </c>
      <c r="H93" s="757">
        <f>SUMIFS(INDEX(Table7[],,MATCH(H$6,Table7[#Headers],0)),Table7[MainSpaceHeatingFuel],$B93,Table7[EnergyRating (group)],$A93)</f>
        <v>214081</v>
      </c>
      <c r="I93" s="912">
        <f>AVERAGEIFS(INDEX(Table7[],,MATCH(I$6,Table7[#Headers],0)),Table7[MainSpaceHeatingFuel],$B93,Table7[EnergyRating (group)],$A93)</f>
        <v>100</v>
      </c>
      <c r="J93" s="847">
        <f>SUMIFS(INDEX(Table7[],,MATCH(J$6,Table7[#Headers],0)),Table7[MainSpaceHeatingFuel],$B93,Table7[EnergyRating (group)],$A93)</f>
        <v>129949053</v>
      </c>
      <c r="K93" s="847">
        <f>SUMIFS(INDEX(Table7[],,MATCH(K$6,Table7[#Headers],0)),Table7[MainSpaceHeatingFuel],$B93,Table7[EnergyRating (group)],$A93)</f>
        <v>50381015</v>
      </c>
      <c r="L93" s="840"/>
      <c r="M93" s="840"/>
      <c r="N93" s="914" t="str">
        <f>RSD_Commodities!$M$17&amp;"_"&amp;RIGHT(P93,LEN(P93)-3)&amp;"_"&amp;SETUP!$B$67</f>
        <v>SH_Apt-G_ELCD_X0</v>
      </c>
      <c r="O93" s="914" t="str">
        <f>RSD_Commodities!$N$17&amp;"_"&amp;RSD_Commodities!D27&amp;"_"&amp;SETUP!$C$67</f>
        <v>Residential Space Heating Apartment-G_Electricity to Residential_Existing 00</v>
      </c>
      <c r="P93" s="930" t="str">
        <f>RSD_Commodities!$C$27</f>
        <v>RSDELCD</v>
      </c>
      <c r="Q93" s="930" t="str">
        <f>RSD_Commodities!$M$17</f>
        <v>SH_Apt-G</v>
      </c>
      <c r="R93" s="931">
        <f t="shared" ref="R93:R105" si="55">G93/SUM($G$92:$G$105)</f>
        <v>0.77315723719436014</v>
      </c>
      <c r="S93" s="932">
        <f>R93*DwellingStocks!$I$70/1000</f>
        <v>6.6937565417796439</v>
      </c>
      <c r="T93" s="930">
        <v>1</v>
      </c>
      <c r="U93" s="916">
        <f t="shared" si="20"/>
        <v>1</v>
      </c>
      <c r="V93" s="930">
        <v>20</v>
      </c>
      <c r="W93" s="930">
        <v>1</v>
      </c>
      <c r="X93" s="840"/>
      <c r="Y93" s="920">
        <f t="shared" ref="Y93:Y102" si="56">ABS((D93+F93)*S93*1000*$B$2)</f>
        <v>0.10970853963806337</v>
      </c>
      <c r="Z93" s="921">
        <f t="shared" ref="Z93:Z102" si="57">ABS((C93+E93)*S93*1000*$B$2)</f>
        <v>0.27989194654148331</v>
      </c>
      <c r="AA93" s="840"/>
      <c r="AB93" s="914" t="s">
        <v>393</v>
      </c>
      <c r="AC93" s="914" t="str">
        <f t="shared" ref="AC93:AC96" si="58">N93</f>
        <v>SH_Apt-G_ELCD_X0</v>
      </c>
      <c r="AD93" s="914" t="str">
        <f t="shared" ref="AD93:AD96" si="59">O93</f>
        <v>Residential Space Heating Apartment-G_Electricity to Residential_Existing 00</v>
      </c>
      <c r="AE93" s="914" t="s">
        <v>53</v>
      </c>
      <c r="AF93" s="914" t="s">
        <v>406</v>
      </c>
      <c r="AG93" s="914"/>
      <c r="AH93" s="914"/>
      <c r="AI93" s="840"/>
      <c r="AJ93" s="840"/>
      <c r="AK93" s="840"/>
      <c r="AL93" s="840"/>
      <c r="AM93" s="840"/>
      <c r="AN93" s="840"/>
    </row>
    <row r="94" spans="1:40">
      <c r="A94" s="758" t="s">
        <v>124</v>
      </c>
      <c r="B94" s="758" t="s">
        <v>583</v>
      </c>
      <c r="C94" s="758">
        <f>SUMIFS(INDEX(Table7[],,MATCH(C$6,Table7[#Headers],0)),Table7[MainSpaceHeatingFuel],$B94,Table7[EnergyRating (group)],$A94)</f>
        <v>9755150</v>
      </c>
      <c r="D94" s="758">
        <f>SUMIFS(INDEX(Table7[],,MATCH(D$6,Table7[#Headers],0)),Table7[MainSpaceHeatingFuel],$B94,Table7[EnergyRating (group)],$A94)</f>
        <v>8868318</v>
      </c>
      <c r="E94" s="759">
        <f>SUMIFS(INDEX(Table7[],,MATCH(E$6,Table7[#Headers],0)),Table7[MainSpaceHeatingFuel],$B94,Table7[EnergyRating (group)],$A94)</f>
        <v>1738815</v>
      </c>
      <c r="F94" s="759">
        <f>SUMIFS(INDEX(Table7[],,MATCH(F$6,Table7[#Headers],0)),Table7[MainSpaceHeatingFuel],$B94,Table7[EnergyRating (group)],$A94)</f>
        <v>1483465</v>
      </c>
      <c r="G94" s="758">
        <f>SUMIFS(INDEX(Table7[],,MATCH(G$6,Table7[#Headers],0)),Table7[MainSpaceHeatingFuel],$B94,Table7[EnergyRating (group)],$A94)</f>
        <v>318</v>
      </c>
      <c r="H94" s="758">
        <f>SUMIFS(INDEX(Table7[],,MATCH(H$6,Table7[#Headers],0)),Table7[MainSpaceHeatingFuel],$B94,Table7[EnergyRating (group)],$A94)</f>
        <v>26067</v>
      </c>
      <c r="I94" s="911">
        <f>AVERAGEIFS(INDEX(Table7[],,MATCH(I$6,Table7[#Headers],0)),Table7[MainSpaceHeatingFuel],$B94,Table7[EnergyRating (group)],$A94)</f>
        <v>70</v>
      </c>
      <c r="J94" s="849">
        <f>SUMIFS(INDEX(Table7[],,MATCH(J$6,Table7[#Headers],0)),Table7[MainSpaceHeatingFuel],$B94,Table7[EnergyRating (group)],$A94)</f>
        <v>14245861</v>
      </c>
      <c r="K94" s="849">
        <f>SUMIFS(INDEX(Table7[],,MATCH(K$6,Table7[#Headers],0)),Table7[MainSpaceHeatingFuel],$B94,Table7[EnergyRating (group)],$A94)</f>
        <v>12077806</v>
      </c>
      <c r="L94" s="840"/>
      <c r="M94" s="840"/>
      <c r="N94" s="933" t="str">
        <f>RSD_Commodities!$M$17&amp;"_"&amp;RIGHT(P94,LEN(P94)-3)&amp;"_"&amp;SETUP!$B$67</f>
        <v>SH_Apt-G_OILKER_X0</v>
      </c>
      <c r="O94" s="933" t="str">
        <f>RSD_Commodities!$N$17&amp;"_"&amp;RSD_Commodities!D13&amp;"_"&amp;SETUP!$C$67</f>
        <v>Residential Space Heating Apartment-G_Kerosene to Residential_Existing 00</v>
      </c>
      <c r="P94" s="935" t="str">
        <f>RSD_Commodities!$C$13</f>
        <v>RSDOILKER</v>
      </c>
      <c r="Q94" s="935" t="str">
        <f>RSD_Commodities!$M$17</f>
        <v>SH_Apt-G</v>
      </c>
      <c r="R94" s="936">
        <f t="shared" si="55"/>
        <v>5.6755309655541673E-2</v>
      </c>
      <c r="S94" s="937">
        <f>R94*DwellingStocks!$I$70/1000</f>
        <v>0.4913699400475362</v>
      </c>
      <c r="T94" s="935">
        <v>1</v>
      </c>
      <c r="U94" s="954">
        <f t="shared" si="20"/>
        <v>0.7</v>
      </c>
      <c r="V94" s="935">
        <v>20</v>
      </c>
      <c r="W94" s="935">
        <v>1</v>
      </c>
      <c r="X94" s="840"/>
      <c r="Y94" s="922">
        <f t="shared" si="56"/>
        <v>2.0903650652445635E-3</v>
      </c>
      <c r="Z94" s="923">
        <f t="shared" si="57"/>
        <v>2.3210091340925259E-3</v>
      </c>
      <c r="AA94" s="840"/>
      <c r="AB94" s="933" t="s">
        <v>393</v>
      </c>
      <c r="AC94" s="933" t="str">
        <f t="shared" si="58"/>
        <v>SH_Apt-G_OILKER_X0</v>
      </c>
      <c r="AD94" s="933" t="str">
        <f t="shared" si="59"/>
        <v>Residential Space Heating Apartment-G_Kerosene to Residential_Existing 00</v>
      </c>
      <c r="AE94" s="933" t="s">
        <v>53</v>
      </c>
      <c r="AF94" s="933" t="s">
        <v>406</v>
      </c>
      <c r="AG94" s="933"/>
      <c r="AH94" s="933"/>
      <c r="AI94" s="840"/>
      <c r="AJ94" s="840"/>
      <c r="AK94" s="840"/>
      <c r="AL94" s="840"/>
      <c r="AM94" s="840"/>
      <c r="AN94" s="840"/>
    </row>
    <row r="95" spans="1:40">
      <c r="A95" s="757" t="s">
        <v>124</v>
      </c>
      <c r="B95" s="757" t="s">
        <v>584</v>
      </c>
      <c r="C95" s="757">
        <f>SUMIFS(INDEX(Table7[],,MATCH(C$6,Table7[#Headers],0)),Table7[MainSpaceHeatingFuel],$B95,Table7[EnergyRating (group)],$A95)</f>
        <v>9196960</v>
      </c>
      <c r="D95" s="757">
        <f>SUMIFS(INDEX(Table7[],,MATCH(D$6,Table7[#Headers],0)),Table7[MainSpaceHeatingFuel],$B95,Table7[EnergyRating (group)],$A95)</f>
        <v>8360873</v>
      </c>
      <c r="E95" s="760">
        <f>SUMIFS(INDEX(Table7[],,MATCH(E$6,Table7[#Headers],0)),Table7[MainSpaceHeatingFuel],$B95,Table7[EnergyRating (group)],$A95)</f>
        <v>1593931</v>
      </c>
      <c r="F95" s="760">
        <f>SUMIFS(INDEX(Table7[],,MATCH(F$6,Table7[#Headers],0)),Table7[MainSpaceHeatingFuel],$B95,Table7[EnergyRating (group)],$A95)</f>
        <v>1328039</v>
      </c>
      <c r="G95" s="757">
        <f>SUMIFS(INDEX(Table7[],,MATCH(G$6,Table7[#Headers],0)),Table7[MainSpaceHeatingFuel],$B95,Table7[EnergyRating (group)],$A95)</f>
        <v>485</v>
      </c>
      <c r="H95" s="757">
        <f>SUMIFS(INDEX(Table7[],,MATCH(H$6,Table7[#Headers],0)),Table7[MainSpaceHeatingFuel],$B95,Table7[EnergyRating (group)],$A95)</f>
        <v>26970</v>
      </c>
      <c r="I95" s="912">
        <f>AVERAGEIFS(INDEX(Table7[],,MATCH(I$6,Table7[#Headers],0)),Table7[MainSpaceHeatingFuel],$B95,Table7[EnergyRating (group)],$A95)</f>
        <v>78.666666666666671</v>
      </c>
      <c r="J95" s="847">
        <f>SUMIFS(INDEX(Table7[],,MATCH(J$6,Table7[#Headers],0)),Table7[MainSpaceHeatingFuel],$B95,Table7[EnergyRating (group)],$A95)</f>
        <v>14251397</v>
      </c>
      <c r="K95" s="847">
        <f>SUMIFS(INDEX(Table7[],,MATCH(K$6,Table7[#Headers],0)),Table7[MainSpaceHeatingFuel],$B95,Table7[EnergyRating (group)],$A95)</f>
        <v>11910732</v>
      </c>
      <c r="L95" s="840"/>
      <c r="M95" s="840"/>
      <c r="N95" s="914" t="str">
        <f>RSD_Commodities!$M$17&amp;"_"&amp;RIGHT(P95,LEN(P95)-3)&amp;"_"&amp;SETUP!$B$67</f>
        <v>SH_Apt-G_GASNAT_X0</v>
      </c>
      <c r="O95" s="914" t="str">
        <f>RSD_Commodities!$N$17&amp;"_"&amp;RSD_Commodities!D29&amp;"_"&amp;SETUP!$C$67</f>
        <v>Residential Space Heating Apartment-G_Carbon Dioxide - Combustion (RSD)_Existing 00</v>
      </c>
      <c r="P95" s="930" t="str">
        <f>RSD_Commodities!$C$17</f>
        <v>RSDGASNAT</v>
      </c>
      <c r="Q95" s="930" t="str">
        <f>RSD_Commodities!$M$17</f>
        <v>SH_Apt-G</v>
      </c>
      <c r="R95" s="931">
        <f t="shared" si="55"/>
        <v>8.6560771015527394E-2</v>
      </c>
      <c r="S95" s="932">
        <f>R95*DwellingStocks!$I$70/1000</f>
        <v>0.74941641799702852</v>
      </c>
      <c r="T95" s="930">
        <v>1</v>
      </c>
      <c r="U95" s="916">
        <f t="shared" ref="U95" si="60">I95/100</f>
        <v>0.78666666666666674</v>
      </c>
      <c r="V95" s="930">
        <v>20</v>
      </c>
      <c r="W95" s="930">
        <v>1</v>
      </c>
      <c r="X95" s="840"/>
      <c r="Y95" s="920">
        <f t="shared" si="56"/>
        <v>2.9839848186281204E-3</v>
      </c>
      <c r="Z95" s="921">
        <f t="shared" si="57"/>
        <v>3.3233715946094692E-3</v>
      </c>
      <c r="AA95" s="840"/>
      <c r="AB95" s="914" t="s">
        <v>393</v>
      </c>
      <c r="AC95" s="914" t="str">
        <f t="shared" si="58"/>
        <v>SH_Apt-G_GASNAT_X0</v>
      </c>
      <c r="AD95" s="914" t="str">
        <f t="shared" si="59"/>
        <v>Residential Space Heating Apartment-G_Carbon Dioxide - Combustion (RSD)_Existing 00</v>
      </c>
      <c r="AE95" s="914" t="s">
        <v>53</v>
      </c>
      <c r="AF95" s="914" t="s">
        <v>406</v>
      </c>
      <c r="AG95" s="914"/>
      <c r="AH95" s="914"/>
      <c r="AI95" s="840"/>
      <c r="AJ95" s="840"/>
      <c r="AK95" s="840"/>
      <c r="AL95" s="840"/>
      <c r="AM95" s="840"/>
      <c r="AN95" s="840"/>
    </row>
    <row r="96" spans="1:40">
      <c r="A96" s="758" t="s">
        <v>124</v>
      </c>
      <c r="B96" s="758" t="s">
        <v>585</v>
      </c>
      <c r="C96" s="758">
        <f>SUMIFS(INDEX(Table7[],,MATCH(C$6,Table7[#Headers],0)),Table7[MainSpaceHeatingFuel],$B96,Table7[EnergyRating (group)],$A96)</f>
        <v>46602</v>
      </c>
      <c r="D96" s="758">
        <f>SUMIFS(INDEX(Table7[],,MATCH(D$6,Table7[#Headers],0)),Table7[MainSpaceHeatingFuel],$B96,Table7[EnergyRating (group)],$A96)</f>
        <v>42365</v>
      </c>
      <c r="E96" s="758">
        <f>SUMIFS(INDEX(Table7[],,MATCH(E$6,Table7[#Headers],0)),Table7[MainSpaceHeatingFuel],$B96,Table7[EnergyRating (group)],$A96)</f>
        <v>11219</v>
      </c>
      <c r="F96" s="758">
        <f>SUMIFS(INDEX(Table7[],,MATCH(F$6,Table7[#Headers],0)),Table7[MainSpaceHeatingFuel],$B96,Table7[EnergyRating (group)],$A96)</f>
        <v>10199</v>
      </c>
      <c r="G96" s="758">
        <f>SUMIFS(INDEX(Table7[],,MATCH(G$6,Table7[#Headers],0)),Table7[MainSpaceHeatingFuel],$B96,Table7[EnergyRating (group)],$A96)</f>
        <v>1</v>
      </c>
      <c r="H96" s="758">
        <f>SUMIFS(INDEX(Table7[],,MATCH(H$6,Table7[#Headers],0)),Table7[MainSpaceHeatingFuel],$B96,Table7[EnergyRating (group)],$A96)</f>
        <v>117</v>
      </c>
      <c r="I96" s="950">
        <f>AVERAGEIFS(INDEX(Table7[],,MATCH(I$6,Table7[#Headers],0)),Table7[MainSpaceHeatingFuel],$B96,Table7[EnergyRating (group)],$A96)</f>
        <v>65</v>
      </c>
      <c r="J96" s="849">
        <f>SUMIFS(INDEX(Table7[],,MATCH(J$6,Table7[#Headers],0)),Table7[MainSpaceHeatingFuel],$B96,Table7[EnergyRating (group)],$A96)</f>
        <v>70028</v>
      </c>
      <c r="K96" s="849">
        <f>SUMIFS(INDEX(Table7[],,MATCH(K$6,Table7[#Headers],0)),Table7[MainSpaceHeatingFuel],$B96,Table7[EnergyRating (group)],$A96)</f>
        <v>60129</v>
      </c>
      <c r="L96" s="840"/>
      <c r="M96" s="840"/>
      <c r="N96" s="933" t="str">
        <f>RSD_Commodities!$M$17&amp;"_"&amp;RIGHT(P96,LEN(P96)-3)&amp;"_"&amp;SETUP!$B$67</f>
        <v>SH_Apt-G_BIOWOO_X0</v>
      </c>
      <c r="O96" s="933" t="str">
        <f>RSD_Commodities!$N$17&amp;"_"&amp;RSD_Commodities!D19&amp;"_"&amp;SETUP!$C$67</f>
        <v>Residential Space Heating Apartment-G_Biomass &amp; Renewable Waste to Residential_Existing 00</v>
      </c>
      <c r="P96" s="935" t="str">
        <f>RSD_Commodities!$C$19</f>
        <v>RSDBIOWOO</v>
      </c>
      <c r="Q96" s="935" t="str">
        <f>RSD_Commodities!$M$17</f>
        <v>SH_Apt-G</v>
      </c>
      <c r="R96" s="936">
        <f t="shared" si="55"/>
        <v>1.784758165268606E-4</v>
      </c>
      <c r="S96" s="937">
        <f>R96*DwellingStocks!$I$70/1000</f>
        <v>1.5451884907155228E-3</v>
      </c>
      <c r="T96" s="935">
        <v>1</v>
      </c>
      <c r="U96" s="954">
        <f t="shared" si="20"/>
        <v>0.65</v>
      </c>
      <c r="V96" s="935">
        <v>20</v>
      </c>
      <c r="W96" s="935">
        <v>1</v>
      </c>
      <c r="X96" s="840"/>
      <c r="Y96" s="922">
        <f t="shared" si="56"/>
        <v>3.3378611435330442E-8</v>
      </c>
      <c r="Z96" s="923">
        <f t="shared" si="57"/>
        <v>3.671685358424476E-8</v>
      </c>
      <c r="AA96" s="840"/>
      <c r="AB96" s="933" t="s">
        <v>393</v>
      </c>
      <c r="AC96" s="933" t="str">
        <f t="shared" si="58"/>
        <v>SH_Apt-G_BIOWOO_X0</v>
      </c>
      <c r="AD96" s="933" t="str">
        <f t="shared" si="59"/>
        <v>Residential Space Heating Apartment-G_Biomass &amp; Renewable Waste to Residential_Existing 00</v>
      </c>
      <c r="AE96" s="933" t="s">
        <v>53</v>
      </c>
      <c r="AF96" s="933" t="s">
        <v>406</v>
      </c>
      <c r="AG96" s="933"/>
      <c r="AH96" s="933"/>
      <c r="AI96" s="840"/>
      <c r="AJ96" s="840"/>
      <c r="AK96" s="840"/>
      <c r="AL96" s="840"/>
      <c r="AM96" s="840"/>
      <c r="AN96" s="840"/>
    </row>
    <row r="97" spans="1:41">
      <c r="A97" s="757" t="s">
        <v>124</v>
      </c>
      <c r="B97" s="757" t="s">
        <v>587</v>
      </c>
      <c r="C97" s="757">
        <f>SUMIFS(INDEX(Table7[],,MATCH(C$6,Table7[#Headers],0)),Table7[MainSpaceHeatingFuel],$B97,Table7[EnergyRating (group)],$A97)</f>
        <v>0</v>
      </c>
      <c r="D97" s="757">
        <f>SUMIFS(INDEX(Table7[],,MATCH(D$6,Table7[#Headers],0)),Table7[MainSpaceHeatingFuel],$B97,Table7[EnergyRating (group)],$A97)</f>
        <v>0</v>
      </c>
      <c r="E97" s="757">
        <f>SUMIFS(INDEX(Table7[],,MATCH(E$6,Table7[#Headers],0)),Table7[MainSpaceHeatingFuel],$B97,Table7[EnergyRating (group)],$A97)</f>
        <v>0</v>
      </c>
      <c r="F97" s="757">
        <f>SUMIFS(INDEX(Table7[],,MATCH(F$6,Table7[#Headers],0)),Table7[MainSpaceHeatingFuel],$B97,Table7[EnergyRating (group)],$A97)</f>
        <v>0</v>
      </c>
      <c r="G97" s="757">
        <f>SUMIFS(INDEX(Table7[],,MATCH(G$6,Table7[#Headers],0)),Table7[MainSpaceHeatingFuel],"",Table7[EnergyRating (group)],$A97)</f>
        <v>190</v>
      </c>
      <c r="H97" s="757">
        <f>SUMIFS(INDEX(Table7[],,MATCH(H$6,Table7[#Headers],0)),Table7[MainSpaceHeatingFuel],"",Table7[EnergyRating (group)],$A97)</f>
        <v>9477</v>
      </c>
      <c r="I97" s="913">
        <f>SUMIFS(INDEX(Table7[],,MATCH(I$6,Table7[#Headers],0)),Table7[MainSpaceHeatingFuel],"",Table7[EnergyRating (group)],$A97)</f>
        <v>0</v>
      </c>
      <c r="J97" s="847">
        <f>SUMIFS(INDEX(Table7[],,MATCH(J$6,Table7[#Headers],0)),Table7[MainSpaceHeatingFuel],"",Table7[EnergyRating (group)],$A97)</f>
        <v>305136</v>
      </c>
      <c r="K97" s="847">
        <f>SUMIFS(INDEX(Table7[],,MATCH(K$6,Table7[#Headers],0)),Table7[MainSpaceHeatingFuel],"",Table7[EnergyRating (group)],$A97)</f>
        <v>113013</v>
      </c>
      <c r="L97" s="840"/>
      <c r="M97" s="840"/>
      <c r="N97" s="914" t="str">
        <f>RSD_Commodities!$M$17&amp;"_"&amp;RIGHT(P97,LEN(P97)-3)&amp;"_"&amp;SETUP!$B$67</f>
        <v>SH_Apt-G_HET_X0</v>
      </c>
      <c r="O97" s="914" t="str">
        <f>RSD_Commodities!$N$17&amp;"_"&amp;RSD_Commodities!D28&amp;"_"&amp;SETUP!$C$67</f>
        <v>Residential Space Heating Apartment-G_Heat to Residential_Existing 00</v>
      </c>
      <c r="P97" s="915" t="str">
        <f>RSD_Commodities!$C$28</f>
        <v>RSDHET</v>
      </c>
      <c r="Q97" s="930" t="str">
        <f>RSD_Commodities!$M$17</f>
        <v>SH_Apt-G</v>
      </c>
      <c r="R97" s="931">
        <f t="shared" si="55"/>
        <v>3.3910405140103517E-2</v>
      </c>
      <c r="S97" s="932">
        <f>R97*DwellingStocks!$I$70/1000</f>
        <v>0.29358581323594934</v>
      </c>
      <c r="T97" s="930">
        <v>1</v>
      </c>
      <c r="U97" s="955">
        <f>IF(I97=0, 1, I97)</f>
        <v>1</v>
      </c>
      <c r="V97" s="930">
        <v>20</v>
      </c>
      <c r="W97" s="930">
        <v>1</v>
      </c>
      <c r="X97" s="840"/>
      <c r="Y97" s="920">
        <f t="shared" si="56"/>
        <v>0</v>
      </c>
      <c r="Z97" s="921">
        <f t="shared" si="57"/>
        <v>0</v>
      </c>
      <c r="AA97" s="840"/>
      <c r="AB97" s="914" t="s">
        <v>393</v>
      </c>
      <c r="AC97" s="914" t="str">
        <f t="shared" ref="AC97:AC105" si="61">N97</f>
        <v>SH_Apt-G_HET_X0</v>
      </c>
      <c r="AD97" s="914" t="str">
        <f t="shared" ref="AD97:AD105" si="62">O97</f>
        <v>Residential Space Heating Apartment-G_Heat to Residential_Existing 00</v>
      </c>
      <c r="AE97" s="914" t="s">
        <v>53</v>
      </c>
      <c r="AF97" s="914" t="s">
        <v>406</v>
      </c>
      <c r="AG97" s="914"/>
      <c r="AH97" s="914"/>
      <c r="AI97" s="840"/>
      <c r="AJ97" s="840"/>
      <c r="AK97" s="840"/>
      <c r="AL97" s="840"/>
      <c r="AM97" s="840"/>
      <c r="AN97" s="840"/>
    </row>
    <row r="98" spans="1:41">
      <c r="A98" s="758" t="s">
        <v>124</v>
      </c>
      <c r="B98" s="758" t="s">
        <v>664</v>
      </c>
      <c r="C98" s="758">
        <f>SUMIFS(INDEX(Table7[],,MATCH(C$6,Table7[#Headers],0)),Table7[MainSpaceHeatingFuel],$B98,Table7[EnergyRating (group)],$A98)</f>
        <v>58523</v>
      </c>
      <c r="D98" s="758">
        <f>SUMIFS(INDEX(Table7[],,MATCH(D$6,Table7[#Headers],0)),Table7[MainSpaceHeatingFuel],$B98,Table7[EnergyRating (group)],$A98)</f>
        <v>53203</v>
      </c>
      <c r="E98" s="759">
        <f>SUMIFS(INDEX(Table7[],,MATCH(E$6,Table7[#Headers],0)),Table7[MainSpaceHeatingFuel],$B98,Table7[EnergyRating (group)],$A98)</f>
        <v>9320</v>
      </c>
      <c r="F98" s="759">
        <f>SUMIFS(INDEX(Table7[],,MATCH(F$6,Table7[#Headers],0)),Table7[MainSpaceHeatingFuel],$B98,Table7[EnergyRating (group)],$A98)</f>
        <v>8472</v>
      </c>
      <c r="G98" s="758">
        <f>SUMIFS(INDEX(Table7[],,MATCH(G$6,Table7[#Headers],0)),Table7[MainSpaceHeatingFuel],$B98,Table7[EnergyRating (group)],$A98)</f>
        <v>2</v>
      </c>
      <c r="H98" s="758">
        <f>SUMIFS(INDEX(Table7[],,MATCH(H$6,Table7[#Headers],0)),Table7[MainSpaceHeatingFuel],$B98,Table7[EnergyRating (group)],$A98)</f>
        <v>180</v>
      </c>
      <c r="I98" s="950">
        <f>AVERAGEIFS(INDEX(Table7[],,MATCH(I$6,Table7[#Headers],0)),Table7[MainSpaceHeatingFuel],$B98,Table7[EnergyRating (group)],$A98)</f>
        <v>69</v>
      </c>
      <c r="J98" s="849">
        <f>SUMIFS(INDEX(Table7[],,MATCH(J$6,Table7[#Headers],0)),Table7[MainSpaceHeatingFuel],$B98,Table7[EnergyRating (group)],$A98)</f>
        <v>90357</v>
      </c>
      <c r="K98" s="849">
        <f>SUMIFS(INDEX(Table7[],,MATCH(K$6,Table7[#Headers],0)),Table7[MainSpaceHeatingFuel],$B98,Table7[EnergyRating (group)],$A98)</f>
        <v>73360</v>
      </c>
      <c r="L98" s="840"/>
      <c r="M98" s="840"/>
      <c r="N98" s="933" t="str">
        <f>RSD_Commodities!$M$17&amp;"_"&amp;RIGHT(P98,LEN(P98)-3)&amp;"_"&amp;SETUP!$B$68</f>
        <v>SH_Apt-G_OILLPG_X1</v>
      </c>
      <c r="O98" s="933" t="str">
        <f>RSD_Commodities!$N$17&amp;"_"&amp;RSD_Commodities!D11&amp;"_"&amp;SETUP!$C$68</f>
        <v>Residential Space Heating Apartment-G_LPG to Residential_Existing 01</v>
      </c>
      <c r="P98" s="935" t="str">
        <f>RSD_Commodities!$C$11</f>
        <v>RSDOILLPG</v>
      </c>
      <c r="Q98" s="935" t="str">
        <f>RSD_Commodities!$M$17</f>
        <v>SH_Apt-G</v>
      </c>
      <c r="R98" s="936">
        <f t="shared" si="55"/>
        <v>3.569516330537212E-4</v>
      </c>
      <c r="S98" s="937">
        <f>R98*DwellingStocks!$I$70/1000</f>
        <v>3.0903769814310455E-3</v>
      </c>
      <c r="T98" s="935">
        <v>1</v>
      </c>
      <c r="U98" s="954">
        <f t="shared" si="20"/>
        <v>0.69</v>
      </c>
      <c r="V98" s="935">
        <v>20</v>
      </c>
      <c r="W98" s="935">
        <v>1</v>
      </c>
      <c r="X98" s="840"/>
      <c r="Y98" s="922">
        <f t="shared" si="56"/>
        <v>7.8328356299901272E-8</v>
      </c>
      <c r="Z98" s="923">
        <f t="shared" si="57"/>
        <v>8.6161826938860178E-8</v>
      </c>
      <c r="AA98" s="840"/>
      <c r="AB98" s="933" t="s">
        <v>393</v>
      </c>
      <c r="AC98" s="933" t="str">
        <f t="shared" si="61"/>
        <v>SH_Apt-G_OILLPG_X1</v>
      </c>
      <c r="AD98" s="933" t="str">
        <f t="shared" si="62"/>
        <v>Residential Space Heating Apartment-G_LPG to Residential_Existing 01</v>
      </c>
      <c r="AE98" s="933" t="s">
        <v>53</v>
      </c>
      <c r="AF98" s="933" t="s">
        <v>406</v>
      </c>
      <c r="AG98" s="933"/>
      <c r="AH98" s="933"/>
      <c r="AI98" s="840"/>
      <c r="AJ98" s="840"/>
      <c r="AK98" s="840"/>
      <c r="AL98" s="840"/>
      <c r="AM98" s="840"/>
      <c r="AN98" s="840"/>
    </row>
    <row r="99" spans="1:41">
      <c r="A99" s="757" t="s">
        <v>124</v>
      </c>
      <c r="B99" s="757" t="s">
        <v>665</v>
      </c>
      <c r="C99" s="757">
        <f>SUMIFS(INDEX(Table7[],,MATCH(C$6,Table7[#Headers],0)),Table7[MainSpaceHeatingFuel],$B99,Table7[EnergyRating (group)],$A99)</f>
        <v>5205629</v>
      </c>
      <c r="D99" s="757">
        <f>SUMIFS(INDEX(Table7[],,MATCH(D$6,Table7[#Headers],0)),Table7[MainSpaceHeatingFuel],$B99,Table7[EnergyRating (group)],$A99)</f>
        <v>4732391</v>
      </c>
      <c r="E99" s="760">
        <f>SUMIFS(INDEX(Table7[],,MATCH(E$6,Table7[#Headers],0)),Table7[MainSpaceHeatingFuel],$B99,Table7[EnergyRating (group)],$A99)</f>
        <v>552655</v>
      </c>
      <c r="F99" s="760">
        <f>SUMIFS(INDEX(Table7[],,MATCH(F$6,Table7[#Headers],0)),Table7[MainSpaceHeatingFuel],$B99,Table7[EnergyRating (group)],$A99)</f>
        <v>399757</v>
      </c>
      <c r="G99" s="757">
        <f>SUMIFS(INDEX(Table7[],,MATCH(G$6,Table7[#Headers],0)),Table7[MainSpaceHeatingFuel],$B99,Table7[EnergyRating (group)],$A99)</f>
        <v>144</v>
      </c>
      <c r="H99" s="757">
        <f>SUMIFS(INDEX(Table7[],,MATCH(H$6,Table7[#Headers],0)),Table7[MainSpaceHeatingFuel],$B99,Table7[EnergyRating (group)],$A99)</f>
        <v>9393</v>
      </c>
      <c r="I99" s="912">
        <f>AVERAGEIFS(INDEX(Table7[],,MATCH(I$6,Table7[#Headers],0)),Table7[MainSpaceHeatingFuel],$B99,Table7[EnergyRating (group)],$A99)</f>
        <v>46</v>
      </c>
      <c r="J99" s="847">
        <f>SUMIFS(INDEX(Table7[],,MATCH(J$6,Table7[#Headers],0)),Table7[MainSpaceHeatingFuel],$B99,Table7[EnergyRating (group)],$A99)</f>
        <v>6935446</v>
      </c>
      <c r="K99" s="847">
        <f>SUMIFS(INDEX(Table7[],,MATCH(K$6,Table7[#Headers],0)),Table7[MainSpaceHeatingFuel],$B99,Table7[EnergyRating (group)],$A99)</f>
        <v>5824826</v>
      </c>
      <c r="L99" s="840"/>
      <c r="M99" s="840"/>
      <c r="N99" s="914" t="str">
        <f>RSD_Commodities!$M$17&amp;"_"&amp;RSD_Commodities!$C$26&amp;"_"&amp;SETUP!$B$67</f>
        <v>SH_Apt-G_RSDSMF_X0</v>
      </c>
      <c r="O99" s="914" t="str">
        <f>RSD_Commodities!$N$17&amp;"_"&amp;RSD_Commodities!$D$26&amp;"_"&amp;SETUP!$C$67</f>
        <v>Residential Space Heating Apartment-G_Solid Multi-Fuel_Existing 00</v>
      </c>
      <c r="P99" s="930" t="str">
        <f>RSD_Commodities!$C$6&amp;","&amp;RSD_Commodities!$C$7&amp;","&amp;RSD_Commodities!$C$9&amp;","&amp;RSD_Commodities!$C$10&amp;","&amp;RSD_Commodities!$C$19</f>
        <v>RSDCOABIT,RSDCOAHAR,RSDCOALIG,RSDPEA,RSDBIOWOO</v>
      </c>
      <c r="Q99" s="930" t="str">
        <f>RSD_Commodities!$M$17</f>
        <v>SH_Apt-G</v>
      </c>
      <c r="R99" s="931">
        <f t="shared" si="55"/>
        <v>2.5700517579867927E-2</v>
      </c>
      <c r="S99" s="932">
        <f>R99*DwellingStocks!$I$70/1000</f>
        <v>0.22250714266303526</v>
      </c>
      <c r="T99" s="930">
        <v>1</v>
      </c>
      <c r="U99" s="916">
        <f t="shared" ref="U99" si="63">I99/100</f>
        <v>0.46</v>
      </c>
      <c r="V99" s="930">
        <v>20</v>
      </c>
      <c r="W99" s="930">
        <v>1</v>
      </c>
      <c r="X99" s="840"/>
      <c r="Y99" s="920">
        <f t="shared" si="56"/>
        <v>4.6929024131663478E-4</v>
      </c>
      <c r="Z99" s="921">
        <f t="shared" si="57"/>
        <v>5.2654492581463296E-4</v>
      </c>
      <c r="AA99" s="840"/>
      <c r="AB99" s="914" t="s">
        <v>393</v>
      </c>
      <c r="AC99" s="914" t="str">
        <f t="shared" si="61"/>
        <v>SH_Apt-G_RSDSMF_X0</v>
      </c>
      <c r="AD99" s="914" t="str">
        <f t="shared" si="62"/>
        <v>Residential Space Heating Apartment-G_Solid Multi-Fuel_Existing 00</v>
      </c>
      <c r="AE99" s="914" t="s">
        <v>53</v>
      </c>
      <c r="AF99" s="914" t="s">
        <v>406</v>
      </c>
      <c r="AG99" s="914"/>
      <c r="AH99" s="914"/>
      <c r="AI99" s="840"/>
      <c r="AJ99" s="840"/>
      <c r="AK99" s="840"/>
      <c r="AL99" s="840"/>
      <c r="AM99" s="840"/>
      <c r="AN99" s="840"/>
    </row>
    <row r="100" spans="1:41">
      <c r="A100" s="758" t="s">
        <v>124</v>
      </c>
      <c r="B100" s="758" t="s">
        <v>669</v>
      </c>
      <c r="C100" s="758">
        <f>SUMIFS(INDEX(Table7[],,MATCH(C$6,Table7[#Headers],0)),Table7[MainSpaceHeatingFuel],$B100,Table7[EnergyRating (group)],$A100)</f>
        <v>2273494</v>
      </c>
      <c r="D100" s="758">
        <f>SUMIFS(INDEX(Table7[],,MATCH(D$6,Table7[#Headers],0)),Table7[MainSpaceHeatingFuel],$B100,Table7[EnergyRating (group)],$A100)</f>
        <v>1894578</v>
      </c>
      <c r="E100" s="758">
        <f>SUMIFS(INDEX(Table7[],,MATCH(E$6,Table7[#Headers],0)),Table7[MainSpaceHeatingFuel],$B100,Table7[EnergyRating (group)],$A100)</f>
        <v>223103</v>
      </c>
      <c r="F100" s="758">
        <f>SUMIFS(INDEX(Table7[],,MATCH(F$6,Table7[#Headers],0)),Table7[MainSpaceHeatingFuel],$B100,Table7[EnergyRating (group)],$A100)</f>
        <v>115926</v>
      </c>
      <c r="G100" s="758">
        <f>SUMIFS(INDEX(Table7[],,MATCH(G$6,Table7[#Headers],0)),Table7[MainSpaceHeatingFuel],$B100,Table7[EnergyRating (group)],$A100)</f>
        <v>74</v>
      </c>
      <c r="H100" s="758">
        <f>SUMIFS(INDEX(Table7[],,MATCH(H$6,Table7[#Headers],0)),Table7[MainSpaceHeatingFuel],$B100,Table7[EnergyRating (group)],$A100)</f>
        <v>4129</v>
      </c>
      <c r="I100" s="911">
        <f>AVERAGEIFS(INDEX(Table7[],,MATCH(I$6,Table7[#Headers],0)),Table7[MainSpaceHeatingFuel],$B100,Table7[EnergyRating (group)],$A100)</f>
        <v>44.5</v>
      </c>
      <c r="J100" s="849">
        <f>SUMIFS(INDEX(Table7[],,MATCH(J$6,Table7[#Headers],0)),Table7[MainSpaceHeatingFuel],$B100,Table7[EnergyRating (group)],$A100)</f>
        <v>3033212</v>
      </c>
      <c r="K100" s="849">
        <f>SUMIFS(INDEX(Table7[],,MATCH(K$6,Table7[#Headers],0)),Table7[MainSpaceHeatingFuel],$B100,Table7[EnergyRating (group)],$A100)</f>
        <v>2292365</v>
      </c>
      <c r="L100" s="840"/>
      <c r="M100" s="840"/>
      <c r="N100" s="935" t="str">
        <f>RSD_Commodities!$M$17&amp;"_"&amp;RIGHT(P100,LEN(P100)-3)&amp;"_"&amp;SETUP!$B$67</f>
        <v>SH_Apt-G_COAHAR_X0</v>
      </c>
      <c r="O100" s="935" t="str">
        <f>RSD_Commodities!$N$17&amp;"_"&amp;RSD_Commodities!$D$7&amp;"_"&amp;SETUP!$C$67</f>
        <v>Residential Space Heating Apartment-G_Anthracite + Manufactured Ovoids to Residential_Existing 00</v>
      </c>
      <c r="P100" s="934" t="str">
        <f>RSD_Commodities!$C$7</f>
        <v>RSDCOAHAR</v>
      </c>
      <c r="Q100" s="935" t="str">
        <f>RSD_Commodities!$M$17</f>
        <v>SH_Apt-G</v>
      </c>
      <c r="R100" s="936">
        <f t="shared" si="55"/>
        <v>1.3207210422987685E-2</v>
      </c>
      <c r="S100" s="937">
        <f>R100*DwellingStocks!$I$70/1000</f>
        <v>0.11434394831294868</v>
      </c>
      <c r="T100" s="935">
        <v>1</v>
      </c>
      <c r="U100" s="954">
        <f t="shared" si="20"/>
        <v>0.44500000000000001</v>
      </c>
      <c r="V100" s="935">
        <v>20</v>
      </c>
      <c r="W100" s="935">
        <v>1</v>
      </c>
      <c r="X100" s="840"/>
      <c r="Y100" s="922">
        <f t="shared" si="56"/>
        <v>9.4474917311908199E-5</v>
      </c>
      <c r="Z100" s="923">
        <f t="shared" si="57"/>
        <v>1.1731674999709431E-4</v>
      </c>
      <c r="AA100" s="840"/>
      <c r="AB100" s="933" t="s">
        <v>393</v>
      </c>
      <c r="AC100" s="933" t="str">
        <f t="shared" si="61"/>
        <v>SH_Apt-G_COAHAR_X0</v>
      </c>
      <c r="AD100" s="933" t="str">
        <f t="shared" si="62"/>
        <v>Residential Space Heating Apartment-G_Anthracite + Manufactured Ovoids to Residential_Existing 00</v>
      </c>
      <c r="AE100" s="933" t="s">
        <v>53</v>
      </c>
      <c r="AF100" s="933" t="s">
        <v>406</v>
      </c>
      <c r="AG100" s="933"/>
      <c r="AH100" s="933"/>
      <c r="AI100" s="840"/>
      <c r="AJ100" s="840"/>
      <c r="AK100" s="840"/>
      <c r="AL100" s="840"/>
      <c r="AM100" s="840"/>
      <c r="AN100" s="840"/>
    </row>
    <row r="101" spans="1:41">
      <c r="A101" s="757" t="s">
        <v>124</v>
      </c>
      <c r="B101" s="757" t="s">
        <v>671</v>
      </c>
      <c r="C101" s="757">
        <f>SUMIFS(INDEX(Table7[],,MATCH(C$6,Table7[#Headers],0)),Table7[MainSpaceHeatingFuel],$B101,Table7[EnergyRating (group)],$A101)</f>
        <v>145378</v>
      </c>
      <c r="D101" s="757">
        <f>SUMIFS(INDEX(Table7[],,MATCH(D$6,Table7[#Headers],0)),Table7[MainSpaceHeatingFuel],$B101,Table7[EnergyRating (group)],$A101)</f>
        <v>132162</v>
      </c>
      <c r="E101" s="757">
        <f>SUMIFS(INDEX(Table7[],,MATCH(E$6,Table7[#Headers],0)),Table7[MainSpaceHeatingFuel],$B101,Table7[EnergyRating (group)],$A101)</f>
        <v>26312</v>
      </c>
      <c r="F101" s="757">
        <f>SUMIFS(INDEX(Table7[],,MATCH(F$6,Table7[#Headers],0)),Table7[MainSpaceHeatingFuel],$B101,Table7[EnergyRating (group)],$A101)</f>
        <v>23920</v>
      </c>
      <c r="G101" s="757">
        <f>SUMIFS(INDEX(Table7[],,MATCH(G$6,Table7[#Headers],0)),Table7[MainSpaceHeatingFuel],$B101,Table7[EnergyRating (group)],$A101)</f>
        <v>3</v>
      </c>
      <c r="H101" s="757">
        <f>SUMIFS(INDEX(Table7[],,MATCH(H$6,Table7[#Headers],0)),Table7[MainSpaceHeatingFuel],$B101,Table7[EnergyRating (group)],$A101)</f>
        <v>270</v>
      </c>
      <c r="I101" s="912">
        <f>AVERAGEIFS(INDEX(Table7[],,MATCH(I$6,Table7[#Headers],0)),Table7[MainSpaceHeatingFuel],$B101,Table7[EnergyRating (group)],$A101)</f>
        <v>52</v>
      </c>
      <c r="J101" s="847">
        <f>SUMIFS(INDEX(Table7[],,MATCH(J$6,Table7[#Headers],0)),Table7[MainSpaceHeatingFuel],$B101,Table7[EnergyRating (group)],$A101)</f>
        <v>200658</v>
      </c>
      <c r="K101" s="847">
        <f>SUMIFS(INDEX(Table7[],,MATCH(K$6,Table7[#Headers],0)),Table7[MainSpaceHeatingFuel],$B101,Table7[EnergyRating (group)],$A101)</f>
        <v>176363</v>
      </c>
      <c r="L101" s="840"/>
      <c r="M101" s="840"/>
      <c r="N101" s="914" t="str">
        <f>RSD_Commodities!$M$17&amp;"_"&amp;RIGHT(P101,LEN(P101)-3)&amp;"_"&amp;SETUP!$B$67</f>
        <v>SH_Apt-G_PEA_X0</v>
      </c>
      <c r="O101" s="914" t="str">
        <f>RSD_Commodities!$N$17&amp;"_"&amp;RSD_Commodities!D10&amp;"_"&amp;SETUP!$C$67</f>
        <v>Residential Space Heating Apartment-G_Peat to Residential_Existing 00</v>
      </c>
      <c r="P101" s="930" t="str">
        <f>RSD_Commodities!$C$10</f>
        <v>RSDPEA</v>
      </c>
      <c r="Q101" s="930" t="str">
        <f>RSD_Commodities!$M$17</f>
        <v>SH_Apt-G</v>
      </c>
      <c r="R101" s="931">
        <f t="shared" si="55"/>
        <v>5.3542744958058185E-4</v>
      </c>
      <c r="S101" s="932">
        <f>R101*DwellingStocks!$I$70/1000</f>
        <v>4.6355654721465678E-3</v>
      </c>
      <c r="T101" s="930">
        <v>1</v>
      </c>
      <c r="U101" s="916">
        <f t="shared" ref="U101:U105" si="64">I101/100</f>
        <v>0.52</v>
      </c>
      <c r="V101" s="930">
        <v>20</v>
      </c>
      <c r="W101" s="930">
        <v>1</v>
      </c>
      <c r="X101" s="840"/>
      <c r="Y101" s="920">
        <f t="shared" si="56"/>
        <v>2.9734040959873179E-7</v>
      </c>
      <c r="Z101" s="921">
        <f t="shared" si="57"/>
        <v>3.2707406955322371E-7</v>
      </c>
      <c r="AA101" s="840"/>
      <c r="AB101" s="914" t="s">
        <v>393</v>
      </c>
      <c r="AC101" s="914" t="str">
        <f t="shared" si="61"/>
        <v>SH_Apt-G_PEA_X0</v>
      </c>
      <c r="AD101" s="914" t="str">
        <f t="shared" si="62"/>
        <v>Residential Space Heating Apartment-G_Peat to Residential_Existing 00</v>
      </c>
      <c r="AE101" s="914" t="s">
        <v>53</v>
      </c>
      <c r="AF101" s="914" t="s">
        <v>406</v>
      </c>
      <c r="AG101" s="914"/>
      <c r="AH101" s="914"/>
      <c r="AI101" s="840"/>
      <c r="AJ101" s="840"/>
      <c r="AK101" s="840"/>
      <c r="AL101" s="840"/>
      <c r="AM101" s="840"/>
      <c r="AN101" s="840"/>
    </row>
    <row r="102" spans="1:41">
      <c r="A102" s="758" t="s">
        <v>124</v>
      </c>
      <c r="B102" s="758" t="s">
        <v>666</v>
      </c>
      <c r="C102" s="758">
        <f>SUMIFS(INDEX(Table7[],,MATCH(C$6,Table7[#Headers],0)),Table7[MainSpaceHeatingFuel],$B102,Table7[EnergyRating (group)],$A102)</f>
        <v>1163253</v>
      </c>
      <c r="D102" s="758">
        <f>SUMIFS(INDEX(Table7[],,MATCH(D$6,Table7[#Headers],0)),Table7[MainSpaceHeatingFuel],$B102,Table7[EnergyRating (group)],$A102)</f>
        <v>1057502</v>
      </c>
      <c r="E102" s="759">
        <f>SUMIFS(INDEX(Table7[],,MATCH(E$6,Table7[#Headers],0)),Table7[MainSpaceHeatingFuel],$B102,Table7[EnergyRating (group)],$A102)</f>
        <v>120325</v>
      </c>
      <c r="F102" s="759">
        <f>SUMIFS(INDEX(Table7[],,MATCH(F$6,Table7[#Headers],0)),Table7[MainSpaceHeatingFuel],$B102,Table7[EnergyRating (group)],$A102)</f>
        <v>98426</v>
      </c>
      <c r="G102" s="758">
        <f>SUMIFS(INDEX(Table7[],,MATCH(G$6,Table7[#Headers],0)),Table7[MainSpaceHeatingFuel],$B102,Table7[EnergyRating (group)],$A102)</f>
        <v>32</v>
      </c>
      <c r="H102" s="758">
        <f>SUMIFS(INDEX(Table7[],,MATCH(H$6,Table7[#Headers],0)),Table7[MainSpaceHeatingFuel],$B102,Table7[EnergyRating (group)],$A102)</f>
        <v>2164</v>
      </c>
      <c r="I102" s="911">
        <f>AVERAGEIFS(INDEX(Table7[],,MATCH(I$6,Table7[#Headers],0)),Table7[MainSpaceHeatingFuel],$B102,Table7[EnergyRating (group)],$A102)</f>
        <v>43</v>
      </c>
      <c r="J102" s="849">
        <f>SUMIFS(INDEX(Table7[],,MATCH(J$6,Table7[#Headers],0)),Table7[MainSpaceHeatingFuel],$B102,Table7[EnergyRating (group)],$A102)</f>
        <v>1599684</v>
      </c>
      <c r="K102" s="849">
        <f>SUMIFS(INDEX(Table7[],,MATCH(K$6,Table7[#Headers],0)),Table7[MainSpaceHeatingFuel],$B102,Table7[EnergyRating (group)],$A102)</f>
        <v>1351757</v>
      </c>
      <c r="L102" s="840"/>
      <c r="M102" s="840"/>
      <c r="N102" s="933" t="str">
        <f>RSD_Commodities!$M$17&amp;"_"&amp;RIGHT(P102,LEN(P102)-3)&amp;"_"&amp;SETUP!$B$67</f>
        <v>SH_Apt-G_COABIT_X0</v>
      </c>
      <c r="O102" s="933" t="str">
        <f>RSD_Commodities!$N$17&amp;"_"&amp;RSD_Commodities!$D$6&amp;"_"&amp;SETUP!$C$67</f>
        <v>Residential Space Heating Apartment-G_Bituminous Coal to Residential_Existing 00</v>
      </c>
      <c r="P102" s="935" t="str">
        <f>RSD_Commodities!$C$6</f>
        <v>RSDCOABIT</v>
      </c>
      <c r="Q102" s="935" t="str">
        <f>RSD_Commodities!$M$17</f>
        <v>SH_Apt-G</v>
      </c>
      <c r="R102" s="936">
        <f t="shared" si="55"/>
        <v>5.7112261288595392E-3</v>
      </c>
      <c r="S102" s="937">
        <f>R102*DwellingStocks!$I$70/1000</f>
        <v>4.9446031702896728E-2</v>
      </c>
      <c r="T102" s="935">
        <v>1</v>
      </c>
      <c r="U102" s="954">
        <f t="shared" si="64"/>
        <v>0.43</v>
      </c>
      <c r="V102" s="935">
        <v>20</v>
      </c>
      <c r="W102" s="935">
        <v>1</v>
      </c>
      <c r="X102" s="840"/>
      <c r="Y102" s="922">
        <f t="shared" si="56"/>
        <v>2.3488788712712063E-5</v>
      </c>
      <c r="Z102" s="923">
        <f t="shared" si="57"/>
        <v>2.6082673348414023E-5</v>
      </c>
      <c r="AA102" s="840"/>
      <c r="AB102" s="933" t="s">
        <v>393</v>
      </c>
      <c r="AC102" s="933" t="str">
        <f t="shared" si="61"/>
        <v>SH_Apt-G_COABIT_X0</v>
      </c>
      <c r="AD102" s="933" t="str">
        <f t="shared" si="62"/>
        <v>Residential Space Heating Apartment-G_Bituminous Coal to Residential_Existing 00</v>
      </c>
      <c r="AE102" s="933" t="s">
        <v>53</v>
      </c>
      <c r="AF102" s="933" t="s">
        <v>406</v>
      </c>
      <c r="AG102" s="933"/>
      <c r="AH102" s="933"/>
      <c r="AI102" s="840"/>
      <c r="AJ102" s="840"/>
      <c r="AK102" s="840"/>
      <c r="AL102" s="840"/>
      <c r="AM102" s="840"/>
      <c r="AN102" s="840"/>
    </row>
    <row r="103" spans="1:41">
      <c r="A103" s="757" t="s">
        <v>124</v>
      </c>
      <c r="B103" s="757" t="s">
        <v>667</v>
      </c>
      <c r="C103" s="757">
        <f>SUMIFS(INDEX(Table7[],,MATCH(C$6,Table7[#Headers],0)),Table7[MainSpaceHeatingFuel],$B103,Table7[EnergyRating (group)],$A103)</f>
        <v>161238</v>
      </c>
      <c r="D103" s="757">
        <f>SUMIFS(INDEX(Table7[],,MATCH(D$6,Table7[#Headers],0)),Table7[MainSpaceHeatingFuel],$B103,Table7[EnergyRating (group)],$A103)</f>
        <v>146580</v>
      </c>
      <c r="E103" s="757">
        <f>SUMIFS(INDEX(Table7[],,MATCH(E$6,Table7[#Headers],0)),Table7[MainSpaceHeatingFuel],$B103,Table7[EnergyRating (group)],$A103)</f>
        <v>12022</v>
      </c>
      <c r="F103" s="757">
        <f>SUMIFS(INDEX(Table7[],,MATCH(F$6,Table7[#Headers],0)),Table7[MainSpaceHeatingFuel],$B103,Table7[EnergyRating (group)],$A103)</f>
        <v>10929</v>
      </c>
      <c r="G103" s="757">
        <f>SUMIFS(INDEX(Table7[],,MATCH(G$6,Table7[#Headers],0)),Table7[MainSpaceHeatingFuel],$B103,Table7[EnergyRating (group)],$A103)</f>
        <v>5</v>
      </c>
      <c r="H103" s="757">
        <f>SUMIFS(INDEX(Table7[],,MATCH(H$6,Table7[#Headers],0)),Table7[MainSpaceHeatingFuel],$B103,Table7[EnergyRating (group)],$A103)</f>
        <v>249</v>
      </c>
      <c r="I103" s="912">
        <f>AVERAGEIFS(INDEX(Table7[],,MATCH(I$6,Table7[#Headers],0)),Table7[MainSpaceHeatingFuel],$B103,Table7[EnergyRating (group)],$A103)</f>
        <v>53</v>
      </c>
      <c r="J103" s="847">
        <f>SUMIFS(INDEX(Table7[],,MATCH(J$6,Table7[#Headers],0)),Table7[MainSpaceHeatingFuel],$B103,Table7[EnergyRating (group)],$A103)</f>
        <v>215442</v>
      </c>
      <c r="K103" s="847">
        <f>SUMIFS(INDEX(Table7[],,MATCH(K$6,Table7[#Headers],0)),Table7[MainSpaceHeatingFuel],$B103,Table7[EnergyRating (group)],$A103)</f>
        <v>186326</v>
      </c>
      <c r="L103" s="840"/>
      <c r="M103" s="840"/>
      <c r="N103" s="914" t="str">
        <f>RSD_Commodities!$M$17&amp;"_"&amp;RIGHT(P103,LEN(P103)-3)&amp;"_"&amp;SETUP!$B$68</f>
        <v>SH_Apt-G_PEA_X1</v>
      </c>
      <c r="O103" s="914" t="str">
        <f>RSD_Commodities!$N$17&amp;"_"&amp;RSD_Commodities!D10&amp;"_"&amp;SETUP!$C$68</f>
        <v>Residential Space Heating Apartment-G_Peat to Residential_Existing 01</v>
      </c>
      <c r="P103" s="930" t="str">
        <f>RSD_Commodities!$C$10</f>
        <v>RSDPEA</v>
      </c>
      <c r="Q103" s="930" t="str">
        <f>RSD_Commodities!$M$17</f>
        <v>SH_Apt-G</v>
      </c>
      <c r="R103" s="931">
        <f t="shared" si="55"/>
        <v>8.9237908263430305E-4</v>
      </c>
      <c r="S103" s="932">
        <f>R103*DwellingStocks!$I$70/1000</f>
        <v>7.7259424535776134E-3</v>
      </c>
      <c r="T103" s="930">
        <v>1</v>
      </c>
      <c r="U103" s="916">
        <f t="shared" si="64"/>
        <v>0.53</v>
      </c>
      <c r="V103" s="930">
        <v>20</v>
      </c>
      <c r="W103" s="930">
        <v>1</v>
      </c>
      <c r="X103" s="840"/>
      <c r="Y103" s="920">
        <f t="shared" ref="Y103:Y105" si="65">ABS((D103+F103)*S103*1000*$B$2)</f>
        <v>5.0009813832351641E-7</v>
      </c>
      <c r="Z103" s="921">
        <f t="shared" ref="Z103:Z105" si="66">ABS((C103+E103)*S103*1000*$B$2)</f>
        <v>5.5010826966035235E-7</v>
      </c>
      <c r="AA103" s="840"/>
      <c r="AB103" s="914" t="s">
        <v>393</v>
      </c>
      <c r="AC103" s="914" t="str">
        <f t="shared" si="61"/>
        <v>SH_Apt-G_PEA_X1</v>
      </c>
      <c r="AD103" s="914" t="str">
        <f t="shared" si="62"/>
        <v>Residential Space Heating Apartment-G_Peat to Residential_Existing 01</v>
      </c>
      <c r="AE103" s="914" t="s">
        <v>53</v>
      </c>
      <c r="AF103" s="914" t="s">
        <v>406</v>
      </c>
      <c r="AG103" s="914"/>
      <c r="AH103" s="914"/>
      <c r="AI103" s="840"/>
      <c r="AJ103" s="840"/>
      <c r="AK103" s="840"/>
      <c r="AL103" s="840"/>
      <c r="AM103" s="840"/>
      <c r="AN103" s="840"/>
    </row>
    <row r="104" spans="1:41">
      <c r="A104" s="758" t="s">
        <v>124</v>
      </c>
      <c r="B104" s="758" t="s">
        <v>673</v>
      </c>
      <c r="C104" s="758">
        <f>SUMIFS(INDEX(Table7[],,MATCH(C$6,Table7[#Headers],0)),Table7[MainSpaceHeatingFuel],$B104,Table7[EnergyRating (group)],$A104)</f>
        <v>49315</v>
      </c>
      <c r="D104" s="758">
        <f>SUMIFS(INDEX(Table7[],,MATCH(D$6,Table7[#Headers],0)),Table7[MainSpaceHeatingFuel],$B104,Table7[EnergyRating (group)],$A104)</f>
        <v>44832</v>
      </c>
      <c r="E104" s="759">
        <f>SUMIFS(INDEX(Table7[],,MATCH(E$6,Table7[#Headers],0)),Table7[MainSpaceHeatingFuel],$B104,Table7[EnergyRating (group)],$A104)</f>
        <v>5105</v>
      </c>
      <c r="F104" s="759">
        <f>SUMIFS(INDEX(Table7[],,MATCH(F$6,Table7[#Headers],0)),Table7[MainSpaceHeatingFuel],$B104,Table7[EnergyRating (group)],$A104)</f>
        <v>4640</v>
      </c>
      <c r="G104" s="758">
        <f>SUMIFS(INDEX(Table7[],,MATCH(G$6,Table7[#Headers],0)),Table7[MainSpaceHeatingFuel],$B104,Table7[EnergyRating (group)],$A104)</f>
        <v>2</v>
      </c>
      <c r="H104" s="758">
        <f>SUMIFS(INDEX(Table7[],,MATCH(H$6,Table7[#Headers],0)),Table7[MainSpaceHeatingFuel],$B104,Table7[EnergyRating (group)],$A104)</f>
        <v>119</v>
      </c>
      <c r="I104" s="950">
        <f>AVERAGEIFS(INDEX(Table7[],,MATCH(I$6,Table7[#Headers],0)),Table7[MainSpaceHeatingFuel],$B104,Table7[EnergyRating (group)],$A104)</f>
        <v>64</v>
      </c>
      <c r="J104" s="849">
        <f>SUMIFS(INDEX(Table7[],,MATCH(J$6,Table7[#Headers],0)),Table7[MainSpaceHeatingFuel],$B104,Table7[EnergyRating (group)],$A104)</f>
        <v>66527</v>
      </c>
      <c r="K104" s="849">
        <f>SUMIFS(INDEX(Table7[],,MATCH(K$6,Table7[#Headers],0)),Table7[MainSpaceHeatingFuel],$B104,Table7[EnergyRating (group)],$A104)</f>
        <v>55776</v>
      </c>
      <c r="L104" s="840"/>
      <c r="M104" s="840"/>
      <c r="N104" s="933" t="str">
        <f>RSD_Commodities!$M$16&amp;"_"&amp;RIGHT(P104,LEN(P104)-3)&amp;"_"&amp;SETUP!$B$68</f>
        <v>SH_Apt-F_BIOWOO_X1</v>
      </c>
      <c r="O104" s="933" t="str">
        <f>RSD_Commodities!$N$17&amp;"_"&amp;RSD_Commodities!D19&amp;"_"&amp;SETUP!$C$68</f>
        <v>Residential Space Heating Apartment-G_Biomass &amp; Renewable Waste to Residential_Existing 01</v>
      </c>
      <c r="P104" s="935" t="str">
        <f>RSD_Commodities!$C$19</f>
        <v>RSDBIOWOO</v>
      </c>
      <c r="Q104" s="935" t="str">
        <f>RSD_Commodities!$M$17</f>
        <v>SH_Apt-G</v>
      </c>
      <c r="R104" s="936">
        <f t="shared" si="55"/>
        <v>3.569516330537212E-4</v>
      </c>
      <c r="S104" s="937">
        <f>R104*DwellingStocks!$I$70/1000</f>
        <v>3.0903769814310455E-3</v>
      </c>
      <c r="T104" s="935">
        <v>1</v>
      </c>
      <c r="U104" s="954">
        <f t="shared" si="64"/>
        <v>0.64</v>
      </c>
      <c r="V104" s="935">
        <v>20</v>
      </c>
      <c r="W104" s="935">
        <v>1</v>
      </c>
      <c r="X104" s="840"/>
      <c r="Y104" s="922">
        <f t="shared" si="65"/>
        <v>6.2830327407680844E-8</v>
      </c>
      <c r="Z104" s="923">
        <f t="shared" si="66"/>
        <v>6.9114376162798985E-8</v>
      </c>
      <c r="AA104" s="840"/>
      <c r="AB104" s="933" t="s">
        <v>393</v>
      </c>
      <c r="AC104" s="933" t="str">
        <f t="shared" si="61"/>
        <v>SH_Apt-F_BIOWOO_X1</v>
      </c>
      <c r="AD104" s="933" t="str">
        <f t="shared" si="62"/>
        <v>Residential Space Heating Apartment-G_Biomass &amp; Renewable Waste to Residential_Existing 01</v>
      </c>
      <c r="AE104" s="933" t="s">
        <v>53</v>
      </c>
      <c r="AF104" s="933" t="s">
        <v>406</v>
      </c>
      <c r="AG104" s="933"/>
      <c r="AH104" s="933"/>
      <c r="AI104" s="840"/>
      <c r="AJ104" s="840"/>
      <c r="AK104" s="840"/>
      <c r="AL104" s="840"/>
      <c r="AM104" s="840"/>
      <c r="AN104" s="840"/>
    </row>
    <row r="105" spans="1:41">
      <c r="A105" s="757" t="s">
        <v>124</v>
      </c>
      <c r="B105" s="757" t="s">
        <v>668</v>
      </c>
      <c r="C105" s="757">
        <f>SUMIFS(INDEX(Table7[],,MATCH(C$6,Table7[#Headers],0)),Table7[MainSpaceHeatingFuel],$B105,Table7[EnergyRating (group)],$A105)</f>
        <v>25351</v>
      </c>
      <c r="D105" s="757">
        <f>SUMIFS(INDEX(Table7[],,MATCH(D$6,Table7[#Headers],0)),Table7[MainSpaceHeatingFuel],$B105,Table7[EnergyRating (group)],$A105)</f>
        <v>23046</v>
      </c>
      <c r="E105" s="760">
        <f>SUMIFS(INDEX(Table7[],,MATCH(E$6,Table7[#Headers],0)),Table7[MainSpaceHeatingFuel],$B105,Table7[EnergyRating (group)],$A105)</f>
        <v>0</v>
      </c>
      <c r="F105" s="760">
        <f>SUMIFS(INDEX(Table7[],,MATCH(F$6,Table7[#Headers],0)),Table7[MainSpaceHeatingFuel],$B105,Table7[EnergyRating (group)],$A105)</f>
        <v>0</v>
      </c>
      <c r="G105" s="757">
        <f>SUMIFS(INDEX(Table7[],,MATCH(G$6,Table7[#Headers],0)),Table7[MainSpaceHeatingFuel],$B105,Table7[EnergyRating (group)],$A105)</f>
        <v>1</v>
      </c>
      <c r="H105" s="757">
        <f>SUMIFS(INDEX(Table7[],,MATCH(H$6,Table7[#Headers],0)),Table7[MainSpaceHeatingFuel],$B105,Table7[EnergyRating (group)],$A105)</f>
        <v>38</v>
      </c>
      <c r="I105" s="912">
        <f>AVERAGEIFS(INDEX(Table7[],,MATCH(I$6,Table7[#Headers],0)),Table7[MainSpaceHeatingFuel],$B105,Table7[EnergyRating (group)],$A105)</f>
        <v>65</v>
      </c>
      <c r="J105" s="847">
        <f>SUMIFS(INDEX(Table7[],,MATCH(J$6,Table7[#Headers],0)),Table7[MainSpaceHeatingFuel],$B105,Table7[EnergyRating (group)],$A105)</f>
        <v>31084</v>
      </c>
      <c r="K105" s="847">
        <f>SUMIFS(INDEX(Table7[],,MATCH(K$6,Table7[#Headers],0)),Table7[MainSpaceHeatingFuel],$B105,Table7[EnergyRating (group)],$A105)</f>
        <v>25169</v>
      </c>
      <c r="L105" s="840"/>
      <c r="M105" s="840"/>
      <c r="N105" s="914" t="str">
        <f>RSD_Commodities!$M$16&amp;"_"&amp;RIGHT(P105,LEN(P105)-3)&amp;"_"&amp;SETUP!$B$69</f>
        <v>SH_Apt-F_BIOWOO_X2</v>
      </c>
      <c r="O105" s="914" t="str">
        <f>RSD_Commodities!$N$17&amp;"_"&amp;RSD_Commodities!D19&amp;"_"&amp;SETUP!$C$69</f>
        <v>Residential Space Heating Apartment-G_Biomass &amp; Renewable Waste to Residential_Existing 02</v>
      </c>
      <c r="P105" s="930" t="str">
        <f>RSD_Commodities!$C$19</f>
        <v>RSDBIOWOO</v>
      </c>
      <c r="Q105" s="930" t="str">
        <f>RSD_Commodities!$M$17</f>
        <v>SH_Apt-G</v>
      </c>
      <c r="R105" s="931">
        <f t="shared" si="55"/>
        <v>1.784758165268606E-4</v>
      </c>
      <c r="S105" s="932">
        <f>R105*DwellingStocks!$I$70/1000</f>
        <v>1.5451884907155228E-3</v>
      </c>
      <c r="T105" s="930">
        <v>1</v>
      </c>
      <c r="U105" s="916">
        <f t="shared" si="64"/>
        <v>0.65</v>
      </c>
      <c r="V105" s="930">
        <v>20</v>
      </c>
      <c r="W105" s="930">
        <v>1</v>
      </c>
      <c r="X105" s="840"/>
      <c r="Y105" s="920">
        <f t="shared" si="65"/>
        <v>1.4634416694669839E-8</v>
      </c>
      <c r="Z105" s="921">
        <f t="shared" si="66"/>
        <v>1.6098112367724338E-8</v>
      </c>
      <c r="AA105" s="840"/>
      <c r="AB105" s="914" t="s">
        <v>393</v>
      </c>
      <c r="AC105" s="914" t="str">
        <f t="shared" si="61"/>
        <v>SH_Apt-F_BIOWOO_X2</v>
      </c>
      <c r="AD105" s="914" t="str">
        <f t="shared" si="62"/>
        <v>Residential Space Heating Apartment-G_Biomass &amp; Renewable Waste to Residential_Existing 02</v>
      </c>
      <c r="AE105" s="914" t="s">
        <v>53</v>
      </c>
      <c r="AF105" s="914" t="s">
        <v>406</v>
      </c>
      <c r="AG105" s="914"/>
      <c r="AH105" s="914"/>
      <c r="AI105" s="840"/>
      <c r="AJ105" s="840"/>
      <c r="AK105" s="840"/>
      <c r="AL105" s="840"/>
      <c r="AM105" s="840"/>
      <c r="AN105" s="840"/>
    </row>
    <row r="106" spans="1:41">
      <c r="A106" s="840"/>
      <c r="B106" s="840"/>
      <c r="C106" s="840"/>
      <c r="D106" s="840"/>
      <c r="E106" s="840"/>
      <c r="F106" s="840"/>
      <c r="G106" s="840"/>
      <c r="H106" s="840"/>
      <c r="I106" s="840"/>
      <c r="J106" s="840"/>
      <c r="K106" s="840"/>
      <c r="L106" s="840"/>
      <c r="M106" s="840"/>
      <c r="N106" s="840"/>
      <c r="O106" s="840"/>
      <c r="P106" s="840"/>
      <c r="Q106" s="840"/>
      <c r="R106" s="840"/>
      <c r="S106" s="840"/>
      <c r="T106" s="840"/>
      <c r="U106" s="840"/>
      <c r="V106" s="840"/>
      <c r="W106" s="840"/>
      <c r="X106" s="840"/>
      <c r="Y106" s="840"/>
      <c r="Z106" s="840"/>
      <c r="AA106" s="840"/>
      <c r="AB106" s="840"/>
      <c r="AC106" s="840"/>
      <c r="AD106" s="840"/>
      <c r="AE106" s="840"/>
      <c r="AF106" s="840"/>
      <c r="AG106" s="840"/>
      <c r="AH106" s="840"/>
      <c r="AI106" s="840"/>
      <c r="AJ106" s="840"/>
      <c r="AK106" s="840"/>
      <c r="AL106" s="840"/>
      <c r="AM106" s="840"/>
      <c r="AN106" s="840"/>
    </row>
    <row r="107" spans="1:41">
      <c r="A107" s="840"/>
      <c r="B107" s="840"/>
      <c r="C107" s="840"/>
      <c r="D107" s="840"/>
      <c r="E107" s="840"/>
      <c r="F107" s="840"/>
      <c r="G107" s="840"/>
      <c r="H107" s="840"/>
      <c r="I107" s="840"/>
      <c r="J107" s="840"/>
      <c r="K107" s="840"/>
      <c r="L107" s="840"/>
      <c r="M107" s="840"/>
      <c r="N107" s="840"/>
      <c r="O107" s="840"/>
      <c r="P107" s="840"/>
      <c r="Q107" s="840"/>
      <c r="R107" s="840"/>
      <c r="S107" s="840"/>
      <c r="T107" s="840"/>
      <c r="U107" s="840"/>
      <c r="V107" s="840"/>
      <c r="W107" s="840"/>
      <c r="X107" s="840"/>
      <c r="Y107" s="840"/>
      <c r="Z107" s="840"/>
      <c r="AA107" s="840"/>
      <c r="AB107" s="840"/>
      <c r="AC107" s="840"/>
      <c r="AD107" s="840"/>
      <c r="AE107" s="840"/>
      <c r="AF107" s="840"/>
      <c r="AG107" s="840"/>
      <c r="AH107" s="840"/>
      <c r="AI107" s="840"/>
      <c r="AJ107" s="840"/>
      <c r="AK107" s="840"/>
      <c r="AL107" s="840"/>
      <c r="AM107" s="840"/>
      <c r="AN107" s="840"/>
      <c r="AO107" s="840"/>
    </row>
    <row r="108" spans="1:41">
      <c r="A108" s="840"/>
      <c r="B108" s="840"/>
      <c r="C108" s="840"/>
      <c r="D108" s="840"/>
      <c r="E108" s="840"/>
      <c r="F108" s="840"/>
      <c r="G108" s="840"/>
      <c r="H108" s="840"/>
      <c r="I108" s="840"/>
      <c r="J108" s="840"/>
      <c r="K108" s="840"/>
      <c r="L108" s="840"/>
      <c r="M108" s="840"/>
      <c r="N108" s="840"/>
      <c r="O108" s="840"/>
      <c r="P108" s="840"/>
      <c r="Q108" s="840"/>
      <c r="R108" s="840"/>
      <c r="S108" s="840"/>
      <c r="T108" s="840"/>
      <c r="U108" s="840"/>
      <c r="V108" s="840"/>
      <c r="W108" s="840"/>
      <c r="X108" s="840"/>
      <c r="Y108" s="840"/>
      <c r="Z108" s="840"/>
      <c r="AA108" s="840"/>
      <c r="AB108" s="840"/>
      <c r="AC108" s="840"/>
      <c r="AD108" s="840"/>
      <c r="AE108" s="840"/>
      <c r="AF108" s="840"/>
      <c r="AG108" s="840"/>
      <c r="AH108" s="840"/>
      <c r="AI108" s="840"/>
      <c r="AJ108" s="840"/>
      <c r="AK108" s="840"/>
      <c r="AL108" s="840"/>
      <c r="AM108" s="840"/>
      <c r="AN108" s="840"/>
      <c r="AO108" s="840"/>
    </row>
    <row r="109" spans="1:41" ht="21">
      <c r="A109" s="840"/>
      <c r="B109" s="840"/>
      <c r="C109" s="840"/>
      <c r="D109" s="840"/>
      <c r="E109" s="840"/>
      <c r="F109" s="840"/>
      <c r="G109" s="840"/>
      <c r="H109" s="840"/>
      <c r="I109" s="840"/>
      <c r="J109" s="840"/>
      <c r="K109" s="840"/>
      <c r="L109" s="840"/>
      <c r="M109" s="840"/>
      <c r="N109" s="138" t="s">
        <v>831</v>
      </c>
      <c r="O109" s="138"/>
      <c r="P109" s="138"/>
      <c r="Q109" s="142" t="s">
        <v>372</v>
      </c>
      <c r="R109" s="85"/>
      <c r="S109" s="85"/>
      <c r="T109" s="85"/>
      <c r="U109" s="85"/>
      <c r="V109" s="85"/>
      <c r="W109" s="85"/>
      <c r="X109" s="90"/>
      <c r="Y109" s="96" t="s">
        <v>561</v>
      </c>
      <c r="Z109" s="866"/>
      <c r="AA109" s="840"/>
      <c r="AB109" s="68" t="s">
        <v>373</v>
      </c>
      <c r="AC109" s="68"/>
      <c r="AD109" s="839"/>
      <c r="AE109" s="839"/>
      <c r="AF109" s="839"/>
      <c r="AG109" s="839"/>
      <c r="AH109" s="839"/>
      <c r="AI109" s="840"/>
      <c r="AJ109" s="840"/>
      <c r="AK109" s="840"/>
      <c r="AL109" s="840"/>
      <c r="AM109" s="840"/>
      <c r="AN109" s="840"/>
      <c r="AO109" s="840"/>
    </row>
    <row r="110" spans="1:41" ht="21.75" thickBot="1">
      <c r="A110" s="139" t="s">
        <v>818</v>
      </c>
      <c r="B110" s="139"/>
      <c r="C110" s="139"/>
      <c r="D110" s="139"/>
      <c r="E110" s="139"/>
      <c r="F110" s="139"/>
      <c r="G110" s="139"/>
      <c r="H110" s="139"/>
      <c r="I110" s="139"/>
      <c r="J110" s="139"/>
      <c r="K110" s="139"/>
      <c r="L110" s="840"/>
      <c r="M110" s="840"/>
      <c r="N110" s="73" t="s">
        <v>374</v>
      </c>
      <c r="O110" s="73" t="s">
        <v>397</v>
      </c>
      <c r="P110" s="73" t="s">
        <v>376</v>
      </c>
      <c r="Q110" s="73" t="s">
        <v>377</v>
      </c>
      <c r="R110" s="73" t="s">
        <v>562</v>
      </c>
      <c r="S110" s="86" t="s">
        <v>398</v>
      </c>
      <c r="T110" s="73" t="s">
        <v>811</v>
      </c>
      <c r="U110" s="86" t="s">
        <v>378</v>
      </c>
      <c r="V110" s="86" t="s">
        <v>380</v>
      </c>
      <c r="W110" s="86" t="s">
        <v>400</v>
      </c>
      <c r="X110" s="91"/>
      <c r="Y110" s="94" t="s">
        <v>563</v>
      </c>
      <c r="Z110" s="95" t="s">
        <v>564</v>
      </c>
      <c r="AA110" s="840"/>
      <c r="AB110" s="73" t="s">
        <v>385</v>
      </c>
      <c r="AC110" s="73" t="s">
        <v>374</v>
      </c>
      <c r="AD110" s="73" t="s">
        <v>375</v>
      </c>
      <c r="AE110" s="73" t="s">
        <v>386</v>
      </c>
      <c r="AF110" s="73" t="s">
        <v>387</v>
      </c>
      <c r="AG110" s="73" t="s">
        <v>388</v>
      </c>
      <c r="AH110" s="73" t="s">
        <v>389</v>
      </c>
      <c r="AI110" s="840"/>
      <c r="AJ110" s="840"/>
      <c r="AK110" s="840"/>
      <c r="AL110" s="840"/>
      <c r="AM110" s="840"/>
      <c r="AN110" s="840"/>
      <c r="AO110" s="840"/>
    </row>
    <row r="111" spans="1:41" ht="26.25" customHeight="1" thickBot="1">
      <c r="A111" s="756" t="s">
        <v>108</v>
      </c>
      <c r="B111" s="756"/>
      <c r="C111" s="756" t="s">
        <v>565</v>
      </c>
      <c r="D111" s="756" t="s">
        <v>565</v>
      </c>
      <c r="E111" s="756" t="s">
        <v>565</v>
      </c>
      <c r="F111" s="756" t="s">
        <v>565</v>
      </c>
      <c r="G111" s="756" t="s">
        <v>825</v>
      </c>
      <c r="H111" s="756" t="s">
        <v>567</v>
      </c>
      <c r="I111" s="910" t="s">
        <v>826</v>
      </c>
      <c r="J111" s="756" t="s">
        <v>565</v>
      </c>
      <c r="K111" s="962" t="s">
        <v>565</v>
      </c>
      <c r="L111" s="135"/>
      <c r="M111" s="840"/>
      <c r="N111" s="74" t="s">
        <v>402</v>
      </c>
      <c r="O111" s="74" t="s">
        <v>403</v>
      </c>
      <c r="P111" s="74" t="s">
        <v>404</v>
      </c>
      <c r="Q111" s="74" t="s">
        <v>405</v>
      </c>
      <c r="R111" s="74"/>
      <c r="S111" s="89" t="s">
        <v>406</v>
      </c>
      <c r="T111" s="74"/>
      <c r="U111" s="87" t="s">
        <v>568</v>
      </c>
      <c r="V111" s="87"/>
      <c r="W111" s="87"/>
      <c r="X111" s="92"/>
      <c r="Y111" s="732" t="s">
        <v>53</v>
      </c>
      <c r="Z111" s="733" t="s">
        <v>53</v>
      </c>
      <c r="AA111" s="92"/>
      <c r="AB111" s="75" t="s">
        <v>370</v>
      </c>
      <c r="AC111" s="75"/>
      <c r="AD111" s="74"/>
      <c r="AE111" s="75"/>
      <c r="AF111" s="75"/>
      <c r="AG111" s="75"/>
      <c r="AH111" s="75"/>
      <c r="AI111" s="840"/>
      <c r="AJ111" s="840"/>
      <c r="AK111" s="840"/>
      <c r="AL111" s="840"/>
      <c r="AM111" s="840"/>
      <c r="AN111" s="840"/>
      <c r="AO111" s="840"/>
    </row>
    <row r="112" spans="1:41" ht="26.25" customHeight="1" thickBot="1">
      <c r="A112" s="945" t="s">
        <v>569</v>
      </c>
      <c r="B112" s="946" t="s">
        <v>589</v>
      </c>
      <c r="C112" s="946" t="s">
        <v>659</v>
      </c>
      <c r="D112" s="946" t="s">
        <v>660</v>
      </c>
      <c r="E112" s="946" t="s">
        <v>661</v>
      </c>
      <c r="F112" s="946" t="s">
        <v>662</v>
      </c>
      <c r="G112" s="946" t="s">
        <v>575</v>
      </c>
      <c r="H112" s="946" t="s">
        <v>576</v>
      </c>
      <c r="I112" s="958" t="s">
        <v>827</v>
      </c>
      <c r="J112" s="945" t="s">
        <v>829</v>
      </c>
      <c r="K112" s="963" t="s">
        <v>828</v>
      </c>
      <c r="L112" s="135"/>
      <c r="M112" s="840"/>
      <c r="N112" s="76" t="str">
        <f>AB112</f>
        <v>*A Rating</v>
      </c>
      <c r="O112" s="76"/>
      <c r="P112" s="76"/>
      <c r="Q112" s="76"/>
      <c r="R112" s="949">
        <f>SUM(R113:R118)</f>
        <v>1</v>
      </c>
      <c r="S112" s="76"/>
      <c r="T112" s="97"/>
      <c r="U112" s="76"/>
      <c r="V112" s="76"/>
      <c r="W112" s="76"/>
      <c r="X112" s="93"/>
      <c r="Y112" s="76"/>
      <c r="Z112" s="76"/>
      <c r="AA112" s="93"/>
      <c r="AB112" s="140" t="str">
        <f>"*"&amp;A111&amp;" Rating"</f>
        <v>*A Rating</v>
      </c>
      <c r="AC112" s="141"/>
      <c r="AD112" s="141"/>
      <c r="AE112" s="141"/>
      <c r="AF112" s="141"/>
      <c r="AG112" s="141"/>
      <c r="AH112" s="141"/>
      <c r="AI112" s="840"/>
      <c r="AJ112" s="840"/>
      <c r="AK112" s="840"/>
      <c r="AL112" s="840"/>
      <c r="AM112" s="840"/>
      <c r="AN112" s="840"/>
      <c r="AO112" s="840"/>
    </row>
    <row r="113" spans="1:41">
      <c r="A113" s="757" t="s">
        <v>108</v>
      </c>
      <c r="B113" s="757" t="s">
        <v>582</v>
      </c>
      <c r="C113" s="757">
        <f>SUMIFS(INDEX(Table7[],,MATCH(C$112,Table7[#Headers],0)),Table7[MainWaterHeatingFuel],$B113,Table7[EnergyRating (group)],$A113)</f>
        <v>3144</v>
      </c>
      <c r="D113" s="757">
        <f>SUMIFS(INDEX(Table7[],,MATCH(D$112,Table7[#Headers],0)),Table7[MainWaterHeatingFuel],$B113,Table7[EnergyRating (group)],$A113)</f>
        <v>2858</v>
      </c>
      <c r="E113" s="760">
        <f>SUMIFS(INDEX(Table7[],,MATCH(E$112,Table7[#Headers],0)),Table7[MainWaterHeatingFuel],$B113,Table7[EnergyRating (group)],$A113)</f>
        <v>0</v>
      </c>
      <c r="F113" s="760">
        <f>SUMIFS(INDEX(Table7[],,MATCH(F$112,Table7[#Headers],0)),Table7[MainWaterHeatingFuel],$B113,Table7[EnergyRating (group)],$A113)</f>
        <v>0</v>
      </c>
      <c r="G113" s="757">
        <f>SUMIFS(INDEX(Table7[],,MATCH(G$112,Table7[#Headers],0)),Table7[MainWaterHeatingFuel],$B113,Table7[EnergyRating (group)],$A113)</f>
        <v>1</v>
      </c>
      <c r="H113" s="757">
        <f>SUMIFS(INDEX(Table7[],,MATCH(H$112,Table7[#Headers],0)),Table7[MainWaterHeatingFuel],$B113,Table7[EnergyRating (group)],$A113)</f>
        <v>80</v>
      </c>
      <c r="I113" s="959"/>
      <c r="J113" s="968">
        <f t="shared" ref="J113:J125" si="67">C113+E113</f>
        <v>3144</v>
      </c>
      <c r="K113" s="965">
        <f t="shared" ref="K113:K125" si="68">D113+F113</f>
        <v>2858</v>
      </c>
      <c r="L113" s="840"/>
      <c r="M113" s="840"/>
      <c r="N113" s="914" t="str">
        <f>RSD_Commodities!$M$63&amp;"_"&amp;RIGHT(P113,LEN(P113)-3)&amp;"_"&amp;SETUP!$B$67</f>
        <v>WH_Apt-A_OILLPG_X0</v>
      </c>
      <c r="O113" s="914" t="str">
        <f>RSD_Commodities!$N$63&amp;"_"&amp;RSD_Commodities!D11&amp;"_"&amp;SETUP!$C$67</f>
        <v>Residential Water Heating Apartment-A_LPG to Residential_Existing 00</v>
      </c>
      <c r="P113" s="915" t="str">
        <f>RSD_Commodities!$C$11</f>
        <v>RSDOILLPG</v>
      </c>
      <c r="Q113" s="915" t="str">
        <f>RSD_Commodities!$M$63</f>
        <v>WH_Apt-A</v>
      </c>
      <c r="R113" s="931">
        <f>G113/SUM($G$113:$G$118)</f>
        <v>1.5578750584203146E-4</v>
      </c>
      <c r="S113" s="914">
        <f>R113*DwellingStocks!$I$62/1000</f>
        <v>1.6429375753506329E-3</v>
      </c>
      <c r="T113" s="914">
        <v>1</v>
      </c>
      <c r="U113" s="916">
        <f>K113/J113</f>
        <v>0.90903307888040707</v>
      </c>
      <c r="V113" s="914">
        <v>20</v>
      </c>
      <c r="W113" s="914">
        <v>1</v>
      </c>
      <c r="X113" s="866"/>
      <c r="Y113" s="924">
        <f>ABS((K113)*S113*1000*$B$2)</f>
        <v>1.929663941240593E-9</v>
      </c>
      <c r="Z113" s="925">
        <f>ABS((J113)*S113*1000*$B$2)</f>
        <v>2.1227653713297499E-9</v>
      </c>
      <c r="AA113" s="866"/>
      <c r="AB113" s="914" t="s">
        <v>393</v>
      </c>
      <c r="AC113" s="914" t="str">
        <f t="shared" ref="AC113:AC118" si="69">N113</f>
        <v>WH_Apt-A_OILLPG_X0</v>
      </c>
      <c r="AD113" s="915" t="str">
        <f t="shared" ref="AD113:AD118" si="70">O113</f>
        <v>Residential Water Heating Apartment-A_LPG to Residential_Existing 00</v>
      </c>
      <c r="AE113" s="914" t="s">
        <v>53</v>
      </c>
      <c r="AF113" s="916" t="s">
        <v>406</v>
      </c>
      <c r="AG113" s="914"/>
      <c r="AH113" s="914"/>
      <c r="AI113" s="840"/>
      <c r="AJ113" s="840"/>
      <c r="AK113" s="840"/>
      <c r="AL113" s="840"/>
      <c r="AM113" s="840"/>
      <c r="AN113" s="840"/>
      <c r="AO113" s="840"/>
    </row>
    <row r="114" spans="1:41">
      <c r="A114" s="758" t="s">
        <v>108</v>
      </c>
      <c r="B114" s="758" t="s">
        <v>228</v>
      </c>
      <c r="C114" s="758">
        <f>SUMIFS(INDEX(Table7[],,MATCH(C$112,Table7[#Headers],0)),Table7[MainWaterHeatingFuel],$B114,Table7[EnergyRating (group)],$A114)</f>
        <v>3309846</v>
      </c>
      <c r="D114" s="758">
        <f>SUMIFS(INDEX(Table7[],,MATCH(D$112,Table7[#Headers],0)),Table7[MainWaterHeatingFuel],$B114,Table7[EnergyRating (group)],$A114)</f>
        <v>1225869</v>
      </c>
      <c r="E114" s="758">
        <f>SUMIFS(INDEX(Table7[],,MATCH(E$112,Table7[#Headers],0)),Table7[MainWaterHeatingFuel],$B114,Table7[EnergyRating (group)],$A114)</f>
        <v>0</v>
      </c>
      <c r="F114" s="758">
        <f>SUMIFS(INDEX(Table7[],,MATCH(F$112,Table7[#Headers],0)),Table7[MainWaterHeatingFuel],$B114,Table7[EnergyRating (group)],$A114)</f>
        <v>0</v>
      </c>
      <c r="G114" s="758">
        <f>SUMIFS(INDEX(Table7[],,MATCH(G$112,Table7[#Headers],0)),Table7[MainWaterHeatingFuel],$B114,Table7[EnergyRating (group)],$A114)</f>
        <v>1116</v>
      </c>
      <c r="H114" s="758">
        <f>SUMIFS(INDEX(Table7[],,MATCH(H$112,Table7[#Headers],0)),Table7[MainWaterHeatingFuel],$B114,Table7[EnergyRating (group)],$A114)</f>
        <v>89933</v>
      </c>
      <c r="I114" s="960"/>
      <c r="J114" s="969">
        <f t="shared" si="67"/>
        <v>3309846</v>
      </c>
      <c r="K114" s="967">
        <f t="shared" si="68"/>
        <v>1225869</v>
      </c>
      <c r="L114" s="840"/>
      <c r="M114" s="840"/>
      <c r="N114" s="66" t="str">
        <f>RSD_Commodities!$M$63&amp;"_"&amp;RIGHT(P114,LEN(P114)-3)&amp;"_"&amp;SETUP!$B$67</f>
        <v>WH_Apt-A_ELCD_X0</v>
      </c>
      <c r="O114" s="66" t="str">
        <f>RSD_Commodities!$N$9&amp;"_"&amp;RSD_Commodities!D27&amp;"_"&amp;SETUP!$C$67</f>
        <v>Residential Space Heating Apartment-A_Electricity to Residential_Existing 00</v>
      </c>
      <c r="P114" s="83" t="str">
        <f>RSD_Commodities!$C$27</f>
        <v>RSDELCD</v>
      </c>
      <c r="Q114" s="83" t="str">
        <f>RSD_Commodities!$M$63</f>
        <v>WH_Apt-A</v>
      </c>
      <c r="R114" s="936">
        <f t="shared" ref="R114:R118" si="71">G114/SUM($G$113:$G$118)</f>
        <v>0.17385885651970712</v>
      </c>
      <c r="S114" s="66">
        <f>R114*DwellingStocks!$I$62/1000</f>
        <v>1.8335183340913066</v>
      </c>
      <c r="T114" s="66">
        <v>1</v>
      </c>
      <c r="U114" s="88">
        <f t="shared" ref="U114:U118" si="72">K114/J114</f>
        <v>0.37037040394024373</v>
      </c>
      <c r="V114" s="66">
        <v>20</v>
      </c>
      <c r="W114" s="66">
        <v>1</v>
      </c>
      <c r="X114" s="866"/>
      <c r="Y114" s="926">
        <f t="shared" ref="Y114:Y118" si="73">ABS((K114)*S114*1000*$B$2)</f>
        <v>9.2369313151815472E-4</v>
      </c>
      <c r="Z114" s="927">
        <f t="shared" ref="Z114:Z118" si="74">ABS((J114)*S114*1000*$B$2)</f>
        <v>2.4939712290488122E-3</v>
      </c>
      <c r="AA114" s="866"/>
      <c r="AB114" s="66" t="s">
        <v>393</v>
      </c>
      <c r="AC114" s="66" t="str">
        <f t="shared" si="69"/>
        <v>WH_Apt-A_ELCD_X0</v>
      </c>
      <c r="AD114" s="83" t="str">
        <f t="shared" si="70"/>
        <v>Residential Space Heating Apartment-A_Electricity to Residential_Existing 00</v>
      </c>
      <c r="AE114" s="66" t="s">
        <v>53</v>
      </c>
      <c r="AF114" s="88" t="s">
        <v>406</v>
      </c>
      <c r="AG114" s="66"/>
      <c r="AH114" s="66"/>
      <c r="AI114" s="840"/>
      <c r="AJ114" s="840"/>
      <c r="AK114" s="840"/>
      <c r="AL114" s="840"/>
      <c r="AM114" s="840"/>
      <c r="AN114" s="840"/>
      <c r="AO114" s="840"/>
    </row>
    <row r="115" spans="1:41">
      <c r="A115" s="757" t="s">
        <v>108</v>
      </c>
      <c r="B115" s="757" t="s">
        <v>583</v>
      </c>
      <c r="C115" s="757">
        <f>SUMIFS(INDEX(Table7[],,MATCH(C$112,Table7[#Headers],0)),Table7[MainWaterHeatingFuel],$B115,Table7[EnergyRating (group)],$A115)</f>
        <v>22587</v>
      </c>
      <c r="D115" s="757">
        <f>SUMIFS(INDEX(Table7[],,MATCH(D$112,Table7[#Headers],0)),Table7[MainWaterHeatingFuel],$B115,Table7[EnergyRating (group)],$A115)</f>
        <v>20534</v>
      </c>
      <c r="E115" s="757">
        <f>SUMIFS(INDEX(Table7[],,MATCH(E$112,Table7[#Headers],0)),Table7[MainWaterHeatingFuel],$B115,Table7[EnergyRating (group)],$A115)</f>
        <v>0</v>
      </c>
      <c r="F115" s="757">
        <f>SUMIFS(INDEX(Table7[],,MATCH(F$112,Table7[#Headers],0)),Table7[MainWaterHeatingFuel],$B115,Table7[EnergyRating (group)],$A115)</f>
        <v>0</v>
      </c>
      <c r="G115" s="757">
        <f>SUMIFS(INDEX(Table7[],,MATCH(G$112,Table7[#Headers],0)),Table7[MainWaterHeatingFuel],$B115,Table7[EnergyRating (group)],$A115)</f>
        <v>5</v>
      </c>
      <c r="H115" s="757">
        <f>SUMIFS(INDEX(Table7[],,MATCH(H$112,Table7[#Headers],0)),Table7[MainWaterHeatingFuel],$B115,Table7[EnergyRating (group)],$A115)</f>
        <v>741</v>
      </c>
      <c r="I115" s="961"/>
      <c r="J115" s="964">
        <f t="shared" si="67"/>
        <v>22587</v>
      </c>
      <c r="K115" s="965">
        <f t="shared" si="68"/>
        <v>20534</v>
      </c>
      <c r="L115" s="840"/>
      <c r="M115" s="840"/>
      <c r="N115" s="914" t="str">
        <f>RSD_Commodities!$M$63&amp;"_"&amp;RIGHT(P115,LEN(P115)-3)&amp;"_"&amp;SETUP!$B$67</f>
        <v>WH_Apt-A_OILKER_X0</v>
      </c>
      <c r="O115" s="914" t="str">
        <f>RSD_Commodities!$N$9&amp;"_"&amp;RSD_Commodities!D13&amp;"_"&amp;SETUP!$C$67</f>
        <v>Residential Space Heating Apartment-A_Kerosene to Residential_Existing 00</v>
      </c>
      <c r="P115" s="915" t="str">
        <f>RSD_Commodities!$C$13</f>
        <v>RSDOILKER</v>
      </c>
      <c r="Q115" s="915" t="str">
        <f>RSD_Commodities!$M$63</f>
        <v>WH_Apt-A</v>
      </c>
      <c r="R115" s="931">
        <f t="shared" si="71"/>
        <v>7.789375292101573E-4</v>
      </c>
      <c r="S115" s="914">
        <f>R115*DwellingStocks!$I$62/1000</f>
        <v>8.2146878767531649E-3</v>
      </c>
      <c r="T115" s="914">
        <v>1</v>
      </c>
      <c r="U115" s="916">
        <f t="shared" si="72"/>
        <v>0.90910700845619163</v>
      </c>
      <c r="V115" s="914">
        <v>20</v>
      </c>
      <c r="W115" s="914">
        <v>1</v>
      </c>
      <c r="X115" s="866"/>
      <c r="Y115" s="928">
        <f t="shared" si="73"/>
        <v>6.932071268270529E-8</v>
      </c>
      <c r="Z115" s="929">
        <f t="shared" si="74"/>
        <v>7.6251433591324839E-8</v>
      </c>
      <c r="AA115" s="866"/>
      <c r="AB115" s="914" t="s">
        <v>393</v>
      </c>
      <c r="AC115" s="914" t="str">
        <f t="shared" si="69"/>
        <v>WH_Apt-A_OILKER_X0</v>
      </c>
      <c r="AD115" s="915" t="str">
        <f t="shared" si="70"/>
        <v>Residential Space Heating Apartment-A_Kerosene to Residential_Existing 00</v>
      </c>
      <c r="AE115" s="914" t="s">
        <v>53</v>
      </c>
      <c r="AF115" s="916" t="s">
        <v>406</v>
      </c>
      <c r="AG115" s="914"/>
      <c r="AH115" s="914"/>
      <c r="AI115" s="840"/>
      <c r="AJ115" s="840"/>
      <c r="AK115" s="840"/>
      <c r="AL115" s="840"/>
      <c r="AM115" s="840"/>
      <c r="AN115" s="840"/>
      <c r="AO115" s="840"/>
    </row>
    <row r="116" spans="1:41">
      <c r="A116" s="758" t="s">
        <v>108</v>
      </c>
      <c r="B116" s="758" t="s">
        <v>584</v>
      </c>
      <c r="C116" s="758">
        <f>SUMIFS(INDEX(Table7[],,MATCH(C$112,Table7[#Headers],0)),Table7[MainWaterHeatingFuel],$B116,Table7[EnergyRating (group)],$A116)</f>
        <v>4985830</v>
      </c>
      <c r="D116" s="758">
        <f>SUMIFS(INDEX(Table7[],,MATCH(D$112,Table7[#Headers],0)),Table7[MainWaterHeatingFuel],$B116,Table7[EnergyRating (group)],$A116)</f>
        <v>4532571</v>
      </c>
      <c r="E116" s="759">
        <f>SUMIFS(INDEX(Table7[],,MATCH(E$112,Table7[#Headers],0)),Table7[MainWaterHeatingFuel],$B116,Table7[EnergyRating (group)],$A116)</f>
        <v>64763</v>
      </c>
      <c r="F116" s="759">
        <f>SUMIFS(INDEX(Table7[],,MATCH(F$112,Table7[#Headers],0)),Table7[MainWaterHeatingFuel],$B116,Table7[EnergyRating (group)],$A116)</f>
        <v>23986</v>
      </c>
      <c r="G116" s="758">
        <f>SUMIFS(INDEX(Table7[],,MATCH(G$112,Table7[#Headers],0)),Table7[MainWaterHeatingFuel],$B116,Table7[EnergyRating (group)],$A116)</f>
        <v>1879</v>
      </c>
      <c r="H116" s="758">
        <f>SUMIFS(INDEX(Table7[],,MATCH(H$112,Table7[#Headers],0)),Table7[MainWaterHeatingFuel],$B116,Table7[EnergyRating (group)],$A116)</f>
        <v>151807</v>
      </c>
      <c r="I116" s="960"/>
      <c r="J116" s="966">
        <f t="shared" si="67"/>
        <v>5050593</v>
      </c>
      <c r="K116" s="967">
        <f t="shared" si="68"/>
        <v>4556557</v>
      </c>
      <c r="L116" s="840"/>
      <c r="M116" s="840"/>
      <c r="N116" s="66" t="str">
        <f>RSD_Commodities!$M$63&amp;"_"&amp;RIGHT(P116,LEN(P116)-3)&amp;"_"&amp;SETUP!$B$67</f>
        <v>WH_Apt-A_GASNAT_X0</v>
      </c>
      <c r="O116" s="66" t="str">
        <f>RSD_Commodities!$N$9&amp;"_"&amp;RSD_Commodities!D17&amp;"_"&amp;SETUP!$C$67</f>
        <v>Residential Space Heating Apartment-A_Natural Gas to Residential_Existing 00</v>
      </c>
      <c r="P116" s="83" t="str">
        <f>RSD_Commodities!$C$17</f>
        <v>RSDGASNAT</v>
      </c>
      <c r="Q116" s="83" t="str">
        <f>RSD_Commodities!$M$63</f>
        <v>WH_Apt-A</v>
      </c>
      <c r="R116" s="936">
        <f t="shared" si="71"/>
        <v>0.29272472347717715</v>
      </c>
      <c r="S116" s="66">
        <f>R116*DwellingStocks!$I$62/1000</f>
        <v>3.0870797040838398</v>
      </c>
      <c r="T116" s="66">
        <v>1</v>
      </c>
      <c r="U116" s="88">
        <f t="shared" si="72"/>
        <v>0.90218257539263214</v>
      </c>
      <c r="V116" s="66">
        <v>20</v>
      </c>
      <c r="W116" s="66">
        <v>1</v>
      </c>
      <c r="X116" s="866"/>
      <c r="Y116" s="926">
        <f t="shared" si="73"/>
        <v>5.7807347815895145E-3</v>
      </c>
      <c r="Z116" s="927">
        <f t="shared" si="74"/>
        <v>6.4074999221457188E-3</v>
      </c>
      <c r="AA116" s="866"/>
      <c r="AB116" s="66" t="s">
        <v>393</v>
      </c>
      <c r="AC116" s="66" t="str">
        <f t="shared" si="69"/>
        <v>WH_Apt-A_GASNAT_X0</v>
      </c>
      <c r="AD116" s="83" t="str">
        <f t="shared" si="70"/>
        <v>Residential Space Heating Apartment-A_Natural Gas to Residential_Existing 00</v>
      </c>
      <c r="AE116" s="66" t="s">
        <v>53</v>
      </c>
      <c r="AF116" s="88" t="s">
        <v>406</v>
      </c>
      <c r="AG116" s="66"/>
      <c r="AH116" s="66"/>
      <c r="AI116" s="840"/>
      <c r="AJ116" s="840"/>
      <c r="AK116" s="840"/>
      <c r="AL116" s="840"/>
      <c r="AM116" s="840"/>
      <c r="AN116" s="840"/>
      <c r="AO116" s="840"/>
    </row>
    <row r="117" spans="1:41">
      <c r="A117" s="757" t="s">
        <v>108</v>
      </c>
      <c r="B117" s="757" t="s">
        <v>585</v>
      </c>
      <c r="C117" s="757">
        <f>SUMIFS(INDEX(Table7[],,MATCH(C$112,Table7[#Headers],0)),Table7[MainWaterHeatingFuel],$B117,Table7[EnergyRating (group)],$A117)</f>
        <v>13139</v>
      </c>
      <c r="D117" s="757">
        <f>SUMIFS(INDEX(Table7[],,MATCH(D$112,Table7[#Headers],0)),Table7[MainWaterHeatingFuel],$B117,Table7[EnergyRating (group)],$A117)</f>
        <v>11945</v>
      </c>
      <c r="E117" s="760">
        <f>SUMIFS(INDEX(Table7[],,MATCH(E$112,Table7[#Headers],0)),Table7[MainWaterHeatingFuel],$B117,Table7[EnergyRating (group)],$A117)</f>
        <v>0</v>
      </c>
      <c r="F117" s="760">
        <f>SUMIFS(INDEX(Table7[],,MATCH(F$112,Table7[#Headers],0)),Table7[MainWaterHeatingFuel],$B117,Table7[EnergyRating (group)],$A117)</f>
        <v>0</v>
      </c>
      <c r="G117" s="757">
        <f>SUMIFS(INDEX(Table7[],,MATCH(G$112,Table7[#Headers],0)),Table7[MainWaterHeatingFuel],$B117,Table7[EnergyRating (group)],$A117)</f>
        <v>3</v>
      </c>
      <c r="H117" s="757">
        <f>SUMIFS(INDEX(Table7[],,MATCH(H$112,Table7[#Headers],0)),Table7[MainWaterHeatingFuel],$B117,Table7[EnergyRating (group)],$A117)</f>
        <v>144</v>
      </c>
      <c r="I117" s="959"/>
      <c r="J117" s="968">
        <f t="shared" si="67"/>
        <v>13139</v>
      </c>
      <c r="K117" s="965">
        <f t="shared" si="68"/>
        <v>11945</v>
      </c>
      <c r="L117" s="840"/>
      <c r="M117" s="840"/>
      <c r="N117" s="914" t="str">
        <f>RSD_Commodities!$M$63&amp;"_"&amp;RIGHT(P117,LEN(P117)-3)&amp;"_"&amp;SETUP!$B$67</f>
        <v>WH_Apt-A_BIOWOO_X0</v>
      </c>
      <c r="O117" s="914" t="str">
        <f>RSD_Commodities!$N$9&amp;"_"&amp;RSD_Commodities!D19&amp;"_"&amp;SETUP!$C$67</f>
        <v>Residential Space Heating Apartment-A_Biomass &amp; Renewable Waste to Residential_Existing 00</v>
      </c>
      <c r="P117" s="915" t="str">
        <f>RSD_Commodities!$C$19</f>
        <v>RSDBIOWOO</v>
      </c>
      <c r="Q117" s="915" t="str">
        <f>RSD_Commodities!$M$63</f>
        <v>WH_Apt-A</v>
      </c>
      <c r="R117" s="931">
        <f t="shared" si="71"/>
        <v>4.6736251752609438E-4</v>
      </c>
      <c r="S117" s="914">
        <f>R117*DwellingStocks!$I$62/1000</f>
        <v>4.9288127260518995E-3</v>
      </c>
      <c r="T117" s="914">
        <v>1</v>
      </c>
      <c r="U117" s="916">
        <f t="shared" si="72"/>
        <v>0.90912550422406579</v>
      </c>
      <c r="V117" s="914">
        <v>20</v>
      </c>
      <c r="W117" s="914">
        <v>1</v>
      </c>
      <c r="X117" s="866"/>
      <c r="Y117" s="928">
        <f t="shared" si="73"/>
        <v>2.4195069046310936E-8</v>
      </c>
      <c r="Z117" s="929">
        <f t="shared" si="74"/>
        <v>2.6613563181203802E-8</v>
      </c>
      <c r="AA117" s="866"/>
      <c r="AB117" s="914" t="s">
        <v>393</v>
      </c>
      <c r="AC117" s="914" t="str">
        <f t="shared" si="69"/>
        <v>WH_Apt-A_BIOWOO_X0</v>
      </c>
      <c r="AD117" s="915" t="str">
        <f t="shared" si="70"/>
        <v>Residential Space Heating Apartment-A_Biomass &amp; Renewable Waste to Residential_Existing 00</v>
      </c>
      <c r="AE117" s="914" t="s">
        <v>53</v>
      </c>
      <c r="AF117" s="916" t="s">
        <v>406</v>
      </c>
      <c r="AG117" s="914"/>
      <c r="AH117" s="914"/>
      <c r="AI117" s="840"/>
      <c r="AJ117" s="840"/>
      <c r="AK117" s="840"/>
      <c r="AL117" s="840"/>
      <c r="AM117" s="840"/>
      <c r="AN117" s="840"/>
      <c r="AO117" s="840"/>
    </row>
    <row r="118" spans="1:41" ht="15.75" thickBot="1">
      <c r="A118" s="758" t="s">
        <v>108</v>
      </c>
      <c r="B118" s="758" t="s">
        <v>587</v>
      </c>
      <c r="C118" s="758">
        <f>SUMIFS(INDEX(Table7[],,MATCH(C$112,Table7[#Headers],0)),Table7[MainWaterHeatingFuel],"",Table7[EnergyRating (group)],$A118)</f>
        <v>0</v>
      </c>
      <c r="D118" s="758">
        <f>SUMIFS(INDEX(Table7[],,MATCH(D$112,Table7[#Headers],0)),Table7[MainWaterHeatingFuel],"",Table7[EnergyRating (group)],$A118)</f>
        <v>0</v>
      </c>
      <c r="E118" s="758">
        <f>SUMIFS(INDEX(Table7[],,MATCH(E112,Table7[#Headers],0)),Table7[MainWaterHeatingFuel],"",Table7[EnergyRating (group)],$A118)</f>
        <v>21237</v>
      </c>
      <c r="F118" s="758">
        <f>SUMIFS(INDEX(Table7[],,MATCH(F$112,Table7[#Headers],0)),Table7[MainWaterHeatingFuel],"",Table7[EnergyRating (group)],A118)</f>
        <v>7865</v>
      </c>
      <c r="G118" s="758">
        <f>SUMIFS(INDEX(Table7[],,MATCH(G$112,Table7[#Headers],0)),Table7[MainWaterHeatingFuel],"",Table7[EnergyRating (group)],$A118)</f>
        <v>3415</v>
      </c>
      <c r="H118" s="758">
        <f>SUMIFS(INDEX(Table7[],,MATCH(H$112,Table7[#Headers],0)),Table7[MainWaterHeatingFuel],"",Table7[EnergyRating (group)],$A118)</f>
        <v>292431</v>
      </c>
      <c r="I118" s="960"/>
      <c r="J118" s="970">
        <f t="shared" si="67"/>
        <v>21237</v>
      </c>
      <c r="K118" s="971">
        <f t="shared" si="68"/>
        <v>7865</v>
      </c>
      <c r="L118" s="840"/>
      <c r="M118" s="840"/>
      <c r="N118" s="66" t="str">
        <f>RSD_Commodities!$M$63&amp;"_"&amp;RIGHT(P118,LEN(P118)-3)&amp;"_"&amp;SETUP!$B$67</f>
        <v>WH_Apt-A_HET_X0</v>
      </c>
      <c r="O118" s="66" t="str">
        <f>RSD_Commodities!$N$9&amp;"_"&amp;RSD_Commodities!D28&amp;"_"&amp;SETUP!$C$67</f>
        <v>Residential Space Heating Apartment-A_Heat to Residential_Existing 00</v>
      </c>
      <c r="P118" s="83" t="str">
        <f>RSD_Commodities!$C$28</f>
        <v>RSDHET</v>
      </c>
      <c r="Q118" s="83" t="str">
        <f>RSD_Commodities!$M$63</f>
        <v>WH_Apt-A</v>
      </c>
      <c r="R118" s="936">
        <f t="shared" si="71"/>
        <v>0.53201433245053742</v>
      </c>
      <c r="S118" s="66">
        <f>R118*DwellingStocks!$I$62/1000</f>
        <v>5.6106318198224114</v>
      </c>
      <c r="T118" s="66">
        <v>1</v>
      </c>
      <c r="U118" s="88">
        <f t="shared" si="72"/>
        <v>0.37034421057588174</v>
      </c>
      <c r="V118" s="66">
        <v>20</v>
      </c>
      <c r="W118" s="66">
        <v>1</v>
      </c>
      <c r="X118" s="866"/>
      <c r="Y118" s="926">
        <f t="shared" si="73"/>
        <v>1.8134638053247921E-5</v>
      </c>
      <c r="Z118" s="927">
        <f t="shared" si="74"/>
        <v>4.8966981352425434E-5</v>
      </c>
      <c r="AA118" s="866"/>
      <c r="AB118" s="66" t="s">
        <v>393</v>
      </c>
      <c r="AC118" s="66" t="str">
        <f t="shared" si="69"/>
        <v>WH_Apt-A_HET_X0</v>
      </c>
      <c r="AD118" s="83" t="str">
        <f t="shared" si="70"/>
        <v>Residential Space Heating Apartment-A_Heat to Residential_Existing 00</v>
      </c>
      <c r="AE118" s="66" t="s">
        <v>53</v>
      </c>
      <c r="AF118" s="88" t="s">
        <v>406</v>
      </c>
      <c r="AG118" s="66"/>
      <c r="AH118" s="66"/>
      <c r="AI118" s="840"/>
      <c r="AJ118" s="840"/>
      <c r="AK118" s="840"/>
      <c r="AL118" s="840"/>
      <c r="AM118" s="840"/>
      <c r="AN118" s="840"/>
      <c r="AO118" s="840"/>
    </row>
    <row r="119" spans="1:41" ht="15.75" thickBot="1">
      <c r="A119" s="756" t="s">
        <v>110</v>
      </c>
      <c r="B119" s="1048"/>
      <c r="C119" s="1049"/>
      <c r="D119" s="1049"/>
      <c r="E119" s="1049"/>
      <c r="F119" s="1049"/>
      <c r="G119" s="1049"/>
      <c r="H119" s="1049"/>
      <c r="I119" s="1049"/>
      <c r="J119" s="1049"/>
      <c r="K119" s="1052"/>
      <c r="L119" s="840"/>
      <c r="M119" s="840"/>
      <c r="N119" s="76" t="str">
        <f>AB119</f>
        <v>*B1 Rating</v>
      </c>
      <c r="O119" s="76"/>
      <c r="P119" s="76"/>
      <c r="Q119" s="76"/>
      <c r="R119" s="949">
        <f>SUM(R120:R125)</f>
        <v>1</v>
      </c>
      <c r="S119" s="76"/>
      <c r="T119" s="97"/>
      <c r="U119" s="76"/>
      <c r="V119" s="76"/>
      <c r="W119" s="76"/>
      <c r="X119" s="840"/>
      <c r="Y119" s="76"/>
      <c r="Z119" s="76"/>
      <c r="AA119" s="840"/>
      <c r="AB119" s="140" t="str">
        <f>"*"&amp; A120 &amp; " Rating"</f>
        <v>*B1 Rating</v>
      </c>
      <c r="AC119" s="141"/>
      <c r="AD119" s="141"/>
      <c r="AE119" s="141"/>
      <c r="AF119" s="141"/>
      <c r="AG119" s="141"/>
      <c r="AH119" s="141"/>
      <c r="AI119" s="840"/>
      <c r="AJ119" s="840"/>
      <c r="AK119" s="840"/>
      <c r="AL119" s="840"/>
      <c r="AM119" s="840"/>
      <c r="AN119" s="840"/>
      <c r="AO119" s="840"/>
    </row>
    <row r="120" spans="1:41">
      <c r="A120" s="972" t="s">
        <v>110</v>
      </c>
      <c r="B120" s="757" t="s">
        <v>582</v>
      </c>
      <c r="C120" s="757">
        <f>SUMIFS(INDEX(Table7[],,MATCH(C$112,Table7[#Headers],0)),Table7[MainWaterHeatingFuel],$B120,Table7[EnergyRating (group)],$A120)</f>
        <v>138497</v>
      </c>
      <c r="D120" s="757">
        <f>SUMIFS(INDEX(Table7[],,MATCH(D$112,Table7[#Headers],0)),Table7[MainWaterHeatingFuel],$B120,Table7[EnergyRating (group)],$A120)</f>
        <v>125907</v>
      </c>
      <c r="E120" s="760">
        <f>SUMIFS(INDEX(Table7[],,MATCH(E$112,Table7[#Headers],0)),Table7[MainWaterHeatingFuel],$B120,Table7[EnergyRating (group)],$A120)</f>
        <v>0</v>
      </c>
      <c r="F120" s="760">
        <f>SUMIFS(INDEX(Table7[],,MATCH(F$112,Table7[#Headers],0)),Table7[MainWaterHeatingFuel],$B120,Table7[EnergyRating (group)],$A120)</f>
        <v>0</v>
      </c>
      <c r="G120" s="757">
        <f>SUMIFS(INDEX(Table7[],,MATCH(G$112,Table7[#Headers],0)),Table7[MainWaterHeatingFuel],$B120,Table7[EnergyRating (group)],$A120)</f>
        <v>44</v>
      </c>
      <c r="H120" s="757">
        <f>SUMIFS(INDEX(Table7[],,MATCH(H$112,Table7[#Headers],0)),Table7[MainWaterHeatingFuel],$B120,Table7[EnergyRating (group)],$A120)</f>
        <v>4215</v>
      </c>
      <c r="I120" s="959"/>
      <c r="J120" s="974">
        <f t="shared" si="67"/>
        <v>138497</v>
      </c>
      <c r="K120" s="975">
        <f t="shared" si="68"/>
        <v>125907</v>
      </c>
      <c r="L120" s="840"/>
      <c r="M120" s="840"/>
      <c r="N120" s="914" t="str">
        <f>RSD_Commodities!$M$64&amp;"_"&amp;RIGHT(P120,LEN(P120)-3)&amp;"_"&amp;SETUP!$B$67</f>
        <v>WH_Apt-B1_OILLPG_X0</v>
      </c>
      <c r="O120" s="914" t="str">
        <f>RSD_Commodities!$N$64&amp;"_"&amp;RSD_Commodities!D11&amp;"_"&amp;SETUP!$C$67</f>
        <v>Residential Water Heating Apartment-B1_LPG to Residential_Existing 00</v>
      </c>
      <c r="P120" s="915" t="str">
        <f>RSD_Commodities!$C$11</f>
        <v>RSDOILLPG</v>
      </c>
      <c r="Q120" s="915" t="str">
        <f>RSD_Commodities!$M$64</f>
        <v>WH_Apt-B1</v>
      </c>
      <c r="R120" s="984">
        <f>G120/SUM($G$120:$G$125)</f>
        <v>1.3711436584605797E-2</v>
      </c>
      <c r="S120" s="915">
        <f>R120*DwellingStocks!$I$63/1000</f>
        <v>7.1266036424594836E-2</v>
      </c>
      <c r="T120" s="914">
        <v>1</v>
      </c>
      <c r="U120" s="916">
        <f>K120/J120</f>
        <v>0.90909550387373017</v>
      </c>
      <c r="V120" s="914">
        <v>20</v>
      </c>
      <c r="W120" s="914">
        <v>1</v>
      </c>
      <c r="X120" s="866"/>
      <c r="Y120" s="924">
        <f>ABS((K120)*S120*1000*$B$2)</f>
        <v>3.687490211552656E-6</v>
      </c>
      <c r="Z120" s="925">
        <f>ABS((J120)*S120*1000*$B$2)</f>
        <v>4.0562187315193613E-6</v>
      </c>
      <c r="AA120" s="866"/>
      <c r="AB120" s="914" t="s">
        <v>393</v>
      </c>
      <c r="AC120" s="914" t="str">
        <f t="shared" ref="AC120:AC125" si="75">N120</f>
        <v>WH_Apt-B1_OILLPG_X0</v>
      </c>
      <c r="AD120" s="915" t="str">
        <f t="shared" ref="AD120:AD125" si="76">O120</f>
        <v>Residential Water Heating Apartment-B1_LPG to Residential_Existing 00</v>
      </c>
      <c r="AE120" s="914" t="s">
        <v>53</v>
      </c>
      <c r="AF120" s="916" t="s">
        <v>406</v>
      </c>
      <c r="AG120" s="914"/>
      <c r="AH120" s="914"/>
      <c r="AI120" s="840"/>
      <c r="AJ120" s="840"/>
      <c r="AK120" s="840"/>
      <c r="AL120" s="840"/>
      <c r="AM120" s="840"/>
      <c r="AN120" s="840"/>
      <c r="AO120" s="840"/>
    </row>
    <row r="121" spans="1:41">
      <c r="A121" s="973" t="s">
        <v>110</v>
      </c>
      <c r="B121" s="758" t="s">
        <v>228</v>
      </c>
      <c r="C121" s="758">
        <f>SUMIFS(INDEX(Table7[],,MATCH(C$112,Table7[#Headers],0)),Table7[MainWaterHeatingFuel],$B121,Table7[EnergyRating (group)],$A121)</f>
        <v>469466</v>
      </c>
      <c r="D121" s="758">
        <f>SUMIFS(INDEX(Table7[],,MATCH(D$112,Table7[#Headers],0)),Table7[MainWaterHeatingFuel],$B121,Table7[EnergyRating (group)],$A121)</f>
        <v>173876</v>
      </c>
      <c r="E121" s="758">
        <f>SUMIFS(INDEX(Table7[],,MATCH(E$112,Table7[#Headers],0)),Table7[MainWaterHeatingFuel],$B121,Table7[EnergyRating (group)],$A121)</f>
        <v>0</v>
      </c>
      <c r="F121" s="758">
        <f>SUMIFS(INDEX(Table7[],,MATCH(F$112,Table7[#Headers],0)),Table7[MainWaterHeatingFuel],$B121,Table7[EnergyRating (group)],$A121)</f>
        <v>0</v>
      </c>
      <c r="G121" s="758">
        <f>SUMIFS(INDEX(Table7[],,MATCH(G$112,Table7[#Headers],0)),Table7[MainWaterHeatingFuel],$B121,Table7[EnergyRating (group)],$A121)</f>
        <v>156</v>
      </c>
      <c r="H121" s="758">
        <f>SUMIFS(INDEX(Table7[],,MATCH(H$112,Table7[#Headers],0)),Table7[MainWaterHeatingFuel],$B121,Table7[EnergyRating (group)],$A121)</f>
        <v>11692</v>
      </c>
      <c r="I121" s="960"/>
      <c r="J121" s="969">
        <f t="shared" si="67"/>
        <v>469466</v>
      </c>
      <c r="K121" s="967">
        <f t="shared" si="68"/>
        <v>173876</v>
      </c>
      <c r="L121" s="840"/>
      <c r="M121" s="840"/>
      <c r="N121" s="66" t="str">
        <f>RSD_Commodities!$M$64&amp;"_"&amp;RIGHT(P121,LEN(P121)-3)&amp;"_"&amp;SETUP!$B$67</f>
        <v>WH_Apt-B1_ELCD_X0</v>
      </c>
      <c r="O121" s="66" t="str">
        <f>RSD_Commodities!$N$64&amp;"_"&amp;RSD_Commodities!D27&amp;"_"&amp;SETUP!$C$67</f>
        <v>Residential Water Heating Apartment-B1_Electricity to Residential_Existing 00</v>
      </c>
      <c r="P121" s="83" t="str">
        <f>RSD_Commodities!$C$27</f>
        <v>RSDELCD</v>
      </c>
      <c r="Q121" s="83" t="str">
        <f>RSD_Commodities!$M$64</f>
        <v>WH_Apt-B1</v>
      </c>
      <c r="R121" s="985">
        <f t="shared" ref="R121:R125" si="77">G121/SUM($G$120:$G$125)</f>
        <v>4.8613275163602365E-2</v>
      </c>
      <c r="S121" s="83">
        <f>R121*DwellingStocks!$I$63/1000</f>
        <v>0.25267049277810893</v>
      </c>
      <c r="T121" s="66">
        <v>1</v>
      </c>
      <c r="U121" s="88">
        <f t="shared" ref="U121:U125" si="78">K121/J121</f>
        <v>0.3703697392356422</v>
      </c>
      <c r="V121" s="66">
        <v>20</v>
      </c>
      <c r="W121" s="66">
        <v>1</v>
      </c>
      <c r="X121" s="866"/>
      <c r="Y121" s="926">
        <f t="shared" ref="Y121:Y125" si="79">ABS((K121)*S121*1000*$B$2)</f>
        <v>1.805479504203554E-5</v>
      </c>
      <c r="Z121" s="927">
        <f t="shared" ref="Z121:Z125" si="80">ABS((J121)*S121*1000*$B$2)</f>
        <v>4.8748029683246998E-5</v>
      </c>
      <c r="AA121" s="866"/>
      <c r="AB121" s="66" t="s">
        <v>393</v>
      </c>
      <c r="AC121" s="66" t="str">
        <f t="shared" si="75"/>
        <v>WH_Apt-B1_ELCD_X0</v>
      </c>
      <c r="AD121" s="83" t="str">
        <f t="shared" si="76"/>
        <v>Residential Water Heating Apartment-B1_Electricity to Residential_Existing 00</v>
      </c>
      <c r="AE121" s="66" t="s">
        <v>53</v>
      </c>
      <c r="AF121" s="88" t="s">
        <v>406</v>
      </c>
      <c r="AG121" s="66"/>
      <c r="AH121" s="66"/>
      <c r="AI121" s="840"/>
      <c r="AJ121" s="840"/>
      <c r="AK121" s="840"/>
      <c r="AL121" s="840"/>
      <c r="AM121" s="840"/>
      <c r="AN121" s="840"/>
      <c r="AO121" s="840"/>
    </row>
    <row r="122" spans="1:41">
      <c r="A122" s="972" t="s">
        <v>110</v>
      </c>
      <c r="B122" s="757" t="s">
        <v>583</v>
      </c>
      <c r="C122" s="757">
        <f>SUMIFS(INDEX(Table7[],,MATCH(C$112,Table7[#Headers],0)),Table7[MainWaterHeatingFuel],$B122,Table7[EnergyRating (group)],$A122)</f>
        <v>93623</v>
      </c>
      <c r="D122" s="757">
        <f>SUMIFS(INDEX(Table7[],,MATCH(D$112,Table7[#Headers],0)),Table7[MainWaterHeatingFuel],$B122,Table7[EnergyRating (group)],$A122)</f>
        <v>85112</v>
      </c>
      <c r="E122" s="757">
        <f>SUMIFS(INDEX(Table7[],,MATCH(E$112,Table7[#Headers],0)),Table7[MainWaterHeatingFuel],$B122,Table7[EnergyRating (group)],$A122)</f>
        <v>0</v>
      </c>
      <c r="F122" s="757">
        <f>SUMIFS(INDEX(Table7[],,MATCH(F$112,Table7[#Headers],0)),Table7[MainWaterHeatingFuel],$B122,Table7[EnergyRating (group)],$A122)</f>
        <v>0</v>
      </c>
      <c r="G122" s="757">
        <f>SUMIFS(INDEX(Table7[],,MATCH(G$112,Table7[#Headers],0)),Table7[MainWaterHeatingFuel],$B122,Table7[EnergyRating (group)],$A122)</f>
        <v>24</v>
      </c>
      <c r="H122" s="757">
        <f>SUMIFS(INDEX(Table7[],,MATCH(H$112,Table7[#Headers],0)),Table7[MainWaterHeatingFuel],$B122,Table7[EnergyRating (group)],$A122)</f>
        <v>3931</v>
      </c>
      <c r="I122" s="961"/>
      <c r="J122" s="964">
        <f t="shared" si="67"/>
        <v>93623</v>
      </c>
      <c r="K122" s="965">
        <f t="shared" si="68"/>
        <v>85112</v>
      </c>
      <c r="L122" s="840"/>
      <c r="M122" s="840"/>
      <c r="N122" s="914" t="str">
        <f>RSD_Commodities!$M$64&amp;"_"&amp;RIGHT(P122,LEN(P122)-3)&amp;"_"&amp;SETUP!$B$67</f>
        <v>WH_Apt-B1_OILKER_X0</v>
      </c>
      <c r="O122" s="914" t="str">
        <f>RSD_Commodities!$N$64&amp;"_"&amp;RSD_Commodities!D13&amp;"_"&amp;SETUP!$C$67</f>
        <v>Residential Water Heating Apartment-B1_Kerosene to Residential_Existing 00</v>
      </c>
      <c r="P122" s="915" t="str">
        <f>RSD_Commodities!$C$13</f>
        <v>RSDOILKER</v>
      </c>
      <c r="Q122" s="915" t="str">
        <f>RSD_Commodities!$M$64</f>
        <v>WH_Apt-B1</v>
      </c>
      <c r="R122" s="984">
        <f t="shared" si="77"/>
        <v>7.47896540978498E-3</v>
      </c>
      <c r="S122" s="915">
        <f>R122*DwellingStocks!$I$63/1000</f>
        <v>3.8872383504324454E-2</v>
      </c>
      <c r="T122" s="914">
        <v>1</v>
      </c>
      <c r="U122" s="916">
        <f t="shared" si="78"/>
        <v>0.90909285111564464</v>
      </c>
      <c r="V122" s="914">
        <v>20</v>
      </c>
      <c r="W122" s="914">
        <v>1</v>
      </c>
      <c r="X122" s="866"/>
      <c r="Y122" s="928">
        <f t="shared" si="79"/>
        <v>1.3596601252685191E-6</v>
      </c>
      <c r="Z122" s="929">
        <f t="shared" si="80"/>
        <v>1.4956229428049461E-6</v>
      </c>
      <c r="AA122" s="866"/>
      <c r="AB122" s="914" t="s">
        <v>393</v>
      </c>
      <c r="AC122" s="914" t="str">
        <f t="shared" si="75"/>
        <v>WH_Apt-B1_OILKER_X0</v>
      </c>
      <c r="AD122" s="915" t="str">
        <f t="shared" si="76"/>
        <v>Residential Water Heating Apartment-B1_Kerosene to Residential_Existing 00</v>
      </c>
      <c r="AE122" s="914" t="s">
        <v>53</v>
      </c>
      <c r="AF122" s="916" t="s">
        <v>406</v>
      </c>
      <c r="AG122" s="914"/>
      <c r="AH122" s="914"/>
      <c r="AI122" s="840"/>
      <c r="AJ122" s="840"/>
      <c r="AK122" s="840"/>
      <c r="AL122" s="840"/>
      <c r="AM122" s="840"/>
      <c r="AN122" s="840"/>
      <c r="AO122" s="840"/>
    </row>
    <row r="123" spans="1:41">
      <c r="A123" s="973" t="s">
        <v>110</v>
      </c>
      <c r="B123" s="758" t="s">
        <v>584</v>
      </c>
      <c r="C123" s="758">
        <f>SUMIFS(INDEX(Table7[],,MATCH(C$112,Table7[#Headers],0)),Table7[MainWaterHeatingFuel],$B123,Table7[EnergyRating (group)],$A123)</f>
        <v>7232539</v>
      </c>
      <c r="D123" s="758">
        <f>SUMIFS(INDEX(Table7[],,MATCH(D$112,Table7[#Headers],0)),Table7[MainWaterHeatingFuel],$B123,Table7[EnergyRating (group)],$A123)</f>
        <v>6575035</v>
      </c>
      <c r="E123" s="759">
        <f>SUMIFS(INDEX(Table7[],,MATCH(E$112,Table7[#Headers],0)),Table7[MainWaterHeatingFuel],$B123,Table7[EnergyRating (group)],$A123)</f>
        <v>153109</v>
      </c>
      <c r="F123" s="759">
        <f>SUMIFS(INDEX(Table7[],,MATCH(F$112,Table7[#Headers],0)),Table7[MainWaterHeatingFuel],$B123,Table7[EnergyRating (group)],$A123)</f>
        <v>56707</v>
      </c>
      <c r="G123" s="758">
        <f>SUMIFS(INDEX(Table7[],,MATCH(G$112,Table7[#Headers],0)),Table7[MainWaterHeatingFuel],$B123,Table7[EnergyRating (group)],$A123)</f>
        <v>2296</v>
      </c>
      <c r="H123" s="758">
        <f>SUMIFS(INDEX(Table7[],,MATCH(H$112,Table7[#Headers],0)),Table7[MainWaterHeatingFuel],$B123,Table7[EnergyRating (group)],$A123)</f>
        <v>191367</v>
      </c>
      <c r="I123" s="960"/>
      <c r="J123" s="969">
        <f t="shared" si="67"/>
        <v>7385648</v>
      </c>
      <c r="K123" s="967">
        <f t="shared" si="68"/>
        <v>6631742</v>
      </c>
      <c r="L123" s="840"/>
      <c r="M123" s="840"/>
      <c r="N123" s="66" t="str">
        <f>RSD_Commodities!$M$64&amp;"_"&amp;RIGHT(P123,LEN(P123)-3)&amp;"_"&amp;SETUP!$B$67</f>
        <v>WH_Apt-B1_GASNAT_X0</v>
      </c>
      <c r="O123" s="66" t="str">
        <f>RSD_Commodities!$N$64&amp;"_"&amp;RSD_Commodities!D17&amp;"_"&amp;SETUP!$C$67</f>
        <v>Residential Water Heating Apartment-B1_Natural Gas to Residential_Existing 00</v>
      </c>
      <c r="P123" s="83" t="str">
        <f>RSD_Commodities!$C$17</f>
        <v>RSDGASNAT</v>
      </c>
      <c r="Q123" s="83" t="str">
        <f>RSD_Commodities!$M$64</f>
        <v>WH_Apt-B1</v>
      </c>
      <c r="R123" s="985">
        <f t="shared" si="77"/>
        <v>0.71548769086942976</v>
      </c>
      <c r="S123" s="83">
        <f>R123*DwellingStocks!$I$63/1000</f>
        <v>3.7187913552470393</v>
      </c>
      <c r="T123" s="66">
        <v>1</v>
      </c>
      <c r="U123" s="88">
        <f t="shared" si="78"/>
        <v>0.89792283629005876</v>
      </c>
      <c r="V123" s="66">
        <v>20</v>
      </c>
      <c r="W123" s="66">
        <v>1</v>
      </c>
      <c r="X123" s="866"/>
      <c r="Y123" s="926">
        <f t="shared" si="79"/>
        <v>1.0135095131436459E-2</v>
      </c>
      <c r="Z123" s="927">
        <f t="shared" si="80"/>
        <v>1.1287267370670241E-2</v>
      </c>
      <c r="AA123" s="866"/>
      <c r="AB123" s="66" t="s">
        <v>393</v>
      </c>
      <c r="AC123" s="66" t="str">
        <f t="shared" si="75"/>
        <v>WH_Apt-B1_GASNAT_X0</v>
      </c>
      <c r="AD123" s="83" t="str">
        <f t="shared" si="76"/>
        <v>Residential Water Heating Apartment-B1_Natural Gas to Residential_Existing 00</v>
      </c>
      <c r="AE123" s="66" t="s">
        <v>53</v>
      </c>
      <c r="AF123" s="88" t="s">
        <v>406</v>
      </c>
      <c r="AG123" s="66"/>
      <c r="AH123" s="66"/>
      <c r="AI123" s="840"/>
      <c r="AJ123" s="840"/>
      <c r="AK123" s="840"/>
      <c r="AL123" s="840"/>
      <c r="AM123" s="840"/>
      <c r="AN123" s="840"/>
      <c r="AO123" s="840"/>
    </row>
    <row r="124" spans="1:41">
      <c r="A124" s="972" t="s">
        <v>110</v>
      </c>
      <c r="B124" s="757" t="s">
        <v>585</v>
      </c>
      <c r="C124" s="757">
        <f>SUMIFS(INDEX(Table7[],,MATCH(C$112,Table7[#Headers],0)),Table7[MainWaterHeatingFuel],$B124,Table7[EnergyRating (group)],$A124)</f>
        <v>9301</v>
      </c>
      <c r="D124" s="757">
        <f>SUMIFS(INDEX(Table7[],,MATCH(D$112,Table7[#Headers],0)),Table7[MainWaterHeatingFuel],$B124,Table7[EnergyRating (group)],$A124)</f>
        <v>8455</v>
      </c>
      <c r="E124" s="760">
        <f>SUMIFS(INDEX(Table7[],,MATCH(E$112,Table7[#Headers],0)),Table7[MainWaterHeatingFuel],$B124,Table7[EnergyRating (group)],$A124)</f>
        <v>0</v>
      </c>
      <c r="F124" s="760">
        <f>SUMIFS(INDEX(Table7[],,MATCH(F$112,Table7[#Headers],0)),Table7[MainWaterHeatingFuel],$B124,Table7[EnergyRating (group)],$A124)</f>
        <v>0</v>
      </c>
      <c r="G124" s="757">
        <f>SUMIFS(INDEX(Table7[],,MATCH(G$112,Table7[#Headers],0)),Table7[MainWaterHeatingFuel],$B124,Table7[EnergyRating (group)],$A124)</f>
        <v>2</v>
      </c>
      <c r="H124" s="757">
        <f>SUMIFS(INDEX(Table7[],,MATCH(H$112,Table7[#Headers],0)),Table7[MainWaterHeatingFuel],$B124,Table7[EnergyRating (group)],$A124)</f>
        <v>168</v>
      </c>
      <c r="I124" s="959"/>
      <c r="J124" s="964">
        <f t="shared" si="67"/>
        <v>9301</v>
      </c>
      <c r="K124" s="965">
        <f t="shared" si="68"/>
        <v>8455</v>
      </c>
      <c r="L124" s="840"/>
      <c r="M124" s="840"/>
      <c r="N124" s="914" t="str">
        <f>RSD_Commodities!$M$64&amp;"_"&amp;RIGHT(P124,LEN(P124)-3)&amp;"_"&amp;SETUP!$B$67</f>
        <v>WH_Apt-B1_BIOWOO_X0</v>
      </c>
      <c r="O124" s="914" t="str">
        <f>RSD_Commodities!$N$64&amp;"_"&amp;RSD_Commodities!D19&amp;"_"&amp;SETUP!$C$67</f>
        <v>Residential Water Heating Apartment-B1_Biomass &amp; Renewable Waste to Residential_Existing 00</v>
      </c>
      <c r="P124" s="915" t="str">
        <f>RSD_Commodities!$C$19</f>
        <v>RSDBIOWOO</v>
      </c>
      <c r="Q124" s="915" t="str">
        <f>RSD_Commodities!$M$64</f>
        <v>WH_Apt-B1</v>
      </c>
      <c r="R124" s="984">
        <f t="shared" si="77"/>
        <v>6.2324711748208163E-4</v>
      </c>
      <c r="S124" s="915">
        <f>R124*DwellingStocks!$I$63/1000</f>
        <v>3.2393652920270377E-3</v>
      </c>
      <c r="T124" s="914">
        <v>1</v>
      </c>
      <c r="U124" s="916">
        <f t="shared" si="78"/>
        <v>0.90904203849048493</v>
      </c>
      <c r="V124" s="914">
        <v>20</v>
      </c>
      <c r="W124" s="914">
        <v>1</v>
      </c>
      <c r="X124" s="866"/>
      <c r="Y124" s="928">
        <f t="shared" si="79"/>
        <v>1.1255685018118604E-8</v>
      </c>
      <c r="Z124" s="929">
        <f t="shared" si="80"/>
        <v>1.2381919142935679E-8</v>
      </c>
      <c r="AA124" s="866"/>
      <c r="AB124" s="914" t="s">
        <v>393</v>
      </c>
      <c r="AC124" s="914" t="str">
        <f t="shared" si="75"/>
        <v>WH_Apt-B1_BIOWOO_X0</v>
      </c>
      <c r="AD124" s="915" t="str">
        <f t="shared" si="76"/>
        <v>Residential Water Heating Apartment-B1_Biomass &amp; Renewable Waste to Residential_Existing 00</v>
      </c>
      <c r="AE124" s="914" t="s">
        <v>53</v>
      </c>
      <c r="AF124" s="916" t="s">
        <v>406</v>
      </c>
      <c r="AG124" s="914"/>
      <c r="AH124" s="914"/>
      <c r="AI124" s="840"/>
      <c r="AJ124" s="840"/>
      <c r="AK124" s="840"/>
      <c r="AL124" s="840"/>
      <c r="AM124" s="840"/>
      <c r="AN124" s="840"/>
      <c r="AO124" s="840"/>
    </row>
    <row r="125" spans="1:41" ht="15.75" thickBot="1">
      <c r="A125" s="973" t="s">
        <v>110</v>
      </c>
      <c r="B125" s="758" t="s">
        <v>587</v>
      </c>
      <c r="C125" s="758">
        <f>SUMIFS(INDEX(Table7[],,MATCH(C$112,Table7[#Headers],0)),Table7[MainWaterHeatingFuel],$B125,Table7[EnergyRating (group)],$A125)</f>
        <v>0</v>
      </c>
      <c r="D125" s="758">
        <f>SUMIFS(INDEX(Table7[],,MATCH(D$112,Table7[#Headers],0)),Table7[MainWaterHeatingFuel],"",Table7[EnergyRating (group)],$A125)</f>
        <v>0</v>
      </c>
      <c r="E125" s="758">
        <f>SUMIFS(INDEX(Table7[],,MATCH(E$112,Table7[#Headers],0)),Table7[MainWaterHeatingFuel],"",Table7[EnergyRating (group)],$A125)</f>
        <v>71881</v>
      </c>
      <c r="F125" s="758">
        <f>SUMIFS(INDEX(Table7[],,MATCH(F$112,Table7[#Headers],0)),Table7[MainWaterHeatingFuel],"",Table7[EnergyRating (group)],A125)</f>
        <v>26623</v>
      </c>
      <c r="G125" s="758">
        <f>SUMIFS(INDEX(Table7[],,MATCH(G$112,Table7[#Headers],0)),Table7[MainWaterHeatingFuel],"",Table7[EnergyRating (group)],A125)</f>
        <v>687</v>
      </c>
      <c r="H125" s="758">
        <f>SUMIFS(INDEX(Table7[],,MATCH(H$112,Table7[#Headers],0)),Table7[MainWaterHeatingFuel],"",Table7[EnergyRating (group)],A125)</f>
        <v>52639</v>
      </c>
      <c r="I125" s="960"/>
      <c r="J125" s="970">
        <f t="shared" si="67"/>
        <v>71881</v>
      </c>
      <c r="K125" s="971">
        <f t="shared" si="68"/>
        <v>26623</v>
      </c>
      <c r="L125" s="840"/>
      <c r="M125" s="840"/>
      <c r="N125" s="66" t="str">
        <f>RSD_Commodities!$M$64&amp;"_"&amp;RIGHT(P125,LEN(P125)-3)&amp;"_"&amp;SETUP!$B$67</f>
        <v>WH_Apt-B1_HET_X0</v>
      </c>
      <c r="O125" s="66" t="str">
        <f>RSD_Commodities!$N$64&amp;"_"&amp;RSD_Commodities!D28&amp;"_"&amp;SETUP!$C$67</f>
        <v>Residential Water Heating Apartment-B1_Heat to Residential_Existing 00</v>
      </c>
      <c r="P125" s="83" t="str">
        <f>RSD_Commodities!$C$28</f>
        <v>RSDHET</v>
      </c>
      <c r="Q125" s="83" t="str">
        <f>RSD_Commodities!$M$64</f>
        <v>WH_Apt-B1</v>
      </c>
      <c r="R125" s="985">
        <f t="shared" si="77"/>
        <v>0.21408538485509504</v>
      </c>
      <c r="S125" s="83">
        <f>R125*DwellingStocks!$I$63/1000</f>
        <v>1.1127219778112873</v>
      </c>
      <c r="T125" s="66">
        <v>1</v>
      </c>
      <c r="U125" s="88">
        <f t="shared" si="78"/>
        <v>0.37037603817420461</v>
      </c>
      <c r="V125" s="66">
        <v>20</v>
      </c>
      <c r="W125" s="66">
        <v>1</v>
      </c>
      <c r="X125" s="866"/>
      <c r="Y125" s="926">
        <f t="shared" si="79"/>
        <v>1.2174245430932839E-5</v>
      </c>
      <c r="Z125" s="927">
        <f t="shared" si="80"/>
        <v>3.2869959652213624E-5</v>
      </c>
      <c r="AA125" s="866"/>
      <c r="AB125" s="66" t="s">
        <v>393</v>
      </c>
      <c r="AC125" s="66" t="str">
        <f t="shared" si="75"/>
        <v>WH_Apt-B1_HET_X0</v>
      </c>
      <c r="AD125" s="83" t="str">
        <f t="shared" si="76"/>
        <v>Residential Water Heating Apartment-B1_Heat to Residential_Existing 00</v>
      </c>
      <c r="AE125" s="66" t="s">
        <v>53</v>
      </c>
      <c r="AF125" s="88" t="s">
        <v>406</v>
      </c>
      <c r="AG125" s="66"/>
      <c r="AH125" s="66"/>
      <c r="AI125" s="840"/>
      <c r="AJ125" s="840"/>
      <c r="AK125" s="840"/>
      <c r="AL125" s="840"/>
      <c r="AM125" s="840"/>
      <c r="AN125" s="840"/>
      <c r="AO125" s="840"/>
    </row>
    <row r="126" spans="1:41" ht="15.75" thickBot="1">
      <c r="A126" s="756" t="s">
        <v>112</v>
      </c>
      <c r="B126" s="1048"/>
      <c r="C126" s="1049"/>
      <c r="D126" s="1049"/>
      <c r="E126" s="1049"/>
      <c r="F126" s="1049"/>
      <c r="G126" s="1049"/>
      <c r="H126" s="1049"/>
      <c r="I126" s="1049"/>
      <c r="J126" s="1049"/>
      <c r="K126" s="1052"/>
      <c r="L126" s="840"/>
      <c r="M126" s="840"/>
      <c r="N126" s="76" t="str">
        <f>AB126</f>
        <v>*B2 Rating</v>
      </c>
      <c r="O126" s="76"/>
      <c r="P126" s="76"/>
      <c r="Q126" s="76"/>
      <c r="R126" s="949">
        <f>SUM(R127:R134)</f>
        <v>1</v>
      </c>
      <c r="S126" s="76"/>
      <c r="T126" s="97"/>
      <c r="U126" s="76"/>
      <c r="V126" s="76"/>
      <c r="W126" s="76"/>
      <c r="X126" s="840"/>
      <c r="Y126" s="76"/>
      <c r="Z126" s="76"/>
      <c r="AA126" s="840"/>
      <c r="AB126" s="140" t="str">
        <f>"*"&amp; A127 &amp; " Rating"</f>
        <v>*B2 Rating</v>
      </c>
      <c r="AC126" s="141"/>
      <c r="AD126" s="141"/>
      <c r="AE126" s="141"/>
      <c r="AF126" s="141"/>
      <c r="AG126" s="141"/>
      <c r="AH126" s="141"/>
      <c r="AI126" s="840"/>
      <c r="AJ126" s="840"/>
      <c r="AK126" s="840"/>
      <c r="AL126" s="840"/>
      <c r="AM126" s="840"/>
      <c r="AN126" s="840"/>
      <c r="AO126" s="840"/>
    </row>
    <row r="127" spans="1:41">
      <c r="A127" s="972" t="s">
        <v>112</v>
      </c>
      <c r="B127" s="757" t="s">
        <v>582</v>
      </c>
      <c r="C127" s="757">
        <f>SUMIFS(INDEX(Table7[],,MATCH(C$112,Table7[#Headers],0)),Table7[MainWaterHeatingFuel],$B127,Table7[EnergyRating (group)],$A127)</f>
        <v>561723</v>
      </c>
      <c r="D127" s="757">
        <f>SUMIFS(INDEX(Table7[],,MATCH(D$112,Table7[#Headers],0)),Table7[MainWaterHeatingFuel],$B127,Table7[EnergyRating (group)],$A127)</f>
        <v>510656</v>
      </c>
      <c r="E127" s="760">
        <f>SUMIFS(INDEX(Table7[],,MATCH(E$112,Table7[#Headers],0)),Table7[MainWaterHeatingFuel],$B127,Table7[EnergyRating (group)],$A127)</f>
        <v>2509</v>
      </c>
      <c r="F127" s="760">
        <f>SUMIFS(INDEX(Table7[],,MATCH(F$112,Table7[#Headers],0)),Table7[MainWaterHeatingFuel],$B127,Table7[EnergyRating (group)],$A127)</f>
        <v>929</v>
      </c>
      <c r="G127" s="757">
        <f>SUMIFS(INDEX(Table7[],,MATCH(G$112,Table7[#Headers],0)),Table7[MainWaterHeatingFuel],$B127,Table7[EnergyRating (group)],$A127)</f>
        <v>176</v>
      </c>
      <c r="H127" s="757">
        <f>SUMIFS(INDEX(Table7[],,MATCH(H$112,Table7[#Headers],0)),Table7[MainWaterHeatingFuel],$B127,Table7[EnergyRating (group)],$A127)</f>
        <v>16371</v>
      </c>
      <c r="I127" s="959"/>
      <c r="J127" s="974">
        <f t="shared" ref="J127:J134" si="81">C127+E127</f>
        <v>564232</v>
      </c>
      <c r="K127" s="975">
        <f t="shared" ref="K127:K134" si="82">D127+F127</f>
        <v>511585</v>
      </c>
      <c r="L127" s="840"/>
      <c r="M127" s="840"/>
      <c r="N127" s="914" t="str">
        <f>RSD_Commodities!$M$65&amp;"_"&amp;RIGHT(P127,LEN(P127)-3)&amp;"_"&amp;SETUP!$B$67</f>
        <v>WH_Apt-B2_OILLPG_X0</v>
      </c>
      <c r="O127" s="914" t="str">
        <f>RSD_Commodities!$N$65&amp;"_"&amp;RSD_Commodities!D11&amp;"_"&amp;SETUP!$C$67</f>
        <v>Residential Water Heating Apartment-B2_LPG to Residential_Existing 00</v>
      </c>
      <c r="P127" s="915" t="str">
        <f>RSD_Commodities!$C$11</f>
        <v>RSDOILLPG</v>
      </c>
      <c r="Q127" s="915" t="str">
        <f>RSD_Commodities!$M$65</f>
        <v>WH_Apt-B2</v>
      </c>
      <c r="R127" s="984">
        <f>G127/SUM($G$127:$G$134)</f>
        <v>2.0311598384304675E-2</v>
      </c>
      <c r="S127" s="915">
        <f>R127*DwellingStocks!$I$64/1000</f>
        <v>0.28394314853699798</v>
      </c>
      <c r="T127" s="915">
        <v>1</v>
      </c>
      <c r="U127" s="986">
        <f>K127/J127</f>
        <v>0.90669263707127568</v>
      </c>
      <c r="V127" s="915">
        <v>20</v>
      </c>
      <c r="W127" s="915">
        <v>1</v>
      </c>
      <c r="X127" s="866"/>
      <c r="Y127" s="924">
        <f>ABS((K127)*S127*1000*$B$2)</f>
        <v>5.9696324237383625E-5</v>
      </c>
      <c r="Z127" s="925">
        <f>ABS((J127)*S127*1000*$B$2)</f>
        <v>6.5839648185751022E-5</v>
      </c>
      <c r="AA127" s="866"/>
      <c r="AB127" s="914" t="s">
        <v>393</v>
      </c>
      <c r="AC127" s="914" t="str">
        <f t="shared" ref="AC127:AC132" si="83">N127</f>
        <v>WH_Apt-B2_OILLPG_X0</v>
      </c>
      <c r="AD127" s="915" t="str">
        <f t="shared" ref="AD127:AD132" si="84">O127</f>
        <v>Residential Water Heating Apartment-B2_LPG to Residential_Existing 00</v>
      </c>
      <c r="AE127" s="914" t="s">
        <v>53</v>
      </c>
      <c r="AF127" s="916" t="s">
        <v>406</v>
      </c>
      <c r="AG127" s="914"/>
      <c r="AH127" s="914"/>
      <c r="AI127" s="840"/>
      <c r="AJ127" s="840"/>
      <c r="AK127" s="840"/>
      <c r="AL127" s="840"/>
      <c r="AM127" s="840"/>
      <c r="AN127" s="840"/>
      <c r="AO127" s="840"/>
    </row>
    <row r="128" spans="1:41">
      <c r="A128" s="973" t="s">
        <v>112</v>
      </c>
      <c r="B128" s="758" t="s">
        <v>228</v>
      </c>
      <c r="C128" s="758">
        <f>SUMIFS(INDEX(Table7[],,MATCH(C$112,Table7[#Headers],0)),Table7[MainWaterHeatingFuel],$B128,Table7[EnergyRating (group)],$A128)</f>
        <v>1905570</v>
      </c>
      <c r="D128" s="758">
        <f>SUMIFS(INDEX(Table7[],,MATCH(D$112,Table7[#Headers],0)),Table7[MainWaterHeatingFuel],$B128,Table7[EnergyRating (group)],$A128)</f>
        <v>705767</v>
      </c>
      <c r="E128" s="758">
        <f>SUMIFS(INDEX(Table7[],,MATCH(E$112,Table7[#Headers],0)),Table7[MainWaterHeatingFuel],$B128,Table7[EnergyRating (group)],$A128)</f>
        <v>13371</v>
      </c>
      <c r="F128" s="758">
        <f>SUMIFS(INDEX(Table7[],,MATCH(F$112,Table7[#Headers],0)),Table7[MainWaterHeatingFuel],$B128,Table7[EnergyRating (group)],$A128)</f>
        <v>4952</v>
      </c>
      <c r="G128" s="758">
        <f>SUMIFS(INDEX(Table7[],,MATCH(G$112,Table7[#Headers],0)),Table7[MainWaterHeatingFuel],$B128,Table7[EnergyRating (group)],$A128)</f>
        <v>359</v>
      </c>
      <c r="H128" s="758">
        <f>SUMIFS(INDEX(Table7[],,MATCH(H$112,Table7[#Headers],0)),Table7[MainWaterHeatingFuel],$B128,Table7[EnergyRating (group)],$A128)</f>
        <v>26047</v>
      </c>
      <c r="I128" s="960"/>
      <c r="J128" s="969">
        <f t="shared" si="81"/>
        <v>1918941</v>
      </c>
      <c r="K128" s="967">
        <f t="shared" si="82"/>
        <v>710719</v>
      </c>
      <c r="L128" s="840"/>
      <c r="M128" s="840"/>
      <c r="N128" s="66" t="str">
        <f>RSD_Commodities!$M$65&amp;"_"&amp;RIGHT(P128,LEN(P128)-3)&amp;"_"&amp;SETUP!$B$67</f>
        <v>WH_Apt-B2_ELCD_X0</v>
      </c>
      <c r="O128" s="66" t="str">
        <f>RSD_Commodities!$N$65&amp;"_"&amp;RSD_Commodities!D27&amp;"_"&amp;SETUP!$C$67</f>
        <v>Residential Water Heating Apartment-B2_Electricity to Residential_Existing 00</v>
      </c>
      <c r="P128" s="83" t="str">
        <f>RSD_Commodities!$C$27</f>
        <v>RSDELCD</v>
      </c>
      <c r="Q128" s="83" t="str">
        <f>RSD_Commodities!$M$65</f>
        <v>WH_Apt-B2</v>
      </c>
      <c r="R128" s="985">
        <f t="shared" ref="R128:R134" si="85">G128/SUM($G$127:$G$134)</f>
        <v>4.1431044431621468E-2</v>
      </c>
      <c r="S128" s="83">
        <f>R128*DwellingStocks!$I$64/1000</f>
        <v>0.57917949048171735</v>
      </c>
      <c r="T128" s="83">
        <v>1</v>
      </c>
      <c r="U128" s="987">
        <f t="shared" ref="U128:U134" si="86">K128/J128</f>
        <v>0.37037042827267747</v>
      </c>
      <c r="V128" s="83">
        <v>20</v>
      </c>
      <c r="W128" s="83">
        <v>1</v>
      </c>
      <c r="X128" s="866"/>
      <c r="Y128" s="926">
        <f t="shared" ref="Y128:Y134" si="87">ABS((K128)*S128*1000*$B$2)</f>
        <v>1.6916460340918183E-4</v>
      </c>
      <c r="Z128" s="927">
        <f t="shared" ref="Z128:Z134" si="88">ABS((J128)*S128*1000*$B$2)</f>
        <v>4.5674435779910027E-4</v>
      </c>
      <c r="AA128" s="866"/>
      <c r="AB128" s="66" t="s">
        <v>393</v>
      </c>
      <c r="AC128" s="66" t="str">
        <f t="shared" si="83"/>
        <v>WH_Apt-B2_ELCD_X0</v>
      </c>
      <c r="AD128" s="83" t="str">
        <f t="shared" si="84"/>
        <v>Residential Water Heating Apartment-B2_Electricity to Residential_Existing 00</v>
      </c>
      <c r="AE128" s="66" t="s">
        <v>53</v>
      </c>
      <c r="AF128" s="88" t="s">
        <v>406</v>
      </c>
      <c r="AG128" s="66"/>
      <c r="AH128" s="66"/>
      <c r="AI128" s="840"/>
      <c r="AJ128" s="840"/>
      <c r="AK128" s="840"/>
      <c r="AL128" s="840"/>
      <c r="AM128" s="840"/>
      <c r="AN128" s="840"/>
      <c r="AO128" s="840"/>
    </row>
    <row r="129" spans="1:41">
      <c r="A129" s="972" t="s">
        <v>112</v>
      </c>
      <c r="B129" s="757" t="s">
        <v>583</v>
      </c>
      <c r="C129" s="757">
        <f>SUMIFS(INDEX(Table7[],,MATCH(C$112,Table7[#Headers],0)),Table7[MainWaterHeatingFuel],$B129,Table7[EnergyRating (group)],$A129)</f>
        <v>279185</v>
      </c>
      <c r="D129" s="757">
        <f>SUMIFS(INDEX(Table7[],,MATCH(D$112,Table7[#Headers],0)),Table7[MainWaterHeatingFuel],$B129,Table7[EnergyRating (group)],$A129)</f>
        <v>253805</v>
      </c>
      <c r="E129" s="757">
        <f>SUMIFS(INDEX(Table7[],,MATCH(E$112,Table7[#Headers],0)),Table7[MainWaterHeatingFuel],$B129,Table7[EnergyRating (group)],$A129)</f>
        <v>4987</v>
      </c>
      <c r="F129" s="757">
        <f>SUMIFS(INDEX(Table7[],,MATCH(F$112,Table7[#Headers],0)),Table7[MainWaterHeatingFuel],$B129,Table7[EnergyRating (group)],$A129)</f>
        <v>1847</v>
      </c>
      <c r="G129" s="757">
        <f>SUMIFS(INDEX(Table7[],,MATCH(G$112,Table7[#Headers],0)),Table7[MainWaterHeatingFuel],$B129,Table7[EnergyRating (group)],$A129)</f>
        <v>64</v>
      </c>
      <c r="H129" s="757">
        <f>SUMIFS(INDEX(Table7[],,MATCH(H$112,Table7[#Headers],0)),Table7[MainWaterHeatingFuel],$B129,Table7[EnergyRating (group)],$A129)</f>
        <v>10623</v>
      </c>
      <c r="I129" s="961"/>
      <c r="J129" s="964">
        <f t="shared" si="81"/>
        <v>284172</v>
      </c>
      <c r="K129" s="965">
        <f t="shared" si="82"/>
        <v>255652</v>
      </c>
      <c r="L129" s="840"/>
      <c r="M129" s="840"/>
      <c r="N129" s="914" t="str">
        <f>RSD_Commodities!$M$65&amp;"_"&amp;RIGHT(P129,LEN(P129)-3)&amp;"_"&amp;SETUP!$B$67</f>
        <v>WH_Apt-B2_OILKER_X0</v>
      </c>
      <c r="O129" s="914" t="str">
        <f>RSD_Commodities!$N$65&amp;"_"&amp;RSD_Commodities!D13&amp;"_"&amp;SETUP!$C$67</f>
        <v>Residential Water Heating Apartment-B2_Kerosene to Residential_Existing 00</v>
      </c>
      <c r="P129" s="915" t="str">
        <f>RSD_Commodities!$C$13</f>
        <v>RSDOILKER</v>
      </c>
      <c r="Q129" s="915" t="str">
        <f>RSD_Commodities!$M$65</f>
        <v>WH_Apt-B2</v>
      </c>
      <c r="R129" s="984">
        <f t="shared" si="85"/>
        <v>7.3860357761107902E-3</v>
      </c>
      <c r="S129" s="915">
        <f>R129*DwellingStocks!$I$64/1000</f>
        <v>0.10325205401345379</v>
      </c>
      <c r="T129" s="915">
        <v>1</v>
      </c>
      <c r="U129" s="986">
        <f t="shared" si="86"/>
        <v>0.89963824725870245</v>
      </c>
      <c r="V129" s="915">
        <v>20</v>
      </c>
      <c r="W129" s="915">
        <v>1</v>
      </c>
      <c r="X129" s="866"/>
      <c r="Y129" s="928">
        <f t="shared" si="87"/>
        <v>1.0847915388759243E-5</v>
      </c>
      <c r="Z129" s="929">
        <f t="shared" si="88"/>
        <v>1.2058086038264873E-5</v>
      </c>
      <c r="AA129" s="866"/>
      <c r="AB129" s="914" t="s">
        <v>393</v>
      </c>
      <c r="AC129" s="914" t="str">
        <f t="shared" si="83"/>
        <v>WH_Apt-B2_OILKER_X0</v>
      </c>
      <c r="AD129" s="915" t="str">
        <f t="shared" si="84"/>
        <v>Residential Water Heating Apartment-B2_Kerosene to Residential_Existing 00</v>
      </c>
      <c r="AE129" s="914" t="s">
        <v>53</v>
      </c>
      <c r="AF129" s="916" t="s">
        <v>406</v>
      </c>
      <c r="AG129" s="914"/>
      <c r="AH129" s="914"/>
      <c r="AI129" s="840"/>
      <c r="AJ129" s="840"/>
      <c r="AK129" s="840"/>
      <c r="AL129" s="840"/>
      <c r="AM129" s="840"/>
      <c r="AN129" s="840"/>
      <c r="AO129" s="840"/>
    </row>
    <row r="130" spans="1:41">
      <c r="A130" s="973" t="s">
        <v>112</v>
      </c>
      <c r="B130" s="758" t="s">
        <v>584</v>
      </c>
      <c r="C130" s="758">
        <f>SUMIFS(INDEX(Table7[],,MATCH(C$112,Table7[#Headers],0)),Table7[MainWaterHeatingFuel],$B130,Table7[EnergyRating (group)],$A130)</f>
        <v>24275096</v>
      </c>
      <c r="D130" s="758">
        <f>SUMIFS(INDEX(Table7[],,MATCH(D$112,Table7[#Headers],0)),Table7[MainWaterHeatingFuel],$B130,Table7[EnergyRating (group)],$A130)</f>
        <v>22068269</v>
      </c>
      <c r="E130" s="759">
        <f>SUMIFS(INDEX(Table7[],,MATCH(E$112,Table7[#Headers],0)),Table7[MainWaterHeatingFuel],$B130,Table7[EnergyRating (group)],$A130)</f>
        <v>639493</v>
      </c>
      <c r="F130" s="759">
        <f>SUMIFS(INDEX(Table7[],,MATCH(F$112,Table7[#Headers],0)),Table7[MainWaterHeatingFuel],$B130,Table7[EnergyRating (group)],$A130)</f>
        <v>236849</v>
      </c>
      <c r="G130" s="758">
        <f>SUMIFS(INDEX(Table7[],,MATCH(G$112,Table7[#Headers],0)),Table7[MainWaterHeatingFuel],$B130,Table7[EnergyRating (group)],$A130)</f>
        <v>6968</v>
      </c>
      <c r="H130" s="758">
        <f>SUMIFS(INDEX(Table7[],,MATCH(H$112,Table7[#Headers],0)),Table7[MainWaterHeatingFuel],$B130,Table7[EnergyRating (group)],$A130)</f>
        <v>573816</v>
      </c>
      <c r="I130" s="960"/>
      <c r="J130" s="976">
        <f t="shared" si="81"/>
        <v>24914589</v>
      </c>
      <c r="K130" s="977">
        <f t="shared" si="82"/>
        <v>22305118</v>
      </c>
      <c r="L130" s="840"/>
      <c r="M130" s="840"/>
      <c r="N130" s="66" t="str">
        <f>RSD_Commodities!$M$65&amp;"_"&amp;RIGHT(P130,LEN(P130)-3)&amp;"_"&amp;SETUP!$B$67</f>
        <v>WH_Apt-B2_GASNAT_X0</v>
      </c>
      <c r="O130" s="66" t="str">
        <f>RSD_Commodities!$N$65&amp;"_"&amp;RSD_Commodities!D17&amp;"_"&amp;SETUP!$C$67</f>
        <v>Residential Water Heating Apartment-B2_Natural Gas to Residential_Existing 00</v>
      </c>
      <c r="P130" s="83" t="str">
        <f>RSD_Commodities!$C$17</f>
        <v>RSDGASNAT</v>
      </c>
      <c r="Q130" s="83" t="str">
        <f>RSD_Commodities!$M$65</f>
        <v>WH_Apt-B2</v>
      </c>
      <c r="R130" s="985">
        <f t="shared" si="85"/>
        <v>0.80415464512406232</v>
      </c>
      <c r="S130" s="83">
        <f>R130*DwellingStocks!$I$64/1000</f>
        <v>11.241567380714782</v>
      </c>
      <c r="T130" s="83">
        <v>1</v>
      </c>
      <c r="U130" s="987">
        <f t="shared" si="86"/>
        <v>0.89526333346297626</v>
      </c>
      <c r="V130" s="83">
        <v>20</v>
      </c>
      <c r="W130" s="83">
        <v>1</v>
      </c>
      <c r="X130" s="866"/>
      <c r="Y130" s="926">
        <f t="shared" si="87"/>
        <v>0.10304567956101131</v>
      </c>
      <c r="Z130" s="927">
        <f t="shared" si="88"/>
        <v>0.11510097164643099</v>
      </c>
      <c r="AA130" s="866"/>
      <c r="AB130" s="66" t="s">
        <v>393</v>
      </c>
      <c r="AC130" s="66" t="str">
        <f t="shared" si="83"/>
        <v>WH_Apt-B2_GASNAT_X0</v>
      </c>
      <c r="AD130" s="83" t="str">
        <f t="shared" si="84"/>
        <v>Residential Water Heating Apartment-B2_Natural Gas to Residential_Existing 00</v>
      </c>
      <c r="AE130" s="66" t="s">
        <v>53</v>
      </c>
      <c r="AF130" s="88" t="s">
        <v>406</v>
      </c>
      <c r="AG130" s="66"/>
      <c r="AH130" s="66"/>
      <c r="AI130" s="840"/>
      <c r="AJ130" s="840"/>
      <c r="AK130" s="840"/>
      <c r="AL130" s="840"/>
      <c r="AM130" s="840"/>
      <c r="AN130" s="840"/>
      <c r="AO130" s="840"/>
    </row>
    <row r="131" spans="1:41">
      <c r="A131" s="972" t="s">
        <v>112</v>
      </c>
      <c r="B131" s="757" t="s">
        <v>585</v>
      </c>
      <c r="C131" s="757">
        <f>SUMIFS(INDEX(Table7[],,MATCH(C$112,Table7[#Headers],0)),Table7[MainWaterHeatingFuel],$B131,Table7[EnergyRating (group)],$A131)</f>
        <v>269067</v>
      </c>
      <c r="D131" s="757">
        <f>SUMIFS(INDEX(Table7[],,MATCH(D$112,Table7[#Headers],0)),Table7[MainWaterHeatingFuel],$B131,Table7[EnergyRating (group)],$A131)</f>
        <v>244606</v>
      </c>
      <c r="E131" s="760">
        <f>SUMIFS(INDEX(Table7[],,MATCH(E$112,Table7[#Headers],0)),Table7[MainWaterHeatingFuel],$B131,Table7[EnergyRating (group)],$A131)</f>
        <v>0</v>
      </c>
      <c r="F131" s="760">
        <f>SUMIFS(INDEX(Table7[],,MATCH(F$112,Table7[#Headers],0)),Table7[MainWaterHeatingFuel],$B131,Table7[EnergyRating (group)],$A131)</f>
        <v>0</v>
      </c>
      <c r="G131" s="757">
        <f>SUMIFS(INDEX(Table7[],,MATCH(G$112,Table7[#Headers],0)),Table7[MainWaterHeatingFuel],$B131,Table7[EnergyRating (group)],$A131)</f>
        <v>69</v>
      </c>
      <c r="H131" s="757">
        <f>SUMIFS(INDEX(Table7[],,MATCH(H$112,Table7[#Headers],0)),Table7[MainWaterHeatingFuel],$B131,Table7[EnergyRating (group)],$A131)</f>
        <v>5408</v>
      </c>
      <c r="I131" s="959"/>
      <c r="J131" s="978">
        <f t="shared" si="81"/>
        <v>269067</v>
      </c>
      <c r="K131" s="979">
        <f t="shared" si="82"/>
        <v>244606</v>
      </c>
      <c r="L131" s="840"/>
      <c r="M131" s="840"/>
      <c r="N131" s="914" t="str">
        <f>RSD_Commodities!$M$65&amp;"_"&amp;RIGHT(P131,LEN(P131)-3)&amp;"_"&amp;SETUP!$B$67</f>
        <v>WH_Apt-B2_BIOWOO_X0</v>
      </c>
      <c r="O131" s="914" t="str">
        <f>RSD_Commodities!$N$65&amp;"_"&amp;RSD_Commodities!D19&amp;"_"&amp;SETUP!$C$67</f>
        <v>Residential Water Heating Apartment-B2_Biomass &amp; Renewable Waste to Residential_Existing 00</v>
      </c>
      <c r="P131" s="915" t="str">
        <f>RSD_Commodities!$C$19</f>
        <v>RSDBIOWOO</v>
      </c>
      <c r="Q131" s="915" t="str">
        <f>RSD_Commodities!$M$65</f>
        <v>WH_Apt-B2</v>
      </c>
      <c r="R131" s="984">
        <f t="shared" si="85"/>
        <v>7.9630698211194464E-3</v>
      </c>
      <c r="S131" s="915">
        <f>R131*DwellingStocks!$I$64/1000</f>
        <v>0.11131862073325488</v>
      </c>
      <c r="T131" s="915">
        <v>1</v>
      </c>
      <c r="U131" s="986">
        <f t="shared" si="86"/>
        <v>0.90908955761947763</v>
      </c>
      <c r="V131" s="915">
        <v>20</v>
      </c>
      <c r="W131" s="915">
        <v>1</v>
      </c>
      <c r="X131" s="866"/>
      <c r="Y131" s="928">
        <f t="shared" si="87"/>
        <v>1.1190083236881595E-5</v>
      </c>
      <c r="Z131" s="929">
        <f t="shared" si="88"/>
        <v>1.2309109859521108E-5</v>
      </c>
      <c r="AA131" s="866"/>
      <c r="AB131" s="914" t="s">
        <v>393</v>
      </c>
      <c r="AC131" s="914" t="str">
        <f t="shared" si="83"/>
        <v>WH_Apt-B2_BIOWOO_X0</v>
      </c>
      <c r="AD131" s="915" t="str">
        <f t="shared" si="84"/>
        <v>Residential Water Heating Apartment-B2_Biomass &amp; Renewable Waste to Residential_Existing 00</v>
      </c>
      <c r="AE131" s="914" t="s">
        <v>53</v>
      </c>
      <c r="AF131" s="916" t="s">
        <v>406</v>
      </c>
      <c r="AG131" s="914"/>
      <c r="AH131" s="914"/>
      <c r="AI131" s="840"/>
      <c r="AJ131" s="840"/>
      <c r="AK131" s="840"/>
      <c r="AL131" s="840"/>
      <c r="AM131" s="840"/>
      <c r="AN131" s="840"/>
      <c r="AO131" s="840"/>
    </row>
    <row r="132" spans="1:41">
      <c r="A132" s="973" t="s">
        <v>112</v>
      </c>
      <c r="B132" s="758" t="s">
        <v>587</v>
      </c>
      <c r="C132" s="758">
        <f>SUMIFS(INDEX(Table7[],,MATCH(C112,Table7[#Headers],0)),Table7[MainWaterHeatingFuel],"",Table7[EnergyRating (group)],$A132)</f>
        <v>0</v>
      </c>
      <c r="D132" s="758">
        <f>SUMIFS(INDEX(Table7[],,MATCH(D112,Table7[#Headers],0)),Table7[MainWaterHeatingFuel],"",Table7[EnergyRating (group)],$A132)</f>
        <v>0</v>
      </c>
      <c r="E132" s="758">
        <f>SUMIFS(INDEX(Table7[],,MATCH(E112,Table7[#Headers],0)),Table7[MainWaterHeatingFuel],"",Table7[EnergyRating (group)],$A132)</f>
        <v>73014</v>
      </c>
      <c r="F132" s="758">
        <f>SUMIFS(INDEX(Table7[],,MATCH(F112,Table7[#Headers],0)),Table7[MainWaterHeatingFuel],"",Table7[EnergyRating (group)],$A132)</f>
        <v>27042</v>
      </c>
      <c r="G132" s="758">
        <f>SUMIFS(INDEX(Table7[],,MATCH(G112,Table7[#Headers],0)),Table7[MainWaterHeatingFuel],"",Table7[EnergyRating (group)],$A132)</f>
        <v>1018</v>
      </c>
      <c r="H132" s="758">
        <f>SUMIFS(INDEX(Table7[],,MATCH(H112,Table7[#Headers],0)),Table7[MainWaterHeatingFuel],"",Table7[EnergyRating (group)],$A132)</f>
        <v>78778</v>
      </c>
      <c r="I132" s="960"/>
      <c r="J132" s="980">
        <f t="shared" si="81"/>
        <v>73014</v>
      </c>
      <c r="K132" s="981">
        <f t="shared" si="82"/>
        <v>27042</v>
      </c>
      <c r="L132" s="840"/>
      <c r="M132" s="840"/>
      <c r="N132" s="66" t="str">
        <f>RSD_Commodities!$M$65&amp;"_"&amp;RIGHT(P132,LEN(P132)-3)&amp;"_"&amp;SETUP!$B$67</f>
        <v>WH_Apt-B2_HET_X0</v>
      </c>
      <c r="O132" s="66" t="str">
        <f>RSD_Commodities!$N$65&amp;"_"&amp;RSD_Commodities!D28&amp;"_"&amp;SETUP!$C$67</f>
        <v>Residential Water Heating Apartment-B2_Heat to Residential_Existing 00</v>
      </c>
      <c r="P132" s="83" t="str">
        <f>RSD_Commodities!$C$28</f>
        <v>RSDHET</v>
      </c>
      <c r="Q132" s="83" t="str">
        <f>RSD_Commodities!$M$65</f>
        <v>WH_Apt-B2</v>
      </c>
      <c r="R132" s="985">
        <f t="shared" si="85"/>
        <v>0.11748413156376226</v>
      </c>
      <c r="S132" s="83">
        <f>R132*DwellingStocks!$I$64/1000</f>
        <v>1.6423529841514994</v>
      </c>
      <c r="T132" s="83">
        <v>1</v>
      </c>
      <c r="U132" s="987">
        <f t="shared" si="86"/>
        <v>0.37036732681403567</v>
      </c>
      <c r="V132" s="83">
        <v>20</v>
      </c>
      <c r="W132" s="83">
        <v>1</v>
      </c>
      <c r="X132" s="866"/>
      <c r="Y132" s="926">
        <f t="shared" si="87"/>
        <v>1.8251716190722543E-5</v>
      </c>
      <c r="Z132" s="927">
        <f t="shared" si="88"/>
        <v>4.9280038678700382E-5</v>
      </c>
      <c r="AA132" s="866"/>
      <c r="AB132" s="66" t="s">
        <v>393</v>
      </c>
      <c r="AC132" s="66" t="str">
        <f t="shared" si="83"/>
        <v>WH_Apt-B2_HET_X0</v>
      </c>
      <c r="AD132" s="83" t="str">
        <f t="shared" si="84"/>
        <v>Residential Water Heating Apartment-B2_Heat to Residential_Existing 00</v>
      </c>
      <c r="AE132" s="66" t="s">
        <v>53</v>
      </c>
      <c r="AF132" s="88" t="s">
        <v>406</v>
      </c>
      <c r="AG132" s="66"/>
      <c r="AH132" s="66"/>
      <c r="AI132" s="840"/>
      <c r="AJ132" s="840"/>
      <c r="AK132" s="840"/>
      <c r="AL132" s="840"/>
      <c r="AM132" s="840"/>
      <c r="AN132" s="840"/>
      <c r="AO132" s="840"/>
    </row>
    <row r="133" spans="1:41">
      <c r="A133" s="972" t="s">
        <v>112</v>
      </c>
      <c r="B133" s="757" t="s">
        <v>664</v>
      </c>
      <c r="C133" s="757">
        <f>SUMIFS(INDEX(Table7[],,MATCH(C$112,Table7[#Headers],0)),Table7[MainWaterHeatingFuel],$B133,Table7[EnergyRating (group)],$A133)</f>
        <v>42657</v>
      </c>
      <c r="D133" s="757">
        <f>SUMIFS(INDEX(Table7[],,MATCH(D$112,Table7[#Headers],0)),Table7[MainWaterHeatingFuel],$B133,Table7[EnergyRating (group)],$A133)</f>
        <v>38778</v>
      </c>
      <c r="E133" s="760">
        <f>SUMIFS(INDEX(Table7[],,MATCH(E$112,Table7[#Headers],0)),Table7[MainWaterHeatingFuel],$B133,Table7[EnergyRating (group)],$A133)</f>
        <v>0</v>
      </c>
      <c r="F133" s="760">
        <f>SUMIFS(INDEX(Table7[],,MATCH(F$112,Table7[#Headers],0)),Table7[MainWaterHeatingFuel],$B133,Table7[EnergyRating (group)],$A133)</f>
        <v>0</v>
      </c>
      <c r="G133" s="757">
        <f>SUMIFS(INDEX(Table7[],,MATCH(G$112,Table7[#Headers],0)),Table7[MainWaterHeatingFuel],$B133,Table7[EnergyRating (group)],$A133)</f>
        <v>10</v>
      </c>
      <c r="H133" s="757">
        <f>SUMIFS(INDEX(Table7[],,MATCH(H$112,Table7[#Headers],0)),Table7[MainWaterHeatingFuel],$B133,Table7[EnergyRating (group)],$A133)</f>
        <v>1111</v>
      </c>
      <c r="I133" s="959"/>
      <c r="J133" s="978">
        <f t="shared" si="81"/>
        <v>42657</v>
      </c>
      <c r="K133" s="979">
        <f t="shared" si="82"/>
        <v>38778</v>
      </c>
      <c r="L133" s="840"/>
      <c r="M133" s="840"/>
      <c r="N133" s="914" t="str">
        <f>RSD_Commodities!$M$65&amp;"_"&amp;RIGHT(P133,LEN(P133)-3)&amp;"_"&amp;SETUP!$B$68</f>
        <v>WH_Apt-B2_OILLPG_X1</v>
      </c>
      <c r="O133" s="914" t="str">
        <f>RSD_Commodities!$N$65&amp;"_"&amp;RSD_Commodities!D11&amp;"_"&amp;SETUP!$C$68</f>
        <v>Residential Water Heating Apartment-B2_LPG to Residential_Existing 01</v>
      </c>
      <c r="P133" s="915" t="str">
        <f>RSD_Commodities!$C$11</f>
        <v>RSDOILLPG</v>
      </c>
      <c r="Q133" s="915" t="str">
        <f>RSD_Commodities!$M$65</f>
        <v>WH_Apt-B2</v>
      </c>
      <c r="R133" s="984">
        <f t="shared" si="85"/>
        <v>1.1540680900173109E-3</v>
      </c>
      <c r="S133" s="915">
        <f>R133*DwellingStocks!$I$64/1000</f>
        <v>1.6133133439602154E-2</v>
      </c>
      <c r="T133" s="915">
        <v>1</v>
      </c>
      <c r="U133" s="986">
        <f t="shared" si="86"/>
        <v>0.90906533511498699</v>
      </c>
      <c r="V133" s="915">
        <v>20</v>
      </c>
      <c r="W133" s="915">
        <v>1</v>
      </c>
      <c r="X133" s="866"/>
      <c r="Y133" s="928">
        <f t="shared" si="87"/>
        <v>2.5710026651543528E-7</v>
      </c>
      <c r="Z133" s="929">
        <f t="shared" si="88"/>
        <v>2.8281824923278455E-7</v>
      </c>
      <c r="AA133" s="866"/>
      <c r="AB133" s="914" t="s">
        <v>393</v>
      </c>
      <c r="AC133" s="914" t="str">
        <f t="shared" ref="AC133:AC134" si="89">N133</f>
        <v>WH_Apt-B2_OILLPG_X1</v>
      </c>
      <c r="AD133" s="915" t="str">
        <f t="shared" ref="AD133:AD134" si="90">O133</f>
        <v>Residential Water Heating Apartment-B2_LPG to Residential_Existing 01</v>
      </c>
      <c r="AE133" s="914" t="s">
        <v>53</v>
      </c>
      <c r="AF133" s="916" t="s">
        <v>406</v>
      </c>
      <c r="AG133" s="914"/>
      <c r="AH133" s="914"/>
      <c r="AI133" s="840"/>
      <c r="AJ133" s="840"/>
      <c r="AK133" s="840"/>
      <c r="AL133" s="840"/>
      <c r="AM133" s="840"/>
      <c r="AN133" s="840"/>
      <c r="AO133" s="840"/>
    </row>
    <row r="134" spans="1:41" ht="15.75" thickBot="1">
      <c r="A134" s="973" t="s">
        <v>112</v>
      </c>
      <c r="B134" s="758" t="s">
        <v>665</v>
      </c>
      <c r="C134" s="758">
        <f>SUMIFS(INDEX(Table7[],,MATCH(C$112,Table7[#Headers],0)),Table7[MainWaterHeatingFuel],$B134,Table7[EnergyRating (group)],$A134)</f>
        <v>2494</v>
      </c>
      <c r="D134" s="758">
        <f>SUMIFS(INDEX(Table7[],,MATCH(D$112,Table7[#Headers],0)),Table7[MainWaterHeatingFuel],$B134,Table7[EnergyRating (group)],$A134)</f>
        <v>2267</v>
      </c>
      <c r="E134" s="758">
        <f>SUMIFS(INDEX(Table7[],,MATCH(E$112,Table7[#Headers],0)),Table7[MainWaterHeatingFuel],$B134,Table7[EnergyRating (group)],$A134)</f>
        <v>0</v>
      </c>
      <c r="F134" s="758">
        <f>SUMIFS(INDEX(Table7[],,MATCH(F$112,Table7[#Headers],0)),Table7[MainWaterHeatingFuel],$B134,Table7[EnergyRating (group)],$A134)</f>
        <v>0</v>
      </c>
      <c r="G134" s="758">
        <f>SUMIFS(INDEX(Table7[],,MATCH(G$112,Table7[#Headers],0)),Table7[MainWaterHeatingFuel],$B134,Table7[EnergyRating (group)],$A134)</f>
        <v>1</v>
      </c>
      <c r="H134" s="758">
        <f>SUMIFS(INDEX(Table7[],,MATCH(H$112,Table7[#Headers],0)),Table7[MainWaterHeatingFuel],$B134,Table7[EnergyRating (group)],$A134)</f>
        <v>69</v>
      </c>
      <c r="I134" s="960"/>
      <c r="J134" s="982">
        <f t="shared" si="81"/>
        <v>2494</v>
      </c>
      <c r="K134" s="983">
        <f t="shared" si="82"/>
        <v>2267</v>
      </c>
      <c r="L134" s="840"/>
      <c r="M134" s="840"/>
      <c r="N134" s="66" t="str">
        <f>RSD_Commodities!$M$65&amp;"_"&amp;RSD_Commodities!$C$26&amp;"_"&amp;SETUP!$B$67</f>
        <v>WH_Apt-B2_RSDSMF_X0</v>
      </c>
      <c r="O134" s="66" t="str">
        <f>RSD_Commodities!$N$65&amp;"_"&amp;RSD_Commodities!$D$26&amp;"_"&amp;SETUP!$C$67</f>
        <v>Residential Water Heating Apartment-B2_Solid Multi-Fuel_Existing 00</v>
      </c>
      <c r="P134" s="83" t="str">
        <f>RSD_Commodities!$C$6&amp;","&amp;RSD_Commodities!$C$7&amp;","&amp;RSD_Commodities!$C$9&amp;","&amp;RSD_Commodities!$C$10&amp;","&amp;RSD_Commodities!$C$19</f>
        <v>RSDCOABIT,RSDCOAHAR,RSDCOALIG,RSDPEA,RSDBIOWOO</v>
      </c>
      <c r="Q134" s="83" t="str">
        <f>RSD_Commodities!$M$65</f>
        <v>WH_Apt-B2</v>
      </c>
      <c r="R134" s="985">
        <f t="shared" si="85"/>
        <v>1.154068090017311E-4</v>
      </c>
      <c r="S134" s="83">
        <f>R134*DwellingStocks!$I$64/1000</f>
        <v>1.6133133439602155E-3</v>
      </c>
      <c r="T134" s="83">
        <v>1</v>
      </c>
      <c r="U134" s="987">
        <f t="shared" si="86"/>
        <v>0.90898155573376105</v>
      </c>
      <c r="V134" s="83">
        <v>20</v>
      </c>
      <c r="W134" s="83">
        <v>1</v>
      </c>
      <c r="X134" s="866"/>
      <c r="Y134" s="926">
        <f t="shared" si="87"/>
        <v>1.5030334318182777E-9</v>
      </c>
      <c r="Z134" s="927">
        <f t="shared" si="88"/>
        <v>1.653535676645251E-9</v>
      </c>
      <c r="AA134" s="866"/>
      <c r="AB134" s="66" t="s">
        <v>393</v>
      </c>
      <c r="AC134" s="66" t="str">
        <f t="shared" si="89"/>
        <v>WH_Apt-B2_RSDSMF_X0</v>
      </c>
      <c r="AD134" s="83" t="str">
        <f t="shared" si="90"/>
        <v>Residential Water Heating Apartment-B2_Solid Multi-Fuel_Existing 00</v>
      </c>
      <c r="AE134" s="66" t="s">
        <v>53</v>
      </c>
      <c r="AF134" s="88" t="s">
        <v>406</v>
      </c>
      <c r="AG134" s="66"/>
      <c r="AH134" s="66"/>
      <c r="AI134" s="840"/>
      <c r="AJ134" s="840"/>
      <c r="AK134" s="840"/>
      <c r="AL134" s="840"/>
      <c r="AM134" s="840"/>
      <c r="AN134" s="840"/>
      <c r="AO134" s="840"/>
    </row>
    <row r="135" spans="1:41" ht="15.75" thickBot="1">
      <c r="A135" s="756" t="s">
        <v>114</v>
      </c>
      <c r="B135" s="1048"/>
      <c r="C135" s="1049"/>
      <c r="D135" s="1049"/>
      <c r="E135" s="1049"/>
      <c r="F135" s="1049"/>
      <c r="G135" s="1049"/>
      <c r="H135" s="1049"/>
      <c r="I135" s="1049"/>
      <c r="J135" s="1050"/>
      <c r="K135" s="1051"/>
      <c r="L135" s="840"/>
      <c r="M135" s="840"/>
      <c r="N135" s="76" t="str">
        <f>AB135</f>
        <v>*B3 Rating</v>
      </c>
      <c r="O135" s="76"/>
      <c r="P135" s="76"/>
      <c r="Q135" s="76"/>
      <c r="R135" s="949">
        <f>SUM(R136:R143)</f>
        <v>0.99992630803242433</v>
      </c>
      <c r="S135" s="76"/>
      <c r="T135" s="97"/>
      <c r="U135" s="76"/>
      <c r="V135" s="76"/>
      <c r="W135" s="76"/>
      <c r="X135" s="840"/>
      <c r="Y135" s="76"/>
      <c r="Z135" s="76"/>
      <c r="AA135" s="840"/>
      <c r="AB135" s="140" t="str">
        <f>"*"&amp; A136 &amp; " Rating"</f>
        <v>*B3 Rating</v>
      </c>
      <c r="AC135" s="141"/>
      <c r="AD135" s="141"/>
      <c r="AE135" s="141"/>
      <c r="AF135" s="141"/>
      <c r="AG135" s="141"/>
      <c r="AH135" s="141"/>
      <c r="AI135" s="840"/>
      <c r="AJ135" s="840"/>
      <c r="AK135" s="840"/>
      <c r="AL135" s="840"/>
      <c r="AM135" s="840"/>
      <c r="AN135" s="840"/>
      <c r="AO135" s="840"/>
    </row>
    <row r="136" spans="1:41">
      <c r="A136" s="972" t="s">
        <v>114</v>
      </c>
      <c r="B136" s="757" t="s">
        <v>582</v>
      </c>
      <c r="C136" s="757">
        <f>SUMIFS(INDEX(Table7[],,MATCH(C$112,Table7[#Headers],0)),Table7[MainWaterHeatingFuel],$B136,Table7[EnergyRating (group)],$A136)</f>
        <v>1105806</v>
      </c>
      <c r="D136" s="757">
        <f>SUMIFS(INDEX(Table7[],,MATCH(D$112,Table7[#Headers],0)),Table7[MainWaterHeatingFuel],$B136,Table7[EnergyRating (group)],$A136)</f>
        <v>1005279</v>
      </c>
      <c r="E136" s="760">
        <f>SUMIFS(INDEX(Table7[],,MATCH(E$112,Table7[#Headers],0)),Table7[MainWaterHeatingFuel],$B136,Table7[EnergyRating (group)],$A136)</f>
        <v>24666</v>
      </c>
      <c r="F136" s="760">
        <f>SUMIFS(INDEX(Table7[],,MATCH(F$112,Table7[#Headers],0)),Table7[MainWaterHeatingFuel],$B136,Table7[EnergyRating (group)],$A136)</f>
        <v>9135</v>
      </c>
      <c r="G136" s="757">
        <f>SUMIFS(INDEX(Table7[],,MATCH(G$112,Table7[#Headers],0)),Table7[MainWaterHeatingFuel],$B136,Table7[EnergyRating (group)],$A136)</f>
        <v>325</v>
      </c>
      <c r="H136" s="757">
        <f>SUMIFS(INDEX(Table7[],,MATCH(H$112,Table7[#Headers],0)),Table7[MainWaterHeatingFuel],$B136,Table7[EnergyRating (group)],$A136)</f>
        <v>26809</v>
      </c>
      <c r="I136" s="959"/>
      <c r="J136" s="989">
        <f t="shared" ref="J136:J144" si="91">C136+E136</f>
        <v>1130472</v>
      </c>
      <c r="K136" s="990">
        <f t="shared" ref="K136:K144" si="92">D136+F136</f>
        <v>1014414</v>
      </c>
      <c r="L136" s="840"/>
      <c r="M136" s="840"/>
      <c r="N136" s="914" t="str">
        <f>RSD_Commodities!$M$66&amp;"_"&amp;RIGHT(P136,LEN(P136)-3)&amp;"_"&amp;SETUP!$B$67</f>
        <v>WH_Apt-B3_OILLPG_X0</v>
      </c>
      <c r="O136" s="914" t="str">
        <f>RSD_Commodities!$N$66&amp;"_"&amp;RSD_Commodities!D11&amp;"_"&amp;SETUP!$C$67</f>
        <v>Residential Water Heating Apartment-B3_LPG to Residential_Existing 00</v>
      </c>
      <c r="P136" s="915" t="str">
        <f>RSD_Commodities!$C$11</f>
        <v>RSDOILLPG</v>
      </c>
      <c r="Q136" s="914" t="str">
        <f>RSD_Commodities!$M$66</f>
        <v>WH_Apt-B3</v>
      </c>
      <c r="R136" s="984">
        <f>G136/SUM($G$136:$G$144)</f>
        <v>2.3949889462048637E-2</v>
      </c>
      <c r="S136" s="914">
        <f>R136*DwellingStocks!$I$65/1000</f>
        <v>0.51993889110238023</v>
      </c>
      <c r="T136" s="915">
        <v>1</v>
      </c>
      <c r="U136" s="986">
        <f>K136/J136</f>
        <v>0.8973366876844362</v>
      </c>
      <c r="V136" s="915">
        <v>20</v>
      </c>
      <c r="W136" s="914">
        <v>1</v>
      </c>
      <c r="X136" s="866"/>
      <c r="Y136" s="924">
        <f>ABS((K136)*S136*1000*$B$2)</f>
        <v>2.1675340696386167E-4</v>
      </c>
      <c r="Z136" s="925">
        <f>ABS((J136)*S136*1000*$B$2)</f>
        <v>2.4155192798724247E-4</v>
      </c>
      <c r="AA136" s="866"/>
      <c r="AB136" s="914" t="s">
        <v>393</v>
      </c>
      <c r="AC136" s="914" t="str">
        <f t="shared" ref="AC136:AC143" si="93">N136</f>
        <v>WH_Apt-B3_OILLPG_X0</v>
      </c>
      <c r="AD136" s="915" t="str">
        <f t="shared" ref="AD136:AD143" si="94">O136</f>
        <v>Residential Water Heating Apartment-B3_LPG to Residential_Existing 00</v>
      </c>
      <c r="AE136" s="914" t="s">
        <v>53</v>
      </c>
      <c r="AF136" s="916" t="s">
        <v>406</v>
      </c>
      <c r="AG136" s="914"/>
      <c r="AH136" s="914"/>
      <c r="AI136" s="840"/>
      <c r="AJ136" s="840"/>
      <c r="AK136" s="840"/>
      <c r="AL136" s="840"/>
      <c r="AM136" s="840"/>
      <c r="AN136" s="840"/>
      <c r="AO136" s="840"/>
    </row>
    <row r="137" spans="1:41">
      <c r="A137" s="973" t="s">
        <v>114</v>
      </c>
      <c r="B137" s="758" t="s">
        <v>228</v>
      </c>
      <c r="C137" s="758">
        <f>SUMIFS(INDEX(Table7[],,MATCH(C$112,Table7[#Headers],0)),Table7[MainWaterHeatingFuel],$B137,Table7[EnergyRating (group)],$A137)</f>
        <v>6748999</v>
      </c>
      <c r="D137" s="758">
        <f>SUMIFS(INDEX(Table7[],,MATCH(D$112,Table7[#Headers],0)),Table7[MainWaterHeatingFuel],$B137,Table7[EnergyRating (group)],$A137)</f>
        <v>2499629</v>
      </c>
      <c r="E137" s="758">
        <f>SUMIFS(INDEX(Table7[],,MATCH(E$112,Table7[#Headers],0)),Table7[MainWaterHeatingFuel],$B137,Table7[EnergyRating (group)],$A137)</f>
        <v>31492</v>
      </c>
      <c r="F137" s="758">
        <f>SUMIFS(INDEX(Table7[],,MATCH(F$112,Table7[#Headers],0)),Table7[MainWaterHeatingFuel],$B137,Table7[EnergyRating (group)],$A137)</f>
        <v>11664</v>
      </c>
      <c r="G137" s="758">
        <f>SUMIFS(INDEX(Table7[],,MATCH(G$112,Table7[#Headers],0)),Table7[MainWaterHeatingFuel],$B137,Table7[EnergyRating (group)],$A137)</f>
        <v>1111</v>
      </c>
      <c r="H137" s="758">
        <f>SUMIFS(INDEX(Table7[],,MATCH(H$112,Table7[#Headers],0)),Table7[MainWaterHeatingFuel],$B137,Table7[EnergyRating (group)],$A137)</f>
        <v>84005</v>
      </c>
      <c r="I137" s="960"/>
      <c r="J137" s="980">
        <f t="shared" si="91"/>
        <v>6780491</v>
      </c>
      <c r="K137" s="981">
        <f t="shared" si="92"/>
        <v>2511293</v>
      </c>
      <c r="L137" s="840"/>
      <c r="M137" s="840"/>
      <c r="N137" s="66" t="str">
        <f>RSD_Commodities!$M$66&amp;"_"&amp;RIGHT(P137,LEN(P137)-3)&amp;"_"&amp;SETUP!$B$67</f>
        <v>WH_Apt-B3_ELCD_X0</v>
      </c>
      <c r="O137" s="66" t="str">
        <f>RSD_Commodities!$N$66&amp;"_"&amp;RSD_Commodities!D27&amp;"_"&amp;SETUP!$C$67</f>
        <v>Residential Water Heating Apartment-B3_Electricity to Residential_Existing 00</v>
      </c>
      <c r="P137" s="83" t="str">
        <f>RSD_Commodities!$C$27</f>
        <v>RSDELCD</v>
      </c>
      <c r="Q137" s="66" t="str">
        <f>RSD_Commodities!$M$66</f>
        <v>WH_Apt-B3</v>
      </c>
      <c r="R137" s="985">
        <f t="shared" ref="R137:R144" si="95">G137/SUM($G$136:$G$144)</f>
        <v>8.1871775976418565E-2</v>
      </c>
      <c r="S137" s="66">
        <f>R137*DwellingStocks!$I$65/1000</f>
        <v>1.7773911015838286</v>
      </c>
      <c r="T137" s="83">
        <v>1</v>
      </c>
      <c r="U137" s="987">
        <f t="shared" ref="U137:U144" si="96">K137/J137</f>
        <v>0.37037037583266463</v>
      </c>
      <c r="V137" s="83">
        <v>20</v>
      </c>
      <c r="W137" s="66">
        <v>1</v>
      </c>
      <c r="X137" s="866"/>
      <c r="Y137" s="926">
        <f t="shared" ref="Y137:Y143" si="97">ABS((K137)*S137*1000*$B$2)</f>
        <v>1.8343355472615445E-3</v>
      </c>
      <c r="Z137" s="927">
        <f t="shared" ref="Z137:Z143" si="98">ABS((J137)*S137*1000*$B$2)</f>
        <v>4.9527059045627007E-3</v>
      </c>
      <c r="AA137" s="866"/>
      <c r="AB137" s="66" t="s">
        <v>393</v>
      </c>
      <c r="AC137" s="66" t="str">
        <f t="shared" si="93"/>
        <v>WH_Apt-B3_ELCD_X0</v>
      </c>
      <c r="AD137" s="83" t="str">
        <f t="shared" si="94"/>
        <v>Residential Water Heating Apartment-B3_Electricity to Residential_Existing 00</v>
      </c>
      <c r="AE137" s="66" t="s">
        <v>53</v>
      </c>
      <c r="AF137" s="88" t="s">
        <v>406</v>
      </c>
      <c r="AG137" s="66"/>
      <c r="AH137" s="66"/>
      <c r="AI137" s="840"/>
      <c r="AJ137" s="840"/>
      <c r="AK137" s="840"/>
      <c r="AL137" s="840"/>
      <c r="AM137" s="840"/>
      <c r="AN137" s="840"/>
      <c r="AO137" s="840"/>
    </row>
    <row r="138" spans="1:41">
      <c r="A138" s="972" t="s">
        <v>114</v>
      </c>
      <c r="B138" s="757" t="s">
        <v>583</v>
      </c>
      <c r="C138" s="757">
        <f>SUMIFS(INDEX(Table7[],,MATCH(C$112,Table7[#Headers],0)),Table7[MainWaterHeatingFuel],$B138,Table7[EnergyRating (group)],$A138)</f>
        <v>1023674</v>
      </c>
      <c r="D138" s="757">
        <f>SUMIFS(INDEX(Table7[],,MATCH(D$112,Table7[#Headers],0)),Table7[MainWaterHeatingFuel],$B138,Table7[EnergyRating (group)],$A138)</f>
        <v>930612</v>
      </c>
      <c r="E138" s="757">
        <f>SUMIFS(INDEX(Table7[],,MATCH(E$112,Table7[#Headers],0)),Table7[MainWaterHeatingFuel],$B138,Table7[EnergyRating (group)],$A138)</f>
        <v>76475</v>
      </c>
      <c r="F138" s="757">
        <f>SUMIFS(INDEX(Table7[],,MATCH(F$112,Table7[#Headers],0)),Table7[MainWaterHeatingFuel],$B138,Table7[EnergyRating (group)],$A138)</f>
        <v>28324</v>
      </c>
      <c r="G138" s="757">
        <f>SUMIFS(INDEX(Table7[],,MATCH(G$112,Table7[#Headers],0)),Table7[MainWaterHeatingFuel],$B138,Table7[EnergyRating (group)],$A138)</f>
        <v>223</v>
      </c>
      <c r="H138" s="757">
        <f>SUMIFS(INDEX(Table7[],,MATCH(H$112,Table7[#Headers],0)),Table7[MainWaterHeatingFuel],$B138,Table7[EnergyRating (group)],$A138)</f>
        <v>33271</v>
      </c>
      <c r="I138" s="961"/>
      <c r="J138" s="978">
        <f t="shared" si="91"/>
        <v>1100149</v>
      </c>
      <c r="K138" s="979">
        <f t="shared" si="92"/>
        <v>958936</v>
      </c>
      <c r="L138" s="840"/>
      <c r="M138" s="840"/>
      <c r="N138" s="914" t="str">
        <f>RSD_Commodities!$M$66&amp;"_"&amp;RIGHT(P138,LEN(P138)-3)&amp;"_"&amp;SETUP!$B$67</f>
        <v>WH_Apt-B3_OILKER_X0</v>
      </c>
      <c r="O138" s="914" t="str">
        <f>RSD_Commodities!$N$66&amp;"_"&amp;RSD_Commodities!D13&amp;"_"&amp;SETUP!$C$67</f>
        <v>Residential Water Heating Apartment-B3_Kerosene to Residential_Existing 00</v>
      </c>
      <c r="P138" s="915" t="str">
        <f>RSD_Commodities!$C$13</f>
        <v>RSDOILKER</v>
      </c>
      <c r="Q138" s="914" t="str">
        <f>RSD_Commodities!$M$66</f>
        <v>WH_Apt-B3</v>
      </c>
      <c r="R138" s="984">
        <f t="shared" si="95"/>
        <v>1.6433308769344141E-2</v>
      </c>
      <c r="S138" s="914">
        <f>R138*DwellingStocks!$I$65/1000</f>
        <v>0.35675806989486392</v>
      </c>
      <c r="T138" s="915">
        <v>1</v>
      </c>
      <c r="U138" s="986">
        <f t="shared" si="96"/>
        <v>0.87164193213828312</v>
      </c>
      <c r="V138" s="915">
        <v>20</v>
      </c>
      <c r="W138" s="914">
        <v>1</v>
      </c>
      <c r="X138" s="866"/>
      <c r="Y138" s="928">
        <f t="shared" si="97"/>
        <v>1.4059239308741151E-4</v>
      </c>
      <c r="Z138" s="929">
        <f t="shared" si="98"/>
        <v>1.6129604130278E-4</v>
      </c>
      <c r="AA138" s="866"/>
      <c r="AB138" s="914" t="s">
        <v>393</v>
      </c>
      <c r="AC138" s="914" t="str">
        <f t="shared" si="93"/>
        <v>WH_Apt-B3_OILKER_X0</v>
      </c>
      <c r="AD138" s="915" t="str">
        <f t="shared" si="94"/>
        <v>Residential Water Heating Apartment-B3_Kerosene to Residential_Existing 00</v>
      </c>
      <c r="AE138" s="914" t="s">
        <v>53</v>
      </c>
      <c r="AF138" s="916" t="s">
        <v>406</v>
      </c>
      <c r="AG138" s="914"/>
      <c r="AH138" s="914"/>
      <c r="AI138" s="840"/>
      <c r="AJ138" s="840"/>
      <c r="AK138" s="840"/>
      <c r="AL138" s="840"/>
      <c r="AM138" s="840"/>
      <c r="AN138" s="840"/>
      <c r="AO138" s="840"/>
    </row>
    <row r="139" spans="1:41">
      <c r="A139" s="973" t="s">
        <v>114</v>
      </c>
      <c r="B139" s="758" t="s">
        <v>584</v>
      </c>
      <c r="C139" s="758">
        <f>SUMIFS(INDEX(Table7[],,MATCH(C$112,Table7[#Headers],0)),Table7[MainWaterHeatingFuel],$B139,Table7[EnergyRating (group)],$A139)</f>
        <v>40152937</v>
      </c>
      <c r="D139" s="758">
        <f>SUMIFS(INDEX(Table7[],,MATCH(D$112,Table7[#Headers],0)),Table7[MainWaterHeatingFuel],$B139,Table7[EnergyRating (group)],$A139)</f>
        <v>36502670</v>
      </c>
      <c r="E139" s="759">
        <f>SUMIFS(INDEX(Table7[],,MATCH(E$112,Table7[#Headers],0)),Table7[MainWaterHeatingFuel],$B139,Table7[EnergyRating (group)],$A139)</f>
        <v>2222462</v>
      </c>
      <c r="F139" s="759">
        <f>SUMIFS(INDEX(Table7[],,MATCH(F$112,Table7[#Headers],0)),Table7[MainWaterHeatingFuel],$B139,Table7[EnergyRating (group)],$A139)</f>
        <v>823134</v>
      </c>
      <c r="G139" s="758">
        <f>SUMIFS(INDEX(Table7[],,MATCH(G$112,Table7[#Headers],0)),Table7[MainWaterHeatingFuel],$B139,Table7[EnergyRating (group)],$A139)</f>
        <v>10884</v>
      </c>
      <c r="H139" s="758">
        <f>SUMIFS(INDEX(Table7[],,MATCH(H$112,Table7[#Headers],0)),Table7[MainWaterHeatingFuel],$B139,Table7[EnergyRating (group)],$A139)</f>
        <v>854552</v>
      </c>
      <c r="I139" s="960"/>
      <c r="J139" s="980">
        <f t="shared" si="91"/>
        <v>42375399</v>
      </c>
      <c r="K139" s="981">
        <f t="shared" si="92"/>
        <v>37325804</v>
      </c>
      <c r="L139" s="840"/>
      <c r="M139" s="840"/>
      <c r="N139" s="66" t="str">
        <f>RSD_Commodities!$M$66&amp;"_"&amp;RIGHT(P139,LEN(P139)-3)&amp;"_"&amp;SETUP!$B$67</f>
        <v>WH_Apt-B3_GASNAT_X0</v>
      </c>
      <c r="O139" s="66" t="str">
        <f>RSD_Commodities!$N$66&amp;"_"&amp;RSD_Commodities!D17&amp;"_"&amp;SETUP!$C$67</f>
        <v>Residential Water Heating Apartment-B3_Natural Gas to Residential_Existing 00</v>
      </c>
      <c r="P139" s="83" t="str">
        <f>RSD_Commodities!$C$17</f>
        <v>RSDGASNAT</v>
      </c>
      <c r="Q139" s="66" t="str">
        <f>RSD_Commodities!$M$66</f>
        <v>WH_Apt-B3</v>
      </c>
      <c r="R139" s="985">
        <f t="shared" si="95"/>
        <v>0.80206337509211501</v>
      </c>
      <c r="S139" s="66">
        <f>R139*DwellingStocks!$I$65/1000</f>
        <v>17.412353510025557</v>
      </c>
      <c r="T139" s="83">
        <v>1</v>
      </c>
      <c r="U139" s="987">
        <f t="shared" si="96"/>
        <v>0.88083663825796665</v>
      </c>
      <c r="V139" s="83">
        <v>20</v>
      </c>
      <c r="W139" s="66">
        <v>1</v>
      </c>
      <c r="X139" s="866"/>
      <c r="Y139" s="926">
        <f t="shared" si="97"/>
        <v>0.26709455929887377</v>
      </c>
      <c r="Z139" s="927">
        <f t="shared" si="98"/>
        <v>0.30322825788344532</v>
      </c>
      <c r="AA139" s="866"/>
      <c r="AB139" s="66" t="s">
        <v>393</v>
      </c>
      <c r="AC139" s="66" t="str">
        <f t="shared" si="93"/>
        <v>WH_Apt-B3_GASNAT_X0</v>
      </c>
      <c r="AD139" s="83" t="str">
        <f t="shared" si="94"/>
        <v>Residential Water Heating Apartment-B3_Natural Gas to Residential_Existing 00</v>
      </c>
      <c r="AE139" s="66" t="s">
        <v>53</v>
      </c>
      <c r="AF139" s="88" t="s">
        <v>406</v>
      </c>
      <c r="AG139" s="66"/>
      <c r="AH139" s="66"/>
      <c r="AI139" s="840"/>
      <c r="AJ139" s="840"/>
      <c r="AK139" s="840"/>
      <c r="AL139" s="840"/>
      <c r="AM139" s="840"/>
      <c r="AN139" s="840"/>
      <c r="AO139" s="840"/>
    </row>
    <row r="140" spans="1:41">
      <c r="A140" s="972" t="s">
        <v>114</v>
      </c>
      <c r="B140" s="757" t="s">
        <v>585</v>
      </c>
      <c r="C140" s="757">
        <f>SUMIFS(INDEX(Table7[],,MATCH(C$112,Table7[#Headers],0)),Table7[MainWaterHeatingFuel],$B140,Table7[EnergyRating (group)],$A140)</f>
        <v>234265</v>
      </c>
      <c r="D140" s="757">
        <f>SUMIFS(INDEX(Table7[],,MATCH(D$112,Table7[#Headers],0)),Table7[MainWaterHeatingFuel],$B140,Table7[EnergyRating (group)],$A140)</f>
        <v>212969</v>
      </c>
      <c r="E140" s="760">
        <f>SUMIFS(INDEX(Table7[],,MATCH(E$112,Table7[#Headers],0)),Table7[MainWaterHeatingFuel],$B140,Table7[EnergyRating (group)],$A140)</f>
        <v>0</v>
      </c>
      <c r="F140" s="760">
        <f>SUMIFS(INDEX(Table7[],,MATCH(F$112,Table7[#Headers],0)),Table7[MainWaterHeatingFuel],$B140,Table7[EnergyRating (group)],$A140)</f>
        <v>0</v>
      </c>
      <c r="G140" s="757">
        <f>SUMIFS(INDEX(Table7[],,MATCH(G$112,Table7[#Headers],0)),Table7[MainWaterHeatingFuel],$B140,Table7[EnergyRating (group)],$A140)</f>
        <v>66</v>
      </c>
      <c r="H140" s="757">
        <f>SUMIFS(INDEX(Table7[],,MATCH(H$112,Table7[#Headers],0)),Table7[MainWaterHeatingFuel],$B140,Table7[EnergyRating (group)],$A140)</f>
        <v>4124</v>
      </c>
      <c r="I140" s="959"/>
      <c r="J140" s="978">
        <f t="shared" si="91"/>
        <v>234265</v>
      </c>
      <c r="K140" s="979">
        <f t="shared" si="92"/>
        <v>212969</v>
      </c>
      <c r="L140" s="840"/>
      <c r="M140" s="840"/>
      <c r="N140" s="914" t="str">
        <f>RSD_Commodities!$M$66&amp;"_"&amp;RIGHT(P140,LEN(P140)-3)&amp;"_"&amp;SETUP!$B$67</f>
        <v>WH_Apt-B3_BIOWOO_X0</v>
      </c>
      <c r="O140" s="914" t="str">
        <f>RSD_Commodities!$N$66&amp;"_"&amp;RSD_Commodities!D19&amp;"_"&amp;SETUP!$C$67</f>
        <v>Residential Water Heating Apartment-B3_Biomass &amp; Renewable Waste to Residential_Existing 00</v>
      </c>
      <c r="P140" s="915" t="str">
        <f>RSD_Commodities!$C$19</f>
        <v>RSDBIOWOO</v>
      </c>
      <c r="Q140" s="914" t="str">
        <f>RSD_Commodities!$M$66</f>
        <v>WH_Apt-B3</v>
      </c>
      <c r="R140" s="984">
        <f t="shared" si="95"/>
        <v>4.863669859985262E-3</v>
      </c>
      <c r="S140" s="914">
        <f>R140*DwellingStocks!$I$65/1000</f>
        <v>0.10558759019309875</v>
      </c>
      <c r="T140" s="915">
        <v>1</v>
      </c>
      <c r="U140" s="986">
        <f t="shared" si="96"/>
        <v>0.90909440163916932</v>
      </c>
      <c r="V140" s="915">
        <v>20</v>
      </c>
      <c r="W140" s="914">
        <v>1</v>
      </c>
      <c r="X140" s="866"/>
      <c r="Y140" s="928">
        <f t="shared" si="97"/>
        <v>9.2411849982879664E-6</v>
      </c>
      <c r="Z140" s="929">
        <f t="shared" si="98"/>
        <v>1.0165264445172447E-5</v>
      </c>
      <c r="AA140" s="866"/>
      <c r="AB140" s="914" t="s">
        <v>393</v>
      </c>
      <c r="AC140" s="914" t="str">
        <f t="shared" si="93"/>
        <v>WH_Apt-B3_BIOWOO_X0</v>
      </c>
      <c r="AD140" s="915" t="str">
        <f t="shared" si="94"/>
        <v>Residential Water Heating Apartment-B3_Biomass &amp; Renewable Waste to Residential_Existing 00</v>
      </c>
      <c r="AE140" s="914" t="s">
        <v>53</v>
      </c>
      <c r="AF140" s="916" t="s">
        <v>406</v>
      </c>
      <c r="AG140" s="914"/>
      <c r="AH140" s="914"/>
      <c r="AI140" s="840"/>
      <c r="AJ140" s="840"/>
      <c r="AK140" s="840"/>
      <c r="AL140" s="840"/>
      <c r="AM140" s="840"/>
      <c r="AN140" s="840"/>
      <c r="AO140" s="840"/>
    </row>
    <row r="141" spans="1:41">
      <c r="A141" s="973" t="s">
        <v>114</v>
      </c>
      <c r="B141" s="758" t="s">
        <v>587</v>
      </c>
      <c r="C141" s="758">
        <f>SUMIFS(INDEX(Table7[],,MATCH(C112,Table7[#Headers],0)),Table7[MainWaterHeatingFuel],"",Table7[EnergyRating (group)],$A141)</f>
        <v>0</v>
      </c>
      <c r="D141" s="758">
        <f>SUMIFS(INDEX(Table7[],,MATCH(D112,Table7[#Headers],0)),Table7[MainWaterHeatingFuel],"",Table7[EnergyRating (group)],$A141)</f>
        <v>0</v>
      </c>
      <c r="E141" s="758">
        <f>SUMIFS(INDEX(Table7[],,MATCH(E112,Table7[#Headers],0)),Table7[MainWaterHeatingFuel],"",Table7[EnergyRating (group)],$A141)</f>
        <v>63252</v>
      </c>
      <c r="F141" s="758">
        <f>SUMIFS(INDEX(Table7[],,MATCH(F112,Table7[#Headers],0)),Table7[MainWaterHeatingFuel],"",Table7[EnergyRating (group)],$A141)</f>
        <v>23427</v>
      </c>
      <c r="G141" s="758">
        <f>SUMIFS(INDEX(Table7[],,MATCH(G112,Table7[#Headers],0)),Table7[MainWaterHeatingFuel],"",Table7[EnergyRating (group)],$A141)</f>
        <v>946</v>
      </c>
      <c r="H141" s="758">
        <f>SUMIFS(INDEX(Table7[],,MATCH(H112,Table7[#Headers],0)),Table7[MainWaterHeatingFuel],"",Table7[EnergyRating (group)],$A141)</f>
        <v>69256</v>
      </c>
      <c r="I141" s="960"/>
      <c r="J141" s="980">
        <f t="shared" si="91"/>
        <v>63252</v>
      </c>
      <c r="K141" s="981">
        <f t="shared" si="92"/>
        <v>23427</v>
      </c>
      <c r="L141" s="840"/>
      <c r="M141" s="840"/>
      <c r="N141" s="66" t="str">
        <f>RSD_Commodities!$M$66&amp;"_"&amp;RIGHT(P141,LEN(P141)-3)&amp;"_"&amp;SETUP!$B$67</f>
        <v>WH_Apt-B3_HET_X0</v>
      </c>
      <c r="O141" s="66" t="str">
        <f>RSD_Commodities!$N$66&amp;"_"&amp;RSD_Commodities!D28&amp;"_"&amp;SETUP!$C$67</f>
        <v>Residential Water Heating Apartment-B3_Heat to Residential_Existing 00</v>
      </c>
      <c r="P141" s="83" t="str">
        <f>RSD_Commodities!$C$28</f>
        <v>RSDHET</v>
      </c>
      <c r="Q141" s="66" t="str">
        <f>RSD_Commodities!$M$66</f>
        <v>WH_Apt-B3</v>
      </c>
      <c r="R141" s="985">
        <f t="shared" si="95"/>
        <v>6.9712601326455417E-2</v>
      </c>
      <c r="S141" s="66">
        <f>R141*DwellingStocks!$I$65/1000</f>
        <v>1.5134221261010821</v>
      </c>
      <c r="T141" s="83">
        <v>1</v>
      </c>
      <c r="U141" s="987">
        <f t="shared" si="96"/>
        <v>0.37037564029595904</v>
      </c>
      <c r="V141" s="83">
        <v>20</v>
      </c>
      <c r="W141" s="66">
        <v>1</v>
      </c>
      <c r="X141" s="866"/>
      <c r="Y141" s="926">
        <f t="shared" si="97"/>
        <v>1.4570523348563035E-5</v>
      </c>
      <c r="Z141" s="927">
        <f t="shared" si="98"/>
        <v>3.9339853282251636E-5</v>
      </c>
      <c r="AA141" s="866"/>
      <c r="AB141" s="66" t="s">
        <v>393</v>
      </c>
      <c r="AC141" s="66" t="str">
        <f t="shared" si="93"/>
        <v>WH_Apt-B3_HET_X0</v>
      </c>
      <c r="AD141" s="83" t="str">
        <f t="shared" si="94"/>
        <v>Residential Water Heating Apartment-B3_Heat to Residential_Existing 00</v>
      </c>
      <c r="AE141" s="66" t="s">
        <v>53</v>
      </c>
      <c r="AF141" s="88" t="s">
        <v>406</v>
      </c>
      <c r="AG141" s="66"/>
      <c r="AH141" s="66"/>
      <c r="AI141" s="840"/>
      <c r="AJ141" s="840"/>
      <c r="AK141" s="840"/>
      <c r="AL141" s="840"/>
      <c r="AM141" s="840"/>
      <c r="AN141" s="840"/>
      <c r="AO141" s="840"/>
    </row>
    <row r="142" spans="1:41">
      <c r="A142" s="972" t="s">
        <v>114</v>
      </c>
      <c r="B142" s="757" t="s">
        <v>664</v>
      </c>
      <c r="C142" s="757">
        <f>SUMIFS(INDEX(Table7[],,MATCH(C$112,Table7[#Headers],0)),Table7[MainWaterHeatingFuel],$B142,Table7[EnergyRating (group)],$A142)</f>
        <v>36343</v>
      </c>
      <c r="D142" s="757">
        <f>SUMIFS(INDEX(Table7[],,MATCH(D$112,Table7[#Headers],0)),Table7[MainWaterHeatingFuel],$B142,Table7[EnergyRating (group)],$A142)</f>
        <v>33038</v>
      </c>
      <c r="E142" s="760">
        <f>SUMIFS(INDEX(Table7[],,MATCH(E$112,Table7[#Headers],0)),Table7[MainWaterHeatingFuel],$B142,Table7[EnergyRating (group)],$A142)</f>
        <v>2485</v>
      </c>
      <c r="F142" s="760">
        <f>SUMIFS(INDEX(Table7[],,MATCH(F$112,Table7[#Headers],0)),Table7[MainWaterHeatingFuel],$B142,Table7[EnergyRating (group)],$A142)</f>
        <v>920</v>
      </c>
      <c r="G142" s="757">
        <f>SUMIFS(INDEX(Table7[],,MATCH(G$112,Table7[#Headers],0)),Table7[MainWaterHeatingFuel],$B142,Table7[EnergyRating (group)],$A142)</f>
        <v>11</v>
      </c>
      <c r="H142" s="757">
        <f>SUMIFS(INDEX(Table7[],,MATCH(H$112,Table7[#Headers],0)),Table7[MainWaterHeatingFuel],$B142,Table7[EnergyRating (group)],$A142)</f>
        <v>1145</v>
      </c>
      <c r="I142" s="959"/>
      <c r="J142" s="978">
        <f>C142+E142</f>
        <v>38828</v>
      </c>
      <c r="K142" s="979">
        <f>D142+F142</f>
        <v>33958</v>
      </c>
      <c r="L142" s="840"/>
      <c r="M142" s="840"/>
      <c r="N142" s="914" t="str">
        <f>RSD_Commodities!$M$66&amp;"_"&amp;RIGHT(P142,LEN(P142)-3)&amp;"_"&amp;SETUP!$B$68</f>
        <v>WH_Apt-B3_OILLPG_X1</v>
      </c>
      <c r="O142" s="914" t="str">
        <f>RSD_Commodities!$N$66&amp;"_"&amp;RSD_Commodities!D11&amp;"_"&amp;SETUP!$C$68</f>
        <v>Residential Water Heating Apartment-B3_LPG to Residential_Existing 01</v>
      </c>
      <c r="P142" s="915" t="str">
        <f>RSD_Commodities!$C$11</f>
        <v>RSDOILLPG</v>
      </c>
      <c r="Q142" s="914" t="str">
        <f>RSD_Commodities!$M$66</f>
        <v>WH_Apt-B3</v>
      </c>
      <c r="R142" s="984">
        <f t="shared" si="95"/>
        <v>8.1061164333087689E-4</v>
      </c>
      <c r="S142" s="914">
        <f>R142*DwellingStocks!$I$65/1000</f>
        <v>1.7597931698849791E-2</v>
      </c>
      <c r="T142" s="915">
        <v>1</v>
      </c>
      <c r="U142" s="986">
        <f t="shared" si="96"/>
        <v>0.87457504893375915</v>
      </c>
      <c r="V142" s="915">
        <v>20</v>
      </c>
      <c r="W142" s="914">
        <v>1</v>
      </c>
      <c r="X142" s="866"/>
      <c r="Y142" s="928">
        <f t="shared" si="97"/>
        <v>2.455851635463868E-7</v>
      </c>
      <c r="Z142" s="929">
        <f t="shared" si="98"/>
        <v>2.8080513369983827E-7</v>
      </c>
      <c r="AA142" s="866"/>
      <c r="AB142" s="914" t="s">
        <v>393</v>
      </c>
      <c r="AC142" s="914" t="str">
        <f t="shared" si="93"/>
        <v>WH_Apt-B3_OILLPG_X1</v>
      </c>
      <c r="AD142" s="915" t="str">
        <f t="shared" si="94"/>
        <v>Residential Water Heating Apartment-B3_LPG to Residential_Existing 01</v>
      </c>
      <c r="AE142" s="914" t="s">
        <v>53</v>
      </c>
      <c r="AF142" s="916" t="s">
        <v>406</v>
      </c>
      <c r="AG142" s="914"/>
      <c r="AH142" s="914"/>
      <c r="AI142" s="840"/>
      <c r="AJ142" s="840"/>
      <c r="AK142" s="840"/>
      <c r="AL142" s="840"/>
      <c r="AM142" s="840"/>
      <c r="AN142" s="840"/>
      <c r="AO142" s="840"/>
    </row>
    <row r="143" spans="1:41">
      <c r="A143" s="973" t="s">
        <v>114</v>
      </c>
      <c r="B143" s="758" t="s">
        <v>665</v>
      </c>
      <c r="C143" s="758">
        <f>SUMIFS(INDEX(Table7[],,MATCH(C$112,Table7[#Headers],0)),Table7[MainWaterHeatingFuel],$B143,Table7[EnergyRating (group)],$A143)</f>
        <v>17231</v>
      </c>
      <c r="D143" s="758">
        <f>SUMIFS(INDEX(Table7[],,MATCH(D$112,Table7[#Headers],0)),Table7[MainWaterHeatingFuel],$B143,Table7[EnergyRating (group)],$A143)</f>
        <v>15665</v>
      </c>
      <c r="E143" s="758">
        <f>SUMIFS(INDEX(Table7[],,MATCH(E$112,Table7[#Headers],0)),Table7[MainWaterHeatingFuel],$B143,Table7[EnergyRating (group)],$A143)</f>
        <v>0</v>
      </c>
      <c r="F143" s="758">
        <f>SUMIFS(INDEX(Table7[],,MATCH(F$112,Table7[#Headers],0)),Table7[MainWaterHeatingFuel],$B143,Table7[EnergyRating (group)],$A143)</f>
        <v>0</v>
      </c>
      <c r="G143" s="758">
        <f>SUMIFS(INDEX(Table7[],,MATCH(G$112,Table7[#Headers],0)),Table7[MainWaterHeatingFuel],$B143,Table7[EnergyRating (group)],$A143)</f>
        <v>3</v>
      </c>
      <c r="H143" s="758">
        <f>SUMIFS(INDEX(Table7[],,MATCH(H$112,Table7[#Headers],0)),Table7[MainWaterHeatingFuel],$B143,Table7[EnergyRating (group)],$A143)</f>
        <v>563</v>
      </c>
      <c r="I143" s="960"/>
      <c r="J143" s="980">
        <f t="shared" si="91"/>
        <v>17231</v>
      </c>
      <c r="K143" s="981">
        <f t="shared" si="92"/>
        <v>15665</v>
      </c>
      <c r="L143" s="840"/>
      <c r="M143" s="840"/>
      <c r="N143" s="66" t="str">
        <f>RSD_Commodities!$M$66&amp;"_"&amp;RSD_Commodities!$C$26&amp;"_"&amp;SETUP!$B$67</f>
        <v>WH_Apt-B3_RSDSMF_X0</v>
      </c>
      <c r="O143" s="66" t="str">
        <f>RSD_Commodities!$N$66&amp;"_"&amp;RSD_Commodities!$D$26&amp;"_"&amp;SETUP!$C$67</f>
        <v>Residential Water Heating Apartment-B3_Solid Multi-Fuel_Existing 00</v>
      </c>
      <c r="P143" s="83" t="str">
        <f>RSD_Commodities!$C$6&amp;","&amp;RSD_Commodities!$C$7&amp;","&amp;RSD_Commodities!$C$9&amp;","&amp;RSD_Commodities!$C$10&amp;","&amp;RSD_Commodities!$C$19</f>
        <v>RSDCOABIT,RSDCOAHAR,RSDCOALIG,RSDPEA,RSDBIOWOO</v>
      </c>
      <c r="Q143" s="66" t="str">
        <f>RSD_Commodities!$M$66</f>
        <v>WH_Apt-B3</v>
      </c>
      <c r="R143" s="985">
        <f t="shared" si="95"/>
        <v>2.210759027266028E-4</v>
      </c>
      <c r="S143" s="66">
        <f>R143*DwellingStocks!$I$65/1000</f>
        <v>4.7994359178681247E-3</v>
      </c>
      <c r="T143" s="83">
        <v>1</v>
      </c>
      <c r="U143" s="987">
        <f t="shared" si="96"/>
        <v>0.90911728860774188</v>
      </c>
      <c r="V143" s="83">
        <v>20</v>
      </c>
      <c r="W143" s="66">
        <v>1</v>
      </c>
      <c r="X143" s="866"/>
      <c r="Y143" s="926">
        <f t="shared" si="97"/>
        <v>3.0897190542494874E-8</v>
      </c>
      <c r="Z143" s="927">
        <f t="shared" si="98"/>
        <v>3.398592341128178E-8</v>
      </c>
      <c r="AA143" s="866"/>
      <c r="AB143" s="66" t="s">
        <v>393</v>
      </c>
      <c r="AC143" s="66" t="str">
        <f t="shared" si="93"/>
        <v>WH_Apt-B3_RSDSMF_X0</v>
      </c>
      <c r="AD143" s="83" t="str">
        <f t="shared" si="94"/>
        <v>Residential Water Heating Apartment-B3_Solid Multi-Fuel_Existing 00</v>
      </c>
      <c r="AE143" s="66" t="s">
        <v>53</v>
      </c>
      <c r="AF143" s="88" t="s">
        <v>406</v>
      </c>
      <c r="AG143" s="66"/>
      <c r="AH143" s="66"/>
      <c r="AI143" s="840"/>
      <c r="AJ143" s="840"/>
      <c r="AK143" s="840"/>
      <c r="AL143" s="840"/>
      <c r="AM143" s="840"/>
      <c r="AN143" s="840"/>
      <c r="AO143" s="840"/>
    </row>
    <row r="144" spans="1:41" ht="15.75" thickBot="1">
      <c r="A144" s="972" t="s">
        <v>114</v>
      </c>
      <c r="B144" s="757" t="s">
        <v>668</v>
      </c>
      <c r="C144" s="757">
        <f>SUMIFS(INDEX(Table7[],,MATCH(C$112,Table7[#Headers],0)),Table7[MainWaterHeatingFuel],$B144,Table7[EnergyRating (group)],$A144)</f>
        <v>5908</v>
      </c>
      <c r="D144" s="757">
        <f>SUMIFS(INDEX(Table7[],,MATCH(D$112,Table7[#Headers],0)),Table7[MainWaterHeatingFuel],$B144,Table7[EnergyRating (group)],$A144)</f>
        <v>5371</v>
      </c>
      <c r="E144" s="760">
        <f>SUMIFS(INDEX(Table7[],,MATCH(E$112,Table7[#Headers],0)),Table7[MainWaterHeatingFuel],$B144,Table7[EnergyRating (group)],$A144)</f>
        <v>0</v>
      </c>
      <c r="F144" s="760">
        <f>SUMIFS(INDEX(Table7[],,MATCH(F$112,Table7[#Headers],0)),Table7[MainWaterHeatingFuel],$B144,Table7[EnergyRating (group)],$A144)</f>
        <v>0</v>
      </c>
      <c r="G144" s="757">
        <f>SUMIFS(INDEX(Table7[],,MATCH(G$112,Table7[#Headers],0)),Table7[MainWaterHeatingFuel],$B144,Table7[EnergyRating (group)],$A144)</f>
        <v>1</v>
      </c>
      <c r="H144" s="757">
        <f>SUMIFS(INDEX(Table7[],,MATCH(H$112,Table7[#Headers],0)),Table7[MainWaterHeatingFuel],$B144,Table7[EnergyRating (group)],$A144)</f>
        <v>104</v>
      </c>
      <c r="I144" s="959"/>
      <c r="J144" s="991">
        <f t="shared" si="91"/>
        <v>5908</v>
      </c>
      <c r="K144" s="992">
        <f t="shared" si="92"/>
        <v>5371</v>
      </c>
      <c r="L144" s="840"/>
      <c r="M144" s="840"/>
      <c r="N144" s="914" t="str">
        <f>RSD_Commodities!$M$66&amp;"_"&amp;RIGHT(P144,LEN(P144)-3)&amp;"_"&amp;SETUP!$B$69</f>
        <v>WH_Apt-B3_BIOWOO_X2</v>
      </c>
      <c r="O144" s="914" t="str">
        <f>RSD_Commodities!$N$66&amp;"_"&amp;RSD_Commodities!D19&amp;"_"&amp;SETUP!$C$69</f>
        <v>Residential Water Heating Apartment-B3_Biomass &amp; Renewable Waste to Residential_Existing 02</v>
      </c>
      <c r="P144" s="930" t="str">
        <f>RSD_Commodities!$C$19</f>
        <v>RSDBIOWOO</v>
      </c>
      <c r="Q144" s="914" t="str">
        <f>RSD_Commodities!$M$66</f>
        <v>WH_Apt-B3</v>
      </c>
      <c r="R144" s="984">
        <f t="shared" si="95"/>
        <v>7.3691967575534271E-5</v>
      </c>
      <c r="S144" s="914">
        <f>R144*DwellingStocks!$I$65/1000</f>
        <v>1.5998119726227083E-3</v>
      </c>
      <c r="T144" s="930">
        <v>1</v>
      </c>
      <c r="U144" s="986">
        <f t="shared" si="96"/>
        <v>0.90910629654705488</v>
      </c>
      <c r="V144" s="930">
        <v>20</v>
      </c>
      <c r="W144" s="914">
        <v>1</v>
      </c>
      <c r="X144" s="840"/>
      <c r="Y144" s="928">
        <f t="shared" ref="Y144" si="99">ABS((K144)*S144*1000*$B$2)</f>
        <v>3.5312014129958495E-9</v>
      </c>
      <c r="Z144" s="929">
        <f t="shared" ref="Z144" si="100">ABS((J144)*S144*1000*$B$2)</f>
        <v>3.8842558085979294E-9</v>
      </c>
      <c r="AA144" s="840"/>
      <c r="AB144" s="914" t="s">
        <v>393</v>
      </c>
      <c r="AC144" s="914" t="str">
        <f t="shared" ref="AC144" si="101">N144</f>
        <v>WH_Apt-B3_BIOWOO_X2</v>
      </c>
      <c r="AD144" s="915" t="str">
        <f t="shared" ref="AD144" si="102">O144</f>
        <v>Residential Water Heating Apartment-B3_Biomass &amp; Renewable Waste to Residential_Existing 02</v>
      </c>
      <c r="AE144" s="914" t="s">
        <v>53</v>
      </c>
      <c r="AF144" s="916" t="s">
        <v>406</v>
      </c>
      <c r="AG144" s="914"/>
      <c r="AH144" s="914"/>
      <c r="AI144" s="840"/>
      <c r="AJ144" s="840"/>
      <c r="AK144" s="840"/>
      <c r="AL144" s="840"/>
      <c r="AM144" s="840"/>
      <c r="AN144" s="840"/>
      <c r="AO144" s="840"/>
    </row>
    <row r="145" spans="1:41" ht="15.75" thickBot="1">
      <c r="A145" s="756" t="s">
        <v>116</v>
      </c>
      <c r="B145" s="1048"/>
      <c r="C145" s="1049"/>
      <c r="D145" s="1049"/>
      <c r="E145" s="1049"/>
      <c r="F145" s="1049"/>
      <c r="G145" s="1049"/>
      <c r="H145" s="1049"/>
      <c r="I145" s="1049"/>
      <c r="J145" s="1050"/>
      <c r="K145" s="1051"/>
      <c r="L145" s="840"/>
      <c r="M145" s="840"/>
      <c r="N145" s="76" t="str">
        <f>AB145</f>
        <v>*C Rating</v>
      </c>
      <c r="O145" s="76"/>
      <c r="P145" s="76"/>
      <c r="Q145" s="76"/>
      <c r="R145" s="949">
        <f>SUM(R146:R157)</f>
        <v>0.99999999999999989</v>
      </c>
      <c r="S145" s="76"/>
      <c r="T145" s="97"/>
      <c r="U145" s="76"/>
      <c r="V145" s="76"/>
      <c r="W145" s="76"/>
      <c r="X145" s="840"/>
      <c r="Y145" s="76"/>
      <c r="Z145" s="76"/>
      <c r="AA145" s="840"/>
      <c r="AB145" s="140" t="str">
        <f>"*"&amp; A146 &amp; " Rating"</f>
        <v>*C Rating</v>
      </c>
      <c r="AC145" s="141"/>
      <c r="AD145" s="141"/>
      <c r="AE145" s="141"/>
      <c r="AF145" s="141"/>
      <c r="AG145" s="141"/>
      <c r="AH145" s="141"/>
      <c r="AI145" s="840"/>
      <c r="AJ145" s="840"/>
      <c r="AK145" s="840"/>
      <c r="AL145" s="840"/>
      <c r="AM145" s="840"/>
      <c r="AN145" s="840"/>
      <c r="AO145" s="840"/>
    </row>
    <row r="146" spans="1:41">
      <c r="A146" s="972" t="s">
        <v>116</v>
      </c>
      <c r="B146" s="757" t="s">
        <v>580</v>
      </c>
      <c r="C146" s="757">
        <f>SUMIFS(INDEX(Table7[],,MATCH(C$112,Table7[#Headers],0)),Table7[MainWaterHeatingFuel],$B146,Table7[EnergyRating (group)],$A146)</f>
        <v>12097</v>
      </c>
      <c r="D146" s="757">
        <f>SUMIFS(INDEX(Table7[],,MATCH(D$112,Table7[#Headers],0)),Table7[MainWaterHeatingFuel],$B146,Table7[EnergyRating (group)],$A146)</f>
        <v>4480</v>
      </c>
      <c r="E146" s="760">
        <f>SUMIFS(INDEX(Table7[],,MATCH(E$112,Table7[#Headers],0)),Table7[MainWaterHeatingFuel],$B146,Table7[EnergyRating (group)],$A146)</f>
        <v>0</v>
      </c>
      <c r="F146" s="760">
        <f>SUMIFS(INDEX(Table7[],,MATCH(F$112,Table7[#Headers],0)),Table7[MainWaterHeatingFuel],$B146,Table7[EnergyRating (group)],$A146)</f>
        <v>0</v>
      </c>
      <c r="G146" s="757">
        <f>SUMIFS(INDEX(Table7[],,MATCH(G$112,Table7[#Headers],0)),Table7[MainWaterHeatingFuel],$B146,Table7[EnergyRating (group)],$A146)</f>
        <v>2</v>
      </c>
      <c r="H146" s="757">
        <f>SUMIFS(INDEX(Table7[],,MATCH(H$112,Table7[#Headers],0)),Table7[MainWaterHeatingFuel],$B146,Table7[EnergyRating (group)],$A146)</f>
        <v>126</v>
      </c>
      <c r="I146" s="959"/>
      <c r="J146" s="989">
        <f t="shared" ref="J146:J152" si="103">C146+E146</f>
        <v>12097</v>
      </c>
      <c r="K146" s="990">
        <f t="shared" ref="K146:K152" si="104">D146+F146</f>
        <v>4480</v>
      </c>
      <c r="L146" s="840"/>
      <c r="M146" s="840"/>
      <c r="N146" s="914" t="str">
        <f>RSD_Commodities!$M$67&amp;"_"&amp;RIGHT(P146,LEN(P146)-3)&amp;"_"&amp;SETUP!$B$67</f>
        <v>WH_Apt-C_BIODST_X0</v>
      </c>
      <c r="O146" s="914" t="str">
        <f>RSD_Commodities!$N$67&amp;"_"&amp;RSD_Commodities!D21&amp;"_"&amp;SETUP!$C$67</f>
        <v>Residential Water Heating Apartment-C_Landfill Gas to Residential_Existing 00</v>
      </c>
      <c r="P146" s="915" t="str">
        <f>RSD_Commodities!$C$24</f>
        <v>RSDBIODST</v>
      </c>
      <c r="Q146" s="914" t="str">
        <f>RSD_Commodities!$M$67</f>
        <v>WH_Apt-C</v>
      </c>
      <c r="R146" s="984">
        <f>G146/SUM($G$146:$G$157)</f>
        <v>4.3892375894307162E-5</v>
      </c>
      <c r="S146" s="914">
        <f>R146*DwellingStocks!$I$66/1000</f>
        <v>3.1235735995419631E-3</v>
      </c>
      <c r="T146" s="915">
        <v>1</v>
      </c>
      <c r="U146" s="986">
        <f>K146/J146</f>
        <v>0.3703397536579317</v>
      </c>
      <c r="V146" s="915">
        <v>20</v>
      </c>
      <c r="W146" s="914">
        <v>1</v>
      </c>
      <c r="X146" s="866"/>
      <c r="Y146" s="924">
        <f>ABS((K146)*S146*1000*$B$2)</f>
        <v>5.7507985175128752E-9</v>
      </c>
      <c r="Z146" s="925">
        <f>ABS((J146)*S146*1000*$B$2)</f>
        <v>1.5528439657668137E-8</v>
      </c>
      <c r="AA146" s="866"/>
      <c r="AB146" s="914" t="s">
        <v>393</v>
      </c>
      <c r="AC146" s="914" t="str">
        <f t="shared" ref="AC146:AC154" si="105">N146</f>
        <v>WH_Apt-C_BIODST_X0</v>
      </c>
      <c r="AD146" s="915" t="str">
        <f t="shared" ref="AD146:AD154" si="106">O146</f>
        <v>Residential Water Heating Apartment-C_Landfill Gas to Residential_Existing 00</v>
      </c>
      <c r="AE146" s="914" t="s">
        <v>53</v>
      </c>
      <c r="AF146" s="916" t="s">
        <v>406</v>
      </c>
      <c r="AG146" s="914"/>
      <c r="AH146" s="914"/>
      <c r="AI146" s="840"/>
      <c r="AJ146" s="840"/>
      <c r="AK146" s="840"/>
      <c r="AL146" s="840"/>
      <c r="AM146" s="840"/>
      <c r="AN146" s="840"/>
      <c r="AO146" s="840"/>
    </row>
    <row r="147" spans="1:41">
      <c r="A147" s="973" t="s">
        <v>116</v>
      </c>
      <c r="B147" s="758" t="s">
        <v>582</v>
      </c>
      <c r="C147" s="758">
        <f>SUMIFS(INDEX(Table7[],,MATCH(C$112,Table7[#Headers],0)),Table7[MainWaterHeatingFuel],$B147,Table7[EnergyRating (group)],$A147)</f>
        <v>3281981</v>
      </c>
      <c r="D147" s="758">
        <f>SUMIFS(INDEX(Table7[],,MATCH(D$112,Table7[#Headers],0)),Table7[MainWaterHeatingFuel],$B147,Table7[EnergyRating (group)],$A147)</f>
        <v>2983619</v>
      </c>
      <c r="E147" s="758">
        <f>SUMIFS(INDEX(Table7[],,MATCH(E$112,Table7[#Headers],0)),Table7[MainWaterHeatingFuel],$B147,Table7[EnergyRating (group)],$A147)</f>
        <v>225243</v>
      </c>
      <c r="F147" s="758">
        <f>SUMIFS(INDEX(Table7[],,MATCH(F$112,Table7[#Headers],0)),Table7[MainWaterHeatingFuel],$B147,Table7[EnergyRating (group)],$A147)</f>
        <v>83424</v>
      </c>
      <c r="G147" s="758">
        <f>SUMIFS(INDEX(Table7[],,MATCH(G$112,Table7[#Headers],0)),Table7[MainWaterHeatingFuel],$B147,Table7[EnergyRating (group)],$A147)</f>
        <v>998</v>
      </c>
      <c r="H147" s="758">
        <f>SUMIFS(INDEX(Table7[],,MATCH(H$112,Table7[#Headers],0)),Table7[MainWaterHeatingFuel],$B147,Table7[EnergyRating (group)],$A147)</f>
        <v>72212</v>
      </c>
      <c r="I147" s="960"/>
      <c r="J147" s="980">
        <f t="shared" si="103"/>
        <v>3507224</v>
      </c>
      <c r="K147" s="981">
        <f t="shared" si="104"/>
        <v>3067043</v>
      </c>
      <c r="L147" s="840"/>
      <c r="M147" s="840"/>
      <c r="N147" s="66" t="str">
        <f>RSD_Commodities!$M$67&amp;"_"&amp;RIGHT(P147,LEN(P147)-3)&amp;"_"&amp;SETUP!$B$67</f>
        <v>WH_Apt-C_OILLPG_X0</v>
      </c>
      <c r="O147" s="66" t="str">
        <f>RSD_Commodities!$N$67&amp;"_"&amp;RSD_Commodities!D11&amp;"_"&amp;SETUP!$C$67</f>
        <v>Residential Water Heating Apartment-C_LPG to Residential_Existing 00</v>
      </c>
      <c r="P147" s="83" t="str">
        <f>RSD_Commodities!$C$11</f>
        <v>RSDOILLPG</v>
      </c>
      <c r="Q147" s="66" t="str">
        <f>RSD_Commodities!$M$67</f>
        <v>WH_Apt-C</v>
      </c>
      <c r="R147" s="985">
        <f t="shared" ref="R147:R157" si="107">G147/SUM($G$146:$G$157)</f>
        <v>2.1902295571259271E-2</v>
      </c>
      <c r="S147" s="66">
        <f>R147*DwellingStocks!$I$66/1000</f>
        <v>1.5586632261714395</v>
      </c>
      <c r="T147" s="83">
        <v>1</v>
      </c>
      <c r="U147" s="987">
        <f t="shared" ref="U147:U154" si="108">K147/J147</f>
        <v>0.87449304635232883</v>
      </c>
      <c r="V147" s="83">
        <v>20</v>
      </c>
      <c r="W147" s="66">
        <v>1</v>
      </c>
      <c r="X147" s="866"/>
      <c r="Y147" s="926">
        <f t="shared" ref="Y147:Y154" si="109">ABS((K147)*S147*1000*$B$2)</f>
        <v>1.9645837550081634E-3</v>
      </c>
      <c r="Z147" s="927">
        <f t="shared" ref="Z147:Z154" si="110">ABS((J147)*S147*1000*$B$2)</f>
        <v>2.2465401677037953E-3</v>
      </c>
      <c r="AA147" s="866"/>
      <c r="AB147" s="66" t="s">
        <v>393</v>
      </c>
      <c r="AC147" s="66" t="str">
        <f t="shared" si="105"/>
        <v>WH_Apt-C_OILLPG_X0</v>
      </c>
      <c r="AD147" s="83" t="str">
        <f t="shared" si="106"/>
        <v>Residential Water Heating Apartment-C_LPG to Residential_Existing 00</v>
      </c>
      <c r="AE147" s="66" t="s">
        <v>53</v>
      </c>
      <c r="AF147" s="88" t="s">
        <v>406</v>
      </c>
      <c r="AG147" s="66"/>
      <c r="AH147" s="66"/>
      <c r="AI147" s="840"/>
      <c r="AJ147" s="840"/>
      <c r="AK147" s="840"/>
      <c r="AL147" s="840"/>
      <c r="AM147" s="840"/>
      <c r="AN147" s="840"/>
      <c r="AO147" s="840"/>
    </row>
    <row r="148" spans="1:41">
      <c r="A148" s="972" t="s">
        <v>116</v>
      </c>
      <c r="B148" s="757" t="s">
        <v>228</v>
      </c>
      <c r="C148" s="757">
        <f>SUMIFS(INDEX(Table7[],,MATCH(C$112,Table7[#Headers],0)),Table7[MainWaterHeatingFuel],$B148,Table7[EnergyRating (group)],$A148)</f>
        <v>108920367</v>
      </c>
      <c r="D148" s="757">
        <f>SUMIFS(INDEX(Table7[],,MATCH(D$112,Table7[#Headers],0)),Table7[MainWaterHeatingFuel],$B148,Table7[EnergyRating (group)],$A148)</f>
        <v>40340877</v>
      </c>
      <c r="E148" s="757">
        <f>SUMIFS(INDEX(Table7[],,MATCH(E$112,Table7[#Headers],0)),Table7[MainWaterHeatingFuel],$B148,Table7[EnergyRating (group)],$A148)</f>
        <v>210433</v>
      </c>
      <c r="F148" s="757">
        <f>SUMIFS(INDEX(Table7[],,MATCH(F$112,Table7[#Headers],0)),Table7[MainWaterHeatingFuel],$B148,Table7[EnergyRating (group)],$A148)</f>
        <v>77938</v>
      </c>
      <c r="G148" s="757">
        <f>SUMIFS(INDEX(Table7[],,MATCH(G$112,Table7[#Headers],0)),Table7[MainWaterHeatingFuel],$B148,Table7[EnergyRating (group)],$A148)</f>
        <v>17483</v>
      </c>
      <c r="H148" s="757">
        <f>SUMIFS(INDEX(Table7[],,MATCH(H$112,Table7[#Headers],0)),Table7[MainWaterHeatingFuel],$B148,Table7[EnergyRating (group)],$A148)</f>
        <v>1235083</v>
      </c>
      <c r="I148" s="961"/>
      <c r="J148" s="978">
        <f t="shared" si="103"/>
        <v>109130800</v>
      </c>
      <c r="K148" s="979">
        <f t="shared" si="104"/>
        <v>40418815</v>
      </c>
      <c r="L148" s="840"/>
      <c r="M148" s="840"/>
      <c r="N148" s="914" t="str">
        <f>RSD_Commodities!$M$67&amp;"_"&amp;RIGHT(P148,LEN(P148)-3)&amp;"_"&amp;SETUP!$B$67</f>
        <v>WH_Apt-C_ELCD_X0</v>
      </c>
      <c r="O148" s="914" t="str">
        <f>RSD_Commodities!$N$67&amp;"_"&amp;RSD_Commodities!D27&amp;"_"&amp;SETUP!$C$67</f>
        <v>Residential Water Heating Apartment-C_Electricity to Residential_Existing 00</v>
      </c>
      <c r="P148" s="915" t="str">
        <f>RSD_Commodities!$C$27</f>
        <v>RSDELCD</v>
      </c>
      <c r="Q148" s="914" t="str">
        <f>RSD_Commodities!$M$67</f>
        <v>WH_Apt-C</v>
      </c>
      <c r="R148" s="984">
        <f t="shared" si="107"/>
        <v>0.38368520388008603</v>
      </c>
      <c r="S148" s="914">
        <f>R148*DwellingStocks!$I$66/1000</f>
        <v>27.30471862039607</v>
      </c>
      <c r="T148" s="915">
        <v>1</v>
      </c>
      <c r="U148" s="986">
        <f t="shared" si="108"/>
        <v>0.37037037206728074</v>
      </c>
      <c r="V148" s="915">
        <v>20</v>
      </c>
      <c r="W148" s="914">
        <v>1</v>
      </c>
      <c r="X148" s="866"/>
      <c r="Y148" s="928">
        <f t="shared" si="109"/>
        <v>0.45354426186774416</v>
      </c>
      <c r="Z148" s="929">
        <f t="shared" si="110"/>
        <v>1.2245695014323505</v>
      </c>
      <c r="AA148" s="866"/>
      <c r="AB148" s="914" t="s">
        <v>393</v>
      </c>
      <c r="AC148" s="914" t="str">
        <f t="shared" si="105"/>
        <v>WH_Apt-C_ELCD_X0</v>
      </c>
      <c r="AD148" s="915" t="str">
        <f t="shared" si="106"/>
        <v>Residential Water Heating Apartment-C_Electricity to Residential_Existing 00</v>
      </c>
      <c r="AE148" s="914" t="s">
        <v>53</v>
      </c>
      <c r="AF148" s="916" t="s">
        <v>406</v>
      </c>
      <c r="AG148" s="914"/>
      <c r="AH148" s="914"/>
      <c r="AI148" s="840"/>
      <c r="AJ148" s="840"/>
      <c r="AK148" s="840"/>
      <c r="AL148" s="840"/>
      <c r="AM148" s="840"/>
      <c r="AN148" s="840"/>
      <c r="AO148" s="840"/>
    </row>
    <row r="149" spans="1:41">
      <c r="A149" s="973" t="s">
        <v>116</v>
      </c>
      <c r="B149" s="758" t="s">
        <v>583</v>
      </c>
      <c r="C149" s="758">
        <f>SUMIFS(INDEX(Table7[],,MATCH(C$112,Table7[#Headers],0)),Table7[MainWaterHeatingFuel],$B149,Table7[EnergyRating (group)],$A149)</f>
        <v>6740577</v>
      </c>
      <c r="D149" s="758">
        <f>SUMIFS(INDEX(Table7[],,MATCH(D$112,Table7[#Headers],0)),Table7[MainWaterHeatingFuel],$B149,Table7[EnergyRating (group)],$A149)</f>
        <v>6127797</v>
      </c>
      <c r="E149" s="759">
        <f>SUMIFS(INDEX(Table7[],,MATCH(E$112,Table7[#Headers],0)),Table7[MainWaterHeatingFuel],$B149,Table7[EnergyRating (group)],$A149)</f>
        <v>1398517</v>
      </c>
      <c r="F149" s="759">
        <f>SUMIFS(INDEX(Table7[],,MATCH(F$112,Table7[#Headers],0)),Table7[MainWaterHeatingFuel],$B149,Table7[EnergyRating (group)],$A149)</f>
        <v>517969</v>
      </c>
      <c r="G149" s="758">
        <f>SUMIFS(INDEX(Table7[],,MATCH(G$112,Table7[#Headers],0)),Table7[MainWaterHeatingFuel],$B149,Table7[EnergyRating (group)],$A149)</f>
        <v>1502</v>
      </c>
      <c r="H149" s="758">
        <f>SUMIFS(INDEX(Table7[],,MATCH(H$112,Table7[#Headers],0)),Table7[MainWaterHeatingFuel],$B149,Table7[EnergyRating (group)],$A149)</f>
        <v>170270</v>
      </c>
      <c r="I149" s="960"/>
      <c r="J149" s="980">
        <f t="shared" si="103"/>
        <v>8139094</v>
      </c>
      <c r="K149" s="981">
        <f t="shared" si="104"/>
        <v>6645766</v>
      </c>
      <c r="L149" s="840"/>
      <c r="M149" s="840"/>
      <c r="N149" s="66" t="str">
        <f>RSD_Commodities!$M$67&amp;"_"&amp;RIGHT(P149,LEN(P149)-3)&amp;"_"&amp;SETUP!$B$67</f>
        <v>WH_Apt-C_OILKER_X0</v>
      </c>
      <c r="O149" s="66" t="str">
        <f>RSD_Commodities!$N$67&amp;"_"&amp;RSD_Commodities!D13&amp;"_"&amp;SETUP!$C$67</f>
        <v>Residential Water Heating Apartment-C_Kerosene to Residential_Existing 00</v>
      </c>
      <c r="P149" s="83" t="str">
        <f>RSD_Commodities!$C$13</f>
        <v>RSDOILKER</v>
      </c>
      <c r="Q149" s="66" t="str">
        <f>RSD_Commodities!$M$67</f>
        <v>WH_Apt-C</v>
      </c>
      <c r="R149" s="985">
        <f t="shared" si="107"/>
        <v>3.2963174296624674E-2</v>
      </c>
      <c r="S149" s="66">
        <f>R149*DwellingStocks!$I$66/1000</f>
        <v>2.345803773256014</v>
      </c>
      <c r="T149" s="83">
        <v>1</v>
      </c>
      <c r="U149" s="987">
        <f t="shared" si="108"/>
        <v>0.81652405046556775</v>
      </c>
      <c r="V149" s="83">
        <v>20</v>
      </c>
      <c r="W149" s="66">
        <v>1</v>
      </c>
      <c r="X149" s="866"/>
      <c r="Y149" s="926">
        <f t="shared" si="109"/>
        <v>6.4067108050588481E-3</v>
      </c>
      <c r="Z149" s="927">
        <f t="shared" si="110"/>
        <v>7.8463222257885157E-3</v>
      </c>
      <c r="AA149" s="866"/>
      <c r="AB149" s="66" t="s">
        <v>393</v>
      </c>
      <c r="AC149" s="66" t="str">
        <f t="shared" si="105"/>
        <v>WH_Apt-C_OILKER_X0</v>
      </c>
      <c r="AD149" s="83" t="str">
        <f t="shared" si="106"/>
        <v>Residential Water Heating Apartment-C_Kerosene to Residential_Existing 00</v>
      </c>
      <c r="AE149" s="66" t="s">
        <v>53</v>
      </c>
      <c r="AF149" s="88" t="s">
        <v>406</v>
      </c>
      <c r="AG149" s="66"/>
      <c r="AH149" s="66"/>
      <c r="AI149" s="840"/>
      <c r="AJ149" s="840"/>
      <c r="AK149" s="840"/>
      <c r="AL149" s="840"/>
      <c r="AM149" s="840"/>
      <c r="AN149" s="840"/>
      <c r="AO149" s="840"/>
    </row>
    <row r="150" spans="1:41">
      <c r="A150" s="972" t="s">
        <v>116</v>
      </c>
      <c r="B150" s="757" t="s">
        <v>584</v>
      </c>
      <c r="C150" s="757">
        <f>SUMIFS(INDEX(Table7[],,MATCH(C$112,Table7[#Headers],0)),Table7[MainWaterHeatingFuel],$B150,Table7[EnergyRating (group)],$A150)</f>
        <v>94076409</v>
      </c>
      <c r="D150" s="757">
        <f>SUMIFS(INDEX(Table7[],,MATCH(D$112,Table7[#Headers],0)),Table7[MainWaterHeatingFuel],$B150,Table7[EnergyRating (group)],$A150)</f>
        <v>85524008</v>
      </c>
      <c r="E150" s="760">
        <f>SUMIFS(INDEX(Table7[],,MATCH(E$112,Table7[#Headers],0)),Table7[MainWaterHeatingFuel],$B150,Table7[EnergyRating (group)],$A150)</f>
        <v>11771140</v>
      </c>
      <c r="F150" s="760">
        <f>SUMIFS(INDEX(Table7[],,MATCH(F$112,Table7[#Headers],0)),Table7[MainWaterHeatingFuel],$B150,Table7[EnergyRating (group)],$A150)</f>
        <v>4359682</v>
      </c>
      <c r="G150" s="757">
        <f>SUMIFS(INDEX(Table7[],,MATCH(G$112,Table7[#Headers],0)),Table7[MainWaterHeatingFuel],$B150,Table7[EnergyRating (group)],$A150)</f>
        <v>24018</v>
      </c>
      <c r="H150" s="757">
        <f>SUMIFS(INDEX(Table7[],,MATCH(H$112,Table7[#Headers],0)),Table7[MainWaterHeatingFuel],$B150,Table7[EnergyRating (group)],$A150)</f>
        <v>1734485</v>
      </c>
      <c r="I150" s="959"/>
      <c r="J150" s="978">
        <f t="shared" si="103"/>
        <v>105847549</v>
      </c>
      <c r="K150" s="979">
        <f t="shared" si="104"/>
        <v>89883690</v>
      </c>
      <c r="L150" s="840"/>
      <c r="M150" s="840"/>
      <c r="N150" s="914" t="str">
        <f>RSD_Commodities!$M$67&amp;"_"&amp;RIGHT(P150,LEN(P150)-3)&amp;"_"&amp;SETUP!$B$67</f>
        <v>WH_Apt-C_GASNAT_X0</v>
      </c>
      <c r="O150" s="914" t="str">
        <f>RSD_Commodities!$N$67&amp;"_"&amp;RSD_Commodities!D17&amp;"_"&amp;SETUP!$C$67</f>
        <v>Residential Water Heating Apartment-C_Natural Gas to Residential_Existing 00</v>
      </c>
      <c r="P150" s="915" t="str">
        <f>RSD_Commodities!$C$17</f>
        <v>RSDGASNAT</v>
      </c>
      <c r="Q150" s="914" t="str">
        <f>RSD_Commodities!$M$67</f>
        <v>WH_Apt-C</v>
      </c>
      <c r="R150" s="984">
        <f t="shared" si="107"/>
        <v>0.52710354211473465</v>
      </c>
      <c r="S150" s="914">
        <f>R150*DwellingStocks!$I$66/1000</f>
        <v>37.510995356899429</v>
      </c>
      <c r="T150" s="915">
        <v>1</v>
      </c>
      <c r="U150" s="986">
        <f t="shared" si="108"/>
        <v>0.84918064564726015</v>
      </c>
      <c r="V150" s="915">
        <v>20</v>
      </c>
      <c r="W150" s="914">
        <v>1</v>
      </c>
      <c r="X150" s="866"/>
      <c r="Y150" s="928">
        <f t="shared" si="109"/>
        <v>1.38560000476068</v>
      </c>
      <c r="Z150" s="929">
        <f t="shared" si="110"/>
        <v>1.6316905146896652</v>
      </c>
      <c r="AA150" s="866"/>
      <c r="AB150" s="914" t="s">
        <v>393</v>
      </c>
      <c r="AC150" s="914" t="str">
        <f t="shared" si="105"/>
        <v>WH_Apt-C_GASNAT_X0</v>
      </c>
      <c r="AD150" s="915" t="str">
        <f t="shared" si="106"/>
        <v>Residential Water Heating Apartment-C_Natural Gas to Residential_Existing 00</v>
      </c>
      <c r="AE150" s="914" t="s">
        <v>53</v>
      </c>
      <c r="AF150" s="916" t="s">
        <v>406</v>
      </c>
      <c r="AG150" s="914"/>
      <c r="AH150" s="914"/>
      <c r="AI150" s="840"/>
      <c r="AJ150" s="840"/>
      <c r="AK150" s="840"/>
      <c r="AL150" s="840"/>
      <c r="AM150" s="840"/>
      <c r="AN150" s="840"/>
      <c r="AO150" s="840"/>
    </row>
    <row r="151" spans="1:41">
      <c r="A151" s="973" t="s">
        <v>116</v>
      </c>
      <c r="B151" s="994" t="s">
        <v>585</v>
      </c>
      <c r="C151" s="758">
        <f>SUMIFS(INDEX(Table7[],,MATCH(C$112,Table7[#Headers],0)),Table7[MainWaterHeatingFuel],$B151,Table7[EnergyRating (group)],$A151)</f>
        <v>107169</v>
      </c>
      <c r="D151" s="758">
        <f>SUMIFS(INDEX(Table7[],,MATCH(D$112,Table7[#Headers],0)),Table7[MainWaterHeatingFuel],$B151,Table7[EnergyRating (group)],$A151)</f>
        <v>97426</v>
      </c>
      <c r="E151" s="758">
        <f>SUMIFS(INDEX(Table7[],,MATCH(E$112,Table7[#Headers],0)),Table7[MainWaterHeatingFuel],$B151,Table7[EnergyRating (group)],$A151)</f>
        <v>2539</v>
      </c>
      <c r="F151" s="758">
        <f>SUMIFS(INDEX(Table7[],,MATCH(F$112,Table7[#Headers],0)),Table7[MainWaterHeatingFuel],$B151,Table7[EnergyRating (group)],$A151)</f>
        <v>941</v>
      </c>
      <c r="G151" s="758">
        <f>SUMIFS(INDEX(Table7[],,MATCH(G$112,Table7[#Headers],0)),Table7[MainWaterHeatingFuel],$B151,Table7[EnergyRating (group)],$A151)</f>
        <v>30</v>
      </c>
      <c r="H151" s="758">
        <f>SUMIFS(INDEX(Table7[],,MATCH(H$112,Table7[#Headers],0)),Table7[MainWaterHeatingFuel],$B151,Table7[EnergyRating (group)],$A151)</f>
        <v>1921</v>
      </c>
      <c r="I151" s="960"/>
      <c r="J151" s="980">
        <f t="shared" si="103"/>
        <v>109708</v>
      </c>
      <c r="K151" s="981">
        <f t="shared" si="104"/>
        <v>98367</v>
      </c>
      <c r="L151" s="840"/>
      <c r="M151" s="840"/>
      <c r="N151" s="66" t="str">
        <f>RSD_Commodities!$M$67&amp;"_"&amp;RIGHT(P151,LEN(P151)-3)&amp;"_"&amp;SETUP!$B$67</f>
        <v>WH_Apt-C_BIOWOO_X0</v>
      </c>
      <c r="O151" s="66" t="str">
        <f>RSD_Commodities!$N$67&amp;"_"&amp;RSD_Commodities!D19&amp;"_"&amp;SETUP!$C$67</f>
        <v>Residential Water Heating Apartment-C_Biomass &amp; Renewable Waste to Residential_Existing 00</v>
      </c>
      <c r="P151" s="83" t="str">
        <f>RSD_Commodities!$C$19</f>
        <v>RSDBIOWOO</v>
      </c>
      <c r="Q151" s="66" t="str">
        <f>RSD_Commodities!$M$67</f>
        <v>WH_Apt-C</v>
      </c>
      <c r="R151" s="985">
        <f t="shared" si="107"/>
        <v>6.5838563841460736E-4</v>
      </c>
      <c r="S151" s="66">
        <f>R151*DwellingStocks!$I$66/1000</f>
        <v>4.685360399312944E-2</v>
      </c>
      <c r="T151" s="83">
        <v>1</v>
      </c>
      <c r="U151" s="987">
        <f t="shared" si="108"/>
        <v>0.89662558792430813</v>
      </c>
      <c r="V151" s="83">
        <v>20</v>
      </c>
      <c r="W151" s="66">
        <v>1</v>
      </c>
      <c r="X151" s="866"/>
      <c r="Y151" s="926">
        <f t="shared" si="109"/>
        <v>1.8940473139693826E-6</v>
      </c>
      <c r="Z151" s="927">
        <f t="shared" si="110"/>
        <v>2.1124172000869501E-6</v>
      </c>
      <c r="AA151" s="866"/>
      <c r="AB151" s="66" t="s">
        <v>393</v>
      </c>
      <c r="AC151" s="66" t="str">
        <f t="shared" si="105"/>
        <v>WH_Apt-C_BIOWOO_X0</v>
      </c>
      <c r="AD151" s="83" t="str">
        <f t="shared" si="106"/>
        <v>Residential Water Heating Apartment-C_Biomass &amp; Renewable Waste to Residential_Existing 00</v>
      </c>
      <c r="AE151" s="66" t="s">
        <v>53</v>
      </c>
      <c r="AF151" s="88" t="s">
        <v>406</v>
      </c>
      <c r="AG151" s="66"/>
      <c r="AH151" s="66"/>
      <c r="AI151" s="840"/>
      <c r="AJ151" s="840"/>
      <c r="AK151" s="840"/>
      <c r="AL151" s="840"/>
      <c r="AM151" s="840"/>
      <c r="AN151" s="840"/>
      <c r="AO151" s="840"/>
    </row>
    <row r="152" spans="1:41">
      <c r="A152" s="972" t="s">
        <v>116</v>
      </c>
      <c r="B152" s="757" t="s">
        <v>587</v>
      </c>
      <c r="C152" s="757">
        <f>SUMIFS(INDEX(Table7[],,MATCH(C112,Table7[#Headers],0)),Table7[MainWaterHeatingFuel],"",Table7[EnergyRating (group)],$A152)</f>
        <v>0</v>
      </c>
      <c r="D152" s="757">
        <f>SUMIFS(INDEX(Table7[],,MATCH(D112,Table7[#Headers],0)),Table7[MainWaterHeatingFuel],"",Table7[EnergyRating (group)],$A152)</f>
        <v>0</v>
      </c>
      <c r="E152" s="760">
        <f>SUMIFS(INDEX(Table7[],,MATCH(E112,Table7[#Headers],0)),Table7[MainWaterHeatingFuel],"",Table7[EnergyRating (group)],$A152)</f>
        <v>191991</v>
      </c>
      <c r="F152" s="760">
        <f>SUMIFS(INDEX(Table7[],,MATCH(F112,Table7[#Headers],0)),Table7[MainWaterHeatingFuel],"",Table7[EnergyRating (group)],$A152)</f>
        <v>71108</v>
      </c>
      <c r="G152" s="757">
        <f>SUMIFS(INDEX(Table7[],,MATCH(G112,Table7[#Headers],0)),Table7[MainWaterHeatingFuel],"",Table7[EnergyRating (group)],$A152)</f>
        <v>1474</v>
      </c>
      <c r="H152" s="757">
        <f>SUMIFS(INDEX(Table7[],,MATCH(H112,Table7[#Headers],0)),Table7[MainWaterHeatingFuel],"",Table7[EnergyRating (group)],$A152)</f>
        <v>89665</v>
      </c>
      <c r="I152" s="959"/>
      <c r="J152" s="978">
        <f t="shared" si="103"/>
        <v>191991</v>
      </c>
      <c r="K152" s="979">
        <f t="shared" si="104"/>
        <v>71108</v>
      </c>
      <c r="L152" s="840"/>
      <c r="M152" s="840"/>
      <c r="N152" s="914" t="str">
        <f>RSD_Commodities!$M$67&amp;"_"&amp;RIGHT(P152,LEN(P152)-3)&amp;"_"&amp;SETUP!$B$68</f>
        <v>WH_Apt-C_HET_X1</v>
      </c>
      <c r="O152" s="914" t="str">
        <f>RSD_Commodities!$N$67&amp;"_"&amp;RSD_Commodities!D28&amp;"_"&amp;SETUP!$C$67</f>
        <v>Residential Water Heating Apartment-C_Heat to Residential_Existing 00</v>
      </c>
      <c r="P152" s="915" t="str">
        <f>RSD_Commodities!$C$28</f>
        <v>RSDHET</v>
      </c>
      <c r="Q152" s="914" t="str">
        <f>RSD_Commodities!$M$67</f>
        <v>WH_Apt-C</v>
      </c>
      <c r="R152" s="984">
        <f t="shared" si="107"/>
        <v>3.2348681034104376E-2</v>
      </c>
      <c r="S152" s="914">
        <f>R152*DwellingStocks!$I$66/1000</f>
        <v>2.3020737428624267</v>
      </c>
      <c r="T152" s="915">
        <v>1</v>
      </c>
      <c r="U152" s="986">
        <f t="shared" si="108"/>
        <v>0.37037152783203381</v>
      </c>
      <c r="V152" s="915">
        <v>20</v>
      </c>
      <c r="W152" s="914">
        <v>1</v>
      </c>
      <c r="X152" s="866"/>
      <c r="Y152" s="928">
        <f t="shared" si="109"/>
        <v>6.7272271112655399E-5</v>
      </c>
      <c r="Z152" s="929">
        <f t="shared" si="110"/>
        <v>1.8163456436954802E-4</v>
      </c>
      <c r="AA152" s="866"/>
      <c r="AB152" s="914" t="s">
        <v>393</v>
      </c>
      <c r="AC152" s="914" t="str">
        <f t="shared" si="105"/>
        <v>WH_Apt-C_HET_X1</v>
      </c>
      <c r="AD152" s="915" t="str">
        <f t="shared" si="106"/>
        <v>Residential Water Heating Apartment-C_Heat to Residential_Existing 00</v>
      </c>
      <c r="AE152" s="914" t="s">
        <v>53</v>
      </c>
      <c r="AF152" s="916" t="s">
        <v>406</v>
      </c>
      <c r="AG152" s="914"/>
      <c r="AH152" s="914"/>
      <c r="AI152" s="840"/>
      <c r="AJ152" s="840"/>
      <c r="AK152" s="840"/>
      <c r="AL152" s="840"/>
      <c r="AM152" s="840"/>
      <c r="AN152" s="840"/>
      <c r="AO152" s="840"/>
    </row>
    <row r="153" spans="1:41">
      <c r="A153" s="973" t="s">
        <v>116</v>
      </c>
      <c r="B153" s="758" t="s">
        <v>664</v>
      </c>
      <c r="C153" s="758">
        <f>SUMIFS(INDEX(Table7[],,MATCH(C$112,Table7[#Headers],0)),Table7[MainWaterHeatingFuel],$B153,Table7[EnergyRating (group)],$A153)</f>
        <v>128391</v>
      </c>
      <c r="D153" s="758">
        <f>SUMIFS(INDEX(Table7[],,MATCH(D$112,Table7[#Headers],0)),Table7[MainWaterHeatingFuel],$B153,Table7[EnergyRating (group)],$A153)</f>
        <v>116718</v>
      </c>
      <c r="E153" s="758">
        <f>SUMIFS(INDEX(Table7[],,MATCH(E$112,Table7[#Headers],0)),Table7[MainWaterHeatingFuel],$B153,Table7[EnergyRating (group)],$A153)</f>
        <v>19421</v>
      </c>
      <c r="F153" s="758">
        <f>SUMIFS(INDEX(Table7[],,MATCH(F$112,Table7[#Headers],0)),Table7[MainWaterHeatingFuel],$B153,Table7[EnergyRating (group)],$A153)</f>
        <v>7193</v>
      </c>
      <c r="G153" s="758">
        <f>SUMIFS(INDEX(Table7[],,MATCH(G$112,Table7[#Headers],0)),Table7[MainWaterHeatingFuel],$B153,Table7[EnergyRating (group)],$A153)</f>
        <v>35</v>
      </c>
      <c r="H153" s="758">
        <f>SUMIFS(INDEX(Table7[],,MATCH(H$112,Table7[#Headers],0)),Table7[MainWaterHeatingFuel],$B153,Table7[EnergyRating (group)],$A153)</f>
        <v>2810</v>
      </c>
      <c r="I153" s="960"/>
      <c r="J153" s="980">
        <f>C153+E153</f>
        <v>147812</v>
      </c>
      <c r="K153" s="981">
        <f>D153+F153</f>
        <v>123911</v>
      </c>
      <c r="L153" s="840"/>
      <c r="M153" s="840"/>
      <c r="N153" s="66" t="str">
        <f>RSD_Commodities!$M$67&amp;"_"&amp;RIGHT(P153,LEN(P153)-3)&amp;"_"&amp;SETUP!$B$68</f>
        <v>WH_Apt-C_OILLPG_X1</v>
      </c>
      <c r="O153" s="66" t="str">
        <f>RSD_Commodities!$N$67&amp;"_"&amp;RSD_Commodities!D11&amp;"_"&amp;SETUP!$C$68</f>
        <v>Residential Water Heating Apartment-C_LPG to Residential_Existing 01</v>
      </c>
      <c r="P153" s="83" t="str">
        <f>RSD_Commodities!$C$11</f>
        <v>RSDOILLPG</v>
      </c>
      <c r="Q153" s="66" t="str">
        <f>RSD_Commodities!$M$67</f>
        <v>WH_Apt-C</v>
      </c>
      <c r="R153" s="985">
        <f t="shared" si="107"/>
        <v>7.6811657815037523E-4</v>
      </c>
      <c r="S153" s="66">
        <f>R153*DwellingStocks!$I$66/1000</f>
        <v>5.4662537991984346E-2</v>
      </c>
      <c r="T153" s="83">
        <v>1</v>
      </c>
      <c r="U153" s="987">
        <f t="shared" si="108"/>
        <v>0.83830135577625631</v>
      </c>
      <c r="V153" s="83">
        <v>20</v>
      </c>
      <c r="W153" s="66">
        <v>1</v>
      </c>
      <c r="X153" s="866"/>
      <c r="Y153" s="926">
        <f t="shared" si="109"/>
        <v>2.783543730873195E-6</v>
      </c>
      <c r="Z153" s="927">
        <f t="shared" si="110"/>
        <v>3.3204571502758325E-6</v>
      </c>
      <c r="AA153" s="866"/>
      <c r="AB153" s="66" t="s">
        <v>393</v>
      </c>
      <c r="AC153" s="66" t="str">
        <f t="shared" si="105"/>
        <v>WH_Apt-C_OILLPG_X1</v>
      </c>
      <c r="AD153" s="83" t="str">
        <f t="shared" si="106"/>
        <v>Residential Water Heating Apartment-C_LPG to Residential_Existing 01</v>
      </c>
      <c r="AE153" s="66" t="s">
        <v>53</v>
      </c>
      <c r="AF153" s="88" t="s">
        <v>406</v>
      </c>
      <c r="AG153" s="66"/>
      <c r="AH153" s="66"/>
      <c r="AI153" s="840"/>
      <c r="AJ153" s="840"/>
      <c r="AK153" s="840"/>
      <c r="AL153" s="840"/>
      <c r="AM153" s="840"/>
      <c r="AN153" s="840"/>
      <c r="AO153" s="840"/>
    </row>
    <row r="154" spans="1:41">
      <c r="A154" s="972" t="s">
        <v>116</v>
      </c>
      <c r="B154" s="757" t="s">
        <v>665</v>
      </c>
      <c r="C154" s="757">
        <f>SUMIFS(INDEX(Table7[],,MATCH(C$112,Table7[#Headers],0)),Table7[MainWaterHeatingFuel],$B154,Table7[EnergyRating (group)],$A154)</f>
        <v>77374</v>
      </c>
      <c r="D154" s="757">
        <f>SUMIFS(INDEX(Table7[],,MATCH(D$112,Table7[#Headers],0)),Table7[MainWaterHeatingFuel],$B154,Table7[EnergyRating (group)],$A154)</f>
        <v>70341</v>
      </c>
      <c r="E154" s="757">
        <f>SUMIFS(INDEX(Table7[],,MATCH(E$112,Table7[#Headers],0)),Table7[MainWaterHeatingFuel],$B154,Table7[EnergyRating (group)],$A154)</f>
        <v>29234</v>
      </c>
      <c r="F154" s="757">
        <f>SUMIFS(INDEX(Table7[],,MATCH(F$112,Table7[#Headers],0)),Table7[MainWaterHeatingFuel],$B154,Table7[EnergyRating (group)],$A154)</f>
        <v>10828</v>
      </c>
      <c r="G154" s="757">
        <f>SUMIFS(INDEX(Table7[],,MATCH(G$112,Table7[#Headers],0)),Table7[MainWaterHeatingFuel],$B154,Table7[EnergyRating (group)],$A154)</f>
        <v>18</v>
      </c>
      <c r="H154" s="757">
        <f>SUMIFS(INDEX(Table7[],,MATCH(H$112,Table7[#Headers],0)),Table7[MainWaterHeatingFuel],$B154,Table7[EnergyRating (group)],$A154)</f>
        <v>1655</v>
      </c>
      <c r="I154" s="961"/>
      <c r="J154" s="978">
        <f t="shared" ref="J154:J157" si="111">C154+E154</f>
        <v>106608</v>
      </c>
      <c r="K154" s="979">
        <f t="shared" ref="K154:K157" si="112">D154+F154</f>
        <v>81169</v>
      </c>
      <c r="L154" s="840"/>
      <c r="M154" s="840"/>
      <c r="N154" s="914" t="str">
        <f>RSD_Commodities!$M$67&amp;"_"&amp;RSD_Commodities!$C$26&amp;"_"&amp;SETUP!$B$67</f>
        <v>WH_Apt-C_RSDSMF_X0</v>
      </c>
      <c r="O154" s="914" t="str">
        <f>RSD_Commodities!$N$67&amp;"_"&amp;RSD_Commodities!$D$26&amp;"_"&amp;SETUP!$C$67</f>
        <v>Residential Water Heating Apartment-C_Solid Multi-Fuel_Existing 00</v>
      </c>
      <c r="P154" s="930" t="str">
        <f>RSD_Commodities!$C$6&amp;","&amp;RSD_Commodities!$C$7&amp;","&amp;RSD_Commodities!$C$9&amp;","&amp;RSD_Commodities!$C$10&amp;","&amp;RSD_Commodities!$C$19</f>
        <v>RSDCOABIT,RSDCOAHAR,RSDCOALIG,RSDPEA,RSDBIOWOO</v>
      </c>
      <c r="Q154" s="914" t="str">
        <f>RSD_Commodities!$M$67</f>
        <v>WH_Apt-C</v>
      </c>
      <c r="R154" s="984">
        <f t="shared" si="107"/>
        <v>3.9503138304876443E-4</v>
      </c>
      <c r="S154" s="914">
        <f>R154*DwellingStocks!$I$66/1000</f>
        <v>2.8112162395877664E-2</v>
      </c>
      <c r="T154" s="915">
        <v>1</v>
      </c>
      <c r="U154" s="986">
        <f t="shared" si="108"/>
        <v>0.76137813297313528</v>
      </c>
      <c r="V154" s="930">
        <v>20</v>
      </c>
      <c r="W154" s="914">
        <v>1</v>
      </c>
      <c r="X154" s="840"/>
      <c r="Y154" s="928">
        <f t="shared" si="109"/>
        <v>9.377408669223265E-7</v>
      </c>
      <c r="Z154" s="929">
        <f t="shared" si="110"/>
        <v>1.2316361953560519E-6</v>
      </c>
      <c r="AA154" s="840"/>
      <c r="AB154" s="914" t="s">
        <v>393</v>
      </c>
      <c r="AC154" s="914" t="str">
        <f t="shared" si="105"/>
        <v>WH_Apt-C_RSDSMF_X0</v>
      </c>
      <c r="AD154" s="915" t="str">
        <f t="shared" si="106"/>
        <v>Residential Water Heating Apartment-C_Solid Multi-Fuel_Existing 00</v>
      </c>
      <c r="AE154" s="914" t="s">
        <v>53</v>
      </c>
      <c r="AF154" s="916" t="s">
        <v>406</v>
      </c>
      <c r="AG154" s="914"/>
      <c r="AH154" s="914"/>
      <c r="AI154" s="840"/>
      <c r="AJ154" s="840"/>
      <c r="AK154" s="840"/>
      <c r="AL154" s="840"/>
      <c r="AM154" s="840"/>
      <c r="AN154" s="840"/>
      <c r="AO154" s="840"/>
    </row>
    <row r="155" spans="1:41">
      <c r="A155" s="973" t="s">
        <v>116</v>
      </c>
      <c r="B155" s="758" t="s">
        <v>669</v>
      </c>
      <c r="C155" s="758">
        <f>SUMIFS(INDEX(Table7[],,MATCH(C$112,Table7[#Headers],0)),Table7[MainWaterHeatingFuel],$B155,Table7[EnergyRating (group)],$A155)</f>
        <v>16808</v>
      </c>
      <c r="D155" s="758">
        <f>SUMIFS(INDEX(Table7[],,MATCH(D$112,Table7[#Headers],0)),Table7[MainWaterHeatingFuel],$B155,Table7[EnergyRating (group)],$A155)</f>
        <v>14006</v>
      </c>
      <c r="E155" s="759">
        <f>SUMIFS(INDEX(Table7[],,MATCH(E$112,Table7[#Headers],0)),Table7[MainWaterHeatingFuel],$B155,Table7[EnergyRating (group)],$A155)</f>
        <v>3563</v>
      </c>
      <c r="F155" s="759">
        <f>SUMIFS(INDEX(Table7[],,MATCH(F$112,Table7[#Headers],0)),Table7[MainWaterHeatingFuel],$B155,Table7[EnergyRating (group)],$A155)</f>
        <v>1320</v>
      </c>
      <c r="G155" s="758">
        <f>SUMIFS(INDEX(Table7[],,MATCH(G$112,Table7[#Headers],0)),Table7[MainWaterHeatingFuel],$B155,Table7[EnergyRating (group)],$A155)</f>
        <v>4</v>
      </c>
      <c r="H155" s="758">
        <f>SUMIFS(INDEX(Table7[],,MATCH(H$112,Table7[#Headers],0)),Table7[MainWaterHeatingFuel],$B155,Table7[EnergyRating (group)],$A155)</f>
        <v>322</v>
      </c>
      <c r="I155" s="960"/>
      <c r="J155" s="980">
        <f t="shared" si="111"/>
        <v>20371</v>
      </c>
      <c r="K155" s="981">
        <f t="shared" si="112"/>
        <v>15326</v>
      </c>
      <c r="L155" s="840"/>
      <c r="M155" s="840"/>
      <c r="N155" s="66" t="str">
        <f>RSD_Commodities!$M$67&amp;"_"&amp;RIGHT(P155,LEN(P155)-3)&amp;"_"&amp;SETUP!$B$67</f>
        <v>WH_Apt-C_COAHAR_X0</v>
      </c>
      <c r="O155" s="66" t="str">
        <f>RSD_Commodities!$N$67&amp;"_"&amp;RSD_Commodities!D7&amp;"_"&amp;SETUP!$C$67</f>
        <v>Residential Water Heating Apartment-C_Anthracite + Manufactured Ovoids to Residential_Existing 00</v>
      </c>
      <c r="P155" s="83" t="str">
        <f>RSD_Commodities!$C$7</f>
        <v>RSDCOAHAR</v>
      </c>
      <c r="Q155" s="66" t="str">
        <f>RSD_Commodities!$M$67</f>
        <v>WH_Apt-C</v>
      </c>
      <c r="R155" s="985">
        <f t="shared" si="107"/>
        <v>8.7784751788614324E-5</v>
      </c>
      <c r="S155" s="66">
        <f>R155*DwellingStocks!$I$66/1000</f>
        <v>6.2471471990839262E-3</v>
      </c>
      <c r="T155" s="83">
        <v>1</v>
      </c>
      <c r="U155" s="987">
        <f t="shared" ref="U155:U157" si="113">K155/J155</f>
        <v>0.75234401845761134</v>
      </c>
      <c r="V155" s="83">
        <v>20</v>
      </c>
      <c r="W155" s="66">
        <v>1</v>
      </c>
      <c r="X155" s="866"/>
      <c r="Y155" s="926">
        <f t="shared" ref="Y155:Y157" si="114">ABS((K155)*S155*1000*$B$2)</f>
        <v>3.934675807116175E-8</v>
      </c>
      <c r="Z155" s="927">
        <f t="shared" ref="Z155:Z157" si="115">ABS((J155)*S155*1000*$B$2)</f>
        <v>5.2298891339399457E-8</v>
      </c>
      <c r="AA155" s="866"/>
      <c r="AB155" s="66" t="s">
        <v>393</v>
      </c>
      <c r="AC155" s="66" t="str">
        <f t="shared" ref="AC155:AC157" si="116">N155</f>
        <v>WH_Apt-C_COAHAR_X0</v>
      </c>
      <c r="AD155" s="83" t="str">
        <f t="shared" ref="AD155:AD157" si="117">O155</f>
        <v>Residential Water Heating Apartment-C_Anthracite + Manufactured Ovoids to Residential_Existing 00</v>
      </c>
      <c r="AE155" s="66" t="s">
        <v>53</v>
      </c>
      <c r="AF155" s="88" t="s">
        <v>406</v>
      </c>
      <c r="AG155" s="66"/>
      <c r="AH155" s="66"/>
      <c r="AI155" s="840"/>
      <c r="AJ155" s="840"/>
      <c r="AK155" s="840"/>
      <c r="AL155" s="840"/>
      <c r="AM155" s="840"/>
      <c r="AN155" s="840"/>
      <c r="AO155" s="840"/>
    </row>
    <row r="156" spans="1:41">
      <c r="A156" s="972" t="s">
        <v>116</v>
      </c>
      <c r="B156" s="757" t="s">
        <v>671</v>
      </c>
      <c r="C156" s="757">
        <f>SUMIFS(INDEX(Table7[],,MATCH(C$112,Table7[#Headers],0)),Table7[MainWaterHeatingFuel],$B156,Table7[EnergyRating (group)],$A156)</f>
        <v>3893</v>
      </c>
      <c r="D156" s="757">
        <f>SUMIFS(INDEX(Table7[],,MATCH(D$112,Table7[#Headers],0)),Table7[MainWaterHeatingFuel],$B156,Table7[EnergyRating (group)],$A156)</f>
        <v>3539</v>
      </c>
      <c r="E156" s="760">
        <f>SUMIFS(INDEX(Table7[],,MATCH(E$112,Table7[#Headers],0)),Table7[MainWaterHeatingFuel],$B156,Table7[EnergyRating (group)],$A156)</f>
        <v>1973</v>
      </c>
      <c r="F156" s="760">
        <f>SUMIFS(INDEX(Table7[],,MATCH(F$112,Table7[#Headers],0)),Table7[MainWaterHeatingFuel],$B156,Table7[EnergyRating (group)],$A156)</f>
        <v>731</v>
      </c>
      <c r="G156" s="757">
        <f>SUMIFS(INDEX(Table7[],,MATCH(G$112,Table7[#Headers],0)),Table7[MainWaterHeatingFuel],$B156,Table7[EnergyRating (group)],$A156)</f>
        <v>1</v>
      </c>
      <c r="H156" s="757">
        <f>SUMIFS(INDEX(Table7[],,MATCH(H$112,Table7[#Headers],0)),Table7[MainWaterHeatingFuel],$B156,Table7[EnergyRating (group)],$A156)</f>
        <v>69</v>
      </c>
      <c r="I156" s="959"/>
      <c r="J156" s="978">
        <f t="shared" si="111"/>
        <v>5866</v>
      </c>
      <c r="K156" s="979">
        <f t="shared" si="112"/>
        <v>4270</v>
      </c>
      <c r="L156" s="840"/>
      <c r="M156" s="840"/>
      <c r="N156" s="914" t="str">
        <f>RSD_Commodities!$M$67&amp;"_"&amp;RIGHT(P156,LEN(P156)-3)&amp;"_"&amp;SETUP!$B$67</f>
        <v>WH_Apt-C_PEA_X0</v>
      </c>
      <c r="O156" s="914" t="str">
        <f>RSD_Commodities!$N$67&amp;"_"&amp;RSD_Commodities!$D$10&amp;"_"&amp;SETUP!$C$67</f>
        <v>Residential Water Heating Apartment-C_Peat to Residential_Existing 00</v>
      </c>
      <c r="P156" s="915" t="str">
        <f>RSD_Commodities!$C$10</f>
        <v>RSDPEA</v>
      </c>
      <c r="Q156" s="914" t="str">
        <f>RSD_Commodities!$M$67</f>
        <v>WH_Apt-C</v>
      </c>
      <c r="R156" s="984">
        <f t="shared" si="107"/>
        <v>2.1946187947153581E-5</v>
      </c>
      <c r="S156" s="914">
        <f>R156*DwellingStocks!$I$66/1000</f>
        <v>1.5617867997709815E-3</v>
      </c>
      <c r="T156" s="915">
        <v>1</v>
      </c>
      <c r="U156" s="986">
        <f t="shared" si="113"/>
        <v>0.72792362768496421</v>
      </c>
      <c r="V156" s="915">
        <v>20</v>
      </c>
      <c r="W156" s="914">
        <v>1</v>
      </c>
      <c r="X156" s="866"/>
      <c r="Y156" s="928">
        <f t="shared" si="114"/>
        <v>2.74061491850223E-9</v>
      </c>
      <c r="Z156" s="929">
        <f t="shared" si="115"/>
        <v>3.7649759044342099E-9</v>
      </c>
      <c r="AA156" s="866"/>
      <c r="AB156" s="914" t="s">
        <v>393</v>
      </c>
      <c r="AC156" s="914" t="str">
        <f t="shared" si="116"/>
        <v>WH_Apt-C_PEA_X0</v>
      </c>
      <c r="AD156" s="915" t="str">
        <f t="shared" si="117"/>
        <v>Residential Water Heating Apartment-C_Peat to Residential_Existing 00</v>
      </c>
      <c r="AE156" s="914" t="s">
        <v>53</v>
      </c>
      <c r="AF156" s="916" t="s">
        <v>406</v>
      </c>
      <c r="AG156" s="914"/>
      <c r="AH156" s="914"/>
      <c r="AI156" s="840"/>
      <c r="AJ156" s="840"/>
      <c r="AK156" s="840"/>
      <c r="AL156" s="840"/>
      <c r="AM156" s="840"/>
      <c r="AN156" s="840"/>
      <c r="AO156" s="840"/>
    </row>
    <row r="157" spans="1:41" ht="15.75" thickBot="1">
      <c r="A157" s="973" t="s">
        <v>116</v>
      </c>
      <c r="B157" s="758" t="s">
        <v>666</v>
      </c>
      <c r="C157" s="758">
        <f>SUMIFS(INDEX(Table7[],,MATCH(C$112,Table7[#Headers],0)),Table7[MainWaterHeatingFuel],$B157,Table7[EnergyRating (group)],$A157)</f>
        <v>8765</v>
      </c>
      <c r="D157" s="758">
        <f>SUMIFS(INDEX(Table7[],,MATCH(D$112,Table7[#Headers],0)),Table7[MainWaterHeatingFuel],$B157,Table7[EnergyRating (group)],$A157)</f>
        <v>7968</v>
      </c>
      <c r="E157" s="758">
        <f>SUMIFS(INDEX(Table7[],,MATCH(E$112,Table7[#Headers],0)),Table7[MainWaterHeatingFuel],$B157,Table7[EnergyRating (group)],$A157)</f>
        <v>0</v>
      </c>
      <c r="F157" s="758">
        <f>SUMIFS(INDEX(Table7[],,MATCH(F$112,Table7[#Headers],0)),Table7[MainWaterHeatingFuel],$B157,Table7[EnergyRating (group)],$A157)</f>
        <v>0</v>
      </c>
      <c r="G157" s="758">
        <f>SUMIFS(INDEX(Table7[],,MATCH(G$112,Table7[#Headers],0)),Table7[MainWaterHeatingFuel],$B157,Table7[EnergyRating (group)],$A157)</f>
        <v>1</v>
      </c>
      <c r="H157" s="758">
        <f>SUMIFS(INDEX(Table7[],,MATCH(H$112,Table7[#Headers],0)),Table7[MainWaterHeatingFuel],$B157,Table7[EnergyRating (group)],$A157)</f>
        <v>155</v>
      </c>
      <c r="I157" s="960"/>
      <c r="J157" s="995">
        <f t="shared" si="111"/>
        <v>8765</v>
      </c>
      <c r="K157" s="996">
        <f t="shared" si="112"/>
        <v>7968</v>
      </c>
      <c r="L157" s="840"/>
      <c r="M157" s="840"/>
      <c r="N157" s="66" t="str">
        <f>RSD_Commodities!$M$67&amp;"_"&amp;RIGHT(P157,LEN(P157)-3)&amp;"_"&amp;SETUP!$B$67</f>
        <v>WH_Apt-C_COABIT_X0</v>
      </c>
      <c r="O157" s="66" t="str">
        <f>RSD_Commodities!$N$67&amp;"_"&amp;RSD_Commodities!D6&amp;"_"&amp;SETUP!$C$67</f>
        <v>Residential Water Heating Apartment-C_Bituminous Coal to Residential_Existing 00</v>
      </c>
      <c r="P157" s="83" t="str">
        <f>RSD_Commodities!$C$6</f>
        <v>RSDCOABIT</v>
      </c>
      <c r="Q157" s="66" t="str">
        <f>RSD_Commodities!$M$67</f>
        <v>WH_Apt-C</v>
      </c>
      <c r="R157" s="985">
        <f t="shared" si="107"/>
        <v>2.1946187947153581E-5</v>
      </c>
      <c r="S157" s="66">
        <f>R157*DwellingStocks!$I$66/1000</f>
        <v>1.5617867997709815E-3</v>
      </c>
      <c r="T157" s="83">
        <v>1</v>
      </c>
      <c r="U157" s="987">
        <f t="shared" si="113"/>
        <v>0.90907016543069019</v>
      </c>
      <c r="V157" s="83">
        <v>20</v>
      </c>
      <c r="W157" s="66">
        <v>1</v>
      </c>
      <c r="X157" s="866"/>
      <c r="Y157" s="926">
        <f t="shared" si="114"/>
        <v>5.1141029673596649E-9</v>
      </c>
      <c r="Z157" s="927">
        <f t="shared" si="115"/>
        <v>5.6256416301339682E-9</v>
      </c>
      <c r="AA157" s="866"/>
      <c r="AB157" s="66" t="s">
        <v>393</v>
      </c>
      <c r="AC157" s="66" t="str">
        <f t="shared" si="116"/>
        <v>WH_Apt-C_COABIT_X0</v>
      </c>
      <c r="AD157" s="83" t="str">
        <f t="shared" si="117"/>
        <v>Residential Water Heating Apartment-C_Bituminous Coal to Residential_Existing 00</v>
      </c>
      <c r="AE157" s="66" t="s">
        <v>53</v>
      </c>
      <c r="AF157" s="88" t="s">
        <v>406</v>
      </c>
      <c r="AG157" s="66"/>
      <c r="AH157" s="66"/>
      <c r="AI157" s="840"/>
      <c r="AJ157" s="840"/>
      <c r="AK157" s="840"/>
      <c r="AL157" s="840"/>
      <c r="AM157" s="840"/>
      <c r="AN157" s="840"/>
      <c r="AO157" s="840"/>
    </row>
    <row r="158" spans="1:41" ht="15.75" thickBot="1">
      <c r="A158" s="756" t="s">
        <v>118</v>
      </c>
      <c r="B158" s="1048"/>
      <c r="C158" s="1049"/>
      <c r="D158" s="1049"/>
      <c r="E158" s="1049"/>
      <c r="F158" s="1049"/>
      <c r="G158" s="1049"/>
      <c r="H158" s="1049"/>
      <c r="I158" s="1049"/>
      <c r="J158" s="1050"/>
      <c r="K158" s="1051"/>
      <c r="L158" s="840"/>
      <c r="M158" s="840"/>
      <c r="N158" s="76" t="str">
        <f>AB158</f>
        <v>*D Rating</v>
      </c>
      <c r="O158" s="76"/>
      <c r="P158" s="76"/>
      <c r="Q158" s="76"/>
      <c r="R158" s="949">
        <f>SUM(R159:R170)</f>
        <v>0.99993544013686686</v>
      </c>
      <c r="S158" s="76"/>
      <c r="T158" s="97"/>
      <c r="U158" s="76"/>
      <c r="V158" s="76"/>
      <c r="W158" s="76"/>
      <c r="X158" s="840"/>
      <c r="Y158" s="76"/>
      <c r="Z158" s="76"/>
      <c r="AA158" s="840"/>
      <c r="AB158" s="140" t="str">
        <f>"*"&amp; A159 &amp; " Rating"</f>
        <v>*D Rating</v>
      </c>
      <c r="AC158" s="141"/>
      <c r="AD158" s="141"/>
      <c r="AE158" s="141"/>
      <c r="AF158" s="141"/>
      <c r="AG158" s="141"/>
      <c r="AH158" s="141"/>
      <c r="AI158" s="840"/>
      <c r="AJ158" s="840"/>
      <c r="AK158" s="840"/>
      <c r="AL158" s="840"/>
      <c r="AM158" s="840"/>
      <c r="AN158" s="840"/>
      <c r="AO158" s="840"/>
    </row>
    <row r="159" spans="1:41">
      <c r="A159" s="972" t="s">
        <v>118</v>
      </c>
      <c r="B159" s="757" t="s">
        <v>580</v>
      </c>
      <c r="C159" s="757">
        <f>SUMIFS(INDEX(Table7[],,MATCH(C$112,Table7[#Headers],0)),Table7[MainWaterHeatingFuel],$B159,Table7[EnergyRating (group)],$A159)</f>
        <v>11573</v>
      </c>
      <c r="D159" s="757">
        <f>SUMIFS(INDEX(Table7[],,MATCH(D$112,Table7[#Headers],0)),Table7[MainWaterHeatingFuel],$B159,Table7[EnergyRating (group)],$A159)</f>
        <v>4286</v>
      </c>
      <c r="E159" s="760">
        <f>SUMIFS(INDEX(Table7[],,MATCH(E$112,Table7[#Headers],0)),Table7[MainWaterHeatingFuel],$B159,Table7[EnergyRating (group)],$A159)</f>
        <v>2242</v>
      </c>
      <c r="F159" s="760">
        <f>SUMIFS(INDEX(Table7[],,MATCH(F$112,Table7[#Headers],0)),Table7[MainWaterHeatingFuel],$B159,Table7[EnergyRating (group)],$A159)</f>
        <v>830</v>
      </c>
      <c r="G159" s="757">
        <f>SUMIFS(INDEX(Table7[],,MATCH(G$112,Table7[#Headers],0)),Table7[MainWaterHeatingFuel],$B159,Table7[EnergyRating (group)],$A159)</f>
        <v>2</v>
      </c>
      <c r="H159" s="757">
        <f>SUMIFS(INDEX(Table7[],,MATCH(H$112,Table7[#Headers],0)),Table7[MainWaterHeatingFuel],$B159,Table7[EnergyRating (group)],$A159)</f>
        <v>118</v>
      </c>
      <c r="I159" s="959"/>
      <c r="J159" s="989">
        <f t="shared" ref="J159:J160" si="118">C159+E159</f>
        <v>13815</v>
      </c>
      <c r="K159" s="990">
        <f t="shared" ref="K159:K160" si="119">D159+F159</f>
        <v>5116</v>
      </c>
      <c r="L159" s="840"/>
      <c r="M159" s="840"/>
      <c r="N159" s="914" t="str">
        <f>RSD_Commodities!$M$68&amp;"_"&amp;RIGHT(P159,LEN(P159)-3)&amp;"_"&amp;SETUP!$B$67</f>
        <v>WH_Apt-D_BIODST_X0</v>
      </c>
      <c r="O159" s="914" t="str">
        <f>RSD_Commodities!$N$68&amp;"_"&amp;RSD_Commodities!D24&amp;"_"&amp;SETUP!$C$67</f>
        <v>Residential Water Heating Apartment-D_Biodiesel to Residential_Existing 00</v>
      </c>
      <c r="P159" s="915" t="str">
        <f>RSD_Commodities!$C$24</f>
        <v>RSDBIODST</v>
      </c>
      <c r="Q159" s="914" t="str">
        <f>RSD_Commodities!$M$68</f>
        <v>WH_Apt-D</v>
      </c>
      <c r="R159" s="984">
        <f t="shared" ref="R159:R171" si="120">G159/SUM($G$159:$G$171)</f>
        <v>6.4559863133090164E-5</v>
      </c>
      <c r="S159" s="914">
        <f>R159*DwellingStocks!$I$67/1000</f>
        <v>3.0658787954907702E-3</v>
      </c>
      <c r="T159" s="915">
        <v>1</v>
      </c>
      <c r="U159" s="986">
        <f>K159/J159</f>
        <v>0.37032211364458922</v>
      </c>
      <c r="V159" s="915">
        <v>20</v>
      </c>
      <c r="W159" s="914">
        <v>1</v>
      </c>
      <c r="X159" s="866"/>
      <c r="Y159" s="928">
        <f>ABS((K159)*S159*1000*$B$2)</f>
        <v>6.4459051716701855E-9</v>
      </c>
      <c r="Z159" s="928">
        <f>ABS((J159)*S159*1000*$B$2)</f>
        <v>1.7406211873851372E-8</v>
      </c>
      <c r="AA159" s="866"/>
      <c r="AB159" s="914" t="s">
        <v>393</v>
      </c>
      <c r="AC159" s="914" t="str">
        <f t="shared" ref="AC159:AC160" si="121">N159</f>
        <v>WH_Apt-D_BIODST_X0</v>
      </c>
      <c r="AD159" s="915" t="str">
        <f t="shared" ref="AD159:AD160" si="122">O159</f>
        <v>Residential Water Heating Apartment-D_Biodiesel to Residential_Existing 00</v>
      </c>
      <c r="AE159" s="914" t="s">
        <v>53</v>
      </c>
      <c r="AF159" s="916" t="s">
        <v>406</v>
      </c>
      <c r="AG159" s="914"/>
      <c r="AH159" s="914"/>
      <c r="AI159" s="840"/>
      <c r="AJ159" s="840"/>
      <c r="AK159" s="840"/>
      <c r="AL159" s="840"/>
      <c r="AM159" s="840"/>
      <c r="AN159" s="840"/>
      <c r="AO159" s="840"/>
    </row>
    <row r="160" spans="1:41">
      <c r="A160" s="973" t="s">
        <v>118</v>
      </c>
      <c r="B160" s="758" t="s">
        <v>581</v>
      </c>
      <c r="C160" s="758">
        <f>SUMIFS(INDEX(Table7[],,MATCH(C$112,Table7[#Headers],0)),Table7[MainWaterHeatingFuel],$B160,Table7[EnergyRating (group)],$A160)</f>
        <v>15192</v>
      </c>
      <c r="D160" s="758">
        <f>SUMIFS(INDEX(Table7[],,MATCH(D$112,Table7[#Headers],0)),Table7[MainWaterHeatingFuel],$B160,Table7[EnergyRating (group)],$A160)</f>
        <v>5627</v>
      </c>
      <c r="E160" s="758">
        <f>SUMIFS(INDEX(Table7[],,MATCH(E$112,Table7[#Headers],0)),Table7[MainWaterHeatingFuel],$B160,Table7[EnergyRating (group)],$A160)</f>
        <v>0</v>
      </c>
      <c r="F160" s="758">
        <f>SUMIFS(INDEX(Table7[],,MATCH(F$112,Table7[#Headers],0)),Table7[MainWaterHeatingFuel],$B160,Table7[EnergyRating (group)],$A160)</f>
        <v>0</v>
      </c>
      <c r="G160" s="758">
        <f>SUMIFS(INDEX(Table7[],,MATCH(G$112,Table7[#Headers],0)),Table7[MainWaterHeatingFuel],$B160,Table7[EnergyRating (group)],$A160)</f>
        <v>2</v>
      </c>
      <c r="H160" s="758">
        <f>SUMIFS(INDEX(Table7[],,MATCH(H$112,Table7[#Headers],0)),Table7[MainWaterHeatingFuel],$B160,Table7[EnergyRating (group)],$A160)</f>
        <v>231</v>
      </c>
      <c r="I160" s="960"/>
      <c r="J160" s="980">
        <f t="shared" si="118"/>
        <v>15192</v>
      </c>
      <c r="K160" s="981">
        <f t="shared" si="119"/>
        <v>5627</v>
      </c>
      <c r="L160" s="840"/>
      <c r="M160" s="840"/>
      <c r="N160" s="66" t="str">
        <f>RSD_Commodities!$M$68&amp;"_"&amp;RIGHT(P160,LEN(P160)-3)&amp;"_"&amp;SETUP!$B$67</f>
        <v>WH_Apt-D_BIOETH_X0</v>
      </c>
      <c r="O160" s="66" t="str">
        <f>RSD_Commodities!$N$68&amp;"_"&amp;RSD_Commodities!D23&amp;"_"&amp;SETUP!$C$67</f>
        <v>Residential Water Heating Apartment-D_Ethanol to Residential_Existing 00</v>
      </c>
      <c r="P160" s="83" t="str">
        <f>RSD_Commodities!$C$23</f>
        <v>RSDBIOETH</v>
      </c>
      <c r="Q160" s="66" t="str">
        <f>RSD_Commodities!$M$68</f>
        <v>WH_Apt-D</v>
      </c>
      <c r="R160" s="985">
        <f t="shared" si="120"/>
        <v>6.4559863133090164E-5</v>
      </c>
      <c r="S160" s="66">
        <f>R160*DwellingStocks!$I$67/1000</f>
        <v>3.0658787954907702E-3</v>
      </c>
      <c r="T160" s="83">
        <v>1</v>
      </c>
      <c r="U160" s="987">
        <f t="shared" ref="U160" si="123">K160/J160</f>
        <v>0.37039231174302262</v>
      </c>
      <c r="V160" s="83">
        <v>20</v>
      </c>
      <c r="W160" s="66">
        <v>1</v>
      </c>
      <c r="X160" s="866"/>
      <c r="Y160" s="926">
        <f t="shared" ref="Y160" si="124">ABS((K160)*S160*1000*$B$2)</f>
        <v>7.0897397187232471E-9</v>
      </c>
      <c r="Z160" s="926">
        <f t="shared" ref="Z160" si="125">ABS((J160)*S160*1000*$B$2)</f>
        <v>1.9141163285381829E-8</v>
      </c>
      <c r="AA160" s="866"/>
      <c r="AB160" s="66" t="s">
        <v>393</v>
      </c>
      <c r="AC160" s="66" t="str">
        <f t="shared" si="121"/>
        <v>WH_Apt-D_BIOETH_X0</v>
      </c>
      <c r="AD160" s="83" t="str">
        <f t="shared" si="122"/>
        <v>Residential Water Heating Apartment-D_Ethanol to Residential_Existing 00</v>
      </c>
      <c r="AE160" s="66" t="s">
        <v>53</v>
      </c>
      <c r="AF160" s="88" t="s">
        <v>406</v>
      </c>
      <c r="AG160" s="66"/>
      <c r="AH160" s="66"/>
      <c r="AI160" s="840"/>
      <c r="AJ160" s="840"/>
      <c r="AK160" s="840"/>
      <c r="AL160" s="840"/>
      <c r="AM160" s="840"/>
      <c r="AN160" s="840"/>
      <c r="AO160" s="840"/>
    </row>
    <row r="161" spans="1:41">
      <c r="A161" s="972" t="s">
        <v>118</v>
      </c>
      <c r="B161" s="757" t="s">
        <v>582</v>
      </c>
      <c r="C161" s="757">
        <f>SUMIFS(INDEX(Table7[],,MATCH(C$112,Table7[#Headers],0)),Table7[MainWaterHeatingFuel],$B161,Table7[EnergyRating (group)],$A161)</f>
        <v>789700</v>
      </c>
      <c r="D161" s="757">
        <f>SUMIFS(INDEX(Table7[],,MATCH(D$112,Table7[#Headers],0)),Table7[MainWaterHeatingFuel],$B161,Table7[EnergyRating (group)],$A161)</f>
        <v>717910</v>
      </c>
      <c r="E161" s="757">
        <f>SUMIFS(INDEX(Table7[],,MATCH(E$112,Table7[#Headers],0)),Table7[MainWaterHeatingFuel],$B161,Table7[EnergyRating (group)],$A161)</f>
        <v>102539</v>
      </c>
      <c r="F161" s="757">
        <f>SUMIFS(INDEX(Table7[],,MATCH(F$112,Table7[#Headers],0)),Table7[MainWaterHeatingFuel],$B161,Table7[EnergyRating (group)],$A161)</f>
        <v>37978</v>
      </c>
      <c r="G161" s="757">
        <f>SUMIFS(INDEX(Table7[],,MATCH(G$112,Table7[#Headers],0)),Table7[MainWaterHeatingFuel],$B161,Table7[EnergyRating (group)],$A161)</f>
        <v>230</v>
      </c>
      <c r="H161" s="757">
        <f>SUMIFS(INDEX(Table7[],,MATCH(H$112,Table7[#Headers],0)),Table7[MainWaterHeatingFuel],$B161,Table7[EnergyRating (group)],$A161)</f>
        <v>14831</v>
      </c>
      <c r="I161" s="961"/>
      <c r="J161" s="978">
        <f t="shared" ref="J161:J165" si="126">C161+E161</f>
        <v>892239</v>
      </c>
      <c r="K161" s="979">
        <f t="shared" ref="K161:K166" si="127">D161+F161</f>
        <v>755888</v>
      </c>
      <c r="L161" s="840"/>
      <c r="M161" s="840"/>
      <c r="N161" s="914" t="str">
        <f>RSD_Commodities!$M$68&amp;"_"&amp;RIGHT(P161,LEN(P161)-3)&amp;"_"&amp;SETUP!$B$67</f>
        <v>WH_Apt-D_OILLPG_X0</v>
      </c>
      <c r="O161" s="914" t="str">
        <f>RSD_Commodities!$N$68&amp;"_"&amp;RSD_Commodities!D11&amp;"_"&amp;SETUP!$C$67</f>
        <v>Residential Water Heating Apartment-D_LPG to Residential_Existing 00</v>
      </c>
      <c r="P161" s="915" t="str">
        <f>RSD_Commodities!$C$11</f>
        <v>RSDOILLPG</v>
      </c>
      <c r="Q161" s="914" t="str">
        <f>RSD_Commodities!$M$68</f>
        <v>WH_Apt-D</v>
      </c>
      <c r="R161" s="984">
        <f t="shared" si="120"/>
        <v>7.4243842603053684E-3</v>
      </c>
      <c r="S161" s="914">
        <f>R161*DwellingStocks!$I$67/1000</f>
        <v>0.35257606148143855</v>
      </c>
      <c r="T161" s="915">
        <v>1</v>
      </c>
      <c r="U161" s="986">
        <f t="shared" ref="U161:U170" si="128">K161/J161</f>
        <v>0.84718108040558637</v>
      </c>
      <c r="V161" s="915">
        <v>20</v>
      </c>
      <c r="W161" s="914">
        <v>1</v>
      </c>
      <c r="X161" s="866"/>
      <c r="Y161" s="928">
        <f t="shared" ref="Y161:Y170" si="129">ABS((K161)*S161*1000*$B$2)</f>
        <v>1.0952384135386917E-4</v>
      </c>
      <c r="Z161" s="928">
        <f t="shared" ref="Z161:Z170" si="130">ABS((J161)*S161*1000*$B$2)</f>
        <v>1.2928032021375504E-4</v>
      </c>
      <c r="AA161" s="866"/>
      <c r="AB161" s="914" t="s">
        <v>393</v>
      </c>
      <c r="AC161" s="914" t="str">
        <f t="shared" ref="AC161:AC170" si="131">N161</f>
        <v>WH_Apt-D_OILLPG_X0</v>
      </c>
      <c r="AD161" s="915" t="str">
        <f t="shared" ref="AD161:AD170" si="132">O161</f>
        <v>Residential Water Heating Apartment-D_LPG to Residential_Existing 00</v>
      </c>
      <c r="AE161" s="914" t="s">
        <v>53</v>
      </c>
      <c r="AF161" s="916" t="s">
        <v>406</v>
      </c>
      <c r="AG161" s="914"/>
      <c r="AH161" s="914"/>
      <c r="AI161" s="840"/>
      <c r="AJ161" s="840"/>
      <c r="AK161" s="840"/>
      <c r="AL161" s="840"/>
      <c r="AM161" s="840"/>
      <c r="AN161" s="840"/>
      <c r="AO161" s="840"/>
    </row>
    <row r="162" spans="1:41">
      <c r="A162" s="973" t="s">
        <v>118</v>
      </c>
      <c r="B162" s="758" t="s">
        <v>228</v>
      </c>
      <c r="C162" s="758">
        <f>SUMIFS(INDEX(Table7[],,MATCH(C$112,Table7[#Headers],0)),Table7[MainWaterHeatingFuel],$B162,Table7[EnergyRating (group)],$A162)</f>
        <v>141851977</v>
      </c>
      <c r="D162" s="758">
        <f>SUMIFS(INDEX(Table7[],,MATCH(D$112,Table7[#Headers],0)),Table7[MainWaterHeatingFuel],$B162,Table7[EnergyRating (group)],$A162)</f>
        <v>52537769</v>
      </c>
      <c r="E162" s="759">
        <f>SUMIFS(INDEX(Table7[],,MATCH(E$112,Table7[#Headers],0)),Table7[MainWaterHeatingFuel],$B162,Table7[EnergyRating (group)],$A162)</f>
        <v>186390</v>
      </c>
      <c r="F162" s="759">
        <f>SUMIFS(INDEX(Table7[],,MATCH(F$112,Table7[#Headers],0)),Table7[MainWaterHeatingFuel],$B162,Table7[EnergyRating (group)],$A162)</f>
        <v>69033</v>
      </c>
      <c r="G162" s="758">
        <f>SUMIFS(INDEX(Table7[],,MATCH(G$112,Table7[#Headers],0)),Table7[MainWaterHeatingFuel],$B162,Table7[EnergyRating (group)],$A162)</f>
        <v>23308</v>
      </c>
      <c r="H162" s="758">
        <f>SUMIFS(INDEX(Table7[],,MATCH(H$112,Table7[#Headers],0)),Table7[MainWaterHeatingFuel],$B162,Table7[EnergyRating (group)],$A162)</f>
        <v>1503020</v>
      </c>
      <c r="I162" s="960"/>
      <c r="J162" s="980">
        <f t="shared" si="126"/>
        <v>142038367</v>
      </c>
      <c r="K162" s="981">
        <f t="shared" si="127"/>
        <v>52606802</v>
      </c>
      <c r="L162" s="840"/>
      <c r="M162" s="840"/>
      <c r="N162" s="66" t="str">
        <f>RSD_Commodities!$M$68&amp;"_"&amp;RIGHT(P162,LEN(P162)-3)&amp;"_"&amp;SETUP!$B$67</f>
        <v>WH_Apt-D_ELCD_X0</v>
      </c>
      <c r="O162" s="66" t="str">
        <f>RSD_Commodities!$N$68&amp;"_"&amp;RSD_Commodities!D27&amp;"_"&amp;SETUP!$C$67</f>
        <v>Residential Water Heating Apartment-D_Electricity to Residential_Existing 00</v>
      </c>
      <c r="P162" s="83" t="str">
        <f>RSD_Commodities!$C$27</f>
        <v>RSDELCD</v>
      </c>
      <c r="Q162" s="66" t="str">
        <f>RSD_Commodities!$M$68</f>
        <v>WH_Apt-D</v>
      </c>
      <c r="R162" s="985">
        <f t="shared" si="120"/>
        <v>0.7523806449530327</v>
      </c>
      <c r="S162" s="66">
        <f>R162*DwellingStocks!$I$67/1000</f>
        <v>35.729751482649426</v>
      </c>
      <c r="T162" s="83">
        <v>1</v>
      </c>
      <c r="U162" s="987">
        <f t="shared" si="128"/>
        <v>0.37037036619831037</v>
      </c>
      <c r="V162" s="83">
        <v>20</v>
      </c>
      <c r="W162" s="66">
        <v>1</v>
      </c>
      <c r="X162" s="866"/>
      <c r="Y162" s="926">
        <f t="shared" si="129"/>
        <v>0.77244984729737476</v>
      </c>
      <c r="Z162" s="926">
        <f t="shared" si="130"/>
        <v>2.0856146111964469</v>
      </c>
      <c r="AA162" s="866"/>
      <c r="AB162" s="66" t="s">
        <v>393</v>
      </c>
      <c r="AC162" s="66" t="str">
        <f t="shared" si="131"/>
        <v>WH_Apt-D_ELCD_X0</v>
      </c>
      <c r="AD162" s="83" t="str">
        <f t="shared" si="132"/>
        <v>Residential Water Heating Apartment-D_Electricity to Residential_Existing 00</v>
      </c>
      <c r="AE162" s="66" t="s">
        <v>53</v>
      </c>
      <c r="AF162" s="88" t="s">
        <v>406</v>
      </c>
      <c r="AG162" s="66"/>
      <c r="AH162" s="66"/>
      <c r="AI162" s="840"/>
      <c r="AJ162" s="840"/>
      <c r="AK162" s="840"/>
      <c r="AL162" s="840"/>
      <c r="AM162" s="840"/>
      <c r="AN162" s="840"/>
      <c r="AO162" s="840"/>
    </row>
    <row r="163" spans="1:41">
      <c r="A163" s="972" t="s">
        <v>118</v>
      </c>
      <c r="B163" s="757" t="s">
        <v>583</v>
      </c>
      <c r="C163" s="757">
        <f>SUMIFS(INDEX(Table7[],,MATCH(C$112,Table7[#Headers],0)),Table7[MainWaterHeatingFuel],$B163,Table7[EnergyRating (group)],$A163)</f>
        <v>4487374</v>
      </c>
      <c r="D163" s="757">
        <f>SUMIFS(INDEX(Table7[],,MATCH(D$112,Table7[#Headers],0)),Table7[MainWaterHeatingFuel],$B163,Table7[EnergyRating (group)],$A163)</f>
        <v>4079431</v>
      </c>
      <c r="E163" s="760">
        <f>SUMIFS(INDEX(Table7[],,MATCH(E$112,Table7[#Headers],0)),Table7[MainWaterHeatingFuel],$B163,Table7[EnergyRating (group)],$A163)</f>
        <v>1365577</v>
      </c>
      <c r="F163" s="760">
        <f>SUMIFS(INDEX(Table7[],,MATCH(F$112,Table7[#Headers],0)),Table7[MainWaterHeatingFuel],$B163,Table7[EnergyRating (group)],$A163)</f>
        <v>505769</v>
      </c>
      <c r="G163" s="757">
        <f>SUMIFS(INDEX(Table7[],,MATCH(G$112,Table7[#Headers],0)),Table7[MainWaterHeatingFuel],$B163,Table7[EnergyRating (group)],$A163)</f>
        <v>991</v>
      </c>
      <c r="H163" s="757">
        <f>SUMIFS(INDEX(Table7[],,MATCH(H$112,Table7[#Headers],0)),Table7[MainWaterHeatingFuel],$B163,Table7[EnergyRating (group)],$A163)</f>
        <v>95728</v>
      </c>
      <c r="I163" s="959"/>
      <c r="J163" s="978">
        <f t="shared" si="126"/>
        <v>5852951</v>
      </c>
      <c r="K163" s="979">
        <f t="shared" si="127"/>
        <v>4585200</v>
      </c>
      <c r="L163" s="840"/>
      <c r="M163" s="840"/>
      <c r="N163" s="914" t="str">
        <f>RSD_Commodities!$M$68&amp;"_"&amp;RIGHT(P163,LEN(P163)-3)&amp;"_"&amp;SETUP!$B$67</f>
        <v>WH_Apt-D_OILKER_X0</v>
      </c>
      <c r="O163" s="914" t="str">
        <f>RSD_Commodities!$N$68&amp;"_"&amp;RSD_Commodities!D13&amp;"_"&amp;SETUP!$C$67</f>
        <v>Residential Water Heating Apartment-D_Kerosene to Residential_Existing 00</v>
      </c>
      <c r="P163" s="915" t="str">
        <f>RSD_Commodities!$C$13</f>
        <v>RSDOILKER</v>
      </c>
      <c r="Q163" s="914" t="str">
        <f>RSD_Commodities!$M$68</f>
        <v>WH_Apt-D</v>
      </c>
      <c r="R163" s="984">
        <f t="shared" si="120"/>
        <v>3.1989412182446171E-2</v>
      </c>
      <c r="S163" s="914">
        <f>R163*DwellingStocks!$I$67/1000</f>
        <v>1.5191429431656764</v>
      </c>
      <c r="T163" s="915">
        <v>1</v>
      </c>
      <c r="U163" s="986">
        <f t="shared" si="128"/>
        <v>0.78339969017338429</v>
      </c>
      <c r="V163" s="915">
        <v>20</v>
      </c>
      <c r="W163" s="914">
        <v>1</v>
      </c>
      <c r="X163" s="866"/>
      <c r="Y163" s="928">
        <f t="shared" si="129"/>
        <v>2.8625647491794222E-3</v>
      </c>
      <c r="Z163" s="928">
        <f t="shared" si="130"/>
        <v>3.6540284417854074E-3</v>
      </c>
      <c r="AA163" s="866"/>
      <c r="AB163" s="914" t="s">
        <v>393</v>
      </c>
      <c r="AC163" s="914" t="str">
        <f t="shared" si="131"/>
        <v>WH_Apt-D_OILKER_X0</v>
      </c>
      <c r="AD163" s="915" t="str">
        <f t="shared" si="132"/>
        <v>Residential Water Heating Apartment-D_Kerosene to Residential_Existing 00</v>
      </c>
      <c r="AE163" s="914" t="s">
        <v>53</v>
      </c>
      <c r="AF163" s="916" t="s">
        <v>406</v>
      </c>
      <c r="AG163" s="914"/>
      <c r="AH163" s="914"/>
      <c r="AI163" s="840"/>
      <c r="AJ163" s="840"/>
      <c r="AK163" s="840"/>
      <c r="AL163" s="840"/>
      <c r="AM163" s="840"/>
      <c r="AN163" s="840"/>
      <c r="AO163" s="840"/>
    </row>
    <row r="164" spans="1:41">
      <c r="A164" s="973" t="s">
        <v>118</v>
      </c>
      <c r="B164" s="758" t="s">
        <v>584</v>
      </c>
      <c r="C164" s="758">
        <f>SUMIFS(INDEX(Table7[],,MATCH(C$112,Table7[#Headers],0)),Table7[MainWaterHeatingFuel],$B164,Table7[EnergyRating (group)],$A164)</f>
        <v>22742503</v>
      </c>
      <c r="D164" s="758">
        <f>SUMIFS(INDEX(Table7[],,MATCH(D$112,Table7[#Headers],0)),Table7[MainWaterHeatingFuel],$B164,Table7[EnergyRating (group)],$A164)</f>
        <v>20675003</v>
      </c>
      <c r="E164" s="758">
        <f>SUMIFS(INDEX(Table7[],,MATCH(E$112,Table7[#Headers],0)),Table7[MainWaterHeatingFuel],$B164,Table7[EnergyRating (group)],$A164)</f>
        <v>4631469</v>
      </c>
      <c r="F164" s="758">
        <f>SUMIFS(INDEX(Table7[],,MATCH(F$112,Table7[#Headers],0)),Table7[MainWaterHeatingFuel],$B164,Table7[EnergyRating (group)],$A164)</f>
        <v>1715359</v>
      </c>
      <c r="G164" s="758">
        <f>SUMIFS(INDEX(Table7[],,MATCH(G$112,Table7[#Headers],0)),Table7[MainWaterHeatingFuel],$B164,Table7[EnergyRating (group)],$A164)</f>
        <v>5680</v>
      </c>
      <c r="H164" s="758">
        <f>SUMIFS(INDEX(Table7[],,MATCH(H$112,Table7[#Headers],0)),Table7[MainWaterHeatingFuel],$B164,Table7[EnergyRating (group)],$A164)</f>
        <v>361176</v>
      </c>
      <c r="I164" s="960"/>
      <c r="J164" s="980">
        <f t="shared" si="126"/>
        <v>27373972</v>
      </c>
      <c r="K164" s="981">
        <f t="shared" si="127"/>
        <v>22390362</v>
      </c>
      <c r="L164" s="840"/>
      <c r="M164" s="840"/>
      <c r="N164" s="66" t="str">
        <f>RSD_Commodities!$M$68&amp;"_"&amp;RIGHT(P164,LEN(P164)-3)&amp;"_"&amp;SETUP!$B$67</f>
        <v>WH_Apt-D_GASNAT_X0</v>
      </c>
      <c r="O164" s="66" t="str">
        <f>RSD_Commodities!$N$68&amp;"_"&amp;RSD_Commodities!D17&amp;"_"&amp;SETUP!$C$67</f>
        <v>Residential Water Heating Apartment-D_Natural Gas to Residential_Existing 00</v>
      </c>
      <c r="P164" s="83" t="str">
        <f>RSD_Commodities!$C$17</f>
        <v>RSDGASNAT</v>
      </c>
      <c r="Q164" s="66" t="str">
        <f>RSD_Commodities!$M$68</f>
        <v>WH_Apt-D</v>
      </c>
      <c r="R164" s="985">
        <f t="shared" si="120"/>
        <v>0.18335001129797604</v>
      </c>
      <c r="S164" s="66">
        <f>R164*DwellingStocks!$I$67/1000</f>
        <v>8.7070957791937857</v>
      </c>
      <c r="T164" s="83">
        <v>1</v>
      </c>
      <c r="U164" s="987">
        <f t="shared" si="128"/>
        <v>0.81794348295526864</v>
      </c>
      <c r="V164" s="83">
        <v>20</v>
      </c>
      <c r="W164" s="66">
        <v>1</v>
      </c>
      <c r="X164" s="866"/>
      <c r="Y164" s="926">
        <f t="shared" si="129"/>
        <v>8.0118504026638754E-2</v>
      </c>
      <c r="Z164" s="926">
        <f t="shared" si="130"/>
        <v>9.7951149066151613E-2</v>
      </c>
      <c r="AA164" s="866"/>
      <c r="AB164" s="66" t="s">
        <v>393</v>
      </c>
      <c r="AC164" s="66" t="str">
        <f t="shared" si="131"/>
        <v>WH_Apt-D_GASNAT_X0</v>
      </c>
      <c r="AD164" s="83" t="str">
        <f t="shared" si="132"/>
        <v>Residential Water Heating Apartment-D_Natural Gas to Residential_Existing 00</v>
      </c>
      <c r="AE164" s="66" t="s">
        <v>53</v>
      </c>
      <c r="AF164" s="88" t="s">
        <v>406</v>
      </c>
      <c r="AG164" s="66"/>
      <c r="AH164" s="66"/>
      <c r="AI164" s="840"/>
      <c r="AJ164" s="840"/>
      <c r="AK164" s="840"/>
      <c r="AL164" s="840"/>
      <c r="AM164" s="840"/>
      <c r="AN164" s="840"/>
      <c r="AO164" s="840"/>
    </row>
    <row r="165" spans="1:41">
      <c r="A165" s="972" t="s">
        <v>118</v>
      </c>
      <c r="B165" s="757" t="s">
        <v>585</v>
      </c>
      <c r="C165" s="757">
        <f>SUMIFS(INDEX(Table7[],,MATCH(C$112,Table7[#Headers],0)),Table7[MainWaterHeatingFuel],$B165,Table7[EnergyRating (group)],$A165)</f>
        <v>7295</v>
      </c>
      <c r="D165" s="757">
        <f>SUMIFS(INDEX(Table7[],,MATCH(D$112,Table7[#Headers],0)),Table7[MainWaterHeatingFuel],$B165,Table7[EnergyRating (group)],$A165)</f>
        <v>6632</v>
      </c>
      <c r="E165" s="760">
        <f>SUMIFS(INDEX(Table7[],,MATCH(E$112,Table7[#Headers],0)),Table7[MainWaterHeatingFuel],$B165,Table7[EnergyRating (group)],$A165)</f>
        <v>5810</v>
      </c>
      <c r="F165" s="760">
        <f>SUMIFS(INDEX(Table7[],,MATCH(F$112,Table7[#Headers],0)),Table7[MainWaterHeatingFuel],$B165,Table7[EnergyRating (group)],$A165)</f>
        <v>2152</v>
      </c>
      <c r="G165" s="757">
        <f>SUMIFS(INDEX(Table7[],,MATCH(G$112,Table7[#Headers],0)),Table7[MainWaterHeatingFuel],$B165,Table7[EnergyRating (group)],$A165)</f>
        <v>2</v>
      </c>
      <c r="H165" s="757">
        <f>SUMIFS(INDEX(Table7[],,MATCH(H$112,Table7[#Headers],0)),Table7[MainWaterHeatingFuel],$B165,Table7[EnergyRating (group)],$A165)</f>
        <v>283</v>
      </c>
      <c r="I165" s="959"/>
      <c r="J165" s="978">
        <f t="shared" si="126"/>
        <v>13105</v>
      </c>
      <c r="K165" s="979">
        <f t="shared" si="127"/>
        <v>8784</v>
      </c>
      <c r="L165" s="840"/>
      <c r="M165" s="840"/>
      <c r="N165" s="914" t="str">
        <f>RSD_Commodities!$M$68&amp;"_"&amp;RIGHT(P165,LEN(P165)-3)&amp;"_"&amp;SETUP!$B$67</f>
        <v>WH_Apt-D_BIOWOO_X0</v>
      </c>
      <c r="O165" s="914" t="str">
        <f>RSD_Commodities!$N$68&amp;"_"&amp;RSD_Commodities!D19&amp;"_"&amp;SETUP!$C$67</f>
        <v>Residential Water Heating Apartment-D_Biomass &amp; Renewable Waste to Residential_Existing 00</v>
      </c>
      <c r="P165" s="915" t="str">
        <f>RSD_Commodities!$C$19</f>
        <v>RSDBIOWOO</v>
      </c>
      <c r="Q165" s="914" t="str">
        <f>RSD_Commodities!$M$68</f>
        <v>WH_Apt-D</v>
      </c>
      <c r="R165" s="984">
        <f t="shared" si="120"/>
        <v>6.4559863133090164E-5</v>
      </c>
      <c r="S165" s="914">
        <f>R165*DwellingStocks!$I$67/1000</f>
        <v>3.0658787954907702E-3</v>
      </c>
      <c r="T165" s="915">
        <v>1</v>
      </c>
      <c r="U165" s="986">
        <f t="shared" si="128"/>
        <v>0.67027851964898899</v>
      </c>
      <c r="V165" s="915">
        <v>20</v>
      </c>
      <c r="W165" s="914">
        <v>1</v>
      </c>
      <c r="X165" s="866"/>
      <c r="Y165" s="928">
        <f t="shared" si="129"/>
        <v>1.1067402468325039E-8</v>
      </c>
      <c r="Z165" s="928">
        <f t="shared" si="130"/>
        <v>1.6511647239002693E-8</v>
      </c>
      <c r="AA165" s="866"/>
      <c r="AB165" s="914" t="s">
        <v>393</v>
      </c>
      <c r="AC165" s="914" t="str">
        <f t="shared" si="131"/>
        <v>WH_Apt-D_BIOWOO_X0</v>
      </c>
      <c r="AD165" s="915" t="str">
        <f t="shared" si="132"/>
        <v>Residential Water Heating Apartment-D_Biomass &amp; Renewable Waste to Residential_Existing 00</v>
      </c>
      <c r="AE165" s="914" t="s">
        <v>53</v>
      </c>
      <c r="AF165" s="916" t="s">
        <v>406</v>
      </c>
      <c r="AG165" s="914"/>
      <c r="AH165" s="914"/>
      <c r="AI165" s="840"/>
      <c r="AJ165" s="840"/>
      <c r="AK165" s="840"/>
      <c r="AL165" s="840"/>
      <c r="AM165" s="840"/>
      <c r="AN165" s="840"/>
      <c r="AO165" s="840"/>
    </row>
    <row r="166" spans="1:41">
      <c r="A166" s="973" t="s">
        <v>118</v>
      </c>
      <c r="B166" s="758" t="s">
        <v>587</v>
      </c>
      <c r="C166" s="758">
        <f>SUMIFS(INDEX(Table7[],,MATCH(C112,Table7[#Headers],0)),Table7[MainWaterHeatingFuel],"",Table7[EnergyRating (group)],$A166)</f>
        <v>0</v>
      </c>
      <c r="D166" s="758">
        <f>SUMIFS(INDEX(Table7[],,MATCH(D112,Table7[#Headers],0)),Table7[MainWaterHeatingFuel],"",Table7[EnergyRating (group)],$A166)</f>
        <v>0</v>
      </c>
      <c r="E166" s="758">
        <f>SUMIFS(INDEX(Table7[],,MATCH(E112,Table7[#Headers],0)),Table7[MainWaterHeatingFuel],"",Table7[EnergyRating (group)],$A166)</f>
        <v>178953</v>
      </c>
      <c r="F166" s="758">
        <f>SUMIFS(INDEX(Table7[],,MATCH(F112,Table7[#Headers],0)),Table7[MainWaterHeatingFuel],"",Table7[EnergyRating (group)],$A166)</f>
        <v>66279</v>
      </c>
      <c r="G166" s="758">
        <f>SUMIFS(INDEX(Table7[],,MATCH(G112,Table7[#Headers],0)),Table7[MainWaterHeatingFuel],"",Table7[EnergyRating (group)],$A166)</f>
        <v>596</v>
      </c>
      <c r="H166" s="758">
        <f>SUMIFS(INDEX(Table7[],,MATCH(H112,Table7[#Headers],0)),Table7[MainWaterHeatingFuel],"",Table7[EnergyRating (group)],$A166)</f>
        <v>31349</v>
      </c>
      <c r="I166" s="960"/>
      <c r="J166" s="980">
        <f>C166+E166</f>
        <v>178953</v>
      </c>
      <c r="K166" s="981">
        <f t="shared" si="127"/>
        <v>66279</v>
      </c>
      <c r="L166" s="840"/>
      <c r="M166" s="840"/>
      <c r="N166" s="66" t="str">
        <f>RSD_Commodities!$M$68&amp;"_"&amp;RIGHT(P166,LEN(P166)-3)&amp;"_"&amp;SETUP!$B$67</f>
        <v>WH_Apt-D_HET_X0</v>
      </c>
      <c r="O166" s="66" t="str">
        <f>RSD_Commodities!$N$68&amp;"_"&amp;RSD_Commodities!D28&amp;"_"&amp;SETUP!$C$67</f>
        <v>Residential Water Heating Apartment-D_Heat to Residential_Existing 00</v>
      </c>
      <c r="P166" s="83" t="str">
        <f>RSD_Commodities!$C$28</f>
        <v>RSDHET</v>
      </c>
      <c r="Q166" s="66" t="str">
        <f>RSD_Commodities!$M$68</f>
        <v>WH_Apt-D</v>
      </c>
      <c r="R166" s="985">
        <f t="shared" si="120"/>
        <v>1.9238839213660867E-2</v>
      </c>
      <c r="S166" s="66">
        <f>R166*DwellingStocks!$I$67/1000</f>
        <v>0.91363188105624937</v>
      </c>
      <c r="T166" s="83">
        <v>1</v>
      </c>
      <c r="U166" s="987">
        <f t="shared" si="128"/>
        <v>0.37037099126586309</v>
      </c>
      <c r="V166" s="83">
        <v>20</v>
      </c>
      <c r="W166" s="66">
        <v>1</v>
      </c>
      <c r="X166" s="866"/>
      <c r="Y166" s="926">
        <f t="shared" si="129"/>
        <v>2.4885455114189245E-5</v>
      </c>
      <c r="Z166" s="926">
        <f t="shared" si="130"/>
        <v>6.7190616168763973E-5</v>
      </c>
      <c r="AA166" s="866"/>
      <c r="AB166" s="66" t="s">
        <v>393</v>
      </c>
      <c r="AC166" s="66" t="str">
        <f t="shared" si="131"/>
        <v>WH_Apt-D_HET_X0</v>
      </c>
      <c r="AD166" s="83" t="str">
        <f t="shared" si="132"/>
        <v>Residential Water Heating Apartment-D_Heat to Residential_Existing 00</v>
      </c>
      <c r="AE166" s="66" t="s">
        <v>53</v>
      </c>
      <c r="AF166" s="88" t="s">
        <v>406</v>
      </c>
      <c r="AG166" s="66"/>
      <c r="AH166" s="66"/>
      <c r="AI166" s="840"/>
      <c r="AJ166" s="840"/>
      <c r="AK166" s="840"/>
      <c r="AL166" s="840"/>
      <c r="AM166" s="840"/>
      <c r="AN166" s="840"/>
      <c r="AO166" s="840"/>
    </row>
    <row r="167" spans="1:41">
      <c r="A167" s="972" t="s">
        <v>118</v>
      </c>
      <c r="B167" s="757" t="s">
        <v>664</v>
      </c>
      <c r="C167" s="757">
        <f>SUMIFS(INDEX(Table7[],,MATCH(C$112,Table7[#Headers],0)),Table7[MainWaterHeatingFuel],$B167,Table7[EnergyRating (group)],$A167)</f>
        <v>35327</v>
      </c>
      <c r="D167" s="757">
        <f>SUMIFS(INDEX(Table7[],,MATCH(D$112,Table7[#Headers],0)),Table7[MainWaterHeatingFuel],$B167,Table7[EnergyRating (group)],$A167)</f>
        <v>32115</v>
      </c>
      <c r="E167" s="757">
        <f>SUMIFS(INDEX(Table7[],,MATCH(E$112,Table7[#Headers],0)),Table7[MainWaterHeatingFuel],$B167,Table7[EnergyRating (group)],$A167)</f>
        <v>9091</v>
      </c>
      <c r="F167" s="757">
        <f>SUMIFS(INDEX(Table7[],,MATCH(F$112,Table7[#Headers],0)),Table7[MainWaterHeatingFuel],$B167,Table7[EnergyRating (group)],$A167)</f>
        <v>3367</v>
      </c>
      <c r="G167" s="757">
        <f>SUMIFS(INDEX(Table7[],,MATCH(G$112,Table7[#Headers],0)),Table7[MainWaterHeatingFuel],$B167,Table7[EnergyRating (group)],$A167)</f>
        <v>12</v>
      </c>
      <c r="H167" s="757">
        <f>SUMIFS(INDEX(Table7[],,MATCH(H$112,Table7[#Headers],0)),Table7[MainWaterHeatingFuel],$B167,Table7[EnergyRating (group)],$A167)</f>
        <v>785</v>
      </c>
      <c r="I167" s="961"/>
      <c r="J167" s="978">
        <f>C167+E167</f>
        <v>44418</v>
      </c>
      <c r="K167" s="979">
        <f>D167+F167</f>
        <v>35482</v>
      </c>
      <c r="L167" s="840"/>
      <c r="M167" s="840"/>
      <c r="N167" s="914" t="str">
        <f>RSD_Commodities!$M$68&amp;"_"&amp;RIGHT(P167,LEN(P167)-3)&amp;"_"&amp;SETUP!$B$68</f>
        <v>WH_Apt-D_OILLPG_X1</v>
      </c>
      <c r="O167" s="914" t="str">
        <f>RSD_Commodities!$N$68&amp;"_"&amp;RSD_Commodities!D11&amp;"_"&amp;SETUP!$C$68</f>
        <v>Residential Water Heating Apartment-D_LPG to Residential_Existing 01</v>
      </c>
      <c r="P167" s="930" t="str">
        <f>RSD_Commodities!$C$11</f>
        <v>RSDOILLPG</v>
      </c>
      <c r="Q167" s="914" t="str">
        <f>RSD_Commodities!$M$68</f>
        <v>WH_Apt-D</v>
      </c>
      <c r="R167" s="984">
        <f t="shared" si="120"/>
        <v>3.8735917879854096E-4</v>
      </c>
      <c r="S167" s="914">
        <f>R167*DwellingStocks!$I$67/1000</f>
        <v>1.8395272772944619E-2</v>
      </c>
      <c r="T167" s="915">
        <v>1</v>
      </c>
      <c r="U167" s="986">
        <f t="shared" si="128"/>
        <v>0.79882029807735599</v>
      </c>
      <c r="V167" s="930">
        <v>20</v>
      </c>
      <c r="W167" s="914">
        <v>1</v>
      </c>
      <c r="X167" s="866"/>
      <c r="Y167" s="928">
        <f t="shared" si="129"/>
        <v>2.6823331583409089E-7</v>
      </c>
      <c r="Z167" s="928">
        <f t="shared" si="130"/>
        <v>3.3578680521725518E-7</v>
      </c>
      <c r="AA167" s="866"/>
      <c r="AB167" s="914" t="s">
        <v>393</v>
      </c>
      <c r="AC167" s="914" t="str">
        <f t="shared" si="131"/>
        <v>WH_Apt-D_OILLPG_X1</v>
      </c>
      <c r="AD167" s="915" t="str">
        <f t="shared" si="132"/>
        <v>Residential Water Heating Apartment-D_LPG to Residential_Existing 01</v>
      </c>
      <c r="AE167" s="914" t="s">
        <v>53</v>
      </c>
      <c r="AF167" s="916" t="s">
        <v>406</v>
      </c>
      <c r="AG167" s="914"/>
      <c r="AH167" s="914"/>
      <c r="AI167" s="840"/>
      <c r="AJ167" s="840"/>
      <c r="AK167" s="840"/>
      <c r="AL167" s="840"/>
      <c r="AM167" s="840"/>
      <c r="AN167" s="840"/>
      <c r="AO167" s="840"/>
    </row>
    <row r="168" spans="1:41">
      <c r="A168" s="973" t="s">
        <v>118</v>
      </c>
      <c r="B168" s="758" t="s">
        <v>665</v>
      </c>
      <c r="C168" s="758">
        <f>SUMIFS(INDEX(Table7[],,MATCH(C$112,Table7[#Headers],0)),Table7[MainWaterHeatingFuel],$B168,Table7[EnergyRating (group)],$A168)</f>
        <v>422009</v>
      </c>
      <c r="D168" s="758">
        <f>SUMIFS(INDEX(Table7[],,MATCH(D$112,Table7[#Headers],0)),Table7[MainWaterHeatingFuel],$B168,Table7[EnergyRating (group)],$A168)</f>
        <v>383644</v>
      </c>
      <c r="E168" s="759">
        <f>SUMIFS(INDEX(Table7[],,MATCH(E$112,Table7[#Headers],0)),Table7[MainWaterHeatingFuel],$B168,Table7[EnergyRating (group)],$A168)</f>
        <v>183348</v>
      </c>
      <c r="F168" s="759">
        <f>SUMIFS(INDEX(Table7[],,MATCH(F$112,Table7[#Headers],0)),Table7[MainWaterHeatingFuel],$B168,Table7[EnergyRating (group)],$A168)</f>
        <v>67907</v>
      </c>
      <c r="G168" s="758">
        <f>SUMIFS(INDEX(Table7[],,MATCH(G$112,Table7[#Headers],0)),Table7[MainWaterHeatingFuel],$B168,Table7[EnergyRating (group)],$A168)</f>
        <v>99</v>
      </c>
      <c r="H168" s="758">
        <f>SUMIFS(INDEX(Table7[],,MATCH(H$112,Table7[#Headers],0)),Table7[MainWaterHeatingFuel],$B168,Table7[EnergyRating (group)],$A168)</f>
        <v>6812</v>
      </c>
      <c r="I168" s="960"/>
      <c r="J168" s="980">
        <f t="shared" ref="J168:J170" si="133">C168+E168</f>
        <v>605357</v>
      </c>
      <c r="K168" s="981">
        <f t="shared" ref="K168:K170" si="134">D168+F168</f>
        <v>451551</v>
      </c>
      <c r="L168" s="840"/>
      <c r="M168" s="840"/>
      <c r="N168" s="66" t="str">
        <f>RSD_Commodities!$M$68&amp;"_"&amp;RSD_Commodities!$C$26&amp;"_"&amp;SETUP!$B$67</f>
        <v>WH_Apt-D_RSDSMF_X0</v>
      </c>
      <c r="O168" s="66" t="str">
        <f>RSD_Commodities!$N$68&amp;"_"&amp;RSD_Commodities!$D$26&amp;"_"&amp;SETUP!$C$67</f>
        <v>Residential Water Heating Apartment-D_Solid Multi-Fuel_Existing 00</v>
      </c>
      <c r="P168" s="83" t="str">
        <f>RSD_Commodities!$C$6&amp;","&amp;RSD_Commodities!$C$7&amp;","&amp;RSD_Commodities!$C$9&amp;","&amp;RSD_Commodities!$C$10&amp;","&amp;RSD_Commodities!$C$19</f>
        <v>RSDCOABIT,RSDCOAHAR,RSDCOALIG,RSDPEA,RSDBIOWOO</v>
      </c>
      <c r="Q168" s="66" t="str">
        <f>RSD_Commodities!$M$68</f>
        <v>WH_Apt-D</v>
      </c>
      <c r="R168" s="985">
        <f t="shared" si="120"/>
        <v>3.1957132250879628E-3</v>
      </c>
      <c r="S168" s="66">
        <f>R168*DwellingStocks!$I$67/1000</f>
        <v>0.1517610003767931</v>
      </c>
      <c r="T168" s="83">
        <v>1</v>
      </c>
      <c r="U168" s="987">
        <f t="shared" si="128"/>
        <v>0.74592513178174202</v>
      </c>
      <c r="V168" s="83">
        <v>20</v>
      </c>
      <c r="W168" s="66">
        <v>1</v>
      </c>
      <c r="X168" s="840"/>
      <c r="Y168" s="926">
        <f t="shared" si="129"/>
        <v>2.8162122526496428E-5</v>
      </c>
      <c r="Z168" s="926">
        <f t="shared" si="130"/>
        <v>3.7754623522641516E-5</v>
      </c>
      <c r="AA168" s="840"/>
      <c r="AB168" s="66" t="s">
        <v>393</v>
      </c>
      <c r="AC168" s="66" t="str">
        <f t="shared" si="131"/>
        <v>WH_Apt-D_RSDSMF_X0</v>
      </c>
      <c r="AD168" s="83" t="str">
        <f t="shared" si="132"/>
        <v>Residential Water Heating Apartment-D_Solid Multi-Fuel_Existing 00</v>
      </c>
      <c r="AE168" s="66" t="s">
        <v>53</v>
      </c>
      <c r="AF168" s="88" t="s">
        <v>406</v>
      </c>
      <c r="AG168" s="66"/>
      <c r="AH168" s="66"/>
      <c r="AI168" s="840"/>
      <c r="AJ168" s="840"/>
      <c r="AK168" s="840"/>
      <c r="AL168" s="840"/>
      <c r="AM168" s="840"/>
      <c r="AN168" s="840"/>
      <c r="AO168" s="840"/>
    </row>
    <row r="169" spans="1:41">
      <c r="A169" s="972" t="s">
        <v>118</v>
      </c>
      <c r="B169" s="757" t="s">
        <v>669</v>
      </c>
      <c r="C169" s="757">
        <f>SUMIFS(INDEX(Table7[],,MATCH(C$112,Table7[#Headers],0)),Table7[MainWaterHeatingFuel],$B169,Table7[EnergyRating (group)],$A169)</f>
        <v>241168</v>
      </c>
      <c r="D169" s="757">
        <f>SUMIFS(INDEX(Table7[],,MATCH(D$112,Table7[#Headers],0)),Table7[MainWaterHeatingFuel],$B169,Table7[EnergyRating (group)],$A169)</f>
        <v>200974</v>
      </c>
      <c r="E169" s="760">
        <f>SUMIFS(INDEX(Table7[],,MATCH(E$112,Table7[#Headers],0)),Table7[MainWaterHeatingFuel],$B169,Table7[EnergyRating (group)],$A169)</f>
        <v>92336</v>
      </c>
      <c r="F169" s="760">
        <f>SUMIFS(INDEX(Table7[],,MATCH(F$112,Table7[#Headers],0)),Table7[MainWaterHeatingFuel],$B169,Table7[EnergyRating (group)],$A169)</f>
        <v>34198</v>
      </c>
      <c r="G169" s="757">
        <f>SUMIFS(INDEX(Table7[],,MATCH(G$112,Table7[#Headers],0)),Table7[MainWaterHeatingFuel],$B169,Table7[EnergyRating (group)],$A169)</f>
        <v>50</v>
      </c>
      <c r="H169" s="757">
        <f>SUMIFS(INDEX(Table7[],,MATCH(H$112,Table7[#Headers],0)),Table7[MainWaterHeatingFuel],$B169,Table7[EnergyRating (group)],$A169)</f>
        <v>3053</v>
      </c>
      <c r="I169" s="959"/>
      <c r="J169" s="978">
        <f t="shared" si="133"/>
        <v>333504</v>
      </c>
      <c r="K169" s="979">
        <f t="shared" si="134"/>
        <v>235172</v>
      </c>
      <c r="L169" s="840"/>
      <c r="M169" s="840"/>
      <c r="N169" s="914" t="str">
        <f>RSD_Commodities!$M$68&amp;"_"&amp;RIGHT(P169,LEN(P169)-3)&amp;"_"&amp;SETUP!$B$67</f>
        <v>WH_Apt-D_COAHAR_X0</v>
      </c>
      <c r="O169" s="914" t="str">
        <f>RSD_Commodities!$N$68&amp;"_"&amp;RSD_Commodities!D7&amp;"_"&amp;SETUP!$C$67</f>
        <v>Residential Water Heating Apartment-D_Anthracite + Manufactured Ovoids to Residential_Existing 00</v>
      </c>
      <c r="P169" s="915" t="str">
        <f>RSD_Commodities!$C$7</f>
        <v>RSDCOAHAR</v>
      </c>
      <c r="Q169" s="914" t="str">
        <f>RSD_Commodities!$M$68</f>
        <v>WH_Apt-D</v>
      </c>
      <c r="R169" s="984">
        <f t="shared" si="120"/>
        <v>1.6139965783272538E-3</v>
      </c>
      <c r="S169" s="914">
        <f>R169*DwellingStocks!$I$67/1000</f>
        <v>7.664696988726924E-2</v>
      </c>
      <c r="T169" s="915">
        <v>1</v>
      </c>
      <c r="U169" s="986">
        <f t="shared" si="128"/>
        <v>0.70515496066014205</v>
      </c>
      <c r="V169" s="915">
        <v>20</v>
      </c>
      <c r="W169" s="914">
        <v>1</v>
      </c>
      <c r="X169" s="866"/>
      <c r="Y169" s="928">
        <f t="shared" si="129"/>
        <v>7.4076251516420064E-6</v>
      </c>
      <c r="Z169" s="928">
        <f t="shared" si="130"/>
        <v>1.0504960703541306E-5</v>
      </c>
      <c r="AA169" s="866"/>
      <c r="AB169" s="914" t="s">
        <v>393</v>
      </c>
      <c r="AC169" s="914" t="str">
        <f t="shared" si="131"/>
        <v>WH_Apt-D_COAHAR_X0</v>
      </c>
      <c r="AD169" s="915" t="str">
        <f t="shared" si="132"/>
        <v>Residential Water Heating Apartment-D_Anthracite + Manufactured Ovoids to Residential_Existing 00</v>
      </c>
      <c r="AE169" s="914" t="s">
        <v>53</v>
      </c>
      <c r="AF169" s="916" t="s">
        <v>406</v>
      </c>
      <c r="AG169" s="914"/>
      <c r="AH169" s="914"/>
      <c r="AI169" s="840"/>
      <c r="AJ169" s="840"/>
      <c r="AK169" s="840"/>
      <c r="AL169" s="840"/>
      <c r="AM169" s="840"/>
      <c r="AN169" s="840"/>
      <c r="AO169" s="840"/>
    </row>
    <row r="170" spans="1:41">
      <c r="A170" s="973" t="s">
        <v>118</v>
      </c>
      <c r="B170" s="758" t="s">
        <v>666</v>
      </c>
      <c r="C170" s="758">
        <f>SUMIFS(INDEX(Table7[],,MATCH(C$112,Table7[#Headers],0)),Table7[MainWaterHeatingFuel],$B170,Table7[EnergyRating (group)],$A170)</f>
        <v>30958</v>
      </c>
      <c r="D170" s="758">
        <f>SUMIFS(INDEX(Table7[],,MATCH(D$112,Table7[#Headers],0)),Table7[MainWaterHeatingFuel],$B170,Table7[EnergyRating (group)],$A170)</f>
        <v>28144</v>
      </c>
      <c r="E170" s="758">
        <f>SUMIFS(INDEX(Table7[],,MATCH(E$112,Table7[#Headers],0)),Table7[MainWaterHeatingFuel],$B170,Table7[EnergyRating (group)],$A170)</f>
        <v>4693</v>
      </c>
      <c r="F170" s="758">
        <f>SUMIFS(INDEX(Table7[],,MATCH(F$112,Table7[#Headers],0)),Table7[MainWaterHeatingFuel],$B170,Table7[EnergyRating (group)],$A170)</f>
        <v>1738</v>
      </c>
      <c r="G170" s="758">
        <f>SUMIFS(INDEX(Table7[],,MATCH(G$112,Table7[#Headers],0)),Table7[MainWaterHeatingFuel],$B170,Table7[EnergyRating (group)],$A170)</f>
        <v>5</v>
      </c>
      <c r="H170" s="758">
        <f>SUMIFS(INDEX(Table7[],,MATCH(H$112,Table7[#Headers],0)),Table7[MainWaterHeatingFuel],$B170,Table7[EnergyRating (group)],$A170)</f>
        <v>425</v>
      </c>
      <c r="I170" s="960"/>
      <c r="J170" s="980">
        <f t="shared" si="133"/>
        <v>35651</v>
      </c>
      <c r="K170" s="981">
        <f t="shared" si="134"/>
        <v>29882</v>
      </c>
      <c r="L170" s="840"/>
      <c r="M170" s="840"/>
      <c r="N170" s="66" t="str">
        <f>RSD_Commodities!$M$68&amp;"_"&amp;RIGHT(P170,LEN(P170)-3)&amp;"_"&amp;SETUP!$B$67</f>
        <v>WH_Apt-D_COABIT_X0</v>
      </c>
      <c r="O170" s="66" t="str">
        <f>RSD_Commodities!$N$68&amp;"_"&amp;RSD_Commodities!D6&amp;"_"&amp;SETUP!$C$67</f>
        <v>Residential Water Heating Apartment-D_Bituminous Coal to Residential_Existing 00</v>
      </c>
      <c r="P170" s="83" t="str">
        <f>RSD_Commodities!$C$6</f>
        <v>RSDCOABIT</v>
      </c>
      <c r="Q170" s="66" t="str">
        <f>RSD_Commodities!$M$68</f>
        <v>WH_Apt-D</v>
      </c>
      <c r="R170" s="985">
        <f t="shared" si="120"/>
        <v>1.6139965783272539E-4</v>
      </c>
      <c r="S170" s="66">
        <f>R170*DwellingStocks!$I$67/1000</f>
        <v>7.6646969887269245E-3</v>
      </c>
      <c r="T170" s="83">
        <v>1</v>
      </c>
      <c r="U170" s="987">
        <f t="shared" si="128"/>
        <v>0.83818125718773662</v>
      </c>
      <c r="V170" s="83">
        <v>20</v>
      </c>
      <c r="W170" s="66">
        <v>1</v>
      </c>
      <c r="X170" s="866"/>
      <c r="Y170" s="926">
        <f t="shared" si="129"/>
        <v>9.4124578938549863E-8</v>
      </c>
      <c r="Z170" s="926">
        <f t="shared" si="130"/>
        <v>1.1229621055278231E-7</v>
      </c>
      <c r="AA170" s="866"/>
      <c r="AB170" s="66" t="s">
        <v>393</v>
      </c>
      <c r="AC170" s="66" t="str">
        <f t="shared" si="131"/>
        <v>WH_Apt-D_COABIT_X0</v>
      </c>
      <c r="AD170" s="83" t="str">
        <f t="shared" si="132"/>
        <v>Residential Water Heating Apartment-D_Bituminous Coal to Residential_Existing 00</v>
      </c>
      <c r="AE170" s="66" t="s">
        <v>53</v>
      </c>
      <c r="AF170" s="88" t="s">
        <v>406</v>
      </c>
      <c r="AG170" s="66"/>
      <c r="AH170" s="66"/>
      <c r="AI170" s="840"/>
      <c r="AJ170" s="840"/>
      <c r="AK170" s="840"/>
      <c r="AL170" s="840"/>
      <c r="AM170" s="840"/>
      <c r="AN170" s="840"/>
      <c r="AO170" s="840"/>
    </row>
    <row r="171" spans="1:41" ht="15.75" thickBot="1">
      <c r="A171" s="972" t="s">
        <v>118</v>
      </c>
      <c r="B171" s="757" t="s">
        <v>673</v>
      </c>
      <c r="C171" s="757">
        <f>SUMIFS(INDEX(Table7[],,MATCH(C$112,Table7[#Headers],0)),Table7[MainWaterHeatingFuel],$B171,Table7[EnergyRating (group)],$A171)</f>
        <v>5858</v>
      </c>
      <c r="D171" s="757">
        <f>SUMIFS(INDEX(Table7[],,MATCH(D$112,Table7[#Headers],0)),Table7[MainWaterHeatingFuel],$B171,Table7[EnergyRating (group)],$A171)</f>
        <v>5325</v>
      </c>
      <c r="E171" s="760">
        <f>SUMIFS(INDEX(Table7[],,MATCH(E$112,Table7[#Headers],0)),Table7[MainWaterHeatingFuel],$B171,Table7[EnergyRating (group)],$A171)</f>
        <v>1670</v>
      </c>
      <c r="F171" s="760">
        <f>SUMIFS(INDEX(Table7[],,MATCH(F$112,Table7[#Headers],0)),Table7[MainWaterHeatingFuel],$B171,Table7[EnergyRating (group)],$A171)</f>
        <v>619</v>
      </c>
      <c r="G171" s="757">
        <f>SUMIFS(INDEX(Table7[],,MATCH(G$112,Table7[#Headers],0)),Table7[MainWaterHeatingFuel],$B171,Table7[EnergyRating (group)],$A171)</f>
        <v>2</v>
      </c>
      <c r="H171" s="757">
        <f>SUMIFS(INDEX(Table7[],,MATCH(H$112,Table7[#Headers],0)),Table7[MainWaterHeatingFuel],$B171,Table7[EnergyRating (group)],$A171)</f>
        <v>90</v>
      </c>
      <c r="I171" s="959"/>
      <c r="J171" s="991">
        <f t="shared" ref="J171" si="135">C171+E171</f>
        <v>7528</v>
      </c>
      <c r="K171" s="992">
        <f t="shared" ref="K171" si="136">D171+F171</f>
        <v>5944</v>
      </c>
      <c r="L171" s="840"/>
      <c r="M171" s="840"/>
      <c r="N171" s="914" t="str">
        <f>RSD_Commodities!$M$68&amp;"_"&amp;RIGHT(P171,LEN(P171)-3)&amp;"_"&amp;SETUP!$B$68</f>
        <v>WH_Apt-D_BIOWOO_X1</v>
      </c>
      <c r="O171" s="914" t="str">
        <f>RSD_Commodities!$N$68&amp;"_"&amp;RSD_Commodities!D19&amp;"_"&amp;SETUP!$C$68</f>
        <v>Residential Water Heating Apartment-D_Biomass &amp; Renewable Waste to Residential_Existing 01</v>
      </c>
      <c r="P171" s="915" t="str">
        <f>RSD_Commodities!$C$19</f>
        <v>RSDBIOWOO</v>
      </c>
      <c r="Q171" s="914" t="str">
        <f>RSD_Commodities!$M$68</f>
        <v>WH_Apt-D</v>
      </c>
      <c r="R171" s="984">
        <f t="shared" si="120"/>
        <v>6.4559863133090164E-5</v>
      </c>
      <c r="S171" s="914">
        <f>R171*DwellingStocks!$I$67/1000</f>
        <v>3.0658787954907702E-3</v>
      </c>
      <c r="T171" s="915">
        <v>1</v>
      </c>
      <c r="U171" s="986">
        <f t="shared" ref="U171" si="137">K171/J171</f>
        <v>0.78958554729011687</v>
      </c>
      <c r="V171" s="915">
        <v>20</v>
      </c>
      <c r="W171" s="914">
        <v>1</v>
      </c>
      <c r="X171" s="840"/>
      <c r="Y171" s="928">
        <f t="shared" ref="Y171" si="138">ABS((K171)*S171*1000*$B$2)</f>
        <v>7.4891439289303322E-9</v>
      </c>
      <c r="Z171" s="928">
        <f t="shared" ref="Z171" si="139">ABS((J171)*S171*1000*$B$2)</f>
        <v>9.48490502977583E-9</v>
      </c>
      <c r="AA171" s="840"/>
      <c r="AB171" s="914" t="s">
        <v>393</v>
      </c>
      <c r="AC171" s="914" t="str">
        <f t="shared" ref="AC171" si="140">N171</f>
        <v>WH_Apt-D_BIOWOO_X1</v>
      </c>
      <c r="AD171" s="915" t="str">
        <f t="shared" ref="AD171" si="141">O171</f>
        <v>Residential Water Heating Apartment-D_Biomass &amp; Renewable Waste to Residential_Existing 01</v>
      </c>
      <c r="AE171" s="914" t="s">
        <v>53</v>
      </c>
      <c r="AF171" s="916" t="s">
        <v>406</v>
      </c>
      <c r="AG171" s="914"/>
      <c r="AH171" s="914"/>
      <c r="AI171" s="840"/>
      <c r="AJ171" s="840"/>
      <c r="AK171" s="840"/>
      <c r="AL171" s="840"/>
      <c r="AM171" s="840"/>
      <c r="AN171" s="840"/>
      <c r="AO171" s="840"/>
    </row>
    <row r="172" spans="1:41" ht="15.75" thickBot="1">
      <c r="A172" s="756" t="s">
        <v>120</v>
      </c>
      <c r="B172" s="1048"/>
      <c r="C172" s="1049"/>
      <c r="D172" s="1049"/>
      <c r="E172" s="1049"/>
      <c r="F172" s="1049"/>
      <c r="G172" s="1049"/>
      <c r="H172" s="1049"/>
      <c r="I172" s="1049"/>
      <c r="J172" s="1050"/>
      <c r="K172" s="1051"/>
      <c r="L172" s="840"/>
      <c r="M172" s="840"/>
      <c r="N172" s="76" t="str">
        <f>AB172</f>
        <v>*E Rating</v>
      </c>
      <c r="O172" s="76"/>
      <c r="P172" s="76"/>
      <c r="Q172" s="76"/>
      <c r="R172" s="949">
        <f>SUM(R173:R184)</f>
        <v>2</v>
      </c>
      <c r="S172" s="76"/>
      <c r="T172" s="97"/>
      <c r="U172" s="76"/>
      <c r="V172" s="76"/>
      <c r="W172" s="76"/>
      <c r="X172" s="840"/>
      <c r="Y172" s="76"/>
      <c r="Z172" s="76"/>
      <c r="AA172" s="840"/>
      <c r="AB172" s="140" t="str">
        <f>"*"&amp; A173 &amp; " Rating"</f>
        <v>*E Rating</v>
      </c>
      <c r="AC172" s="141"/>
      <c r="AD172" s="141"/>
      <c r="AE172" s="141"/>
      <c r="AF172" s="141"/>
      <c r="AG172" s="141"/>
      <c r="AH172" s="141"/>
      <c r="AI172" s="840"/>
      <c r="AJ172" s="840"/>
      <c r="AK172" s="840"/>
      <c r="AL172" s="840"/>
      <c r="AM172" s="840"/>
      <c r="AN172" s="840"/>
      <c r="AO172" s="840"/>
    </row>
    <row r="173" spans="1:41">
      <c r="A173" s="972" t="s">
        <v>120</v>
      </c>
      <c r="B173" s="757" t="s">
        <v>582</v>
      </c>
      <c r="C173" s="757">
        <f>SUMIFS(INDEX(Table7[],,MATCH(C$112,Table7[#Headers],0)),Table7[MainWaterHeatingFuel],$B173,Table7[EnergyRating (group)],$A173)</f>
        <v>144731</v>
      </c>
      <c r="D173" s="757">
        <f>SUMIFS(INDEX(Table7[],,MATCH(D$112,Table7[#Headers],0)),Table7[MainWaterHeatingFuel],$B173,Table7[EnergyRating (group)],$A173)</f>
        <v>131572</v>
      </c>
      <c r="E173" s="760">
        <f>SUMIFS(INDEX(Table7[],,MATCH(E$112,Table7[#Headers],0)),Table7[MainWaterHeatingFuel],$B173,Table7[EnergyRating (group)],$A173)</f>
        <v>23249</v>
      </c>
      <c r="F173" s="760">
        <f>SUMIFS(INDEX(Table7[],,MATCH(F$112,Table7[#Headers],0)),Table7[MainWaterHeatingFuel],$B173,Table7[EnergyRating (group)],$A173)</f>
        <v>8611</v>
      </c>
      <c r="G173" s="757">
        <f>SUMIFS(INDEX(Table7[],,MATCH(G$112,Table7[#Headers],0)),Table7[MainWaterHeatingFuel],$B173,Table7[EnergyRating (group)],$A173)</f>
        <v>45</v>
      </c>
      <c r="H173" s="757">
        <f>SUMIFS(INDEX(Table7[],,MATCH(H$112,Table7[#Headers],0)),Table7[MainWaterHeatingFuel],$B173,Table7[EnergyRating (group)],$A173)</f>
        <v>2757</v>
      </c>
      <c r="I173" s="959"/>
      <c r="J173" s="989">
        <f t="shared" ref="J173:J176" si="142">C173+E173</f>
        <v>167980</v>
      </c>
      <c r="K173" s="990">
        <f t="shared" ref="K173:K177" si="143">D173+F173</f>
        <v>140183</v>
      </c>
      <c r="L173" s="840"/>
      <c r="M173" s="840"/>
      <c r="N173" s="914" t="str">
        <f>RSD_Commodities!$M$69&amp;"_"&amp;RIGHT(P173,LEN(P173)-3)&amp;"_"&amp;SETUP!$B$67</f>
        <v>WH_Apt-E_OILLPG_X0</v>
      </c>
      <c r="O173" s="914" t="str">
        <f>RSD_Commodities!$N$69&amp;"_"&amp;RSD_Commodities!D11&amp;"_"&amp;SETUP!$C$67</f>
        <v>Residential Water Heating Apartment-E_LPG to Residential_Existing 00</v>
      </c>
      <c r="P173" s="915" t="str">
        <f>RSD_Commodities!$C$11</f>
        <v>RSDOILLPG</v>
      </c>
      <c r="Q173" s="914" t="str">
        <f>RSD_Commodities!$M$69</f>
        <v>WH_Apt-E</v>
      </c>
      <c r="R173" s="915">
        <f>G173/SUM($G$173:$G$183)</f>
        <v>2.8855402372555306E-3</v>
      </c>
      <c r="S173" s="914">
        <f>R173*DwellingStocks!$I$68/1000</f>
        <v>6.8646105283283979E-2</v>
      </c>
      <c r="T173" s="915">
        <v>1</v>
      </c>
      <c r="U173" s="986">
        <f>K173/J173</f>
        <v>0.83452196690082148</v>
      </c>
      <c r="V173" s="915">
        <v>20</v>
      </c>
      <c r="W173" s="914">
        <v>1</v>
      </c>
      <c r="X173" s="866"/>
      <c r="Y173" s="928">
        <f>ABS((K173)*S173*1000*$B$2)</f>
        <v>3.9546645110657257E-6</v>
      </c>
      <c r="Z173" s="928">
        <f>ABS((J173)*S173*1000*$B$2)</f>
        <v>4.7388381228024844E-6</v>
      </c>
      <c r="AA173" s="866"/>
      <c r="AB173" s="914" t="s">
        <v>393</v>
      </c>
      <c r="AC173" s="914" t="str">
        <f t="shared" ref="AC173:AC183" si="144">N173</f>
        <v>WH_Apt-E_OILLPG_X0</v>
      </c>
      <c r="AD173" s="915" t="str">
        <f t="shared" ref="AD173:AD183" si="145">O173</f>
        <v>Residential Water Heating Apartment-E_LPG to Residential_Existing 00</v>
      </c>
      <c r="AE173" s="914" t="s">
        <v>53</v>
      </c>
      <c r="AF173" s="916" t="s">
        <v>406</v>
      </c>
      <c r="AG173" s="914"/>
      <c r="AH173" s="914"/>
      <c r="AI173" s="840"/>
      <c r="AJ173" s="840"/>
      <c r="AK173" s="840"/>
      <c r="AL173" s="840"/>
      <c r="AM173" s="840"/>
      <c r="AN173" s="840"/>
      <c r="AO173" s="840"/>
    </row>
    <row r="174" spans="1:41">
      <c r="A174" s="973" t="s">
        <v>120</v>
      </c>
      <c r="B174" s="758" t="s">
        <v>228</v>
      </c>
      <c r="C174" s="758">
        <f>SUMIFS(INDEX(Table7[],,MATCH(C$112,Table7[#Headers],0)),Table7[MainWaterHeatingFuel],$B174,Table7[EnergyRating (group)],$A174)</f>
        <v>76211658</v>
      </c>
      <c r="D174" s="758">
        <f>SUMIFS(INDEX(Table7[],,MATCH(D$112,Table7[#Headers],0)),Table7[MainWaterHeatingFuel],$B174,Table7[EnergyRating (group)],$A174)</f>
        <v>28226539</v>
      </c>
      <c r="E174" s="758">
        <f>SUMIFS(INDEX(Table7[],,MATCH(E$112,Table7[#Headers],0)),Table7[MainWaterHeatingFuel],$B174,Table7[EnergyRating (group)],$A174)</f>
        <v>127945</v>
      </c>
      <c r="F174" s="758">
        <f>SUMIFS(INDEX(Table7[],,MATCH(F$112,Table7[#Headers],0)),Table7[MainWaterHeatingFuel],$B174,Table7[EnergyRating (group)],$A174)</f>
        <v>47387</v>
      </c>
      <c r="G174" s="758">
        <f>SUMIFS(INDEX(Table7[],,MATCH(G$112,Table7[#Headers],0)),Table7[MainWaterHeatingFuel],$B174,Table7[EnergyRating (group)],$A174)</f>
        <v>12901</v>
      </c>
      <c r="H174" s="758">
        <f>SUMIFS(INDEX(Table7[],,MATCH(H$112,Table7[#Headers],0)),Table7[MainWaterHeatingFuel],$B174,Table7[EnergyRating (group)],$A174)</f>
        <v>756024</v>
      </c>
      <c r="I174" s="960"/>
      <c r="J174" s="980">
        <f t="shared" si="142"/>
        <v>76339603</v>
      </c>
      <c r="K174" s="981">
        <f t="shared" si="143"/>
        <v>28273926</v>
      </c>
      <c r="L174" s="840"/>
      <c r="M174" s="840"/>
      <c r="N174" s="66" t="str">
        <f>RSD_Commodities!$M$69&amp;"_"&amp;RIGHT(P174,LEN(P174)-3)&amp;"_"&amp;SETUP!$B$67</f>
        <v>WH_Apt-E_ELCD_X0</v>
      </c>
      <c r="O174" s="66" t="str">
        <f>RSD_Commodities!$N$69&amp;"_"&amp;RSD_Commodities!D27&amp;"_"&amp;SETUP!$C$67</f>
        <v>Residential Water Heating Apartment-E_Electricity to Residential_Existing 00</v>
      </c>
      <c r="P174" s="83" t="str">
        <f>RSD_Commodities!$C$27</f>
        <v>RSDELCD</v>
      </c>
      <c r="Q174" s="66" t="str">
        <f>RSD_Commodities!$M$69</f>
        <v>WH_Apt-E</v>
      </c>
      <c r="R174" s="83">
        <f t="shared" ref="R174:R183" si="146">G174/SUM($G$173:$G$183)</f>
        <v>0.82725232446296892</v>
      </c>
      <c r="S174" s="66">
        <f>R174*DwellingStocks!$I$68/1000</f>
        <v>19.68007565021437</v>
      </c>
      <c r="T174" s="83">
        <v>1</v>
      </c>
      <c r="U174" s="987">
        <f t="shared" ref="U174:U182" si="147">K174/J174</f>
        <v>0.37037035678584812</v>
      </c>
      <c r="V174" s="83">
        <v>20</v>
      </c>
      <c r="W174" s="66">
        <v>1</v>
      </c>
      <c r="X174" s="866"/>
      <c r="Y174" s="926">
        <f t="shared" ref="Y174:Y182" si="148">ABS((K174)*S174*1000*$B$2)</f>
        <v>0.22867109696242319</v>
      </c>
      <c r="Z174" s="926">
        <f t="shared" ref="Z174:Z182" si="149">ABS((J174)*S174*1000*$B$2)</f>
        <v>0.61741198444410916</v>
      </c>
      <c r="AA174" s="866"/>
      <c r="AB174" s="66" t="s">
        <v>393</v>
      </c>
      <c r="AC174" s="66" t="str">
        <f t="shared" ref="AC174:AC182" si="150">N174</f>
        <v>WH_Apt-E_ELCD_X0</v>
      </c>
      <c r="AD174" s="83" t="str">
        <f t="shared" ref="AD174:AD182" si="151">O174</f>
        <v>Residential Water Heating Apartment-E_Electricity to Residential_Existing 00</v>
      </c>
      <c r="AE174" s="66" t="s">
        <v>53</v>
      </c>
      <c r="AF174" s="88" t="s">
        <v>406</v>
      </c>
      <c r="AG174" s="66"/>
      <c r="AH174" s="66"/>
      <c r="AI174" s="840"/>
      <c r="AJ174" s="840"/>
      <c r="AK174" s="840"/>
      <c r="AL174" s="840"/>
      <c r="AM174" s="840"/>
      <c r="AN174" s="840"/>
      <c r="AO174" s="840"/>
    </row>
    <row r="175" spans="1:41">
      <c r="A175" s="972" t="s">
        <v>120</v>
      </c>
      <c r="B175" s="757" t="s">
        <v>583</v>
      </c>
      <c r="C175" s="757">
        <f>SUMIFS(INDEX(Table7[],,MATCH(C$112,Table7[#Headers],0)),Table7[MainWaterHeatingFuel],$B175,Table7[EnergyRating (group)],$A175)</f>
        <v>2165664</v>
      </c>
      <c r="D175" s="757">
        <f>SUMIFS(INDEX(Table7[],,MATCH(D$112,Table7[#Headers],0)),Table7[MainWaterHeatingFuel],$B175,Table7[EnergyRating (group)],$A175)</f>
        <v>1968785</v>
      </c>
      <c r="E175" s="757">
        <f>SUMIFS(INDEX(Table7[],,MATCH(E$112,Table7[#Headers],0)),Table7[MainWaterHeatingFuel],$B175,Table7[EnergyRating (group)],$A175)</f>
        <v>703250</v>
      </c>
      <c r="F175" s="757">
        <f>SUMIFS(INDEX(Table7[],,MATCH(F$112,Table7[#Headers],0)),Table7[MainWaterHeatingFuel],$B175,Table7[EnergyRating (group)],$A175)</f>
        <v>260463</v>
      </c>
      <c r="G175" s="757">
        <f>SUMIFS(INDEX(Table7[],,MATCH(G$112,Table7[#Headers],0)),Table7[MainWaterHeatingFuel],$B175,Table7[EnergyRating (group)],$A175)</f>
        <v>467</v>
      </c>
      <c r="H175" s="757">
        <f>SUMIFS(INDEX(Table7[],,MATCH(H$112,Table7[#Headers],0)),Table7[MainWaterHeatingFuel],$B175,Table7[EnergyRating (group)],$A175)</f>
        <v>43499</v>
      </c>
      <c r="I175" s="961"/>
      <c r="J175" s="978">
        <f t="shared" si="142"/>
        <v>2868914</v>
      </c>
      <c r="K175" s="979">
        <f t="shared" si="143"/>
        <v>2229248</v>
      </c>
      <c r="L175" s="840"/>
      <c r="M175" s="840"/>
      <c r="N175" s="914" t="str">
        <f>RSD_Commodities!$M$69&amp;"_"&amp;RIGHT(P175,LEN(P175)-3)&amp;"_"&amp;SETUP!$B$67</f>
        <v>WH_Apt-E_OILKER_X0</v>
      </c>
      <c r="O175" s="914" t="str">
        <f>RSD_Commodities!$N$69&amp;"_"&amp;RSD_Commodities!D13&amp;"_"&amp;SETUP!$C$67</f>
        <v>Residential Water Heating Apartment-E_Kerosene to Residential_Existing 00</v>
      </c>
      <c r="P175" s="915" t="str">
        <f>RSD_Commodities!$C$13</f>
        <v>RSDOILKER</v>
      </c>
      <c r="Q175" s="914" t="str">
        <f>RSD_Commodities!$M$69</f>
        <v>WH_Apt-E</v>
      </c>
      <c r="R175" s="915">
        <f t="shared" si="146"/>
        <v>2.9945495351074061E-2</v>
      </c>
      <c r="S175" s="914">
        <f>R175*DwellingStocks!$I$68/1000</f>
        <v>0.71239402593985812</v>
      </c>
      <c r="T175" s="915">
        <v>1</v>
      </c>
      <c r="U175" s="986">
        <f t="shared" si="147"/>
        <v>0.77703549147865703</v>
      </c>
      <c r="V175" s="915">
        <v>20</v>
      </c>
      <c r="W175" s="914">
        <v>1</v>
      </c>
      <c r="X175" s="866"/>
      <c r="Y175" s="928">
        <f t="shared" si="148"/>
        <v>6.526450510431687E-4</v>
      </c>
      <c r="Z175" s="928">
        <f t="shared" si="149"/>
        <v>8.3991665528844754E-4</v>
      </c>
      <c r="AA175" s="866"/>
      <c r="AB175" s="914" t="s">
        <v>393</v>
      </c>
      <c r="AC175" s="914" t="str">
        <f t="shared" si="150"/>
        <v>WH_Apt-E_OILKER_X0</v>
      </c>
      <c r="AD175" s="915" t="str">
        <f t="shared" si="151"/>
        <v>Residential Water Heating Apartment-E_Kerosene to Residential_Existing 00</v>
      </c>
      <c r="AE175" s="914" t="s">
        <v>53</v>
      </c>
      <c r="AF175" s="916" t="s">
        <v>406</v>
      </c>
      <c r="AG175" s="914"/>
      <c r="AH175" s="914"/>
      <c r="AI175" s="840"/>
      <c r="AJ175" s="840"/>
      <c r="AK175" s="840"/>
      <c r="AL175" s="840"/>
      <c r="AM175" s="840"/>
      <c r="AN175" s="840"/>
      <c r="AO175" s="840"/>
    </row>
    <row r="176" spans="1:41">
      <c r="A176" s="973" t="s">
        <v>120</v>
      </c>
      <c r="B176" s="758" t="s">
        <v>584</v>
      </c>
      <c r="C176" s="758">
        <f>SUMIFS(INDEX(Table7[],,MATCH(C$112,Table7[#Headers],0)),Table7[MainWaterHeatingFuel],$B176,Table7[EnergyRating (group)],$A176)</f>
        <v>6824241</v>
      </c>
      <c r="D176" s="758">
        <f>SUMIFS(INDEX(Table7[],,MATCH(D$112,Table7[#Headers],0)),Table7[MainWaterHeatingFuel],$B176,Table7[EnergyRating (group)],$A176)</f>
        <v>6203855</v>
      </c>
      <c r="E176" s="759">
        <f>SUMIFS(INDEX(Table7[],,MATCH(E$112,Table7[#Headers],0)),Table7[MainWaterHeatingFuel],$B176,Table7[EnergyRating (group)],$A176)</f>
        <v>1654599</v>
      </c>
      <c r="F176" s="759">
        <f>SUMIFS(INDEX(Table7[],,MATCH(F$112,Table7[#Headers],0)),Table7[MainWaterHeatingFuel],$B176,Table7[EnergyRating (group)],$A176)</f>
        <v>612815</v>
      </c>
      <c r="G176" s="758">
        <f>SUMIFS(INDEX(Table7[],,MATCH(G$112,Table7[#Headers],0)),Table7[MainWaterHeatingFuel],$B176,Table7[EnergyRating (group)],$A176)</f>
        <v>1711</v>
      </c>
      <c r="H176" s="758">
        <f>SUMIFS(INDEX(Table7[],,MATCH(H$112,Table7[#Headers],0)),Table7[MainWaterHeatingFuel],$B176,Table7[EnergyRating (group)],$A176)</f>
        <v>103529</v>
      </c>
      <c r="I176" s="960"/>
      <c r="J176" s="980">
        <f t="shared" si="142"/>
        <v>8478840</v>
      </c>
      <c r="K176" s="981">
        <f t="shared" si="143"/>
        <v>6816670</v>
      </c>
      <c r="L176" s="840"/>
      <c r="N176" s="66" t="str">
        <f>RSD_Commodities!$M$69&amp;"_"&amp;RIGHT(P176,LEN(P176)-3)&amp;"_"&amp;SETUP!$B$67</f>
        <v>WH_Apt-E_GASNAT_X0</v>
      </c>
      <c r="O176" s="66" t="str">
        <f>RSD_Commodities!$N$69&amp;"_"&amp;RSD_Commodities!D17&amp;"_"&amp;SETUP!$C$67</f>
        <v>Residential Water Heating Apartment-E_Natural Gas to Residential_Existing 00</v>
      </c>
      <c r="P176" s="83" t="str">
        <f>RSD_Commodities!$C$17</f>
        <v>RSDGASNAT</v>
      </c>
      <c r="Q176" s="66" t="str">
        <f>RSD_Commodities!$M$69</f>
        <v>WH_Apt-E</v>
      </c>
      <c r="R176" s="83">
        <f t="shared" si="146"/>
        <v>0.10971465213209362</v>
      </c>
      <c r="S176" s="66">
        <f>R176*DwellingStocks!$I$68/1000</f>
        <v>2.6100774697710865</v>
      </c>
      <c r="T176" s="83">
        <v>1</v>
      </c>
      <c r="U176" s="987">
        <f t="shared" si="147"/>
        <v>0.80396257035160468</v>
      </c>
      <c r="V176" s="83">
        <v>20</v>
      </c>
      <c r="W176" s="66">
        <v>1</v>
      </c>
      <c r="X176" s="866"/>
      <c r="Y176" s="926">
        <f t="shared" si="148"/>
        <v>7.3117959393963596E-3</v>
      </c>
      <c r="Z176" s="926">
        <f t="shared" si="149"/>
        <v>9.094696953613925E-3</v>
      </c>
      <c r="AA176" s="866"/>
      <c r="AB176" s="66" t="s">
        <v>393</v>
      </c>
      <c r="AC176" s="66" t="str">
        <f t="shared" si="150"/>
        <v>WH_Apt-E_GASNAT_X0</v>
      </c>
      <c r="AD176" s="83" t="str">
        <f t="shared" si="151"/>
        <v>Residential Water Heating Apartment-E_Natural Gas to Residential_Existing 00</v>
      </c>
      <c r="AE176" s="66" t="s">
        <v>53</v>
      </c>
      <c r="AF176" s="88" t="s">
        <v>406</v>
      </c>
      <c r="AG176" s="66"/>
      <c r="AH176" s="66"/>
      <c r="AI176" s="840"/>
      <c r="AJ176" s="840"/>
      <c r="AK176" s="840"/>
      <c r="AL176" s="840"/>
      <c r="AM176" s="840"/>
      <c r="AN176" s="840"/>
      <c r="AO176" s="840"/>
    </row>
    <row r="177" spans="1:41">
      <c r="A177" s="972" t="s">
        <v>120</v>
      </c>
      <c r="B177" s="757" t="s">
        <v>587</v>
      </c>
      <c r="C177" s="757">
        <f>SUMIFS(INDEX(Table7[],,MATCH(C112,Table7[#Headers],0)),Table7[MainWaterHeatingFuel],"",Table7[EnergyRating (group)],$A177)</f>
        <v>0</v>
      </c>
      <c r="D177" s="757">
        <f>SUMIFS(INDEX(Table7[],,MATCH(D112,Table7[#Headers],0)),Table7[MainWaterHeatingFuel],"",Table7[EnergyRating (group)],$A177)</f>
        <v>0</v>
      </c>
      <c r="E177" s="760">
        <f>SUMIFS(INDEX(Table7[],,MATCH(E112,Table7[#Headers],0)),Table7[MainWaterHeatingFuel],"",Table7[EnergyRating (group)],$A177)</f>
        <v>74828</v>
      </c>
      <c r="F177" s="760">
        <f>SUMIFS(INDEX(Table7[],,MATCH(F112,Table7[#Headers],0)),Table7[MainWaterHeatingFuel],"",Table7[EnergyRating (group)],$A177)</f>
        <v>27714</v>
      </c>
      <c r="G177" s="757">
        <f>SUMIFS(INDEX(Table7[],,MATCH(G112,Table7[#Headers],0)),Table7[MainWaterHeatingFuel],"",Table7[EnergyRating (group)],$A177)</f>
        <v>272</v>
      </c>
      <c r="H177" s="757">
        <f>SUMIFS(INDEX(Table7[],,MATCH(H112,Table7[#Headers],0)),Table7[MainWaterHeatingFuel],"",Table7[EnergyRating (group)],$A177)</f>
        <v>13228</v>
      </c>
      <c r="I177" s="959"/>
      <c r="J177" s="998">
        <f>C177+E177</f>
        <v>74828</v>
      </c>
      <c r="K177" s="979">
        <f t="shared" si="143"/>
        <v>27714</v>
      </c>
      <c r="L177" s="840"/>
      <c r="M177" s="840"/>
      <c r="N177" s="914" t="str">
        <f>RSD_Commodities!$M$69&amp;"_"&amp;RIGHT(P177,LEN(P177)-3)&amp;"_"&amp;SETUP!$B$67</f>
        <v>WH_Apt-E_HET_X0</v>
      </c>
      <c r="O177" s="914" t="str">
        <f>RSD_Commodities!$N$69&amp;"_"&amp;RSD_Commodities!D28&amp;"_"&amp;SETUP!$C$67</f>
        <v>Residential Water Heating Apartment-E_Heat to Residential_Existing 00</v>
      </c>
      <c r="P177" s="915" t="str">
        <f>RSD_Commodities!$C$28</f>
        <v>RSDHET</v>
      </c>
      <c r="Q177" s="914" t="str">
        <f>RSD_Commodities!$M$69</f>
        <v>WH_Apt-E</v>
      </c>
      <c r="R177" s="915">
        <f t="shared" si="146"/>
        <v>1.7441487656300096E-2</v>
      </c>
      <c r="S177" s="914">
        <f>R177*DwellingStocks!$I$68/1000</f>
        <v>0.41492756971229428</v>
      </c>
      <c r="T177" s="915">
        <v>1</v>
      </c>
      <c r="U177" s="986">
        <f t="shared" si="147"/>
        <v>0.3703693804458224</v>
      </c>
      <c r="V177" s="915">
        <v>20</v>
      </c>
      <c r="W177" s="914">
        <v>1</v>
      </c>
      <c r="X177" s="866"/>
      <c r="Y177" s="928">
        <f t="shared" si="148"/>
        <v>4.7257408220574758E-6</v>
      </c>
      <c r="Z177" s="928">
        <f t="shared" si="149"/>
        <v>1.2759534323191052E-5</v>
      </c>
      <c r="AA177" s="866"/>
      <c r="AB177" s="914" t="s">
        <v>393</v>
      </c>
      <c r="AC177" s="914" t="str">
        <f t="shared" si="150"/>
        <v>WH_Apt-E_HET_X0</v>
      </c>
      <c r="AD177" s="915" t="str">
        <f t="shared" si="151"/>
        <v>Residential Water Heating Apartment-E_Heat to Residential_Existing 00</v>
      </c>
      <c r="AE177" s="914" t="s">
        <v>53</v>
      </c>
      <c r="AF177" s="916" t="s">
        <v>406</v>
      </c>
      <c r="AG177" s="914"/>
      <c r="AH177" s="914"/>
      <c r="AI177" s="840"/>
      <c r="AJ177" s="840"/>
      <c r="AK177" s="840"/>
      <c r="AL177" s="840"/>
      <c r="AM177" s="840"/>
      <c r="AN177" s="840"/>
      <c r="AO177" s="840"/>
    </row>
    <row r="178" spans="1:41">
      <c r="A178" s="973" t="s">
        <v>120</v>
      </c>
      <c r="B178" s="758" t="s">
        <v>664</v>
      </c>
      <c r="C178" s="758">
        <f>SUMIFS(INDEX(Table7[],,MATCH(C$112,Table7[#Headers],0)),Table7[MainWaterHeatingFuel],$B178,Table7[EnergyRating (group)],$A178)</f>
        <v>26324</v>
      </c>
      <c r="D178" s="758">
        <f>SUMIFS(INDEX(Table7[],,MATCH(D$112,Table7[#Headers],0)),Table7[MainWaterHeatingFuel],$B178,Table7[EnergyRating (group)],$A178)</f>
        <v>23930</v>
      </c>
      <c r="E178" s="758">
        <f>SUMIFS(INDEX(Table7[],,MATCH(E$112,Table7[#Headers],0)),Table7[MainWaterHeatingFuel],$B178,Table7[EnergyRating (group)],$A178)</f>
        <v>4788</v>
      </c>
      <c r="F178" s="758">
        <f>SUMIFS(INDEX(Table7[],,MATCH(F$112,Table7[#Headers],0)),Table7[MainWaterHeatingFuel],$B178,Table7[EnergyRating (group)],$A178)</f>
        <v>1773</v>
      </c>
      <c r="G178" s="758">
        <f>SUMIFS(INDEX(Table7[],,MATCH(G$112,Table7[#Headers],0)),Table7[MainWaterHeatingFuel],$B178,Table7[EnergyRating (group)],$A178)</f>
        <v>8</v>
      </c>
      <c r="H178" s="758">
        <f>SUMIFS(INDEX(Table7[],,MATCH(H$112,Table7[#Headers],0)),Table7[MainWaterHeatingFuel],$B178,Table7[EnergyRating (group)],$A178)</f>
        <v>495</v>
      </c>
      <c r="I178" s="960"/>
      <c r="J178" s="980">
        <f>C178+E178</f>
        <v>31112</v>
      </c>
      <c r="K178" s="981">
        <f>D178+F178</f>
        <v>25703</v>
      </c>
      <c r="L178" s="840"/>
      <c r="M178" s="840"/>
      <c r="N178" s="66" t="str">
        <f>RSD_Commodities!$M$69&amp;"_"&amp;RIGHT(P178,LEN(P178)-3)&amp;"_"&amp;SETUP!$B$68</f>
        <v>WH_Apt-E_OILLPG_X1</v>
      </c>
      <c r="O178" s="66" t="str">
        <f>RSD_Commodities!$N$69&amp;"_"&amp;RSD_Commodities!D11&amp;"_"&amp;SETUP!$C$68</f>
        <v>Residential Water Heating Apartment-E_LPG to Residential_Existing 01</v>
      </c>
      <c r="P178" s="83" t="str">
        <f>RSD_Commodities!$C$11</f>
        <v>RSDOILLPG</v>
      </c>
      <c r="Q178" s="66" t="str">
        <f>RSD_Commodities!$M$69</f>
        <v>WH_Apt-E</v>
      </c>
      <c r="R178" s="83">
        <f t="shared" si="146"/>
        <v>5.1298493106764992E-4</v>
      </c>
      <c r="S178" s="66">
        <f>R178*DwellingStocks!$I$68/1000</f>
        <v>1.2203752050361597E-2</v>
      </c>
      <c r="T178" s="83">
        <v>1</v>
      </c>
      <c r="U178" s="987">
        <f t="shared" si="147"/>
        <v>0.8261442530213422</v>
      </c>
      <c r="V178" s="83">
        <v>20</v>
      </c>
      <c r="W178" s="66">
        <v>1</v>
      </c>
      <c r="X178" s="866"/>
      <c r="Y178" s="926">
        <f t="shared" si="148"/>
        <v>1.2890672833579898E-7</v>
      </c>
      <c r="Z178" s="926">
        <f t="shared" si="149"/>
        <v>1.5603416457158222E-7</v>
      </c>
      <c r="AA178" s="866"/>
      <c r="AB178" s="66" t="s">
        <v>393</v>
      </c>
      <c r="AC178" s="66" t="str">
        <f t="shared" si="150"/>
        <v>WH_Apt-E_OILLPG_X1</v>
      </c>
      <c r="AD178" s="83" t="str">
        <f t="shared" si="151"/>
        <v>Residential Water Heating Apartment-E_LPG to Residential_Existing 01</v>
      </c>
      <c r="AE178" s="66" t="s">
        <v>53</v>
      </c>
      <c r="AF178" s="88" t="s">
        <v>406</v>
      </c>
      <c r="AG178" s="66"/>
      <c r="AH178" s="66"/>
      <c r="AI178" s="840"/>
      <c r="AJ178" s="840"/>
      <c r="AK178" s="840"/>
      <c r="AL178" s="840"/>
      <c r="AM178" s="840"/>
      <c r="AN178" s="840"/>
      <c r="AO178" s="840"/>
    </row>
    <row r="179" spans="1:41">
      <c r="A179" s="972" t="s">
        <v>120</v>
      </c>
      <c r="B179" s="757" t="s">
        <v>665</v>
      </c>
      <c r="C179" s="757">
        <f>SUMIFS(INDEX(Table7[],,MATCH(C$112,Table7[#Headers],0)),Table7[MainWaterHeatingFuel],$B179,Table7[EnergyRating (group)],$A179)</f>
        <v>548229</v>
      </c>
      <c r="D179" s="757">
        <f>SUMIFS(INDEX(Table7[],,MATCH(D$112,Table7[#Headers],0)),Table7[MainWaterHeatingFuel],$B179,Table7[EnergyRating (group)],$A179)</f>
        <v>498390</v>
      </c>
      <c r="E179" s="760">
        <f>SUMIFS(INDEX(Table7[],,MATCH(E$112,Table7[#Headers],0)),Table7[MainWaterHeatingFuel],$B179,Table7[EnergyRating (group)],$A179)</f>
        <v>227562</v>
      </c>
      <c r="F179" s="760">
        <f>SUMIFS(INDEX(Table7[],,MATCH(F$112,Table7[#Headers],0)),Table7[MainWaterHeatingFuel],$B179,Table7[EnergyRating (group)],$A179)</f>
        <v>84282</v>
      </c>
      <c r="G179" s="757">
        <f>SUMIFS(INDEX(Table7[],,MATCH(G$112,Table7[#Headers],0)),Table7[MainWaterHeatingFuel],$B179,Table7[EnergyRating (group)],$A179)</f>
        <v>111</v>
      </c>
      <c r="H179" s="757">
        <f>SUMIFS(INDEX(Table7[],,MATCH(H$112,Table7[#Headers],0)),Table7[MainWaterHeatingFuel],$B179,Table7[EnergyRating (group)],$A179)</f>
        <v>7517</v>
      </c>
      <c r="I179" s="959"/>
      <c r="J179" s="978">
        <f t="shared" ref="J179:J182" si="152">C179+E179</f>
        <v>775791</v>
      </c>
      <c r="K179" s="979">
        <f t="shared" ref="K179:K182" si="153">D179+F179</f>
        <v>582672</v>
      </c>
      <c r="L179" s="840"/>
      <c r="M179" s="840"/>
      <c r="N179" s="914" t="str">
        <f>RSD_Commodities!$M$69&amp;"_"&amp;RSD_Commodities!$C$26&amp;"_"&amp;SETUP!$B$67</f>
        <v>WH_Apt-E_RSDSMF_X0</v>
      </c>
      <c r="O179" s="914" t="str">
        <f>RSD_Commodities!$N$69&amp;"_"&amp;RSD_Commodities!$D$26&amp;"_"&amp;SETUP!$C$67</f>
        <v>Residential Water Heating Apartment-E_Solid Multi-Fuel_Existing 00</v>
      </c>
      <c r="P179" s="915" t="str">
        <f>RSD_Commodities!$C$6&amp;","&amp;RSD_Commodities!$C$7&amp;","&amp;RSD_Commodities!$C$9&amp;","&amp;RSD_Commodities!$C$10&amp;","&amp;RSD_Commodities!$C$19</f>
        <v>RSDCOABIT,RSDCOAHAR,RSDCOALIG,RSDPEA,RSDBIOWOO</v>
      </c>
      <c r="Q179" s="914" t="str">
        <f>RSD_Commodities!$M$69</f>
        <v>WH_Apt-E</v>
      </c>
      <c r="R179" s="915">
        <f t="shared" si="146"/>
        <v>7.1176659185636423E-3</v>
      </c>
      <c r="S179" s="914">
        <f>R179*DwellingStocks!$I$68/1000</f>
        <v>0.16932705969876716</v>
      </c>
      <c r="T179" s="915">
        <v>1</v>
      </c>
      <c r="U179" s="986">
        <f t="shared" si="147"/>
        <v>0.75106826451969666</v>
      </c>
      <c r="V179" s="915">
        <v>20</v>
      </c>
      <c r="W179" s="914">
        <v>1</v>
      </c>
      <c r="X179" s="866"/>
      <c r="Y179" s="928">
        <f t="shared" si="148"/>
        <v>4.0546083504986333E-5</v>
      </c>
      <c r="Z179" s="928">
        <f t="shared" si="149"/>
        <v>5.3984551631821761E-5</v>
      </c>
      <c r="AA179" s="866"/>
      <c r="AB179" s="914" t="s">
        <v>393</v>
      </c>
      <c r="AC179" s="914" t="str">
        <f t="shared" si="150"/>
        <v>WH_Apt-E_RSDSMF_X0</v>
      </c>
      <c r="AD179" s="915" t="str">
        <f t="shared" si="151"/>
        <v>Residential Water Heating Apartment-E_Solid Multi-Fuel_Existing 00</v>
      </c>
      <c r="AE179" s="914" t="s">
        <v>53</v>
      </c>
      <c r="AF179" s="916" t="s">
        <v>406</v>
      </c>
      <c r="AG179" s="914"/>
      <c r="AH179" s="914"/>
      <c r="AI179" s="840"/>
      <c r="AJ179" s="840"/>
      <c r="AK179" s="840"/>
      <c r="AL179" s="840"/>
      <c r="AM179" s="840"/>
      <c r="AN179" s="840"/>
      <c r="AO179" s="840"/>
    </row>
    <row r="180" spans="1:41">
      <c r="A180" s="973" t="s">
        <v>120</v>
      </c>
      <c r="B180" s="758" t="s">
        <v>669</v>
      </c>
      <c r="C180" s="758">
        <f>SUMIFS(INDEX(Table7[],,MATCH(C$112,Table7[#Headers],0)),Table7[MainWaterHeatingFuel],$B180,Table7[EnergyRating (group)],$A180)</f>
        <v>286971</v>
      </c>
      <c r="D180" s="758">
        <f>SUMIFS(INDEX(Table7[],,MATCH(D$112,Table7[#Headers],0)),Table7[MainWaterHeatingFuel],$B180,Table7[EnergyRating (group)],$A180)</f>
        <v>239143</v>
      </c>
      <c r="E180" s="758">
        <f>SUMIFS(INDEX(Table7[],,MATCH(E$112,Table7[#Headers],0)),Table7[MainWaterHeatingFuel],$B180,Table7[EnergyRating (group)],$A180)</f>
        <v>113468</v>
      </c>
      <c r="F180" s="758">
        <f>SUMIFS(INDEX(Table7[],,MATCH(F$112,Table7[#Headers],0)),Table7[MainWaterHeatingFuel],$B180,Table7[EnergyRating (group)],$A180)</f>
        <v>42025</v>
      </c>
      <c r="G180" s="758">
        <f>SUMIFS(INDEX(Table7[],,MATCH(G$112,Table7[#Headers],0)),Table7[MainWaterHeatingFuel],$B180,Table7[EnergyRating (group)],$A180)</f>
        <v>61</v>
      </c>
      <c r="H180" s="758">
        <f>SUMIFS(INDEX(Table7[],,MATCH(H$112,Table7[#Headers],0)),Table7[MainWaterHeatingFuel],$B180,Table7[EnergyRating (group)],$A180)</f>
        <v>3352</v>
      </c>
      <c r="I180" s="960"/>
      <c r="J180" s="980">
        <f t="shared" si="152"/>
        <v>400439</v>
      </c>
      <c r="K180" s="981">
        <f t="shared" si="153"/>
        <v>281168</v>
      </c>
      <c r="L180" s="840"/>
      <c r="M180" s="840"/>
      <c r="N180" s="66" t="str">
        <f>RSD_Commodities!$M$69&amp;"_"&amp;RIGHT(P180,LEN(P180)-3)&amp;"_"&amp;SETUP!$B$67</f>
        <v>WH_Apt-E_COAHAR_X0</v>
      </c>
      <c r="O180" s="66" t="str">
        <f>RSD_Commodities!$N$69&amp;"_"&amp;RSD_Commodities!$D$7&amp;"_"&amp;SETUP!$C$67</f>
        <v>Residential Water Heating Apartment-E_Anthracite + Manufactured Ovoids to Residential_Existing 00</v>
      </c>
      <c r="P180" s="83" t="str">
        <f>RSD_Commodities!$C$7</f>
        <v>RSDCOAHAR</v>
      </c>
      <c r="Q180" s="66" t="str">
        <f>RSD_Commodities!$M$69</f>
        <v>WH_Apt-E</v>
      </c>
      <c r="R180" s="83">
        <f t="shared" si="146"/>
        <v>3.9115100993908306E-3</v>
      </c>
      <c r="S180" s="66">
        <f>R180*DwellingStocks!$I$68/1000</f>
        <v>9.3053609384007169E-2</v>
      </c>
      <c r="T180" s="83">
        <v>1</v>
      </c>
      <c r="U180" s="987">
        <f t="shared" si="147"/>
        <v>0.70214939104332996</v>
      </c>
      <c r="V180" s="83">
        <v>20</v>
      </c>
      <c r="W180" s="66">
        <v>1</v>
      </c>
      <c r="X180" s="840"/>
      <c r="Y180" s="926">
        <f t="shared" si="148"/>
        <v>1.0752204346554465E-5</v>
      </c>
      <c r="Z180" s="926">
        <f t="shared" si="149"/>
        <v>1.5313271625255803E-5</v>
      </c>
      <c r="AA180" s="840"/>
      <c r="AB180" s="66" t="s">
        <v>393</v>
      </c>
      <c r="AC180" s="66" t="str">
        <f t="shared" si="150"/>
        <v>WH_Apt-E_COAHAR_X0</v>
      </c>
      <c r="AD180" s="83" t="str">
        <f t="shared" si="151"/>
        <v>Residential Water Heating Apartment-E_Anthracite + Manufactured Ovoids to Residential_Existing 00</v>
      </c>
      <c r="AE180" s="66" t="s">
        <v>53</v>
      </c>
      <c r="AF180" s="88" t="s">
        <v>406</v>
      </c>
      <c r="AG180" s="66"/>
      <c r="AH180" s="66"/>
      <c r="AI180" s="840"/>
      <c r="AJ180" s="840"/>
      <c r="AK180" s="840"/>
      <c r="AL180" s="840"/>
      <c r="AM180" s="840"/>
      <c r="AN180" s="840"/>
      <c r="AO180" s="840"/>
    </row>
    <row r="181" spans="1:41">
      <c r="A181" s="972" t="s">
        <v>120</v>
      </c>
      <c r="B181" s="757" t="s">
        <v>671</v>
      </c>
      <c r="C181" s="757">
        <f>SUMIFS(INDEX(Table7[],,MATCH(C$112,Table7[#Headers],0)),Table7[MainWaterHeatingFuel],$B181,Table7[EnergyRating (group)],$A181)</f>
        <v>4489</v>
      </c>
      <c r="D181" s="757">
        <f>SUMIFS(INDEX(Table7[],,MATCH(D$112,Table7[#Headers],0)),Table7[MainWaterHeatingFuel],$B181,Table7[EnergyRating (group)],$A181)</f>
        <v>4080</v>
      </c>
      <c r="E181" s="757">
        <f>SUMIFS(INDEX(Table7[],,MATCH(E$112,Table7[#Headers],0)),Table7[MainWaterHeatingFuel],$B181,Table7[EnergyRating (group)],$A181)</f>
        <v>2440</v>
      </c>
      <c r="F181" s="757">
        <f>SUMIFS(INDEX(Table7[],,MATCH(F$112,Table7[#Headers],0)),Table7[MainWaterHeatingFuel],$B181,Table7[EnergyRating (group)],$A181)</f>
        <v>904</v>
      </c>
      <c r="G181" s="757">
        <f>SUMIFS(INDEX(Table7[],,MATCH(G$112,Table7[#Headers],0)),Table7[MainWaterHeatingFuel],$B181,Table7[EnergyRating (group)],$A181)</f>
        <v>1</v>
      </c>
      <c r="H181" s="757">
        <f>SUMIFS(INDEX(Table7[],,MATCH(H$112,Table7[#Headers],0)),Table7[MainWaterHeatingFuel],$B181,Table7[EnergyRating (group)],$A181)</f>
        <v>108</v>
      </c>
      <c r="I181" s="961"/>
      <c r="J181" s="978">
        <f t="shared" ref="J181" si="154">C181+E181</f>
        <v>6929</v>
      </c>
      <c r="K181" s="979">
        <f t="shared" ref="K181" si="155">D181+F181</f>
        <v>4984</v>
      </c>
      <c r="L181" s="840"/>
      <c r="M181" s="840"/>
      <c r="N181" s="914" t="str">
        <f>RSD_Commodities!$M$69&amp;"_"&amp;RIGHT(P181,LEN(P181)-3)&amp;"_"&amp;SETUP!$B$67</f>
        <v>WH_Apt-E_PEA_X0</v>
      </c>
      <c r="O181" s="914" t="str">
        <f>RSD_Commodities!$N$69&amp;"_"&amp;RSD_Commodities!$D$10&amp;"_"&amp;SETUP!$C$67</f>
        <v>Residential Water Heating Apartment-E_Peat to Residential_Existing 00</v>
      </c>
      <c r="P181" s="930" t="str">
        <f>RSD_Commodities!$C$10</f>
        <v>RSDPEA</v>
      </c>
      <c r="Q181" s="914" t="str">
        <f>RSD_Commodities!$M$69</f>
        <v>WH_Apt-E</v>
      </c>
      <c r="R181" s="930">
        <f t="shared" si="146"/>
        <v>6.412311638345624E-5</v>
      </c>
      <c r="S181" s="914">
        <f>R181*DwellingStocks!$I$68/1000</f>
        <v>1.5254690062951996E-3</v>
      </c>
      <c r="T181" s="915">
        <v>1</v>
      </c>
      <c r="U181" s="986">
        <f t="shared" si="147"/>
        <v>0.7192957136671958</v>
      </c>
      <c r="V181" s="930">
        <v>20</v>
      </c>
      <c r="W181" s="914">
        <v>1</v>
      </c>
      <c r="X181" s="866"/>
      <c r="Y181" s="928">
        <f t="shared" si="148"/>
        <v>3.1244948742638119E-9</v>
      </c>
      <c r="Z181" s="928">
        <f t="shared" si="149"/>
        <v>4.3438252375148382E-9</v>
      </c>
      <c r="AA181" s="866"/>
      <c r="AB181" s="914" t="s">
        <v>393</v>
      </c>
      <c r="AC181" s="914" t="str">
        <f t="shared" si="150"/>
        <v>WH_Apt-E_PEA_X0</v>
      </c>
      <c r="AD181" s="915" t="str">
        <f t="shared" si="151"/>
        <v>Residential Water Heating Apartment-E_Peat to Residential_Existing 00</v>
      </c>
      <c r="AE181" s="914" t="s">
        <v>53</v>
      </c>
      <c r="AF181" s="916" t="s">
        <v>406</v>
      </c>
      <c r="AG181" s="914"/>
      <c r="AH181" s="914"/>
      <c r="AI181" s="840"/>
      <c r="AJ181" s="840"/>
      <c r="AK181" s="840"/>
      <c r="AL181" s="840"/>
      <c r="AM181" s="840"/>
      <c r="AN181" s="840"/>
      <c r="AO181" s="840"/>
    </row>
    <row r="182" spans="1:41">
      <c r="A182" s="973" t="s">
        <v>120</v>
      </c>
      <c r="B182" s="758" t="s">
        <v>666</v>
      </c>
      <c r="C182" s="758">
        <f>SUMIFS(INDEX(Table7[],,MATCH(C$112,Table7[#Headers],0)),Table7[MainWaterHeatingFuel],$B182,Table7[EnergyRating (group)],$A182)</f>
        <v>82930</v>
      </c>
      <c r="D182" s="758">
        <f>SUMIFS(INDEX(Table7[],,MATCH(D$112,Table7[#Headers],0)),Table7[MainWaterHeatingFuel],$B182,Table7[EnergyRating (group)],$A182)</f>
        <v>75391</v>
      </c>
      <c r="E182" s="759">
        <f>SUMIFS(INDEX(Table7[],,MATCH(E$112,Table7[#Headers],0)),Table7[MainWaterHeatingFuel],$B182,Table7[EnergyRating (group)],$A182)</f>
        <v>34871</v>
      </c>
      <c r="F182" s="759">
        <f>SUMIFS(INDEX(Table7[],,MATCH(F$112,Table7[#Headers],0)),Table7[MainWaterHeatingFuel],$B182,Table7[EnergyRating (group)],$A182)</f>
        <v>12915</v>
      </c>
      <c r="G182" s="758">
        <f>SUMIFS(INDEX(Table7[],,MATCH(G$112,Table7[#Headers],0)),Table7[MainWaterHeatingFuel],$B182,Table7[EnergyRating (group)],$A182)</f>
        <v>17</v>
      </c>
      <c r="H182" s="758">
        <f>SUMIFS(INDEX(Table7[],,MATCH(H$112,Table7[#Headers],0)),Table7[MainWaterHeatingFuel],$B182,Table7[EnergyRating (group)],$A182)</f>
        <v>987</v>
      </c>
      <c r="I182" s="960"/>
      <c r="J182" s="980">
        <f t="shared" si="152"/>
        <v>117801</v>
      </c>
      <c r="K182" s="981">
        <f t="shared" si="153"/>
        <v>88306</v>
      </c>
      <c r="L182" s="840"/>
      <c r="M182" s="840"/>
      <c r="N182" s="66" t="str">
        <f>RSD_Commodities!$M$69&amp;"_"&amp;RIGHT(P182,LEN(P182)-3)&amp;"_"&amp;SETUP!$B$67</f>
        <v>WH_Apt-E_COABIT_X0</v>
      </c>
      <c r="O182" s="66" t="str">
        <f>RSD_Commodities!$N$69&amp;"_"&amp;RSD_Commodities!D6&amp;"_"&amp;SETUP!$C$67</f>
        <v>Residential Water Heating Apartment-E_Bituminous Coal to Residential_Existing 00</v>
      </c>
      <c r="P182" s="83" t="str">
        <f>RSD_Commodities!$C$6</f>
        <v>RSDCOABIT</v>
      </c>
      <c r="Q182" s="66" t="str">
        <f>RSD_Commodities!$M$69</f>
        <v>WH_Apt-E</v>
      </c>
      <c r="R182" s="83">
        <f t="shared" si="146"/>
        <v>1.090092978518756E-3</v>
      </c>
      <c r="S182" s="66">
        <f>R182*DwellingStocks!$I$68/1000</f>
        <v>2.5932973107018392E-2</v>
      </c>
      <c r="T182" s="83">
        <v>1</v>
      </c>
      <c r="U182" s="987">
        <f t="shared" si="147"/>
        <v>0.74962012207027107</v>
      </c>
      <c r="V182" s="83">
        <v>20</v>
      </c>
      <c r="W182" s="66">
        <v>1</v>
      </c>
      <c r="X182" s="866"/>
      <c r="Y182" s="926">
        <f t="shared" si="148"/>
        <v>9.4111114651576711E-7</v>
      </c>
      <c r="Z182" s="926">
        <f t="shared" si="149"/>
        <v>1.255450752731455E-6</v>
      </c>
      <c r="AA182" s="866"/>
      <c r="AB182" s="66" t="s">
        <v>393</v>
      </c>
      <c r="AC182" s="66" t="str">
        <f t="shared" si="150"/>
        <v>WH_Apt-E_COABIT_X0</v>
      </c>
      <c r="AD182" s="83" t="str">
        <f t="shared" si="151"/>
        <v>Residential Water Heating Apartment-E_Bituminous Coal to Residential_Existing 00</v>
      </c>
      <c r="AE182" s="66" t="s">
        <v>53</v>
      </c>
      <c r="AF182" s="88" t="s">
        <v>406</v>
      </c>
      <c r="AG182" s="66"/>
      <c r="AH182" s="66"/>
      <c r="AI182" s="840"/>
      <c r="AJ182" s="840"/>
      <c r="AK182" s="840"/>
      <c r="AL182" s="840"/>
      <c r="AM182" s="840"/>
      <c r="AN182" s="840"/>
      <c r="AO182" s="840"/>
    </row>
    <row r="183" spans="1:41" ht="15.75" thickBot="1">
      <c r="A183" s="972" t="s">
        <v>120</v>
      </c>
      <c r="B183" s="757" t="s">
        <v>667</v>
      </c>
      <c r="C183" s="757">
        <f>SUMIFS(INDEX(Table7[],,MATCH(C$112,Table7[#Headers],0)),Table7[MainWaterHeatingFuel],$B183,Table7[EnergyRating (group)],$A183)</f>
        <v>4117</v>
      </c>
      <c r="D183" s="757">
        <f>SUMIFS(INDEX(Table7[],,MATCH(D$112,Table7[#Headers],0)),Table7[MainWaterHeatingFuel],$B183,Table7[EnergyRating (group)],$A183)</f>
        <v>3742</v>
      </c>
      <c r="E183" s="760">
        <f>SUMIFS(INDEX(Table7[],,MATCH(E$112,Table7[#Headers],0)),Table7[MainWaterHeatingFuel],$B183,Table7[EnergyRating (group)],$A183)</f>
        <v>1650</v>
      </c>
      <c r="F183" s="760">
        <f>SUMIFS(INDEX(Table7[],,MATCH(F$112,Table7[#Headers],0)),Table7[MainWaterHeatingFuel],$B183,Table7[EnergyRating (group)],$A183)</f>
        <v>611</v>
      </c>
      <c r="G183" s="757">
        <f>SUMIFS(INDEX(Table7[],,MATCH(G$112,Table7[#Headers],0)),Table7[MainWaterHeatingFuel],$B183,Table7[EnergyRating (group)],$A183)</f>
        <v>1</v>
      </c>
      <c r="H183" s="757">
        <f>SUMIFS(INDEX(Table7[],,MATCH(H$112,Table7[#Headers],0)),Table7[MainWaterHeatingFuel],$B183,Table7[EnergyRating (group)],$A183)</f>
        <v>46</v>
      </c>
      <c r="I183" s="959"/>
      <c r="J183" s="991">
        <f t="shared" ref="J183" si="156">C183+E183</f>
        <v>5767</v>
      </c>
      <c r="K183" s="992">
        <f t="shared" ref="K183" si="157">D183+F183</f>
        <v>4353</v>
      </c>
      <c r="L183" s="840"/>
      <c r="M183" s="840"/>
      <c r="N183" s="914" t="str">
        <f>RSD_Commodities!$M$69&amp;"_"&amp;RIGHT(P183,LEN(P183)-3)&amp;"_"&amp;SETUP!$B$68</f>
        <v>WH_Apt-E_PEA_X1</v>
      </c>
      <c r="O183" s="914" t="str">
        <f>RSD_Commodities!$N$69&amp;"_"&amp;RSD_Commodities!D10&amp;"_"&amp;SETUP!$C$68</f>
        <v>Residential Water Heating Apartment-E_Peat to Residential_Existing 01</v>
      </c>
      <c r="P183" s="915" t="str">
        <f>RSD_Commodities!$C$10</f>
        <v>RSDPEA</v>
      </c>
      <c r="Q183" s="914" t="str">
        <f>RSD_Commodities!$M$69</f>
        <v>WH_Apt-E</v>
      </c>
      <c r="R183" s="915">
        <f t="shared" si="146"/>
        <v>6.412311638345624E-5</v>
      </c>
      <c r="S183" s="914">
        <f>R183*DwellingStocks!$I$68/1000</f>
        <v>1.5254690062951996E-3</v>
      </c>
      <c r="T183" s="915">
        <v>1</v>
      </c>
      <c r="U183" s="986">
        <f t="shared" ref="U183" si="158">K183/J183</f>
        <v>0.75481186058609329</v>
      </c>
      <c r="V183" s="915">
        <v>20</v>
      </c>
      <c r="W183" s="914">
        <v>1</v>
      </c>
      <c r="X183" s="866"/>
      <c r="Y183" s="928">
        <f t="shared" ref="Y183" si="159">ABS((K183)*S183*1000*$B$2)</f>
        <v>2.7289177744121937E-9</v>
      </c>
      <c r="Z183" s="928">
        <f t="shared" ref="Z183" si="160">ABS((J183)*S183*1000*$B$2)</f>
        <v>3.6153615449196237E-9</v>
      </c>
      <c r="AA183" s="866"/>
      <c r="AB183" s="914" t="s">
        <v>393</v>
      </c>
      <c r="AC183" s="914" t="str">
        <f t="shared" si="144"/>
        <v>WH_Apt-E_PEA_X1</v>
      </c>
      <c r="AD183" s="915" t="str">
        <f t="shared" si="145"/>
        <v>Residential Water Heating Apartment-E_Peat to Residential_Existing 01</v>
      </c>
      <c r="AE183" s="914" t="s">
        <v>53</v>
      </c>
      <c r="AF183" s="916" t="s">
        <v>406</v>
      </c>
      <c r="AG183" s="914"/>
      <c r="AH183" s="914"/>
      <c r="AI183" s="840"/>
      <c r="AJ183" s="840"/>
      <c r="AK183" s="840"/>
      <c r="AL183" s="840"/>
      <c r="AM183" s="840"/>
      <c r="AN183" s="840"/>
      <c r="AO183" s="840"/>
    </row>
    <row r="184" spans="1:41" ht="15.75" thickBot="1">
      <c r="A184" s="756" t="s">
        <v>122</v>
      </c>
      <c r="B184" s="1048"/>
      <c r="C184" s="1049"/>
      <c r="D184" s="1049"/>
      <c r="E184" s="1049"/>
      <c r="F184" s="1049"/>
      <c r="G184" s="1049"/>
      <c r="H184" s="1049"/>
      <c r="I184" s="1049"/>
      <c r="J184" s="1050"/>
      <c r="K184" s="1051"/>
      <c r="L184" s="840"/>
      <c r="M184" s="840"/>
      <c r="N184" s="76" t="str">
        <f>AB184</f>
        <v>*F Rating</v>
      </c>
      <c r="O184" s="76"/>
      <c r="P184" s="76"/>
      <c r="Q184" s="76"/>
      <c r="R184" s="949">
        <f>SUM(R185:R195)</f>
        <v>0.99999999999999989</v>
      </c>
      <c r="S184" s="76"/>
      <c r="T184" s="97"/>
      <c r="U184" s="76"/>
      <c r="V184" s="76"/>
      <c r="W184" s="76"/>
      <c r="X184" s="840"/>
      <c r="Y184" s="76"/>
      <c r="Z184" s="76"/>
      <c r="AA184" s="840"/>
      <c r="AB184" s="140" t="str">
        <f>"*"&amp; A185 &amp; " Rating"</f>
        <v>*F Rating</v>
      </c>
      <c r="AC184" s="141"/>
      <c r="AD184" s="141"/>
      <c r="AE184" s="141"/>
      <c r="AF184" s="141"/>
      <c r="AG184" s="141"/>
      <c r="AH184" s="141"/>
      <c r="AI184" s="840"/>
      <c r="AJ184" s="840"/>
      <c r="AK184" s="840"/>
      <c r="AL184" s="840"/>
      <c r="AM184" s="840"/>
      <c r="AN184" s="840"/>
      <c r="AO184" s="840"/>
    </row>
    <row r="185" spans="1:41">
      <c r="A185" s="972" t="s">
        <v>122</v>
      </c>
      <c r="B185" s="757" t="s">
        <v>581</v>
      </c>
      <c r="C185" s="757">
        <f>SUMIFS(INDEX(Table7[],,MATCH(C$112,Table7[#Headers],0)),Table7[MainWaterHeatingFuel],$B185,Table7[EnergyRating (group)],$A185)</f>
        <v>6195</v>
      </c>
      <c r="D185" s="757">
        <f>SUMIFS(INDEX(Table7[],,MATCH(D$112,Table7[#Headers],0)),Table7[MainWaterHeatingFuel],$B185,Table7[EnergyRating (group)],$A185)</f>
        <v>2294</v>
      </c>
      <c r="E185" s="760">
        <f>SUMIFS(INDEX(Table7[],,MATCH(E$112,Table7[#Headers],0)),Table7[MainWaterHeatingFuel],$B185,Table7[EnergyRating (group)],$A185)</f>
        <v>0</v>
      </c>
      <c r="F185" s="760">
        <f>SUMIFS(INDEX(Table7[],,MATCH(F$112,Table7[#Headers],0)),Table7[MainWaterHeatingFuel],$B185,Table7[EnergyRating (group)],$A185)</f>
        <v>0</v>
      </c>
      <c r="G185" s="757">
        <f>SUMIFS(INDEX(Table7[],,MATCH(G$112,Table7[#Headers],0)),Table7[MainWaterHeatingFuel],$B185,Table7[EnergyRating (group)],$A185)</f>
        <v>1</v>
      </c>
      <c r="H185" s="757">
        <f>SUMIFS(INDEX(Table7[],,MATCH(H$112,Table7[#Headers],0)),Table7[MainWaterHeatingFuel],$B185,Table7[EnergyRating (group)],$A185)</f>
        <v>71</v>
      </c>
      <c r="I185" s="959"/>
      <c r="J185" s="989">
        <f t="shared" ref="J185:J188" si="161">C185+E185</f>
        <v>6195</v>
      </c>
      <c r="K185" s="990">
        <f t="shared" ref="K185:K189" si="162">D185+F185</f>
        <v>2294</v>
      </c>
      <c r="L185" s="840"/>
      <c r="M185" s="840"/>
      <c r="N185" s="914" t="str">
        <f>RSD_Commodities!$M$70&amp;"_"&amp;RIGHT(P185,LEN(P185)-3)&amp;"_"&amp;SETUP!$B$67</f>
        <v>WH_Apt-F_BIOETH_X0</v>
      </c>
      <c r="O185" s="914" t="str">
        <f>RSD_Commodities!$N$70&amp;"_"&amp;RSD_Commodities!D23&amp;"_"&amp;SETUP!$C$67</f>
        <v>Residential Water Heating Apartment-F_Ethanol to Residential_Existing 00</v>
      </c>
      <c r="P185" s="915" t="str">
        <f>RSD_Commodities!$C$23</f>
        <v>RSDBIOETH</v>
      </c>
      <c r="Q185" s="914" t="str">
        <f>RSD_Commodities!$M$70</f>
        <v>WH_Apt-F</v>
      </c>
      <c r="R185" s="915">
        <f>G185/SUM($G$185:$G$195)</f>
        <v>1.9264110961279138E-4</v>
      </c>
      <c r="S185" s="914">
        <f>R185*DwellingStocks!$I$69/1000</f>
        <v>1.5431353950381456E-3</v>
      </c>
      <c r="T185" s="915">
        <v>1</v>
      </c>
      <c r="U185" s="986">
        <f>K185/J185</f>
        <v>0.37029862792574658</v>
      </c>
      <c r="V185" s="915">
        <v>20</v>
      </c>
      <c r="W185" s="914">
        <v>1</v>
      </c>
      <c r="X185" s="866"/>
      <c r="Y185" s="928">
        <f>ABS((K185)*S185*1000*$B$2)</f>
        <v>1.4547750395414411E-9</v>
      </c>
      <c r="Z185" s="928">
        <f>ABS((J185)*S185*1000*$B$2)</f>
        <v>3.928653605038896E-9</v>
      </c>
      <c r="AA185" s="866"/>
      <c r="AB185" s="914" t="s">
        <v>393</v>
      </c>
      <c r="AC185" s="914" t="str">
        <f t="shared" ref="AC185" si="163">N185</f>
        <v>WH_Apt-F_BIOETH_X0</v>
      </c>
      <c r="AD185" s="915" t="str">
        <f t="shared" ref="AD185" si="164">O185</f>
        <v>Residential Water Heating Apartment-F_Ethanol to Residential_Existing 00</v>
      </c>
      <c r="AE185" s="914" t="s">
        <v>53</v>
      </c>
      <c r="AF185" s="916" t="s">
        <v>406</v>
      </c>
      <c r="AG185" s="914"/>
      <c r="AH185" s="914"/>
      <c r="AI185" s="840"/>
      <c r="AJ185" s="840"/>
      <c r="AK185" s="840"/>
      <c r="AL185" s="840"/>
      <c r="AM185" s="840"/>
      <c r="AN185" s="840"/>
      <c r="AO185" s="840"/>
    </row>
    <row r="186" spans="1:41">
      <c r="A186" s="973" t="s">
        <v>122</v>
      </c>
      <c r="B186" s="758" t="s">
        <v>582</v>
      </c>
      <c r="C186" s="758">
        <f>SUMIFS(INDEX(Table7[],,MATCH(C$112,Table7[#Headers],0)),Table7[MainWaterHeatingFuel],$B186,Table7[EnergyRating (group)],$A186)</f>
        <v>50458</v>
      </c>
      <c r="D186" s="758">
        <f>SUMIFS(INDEX(Table7[],,MATCH(D$112,Table7[#Headers],0)),Table7[MainWaterHeatingFuel],$B186,Table7[EnergyRating (group)],$A186)</f>
        <v>45871</v>
      </c>
      <c r="E186" s="758">
        <f>SUMIFS(INDEX(Table7[],,MATCH(E$112,Table7[#Headers],0)),Table7[MainWaterHeatingFuel],$B186,Table7[EnergyRating (group)],$A186)</f>
        <v>15684</v>
      </c>
      <c r="F186" s="758">
        <f>SUMIFS(INDEX(Table7[],,MATCH(F$112,Table7[#Headers],0)),Table7[MainWaterHeatingFuel],$B186,Table7[EnergyRating (group)],$A186)</f>
        <v>5809</v>
      </c>
      <c r="G186" s="758">
        <f>SUMIFS(INDEX(Table7[],,MATCH(G$112,Table7[#Headers],0)),Table7[MainWaterHeatingFuel],$B186,Table7[EnergyRating (group)],$A186)</f>
        <v>15</v>
      </c>
      <c r="H186" s="758">
        <f>SUMIFS(INDEX(Table7[],,MATCH(H$112,Table7[#Headers],0)),Table7[MainWaterHeatingFuel],$B186,Table7[EnergyRating (group)],$A186)</f>
        <v>890</v>
      </c>
      <c r="I186" s="960"/>
      <c r="J186" s="980">
        <f t="shared" si="161"/>
        <v>66142</v>
      </c>
      <c r="K186" s="981">
        <f t="shared" si="162"/>
        <v>51680</v>
      </c>
      <c r="L186" s="840"/>
      <c r="M186" s="840"/>
      <c r="N186" s="66" t="str">
        <f>RSD_Commodities!$M$70&amp;"_"&amp;RIGHT(P186,LEN(P186)-3)&amp;"_"&amp;SETUP!$B$67</f>
        <v>WH_Apt-F_OILLPG_X0</v>
      </c>
      <c r="O186" s="66" t="str">
        <f>RSD_Commodities!$N$70&amp;"_"&amp;RSD_Commodities!D11&amp;"_"&amp;SETUP!$C$67</f>
        <v>Residential Water Heating Apartment-F_LPG to Residential_Existing 00</v>
      </c>
      <c r="P186" s="83" t="str">
        <f>RSD_Commodities!$C$11</f>
        <v>RSDOILLPG</v>
      </c>
      <c r="Q186" s="66" t="str">
        <f>RSD_Commodities!$M$70</f>
        <v>WH_Apt-F</v>
      </c>
      <c r="R186" s="83">
        <f t="shared" ref="R186:R195" si="165">G186/SUM($G$185:$G$195)</f>
        <v>2.8896166441918707E-3</v>
      </c>
      <c r="S186" s="66">
        <f>R186*DwellingStocks!$I$69/1000</f>
        <v>2.3147030925572184E-2</v>
      </c>
      <c r="T186" s="83">
        <v>1</v>
      </c>
      <c r="U186" s="987">
        <f>K186/J186</f>
        <v>0.78134921834840187</v>
      </c>
      <c r="V186" s="83">
        <v>20</v>
      </c>
      <c r="W186" s="66">
        <v>1</v>
      </c>
      <c r="X186" s="866"/>
      <c r="Y186" s="926">
        <f>ABS((K186)*S186*1000*$B$2)</f>
        <v>4.9160488694530309E-7</v>
      </c>
      <c r="Z186" s="926">
        <f>ABS((J186)*S186*1000*$B$2)</f>
        <v>6.2917435047090222E-7</v>
      </c>
      <c r="AA186" s="866"/>
      <c r="AB186" s="914" t="s">
        <v>393</v>
      </c>
      <c r="AC186" s="914" t="str">
        <f t="shared" ref="AC186:AC195" si="166">N186</f>
        <v>WH_Apt-F_OILLPG_X0</v>
      </c>
      <c r="AD186" s="915" t="str">
        <f t="shared" ref="AD186:AD195" si="167">O186</f>
        <v>Residential Water Heating Apartment-F_LPG to Residential_Existing 00</v>
      </c>
      <c r="AE186" s="914" t="s">
        <v>53</v>
      </c>
      <c r="AF186" s="916" t="s">
        <v>406</v>
      </c>
      <c r="AG186" s="914"/>
      <c r="AH186" s="914"/>
      <c r="AI186" s="840"/>
      <c r="AJ186" s="840"/>
      <c r="AK186" s="840"/>
      <c r="AL186" s="840"/>
      <c r="AM186" s="840"/>
      <c r="AN186" s="840"/>
      <c r="AO186" s="840"/>
    </row>
    <row r="187" spans="1:41">
      <c r="A187" s="972" t="s">
        <v>122</v>
      </c>
      <c r="B187" s="757" t="s">
        <v>228</v>
      </c>
      <c r="C187" s="757">
        <f>SUMIFS(INDEX(Table7[],,MATCH(C$112,Table7[#Headers],0)),Table7[MainWaterHeatingFuel],$B187,Table7[EnergyRating (group)],$A187)</f>
        <v>22972785</v>
      </c>
      <c r="D187" s="757">
        <f>SUMIFS(INDEX(Table7[],,MATCH(D$112,Table7[#Headers],0)),Table7[MainWaterHeatingFuel],$B187,Table7[EnergyRating (group)],$A187)</f>
        <v>8508441</v>
      </c>
      <c r="E187" s="757">
        <f>SUMIFS(INDEX(Table7[],,MATCH(E$112,Table7[#Headers],0)),Table7[MainWaterHeatingFuel],$B187,Table7[EnergyRating (group)],$A187)</f>
        <v>52304</v>
      </c>
      <c r="F187" s="757">
        <f>SUMIFS(INDEX(Table7[],,MATCH(F$112,Table7[#Headers],0)),Table7[MainWaterHeatingFuel],$B187,Table7[EnergyRating (group)],$A187)</f>
        <v>19372</v>
      </c>
      <c r="G187" s="757">
        <f>SUMIFS(INDEX(Table7[],,MATCH(G$112,Table7[#Headers],0)),Table7[MainWaterHeatingFuel],$B187,Table7[EnergyRating (group)],$A187)</f>
        <v>4025</v>
      </c>
      <c r="H187" s="757">
        <f>SUMIFS(INDEX(Table7[],,MATCH(H$112,Table7[#Headers],0)),Table7[MainWaterHeatingFuel],$B187,Table7[EnergyRating (group)],$A187)</f>
        <v>213935</v>
      </c>
      <c r="I187" s="961"/>
      <c r="J187" s="978">
        <f t="shared" si="161"/>
        <v>23025089</v>
      </c>
      <c r="K187" s="979">
        <f t="shared" si="162"/>
        <v>8527813</v>
      </c>
      <c r="L187" s="840"/>
      <c r="M187" s="840"/>
      <c r="N187" s="914" t="str">
        <f>RSD_Commodities!$M$70&amp;"_"&amp;RIGHT(P187,LEN(P187)-3)&amp;"_"&amp;SETUP!$B$67</f>
        <v>WH_Apt-F_ELCD_X0</v>
      </c>
      <c r="O187" s="914" t="str">
        <f>RSD_Commodities!$N$70&amp;"_"&amp;RSD_Commodities!D27&amp;"_"&amp;SETUP!$C$67</f>
        <v>Residential Water Heating Apartment-F_Electricity to Residential_Existing 00</v>
      </c>
      <c r="P187" s="915" t="str">
        <f>RSD_Commodities!$C$27</f>
        <v>RSDELCD</v>
      </c>
      <c r="Q187" s="914" t="str">
        <f>RSD_Commodities!$M$70</f>
        <v>WH_Apt-F</v>
      </c>
      <c r="R187" s="915">
        <f t="shared" si="165"/>
        <v>0.77538046619148526</v>
      </c>
      <c r="S187" s="914">
        <f>R187*DwellingStocks!$I$69/1000</f>
        <v>6.2111199650285362</v>
      </c>
      <c r="T187" s="915">
        <v>1</v>
      </c>
      <c r="U187" s="986">
        <f t="shared" ref="U187:U195" si="168">K187/J187</f>
        <v>0.37037046849200017</v>
      </c>
      <c r="V187" s="915">
        <v>20</v>
      </c>
      <c r="W187" s="914">
        <v>1</v>
      </c>
      <c r="X187" s="866"/>
      <c r="Y187" s="928">
        <f t="shared" ref="Y187:Y195" si="169">ABS((K187)*S187*1000*$B$2)</f>
        <v>2.1767371061231472E-2</v>
      </c>
      <c r="Z187" s="928">
        <f t="shared" ref="Z187:Z195" si="170">ABS((J187)*S187*1000*$B$2)</f>
        <v>5.8771886294983131E-2</v>
      </c>
      <c r="AA187" s="866"/>
      <c r="AB187" s="66" t="s">
        <v>393</v>
      </c>
      <c r="AC187" s="66" t="str">
        <f t="shared" si="166"/>
        <v>WH_Apt-F_ELCD_X0</v>
      </c>
      <c r="AD187" s="83" t="str">
        <f t="shared" si="167"/>
        <v>Residential Water Heating Apartment-F_Electricity to Residential_Existing 00</v>
      </c>
      <c r="AE187" s="66" t="s">
        <v>53</v>
      </c>
      <c r="AF187" s="88" t="s">
        <v>406</v>
      </c>
      <c r="AG187" s="66"/>
      <c r="AH187" s="66"/>
      <c r="AI187" s="840"/>
      <c r="AJ187" s="840"/>
      <c r="AK187" s="840"/>
      <c r="AL187" s="840"/>
      <c r="AM187" s="840"/>
      <c r="AN187" s="840"/>
      <c r="AO187" s="840"/>
    </row>
    <row r="188" spans="1:41">
      <c r="A188" s="973" t="s">
        <v>122</v>
      </c>
      <c r="B188" s="758" t="s">
        <v>583</v>
      </c>
      <c r="C188" s="758">
        <f>SUMIFS(INDEX(Table7[],,MATCH(C$112,Table7[#Headers],0)),Table7[MainWaterHeatingFuel],$B188,Table7[EnergyRating (group)],$A188)</f>
        <v>1164288</v>
      </c>
      <c r="D188" s="758">
        <f>SUMIFS(INDEX(Table7[],,MATCH(D$112,Table7[#Headers],0)),Table7[MainWaterHeatingFuel],$B188,Table7[EnergyRating (group)],$A188)</f>
        <v>1058444</v>
      </c>
      <c r="E188" s="759">
        <f>SUMIFS(INDEX(Table7[],,MATCH(E$112,Table7[#Headers],0)),Table7[MainWaterHeatingFuel],$B188,Table7[EnergyRating (group)],$A188)</f>
        <v>376177</v>
      </c>
      <c r="F188" s="759">
        <f>SUMIFS(INDEX(Table7[],,MATCH(F$112,Table7[#Headers],0)),Table7[MainWaterHeatingFuel],$B188,Table7[EnergyRating (group)],$A188)</f>
        <v>139325</v>
      </c>
      <c r="G188" s="758">
        <f>SUMIFS(INDEX(Table7[],,MATCH(G$112,Table7[#Headers],0)),Table7[MainWaterHeatingFuel],$B188,Table7[EnergyRating (group)],$A188)</f>
        <v>249</v>
      </c>
      <c r="H188" s="758">
        <f>SUMIFS(INDEX(Table7[],,MATCH(H$112,Table7[#Headers],0)),Table7[MainWaterHeatingFuel],$B188,Table7[EnergyRating (group)],$A188)</f>
        <v>22554</v>
      </c>
      <c r="I188" s="960"/>
      <c r="J188" s="980">
        <f t="shared" si="161"/>
        <v>1540465</v>
      </c>
      <c r="K188" s="981">
        <f t="shared" si="162"/>
        <v>1197769</v>
      </c>
      <c r="L188" s="840"/>
      <c r="M188" s="840"/>
      <c r="N188" s="66" t="str">
        <f>RSD_Commodities!$M$70&amp;"_"&amp;RIGHT(P188,LEN(P188)-3)&amp;"_"&amp;SETUP!$B$67</f>
        <v>WH_Apt-F_OILKER_X0</v>
      </c>
      <c r="O188" s="66" t="str">
        <f>RSD_Commodities!$N$70&amp;"_"&amp;RSD_Commodities!D13&amp;"_"&amp;SETUP!$C$67</f>
        <v>Residential Water Heating Apartment-F_Kerosene to Residential_Existing 00</v>
      </c>
      <c r="P188" s="83" t="str">
        <f>RSD_Commodities!$C$13</f>
        <v>RSDOILKER</v>
      </c>
      <c r="Q188" s="66" t="str">
        <f>RSD_Commodities!$M$70</f>
        <v>WH_Apt-F</v>
      </c>
      <c r="R188" s="83">
        <f t="shared" si="165"/>
        <v>4.7967636293585053E-2</v>
      </c>
      <c r="S188" s="66">
        <f>R188*DwellingStocks!$I$69/1000</f>
        <v>0.38424071336449828</v>
      </c>
      <c r="T188" s="83">
        <v>1</v>
      </c>
      <c r="U188" s="987">
        <f>K188/J188</f>
        <v>0.77753730204840743</v>
      </c>
      <c r="V188" s="83">
        <v>20</v>
      </c>
      <c r="W188" s="66">
        <v>1</v>
      </c>
      <c r="X188" s="866"/>
      <c r="Y188" s="926">
        <f t="shared" si="169"/>
        <v>1.891362801394035E-4</v>
      </c>
      <c r="Z188" s="926">
        <f t="shared" si="170"/>
        <v>2.4325042623823641E-4</v>
      </c>
      <c r="AA188" s="866"/>
      <c r="AB188" s="914" t="s">
        <v>393</v>
      </c>
      <c r="AC188" s="914" t="str">
        <f t="shared" si="166"/>
        <v>WH_Apt-F_OILKER_X0</v>
      </c>
      <c r="AD188" s="915" t="str">
        <f t="shared" si="167"/>
        <v>Residential Water Heating Apartment-F_Kerosene to Residential_Existing 00</v>
      </c>
      <c r="AE188" s="914" t="s">
        <v>53</v>
      </c>
      <c r="AF188" s="916" t="s">
        <v>406</v>
      </c>
      <c r="AG188" s="914"/>
      <c r="AH188" s="914"/>
      <c r="AI188" s="840"/>
      <c r="AJ188" s="840"/>
      <c r="AK188" s="840"/>
      <c r="AL188" s="840"/>
      <c r="AM188" s="840"/>
      <c r="AN188" s="840"/>
      <c r="AO188" s="840"/>
    </row>
    <row r="189" spans="1:41">
      <c r="A189" s="972" t="s">
        <v>122</v>
      </c>
      <c r="B189" s="757" t="s">
        <v>584</v>
      </c>
      <c r="C189" s="757">
        <f>SUMIFS(INDEX(Table7[],,MATCH(C$112,Table7[#Headers],0)),Table7[MainWaterHeatingFuel],$B189,Table7[EnergyRating (group)],$A189)</f>
        <v>2642231</v>
      </c>
      <c r="D189" s="757">
        <f>SUMIFS(INDEX(Table7[],,MATCH(D$112,Table7[#Headers],0)),Table7[MainWaterHeatingFuel],$B189,Table7[EnergyRating (group)],$A189)</f>
        <v>2402029</v>
      </c>
      <c r="E189" s="760">
        <f>SUMIFS(INDEX(Table7[],,MATCH(E$112,Table7[#Headers],0)),Table7[MainWaterHeatingFuel],$B189,Table7[EnergyRating (group)],$A189)</f>
        <v>683338</v>
      </c>
      <c r="F189" s="760">
        <f>SUMIFS(INDEX(Table7[],,MATCH(F$112,Table7[#Headers],0)),Table7[MainWaterHeatingFuel],$B189,Table7[EnergyRating (group)],$A189)</f>
        <v>253088</v>
      </c>
      <c r="G189" s="757">
        <f>SUMIFS(INDEX(Table7[],,MATCH(G$112,Table7[#Headers],0)),Table7[MainWaterHeatingFuel],$B189,Table7[EnergyRating (group)],$A189)</f>
        <v>638</v>
      </c>
      <c r="H189" s="757">
        <f>SUMIFS(INDEX(Table7[],,MATCH(H$112,Table7[#Headers],0)),Table7[MainWaterHeatingFuel],$B189,Table7[EnergyRating (group)],$A189)</f>
        <v>38617</v>
      </c>
      <c r="I189" s="959"/>
      <c r="J189" s="998">
        <f>C189+E189</f>
        <v>3325569</v>
      </c>
      <c r="K189" s="979">
        <f t="shared" si="162"/>
        <v>2655117</v>
      </c>
      <c r="L189" s="840"/>
      <c r="M189" s="840"/>
      <c r="N189" s="914" t="str">
        <f>RSD_Commodities!$M$70&amp;"_"&amp;RIGHT(P189,LEN(P189)-3)&amp;"_"&amp;SETUP!$B$67</f>
        <v>WH_Apt-F_GASNAT_X0</v>
      </c>
      <c r="O189" s="914" t="str">
        <f>RSD_Commodities!$N$70&amp;"_"&amp;RSD_Commodities!D17&amp;"_"&amp;SETUP!$C$67</f>
        <v>Residential Water Heating Apartment-F_Natural Gas to Residential_Existing 00</v>
      </c>
      <c r="P189" s="915" t="str">
        <f>RSD_Commodities!$C$17</f>
        <v>RSDGASNAT</v>
      </c>
      <c r="Q189" s="914" t="str">
        <f>RSD_Commodities!$M$70</f>
        <v>WH_Apt-F</v>
      </c>
      <c r="R189" s="915">
        <f t="shared" si="165"/>
        <v>0.12290502793296089</v>
      </c>
      <c r="S189" s="914">
        <f>R189*DwellingStocks!$I$69/1000</f>
        <v>0.98452038203433689</v>
      </c>
      <c r="T189" s="915">
        <v>1</v>
      </c>
      <c r="U189" s="986">
        <f t="shared" si="168"/>
        <v>0.79839480100999261</v>
      </c>
      <c r="V189" s="915">
        <v>20</v>
      </c>
      <c r="W189" s="914">
        <v>1</v>
      </c>
      <c r="X189" s="866"/>
      <c r="Y189" s="928">
        <f t="shared" si="169"/>
        <v>1.0742534807613136E-3</v>
      </c>
      <c r="Z189" s="928">
        <f t="shared" si="170"/>
        <v>1.3455166283677595E-3</v>
      </c>
      <c r="AA189" s="866"/>
      <c r="AB189" s="66" t="s">
        <v>393</v>
      </c>
      <c r="AC189" s="66" t="str">
        <f t="shared" si="166"/>
        <v>WH_Apt-F_GASNAT_X0</v>
      </c>
      <c r="AD189" s="83" t="str">
        <f t="shared" si="167"/>
        <v>Residential Water Heating Apartment-F_Natural Gas to Residential_Existing 00</v>
      </c>
      <c r="AE189" s="66" t="s">
        <v>53</v>
      </c>
      <c r="AF189" s="88" t="s">
        <v>406</v>
      </c>
      <c r="AG189" s="66"/>
      <c r="AH189" s="66"/>
      <c r="AI189" s="840"/>
      <c r="AJ189" s="840"/>
      <c r="AK189" s="840"/>
      <c r="AL189" s="840"/>
      <c r="AM189" s="840"/>
      <c r="AN189" s="840"/>
      <c r="AO189" s="840"/>
    </row>
    <row r="190" spans="1:41">
      <c r="A190" s="973" t="s">
        <v>122</v>
      </c>
      <c r="B190" s="758" t="s">
        <v>587</v>
      </c>
      <c r="C190" s="758">
        <f>SUMIFS(INDEX(Table7[],,MATCH(C112,Table7[#Headers],0)),Table7[MainWaterHeatingFuel],"",Table7[EnergyRating (group)],$A190)</f>
        <v>0</v>
      </c>
      <c r="D190" s="758">
        <f>SUMIFS(INDEX(Table7[],,MATCH(D112,Table7[#Headers],0)),Table7[MainWaterHeatingFuel],"",Table7[EnergyRating (group)],$A190)</f>
        <v>0</v>
      </c>
      <c r="E190" s="758">
        <f>SUMIFS(INDEX(Table7[],,MATCH(E112,Table7[#Headers],0)),Table7[MainWaterHeatingFuel],"",Table7[EnergyRating (group)],$A190)</f>
        <v>47598</v>
      </c>
      <c r="F190" s="758">
        <f>SUMIFS(INDEX(Table7[],,MATCH(F112,Table7[#Headers],0)),Table7[MainWaterHeatingFuel],"",Table7[EnergyRating (group)],$A190)</f>
        <v>17629</v>
      </c>
      <c r="G190" s="758">
        <f>SUMIFS(INDEX(Table7[],,MATCH(G112,Table7[#Headers],0)),Table7[MainWaterHeatingFuel],"",Table7[EnergyRating (group)],$A190)</f>
        <v>169</v>
      </c>
      <c r="H190" s="758">
        <f>SUMIFS(INDEX(Table7[],,MATCH(H112,Table7[#Headers],0)),Table7[MainWaterHeatingFuel],"",Table7[EnergyRating (group)],$A190)</f>
        <v>8061</v>
      </c>
      <c r="I190" s="960"/>
      <c r="J190" s="980">
        <f>C190+E190</f>
        <v>47598</v>
      </c>
      <c r="K190" s="981">
        <f>D190+F190</f>
        <v>17629</v>
      </c>
      <c r="L190" s="840"/>
      <c r="M190" s="840"/>
      <c r="N190" s="66" t="str">
        <f>RSD_Commodities!$M$70&amp;"_"&amp;RIGHT(P190,LEN(P190)-3)&amp;"_"&amp;SETUP!$B$67</f>
        <v>WH_Apt-F_HET_X0</v>
      </c>
      <c r="O190" s="66" t="str">
        <f>RSD_Commodities!$N$70&amp;"_"&amp;RSD_Commodities!D28&amp;"_"&amp;SETUP!$C$67</f>
        <v>Residential Water Heating Apartment-F_Heat to Residential_Existing 00</v>
      </c>
      <c r="P190" s="83" t="str">
        <f>RSD_Commodities!$C$28</f>
        <v>RSDHET</v>
      </c>
      <c r="Q190" s="66" t="str">
        <f>RSD_Commodities!$M$70</f>
        <v>WH_Apt-F</v>
      </c>
      <c r="R190" s="83">
        <f t="shared" si="165"/>
        <v>3.2556347524561741E-2</v>
      </c>
      <c r="S190" s="66">
        <f>R190*DwellingStocks!$I$69/1000</f>
        <v>0.26078988176144663</v>
      </c>
      <c r="T190" s="83">
        <v>1</v>
      </c>
      <c r="U190" s="987">
        <f t="shared" si="168"/>
        <v>0.37037270473549311</v>
      </c>
      <c r="V190" s="83">
        <v>20</v>
      </c>
      <c r="W190" s="66">
        <v>1</v>
      </c>
      <c r="X190" s="866"/>
      <c r="Y190" s="926">
        <f t="shared" si="169"/>
        <v>1.8893691063996755E-6</v>
      </c>
      <c r="Z190" s="926">
        <f t="shared" si="170"/>
        <v>5.1012644351019197E-6</v>
      </c>
      <c r="AA190" s="866"/>
      <c r="AB190" s="914" t="s">
        <v>393</v>
      </c>
      <c r="AC190" s="914" t="str">
        <f t="shared" si="166"/>
        <v>WH_Apt-F_HET_X0</v>
      </c>
      <c r="AD190" s="915" t="str">
        <f t="shared" si="167"/>
        <v>Residential Water Heating Apartment-F_Heat to Residential_Existing 00</v>
      </c>
      <c r="AE190" s="914" t="s">
        <v>53</v>
      </c>
      <c r="AF190" s="916" t="s">
        <v>406</v>
      </c>
      <c r="AG190" s="914"/>
      <c r="AH190" s="914"/>
      <c r="AI190" s="840"/>
      <c r="AJ190" s="840"/>
      <c r="AK190" s="840"/>
      <c r="AL190" s="840"/>
      <c r="AM190" s="840"/>
      <c r="AN190" s="840"/>
      <c r="AO190" s="840"/>
    </row>
    <row r="191" spans="1:41">
      <c r="A191" s="972" t="s">
        <v>122</v>
      </c>
      <c r="B191" s="757" t="s">
        <v>664</v>
      </c>
      <c r="C191" s="757">
        <f>SUMIFS(INDEX(Table7[],,MATCH(C$112,Table7[#Headers],0)),Table7[MainWaterHeatingFuel],$B191,Table7[EnergyRating (group)],$A191)</f>
        <v>5548</v>
      </c>
      <c r="D191" s="757">
        <f>SUMIFS(INDEX(Table7[],,MATCH(D$112,Table7[#Headers],0)),Table7[MainWaterHeatingFuel],$B191,Table7[EnergyRating (group)],$A191)</f>
        <v>5044</v>
      </c>
      <c r="E191" s="760">
        <f>SUMIFS(INDEX(Table7[],,MATCH(E$112,Table7[#Headers],0)),Table7[MainWaterHeatingFuel],$B191,Table7[EnergyRating (group)],$A191)</f>
        <v>3055</v>
      </c>
      <c r="F191" s="760">
        <f>SUMIFS(INDEX(Table7[],,MATCH(F$112,Table7[#Headers],0)),Table7[MainWaterHeatingFuel],$B191,Table7[EnergyRating (group)],$A191)</f>
        <v>1131</v>
      </c>
      <c r="G191" s="757">
        <f>SUMIFS(INDEX(Table7[],,MATCH(G$112,Table7[#Headers],0)),Table7[MainWaterHeatingFuel],$B191,Table7[EnergyRating (group)],$A191)</f>
        <v>1</v>
      </c>
      <c r="H191" s="757">
        <f>SUMIFS(INDEX(Table7[],,MATCH(H$112,Table7[#Headers],0)),Table7[MainWaterHeatingFuel],$B191,Table7[EnergyRating (group)],$A191)</f>
        <v>115</v>
      </c>
      <c r="I191" s="959"/>
      <c r="J191" s="978">
        <f t="shared" ref="J191:J195" si="171">C191+E191</f>
        <v>8603</v>
      </c>
      <c r="K191" s="979">
        <f t="shared" ref="K191:K195" si="172">D191+F191</f>
        <v>6175</v>
      </c>
      <c r="L191" s="840"/>
      <c r="M191" s="840"/>
      <c r="N191" s="914" t="str">
        <f>RSD_Commodities!$M$70&amp;"_"&amp;RIGHT(P191,LEN(P191)-3)&amp;"_"&amp;SETUP!$B$68</f>
        <v>WH_Apt-F_OILLPG_X1</v>
      </c>
      <c r="O191" s="914" t="str">
        <f>RSD_Commodities!$N$70&amp;"_"&amp;RSD_Commodities!D11&amp;"_"&amp;SETUP!$C$68</f>
        <v>Residential Water Heating Apartment-F_LPG to Residential_Existing 01</v>
      </c>
      <c r="P191" s="915" t="str">
        <f>RSD_Commodities!$C$11</f>
        <v>RSDOILLPG</v>
      </c>
      <c r="Q191" s="914" t="str">
        <f>RSD_Commodities!$M$70</f>
        <v>WH_Apt-F</v>
      </c>
      <c r="R191" s="915">
        <f t="shared" si="165"/>
        <v>1.9264110961279138E-4</v>
      </c>
      <c r="S191" s="914">
        <f>R191*DwellingStocks!$I$69/1000</f>
        <v>1.5431353950381456E-3</v>
      </c>
      <c r="T191" s="915">
        <v>1</v>
      </c>
      <c r="U191" s="986">
        <f t="shared" si="168"/>
        <v>0.7177728699290945</v>
      </c>
      <c r="V191" s="915">
        <v>20</v>
      </c>
      <c r="W191" s="914">
        <v>1</v>
      </c>
      <c r="X191" s="866"/>
      <c r="Y191" s="928">
        <f t="shared" si="169"/>
        <v>3.9159703004221448E-9</v>
      </c>
      <c r="Z191" s="928">
        <f t="shared" si="170"/>
        <v>5.4557234808958226E-9</v>
      </c>
      <c r="AA191" s="866"/>
      <c r="AB191" s="66" t="s">
        <v>393</v>
      </c>
      <c r="AC191" s="66" t="str">
        <f t="shared" si="166"/>
        <v>WH_Apt-F_OILLPG_X1</v>
      </c>
      <c r="AD191" s="83" t="str">
        <f t="shared" si="167"/>
        <v>Residential Water Heating Apartment-F_LPG to Residential_Existing 01</v>
      </c>
      <c r="AE191" s="66" t="s">
        <v>53</v>
      </c>
      <c r="AF191" s="88" t="s">
        <v>406</v>
      </c>
      <c r="AG191" s="66"/>
      <c r="AH191" s="66"/>
      <c r="AI191" s="840"/>
      <c r="AJ191" s="840"/>
      <c r="AK191" s="840"/>
      <c r="AL191" s="840"/>
      <c r="AM191" s="840"/>
      <c r="AN191" s="840"/>
      <c r="AO191" s="840"/>
    </row>
    <row r="192" spans="1:41">
      <c r="A192" s="973" t="s">
        <v>122</v>
      </c>
      <c r="B192" s="758" t="s">
        <v>665</v>
      </c>
      <c r="C192" s="758">
        <f>SUMIFS(INDEX(Table7[],,MATCH(C$112,Table7[#Headers],0)),Table7[MainWaterHeatingFuel],$B192,Table7[EnergyRating (group)],$A192)</f>
        <v>290208</v>
      </c>
      <c r="D192" s="758">
        <f>SUMIFS(INDEX(Table7[],,MATCH(D$112,Table7[#Headers],0)),Table7[MainWaterHeatingFuel],$B192,Table7[EnergyRating (group)],$A192)</f>
        <v>263825</v>
      </c>
      <c r="E192" s="758">
        <f>SUMIFS(INDEX(Table7[],,MATCH(E$112,Table7[#Headers],0)),Table7[MainWaterHeatingFuel],$B192,Table7[EnergyRating (group)],$A192)</f>
        <v>110277</v>
      </c>
      <c r="F192" s="758">
        <f>SUMIFS(INDEX(Table7[],,MATCH(F$112,Table7[#Headers],0)),Table7[MainWaterHeatingFuel],$B192,Table7[EnergyRating (group)],$A192)</f>
        <v>40844</v>
      </c>
      <c r="G192" s="758">
        <f>SUMIFS(INDEX(Table7[],,MATCH(G$112,Table7[#Headers],0)),Table7[MainWaterHeatingFuel],$B192,Table7[EnergyRating (group)],$A192)</f>
        <v>54</v>
      </c>
      <c r="H192" s="758">
        <f>SUMIFS(INDEX(Table7[],,MATCH(H$112,Table7[#Headers],0)),Table7[MainWaterHeatingFuel],$B192,Table7[EnergyRating (group)],$A192)</f>
        <v>3576</v>
      </c>
      <c r="I192" s="960"/>
      <c r="J192" s="980">
        <f t="shared" si="171"/>
        <v>400485</v>
      </c>
      <c r="K192" s="981">
        <f t="shared" si="172"/>
        <v>304669</v>
      </c>
      <c r="L192" s="840"/>
      <c r="M192" s="840"/>
      <c r="N192" s="66" t="str">
        <f>RSD_Commodities!$M$70&amp;"_"&amp;RSD_Commodities!$C$26&amp;"_"&amp;SETUP!$B$67</f>
        <v>WH_Apt-F_RSDSMF_X0</v>
      </c>
      <c r="O192" s="66" t="str">
        <f>RSD_Commodities!$N$70&amp;"_"&amp;RSD_Commodities!$D$26&amp;"_"&amp;SETUP!$C$67</f>
        <v>Residential Water Heating Apartment-F_Solid Multi-Fuel_Existing 00</v>
      </c>
      <c r="P192" s="83" t="str">
        <f>RSD_Commodities!$C$6&amp;","&amp;RSD_Commodities!$C$7&amp;","&amp;RSD_Commodities!$C$9&amp;","&amp;RSD_Commodities!$C$10&amp;","&amp;RSD_Commodities!$C$19</f>
        <v>RSDCOABIT,RSDCOAHAR,RSDCOALIG,RSDPEA,RSDBIOWOO</v>
      </c>
      <c r="Q192" s="66" t="str">
        <f>RSD_Commodities!$M$70</f>
        <v>WH_Apt-F</v>
      </c>
      <c r="R192" s="83">
        <f t="shared" si="165"/>
        <v>1.0402619919090734E-2</v>
      </c>
      <c r="S192" s="66">
        <f>R192*DwellingStocks!$I$69/1000</f>
        <v>8.3329311332059869E-2</v>
      </c>
      <c r="T192" s="83">
        <v>1</v>
      </c>
      <c r="U192" s="987">
        <f t="shared" si="168"/>
        <v>0.76075009051525022</v>
      </c>
      <c r="V192" s="83">
        <v>20</v>
      </c>
      <c r="W192" s="66">
        <v>1</v>
      </c>
      <c r="X192" s="866"/>
      <c r="Y192" s="926">
        <f t="shared" si="169"/>
        <v>1.0433366282559186E-5</v>
      </c>
      <c r="Z192" s="926">
        <f t="shared" si="170"/>
        <v>1.3714577773487673E-5</v>
      </c>
      <c r="AA192" s="866"/>
      <c r="AB192" s="914" t="s">
        <v>393</v>
      </c>
      <c r="AC192" s="914" t="str">
        <f t="shared" si="166"/>
        <v>WH_Apt-F_RSDSMF_X0</v>
      </c>
      <c r="AD192" s="915" t="str">
        <f t="shared" si="167"/>
        <v>Residential Water Heating Apartment-F_Solid Multi-Fuel_Existing 00</v>
      </c>
      <c r="AE192" s="914" t="s">
        <v>53</v>
      </c>
      <c r="AF192" s="916" t="s">
        <v>406</v>
      </c>
      <c r="AG192" s="914"/>
      <c r="AH192" s="914"/>
      <c r="AI192" s="840"/>
      <c r="AJ192" s="840"/>
      <c r="AK192" s="840"/>
      <c r="AL192" s="840"/>
      <c r="AM192" s="840"/>
      <c r="AN192" s="840"/>
      <c r="AO192" s="840"/>
    </row>
    <row r="193" spans="1:41">
      <c r="A193" s="972" t="s">
        <v>122</v>
      </c>
      <c r="B193" s="757" t="s">
        <v>669</v>
      </c>
      <c r="C193" s="757">
        <f>SUMIFS(INDEX(Table7[],,MATCH(C$112,Table7[#Headers],0)),Table7[MainWaterHeatingFuel],$B193,Table7[EnergyRating (group)],$A193)</f>
        <v>118160</v>
      </c>
      <c r="D193" s="757">
        <f>SUMIFS(INDEX(Table7[],,MATCH(D$112,Table7[#Headers],0)),Table7[MainWaterHeatingFuel],$B193,Table7[EnergyRating (group)],$A193)</f>
        <v>98466</v>
      </c>
      <c r="E193" s="757">
        <f>SUMIFS(INDEX(Table7[],,MATCH(E$112,Table7[#Headers],0)),Table7[MainWaterHeatingFuel],$B193,Table7[EnergyRating (group)],$A193)</f>
        <v>42131</v>
      </c>
      <c r="F193" s="757">
        <f>SUMIFS(INDEX(Table7[],,MATCH(F$112,Table7[#Headers],0)),Table7[MainWaterHeatingFuel],$B193,Table7[EnergyRating (group)],$A193)</f>
        <v>15604</v>
      </c>
      <c r="G193" s="757">
        <f>SUMIFS(INDEX(Table7[],,MATCH(G$112,Table7[#Headers],0)),Table7[MainWaterHeatingFuel],$B193,Table7[EnergyRating (group)],$A193)</f>
        <v>24</v>
      </c>
      <c r="H193" s="757">
        <f>SUMIFS(INDEX(Table7[],,MATCH(H$112,Table7[#Headers],0)),Table7[MainWaterHeatingFuel],$B193,Table7[EnergyRating (group)],$A193)</f>
        <v>1355</v>
      </c>
      <c r="I193" s="961"/>
      <c r="J193" s="978">
        <f t="shared" si="171"/>
        <v>160291</v>
      </c>
      <c r="K193" s="979">
        <f t="shared" si="172"/>
        <v>114070</v>
      </c>
      <c r="L193" s="840"/>
      <c r="M193" s="840"/>
      <c r="N193" s="914" t="str">
        <f>RSD_Commodities!$M$70&amp;"_"&amp;RIGHT(P193,LEN(P193)-3)&amp;"_"&amp;SETUP!$B$67</f>
        <v>WH_Apt-F_COAHAR_X0</v>
      </c>
      <c r="O193" s="914" t="str">
        <f>RSD_Commodities!$N$70&amp;"_"&amp;RSD_Commodities!$D$7&amp;"_"&amp;SETUP!$C$67</f>
        <v>Residential Water Heating Apartment-F_Anthracite + Manufactured Ovoids to Residential_Existing 00</v>
      </c>
      <c r="P193" s="930" t="str">
        <f>RSD_Commodities!$C$7</f>
        <v>RSDCOAHAR</v>
      </c>
      <c r="Q193" s="914" t="str">
        <f>RSD_Commodities!$M$70</f>
        <v>WH_Apt-F</v>
      </c>
      <c r="R193" s="930">
        <f t="shared" si="165"/>
        <v>4.6233866307069929E-3</v>
      </c>
      <c r="S193" s="914">
        <f>R193*DwellingStocks!$I$69/1000</f>
        <v>3.7035249480915494E-2</v>
      </c>
      <c r="T193" s="915">
        <v>1</v>
      </c>
      <c r="U193" s="986">
        <f t="shared" si="168"/>
        <v>0.7116431989319425</v>
      </c>
      <c r="V193" s="930">
        <v>20</v>
      </c>
      <c r="W193" s="914">
        <v>1</v>
      </c>
      <c r="X193" s="840"/>
      <c r="Y193" s="928">
        <f t="shared" si="169"/>
        <v>1.7361414691594647E-6</v>
      </c>
      <c r="Z193" s="928">
        <f t="shared" si="170"/>
        <v>2.4396234963885311E-6</v>
      </c>
      <c r="AA193" s="840"/>
      <c r="AB193" s="66" t="s">
        <v>393</v>
      </c>
      <c r="AC193" s="66" t="str">
        <f t="shared" si="166"/>
        <v>WH_Apt-F_COAHAR_X0</v>
      </c>
      <c r="AD193" s="83" t="str">
        <f t="shared" si="167"/>
        <v>Residential Water Heating Apartment-F_Anthracite + Manufactured Ovoids to Residential_Existing 00</v>
      </c>
      <c r="AE193" s="66" t="s">
        <v>53</v>
      </c>
      <c r="AF193" s="88" t="s">
        <v>406</v>
      </c>
      <c r="AG193" s="66"/>
      <c r="AH193" s="66"/>
      <c r="AI193" s="840"/>
      <c r="AJ193" s="840"/>
      <c r="AK193" s="840"/>
      <c r="AL193" s="840"/>
      <c r="AM193" s="840"/>
      <c r="AN193" s="840"/>
      <c r="AO193" s="840"/>
    </row>
    <row r="194" spans="1:41">
      <c r="A194" s="973" t="s">
        <v>122</v>
      </c>
      <c r="B194" s="758" t="s">
        <v>671</v>
      </c>
      <c r="C194" s="758">
        <f>SUMIFS(INDEX(Table7[],,MATCH(C$112,Table7[#Headers],0)),Table7[MainWaterHeatingFuel],$B194,Table7[EnergyRating (group)],$A194)</f>
        <v>6196</v>
      </c>
      <c r="D194" s="758">
        <f>SUMIFS(INDEX(Table7[],,MATCH(D$112,Table7[#Headers],0)),Table7[MainWaterHeatingFuel],$B194,Table7[EnergyRating (group)],$A194)</f>
        <v>5633</v>
      </c>
      <c r="E194" s="759">
        <f>SUMIFS(INDEX(Table7[],,MATCH(E$112,Table7[#Headers],0)),Table7[MainWaterHeatingFuel],$B194,Table7[EnergyRating (group)],$A194)</f>
        <v>2284</v>
      </c>
      <c r="F194" s="759">
        <f>SUMIFS(INDEX(Table7[],,MATCH(F$112,Table7[#Headers],0)),Table7[MainWaterHeatingFuel],$B194,Table7[EnergyRating (group)],$A194)</f>
        <v>846</v>
      </c>
      <c r="G194" s="758">
        <f>SUMIFS(INDEX(Table7[],,MATCH(G$112,Table7[#Headers],0)),Table7[MainWaterHeatingFuel],$B194,Table7[EnergyRating (group)],$A194)</f>
        <v>1</v>
      </c>
      <c r="H194" s="758">
        <f>SUMIFS(INDEX(Table7[],,MATCH(H$112,Table7[#Headers],0)),Table7[MainWaterHeatingFuel],$B194,Table7[EnergyRating (group)],$A194)</f>
        <v>89</v>
      </c>
      <c r="I194" s="960"/>
      <c r="J194" s="980">
        <f t="shared" si="171"/>
        <v>8480</v>
      </c>
      <c r="K194" s="981">
        <f t="shared" si="172"/>
        <v>6479</v>
      </c>
      <c r="L194" s="840"/>
      <c r="M194" s="840"/>
      <c r="N194" s="66" t="str">
        <f>RSD_Commodities!$M$70&amp;"_"&amp;RIGHT(P194,LEN(P194)-3)&amp;"_"&amp;SETUP!$B$67</f>
        <v>WH_Apt-F_PEA_X0</v>
      </c>
      <c r="O194" s="66" t="str">
        <f>RSD_Commodities!$N$70&amp;"_"&amp;RSD_Commodities!$D$10&amp;"_"&amp;SETUP!$C$67</f>
        <v>Residential Water Heating Apartment-F_Peat to Residential_Existing 00</v>
      </c>
      <c r="P194" s="83" t="str">
        <f>RSD_Commodities!$C$10</f>
        <v>RSDPEA</v>
      </c>
      <c r="Q194" s="66" t="str">
        <f>RSD_Commodities!$M$70</f>
        <v>WH_Apt-F</v>
      </c>
      <c r="R194" s="83">
        <f t="shared" si="165"/>
        <v>1.9264110961279138E-4</v>
      </c>
      <c r="S194" s="66">
        <f>R194*DwellingStocks!$I$69/1000</f>
        <v>1.5431353950381456E-3</v>
      </c>
      <c r="T194" s="83">
        <v>1</v>
      </c>
      <c r="U194" s="987">
        <f t="shared" si="168"/>
        <v>0.76403301886792452</v>
      </c>
      <c r="V194" s="83">
        <v>20</v>
      </c>
      <c r="W194" s="66">
        <v>1</v>
      </c>
      <c r="X194" s="866"/>
      <c r="Y194" s="926">
        <f t="shared" si="169"/>
        <v>4.108756530596773E-9</v>
      </c>
      <c r="Z194" s="926">
        <f t="shared" si="170"/>
        <v>5.3777211575027993E-9</v>
      </c>
      <c r="AA194" s="866"/>
      <c r="AB194" s="914" t="s">
        <v>393</v>
      </c>
      <c r="AC194" s="914" t="str">
        <f t="shared" si="166"/>
        <v>WH_Apt-F_PEA_X0</v>
      </c>
      <c r="AD194" s="915" t="str">
        <f t="shared" si="167"/>
        <v>Residential Water Heating Apartment-F_Peat to Residential_Existing 00</v>
      </c>
      <c r="AE194" s="914" t="s">
        <v>53</v>
      </c>
      <c r="AF194" s="916" t="s">
        <v>406</v>
      </c>
      <c r="AG194" s="914"/>
      <c r="AH194" s="914"/>
      <c r="AI194" s="840"/>
      <c r="AJ194" s="840"/>
      <c r="AK194" s="840"/>
      <c r="AL194" s="840"/>
      <c r="AM194" s="840"/>
      <c r="AN194" s="840"/>
      <c r="AO194" s="840"/>
    </row>
    <row r="195" spans="1:41" ht="15.75" thickBot="1">
      <c r="A195" s="972" t="s">
        <v>122</v>
      </c>
      <c r="B195" s="757" t="s">
        <v>666</v>
      </c>
      <c r="C195" s="757">
        <f>SUMIFS(INDEX(Table7[],,MATCH(C$112,Table7[#Headers],0)),Table7[MainWaterHeatingFuel],$B195,Table7[EnergyRating (group)],$A195)</f>
        <v>81125</v>
      </c>
      <c r="D195" s="757">
        <f>SUMIFS(INDEX(Table7[],,MATCH(D$112,Table7[#Headers],0)),Table7[MainWaterHeatingFuel],$B195,Table7[EnergyRating (group)],$A195)</f>
        <v>73750</v>
      </c>
      <c r="E195" s="760">
        <f>SUMIFS(INDEX(Table7[],,MATCH(E$112,Table7[#Headers],0)),Table7[MainWaterHeatingFuel],$B195,Table7[EnergyRating (group)],$A195)</f>
        <v>37747</v>
      </c>
      <c r="F195" s="760">
        <f>SUMIFS(INDEX(Table7[],,MATCH(F$112,Table7[#Headers],0)),Table7[MainWaterHeatingFuel],$B195,Table7[EnergyRating (group)],$A195)</f>
        <v>13980</v>
      </c>
      <c r="G195" s="757">
        <f>SUMIFS(INDEX(Table7[],,MATCH(G$112,Table7[#Headers],0)),Table7[MainWaterHeatingFuel],$B195,Table7[EnergyRating (group)],$A195)</f>
        <v>14</v>
      </c>
      <c r="H195" s="757">
        <f>SUMIFS(INDEX(Table7[],,MATCH(H$112,Table7[#Headers],0)),Table7[MainWaterHeatingFuel],$B195,Table7[EnergyRating (group)],$A195)</f>
        <v>926</v>
      </c>
      <c r="I195" s="959"/>
      <c r="J195" s="991">
        <f t="shared" si="171"/>
        <v>118872</v>
      </c>
      <c r="K195" s="992">
        <f t="shared" si="172"/>
        <v>87730</v>
      </c>
      <c r="L195" s="840"/>
      <c r="M195" s="840"/>
      <c r="N195" s="914" t="str">
        <f>RSD_Commodities!$M$70&amp;"_"&amp;RIGHT(P195,LEN(P195)-3)&amp;"_"&amp;SETUP!$B$67</f>
        <v>WH_Apt-F_COABIT_X0</v>
      </c>
      <c r="O195" s="914" t="str">
        <f>RSD_Commodities!$N$70&amp;"_"&amp;RSD_Commodities!D6&amp;"_"&amp;SETUP!$C$67</f>
        <v>Residential Water Heating Apartment-F_Bituminous Coal to Residential_Existing 00</v>
      </c>
      <c r="P195" s="915" t="str">
        <f>RSD_Commodities!$C$6</f>
        <v>RSDCOABIT</v>
      </c>
      <c r="Q195" s="914" t="str">
        <f>RSD_Commodities!$M$70</f>
        <v>WH_Apt-F</v>
      </c>
      <c r="R195" s="915">
        <f t="shared" si="165"/>
        <v>2.6969755345790792E-3</v>
      </c>
      <c r="S195" s="914">
        <f>R195*DwellingStocks!$I$69/1000</f>
        <v>2.1603895530534038E-2</v>
      </c>
      <c r="T195" s="915">
        <v>1</v>
      </c>
      <c r="U195" s="986">
        <f t="shared" si="168"/>
        <v>0.73802072817820852</v>
      </c>
      <c r="V195" s="915">
        <v>20</v>
      </c>
      <c r="W195" s="914">
        <v>1</v>
      </c>
      <c r="X195" s="866"/>
      <c r="Y195" s="928">
        <f t="shared" si="169"/>
        <v>7.7889441981934995E-7</v>
      </c>
      <c r="Z195" s="928">
        <f t="shared" si="170"/>
        <v>1.0553828504817711E-6</v>
      </c>
      <c r="AA195" s="866"/>
      <c r="AB195" s="66" t="s">
        <v>393</v>
      </c>
      <c r="AC195" s="66" t="str">
        <f t="shared" si="166"/>
        <v>WH_Apt-F_COABIT_X0</v>
      </c>
      <c r="AD195" s="83" t="str">
        <f t="shared" si="167"/>
        <v>Residential Water Heating Apartment-F_Bituminous Coal to Residential_Existing 00</v>
      </c>
      <c r="AE195" s="66" t="s">
        <v>53</v>
      </c>
      <c r="AF195" s="88" t="s">
        <v>406</v>
      </c>
      <c r="AG195" s="66"/>
      <c r="AH195" s="66"/>
      <c r="AI195" s="840"/>
      <c r="AJ195" s="840"/>
      <c r="AK195" s="840"/>
      <c r="AL195" s="840"/>
      <c r="AM195" s="840"/>
      <c r="AN195" s="840"/>
      <c r="AO195" s="840"/>
    </row>
    <row r="196" spans="1:41" ht="15.75" thickBot="1">
      <c r="A196" s="756" t="s">
        <v>124</v>
      </c>
      <c r="B196" s="1048"/>
      <c r="C196" s="1049"/>
      <c r="D196" s="1049"/>
      <c r="E196" s="1049"/>
      <c r="F196" s="1049"/>
      <c r="G196" s="1049"/>
      <c r="H196" s="1049"/>
      <c r="I196" s="1049"/>
      <c r="J196" s="1050"/>
      <c r="K196" s="1051"/>
      <c r="L196" s="840"/>
      <c r="M196" s="840"/>
      <c r="N196" s="76" t="str">
        <f>AB196</f>
        <v>*G Rating</v>
      </c>
      <c r="O196" s="76"/>
      <c r="P196" s="76"/>
      <c r="Q196" s="76"/>
      <c r="R196" s="949">
        <f>SUM(R197:R209)</f>
        <v>0.99999999999999989</v>
      </c>
      <c r="S196" s="76"/>
      <c r="T196" s="97"/>
      <c r="U196" s="76"/>
      <c r="V196" s="76"/>
      <c r="W196" s="76"/>
      <c r="X196" s="840"/>
      <c r="Y196" s="76"/>
      <c r="Z196" s="76"/>
      <c r="AA196" s="840"/>
      <c r="AB196" s="140" t="str">
        <f>"*"&amp; A197 &amp; " Rating"</f>
        <v>*G Rating</v>
      </c>
      <c r="AC196" s="141"/>
      <c r="AD196" s="141"/>
      <c r="AE196" s="141"/>
      <c r="AF196" s="141"/>
      <c r="AG196" s="141"/>
      <c r="AH196" s="141"/>
      <c r="AI196" s="840"/>
      <c r="AJ196" s="840"/>
      <c r="AK196" s="840"/>
      <c r="AL196" s="840"/>
      <c r="AM196" s="840"/>
      <c r="AN196" s="840"/>
      <c r="AO196" s="840"/>
    </row>
    <row r="197" spans="1:41">
      <c r="A197" s="972" t="s">
        <v>124</v>
      </c>
      <c r="B197" s="757" t="s">
        <v>582</v>
      </c>
      <c r="C197" s="757">
        <f>SUMIFS(INDEX(Table7[],,MATCH(C$112,Table7[#Headers],0)),Table7[MainWaterHeatingFuel],$B197,Table7[EnergyRating (group)],$A197)</f>
        <v>69699</v>
      </c>
      <c r="D197" s="757">
        <f>SUMIFS(INDEX(Table7[],,MATCH(D$112,Table7[#Headers],0)),Table7[MainWaterHeatingFuel],$B197,Table7[EnergyRating (group)],$A197)</f>
        <v>63363</v>
      </c>
      <c r="E197" s="760">
        <f>SUMIFS(INDEX(Table7[],,MATCH(E$112,Table7[#Headers],0)),Table7[MainWaterHeatingFuel],$B197,Table7[EnergyRating (group)],$A197)</f>
        <v>9099</v>
      </c>
      <c r="F197" s="760">
        <f>SUMIFS(INDEX(Table7[],,MATCH(F$112,Table7[#Headers],0)),Table7[MainWaterHeatingFuel],$B197,Table7[EnergyRating (group)],$A197)</f>
        <v>3370</v>
      </c>
      <c r="G197" s="757">
        <f>SUMIFS(INDEX(Table7[],,MATCH(G$112,Table7[#Headers],0)),Table7[MainWaterHeatingFuel],$B197,Table7[EnergyRating (group)],$A197)</f>
        <v>12</v>
      </c>
      <c r="H197" s="757">
        <f>SUMIFS(INDEX(Table7[],,MATCH(H$112,Table7[#Headers],0)),Table7[MainWaterHeatingFuel],$B197,Table7[EnergyRating (group)],$A197)</f>
        <v>1158</v>
      </c>
      <c r="I197" s="959"/>
      <c r="J197" s="989">
        <f t="shared" ref="J197:J199" si="173">C197+E197</f>
        <v>78798</v>
      </c>
      <c r="K197" s="990">
        <f t="shared" ref="K197:K199" si="174">D197+F197</f>
        <v>66733</v>
      </c>
      <c r="L197" s="840"/>
      <c r="M197" s="840"/>
      <c r="N197" s="914" t="str">
        <f>RSD_Commodities!$M$71&amp;"_"&amp;RIGHT(P197,LEN(P197)-3)&amp;"_"&amp;SETUP!$B$67</f>
        <v>WH_Apt-G_OILLPG_X0</v>
      </c>
      <c r="O197" s="914" t="str">
        <f>RSD_Commodities!$N$71&amp;"_"&amp;RSD_Commodities!D11&amp;"_"&amp;SETUP!$C$67</f>
        <v>Residential Water Heating Apartment-G_LPG to Residential_Existing 00</v>
      </c>
      <c r="P197" s="915" t="str">
        <f>RSD_Commodities!$C$11</f>
        <v>RSDOILLPG</v>
      </c>
      <c r="Q197" s="914" t="str">
        <f>RSD_Commodities!$M$71</f>
        <v>WH_Apt-G</v>
      </c>
      <c r="R197" s="915">
        <f>G197/SUM($G$197:$G$209)</f>
        <v>2.1417097983223274E-3</v>
      </c>
      <c r="S197" s="914">
        <f>R197*DwellingStocks!$I$70/1000</f>
        <v>1.8542261888586271E-2</v>
      </c>
      <c r="T197" s="915">
        <v>1</v>
      </c>
      <c r="U197" s="986">
        <f>K197/J197</f>
        <v>0.84688697682682301</v>
      </c>
      <c r="V197" s="915">
        <v>20</v>
      </c>
      <c r="W197" s="914">
        <v>1</v>
      </c>
      <c r="X197" s="866"/>
      <c r="Y197" s="928">
        <f>ABS((K197)*S197*1000*$B$2)</f>
        <v>5.0851264216891552E-7</v>
      </c>
      <c r="Z197" s="928">
        <f>ABS((J197)*S197*1000*$B$2)</f>
        <v>6.0044924066992662E-7</v>
      </c>
      <c r="AA197" s="866"/>
      <c r="AB197" s="914" t="s">
        <v>393</v>
      </c>
      <c r="AC197" s="914" t="str">
        <f t="shared" ref="AC197:AC207" si="175">N197</f>
        <v>WH_Apt-G_OILLPG_X0</v>
      </c>
      <c r="AD197" s="915" t="str">
        <f t="shared" ref="AD197:AD207" si="176">O197</f>
        <v>Residential Water Heating Apartment-G_LPG to Residential_Existing 00</v>
      </c>
      <c r="AE197" s="914" t="s">
        <v>53</v>
      </c>
      <c r="AF197" s="916" t="s">
        <v>406</v>
      </c>
      <c r="AG197" s="914"/>
      <c r="AH197" s="914"/>
      <c r="AI197" s="840"/>
      <c r="AJ197" s="840"/>
      <c r="AK197" s="840"/>
      <c r="AL197" s="840"/>
      <c r="AM197" s="840"/>
      <c r="AN197" s="840"/>
      <c r="AO197" s="840"/>
    </row>
    <row r="198" spans="1:41">
      <c r="A198" s="973" t="s">
        <v>124</v>
      </c>
      <c r="B198" s="758" t="s">
        <v>228</v>
      </c>
      <c r="C198" s="758">
        <f>SUMIFS(INDEX(Table7[],,MATCH(C$112,Table7[#Headers],0)),Table7[MainWaterHeatingFuel],$B198,Table7[EnergyRating (group)],$A198)</f>
        <v>24605198</v>
      </c>
      <c r="D198" s="758">
        <f>SUMIFS(INDEX(Table7[],,MATCH(D$112,Table7[#Headers],0)),Table7[MainWaterHeatingFuel],$B198,Table7[EnergyRating (group)],$A198)</f>
        <v>9113034</v>
      </c>
      <c r="E198" s="758">
        <f>SUMIFS(INDEX(Table7[],,MATCH(E$112,Table7[#Headers],0)),Table7[MainWaterHeatingFuel],$B198,Table7[EnergyRating (group)],$A198)</f>
        <v>56962</v>
      </c>
      <c r="F198" s="758">
        <f>SUMIFS(INDEX(Table7[],,MATCH(F$112,Table7[#Headers],0)),Table7[MainWaterHeatingFuel],$B198,Table7[EnergyRating (group)],$A198)</f>
        <v>21097</v>
      </c>
      <c r="G198" s="758">
        <f>SUMIFS(INDEX(Table7[],,MATCH(G$112,Table7[#Headers],0)),Table7[MainWaterHeatingFuel],$B198,Table7[EnergyRating (group)],$A198)</f>
        <v>4515</v>
      </c>
      <c r="H198" s="758">
        <f>SUMIFS(INDEX(Table7[],,MATCH(H$112,Table7[#Headers],0)),Table7[MainWaterHeatingFuel],$B198,Table7[EnergyRating (group)],$A198)</f>
        <v>223699</v>
      </c>
      <c r="I198" s="960"/>
      <c r="J198" s="980">
        <f t="shared" si="173"/>
        <v>24662160</v>
      </c>
      <c r="K198" s="981">
        <f t="shared" si="174"/>
        <v>9134131</v>
      </c>
      <c r="L198" s="840"/>
      <c r="M198" s="840"/>
      <c r="N198" s="66" t="str">
        <f>RSD_Commodities!$M$71&amp;"_"&amp;RIGHT(P198,LEN(P198)-3)&amp;"_"&amp;SETUP!$B$67</f>
        <v>WH_Apt-G_ELCD_X0</v>
      </c>
      <c r="O198" s="66" t="str">
        <f>RSD_Commodities!$N$71&amp;"_"&amp;RSD_Commodities!D27&amp;"_"&amp;SETUP!$C$67</f>
        <v>Residential Water Heating Apartment-G_Electricity to Residential_Existing 00</v>
      </c>
      <c r="P198" s="83" t="str">
        <f>RSD_Commodities!$C$27</f>
        <v>RSDELCD</v>
      </c>
      <c r="Q198" s="66" t="str">
        <f>RSD_Commodities!$M$71</f>
        <v>WH_Apt-G</v>
      </c>
      <c r="R198" s="83">
        <f t="shared" ref="R198:R209" si="177">G198/SUM($G$197:$G$209)</f>
        <v>0.80581831161877571</v>
      </c>
      <c r="S198" s="66">
        <f>R198*DwellingStocks!$I$70/1000</f>
        <v>6.9765260355805845</v>
      </c>
      <c r="T198" s="83">
        <v>1</v>
      </c>
      <c r="U198" s="987">
        <f>K198/J198</f>
        <v>0.37037027575848991</v>
      </c>
      <c r="V198" s="83">
        <v>20</v>
      </c>
      <c r="W198" s="66">
        <v>1</v>
      </c>
      <c r="X198" s="866"/>
      <c r="Y198" s="926">
        <f>ABS((K198)*S198*1000*$B$2)</f>
        <v>2.6188151808453589E-2</v>
      </c>
      <c r="Z198" s="926">
        <f>ABS((J198)*S198*1000*$B$2)</f>
        <v>7.0708027945337301E-2</v>
      </c>
      <c r="AA198" s="866"/>
      <c r="AB198" s="914" t="s">
        <v>393</v>
      </c>
      <c r="AC198" s="914" t="str">
        <f t="shared" si="175"/>
        <v>WH_Apt-G_ELCD_X0</v>
      </c>
      <c r="AD198" s="915" t="str">
        <f t="shared" si="176"/>
        <v>Residential Water Heating Apartment-G_Electricity to Residential_Existing 00</v>
      </c>
      <c r="AE198" s="914" t="s">
        <v>53</v>
      </c>
      <c r="AF198" s="916" t="s">
        <v>406</v>
      </c>
      <c r="AG198" s="914"/>
      <c r="AH198" s="914"/>
      <c r="AI198" s="840"/>
      <c r="AJ198" s="840"/>
      <c r="AK198" s="840"/>
      <c r="AL198" s="840"/>
      <c r="AM198" s="840"/>
      <c r="AN198" s="840"/>
      <c r="AO198" s="840"/>
    </row>
    <row r="199" spans="1:41">
      <c r="A199" s="972" t="s">
        <v>124</v>
      </c>
      <c r="B199" s="757" t="s">
        <v>583</v>
      </c>
      <c r="C199" s="757">
        <f>SUMIFS(INDEX(Table7[],,MATCH(C$112,Table7[#Headers],0)),Table7[MainWaterHeatingFuel],$B199,Table7[EnergyRating (group)],$A199)</f>
        <v>1293820</v>
      </c>
      <c r="D199" s="757">
        <f>SUMIFS(INDEX(Table7[],,MATCH(D$112,Table7[#Headers],0)),Table7[MainWaterHeatingFuel],$B199,Table7[EnergyRating (group)],$A199)</f>
        <v>1176200</v>
      </c>
      <c r="E199" s="757">
        <f>SUMIFS(INDEX(Table7[],,MATCH(E$112,Table7[#Headers],0)),Table7[MainWaterHeatingFuel],$B199,Table7[EnergyRating (group)],$A199)</f>
        <v>458602</v>
      </c>
      <c r="F199" s="757">
        <f>SUMIFS(INDEX(Table7[],,MATCH(F$112,Table7[#Headers],0)),Table7[MainWaterHeatingFuel],$B199,Table7[EnergyRating (group)],$A199)</f>
        <v>169852</v>
      </c>
      <c r="G199" s="757">
        <f>SUMIFS(INDEX(Table7[],,MATCH(G$112,Table7[#Headers],0)),Table7[MainWaterHeatingFuel],$B199,Table7[EnergyRating (group)],$A199)</f>
        <v>281</v>
      </c>
      <c r="H199" s="757">
        <f>SUMIFS(INDEX(Table7[],,MATCH(H$112,Table7[#Headers],0)),Table7[MainWaterHeatingFuel],$B199,Table7[EnergyRating (group)],$A199)</f>
        <v>23577</v>
      </c>
      <c r="I199" s="961"/>
      <c r="J199" s="978">
        <f t="shared" si="173"/>
        <v>1752422</v>
      </c>
      <c r="K199" s="979">
        <f t="shared" si="174"/>
        <v>1346052</v>
      </c>
      <c r="L199" s="840"/>
      <c r="M199" s="840"/>
      <c r="N199" s="914" t="str">
        <f>RSD_Commodities!$M$71&amp;"_"&amp;RIGHT(P199,LEN(P199)-3)&amp;"_"&amp;SETUP!$B$67</f>
        <v>WH_Apt-G_OILKER_X0</v>
      </c>
      <c r="O199" s="914" t="str">
        <f>RSD_Commodities!$N$71&amp;"_"&amp;RSD_Commodities!D13&amp;"_"&amp;SETUP!$C$67</f>
        <v>Residential Water Heating Apartment-G_Kerosene to Residential_Existing 00</v>
      </c>
      <c r="P199" s="915" t="str">
        <f>RSD_Commodities!$C$13</f>
        <v>RSDOILKER</v>
      </c>
      <c r="Q199" s="914" t="str">
        <f>RSD_Commodities!$M$71</f>
        <v>WH_Apt-G</v>
      </c>
      <c r="R199" s="915">
        <f t="shared" si="177"/>
        <v>5.0151704444047832E-2</v>
      </c>
      <c r="S199" s="914">
        <f>R199*DwellingStocks!$I$70/1000</f>
        <v>0.43419796589106185</v>
      </c>
      <c r="T199" s="915">
        <v>1</v>
      </c>
      <c r="U199" s="986">
        <f t="shared" ref="U199" si="178">K199/J199</f>
        <v>0.7681095078696798</v>
      </c>
      <c r="V199" s="915">
        <v>20</v>
      </c>
      <c r="W199" s="914">
        <v>1</v>
      </c>
      <c r="X199" s="866"/>
      <c r="Y199" s="928">
        <f t="shared" ref="Y199:Y207" si="179">ABS((K199)*S199*1000*$B$2)</f>
        <v>2.4018618097955988E-4</v>
      </c>
      <c r="Z199" s="928">
        <f t="shared" ref="Z199:Z207" si="180">ABS((J199)*S199*1000*$B$2)</f>
        <v>3.1269783607510131E-4</v>
      </c>
      <c r="AA199" s="866"/>
      <c r="AB199" s="66" t="s">
        <v>393</v>
      </c>
      <c r="AC199" s="66" t="str">
        <f t="shared" si="175"/>
        <v>WH_Apt-G_OILKER_X0</v>
      </c>
      <c r="AD199" s="83" t="str">
        <f t="shared" si="176"/>
        <v>Residential Water Heating Apartment-G_Kerosene to Residential_Existing 00</v>
      </c>
      <c r="AE199" s="66" t="s">
        <v>53</v>
      </c>
      <c r="AF199" s="88" t="s">
        <v>406</v>
      </c>
      <c r="AG199" s="66"/>
      <c r="AH199" s="66"/>
      <c r="AI199" s="840"/>
      <c r="AJ199" s="840"/>
      <c r="AK199" s="840"/>
      <c r="AL199" s="840"/>
      <c r="AM199" s="840"/>
      <c r="AN199" s="840"/>
      <c r="AO199" s="840"/>
    </row>
    <row r="200" spans="1:41">
      <c r="A200" s="973" t="s">
        <v>124</v>
      </c>
      <c r="B200" s="758" t="s">
        <v>584</v>
      </c>
      <c r="C200" s="758">
        <f>SUMIFS(INDEX(Table7[],,MATCH(C$112,Table7[#Headers],0)),Table7[MainWaterHeatingFuel],$B200,Table7[EnergyRating (group)],$A200)</f>
        <v>1748337</v>
      </c>
      <c r="D200" s="758">
        <f>SUMIFS(INDEX(Table7[],,MATCH(D$112,Table7[#Headers],0)),Table7[MainWaterHeatingFuel],$B200,Table7[EnergyRating (group)],$A200)</f>
        <v>1589398</v>
      </c>
      <c r="E200" s="759">
        <f>SUMIFS(INDEX(Table7[],,MATCH(E$112,Table7[#Headers],0)),Table7[MainWaterHeatingFuel],$B200,Table7[EnergyRating (group)],$A200)</f>
        <v>567016</v>
      </c>
      <c r="F200" s="759">
        <f>SUMIFS(INDEX(Table7[],,MATCH(F$112,Table7[#Headers],0)),Table7[MainWaterHeatingFuel],$B200,Table7[EnergyRating (group)],$A200)</f>
        <v>210006</v>
      </c>
      <c r="G200" s="758">
        <f>SUMIFS(INDEX(Table7[],,MATCH(G$112,Table7[#Headers],0)),Table7[MainWaterHeatingFuel],$B200,Table7[EnergyRating (group)],$A200)</f>
        <v>425</v>
      </c>
      <c r="H200" s="758">
        <f>SUMIFS(INDEX(Table7[],,MATCH(H$112,Table7[#Headers],0)),Table7[MainWaterHeatingFuel],$B200,Table7[EnergyRating (group)],$A200)</f>
        <v>24466</v>
      </c>
      <c r="I200" s="960"/>
      <c r="J200" s="980">
        <f t="shared" ref="J200:J207" si="181">C200+E200</f>
        <v>2315353</v>
      </c>
      <c r="K200" s="981">
        <f t="shared" ref="K200:K207" si="182">D200+F200</f>
        <v>1799404</v>
      </c>
      <c r="L200" s="840"/>
      <c r="M200" s="840"/>
      <c r="N200" s="66" t="str">
        <f>RSD_Commodities!$M$71&amp;"_"&amp;RIGHT(P200,LEN(P200)-3)&amp;"_"&amp;SETUP!$B$67</f>
        <v>WH_Apt-G_GASNAT_X0</v>
      </c>
      <c r="O200" s="66" t="str">
        <f>RSD_Commodities!$N$71&amp;"_"&amp;RSD_Commodities!D17&amp;"_"&amp;SETUP!$C$67</f>
        <v>Residential Water Heating Apartment-G_Natural Gas to Residential_Existing 00</v>
      </c>
      <c r="P200" s="83" t="str">
        <f>RSD_Commodities!$C$17</f>
        <v>RSDGASNAT</v>
      </c>
      <c r="Q200" s="66" t="str">
        <f>RSD_Commodities!$M$71</f>
        <v>WH_Apt-G</v>
      </c>
      <c r="R200" s="83">
        <f t="shared" si="177"/>
        <v>7.5852222023915755E-2</v>
      </c>
      <c r="S200" s="66">
        <f>R200*DwellingStocks!$I$70/1000</f>
        <v>0.65670510855409714</v>
      </c>
      <c r="T200" s="83">
        <v>1</v>
      </c>
      <c r="U200" s="987">
        <f>K200/J200</f>
        <v>0.77716184098061936</v>
      </c>
      <c r="V200" s="83">
        <v>20</v>
      </c>
      <c r="W200" s="66">
        <v>1</v>
      </c>
      <c r="X200" s="866"/>
      <c r="Y200" s="926">
        <f t="shared" si="179"/>
        <v>4.8562101335041522E-4</v>
      </c>
      <c r="Z200" s="926">
        <f t="shared" si="180"/>
        <v>6.2486471638605002E-4</v>
      </c>
      <c r="AA200" s="866"/>
      <c r="AB200" s="914" t="s">
        <v>393</v>
      </c>
      <c r="AC200" s="914" t="str">
        <f t="shared" si="175"/>
        <v>WH_Apt-G_GASNAT_X0</v>
      </c>
      <c r="AD200" s="915" t="str">
        <f t="shared" si="176"/>
        <v>Residential Water Heating Apartment-G_Natural Gas to Residential_Existing 00</v>
      </c>
      <c r="AE200" s="914" t="s">
        <v>53</v>
      </c>
      <c r="AF200" s="916" t="s">
        <v>406</v>
      </c>
      <c r="AG200" s="914"/>
      <c r="AH200" s="914"/>
      <c r="AI200" s="840"/>
      <c r="AJ200" s="840"/>
      <c r="AK200" s="840"/>
      <c r="AL200" s="840"/>
      <c r="AM200" s="840"/>
      <c r="AN200" s="840"/>
      <c r="AO200" s="840"/>
    </row>
    <row r="201" spans="1:41">
      <c r="A201" s="972" t="s">
        <v>124</v>
      </c>
      <c r="B201" s="757" t="s">
        <v>585</v>
      </c>
      <c r="C201" s="757">
        <f>SUMIFS(INDEX(Table7[],,MATCH(C$112,Table7[#Headers],0)),Table7[MainWaterHeatingFuel],$B201,Table7[EnergyRating (group)],$A201)</f>
        <v>5650</v>
      </c>
      <c r="D201" s="757">
        <f>SUMIFS(INDEX(Table7[],,MATCH(D$112,Table7[#Headers],0)),Table7[MainWaterHeatingFuel],$B201,Table7[EnergyRating (group)],$A201)</f>
        <v>5136</v>
      </c>
      <c r="E201" s="760">
        <f>SUMIFS(INDEX(Table7[],,MATCH(E$112,Table7[#Headers],0)),Table7[MainWaterHeatingFuel],$B201,Table7[EnergyRating (group)],$A201)</f>
        <v>3353</v>
      </c>
      <c r="F201" s="760">
        <f>SUMIFS(INDEX(Table7[],,MATCH(F$112,Table7[#Headers],0)),Table7[MainWaterHeatingFuel],$B201,Table7[EnergyRating (group)],$A201)</f>
        <v>1242</v>
      </c>
      <c r="G201" s="757">
        <f>SUMIFS(INDEX(Table7[],,MATCH(G$112,Table7[#Headers],0)),Table7[MainWaterHeatingFuel],$B201,Table7[EnergyRating (group)],$A201)</f>
        <v>1</v>
      </c>
      <c r="H201" s="757">
        <f>SUMIFS(INDEX(Table7[],,MATCH(H$112,Table7[#Headers],0)),Table7[MainWaterHeatingFuel],$B201,Table7[EnergyRating (group)],$A201)</f>
        <v>117</v>
      </c>
      <c r="I201" s="959"/>
      <c r="J201" s="998">
        <f t="shared" si="181"/>
        <v>9003</v>
      </c>
      <c r="K201" s="979">
        <f t="shared" si="182"/>
        <v>6378</v>
      </c>
      <c r="L201" s="840"/>
      <c r="M201" s="840"/>
      <c r="N201" s="914" t="str">
        <f>RSD_Commodities!$M$71&amp;"_"&amp;RIGHT(P201,LEN(P201)-3)&amp;"_"&amp;SETUP!$B$67</f>
        <v>WH_Apt-G_BIOWOO_X0</v>
      </c>
      <c r="O201" s="914" t="str">
        <f>RSD_Commodities!$N$71&amp;"_"&amp;RSD_Commodities!D19&amp;"_"&amp;SETUP!$C$67</f>
        <v>Residential Water Heating Apartment-G_Biomass &amp; Renewable Waste to Residential_Existing 00</v>
      </c>
      <c r="P201" s="915" t="str">
        <f>RSD_Commodities!$C$19</f>
        <v>RSDBIOWOO</v>
      </c>
      <c r="Q201" s="914" t="str">
        <f>RSD_Commodities!$M$71</f>
        <v>WH_Apt-G</v>
      </c>
      <c r="R201" s="915">
        <f t="shared" si="177"/>
        <v>1.784758165268606E-4</v>
      </c>
      <c r="S201" s="914">
        <f>R201*DwellingStocks!$I$70/1000</f>
        <v>1.5451884907155228E-3</v>
      </c>
      <c r="T201" s="915">
        <v>1</v>
      </c>
      <c r="U201" s="986">
        <f t="shared" ref="U201:U207" si="183">K201/J201</f>
        <v>0.70843052315894706</v>
      </c>
      <c r="V201" s="915">
        <v>20</v>
      </c>
      <c r="W201" s="914">
        <v>1</v>
      </c>
      <c r="X201" s="866"/>
      <c r="Y201" s="928">
        <f t="shared" si="179"/>
        <v>4.0500872029247696E-9</v>
      </c>
      <c r="Z201" s="928">
        <f t="shared" si="180"/>
        <v>5.716985745991173E-9</v>
      </c>
      <c r="AA201" s="866"/>
      <c r="AB201" s="66" t="s">
        <v>393</v>
      </c>
      <c r="AC201" s="66" t="str">
        <f t="shared" si="175"/>
        <v>WH_Apt-G_BIOWOO_X0</v>
      </c>
      <c r="AD201" s="83" t="str">
        <f t="shared" si="176"/>
        <v>Residential Water Heating Apartment-G_Biomass &amp; Renewable Waste to Residential_Existing 00</v>
      </c>
      <c r="AE201" s="66" t="s">
        <v>53</v>
      </c>
      <c r="AF201" s="88" t="s">
        <v>406</v>
      </c>
      <c r="AG201" s="66"/>
      <c r="AH201" s="66"/>
      <c r="AI201" s="840"/>
      <c r="AJ201" s="840"/>
      <c r="AK201" s="840"/>
      <c r="AL201" s="840"/>
      <c r="AM201" s="840"/>
      <c r="AN201" s="840"/>
      <c r="AO201" s="840"/>
    </row>
    <row r="202" spans="1:41">
      <c r="A202" s="973" t="s">
        <v>124</v>
      </c>
      <c r="B202" s="758" t="s">
        <v>587</v>
      </c>
      <c r="C202" s="758">
        <f>SUMIFS(INDEX(Table7[],,MATCH(C112,Table7[#Headers],0)),Table7[MainWaterHeatingFuel],"",Table7[EnergyRating (group)],$A190)</f>
        <v>0</v>
      </c>
      <c r="D202" s="758">
        <f>SUMIFS(INDEX(Table7[],,MATCH(D112,Table7[#Headers],0)),Table7[MainWaterHeatingFuel],"",Table7[EnergyRating (group)],$A202)</f>
        <v>0</v>
      </c>
      <c r="E202" s="758">
        <f>SUMIFS(INDEX(Table7[],,MATCH(E112,Table7[#Headers],0)),Table7[MainWaterHeatingFuel],"",Table7[EnergyRating (group)],$A202)</f>
        <v>64803</v>
      </c>
      <c r="F202" s="758">
        <f>SUMIFS(INDEX(Table7[],,MATCH(F112,Table7[#Headers],0)),Table7[MainWaterHeatingFuel],"",Table7[EnergyRating (group)],$A202)</f>
        <v>24001</v>
      </c>
      <c r="G202" s="758">
        <f>SUMIFS(INDEX(Table7[],,MATCH(G112,Table7[#Headers],0)),Table7[MainWaterHeatingFuel],"",Table7[EnergyRating (group)],$A202)</f>
        <v>190</v>
      </c>
      <c r="H202" s="758">
        <f>SUMIFS(INDEX(Table7[],,MATCH(H112,Table7[#Headers],0)),Table7[MainWaterHeatingFuel],"",Table7[EnergyRating (group)],$A202)</f>
        <v>9477</v>
      </c>
      <c r="I202" s="960"/>
      <c r="J202" s="980">
        <f t="shared" si="181"/>
        <v>64803</v>
      </c>
      <c r="K202" s="981">
        <f t="shared" si="182"/>
        <v>24001</v>
      </c>
      <c r="L202" s="840"/>
      <c r="M202" s="840"/>
      <c r="N202" s="66" t="str">
        <f>RSD_Commodities!$M$71&amp;"_"&amp;RIGHT(P202,LEN(P202)-3)&amp;"_"&amp;SETUP!$B$67</f>
        <v>WH_Apt-G_HET_X0</v>
      </c>
      <c r="O202" s="66" t="str">
        <f>RSD_Commodities!$N$71&amp;"_"&amp;RSD_Commodities!D28&amp;"_"&amp;SETUP!$C$67</f>
        <v>Residential Water Heating Apartment-G_Heat to Residential_Existing 00</v>
      </c>
      <c r="P202" s="83" t="str">
        <f>RSD_Commodities!$C$28</f>
        <v>RSDHET</v>
      </c>
      <c r="Q202" s="66" t="str">
        <f>RSD_Commodities!$M$71</f>
        <v>WH_Apt-G</v>
      </c>
      <c r="R202" s="83">
        <f t="shared" si="177"/>
        <v>3.3910405140103517E-2</v>
      </c>
      <c r="S202" s="66">
        <f>R202*DwellingStocks!$I$70/1000</f>
        <v>0.29358581323594934</v>
      </c>
      <c r="T202" s="83">
        <v>1</v>
      </c>
      <c r="U202" s="987">
        <f t="shared" si="183"/>
        <v>0.37036865577210931</v>
      </c>
      <c r="V202" s="83">
        <v>20</v>
      </c>
      <c r="W202" s="66">
        <v>1</v>
      </c>
      <c r="X202" s="866"/>
      <c r="Y202" s="926">
        <f t="shared" si="179"/>
        <v>2.8957615493737072E-6</v>
      </c>
      <c r="Z202" s="926">
        <f t="shared" si="180"/>
        <v>7.8185923788202304E-6</v>
      </c>
      <c r="AA202" s="866"/>
      <c r="AB202" s="914" t="s">
        <v>393</v>
      </c>
      <c r="AC202" s="914" t="str">
        <f t="shared" si="175"/>
        <v>WH_Apt-G_HET_X0</v>
      </c>
      <c r="AD202" s="915" t="str">
        <f t="shared" si="176"/>
        <v>Residential Water Heating Apartment-G_Heat to Residential_Existing 00</v>
      </c>
      <c r="AE202" s="914" t="s">
        <v>53</v>
      </c>
      <c r="AF202" s="916" t="s">
        <v>406</v>
      </c>
      <c r="AG202" s="914"/>
      <c r="AH202" s="914"/>
      <c r="AI202" s="840"/>
      <c r="AJ202" s="840"/>
      <c r="AK202" s="840"/>
      <c r="AL202" s="840"/>
      <c r="AM202" s="840"/>
      <c r="AN202" s="840"/>
      <c r="AO202" s="840"/>
    </row>
    <row r="203" spans="1:41">
      <c r="A203" s="972" t="s">
        <v>124</v>
      </c>
      <c r="B203" s="757" t="s">
        <v>664</v>
      </c>
      <c r="C203" s="757">
        <f>SUMIFS(INDEX(Table7[],,MATCH(C$112,Table7[#Headers],0)),Table7[MainWaterHeatingFuel],$B203,Table7[EnergyRating (group)],$A203)</f>
        <v>12555</v>
      </c>
      <c r="D203" s="757">
        <f>SUMIFS(INDEX(Table7[],,MATCH(D$112,Table7[#Headers],0)),Table7[MainWaterHeatingFuel],$B203,Table7[EnergyRating (group)],$A203)</f>
        <v>11414</v>
      </c>
      <c r="E203" s="760">
        <f>SUMIFS(INDEX(Table7[],,MATCH(E$112,Table7[#Headers],0)),Table7[MainWaterHeatingFuel],$B203,Table7[EnergyRating (group)],$A203)</f>
        <v>4120</v>
      </c>
      <c r="F203" s="760">
        <f>SUMIFS(INDEX(Table7[],,MATCH(F$112,Table7[#Headers],0)),Table7[MainWaterHeatingFuel],$B203,Table7[EnergyRating (group)],$A203)</f>
        <v>1526</v>
      </c>
      <c r="G203" s="757">
        <f>SUMIFS(INDEX(Table7[],,MATCH(G$112,Table7[#Headers],0)),Table7[MainWaterHeatingFuel],$B203,Table7[EnergyRating (group)],$A203)</f>
        <v>2</v>
      </c>
      <c r="H203" s="757">
        <f>SUMIFS(INDEX(Table7[],,MATCH(H$112,Table7[#Headers],0)),Table7[MainWaterHeatingFuel],$B203,Table7[EnergyRating (group)],$A203)</f>
        <v>270</v>
      </c>
      <c r="I203" s="959"/>
      <c r="J203" s="978">
        <f t="shared" si="181"/>
        <v>16675</v>
      </c>
      <c r="K203" s="979">
        <f t="shared" si="182"/>
        <v>12940</v>
      </c>
      <c r="L203" s="840"/>
      <c r="M203" s="840"/>
      <c r="N203" s="914" t="str">
        <f>RSD_Commodities!$M$71&amp;"_"&amp;RIGHT(P203,LEN(P203)-3)&amp;"_"&amp;SETUP!$B$68</f>
        <v>WH_Apt-G_OILLPG_X1</v>
      </c>
      <c r="O203" s="914" t="str">
        <f>RSD_Commodities!$N$71&amp;"_"&amp;RSD_Commodities!D11&amp;"_"&amp;SETUP!$C$68</f>
        <v>Residential Water Heating Apartment-G_LPG to Residential_Existing 01</v>
      </c>
      <c r="P203" s="915" t="str">
        <f>RSD_Commodities!$C$11</f>
        <v>RSDOILLPG</v>
      </c>
      <c r="Q203" s="914" t="str">
        <f>RSD_Commodities!$M$71</f>
        <v>WH_Apt-G</v>
      </c>
      <c r="R203" s="915">
        <f t="shared" si="177"/>
        <v>3.569516330537212E-4</v>
      </c>
      <c r="S203" s="914">
        <f>R203*DwellingStocks!$I$70/1000</f>
        <v>3.0903769814310455E-3</v>
      </c>
      <c r="T203" s="915">
        <v>1</v>
      </c>
      <c r="U203" s="986">
        <f t="shared" si="183"/>
        <v>0.77601199400299847</v>
      </c>
      <c r="V203" s="915">
        <v>20</v>
      </c>
      <c r="W203" s="914">
        <v>1</v>
      </c>
      <c r="X203" s="866"/>
      <c r="Y203" s="928">
        <f t="shared" si="179"/>
        <v>1.6434032112212771E-8</v>
      </c>
      <c r="Z203" s="928">
        <f t="shared" si="180"/>
        <v>2.1177549109053161E-8</v>
      </c>
      <c r="AA203" s="866"/>
      <c r="AB203" s="66" t="s">
        <v>393</v>
      </c>
      <c r="AC203" s="66" t="str">
        <f t="shared" si="175"/>
        <v>WH_Apt-G_OILLPG_X1</v>
      </c>
      <c r="AD203" s="83" t="str">
        <f t="shared" si="176"/>
        <v>Residential Water Heating Apartment-G_LPG to Residential_Existing 01</v>
      </c>
      <c r="AE203" s="66" t="s">
        <v>53</v>
      </c>
      <c r="AF203" s="88" t="s">
        <v>406</v>
      </c>
      <c r="AG203" s="66"/>
      <c r="AH203" s="66"/>
      <c r="AI203" s="840"/>
      <c r="AJ203" s="840"/>
      <c r="AK203" s="840"/>
      <c r="AL203" s="840"/>
      <c r="AM203" s="840"/>
      <c r="AN203" s="840"/>
      <c r="AO203" s="840"/>
    </row>
    <row r="204" spans="1:41">
      <c r="A204" s="973" t="s">
        <v>124</v>
      </c>
      <c r="B204" s="758" t="s">
        <v>665</v>
      </c>
      <c r="C204" s="758">
        <f>SUMIFS(INDEX(Table7[],,MATCH(C$112,Table7[#Headers],0)),Table7[MainWaterHeatingFuel],$B204,Table7[EnergyRating (group)],$A204)</f>
        <v>561804</v>
      </c>
      <c r="D204" s="758">
        <f>SUMIFS(INDEX(Table7[],,MATCH(D$112,Table7[#Headers],0)),Table7[MainWaterHeatingFuel],$B204,Table7[EnergyRating (group)],$A204)</f>
        <v>510730</v>
      </c>
      <c r="E204" s="758">
        <f>SUMIFS(INDEX(Table7[],,MATCH(E$112,Table7[#Headers],0)),Table7[MainWaterHeatingFuel],$B204,Table7[EnergyRating (group)],$A204)</f>
        <v>210259</v>
      </c>
      <c r="F204" s="758">
        <f>SUMIFS(INDEX(Table7[],,MATCH(F$112,Table7[#Headers],0)),Table7[MainWaterHeatingFuel],$B204,Table7[EnergyRating (group)],$A204)</f>
        <v>77874</v>
      </c>
      <c r="G204" s="758">
        <f>SUMIFS(INDEX(Table7[],,MATCH(G$112,Table7[#Headers],0)),Table7[MainWaterHeatingFuel],$B204,Table7[EnergyRating (group)],$A204)</f>
        <v>104</v>
      </c>
      <c r="H204" s="758">
        <f>SUMIFS(INDEX(Table7[],,MATCH(H$112,Table7[#Headers],0)),Table7[MainWaterHeatingFuel],$B204,Table7[EnergyRating (group)],$A204)</f>
        <v>7415</v>
      </c>
      <c r="I204" s="960"/>
      <c r="J204" s="980">
        <f t="shared" si="181"/>
        <v>772063</v>
      </c>
      <c r="K204" s="981">
        <f t="shared" si="182"/>
        <v>588604</v>
      </c>
      <c r="L204" s="840"/>
      <c r="M204" s="840"/>
      <c r="N204" s="66" t="str">
        <f>RSD_Commodities!$M$71&amp;"_"&amp;RSD_Commodities!$C$26&amp;"_"&amp;SETUP!$B$67</f>
        <v>WH_Apt-G_RSDSMF_X0</v>
      </c>
      <c r="O204" s="66" t="str">
        <f>RSD_Commodities!$N$71&amp;"_"&amp;RSD_Commodities!$D$26&amp;"_"&amp;SETUP!$C$67</f>
        <v>Residential Water Heating Apartment-G_Solid Multi-Fuel_Existing 00</v>
      </c>
      <c r="P204" s="83" t="str">
        <f>RSD_Commodities!$C$6&amp;","&amp;RSD_Commodities!$C$7&amp;","&amp;RSD_Commodities!$C$9&amp;","&amp;RSD_Commodities!$C$10&amp;","&amp;RSD_Commodities!$C$19</f>
        <v>RSDCOABIT,RSDCOAHAR,RSDCOALIG,RSDPEA,RSDBIOWOO</v>
      </c>
      <c r="Q204" s="66" t="str">
        <f>RSD_Commodities!$M$71</f>
        <v>WH_Apt-G</v>
      </c>
      <c r="R204" s="83">
        <f t="shared" si="177"/>
        <v>1.8561484918793503E-2</v>
      </c>
      <c r="S204" s="66">
        <f>R204*DwellingStocks!$I$70/1000</f>
        <v>0.16069960303441433</v>
      </c>
      <c r="T204" s="83">
        <v>1</v>
      </c>
      <c r="U204" s="987">
        <f t="shared" si="183"/>
        <v>0.76237819970650067</v>
      </c>
      <c r="V204" s="83">
        <v>20</v>
      </c>
      <c r="W204" s="66">
        <v>1</v>
      </c>
      <c r="X204" s="866"/>
      <c r="Y204" s="926">
        <f t="shared" si="179"/>
        <v>3.8871957182658256E-5</v>
      </c>
      <c r="Z204" s="926">
        <f t="shared" si="180"/>
        <v>5.0987760664750295E-5</v>
      </c>
      <c r="AA204" s="866"/>
      <c r="AB204" s="914" t="s">
        <v>393</v>
      </c>
      <c r="AC204" s="914" t="str">
        <f t="shared" si="175"/>
        <v>WH_Apt-G_RSDSMF_X0</v>
      </c>
      <c r="AD204" s="915" t="str">
        <f t="shared" si="176"/>
        <v>Residential Water Heating Apartment-G_Solid Multi-Fuel_Existing 00</v>
      </c>
      <c r="AE204" s="914" t="s">
        <v>53</v>
      </c>
      <c r="AF204" s="916" t="s">
        <v>406</v>
      </c>
      <c r="AG204" s="914"/>
      <c r="AH204" s="914"/>
      <c r="AI204" s="840"/>
      <c r="AJ204" s="840"/>
      <c r="AK204" s="840"/>
      <c r="AL204" s="840"/>
      <c r="AM204" s="840"/>
      <c r="AN204" s="840"/>
      <c r="AO204" s="840"/>
    </row>
    <row r="205" spans="1:41">
      <c r="A205" s="972" t="s">
        <v>124</v>
      </c>
      <c r="B205" s="757" t="s">
        <v>669</v>
      </c>
      <c r="C205" s="757">
        <f>SUMIFS(INDEX(Table7[],,MATCH(C$112,Table7[#Headers],0)),Table7[MainWaterHeatingFuel],$B205,Table7[EnergyRating (group)],$A205)</f>
        <v>207602</v>
      </c>
      <c r="D205" s="757">
        <f>SUMIFS(INDEX(Table7[],,MATCH(D$112,Table7[#Headers],0)),Table7[MainWaterHeatingFuel],$B205,Table7[EnergyRating (group)],$A205)</f>
        <v>173001</v>
      </c>
      <c r="E205" s="760">
        <f>SUMIFS(INDEX(Table7[],,MATCH(E$112,Table7[#Headers],0)),Table7[MainWaterHeatingFuel],$B205,Table7[EnergyRating (group)],$A205)</f>
        <v>55190</v>
      </c>
      <c r="F205" s="760">
        <f>SUMIFS(INDEX(Table7[],,MATCH(F$112,Table7[#Headers],0)),Table7[MainWaterHeatingFuel],$B205,Table7[EnergyRating (group)],$A205)</f>
        <v>20441</v>
      </c>
      <c r="G205" s="757">
        <f>SUMIFS(INDEX(Table7[],,MATCH(G$112,Table7[#Headers],0)),Table7[MainWaterHeatingFuel],$B205,Table7[EnergyRating (group)],$A205)</f>
        <v>40</v>
      </c>
      <c r="H205" s="757">
        <f>SUMIFS(INDEX(Table7[],,MATCH(H$112,Table7[#Headers],0)),Table7[MainWaterHeatingFuel],$B205,Table7[EnergyRating (group)],$A205)</f>
        <v>2222</v>
      </c>
      <c r="I205" s="959"/>
      <c r="J205" s="978">
        <f t="shared" si="181"/>
        <v>262792</v>
      </c>
      <c r="K205" s="979">
        <f t="shared" si="182"/>
        <v>193442</v>
      </c>
      <c r="L205" s="840"/>
      <c r="M205" s="840"/>
      <c r="N205" s="914" t="str">
        <f>RSD_Commodities!$M$71&amp;"_"&amp;RIGHT(P205,LEN(P205)-3)&amp;"_"&amp;SETUP!$B$67</f>
        <v>WH_Apt-G_COAHAR_X0</v>
      </c>
      <c r="O205" s="914" t="str">
        <f>RSD_Commodities!$N$71&amp;"_"&amp;RSD_Commodities!$D$7&amp;"_"&amp;SETUP!$C$67</f>
        <v>Residential Water Heating Apartment-G_Anthracite + Manufactured Ovoids to Residential_Existing 00</v>
      </c>
      <c r="P205" s="930" t="str">
        <f>RSD_Commodities!$C$7</f>
        <v>RSDCOAHAR</v>
      </c>
      <c r="Q205" s="914" t="str">
        <f>RSD_Commodities!$M$71</f>
        <v>WH_Apt-G</v>
      </c>
      <c r="R205" s="930">
        <f t="shared" si="177"/>
        <v>7.1390326610744244E-3</v>
      </c>
      <c r="S205" s="914">
        <f>R205*DwellingStocks!$I$70/1000</f>
        <v>6.1807539628620907E-2</v>
      </c>
      <c r="T205" s="915">
        <v>1</v>
      </c>
      <c r="U205" s="986">
        <f t="shared" si="183"/>
        <v>0.73610307771926087</v>
      </c>
      <c r="V205" s="930">
        <v>20</v>
      </c>
      <c r="W205" s="914">
        <v>1</v>
      </c>
      <c r="X205" s="840"/>
      <c r="Y205" s="928">
        <f t="shared" si="179"/>
        <v>4.9134961976053509E-6</v>
      </c>
      <c r="Z205" s="928">
        <f t="shared" si="180"/>
        <v>6.675011077021047E-6</v>
      </c>
      <c r="AA205" s="840"/>
      <c r="AB205" s="66" t="s">
        <v>393</v>
      </c>
      <c r="AC205" s="66" t="str">
        <f t="shared" si="175"/>
        <v>WH_Apt-G_COAHAR_X0</v>
      </c>
      <c r="AD205" s="83" t="str">
        <f t="shared" si="176"/>
        <v>Residential Water Heating Apartment-G_Anthracite + Manufactured Ovoids to Residential_Existing 00</v>
      </c>
      <c r="AE205" s="66" t="s">
        <v>53</v>
      </c>
      <c r="AF205" s="88" t="s">
        <v>406</v>
      </c>
      <c r="AG205" s="66"/>
      <c r="AH205" s="66"/>
      <c r="AI205" s="840"/>
      <c r="AJ205" s="840"/>
      <c r="AK205" s="840"/>
      <c r="AL205" s="840"/>
      <c r="AM205" s="840"/>
      <c r="AN205" s="840"/>
      <c r="AO205" s="840"/>
    </row>
    <row r="206" spans="1:41">
      <c r="A206" s="973" t="s">
        <v>124</v>
      </c>
      <c r="B206" s="758" t="s">
        <v>671</v>
      </c>
      <c r="C206" s="758">
        <f>SUMIFS(INDEX(Table7[],,MATCH(C$112,Table7[#Headers],0)),Table7[MainWaterHeatingFuel],$B206,Table7[EnergyRating (group)],$A206)</f>
        <v>21686</v>
      </c>
      <c r="D206" s="758">
        <f>SUMIFS(INDEX(Table7[],,MATCH(D$112,Table7[#Headers],0)),Table7[MainWaterHeatingFuel],$B206,Table7[EnergyRating (group)],$A206)</f>
        <v>19715</v>
      </c>
      <c r="E206" s="758">
        <f>SUMIFS(INDEX(Table7[],,MATCH(E$112,Table7[#Headers],0)),Table7[MainWaterHeatingFuel],$B206,Table7[EnergyRating (group)],$A206)</f>
        <v>6161</v>
      </c>
      <c r="F206" s="758">
        <f>SUMIFS(INDEX(Table7[],,MATCH(F$112,Table7[#Headers],0)),Table7[MainWaterHeatingFuel],$B206,Table7[EnergyRating (group)],$A206)</f>
        <v>2282</v>
      </c>
      <c r="G206" s="758">
        <f>SUMIFS(INDEX(Table7[],,MATCH(G$112,Table7[#Headers],0)),Table7[MainWaterHeatingFuel],$B206,Table7[EnergyRating (group)],$A206)</f>
        <v>4</v>
      </c>
      <c r="H206" s="758">
        <f>SUMIFS(INDEX(Table7[],,MATCH(H$112,Table7[#Headers],0)),Table7[MainWaterHeatingFuel],$B206,Table7[EnergyRating (group)],$A206)</f>
        <v>373</v>
      </c>
      <c r="I206" s="960"/>
      <c r="J206" s="980">
        <f t="shared" si="181"/>
        <v>27847</v>
      </c>
      <c r="K206" s="981">
        <f t="shared" si="182"/>
        <v>21997</v>
      </c>
      <c r="L206" s="840"/>
      <c r="M206" s="840"/>
      <c r="N206" s="66" t="str">
        <f>RSD_Commodities!$M$71&amp;"_"&amp;RIGHT(P206,LEN(P206)-3)&amp;"_"&amp;SETUP!$B$67</f>
        <v>WH_Apt-G_PEA_X0</v>
      </c>
      <c r="O206" s="66" t="str">
        <f>RSD_Commodities!$N$71&amp;"_"&amp;RSD_Commodities!$D$10&amp;"_"&amp;SETUP!$C$67</f>
        <v>Residential Water Heating Apartment-G_Peat to Residential_Existing 00</v>
      </c>
      <c r="P206" s="83" t="str">
        <f>RSD_Commodities!$C$10</f>
        <v>RSDPEA</v>
      </c>
      <c r="Q206" s="66" t="str">
        <f>RSD_Commodities!$M$71</f>
        <v>WH_Apt-G</v>
      </c>
      <c r="R206" s="83">
        <f t="shared" si="177"/>
        <v>7.139032661074424E-4</v>
      </c>
      <c r="S206" s="66">
        <f>R206*DwellingStocks!$I$70/1000</f>
        <v>6.180753962862091E-3</v>
      </c>
      <c r="T206" s="83">
        <v>1</v>
      </c>
      <c r="U206" s="987">
        <f t="shared" si="183"/>
        <v>0.78992351061155597</v>
      </c>
      <c r="V206" s="83">
        <v>20</v>
      </c>
      <c r="W206" s="66">
        <v>1</v>
      </c>
      <c r="X206" s="866"/>
      <c r="Y206" s="926">
        <f t="shared" si="179"/>
        <v>5.5873169145648273E-8</v>
      </c>
      <c r="Z206" s="926">
        <f t="shared" si="180"/>
        <v>7.0732379015268761E-8</v>
      </c>
      <c r="AA206" s="866"/>
      <c r="AB206" s="914" t="s">
        <v>393</v>
      </c>
      <c r="AC206" s="914" t="str">
        <f t="shared" si="175"/>
        <v>WH_Apt-G_PEA_X0</v>
      </c>
      <c r="AD206" s="915" t="str">
        <f t="shared" si="176"/>
        <v>Residential Water Heating Apartment-G_Peat to Residential_Existing 00</v>
      </c>
      <c r="AE206" s="914" t="s">
        <v>53</v>
      </c>
      <c r="AF206" s="916" t="s">
        <v>406</v>
      </c>
      <c r="AG206" s="914"/>
      <c r="AH206" s="914"/>
      <c r="AI206" s="840"/>
      <c r="AJ206" s="840"/>
      <c r="AK206" s="840"/>
      <c r="AL206" s="840"/>
      <c r="AM206" s="840"/>
      <c r="AN206" s="840"/>
      <c r="AO206" s="840"/>
    </row>
    <row r="207" spans="1:41">
      <c r="A207" s="972" t="s">
        <v>124</v>
      </c>
      <c r="B207" s="757" t="s">
        <v>666</v>
      </c>
      <c r="C207" s="757">
        <f>SUMIFS(INDEX(Table7[],,MATCH(C$112,Table7[#Headers],0)),Table7[MainWaterHeatingFuel],$B207,Table7[EnergyRating (group)],$A207)</f>
        <v>146183</v>
      </c>
      <c r="D207" s="757">
        <f>SUMIFS(INDEX(Table7[],,MATCH(D$112,Table7[#Headers],0)),Table7[MainWaterHeatingFuel],$B207,Table7[EnergyRating (group)],$A207)</f>
        <v>132894</v>
      </c>
      <c r="E207" s="757">
        <f>SUMIFS(INDEX(Table7[],,MATCH(E$112,Table7[#Headers],0)),Table7[MainWaterHeatingFuel],$B207,Table7[EnergyRating (group)],$A207)</f>
        <v>37584</v>
      </c>
      <c r="F207" s="757">
        <f>SUMIFS(INDEX(Table7[],,MATCH(F$112,Table7[#Headers],0)),Table7[MainWaterHeatingFuel],$B207,Table7[EnergyRating (group)],$A207)</f>
        <v>13920</v>
      </c>
      <c r="G207" s="757">
        <f>SUMIFS(INDEX(Table7[],,MATCH(G$112,Table7[#Headers],0)),Table7[MainWaterHeatingFuel],$B207,Table7[EnergyRating (group)],$A207)</f>
        <v>23</v>
      </c>
      <c r="H207" s="757">
        <f>SUMIFS(INDEX(Table7[],,MATCH(H$112,Table7[#Headers],0)),Table7[MainWaterHeatingFuel],$B207,Table7[EnergyRating (group)],$A207)</f>
        <v>1494</v>
      </c>
      <c r="I207" s="961"/>
      <c r="J207" s="978">
        <f t="shared" si="181"/>
        <v>183767</v>
      </c>
      <c r="K207" s="979">
        <f t="shared" si="182"/>
        <v>146814</v>
      </c>
      <c r="L207" s="840"/>
      <c r="M207" s="840"/>
      <c r="N207" s="914" t="str">
        <f>RSD_Commodities!$M$71&amp;"_"&amp;RIGHT(P207,LEN(P207)-3)&amp;"_"&amp;SETUP!$B$67</f>
        <v>WH_Apt-G_COABIT_X0</v>
      </c>
      <c r="O207" s="914" t="str">
        <f>RSD_Commodities!$N$71&amp;"_"&amp;RSD_Commodities!D6&amp;"_"&amp;SETUP!$C$67</f>
        <v>Residential Water Heating Apartment-G_Bituminous Coal to Residential_Existing 00</v>
      </c>
      <c r="P207" s="915" t="str">
        <f>RSD_Commodities!$C$6</f>
        <v>RSDCOABIT</v>
      </c>
      <c r="Q207" s="914" t="str">
        <f>RSD_Commodities!$M$71</f>
        <v>WH_Apt-G</v>
      </c>
      <c r="R207" s="915">
        <f t="shared" si="177"/>
        <v>4.1049437801177939E-3</v>
      </c>
      <c r="S207" s="914">
        <f>R207*DwellingStocks!$I$70/1000</f>
        <v>3.5539335286457016E-2</v>
      </c>
      <c r="T207" s="915">
        <v>1</v>
      </c>
      <c r="U207" s="986">
        <f t="shared" si="183"/>
        <v>0.79891384198468718</v>
      </c>
      <c r="V207" s="915">
        <v>20</v>
      </c>
      <c r="W207" s="914">
        <v>1</v>
      </c>
      <c r="X207" s="866"/>
      <c r="Y207" s="928">
        <f t="shared" si="179"/>
        <v>2.1442487551010554E-6</v>
      </c>
      <c r="Z207" s="928">
        <f t="shared" si="180"/>
        <v>2.6839549428437044E-6</v>
      </c>
      <c r="AA207" s="866"/>
      <c r="AB207" s="66" t="s">
        <v>393</v>
      </c>
      <c r="AC207" s="66" t="str">
        <f t="shared" si="175"/>
        <v>WH_Apt-G_COABIT_X0</v>
      </c>
      <c r="AD207" s="83" t="str">
        <f t="shared" si="176"/>
        <v>Residential Water Heating Apartment-G_Bituminous Coal to Residential_Existing 00</v>
      </c>
      <c r="AE207" s="66" t="s">
        <v>53</v>
      </c>
      <c r="AF207" s="88" t="s">
        <v>406</v>
      </c>
      <c r="AG207" s="66"/>
      <c r="AH207" s="66"/>
      <c r="AI207" s="840"/>
      <c r="AJ207" s="840"/>
      <c r="AK207" s="840"/>
      <c r="AL207" s="840"/>
      <c r="AM207" s="840"/>
      <c r="AN207" s="840"/>
      <c r="AO207" s="840"/>
    </row>
    <row r="208" spans="1:41">
      <c r="A208" s="973" t="s">
        <v>124</v>
      </c>
      <c r="B208" s="758" t="s">
        <v>667</v>
      </c>
      <c r="C208" s="758">
        <f>SUMIFS(INDEX(Table7[],,MATCH(C$112,Table7[#Headers],0)),Table7[MainWaterHeatingFuel],$B208,Table7[EnergyRating (group)],$A208)</f>
        <v>24493</v>
      </c>
      <c r="D208" s="758">
        <f>SUMIFS(INDEX(Table7[],,MATCH(D$112,Table7[#Headers],0)),Table7[MainWaterHeatingFuel],$B208,Table7[EnergyRating (group)],$A208)</f>
        <v>22266</v>
      </c>
      <c r="E208" s="759">
        <f>SUMIFS(INDEX(Table7[],,MATCH(E$112,Table7[#Headers],0)),Table7[MainWaterHeatingFuel],$B208,Table7[EnergyRating (group)],$A208)</f>
        <v>9870</v>
      </c>
      <c r="F208" s="759">
        <f>SUMIFS(INDEX(Table7[],,MATCH(F$112,Table7[#Headers],0)),Table7[MainWaterHeatingFuel],$B208,Table7[EnergyRating (group)],$A208)</f>
        <v>3655</v>
      </c>
      <c r="G208" s="758">
        <f>SUMIFS(INDEX(Table7[],,MATCH(G$112,Table7[#Headers],0)),Table7[MainWaterHeatingFuel],$B208,Table7[EnergyRating (group)],$A208)</f>
        <v>5</v>
      </c>
      <c r="H208" s="758">
        <f>SUMIFS(INDEX(Table7[],,MATCH(H$112,Table7[#Headers],0)),Table7[MainWaterHeatingFuel],$B208,Table7[EnergyRating (group)],$A208)</f>
        <v>249</v>
      </c>
      <c r="I208" s="960"/>
      <c r="J208" s="980">
        <f t="shared" ref="J208:J209" si="184">C208+E208</f>
        <v>34363</v>
      </c>
      <c r="K208" s="981">
        <f t="shared" ref="K208:K209" si="185">D208+F208</f>
        <v>25921</v>
      </c>
      <c r="L208" s="840"/>
      <c r="M208" s="840"/>
      <c r="N208" s="66" t="str">
        <f>RSD_Commodities!$M$71&amp;"_"&amp;RIGHT(P208,LEN(P208)-3)&amp;"_"&amp;SETUP!$B$68</f>
        <v>WH_Apt-G_PEA_X1</v>
      </c>
      <c r="O208" s="66" t="str">
        <f>RSD_Commodities!$N$71&amp;"_"&amp;RSD_Commodities!$D$10&amp;"_"&amp;SETUP!$C$68</f>
        <v>Residential Water Heating Apartment-G_Peat to Residential_Existing 01</v>
      </c>
      <c r="P208" s="83" t="str">
        <f>RSD_Commodities!$C$10</f>
        <v>RSDPEA</v>
      </c>
      <c r="Q208" s="66" t="str">
        <f>RSD_Commodities!$M$71</f>
        <v>WH_Apt-G</v>
      </c>
      <c r="R208" s="83">
        <f t="shared" si="177"/>
        <v>8.9237908263430305E-4</v>
      </c>
      <c r="S208" s="66">
        <f>R208*DwellingStocks!$I$70/1000</f>
        <v>7.7259424535776134E-3</v>
      </c>
      <c r="T208" s="83">
        <v>1</v>
      </c>
      <c r="U208" s="987">
        <f t="shared" ref="U208:U209" si="186">K208/J208</f>
        <v>0.75432878386636792</v>
      </c>
      <c r="V208" s="83">
        <v>20</v>
      </c>
      <c r="W208" s="66">
        <v>1</v>
      </c>
      <c r="X208" s="866"/>
      <c r="Y208" s="926">
        <f t="shared" ref="Y208:Y209" si="187">ABS((K208)*S208*1000*$B$2)</f>
        <v>8.2300337399665224E-8</v>
      </c>
      <c r="Z208" s="926">
        <f t="shared" ref="Z208:Z209" si="188">ABS((J208)*S208*1000*$B$2)</f>
        <v>1.0910406597217297E-7</v>
      </c>
      <c r="AA208" s="866"/>
      <c r="AB208" s="914" t="s">
        <v>393</v>
      </c>
      <c r="AC208" s="914" t="str">
        <f t="shared" ref="AC208:AC209" si="189">N208</f>
        <v>WH_Apt-G_PEA_X1</v>
      </c>
      <c r="AD208" s="915" t="str">
        <f t="shared" ref="AD208:AD209" si="190">O208</f>
        <v>Residential Water Heating Apartment-G_Peat to Residential_Existing 01</v>
      </c>
      <c r="AE208" s="914" t="s">
        <v>53</v>
      </c>
      <c r="AF208" s="916" t="s">
        <v>406</v>
      </c>
      <c r="AG208" s="914"/>
      <c r="AH208" s="914"/>
      <c r="AI208" s="840"/>
      <c r="AJ208" s="840"/>
      <c r="AK208" s="840"/>
      <c r="AL208" s="840"/>
      <c r="AM208" s="840"/>
      <c r="AN208" s="840"/>
      <c r="AO208" s="840"/>
    </row>
    <row r="209" spans="1:42">
      <c r="A209" s="972" t="s">
        <v>124</v>
      </c>
      <c r="B209" s="757" t="s">
        <v>673</v>
      </c>
      <c r="C209" s="757">
        <f>SUMIFS(INDEX(Table7[],,MATCH(C$112,Table7[#Headers],0)),Table7[MainWaterHeatingFuel],$B209,Table7[EnergyRating (group)],$A209)</f>
        <v>3380</v>
      </c>
      <c r="D209" s="757">
        <f>SUMIFS(INDEX(Table7[],,MATCH(D$112,Table7[#Headers],0)),Table7[MainWaterHeatingFuel],$B209,Table7[EnergyRating (group)],$A209)</f>
        <v>3073</v>
      </c>
      <c r="E209" s="760">
        <f>SUMIFS(INDEX(Table7[],,MATCH(E$112,Table7[#Headers],0)),Table7[MainWaterHeatingFuel],$B209,Table7[EnergyRating (group)],$A209)</f>
        <v>2248</v>
      </c>
      <c r="F209" s="760">
        <f>SUMIFS(INDEX(Table7[],,MATCH(F$112,Table7[#Headers],0)),Table7[MainWaterHeatingFuel],$B209,Table7[EnergyRating (group)],$A209)</f>
        <v>832</v>
      </c>
      <c r="G209" s="757">
        <f>SUMIFS(INDEX(Table7[],,MATCH(G$112,Table7[#Headers],0)),Table7[MainWaterHeatingFuel],$B209,Table7[EnergyRating (group)],$A209)</f>
        <v>1</v>
      </c>
      <c r="H209" s="757">
        <f>SUMIFS(INDEX(Table7[],,MATCH(H$112,Table7[#Headers],0)),Table7[MainWaterHeatingFuel],$B209,Table7[EnergyRating (group)],$A209)</f>
        <v>73</v>
      </c>
      <c r="I209" s="959"/>
      <c r="J209" s="998">
        <f t="shared" si="184"/>
        <v>5628</v>
      </c>
      <c r="K209" s="979">
        <f t="shared" si="185"/>
        <v>3905</v>
      </c>
      <c r="L209" s="840"/>
      <c r="M209" s="840"/>
      <c r="N209" s="914" t="str">
        <f>RSD_Commodities!$M$71&amp;"_"&amp;RIGHT(P209,LEN(P209)-3)&amp;"_"&amp;SETUP!$B$68</f>
        <v>WH_Apt-G_BIOWOO_X1</v>
      </c>
      <c r="O209" s="914" t="str">
        <f>RSD_Commodities!$N$71&amp;"_"&amp;RSD_Commodities!D19&amp;"_"&amp;SETUP!$C$68</f>
        <v>Residential Water Heating Apartment-G_Biomass &amp; Renewable Waste to Residential_Existing 01</v>
      </c>
      <c r="P209" s="915" t="str">
        <f>RSD_Commodities!$C$19</f>
        <v>RSDBIOWOO</v>
      </c>
      <c r="Q209" s="914" t="str">
        <f>RSD_Commodities!$M$71</f>
        <v>WH_Apt-G</v>
      </c>
      <c r="R209" s="915">
        <f t="shared" si="177"/>
        <v>1.784758165268606E-4</v>
      </c>
      <c r="S209" s="914">
        <f>R209*DwellingStocks!$I$70/1000</f>
        <v>1.5451884907155228E-3</v>
      </c>
      <c r="T209" s="915">
        <v>1</v>
      </c>
      <c r="U209" s="986">
        <f t="shared" si="186"/>
        <v>0.6938521677327647</v>
      </c>
      <c r="V209" s="915">
        <v>20</v>
      </c>
      <c r="W209" s="914">
        <v>1</v>
      </c>
      <c r="X209" s="866"/>
      <c r="Y209" s="928">
        <f t="shared" si="187"/>
        <v>2.4797100231140211E-9</v>
      </c>
      <c r="Z209" s="928">
        <f t="shared" si="188"/>
        <v>3.5738304763343689E-9</v>
      </c>
      <c r="AA209" s="866"/>
      <c r="AB209" s="66" t="s">
        <v>393</v>
      </c>
      <c r="AC209" s="66" t="str">
        <f t="shared" si="189"/>
        <v>WH_Apt-G_BIOWOO_X1</v>
      </c>
      <c r="AD209" s="83" t="str">
        <f t="shared" si="190"/>
        <v>Residential Water Heating Apartment-G_Biomass &amp; Renewable Waste to Residential_Existing 01</v>
      </c>
      <c r="AE209" s="66" t="s">
        <v>53</v>
      </c>
      <c r="AF209" s="88" t="s">
        <v>406</v>
      </c>
      <c r="AG209" s="66"/>
      <c r="AH209" s="66"/>
      <c r="AI209" s="840"/>
      <c r="AJ209" s="840"/>
      <c r="AK209" s="840"/>
      <c r="AL209" s="840"/>
      <c r="AM209" s="840"/>
      <c r="AN209" s="840"/>
      <c r="AO209" s="840"/>
    </row>
    <row r="210" spans="1:42">
      <c r="A210" s="840"/>
      <c r="B210" s="840"/>
      <c r="C210" s="840"/>
      <c r="D210" s="840"/>
      <c r="E210" s="840"/>
      <c r="F210" s="840"/>
      <c r="G210" s="840"/>
      <c r="H210" s="840"/>
      <c r="I210" s="840"/>
      <c r="J210" s="840"/>
      <c r="K210" s="840"/>
      <c r="L210" s="840"/>
      <c r="M210" s="840"/>
      <c r="N210" s="840"/>
      <c r="O210" s="840"/>
      <c r="P210" s="840"/>
      <c r="Q210" s="840"/>
      <c r="R210" s="840"/>
      <c r="S210" s="840"/>
      <c r="T210" s="840"/>
      <c r="U210" s="840"/>
      <c r="V210" s="840"/>
      <c r="W210" s="840"/>
      <c r="X210" s="840"/>
      <c r="Y210" s="840"/>
      <c r="Z210" s="840"/>
      <c r="AA210" s="840"/>
      <c r="AB210" s="840"/>
      <c r="AC210" s="840"/>
      <c r="AD210" s="840"/>
      <c r="AE210" s="840"/>
      <c r="AF210" s="840"/>
      <c r="AG210" s="840"/>
      <c r="AH210" s="840"/>
      <c r="AI210" s="840"/>
      <c r="AJ210" s="840"/>
      <c r="AK210" s="840"/>
      <c r="AL210" s="840"/>
      <c r="AM210" s="840"/>
      <c r="AN210" s="840"/>
      <c r="AO210" s="840"/>
    </row>
    <row r="211" spans="1:42">
      <c r="A211" s="840"/>
      <c r="B211" s="840"/>
      <c r="C211" s="840"/>
      <c r="D211" s="840"/>
      <c r="E211" s="840"/>
      <c r="F211" s="840"/>
      <c r="G211" s="840"/>
      <c r="H211" s="840"/>
      <c r="I211" s="840"/>
      <c r="J211" s="840"/>
      <c r="K211" s="840"/>
      <c r="L211" s="840"/>
      <c r="M211" s="840"/>
      <c r="N211" s="840"/>
      <c r="O211" s="840"/>
      <c r="P211" s="840"/>
      <c r="Q211" s="840"/>
      <c r="R211" s="840"/>
      <c r="S211" s="840"/>
      <c r="T211" s="840"/>
      <c r="U211" s="840"/>
      <c r="V211" s="840"/>
      <c r="W211" s="840"/>
      <c r="X211" s="840"/>
      <c r="Y211" s="840"/>
      <c r="Z211" s="840"/>
      <c r="AA211" s="840"/>
      <c r="AB211" s="840"/>
      <c r="AC211" s="840"/>
      <c r="AD211" s="840"/>
      <c r="AE211" s="840"/>
      <c r="AF211" s="840"/>
      <c r="AG211" s="840"/>
      <c r="AH211" s="840"/>
      <c r="AI211" s="839"/>
      <c r="AJ211" s="840"/>
      <c r="AK211" s="840"/>
      <c r="AL211" s="840"/>
      <c r="AM211" s="840"/>
      <c r="AN211" s="840"/>
      <c r="AO211" s="840"/>
    </row>
    <row r="212" spans="1:42">
      <c r="A212" s="840"/>
      <c r="B212" s="840"/>
      <c r="C212" s="840"/>
      <c r="D212" s="840"/>
      <c r="E212" s="840"/>
      <c r="F212" s="840"/>
      <c r="G212" s="840"/>
      <c r="H212" s="840"/>
      <c r="K212" s="840"/>
      <c r="L212" s="840"/>
      <c r="M212" s="840"/>
      <c r="N212" s="840"/>
      <c r="O212" s="840"/>
      <c r="P212" s="840"/>
      <c r="Q212" s="840"/>
      <c r="R212" s="840"/>
      <c r="S212" s="840"/>
      <c r="T212" s="840"/>
      <c r="U212" s="840"/>
      <c r="V212" s="840"/>
      <c r="W212" s="840"/>
      <c r="X212" s="840"/>
      <c r="Y212" s="840"/>
      <c r="Z212" s="840"/>
      <c r="AA212" s="840"/>
      <c r="AB212" s="840"/>
      <c r="AC212" s="840"/>
      <c r="AD212" s="840"/>
      <c r="AE212" s="840"/>
      <c r="AF212" s="840"/>
      <c r="AG212" s="840"/>
      <c r="AH212" s="839"/>
      <c r="AI212" s="840"/>
      <c r="AJ212" s="840"/>
      <c r="AK212" s="840"/>
      <c r="AL212" s="840"/>
      <c r="AM212" s="840"/>
      <c r="AN212" s="840"/>
    </row>
    <row r="213" spans="1:42">
      <c r="A213" s="840"/>
      <c r="B213" s="840"/>
      <c r="C213" s="840"/>
      <c r="D213" s="840"/>
      <c r="E213" s="840"/>
      <c r="F213" s="840"/>
      <c r="G213" s="840"/>
      <c r="H213" s="840"/>
      <c r="K213" s="840"/>
      <c r="L213" s="840"/>
      <c r="M213" s="840"/>
      <c r="N213" s="840"/>
      <c r="O213" s="840"/>
      <c r="P213" s="840"/>
      <c r="Q213" s="840"/>
      <c r="R213" s="840"/>
      <c r="S213" s="840"/>
      <c r="T213" s="840"/>
      <c r="U213" s="840"/>
      <c r="V213" s="840"/>
      <c r="W213" s="840"/>
      <c r="X213" s="840"/>
      <c r="Y213" s="840"/>
      <c r="Z213" s="840"/>
      <c r="AA213" s="840"/>
      <c r="AB213" s="840"/>
      <c r="AC213" s="840"/>
      <c r="AD213" s="840"/>
      <c r="AE213" s="840"/>
      <c r="AF213" s="840"/>
      <c r="AG213" s="840"/>
      <c r="AH213" s="839"/>
      <c r="AI213" s="839"/>
      <c r="AJ213" s="839"/>
      <c r="AK213" s="839"/>
      <c r="AL213" s="839"/>
      <c r="AM213" s="839"/>
      <c r="AN213" s="839"/>
      <c r="AO213" s="839"/>
      <c r="AP213" s="839"/>
    </row>
    <row r="214" spans="1:42" ht="21.75" thickBot="1">
      <c r="A214" s="139" t="s">
        <v>832</v>
      </c>
      <c r="B214" s="139"/>
      <c r="C214" s="139"/>
      <c r="D214" s="139"/>
      <c r="E214" s="139"/>
      <c r="F214" s="139"/>
      <c r="G214" s="139"/>
      <c r="H214" s="840"/>
      <c r="K214" s="840"/>
      <c r="L214" s="840"/>
      <c r="M214" s="840"/>
      <c r="N214" s="138" t="s">
        <v>832</v>
      </c>
      <c r="O214" s="138"/>
      <c r="P214" s="142" t="s">
        <v>372</v>
      </c>
      <c r="Q214" s="85"/>
      <c r="R214" s="85"/>
      <c r="S214" s="85"/>
      <c r="T214" s="85"/>
      <c r="U214" s="85"/>
      <c r="V214" s="85"/>
      <c r="W214" s="90"/>
      <c r="X214" s="96" t="s">
        <v>561</v>
      </c>
      <c r="Y214" s="866"/>
      <c r="Z214" s="840"/>
      <c r="AA214" s="68" t="s">
        <v>373</v>
      </c>
      <c r="AB214" s="68"/>
      <c r="AC214" s="839"/>
      <c r="AD214" s="839"/>
      <c r="AE214" s="839"/>
      <c r="AF214" s="839"/>
      <c r="AG214" s="839"/>
      <c r="AH214" s="839"/>
      <c r="AI214" s="839"/>
      <c r="AJ214" s="839"/>
      <c r="AK214" s="839"/>
      <c r="AL214" s="839"/>
      <c r="AM214" s="839"/>
      <c r="AN214" s="839"/>
      <c r="AO214" s="839"/>
      <c r="AP214" s="839"/>
    </row>
    <row r="215" spans="1:42" ht="15.75" thickBot="1">
      <c r="A215" s="756" t="s">
        <v>108</v>
      </c>
      <c r="B215" s="756" t="s">
        <v>565</v>
      </c>
      <c r="C215" s="756" t="s">
        <v>565</v>
      </c>
      <c r="D215" s="756" t="s">
        <v>565</v>
      </c>
      <c r="E215" s="756" t="s">
        <v>565</v>
      </c>
      <c r="F215" s="756" t="s">
        <v>825</v>
      </c>
      <c r="G215" s="756" t="s">
        <v>567</v>
      </c>
      <c r="J215" s="135"/>
      <c r="K215" s="840"/>
      <c r="L215" s="840"/>
      <c r="M215" s="840"/>
      <c r="N215" s="73" t="s">
        <v>374</v>
      </c>
      <c r="O215" s="73" t="s">
        <v>397</v>
      </c>
      <c r="P215" s="73" t="s">
        <v>376</v>
      </c>
      <c r="Q215" s="73" t="s">
        <v>377</v>
      </c>
      <c r="R215" s="73" t="s">
        <v>562</v>
      </c>
      <c r="S215" s="86" t="s">
        <v>398</v>
      </c>
      <c r="T215" s="73" t="s">
        <v>811</v>
      </c>
      <c r="U215" s="86" t="s">
        <v>378</v>
      </c>
      <c r="V215" s="86" t="s">
        <v>380</v>
      </c>
      <c r="W215" s="86" t="s">
        <v>400</v>
      </c>
      <c r="X215" s="91"/>
      <c r="Y215" s="94" t="s">
        <v>563</v>
      </c>
      <c r="Z215" s="95" t="s">
        <v>564</v>
      </c>
      <c r="AA215" s="840"/>
      <c r="AB215" s="73" t="s">
        <v>385</v>
      </c>
      <c r="AC215" s="73" t="s">
        <v>374</v>
      </c>
      <c r="AD215" s="73" t="s">
        <v>375</v>
      </c>
      <c r="AE215" s="73" t="s">
        <v>386</v>
      </c>
      <c r="AF215" s="73" t="s">
        <v>387</v>
      </c>
      <c r="AG215" s="73" t="s">
        <v>388</v>
      </c>
      <c r="AH215" s="73" t="s">
        <v>389</v>
      </c>
      <c r="AI215" s="839"/>
      <c r="AJ215" s="839"/>
      <c r="AK215" s="839"/>
      <c r="AL215" s="839"/>
      <c r="AM215" s="839"/>
      <c r="AN215" s="839"/>
      <c r="AO215" s="839"/>
    </row>
    <row r="216" spans="1:42" ht="26.25" thickBot="1">
      <c r="A216" s="945" t="s">
        <v>569</v>
      </c>
      <c r="B216" s="988" t="s">
        <v>655</v>
      </c>
      <c r="C216" s="988" t="s">
        <v>656</v>
      </c>
      <c r="D216" s="988" t="s">
        <v>657</v>
      </c>
      <c r="E216" s="988" t="s">
        <v>658</v>
      </c>
      <c r="F216" s="946" t="s">
        <v>575</v>
      </c>
      <c r="G216" s="946" t="s">
        <v>576</v>
      </c>
      <c r="J216" s="135"/>
      <c r="K216" s="840"/>
      <c r="L216" s="840"/>
      <c r="M216" s="840"/>
      <c r="N216" s="74" t="s">
        <v>402</v>
      </c>
      <c r="O216" s="74" t="s">
        <v>403</v>
      </c>
      <c r="P216" s="74" t="s">
        <v>404</v>
      </c>
      <c r="Q216" s="74" t="s">
        <v>405</v>
      </c>
      <c r="R216" s="74"/>
      <c r="S216" s="89" t="s">
        <v>406</v>
      </c>
      <c r="T216" s="74"/>
      <c r="U216" s="87" t="s">
        <v>568</v>
      </c>
      <c r="V216" s="87"/>
      <c r="W216" s="87"/>
      <c r="X216" s="92"/>
      <c r="Y216" s="732" t="s">
        <v>53</v>
      </c>
      <c r="Z216" s="733" t="s">
        <v>53</v>
      </c>
      <c r="AA216" s="92"/>
      <c r="AB216" s="75" t="s">
        <v>370</v>
      </c>
      <c r="AC216" s="75"/>
      <c r="AD216" s="74"/>
      <c r="AE216" s="75"/>
      <c r="AF216" s="75"/>
      <c r="AG216" s="75"/>
      <c r="AH216" s="75"/>
      <c r="AI216" s="839"/>
      <c r="AJ216" s="839"/>
      <c r="AK216" s="839"/>
      <c r="AL216" s="839"/>
      <c r="AM216" s="839"/>
      <c r="AN216" s="839"/>
      <c r="AO216" s="839"/>
    </row>
    <row r="217" spans="1:42">
      <c r="A217" s="972" t="s">
        <v>108</v>
      </c>
      <c r="B217" s="757">
        <f>SUMIFS(INDEX(Table7[],,MATCH(B$216,Table7[#Headers],0)),Table7[EnergyRating (group)],$A217)</f>
        <v>6775691</v>
      </c>
      <c r="C217" s="757">
        <f>SUMIFS(INDEX(Table7[],,MATCH(C$216,Table7[#Headers],0)),Table7[EnergyRating (group)],$A217)</f>
        <v>2509515</v>
      </c>
      <c r="D217" s="760">
        <f>SUMIFS(INDEX(Table7[],,MATCH(D$216,Table7[#Headers],0)),Table7[EnergyRating (group)],$A217)</f>
        <v>5111116</v>
      </c>
      <c r="E217" s="760">
        <f>SUMIFS(INDEX(Table7[],,MATCH(E$216,Table7[#Headers],0)),Table7[EnergyRating (group)],$A217)</f>
        <v>1893005</v>
      </c>
      <c r="F217" s="757">
        <f>SUMIFS(INDEX(Table7[],,MATCH(F$216,Table7[#Headers],0)),Table7[EnergyRating (group)],$A217)</f>
        <v>6419</v>
      </c>
      <c r="G217" s="757">
        <f>SUMIFS(INDEX(Table7[],,MATCH(G$216,Table7[#Headers],0)),Table7[EnergyRating (group)],$A217)</f>
        <v>535136</v>
      </c>
      <c r="L217" s="840"/>
      <c r="M217" s="840"/>
      <c r="N217" s="914" t="str">
        <f>RSD_Commodities!M90&amp;"_"&amp;SETUP!$B$67</f>
        <v>LT_Apt-A_X0</v>
      </c>
      <c r="O217" s="914" t="str">
        <f>RSD_Commodities!N90&amp;"_"&amp;SETUP!$B$67</f>
        <v>Residential Lighting Apartment-A_X0</v>
      </c>
      <c r="P217" s="915" t="str">
        <f>RSD_Commodities!$C$27</f>
        <v>RSDELCD</v>
      </c>
      <c r="Q217" s="914" t="str">
        <f>RSD_Commodities!M90</f>
        <v>LT_Apt-A</v>
      </c>
      <c r="R217" s="915">
        <f>F217/SUM($F$217:$F$225)</f>
        <v>4.7619754148831205E-2</v>
      </c>
      <c r="S217" s="914">
        <f>R217*DwellingStocks!I62/1000</f>
        <v>0.50219870327345495</v>
      </c>
      <c r="T217" s="915">
        <v>1</v>
      </c>
      <c r="U217" s="986">
        <f>C217/B217</f>
        <v>0.37037034303955124</v>
      </c>
      <c r="V217" s="915">
        <v>20</v>
      </c>
      <c r="W217" s="914">
        <v>1</v>
      </c>
      <c r="Y217" s="928">
        <f>ABS((C217)*S217*1000*$B$2)</f>
        <v>5.1792130637477447E-4</v>
      </c>
      <c r="Z217" s="928">
        <f>ABS((B217)*S217*1000*$B$2)</f>
        <v>1.3983876304034055E-3</v>
      </c>
      <c r="AB217" s="914" t="s">
        <v>393</v>
      </c>
      <c r="AC217" s="914" t="str">
        <f t="shared" ref="AC217:AC224" si="191">N217</f>
        <v>LT_Apt-A_X0</v>
      </c>
      <c r="AD217" s="915" t="str">
        <f t="shared" ref="AD217:AD224" si="192">O217</f>
        <v>Residential Lighting Apartment-A_X0</v>
      </c>
      <c r="AE217" s="914" t="s">
        <v>53</v>
      </c>
      <c r="AF217" s="916" t="s">
        <v>406</v>
      </c>
      <c r="AG217" s="914"/>
      <c r="AH217" s="914"/>
      <c r="AI217" s="839"/>
      <c r="AJ217" s="839"/>
      <c r="AK217" s="839"/>
      <c r="AL217" s="839"/>
      <c r="AM217" s="839"/>
      <c r="AN217" s="839"/>
      <c r="AO217" s="839"/>
    </row>
    <row r="218" spans="1:42">
      <c r="A218" s="973" t="s">
        <v>110</v>
      </c>
      <c r="B218" s="758">
        <f>SUMIFS(INDEX(Table7[],,MATCH(B$216,Table7[#Headers],0)),Table7[EnergyRating (group)],$A218)</f>
        <v>4575063</v>
      </c>
      <c r="C218" s="758">
        <f>SUMIFS(INDEX(Table7[],,MATCH(C$216,Table7[#Headers],0)),Table7[EnergyRating (group)],$A218)</f>
        <v>1694467</v>
      </c>
      <c r="D218" s="758">
        <f>SUMIFS(INDEX(Table7[],,MATCH(D$216,Table7[#Headers],0)),Table7[EnergyRating (group)],$A218)</f>
        <v>1724391</v>
      </c>
      <c r="E218" s="758">
        <f>SUMIFS(INDEX(Table7[],,MATCH(E$216,Table7[#Headers],0)),Table7[EnergyRating (group)],$A218)</f>
        <v>638663</v>
      </c>
      <c r="F218" s="758">
        <f>SUMIFS(INDEX(Table7[],,MATCH(F$216,Table7[#Headers],0)),Table7[EnergyRating (group)],$A218)</f>
        <v>3209</v>
      </c>
      <c r="G218" s="758">
        <f>SUMIFS(INDEX(Table7[],,MATCH(G$216,Table7[#Headers],0)),Table7[EnergyRating (group)],$A218)</f>
        <v>264012</v>
      </c>
      <c r="L218" s="840"/>
      <c r="N218" s="66" t="str">
        <f>RSD_Commodities!M91&amp;"_"&amp;SETUP!$B$67</f>
        <v>LT_Apt-B1_X0</v>
      </c>
      <c r="O218" s="66" t="str">
        <f>RSD_Commodities!N91&amp;"_"&amp;SETUP!$B$67</f>
        <v>Residential Lighting Apartment-B1_X0</v>
      </c>
      <c r="P218" s="83" t="str">
        <f>RSD_Commodities!$C$27</f>
        <v>RSDELCD</v>
      </c>
      <c r="Q218" s="66" t="str">
        <f>RSD_Commodities!M91</f>
        <v>LT_Apt-B1</v>
      </c>
      <c r="R218" s="83">
        <f t="shared" ref="R218:R225" si="193">F218/SUM($F$217:$F$225)</f>
        <v>2.3806167793051773E-2</v>
      </c>
      <c r="S218" s="66">
        <f>R218*DwellingStocks!I63/1000</f>
        <v>0.12373402382755652</v>
      </c>
      <c r="T218" s="83">
        <v>1</v>
      </c>
      <c r="U218" s="987">
        <f t="shared" ref="U218:U225" si="194">C218/B218</f>
        <v>0.37037020036663976</v>
      </c>
      <c r="V218" s="83">
        <v>20</v>
      </c>
      <c r="W218" s="66">
        <v>1</v>
      </c>
      <c r="Y218" s="926">
        <f t="shared" ref="Y218:Y225" si="195">ABS((C218)*S218*1000*$B$2)</f>
        <v>8.6162967186167777E-5</v>
      </c>
      <c r="Z218" s="926">
        <f t="shared" ref="Z218:Z225" si="196">ABS((B218)*S218*1000*$B$2)</f>
        <v>2.3264011818681057E-4</v>
      </c>
      <c r="AB218" s="66" t="s">
        <v>393</v>
      </c>
      <c r="AC218" s="66" t="str">
        <f t="shared" si="191"/>
        <v>LT_Apt-B1_X0</v>
      </c>
      <c r="AD218" s="83" t="str">
        <f t="shared" si="192"/>
        <v>Residential Lighting Apartment-B1_X0</v>
      </c>
      <c r="AE218" s="66" t="s">
        <v>53</v>
      </c>
      <c r="AF218" s="88" t="s">
        <v>406</v>
      </c>
      <c r="AG218" s="66"/>
      <c r="AH218" s="66"/>
      <c r="AI218" s="839"/>
      <c r="AJ218" s="839"/>
      <c r="AK218" s="839"/>
      <c r="AL218" s="839"/>
      <c r="AM218" s="839"/>
      <c r="AN218" s="839"/>
      <c r="AO218" s="839"/>
    </row>
    <row r="219" spans="1:42">
      <c r="A219" s="972" t="s">
        <v>112</v>
      </c>
      <c r="B219" s="757">
        <f>SUMIFS(INDEX(Table7[],,MATCH(B$216,Table7[#Headers],0)),Table7[EnergyRating (group)],$A219)</f>
        <v>13683993</v>
      </c>
      <c r="C219" s="757">
        <f>SUMIFS(INDEX(Table7[],,MATCH(C$216,Table7[#Headers],0)),Table7[EnergyRating (group)],$A219)</f>
        <v>5068146</v>
      </c>
      <c r="D219" s="757">
        <f>SUMIFS(INDEX(Table7[],,MATCH(D$216,Table7[#Headers],0)),Table7[EnergyRating (group)],$A219)</f>
        <v>4290638</v>
      </c>
      <c r="E219" s="757">
        <f>SUMIFS(INDEX(Table7[],,MATCH(E$216,Table7[#Headers],0)),Table7[EnergyRating (group)],$A219)</f>
        <v>1589124</v>
      </c>
      <c r="F219" s="757">
        <f>SUMIFS(INDEX(Table7[],,MATCH(F$216,Table7[#Headers],0)),Table7[EnergyRating (group)],$A219)</f>
        <v>8665</v>
      </c>
      <c r="G219" s="757">
        <f>SUMIFS(INDEX(Table7[],,MATCH(G$216,Table7[#Headers],0)),Table7[EnergyRating (group)],$A219)</f>
        <v>712223</v>
      </c>
      <c r="L219" s="840"/>
      <c r="N219" s="914" t="str">
        <f>RSD_Commodities!M92&amp;"_"&amp;SETUP!$B$67</f>
        <v>LT_Apt-B2_X0</v>
      </c>
      <c r="O219" s="914" t="str">
        <f>RSD_Commodities!N92&amp;"_"&amp;SETUP!$B$67</f>
        <v>Residential Lighting Apartment-B2_X0</v>
      </c>
      <c r="P219" s="915" t="str">
        <f>RSD_Commodities!$C$27</f>
        <v>RSDELCD</v>
      </c>
      <c r="Q219" s="914" t="str">
        <f>RSD_Commodities!M92</f>
        <v>LT_Apt-B2</v>
      </c>
      <c r="R219" s="915">
        <f t="shared" si="193"/>
        <v>6.4281846035149151E-2</v>
      </c>
      <c r="S219" s="914">
        <f>R219*DwellingStocks!I64/1000</f>
        <v>0.89861907525184759</v>
      </c>
      <c r="T219" s="915">
        <v>1</v>
      </c>
      <c r="U219" s="986">
        <f t="shared" si="194"/>
        <v>0.37037040284951916</v>
      </c>
      <c r="V219" s="915">
        <v>20</v>
      </c>
      <c r="W219" s="914">
        <v>1</v>
      </c>
      <c r="Y219" s="928">
        <f t="shared" si="195"/>
        <v>1.8716435637375415E-3</v>
      </c>
      <c r="Z219" s="928">
        <f t="shared" si="196"/>
        <v>5.05343717893675E-3</v>
      </c>
      <c r="AB219" s="914" t="s">
        <v>393</v>
      </c>
      <c r="AC219" s="914" t="str">
        <f t="shared" si="191"/>
        <v>LT_Apt-B2_X0</v>
      </c>
      <c r="AD219" s="915" t="str">
        <f t="shared" si="192"/>
        <v>Residential Lighting Apartment-B2_X0</v>
      </c>
      <c r="AE219" s="914" t="s">
        <v>53</v>
      </c>
      <c r="AF219" s="916" t="s">
        <v>406</v>
      </c>
      <c r="AG219" s="914"/>
      <c r="AH219" s="914"/>
    </row>
    <row r="220" spans="1:42">
      <c r="A220" s="973" t="s">
        <v>114</v>
      </c>
      <c r="B220" s="758">
        <f>SUMIFS(INDEX(Table7[],,MATCH(B$216,Table7[#Headers],0)),Table7[EnergyRating (group)],$A220)</f>
        <v>21449935</v>
      </c>
      <c r="C220" s="758">
        <f>SUMIFS(INDEX(Table7[],,MATCH(C$216,Table7[#Headers],0)),Table7[EnergyRating (group)],$A220)</f>
        <v>7944418</v>
      </c>
      <c r="D220" s="759">
        <f>SUMIFS(INDEX(Table7[],,MATCH(D$216,Table7[#Headers],0)),Table7[EnergyRating (group)],$A220)</f>
        <v>6224839</v>
      </c>
      <c r="E220" s="759">
        <f>SUMIFS(INDEX(Table7[],,MATCH(E$216,Table7[#Headers],0)),Table7[EnergyRating (group)],$A220)</f>
        <v>2305495</v>
      </c>
      <c r="F220" s="758">
        <f>SUMIFS(INDEX(Table7[],,MATCH(F$216,Table7[#Headers],0)),Table7[EnergyRating (group)],$A220)</f>
        <v>13570</v>
      </c>
      <c r="G220" s="758">
        <f>SUMIFS(INDEX(Table7[],,MATCH(G$216,Table7[#Headers],0)),Table7[EnergyRating (group)],$A220)</f>
        <v>1073829</v>
      </c>
      <c r="N220" s="66" t="str">
        <f>RSD_Commodities!M93&amp;"_"&amp;SETUP!$B$67</f>
        <v>LT_Apt-B3_X0</v>
      </c>
      <c r="O220" s="66" t="str">
        <f>RSD_Commodities!N93&amp;"_"&amp;SETUP!$B$67</f>
        <v>Residential Lighting Apartment-B3_X0</v>
      </c>
      <c r="P220" s="83" t="str">
        <f>RSD_Commodities!$C$27</f>
        <v>RSDELCD</v>
      </c>
      <c r="Q220" s="66" t="str">
        <f>RSD_Commodities!M93</f>
        <v>LT_Apt-B3</v>
      </c>
      <c r="R220" s="83">
        <f t="shared" si="193"/>
        <v>0.10066989621430744</v>
      </c>
      <c r="S220" s="66">
        <f>R220*DwellingStocks!I65/1000</f>
        <v>2.1854879241927594</v>
      </c>
      <c r="T220" s="83">
        <v>1</v>
      </c>
      <c r="U220" s="987">
        <f t="shared" si="194"/>
        <v>0.37037025986325833</v>
      </c>
      <c r="V220" s="83">
        <v>20</v>
      </c>
      <c r="W220" s="66">
        <v>1</v>
      </c>
      <c r="Y220" s="926">
        <f t="shared" si="195"/>
        <v>7.1352450426327109E-3</v>
      </c>
      <c r="Z220" s="926">
        <f t="shared" si="196"/>
        <v>1.9265167363240944E-2</v>
      </c>
      <c r="AB220" s="66" t="s">
        <v>393</v>
      </c>
      <c r="AC220" s="66" t="str">
        <f t="shared" si="191"/>
        <v>LT_Apt-B3_X0</v>
      </c>
      <c r="AD220" s="83" t="str">
        <f t="shared" si="192"/>
        <v>Residential Lighting Apartment-B3_X0</v>
      </c>
      <c r="AE220" s="66" t="s">
        <v>53</v>
      </c>
      <c r="AF220" s="88" t="s">
        <v>406</v>
      </c>
      <c r="AG220" s="66"/>
      <c r="AH220" s="66"/>
    </row>
    <row r="221" spans="1:42">
      <c r="A221" s="972" t="s">
        <v>116</v>
      </c>
      <c r="B221" s="757">
        <f>SUMIFS(INDEX(Table7[],,MATCH(B$216,Table7[#Headers],0)),Table7[EnergyRating (group)],$A221)</f>
        <v>66986547</v>
      </c>
      <c r="C221" s="757">
        <f>SUMIFS(INDEX(Table7[],,MATCH(C$216,Table7[#Headers],0)),Table7[EnergyRating (group)],$A221)</f>
        <v>24809830</v>
      </c>
      <c r="D221" s="760">
        <f>SUMIFS(INDEX(Table7[],,MATCH(D$216,Table7[#Headers],0)),Table7[EnergyRating (group)],$A221)</f>
        <v>14001763</v>
      </c>
      <c r="E221" s="760">
        <f>SUMIFS(INDEX(Table7[],,MATCH(E$216,Table7[#Headers],0)),Table7[EnergyRating (group)],$A221)</f>
        <v>5185838</v>
      </c>
      <c r="F221" s="757">
        <f>SUMIFS(INDEX(Table7[],,MATCH(F$216,Table7[#Headers],0)),Table7[EnergyRating (group)],$A221)</f>
        <v>45566</v>
      </c>
      <c r="G221" s="757">
        <f>SUMIFS(INDEX(Table7[],,MATCH(G$216,Table7[#Headers],0)),Table7[EnergyRating (group)],$A221)</f>
        <v>3308773</v>
      </c>
      <c r="N221" s="914" t="str">
        <f>RSD_Commodities!M94&amp;"_"&amp;SETUP!$B$67</f>
        <v>LT_Apt-C_X0</v>
      </c>
      <c r="O221" s="914" t="str">
        <f>RSD_Commodities!N94&amp;"_"&amp;SETUP!$B$67</f>
        <v>Residential Lighting Apartment-C_X0</v>
      </c>
      <c r="P221" s="915" t="str">
        <f>RSD_Commodities!$C$27</f>
        <v>RSDELCD</v>
      </c>
      <c r="Q221" s="914" t="str">
        <f>RSD_Commodities!M94</f>
        <v>LT_Apt-C</v>
      </c>
      <c r="R221" s="915">
        <f t="shared" si="193"/>
        <v>0.33803422924842541</v>
      </c>
      <c r="S221" s="914">
        <f>R221*DwellingStocks!I66/1000</f>
        <v>24.055995436757481</v>
      </c>
      <c r="T221" s="915">
        <v>1</v>
      </c>
      <c r="U221" s="986">
        <f t="shared" si="194"/>
        <v>0.37037033719621343</v>
      </c>
      <c r="V221" s="915">
        <v>20</v>
      </c>
      <c r="W221" s="914">
        <v>1</v>
      </c>
      <c r="Y221" s="928">
        <f t="shared" si="195"/>
        <v>0.24527061257536809</v>
      </c>
      <c r="Z221" s="928">
        <f t="shared" si="196"/>
        <v>0.66223071326964689</v>
      </c>
      <c r="AB221" s="914" t="s">
        <v>393</v>
      </c>
      <c r="AC221" s="914" t="str">
        <f t="shared" si="191"/>
        <v>LT_Apt-C_X0</v>
      </c>
      <c r="AD221" s="915" t="str">
        <f t="shared" si="192"/>
        <v>Residential Lighting Apartment-C_X0</v>
      </c>
      <c r="AE221" s="914" t="s">
        <v>53</v>
      </c>
      <c r="AF221" s="916" t="s">
        <v>406</v>
      </c>
      <c r="AG221" s="914"/>
      <c r="AH221" s="914"/>
    </row>
    <row r="222" spans="1:42">
      <c r="A222" s="973" t="s">
        <v>118</v>
      </c>
      <c r="B222" s="758">
        <f>SUMIFS(INDEX(Table7[],,MATCH(B$216,Table7[#Headers],0)),Table7[EnergyRating (group)],$A222)</f>
        <v>40832642</v>
      </c>
      <c r="C222" s="758">
        <f>SUMIFS(INDEX(Table7[],,MATCH(C$216,Table7[#Headers],0)),Table7[EnergyRating (group)],$A222)</f>
        <v>15123197</v>
      </c>
      <c r="D222" s="758">
        <f>SUMIFS(INDEX(Table7[],,MATCH(D$216,Table7[#Headers],0)),Table7[EnergyRating (group)],$A222)</f>
        <v>4141592</v>
      </c>
      <c r="E222" s="758">
        <f>SUMIFS(INDEX(Table7[],,MATCH(E$216,Table7[#Headers],0)),Table7[EnergyRating (group)],$A222)</f>
        <v>1533923</v>
      </c>
      <c r="F222" s="758">
        <f>SUMIFS(INDEX(Table7[],,MATCH(F$216,Table7[#Headers],0)),Table7[EnergyRating (group)],$A222)</f>
        <v>30979</v>
      </c>
      <c r="G222" s="758">
        <f>SUMIFS(INDEX(Table7[],,MATCH(G$216,Table7[#Headers],0)),Table7[EnergyRating (group)],$A222)</f>
        <v>2017901</v>
      </c>
      <c r="N222" s="66" t="str">
        <f>RSD_Commodities!M95&amp;"_"&amp;SETUP!$B$67</f>
        <v>LT_Apt-D_X0</v>
      </c>
      <c r="O222" s="66" t="str">
        <f>RSD_Commodities!N95&amp;"_"&amp;SETUP!$B$67</f>
        <v>Residential Lighting Apartment-D_X0</v>
      </c>
      <c r="P222" s="83" t="str">
        <f>RSD_Commodities!$C$27</f>
        <v>RSDELCD</v>
      </c>
      <c r="Q222" s="66" t="str">
        <f>RSD_Commodities!M95</f>
        <v>LT_Apt-D</v>
      </c>
      <c r="R222" s="83">
        <f t="shared" si="193"/>
        <v>0.22981965474009067</v>
      </c>
      <c r="S222" s="66">
        <f>R222*DwellingStocks!I67/1000</f>
        <v>10.913889405281459</v>
      </c>
      <c r="T222" s="83">
        <v>1</v>
      </c>
      <c r="U222" s="987">
        <f t="shared" si="194"/>
        <v>0.37037027875884199</v>
      </c>
      <c r="V222" s="83">
        <v>20</v>
      </c>
      <c r="W222" s="66">
        <v>1</v>
      </c>
      <c r="Y222" s="926">
        <f t="shared" si="195"/>
        <v>6.78299587036785E-2</v>
      </c>
      <c r="Z222" s="926">
        <f t="shared" si="196"/>
        <v>0.18314093380004828</v>
      </c>
      <c r="AB222" s="66" t="s">
        <v>393</v>
      </c>
      <c r="AC222" s="66" t="str">
        <f t="shared" si="191"/>
        <v>LT_Apt-D_X0</v>
      </c>
      <c r="AD222" s="83" t="str">
        <f t="shared" si="192"/>
        <v>Residential Lighting Apartment-D_X0</v>
      </c>
      <c r="AE222" s="66" t="s">
        <v>53</v>
      </c>
      <c r="AF222" s="88" t="s">
        <v>406</v>
      </c>
      <c r="AG222" s="66"/>
      <c r="AH222" s="66"/>
    </row>
    <row r="223" spans="1:42">
      <c r="A223" s="972" t="s">
        <v>120</v>
      </c>
      <c r="B223" s="757">
        <f>SUMIFS(INDEX(Table7[],,MATCH(B$216,Table7[#Headers],0)),Table7[EnergyRating (group)],$A223)</f>
        <v>19134775</v>
      </c>
      <c r="C223" s="757">
        <f>SUMIFS(INDEX(Table7[],,MATCH(C$216,Table7[#Headers],0)),Table7[EnergyRating (group)],$A223)</f>
        <v>7086954</v>
      </c>
      <c r="D223" s="760">
        <f>SUMIFS(INDEX(Table7[],,MATCH(D$216,Table7[#Headers],0)),Table7[EnergyRating (group)],$A223)</f>
        <v>1553015</v>
      </c>
      <c r="E223" s="760">
        <f>SUMIFS(INDEX(Table7[],,MATCH(E$216,Table7[#Headers],0)),Table7[EnergyRating (group)],$A223)</f>
        <v>575190</v>
      </c>
      <c r="F223" s="757">
        <f>SUMIFS(INDEX(Table7[],,MATCH(F$216,Table7[#Headers],0)),Table7[EnergyRating (group)],$A223)</f>
        <v>15595</v>
      </c>
      <c r="G223" s="757">
        <f>SUMIFS(INDEX(Table7[],,MATCH(G$216,Table7[#Headers],0)),Table7[EnergyRating (group)],$A223)</f>
        <v>931542</v>
      </c>
      <c r="N223" s="914" t="str">
        <f>RSD_Commodities!M96&amp;"_"&amp;SETUP!$B$67</f>
        <v>LT_Apt-E_X0</v>
      </c>
      <c r="O223" s="914" t="str">
        <f>RSD_Commodities!N96&amp;"_"&amp;SETUP!$B$67</f>
        <v>Residential Lighting Apartment-E_X0</v>
      </c>
      <c r="P223" s="915" t="str">
        <f>RSD_Commodities!$C$27</f>
        <v>RSDELCD</v>
      </c>
      <c r="Q223" s="914" t="str">
        <f>RSD_Commodities!M96</f>
        <v>LT_Apt-E</v>
      </c>
      <c r="R223" s="915">
        <f t="shared" si="193"/>
        <v>0.11569248573781316</v>
      </c>
      <c r="S223" s="914">
        <f>R223*DwellingStocks!I68/1000</f>
        <v>2.7522882730605494</v>
      </c>
      <c r="T223" s="915">
        <v>1</v>
      </c>
      <c r="U223" s="986">
        <f t="shared" si="194"/>
        <v>0.37037038585507276</v>
      </c>
      <c r="V223" s="915">
        <v>20</v>
      </c>
      <c r="W223" s="914">
        <v>1</v>
      </c>
      <c r="Y223" s="928">
        <f t="shared" si="195"/>
        <v>8.0158933092820094E-3</v>
      </c>
      <c r="Z223" s="928">
        <f t="shared" si="196"/>
        <v>2.1642911030199528E-2</v>
      </c>
      <c r="AB223" s="914" t="s">
        <v>393</v>
      </c>
      <c r="AC223" s="914" t="str">
        <f t="shared" si="191"/>
        <v>LT_Apt-E_X0</v>
      </c>
      <c r="AD223" s="915" t="str">
        <f t="shared" si="192"/>
        <v>Residential Lighting Apartment-E_X0</v>
      </c>
      <c r="AE223" s="914" t="s">
        <v>53</v>
      </c>
      <c r="AF223" s="916" t="s">
        <v>406</v>
      </c>
      <c r="AG223" s="914"/>
      <c r="AH223" s="914"/>
    </row>
    <row r="224" spans="1:42">
      <c r="A224" s="973" t="s">
        <v>122</v>
      </c>
      <c r="B224" s="758">
        <f>SUMIFS(INDEX(Table7[],,MATCH(B$216,Table7[#Headers],0)),Table7[EnergyRating (group)],$A224)</f>
        <v>5990894</v>
      </c>
      <c r="C224" s="758">
        <f>SUMIFS(INDEX(Table7[],,MATCH(C$216,Table7[#Headers],0)),Table7[EnergyRating (group)],$A224)</f>
        <v>2218847</v>
      </c>
      <c r="D224" s="758">
        <f>SUMIFS(INDEX(Table7[],,MATCH(D$216,Table7[#Headers],0)),Table7[EnergyRating (group)],$A224)</f>
        <v>634689</v>
      </c>
      <c r="E224" s="758">
        <f>SUMIFS(INDEX(Table7[],,MATCH(E$216,Table7[#Headers],0)),Table7[EnergyRating (group)],$A224)</f>
        <v>235069</v>
      </c>
      <c r="F224" s="758">
        <f>SUMIFS(INDEX(Table7[],,MATCH(F$216,Table7[#Headers],0)),Table7[EnergyRating (group)],$A224)</f>
        <v>5191</v>
      </c>
      <c r="G224" s="758">
        <f>SUMIFS(INDEX(Table7[],,MATCH(G$216,Table7[#Headers],0)),Table7[EnergyRating (group)],$A224)</f>
        <v>290189</v>
      </c>
      <c r="N224" s="66" t="str">
        <f>RSD_Commodities!M97&amp;"_"&amp;SETUP!$B$67</f>
        <v>LT_Apt-F_X0</v>
      </c>
      <c r="O224" s="66" t="str">
        <f>RSD_Commodities!N97&amp;"_"&amp;SETUP!$B$67</f>
        <v>Residential Lighting Apartment-F_X0</v>
      </c>
      <c r="P224" s="83" t="str">
        <f>RSD_Commodities!$C$27</f>
        <v>RSDELCD</v>
      </c>
      <c r="Q224" s="66" t="str">
        <f>RSD_Commodities!M97</f>
        <v>LT_Apt-F</v>
      </c>
      <c r="R224" s="83">
        <f t="shared" si="193"/>
        <v>3.8509759119268232E-2</v>
      </c>
      <c r="S224" s="66">
        <f>R224*DwellingStocks!I69/1000</f>
        <v>0.30847918427578425</v>
      </c>
      <c r="T224" s="83">
        <v>1</v>
      </c>
      <c r="U224" s="987">
        <f t="shared" si="194"/>
        <v>0.37036993143260422</v>
      </c>
      <c r="V224" s="83">
        <v>20</v>
      </c>
      <c r="W224" s="66">
        <v>1</v>
      </c>
      <c r="Y224" s="926">
        <f t="shared" si="195"/>
        <v>2.8128826544908403E-4</v>
      </c>
      <c r="Z224" s="926">
        <f t="shared" si="196"/>
        <v>7.5947921679562634E-4</v>
      </c>
      <c r="AB224" s="66" t="s">
        <v>393</v>
      </c>
      <c r="AC224" s="66" t="str">
        <f t="shared" si="191"/>
        <v>LT_Apt-F_X0</v>
      </c>
      <c r="AD224" s="83" t="str">
        <f t="shared" si="192"/>
        <v>Residential Lighting Apartment-F_X0</v>
      </c>
      <c r="AE224" s="66" t="s">
        <v>53</v>
      </c>
      <c r="AF224" s="88" t="s">
        <v>406</v>
      </c>
      <c r="AG224" s="66"/>
      <c r="AH224" s="66"/>
    </row>
    <row r="225" spans="1:34">
      <c r="A225" s="972" t="s">
        <v>124</v>
      </c>
      <c r="B225" s="757">
        <f>SUMIFS(INDEX(Table7[],,MATCH(B$216,Table7[#Headers],0)),Table7[EnergyRating (group)],$A225)</f>
        <v>6238658</v>
      </c>
      <c r="C225" s="757">
        <f>SUMIFS(INDEX(Table7[],,MATCH(C$216,Table7[#Headers],0)),Table7[EnergyRating (group)],$A225)</f>
        <v>2310612</v>
      </c>
      <c r="D225" s="760">
        <f>SUMIFS(INDEX(Table7[],,MATCH(D$216,Table7[#Headers],0)),Table7[EnergyRating (group)],$A225)</f>
        <v>576530</v>
      </c>
      <c r="E225" s="760">
        <f>SUMIFS(INDEX(Table7[],,MATCH(E$216,Table7[#Headers],0)),Table7[EnergyRating (group)],$A225)</f>
        <v>213528</v>
      </c>
      <c r="F225" s="757">
        <f>SUMIFS(INDEX(Table7[],,MATCH(F$216,Table7[#Headers],0)),Table7[EnergyRating (group)],$A225)</f>
        <v>5603</v>
      </c>
      <c r="G225" s="757">
        <f>SUMIFS(INDEX(Table7[],,MATCH(G$216,Table7[#Headers],0)),Table7[EnergyRating (group)],$A225)</f>
        <v>294590</v>
      </c>
      <c r="N225" s="914" t="str">
        <f>RSD_Commodities!M98&amp;"_"&amp;SETUP!$B$67</f>
        <v>LT_Apt-G_X0</v>
      </c>
      <c r="O225" s="914" t="str">
        <f>RSD_Commodities!N98&amp;"_"&amp;SETUP!$B$67</f>
        <v>Residential Lighting Apartment-G_X0</v>
      </c>
      <c r="P225" s="930" t="str">
        <f>RSD_Commodities!$C$27</f>
        <v>RSDELCD</v>
      </c>
      <c r="Q225" s="914" t="str">
        <f>RSD_Commodities!M98</f>
        <v>LT_Apt-G</v>
      </c>
      <c r="R225" s="930">
        <f t="shared" si="193"/>
        <v>4.1566206963062978E-2</v>
      </c>
      <c r="S225" s="914">
        <f>R225*DwellingStocks!I70/1000</f>
        <v>0.35986738064514229</v>
      </c>
      <c r="T225" s="915">
        <v>1</v>
      </c>
      <c r="U225" s="986">
        <f t="shared" si="194"/>
        <v>0.37037003791520551</v>
      </c>
      <c r="V225" s="930">
        <v>20</v>
      </c>
      <c r="W225" s="914">
        <v>1</v>
      </c>
      <c r="Y225" s="928">
        <f t="shared" si="195"/>
        <v>3.4171803621667134E-4</v>
      </c>
      <c r="Z225" s="928">
        <f t="shared" si="196"/>
        <v>9.2263952597295708E-4</v>
      </c>
      <c r="AB225" s="914" t="s">
        <v>393</v>
      </c>
      <c r="AC225" s="914" t="str">
        <f t="shared" ref="AC225" si="197">N225</f>
        <v>LT_Apt-G_X0</v>
      </c>
      <c r="AD225" s="915" t="str">
        <f t="shared" ref="AD225" si="198">O225</f>
        <v>Residential Lighting Apartment-G_X0</v>
      </c>
      <c r="AE225" s="914" t="s">
        <v>53</v>
      </c>
      <c r="AF225" s="916" t="s">
        <v>406</v>
      </c>
      <c r="AG225" s="914"/>
      <c r="AH225" s="914"/>
    </row>
    <row r="228" spans="1:34" ht="21.75" thickBot="1">
      <c r="A228" s="139" t="s">
        <v>833</v>
      </c>
      <c r="B228" s="139"/>
      <c r="C228" s="139"/>
      <c r="D228" s="139"/>
      <c r="E228" s="139"/>
      <c r="F228" s="139"/>
      <c r="G228" s="139"/>
      <c r="N228" s="138" t="s">
        <v>833</v>
      </c>
      <c r="O228" s="138"/>
      <c r="P228" s="142" t="s">
        <v>372</v>
      </c>
      <c r="Q228" s="85"/>
      <c r="R228" s="85"/>
      <c r="S228" s="85"/>
      <c r="T228" s="85"/>
      <c r="U228" s="85"/>
      <c r="V228" s="85"/>
      <c r="W228" s="90"/>
      <c r="X228" s="96" t="s">
        <v>561</v>
      </c>
      <c r="Y228" s="866"/>
      <c r="Z228" s="840"/>
      <c r="AA228" s="68" t="s">
        <v>373</v>
      </c>
      <c r="AB228" s="68"/>
      <c r="AC228" s="839"/>
      <c r="AD228" s="839"/>
      <c r="AE228" s="839"/>
      <c r="AF228" s="839"/>
      <c r="AG228" s="839"/>
      <c r="AH228" s="839"/>
    </row>
    <row r="229" spans="1:34" ht="15.75" thickBot="1">
      <c r="A229" s="756" t="s">
        <v>108</v>
      </c>
      <c r="B229" s="756" t="s">
        <v>565</v>
      </c>
      <c r="C229" s="756" t="s">
        <v>565</v>
      </c>
      <c r="D229" s="756" t="s">
        <v>565</v>
      </c>
      <c r="E229" s="756" t="s">
        <v>565</v>
      </c>
      <c r="F229" s="756" t="s">
        <v>825</v>
      </c>
      <c r="G229" s="756" t="s">
        <v>567</v>
      </c>
      <c r="N229" s="73" t="s">
        <v>374</v>
      </c>
      <c r="O229" s="73" t="s">
        <v>397</v>
      </c>
      <c r="P229" s="73" t="s">
        <v>376</v>
      </c>
      <c r="Q229" s="73" t="s">
        <v>377</v>
      </c>
      <c r="R229" s="73" t="s">
        <v>562</v>
      </c>
      <c r="S229" s="86" t="s">
        <v>398</v>
      </c>
      <c r="T229" s="73" t="s">
        <v>811</v>
      </c>
      <c r="U229" s="86" t="s">
        <v>378</v>
      </c>
      <c r="V229" s="86" t="s">
        <v>380</v>
      </c>
      <c r="W229" s="86" t="s">
        <v>400</v>
      </c>
      <c r="X229" s="91"/>
      <c r="Y229" s="94" t="s">
        <v>563</v>
      </c>
      <c r="Z229" s="95" t="s">
        <v>564</v>
      </c>
      <c r="AA229" s="840"/>
      <c r="AB229" s="73" t="s">
        <v>385</v>
      </c>
      <c r="AC229" s="73" t="s">
        <v>374</v>
      </c>
      <c r="AD229" s="73" t="s">
        <v>375</v>
      </c>
      <c r="AE229" s="73" t="s">
        <v>386</v>
      </c>
      <c r="AF229" s="73" t="s">
        <v>387</v>
      </c>
      <c r="AG229" s="73" t="s">
        <v>388</v>
      </c>
      <c r="AH229" s="73" t="s">
        <v>389</v>
      </c>
    </row>
    <row r="230" spans="1:34" ht="26.25" thickBot="1">
      <c r="A230" s="945" t="s">
        <v>569</v>
      </c>
      <c r="B230" s="988" t="s">
        <v>655</v>
      </c>
      <c r="C230" s="988" t="s">
        <v>656</v>
      </c>
      <c r="D230" s="988" t="s">
        <v>657</v>
      </c>
      <c r="E230" s="988" t="s">
        <v>658</v>
      </c>
      <c r="F230" s="946" t="s">
        <v>575</v>
      </c>
      <c r="G230" s="946" t="s">
        <v>576</v>
      </c>
      <c r="N230" s="74" t="s">
        <v>402</v>
      </c>
      <c r="O230" s="74" t="s">
        <v>403</v>
      </c>
      <c r="P230" s="74" t="s">
        <v>404</v>
      </c>
      <c r="Q230" s="74" t="s">
        <v>405</v>
      </c>
      <c r="R230" s="74"/>
      <c r="S230" s="89" t="s">
        <v>406</v>
      </c>
      <c r="T230" s="74"/>
      <c r="U230" s="87" t="s">
        <v>568</v>
      </c>
      <c r="V230" s="87"/>
      <c r="W230" s="87"/>
      <c r="X230" s="92"/>
      <c r="Y230" s="732" t="s">
        <v>53</v>
      </c>
      <c r="Z230" s="733" t="s">
        <v>53</v>
      </c>
      <c r="AA230" s="92"/>
      <c r="AB230" s="75" t="s">
        <v>370</v>
      </c>
      <c r="AC230" s="75"/>
      <c r="AD230" s="74"/>
      <c r="AE230" s="75"/>
      <c r="AF230" s="75"/>
      <c r="AG230" s="75"/>
      <c r="AH230" s="75"/>
    </row>
    <row r="231" spans="1:34">
      <c r="A231" s="972" t="s">
        <v>108</v>
      </c>
      <c r="B231" s="757">
        <f>SUMIFS(INDEX(Table7[],,MATCH(B$216,Table7[#Headers],0)),Table7[EnergyRating (group)],$A231)</f>
        <v>6775691</v>
      </c>
      <c r="C231" s="757">
        <f>SUMIFS(INDEX(Table7[],,MATCH(C$216,Table7[#Headers],0)),Table7[EnergyRating (group)],$A231)</f>
        <v>2509515</v>
      </c>
      <c r="D231" s="760">
        <f>SUMIFS(INDEX(Table7[],,MATCH(D$216,Table7[#Headers],0)),Table7[EnergyRating (group)],$A231)</f>
        <v>5111116</v>
      </c>
      <c r="E231" s="760">
        <f>SUMIFS(INDEX(Table7[],,MATCH(E$216,Table7[#Headers],0)),Table7[EnergyRating (group)],$A231)</f>
        <v>1893005</v>
      </c>
      <c r="F231" s="757">
        <f>SUMIFS(INDEX(Table7[],,MATCH(F$216,Table7[#Headers],0)),Table7[EnergyRating (group)],$A231)</f>
        <v>6419</v>
      </c>
      <c r="G231" s="757">
        <f>SUMIFS(INDEX(Table7[],,MATCH(G$216,Table7[#Headers],0)),Table7[EnergyRating (group)],$A231)</f>
        <v>535136</v>
      </c>
      <c r="N231" s="914" t="str">
        <f>RSD_Commodities!M117&amp;"_"&amp;SETUP!$B$67</f>
        <v>PF_Apt-A_X0</v>
      </c>
      <c r="O231" s="914" t="str">
        <f>RSD_Commodities!N117&amp;"_"&amp;SETUP!$B$67</f>
        <v>Residential Pumps &amp; Fans Apartment-A_X0</v>
      </c>
      <c r="P231" s="915" t="str">
        <f>RSD_Commodities!$C$27</f>
        <v>RSDELCD</v>
      </c>
      <c r="Q231" s="914" t="str">
        <f>RSD_Commodities!M117</f>
        <v>PF_Apt-A</v>
      </c>
      <c r="R231" s="915">
        <f>F231/SUM($F$231:$F$239)</f>
        <v>4.7619754148831205E-2</v>
      </c>
      <c r="S231" s="914">
        <f>R231*DwellingStocks!I62/1000</f>
        <v>0.50219870327345495</v>
      </c>
      <c r="T231" s="915">
        <v>1</v>
      </c>
      <c r="U231" s="986">
        <f>E231/D231</f>
        <v>0.37037018921112336</v>
      </c>
      <c r="V231" s="915">
        <v>20</v>
      </c>
      <c r="W231" s="914">
        <v>1</v>
      </c>
      <c r="Y231" s="928">
        <f>ABS((E231)*S231*1000*$B$2)</f>
        <v>3.9068410532472602E-4</v>
      </c>
      <c r="Z231" s="928">
        <f>ABS((D231)*S231*1000*$B$2)</f>
        <v>1.0548476003343322E-3</v>
      </c>
      <c r="AB231" s="914" t="s">
        <v>393</v>
      </c>
      <c r="AC231" s="914" t="str">
        <f t="shared" ref="AC231:AC239" si="199">N231</f>
        <v>PF_Apt-A_X0</v>
      </c>
      <c r="AD231" s="915" t="str">
        <f t="shared" ref="AD231:AD239" si="200">O231</f>
        <v>Residential Pumps &amp; Fans Apartment-A_X0</v>
      </c>
      <c r="AE231" s="914" t="s">
        <v>53</v>
      </c>
      <c r="AF231" s="916" t="s">
        <v>406</v>
      </c>
      <c r="AG231" s="914"/>
      <c r="AH231" s="914"/>
    </row>
    <row r="232" spans="1:34">
      <c r="A232" s="973" t="s">
        <v>110</v>
      </c>
      <c r="B232" s="758">
        <f>SUMIFS(INDEX(Table7[],,MATCH(B$216,Table7[#Headers],0)),Table7[EnergyRating (group)],$A232)</f>
        <v>4575063</v>
      </c>
      <c r="C232" s="758">
        <f>SUMIFS(INDEX(Table7[],,MATCH(C$216,Table7[#Headers],0)),Table7[EnergyRating (group)],$A232)</f>
        <v>1694467</v>
      </c>
      <c r="D232" s="758">
        <f>SUMIFS(INDEX(Table7[],,MATCH(D$216,Table7[#Headers],0)),Table7[EnergyRating (group)],$A232)</f>
        <v>1724391</v>
      </c>
      <c r="E232" s="758">
        <f>SUMIFS(INDEX(Table7[],,MATCH(E$216,Table7[#Headers],0)),Table7[EnergyRating (group)],$A232)</f>
        <v>638663</v>
      </c>
      <c r="F232" s="758">
        <f>SUMIFS(INDEX(Table7[],,MATCH(F$216,Table7[#Headers],0)),Table7[EnergyRating (group)],$A232)</f>
        <v>3209</v>
      </c>
      <c r="G232" s="758">
        <f>SUMIFS(INDEX(Table7[],,MATCH(G$216,Table7[#Headers],0)),Table7[EnergyRating (group)],$A232)</f>
        <v>264012</v>
      </c>
      <c r="N232" s="66" t="str">
        <f>RSD_Commodities!M118&amp;"_"&amp;SETUP!$B$67</f>
        <v>PF_Apt-B1_X0</v>
      </c>
      <c r="O232" s="66" t="str">
        <f>RSD_Commodities!N118&amp;"_"&amp;SETUP!$B$67</f>
        <v>Residential Pumps &amp; Fans Apartment-B1_X0</v>
      </c>
      <c r="P232" s="83" t="str">
        <f>RSD_Commodities!$C$27</f>
        <v>RSDELCD</v>
      </c>
      <c r="Q232" s="66" t="str">
        <f>RSD_Commodities!M118</f>
        <v>PF_Apt-B1</v>
      </c>
      <c r="R232" s="83">
        <f>F232/SUM($F$231:$F$239)</f>
        <v>2.3806167793051773E-2</v>
      </c>
      <c r="S232" s="66">
        <f>R232*DwellingStocks!I63/1000</f>
        <v>0.12373402382755652</v>
      </c>
      <c r="T232" s="83">
        <v>1</v>
      </c>
      <c r="U232" s="987">
        <f t="shared" ref="U232:U239" si="201">E232/D232</f>
        <v>0.37037017706541037</v>
      </c>
      <c r="V232" s="83">
        <v>20</v>
      </c>
      <c r="W232" s="66">
        <v>1</v>
      </c>
      <c r="Y232" s="926">
        <f>ABS((E232)*S232*1000*$B$2)</f>
        <v>3.24757573396351E-5</v>
      </c>
      <c r="Z232" s="926">
        <f>ABS((D232)*S232*1000*$B$2)</f>
        <v>8.7684590581653727E-5</v>
      </c>
      <c r="AB232" s="66" t="s">
        <v>393</v>
      </c>
      <c r="AC232" s="66" t="str">
        <f t="shared" si="199"/>
        <v>PF_Apt-B1_X0</v>
      </c>
      <c r="AD232" s="83" t="str">
        <f t="shared" si="200"/>
        <v>Residential Pumps &amp; Fans Apartment-B1_X0</v>
      </c>
      <c r="AE232" s="66" t="s">
        <v>53</v>
      </c>
      <c r="AF232" s="88" t="s">
        <v>406</v>
      </c>
      <c r="AG232" s="66"/>
      <c r="AH232" s="66"/>
    </row>
    <row r="233" spans="1:34">
      <c r="A233" s="972" t="s">
        <v>112</v>
      </c>
      <c r="B233" s="757">
        <f>SUMIFS(INDEX(Table7[],,MATCH(B$216,Table7[#Headers],0)),Table7[EnergyRating (group)],$A233)</f>
        <v>13683993</v>
      </c>
      <c r="C233" s="757">
        <f>SUMIFS(INDEX(Table7[],,MATCH(C$216,Table7[#Headers],0)),Table7[EnergyRating (group)],$A233)</f>
        <v>5068146</v>
      </c>
      <c r="D233" s="757">
        <f>SUMIFS(INDEX(Table7[],,MATCH(D$216,Table7[#Headers],0)),Table7[EnergyRating (group)],$A233)</f>
        <v>4290638</v>
      </c>
      <c r="E233" s="757">
        <f>SUMIFS(INDEX(Table7[],,MATCH(E$216,Table7[#Headers],0)),Table7[EnergyRating (group)],$A233)</f>
        <v>1589124</v>
      </c>
      <c r="F233" s="757">
        <f>SUMIFS(INDEX(Table7[],,MATCH(F$216,Table7[#Headers],0)),Table7[EnergyRating (group)],$A233)</f>
        <v>8665</v>
      </c>
      <c r="G233" s="757">
        <f>SUMIFS(INDEX(Table7[],,MATCH(G$216,Table7[#Headers],0)),Table7[EnergyRating (group)],$A233)</f>
        <v>712223</v>
      </c>
      <c r="N233" s="914" t="str">
        <f>RSD_Commodities!M119&amp;"_"&amp;SETUP!$B$67</f>
        <v>PF_Apt-B2_X0</v>
      </c>
      <c r="O233" s="914" t="str">
        <f>RSD_Commodities!N119&amp;"_"&amp;SETUP!$B$67</f>
        <v>Residential Pumps &amp; Fans Apartment-B2_X0</v>
      </c>
      <c r="P233" s="915" t="str">
        <f>RSD_Commodities!$C$27</f>
        <v>RSDELCD</v>
      </c>
      <c r="Q233" s="914" t="str">
        <f>RSD_Commodities!M119</f>
        <v>PF_Apt-B2</v>
      </c>
      <c r="R233" s="915">
        <f t="shared" ref="R233:R239" si="202">F233/SUM($F$231:$F$239)</f>
        <v>6.4281846035149151E-2</v>
      </c>
      <c r="S233" s="914">
        <f>R233*DwellingStocks!I64/1000</f>
        <v>0.89861907525184759</v>
      </c>
      <c r="T233" s="915">
        <v>1</v>
      </c>
      <c r="U233" s="986">
        <f t="shared" si="201"/>
        <v>0.37037009414450717</v>
      </c>
      <c r="V233" s="915">
        <v>20</v>
      </c>
      <c r="W233" s="914">
        <v>1</v>
      </c>
      <c r="Y233" s="928">
        <f t="shared" ref="Y233:Y239" si="203">ABS((E233)*S233*1000*$B$2)</f>
        <v>5.8685635863308934E-4</v>
      </c>
      <c r="Z233" s="928">
        <f t="shared" ref="Z233:Z239" si="204">ABS((D233)*S233*1000*$B$2)</f>
        <v>1.5845133500549744E-3</v>
      </c>
      <c r="AB233" s="914" t="s">
        <v>393</v>
      </c>
      <c r="AC233" s="914" t="str">
        <f t="shared" si="199"/>
        <v>PF_Apt-B2_X0</v>
      </c>
      <c r="AD233" s="915" t="str">
        <f t="shared" si="200"/>
        <v>Residential Pumps &amp; Fans Apartment-B2_X0</v>
      </c>
      <c r="AE233" s="914" t="s">
        <v>53</v>
      </c>
      <c r="AF233" s="916" t="s">
        <v>406</v>
      </c>
      <c r="AG233" s="914"/>
      <c r="AH233" s="914"/>
    </row>
    <row r="234" spans="1:34">
      <c r="A234" s="973" t="s">
        <v>114</v>
      </c>
      <c r="B234" s="758">
        <f>SUMIFS(INDEX(Table7[],,MATCH(B$216,Table7[#Headers],0)),Table7[EnergyRating (group)],$A234)</f>
        <v>21449935</v>
      </c>
      <c r="C234" s="758">
        <f>SUMIFS(INDEX(Table7[],,MATCH(C$216,Table7[#Headers],0)),Table7[EnergyRating (group)],$A234)</f>
        <v>7944418</v>
      </c>
      <c r="D234" s="759">
        <f>SUMIFS(INDEX(Table7[],,MATCH(D$216,Table7[#Headers],0)),Table7[EnergyRating (group)],$A234)</f>
        <v>6224839</v>
      </c>
      <c r="E234" s="759">
        <f>SUMIFS(INDEX(Table7[],,MATCH(E$216,Table7[#Headers],0)),Table7[EnergyRating (group)],$A234)</f>
        <v>2305495</v>
      </c>
      <c r="F234" s="758">
        <f>SUMIFS(INDEX(Table7[],,MATCH(F$216,Table7[#Headers],0)),Table7[EnergyRating (group)],$A234)</f>
        <v>13570</v>
      </c>
      <c r="G234" s="758">
        <f>SUMIFS(INDEX(Table7[],,MATCH(G$216,Table7[#Headers],0)),Table7[EnergyRating (group)],$A234)</f>
        <v>1073829</v>
      </c>
      <c r="N234" s="66" t="str">
        <f>RSD_Commodities!M120&amp;"_"&amp;SETUP!$B$67</f>
        <v>PF_Apt-B3_X0</v>
      </c>
      <c r="O234" s="66" t="str">
        <f>RSD_Commodities!N120&amp;"_"&amp;SETUP!$B$67</f>
        <v>Residential Pumps &amp; Fans Apartment-B3_X0</v>
      </c>
      <c r="P234" s="83" t="str">
        <f>RSD_Commodities!$C$27</f>
        <v>RSDELCD</v>
      </c>
      <c r="Q234" s="66" t="str">
        <f>RSD_Commodities!M120</f>
        <v>PF_Apt-B3</v>
      </c>
      <c r="R234" s="83">
        <f t="shared" si="202"/>
        <v>0.10066989621430744</v>
      </c>
      <c r="S234" s="66">
        <f>R234*DwellingStocks!I65/1000</f>
        <v>2.1854879241927594</v>
      </c>
      <c r="T234" s="83">
        <v>1</v>
      </c>
      <c r="U234" s="987">
        <f t="shared" si="201"/>
        <v>0.37037022162340261</v>
      </c>
      <c r="V234" s="83">
        <v>20</v>
      </c>
      <c r="W234" s="66">
        <v>1</v>
      </c>
      <c r="Y234" s="926">
        <f t="shared" si="203"/>
        <v>2.0706704719671725E-3</v>
      </c>
      <c r="Z234" s="926">
        <f t="shared" si="204"/>
        <v>5.590812519675672E-3</v>
      </c>
      <c r="AB234" s="66" t="s">
        <v>393</v>
      </c>
      <c r="AC234" s="66" t="str">
        <f t="shared" si="199"/>
        <v>PF_Apt-B3_X0</v>
      </c>
      <c r="AD234" s="83" t="str">
        <f t="shared" si="200"/>
        <v>Residential Pumps &amp; Fans Apartment-B3_X0</v>
      </c>
      <c r="AE234" s="66" t="s">
        <v>53</v>
      </c>
      <c r="AF234" s="88" t="s">
        <v>406</v>
      </c>
      <c r="AG234" s="66"/>
      <c r="AH234" s="66"/>
    </row>
    <row r="235" spans="1:34">
      <c r="A235" s="972" t="s">
        <v>116</v>
      </c>
      <c r="B235" s="757">
        <f>SUMIFS(INDEX(Table7[],,MATCH(B$216,Table7[#Headers],0)),Table7[EnergyRating (group)],$A235)</f>
        <v>66986547</v>
      </c>
      <c r="C235" s="757">
        <f>SUMIFS(INDEX(Table7[],,MATCH(C$216,Table7[#Headers],0)),Table7[EnergyRating (group)],$A235)</f>
        <v>24809830</v>
      </c>
      <c r="D235" s="760">
        <f>SUMIFS(INDEX(Table7[],,MATCH(D$216,Table7[#Headers],0)),Table7[EnergyRating (group)],$A235)</f>
        <v>14001763</v>
      </c>
      <c r="E235" s="760">
        <f>SUMIFS(INDEX(Table7[],,MATCH(E$216,Table7[#Headers],0)),Table7[EnergyRating (group)],$A235)</f>
        <v>5185838</v>
      </c>
      <c r="F235" s="757">
        <f>SUMIFS(INDEX(Table7[],,MATCH(F$216,Table7[#Headers],0)),Table7[EnergyRating (group)],$A235)</f>
        <v>45566</v>
      </c>
      <c r="G235" s="757">
        <f>SUMIFS(INDEX(Table7[],,MATCH(G$216,Table7[#Headers],0)),Table7[EnergyRating (group)],$A235)</f>
        <v>3308773</v>
      </c>
      <c r="N235" s="914" t="str">
        <f>RSD_Commodities!M121&amp;"_"&amp;SETUP!$B$67</f>
        <v>PF_Apt-C_X0</v>
      </c>
      <c r="O235" s="914" t="str">
        <f>RSD_Commodities!N121&amp;"_"&amp;SETUP!$B$67</f>
        <v>Residential Pumps &amp; Fans Apartment-C_X0</v>
      </c>
      <c r="P235" s="915" t="str">
        <f>RSD_Commodities!$C$27</f>
        <v>RSDELCD</v>
      </c>
      <c r="Q235" s="914" t="str">
        <f>RSD_Commodities!M121</f>
        <v>PF_Apt-C</v>
      </c>
      <c r="R235" s="915">
        <f t="shared" si="202"/>
        <v>0.33803422924842541</v>
      </c>
      <c r="S235" s="914">
        <f>R235*DwellingStocks!I66/1000</f>
        <v>24.055995436757481</v>
      </c>
      <c r="T235" s="915">
        <v>1</v>
      </c>
      <c r="U235" s="986">
        <f t="shared" si="201"/>
        <v>0.37037035978969218</v>
      </c>
      <c r="V235" s="915">
        <v>20</v>
      </c>
      <c r="W235" s="914">
        <v>1</v>
      </c>
      <c r="Y235" s="928">
        <f t="shared" si="203"/>
        <v>5.1267326820724754E-2</v>
      </c>
      <c r="Z235" s="928">
        <f t="shared" si="204"/>
        <v>0.13842178637036703</v>
      </c>
      <c r="AB235" s="914" t="s">
        <v>393</v>
      </c>
      <c r="AC235" s="914" t="str">
        <f t="shared" si="199"/>
        <v>PF_Apt-C_X0</v>
      </c>
      <c r="AD235" s="915" t="str">
        <f t="shared" si="200"/>
        <v>Residential Pumps &amp; Fans Apartment-C_X0</v>
      </c>
      <c r="AE235" s="914" t="s">
        <v>53</v>
      </c>
      <c r="AF235" s="916" t="s">
        <v>406</v>
      </c>
      <c r="AG235" s="914"/>
      <c r="AH235" s="914"/>
    </row>
    <row r="236" spans="1:34">
      <c r="A236" s="973" t="s">
        <v>118</v>
      </c>
      <c r="B236" s="758">
        <f>SUMIFS(INDEX(Table7[],,MATCH(B$216,Table7[#Headers],0)),Table7[EnergyRating (group)],$A236)</f>
        <v>40832642</v>
      </c>
      <c r="C236" s="758">
        <f>SUMIFS(INDEX(Table7[],,MATCH(C$216,Table7[#Headers],0)),Table7[EnergyRating (group)],$A236)</f>
        <v>15123197</v>
      </c>
      <c r="D236" s="758">
        <f>SUMIFS(INDEX(Table7[],,MATCH(D$216,Table7[#Headers],0)),Table7[EnergyRating (group)],$A236)</f>
        <v>4141592</v>
      </c>
      <c r="E236" s="758">
        <f>SUMIFS(INDEX(Table7[],,MATCH(E$216,Table7[#Headers],0)),Table7[EnergyRating (group)],$A236)</f>
        <v>1533923</v>
      </c>
      <c r="F236" s="758">
        <f>SUMIFS(INDEX(Table7[],,MATCH(F$216,Table7[#Headers],0)),Table7[EnergyRating (group)],$A236)</f>
        <v>30979</v>
      </c>
      <c r="G236" s="758">
        <f>SUMIFS(INDEX(Table7[],,MATCH(G$216,Table7[#Headers],0)),Table7[EnergyRating (group)],$A236)</f>
        <v>2017901</v>
      </c>
      <c r="N236" s="66" t="str">
        <f>RSD_Commodities!M122&amp;"_"&amp;SETUP!$B$67</f>
        <v>PF_Apt-D_X0</v>
      </c>
      <c r="O236" s="66" t="str">
        <f>RSD_Commodities!N122&amp;"_"&amp;SETUP!$B$67</f>
        <v>Residential Pumps &amp; Fans Apartment-D_X0</v>
      </c>
      <c r="P236" s="83" t="str">
        <f>RSD_Commodities!$C$27</f>
        <v>RSDELCD</v>
      </c>
      <c r="Q236" s="66" t="str">
        <f>RSD_Commodities!M122</f>
        <v>PF_Apt-D</v>
      </c>
      <c r="R236" s="83">
        <f t="shared" si="202"/>
        <v>0.22981965474009067</v>
      </c>
      <c r="S236" s="66">
        <f>R236*DwellingStocks!I67/1000</f>
        <v>10.913889405281459</v>
      </c>
      <c r="T236" s="83">
        <v>1</v>
      </c>
      <c r="U236" s="987">
        <f t="shared" si="201"/>
        <v>0.37037037931307576</v>
      </c>
      <c r="V236" s="83">
        <v>20</v>
      </c>
      <c r="W236" s="66">
        <v>1</v>
      </c>
      <c r="Y236" s="926">
        <f t="shared" si="203"/>
        <v>6.8798901280346112E-3</v>
      </c>
      <c r="Z236" s="926">
        <f t="shared" si="204"/>
        <v>1.857570289717745E-2</v>
      </c>
      <c r="AB236" s="66" t="s">
        <v>393</v>
      </c>
      <c r="AC236" s="66" t="str">
        <f t="shared" si="199"/>
        <v>PF_Apt-D_X0</v>
      </c>
      <c r="AD236" s="83" t="str">
        <f t="shared" si="200"/>
        <v>Residential Pumps &amp; Fans Apartment-D_X0</v>
      </c>
      <c r="AE236" s="66" t="s">
        <v>53</v>
      </c>
      <c r="AF236" s="88" t="s">
        <v>406</v>
      </c>
      <c r="AG236" s="66"/>
      <c r="AH236" s="66"/>
    </row>
    <row r="237" spans="1:34">
      <c r="A237" s="972" t="s">
        <v>120</v>
      </c>
      <c r="B237" s="757">
        <f>SUMIFS(INDEX(Table7[],,MATCH(B$216,Table7[#Headers],0)),Table7[EnergyRating (group)],$A237)</f>
        <v>19134775</v>
      </c>
      <c r="C237" s="757">
        <f>SUMIFS(INDEX(Table7[],,MATCH(C$216,Table7[#Headers],0)),Table7[EnergyRating (group)],$A237)</f>
        <v>7086954</v>
      </c>
      <c r="D237" s="760">
        <f>SUMIFS(INDEX(Table7[],,MATCH(D$216,Table7[#Headers],0)),Table7[EnergyRating (group)],$A237)</f>
        <v>1553015</v>
      </c>
      <c r="E237" s="760">
        <f>SUMIFS(INDEX(Table7[],,MATCH(E$216,Table7[#Headers],0)),Table7[EnergyRating (group)],$A237)</f>
        <v>575190</v>
      </c>
      <c r="F237" s="757">
        <f>SUMIFS(INDEX(Table7[],,MATCH(F$216,Table7[#Headers],0)),Table7[EnergyRating (group)],$A237)</f>
        <v>15595</v>
      </c>
      <c r="G237" s="757">
        <f>SUMIFS(INDEX(Table7[],,MATCH(G$216,Table7[#Headers],0)),Table7[EnergyRating (group)],$A237)</f>
        <v>931542</v>
      </c>
      <c r="N237" s="914" t="str">
        <f>RSD_Commodities!M123&amp;"_"&amp;SETUP!$B$67</f>
        <v>PF_Apt-E_X0</v>
      </c>
      <c r="O237" s="914" t="str">
        <f>RSD_Commodities!N123&amp;"_"&amp;SETUP!$B$67</f>
        <v>Residential Pumps &amp; Fans Apartment-E_X0</v>
      </c>
      <c r="P237" s="915" t="str">
        <f>RSD_Commodities!$C$27</f>
        <v>RSDELCD</v>
      </c>
      <c r="Q237" s="914" t="str">
        <f>RSD_Commodities!M123</f>
        <v>PF_Apt-E</v>
      </c>
      <c r="R237" s="915">
        <f t="shared" si="202"/>
        <v>0.11569248573781316</v>
      </c>
      <c r="S237" s="914">
        <f>R237*DwellingStocks!I68/1000</f>
        <v>2.7522882730605494</v>
      </c>
      <c r="T237" s="915">
        <v>1</v>
      </c>
      <c r="U237" s="986">
        <f t="shared" si="201"/>
        <v>0.37036989340090082</v>
      </c>
      <c r="V237" s="915">
        <v>20</v>
      </c>
      <c r="W237" s="914">
        <v>1</v>
      </c>
      <c r="Y237" s="928">
        <f t="shared" si="203"/>
        <v>6.5058439388288936E-4</v>
      </c>
      <c r="Z237" s="928">
        <f t="shared" si="204"/>
        <v>1.7565801256385466E-3</v>
      </c>
      <c r="AB237" s="914" t="s">
        <v>393</v>
      </c>
      <c r="AC237" s="914" t="str">
        <f t="shared" si="199"/>
        <v>PF_Apt-E_X0</v>
      </c>
      <c r="AD237" s="915" t="str">
        <f t="shared" si="200"/>
        <v>Residential Pumps &amp; Fans Apartment-E_X0</v>
      </c>
      <c r="AE237" s="914" t="s">
        <v>53</v>
      </c>
      <c r="AF237" s="916" t="s">
        <v>406</v>
      </c>
      <c r="AG237" s="914"/>
      <c r="AH237" s="914"/>
    </row>
    <row r="238" spans="1:34">
      <c r="A238" s="973" t="s">
        <v>122</v>
      </c>
      <c r="B238" s="758">
        <f>SUMIFS(INDEX(Table7[],,MATCH(B$216,Table7[#Headers],0)),Table7[EnergyRating (group)],$A238)</f>
        <v>5990894</v>
      </c>
      <c r="C238" s="758">
        <f>SUMIFS(INDEX(Table7[],,MATCH(C$216,Table7[#Headers],0)),Table7[EnergyRating (group)],$A238)</f>
        <v>2218847</v>
      </c>
      <c r="D238" s="758">
        <f>SUMIFS(INDEX(Table7[],,MATCH(D$216,Table7[#Headers],0)),Table7[EnergyRating (group)],$A238)</f>
        <v>634689</v>
      </c>
      <c r="E238" s="758">
        <f>SUMIFS(INDEX(Table7[],,MATCH(E$216,Table7[#Headers],0)),Table7[EnergyRating (group)],$A238)</f>
        <v>235069</v>
      </c>
      <c r="F238" s="758">
        <f>SUMIFS(INDEX(Table7[],,MATCH(F$216,Table7[#Headers],0)),Table7[EnergyRating (group)],$A238)</f>
        <v>5191</v>
      </c>
      <c r="G238" s="758">
        <f>SUMIFS(INDEX(Table7[],,MATCH(G$216,Table7[#Headers],0)),Table7[EnergyRating (group)],$A238)</f>
        <v>290189</v>
      </c>
      <c r="N238" s="66" t="str">
        <f>RSD_Commodities!M124&amp;"_"&amp;SETUP!$B$67</f>
        <v>PF_Apt-F_X0</v>
      </c>
      <c r="O238" s="66" t="str">
        <f>RSD_Commodities!N124&amp;"_"&amp;SETUP!$B$67</f>
        <v>Residential Pumps &amp; Fans Apartment-F_X0</v>
      </c>
      <c r="P238" s="83" t="str">
        <f>RSD_Commodities!$C$27</f>
        <v>RSDELCD</v>
      </c>
      <c r="Q238" s="66" t="str">
        <f>RSD_Commodities!M124</f>
        <v>PF_Apt-F</v>
      </c>
      <c r="R238" s="83">
        <f t="shared" si="202"/>
        <v>3.8509759119268232E-2</v>
      </c>
      <c r="S238" s="66">
        <f>R238*DwellingStocks!I69/1000</f>
        <v>0.30847918427578425</v>
      </c>
      <c r="T238" s="83">
        <v>1</v>
      </c>
      <c r="U238" s="987">
        <f t="shared" si="201"/>
        <v>0.37036879479556128</v>
      </c>
      <c r="V238" s="83">
        <v>20</v>
      </c>
      <c r="W238" s="66">
        <v>1</v>
      </c>
      <c r="Y238" s="926">
        <f t="shared" si="203"/>
        <v>2.9800230151448358E-5</v>
      </c>
      <c r="Z238" s="926">
        <f t="shared" si="204"/>
        <v>8.0460963694032844E-5</v>
      </c>
      <c r="AB238" s="66" t="s">
        <v>393</v>
      </c>
      <c r="AC238" s="66" t="str">
        <f t="shared" si="199"/>
        <v>PF_Apt-F_X0</v>
      </c>
      <c r="AD238" s="83" t="str">
        <f t="shared" si="200"/>
        <v>Residential Pumps &amp; Fans Apartment-F_X0</v>
      </c>
      <c r="AE238" s="66" t="s">
        <v>53</v>
      </c>
      <c r="AF238" s="88" t="s">
        <v>406</v>
      </c>
      <c r="AG238" s="66"/>
      <c r="AH238" s="66"/>
    </row>
    <row r="239" spans="1:34">
      <c r="A239" s="972" t="s">
        <v>124</v>
      </c>
      <c r="B239" s="757">
        <f>SUMIFS(INDEX(Table7[],,MATCH(B$216,Table7[#Headers],0)),Table7[EnergyRating (group)],$A239)</f>
        <v>6238658</v>
      </c>
      <c r="C239" s="757">
        <f>SUMIFS(INDEX(Table7[],,MATCH(C$216,Table7[#Headers],0)),Table7[EnergyRating (group)],$A239)</f>
        <v>2310612</v>
      </c>
      <c r="D239" s="760">
        <f>SUMIFS(INDEX(Table7[],,MATCH(D$216,Table7[#Headers],0)),Table7[EnergyRating (group)],$A239)</f>
        <v>576530</v>
      </c>
      <c r="E239" s="760">
        <f>SUMIFS(INDEX(Table7[],,MATCH(E$216,Table7[#Headers],0)),Table7[EnergyRating (group)],$A239)</f>
        <v>213528</v>
      </c>
      <c r="F239" s="757">
        <f>SUMIFS(INDEX(Table7[],,MATCH(F$216,Table7[#Headers],0)),Table7[EnergyRating (group)],$A239)</f>
        <v>5603</v>
      </c>
      <c r="G239" s="757">
        <f>SUMIFS(INDEX(Table7[],,MATCH(G$216,Table7[#Headers],0)),Table7[EnergyRating (group)],$A239)</f>
        <v>294590</v>
      </c>
      <c r="N239" s="914" t="str">
        <f>RSD_Commodities!M125&amp;"_"&amp;SETUP!$B$67</f>
        <v>PF_Apt-G_X0</v>
      </c>
      <c r="O239" s="914" t="str">
        <f>RSD_Commodities!N125&amp;"_"&amp;SETUP!$B$67</f>
        <v>Residential Pumps &amp; Fans Apartment-G_X0</v>
      </c>
      <c r="P239" s="930" t="str">
        <f>RSD_Commodities!$C$27</f>
        <v>RSDELCD</v>
      </c>
      <c r="Q239" s="914" t="str">
        <f>RSD_Commodities!M125</f>
        <v>PF_Apt-G</v>
      </c>
      <c r="R239" s="930">
        <f t="shared" si="202"/>
        <v>4.1566206963062978E-2</v>
      </c>
      <c r="S239" s="914">
        <f>R239*DwellingStocks!I70/1000</f>
        <v>0.35986738064514229</v>
      </c>
      <c r="T239" s="915">
        <v>1</v>
      </c>
      <c r="U239" s="986">
        <f t="shared" si="201"/>
        <v>0.37036754375314379</v>
      </c>
      <c r="V239" s="930">
        <v>20</v>
      </c>
      <c r="W239" s="914">
        <v>1</v>
      </c>
      <c r="Y239" s="928">
        <f t="shared" si="203"/>
        <v>3.1578806323724364E-5</v>
      </c>
      <c r="Z239" s="928">
        <f t="shared" si="204"/>
        <v>8.526342779315504E-5</v>
      </c>
      <c r="AB239" s="914" t="s">
        <v>393</v>
      </c>
      <c r="AC239" s="914" t="str">
        <f t="shared" si="199"/>
        <v>PF_Apt-G_X0</v>
      </c>
      <c r="AD239" s="915" t="str">
        <f t="shared" si="200"/>
        <v>Residential Pumps &amp; Fans Apartment-G_X0</v>
      </c>
      <c r="AE239" s="914" t="s">
        <v>53</v>
      </c>
      <c r="AF239" s="916" t="s">
        <v>406</v>
      </c>
      <c r="AG239" s="914"/>
      <c r="AH239" s="914"/>
    </row>
  </sheetData>
  <mergeCells count="16">
    <mergeCell ref="B15:I15"/>
    <mergeCell ref="B30:I30"/>
    <mergeCell ref="B39:I39"/>
    <mergeCell ref="B51:I51"/>
    <mergeCell ref="B65:I65"/>
    <mergeCell ref="B119:K119"/>
    <mergeCell ref="B126:K126"/>
    <mergeCell ref="B22:I22"/>
    <mergeCell ref="B79:I79"/>
    <mergeCell ref="B91:I91"/>
    <mergeCell ref="B196:K196"/>
    <mergeCell ref="B135:K135"/>
    <mergeCell ref="B145:K145"/>
    <mergeCell ref="B158:K158"/>
    <mergeCell ref="B172:K172"/>
    <mergeCell ref="B184:K184"/>
  </mergeCells>
  <phoneticPr fontId="23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>
    <tabColor rgb="FF92D050"/>
  </sheetPr>
  <dimension ref="A1:AP297"/>
  <sheetViews>
    <sheetView topLeftCell="J260" zoomScale="80" zoomScaleNormal="80" workbookViewId="0">
      <selection activeCell="J297" sqref="A297:XFD297"/>
    </sheetView>
    <sheetView topLeftCell="A265" workbookViewId="1">
      <selection activeCell="C279" sqref="C279"/>
    </sheetView>
  </sheetViews>
  <sheetFormatPr defaultRowHeight="15"/>
  <cols>
    <col min="1" max="1" width="9.140625" style="137"/>
    <col min="2" max="2" width="32.140625" style="137" customWidth="1"/>
    <col min="3" max="11" width="20.7109375" style="137" customWidth="1"/>
    <col min="12" max="12" width="9.140625" style="137"/>
    <col min="13" max="13" width="12.7109375" style="137" customWidth="1"/>
    <col min="14" max="14" width="29.7109375" style="137" customWidth="1"/>
    <col min="15" max="15" width="96.7109375" style="137" customWidth="1"/>
    <col min="16" max="16" width="32" style="137" customWidth="1"/>
    <col min="17" max="17" width="12.42578125" style="137" bestFit="1" customWidth="1"/>
    <col min="18" max="18" width="13.7109375" style="137" customWidth="1"/>
    <col min="19" max="19" width="8.5703125" style="137" customWidth="1"/>
    <col min="20" max="20" width="10.85546875" style="137" customWidth="1"/>
    <col min="21" max="23" width="8.5703125" style="137" customWidth="1"/>
    <col min="24" max="24" width="2.7109375" style="137" customWidth="1"/>
    <col min="25" max="25" width="15.28515625" style="137" customWidth="1"/>
    <col min="26" max="26" width="16.42578125" style="137" customWidth="1"/>
    <col min="27" max="27" width="2.7109375" style="137" customWidth="1"/>
    <col min="28" max="28" width="16.140625" style="137" bestFit="1" customWidth="1"/>
    <col min="29" max="29" width="27" style="137" customWidth="1"/>
    <col min="30" max="30" width="79.28515625" style="137" customWidth="1"/>
    <col min="31" max="33" width="9.140625" style="137"/>
    <col min="34" max="34" width="12.28515625" style="137" customWidth="1"/>
    <col min="35" max="35" width="9.140625" style="137"/>
    <col min="36" max="36" width="2.28515625" style="137" bestFit="1" customWidth="1"/>
    <col min="37" max="37" width="2.85546875" style="137" bestFit="1" customWidth="1"/>
    <col min="38" max="38" width="11" style="137" bestFit="1" customWidth="1"/>
    <col min="39" max="39" width="10.5703125" style="137" bestFit="1" customWidth="1"/>
    <col min="40" max="40" width="4.140625" style="137" bestFit="1" customWidth="1"/>
    <col min="41" max="41" width="6.5703125" style="137" customWidth="1"/>
    <col min="42" max="16384" width="9.140625" style="137"/>
  </cols>
  <sheetData>
    <row r="1" spans="1:40" ht="21.95" customHeight="1">
      <c r="A1" s="139" t="s">
        <v>834</v>
      </c>
      <c r="B1" s="139"/>
      <c r="C1" s="139"/>
      <c r="D1" s="139"/>
      <c r="E1" s="139"/>
      <c r="F1" s="139"/>
      <c r="G1" s="139"/>
      <c r="H1" s="139"/>
      <c r="I1" s="139"/>
      <c r="J1" s="139"/>
      <c r="K1" s="139"/>
      <c r="L1" s="840"/>
      <c r="M1" s="840"/>
      <c r="N1" s="138" t="s">
        <v>395</v>
      </c>
      <c r="O1" s="99"/>
      <c r="P1" s="99"/>
      <c r="Q1" s="99"/>
      <c r="R1" s="99"/>
      <c r="S1" s="864"/>
      <c r="T1" s="99"/>
      <c r="U1" s="864"/>
      <c r="V1" s="864"/>
      <c r="W1" s="864"/>
      <c r="X1" s="864"/>
      <c r="Y1" s="864"/>
      <c r="Z1" s="864"/>
      <c r="AA1" s="840"/>
      <c r="AB1" s="864"/>
      <c r="AC1" s="864"/>
      <c r="AD1" s="864"/>
      <c r="AE1" s="864"/>
      <c r="AF1" s="864"/>
      <c r="AG1" s="864"/>
      <c r="AH1" s="864"/>
      <c r="AI1" s="840"/>
      <c r="AJ1" s="840"/>
      <c r="AK1" s="840"/>
      <c r="AL1" s="840"/>
      <c r="AM1" s="840"/>
      <c r="AN1" s="840"/>
    </row>
    <row r="2" spans="1:40" ht="15" customHeight="1">
      <c r="A2" s="1100" t="s">
        <v>846</v>
      </c>
      <c r="B2" s="865">
        <f>3.6*10^-9/8760</f>
        <v>4.1095890410958911E-13</v>
      </c>
      <c r="C2" s="865"/>
      <c r="D2" s="865" t="s">
        <v>53</v>
      </c>
      <c r="E2" s="865"/>
      <c r="F2" s="865"/>
      <c r="G2" s="840"/>
      <c r="H2" s="840"/>
      <c r="I2" s="840"/>
      <c r="J2" s="840"/>
      <c r="K2" s="840"/>
      <c r="L2" s="840"/>
      <c r="M2" s="840"/>
      <c r="N2" s="840"/>
      <c r="O2" s="840"/>
      <c r="P2" s="840"/>
      <c r="Q2" s="840"/>
      <c r="R2" s="840"/>
      <c r="S2" s="840"/>
      <c r="T2" s="840"/>
      <c r="U2" s="840"/>
      <c r="V2" s="840"/>
      <c r="W2" s="840"/>
      <c r="X2" s="840"/>
      <c r="Y2" s="840"/>
      <c r="Z2" s="840"/>
      <c r="AA2" s="840"/>
      <c r="AB2" s="840"/>
      <c r="AC2" s="840"/>
      <c r="AD2" s="840"/>
      <c r="AE2" s="840"/>
      <c r="AF2" s="840"/>
      <c r="AG2" s="840"/>
      <c r="AH2" s="840"/>
      <c r="AI2" s="840"/>
      <c r="AJ2" s="840"/>
      <c r="AK2" s="840"/>
      <c r="AL2" s="840"/>
      <c r="AM2" s="840"/>
      <c r="AN2" s="840"/>
    </row>
    <row r="3" spans="1:40" ht="21">
      <c r="A3" s="840"/>
      <c r="B3" s="840"/>
      <c r="C3" s="840"/>
      <c r="D3" s="840"/>
      <c r="E3" s="840"/>
      <c r="F3" s="840"/>
      <c r="G3" s="840"/>
      <c r="H3" s="840"/>
      <c r="I3" s="840"/>
      <c r="J3" s="840"/>
      <c r="K3" s="840"/>
      <c r="L3" s="840"/>
      <c r="M3" s="840"/>
      <c r="N3" s="138" t="s">
        <v>842</v>
      </c>
      <c r="O3" s="138"/>
      <c r="P3" s="138"/>
      <c r="Q3" s="142" t="s">
        <v>372</v>
      </c>
      <c r="R3" s="85"/>
      <c r="S3" s="85"/>
      <c r="T3" s="85"/>
      <c r="U3" s="85"/>
      <c r="V3" s="85"/>
      <c r="W3" s="85"/>
      <c r="X3" s="90"/>
      <c r="Y3" s="96" t="s">
        <v>561</v>
      </c>
      <c r="Z3" s="866"/>
      <c r="AA3" s="866"/>
      <c r="AB3" s="68" t="s">
        <v>373</v>
      </c>
      <c r="AC3" s="68"/>
      <c r="AD3" s="839"/>
      <c r="AE3" s="839"/>
      <c r="AF3" s="839"/>
      <c r="AG3" s="839"/>
      <c r="AH3" s="839"/>
      <c r="AI3" s="840"/>
      <c r="AJ3" s="840"/>
      <c r="AK3" s="840"/>
      <c r="AL3" s="840"/>
      <c r="AM3" s="840"/>
      <c r="AN3" s="840"/>
    </row>
    <row r="4" spans="1:40" ht="15" customHeight="1" thickBot="1">
      <c r="A4" s="840"/>
      <c r="B4" s="840"/>
      <c r="C4" s="840"/>
      <c r="D4" s="840"/>
      <c r="E4" s="840"/>
      <c r="F4" s="840"/>
      <c r="G4" s="840">
        <f>SUM(G116:G130)</f>
        <v>21208</v>
      </c>
      <c r="H4" s="840"/>
      <c r="I4" s="840"/>
      <c r="J4" s="840"/>
      <c r="K4" s="840"/>
      <c r="L4" s="840"/>
      <c r="M4" s="840"/>
      <c r="N4" s="73" t="s">
        <v>374</v>
      </c>
      <c r="O4" s="73" t="s">
        <v>397</v>
      </c>
      <c r="P4" s="73" t="s">
        <v>376</v>
      </c>
      <c r="Q4" s="73" t="s">
        <v>377</v>
      </c>
      <c r="R4" s="73" t="s">
        <v>562</v>
      </c>
      <c r="S4" s="86" t="s">
        <v>398</v>
      </c>
      <c r="T4" s="73" t="s">
        <v>811</v>
      </c>
      <c r="U4" s="73" t="s">
        <v>378</v>
      </c>
      <c r="V4" s="86" t="s">
        <v>380</v>
      </c>
      <c r="W4" s="86" t="s">
        <v>400</v>
      </c>
      <c r="X4" s="91"/>
      <c r="Y4" s="94" t="s">
        <v>563</v>
      </c>
      <c r="Z4" s="95" t="s">
        <v>564</v>
      </c>
      <c r="AA4" s="91"/>
      <c r="AB4" s="73" t="s">
        <v>385</v>
      </c>
      <c r="AC4" s="73" t="s">
        <v>374</v>
      </c>
      <c r="AD4" s="73" t="s">
        <v>375</v>
      </c>
      <c r="AE4" s="73" t="s">
        <v>386</v>
      </c>
      <c r="AF4" s="73" t="s">
        <v>387</v>
      </c>
      <c r="AG4" s="73" t="s">
        <v>388</v>
      </c>
      <c r="AH4" s="73" t="s">
        <v>389</v>
      </c>
      <c r="AI4" s="840"/>
      <c r="AJ4" s="840"/>
      <c r="AK4" s="840"/>
      <c r="AL4" s="840"/>
      <c r="AM4" s="840"/>
      <c r="AN4" s="840"/>
    </row>
    <row r="5" spans="1:40" ht="21.75" customHeight="1" thickBot="1">
      <c r="A5" s="756" t="s">
        <v>108</v>
      </c>
      <c r="B5" s="756"/>
      <c r="C5" s="756" t="s">
        <v>565</v>
      </c>
      <c r="D5" s="756" t="s">
        <v>565</v>
      </c>
      <c r="E5" s="756" t="s">
        <v>565</v>
      </c>
      <c r="F5" s="756" t="s">
        <v>565</v>
      </c>
      <c r="G5" s="756" t="s">
        <v>566</v>
      </c>
      <c r="H5" s="756" t="s">
        <v>567</v>
      </c>
      <c r="I5" s="756" t="s">
        <v>568</v>
      </c>
      <c r="J5" s="736" t="s">
        <v>565</v>
      </c>
      <c r="K5" s="737" t="s">
        <v>565</v>
      </c>
      <c r="L5" s="135"/>
      <c r="M5" s="840"/>
      <c r="N5" s="74" t="s">
        <v>402</v>
      </c>
      <c r="O5" s="74" t="s">
        <v>403</v>
      </c>
      <c r="P5" s="74" t="s">
        <v>404</v>
      </c>
      <c r="Q5" s="74" t="s">
        <v>405</v>
      </c>
      <c r="R5" s="74"/>
      <c r="S5" s="89" t="s">
        <v>406</v>
      </c>
      <c r="T5" s="74"/>
      <c r="U5" s="74" t="s">
        <v>568</v>
      </c>
      <c r="V5" s="87"/>
      <c r="W5" s="87"/>
      <c r="X5" s="92"/>
      <c r="Y5" s="732" t="s">
        <v>53</v>
      </c>
      <c r="Z5" s="733" t="s">
        <v>53</v>
      </c>
      <c r="AA5" s="92"/>
      <c r="AB5" s="75" t="s">
        <v>370</v>
      </c>
      <c r="AC5" s="75"/>
      <c r="AD5" s="74"/>
      <c r="AE5" s="75"/>
      <c r="AF5" s="75"/>
      <c r="AG5" s="75"/>
      <c r="AH5" s="75"/>
      <c r="AI5" s="840"/>
      <c r="AJ5" s="840"/>
      <c r="AK5" s="840"/>
      <c r="AL5" s="840"/>
      <c r="AM5" s="840"/>
      <c r="AN5" s="840"/>
    </row>
    <row r="6" spans="1:40" ht="26.25" customHeight="1" thickBot="1">
      <c r="A6" s="945" t="s">
        <v>569</v>
      </c>
      <c r="B6" s="946" t="s">
        <v>570</v>
      </c>
      <c r="C6" s="946" t="s">
        <v>571</v>
      </c>
      <c r="D6" s="946" t="s">
        <v>572</v>
      </c>
      <c r="E6" s="946" t="s">
        <v>573</v>
      </c>
      <c r="F6" s="946" t="s">
        <v>574</v>
      </c>
      <c r="G6" s="946" t="s">
        <v>575</v>
      </c>
      <c r="H6" s="946" t="s">
        <v>576</v>
      </c>
      <c r="I6" s="946" t="s">
        <v>577</v>
      </c>
      <c r="J6" s="947" t="s">
        <v>578</v>
      </c>
      <c r="K6" s="948" t="s">
        <v>579</v>
      </c>
      <c r="L6" s="135"/>
      <c r="M6" s="840"/>
      <c r="N6" s="76" t="str">
        <f>AB6</f>
        <v>*A Rating</v>
      </c>
      <c r="O6" s="76"/>
      <c r="P6" s="76"/>
      <c r="Q6" s="76"/>
      <c r="R6" s="949">
        <f>SUM(R7:R11)</f>
        <v>0.99993531067050501</v>
      </c>
      <c r="S6" s="76"/>
      <c r="T6" s="97"/>
      <c r="U6" s="76"/>
      <c r="V6" s="76"/>
      <c r="W6" s="76"/>
      <c r="X6" s="93"/>
      <c r="Y6" s="76"/>
      <c r="Z6" s="76"/>
      <c r="AA6" s="93"/>
      <c r="AB6" s="140" t="str">
        <f>"*"&amp; A5 &amp; " Rating"</f>
        <v>*A Rating</v>
      </c>
      <c r="AC6" s="141"/>
      <c r="AD6" s="141"/>
      <c r="AE6" s="141"/>
      <c r="AF6" s="141"/>
      <c r="AG6" s="141"/>
      <c r="AH6" s="141"/>
      <c r="AI6" s="840"/>
      <c r="AJ6" s="840"/>
      <c r="AK6" s="840"/>
      <c r="AL6" s="840"/>
      <c r="AM6" s="840"/>
      <c r="AN6" s="840"/>
    </row>
    <row r="7" spans="1:40">
      <c r="A7" s="758" t="s">
        <v>108</v>
      </c>
      <c r="B7" s="758" t="s">
        <v>582</v>
      </c>
      <c r="C7" s="758">
        <f>SUMIFS(INDEX(Table915[],,MATCH(C$6,Table915[#Headers],0)),Table915[MainSpaceHeatingFuel],$B7,Table915[EnergyRating (group)],$A7)</f>
        <v>190092</v>
      </c>
      <c r="D7" s="758">
        <f>SUMIFS(INDEX(Table915[],,MATCH($D$6,Table915[#Headers],0)),Table915[MainSpaceHeatingFuel],B7,Table915[EnergyRating (group)],A7)</f>
        <v>172811</v>
      </c>
      <c r="E7" s="759">
        <f>SUMIFS(INDEX(Table915[],,MATCH(E$6,Table915[#Headers],0)),Table915[MainSpaceHeatingFuel],$B7,Table915[EnergyRating (group)],$A7)</f>
        <v>33350</v>
      </c>
      <c r="F7" s="759">
        <f>SUMIFS(INDEX(Table915[],,MATCH(F$6,Table915[#Headers],0)),Table915[MainSpaceHeatingFuel],$B7,Table915[EnergyRating (group)],$A7)</f>
        <v>27025</v>
      </c>
      <c r="G7" s="758">
        <f>SUMIFS(INDEX(Table915[],,MATCH(G$6,Table915[#Headers],0)),Table915[MainSpaceHeatingFuel],$B7,Table915[EnergyRating (group)],$A7)</f>
        <v>171</v>
      </c>
      <c r="H7" s="758">
        <f>SUMIFS(INDEX(Table915[],,MATCH(H$6,Table915[#Headers],0)),Table915[MainSpaceHeatingFuel],$B7,Table915[EnergyRating (group)],$A7)</f>
        <v>20022</v>
      </c>
      <c r="I7" s="911">
        <f>AVERAGEIFS(INDEX(Table915[],,MATCH(I$6,Table915[#Headers],0)),Table915[MainSpaceHeatingFuel],$B7,Table915[EnergyRating (group)],$A7)</f>
        <v>91.4</v>
      </c>
      <c r="J7" s="849">
        <f>SUMIFS(INDEX(Table915[],,MATCH(J$6,Table915[#Headers],0)),Table915[MainSpaceHeatingFuel],$B7,Table915[EnergyRating (group)],$A7)</f>
        <v>1198421</v>
      </c>
      <c r="K7" s="870">
        <f>SUMIFS(INDEX(Table915[],,MATCH(K$6,Table915[#Headers],0)),Table915[MainSpaceHeatingFuel],$B7,Table915[EnergyRating (group)],$A7)</f>
        <v>820564</v>
      </c>
      <c r="L7" s="135"/>
      <c r="M7" s="840"/>
      <c r="N7" s="914" t="str">
        <f>RSD_Commodities!$M$18&amp;"_"&amp;RIGHT(P7,LEN(P7)-3)&amp;"_"&amp;SETUP!$B$67</f>
        <v>SH_Att-A_OILLPG_X0</v>
      </c>
      <c r="O7" s="914" t="str">
        <f>RSD_Commodities!$N$18&amp;"_"&amp;RSD_Commodities!D11&amp;"_"&amp;SETUP!$C$67</f>
        <v>Residential Space Heating Attached-A_LPG to Residential_Existing 00</v>
      </c>
      <c r="P7" s="915" t="str">
        <f>RSD_Commodities!$C$11</f>
        <v>RSDOILLPG</v>
      </c>
      <c r="Q7" s="930" t="str">
        <f>RSD_Commodities!$M$18</f>
        <v>SH_Att-A</v>
      </c>
      <c r="R7" s="1000">
        <f>G7/SUM($G$7:$G$12)</f>
        <v>5.5309376718310314E-3</v>
      </c>
      <c r="S7" s="932">
        <f>R7*DwellingStocks!$I$62/1000</f>
        <v>5.8329358820262224E-2</v>
      </c>
      <c r="T7" s="914">
        <v>1</v>
      </c>
      <c r="U7" s="914">
        <f t="shared" ref="U7:U12" si="0">I7/100</f>
        <v>0.91400000000000003</v>
      </c>
      <c r="V7" s="930">
        <v>20</v>
      </c>
      <c r="W7" s="930">
        <v>1</v>
      </c>
      <c r="X7" s="866"/>
      <c r="Y7" s="918">
        <f t="shared" ref="Y7:Y11" si="1">ABS((D7+F7)*S7*1000*$B$2)</f>
        <v>4.7902626366599684E-6</v>
      </c>
      <c r="Z7" s="919">
        <f t="shared" ref="Z7:Z11" si="2">ABS((C7+E7)*S7*1000*$B$2)</f>
        <v>5.3561213398015209E-6</v>
      </c>
      <c r="AA7" s="866"/>
      <c r="AB7" s="939" t="s">
        <v>393</v>
      </c>
      <c r="AC7" s="914" t="str">
        <f t="shared" ref="AC7:AD12" si="3">N7</f>
        <v>SH_Att-A_OILLPG_X0</v>
      </c>
      <c r="AD7" s="915" t="str">
        <f t="shared" si="3"/>
        <v>Residential Space Heating Attached-A_LPG to Residential_Existing 00</v>
      </c>
      <c r="AE7" s="914" t="s">
        <v>53</v>
      </c>
      <c r="AF7" s="916" t="s">
        <v>406</v>
      </c>
      <c r="AG7" s="914"/>
      <c r="AH7" s="914"/>
      <c r="AI7" s="840"/>
      <c r="AJ7" s="840"/>
      <c r="AK7" s="840"/>
      <c r="AL7" s="840"/>
      <c r="AM7" s="840"/>
      <c r="AN7" s="840"/>
    </row>
    <row r="8" spans="1:40">
      <c r="A8" s="757" t="s">
        <v>108</v>
      </c>
      <c r="B8" s="757" t="s">
        <v>228</v>
      </c>
      <c r="C8" s="757">
        <f>SUMIFS(INDEX(Table915[],,MATCH(C$6,Table915[#Headers],0)),Table915[MainSpaceHeatingFuel],$B8,Table915[EnergyRating (group)],$A8)</f>
        <v>364707</v>
      </c>
      <c r="D8" s="757">
        <f>SUMIFS(INDEX(Table915[],,MATCH($D$6,Table915[#Headers],0)),Table915[MainSpaceHeatingFuel],B8,Table915[EnergyRating (group)],A8)</f>
        <v>135077</v>
      </c>
      <c r="E8" s="757">
        <f>SUMIFS(INDEX(Table915[],,MATCH(E$6,Table915[#Headers],0)),Table915[MainSpaceHeatingFuel],$B8,Table915[EnergyRating (group)],$A8)</f>
        <v>380313</v>
      </c>
      <c r="F8" s="757">
        <f>SUMIFS(INDEX(Table915[],,MATCH(F$6,Table915[#Headers],0)),Table915[MainSpaceHeatingFuel],$B8,Table915[EnergyRating (group)],$A8)</f>
        <v>342019</v>
      </c>
      <c r="G8" s="757">
        <f>SUMIFS(INDEX(Table915[],,MATCH(G$6,Table915[#Headers],0)),Table915[MainSpaceHeatingFuel],$B8,Table915[EnergyRating (group)],$A8)</f>
        <v>11533</v>
      </c>
      <c r="H8" s="757">
        <f>SUMIFS(INDEX(Table915[],,MATCH(H$6,Table915[#Headers],0)),Table915[MainSpaceHeatingFuel],$B8,Table915[EnergyRating (group)],$A8)</f>
        <v>1406932</v>
      </c>
      <c r="I8" s="912">
        <f>AVERAGEIFS(INDEX(Table915[],,MATCH(I$6,Table915[#Headers],0)),Table915[MainSpaceHeatingFuel],$B8,Table915[EnergyRating (group)],$A8)</f>
        <v>454.06666666666666</v>
      </c>
      <c r="J8" s="847">
        <f>SUMIFS(INDEX(Table915[],,MATCH(J$6,Table915[#Headers],0)),Table915[MainSpaceHeatingFuel],$B8,Table915[EnergyRating (group)],$A8)</f>
        <v>76122747</v>
      </c>
      <c r="K8" s="869">
        <f>SUMIFS(INDEX(Table915[],,MATCH(K$6,Table915[#Headers],0)),Table915[MainSpaceHeatingFuel],$B8,Table915[EnergyRating (group)],$A8)</f>
        <v>28460099</v>
      </c>
      <c r="L8" s="135"/>
      <c r="M8" s="840"/>
      <c r="N8" s="66" t="str">
        <f>RSD_Commodities!$M$18&amp;"_"&amp;RIGHT(P8,LEN(P8)-3)&amp;"_"&amp;SETUP!$B$67</f>
        <v>SH_Att-A_ELCD_X0</v>
      </c>
      <c r="O8" s="933" t="str">
        <f>RSD_Commodities!$N$18&amp;"_"&amp;RSD_Commodities!D27&amp;"_"&amp;SETUP!$C$67</f>
        <v>Residential Space Heating Attached-A_Electricity to Residential_Existing 00</v>
      </c>
      <c r="P8" s="83" t="str">
        <f>RSD_Commodities!$C$27</f>
        <v>RSDELCD</v>
      </c>
      <c r="Q8" s="935" t="str">
        <f>RSD_Commodities!$M$18</f>
        <v>SH_Att-A</v>
      </c>
      <c r="R8" s="1001">
        <f t="shared" ref="R8:R12" si="4">G8/SUM($G$7:$G$12)</f>
        <v>0.37303101853349291</v>
      </c>
      <c r="S8" s="937">
        <f>R8*DwellingStocks!$I$62/1000</f>
        <v>3.9339912004332409</v>
      </c>
      <c r="T8" s="66">
        <v>1</v>
      </c>
      <c r="U8" s="66">
        <f t="shared" si="0"/>
        <v>4.5406666666666666</v>
      </c>
      <c r="V8" s="935">
        <v>20</v>
      </c>
      <c r="W8" s="935">
        <v>1</v>
      </c>
      <c r="X8" s="866"/>
      <c r="Y8" s="920">
        <f t="shared" si="1"/>
        <v>7.7132525990214983E-4</v>
      </c>
      <c r="Z8" s="921">
        <f t="shared" si="2"/>
        <v>1.2044803249918246E-3</v>
      </c>
      <c r="AA8" s="866"/>
      <c r="AB8" s="941" t="s">
        <v>393</v>
      </c>
      <c r="AC8" s="933" t="str">
        <f t="shared" si="3"/>
        <v>SH_Att-A_ELCD_X0</v>
      </c>
      <c r="AD8" s="934" t="str">
        <f t="shared" si="3"/>
        <v>Residential Space Heating Attached-A_Electricity to Residential_Existing 00</v>
      </c>
      <c r="AE8" s="935" t="s">
        <v>53</v>
      </c>
      <c r="AF8" s="942" t="s">
        <v>406</v>
      </c>
      <c r="AG8" s="935"/>
      <c r="AH8" s="935"/>
      <c r="AI8" s="840"/>
      <c r="AJ8" s="840"/>
      <c r="AK8" s="840"/>
      <c r="AL8" s="840"/>
      <c r="AM8" s="840"/>
      <c r="AN8" s="840"/>
    </row>
    <row r="9" spans="1:40">
      <c r="A9" s="758" t="s">
        <v>108</v>
      </c>
      <c r="B9" s="758" t="s">
        <v>583</v>
      </c>
      <c r="C9" s="758">
        <f>SUMIFS(INDEX(Table915[],,MATCH(C$6,Table915[#Headers],0)),Table915[MainSpaceHeatingFuel],$B9,Table915[EnergyRating (group)],$A9)</f>
        <v>735962</v>
      </c>
      <c r="D9" s="758">
        <f>SUMIFS(INDEX(Table915[],,MATCH($D$6,Table915[#Headers],0)),Table915[MainSpaceHeatingFuel],B9,Table915[EnergyRating (group)],A9)</f>
        <v>669055</v>
      </c>
      <c r="E9" s="759">
        <f>SUMIFS(INDEX(Table915[],,MATCH(E$6,Table915[#Headers],0)),Table915[MainSpaceHeatingFuel],$B9,Table915[EnergyRating (group)],$A9)</f>
        <v>106946</v>
      </c>
      <c r="F9" s="759">
        <f>SUMIFS(INDEX(Table915[],,MATCH(F$6,Table915[#Headers],0)),Table915[MainSpaceHeatingFuel],$B9,Table915[EnergyRating (group)],$A9)</f>
        <v>91821</v>
      </c>
      <c r="G9" s="758">
        <f>SUMIFS(INDEX(Table915[],,MATCH(G$6,Table915[#Headers],0)),Table915[MainSpaceHeatingFuel],$B9,Table915[EnergyRating (group)],$A9)</f>
        <v>756</v>
      </c>
      <c r="H9" s="758">
        <f>SUMIFS(INDEX(Table915[],,MATCH(H$6,Table915[#Headers],0)),Table915[MainSpaceHeatingFuel],$B9,Table915[EnergyRating (group)],$A9)</f>
        <v>83425</v>
      </c>
      <c r="I9" s="911">
        <f>AVERAGEIFS(INDEX(Table915[],,MATCH(I$6,Table915[#Headers],0)),Table915[MainSpaceHeatingFuel],$B9,Table915[EnergyRating (group)],$A9)</f>
        <v>94.478260869565219</v>
      </c>
      <c r="J9" s="849">
        <f>SUMIFS(INDEX(Table915[],,MATCH(J$6,Table915[#Headers],0)),Table915[MainSpaceHeatingFuel],$B9,Table915[EnergyRating (group)],$A9)</f>
        <v>4793142</v>
      </c>
      <c r="K9" s="870">
        <f>SUMIFS(INDEX(Table915[],,MATCH(K$6,Table915[#Headers],0)),Table915[MainSpaceHeatingFuel],$B9,Table915[EnergyRating (group)],$A9)</f>
        <v>3482279</v>
      </c>
      <c r="L9" s="135"/>
      <c r="M9" s="840"/>
      <c r="N9" s="914" t="str">
        <f>RSD_Commodities!$M$18&amp;"_"&amp;RIGHT(P9,LEN(P9)-3)&amp;"_"&amp;SETUP!$B$67</f>
        <v>SH_Att-A_OILKER_X0</v>
      </c>
      <c r="O9" s="914" t="str">
        <f>RSD_Commodities!$N$18&amp;"_"&amp;RSD_Commodities!D13&amp;"_"&amp;SETUP!$C$67</f>
        <v>Residential Space Heating Attached-A_Kerosene to Residential_Existing 00</v>
      </c>
      <c r="P9" s="915" t="str">
        <f>RSD_Commodities!$C$13</f>
        <v>RSDOILKER</v>
      </c>
      <c r="Q9" s="930" t="str">
        <f>RSD_Commodities!$M$18</f>
        <v>SH_Att-A</v>
      </c>
      <c r="R9" s="1000">
        <f t="shared" si="4"/>
        <v>2.4452566549147719E-2</v>
      </c>
      <c r="S9" s="932">
        <f>R9*DwellingStocks!$I$62/1000</f>
        <v>0.25787716531063304</v>
      </c>
      <c r="T9" s="914">
        <v>1</v>
      </c>
      <c r="U9" s="916">
        <f t="shared" si="0"/>
        <v>0.94478260869565223</v>
      </c>
      <c r="V9" s="930">
        <v>20</v>
      </c>
      <c r="W9" s="930">
        <v>1</v>
      </c>
      <c r="X9" s="866"/>
      <c r="Y9" s="922">
        <f t="shared" si="1"/>
        <v>8.0635292890230098E-5</v>
      </c>
      <c r="Z9" s="923">
        <f t="shared" si="2"/>
        <v>8.9328791366159624E-5</v>
      </c>
      <c r="AA9" s="866"/>
      <c r="AB9" s="939" t="s">
        <v>393</v>
      </c>
      <c r="AC9" s="914" t="str">
        <f t="shared" si="3"/>
        <v>SH_Att-A_OILKER_X0</v>
      </c>
      <c r="AD9" s="915" t="str">
        <f t="shared" si="3"/>
        <v>Residential Space Heating Attached-A_Kerosene to Residential_Existing 00</v>
      </c>
      <c r="AE9" s="930" t="s">
        <v>53</v>
      </c>
      <c r="AF9" s="940" t="s">
        <v>406</v>
      </c>
      <c r="AG9" s="930"/>
      <c r="AH9" s="930"/>
      <c r="AI9" s="840"/>
      <c r="AJ9" s="840"/>
      <c r="AK9" s="840"/>
      <c r="AL9" s="840"/>
      <c r="AM9" s="840"/>
      <c r="AN9" s="840"/>
    </row>
    <row r="10" spans="1:40">
      <c r="A10" s="757" t="s">
        <v>108</v>
      </c>
      <c r="B10" s="757" t="s">
        <v>584</v>
      </c>
      <c r="C10" s="757">
        <f>SUMIFS(INDEX(Table915[],,MATCH(C$6,Table915[#Headers],0)),Table915[MainSpaceHeatingFuel],$B10,Table915[EnergyRating (group)],$A10)</f>
        <v>10452732</v>
      </c>
      <c r="D10" s="757">
        <f>SUMIFS(INDEX(Table915[],,MATCH($D$6,Table915[#Headers],0)),Table915[MainSpaceHeatingFuel],B10,Table915[EnergyRating (group)],A10)</f>
        <v>9502483</v>
      </c>
      <c r="E10" s="760">
        <f>SUMIFS(INDEX(Table915[],,MATCH(E$6,Table915[#Headers],0)),Table915[MainSpaceHeatingFuel],$B10,Table915[EnergyRating (group)],$A10)</f>
        <v>895002</v>
      </c>
      <c r="F10" s="760">
        <f>SUMIFS(INDEX(Table915[],,MATCH(F$6,Table915[#Headers],0)),Table915[MainSpaceHeatingFuel],$B10,Table915[EnergyRating (group)],$A10)</f>
        <v>727679</v>
      </c>
      <c r="G10" s="757">
        <f>SUMIFS(INDEX(Table915[],,MATCH(G$6,Table915[#Headers],0)),Table915[MainSpaceHeatingFuel],$B10,Table915[EnergyRating (group)],$A10)</f>
        <v>18252</v>
      </c>
      <c r="H10" s="757">
        <f>SUMIFS(INDEX(Table915[],,MATCH(H$6,Table915[#Headers],0)),Table915[MainSpaceHeatingFuel],$B10,Table915[EnergyRating (group)],$A10)</f>
        <v>2258325</v>
      </c>
      <c r="I10" s="912">
        <f>AVERAGEIFS(INDEX(Table915[],,MATCH(I$6,Table915[#Headers],0)),Table915[MainSpaceHeatingFuel],$B10,Table915[EnergyRating (group)],$A10)</f>
        <v>90.714285714285708</v>
      </c>
      <c r="J10" s="847">
        <f>SUMIFS(INDEX(Table915[],,MATCH(J$6,Table915[#Headers],0)),Table915[MainSpaceHeatingFuel],$B10,Table915[EnergyRating (group)],$A10)</f>
        <v>123629655</v>
      </c>
      <c r="K10" s="869">
        <f>SUMIFS(INDEX(Table915[],,MATCH(K$6,Table915[#Headers],0)),Table915[MainSpaceHeatingFuel],$B10,Table915[EnergyRating (group)],$A10)</f>
        <v>86306665</v>
      </c>
      <c r="L10" s="135"/>
      <c r="M10" s="840"/>
      <c r="N10" s="66" t="str">
        <f>RSD_Commodities!$M$18&amp;"_"&amp;RIGHT(P10,LEN(P10)-3)&amp;"_"&amp;SETUP!$B$67</f>
        <v>SH_Att-A_GASNAT_X0</v>
      </c>
      <c r="O10" s="933" t="str">
        <f>RSD_Commodities!$N$18&amp;"_"&amp;RSD_Commodities!D17&amp;"_"&amp;SETUP!$C$67</f>
        <v>Residential Space Heating Attached-A_Natural Gas to Residential_Existing 00</v>
      </c>
      <c r="P10" s="83" t="str">
        <f>RSD_Commodities!$C$17</f>
        <v>RSDGASNAT</v>
      </c>
      <c r="Q10" s="935" t="str">
        <f>RSD_Commodities!$M$18</f>
        <v>SH_Att-A</v>
      </c>
      <c r="R10" s="1001">
        <f t="shared" si="4"/>
        <v>0.59035482097228065</v>
      </c>
      <c r="S10" s="937">
        <f>R10*DwellingStocks!$I$62/1000</f>
        <v>6.2258915624995677</v>
      </c>
      <c r="T10" s="66">
        <v>1</v>
      </c>
      <c r="U10" s="66">
        <f t="shared" si="0"/>
        <v>0.90714285714285703</v>
      </c>
      <c r="V10" s="935">
        <v>20</v>
      </c>
      <c r="W10" s="935">
        <v>1</v>
      </c>
      <c r="X10" s="866"/>
      <c r="Y10" s="920">
        <f t="shared" si="1"/>
        <v>2.6174744909097412E-2</v>
      </c>
      <c r="Z10" s="921">
        <f t="shared" si="2"/>
        <v>2.9034148505790201E-2</v>
      </c>
      <c r="AA10" s="866"/>
      <c r="AB10" s="941" t="s">
        <v>393</v>
      </c>
      <c r="AC10" s="933" t="str">
        <f t="shared" si="3"/>
        <v>SH_Att-A_GASNAT_X0</v>
      </c>
      <c r="AD10" s="934" t="str">
        <f t="shared" si="3"/>
        <v>Residential Space Heating Attached-A_Natural Gas to Residential_Existing 00</v>
      </c>
      <c r="AE10" s="935" t="s">
        <v>53</v>
      </c>
      <c r="AF10" s="942" t="s">
        <v>406</v>
      </c>
      <c r="AG10" s="935"/>
      <c r="AH10" s="935"/>
      <c r="AI10" s="840"/>
      <c r="AJ10" s="840"/>
      <c r="AK10" s="840"/>
      <c r="AL10" s="840"/>
      <c r="AM10" s="840"/>
      <c r="AN10" s="840"/>
    </row>
    <row r="11" spans="1:40">
      <c r="A11" s="758" t="s">
        <v>108</v>
      </c>
      <c r="B11" s="758" t="s">
        <v>587</v>
      </c>
      <c r="C11" s="758">
        <f>SUMIFS(INDEX(Table915[],,MATCH(C$6,Table915[#Headers],0)),Table915[MainSpaceHeatingFuel],"",Table915[EnergyRating (group)],$A11)</f>
        <v>0</v>
      </c>
      <c r="D11" s="758">
        <f>SUMIFS(INDEX(Table915[],,MATCH($D$6,Table915[#Headers],0)),Table915[MainSpaceHeatingFuel],"",Table915[EnergyRating (group)],$A11)</f>
        <v>0</v>
      </c>
      <c r="E11" s="758">
        <f>SUMIFS(INDEX(Table915[],,MATCH(E$6,Table915[#Headers],0)),Table915[MainSpaceHeatingFuel],"",Table915[EnergyRating (group)],$A11)</f>
        <v>0</v>
      </c>
      <c r="F11" s="758">
        <f>SUMIFS(INDEX(Table915[],,MATCH(F$6,Table915[#Headers],0)),Table915[MainSpaceHeatingFuel],"",Table915[EnergyRating (group)],$A11)</f>
        <v>0</v>
      </c>
      <c r="G11" s="758">
        <f>SUMIFS(INDEX(Table915[],,MATCH(G$6,Table915[#Headers],0)),Table915[MainSpaceHeatingFuel],"",Table915[EnergyRating (group)],$A11)</f>
        <v>203</v>
      </c>
      <c r="H11" s="758">
        <f>SUMIFS(INDEX(Table915[],,MATCH(H$6,Table915[#Headers],0)),Table915[MainSpaceHeatingFuel],"",Table915[EnergyRating (group)],$A11)</f>
        <v>22399</v>
      </c>
      <c r="I11" s="944">
        <f>SUMIFS(INDEX(Table915[],,MATCH(I$6,Table915[#Headers],0)),Table915[MainSpaceHeatingFuel],"",Table915[EnergyRating (group)],$A11)</f>
        <v>0</v>
      </c>
      <c r="J11" s="849">
        <f>SUMIFS(INDEX(Table915[],,MATCH(J$6,Table915[#Headers],0)),Table915[MainSpaceHeatingFuel],"",Table915[EnergyRating (group)],$A11)</f>
        <v>393705</v>
      </c>
      <c r="K11" s="870">
        <f>SUMIFS(INDEX(Table915[],,MATCH(K$6,Table915[#Headers],0)),Table915[MainSpaceHeatingFuel],"",Table915[EnergyRating (group)],$A11)</f>
        <v>145816</v>
      </c>
      <c r="L11" s="135"/>
      <c r="M11" s="840"/>
      <c r="N11" s="914" t="str">
        <f>RSD_Commodities!$M$18&amp;"_"&amp;RIGHT(P11,LEN(P11)-3)&amp;"_"&amp;SETUP!$B$67</f>
        <v>SH_Att-A_HET_X0</v>
      </c>
      <c r="O11" s="914" t="str">
        <f>RSD_Commodities!$N$18&amp;"_"&amp;RSD_Commodities!D28&amp;"_"&amp;SETUP!$C$67</f>
        <v>Residential Space Heating Attached-A_Heat to Residential_Existing 00</v>
      </c>
      <c r="P11" s="915" t="str">
        <f>RSD_Commodities!$C$28</f>
        <v>RSDHET</v>
      </c>
      <c r="Q11" s="930" t="str">
        <f>RSD_Commodities!$M$18</f>
        <v>SH_Att-A</v>
      </c>
      <c r="R11" s="1000">
        <f t="shared" si="4"/>
        <v>6.5659669437526276E-3</v>
      </c>
      <c r="S11" s="932">
        <f>R11*DwellingStocks!$I$62/1000</f>
        <v>6.924479438896626E-2</v>
      </c>
      <c r="T11" s="914">
        <v>1</v>
      </c>
      <c r="U11" s="917">
        <f>IF(I11=0, 1, I11)</f>
        <v>1</v>
      </c>
      <c r="V11" s="930">
        <v>20</v>
      </c>
      <c r="W11" s="930">
        <v>1</v>
      </c>
      <c r="X11" s="866"/>
      <c r="Y11" s="928">
        <f t="shared" si="1"/>
        <v>0</v>
      </c>
      <c r="Z11" s="929">
        <f t="shared" si="2"/>
        <v>0</v>
      </c>
      <c r="AA11" s="866"/>
      <c r="AB11" s="939" t="s">
        <v>393</v>
      </c>
      <c r="AC11" s="914" t="str">
        <f t="shared" si="3"/>
        <v>SH_Att-A_HET_X0</v>
      </c>
      <c r="AD11" s="915" t="str">
        <f t="shared" si="3"/>
        <v>Residential Space Heating Attached-A_Heat to Residential_Existing 00</v>
      </c>
      <c r="AE11" s="930" t="s">
        <v>53</v>
      </c>
      <c r="AF11" s="940" t="s">
        <v>406</v>
      </c>
      <c r="AG11" s="930"/>
      <c r="AH11" s="930"/>
      <c r="AI11" s="840"/>
      <c r="AJ11" s="840"/>
      <c r="AK11" s="840"/>
      <c r="AL11" s="840"/>
      <c r="AM11" s="840"/>
      <c r="AN11" s="840"/>
    </row>
    <row r="12" spans="1:40" ht="15.75" thickBot="1">
      <c r="A12" s="757" t="s">
        <v>108</v>
      </c>
      <c r="B12" s="757" t="s">
        <v>668</v>
      </c>
      <c r="C12" s="757">
        <f>SUMIFS(INDEX(Table915[],,MATCH(C$6,Table915[#Headers],0)),Table915[MainSpaceHeatingFuel],$B12,Table915[EnergyRating (group)],$A12)</f>
        <v>6527</v>
      </c>
      <c r="D12" s="757">
        <f>SUMIFS(INDEX(Table915[],,MATCH($D$6,Table915[#Headers],0)),Table915[MainSpaceHeatingFuel],B12,Table915[EnergyRating (group)],A12)</f>
        <v>5934</v>
      </c>
      <c r="E12" s="760">
        <f>SUMIFS(INDEX(Table915[],,MATCH(E$6,Table915[#Headers],0)),Table915[MainSpaceHeatingFuel],$B12,Table915[EnergyRating (group)],$A12)</f>
        <v>0</v>
      </c>
      <c r="F12" s="760">
        <f>SUMIFS(INDEX(Table915[],,MATCH(F$6,Table915[#Headers],0)),Table915[MainSpaceHeatingFuel],$B12,Table915[EnergyRating (group)],$A12)</f>
        <v>0</v>
      </c>
      <c r="G12" s="757">
        <f>SUMIFS(INDEX(Table915[],,MATCH(G$6,Table915[#Headers],0)),Table915[MainSpaceHeatingFuel],$B12,Table915[EnergyRating (group)],$A12)</f>
        <v>2</v>
      </c>
      <c r="H12" s="757">
        <f>SUMIFS(INDEX(Table915[],,MATCH(H$6,Table915[#Headers],0)),Table915[MainSpaceHeatingFuel],$B12,Table915[EnergyRating (group)],$A12)</f>
        <v>217</v>
      </c>
      <c r="I12" s="912">
        <f>AVERAGEIFS(INDEX(Table915[],,MATCH(I$6,Table915[#Headers],0)),Table915[MainSpaceHeatingFuel],$B12,Table915[EnergyRating (group)],$A12)</f>
        <v>87</v>
      </c>
      <c r="J12" s="847">
        <f>SUMIFS(INDEX(Table915[],,MATCH(J$6,Table915[#Headers],0)),Table915[MainSpaceHeatingFuel],$B12,Table915[EnergyRating (group)],$A12)</f>
        <v>15883</v>
      </c>
      <c r="K12" s="869">
        <f>SUMIFS(INDEX(Table915[],,MATCH(K$6,Table915[#Headers],0)),Table915[MainSpaceHeatingFuel],$B12,Table915[EnergyRating (group)],$A12)</f>
        <v>11820</v>
      </c>
      <c r="L12" s="135"/>
      <c r="M12" s="840"/>
      <c r="N12" s="66" t="str">
        <f>RSD_Commodities!$M$18&amp;"_"&amp;RIGHT(P12,LEN(P12)-3)&amp;"_"&amp;SETUP!$B$69</f>
        <v>SH_Att-A_BIOWOO_X2</v>
      </c>
      <c r="O12" s="933" t="str">
        <f>RSD_Commodities!$N$18&amp;"_"&amp;RSD_Commodities!D19&amp;"_"&amp;SETUP!$C$69</f>
        <v>Residential Space Heating Attached-A_Biomass &amp; Renewable Waste to Residential_Existing 02</v>
      </c>
      <c r="P12" s="83" t="str">
        <f>RSD_Commodities!$C$19</f>
        <v>RSDBIOWOO</v>
      </c>
      <c r="Q12" s="935" t="str">
        <f>RSD_Commodities!$M$18</f>
        <v>SH_Att-A</v>
      </c>
      <c r="R12" s="1001">
        <f t="shared" si="4"/>
        <v>6.4689329495099787E-5</v>
      </c>
      <c r="S12" s="937">
        <f>R12*DwellingStocks!$I$62/1000</f>
        <v>6.8221472304400271E-4</v>
      </c>
      <c r="T12" s="66">
        <v>1</v>
      </c>
      <c r="U12" s="66">
        <f t="shared" si="0"/>
        <v>0.87</v>
      </c>
      <c r="V12" s="935">
        <v>20</v>
      </c>
      <c r="W12" s="935">
        <v>1</v>
      </c>
      <c r="X12" s="866"/>
      <c r="Y12" s="926">
        <f>ABS((D12+F12)*S12*1000*$B$2)</f>
        <v>1.6636693835108683E-9</v>
      </c>
      <c r="Z12" s="927">
        <f t="shared" ref="Z12" si="5">ABS((C12+E12)*S12*1000*$B$2)</f>
        <v>1.8299241769759752E-9</v>
      </c>
      <c r="AA12" s="866"/>
      <c r="AB12" s="941" t="s">
        <v>393</v>
      </c>
      <c r="AC12" s="933" t="str">
        <f t="shared" si="3"/>
        <v>SH_Att-A_BIOWOO_X2</v>
      </c>
      <c r="AD12" s="934" t="str">
        <f t="shared" si="3"/>
        <v>Residential Space Heating Attached-A_Biomass &amp; Renewable Waste to Residential_Existing 02</v>
      </c>
      <c r="AE12" s="935" t="s">
        <v>53</v>
      </c>
      <c r="AF12" s="942" t="s">
        <v>406</v>
      </c>
      <c r="AG12" s="840"/>
      <c r="AH12" s="840"/>
      <c r="AI12" s="840"/>
      <c r="AJ12" s="840"/>
      <c r="AK12" s="840"/>
      <c r="AL12" s="840"/>
      <c r="AM12" s="840"/>
      <c r="AN12" s="840"/>
    </row>
    <row r="13" spans="1:40" ht="15" customHeight="1" thickBot="1">
      <c r="A13" s="756" t="s">
        <v>110</v>
      </c>
      <c r="B13" s="1048"/>
      <c r="C13" s="1049"/>
      <c r="D13" s="1049"/>
      <c r="E13" s="1049"/>
      <c r="F13" s="1049"/>
      <c r="G13" s="1049"/>
      <c r="H13" s="1049"/>
      <c r="I13" s="1053"/>
      <c r="J13" s="736" t="s">
        <v>565</v>
      </c>
      <c r="K13" s="737" t="s">
        <v>565</v>
      </c>
      <c r="L13" s="840"/>
      <c r="M13" s="840"/>
      <c r="N13" s="76" t="str">
        <f>AB13</f>
        <v>*B1 Rating</v>
      </c>
      <c r="O13" s="76"/>
      <c r="P13" s="76"/>
      <c r="Q13" s="76"/>
      <c r="R13" s="949">
        <f>SUM(R14:R22)</f>
        <v>1</v>
      </c>
      <c r="S13" s="76"/>
      <c r="T13" s="97"/>
      <c r="U13" s="76"/>
      <c r="V13" s="76"/>
      <c r="W13" s="76"/>
      <c r="X13" s="866"/>
      <c r="Y13" s="76"/>
      <c r="Z13" s="76"/>
      <c r="AA13" s="866"/>
      <c r="AB13" s="140" t="str">
        <f>"*"&amp; A14 &amp; " Rating"</f>
        <v>*B1 Rating</v>
      </c>
      <c r="AC13" s="141"/>
      <c r="AD13" s="141"/>
      <c r="AE13" s="141"/>
      <c r="AF13" s="141"/>
      <c r="AG13" s="141"/>
      <c r="AH13" s="141"/>
      <c r="AI13" s="840"/>
      <c r="AJ13" s="840"/>
      <c r="AK13" s="840"/>
      <c r="AL13" s="840"/>
      <c r="AM13" s="840"/>
      <c r="AN13" s="840"/>
    </row>
    <row r="14" spans="1:40">
      <c r="A14" s="758" t="s">
        <v>110</v>
      </c>
      <c r="B14" s="758" t="s">
        <v>582</v>
      </c>
      <c r="C14" s="758">
        <f>SUMIFS(INDEX(Table915[],,MATCH(C$6,Table915[#Headers],0)),Table915[MainSpaceHeatingFuel],$B14,Table915[EnergyRating (group)],$A14)</f>
        <v>318698</v>
      </c>
      <c r="D14" s="759">
        <f>SUMIFS(INDEX(Table915[],,MATCH($D$6,Table915[#Headers],0)),Table915[MainSpaceHeatingFuel],B14,Table915[EnergyRating (group)],A14)</f>
        <v>289726</v>
      </c>
      <c r="E14" s="759">
        <f>SUMIFS(INDEX(Table915[],,MATCH(E$6,Table915[#Headers],0)),Table915[MainSpaceHeatingFuel],$B14,Table915[EnergyRating (group)],$A14)</f>
        <v>45617</v>
      </c>
      <c r="F14" s="758">
        <f>SUMIFS(INDEX(Table915[],,MATCH(F$6,Table915[#Headers],0)),Table915[MainSpaceHeatingFuel],$B14,Table915[EnergyRating (group)],$A14)</f>
        <v>41078</v>
      </c>
      <c r="G14" s="758">
        <f>SUMIFS(INDEX(Table915[],,MATCH(G$6,Table915[#Headers],0)),Table915[MainSpaceHeatingFuel],$B14,Table915[EnergyRating (group)],$A14)</f>
        <v>82</v>
      </c>
      <c r="H14" s="911">
        <f>SUMIFS(INDEX(Table915[],,MATCH(H$6,Table915[#Headers],0)),Table915[MainSpaceHeatingFuel],$B14,Table915[EnergyRating (group)],$A14)</f>
        <v>8112</v>
      </c>
      <c r="I14" s="911">
        <f>AVERAGEIFS(INDEX(Table915[],,MATCH(I$6,Table915[#Headers],0)),Table915[MainSpaceHeatingFuel],$B14,Table915[EnergyRating (group)],$A14)</f>
        <v>90.833333333333329</v>
      </c>
      <c r="J14" s="849">
        <f>SUMIFS(INDEX(Table915[],,MATCH(J$6,Table915[#Headers],0)),Table915[MainSpaceHeatingFuel],$B14,Table915[EnergyRating (group)],$A14)</f>
        <v>748466</v>
      </c>
      <c r="K14" s="870">
        <f>SUMIFS(INDEX(Table915[],,MATCH(K$6,Table915[#Headers],0)),Table915[MainSpaceHeatingFuel],$B14,Table915[EnergyRating (group)],$A14)</f>
        <v>595410</v>
      </c>
      <c r="L14" s="135"/>
      <c r="M14" s="840"/>
      <c r="N14" s="914" t="str">
        <f>RSD_Commodities!$M$19&amp;"_"&amp;RIGHT(P14,LEN(P14)-3)&amp;"_"&amp;SETUP!$B$67</f>
        <v>SH_Att-B1_OILLPG_X0</v>
      </c>
      <c r="O14" s="914" t="str">
        <f>RSD_Commodities!$N$19&amp;"_"&amp;RSD_Commodities!D11&amp;"_"&amp;SETUP!$C$67</f>
        <v>Residential Space Heating Attached-B1_LPG to Residential_Existing 00</v>
      </c>
      <c r="P14" s="915" t="str">
        <f>RSD_Commodities!$C$11</f>
        <v>RSDOILLPG</v>
      </c>
      <c r="Q14" s="930" t="str">
        <f>RSD_Commodities!$M$10</f>
        <v>SH_Apt-B1</v>
      </c>
      <c r="R14" s="1000">
        <f>G14/SUM($G$14:$G$22)</f>
        <v>2.2031166039763569E-2</v>
      </c>
      <c r="S14" s="932">
        <f>R14*DwellingStocks!$I$63/1000</f>
        <v>0.11450834285510622</v>
      </c>
      <c r="T14" s="914">
        <v>1</v>
      </c>
      <c r="U14" s="914">
        <f t="shared" ref="U14:U22" si="6">I14/100</f>
        <v>0.90833333333333333</v>
      </c>
      <c r="V14" s="930">
        <v>20</v>
      </c>
      <c r="W14" s="930">
        <v>1</v>
      </c>
      <c r="X14" s="866"/>
      <c r="Y14" s="918">
        <f>ABS((D14+F14)*S14*1000*$B$2)</f>
        <v>1.5567048431441327E-5</v>
      </c>
      <c r="Z14" s="919">
        <f>ABS((C14+E14)*S14*1000*$B$2)</f>
        <v>1.7144016545448504E-5</v>
      </c>
      <c r="AA14" s="866"/>
      <c r="AB14" s="939" t="s">
        <v>393</v>
      </c>
      <c r="AC14" s="914" t="str">
        <f>N14</f>
        <v>SH_Att-B1_OILLPG_X0</v>
      </c>
      <c r="AD14" s="915" t="str">
        <f>O14</f>
        <v>Residential Space Heating Attached-B1_LPG to Residential_Existing 00</v>
      </c>
      <c r="AE14" s="914" t="s">
        <v>53</v>
      </c>
      <c r="AF14" s="916" t="s">
        <v>406</v>
      </c>
      <c r="AG14" s="914"/>
      <c r="AH14" s="914"/>
      <c r="AI14" s="840"/>
      <c r="AJ14" s="840"/>
      <c r="AK14" s="840"/>
      <c r="AL14" s="840"/>
      <c r="AM14" s="840"/>
      <c r="AN14" s="840"/>
    </row>
    <row r="15" spans="1:40">
      <c r="A15" s="757" t="s">
        <v>110</v>
      </c>
      <c r="B15" s="757" t="s">
        <v>228</v>
      </c>
      <c r="C15" s="757">
        <f>SUMIFS(INDEX(Table915[],,MATCH(C$6,Table915[#Headers],0)),Table915[MainSpaceHeatingFuel],$B15,Table915[EnergyRating (group)],$A15)</f>
        <v>1955441</v>
      </c>
      <c r="D15" s="757">
        <f>SUMIFS(INDEX(Table915[],,MATCH($D$6,Table915[#Headers],0)),Table915[MainSpaceHeatingFuel],B15,Table915[EnergyRating (group)],A15)</f>
        <v>724237</v>
      </c>
      <c r="E15" s="757">
        <f>SUMIFS(INDEX(Table915[],,MATCH(E$6,Table915[#Headers],0)),Table915[MainSpaceHeatingFuel],$B15,Table915[EnergyRating (group)],$A15)</f>
        <v>527102</v>
      </c>
      <c r="F15" s="757">
        <f>SUMIFS(INDEX(Table915[],,MATCH(F$6,Table915[#Headers],0)),Table915[MainSpaceHeatingFuel],$B15,Table915[EnergyRating (group)],$A15)</f>
        <v>459042</v>
      </c>
      <c r="G15" s="757">
        <f>SUMIFS(INDEX(Table915[],,MATCH(G$6,Table915[#Headers],0)),Table915[MainSpaceHeatingFuel],$B15,Table915[EnergyRating (group)],$A15)</f>
        <v>842</v>
      </c>
      <c r="H15" s="912">
        <f>SUMIFS(INDEX(Table915[],,MATCH(H$6,Table915[#Headers],0)),Table915[MainSpaceHeatingFuel],$B15,Table915[EnergyRating (group)],$A15)</f>
        <v>81479</v>
      </c>
      <c r="I15" s="912">
        <f>AVERAGEIFS(INDEX(Table915[],,MATCH(I$6,Table915[#Headers],0)),Table915[MainSpaceHeatingFuel],$B15,Table915[EnergyRating (group)],$A15)</f>
        <v>399.16</v>
      </c>
      <c r="J15" s="847">
        <f>SUMIFS(INDEX(Table915[],,MATCH(J$6,Table915[#Headers],0)),Table915[MainSpaceHeatingFuel],$B15,Table915[EnergyRating (group)],$A15)</f>
        <v>7190674</v>
      </c>
      <c r="K15" s="869">
        <f>SUMIFS(INDEX(Table915[],,MATCH(K$6,Table915[#Headers],0)),Table915[MainSpaceHeatingFuel],$B15,Table915[EnergyRating (group)],$A15)</f>
        <v>2931965</v>
      </c>
      <c r="L15" s="135"/>
      <c r="M15" s="840"/>
      <c r="N15" s="66" t="str">
        <f>RSD_Commodities!$M$19&amp;"_"&amp;RIGHT(P15,LEN(P15)-3)&amp;"_"&amp;SETUP!$B$67</f>
        <v>SH_Att-B1_ELCD_X0</v>
      </c>
      <c r="O15" s="933" t="str">
        <f>RSD_Commodities!$N$19&amp;"_"&amp;RSD_Commodities!D27&amp;"_"&amp;SETUP!$C$67</f>
        <v>Residential Space Heating Attached-B1_Electricity to Residential_Existing 00</v>
      </c>
      <c r="P15" s="83" t="str">
        <f>RSD_Commodities!$C$27</f>
        <v>RSDELCD</v>
      </c>
      <c r="Q15" s="935" t="str">
        <f>RSD_Commodities!$M$10</f>
        <v>SH_Apt-B1</v>
      </c>
      <c r="R15" s="1001">
        <f t="shared" ref="R15:R22" si="7">G15/SUM($G$14:$G$22)</f>
        <v>0.22622246104245031</v>
      </c>
      <c r="S15" s="937">
        <f>R15*DwellingStocks!$I$63/1000</f>
        <v>1.1758051790731638</v>
      </c>
      <c r="T15" s="66">
        <v>1</v>
      </c>
      <c r="U15" s="66">
        <f t="shared" si="6"/>
        <v>3.9916</v>
      </c>
      <c r="V15" s="935">
        <v>20</v>
      </c>
      <c r="W15" s="935">
        <v>1</v>
      </c>
      <c r="X15" s="873"/>
      <c r="Y15" s="920">
        <f t="shared" ref="Y15:Y19" si="8">ABS((D15+F15)*S15*1000*$B$2)</f>
        <v>5.7176941499527986E-4</v>
      </c>
      <c r="Z15" s="921">
        <f t="shared" ref="Z15:Z22" si="9">ABS((C15+E15)*S15*1000*$B$2)</f>
        <v>1.1995836643856833E-3</v>
      </c>
      <c r="AA15" s="873"/>
      <c r="AB15" s="941" t="s">
        <v>393</v>
      </c>
      <c r="AC15" s="933" t="str">
        <f t="shared" ref="AC15:AD22" si="10">N15</f>
        <v>SH_Att-B1_ELCD_X0</v>
      </c>
      <c r="AD15" s="934" t="str">
        <f t="shared" si="10"/>
        <v>Residential Space Heating Attached-B1_Electricity to Residential_Existing 00</v>
      </c>
      <c r="AE15" s="935" t="s">
        <v>53</v>
      </c>
      <c r="AF15" s="942" t="s">
        <v>406</v>
      </c>
      <c r="AG15" s="935"/>
      <c r="AH15" s="935"/>
      <c r="AI15" s="840"/>
      <c r="AJ15" s="840"/>
      <c r="AK15" s="840"/>
      <c r="AL15" s="840"/>
      <c r="AM15" s="840"/>
      <c r="AN15" s="840"/>
    </row>
    <row r="16" spans="1:40">
      <c r="A16" s="758" t="s">
        <v>110</v>
      </c>
      <c r="B16" s="758" t="s">
        <v>583</v>
      </c>
      <c r="C16" s="758">
        <f>SUMIFS(INDEX(Table915[],,MATCH(C$6,Table915[#Headers],0)),Table915[MainSpaceHeatingFuel],$B16,Table915[EnergyRating (group)],$A16)</f>
        <v>1784793</v>
      </c>
      <c r="D16" s="759">
        <f>SUMIFS(INDEX(Table915[],,MATCH($D$6,Table915[#Headers],0)),Table915[MainSpaceHeatingFuel],B16,Table915[EnergyRating (group)],A16)</f>
        <v>1622539</v>
      </c>
      <c r="E16" s="759">
        <f>SUMIFS(INDEX(Table915[],,MATCH(E$6,Table915[#Headers],0)),Table915[MainSpaceHeatingFuel],$B16,Table915[EnergyRating (group)],$A16)</f>
        <v>274912</v>
      </c>
      <c r="F16" s="758">
        <f>SUMIFS(INDEX(Table915[],,MATCH(F$6,Table915[#Headers],0)),Table915[MainSpaceHeatingFuel],$B16,Table915[EnergyRating (group)],$A16)</f>
        <v>240813</v>
      </c>
      <c r="G16" s="758">
        <f>SUMIFS(INDEX(Table915[],,MATCH(G$6,Table915[#Headers],0)),Table915[MainSpaceHeatingFuel],$B16,Table915[EnergyRating (group)],$A16)</f>
        <v>404</v>
      </c>
      <c r="H16" s="911">
        <f>SUMIFS(INDEX(Table915[],,MATCH(H$6,Table915[#Headers],0)),Table915[MainSpaceHeatingFuel],$B16,Table915[EnergyRating (group)],$A16)</f>
        <v>45597</v>
      </c>
      <c r="I16" s="911">
        <f>AVERAGEIFS(INDEX(Table915[],,MATCH(I$6,Table915[#Headers],0)),Table915[MainSpaceHeatingFuel],$B16,Table915[EnergyRating (group)],$A16)</f>
        <v>93.884615384615387</v>
      </c>
      <c r="J16" s="849">
        <f>SUMIFS(INDEX(Table915[],,MATCH(J$6,Table915[#Headers],0)),Table915[MainSpaceHeatingFuel],$B16,Table915[EnergyRating (group)],$A16)</f>
        <v>4142959</v>
      </c>
      <c r="K16" s="870">
        <f>SUMIFS(INDEX(Table915[],,MATCH(K$6,Table915[#Headers],0)),Table915[MainSpaceHeatingFuel],$B16,Table915[EnergyRating (group)],$A16)</f>
        <v>3230413</v>
      </c>
      <c r="L16" s="135"/>
      <c r="M16" s="840"/>
      <c r="N16" s="914" t="str">
        <f>RSD_Commodities!$M$19&amp;"_"&amp;RIGHT(P16,LEN(P16)-3)&amp;"_"&amp;SETUP!$B$67</f>
        <v>SH_Att-B1_OILKER_X0</v>
      </c>
      <c r="O16" s="914" t="str">
        <f>RSD_Commodities!$N$19&amp;"_"&amp;RSD_Commodities!D13&amp;"_"&amp;SETUP!$C$67</f>
        <v>Residential Space Heating Attached-B1_Kerosene to Residential_Existing 00</v>
      </c>
      <c r="P16" s="915" t="str">
        <f>RSD_Commodities!$C$13</f>
        <v>RSDOILKER</v>
      </c>
      <c r="Q16" s="930" t="str">
        <f>RSD_Commodities!$M$10</f>
        <v>SH_Apt-B1</v>
      </c>
      <c r="R16" s="1000">
        <f t="shared" si="7"/>
        <v>0.10854379365932294</v>
      </c>
      <c r="S16" s="932">
        <f>R16*DwellingStocks!$I$63/1000</f>
        <v>0.56416305504223052</v>
      </c>
      <c r="T16" s="914">
        <v>1</v>
      </c>
      <c r="U16" s="916">
        <f t="shared" si="6"/>
        <v>0.93884615384615389</v>
      </c>
      <c r="V16" s="930">
        <v>20</v>
      </c>
      <c r="W16" s="930">
        <v>1</v>
      </c>
      <c r="X16" s="840"/>
      <c r="Y16" s="922">
        <f t="shared" si="8"/>
        <v>4.3201411929002072E-4</v>
      </c>
      <c r="Z16" s="923">
        <f t="shared" si="9"/>
        <v>4.7753813641880443E-4</v>
      </c>
      <c r="AA16" s="840"/>
      <c r="AB16" s="939" t="s">
        <v>393</v>
      </c>
      <c r="AC16" s="914" t="str">
        <f t="shared" si="10"/>
        <v>SH_Att-B1_OILKER_X0</v>
      </c>
      <c r="AD16" s="915" t="str">
        <f t="shared" si="10"/>
        <v>Residential Space Heating Attached-B1_Kerosene to Residential_Existing 00</v>
      </c>
      <c r="AE16" s="930" t="s">
        <v>53</v>
      </c>
      <c r="AF16" s="940" t="s">
        <v>406</v>
      </c>
      <c r="AG16" s="930"/>
      <c r="AH16" s="930"/>
      <c r="AI16" s="840"/>
      <c r="AJ16" s="840"/>
      <c r="AK16" s="840"/>
      <c r="AL16" s="840"/>
      <c r="AM16" s="840"/>
      <c r="AN16" s="840"/>
    </row>
    <row r="17" spans="1:40">
      <c r="A17" s="757" t="s">
        <v>110</v>
      </c>
      <c r="B17" s="757" t="s">
        <v>584</v>
      </c>
      <c r="C17" s="757">
        <f>SUMIFS(INDEX(Table915[],,MATCH(C$6,Table915[#Headers],0)),Table915[MainSpaceHeatingFuel],$B17,Table915[EnergyRating (group)],$A17)</f>
        <v>11270052</v>
      </c>
      <c r="D17" s="760">
        <f>SUMIFS(INDEX(Table915[],,MATCH($D$6,Table915[#Headers],0)),Table915[MainSpaceHeatingFuel],B17,Table915[EnergyRating (group)],A17)</f>
        <v>10245503</v>
      </c>
      <c r="E17" s="760">
        <f>SUMIFS(INDEX(Table915[],,MATCH(E$6,Table915[#Headers],0)),Table915[MainSpaceHeatingFuel],$B17,Table915[EnergyRating (group)],$A17)</f>
        <v>1565505</v>
      </c>
      <c r="F17" s="757">
        <f>SUMIFS(INDEX(Table915[],,MATCH(F$6,Table915[#Headers],0)),Table915[MainSpaceHeatingFuel],$B17,Table915[EnergyRating (group)],$A17)</f>
        <v>1357005</v>
      </c>
      <c r="G17" s="757">
        <f>SUMIFS(INDEX(Table915[],,MATCH(G$6,Table915[#Headers],0)),Table915[MainSpaceHeatingFuel],$B17,Table915[EnergyRating (group)],$A17)</f>
        <v>2315</v>
      </c>
      <c r="H17" s="912">
        <f>SUMIFS(INDEX(Table915[],,MATCH(H$6,Table915[#Headers],0)),Table915[MainSpaceHeatingFuel],$B17,Table915[EnergyRating (group)],$A17)</f>
        <v>275125</v>
      </c>
      <c r="I17" s="912">
        <f>AVERAGEIFS(INDEX(Table915[],,MATCH(I$6,Table915[#Headers],0)),Table915[MainSpaceHeatingFuel],$B17,Table915[EnergyRating (group)],$A17)</f>
        <v>90.714285714285708</v>
      </c>
      <c r="J17" s="847">
        <f>SUMIFS(INDEX(Table915[],,MATCH(J$6,Table915[#Headers],0)),Table915[MainSpaceHeatingFuel],$B17,Table915[EnergyRating (group)],$A17)</f>
        <v>25060747</v>
      </c>
      <c r="K17" s="869">
        <f>SUMIFS(INDEX(Table915[],,MATCH(K$6,Table915[#Headers],0)),Table915[MainSpaceHeatingFuel],$B17,Table915[EnergyRating (group)],$A17)</f>
        <v>19890537</v>
      </c>
      <c r="L17" s="135"/>
      <c r="M17" s="840"/>
      <c r="N17" s="66" t="str">
        <f>RSD_Commodities!$M$19&amp;"_"&amp;RIGHT(P17,LEN(P17)-3)&amp;"_"&amp;SETUP!$B$67</f>
        <v>SH_Att-B1_GASNAT_X0</v>
      </c>
      <c r="O17" s="933" t="str">
        <f>RSD_Commodities!$N$19&amp;"_"&amp;RSD_Commodities!D17&amp;"_"&amp;SETUP!$C$67</f>
        <v>Residential Space Heating Attached-B1_Natural Gas to Residential_Existing 00</v>
      </c>
      <c r="P17" s="83" t="str">
        <f>RSD_Commodities!$C$17</f>
        <v>RSDGASNAT</v>
      </c>
      <c r="Q17" s="935" t="str">
        <f>RSD_Commodities!$M$10</f>
        <v>SH_Apt-B1</v>
      </c>
      <c r="R17" s="1001">
        <f t="shared" si="7"/>
        <v>0.62197743148844709</v>
      </c>
      <c r="S17" s="937">
        <f>R17*DwellingStocks!$I$63/1000</f>
        <v>3.2327660208484255</v>
      </c>
      <c r="T17" s="66">
        <v>1</v>
      </c>
      <c r="U17" s="66">
        <f t="shared" si="6"/>
        <v>0.90714285714285703</v>
      </c>
      <c r="V17" s="935">
        <v>20</v>
      </c>
      <c r="W17" s="935">
        <v>1</v>
      </c>
      <c r="X17" s="935"/>
      <c r="Y17" s="920">
        <f t="shared" si="8"/>
        <v>1.5414326144803574E-2</v>
      </c>
      <c r="Z17" s="921">
        <f t="shared" si="9"/>
        <v>1.7052473641751983E-2</v>
      </c>
      <c r="AA17" s="840"/>
      <c r="AB17" s="941" t="s">
        <v>393</v>
      </c>
      <c r="AC17" s="933" t="str">
        <f t="shared" si="10"/>
        <v>SH_Att-B1_GASNAT_X0</v>
      </c>
      <c r="AD17" s="934" t="str">
        <f t="shared" si="10"/>
        <v>Residential Space Heating Attached-B1_Natural Gas to Residential_Existing 00</v>
      </c>
      <c r="AE17" s="935" t="s">
        <v>53</v>
      </c>
      <c r="AF17" s="942" t="s">
        <v>406</v>
      </c>
      <c r="AG17" s="935"/>
      <c r="AH17" s="935"/>
      <c r="AI17" s="840"/>
      <c r="AJ17" s="840"/>
      <c r="AK17" s="840"/>
      <c r="AL17" s="840"/>
      <c r="AM17" s="840"/>
      <c r="AN17" s="840"/>
    </row>
    <row r="18" spans="1:40">
      <c r="A18" s="758" t="s">
        <v>110</v>
      </c>
      <c r="B18" s="758" t="s">
        <v>585</v>
      </c>
      <c r="C18" s="758">
        <f>SUMIFS(INDEX(Table915[],,MATCH(C$6,Table915[#Headers],0)),Table915[MainSpaceHeatingFuel],$B18,Table915[EnergyRating (group)],$A18)</f>
        <v>129447</v>
      </c>
      <c r="D18" s="758">
        <f>SUMIFS(INDEX(Table915[],,MATCH($D$6,Table915[#Headers],0)),Table915[MainSpaceHeatingFuel],B18,Table915[EnergyRating (group)],A18)</f>
        <v>117679</v>
      </c>
      <c r="E18" s="758">
        <f>SUMIFS(INDEX(Table915[],,MATCH(E$6,Table915[#Headers],0)),Table915[MainSpaceHeatingFuel],$B18,Table915[EnergyRating (group)],$A18)</f>
        <v>0</v>
      </c>
      <c r="F18" s="758">
        <f>SUMIFS(INDEX(Table915[],,MATCH(F$6,Table915[#Headers],0)),Table915[MainSpaceHeatingFuel],$B18,Table915[EnergyRating (group)],$A18)</f>
        <v>0</v>
      </c>
      <c r="G18" s="758">
        <f>SUMIFS(INDEX(Table915[],,MATCH(G$6,Table915[#Headers],0)),Table915[MainSpaceHeatingFuel],$B18,Table915[EnergyRating (group)],$A18)</f>
        <v>29</v>
      </c>
      <c r="H18" s="999">
        <f>SUMIFS(INDEX(Table915[],,MATCH(H$6,Table915[#Headers],0)),Table915[MainSpaceHeatingFuel],$B18,Table915[EnergyRating (group)],$A18)</f>
        <v>2662</v>
      </c>
      <c r="I18" s="999">
        <f>AVERAGEIFS(INDEX(Table915[],,MATCH(I$6,Table915[#Headers],0)),Table915[MainSpaceHeatingFuel],$B18,Table915[EnergyRating (group)],$A18)</f>
        <v>89</v>
      </c>
      <c r="J18" s="849">
        <f>SUMIFS(INDEX(Table915[],,MATCH(J$6,Table915[#Headers],0)),Table915[MainSpaceHeatingFuel],"",Table915[EnergyRating (group)],$A18)</f>
        <v>86983</v>
      </c>
      <c r="K18" s="870">
        <f>SUMIFS(INDEX(Table915[],,MATCH(K$6,Table915[#Headers],0)),Table915[MainSpaceHeatingFuel],"",Table915[EnergyRating (group)],$A18)</f>
        <v>32215</v>
      </c>
      <c r="L18" s="135"/>
      <c r="M18" s="840"/>
      <c r="N18" s="914" t="str">
        <f>RSD_Commodities!$M$19&amp;"_"&amp;RIGHT(P18,LEN(P18)-3)&amp;"_"&amp;SETUP!$B$67</f>
        <v>SH_Att-B1_BIOWOO_X0</v>
      </c>
      <c r="O18" s="914" t="str">
        <f>RSD_Commodities!$N$19&amp;"_"&amp;RSD_Commodities!D19&amp;"_"&amp;SETUP!$C$67</f>
        <v>Residential Space Heating Attached-B1_Biomass &amp; Renewable Waste to Residential_Existing 00</v>
      </c>
      <c r="P18" s="915" t="str">
        <f>RSD_Commodities!$C$19</f>
        <v>RSDBIOWOO</v>
      </c>
      <c r="Q18" s="930" t="str">
        <f>RSD_Commodities!$M$10</f>
        <v>SH_Apt-B1</v>
      </c>
      <c r="R18" s="1000">
        <f t="shared" si="7"/>
        <v>7.7915099408919939E-3</v>
      </c>
      <c r="S18" s="932">
        <f>R18*DwellingStocks!$I$63/1000</f>
        <v>4.04968529609522E-2</v>
      </c>
      <c r="T18" s="914">
        <v>1</v>
      </c>
      <c r="U18" s="914">
        <f t="shared" si="6"/>
        <v>0.89</v>
      </c>
      <c r="V18" s="930">
        <v>20</v>
      </c>
      <c r="W18" s="930">
        <v>1</v>
      </c>
      <c r="X18" s="840"/>
      <c r="Y18" s="922">
        <f t="shared" si="8"/>
        <v>1.9584777368185867E-6</v>
      </c>
      <c r="Z18" s="923">
        <f t="shared" si="9"/>
        <v>2.1543271747546767E-6</v>
      </c>
      <c r="AA18" s="840"/>
      <c r="AB18" s="939" t="s">
        <v>393</v>
      </c>
      <c r="AC18" s="914" t="str">
        <f t="shared" si="10"/>
        <v>SH_Att-B1_BIOWOO_X0</v>
      </c>
      <c r="AD18" s="915" t="str">
        <f t="shared" si="10"/>
        <v>Residential Space Heating Attached-B1_Biomass &amp; Renewable Waste to Residential_Existing 00</v>
      </c>
      <c r="AE18" s="930" t="s">
        <v>53</v>
      </c>
      <c r="AF18" s="940" t="s">
        <v>406</v>
      </c>
      <c r="AG18" s="930"/>
      <c r="AH18" s="930"/>
      <c r="AI18" s="840"/>
      <c r="AJ18" s="840"/>
      <c r="AK18" s="840"/>
      <c r="AL18" s="840"/>
      <c r="AM18" s="840"/>
      <c r="AN18" s="840"/>
    </row>
    <row r="19" spans="1:40" ht="15.75" thickBot="1">
      <c r="A19" s="757" t="s">
        <v>110</v>
      </c>
      <c r="B19" s="757" t="s">
        <v>587</v>
      </c>
      <c r="C19" s="757">
        <f>SUMIFS(INDEX(Table915[],,MATCH(C$6,Table915[#Headers],0)),Table915[MainSpaceHeatingFuel],"",Table915[EnergyRating (group)],$A19)</f>
        <v>0</v>
      </c>
      <c r="D19" s="760">
        <f>SUMIFS(INDEX(Table915[],,MATCH($D$6,Table915[#Headers],0)),Table915[MainSpaceHeatingFuel],"",Table915[EnergyRating (group)],$A19)</f>
        <v>0</v>
      </c>
      <c r="E19" s="760">
        <f>SUMIFS(INDEX(Table915[],,MATCH(E$6,Table915[#Headers],0)),Table915[MainSpaceHeatingFuel],"",Table915[EnergyRating (group)],$A19)</f>
        <v>0</v>
      </c>
      <c r="F19" s="757">
        <f>SUMIFS(INDEX(Table915[],,MATCH(F$6,Table915[#Headers],0)),Table915[MainSpaceHeatingFuel],"",Table915[EnergyRating (group)],$A19)</f>
        <v>0</v>
      </c>
      <c r="G19" s="757">
        <f>SUMIFS(INDEX(Table915[],,MATCH(G$6,Table915[#Headers],0)),Table915[MainSpaceHeatingFuel],"",Table915[EnergyRating (group)],$A19)</f>
        <v>42</v>
      </c>
      <c r="H19" s="912">
        <f>SUMIFS(INDEX(Table915[],,MATCH(H$6,Table915[#Headers],0)),Table915[MainSpaceHeatingFuel],"",Table915[EnergyRating (group)],$A19)</f>
        <v>4061</v>
      </c>
      <c r="I19" s="913">
        <f>SUMIFS(INDEX(Table915[],,MATCH(I$6,Table915[#Headers],0)),Table915[MainSpaceHeatingFuel],"",Table915[EnergyRating (group)],$A19)</f>
        <v>0</v>
      </c>
      <c r="J19" s="847">
        <f>SUMIFS(INDEX(Table915[],,MATCH(J$6,Table915[#Headers],0)),Table915[MainSpaceHeatingFuel],"",Table915[EnergyRating (group)],$A19)</f>
        <v>86983</v>
      </c>
      <c r="K19" s="869">
        <f>SUMIFS(INDEX(Table915[],,MATCH(K$6,Table915[#Headers],0)),Table915[MainSpaceHeatingFuel],"",Table915[EnergyRating (group)],$A19)</f>
        <v>32215</v>
      </c>
      <c r="L19" s="135"/>
      <c r="M19" s="840"/>
      <c r="N19" s="66" t="str">
        <f>RSD_Commodities!$M$19&amp;"_"&amp;RIGHT(P19,LEN(P19)-3)&amp;"_"&amp;SETUP!$B$67</f>
        <v>SH_Att-B1_HET_X0</v>
      </c>
      <c r="O19" s="933" t="str">
        <f>RSD_Commodities!$N$19&amp;"_"&amp;RSD_Commodities!D28&amp;"_"&amp;SETUP!$C$67</f>
        <v>Residential Space Heating Attached-B1_Heat to Residential_Existing 00</v>
      </c>
      <c r="P19" s="83" t="str">
        <f>RSD_Commodities!$C$28</f>
        <v>RSDHET</v>
      </c>
      <c r="Q19" s="935" t="str">
        <f>RSD_Commodities!$M$10</f>
        <v>SH_Apt-B1</v>
      </c>
      <c r="R19" s="1001">
        <f t="shared" si="7"/>
        <v>1.1284255776464266E-2</v>
      </c>
      <c r="S19" s="937">
        <f>R19*DwellingStocks!$I$63/1000</f>
        <v>5.8650614633103185E-2</v>
      </c>
      <c r="T19" s="66">
        <v>1</v>
      </c>
      <c r="U19" s="917">
        <f>IF(I19=0, 1, I19)</f>
        <v>1</v>
      </c>
      <c r="V19" s="935">
        <v>20</v>
      </c>
      <c r="W19" s="935">
        <v>1</v>
      </c>
      <c r="X19" s="935"/>
      <c r="Y19" s="920">
        <f t="shared" si="8"/>
        <v>0</v>
      </c>
      <c r="Z19" s="921">
        <f t="shared" si="9"/>
        <v>0</v>
      </c>
      <c r="AA19" s="840"/>
      <c r="AB19" s="941" t="s">
        <v>393</v>
      </c>
      <c r="AC19" s="933" t="str">
        <f t="shared" si="10"/>
        <v>SH_Att-B1_HET_X0</v>
      </c>
      <c r="AD19" s="934" t="str">
        <f t="shared" si="10"/>
        <v>Residential Space Heating Attached-B1_Heat to Residential_Existing 00</v>
      </c>
      <c r="AE19" s="935" t="s">
        <v>53</v>
      </c>
      <c r="AF19" s="942" t="s">
        <v>406</v>
      </c>
      <c r="AG19" s="840"/>
      <c r="AH19" s="840"/>
      <c r="AI19" s="840"/>
      <c r="AJ19" s="840"/>
      <c r="AK19" s="840"/>
      <c r="AL19" s="840"/>
      <c r="AM19" s="840"/>
      <c r="AN19" s="840"/>
    </row>
    <row r="20" spans="1:40">
      <c r="A20" s="758" t="s">
        <v>110</v>
      </c>
      <c r="B20" s="758" t="s">
        <v>665</v>
      </c>
      <c r="C20" s="758">
        <f>SUMIFS(INDEX(Table915[],,MATCH(C$6,Table915[#Headers],0)),Table915[MainSpaceHeatingFuel],$B20,Table915[EnergyRating (group)],$A20)</f>
        <v>1357</v>
      </c>
      <c r="D20" s="759">
        <f>SUMIFS(INDEX(Table915[],,MATCH($D$6,Table915[#Headers],0)),Table915[MainSpaceHeatingFuel],B20,Table915[EnergyRating (group)],A20)</f>
        <v>1234</v>
      </c>
      <c r="E20" s="759">
        <f>SUMIFS(INDEX(Table915[],,MATCH(E$6,Table915[#Headers],0)),Table915[MainSpaceHeatingFuel],$B20,Table915[EnergyRating (group)],$A20)</f>
        <v>1979</v>
      </c>
      <c r="F20" s="758">
        <f>SUMIFS(INDEX(Table915[],,MATCH(F$6,Table915[#Headers],0)),Table915[MainSpaceHeatingFuel],$B20,Table915[EnergyRating (group)],$A20)</f>
        <v>1649</v>
      </c>
      <c r="G20" s="758">
        <f>SUMIFS(INDEX(Table915[],,MATCH(G$6,Table915[#Headers],0)),Table915[MainSpaceHeatingFuel],$B20,Table915[EnergyRating (group)],$A20)</f>
        <v>1</v>
      </c>
      <c r="H20" s="911">
        <f>SUMIFS(INDEX(Table915[],,MATCH(H$6,Table915[#Headers],0)),Table915[MainSpaceHeatingFuel],$B20,Table915[EnergyRating (group)],$A20)</f>
        <v>71</v>
      </c>
      <c r="I20" s="911">
        <f>AVERAGEIFS(INDEX(Table915[],,MATCH(I$6,Table915[#Headers],0)),Table915[MainSpaceHeatingFuel],$B20,Table915[EnergyRating (group)],$A20)</f>
        <v>361</v>
      </c>
      <c r="J20" s="849">
        <f>SUMIFS(INDEX(Table915[],,MATCH(J$6,Table915[#Headers],0)),Table915[MainSpaceHeatingFuel],$B20,Table915[EnergyRating (group)],$A20)</f>
        <v>5964</v>
      </c>
      <c r="K20" s="870">
        <f>SUMIFS(INDEX(Table915[],,MATCH(K$6,Table915[#Headers],0)),Table915[MainSpaceHeatingFuel],$B20,Table915[EnergyRating (group)],$A20)</f>
        <v>4513</v>
      </c>
      <c r="L20" s="135"/>
      <c r="M20" s="840"/>
      <c r="N20" s="914" t="str">
        <f>RSD_Commodities!$M$19&amp;"_"&amp;RSD_Commodities!$C$26&amp;"_"&amp;SETUP!$B$67</f>
        <v>SH_Att-B1_RSDSMF_X0</v>
      </c>
      <c r="O20" s="914" t="str">
        <f>RSD_Commodities!$N$19&amp;"_"&amp;RSD_Commodities!$D$26&amp;"_"&amp;SETUP!$C$67</f>
        <v>Residential Space Heating Attached-B1_Solid Multi-Fuel_Existing 00</v>
      </c>
      <c r="P20" s="915" t="str">
        <f>RSD_Commodities!$C$6&amp;","&amp;RSD_Commodities!$C$7&amp;","&amp;RSD_Commodities!$C$9&amp;","&amp;RSD_Commodities!$C$10&amp;","&amp;RSD_Commodities!$C$19</f>
        <v>RSDCOABIT,RSDCOAHAR,RSDCOALIG,RSDPEA,RSDBIOWOO</v>
      </c>
      <c r="Q20" s="930" t="str">
        <f>RSD_Commodities!$M$10</f>
        <v>SH_Apt-B1</v>
      </c>
      <c r="R20" s="1000">
        <f t="shared" si="7"/>
        <v>2.6867275658248256E-4</v>
      </c>
      <c r="S20" s="932">
        <f>R20*DwellingStocks!$I$63/1000</f>
        <v>1.3964432055500759E-3</v>
      </c>
      <c r="T20" s="914">
        <v>1</v>
      </c>
      <c r="U20" s="914">
        <f t="shared" si="6"/>
        <v>3.61</v>
      </c>
      <c r="V20" s="930">
        <v>20</v>
      </c>
      <c r="W20" s="930">
        <v>1</v>
      </c>
      <c r="X20" s="935"/>
      <c r="Y20" s="918">
        <f>ABS((D20+F20)*S20*1000*$B$2)</f>
        <v>1.654498258192138E-9</v>
      </c>
      <c r="Z20" s="919">
        <f t="shared" si="9"/>
        <v>1.9144662467322138E-9</v>
      </c>
      <c r="AA20" s="840"/>
      <c r="AB20" s="939" t="s">
        <v>393</v>
      </c>
      <c r="AC20" s="914" t="str">
        <f t="shared" si="10"/>
        <v>SH_Att-B1_RSDSMF_X0</v>
      </c>
      <c r="AD20" s="915" t="str">
        <f t="shared" si="10"/>
        <v>Residential Space Heating Attached-B1_Solid Multi-Fuel_Existing 00</v>
      </c>
      <c r="AE20" s="914" t="s">
        <v>53</v>
      </c>
      <c r="AF20" s="916" t="s">
        <v>406</v>
      </c>
      <c r="AG20" s="914"/>
      <c r="AH20" s="914"/>
      <c r="AI20" s="840"/>
      <c r="AJ20" s="840"/>
      <c r="AK20" s="840"/>
      <c r="AL20" s="840"/>
      <c r="AM20" s="840"/>
      <c r="AN20" s="840"/>
    </row>
    <row r="21" spans="1:40">
      <c r="A21" s="757" t="s">
        <v>110</v>
      </c>
      <c r="B21" s="757" t="s">
        <v>668</v>
      </c>
      <c r="C21" s="757">
        <f>SUMIFS(INDEX(Table915[],,MATCH(C$6,Table915[#Headers],0)),Table915[MainSpaceHeatingFuel],$B21,Table915[EnergyRating (group)],$A21)</f>
        <v>24826</v>
      </c>
      <c r="D21" s="757">
        <f>SUMIFS(INDEX(Table915[],,MATCH($D$6,Table915[#Headers],0)),Table915[MainSpaceHeatingFuel],B21,Table915[EnergyRating (group)],A21)</f>
        <v>22570</v>
      </c>
      <c r="E21" s="757">
        <f>SUMIFS(INDEX(Table915[],,MATCH(E$6,Table915[#Headers],0)),Table915[MainSpaceHeatingFuel],$B21,Table915[EnergyRating (group)],$A21)</f>
        <v>0</v>
      </c>
      <c r="F21" s="757">
        <f>SUMIFS(INDEX(Table915[],,MATCH(F$6,Table915[#Headers],0)),Table915[MainSpaceHeatingFuel],$B21,Table915[EnergyRating (group)],$A21)</f>
        <v>0</v>
      </c>
      <c r="G21" s="757">
        <f>SUMIFS(INDEX(Table915[],,MATCH(G$6,Table915[#Headers],0)),Table915[MainSpaceHeatingFuel],$B21,Table915[EnergyRating (group)],$A21)</f>
        <v>6</v>
      </c>
      <c r="H21" s="912">
        <f>SUMIFS(INDEX(Table915[],,MATCH(H$6,Table915[#Headers],0)),Table915[MainSpaceHeatingFuel],$B21,Table915[EnergyRating (group)],$A21)</f>
        <v>600</v>
      </c>
      <c r="I21" s="912">
        <f>AVERAGEIFS(INDEX(Table915[],,MATCH(I$6,Table915[#Headers],0)),Table915[MainSpaceHeatingFuel],$B21,Table915[EnergyRating (group)],$A21)</f>
        <v>87</v>
      </c>
      <c r="J21" s="847">
        <f>SUMIFS(INDEX(Table915[],,MATCH(J$6,Table915[#Headers],0)),Table915[MainSpaceHeatingFuel],$B21,Table915[EnergyRating (group)],$A21)</f>
        <v>52282</v>
      </c>
      <c r="K21" s="869">
        <f>SUMIFS(INDEX(Table915[],,MATCH(K$6,Table915[#Headers],0)),Table915[MainSpaceHeatingFuel],$B21,Table915[EnergyRating (group)],$A21)</f>
        <v>38364</v>
      </c>
      <c r="L21" s="135"/>
      <c r="M21" s="840"/>
      <c r="N21" s="66" t="str">
        <f>RSD_Commodities!$M$19&amp;"_"&amp;RIGHT(P21,LEN(P21)-3)&amp;"_"&amp;SETUP!$B$69</f>
        <v>SH_Att-B1_BIOWOO_X2</v>
      </c>
      <c r="O21" s="933" t="str">
        <f>RSD_Commodities!$N$19&amp;"_"&amp;RSD_Commodities!D19&amp;"_"&amp;SETUP!$C$69</f>
        <v>Residential Space Heating Attached-B1_Biomass &amp; Renewable Waste to Residential_Existing 02</v>
      </c>
      <c r="P21" s="83" t="str">
        <f>RSD_Commodities!$C$19</f>
        <v>RSDBIOWOO</v>
      </c>
      <c r="Q21" s="935" t="str">
        <f>RSD_Commodities!$M$10</f>
        <v>SH_Apt-B1</v>
      </c>
      <c r="R21" s="1001">
        <f t="shared" si="7"/>
        <v>1.6120365394948952E-3</v>
      </c>
      <c r="S21" s="937">
        <f>R21*DwellingStocks!$I$63/1000</f>
        <v>8.3786592333004555E-3</v>
      </c>
      <c r="T21" s="66">
        <v>1</v>
      </c>
      <c r="U21" s="66">
        <f t="shared" si="6"/>
        <v>0.87</v>
      </c>
      <c r="V21" s="935">
        <v>20</v>
      </c>
      <c r="W21" s="935">
        <v>1</v>
      </c>
      <c r="X21" s="866"/>
      <c r="Y21" s="920">
        <f>ABS((D21+F21)*S21*1000*$B$2)</f>
        <v>7.7714933792708754E-8</v>
      </c>
      <c r="Z21" s="921">
        <f t="shared" si="9"/>
        <v>8.548298388736322E-8</v>
      </c>
      <c r="AA21" s="866"/>
      <c r="AB21" s="941" t="s">
        <v>393</v>
      </c>
      <c r="AC21" s="933" t="str">
        <f t="shared" si="10"/>
        <v>SH_Att-B1_BIOWOO_X2</v>
      </c>
      <c r="AD21" s="934" t="str">
        <f t="shared" si="10"/>
        <v>Residential Space Heating Attached-B1_Biomass &amp; Renewable Waste to Residential_Existing 02</v>
      </c>
      <c r="AE21" s="935" t="s">
        <v>53</v>
      </c>
      <c r="AF21" s="942" t="s">
        <v>406</v>
      </c>
      <c r="AG21" s="935"/>
      <c r="AH21" s="935"/>
      <c r="AI21" s="840"/>
      <c r="AJ21" s="840"/>
      <c r="AK21" s="840"/>
      <c r="AL21" s="840"/>
      <c r="AM21" s="840"/>
      <c r="AN21" s="840"/>
    </row>
    <row r="22" spans="1:40" ht="15.75" thickBot="1">
      <c r="A22" s="758" t="s">
        <v>110</v>
      </c>
      <c r="B22" s="758" t="s">
        <v>673</v>
      </c>
      <c r="C22" s="758">
        <f>SUMIFS(INDEX(Table915[],,MATCH(C$6,Table915[#Headers],0)),Table915[MainSpaceHeatingFuel],$B22,Table915[EnergyRating (group)],$A22)</f>
        <v>11776</v>
      </c>
      <c r="D22" s="759">
        <f>SUMIFS(INDEX(Table915[],,MATCH($D$6,Table915[#Headers],0)),Table915[MainSpaceHeatingFuel],B22,Table915[EnergyRating (group)],A22)</f>
        <v>10706</v>
      </c>
      <c r="E22" s="759">
        <f>SUMIFS(INDEX(Table915[],,MATCH(E$6,Table915[#Headers],0)),Table915[MainSpaceHeatingFuel],$B22,Table915[EnergyRating (group)],$A22)</f>
        <v>1721</v>
      </c>
      <c r="F22" s="758">
        <f>SUMIFS(INDEX(Table915[],,MATCH(F$6,Table915[#Headers],0)),Table915[MainSpaceHeatingFuel],$B22,Table915[EnergyRating (group)],$A22)</f>
        <v>1565</v>
      </c>
      <c r="G22" s="758">
        <f>SUMIFS(INDEX(Table915[],,MATCH(G$6,Table915[#Headers],0)),Table915[MainSpaceHeatingFuel],$B22,Table915[EnergyRating (group)],$A22)</f>
        <v>1</v>
      </c>
      <c r="H22" s="911">
        <f>SUMIFS(INDEX(Table915[],,MATCH(H$6,Table915[#Headers],0)),Table915[MainSpaceHeatingFuel],$B22,Table915[EnergyRating (group)],$A22)</f>
        <v>183</v>
      </c>
      <c r="I22" s="911">
        <f>AVERAGEIFS(INDEX(Table915[],,MATCH(I$6,Table915[#Headers],0)),Table915[MainSpaceHeatingFuel],$B22,Table915[EnergyRating (group)],$A22)</f>
        <v>86</v>
      </c>
      <c r="J22" s="849">
        <f>SUMIFS(INDEX(Table915[],,MATCH(J$6,Table915[#Headers],0)),Table915[MainSpaceHeatingFuel],$B22,Table915[EnergyRating (group)],$A22)</f>
        <v>20970</v>
      </c>
      <c r="K22" s="870">
        <f>SUMIFS(INDEX(Table915[],,MATCH(K$6,Table915[#Headers],0)),Table915[MainSpaceHeatingFuel],$B22,Table915[EnergyRating (group)],$A22)</f>
        <v>17232</v>
      </c>
      <c r="L22" s="135"/>
      <c r="M22" s="840"/>
      <c r="N22" s="914" t="str">
        <f>RSD_Commodities!$M$19&amp;"_"&amp;RIGHT(P22,LEN(P22)-3)&amp;"_"&amp;SETUP!$B$68</f>
        <v>SH_Att-B1_BIOWOO_X1</v>
      </c>
      <c r="O22" s="914" t="str">
        <f>RSD_Commodities!$N$19&amp;"_"&amp;RSD_Commodities!D19&amp;"_"&amp;SETUP!$C$68</f>
        <v>Residential Space Heating Attached-B1_Biomass &amp; Renewable Waste to Residential_Existing 01</v>
      </c>
      <c r="P22" s="915" t="str">
        <f>RSD_Commodities!$C$19</f>
        <v>RSDBIOWOO</v>
      </c>
      <c r="Q22" s="930" t="str">
        <f>RSD_Commodities!$M$10</f>
        <v>SH_Apt-B1</v>
      </c>
      <c r="R22" s="1000">
        <f t="shared" si="7"/>
        <v>2.6867275658248256E-4</v>
      </c>
      <c r="S22" s="932">
        <f>R22*DwellingStocks!$I$63/1000</f>
        <v>1.3964432055500759E-3</v>
      </c>
      <c r="T22" s="914">
        <v>1</v>
      </c>
      <c r="U22" s="916">
        <f t="shared" si="6"/>
        <v>0.86</v>
      </c>
      <c r="V22" s="930">
        <v>20</v>
      </c>
      <c r="W22" s="930">
        <v>1</v>
      </c>
      <c r="X22" s="866"/>
      <c r="Y22" s="922">
        <f>ABS((D22+F22)*S22*1000*$B$2)</f>
        <v>7.0420909213582124E-9</v>
      </c>
      <c r="Z22" s="923">
        <f t="shared" si="9"/>
        <v>7.7456687446476896E-9</v>
      </c>
      <c r="AA22" s="866"/>
      <c r="AB22" s="939" t="s">
        <v>393</v>
      </c>
      <c r="AC22" s="914" t="str">
        <f t="shared" si="10"/>
        <v>SH_Att-B1_BIOWOO_X1</v>
      </c>
      <c r="AD22" s="915" t="str">
        <f t="shared" si="10"/>
        <v>Residential Space Heating Attached-B1_Biomass &amp; Renewable Waste to Residential_Existing 01</v>
      </c>
      <c r="AE22" s="930" t="s">
        <v>53</v>
      </c>
      <c r="AF22" s="940" t="s">
        <v>406</v>
      </c>
      <c r="AG22" s="930"/>
      <c r="AH22" s="930"/>
      <c r="AI22" s="840"/>
      <c r="AJ22" s="840"/>
      <c r="AK22" s="840"/>
      <c r="AL22" s="840"/>
      <c r="AM22" s="840"/>
      <c r="AN22" s="840"/>
    </row>
    <row r="23" spans="1:40" ht="15.75" thickBot="1">
      <c r="A23" s="756" t="s">
        <v>112</v>
      </c>
      <c r="B23" s="1048"/>
      <c r="C23" s="1049"/>
      <c r="D23" s="1049"/>
      <c r="E23" s="1049"/>
      <c r="F23" s="1049"/>
      <c r="G23" s="1049"/>
      <c r="H23" s="1049"/>
      <c r="I23" s="1053"/>
      <c r="J23" s="736" t="s">
        <v>565</v>
      </c>
      <c r="K23" s="737" t="s">
        <v>565</v>
      </c>
      <c r="L23" s="135"/>
      <c r="M23" s="840"/>
      <c r="N23" s="76" t="str">
        <f>AB23</f>
        <v>*B2 Rating</v>
      </c>
      <c r="O23" s="76"/>
      <c r="P23" s="76"/>
      <c r="Q23" s="76"/>
      <c r="R23" s="949">
        <f>SUM(R24:R30)</f>
        <v>0.9992387718853083</v>
      </c>
      <c r="S23" s="76"/>
      <c r="T23" s="97"/>
      <c r="U23" s="76"/>
      <c r="V23" s="76"/>
      <c r="W23" s="76"/>
      <c r="X23" s="840"/>
      <c r="Y23" s="76"/>
      <c r="Z23" s="76"/>
      <c r="AA23" s="840"/>
      <c r="AB23" s="140" t="str">
        <f>"*"&amp; A24 &amp; " Rating"</f>
        <v>*B2 Rating</v>
      </c>
      <c r="AC23" s="141"/>
      <c r="AD23" s="141"/>
      <c r="AE23" s="141"/>
      <c r="AF23" s="141"/>
      <c r="AG23" s="141"/>
      <c r="AH23" s="141"/>
      <c r="AI23" s="840"/>
      <c r="AJ23" s="840"/>
      <c r="AK23" s="840"/>
      <c r="AL23" s="840"/>
      <c r="AM23" s="840"/>
      <c r="AN23" s="840"/>
    </row>
    <row r="24" spans="1:40">
      <c r="A24" s="758" t="s">
        <v>112</v>
      </c>
      <c r="B24" s="758" t="s">
        <v>582</v>
      </c>
      <c r="C24" s="758">
        <f>SUMIFS(INDEX(Table915[],,MATCH(C$6,Table915[#Headers],0)),Table915[MainSpaceHeatingFuel],$B24,Table915[EnergyRating (group)],$A24)</f>
        <v>1531158</v>
      </c>
      <c r="D24" s="759">
        <f>SUMIFS(INDEX(Table915[],,MATCH($D$6,Table915[#Headers],0)),Table915[MainSpaceHeatingFuel],B24,Table915[EnergyRating (group)],A24)</f>
        <v>1391963</v>
      </c>
      <c r="E24" s="759">
        <f>SUMIFS(INDEX(Table915[],,MATCH(E$6,Table915[#Headers],0)),Table915[MainSpaceHeatingFuel],$B24,Table915[EnergyRating (group)],$A24)</f>
        <v>245615</v>
      </c>
      <c r="F24" s="758">
        <f>SUMIFS(INDEX(Table915[],,MATCH(F$6,Table915[#Headers],0)),Table915[MainSpaceHeatingFuel],$B24,Table915[EnergyRating (group)],$A24)</f>
        <v>214412</v>
      </c>
      <c r="G24" s="758">
        <f>SUMIFS(INDEX(Table915[],,MATCH(G$6,Table915[#Headers],0)),Table915[MainSpaceHeatingFuel],$B24,Table915[EnergyRating (group)],$A24)</f>
        <v>257</v>
      </c>
      <c r="H24" s="911">
        <f>SUMIFS(INDEX(Table915[],,MATCH(H$6,Table915[#Headers],0)),Table915[MainSpaceHeatingFuel],$B24,Table915[EnergyRating (group)],$A24)</f>
        <v>28945</v>
      </c>
      <c r="I24" s="911">
        <f>AVERAGEIFS(INDEX(Table915[],,MATCH(I$6,Table915[#Headers],0)),Table915[MainSpaceHeatingFuel],$B24,Table915[EnergyRating (group)],$A24)</f>
        <v>90.4</v>
      </c>
      <c r="J24" s="849">
        <f>SUMIFS(INDEX(Table915[],,MATCH(J$6,Table915[#Headers],0)),Table915[MainSpaceHeatingFuel],$B24,Table915[EnergyRating (group)],$A24)</f>
        <v>3431359</v>
      </c>
      <c r="K24" s="870">
        <f>SUMIFS(INDEX(Table915[],,MATCH(K$6,Table915[#Headers],0)),Table915[MainSpaceHeatingFuel],$B24,Table915[EnergyRating (group)],$A24)</f>
        <v>2751199</v>
      </c>
      <c r="L24" s="135"/>
      <c r="M24" s="840"/>
      <c r="N24" s="914" t="str">
        <f>RSD_Commodities!$M$20&amp;"_"&amp;RIGHT(P24,LEN(P24)-3)&amp;"_"&amp;SETUP!$B$67</f>
        <v>SH_Att-B2_OILLPG_X0</v>
      </c>
      <c r="O24" s="914" t="str">
        <f>RSD_Commodities!$N$20&amp;"_"&amp;RSD_Commodities!D11&amp;"_"&amp;SETUP!$C$67</f>
        <v>Residential Space Heating Attached-B2_LPG to Residential_Existing 00</v>
      </c>
      <c r="P24" s="915" t="str">
        <f>RSD_Commodities!$C$11</f>
        <v>RSDOILLPG</v>
      </c>
      <c r="Q24" s="930" t="str">
        <f>RSD_Commodities!$M$11</f>
        <v>SH_Apt-B2</v>
      </c>
      <c r="R24" s="1000">
        <f>G24/SUM($G$24:$G$34)</f>
        <v>3.2605937579294593E-2</v>
      </c>
      <c r="S24" s="932">
        <f>R24*DwellingStocks!$I$64/1000</f>
        <v>0.45581014364777001</v>
      </c>
      <c r="T24" s="914">
        <v>1</v>
      </c>
      <c r="U24" s="914">
        <f t="shared" ref="U24:U34" si="11">I24/100</f>
        <v>0.90400000000000003</v>
      </c>
      <c r="V24" s="930">
        <v>20</v>
      </c>
      <c r="W24" s="930">
        <v>1</v>
      </c>
      <c r="X24" s="840"/>
      <c r="Y24" s="918">
        <f>ABS((D24+F24)*S24*1000*$B$2)</f>
        <v>3.0090493952144659E-4</v>
      </c>
      <c r="Z24" s="919">
        <f>ABS((C24+E24)*S24*1000*$B$2)</f>
        <v>3.328237628874573E-4</v>
      </c>
      <c r="AA24" s="840"/>
      <c r="AB24" s="939" t="s">
        <v>393</v>
      </c>
      <c r="AC24" s="930" t="str">
        <f>N24</f>
        <v>SH_Att-B2_OILLPG_X0</v>
      </c>
      <c r="AD24" s="915" t="str">
        <f>O24</f>
        <v>Residential Space Heating Attached-B2_LPG to Residential_Existing 00</v>
      </c>
      <c r="AE24" s="914" t="s">
        <v>53</v>
      </c>
      <c r="AF24" s="916" t="s">
        <v>406</v>
      </c>
      <c r="AG24" s="914"/>
      <c r="AH24" s="914"/>
      <c r="AI24" s="840"/>
      <c r="AJ24" s="840"/>
      <c r="AK24" s="840"/>
      <c r="AL24" s="840"/>
      <c r="AM24" s="840"/>
      <c r="AN24" s="840"/>
    </row>
    <row r="25" spans="1:40">
      <c r="A25" s="757" t="s">
        <v>112</v>
      </c>
      <c r="B25" s="757" t="s">
        <v>228</v>
      </c>
      <c r="C25" s="757">
        <f>SUMIFS(INDEX(Table915[],,MATCH(C$6,Table915[#Headers],0)),Table915[MainSpaceHeatingFuel],$B25,Table915[EnergyRating (group)],$A25)</f>
        <v>1899653</v>
      </c>
      <c r="D25" s="757">
        <f>SUMIFS(INDEX(Table915[],,MATCH($D$6,Table915[#Headers],0)),Table915[MainSpaceHeatingFuel],B25,Table915[EnergyRating (group)],A25)</f>
        <v>703577</v>
      </c>
      <c r="E25" s="757">
        <f>SUMIFS(INDEX(Table915[],,MATCH(E$6,Table915[#Headers],0)),Table915[MainSpaceHeatingFuel],$B25,Table915[EnergyRating (group)],$A25)</f>
        <v>476865</v>
      </c>
      <c r="F25" s="757">
        <f>SUMIFS(INDEX(Table915[],,MATCH(F$6,Table915[#Headers],0)),Table915[MainSpaceHeatingFuel],$B25,Table915[EnergyRating (group)],$A25)</f>
        <v>407554</v>
      </c>
      <c r="G25" s="757">
        <f>SUMIFS(INDEX(Table915[],,MATCH(G$6,Table915[#Headers],0)),Table915[MainSpaceHeatingFuel],$B25,Table915[EnergyRating (group)],$A25)</f>
        <v>545</v>
      </c>
      <c r="H25" s="912">
        <f>SUMIFS(INDEX(Table915[],,MATCH(H$6,Table915[#Headers],0)),Table915[MainSpaceHeatingFuel],$B25,Table915[EnergyRating (group)],$A25)</f>
        <v>50796</v>
      </c>
      <c r="I25" s="912">
        <f>AVERAGEIFS(INDEX(Table915[],,MATCH(I$6,Table915[#Headers],0)),Table915[MainSpaceHeatingFuel],$B25,Table915[EnergyRating (group)],$A25)</f>
        <v>338.46153846153845</v>
      </c>
      <c r="J25" s="847">
        <f>SUMIFS(INDEX(Table915[],,MATCH(J$6,Table915[#Headers],0)),Table915[MainSpaceHeatingFuel],$B25,Table915[EnergyRating (group)],$A25)</f>
        <v>5742171</v>
      </c>
      <c r="K25" s="869">
        <f>SUMIFS(INDEX(Table915[],,MATCH(K$6,Table915[#Headers],0)),Table915[MainSpaceHeatingFuel],$B25,Table915[EnergyRating (group)],$A25)</f>
        <v>2359904</v>
      </c>
      <c r="L25" s="135"/>
      <c r="M25" s="840"/>
      <c r="N25" s="66" t="str">
        <f>RSD_Commodities!$M$20&amp;"_"&amp;RIGHT(P25,LEN(P25)-3)&amp;"_"&amp;SETUP!$B$67</f>
        <v>SH_Att-B2_ELCD_X0</v>
      </c>
      <c r="O25" s="933" t="str">
        <f>RSD_Commodities!$N$20&amp;"_"&amp;RSD_Commodities!D27&amp;"_"&amp;SETUP!$C$67</f>
        <v>Residential Space Heating Attached-B2_Electricity to Residential_Existing 00</v>
      </c>
      <c r="P25" s="83" t="str">
        <f>RSD_Commodities!$C$27</f>
        <v>RSDELCD</v>
      </c>
      <c r="Q25" s="935" t="str">
        <f>RSD_Commodities!$M$11</f>
        <v>SH_Apt-B2</v>
      </c>
      <c r="R25" s="1001">
        <f t="shared" ref="R25:R34" si="12">G25/SUM($G$24:$G$34)</f>
        <v>6.9144887084496315E-2</v>
      </c>
      <c r="S25" s="937">
        <f>R25*DwellingStocks!$I$64/1000</f>
        <v>0.96660127738534896</v>
      </c>
      <c r="T25" s="66">
        <v>1</v>
      </c>
      <c r="U25" s="66">
        <f t="shared" si="11"/>
        <v>3.3846153846153846</v>
      </c>
      <c r="V25" s="935">
        <v>20</v>
      </c>
      <c r="W25" s="935">
        <v>1</v>
      </c>
      <c r="X25" s="840"/>
      <c r="Y25" s="920">
        <f t="shared" ref="Y25:Y30" si="13">ABS((D25+F25)*S25*1000*$B$2)</f>
        <v>4.4137834682566869E-4</v>
      </c>
      <c r="Z25" s="921">
        <f t="shared" ref="Z25:Z30" si="14">ABS((C25+E25)*S25*1000*$B$2)</f>
        <v>9.4403232925860609E-4</v>
      </c>
      <c r="AA25" s="840"/>
      <c r="AB25" s="941" t="s">
        <v>393</v>
      </c>
      <c r="AC25" s="935" t="str">
        <f t="shared" ref="AC25:AD34" si="15">N25</f>
        <v>SH_Att-B2_ELCD_X0</v>
      </c>
      <c r="AD25" s="934" t="str">
        <f t="shared" si="15"/>
        <v>Residential Space Heating Attached-B2_Electricity to Residential_Existing 00</v>
      </c>
      <c r="AE25" s="935" t="s">
        <v>53</v>
      </c>
      <c r="AF25" s="942" t="s">
        <v>406</v>
      </c>
      <c r="AG25" s="935"/>
      <c r="AH25" s="935"/>
      <c r="AI25" s="840"/>
      <c r="AJ25" s="840"/>
      <c r="AK25" s="840"/>
      <c r="AL25" s="840"/>
      <c r="AM25" s="840"/>
      <c r="AN25" s="840"/>
    </row>
    <row r="26" spans="1:40">
      <c r="A26" s="758" t="s">
        <v>112</v>
      </c>
      <c r="B26" s="758" t="s">
        <v>583</v>
      </c>
      <c r="C26" s="758">
        <f>SUMIFS(INDEX(Table915[],,MATCH(C$6,Table915[#Headers],0)),Table915[MainSpaceHeatingFuel],$B26,Table915[EnergyRating (group)],$A26)</f>
        <v>9206703</v>
      </c>
      <c r="D26" s="759">
        <f>SUMIFS(INDEX(Table915[],,MATCH($D$6,Table915[#Headers],0)),Table915[MainSpaceHeatingFuel],B26,Table915[EnergyRating (group)],A26)</f>
        <v>8369734</v>
      </c>
      <c r="E26" s="759">
        <f>SUMIFS(INDEX(Table915[],,MATCH(E$6,Table915[#Headers],0)),Table915[MainSpaceHeatingFuel],$B26,Table915[EnergyRating (group)],$A26)</f>
        <v>1778732</v>
      </c>
      <c r="F26" s="758">
        <f>SUMIFS(INDEX(Table915[],,MATCH(F$6,Table915[#Headers],0)),Table915[MainSpaceHeatingFuel],$B26,Table915[EnergyRating (group)],$A26)</f>
        <v>1566385</v>
      </c>
      <c r="G26" s="758">
        <f>SUMIFS(INDEX(Table915[],,MATCH(G$6,Table915[#Headers],0)),Table915[MainSpaceHeatingFuel],$B26,Table915[EnergyRating (group)],$A26)</f>
        <v>1449</v>
      </c>
      <c r="H26" s="911">
        <f>SUMIFS(INDEX(Table915[],,MATCH(H$6,Table915[#Headers],0)),Table915[MainSpaceHeatingFuel],$B26,Table915[EnergyRating (group)],$A26)</f>
        <v>171040</v>
      </c>
      <c r="I26" s="911">
        <f>AVERAGEIFS(INDEX(Table915[],,MATCH(I$6,Table915[#Headers],0)),Table915[MainSpaceHeatingFuel],$B26,Table915[EnergyRating (group)],$A26)</f>
        <v>92.58620689655173</v>
      </c>
      <c r="J26" s="849">
        <f>SUMIFS(INDEX(Table915[],,MATCH(J$6,Table915[#Headers],0)),Table915[MainSpaceHeatingFuel],$B26,Table915[EnergyRating (group)],$A26)</f>
        <v>20428897</v>
      </c>
      <c r="K26" s="870">
        <f>SUMIFS(INDEX(Table915[],,MATCH(K$6,Table915[#Headers],0)),Table915[MainSpaceHeatingFuel],$B26,Table915[EnergyRating (group)],$A26)</f>
        <v>16456710</v>
      </c>
      <c r="L26" s="135"/>
      <c r="M26" s="840"/>
      <c r="N26" s="914" t="str">
        <f>RSD_Commodities!$M$20&amp;"_"&amp;RIGHT(P26,LEN(P26)-3)&amp;"_"&amp;SETUP!$B$67</f>
        <v>SH_Att-B2_OILKER_X0</v>
      </c>
      <c r="O26" s="914" t="str">
        <f>RSD_Commodities!$N$20&amp;"_"&amp;RSD_Commodities!D13&amp;"_"&amp;SETUP!$C$67</f>
        <v>Residential Space Heating Attached-B2_Kerosene to Residential_Existing 00</v>
      </c>
      <c r="P26" s="915" t="str">
        <f>RSD_Commodities!$C$13</f>
        <v>RSDOILKER</v>
      </c>
      <c r="Q26" s="930" t="str">
        <f>RSD_Commodities!$M$11</f>
        <v>SH_Apt-B2</v>
      </c>
      <c r="R26" s="1000">
        <f t="shared" si="12"/>
        <v>0.18383658969804617</v>
      </c>
      <c r="S26" s="932">
        <f>R26*DwellingStocks!$I$64/1000</f>
        <v>2.5699178916171936</v>
      </c>
      <c r="T26" s="914">
        <v>1</v>
      </c>
      <c r="U26" s="916">
        <f t="shared" si="11"/>
        <v>0.92586206896551726</v>
      </c>
      <c r="V26" s="930">
        <v>20</v>
      </c>
      <c r="W26" s="930">
        <v>1</v>
      </c>
      <c r="X26" s="840"/>
      <c r="Y26" s="922">
        <f t="shared" si="13"/>
        <v>1.0493839722467483E-2</v>
      </c>
      <c r="Z26" s="923">
        <f t="shared" si="14"/>
        <v>1.1602054501519616E-2</v>
      </c>
      <c r="AA26" s="840"/>
      <c r="AB26" s="939" t="s">
        <v>393</v>
      </c>
      <c r="AC26" s="930" t="str">
        <f t="shared" si="15"/>
        <v>SH_Att-B2_OILKER_X0</v>
      </c>
      <c r="AD26" s="915" t="str">
        <f t="shared" si="15"/>
        <v>Residential Space Heating Attached-B2_Kerosene to Residential_Existing 00</v>
      </c>
      <c r="AE26" s="930" t="s">
        <v>53</v>
      </c>
      <c r="AF26" s="940" t="s">
        <v>406</v>
      </c>
      <c r="AG26" s="930"/>
      <c r="AH26" s="930"/>
      <c r="AI26" s="840"/>
      <c r="AJ26" s="840"/>
      <c r="AK26" s="840"/>
      <c r="AL26" s="840"/>
      <c r="AM26" s="840"/>
      <c r="AN26" s="840"/>
    </row>
    <row r="27" spans="1:40">
      <c r="A27" s="757" t="s">
        <v>112</v>
      </c>
      <c r="B27" s="757" t="s">
        <v>584</v>
      </c>
      <c r="C27" s="757">
        <f>SUMIFS(INDEX(Table915[],,MATCH(C$6,Table915[#Headers],0)),Table915[MainSpaceHeatingFuel],$B27,Table915[EnergyRating (group)],$A27)</f>
        <v>36202179</v>
      </c>
      <c r="D27" s="760">
        <f>SUMIFS(INDEX(Table915[],,MATCH($D$6,Table915[#Headers],0)),Table915[MainSpaceHeatingFuel],B27,Table915[EnergyRating (group)],A27)</f>
        <v>32911072</v>
      </c>
      <c r="E27" s="760">
        <f>SUMIFS(INDEX(Table915[],,MATCH(E$6,Table915[#Headers],0)),Table915[MainSpaceHeatingFuel],$B27,Table915[EnergyRating (group)],$A27)</f>
        <v>5851877</v>
      </c>
      <c r="F27" s="757">
        <f>SUMIFS(INDEX(Table915[],,MATCH(F$6,Table915[#Headers],0)),Table915[MainSpaceHeatingFuel],$B27,Table915[EnergyRating (group)],$A27)</f>
        <v>5043585</v>
      </c>
      <c r="G27" s="757">
        <f>SUMIFS(INDEX(Table915[],,MATCH(G$6,Table915[#Headers],0)),Table915[MainSpaceHeatingFuel],$B27,Table915[EnergyRating (group)],$A27)</f>
        <v>5547</v>
      </c>
      <c r="H27" s="912">
        <f>SUMIFS(INDEX(Table915[],,MATCH(H$6,Table915[#Headers],0)),Table915[MainSpaceHeatingFuel],$B27,Table915[EnergyRating (group)],$A27)</f>
        <v>665192</v>
      </c>
      <c r="I27" s="912">
        <f>AVERAGEIFS(INDEX(Table915[],,MATCH(I$6,Table915[#Headers],0)),Table915[MainSpaceHeatingFuel],$B27,Table915[EnergyRating (group)],$A27)</f>
        <v>90.695652173913047</v>
      </c>
      <c r="J27" s="847">
        <f>SUMIFS(INDEX(Table915[],,MATCH(J$6,Table915[#Headers],0)),Table915[MainSpaceHeatingFuel],$B27,Table915[EnergyRating (group)],$A27)</f>
        <v>78703839</v>
      </c>
      <c r="K27" s="869">
        <f>SUMIFS(INDEX(Table915[],,MATCH(K$6,Table915[#Headers],0)),Table915[MainSpaceHeatingFuel],$B27,Table915[EnergyRating (group)],$A27)</f>
        <v>63638343</v>
      </c>
      <c r="L27" s="135"/>
      <c r="M27" s="840"/>
      <c r="N27" s="66" t="str">
        <f>RSD_Commodities!$M$20&amp;"_"&amp;RIGHT(P27,LEN(P27)-3)&amp;"_"&amp;SETUP!$B$67</f>
        <v>SH_Att-B2_GASNAT_X0</v>
      </c>
      <c r="O27" s="933" t="str">
        <f>RSD_Commodities!$N$20&amp;"_"&amp;RSD_Commodities!D17&amp;"_"&amp;SETUP!$C$67</f>
        <v>Residential Space Heating Attached-B2_Natural Gas to Residential_Existing 00</v>
      </c>
      <c r="P27" s="83" t="str">
        <f>RSD_Commodities!$C$17</f>
        <v>RSDGASNAT</v>
      </c>
      <c r="Q27" s="935" t="str">
        <f>RSD_Commodities!$M$11</f>
        <v>SH_Apt-B2</v>
      </c>
      <c r="R27" s="1001">
        <f t="shared" si="12"/>
        <v>0.70375539203247905</v>
      </c>
      <c r="S27" s="937">
        <f>R27*DwellingStocks!$I$64/1000</f>
        <v>9.8380500654248255</v>
      </c>
      <c r="T27" s="66">
        <v>1</v>
      </c>
      <c r="U27" s="66">
        <f t="shared" si="11"/>
        <v>0.90695652173913044</v>
      </c>
      <c r="V27" s="935">
        <v>20</v>
      </c>
      <c r="W27" s="935">
        <v>1</v>
      </c>
      <c r="X27" s="840"/>
      <c r="Y27" s="920">
        <f t="shared" si="13"/>
        <v>0.15345197908850422</v>
      </c>
      <c r="Z27" s="921">
        <f t="shared" si="14"/>
        <v>0.17002598974610109</v>
      </c>
      <c r="AA27" s="840"/>
      <c r="AB27" s="941" t="s">
        <v>393</v>
      </c>
      <c r="AC27" s="935" t="str">
        <f t="shared" si="15"/>
        <v>SH_Att-B2_GASNAT_X0</v>
      </c>
      <c r="AD27" s="934" t="str">
        <f t="shared" si="15"/>
        <v>Residential Space Heating Attached-B2_Natural Gas to Residential_Existing 00</v>
      </c>
      <c r="AE27" s="935" t="s">
        <v>53</v>
      </c>
      <c r="AF27" s="942" t="s">
        <v>406</v>
      </c>
      <c r="AG27" s="840"/>
      <c r="AH27" s="840"/>
      <c r="AI27" s="840"/>
      <c r="AJ27" s="840"/>
      <c r="AK27" s="840"/>
      <c r="AL27" s="840"/>
      <c r="AM27" s="840"/>
      <c r="AN27" s="840"/>
    </row>
    <row r="28" spans="1:40">
      <c r="A28" s="758" t="s">
        <v>112</v>
      </c>
      <c r="B28" s="758" t="s">
        <v>585</v>
      </c>
      <c r="C28" s="758">
        <f>SUMIFS(INDEX(Table915[],,MATCH(C$6,Table915[#Headers],0)),Table915[MainSpaceHeatingFuel],$B28,Table915[EnergyRating (group)],$A28)</f>
        <v>90160</v>
      </c>
      <c r="D28" s="759">
        <f>SUMIFS(INDEX(Table915[],,MATCH($D$6,Table915[#Headers],0)),Table915[MainSpaceHeatingFuel],B28,Table915[EnergyRating (group)],A28)</f>
        <v>81963</v>
      </c>
      <c r="E28" s="759">
        <f>SUMIFS(INDEX(Table915[],,MATCH(E$6,Table915[#Headers],0)),Table915[MainSpaceHeatingFuel],$B28,Table915[EnergyRating (group)],$A28)</f>
        <v>10258</v>
      </c>
      <c r="F28" s="758">
        <f>SUMIFS(INDEX(Table915[],,MATCH(F$6,Table915[#Headers],0)),Table915[MainSpaceHeatingFuel],$B28,Table915[EnergyRating (group)],$A28)</f>
        <v>9325</v>
      </c>
      <c r="G28" s="758">
        <f>SUMIFS(INDEX(Table915[],,MATCH(G$6,Table915[#Headers],0)),Table915[MainSpaceHeatingFuel],$B28,Table915[EnergyRating (group)],$A28)</f>
        <v>11</v>
      </c>
      <c r="H28" s="911">
        <f>SUMIFS(INDEX(Table915[],,MATCH(H$6,Table915[#Headers],0)),Table915[MainSpaceHeatingFuel],$B28,Table915[EnergyRating (group)],$A28)</f>
        <v>1359</v>
      </c>
      <c r="I28" s="911">
        <f>AVERAGEIFS(INDEX(Table915[],,MATCH(I$6,Table915[#Headers],0)),Table915[MainSpaceHeatingFuel],$B28,Table915[EnergyRating (group)],$A28)</f>
        <v>89.333333333333329</v>
      </c>
      <c r="J28" s="849">
        <f>SUMIFS(INDEX(Table915[],,MATCH(J$6,Table915[#Headers],0)),Table915[MainSpaceHeatingFuel],$B28,Table915[EnergyRating (group)],$A28)</f>
        <v>157949</v>
      </c>
      <c r="K28" s="870">
        <f>SUMIFS(INDEX(Table915[],,MATCH(K$6,Table915[#Headers],0)),Table915[MainSpaceHeatingFuel],$B28,Table915[EnergyRating (group)],$A28)</f>
        <v>128009</v>
      </c>
      <c r="L28" s="135"/>
      <c r="M28" s="840"/>
      <c r="N28" s="914" t="str">
        <f>RSD_Commodities!$M$20&amp;"_"&amp;RIGHT(P28,LEN(P28)-3)&amp;"_"&amp;SETUP!$B$67</f>
        <v>SH_Att-B2_BIOWOO_X0</v>
      </c>
      <c r="O28" s="914" t="str">
        <f>RSD_Commodities!$N$20&amp;"_"&amp;RSD_Commodities!D19&amp;"_"&amp;SETUP!$C$67</f>
        <v>Residential Space Heating Attached-B2_Biomass &amp; Renewable Waste to Residential_Existing 00</v>
      </c>
      <c r="P28" s="915" t="str">
        <f>RSD_Commodities!$C$19</f>
        <v>RSDBIOWOO</v>
      </c>
      <c r="Q28" s="930" t="str">
        <f>RSD_Commodities!$M$11</f>
        <v>SH_Apt-B2</v>
      </c>
      <c r="R28" s="1000">
        <f t="shared" si="12"/>
        <v>1.3955848769347881E-3</v>
      </c>
      <c r="S28" s="932">
        <f>R28*DwellingStocks!$I$64/1000</f>
        <v>1.9509383580254749E-2</v>
      </c>
      <c r="T28" s="914">
        <v>1</v>
      </c>
      <c r="U28" s="914">
        <f t="shared" si="11"/>
        <v>0.89333333333333331</v>
      </c>
      <c r="V28" s="930">
        <v>20</v>
      </c>
      <c r="W28" s="930">
        <v>1</v>
      </c>
      <c r="X28" s="840"/>
      <c r="Y28" s="922">
        <f t="shared" si="13"/>
        <v>7.3190655134560096E-7</v>
      </c>
      <c r="Z28" s="923">
        <f t="shared" si="14"/>
        <v>8.0510682754603631E-7</v>
      </c>
      <c r="AA28" s="840"/>
      <c r="AB28" s="939" t="s">
        <v>393</v>
      </c>
      <c r="AC28" s="930" t="str">
        <f t="shared" si="15"/>
        <v>SH_Att-B2_BIOWOO_X0</v>
      </c>
      <c r="AD28" s="915" t="str">
        <f t="shared" si="15"/>
        <v>Residential Space Heating Attached-B2_Biomass &amp; Renewable Waste to Residential_Existing 00</v>
      </c>
      <c r="AE28" s="930" t="s">
        <v>53</v>
      </c>
      <c r="AF28" s="940" t="s">
        <v>406</v>
      </c>
      <c r="AG28" s="930"/>
      <c r="AH28" s="930"/>
      <c r="AI28" s="840"/>
      <c r="AJ28" s="840"/>
      <c r="AK28" s="840"/>
      <c r="AL28" s="840"/>
      <c r="AM28" s="840"/>
      <c r="AN28" s="840"/>
    </row>
    <row r="29" spans="1:40" ht="15.75" thickBot="1">
      <c r="A29" s="757" t="s">
        <v>112</v>
      </c>
      <c r="B29" s="757" t="s">
        <v>587</v>
      </c>
      <c r="C29" s="757">
        <f>SUMIFS(INDEX(Table915[],,MATCH(C$6,Table915[#Headers],0)),Table915[MainSpaceHeatingFuel],"",Table915[EnergyRating (group)],$A29)</f>
        <v>0</v>
      </c>
      <c r="D29" s="757">
        <f>SUMIFS(INDEX(Table915[],,MATCH($D$6,Table915[#Headers],0)),Table915[MainSpaceHeatingFuel],"",Table915[EnergyRating (group)],$A29)</f>
        <v>0</v>
      </c>
      <c r="E29" s="757">
        <f>SUMIFS(INDEX(Table915[],,MATCH(E$6,Table915[#Headers],0)),Table915[MainSpaceHeatingFuel],"",Table915[EnergyRating (group)],$A29)</f>
        <v>0</v>
      </c>
      <c r="F29" s="757">
        <f>SUMIFS(INDEX(Table915[],,MATCH(F$6,Table915[#Headers],0)),Table915[MainSpaceHeatingFuel],"",Table915[EnergyRating (group)],$A29)</f>
        <v>0</v>
      </c>
      <c r="G29" s="757">
        <f>SUMIFS(INDEX(Table915[],,MATCH(G$6,Table915[#Headers],0)),Table915[MainSpaceHeatingFuel],"",Table915[EnergyRating (group)],$A29)</f>
        <v>62</v>
      </c>
      <c r="H29" s="912">
        <f>SUMIFS(INDEX(Table915[],,MATCH(H$6,Table915[#Headers],0)),Table915[MainSpaceHeatingFuel],"",Table915[EnergyRating (group)],$A29)</f>
        <v>5288</v>
      </c>
      <c r="I29" s="913">
        <f>SUMIFS(INDEX(Table915[],,MATCH(I$6,Table915[#Headers],0)),Table915[MainSpaceHeatingFuel],"",Table915[EnergyRating (group)],$A29)</f>
        <v>0</v>
      </c>
      <c r="J29" s="847">
        <f>SUMIFS(INDEX(Table915[],,MATCH(J$6,Table915[#Headers],0)),Table915[MainSpaceHeatingFuel],"",Table915[EnergyRating (group)],$A29)</f>
        <v>131695</v>
      </c>
      <c r="K29" s="869">
        <f>SUMIFS(INDEX(Table915[],,MATCH(K$6,Table915[#Headers],0)),Table915[MainSpaceHeatingFuel],"",Table915[EnergyRating (group)],$A29)</f>
        <v>48777</v>
      </c>
      <c r="L29" s="840"/>
      <c r="M29" s="840"/>
      <c r="N29" s="66" t="str">
        <f>RSD_Commodities!$M$20&amp;"_"&amp;RIGHT(P29,LEN(P29)-3)&amp;"_"&amp;SETUP!$B$67</f>
        <v>SH_Att-B2_HET_X0</v>
      </c>
      <c r="O29" s="933" t="str">
        <f>RSD_Commodities!$N$20&amp;"_"&amp;RSD_Commodities!D28&amp;"_"&amp;SETUP!$C$67</f>
        <v>Residential Space Heating Attached-B2_Heat to Residential_Existing 00</v>
      </c>
      <c r="P29" s="83" t="str">
        <f>RSD_Commodities!$C$28</f>
        <v>RSDHET</v>
      </c>
      <c r="Q29" s="935" t="str">
        <f>RSD_Commodities!$M$11</f>
        <v>SH_Apt-B2</v>
      </c>
      <c r="R29" s="1001">
        <f t="shared" si="12"/>
        <v>7.8660238518142595E-3</v>
      </c>
      <c r="S29" s="937">
        <f>R29*DwellingStocks!$I$64/1000</f>
        <v>0.10996198017961767</v>
      </c>
      <c r="T29" s="66">
        <v>1</v>
      </c>
      <c r="U29" s="917">
        <f>IF(I29=0, 1, I29)</f>
        <v>1</v>
      </c>
      <c r="V29" s="935">
        <v>20</v>
      </c>
      <c r="W29" s="935">
        <v>1</v>
      </c>
      <c r="X29" s="840"/>
      <c r="Y29" s="920">
        <f t="shared" si="13"/>
        <v>0</v>
      </c>
      <c r="Z29" s="921">
        <f t="shared" si="14"/>
        <v>0</v>
      </c>
      <c r="AA29" s="840"/>
      <c r="AB29" s="941" t="s">
        <v>393</v>
      </c>
      <c r="AC29" s="935" t="str">
        <f t="shared" si="15"/>
        <v>SH_Att-B2_HET_X0</v>
      </c>
      <c r="AD29" s="934" t="str">
        <f t="shared" si="15"/>
        <v>Residential Space Heating Attached-B2_Heat to Residential_Existing 00</v>
      </c>
      <c r="AE29" s="935" t="s">
        <v>53</v>
      </c>
      <c r="AF29" s="942" t="s">
        <v>406</v>
      </c>
      <c r="AG29" s="840"/>
      <c r="AH29" s="840"/>
      <c r="AI29" s="840"/>
      <c r="AJ29" s="840"/>
      <c r="AK29" s="840"/>
      <c r="AL29" s="840"/>
      <c r="AM29" s="840"/>
      <c r="AN29" s="840"/>
    </row>
    <row r="30" spans="1:40">
      <c r="A30" s="758" t="s">
        <v>112</v>
      </c>
      <c r="B30" s="758" t="s">
        <v>664</v>
      </c>
      <c r="C30" s="758">
        <f>SUMIFS(INDEX(Table915[],,MATCH(C$6,Table915[#Headers],0)),Table915[MainSpaceHeatingFuel],$B30,Table915[EnergyRating (group)],$A30)</f>
        <v>37218</v>
      </c>
      <c r="D30" s="759">
        <f>SUMIFS(INDEX(Table915[],,MATCH($D$6,Table915[#Headers],0)),Table915[MainSpaceHeatingFuel],B30,Table915[EnergyRating (group)],A30)</f>
        <v>33835</v>
      </c>
      <c r="E30" s="759">
        <f>SUMIFS(INDEX(Table915[],,MATCH(E$6,Table915[#Headers],0)),Table915[MainSpaceHeatingFuel],$B30,Table915[EnergyRating (group)],$A30)</f>
        <v>6010</v>
      </c>
      <c r="F30" s="758">
        <f>SUMIFS(INDEX(Table915[],,MATCH(F$6,Table915[#Headers],0)),Table915[MainSpaceHeatingFuel],$B30,Table915[EnergyRating (group)],$A30)</f>
        <v>7400</v>
      </c>
      <c r="G30" s="758">
        <f>SUMIFS(INDEX(Table915[],,MATCH(G$6,Table915[#Headers],0)),Table915[MainSpaceHeatingFuel],$B30,Table915[EnergyRating (group)],$A30)</f>
        <v>5</v>
      </c>
      <c r="H30" s="911">
        <f>SUMIFS(INDEX(Table915[],,MATCH(H$6,Table915[#Headers],0)),Table915[MainSpaceHeatingFuel],$B30,Table915[EnergyRating (group)],$A30)</f>
        <v>593</v>
      </c>
      <c r="I30" s="911">
        <f>AVERAGEIFS(INDEX(Table915[],,MATCH(I$6,Table915[#Headers],0)),Table915[MainSpaceHeatingFuel],$B30,Table915[EnergyRating (group)],$A30)</f>
        <v>93.25</v>
      </c>
      <c r="J30" s="849">
        <f>SUMIFS(INDEX(Table915[],,MATCH(J$6,Table915[#Headers],0)),Table915[MainSpaceHeatingFuel],$B30,Table915[EnergyRating (group)],$A30)</f>
        <v>79364</v>
      </c>
      <c r="K30" s="870">
        <f>SUMIFS(INDEX(Table915[],,MATCH(K$6,Table915[#Headers],0)),Table915[MainSpaceHeatingFuel],$B30,Table915[EnergyRating (group)],$A30)</f>
        <v>64885</v>
      </c>
      <c r="L30" s="840"/>
      <c r="M30" s="840"/>
      <c r="N30" s="914" t="str">
        <f>RSD_Commodities!$M$20&amp;"_"&amp;RIGHT(P30,LEN(P30)-3)&amp;"_"&amp;SETUP!$B$68</f>
        <v>SH_Att-B2_OILLPG_X1</v>
      </c>
      <c r="O30" s="914" t="str">
        <f>RSD_Commodities!$N$20&amp;"_"&amp;RSD_Commodities!D11&amp;"_"&amp;SETUP!$C$68</f>
        <v>Residential Space Heating Attached-B2_LPG to Residential_Existing 01</v>
      </c>
      <c r="P30" s="915" t="str">
        <f>RSD_Commodities!$C$11</f>
        <v>RSDOILLPG</v>
      </c>
      <c r="Q30" s="930" t="str">
        <f>RSD_Commodities!$M$11</f>
        <v>SH_Apt-B2</v>
      </c>
      <c r="R30" s="1000">
        <f t="shared" si="12"/>
        <v>6.3435676224308547E-4</v>
      </c>
      <c r="S30" s="932">
        <f>R30*DwellingStocks!$I$64/1000</f>
        <v>8.8679016273885206E-3</v>
      </c>
      <c r="T30" s="914">
        <v>1</v>
      </c>
      <c r="U30" s="914">
        <f t="shared" si="11"/>
        <v>0.9325</v>
      </c>
      <c r="V30" s="930">
        <v>20</v>
      </c>
      <c r="W30" s="930">
        <v>1</v>
      </c>
      <c r="X30" s="840"/>
      <c r="Y30" s="918">
        <f t="shared" si="13"/>
        <v>1.5027448915289002E-7</v>
      </c>
      <c r="Z30" s="919">
        <f t="shared" si="14"/>
        <v>1.5753766502003468E-7</v>
      </c>
      <c r="AA30" s="840"/>
      <c r="AB30" s="939" t="s">
        <v>393</v>
      </c>
      <c r="AC30" s="930" t="str">
        <f t="shared" si="15"/>
        <v>SH_Att-B2_OILLPG_X1</v>
      </c>
      <c r="AD30" s="915" t="str">
        <f t="shared" si="15"/>
        <v>Residential Space Heating Attached-B2_LPG to Residential_Existing 01</v>
      </c>
      <c r="AE30" s="914" t="s">
        <v>53</v>
      </c>
      <c r="AF30" s="916" t="s">
        <v>406</v>
      </c>
      <c r="AG30" s="914"/>
      <c r="AH30" s="914"/>
      <c r="AI30" s="840"/>
      <c r="AJ30" s="840"/>
      <c r="AK30" s="840"/>
      <c r="AL30" s="840"/>
      <c r="AM30" s="840"/>
      <c r="AN30" s="840"/>
    </row>
    <row r="31" spans="1:40">
      <c r="A31" s="757" t="s">
        <v>112</v>
      </c>
      <c r="B31" s="757" t="s">
        <v>665</v>
      </c>
      <c r="C31" s="757">
        <f>SUMIFS(INDEX(Table915[],,MATCH(C$6,Table915[#Headers],0)),Table915[MainSpaceHeatingFuel],$B31,Table915[EnergyRating (group)],$A31)</f>
        <v>13262</v>
      </c>
      <c r="D31" s="760">
        <f>SUMIFS(INDEX(Table915[],,MATCH($D$6,Table915[#Headers],0)),Table915[MainSpaceHeatingFuel],B31,Table915[EnergyRating (group)],A31)</f>
        <v>12056</v>
      </c>
      <c r="E31" s="760">
        <f>SUMIFS(INDEX(Table915[],,MATCH(E$6,Table915[#Headers],0)),Table915[MainSpaceHeatingFuel],$B31,Table915[EnergyRating (group)],$A31)</f>
        <v>2923</v>
      </c>
      <c r="F31" s="757">
        <f>SUMIFS(INDEX(Table915[],,MATCH(F$6,Table915[#Headers],0)),Table915[MainSpaceHeatingFuel],$B31,Table915[EnergyRating (group)],$A31)</f>
        <v>2657</v>
      </c>
      <c r="G31" s="757">
        <f>SUMIFS(INDEX(Table915[],,MATCH(G$6,Table915[#Headers],0)),Table915[MainSpaceHeatingFuel],$B31,Table915[EnergyRating (group)],$A31)</f>
        <v>2</v>
      </c>
      <c r="H31" s="912">
        <f>SUMIFS(INDEX(Table915[],,MATCH(H$6,Table915[#Headers],0)),Table915[MainSpaceHeatingFuel],$B31,Table915[EnergyRating (group)],$A31)</f>
        <v>267</v>
      </c>
      <c r="I31" s="912">
        <f>AVERAGEIFS(INDEX(Table915[],,MATCH(I$6,Table915[#Headers],0)),Table915[MainSpaceHeatingFuel],$B31,Table915[EnergyRating (group)],$A31)</f>
        <v>78.5</v>
      </c>
      <c r="J31" s="847">
        <f>SUMIFS(INDEX(Table915[],,MATCH(J$6,Table915[#Headers],0)),Table915[MainSpaceHeatingFuel],$B31,Table915[EnergyRating (group)],$A31)</f>
        <v>29232</v>
      </c>
      <c r="K31" s="869">
        <f>SUMIFS(INDEX(Table915[],,MATCH(K$6,Table915[#Headers],0)),Table915[MainSpaceHeatingFuel],$B31,Table915[EnergyRating (group)],$A31)</f>
        <v>24446</v>
      </c>
      <c r="L31" s="840"/>
      <c r="M31" s="840"/>
      <c r="N31" s="66" t="str">
        <f>RSD_Commodities!$M$20&amp;"_"&amp;RSD_Commodities!$C$26&amp;"_"&amp;SETUP!$B$67</f>
        <v>SH_Att-B2_RSDSMF_X0</v>
      </c>
      <c r="O31" s="933" t="str">
        <f>RSD_Commodities!$N$20&amp;"_"&amp;RSD_Commodities!$D$26&amp;"_"&amp;SETUP!$C$67</f>
        <v>Residential Space Heating Attached-B2_Solid Multi-Fuel_Existing 00</v>
      </c>
      <c r="P31" s="83" t="str">
        <f>RSD_Commodities!$C$6&amp;","&amp;RSD_Commodities!$C$7&amp;","&amp;RSD_Commodities!$C$9&amp;","&amp;RSD_Commodities!$C$10&amp;","&amp;RSD_Commodities!$C$19</f>
        <v>RSDCOABIT,RSDCOAHAR,RSDCOALIG,RSDPEA,RSDBIOWOO</v>
      </c>
      <c r="Q31" s="935" t="str">
        <f>RSD_Commodities!$M$11</f>
        <v>SH_Apt-B2</v>
      </c>
      <c r="R31" s="1001">
        <f t="shared" si="12"/>
        <v>2.5374270489723422E-4</v>
      </c>
      <c r="S31" s="937">
        <f>R31*DwellingStocks!$I$64/1000</f>
        <v>3.5471606509554095E-3</v>
      </c>
      <c r="T31" s="66">
        <v>1</v>
      </c>
      <c r="U31" s="66">
        <f t="shared" si="11"/>
        <v>0.78500000000000003</v>
      </c>
      <c r="V31" s="935">
        <v>20</v>
      </c>
      <c r="W31" s="935">
        <v>1</v>
      </c>
      <c r="X31" s="840"/>
      <c r="Y31" s="920">
        <f>ABS((D31+F31)*S31*1000*$B$2)</f>
        <v>2.1447688215413814E-8</v>
      </c>
      <c r="Z31" s="921">
        <f t="shared" ref="Z31:Z34" si="16">ABS((C31+E31)*S31*1000*$B$2)</f>
        <v>2.3593477453032867E-8</v>
      </c>
      <c r="AA31" s="840"/>
      <c r="AB31" s="941" t="s">
        <v>393</v>
      </c>
      <c r="AC31" s="935" t="str">
        <f t="shared" si="15"/>
        <v>SH_Att-B2_RSDSMF_X0</v>
      </c>
      <c r="AD31" s="934" t="str">
        <f t="shared" si="15"/>
        <v>Residential Space Heating Attached-B2_Solid Multi-Fuel_Existing 00</v>
      </c>
      <c r="AE31" s="935" t="s">
        <v>53</v>
      </c>
      <c r="AF31" s="942" t="s">
        <v>406</v>
      </c>
      <c r="AG31" s="935"/>
      <c r="AH31" s="935"/>
      <c r="AI31" s="840"/>
      <c r="AJ31" s="840"/>
      <c r="AK31" s="840"/>
      <c r="AL31" s="840"/>
      <c r="AM31" s="840"/>
      <c r="AN31" s="840"/>
    </row>
    <row r="32" spans="1:40">
      <c r="A32" s="758" t="s">
        <v>112</v>
      </c>
      <c r="B32" s="758" t="s">
        <v>669</v>
      </c>
      <c r="C32" s="758">
        <f>SUMIFS(INDEX(Table915[],,MATCH(C$6,Table915[#Headers],0)),Table915[MainSpaceHeatingFuel],$B32,Table915[EnergyRating (group)],$A32)</f>
        <v>4640</v>
      </c>
      <c r="D32" s="759">
        <f>SUMIFS(INDEX(Table915[],,MATCH($D$6,Table915[#Headers],0)),Table915[MainSpaceHeatingFuel],B32,Table915[EnergyRating (group)],A32)</f>
        <v>3867</v>
      </c>
      <c r="E32" s="759">
        <f>SUMIFS(INDEX(Table915[],,MATCH(E$6,Table915[#Headers],0)),Table915[MainSpaceHeatingFuel],$B32,Table915[EnergyRating (group)],$A32)</f>
        <v>0</v>
      </c>
      <c r="F32" s="758">
        <f>SUMIFS(INDEX(Table915[],,MATCH(F$6,Table915[#Headers],0)),Table915[MainSpaceHeatingFuel],$B32,Table915[EnergyRating (group)],$A32)</f>
        <v>0</v>
      </c>
      <c r="G32" s="758">
        <f>SUMIFS(INDEX(Table915[],,MATCH(G$6,Table915[#Headers],0)),Table915[MainSpaceHeatingFuel],$B32,Table915[EnergyRating (group)],$A32)</f>
        <v>2</v>
      </c>
      <c r="H32" s="911">
        <f>SUMIFS(INDEX(Table915[],,MATCH(H$6,Table915[#Headers],0)),Table915[MainSpaceHeatingFuel],$B32,Table915[EnergyRating (group)],$A32)</f>
        <v>154</v>
      </c>
      <c r="I32" s="911">
        <f>AVERAGEIFS(INDEX(Table915[],,MATCH(I$6,Table915[#Headers],0)),Table915[MainSpaceHeatingFuel],$B32,Table915[EnergyRating (group)],$A32)</f>
        <v>79</v>
      </c>
      <c r="J32" s="849">
        <f>SUMIFS(INDEX(Table915[],,MATCH(J$6,Table915[#Headers],0)),Table915[MainSpaceHeatingFuel],$B32,Table915[EnergyRating (group)],$A32)</f>
        <v>18654</v>
      </c>
      <c r="K32" s="870">
        <f>SUMIFS(INDEX(Table915[],,MATCH(K$6,Table915[#Headers],0)),Table915[MainSpaceHeatingFuel],$B32,Table915[EnergyRating (group)],$A32)</f>
        <v>12420</v>
      </c>
      <c r="L32" s="840"/>
      <c r="M32" s="840"/>
      <c r="N32" s="914" t="str">
        <f>RSD_Commodities!$M$20&amp;"_"&amp;RIGHT(P32,LEN(P32)-3)&amp;"_"&amp;SETUP!$B$67</f>
        <v>SH_Att-B2_COAHAR_X0</v>
      </c>
      <c r="O32" s="914" t="str">
        <f>RSD_Commodities!$N$20&amp;"_"&amp;RSD_Commodities!D7&amp;"_"&amp;SETUP!$C$67</f>
        <v>Residential Space Heating Attached-B2_Anthracite + Manufactured Ovoids to Residential_Existing 00</v>
      </c>
      <c r="P32" s="915" t="str">
        <f>RSD_Commodities!$C$7</f>
        <v>RSDCOAHAR</v>
      </c>
      <c r="Q32" s="930" t="str">
        <f>RSD_Commodities!$M$11</f>
        <v>SH_Apt-B2</v>
      </c>
      <c r="R32" s="1000">
        <f t="shared" si="12"/>
        <v>2.5374270489723422E-4</v>
      </c>
      <c r="S32" s="932">
        <f>R32*DwellingStocks!$I$64/1000</f>
        <v>3.5471606509554095E-3</v>
      </c>
      <c r="T32" s="914">
        <v>1</v>
      </c>
      <c r="U32" s="914">
        <f t="shared" si="11"/>
        <v>0.79</v>
      </c>
      <c r="V32" s="930">
        <v>20</v>
      </c>
      <c r="W32" s="930">
        <v>1</v>
      </c>
      <c r="X32" s="840"/>
      <c r="Y32" s="922">
        <f t="shared" ref="Y32:Y34" si="17">ABS((D32+F32)*S32*1000*$B$2)</f>
        <v>5.6370699605114682E-9</v>
      </c>
      <c r="Z32" s="923">
        <f t="shared" si="16"/>
        <v>6.763900857712235E-9</v>
      </c>
      <c r="AA32" s="840"/>
      <c r="AB32" s="939" t="s">
        <v>393</v>
      </c>
      <c r="AC32" s="930" t="str">
        <f t="shared" si="15"/>
        <v>SH_Att-B2_COAHAR_X0</v>
      </c>
      <c r="AD32" s="915" t="str">
        <f t="shared" si="15"/>
        <v>Residential Space Heating Attached-B2_Anthracite + Manufactured Ovoids to Residential_Existing 00</v>
      </c>
      <c r="AE32" s="930" t="s">
        <v>53</v>
      </c>
      <c r="AF32" s="940" t="s">
        <v>406</v>
      </c>
      <c r="AG32" s="930"/>
      <c r="AH32" s="930"/>
      <c r="AI32" s="840"/>
      <c r="AJ32" s="840"/>
      <c r="AK32" s="840"/>
      <c r="AL32" s="840"/>
      <c r="AM32" s="840"/>
      <c r="AN32" s="840"/>
    </row>
    <row r="33" spans="1:40">
      <c r="A33" s="757" t="s">
        <v>112</v>
      </c>
      <c r="B33" s="757" t="s">
        <v>668</v>
      </c>
      <c r="C33" s="757">
        <f>SUMIFS(INDEX(Table915[],,MATCH(C$6,Table915[#Headers],0)),Table915[MainSpaceHeatingFuel],$B33,Table915[EnergyRating (group)],$A33)</f>
        <v>4260</v>
      </c>
      <c r="D33" s="757">
        <f>SUMIFS(INDEX(Table915[],,MATCH($D$6,Table915[#Headers],0)),Table915[MainSpaceHeatingFuel],B33,Table915[EnergyRating (group)],A33)</f>
        <v>3873</v>
      </c>
      <c r="E33" s="757">
        <f>SUMIFS(INDEX(Table915[],,MATCH(E$6,Table915[#Headers],0)),Table915[MainSpaceHeatingFuel],$B33,Table915[EnergyRating (group)],$A33)</f>
        <v>0</v>
      </c>
      <c r="F33" s="757">
        <f>SUMIFS(INDEX(Table915[],,MATCH(F$6,Table915[#Headers],0)),Table915[MainSpaceHeatingFuel],$B33,Table915[EnergyRating (group)],$A33)</f>
        <v>0</v>
      </c>
      <c r="G33" s="757">
        <f>SUMIFS(INDEX(Table915[],,MATCH(G$6,Table915[#Headers],0)),Table915[MainSpaceHeatingFuel],$B33,Table915[EnergyRating (group)],$A33)</f>
        <v>1</v>
      </c>
      <c r="H33" s="912">
        <f>SUMIFS(INDEX(Table915[],,MATCH(H$6,Table915[#Headers],0)),Table915[MainSpaceHeatingFuel],$B33,Table915[EnergyRating (group)],$A33)</f>
        <v>90</v>
      </c>
      <c r="I33" s="912">
        <f>AVERAGEIFS(INDEX(Table915[],,MATCH(I$6,Table915[#Headers],0)),Table915[MainSpaceHeatingFuel],$B33,Table915[EnergyRating (group)],$A33)</f>
        <v>94</v>
      </c>
      <c r="J33" s="847">
        <f>SUMIFS(INDEX(Table915[],,MATCH(J$6,Table915[#Headers],0)),Table915[MainSpaceHeatingFuel],$B33,Table915[EnergyRating (group)],$A33)</f>
        <v>9787</v>
      </c>
      <c r="K33" s="869">
        <f>SUMIFS(INDEX(Table915[],,MATCH(K$6,Table915[#Headers],0)),Table915[MainSpaceHeatingFuel],$B33,Table915[EnergyRating (group)],$A33)</f>
        <v>7710</v>
      </c>
      <c r="L33" s="840"/>
      <c r="M33" s="840"/>
      <c r="N33" s="66" t="str">
        <f>RSD_Commodities!$M$20&amp;"_"&amp;RIGHT(P33,LEN(P33)-3)&amp;"_"&amp;SETUP!$B$69</f>
        <v>SH_Att-B2_BIOWOO_X2</v>
      </c>
      <c r="O33" s="933" t="str">
        <f>RSD_Commodities!$N$20&amp;"_"&amp;RSD_Commodities!D19&amp;"_"&amp;SETUP!$C$69</f>
        <v>Residential Space Heating Attached-B2_Biomass &amp; Renewable Waste to Residential_Existing 02</v>
      </c>
      <c r="P33" s="83" t="str">
        <f>RSD_Commodities!$C$19</f>
        <v>RSDBIOWOO</v>
      </c>
      <c r="Q33" s="935" t="str">
        <f>RSD_Commodities!$M$11</f>
        <v>SH_Apt-B2</v>
      </c>
      <c r="R33" s="1001">
        <f t="shared" si="12"/>
        <v>1.2687135244861711E-4</v>
      </c>
      <c r="S33" s="937">
        <f>R33*DwellingStocks!$I$64/1000</f>
        <v>1.7735803254777048E-3</v>
      </c>
      <c r="T33" s="66">
        <v>1</v>
      </c>
      <c r="U33" s="66">
        <f t="shared" si="11"/>
        <v>0.94</v>
      </c>
      <c r="V33" s="935">
        <v>20</v>
      </c>
      <c r="W33" s="935">
        <v>1</v>
      </c>
      <c r="X33" s="840"/>
      <c r="Y33" s="920">
        <f t="shared" si="17"/>
        <v>2.8229081920171855E-9</v>
      </c>
      <c r="Z33" s="921">
        <f t="shared" si="16"/>
        <v>3.1049803506308314E-9</v>
      </c>
      <c r="AA33" s="840"/>
      <c r="AB33" s="941" t="s">
        <v>393</v>
      </c>
      <c r="AC33" s="935" t="str">
        <f t="shared" si="15"/>
        <v>SH_Att-B2_BIOWOO_X2</v>
      </c>
      <c r="AD33" s="934" t="str">
        <f t="shared" si="15"/>
        <v>Residential Space Heating Attached-B2_Biomass &amp; Renewable Waste to Residential_Existing 02</v>
      </c>
      <c r="AE33" s="935" t="s">
        <v>53</v>
      </c>
      <c r="AF33" s="942" t="s">
        <v>406</v>
      </c>
      <c r="AG33" s="840"/>
      <c r="AH33" s="840"/>
      <c r="AI33" s="840"/>
      <c r="AJ33" s="840"/>
      <c r="AK33" s="840"/>
      <c r="AL33" s="840"/>
      <c r="AM33" s="840"/>
      <c r="AN33" s="840"/>
    </row>
    <row r="34" spans="1:40" ht="15.75" thickBot="1">
      <c r="A34" s="758" t="s">
        <v>112</v>
      </c>
      <c r="B34" s="758" t="s">
        <v>722</v>
      </c>
      <c r="C34" s="758">
        <f>SUMIFS(INDEX(Table915[],,MATCH(C$6,Table915[#Headers],0)),Table915[MainSpaceHeatingFuel],$B34,Table915[EnergyRating (group)],$A34)</f>
        <v>3843</v>
      </c>
      <c r="D34" s="759">
        <f>SUMIFS(INDEX(Table915[],,MATCH($D$6,Table915[#Headers],0)),Table915[MainSpaceHeatingFuel],B34,Table915[EnergyRating (group)],A34)</f>
        <v>3494</v>
      </c>
      <c r="E34" s="759">
        <f>SUMIFS(INDEX(Table915[],,MATCH(E$6,Table915[#Headers],0)),Table915[MainSpaceHeatingFuel],$B34,Table915[EnergyRating (group)],$A34)</f>
        <v>0</v>
      </c>
      <c r="F34" s="758">
        <f>SUMIFS(INDEX(Table915[],,MATCH(F$6,Table915[#Headers],0)),Table915[MainSpaceHeatingFuel],$B34,Table915[EnergyRating (group)],$A34)</f>
        <v>0</v>
      </c>
      <c r="G34" s="758">
        <f>SUMIFS(INDEX(Table915[],,MATCH(G$6,Table915[#Headers],0)),Table915[MainSpaceHeatingFuel],$B34,Table915[EnergyRating (group)],$A34)</f>
        <v>1</v>
      </c>
      <c r="H34" s="911">
        <f>SUMIFS(INDEX(Table915[],,MATCH(H$6,Table915[#Headers],0)),Table915[MainSpaceHeatingFuel],$B34,Table915[EnergyRating (group)],$A34)</f>
        <v>97</v>
      </c>
      <c r="I34" s="911">
        <f>AVERAGEIFS(INDEX(Table915[],,MATCH(I$6,Table915[#Headers],0)),Table915[MainSpaceHeatingFuel],$B34,Table915[EnergyRating (group)],$A34)</f>
        <v>94</v>
      </c>
      <c r="J34" s="849">
        <f>SUMIFS(INDEX(Table915[],,MATCH(J$6,Table915[#Headers],0)),Table915[MainSpaceHeatingFuel],$B34,Table915[EnergyRating (group)],$A34)</f>
        <v>11607</v>
      </c>
      <c r="K34" s="870">
        <f>SUMIFS(INDEX(Table915[],,MATCH(K$6,Table915[#Headers],0)),Table915[MainSpaceHeatingFuel],$B34,Table915[EnergyRating (group)],$A34)</f>
        <v>7717</v>
      </c>
      <c r="L34" s="840"/>
      <c r="M34" s="840"/>
      <c r="N34" s="914" t="str">
        <f>RSD_Commodities!$M$20&amp;"_"&amp;RIGHT(P34,LEN(P34)-3)&amp;"_"&amp;SETUP!$B$68</f>
        <v>SH_Att-B2_BIOWOO_X1</v>
      </c>
      <c r="O34" s="914" t="str">
        <f>RSD_Commodities!$N$20&amp;"_"&amp;RSD_Commodities!D19&amp;"_"&amp;SETUP!$C$68</f>
        <v>Residential Space Heating Attached-B2_Biomass &amp; Renewable Waste to Residential_Existing 01</v>
      </c>
      <c r="P34" s="915" t="str">
        <f>RSD_Commodities!$C$19</f>
        <v>RSDBIOWOO</v>
      </c>
      <c r="Q34" s="930" t="str">
        <f>RSD_Commodities!$M$11</f>
        <v>SH_Apt-B2</v>
      </c>
      <c r="R34" s="1000">
        <f t="shared" si="12"/>
        <v>1.2687135244861711E-4</v>
      </c>
      <c r="S34" s="932">
        <f>R34*DwellingStocks!$I$64/1000</f>
        <v>1.7735803254777048E-3</v>
      </c>
      <c r="T34" s="914">
        <v>1</v>
      </c>
      <c r="U34" s="916">
        <f t="shared" si="11"/>
        <v>0.94</v>
      </c>
      <c r="V34" s="930">
        <v>20</v>
      </c>
      <c r="W34" s="930">
        <v>1</v>
      </c>
      <c r="X34" s="840"/>
      <c r="Y34" s="922">
        <f t="shared" si="17"/>
        <v>2.5466669824188085E-9</v>
      </c>
      <c r="Z34" s="923">
        <f t="shared" si="16"/>
        <v>2.8010421332099263E-9</v>
      </c>
      <c r="AA34" s="840"/>
      <c r="AB34" s="939" t="s">
        <v>393</v>
      </c>
      <c r="AC34" s="930" t="str">
        <f t="shared" si="15"/>
        <v>SH_Att-B2_BIOWOO_X1</v>
      </c>
      <c r="AD34" s="915" t="str">
        <f t="shared" si="15"/>
        <v>Residential Space Heating Attached-B2_Biomass &amp; Renewable Waste to Residential_Existing 01</v>
      </c>
      <c r="AE34" s="930" t="s">
        <v>53</v>
      </c>
      <c r="AF34" s="940" t="s">
        <v>406</v>
      </c>
      <c r="AG34" s="930"/>
      <c r="AH34" s="930"/>
      <c r="AI34" s="840"/>
      <c r="AJ34" s="840"/>
      <c r="AK34" s="840"/>
      <c r="AL34" s="840"/>
      <c r="AM34" s="840"/>
      <c r="AN34" s="840"/>
    </row>
    <row r="35" spans="1:40" ht="15.75" thickBot="1">
      <c r="A35" s="756" t="s">
        <v>114</v>
      </c>
      <c r="B35" s="1048"/>
      <c r="C35" s="1049"/>
      <c r="D35" s="1049"/>
      <c r="E35" s="1049"/>
      <c r="F35" s="1049"/>
      <c r="G35" s="1049"/>
      <c r="H35" s="1049"/>
      <c r="I35" s="1053"/>
      <c r="J35" s="736" t="s">
        <v>565</v>
      </c>
      <c r="K35" s="737" t="s">
        <v>565</v>
      </c>
      <c r="L35" s="840"/>
      <c r="M35" s="840"/>
      <c r="N35" s="76" t="str">
        <f>AB35</f>
        <v>*B3 Rating</v>
      </c>
      <c r="O35" s="76"/>
      <c r="P35" s="76"/>
      <c r="Q35" s="76"/>
      <c r="R35" s="949">
        <f>SUM(R36:R47)</f>
        <v>1.0000000000000002</v>
      </c>
      <c r="S35" s="76"/>
      <c r="T35" s="97"/>
      <c r="U35" s="76"/>
      <c r="V35" s="76"/>
      <c r="W35" s="76"/>
      <c r="X35" s="840"/>
      <c r="Y35" s="76"/>
      <c r="Z35" s="76"/>
      <c r="AA35" s="840"/>
      <c r="AB35" s="140" t="str">
        <f>"*"&amp; A36 &amp; " Rating"</f>
        <v>*B3 Rating</v>
      </c>
      <c r="AC35" s="141"/>
      <c r="AD35" s="141"/>
      <c r="AE35" s="141"/>
      <c r="AF35" s="141"/>
      <c r="AG35" s="141"/>
      <c r="AH35" s="141"/>
      <c r="AI35" s="840"/>
      <c r="AJ35" s="840"/>
      <c r="AK35" s="840"/>
      <c r="AL35" s="840"/>
      <c r="AM35" s="840"/>
      <c r="AN35" s="840"/>
    </row>
    <row r="36" spans="1:40">
      <c r="A36" s="758" t="s">
        <v>114</v>
      </c>
      <c r="B36" s="758" t="s">
        <v>582</v>
      </c>
      <c r="C36" s="758">
        <f>SUMIFS(INDEX(Table915[],,MATCH(C$6,Table915[#Headers],0)),Table915[MainSpaceHeatingFuel],$B36,Table915[EnergyRating (group)],$A36)</f>
        <v>6016827</v>
      </c>
      <c r="D36" s="759">
        <f>SUMIFS(INDEX(Table915[],,MATCH(D$6,Table915[#Headers],0)),Table915[MainSpaceHeatingFuel],$B36,Table915[EnergyRating (group)],$A36)</f>
        <v>5469842</v>
      </c>
      <c r="E36" s="759">
        <f>SUMIFS(INDEX(Table915[],,MATCH(E$6,Table915[#Headers],0)),Table915[MainSpaceHeatingFuel],$B36,Table915[EnergyRating (group)],$A36)</f>
        <v>1298280</v>
      </c>
      <c r="F36" s="758">
        <f>SUMIFS(INDEX(Table915[],,MATCH(F$6,Table915[#Headers],0)),Table915[MainSpaceHeatingFuel],$B36,Table915[EnergyRating (group)],$A36)</f>
        <v>1136841</v>
      </c>
      <c r="G36" s="758">
        <f>SUMIFS(INDEX(Table915[],,MATCH(G$6,Table915[#Headers],0)),Table915[MainSpaceHeatingFuel],$B36,Table915[EnergyRating (group)],$A36)</f>
        <v>813</v>
      </c>
      <c r="H36" s="911">
        <f>SUMIFS(INDEX(Table915[],,MATCH(H$6,Table915[#Headers],0)),Table915[MainSpaceHeatingFuel],$B36,Table915[EnergyRating (group)],$A36)</f>
        <v>91652</v>
      </c>
      <c r="I36" s="911">
        <f>AVERAGEIFS(INDEX(Table915[],,MATCH(I$6,Table915[#Headers],0)),Table915[MainSpaceHeatingFuel],$B36,Table915[EnergyRating (group)],$A36)</f>
        <v>86.766666666666666</v>
      </c>
      <c r="J36" s="849">
        <f>SUMIFS(INDEX(Table915[],,MATCH(J$6,Table915[#Headers],0)),Table915[MainSpaceHeatingFuel],$B36,Table915[EnergyRating (group)],$A36)</f>
        <v>13034989</v>
      </c>
      <c r="K36" s="870">
        <f>SUMIFS(INDEX(Table915[],,MATCH(K$6,Table915[#Headers],0)),Table915[MainSpaceHeatingFuel],$B36,Table915[EnergyRating (group)],$A36)</f>
        <v>10555421</v>
      </c>
      <c r="L36" s="840"/>
      <c r="M36" s="840"/>
      <c r="N36" s="914" t="str">
        <f>RSD_Commodities!$M$30&amp;"_"&amp;RIGHT(P36,LEN(P36)-3)&amp;"_"&amp;SETUP!$B$67</f>
        <v>SH_Det-B3_OILLPG_X0</v>
      </c>
      <c r="O36" s="914" t="str">
        <f>RSD_Commodities!$N$30&amp;"_"&amp;RSD_Commodities!D11&amp;"_"&amp;SETUP!$C$67</f>
        <v>Residential Space Heating Detached-B3_LPG to Residential_Existing 00</v>
      </c>
      <c r="P36" s="915" t="str">
        <f>RSD_Commodities!$C$11</f>
        <v>RSDOILLPG</v>
      </c>
      <c r="Q36" s="930" t="str">
        <f>RSD_Commodities!$M$12</f>
        <v>SH_Apt-B3</v>
      </c>
      <c r="R36" s="1000">
        <f>G36/SUM($G$36:$G$47)</f>
        <v>3.0021047967209481E-2</v>
      </c>
      <c r="S36" s="932">
        <f>R36*DwellingStocks!$I$65/1000</f>
        <v>0.65174039381420523</v>
      </c>
      <c r="T36" s="914">
        <v>1</v>
      </c>
      <c r="U36" s="914">
        <f t="shared" ref="U36:U124" si="18">I36/100</f>
        <v>0.8676666666666667</v>
      </c>
      <c r="V36" s="930">
        <v>20</v>
      </c>
      <c r="W36" s="930">
        <v>1</v>
      </c>
      <c r="X36" s="840"/>
      <c r="Y36" s="918">
        <f>ABS((D36+F36)*S36*1000*$B$2)</f>
        <v>1.7695241836543625E-3</v>
      </c>
      <c r="Z36" s="919">
        <f>ABS((C36+E36)*S36*1000*$B$2)</f>
        <v>1.9592674179341302E-3</v>
      </c>
      <c r="AA36" s="840"/>
      <c r="AB36" s="939" t="s">
        <v>393</v>
      </c>
      <c r="AC36" s="930" t="str">
        <f>N36</f>
        <v>SH_Det-B3_OILLPG_X0</v>
      </c>
      <c r="AD36" s="915" t="str">
        <f>O36</f>
        <v>Residential Space Heating Detached-B3_LPG to Residential_Existing 00</v>
      </c>
      <c r="AE36" s="914" t="s">
        <v>53</v>
      </c>
      <c r="AF36" s="916" t="s">
        <v>406</v>
      </c>
      <c r="AG36" s="914"/>
      <c r="AH36" s="914"/>
      <c r="AI36" s="840"/>
      <c r="AJ36" s="840"/>
      <c r="AK36" s="840"/>
      <c r="AL36" s="840"/>
      <c r="AM36" s="840"/>
      <c r="AN36" s="840"/>
    </row>
    <row r="37" spans="1:40">
      <c r="A37" s="757" t="s">
        <v>114</v>
      </c>
      <c r="B37" s="757" t="s">
        <v>228</v>
      </c>
      <c r="C37" s="757">
        <f>SUMIFS(INDEX(Table915[],,MATCH(C$6,Table915[#Headers],0)),Table915[MainSpaceHeatingFuel],$B37,Table915[EnergyRating (group)],$A37)</f>
        <v>1877650</v>
      </c>
      <c r="D37" s="757">
        <f>SUMIFS(INDEX(Table915[],,MATCH(D$6,Table915[#Headers],0)),Table915[MainSpaceHeatingFuel],$B37,Table915[EnergyRating (group)],$A37)</f>
        <v>695427</v>
      </c>
      <c r="E37" s="757">
        <f>SUMIFS(INDEX(Table915[],,MATCH(E$6,Table915[#Headers],0)),Table915[MainSpaceHeatingFuel],$B37,Table915[EnergyRating (group)],$A37)</f>
        <v>386081</v>
      </c>
      <c r="F37" s="757">
        <f>SUMIFS(INDEX(Table915[],,MATCH(F$6,Table915[#Headers],0)),Table915[MainSpaceHeatingFuel],$B37,Table915[EnergyRating (group)],$A37)</f>
        <v>303196</v>
      </c>
      <c r="G37" s="757">
        <f>SUMIFS(INDEX(Table915[],,MATCH(G$6,Table915[#Headers],0)),Table915[MainSpaceHeatingFuel],$B37,Table915[EnergyRating (group)],$A37)</f>
        <v>399</v>
      </c>
      <c r="H37" s="912">
        <f>SUMIFS(INDEX(Table915[],,MATCH(H$6,Table915[#Headers],0)),Table915[MainSpaceHeatingFuel],$B37,Table915[EnergyRating (group)],$A37)</f>
        <v>35942</v>
      </c>
      <c r="I37" s="912">
        <f>AVERAGEIFS(INDEX(Table915[],,MATCH(I$6,Table915[#Headers],0)),Table915[MainSpaceHeatingFuel],$B37,Table915[EnergyRating (group)],$A37)</f>
        <v>284.14285714285717</v>
      </c>
      <c r="J37" s="847">
        <f>SUMIFS(INDEX(Table915[],,MATCH(J$6,Table915[#Headers],0)),Table915[MainSpaceHeatingFuel],$B37,Table915[EnergyRating (group)],$A37)</f>
        <v>5086473</v>
      </c>
      <c r="K37" s="869">
        <f>SUMIFS(INDEX(Table915[],,MATCH(K$6,Table915[#Headers],0)),Table915[MainSpaceHeatingFuel],$B37,Table915[EnergyRating (group)],$A37)</f>
        <v>2054658</v>
      </c>
      <c r="L37" s="840"/>
      <c r="M37" s="840"/>
      <c r="N37" s="66" t="str">
        <f>RSD_Commodities!$M$30&amp;"_"&amp;RIGHT(P37,LEN(P37)-3)&amp;"_"&amp;SETUP!$B$67</f>
        <v>SH_Det-B3_ELCD_X0</v>
      </c>
      <c r="O37" s="933" t="str">
        <f>RSD_Commodities!$N$30&amp;"_"&amp;RSD_Commodities!D27&amp;"_"&amp;SETUP!$C$67</f>
        <v>Residential Space Heating Detached-B3_Electricity to Residential_Existing 00</v>
      </c>
      <c r="P37" s="83" t="str">
        <f>RSD_Commodities!$C$27</f>
        <v>RSDELCD</v>
      </c>
      <c r="Q37" s="935" t="str">
        <f>RSD_Commodities!$M$12</f>
        <v>SH_Apt-B3</v>
      </c>
      <c r="R37" s="1001">
        <f t="shared" ref="R37:R47" si="19">G37/SUM($G$36:$G$47)</f>
        <v>1.4733577046637865E-2</v>
      </c>
      <c r="S37" s="937">
        <f>R37*DwellingStocks!$I$65/1000</f>
        <v>0.31985783165051401</v>
      </c>
      <c r="T37" s="66">
        <v>1</v>
      </c>
      <c r="U37" s="66">
        <f t="shared" si="18"/>
        <v>2.8414285714285716</v>
      </c>
      <c r="V37" s="935">
        <v>20</v>
      </c>
      <c r="W37" s="935">
        <v>1</v>
      </c>
      <c r="X37" s="840"/>
      <c r="Y37" s="920">
        <f t="shared" ref="Y37:Y43" si="20">ABS((D37+F37)*S37*1000*$B$2)</f>
        <v>1.3126741948616357E-4</v>
      </c>
      <c r="Z37" s="921">
        <f t="shared" ref="Z37:Z43" si="21">ABS((C37+E37)*S37*1000*$B$2)</f>
        <v>2.9756387223289722E-4</v>
      </c>
      <c r="AA37" s="840"/>
      <c r="AB37" s="941" t="s">
        <v>393</v>
      </c>
      <c r="AC37" s="935" t="str">
        <f t="shared" ref="AC37:AD43" si="22">N37</f>
        <v>SH_Det-B3_ELCD_X0</v>
      </c>
      <c r="AD37" s="934" t="str">
        <f t="shared" si="22"/>
        <v>Residential Space Heating Detached-B3_Electricity to Residential_Existing 00</v>
      </c>
      <c r="AE37" s="935" t="s">
        <v>53</v>
      </c>
      <c r="AF37" s="942" t="s">
        <v>406</v>
      </c>
      <c r="AG37" s="935"/>
      <c r="AH37" s="935"/>
      <c r="AI37" s="840"/>
      <c r="AJ37" s="840"/>
      <c r="AK37" s="840"/>
      <c r="AL37" s="840"/>
      <c r="AM37" s="840"/>
      <c r="AN37" s="840"/>
    </row>
    <row r="38" spans="1:40">
      <c r="A38" s="758" t="s">
        <v>114</v>
      </c>
      <c r="B38" s="758" t="s">
        <v>583</v>
      </c>
      <c r="C38" s="758">
        <f>SUMIFS(INDEX(Table915[],,MATCH(C$6,Table915[#Headers],0)),Table915[MainSpaceHeatingFuel],$B38,Table915[EnergyRating (group)],$A38)</f>
        <v>48368193</v>
      </c>
      <c r="D38" s="759">
        <f>SUMIFS(INDEX(Table915[],,MATCH(D$6,Table915[#Headers],0)),Table915[MainSpaceHeatingFuel],$B38,Table915[EnergyRating (group)],$A38)</f>
        <v>43971085</v>
      </c>
      <c r="E38" s="759">
        <f>SUMIFS(INDEX(Table915[],,MATCH(E$6,Table915[#Headers],0)),Table915[MainSpaceHeatingFuel],$B38,Table915[EnergyRating (group)],$A38)</f>
        <v>11077407</v>
      </c>
      <c r="F38" s="758">
        <f>SUMIFS(INDEX(Table915[],,MATCH(F$6,Table915[#Headers],0)),Table915[MainSpaceHeatingFuel],$B38,Table915[EnergyRating (group)],$A38)</f>
        <v>9812595</v>
      </c>
      <c r="G38" s="758">
        <f>SUMIFS(INDEX(Table915[],,MATCH(G$6,Table915[#Headers],0)),Table915[MainSpaceHeatingFuel],$B38,Table915[EnergyRating (group)],$A38)</f>
        <v>6952</v>
      </c>
      <c r="H38" s="911">
        <f>SUMIFS(INDEX(Table915[],,MATCH(H$6,Table915[#Headers],0)),Table915[MainSpaceHeatingFuel],$B38,Table915[EnergyRating (group)],$A38)</f>
        <v>756701</v>
      </c>
      <c r="I38" s="911">
        <f>AVERAGEIFS(INDEX(Table915[],,MATCH(I$6,Table915[#Headers],0)),Table915[MainSpaceHeatingFuel],$B38,Table915[EnergyRating (group)],$A38)</f>
        <v>90.975609756097555</v>
      </c>
      <c r="J38" s="849">
        <f>SUMIFS(INDEX(Table915[],,MATCH(J$6,Table915[#Headers],0)),Table915[MainSpaceHeatingFuel],$B38,Table915[EnergyRating (group)],$A38)</f>
        <v>107825226</v>
      </c>
      <c r="K38" s="870">
        <f>SUMIFS(INDEX(Table915[],,MATCH(K$6,Table915[#Headers],0)),Table915[MainSpaceHeatingFuel],$B38,Table915[EnergyRating (group)],$A38)</f>
        <v>87408760</v>
      </c>
      <c r="M38" s="840"/>
      <c r="N38" s="914" t="str">
        <f>RSD_Commodities!$M$30&amp;"_"&amp;RIGHT(P38,LEN(P38)-3)&amp;"_"&amp;SETUP!$B$67</f>
        <v>SH_Det-B3_OILKER_X0</v>
      </c>
      <c r="O38" s="914" t="str">
        <f>RSD_Commodities!$N$30&amp;"_"&amp;RSD_Commodities!D13&amp;"_"&amp;SETUP!$C$67</f>
        <v>Residential Space Heating Detached-B3_Kerosene to Residential_Existing 00</v>
      </c>
      <c r="P38" s="915" t="str">
        <f>RSD_Commodities!$C$13</f>
        <v>RSDOILKER</v>
      </c>
      <c r="Q38" s="930" t="str">
        <f>RSD_Commodities!$M$12</f>
        <v>SH_Apt-B3</v>
      </c>
      <c r="R38" s="1000">
        <f t="shared" si="19"/>
        <v>0.25671134743916402</v>
      </c>
      <c r="S38" s="932">
        <f>R38*DwellingStocks!$I$65/1000</f>
        <v>5.5730617685072019</v>
      </c>
      <c r="T38" s="914">
        <v>1</v>
      </c>
      <c r="U38" s="916">
        <f t="shared" si="18"/>
        <v>0.90975609756097553</v>
      </c>
      <c r="V38" s="930">
        <v>20</v>
      </c>
      <c r="W38" s="930">
        <v>1</v>
      </c>
      <c r="X38" s="840"/>
      <c r="Y38" s="922">
        <f t="shared" si="20"/>
        <v>0.12318072771683239</v>
      </c>
      <c r="Z38" s="923">
        <f t="shared" si="21"/>
        <v>0.13614821945176919</v>
      </c>
      <c r="AA38" s="840"/>
      <c r="AB38" s="939" t="s">
        <v>393</v>
      </c>
      <c r="AC38" s="930" t="str">
        <f t="shared" si="22"/>
        <v>SH_Det-B3_OILKER_X0</v>
      </c>
      <c r="AD38" s="915" t="str">
        <f t="shared" si="22"/>
        <v>Residential Space Heating Detached-B3_Kerosene to Residential_Existing 00</v>
      </c>
      <c r="AE38" s="930" t="s">
        <v>53</v>
      </c>
      <c r="AF38" s="940" t="s">
        <v>406</v>
      </c>
      <c r="AG38" s="930"/>
      <c r="AH38" s="930"/>
      <c r="AI38" s="840"/>
      <c r="AJ38" s="840"/>
      <c r="AK38" s="840"/>
      <c r="AL38" s="840"/>
      <c r="AM38" s="840"/>
      <c r="AN38" s="840"/>
    </row>
    <row r="39" spans="1:40">
      <c r="A39" s="757" t="s">
        <v>114</v>
      </c>
      <c r="B39" s="757" t="s">
        <v>584</v>
      </c>
      <c r="C39" s="757">
        <f>SUMIFS(INDEX(Table915[],,MATCH(C$6,Table915[#Headers],0)),Table915[MainSpaceHeatingFuel],$B39,Table915[EnergyRating (group)],$A39)</f>
        <v>135691258</v>
      </c>
      <c r="D39" s="760">
        <f>SUMIFS(INDEX(Table915[],,MATCH(D$6,Table915[#Headers],0)),Table915[MainSpaceHeatingFuel],$B39,Table915[EnergyRating (group)],$A39)</f>
        <v>123355692</v>
      </c>
      <c r="E39" s="760">
        <f>SUMIFS(INDEX(Table915[],,MATCH(E$6,Table915[#Headers],0)),Table915[MainSpaceHeatingFuel],$B39,Table915[EnergyRating (group)],$A39)</f>
        <v>27498950</v>
      </c>
      <c r="F39" s="757">
        <f>SUMIFS(INDEX(Table915[],,MATCH(F$6,Table915[#Headers],0)),Table915[MainSpaceHeatingFuel],$B39,Table915[EnergyRating (group)],$A39)</f>
        <v>23276071</v>
      </c>
      <c r="G39" s="757">
        <f>SUMIFS(INDEX(Table915[],,MATCH(G$6,Table915[#Headers],0)),Table915[MainSpaceHeatingFuel],$B39,Table915[EnergyRating (group)],$A39)</f>
        <v>18731</v>
      </c>
      <c r="H39" s="912">
        <f>SUMIFS(INDEX(Table915[],,MATCH(H$6,Table915[#Headers],0)),Table915[MainSpaceHeatingFuel],$B39,Table915[EnergyRating (group)],$A39)</f>
        <v>2050574</v>
      </c>
      <c r="I39" s="912">
        <f>AVERAGEIFS(INDEX(Table915[],,MATCH(I$6,Table915[#Headers],0)),Table915[MainSpaceHeatingFuel],$B39,Table915[EnergyRating (group)],$A39)</f>
        <v>86.956521739130437</v>
      </c>
      <c r="J39" s="847">
        <f>SUMIFS(INDEX(Table915[],,MATCH(J$6,Table915[#Headers],0)),Table915[MainSpaceHeatingFuel],$B39,Table915[EnergyRating (group)],$A39)</f>
        <v>293371550</v>
      </c>
      <c r="K39" s="869">
        <f>SUMIFS(INDEX(Table915[],,MATCH(K$6,Table915[#Headers],0)),Table915[MainSpaceHeatingFuel],$B39,Table915[EnergyRating (group)],$A39)</f>
        <v>238062369</v>
      </c>
      <c r="M39" s="840"/>
      <c r="N39" s="66" t="str">
        <f>RSD_Commodities!$M$30&amp;"_"&amp;RIGHT(P39,LEN(P39)-3)&amp;"_"&amp;SETUP!$B$67</f>
        <v>SH_Det-B3_GASNAT_X0</v>
      </c>
      <c r="O39" s="933" t="str">
        <f>RSD_Commodities!$N$30&amp;"_"&amp;RSD_Commodities!D17&amp;"_"&amp;SETUP!$C$67</f>
        <v>Residential Space Heating Detached-B3_Natural Gas to Residential_Existing 00</v>
      </c>
      <c r="P39" s="83" t="str">
        <f>RSD_Commodities!$C$17</f>
        <v>RSDGASNAT</v>
      </c>
      <c r="Q39" s="935" t="str">
        <f>RSD_Commodities!$M$12</f>
        <v>SH_Apt-B3</v>
      </c>
      <c r="R39" s="1001">
        <f t="shared" si="19"/>
        <v>0.69166574351021015</v>
      </c>
      <c r="S39" s="937">
        <f>R39*DwellingStocks!$I$65/1000</f>
        <v>15.015681816154833</v>
      </c>
      <c r="T39" s="66">
        <v>1</v>
      </c>
      <c r="U39" s="66">
        <f t="shared" si="18"/>
        <v>0.86956521739130432</v>
      </c>
      <c r="V39" s="935">
        <v>20</v>
      </c>
      <c r="W39" s="935">
        <v>1</v>
      </c>
      <c r="X39" s="840"/>
      <c r="Y39" s="920">
        <f t="shared" si="20"/>
        <v>0.90483940986979117</v>
      </c>
      <c r="Z39" s="921">
        <f t="shared" si="21"/>
        <v>1.0070187282904626</v>
      </c>
      <c r="AA39" s="840"/>
      <c r="AB39" s="941" t="s">
        <v>393</v>
      </c>
      <c r="AC39" s="935" t="str">
        <f t="shared" si="22"/>
        <v>SH_Det-B3_GASNAT_X0</v>
      </c>
      <c r="AD39" s="934" t="str">
        <f t="shared" si="22"/>
        <v>Residential Space Heating Detached-B3_Natural Gas to Residential_Existing 00</v>
      </c>
      <c r="AE39" s="935" t="s">
        <v>53</v>
      </c>
      <c r="AF39" s="942" t="s">
        <v>406</v>
      </c>
      <c r="AG39" s="840"/>
      <c r="AH39" s="840"/>
      <c r="AI39" s="840"/>
      <c r="AJ39" s="840"/>
      <c r="AK39" s="840"/>
      <c r="AL39" s="840"/>
      <c r="AM39" s="840"/>
      <c r="AN39" s="840"/>
    </row>
    <row r="40" spans="1:40">
      <c r="A40" s="758" t="s">
        <v>114</v>
      </c>
      <c r="B40" s="758" t="s">
        <v>585</v>
      </c>
      <c r="C40" s="758">
        <f>SUMIFS(INDEX(Table915[],,MATCH(C$6,Table915[#Headers],0)),Table915[MainSpaceHeatingFuel],$B40,Table915[EnergyRating (group)],$A40)</f>
        <v>258160</v>
      </c>
      <c r="D40" s="759">
        <f>SUMIFS(INDEX(Table915[],,MATCH(D$6,Table915[#Headers],0)),Table915[MainSpaceHeatingFuel],$B40,Table915[EnergyRating (group)],$A40)</f>
        <v>234691</v>
      </c>
      <c r="E40" s="759">
        <f>SUMIFS(INDEX(Table915[],,MATCH(E$6,Table915[#Headers],0)),Table915[MainSpaceHeatingFuel],$B40,Table915[EnergyRating (group)],$A40)</f>
        <v>70007</v>
      </c>
      <c r="F40" s="758">
        <f>SUMIFS(INDEX(Table915[],,MATCH(F$6,Table915[#Headers],0)),Table915[MainSpaceHeatingFuel],$B40,Table915[EnergyRating (group)],$A40)</f>
        <v>63031</v>
      </c>
      <c r="G40" s="758">
        <f>SUMIFS(INDEX(Table915[],,MATCH(G$6,Table915[#Headers],0)),Table915[MainSpaceHeatingFuel],$B40,Table915[EnergyRating (group)],$A40)</f>
        <v>38</v>
      </c>
      <c r="H40" s="911">
        <f>SUMIFS(INDEX(Table915[],,MATCH(H$6,Table915[#Headers],0)),Table915[MainSpaceHeatingFuel],$B40,Table915[EnergyRating (group)],$A40)</f>
        <v>3753</v>
      </c>
      <c r="I40" s="911">
        <f>AVERAGEIFS(INDEX(Table915[],,MATCH(I$6,Table915[#Headers],0)),Table915[MainSpaceHeatingFuel],$B40,Table915[EnergyRating (group)],$A40)</f>
        <v>85.5</v>
      </c>
      <c r="J40" s="849">
        <f>SUMIFS(INDEX(Table915[],,MATCH(J$6,Table915[#Headers],0)),Table915[MainSpaceHeatingFuel],$B40,Table915[EnergyRating (group)],$A40)</f>
        <v>524006</v>
      </c>
      <c r="K40" s="870">
        <f>SUMIFS(INDEX(Table915[],,MATCH(K$6,Table915[#Headers],0)),Table915[MainSpaceHeatingFuel],$B40,Table915[EnergyRating (group)],$A40)</f>
        <v>427698</v>
      </c>
      <c r="M40" s="840"/>
      <c r="N40" s="914" t="str">
        <f>RSD_Commodities!$M$30&amp;"_"&amp;RIGHT(P40,LEN(P40)-3)&amp;"_"&amp;SETUP!$B$67</f>
        <v>SH_Det-B3_BIOWOO_X0</v>
      </c>
      <c r="O40" s="914" t="str">
        <f>RSD_Commodities!$N$30&amp;"_"&amp;RSD_Commodities!D19&amp;"_"&amp;SETUP!$C$67</f>
        <v>Residential Space Heating Detached-B3_Biomass &amp; Renewable Waste to Residential_Existing 00</v>
      </c>
      <c r="P40" s="915" t="str">
        <f>RSD_Commodities!$C$19</f>
        <v>RSDBIOWOO</v>
      </c>
      <c r="Q40" s="930" t="str">
        <f>RSD_Commodities!$M$12</f>
        <v>SH_Apt-B3</v>
      </c>
      <c r="R40" s="1000">
        <f t="shared" si="19"/>
        <v>1.4031978139655108E-3</v>
      </c>
      <c r="S40" s="932">
        <f>R40*DwellingStocks!$I$65/1000</f>
        <v>3.0462650633382285E-2</v>
      </c>
      <c r="T40" s="914">
        <v>1</v>
      </c>
      <c r="U40" s="914">
        <f t="shared" si="18"/>
        <v>0.85499999999999998</v>
      </c>
      <c r="V40" s="930">
        <v>20</v>
      </c>
      <c r="W40" s="930">
        <v>1</v>
      </c>
      <c r="X40" s="840"/>
      <c r="Y40" s="922">
        <f t="shared" si="20"/>
        <v>3.7271512076185651E-6</v>
      </c>
      <c r="Z40" s="923">
        <f t="shared" si="21"/>
        <v>4.1082890426322601E-6</v>
      </c>
      <c r="AA40" s="840"/>
      <c r="AB40" s="939" t="s">
        <v>393</v>
      </c>
      <c r="AC40" s="930" t="str">
        <f t="shared" si="22"/>
        <v>SH_Det-B3_BIOWOO_X0</v>
      </c>
      <c r="AD40" s="915" t="str">
        <f t="shared" si="22"/>
        <v>Residential Space Heating Detached-B3_Biomass &amp; Renewable Waste to Residential_Existing 00</v>
      </c>
      <c r="AE40" s="930" t="s">
        <v>53</v>
      </c>
      <c r="AF40" s="940" t="s">
        <v>406</v>
      </c>
      <c r="AG40" s="930"/>
      <c r="AH40" s="930"/>
      <c r="AI40" s="840"/>
      <c r="AJ40" s="840"/>
      <c r="AK40" s="840"/>
      <c r="AL40" s="840"/>
      <c r="AM40" s="840"/>
      <c r="AN40" s="840"/>
    </row>
    <row r="41" spans="1:40">
      <c r="A41" s="757" t="s">
        <v>114</v>
      </c>
      <c r="B41" s="757" t="s">
        <v>587</v>
      </c>
      <c r="C41" s="757">
        <f>SUMIFS(INDEX(Table915[],,MATCH(C$6,Table915[#Headers],0)),Table915[MainSpaceHeatingFuel],$B41,Table915[EnergyRating (group)],$A41)</f>
        <v>0</v>
      </c>
      <c r="D41" s="757">
        <f>SUMIFS(INDEX(Table915[],,MATCH(D$6,Table915[#Headers],0)),Table915[MainSpaceHeatingFuel],$B41,Table915[EnergyRating (group)],$A41)</f>
        <v>0</v>
      </c>
      <c r="E41" s="757">
        <f>SUMIFS(INDEX(Table915[],,MATCH(E$6,Table915[#Headers],0)),Table915[MainSpaceHeatingFuel],$B41,Table915[EnergyRating (group)],$A41)</f>
        <v>0</v>
      </c>
      <c r="F41" s="757">
        <f>SUMIFS(INDEX(Table915[],,MATCH(F$6,Table915[#Headers],0)),Table915[MainSpaceHeatingFuel],$B41,Table915[EnergyRating (group)],$A41)</f>
        <v>0</v>
      </c>
      <c r="G41" s="757">
        <f>SUMIFS(INDEX(Table915[],,MATCH(G$6,Table915[#Headers],0)),Table915[MainSpaceHeatingFuel],"",Table915[EnergyRating (group)],$A41)</f>
        <v>107</v>
      </c>
      <c r="H41" s="912">
        <f>SUMIFS(INDEX(Table915[],,MATCH(H$6,Table915[#Headers],0)),Table915[MainSpaceHeatingFuel],"",Table915[EnergyRating (group)],$A41)</f>
        <v>8493</v>
      </c>
      <c r="I41" s="913">
        <f>SUMIFS(INDEX(Table915[],,MATCH(I$6,Table915[#Headers],0)),Table915[MainSpaceHeatingFuel],"",Table915[EnergyRating (group)],$A41)</f>
        <v>0</v>
      </c>
      <c r="J41" s="847">
        <f>SUMIFS(INDEX(Table915[],,MATCH(J$6,Table915[#Headers],0)),Table915[MainSpaceHeatingFuel],"",Table915[EnergyRating (group)],$A41)</f>
        <v>208424</v>
      </c>
      <c r="K41" s="869">
        <f>SUMIFS(INDEX(Table915[],,MATCH(K$6,Table915[#Headers],0)),Table915[MainSpaceHeatingFuel],"",Table915[EnergyRating (group)],$A41)</f>
        <v>77195</v>
      </c>
      <c r="M41" s="840"/>
      <c r="N41" s="66" t="str">
        <f>RSD_Commodities!$M$30&amp;"_"&amp;RIGHT(P41,LEN(P41)-3)&amp;"_"&amp;SETUP!$B$67</f>
        <v>SH_Det-B3_HET_X0</v>
      </c>
      <c r="O41" s="933" t="str">
        <f>RSD_Commodities!$N$30&amp;"_"&amp;RSD_Commodities!D28&amp;"_"&amp;SETUP!$C$67</f>
        <v>Residential Space Heating Detached-B3_Heat to Residential_Existing 00</v>
      </c>
      <c r="P41" s="83" t="str">
        <f>RSD_Commodities!$C$28</f>
        <v>RSDHET</v>
      </c>
      <c r="Q41" s="935" t="str">
        <f>RSD_Commodities!$M$12</f>
        <v>SH_Apt-B3</v>
      </c>
      <c r="R41" s="1001">
        <f t="shared" si="19"/>
        <v>3.9511096340607808E-3</v>
      </c>
      <c r="S41" s="937">
        <f>R41*DwellingStocks!$I$65/1000</f>
        <v>8.5776410993997507E-2</v>
      </c>
      <c r="T41" s="66">
        <v>1</v>
      </c>
      <c r="U41" s="917">
        <f>IF(I41=0, 1, I41)</f>
        <v>1</v>
      </c>
      <c r="V41" s="935">
        <v>20</v>
      </c>
      <c r="W41" s="935">
        <v>1</v>
      </c>
      <c r="X41" s="840"/>
      <c r="Y41" s="920">
        <f t="shared" si="20"/>
        <v>0</v>
      </c>
      <c r="Z41" s="921">
        <f t="shared" si="21"/>
        <v>0</v>
      </c>
      <c r="AA41" s="840"/>
      <c r="AB41" s="941" t="s">
        <v>393</v>
      </c>
      <c r="AC41" s="935" t="str">
        <f t="shared" si="22"/>
        <v>SH_Det-B3_HET_X0</v>
      </c>
      <c r="AD41" s="934" t="str">
        <f t="shared" si="22"/>
        <v>Residential Space Heating Detached-B3_Heat to Residential_Existing 00</v>
      </c>
      <c r="AE41" s="935" t="s">
        <v>53</v>
      </c>
      <c r="AF41" s="942" t="s">
        <v>406</v>
      </c>
      <c r="AG41" s="840"/>
      <c r="AH41" s="840"/>
      <c r="AI41" s="840"/>
      <c r="AJ41" s="840"/>
      <c r="AK41" s="840"/>
      <c r="AL41" s="840"/>
      <c r="AM41" s="840"/>
      <c r="AN41" s="840"/>
    </row>
    <row r="42" spans="1:40">
      <c r="A42" s="758" t="s">
        <v>114</v>
      </c>
      <c r="B42" s="758" t="s">
        <v>664</v>
      </c>
      <c r="C42" s="758">
        <f>SUMIFS(INDEX(Table915[],,MATCH(C$6,Table915[#Headers],0)),Table915[MainSpaceHeatingFuel],$B42,Table915[EnergyRating (group)],$A42)</f>
        <v>237538</v>
      </c>
      <c r="D42" s="759">
        <f>SUMIFS(INDEX(Table915[],,MATCH(D$6,Table915[#Headers],0)),Table915[MainSpaceHeatingFuel],$B42,Table915[EnergyRating (group)],$A42)</f>
        <v>215946</v>
      </c>
      <c r="E42" s="759">
        <f>SUMIFS(INDEX(Table915[],,MATCH(E$6,Table915[#Headers],0)),Table915[MainSpaceHeatingFuel],$B42,Table915[EnergyRating (group)],$A42)</f>
        <v>49201</v>
      </c>
      <c r="F42" s="758">
        <f>SUMIFS(INDEX(Table915[],,MATCH(F$6,Table915[#Headers],0)),Table915[MainSpaceHeatingFuel],$B42,Table915[EnergyRating (group)],$A42)</f>
        <v>43570</v>
      </c>
      <c r="G42" s="758">
        <f>SUMIFS(INDEX(Table915[],,MATCH(G$6,Table915[#Headers],0)),Table915[MainSpaceHeatingFuel],$B42,Table915[EnergyRating (group)],$A42)</f>
        <v>31</v>
      </c>
      <c r="H42" s="911">
        <f>SUMIFS(INDEX(Table915[],,MATCH(H$6,Table915[#Headers],0)),Table915[MainSpaceHeatingFuel],$B42,Table915[EnergyRating (group)],$A42)</f>
        <v>3233</v>
      </c>
      <c r="I42" s="911">
        <f>AVERAGEIFS(INDEX(Table915[],,MATCH(I$6,Table915[#Headers],0)),Table915[MainSpaceHeatingFuel],$B42,Table915[EnergyRating (group)],$A42)</f>
        <v>89.578947368421055</v>
      </c>
      <c r="J42" s="849">
        <f>SUMIFS(INDEX(Table915[],,MATCH(J$6,Table915[#Headers],0)),Table915[MainSpaceHeatingFuel],$B42,Table915[EnergyRating (group)],$A42)</f>
        <v>489223</v>
      </c>
      <c r="K42" s="870">
        <f>SUMIFS(INDEX(Table915[],,MATCH(K$6,Table915[#Headers],0)),Table915[MainSpaceHeatingFuel],$B42,Table915[EnergyRating (group)],$A42)</f>
        <v>400716</v>
      </c>
      <c r="M42" s="840"/>
      <c r="N42" s="914" t="str">
        <f>RSD_Commodities!$M$30&amp;"_"&amp;RIGHT(P42,LEN(P42)-3)&amp;"_"&amp;SETUP!$B$68</f>
        <v>SH_Det-B3_OILLPG_X1</v>
      </c>
      <c r="O42" s="914" t="str">
        <f>RSD_Commodities!$N$30&amp;"_"&amp;RSD_Commodities!D11&amp;"_"&amp;SETUP!$C$68</f>
        <v>Residential Space Heating Detached-B3_LPG to Residential_Existing 01</v>
      </c>
      <c r="P42" s="915" t="str">
        <f>RSD_Commodities!$C$11</f>
        <v>RSDOILLPG</v>
      </c>
      <c r="Q42" s="930" t="str">
        <f>RSD_Commodities!$M$12</f>
        <v>SH_Apt-B3</v>
      </c>
      <c r="R42" s="1000">
        <f t="shared" si="19"/>
        <v>1.1447140061297588E-3</v>
      </c>
      <c r="S42" s="932">
        <f>R42*DwellingStocks!$I$65/1000</f>
        <v>2.4851109727232916E-2</v>
      </c>
      <c r="T42" s="914">
        <v>1</v>
      </c>
      <c r="U42" s="914">
        <f t="shared" si="18"/>
        <v>0.89578947368421058</v>
      </c>
      <c r="V42" s="930">
        <v>20</v>
      </c>
      <c r="W42" s="930">
        <v>1</v>
      </c>
      <c r="X42" s="840"/>
      <c r="Y42" s="922">
        <f t="shared" si="20"/>
        <v>2.6503810651942101E-6</v>
      </c>
      <c r="Z42" s="923">
        <f t="shared" si="21"/>
        <v>2.9284037063330304E-6</v>
      </c>
      <c r="AA42" s="840"/>
      <c r="AB42" s="939" t="s">
        <v>393</v>
      </c>
      <c r="AC42" s="930" t="str">
        <f t="shared" si="22"/>
        <v>SH_Det-B3_OILLPG_X1</v>
      </c>
      <c r="AD42" s="915" t="str">
        <f t="shared" si="22"/>
        <v>Residential Space Heating Detached-B3_LPG to Residential_Existing 01</v>
      </c>
      <c r="AE42" s="930" t="s">
        <v>53</v>
      </c>
      <c r="AF42" s="940" t="s">
        <v>406</v>
      </c>
      <c r="AG42" s="930"/>
      <c r="AH42" s="930"/>
      <c r="AI42" s="840"/>
      <c r="AJ42" s="840"/>
      <c r="AK42" s="840"/>
      <c r="AL42" s="840"/>
      <c r="AM42" s="840"/>
      <c r="AN42" s="840"/>
    </row>
    <row r="43" spans="1:40">
      <c r="A43" s="757" t="s">
        <v>114</v>
      </c>
      <c r="B43" s="757" t="s">
        <v>665</v>
      </c>
      <c r="C43" s="757">
        <f>SUMIFS(INDEX(Table915[],,MATCH(C$6,Table915[#Headers],0)),Table915[MainSpaceHeatingFuel],$B43,Table915[EnergyRating (group)],$A43)</f>
        <v>30927</v>
      </c>
      <c r="D43" s="760">
        <f>SUMIFS(INDEX(Table915[],,MATCH(D$6,Table915[#Headers],0)),Table915[MainSpaceHeatingFuel],$B43,Table915[EnergyRating (group)],$A43)</f>
        <v>28115</v>
      </c>
      <c r="E43" s="760">
        <f>SUMIFS(INDEX(Table915[],,MATCH(E$6,Table915[#Headers],0)),Table915[MainSpaceHeatingFuel],$B43,Table915[EnergyRating (group)],$A43)</f>
        <v>988</v>
      </c>
      <c r="F43" s="757">
        <f>SUMIFS(INDEX(Table915[],,MATCH(F$6,Table915[#Headers],0)),Table915[MainSpaceHeatingFuel],$B43,Table915[EnergyRating (group)],$A43)</f>
        <v>567</v>
      </c>
      <c r="G43" s="757">
        <f>SUMIFS(INDEX(Table915[],,MATCH(G$6,Table915[#Headers],0)),Table915[MainSpaceHeatingFuel],$B43,Table915[EnergyRating (group)],$A43)</f>
        <v>5</v>
      </c>
      <c r="H43" s="912">
        <f>SUMIFS(INDEX(Table915[],,MATCH(H$6,Table915[#Headers],0)),Table915[MainSpaceHeatingFuel],$B43,Table915[EnergyRating (group)],$A43)</f>
        <v>408</v>
      </c>
      <c r="I43" s="912">
        <f>AVERAGEIFS(INDEX(Table915[],,MATCH(I$6,Table915[#Headers],0)),Table915[MainSpaceHeatingFuel],$B43,Table915[EnergyRating (group)],$A43)</f>
        <v>73.25</v>
      </c>
      <c r="J43" s="847">
        <f>SUMIFS(INDEX(Table915[],,MATCH(J$6,Table915[#Headers],0)),Table915[MainSpaceHeatingFuel],$B43,Table915[EnergyRating (group)],$A43)</f>
        <v>57280</v>
      </c>
      <c r="K43" s="869">
        <f>SUMIFS(INDEX(Table915[],,MATCH(K$6,Table915[#Headers],0)),Table915[MainSpaceHeatingFuel],$B43,Table915[EnergyRating (group)],$A43)</f>
        <v>46234</v>
      </c>
      <c r="M43" s="840"/>
      <c r="N43" s="66" t="str">
        <f>RSD_Commodities!$M$30&amp;"_"&amp;RSD_Commodities!$C$26&amp;"_"&amp;SETUP!$B$67</f>
        <v>SH_Det-B3_RSDSMF_X0</v>
      </c>
      <c r="O43" s="933" t="str">
        <f>RSD_Commodities!$N$30&amp;"_"&amp;RSD_Commodities!$D$26&amp;"_"&amp;SETUP!$C$67</f>
        <v>Residential Space Heating Detached-B3_Solid Multi-Fuel_Existing 00</v>
      </c>
      <c r="P43" s="83" t="str">
        <f>RSD_Commodities!$C$6&amp;","&amp;RSD_Commodities!$C$7&amp;","&amp;RSD_Commodities!$C$9&amp;","&amp;RSD_Commodities!$C$10&amp;","&amp;RSD_Commodities!$C$19</f>
        <v>RSDCOABIT,RSDCOAHAR,RSDCOALIG,RSDPEA,RSDBIOWOO</v>
      </c>
      <c r="Q43" s="935" t="str">
        <f>RSD_Commodities!$M$12</f>
        <v>SH_Apt-B3</v>
      </c>
      <c r="R43" s="1001">
        <f t="shared" si="19"/>
        <v>1.8463129131125142E-4</v>
      </c>
      <c r="S43" s="937">
        <f>R43*DwellingStocks!$I$65/1000</f>
        <v>4.0082435043924062E-3</v>
      </c>
      <c r="T43" s="66">
        <v>1</v>
      </c>
      <c r="U43" s="66">
        <f t="shared" si="18"/>
        <v>0.73250000000000004</v>
      </c>
      <c r="V43" s="935">
        <v>20</v>
      </c>
      <c r="W43" s="935">
        <v>1</v>
      </c>
      <c r="X43" s="840"/>
      <c r="Y43" s="920">
        <f t="shared" si="20"/>
        <v>4.7245660353280689E-8</v>
      </c>
      <c r="Z43" s="921">
        <f t="shared" si="21"/>
        <v>5.2571133469596026E-8</v>
      </c>
      <c r="AA43" s="840"/>
      <c r="AB43" s="938" t="s">
        <v>393</v>
      </c>
      <c r="AC43" s="840" t="str">
        <f t="shared" si="22"/>
        <v>SH_Det-B3_RSDSMF_X0</v>
      </c>
      <c r="AD43" s="840" t="str">
        <f t="shared" si="22"/>
        <v>Residential Space Heating Detached-B3_Solid Multi-Fuel_Existing 00</v>
      </c>
      <c r="AE43" s="840" t="s">
        <v>53</v>
      </c>
      <c r="AF43" s="868" t="s">
        <v>406</v>
      </c>
      <c r="AG43" s="840"/>
      <c r="AH43" s="840"/>
      <c r="AI43" s="840"/>
      <c r="AJ43" s="840"/>
      <c r="AK43" s="840"/>
      <c r="AL43" s="840"/>
      <c r="AM43" s="840"/>
      <c r="AN43" s="840"/>
    </row>
    <row r="44" spans="1:40">
      <c r="A44" s="758" t="s">
        <v>114</v>
      </c>
      <c r="B44" s="758" t="s">
        <v>669</v>
      </c>
      <c r="C44" s="758">
        <f>SUMIFS(INDEX(Table915[],,MATCH(C$6,Table915[#Headers],0)),Table915[MainSpaceHeatingFuel],$B44,Table915[EnergyRating (group)],$A44)</f>
        <v>8852</v>
      </c>
      <c r="D44" s="759">
        <f>SUMIFS(INDEX(Table915[],,MATCH(D$6,Table915[#Headers],0)),Table915[MainSpaceHeatingFuel],$B44,Table915[EnergyRating (group)],$A44)</f>
        <v>7377</v>
      </c>
      <c r="E44" s="759">
        <f>SUMIFS(INDEX(Table915[],,MATCH(E$6,Table915[#Headers],0)),Table915[MainSpaceHeatingFuel],$B44,Table915[EnergyRating (group)],$A44)</f>
        <v>1354</v>
      </c>
      <c r="F44" s="758">
        <f>SUMIFS(INDEX(Table915[],,MATCH(F$6,Table915[#Headers],0)),Table915[MainSpaceHeatingFuel],$B44,Table915[EnergyRating (group)],$A44)</f>
        <v>1231</v>
      </c>
      <c r="G44" s="758">
        <f>SUMIFS(INDEX(Table915[],,MATCH(G$6,Table915[#Headers],0)),Table915[MainSpaceHeatingFuel],$B44,Table915[EnergyRating (group)],$A44)</f>
        <v>1</v>
      </c>
      <c r="H44" s="911">
        <f>SUMIFS(INDEX(Table915[],,MATCH(H$6,Table915[#Headers],0)),Table915[MainSpaceHeatingFuel],$B44,Table915[EnergyRating (group)],$A44)</f>
        <v>127</v>
      </c>
      <c r="I44" s="911">
        <f>AVERAGEIFS(INDEX(Table915[],,MATCH(I$6,Table915[#Headers],0)),Table915[MainSpaceHeatingFuel],$B44,Table915[EnergyRating (group)],$A44)</f>
        <v>90</v>
      </c>
      <c r="J44" s="849">
        <f>SUMIFS(INDEX(Table915[],,MATCH(J$6,Table915[#Headers],0)),Table915[MainSpaceHeatingFuel],$B44,Table915[EnergyRating (group)],$A44)</f>
        <v>17613</v>
      </c>
      <c r="K44" s="870">
        <f>SUMIFS(INDEX(Table915[],,MATCH(K$6,Table915[#Headers],0)),Table915[MainSpaceHeatingFuel],$B44,Table915[EnergyRating (group)],$A44)</f>
        <v>13883</v>
      </c>
      <c r="M44" s="840"/>
      <c r="N44" s="914" t="str">
        <f>RSD_Commodities!$M$30&amp;"_"&amp;RIGHT(P44,LEN(P44)-3)&amp;"_"&amp;SETUP!$B$67</f>
        <v>SH_Det-B3_COAHAR_X0</v>
      </c>
      <c r="O44" s="914" t="str">
        <f>RSD_Commodities!$N$30&amp;"_"&amp;RSD_Commodities!D19&amp;"_"&amp;SETUP!$C$67</f>
        <v>Residential Space Heating Detached-B3_Biomass &amp; Renewable Waste to Residential_Existing 00</v>
      </c>
      <c r="P44" s="915" t="str">
        <f>RSD_Commodities!$C$7</f>
        <v>RSDCOAHAR</v>
      </c>
      <c r="Q44" s="930" t="str">
        <f>RSD_Commodities!$M$12</f>
        <v>SH_Apt-B3</v>
      </c>
      <c r="R44" s="1000">
        <f t="shared" si="19"/>
        <v>3.6926258262250288E-5</v>
      </c>
      <c r="S44" s="932">
        <f>R44*DwellingStocks!$I$65/1000</f>
        <v>8.016487008784813E-4</v>
      </c>
      <c r="T44" s="914">
        <v>1</v>
      </c>
      <c r="U44" s="914">
        <f t="shared" ref="U44:U47" si="23">I44/100</f>
        <v>0.9</v>
      </c>
      <c r="V44" s="930">
        <v>20</v>
      </c>
      <c r="W44" s="930">
        <v>1</v>
      </c>
      <c r="X44" s="840"/>
      <c r="Y44" s="920">
        <f t="shared" ref="Y44:Y47" si="24">ABS((D44+F44)*S44*1000*$B$2)</f>
        <v>2.835859733080261E-9</v>
      </c>
      <c r="Z44" s="921">
        <f t="shared" ref="Z44:Z47" si="25">ABS((C44+E44)*S44*1000*$B$2)</f>
        <v>3.3623123182873074E-9</v>
      </c>
      <c r="AA44" s="840"/>
      <c r="AB44" s="939" t="s">
        <v>393</v>
      </c>
      <c r="AC44" s="930" t="str">
        <f t="shared" ref="AC44:AC47" si="26">N44</f>
        <v>SH_Det-B3_COAHAR_X0</v>
      </c>
      <c r="AD44" s="915" t="str">
        <f t="shared" ref="AD44:AD47" si="27">O44</f>
        <v>Residential Space Heating Detached-B3_Biomass &amp; Renewable Waste to Residential_Existing 00</v>
      </c>
      <c r="AE44" s="930" t="s">
        <v>53</v>
      </c>
      <c r="AF44" s="940" t="s">
        <v>406</v>
      </c>
      <c r="AG44" s="930"/>
      <c r="AH44" s="930"/>
      <c r="AI44" s="840"/>
      <c r="AJ44" s="840"/>
      <c r="AK44" s="840"/>
      <c r="AL44" s="840"/>
      <c r="AM44" s="840"/>
      <c r="AN44" s="840"/>
    </row>
    <row r="45" spans="1:40">
      <c r="A45" s="757" t="s">
        <v>114</v>
      </c>
      <c r="B45" s="757" t="s">
        <v>666</v>
      </c>
      <c r="C45" s="757">
        <f>SUMIFS(INDEX(Table915[],,MATCH(C$6,Table915[#Headers],0)),Table915[MainSpaceHeatingFuel],$B45,Table915[EnergyRating (group)],$A45)</f>
        <v>12235</v>
      </c>
      <c r="D45" s="757">
        <f>SUMIFS(INDEX(Table915[],,MATCH(D$6,Table915[#Headers],0)),Table915[MainSpaceHeatingFuel],$B45,Table915[EnergyRating (group)],$A45)</f>
        <v>11123</v>
      </c>
      <c r="E45" s="757">
        <f>SUMIFS(INDEX(Table915[],,MATCH(E$6,Table915[#Headers],0)),Table915[MainSpaceHeatingFuel],$B45,Table915[EnergyRating (group)],$A45)</f>
        <v>0</v>
      </c>
      <c r="F45" s="757">
        <f>SUMIFS(INDEX(Table915[],,MATCH(F$6,Table915[#Headers],0)),Table915[MainSpaceHeatingFuel],$B45,Table915[EnergyRating (group)],$A45)</f>
        <v>0</v>
      </c>
      <c r="G45" s="757">
        <f>SUMIFS(INDEX(Table915[],,MATCH(G$6,Table915[#Headers],0)),Table915[MainSpaceHeatingFuel],$B45,Table915[EnergyRating (group)],$A45)</f>
        <v>1</v>
      </c>
      <c r="H45" s="912">
        <f>SUMIFS(INDEX(Table915[],,MATCH(H$6,Table915[#Headers],0)),Table915[MainSpaceHeatingFuel],$B45,Table915[EnergyRating (group)],$A45)</f>
        <v>122</v>
      </c>
      <c r="I45" s="912">
        <f>AVERAGEIFS(INDEX(Table915[],,MATCH(I$6,Table915[#Headers],0)),Table915[MainSpaceHeatingFuel],$B45,Table915[EnergyRating (group)],$A45)</f>
        <v>94</v>
      </c>
      <c r="J45" s="847">
        <f>SUMIFS(INDEX(Table915[],,MATCH(J$6,Table915[#Headers],0)),Table915[MainSpaceHeatingFuel],$B45,Table915[EnergyRating (group)],$A45)</f>
        <v>18299</v>
      </c>
      <c r="K45" s="869">
        <f>SUMIFS(INDEX(Table915[],,MATCH(K$6,Table915[#Headers],0)),Table915[MainSpaceHeatingFuel],$B45,Table915[EnergyRating (group)],$A45)</f>
        <v>15499</v>
      </c>
      <c r="M45" s="840"/>
      <c r="N45" s="66" t="str">
        <f>RSD_Commodities!$M$30&amp;"_"&amp;RIGHT(P45,LEN(P45)-3)&amp;"_"&amp;SETUP!$B$67</f>
        <v>SH_Det-B3_COABIT_X0</v>
      </c>
      <c r="O45" s="933" t="str">
        <f>RSD_Commodities!$N$30&amp;"_"&amp;RSD_Commodities!D6&amp;"_"&amp;SETUP!$C$67</f>
        <v>Residential Space Heating Detached-B3_Bituminous Coal to Residential_Existing 00</v>
      </c>
      <c r="P45" s="83" t="str">
        <f>RSD_Commodities!$C$6</f>
        <v>RSDCOABIT</v>
      </c>
      <c r="Q45" s="935" t="str">
        <f>RSD_Commodities!$M$12</f>
        <v>SH_Apt-B3</v>
      </c>
      <c r="R45" s="1001">
        <f t="shared" si="19"/>
        <v>3.6926258262250288E-5</v>
      </c>
      <c r="S45" s="937">
        <f>R45*DwellingStocks!$I$65/1000</f>
        <v>8.016487008784813E-4</v>
      </c>
      <c r="T45" s="66">
        <v>1</v>
      </c>
      <c r="U45" s="66">
        <f t="shared" si="23"/>
        <v>0.94</v>
      </c>
      <c r="V45" s="935">
        <v>20</v>
      </c>
      <c r="W45" s="935">
        <v>1</v>
      </c>
      <c r="X45" s="840"/>
      <c r="Y45" s="920">
        <f t="shared" si="24"/>
        <v>3.6644130821389106E-9</v>
      </c>
      <c r="Z45" s="921">
        <f t="shared" si="25"/>
        <v>4.0307555569513228E-9</v>
      </c>
      <c r="AA45" s="840"/>
      <c r="AB45" s="938" t="s">
        <v>393</v>
      </c>
      <c r="AC45" s="840" t="str">
        <f t="shared" si="26"/>
        <v>SH_Det-B3_COABIT_X0</v>
      </c>
      <c r="AD45" s="840" t="str">
        <f t="shared" si="27"/>
        <v>Residential Space Heating Detached-B3_Bituminous Coal to Residential_Existing 00</v>
      </c>
      <c r="AE45" s="840" t="s">
        <v>53</v>
      </c>
      <c r="AF45" s="868" t="s">
        <v>406</v>
      </c>
      <c r="AG45" s="840"/>
      <c r="AH45" s="840"/>
      <c r="AI45" s="840"/>
      <c r="AJ45" s="840"/>
      <c r="AK45" s="840"/>
      <c r="AL45" s="840"/>
      <c r="AM45" s="840"/>
      <c r="AN45" s="840"/>
    </row>
    <row r="46" spans="1:40">
      <c r="A46" s="758" t="s">
        <v>114</v>
      </c>
      <c r="B46" s="758" t="s">
        <v>668</v>
      </c>
      <c r="C46" s="758">
        <f>SUMIFS(INDEX(Table915[],,MATCH(C$6,Table915[#Headers],0)),Table915[MainSpaceHeatingFuel],$B46,Table915[EnergyRating (group)],$A46)</f>
        <v>14485</v>
      </c>
      <c r="D46" s="759">
        <f>SUMIFS(INDEX(Table915[],,MATCH(D$6,Table915[#Headers],0)),Table915[MainSpaceHeatingFuel],$B46,Table915[EnergyRating (group)],$A46)</f>
        <v>13169</v>
      </c>
      <c r="E46" s="759">
        <f>SUMIFS(INDEX(Table915[],,MATCH(E$6,Table915[#Headers],0)),Table915[MainSpaceHeatingFuel],$B46,Table915[EnergyRating (group)],$A46)</f>
        <v>1829</v>
      </c>
      <c r="F46" s="758">
        <f>SUMIFS(INDEX(Table915[],,MATCH(F$6,Table915[#Headers],0)),Table915[MainSpaceHeatingFuel],$B46,Table915[EnergyRating (group)],$A46)</f>
        <v>1663</v>
      </c>
      <c r="G46" s="758">
        <f>SUMIFS(INDEX(Table915[],,MATCH(G$6,Table915[#Headers],0)),Table915[MainSpaceHeatingFuel],$B46,Table915[EnergyRating (group)],$A46)</f>
        <v>2</v>
      </c>
      <c r="H46" s="911">
        <f>SUMIFS(INDEX(Table915[],,MATCH(H$6,Table915[#Headers],0)),Table915[MainSpaceHeatingFuel],$B46,Table915[EnergyRating (group)],$A46)</f>
        <v>195</v>
      </c>
      <c r="I46" s="911">
        <f>AVERAGEIFS(INDEX(Table915[],,MATCH(I$6,Table915[#Headers],0)),Table915[MainSpaceHeatingFuel],$B46,Table915[EnergyRating (group)],$A46)</f>
        <v>77</v>
      </c>
      <c r="J46" s="849">
        <f>SUMIFS(INDEX(Table915[],,MATCH(J$6,Table915[#Headers],0)),Table915[MainSpaceHeatingFuel],$B46,Table915[EnergyRating (group)],$A46)</f>
        <v>26973</v>
      </c>
      <c r="K46" s="870">
        <f>SUMIFS(INDEX(Table915[],,MATCH(K$6,Table915[#Headers],0)),Table915[MainSpaceHeatingFuel],$B46,Table915[EnergyRating (group)],$A46)</f>
        <v>21054</v>
      </c>
      <c r="M46" s="840"/>
      <c r="N46" s="914" t="str">
        <f>RSD_Commodities!$M$30&amp;"_"&amp;RIGHT(P46,LEN(P46)-3)&amp;"_"&amp;SETUP!$B$69</f>
        <v>SH_Det-B3_BIOWOO_X2</v>
      </c>
      <c r="O46" s="914" t="str">
        <f>RSD_Commodities!$N$30&amp;"_"&amp;RSD_Commodities!D19&amp;"_"&amp;SETUP!$C$69</f>
        <v>Residential Space Heating Detached-B3_Biomass &amp; Renewable Waste to Residential_Existing 02</v>
      </c>
      <c r="P46" s="915" t="str">
        <f>RSD_Commodities!$C$19</f>
        <v>RSDBIOWOO</v>
      </c>
      <c r="Q46" s="930" t="str">
        <f>RSD_Commodities!$M$12</f>
        <v>SH_Apt-B3</v>
      </c>
      <c r="R46" s="1000">
        <f t="shared" si="19"/>
        <v>7.3852516524500577E-5</v>
      </c>
      <c r="S46" s="932">
        <f>R46*DwellingStocks!$I$65/1000</f>
        <v>1.6032974017569626E-3</v>
      </c>
      <c r="T46" s="914">
        <v>1</v>
      </c>
      <c r="U46" s="914">
        <f t="shared" si="23"/>
        <v>0.77</v>
      </c>
      <c r="V46" s="930">
        <v>20</v>
      </c>
      <c r="W46" s="930">
        <v>1</v>
      </c>
      <c r="X46" s="840"/>
      <c r="Y46" s="920">
        <f t="shared" si="24"/>
        <v>9.7726467381613447E-9</v>
      </c>
      <c r="Z46" s="921">
        <f t="shared" si="25"/>
        <v>1.0749120744765653E-8</v>
      </c>
      <c r="AA46" s="840"/>
      <c r="AB46" s="939" t="s">
        <v>393</v>
      </c>
      <c r="AC46" s="930" t="str">
        <f t="shared" si="26"/>
        <v>SH_Det-B3_BIOWOO_X2</v>
      </c>
      <c r="AD46" s="915" t="str">
        <f t="shared" si="27"/>
        <v>Residential Space Heating Detached-B3_Biomass &amp; Renewable Waste to Residential_Existing 02</v>
      </c>
      <c r="AE46" s="930" t="s">
        <v>53</v>
      </c>
      <c r="AF46" s="940" t="s">
        <v>406</v>
      </c>
      <c r="AG46" s="930"/>
      <c r="AH46" s="930"/>
      <c r="AI46" s="840"/>
      <c r="AJ46" s="840"/>
      <c r="AK46" s="840"/>
      <c r="AL46" s="840"/>
      <c r="AM46" s="840"/>
      <c r="AN46" s="840"/>
    </row>
    <row r="47" spans="1:40" ht="15.75" thickBot="1">
      <c r="A47" s="757" t="s">
        <v>114</v>
      </c>
      <c r="B47" s="757" t="s">
        <v>673</v>
      </c>
      <c r="C47" s="757">
        <f>SUMIFS(INDEX(Table915[],,MATCH(C$6,Table915[#Headers],0)),Table915[MainSpaceHeatingFuel],$B47,Table915[EnergyRating (group)],$A47)</f>
        <v>11440</v>
      </c>
      <c r="D47" s="757">
        <f>SUMIFS(INDEX(Table915[],,MATCH(D$6,Table915[#Headers],0)),Table915[MainSpaceHeatingFuel],$B47,Table915[EnergyRating (group)],$A47)</f>
        <v>10400</v>
      </c>
      <c r="E47" s="757">
        <f>SUMIFS(INDEX(Table915[],,MATCH(E$6,Table915[#Headers],0)),Table915[MainSpaceHeatingFuel],$B47,Table915[EnergyRating (group)],$A47)</f>
        <v>0</v>
      </c>
      <c r="F47" s="757">
        <f>SUMIFS(INDEX(Table915[],,MATCH(F$6,Table915[#Headers],0)),Table915[MainSpaceHeatingFuel],$B47,Table915[EnergyRating (group)],$A47)</f>
        <v>0</v>
      </c>
      <c r="G47" s="757">
        <f>SUMIFS(INDEX(Table915[],,MATCH(G$6,Table915[#Headers],0)),Table915[MainSpaceHeatingFuel],$B47,Table915[EnergyRating (group)],$A47)</f>
        <v>1</v>
      </c>
      <c r="H47" s="912">
        <f>SUMIFS(INDEX(Table915[],,MATCH(H$6,Table915[#Headers],0)),Table915[MainSpaceHeatingFuel],$B47,Table915[EnergyRating (group)],$A47)</f>
        <v>159</v>
      </c>
      <c r="I47" s="912">
        <f>AVERAGEIFS(INDEX(Table915[],,MATCH(I$6,Table915[#Headers],0)),Table915[MainSpaceHeatingFuel],$B47,Table915[EnergyRating (group)],$A47)</f>
        <v>81</v>
      </c>
      <c r="J47" s="847">
        <f>SUMIFS(INDEX(Table915[],,MATCH(J$6,Table915[#Headers],0)),Table915[MainSpaceHeatingFuel],$B47,Table915[EnergyRating (group)],$A47)</f>
        <v>20748</v>
      </c>
      <c r="K47" s="869">
        <f>SUMIFS(INDEX(Table915[],,MATCH(K$6,Table915[#Headers],0)),Table915[MainSpaceHeatingFuel],$B47,Table915[EnergyRating (group)],$A47)</f>
        <v>15871</v>
      </c>
      <c r="M47" s="840"/>
      <c r="N47" s="66" t="str">
        <f>RSD_Commodities!$M$30&amp;"_"&amp;RIGHT(P47,LEN(P47)-3)&amp;"_"&amp;SETUP!$B$68</f>
        <v>SH_Det-B3_BIOWOO_X1</v>
      </c>
      <c r="O47" s="933" t="str">
        <f>RSD_Commodities!$N$30&amp;"_"&amp;RSD_Commodities!D19&amp;"_"&amp;SETUP!$C$68</f>
        <v>Residential Space Heating Detached-B3_Biomass &amp; Renewable Waste to Residential_Existing 01</v>
      </c>
      <c r="P47" s="83" t="str">
        <f>RSD_Commodities!$C$19</f>
        <v>RSDBIOWOO</v>
      </c>
      <c r="Q47" s="935" t="str">
        <f>RSD_Commodities!$M$12</f>
        <v>SH_Apt-B3</v>
      </c>
      <c r="R47" s="1001">
        <f t="shared" si="19"/>
        <v>3.6926258262250288E-5</v>
      </c>
      <c r="S47" s="937">
        <f>R47*DwellingStocks!$I$65/1000</f>
        <v>8.016487008784813E-4</v>
      </c>
      <c r="T47" s="66">
        <v>1</v>
      </c>
      <c r="U47" s="66">
        <f t="shared" si="23"/>
        <v>0.81</v>
      </c>
      <c r="V47" s="935">
        <v>20</v>
      </c>
      <c r="W47" s="935">
        <v>1</v>
      </c>
      <c r="X47" s="840"/>
      <c r="Y47" s="920">
        <f t="shared" si="24"/>
        <v>3.4262245845765239E-9</v>
      </c>
      <c r="Z47" s="921">
        <f t="shared" si="25"/>
        <v>3.7688470430341753E-9</v>
      </c>
      <c r="AA47" s="840"/>
      <c r="AB47" s="938" t="s">
        <v>393</v>
      </c>
      <c r="AC47" s="840" t="str">
        <f t="shared" si="26"/>
        <v>SH_Det-B3_BIOWOO_X1</v>
      </c>
      <c r="AD47" s="840" t="str">
        <f t="shared" si="27"/>
        <v>Residential Space Heating Detached-B3_Biomass &amp; Renewable Waste to Residential_Existing 01</v>
      </c>
      <c r="AE47" s="840" t="s">
        <v>53</v>
      </c>
      <c r="AF47" s="868" t="s">
        <v>406</v>
      </c>
      <c r="AG47" s="840"/>
      <c r="AH47" s="840"/>
      <c r="AI47" s="840"/>
      <c r="AJ47" s="840"/>
      <c r="AK47" s="840"/>
      <c r="AL47" s="840"/>
      <c r="AM47" s="840"/>
      <c r="AN47" s="840"/>
    </row>
    <row r="48" spans="1:40" ht="15.75" thickBot="1">
      <c r="A48" s="756" t="s">
        <v>116</v>
      </c>
      <c r="B48" s="1048"/>
      <c r="C48" s="1049"/>
      <c r="D48" s="1049"/>
      <c r="E48" s="1049"/>
      <c r="F48" s="1049"/>
      <c r="G48" s="1049"/>
      <c r="H48" s="1049"/>
      <c r="I48" s="1053"/>
      <c r="J48" s="736" t="s">
        <v>565</v>
      </c>
      <c r="K48" s="737" t="s">
        <v>565</v>
      </c>
      <c r="M48" s="840"/>
      <c r="N48" s="76" t="str">
        <f>AB48</f>
        <v>*C Rating</v>
      </c>
      <c r="O48" s="76"/>
      <c r="P48" s="76"/>
      <c r="Q48" s="76"/>
      <c r="R48" s="949">
        <f>SUM(R49:R63)</f>
        <v>1</v>
      </c>
      <c r="S48" s="76"/>
      <c r="T48" s="97"/>
      <c r="U48" s="76"/>
      <c r="V48" s="76"/>
      <c r="W48" s="76"/>
      <c r="X48" s="840"/>
      <c r="Y48" s="76"/>
      <c r="Z48" s="76"/>
      <c r="AA48" s="840"/>
      <c r="AB48" s="140" t="str">
        <f>"*"&amp; A49 &amp; " Rating"</f>
        <v>*C Rating</v>
      </c>
      <c r="AC48" s="141"/>
      <c r="AD48" s="141"/>
      <c r="AE48" s="141"/>
      <c r="AF48" s="141"/>
      <c r="AG48" s="141"/>
      <c r="AH48" s="141"/>
      <c r="AI48" s="840"/>
      <c r="AJ48" s="840"/>
      <c r="AK48" s="840"/>
      <c r="AL48" s="840"/>
      <c r="AM48" s="840"/>
      <c r="AN48" s="840"/>
    </row>
    <row r="49" spans="1:40">
      <c r="A49" s="757" t="s">
        <v>116</v>
      </c>
      <c r="B49" s="757" t="s">
        <v>582</v>
      </c>
      <c r="C49" s="757">
        <f>SUMIFS(INDEX(Table915[],,MATCH(C$6,Table915[#Headers],0)),Table915[MainSpaceHeatingFuel],$B49,Table915[EnergyRating (group)],$A49)</f>
        <v>22712152</v>
      </c>
      <c r="D49" s="757">
        <f>SUMIFS(INDEX(Table915[],,MATCH(D$6,Table915[#Headers],0)),Table915[MainSpaceHeatingFuel],$B49,Table915[EnergyRating (group)],$A49)</f>
        <v>20647408</v>
      </c>
      <c r="E49" s="757">
        <f>SUMIFS(INDEX(Table915[],,MATCH(E$6,Table915[#Headers],0)),Table915[MainSpaceHeatingFuel],$B49,Table915[EnergyRating (group)],$A49)</f>
        <v>5656843</v>
      </c>
      <c r="F49" s="757">
        <f>SUMIFS(INDEX(Table915[],,MATCH(F$6,Table915[#Headers],0)),Table915[MainSpaceHeatingFuel],$B49,Table915[EnergyRating (group)],$A49)</f>
        <v>5092839</v>
      </c>
      <c r="G49" s="757">
        <f>SUMIFS(INDEX(Table915[],,MATCH(G$6,Table915[#Headers],0)),Table915[MainSpaceHeatingFuel],$B49,Table915[EnergyRating (group)],$A49)</f>
        <v>2464</v>
      </c>
      <c r="H49" s="757">
        <f>SUMIFS(INDEX(Table915[],,MATCH(H$6,Table915[#Headers],0)),Table915[MainSpaceHeatingFuel],$B49,Table915[EnergyRating (group)],$A49)</f>
        <v>259316</v>
      </c>
      <c r="I49" s="912">
        <f>AVERAGEIFS(INDEX(Table915[],,MATCH(I$6,Table915[#Headers],0)),Table915[MainSpaceHeatingFuel],$B49,Table915[EnergyRating (group)],$A49)</f>
        <v>82.482142857142861</v>
      </c>
      <c r="J49" s="847">
        <f>SUMIFS(INDEX(Table915[],,MATCH(J$6,Table915[#Headers],0)),Table915[MainSpaceHeatingFuel],$B49,Table915[EnergyRating (group)],$A49)</f>
        <v>47414139</v>
      </c>
      <c r="K49" s="847">
        <f>SUMIFS(INDEX(Table915[],,MATCH(K$6,Table915[#Headers],0)),Table915[MainSpaceHeatingFuel],$B49,Table915[EnergyRating (group)],$A49)</f>
        <v>38928622</v>
      </c>
      <c r="M49" s="840"/>
      <c r="N49" s="914" t="str">
        <f>RSD_Commodities!$M$31&amp;"_"&amp;RIGHT(P49,LEN(P49)-3)&amp;"_"&amp;SETUP!$B$67</f>
        <v>SH_Det-C_OILLPG_X0</v>
      </c>
      <c r="O49" s="914" t="str">
        <f>RSD_Commodities!$N$31&amp;"_"&amp;RSD_Commodities!D11&amp;"_"&amp;SETUP!$C$67</f>
        <v>Residential Space Heating Detached-C_LPG to Residential_Existing 00</v>
      </c>
      <c r="P49" s="915" t="str">
        <f>RSD_Commodities!$C$11</f>
        <v>RSDOILLPG</v>
      </c>
      <c r="Q49" s="930" t="str">
        <f>RSD_Commodities!$M$13</f>
        <v>SH_Apt-C</v>
      </c>
      <c r="R49" s="1000">
        <f>G49/SUM($G$49:$G$63)</f>
        <v>1.5216921414234986E-2</v>
      </c>
      <c r="S49" s="932">
        <f>R49*DwellingStocks!$I$66/1000</f>
        <v>1.0829027371465199</v>
      </c>
      <c r="T49" s="914">
        <v>1</v>
      </c>
      <c r="U49" s="914">
        <f t="shared" si="18"/>
        <v>0.82482142857142859</v>
      </c>
      <c r="V49" s="930">
        <v>20</v>
      </c>
      <c r="W49" s="930">
        <v>1</v>
      </c>
      <c r="X49" s="840"/>
      <c r="Y49" s="926">
        <f t="shared" ref="Y49:Y58" si="28">ABS((D49+F49)*S49*1000*$B$2)</f>
        <v>1.1455144081285274E-2</v>
      </c>
      <c r="Z49" s="927">
        <f t="shared" ref="Z49:Z58" si="29">ABS((C49+E49)*S49*1000*$B$2)</f>
        <v>1.2625011918738058E-2</v>
      </c>
      <c r="AA49" s="840"/>
      <c r="AB49" s="914" t="s">
        <v>393</v>
      </c>
      <c r="AC49" s="914" t="str">
        <f t="shared" ref="AC49:AD58" si="30">N49</f>
        <v>SH_Det-C_OILLPG_X0</v>
      </c>
      <c r="AD49" s="914" t="str">
        <f t="shared" si="30"/>
        <v>Residential Space Heating Detached-C_LPG to Residential_Existing 00</v>
      </c>
      <c r="AE49" s="914" t="s">
        <v>53</v>
      </c>
      <c r="AF49" s="914" t="s">
        <v>406</v>
      </c>
      <c r="AG49" s="914"/>
      <c r="AH49" s="914"/>
      <c r="AI49" s="840"/>
      <c r="AJ49" s="840"/>
      <c r="AK49" s="840"/>
      <c r="AL49" s="840"/>
      <c r="AM49" s="840"/>
      <c r="AN49" s="840"/>
    </row>
    <row r="50" spans="1:40">
      <c r="A50" s="758" t="s">
        <v>116</v>
      </c>
      <c r="B50" s="758" t="s">
        <v>228</v>
      </c>
      <c r="C50" s="758">
        <f>SUMIFS(INDEX(Table915[],,MATCH(C$6,Table915[#Headers],0)),Table915[MainSpaceHeatingFuel],$B50,Table915[EnergyRating (group)],$A50)</f>
        <v>19728179</v>
      </c>
      <c r="D50" s="758">
        <f>SUMIFS(INDEX(Table915[],,MATCH(D$6,Table915[#Headers],0)),Table915[MainSpaceHeatingFuel],$B50,Table915[EnergyRating (group)],$A50)</f>
        <v>7306734</v>
      </c>
      <c r="E50" s="759">
        <f>SUMIFS(INDEX(Table915[],,MATCH(E$6,Table915[#Headers],0)),Table915[MainSpaceHeatingFuel],$B50,Table915[EnergyRating (group)],$A50)</f>
        <v>3231712</v>
      </c>
      <c r="F50" s="759">
        <f>SUMIFS(INDEX(Table915[],,MATCH(F$6,Table915[#Headers],0)),Table915[MainSpaceHeatingFuel],$B50,Table915[EnergyRating (group)],$A50)</f>
        <v>1858882</v>
      </c>
      <c r="G50" s="758">
        <f>SUMIFS(INDEX(Table915[],,MATCH(G$6,Table915[#Headers],0)),Table915[MainSpaceHeatingFuel],$B50,Table915[EnergyRating (group)],$A50)</f>
        <v>2174</v>
      </c>
      <c r="H50" s="758">
        <f>SUMIFS(INDEX(Table915[],,MATCH(H$6,Table915[#Headers],0)),Table915[MainSpaceHeatingFuel],$B50,Table915[EnergyRating (group)],$A50)</f>
        <v>207921</v>
      </c>
      <c r="I50" s="911">
        <f>AVERAGEIFS(INDEX(Table915[],,MATCH(I$6,Table915[#Headers],0)),Table915[MainSpaceHeatingFuel],$B50,Table915[EnergyRating (group)],$A50)</f>
        <v>144.43243243243242</v>
      </c>
      <c r="J50" s="849">
        <f>SUMIFS(INDEX(Table915[],,MATCH(J$6,Table915[#Headers],0)),Table915[MainSpaceHeatingFuel],$B50,Table915[EnergyRating (group)],$A50)</f>
        <v>42400818</v>
      </c>
      <c r="K50" s="849">
        <f>SUMIFS(INDEX(Table915[],,MATCH(K$6,Table915[#Headers],0)),Table915[MainSpaceHeatingFuel],$B50,Table915[EnergyRating (group)],$A50)</f>
        <v>16389777</v>
      </c>
      <c r="M50" s="840"/>
      <c r="N50" s="933" t="str">
        <f>RSD_Commodities!$M$31&amp;"_"&amp;RIGHT(P50,LEN(P50)-3)&amp;"_"&amp;SETUP!$B$67</f>
        <v>SH_Det-C_ELCD_X0</v>
      </c>
      <c r="O50" s="933" t="str">
        <f>RSD_Commodities!$N$31&amp;"_"&amp;RSD_Commodities!D27&amp;"_"&amp;SETUP!$C$67</f>
        <v>Residential Space Heating Detached-C_Electricity to Residential_Existing 00</v>
      </c>
      <c r="P50" s="934" t="str">
        <f>RSD_Commodities!$C$27</f>
        <v>RSDELCD</v>
      </c>
      <c r="Q50" s="935" t="str">
        <f>RSD_Commodities!$M$13</f>
        <v>SH_Apt-C</v>
      </c>
      <c r="R50" s="1001">
        <f t="shared" ref="R50:R63" si="31">G50/SUM($G$49:$G$63)</f>
        <v>1.342596881272194E-2</v>
      </c>
      <c r="S50" s="937">
        <f>R50*DwellingStocks!$I$66/1000</f>
        <v>0.9554507104531389</v>
      </c>
      <c r="T50" s="933">
        <v>1</v>
      </c>
      <c r="U50" s="933">
        <f t="shared" si="18"/>
        <v>1.4443243243243242</v>
      </c>
      <c r="V50" s="935">
        <v>20</v>
      </c>
      <c r="W50" s="935">
        <v>1</v>
      </c>
      <c r="X50" s="840"/>
      <c r="Y50" s="928">
        <f t="shared" si="28"/>
        <v>3.5988880762769827E-3</v>
      </c>
      <c r="Z50" s="929">
        <f t="shared" si="29"/>
        <v>9.0152236306342334E-3</v>
      </c>
      <c r="AA50" s="840"/>
      <c r="AB50" s="933" t="s">
        <v>393</v>
      </c>
      <c r="AC50" s="933" t="str">
        <f t="shared" si="30"/>
        <v>SH_Det-C_ELCD_X0</v>
      </c>
      <c r="AD50" s="933" t="str">
        <f t="shared" si="30"/>
        <v>Residential Space Heating Detached-C_Electricity to Residential_Existing 00</v>
      </c>
      <c r="AE50" s="933" t="s">
        <v>53</v>
      </c>
      <c r="AF50" s="933" t="s">
        <v>406</v>
      </c>
      <c r="AG50" s="933"/>
      <c r="AH50" s="933"/>
      <c r="AI50" s="840"/>
      <c r="AJ50" s="840"/>
      <c r="AK50" s="840"/>
      <c r="AL50" s="840"/>
      <c r="AM50" s="840"/>
      <c r="AN50" s="840"/>
    </row>
    <row r="51" spans="1:40">
      <c r="A51" s="757" t="s">
        <v>116</v>
      </c>
      <c r="B51" s="757" t="s">
        <v>583</v>
      </c>
      <c r="C51" s="757">
        <f>SUMIFS(INDEX(Table915[],,MATCH(C$6,Table915[#Headers],0)),Table915[MainSpaceHeatingFuel],$B51,Table915[EnergyRating (group)],$A51)</f>
        <v>534638920</v>
      </c>
      <c r="D51" s="757">
        <f>SUMIFS(INDEX(Table915[],,MATCH(D$6,Table915[#Headers],0)),Table915[MainSpaceHeatingFuel],$B51,Table915[EnergyRating (group)],$A51)</f>
        <v>486035375</v>
      </c>
      <c r="E51" s="760">
        <f>SUMIFS(INDEX(Table915[],,MATCH(E$6,Table915[#Headers],0)),Table915[MainSpaceHeatingFuel],$B51,Table915[EnergyRating (group)],$A51)</f>
        <v>132664020</v>
      </c>
      <c r="F51" s="760">
        <f>SUMIFS(INDEX(Table915[],,MATCH(F$6,Table915[#Headers],0)),Table915[MainSpaceHeatingFuel],$B51,Table915[EnergyRating (group)],$A51)</f>
        <v>118211560</v>
      </c>
      <c r="G51" s="757">
        <f>SUMIFS(INDEX(Table915[],,MATCH(G$6,Table915[#Headers],0)),Table915[MainSpaceHeatingFuel],$B51,Table915[EnergyRating (group)],$A51)</f>
        <v>57563</v>
      </c>
      <c r="H51" s="757">
        <f>SUMIFS(INDEX(Table915[],,MATCH(H$6,Table915[#Headers],0)),Table915[MainSpaceHeatingFuel],$B51,Table915[EnergyRating (group)],$A51)</f>
        <v>5884209</v>
      </c>
      <c r="I51" s="912">
        <f>AVERAGEIFS(INDEX(Table915[],,MATCH(I$6,Table915[#Headers],0)),Table915[MainSpaceHeatingFuel],$B51,Table915[EnergyRating (group)],$A51)</f>
        <v>85.748031496062993</v>
      </c>
      <c r="J51" s="847">
        <f>SUMIFS(INDEX(Table915[],,MATCH(J$6,Table915[#Headers],0)),Table915[MainSpaceHeatingFuel],$B51,Table915[EnergyRating (group)],$A51)</f>
        <v>1135847222</v>
      </c>
      <c r="K51" s="847">
        <f>SUMIFS(INDEX(Table915[],,MATCH(K$6,Table915[#Headers],0)),Table915[MainSpaceHeatingFuel],$B51,Table915[EnergyRating (group)],$A51)</f>
        <v>914234986</v>
      </c>
      <c r="M51" s="840"/>
      <c r="N51" s="914" t="str">
        <f>RSD_Commodities!$M$31&amp;"_"&amp;RIGHT(P51,LEN(P51)-3)&amp;"_"&amp;SETUP!$B$67</f>
        <v>SH_Det-C_OILKER_X0</v>
      </c>
      <c r="O51" s="914" t="str">
        <f>RSD_Commodities!$N$31&amp;"_"&amp;RSD_Commodities!D13&amp;"_"&amp;SETUP!$C$67</f>
        <v>Residential Space Heating Detached-C_Kerosene to Residential_Existing 00</v>
      </c>
      <c r="P51" s="915" t="str">
        <f>RSD_Commodities!$C$13</f>
        <v>RSDOILKER</v>
      </c>
      <c r="Q51" s="930" t="str">
        <f>RSD_Commodities!$M$13</f>
        <v>SH_Apt-C</v>
      </c>
      <c r="R51" s="1000">
        <f t="shared" si="31"/>
        <v>0.35549174000308786</v>
      </c>
      <c r="S51" s="932">
        <f>R51*DwellingStocks!$I$66/1000</f>
        <v>25.298348319141688</v>
      </c>
      <c r="T51" s="914">
        <v>1</v>
      </c>
      <c r="U51" s="914">
        <f t="shared" si="18"/>
        <v>0.85748031496062993</v>
      </c>
      <c r="V51" s="930">
        <v>20</v>
      </c>
      <c r="W51" s="930">
        <v>1</v>
      </c>
      <c r="X51" s="840"/>
      <c r="Y51" s="926">
        <f t="shared" si="28"/>
        <v>6.2821025064673028</v>
      </c>
      <c r="Z51" s="927">
        <f t="shared" si="29"/>
        <v>6.9376694015783462</v>
      </c>
      <c r="AA51" s="840"/>
      <c r="AB51" s="914" t="s">
        <v>393</v>
      </c>
      <c r="AC51" s="914" t="str">
        <f t="shared" si="30"/>
        <v>SH_Det-C_OILKER_X0</v>
      </c>
      <c r="AD51" s="914" t="str">
        <f t="shared" si="30"/>
        <v>Residential Space Heating Detached-C_Kerosene to Residential_Existing 00</v>
      </c>
      <c r="AE51" s="914" t="s">
        <v>53</v>
      </c>
      <c r="AF51" s="914" t="s">
        <v>406</v>
      </c>
      <c r="AG51" s="914"/>
      <c r="AH51" s="914"/>
      <c r="AI51" s="840"/>
      <c r="AJ51" s="840"/>
      <c r="AK51" s="840"/>
      <c r="AL51" s="840"/>
      <c r="AM51" s="840"/>
      <c r="AN51" s="840"/>
    </row>
    <row r="52" spans="1:40">
      <c r="A52" s="758" t="s">
        <v>116</v>
      </c>
      <c r="B52" s="758" t="s">
        <v>584</v>
      </c>
      <c r="C52" s="758">
        <f>SUMIFS(INDEX(Table915[],,MATCH(C$6,Table915[#Headers],0)),Table915[MainSpaceHeatingFuel],$B52,Table915[EnergyRating (group)],$A52)</f>
        <v>897073909</v>
      </c>
      <c r="D52" s="758">
        <f>SUMIFS(INDEX(Table915[],,MATCH(D$6,Table915[#Headers],0)),Table915[MainSpaceHeatingFuel],$B52,Table915[EnergyRating (group)],$A52)</f>
        <v>815521731</v>
      </c>
      <c r="E52" s="758">
        <f>SUMIFS(INDEX(Table915[],,MATCH(E$6,Table915[#Headers],0)),Table915[MainSpaceHeatingFuel],$B52,Table915[EnergyRating (group)],$A52)</f>
        <v>230746445</v>
      </c>
      <c r="F52" s="758">
        <f>SUMIFS(INDEX(Table915[],,MATCH(F$6,Table915[#Headers],0)),Table915[MainSpaceHeatingFuel],$B52,Table915[EnergyRating (group)],$A52)</f>
        <v>198796168</v>
      </c>
      <c r="G52" s="758">
        <f>SUMIFS(INDEX(Table915[],,MATCH(G$6,Table915[#Headers],0)),Table915[MainSpaceHeatingFuel],$B52,Table915[EnergyRating (group)],$A52)</f>
        <v>98542</v>
      </c>
      <c r="H52" s="758">
        <f>SUMIFS(INDEX(Table915[],,MATCH(H$6,Table915[#Headers],0)),Table915[MainSpaceHeatingFuel],$B52,Table915[EnergyRating (group)],$A52)</f>
        <v>9873955</v>
      </c>
      <c r="I52" s="911">
        <f>AVERAGEIFS(INDEX(Table915[],,MATCH(I$6,Table915[#Headers],0)),Table915[MainSpaceHeatingFuel],$B52,Table915[EnergyRating (group)],$A52)</f>
        <v>82.604651162790702</v>
      </c>
      <c r="J52" s="849">
        <f>SUMIFS(INDEX(Table915[],,MATCH(J$6,Table915[#Headers],0)),Table915[MainSpaceHeatingFuel],$B52,Table915[EnergyRating (group)],$A52)</f>
        <v>1877150254</v>
      </c>
      <c r="K52" s="849">
        <f>SUMIFS(INDEX(Table915[],,MATCH(K$6,Table915[#Headers],0)),Table915[MainSpaceHeatingFuel],$B52,Table915[EnergyRating (group)],$A52)</f>
        <v>1534764195</v>
      </c>
      <c r="M52" s="840"/>
      <c r="N52" s="933" t="str">
        <f>RSD_Commodities!$M$31&amp;"_"&amp;RIGHT(P52,LEN(P52)-3)&amp;"_"&amp;SETUP!$B$67</f>
        <v>SH_Det-C_GASNAT_X0</v>
      </c>
      <c r="O52" s="933" t="str">
        <f>RSD_Commodities!$N$31&amp;"_"&amp;RSD_Commodities!D17&amp;"_"&amp;SETUP!$C$67</f>
        <v>Residential Space Heating Detached-C_Natural Gas to Residential_Existing 00</v>
      </c>
      <c r="P52" s="934" t="str">
        <f>RSD_Commodities!$C$17</f>
        <v>RSDGASNAT</v>
      </c>
      <c r="Q52" s="935" t="str">
        <f>RSD_Commodities!$M$13</f>
        <v>SH_Apt-C</v>
      </c>
      <c r="R52" s="1001">
        <f t="shared" si="31"/>
        <v>0.60856569399413307</v>
      </c>
      <c r="S52" s="937">
        <f>R52*DwellingStocks!$I$66/1000</f>
        <v>43.30819867041086</v>
      </c>
      <c r="T52" s="933">
        <v>1</v>
      </c>
      <c r="U52" s="954">
        <f t="shared" si="18"/>
        <v>0.82604651162790699</v>
      </c>
      <c r="V52" s="935">
        <v>20</v>
      </c>
      <c r="W52" s="935">
        <v>1</v>
      </c>
      <c r="X52" s="840"/>
      <c r="Y52" s="928">
        <f t="shared" si="28"/>
        <v>18.052718254046194</v>
      </c>
      <c r="Z52" s="929">
        <f t="shared" si="29"/>
        <v>20.072822447492513</v>
      </c>
      <c r="AA52" s="840"/>
      <c r="AB52" s="933" t="s">
        <v>393</v>
      </c>
      <c r="AC52" s="933" t="str">
        <f t="shared" si="30"/>
        <v>SH_Det-C_GASNAT_X0</v>
      </c>
      <c r="AD52" s="933" t="str">
        <f t="shared" si="30"/>
        <v>Residential Space Heating Detached-C_Natural Gas to Residential_Existing 00</v>
      </c>
      <c r="AE52" s="933" t="s">
        <v>53</v>
      </c>
      <c r="AF52" s="933" t="s">
        <v>406</v>
      </c>
      <c r="AG52" s="933"/>
      <c r="AH52" s="933"/>
      <c r="AI52" s="840"/>
      <c r="AJ52" s="840"/>
      <c r="AK52" s="840"/>
      <c r="AL52" s="840"/>
      <c r="AM52" s="840"/>
      <c r="AN52" s="840"/>
    </row>
    <row r="53" spans="1:40">
      <c r="A53" s="757" t="s">
        <v>116</v>
      </c>
      <c r="B53" s="757" t="s">
        <v>585</v>
      </c>
      <c r="C53" s="757">
        <f>SUMIFS(INDEX(Table915[],,MATCH(C$6,Table915[#Headers],0)),Table915[MainSpaceHeatingFuel],$B53,Table915[EnergyRating (group)],$A53)</f>
        <v>908820</v>
      </c>
      <c r="D53" s="757">
        <f>SUMIFS(INDEX(Table915[],,MATCH(D$6,Table915[#Headers],0)),Table915[MainSpaceHeatingFuel],$B53,Table915[EnergyRating (group)],$A53)</f>
        <v>826201</v>
      </c>
      <c r="E53" s="757">
        <f>SUMIFS(INDEX(Table915[],,MATCH(E$6,Table915[#Headers],0)),Table915[MainSpaceHeatingFuel],$B53,Table915[EnergyRating (group)],$A53)</f>
        <v>143790</v>
      </c>
      <c r="F53" s="757">
        <f>SUMIFS(INDEX(Table915[],,MATCH(F$6,Table915[#Headers],0)),Table915[MainSpaceHeatingFuel],$B53,Table915[EnergyRating (group)],$A53)</f>
        <v>127830</v>
      </c>
      <c r="G53" s="757">
        <f>SUMIFS(INDEX(Table915[],,MATCH(G$6,Table915[#Headers],0)),Table915[MainSpaceHeatingFuel],$B53,Table915[EnergyRating (group)],$A53)</f>
        <v>91</v>
      </c>
      <c r="H53" s="757">
        <f>SUMIFS(INDEX(Table915[],,MATCH(H$6,Table915[#Headers],0)),Table915[MainSpaceHeatingFuel],$B53,Table915[EnergyRating (group)],$A53)</f>
        <v>9007</v>
      </c>
      <c r="I53" s="912">
        <f>AVERAGEIFS(INDEX(Table915[],,MATCH(I$6,Table915[#Headers],0)),Table915[MainSpaceHeatingFuel],$B53,Table915[EnergyRating (group)],$A53)</f>
        <v>79.055555555555557</v>
      </c>
      <c r="J53" s="847">
        <f>SUMIFS(INDEX(Table915[],,MATCH(J$6,Table915[#Headers],0)),Table915[MainSpaceHeatingFuel],$B53,Table915[EnergyRating (group)],$A53)</f>
        <v>1728969</v>
      </c>
      <c r="K53" s="847">
        <f>SUMIFS(INDEX(Table915[],,MATCH(K$6,Table915[#Headers],0)),Table915[MainSpaceHeatingFuel],$B53,Table915[EnergyRating (group)],$A53)</f>
        <v>1411552</v>
      </c>
      <c r="M53" s="840"/>
      <c r="N53" s="914" t="str">
        <f>RSD_Commodities!$M$31&amp;"_"&amp;RIGHT(P53,LEN(P53)-3)&amp;"_"&amp;SETUP!$B$67</f>
        <v>SH_Det-C_BIOWOO_X0</v>
      </c>
      <c r="O53" s="914" t="str">
        <f>RSD_Commodities!$N$31&amp;"_"&amp;RSD_Commodities!D19&amp;"_"&amp;SETUP!$C$67</f>
        <v>Residential Space Heating Detached-C_Biomass &amp; Renewable Waste to Residential_Existing 00</v>
      </c>
      <c r="P53" s="915" t="str">
        <f>RSD_Commodities!$C$19</f>
        <v>RSDBIOWOO</v>
      </c>
      <c r="Q53" s="930" t="str">
        <f>RSD_Commodities!$M$13</f>
        <v>SH_Apt-C</v>
      </c>
      <c r="R53" s="1000">
        <f t="shared" si="31"/>
        <v>5.6198857495754211E-4</v>
      </c>
      <c r="S53" s="932">
        <f>R53*DwellingStocks!$I$66/1000</f>
        <v>3.9993566996888517E-2</v>
      </c>
      <c r="T53" s="914">
        <v>1</v>
      </c>
      <c r="U53" s="914">
        <f t="shared" si="18"/>
        <v>0.79055555555555557</v>
      </c>
      <c r="V53" s="930">
        <v>20</v>
      </c>
      <c r="W53" s="930">
        <v>1</v>
      </c>
      <c r="X53" s="840"/>
      <c r="Y53" s="926">
        <f t="shared" si="28"/>
        <v>1.5680179198195293E-5</v>
      </c>
      <c r="Z53" s="927">
        <f t="shared" si="29"/>
        <v>1.730039529723075E-5</v>
      </c>
      <c r="AA53" s="840"/>
      <c r="AB53" s="914" t="s">
        <v>393</v>
      </c>
      <c r="AC53" s="914" t="str">
        <f t="shared" si="30"/>
        <v>SH_Det-C_BIOWOO_X0</v>
      </c>
      <c r="AD53" s="914" t="str">
        <f t="shared" si="30"/>
        <v>Residential Space Heating Detached-C_Biomass &amp; Renewable Waste to Residential_Existing 00</v>
      </c>
      <c r="AE53" s="914" t="s">
        <v>53</v>
      </c>
      <c r="AF53" s="914" t="s">
        <v>406</v>
      </c>
      <c r="AG53" s="914"/>
      <c r="AH53" s="914"/>
      <c r="AI53" s="840"/>
      <c r="AJ53" s="840"/>
      <c r="AK53" s="840"/>
      <c r="AL53" s="840"/>
      <c r="AM53" s="840"/>
      <c r="AN53" s="840"/>
    </row>
    <row r="54" spans="1:40">
      <c r="A54" s="758" t="s">
        <v>116</v>
      </c>
      <c r="B54" s="758" t="s">
        <v>587</v>
      </c>
      <c r="C54" s="758">
        <f>SUMIFS(INDEX(Table915[],,MATCH(C$6,Table915[#Headers],0)),Table915[MainSpaceHeatingFuel],$B54,Table915[EnergyRating (group)],$A54)</f>
        <v>0</v>
      </c>
      <c r="D54" s="758">
        <f>SUMIFS(INDEX(Table915[],,MATCH(D$6,Table915[#Headers],0)),Table915[MainSpaceHeatingFuel],$B54,Table915[EnergyRating (group)],$A54)</f>
        <v>0</v>
      </c>
      <c r="E54" s="759">
        <f>SUMIFS(INDEX(Table915[],,MATCH(E$6,Table915[#Headers],0)),Table915[MainSpaceHeatingFuel],$B54,Table915[EnergyRating (group)],$A54)</f>
        <v>0</v>
      </c>
      <c r="F54" s="759">
        <f>SUMIFS(INDEX(Table915[],,MATCH(F$6,Table915[#Headers],0)),Table915[MainSpaceHeatingFuel],$B54,Table915[EnergyRating (group)],$A54)</f>
        <v>0</v>
      </c>
      <c r="G54" s="758">
        <f>SUMIFS(INDEX(Table915[],,MATCH(G$6,Table915[#Headers],0)),Table915[MainSpaceHeatingFuel],"",Table915[EnergyRating (group)],$A54)</f>
        <v>234</v>
      </c>
      <c r="H54" s="758">
        <f>SUMIFS(INDEX(Table915[],,MATCH(H$6,Table915[#Headers],0)),Table915[MainSpaceHeatingFuel],"",Table915[EnergyRating (group)],$A54)</f>
        <v>17012</v>
      </c>
      <c r="I54" s="944">
        <f>SUMIFS(INDEX(Table915[],,MATCH(I$6,Table915[#Headers],0)),Table915[MainSpaceHeatingFuel],"",Table915[EnergyRating (group)],$A54)</f>
        <v>0</v>
      </c>
      <c r="J54" s="849">
        <f>SUMIFS(INDEX(Table915[],,MATCH(J$6,Table915[#Headers],0)),Table915[MainSpaceHeatingFuel],"",Table915[EnergyRating (group)],$A54)</f>
        <v>458470</v>
      </c>
      <c r="K54" s="849">
        <f>SUMIFS(INDEX(Table915[],,MATCH(K$6,Table915[#Headers],0)),Table915[MainSpaceHeatingFuel],"",Table915[EnergyRating (group)],$A54)</f>
        <v>169802</v>
      </c>
      <c r="M54" s="840"/>
      <c r="N54" s="933" t="str">
        <f>RSD_Commodities!$M$31&amp;"_"&amp;RIGHT(P54,LEN(P54)-3)&amp;"_"&amp;SETUP!$B$67</f>
        <v>SH_Det-C_HET_X0</v>
      </c>
      <c r="O54" s="933" t="str">
        <f>RSD_Commodities!$N$31&amp;"_"&amp;RSD_Commodities!D28&amp;"_"&amp;SETUP!$C$67</f>
        <v>Residential Space Heating Detached-C_Heat to Residential_Existing 00</v>
      </c>
      <c r="P54" s="934" t="str">
        <f>RSD_Commodities!$C$28</f>
        <v>RSDHET</v>
      </c>
      <c r="Q54" s="935" t="str">
        <f>RSD_Commodities!$M$13</f>
        <v>SH_Apt-C</v>
      </c>
      <c r="R54" s="1001">
        <f t="shared" si="31"/>
        <v>1.445113478462251E-3</v>
      </c>
      <c r="S54" s="937">
        <f>R54*DwellingStocks!$I$66/1000</f>
        <v>0.1028406008491419</v>
      </c>
      <c r="T54" s="933">
        <v>1</v>
      </c>
      <c r="U54" s="917">
        <f>IF(I54=0, 1, I54)</f>
        <v>1</v>
      </c>
      <c r="V54" s="935">
        <v>20</v>
      </c>
      <c r="W54" s="935">
        <v>1</v>
      </c>
      <c r="X54" s="840"/>
      <c r="Y54" s="928">
        <f t="shared" si="28"/>
        <v>0</v>
      </c>
      <c r="Z54" s="929">
        <f t="shared" si="29"/>
        <v>0</v>
      </c>
      <c r="AA54" s="840"/>
      <c r="AB54" s="933" t="s">
        <v>393</v>
      </c>
      <c r="AC54" s="933" t="str">
        <f t="shared" si="30"/>
        <v>SH_Det-C_HET_X0</v>
      </c>
      <c r="AD54" s="933" t="str">
        <f t="shared" si="30"/>
        <v>Residential Space Heating Detached-C_Heat to Residential_Existing 00</v>
      </c>
      <c r="AE54" s="933" t="s">
        <v>53</v>
      </c>
      <c r="AF54" s="933" t="s">
        <v>406</v>
      </c>
      <c r="AG54" s="933"/>
      <c r="AH54" s="933"/>
      <c r="AI54" s="840"/>
      <c r="AJ54" s="840"/>
      <c r="AK54" s="840"/>
      <c r="AL54" s="840"/>
      <c r="AM54" s="840"/>
      <c r="AN54" s="840"/>
    </row>
    <row r="55" spans="1:40">
      <c r="A55" s="757" t="s">
        <v>116</v>
      </c>
      <c r="B55" s="757" t="s">
        <v>664</v>
      </c>
      <c r="C55" s="757">
        <f>SUMIFS(INDEX(Table915[],,MATCH(C$6,Table915[#Headers],0)),Table915[MainSpaceHeatingFuel],$B55,Table915[EnergyRating (group)],$A55)</f>
        <v>1220585</v>
      </c>
      <c r="D55" s="757">
        <f>SUMIFS(INDEX(Table915[],,MATCH(D$6,Table915[#Headers],0)),Table915[MainSpaceHeatingFuel],$B55,Table915[EnergyRating (group)],$A55)</f>
        <v>1109618</v>
      </c>
      <c r="E55" s="757">
        <f>SUMIFS(INDEX(Table915[],,MATCH(E$6,Table915[#Headers],0)),Table915[MainSpaceHeatingFuel],$B55,Table915[EnergyRating (group)],$A55)</f>
        <v>259251</v>
      </c>
      <c r="F55" s="757">
        <f>SUMIFS(INDEX(Table915[],,MATCH(F$6,Table915[#Headers],0)),Table915[MainSpaceHeatingFuel],$B55,Table915[EnergyRating (group)],$A55)</f>
        <v>220421</v>
      </c>
      <c r="G55" s="757">
        <f>SUMIFS(INDEX(Table915[],,MATCH(G$6,Table915[#Headers],0)),Table915[MainSpaceHeatingFuel],$B55,Table915[EnergyRating (group)],$A55)</f>
        <v>128</v>
      </c>
      <c r="H55" s="757">
        <f>SUMIFS(INDEX(Table915[],,MATCH(H$6,Table915[#Headers],0)),Table915[MainSpaceHeatingFuel],$B55,Table915[EnergyRating (group)],$A55)</f>
        <v>12987</v>
      </c>
      <c r="I55" s="912">
        <f>AVERAGEIFS(INDEX(Table915[],,MATCH(I$6,Table915[#Headers],0)),Table915[MainSpaceHeatingFuel],$B55,Table915[EnergyRating (group)],$A55)</f>
        <v>84.902439024390247</v>
      </c>
      <c r="J55" s="847">
        <f>SUMIFS(INDEX(Table915[],,MATCH(J$6,Table915[#Headers],0)),Table915[MainSpaceHeatingFuel],$B55,Table915[EnergyRating (group)],$A55)</f>
        <v>2413490</v>
      </c>
      <c r="K55" s="847">
        <f>SUMIFS(INDEX(Table915[],,MATCH(K$6,Table915[#Headers],0)),Table915[MainSpaceHeatingFuel],$B55,Table915[EnergyRating (group)],$A55)</f>
        <v>1972177</v>
      </c>
      <c r="M55" s="840"/>
      <c r="N55" s="914" t="str">
        <f>RSD_Commodities!$M$31&amp;"_"&amp;RIGHT(P55,LEN(P55)-3)&amp;"_"&amp;SETUP!$B$68</f>
        <v>SH_Det-C_OILLPG_X1</v>
      </c>
      <c r="O55" s="914" t="str">
        <f>RSD_Commodities!$N$31&amp;"_"&amp;RSD_Commodities!D11&amp;"_"&amp;SETUP!$C$68</f>
        <v>Residential Space Heating Detached-C_LPG to Residential_Existing 01</v>
      </c>
      <c r="P55" s="915" t="str">
        <f>RSD_Commodities!$C$11</f>
        <v>RSDOILLPG</v>
      </c>
      <c r="Q55" s="930" t="str">
        <f>RSD_Commodities!$M$13</f>
        <v>SH_Apt-C</v>
      </c>
      <c r="R55" s="1000">
        <f t="shared" si="31"/>
        <v>7.9048942411610314E-4</v>
      </c>
      <c r="S55" s="932">
        <f>R55*DwellingStocks!$I$66/1000</f>
        <v>5.6254687643975058E-2</v>
      </c>
      <c r="T55" s="914">
        <v>1</v>
      </c>
      <c r="U55" s="916">
        <f t="shared" si="18"/>
        <v>0.84902439024390253</v>
      </c>
      <c r="V55" s="930">
        <v>20</v>
      </c>
      <c r="W55" s="930">
        <v>1</v>
      </c>
      <c r="X55" s="840"/>
      <c r="Y55" s="926">
        <f t="shared" si="28"/>
        <v>3.0748326780536283E-5</v>
      </c>
      <c r="Z55" s="927">
        <f t="shared" si="29"/>
        <v>3.4211388470264171E-5</v>
      </c>
      <c r="AA55" s="840"/>
      <c r="AB55" s="914" t="s">
        <v>393</v>
      </c>
      <c r="AC55" s="914" t="str">
        <f t="shared" si="30"/>
        <v>SH_Det-C_OILLPG_X1</v>
      </c>
      <c r="AD55" s="914" t="str">
        <f t="shared" si="30"/>
        <v>Residential Space Heating Detached-C_LPG to Residential_Existing 01</v>
      </c>
      <c r="AE55" s="914" t="s">
        <v>53</v>
      </c>
      <c r="AF55" s="914" t="s">
        <v>406</v>
      </c>
      <c r="AG55" s="914"/>
      <c r="AH55" s="914"/>
      <c r="AI55" s="840"/>
      <c r="AJ55" s="840"/>
      <c r="AK55" s="840"/>
      <c r="AL55" s="840"/>
      <c r="AM55" s="840"/>
      <c r="AN55" s="840"/>
    </row>
    <row r="56" spans="1:40">
      <c r="A56" s="758" t="s">
        <v>116</v>
      </c>
      <c r="B56" s="758" t="s">
        <v>665</v>
      </c>
      <c r="C56" s="758">
        <f>SUMIFS(INDEX(Table915[],,MATCH(C$6,Table915[#Headers],0)),Table915[MainSpaceHeatingFuel],$B56,Table915[EnergyRating (group)],$A56)</f>
        <v>5740297</v>
      </c>
      <c r="D56" s="758">
        <f>SUMIFS(INDEX(Table915[],,MATCH(D$6,Table915[#Headers],0)),Table915[MainSpaceHeatingFuel],$B56,Table915[EnergyRating (group)],$A56)</f>
        <v>5218448</v>
      </c>
      <c r="E56" s="759">
        <f>SUMIFS(INDEX(Table915[],,MATCH(E$6,Table915[#Headers],0)),Table915[MainSpaceHeatingFuel],$B56,Table915[EnergyRating (group)],$A56)</f>
        <v>512761</v>
      </c>
      <c r="F56" s="759">
        <f>SUMIFS(INDEX(Table915[],,MATCH(F$6,Table915[#Headers],0)),Table915[MainSpaceHeatingFuel],$B56,Table915[EnergyRating (group)],$A56)</f>
        <v>395986</v>
      </c>
      <c r="G56" s="758">
        <f>SUMIFS(INDEX(Table915[],,MATCH(G$6,Table915[#Headers],0)),Table915[MainSpaceHeatingFuel],$B56,Table915[EnergyRating (group)],$A56)</f>
        <v>568</v>
      </c>
      <c r="H56" s="758">
        <f>SUMIFS(INDEX(Table915[],,MATCH(H$6,Table915[#Headers],0)),Table915[MainSpaceHeatingFuel],$B56,Table915[EnergyRating (group)],$A56)</f>
        <v>51376</v>
      </c>
      <c r="I56" s="911">
        <f>AVERAGEIFS(INDEX(Table915[],,MATCH(I$6,Table915[#Headers],0)),Table915[MainSpaceHeatingFuel],$B56,Table915[EnergyRating (group)],$A56)</f>
        <v>68.972222222222229</v>
      </c>
      <c r="J56" s="849">
        <f>SUMIFS(INDEX(Table915[],,MATCH(J$6,Table915[#Headers],0)),Table915[MainSpaceHeatingFuel],$B56,Table915[EnergyRating (group)],$A56)</f>
        <v>10856117</v>
      </c>
      <c r="K56" s="849">
        <f>SUMIFS(INDEX(Table915[],,MATCH(K$6,Table915[#Headers],0)),Table915[MainSpaceHeatingFuel],$B56,Table915[EnergyRating (group)],$A56)</f>
        <v>8548290</v>
      </c>
      <c r="M56" s="840"/>
      <c r="N56" s="840" t="str">
        <f>RSD_Commodities!$M$31&amp;"_"&amp;RSD_Commodities!$C$26&amp;"_"&amp;SETUP!$B$67</f>
        <v>SH_Det-C_RSDSMF_X0</v>
      </c>
      <c r="O56" s="840" t="str">
        <f>RSD_Commodities!$N$31&amp;"_"&amp;RSD_Commodities!$D$26&amp;"_"&amp;SETUP!$C$67</f>
        <v>Residential Space Heating Detached-C_Solid Multi-Fuel_Existing 00</v>
      </c>
      <c r="P56" s="935" t="str">
        <f>RSD_Commodities!$C$6&amp;","&amp;RSD_Commodities!$C$7&amp;","&amp;RSD_Commodities!$C$9&amp;","&amp;RSD_Commodities!$C$10&amp;","&amp;RSD_Commodities!$C$19</f>
        <v>RSDCOABIT,RSDCOAHAR,RSDCOALIG,RSDPEA,RSDBIOWOO</v>
      </c>
      <c r="Q56" s="935" t="str">
        <f>RSD_Commodities!$M$13</f>
        <v>SH_Apt-C</v>
      </c>
      <c r="R56" s="1001">
        <f t="shared" si="31"/>
        <v>3.5077968195152075E-3</v>
      </c>
      <c r="S56" s="937">
        <f>R56*DwellingStocks!$I$66/1000</f>
        <v>0.24963017642013929</v>
      </c>
      <c r="T56" s="933">
        <v>1</v>
      </c>
      <c r="U56" s="933">
        <f t="shared" si="18"/>
        <v>0.68972222222222224</v>
      </c>
      <c r="V56" s="935">
        <v>20</v>
      </c>
      <c r="W56" s="935">
        <v>1</v>
      </c>
      <c r="X56" s="840"/>
      <c r="Y56" s="928">
        <f t="shared" si="28"/>
        <v>5.7597211640516243E-4</v>
      </c>
      <c r="Z56" s="929">
        <f t="shared" si="29"/>
        <v>6.4148711165973847E-4</v>
      </c>
      <c r="AA56" s="840"/>
      <c r="AB56" s="840" t="s">
        <v>393</v>
      </c>
      <c r="AC56" s="840" t="str">
        <f t="shared" si="30"/>
        <v>SH_Det-C_RSDSMF_X0</v>
      </c>
      <c r="AD56" s="840" t="str">
        <f t="shared" si="30"/>
        <v>Residential Space Heating Detached-C_Solid Multi-Fuel_Existing 00</v>
      </c>
      <c r="AE56" s="840" t="s">
        <v>53</v>
      </c>
      <c r="AF56" s="840" t="s">
        <v>406</v>
      </c>
      <c r="AG56" s="840"/>
      <c r="AH56" s="840"/>
      <c r="AI56" s="840"/>
      <c r="AJ56" s="840"/>
      <c r="AK56" s="840"/>
      <c r="AL56" s="840"/>
      <c r="AM56" s="840"/>
      <c r="AN56" s="840"/>
    </row>
    <row r="57" spans="1:40">
      <c r="A57" s="757" t="s">
        <v>116</v>
      </c>
      <c r="B57" s="757" t="s">
        <v>669</v>
      </c>
      <c r="C57" s="757">
        <f>SUMIFS(INDEX(Table915[],,MATCH(C$6,Table915[#Headers],0)),Table915[MainSpaceHeatingFuel],$B57,Table915[EnergyRating (group)],$A57)</f>
        <v>493519</v>
      </c>
      <c r="D57" s="757">
        <f>SUMIFS(INDEX(Table915[],,MATCH(D$6,Table915[#Headers],0)),Table915[MainSpaceHeatingFuel],$B57,Table915[EnergyRating (group)],$A57)</f>
        <v>411265</v>
      </c>
      <c r="E57" s="760">
        <f>SUMIFS(INDEX(Table915[],,MATCH(E$6,Table915[#Headers],0)),Table915[MainSpaceHeatingFuel],$B57,Table915[EnergyRating (group)],$A57)</f>
        <v>27944</v>
      </c>
      <c r="F57" s="760">
        <f>SUMIFS(INDEX(Table915[],,MATCH(F$6,Table915[#Headers],0)),Table915[MainSpaceHeatingFuel],$B57,Table915[EnergyRating (group)],$A57)</f>
        <v>23227</v>
      </c>
      <c r="G57" s="757">
        <f>SUMIFS(INDEX(Table915[],,MATCH(G$6,Table915[#Headers],0)),Table915[MainSpaceHeatingFuel],$B57,Table915[EnergyRating (group)],$A57)</f>
        <v>57</v>
      </c>
      <c r="H57" s="757">
        <f>SUMIFS(INDEX(Table915[],,MATCH(H$6,Table915[#Headers],0)),Table915[MainSpaceHeatingFuel],$B57,Table915[EnergyRating (group)],$A57)</f>
        <v>4818</v>
      </c>
      <c r="I57" s="912">
        <f>AVERAGEIFS(INDEX(Table915[],,MATCH(I$6,Table915[#Headers],0)),Table915[MainSpaceHeatingFuel],$B57,Table915[EnergyRating (group)],$A57)</f>
        <v>69.428571428571431</v>
      </c>
      <c r="J57" s="847">
        <f>SUMIFS(INDEX(Table915[],,MATCH(J$6,Table915[#Headers],0)),Table915[MainSpaceHeatingFuel],$B57,Table915[EnergyRating (group)],$A57)</f>
        <v>999913</v>
      </c>
      <c r="K57" s="847">
        <f>SUMIFS(INDEX(Table915[],,MATCH(K$6,Table915[#Headers],0)),Table915[MainSpaceHeatingFuel],$B57,Table915[EnergyRating (group)],$A57)</f>
        <v>736408</v>
      </c>
      <c r="M57" s="840"/>
      <c r="N57" s="914" t="str">
        <f>RSD_Commodities!$M$31&amp;"_"&amp;RIGHT(P57,LEN(P57)-3)&amp;"_"&amp;SETUP!$B$67</f>
        <v>SH_Det-C_COAHAR_X0</v>
      </c>
      <c r="O57" s="914" t="str">
        <f>RSD_Commodities!$N$31&amp;"_"&amp;RSD_Commodities!D7&amp;"_"&amp;SETUP!$C$67</f>
        <v>Residential Space Heating Detached-C_Anthracite + Manufactured Ovoids to Residential_Existing 00</v>
      </c>
      <c r="P57" s="930" t="str">
        <f>RSD_Commodities!$C$7</f>
        <v>RSDCOAHAR</v>
      </c>
      <c r="Q57" s="930" t="str">
        <f>RSD_Commodities!$M$13</f>
        <v>SH_Apt-C</v>
      </c>
      <c r="R57" s="1000">
        <f t="shared" si="31"/>
        <v>3.5201482167670215E-4</v>
      </c>
      <c r="S57" s="932">
        <f>R57*DwellingStocks!$I$66/1000</f>
        <v>2.5050915591457643E-2</v>
      </c>
      <c r="T57" s="914">
        <v>1</v>
      </c>
      <c r="U57" s="914">
        <f t="shared" si="18"/>
        <v>0.69428571428571428</v>
      </c>
      <c r="V57" s="930">
        <v>20</v>
      </c>
      <c r="W57" s="930">
        <v>1</v>
      </c>
      <c r="X57" s="840"/>
      <c r="Y57" s="926">
        <f t="shared" si="28"/>
        <v>4.473050308423404E-6</v>
      </c>
      <c r="Z57" s="927">
        <f t="shared" si="29"/>
        <v>5.3684077796171013E-6</v>
      </c>
      <c r="AA57" s="840"/>
      <c r="AB57" s="914" t="s">
        <v>393</v>
      </c>
      <c r="AC57" s="914" t="str">
        <f t="shared" si="30"/>
        <v>SH_Det-C_COAHAR_X0</v>
      </c>
      <c r="AD57" s="914" t="str">
        <f t="shared" si="30"/>
        <v>Residential Space Heating Detached-C_Anthracite + Manufactured Ovoids to Residential_Existing 00</v>
      </c>
      <c r="AE57" s="914" t="s">
        <v>53</v>
      </c>
      <c r="AF57" s="914" t="s">
        <v>406</v>
      </c>
      <c r="AG57" s="914"/>
      <c r="AH57" s="914"/>
      <c r="AI57" s="840"/>
      <c r="AJ57" s="840"/>
      <c r="AK57" s="840"/>
      <c r="AL57" s="840"/>
      <c r="AM57" s="840"/>
      <c r="AN57" s="840"/>
    </row>
    <row r="58" spans="1:40">
      <c r="A58" s="758" t="s">
        <v>116</v>
      </c>
      <c r="B58" s="758" t="s">
        <v>666</v>
      </c>
      <c r="C58" s="758">
        <f>SUMIFS(INDEX(Table915[],,MATCH(C$6,Table915[#Headers],0)),Table915[MainSpaceHeatingFuel],$B58,Table915[EnergyRating (group)],$A58)</f>
        <v>285411</v>
      </c>
      <c r="D58" s="758">
        <f>SUMIFS(INDEX(Table915[],,MATCH(D$6,Table915[#Headers],0)),Table915[MainSpaceHeatingFuel],$B58,Table915[EnergyRating (group)],$A58)</f>
        <v>259466</v>
      </c>
      <c r="E58" s="758">
        <f>SUMIFS(INDEX(Table915[],,MATCH(E$6,Table915[#Headers],0)),Table915[MainSpaceHeatingFuel],$B58,Table915[EnergyRating (group)],$A58)</f>
        <v>44030</v>
      </c>
      <c r="F58" s="758">
        <f>SUMIFS(INDEX(Table915[],,MATCH(F$6,Table915[#Headers],0)),Table915[MainSpaceHeatingFuel],$B58,Table915[EnergyRating (group)],$A58)</f>
        <v>38907</v>
      </c>
      <c r="G58" s="758">
        <f>SUMIFS(INDEX(Table915[],,MATCH(G$6,Table915[#Headers],0)),Table915[MainSpaceHeatingFuel],$B58,Table915[EnergyRating (group)],$A58)</f>
        <v>25</v>
      </c>
      <c r="H58" s="758">
        <f>SUMIFS(INDEX(Table915[],,MATCH(H$6,Table915[#Headers],0)),Table915[MainSpaceHeatingFuel],$B58,Table915[EnergyRating (group)],$A58)</f>
        <v>2639</v>
      </c>
      <c r="I58" s="911">
        <f>AVERAGEIFS(INDEX(Table915[],,MATCH(I$6,Table915[#Headers],0)),Table915[MainSpaceHeatingFuel],$B58,Table915[EnergyRating (group)],$A58)</f>
        <v>73.75</v>
      </c>
      <c r="J58" s="849">
        <f>SUMIFS(INDEX(Table915[],,MATCH(J$6,Table915[#Headers],0)),Table915[MainSpaceHeatingFuel],$B58,Table915[EnergyRating (group)],$A58)</f>
        <v>548671</v>
      </c>
      <c r="K58" s="849">
        <f>SUMIFS(INDEX(Table915[],,MATCH(K$6,Table915[#Headers],0)),Table915[MainSpaceHeatingFuel],$B58,Table915[EnergyRating (group)],$A58)</f>
        <v>444822</v>
      </c>
      <c r="M58" s="840"/>
      <c r="N58" s="933" t="str">
        <f>RSD_Commodities!$M$31&amp;"_"&amp;RIGHT(P58,LEN(P58)-3)&amp;"_"&amp;SETUP!$B$67</f>
        <v>SH_Det-C_COABIT_X0</v>
      </c>
      <c r="O58" s="933" t="str">
        <f>RSD_Commodities!$N$31&amp;"_"&amp;RSD_Commodities!D6&amp;"_"&amp;SETUP!$C$67</f>
        <v>Residential Space Heating Detached-C_Bituminous Coal to Residential_Existing 00</v>
      </c>
      <c r="P58" s="935" t="str">
        <f>RSD_Commodities!$C$6</f>
        <v>RSDCOABIT</v>
      </c>
      <c r="Q58" s="935" t="str">
        <f>RSD_Commodities!$M$13</f>
        <v>SH_Apt-C</v>
      </c>
      <c r="R58" s="1001">
        <f t="shared" si="31"/>
        <v>1.5439246564767639E-4</v>
      </c>
      <c r="S58" s="937">
        <f>R58*DwellingStocks!$I$66/1000</f>
        <v>1.0987243680463879E-2</v>
      </c>
      <c r="T58" s="933">
        <v>1</v>
      </c>
      <c r="U58" s="933">
        <f t="shared" si="18"/>
        <v>0.73750000000000004</v>
      </c>
      <c r="V58" s="935">
        <v>20</v>
      </c>
      <c r="W58" s="935">
        <v>1</v>
      </c>
      <c r="X58" s="840"/>
      <c r="Y58" s="928">
        <f t="shared" si="28"/>
        <v>1.3472452843853629E-6</v>
      </c>
      <c r="Z58" s="929">
        <f t="shared" si="29"/>
        <v>1.487526799453028E-6</v>
      </c>
      <c r="AA58" s="840"/>
      <c r="AB58" s="933" t="s">
        <v>393</v>
      </c>
      <c r="AC58" s="933" t="str">
        <f t="shared" si="30"/>
        <v>SH_Det-C_COABIT_X0</v>
      </c>
      <c r="AD58" s="933" t="str">
        <f t="shared" si="30"/>
        <v>Residential Space Heating Detached-C_Bituminous Coal to Residential_Existing 00</v>
      </c>
      <c r="AE58" s="933" t="s">
        <v>53</v>
      </c>
      <c r="AF58" s="933" t="s">
        <v>406</v>
      </c>
      <c r="AG58" s="933"/>
      <c r="AH58" s="933"/>
      <c r="AI58" s="840"/>
      <c r="AJ58" s="840"/>
      <c r="AK58" s="840"/>
      <c r="AL58" s="840"/>
      <c r="AM58" s="840"/>
      <c r="AN58" s="840"/>
    </row>
    <row r="59" spans="1:40">
      <c r="A59" s="757" t="s">
        <v>116</v>
      </c>
      <c r="B59" s="757" t="s">
        <v>667</v>
      </c>
      <c r="C59" s="757">
        <f>SUMIFS(INDEX(Table915[],,MATCH(C$6,Table915[#Headers],0)),Table915[MainSpaceHeatingFuel],$B59,Table915[EnergyRating (group)],$A59)</f>
        <v>41206</v>
      </c>
      <c r="D59" s="757">
        <f>SUMIFS(INDEX(Table915[],,MATCH(D$6,Table915[#Headers],0)),Table915[MainSpaceHeatingFuel],$B59,Table915[EnergyRating (group)],$A59)</f>
        <v>37461</v>
      </c>
      <c r="E59" s="757">
        <f>SUMIFS(INDEX(Table915[],,MATCH(E$6,Table915[#Headers],0)),Table915[MainSpaceHeatingFuel],$B59,Table915[EnergyRating (group)],$A59)</f>
        <v>3064</v>
      </c>
      <c r="F59" s="757">
        <f>SUMIFS(INDEX(Table915[],,MATCH(F$6,Table915[#Headers],0)),Table915[MainSpaceHeatingFuel],$B59,Table915[EnergyRating (group)],$A59)</f>
        <v>4042</v>
      </c>
      <c r="G59" s="757">
        <f>SUMIFS(INDEX(Table915[],,MATCH(G$6,Table915[#Headers],0)),Table915[MainSpaceHeatingFuel],$B59,Table915[EnergyRating (group)],$A59)</f>
        <v>5</v>
      </c>
      <c r="H59" s="757">
        <f>SUMIFS(INDEX(Table915[],,MATCH(H$6,Table915[#Headers],0)),Table915[MainSpaceHeatingFuel],$B59,Table915[EnergyRating (group)],$A59)</f>
        <v>441</v>
      </c>
      <c r="I59" s="912">
        <f>AVERAGEIFS(INDEX(Table915[],,MATCH(I$6,Table915[#Headers],0)),Table915[MainSpaceHeatingFuel],$B59,Table915[EnergyRating (group)],$A59)</f>
        <v>71</v>
      </c>
      <c r="J59" s="847">
        <f>SUMIFS(INDEX(Table915[],,MATCH(J$6,Table915[#Headers],0)),Table915[MainSpaceHeatingFuel],$B59,Table915[EnergyRating (group)],$A59)</f>
        <v>88150</v>
      </c>
      <c r="K59" s="847">
        <f>SUMIFS(INDEX(Table915[],,MATCH(K$6,Table915[#Headers],0)),Table915[MainSpaceHeatingFuel],$B59,Table915[EnergyRating (group)],$A59)</f>
        <v>73682</v>
      </c>
      <c r="M59" s="840"/>
      <c r="N59" s="914" t="str">
        <f>RSD_Commodities!$M$31&amp;"_"&amp;RIGHT(P59,LEN(P59)-3)&amp;"_"&amp;SETUP!$B$68</f>
        <v>SH_Det-C_PEA_X1</v>
      </c>
      <c r="O59" s="914" t="str">
        <f>RSD_Commodities!$N$31&amp;"_"&amp;RSD_Commodities!D10&amp;"_"&amp;SETUP!$C$68</f>
        <v>Residential Space Heating Detached-C_Peat to Residential_Existing 01</v>
      </c>
      <c r="P59" s="930" t="str">
        <f>RSD_Commodities!$C$10</f>
        <v>RSDPEA</v>
      </c>
      <c r="Q59" s="930" t="str">
        <f>RSD_Commodities!$M$13</f>
        <v>SH_Apt-C</v>
      </c>
      <c r="R59" s="1000">
        <f t="shared" si="31"/>
        <v>3.0878493129535278E-5</v>
      </c>
      <c r="S59" s="932">
        <f>R59*DwellingStocks!$I$66/1000</f>
        <v>2.1974487360927756E-3</v>
      </c>
      <c r="T59" s="914">
        <v>1</v>
      </c>
      <c r="U59" s="914">
        <f t="shared" ref="U59:U60" si="32">I59/100</f>
        <v>0.71</v>
      </c>
      <c r="V59" s="930">
        <v>20</v>
      </c>
      <c r="W59" s="930">
        <v>1</v>
      </c>
      <c r="X59" s="840"/>
      <c r="Y59" s="926">
        <f t="shared" ref="Y59:Y63" si="33">ABS((D59+F59)*S59*1000*$B$2)</f>
        <v>3.7479745846873345E-8</v>
      </c>
      <c r="Z59" s="927">
        <f t="shared" ref="Z59:Z63" si="34">ABS((C59+E59)*S59*1000*$B$2)</f>
        <v>3.9978515978148159E-8</v>
      </c>
      <c r="AA59" s="840"/>
      <c r="AB59" s="914" t="s">
        <v>393</v>
      </c>
      <c r="AC59" s="914" t="str">
        <f t="shared" ref="AC59:AC63" si="35">N59</f>
        <v>SH_Det-C_PEA_X1</v>
      </c>
      <c r="AD59" s="914" t="str">
        <f t="shared" ref="AD59:AD63" si="36">O59</f>
        <v>Residential Space Heating Detached-C_Peat to Residential_Existing 01</v>
      </c>
      <c r="AE59" s="914" t="s">
        <v>53</v>
      </c>
      <c r="AF59" s="914" t="s">
        <v>406</v>
      </c>
      <c r="AG59" s="914"/>
      <c r="AH59" s="914"/>
      <c r="AI59" s="840"/>
      <c r="AJ59" s="840"/>
      <c r="AK59" s="840"/>
      <c r="AL59" s="840"/>
      <c r="AM59" s="840"/>
      <c r="AN59" s="840"/>
    </row>
    <row r="60" spans="1:40">
      <c r="A60" s="758" t="s">
        <v>116</v>
      </c>
      <c r="B60" s="758" t="s">
        <v>671</v>
      </c>
      <c r="C60" s="758">
        <f>SUMIFS(INDEX(Table915[],,MATCH(C$6,Table915[#Headers],0)),Table915[MainSpaceHeatingFuel],$B60,Table915[EnergyRating (group)],$A60)</f>
        <v>103065</v>
      </c>
      <c r="D60" s="758">
        <f>SUMIFS(INDEX(Table915[],,MATCH(D$6,Table915[#Headers],0)),Table915[MainSpaceHeatingFuel],$B60,Table915[EnergyRating (group)],$A60)</f>
        <v>93696</v>
      </c>
      <c r="E60" s="759">
        <f>SUMIFS(INDEX(Table915[],,MATCH(E$6,Table915[#Headers],0)),Table915[MainSpaceHeatingFuel],$B60,Table915[EnergyRating (group)],$A60)</f>
        <v>9649</v>
      </c>
      <c r="F60" s="759">
        <f>SUMIFS(INDEX(Table915[],,MATCH(F$6,Table915[#Headers],0)),Table915[MainSpaceHeatingFuel],$B60,Table915[EnergyRating (group)],$A60)</f>
        <v>6594</v>
      </c>
      <c r="G60" s="758">
        <f>SUMIFS(INDEX(Table915[],,MATCH(G$6,Table915[#Headers],0)),Table915[MainSpaceHeatingFuel],$B60,Table915[EnergyRating (group)],$A60)</f>
        <v>13</v>
      </c>
      <c r="H60" s="758">
        <f>SUMIFS(INDEX(Table915[],,MATCH(H$6,Table915[#Headers],0)),Table915[MainSpaceHeatingFuel],$B60,Table915[EnergyRating (group)],$A60)</f>
        <v>1083</v>
      </c>
      <c r="I60" s="911">
        <f>AVERAGEIFS(INDEX(Table915[],,MATCH(I$6,Table915[#Headers],0)),Table915[MainSpaceHeatingFuel],$B60,Table915[EnergyRating (group)],$A60)</f>
        <v>70.25</v>
      </c>
      <c r="J60" s="849">
        <f>SUMIFS(INDEX(Table915[],,MATCH(J$6,Table915[#Headers],0)),Table915[MainSpaceHeatingFuel],$B60,Table915[EnergyRating (group)],$A60)</f>
        <v>214582</v>
      </c>
      <c r="K60" s="849">
        <f>SUMIFS(INDEX(Table915[],,MATCH(K$6,Table915[#Headers],0)),Table915[MainSpaceHeatingFuel],$B60,Table915[EnergyRating (group)],$A60)</f>
        <v>170671</v>
      </c>
      <c r="M60" s="840"/>
      <c r="N60" s="840" t="str">
        <f>RSD_Commodities!$M$31&amp;"_"&amp;RIGHT(P60,LEN(P60)-3)&amp;"_"&amp;SETUP!$B$67</f>
        <v>SH_Det-C_PEA_X0</v>
      </c>
      <c r="O60" s="840" t="str">
        <f>RSD_Commodities!$N$31&amp;"_"&amp;RSD_Commodities!D10&amp;"_"&amp;SETUP!$C$67</f>
        <v>Residential Space Heating Detached-C_Peat to Residential_Existing 00</v>
      </c>
      <c r="P60" s="935" t="str">
        <f>RSD_Commodities!$C$10</f>
        <v>RSDPEA</v>
      </c>
      <c r="Q60" s="935" t="str">
        <f>RSD_Commodities!$M$13</f>
        <v>SH_Apt-C</v>
      </c>
      <c r="R60" s="1001">
        <f t="shared" si="31"/>
        <v>8.0284082136791718E-5</v>
      </c>
      <c r="S60" s="937">
        <f>R60*DwellingStocks!$I$66/1000</f>
        <v>5.7133667138412163E-3</v>
      </c>
      <c r="T60" s="933">
        <v>1</v>
      </c>
      <c r="U60" s="933">
        <f t="shared" si="32"/>
        <v>0.70250000000000001</v>
      </c>
      <c r="V60" s="935">
        <v>20</v>
      </c>
      <c r="W60" s="935">
        <v>1</v>
      </c>
      <c r="X60" s="840"/>
      <c r="Y60" s="928">
        <f t="shared" si="33"/>
        <v>2.3547680043745297E-7</v>
      </c>
      <c r="Z60" s="929">
        <f t="shared" si="34"/>
        <v>2.6464784210297214E-7</v>
      </c>
      <c r="AA60" s="840"/>
      <c r="AB60" s="933" t="s">
        <v>393</v>
      </c>
      <c r="AC60" s="933" t="str">
        <f t="shared" si="35"/>
        <v>SH_Det-C_PEA_X0</v>
      </c>
      <c r="AD60" s="933" t="str">
        <f t="shared" si="36"/>
        <v>Residential Space Heating Detached-C_Peat to Residential_Existing 00</v>
      </c>
      <c r="AE60" s="933" t="s">
        <v>53</v>
      </c>
      <c r="AF60" s="933" t="s">
        <v>406</v>
      </c>
      <c r="AG60" s="933"/>
      <c r="AH60" s="933"/>
      <c r="AI60" s="840"/>
      <c r="AJ60" s="840"/>
      <c r="AK60" s="840"/>
      <c r="AL60" s="840"/>
      <c r="AM60" s="840"/>
      <c r="AN60" s="840"/>
    </row>
    <row r="61" spans="1:40">
      <c r="A61" s="757" t="s">
        <v>116</v>
      </c>
      <c r="B61" s="757" t="s">
        <v>668</v>
      </c>
      <c r="C61" s="757">
        <f>SUMIFS(INDEX(Table915[],,MATCH(C$6,Table915[#Headers],0)),Table915[MainSpaceHeatingFuel],$B61,Table915[EnergyRating (group)],$A61)</f>
        <v>416960</v>
      </c>
      <c r="D61" s="757">
        <f>SUMIFS(INDEX(Table915[],,MATCH(D$6,Table915[#Headers],0)),Table915[MainSpaceHeatingFuel],$B61,Table915[EnergyRating (group)],$A61)</f>
        <v>379056</v>
      </c>
      <c r="E61" s="760">
        <f>SUMIFS(INDEX(Table915[],,MATCH(E$6,Table915[#Headers],0)),Table915[MainSpaceHeatingFuel],$B61,Table915[EnergyRating (group)],$A61)</f>
        <v>45095</v>
      </c>
      <c r="F61" s="760">
        <f>SUMIFS(INDEX(Table915[],,MATCH(F$6,Table915[#Headers],0)),Table915[MainSpaceHeatingFuel],$B61,Table915[EnergyRating (group)],$A61)</f>
        <v>40996</v>
      </c>
      <c r="G61" s="757">
        <f>SUMIFS(INDEX(Table915[],,MATCH(G$6,Table915[#Headers],0)),Table915[MainSpaceHeatingFuel],$B61,Table915[EnergyRating (group)],$A61)</f>
        <v>45</v>
      </c>
      <c r="H61" s="757">
        <f>SUMIFS(INDEX(Table915[],,MATCH(H$6,Table915[#Headers],0)),Table915[MainSpaceHeatingFuel],$B61,Table915[EnergyRating (group)],$A61)</f>
        <v>4080</v>
      </c>
      <c r="I61" s="912">
        <f>AVERAGEIFS(INDEX(Table915[],,MATCH(I$6,Table915[#Headers],0)),Table915[MainSpaceHeatingFuel],$B61,Table915[EnergyRating (group)],$A61)</f>
        <v>79.384615384615387</v>
      </c>
      <c r="J61" s="847">
        <f>SUMIFS(INDEX(Table915[],,MATCH(J$6,Table915[#Headers],0)),Table915[MainSpaceHeatingFuel],$B61,Table915[EnergyRating (group)],$A61)</f>
        <v>764318</v>
      </c>
      <c r="K61" s="847">
        <f>SUMIFS(INDEX(Table915[],,MATCH(K$6,Table915[#Headers],0)),Table915[MainSpaceHeatingFuel],$B61,Table915[EnergyRating (group)],$A61)</f>
        <v>626882</v>
      </c>
      <c r="M61" s="840"/>
      <c r="N61" s="914" t="str">
        <f>RSD_Commodities!$M$31&amp;"_"&amp;RIGHT(P61,LEN(P61)-3)&amp;"_"&amp;SETUP!$B$69</f>
        <v>SH_Det-C_BIOWOO_X2</v>
      </c>
      <c r="O61" s="914" t="str">
        <f>RSD_Commodities!$N$31&amp;"_"&amp;RSD_Commodities!D19&amp;"_"&amp;SETUP!$C$69</f>
        <v>Residential Space Heating Detached-C_Biomass &amp; Renewable Waste to Residential_Existing 02</v>
      </c>
      <c r="P61" s="930" t="str">
        <f>RSD_Commodities!$C$19</f>
        <v>RSDBIOWOO</v>
      </c>
      <c r="Q61" s="930" t="str">
        <f>RSD_Commodities!$M$13</f>
        <v>SH_Apt-C</v>
      </c>
      <c r="R61" s="1000">
        <f t="shared" si="31"/>
        <v>2.779064381658175E-4</v>
      </c>
      <c r="S61" s="932">
        <f>R61*DwellingStocks!$I$66/1000</f>
        <v>1.9777038624834979E-2</v>
      </c>
      <c r="T61" s="914">
        <v>1</v>
      </c>
      <c r="U61" s="914">
        <f t="shared" ref="U61:U63" si="37">I61/100</f>
        <v>0.79384615384615387</v>
      </c>
      <c r="V61" s="930">
        <v>20</v>
      </c>
      <c r="W61" s="930">
        <v>1</v>
      </c>
      <c r="X61" s="840"/>
      <c r="Y61" s="926">
        <f t="shared" si="33"/>
        <v>3.4139936829202124E-6</v>
      </c>
      <c r="Z61" s="927">
        <f t="shared" si="34"/>
        <v>3.7553751706019706E-6</v>
      </c>
      <c r="AA61" s="840"/>
      <c r="AB61" s="914" t="s">
        <v>393</v>
      </c>
      <c r="AC61" s="914" t="str">
        <f t="shared" si="35"/>
        <v>SH_Det-C_BIOWOO_X2</v>
      </c>
      <c r="AD61" s="914" t="str">
        <f t="shared" si="36"/>
        <v>Residential Space Heating Detached-C_Biomass &amp; Renewable Waste to Residential_Existing 02</v>
      </c>
      <c r="AE61" s="914" t="s">
        <v>53</v>
      </c>
      <c r="AF61" s="914" t="s">
        <v>406</v>
      </c>
      <c r="AG61" s="914"/>
      <c r="AH61" s="914"/>
      <c r="AI61" s="840"/>
      <c r="AJ61" s="840"/>
      <c r="AK61" s="840"/>
      <c r="AL61" s="840"/>
      <c r="AM61" s="840"/>
      <c r="AN61" s="840"/>
    </row>
    <row r="62" spans="1:40">
      <c r="A62" s="758" t="s">
        <v>116</v>
      </c>
      <c r="B62" s="758" t="s">
        <v>722</v>
      </c>
      <c r="C62" s="758">
        <f>SUMIFS(INDEX(Table915[],,MATCH(C$6,Table915[#Headers],0)),Table915[MainSpaceHeatingFuel],$B62,Table915[EnergyRating (group)],$A62)</f>
        <v>13610</v>
      </c>
      <c r="D62" s="758">
        <f>SUMIFS(INDEX(Table915[],,MATCH(D$6,Table915[#Headers],0)),Table915[MainSpaceHeatingFuel],$B62,Table915[EnergyRating (group)],$A62)</f>
        <v>12373</v>
      </c>
      <c r="E62" s="758">
        <f>SUMIFS(INDEX(Table915[],,MATCH(E$6,Table915[#Headers],0)),Table915[MainSpaceHeatingFuel],$B62,Table915[EnergyRating (group)],$A62)</f>
        <v>2716</v>
      </c>
      <c r="F62" s="758">
        <f>SUMIFS(INDEX(Table915[],,MATCH(F$6,Table915[#Headers],0)),Table915[MainSpaceHeatingFuel],$B62,Table915[EnergyRating (group)],$A62)</f>
        <v>2469</v>
      </c>
      <c r="G62" s="758">
        <f>SUMIFS(INDEX(Table915[],,MATCH(G$6,Table915[#Headers],0)),Table915[MainSpaceHeatingFuel],$B62,Table915[EnergyRating (group)],$A62)</f>
        <v>2</v>
      </c>
      <c r="H62" s="758">
        <f>SUMIFS(INDEX(Table915[],,MATCH(H$6,Table915[#Headers],0)),Table915[MainSpaceHeatingFuel],$B62,Table915[EnergyRating (group)],$A62)</f>
        <v>149</v>
      </c>
      <c r="I62" s="911">
        <f>AVERAGEIFS(INDEX(Table915[],,MATCH(I$6,Table915[#Headers],0)),Table915[MainSpaceHeatingFuel],$B62,Table915[EnergyRating (group)],$A62)</f>
        <v>75</v>
      </c>
      <c r="J62" s="849">
        <f>SUMIFS(INDEX(Table915[],,MATCH(J$6,Table915[#Headers],0)),Table915[MainSpaceHeatingFuel],$B62,Table915[EnergyRating (group)],$A62)</f>
        <v>29193</v>
      </c>
      <c r="K62" s="849">
        <f>SUMIFS(INDEX(Table915[],,MATCH(K$6,Table915[#Headers],0)),Table915[MainSpaceHeatingFuel],$B62,Table915[EnergyRating (group)],$A62)</f>
        <v>25182</v>
      </c>
      <c r="M62" s="840"/>
      <c r="N62" s="933" t="str">
        <f>RSD_Commodities!$M$31&amp;"_"&amp;RIGHT(P62,LEN(P62)-3)&amp;"_"&amp;SETUP!$B$68</f>
        <v>SH_Det-C_BIOWOO_X1</v>
      </c>
      <c r="O62" s="933" t="str">
        <f>RSD_Commodities!$N$31&amp;"_"&amp;RSD_Commodities!D19&amp;"_"&amp;SETUP!$C$68</f>
        <v>Residential Space Heating Detached-C_Biomass &amp; Renewable Waste to Residential_Existing 01</v>
      </c>
      <c r="P62" s="935" t="str">
        <f>RSD_Commodities!$C$19</f>
        <v>RSDBIOWOO</v>
      </c>
      <c r="Q62" s="935" t="str">
        <f>RSD_Commodities!$M$13</f>
        <v>SH_Apt-C</v>
      </c>
      <c r="R62" s="1001">
        <f t="shared" si="31"/>
        <v>1.2351397251814112E-5</v>
      </c>
      <c r="S62" s="937">
        <f>R62*DwellingStocks!$I$66/1000</f>
        <v>8.7897949443711029E-4</v>
      </c>
      <c r="T62" s="933">
        <v>1</v>
      </c>
      <c r="U62" s="933">
        <f t="shared" si="37"/>
        <v>0.75</v>
      </c>
      <c r="V62" s="935">
        <v>20</v>
      </c>
      <c r="W62" s="935">
        <v>1</v>
      </c>
      <c r="X62" s="840"/>
      <c r="Y62" s="928">
        <f t="shared" si="33"/>
        <v>5.361293283466682E-9</v>
      </c>
      <c r="Z62" s="929">
        <f t="shared" si="34"/>
        <v>5.8973503669233963E-9</v>
      </c>
      <c r="AA62" s="840"/>
      <c r="AB62" s="933" t="s">
        <v>393</v>
      </c>
      <c r="AC62" s="933" t="str">
        <f t="shared" si="35"/>
        <v>SH_Det-C_BIOWOO_X1</v>
      </c>
      <c r="AD62" s="933" t="str">
        <f t="shared" si="36"/>
        <v>Residential Space Heating Detached-C_Biomass &amp; Renewable Waste to Residential_Existing 01</v>
      </c>
      <c r="AE62" s="933" t="s">
        <v>53</v>
      </c>
      <c r="AF62" s="933" t="s">
        <v>406</v>
      </c>
      <c r="AG62" s="933"/>
      <c r="AH62" s="933"/>
      <c r="AI62" s="840"/>
      <c r="AJ62" s="840"/>
      <c r="AK62" s="840"/>
      <c r="AL62" s="840"/>
      <c r="AM62" s="840"/>
      <c r="AN62" s="840"/>
    </row>
    <row r="63" spans="1:40" ht="15.75" thickBot="1">
      <c r="A63" s="757" t="s">
        <v>116</v>
      </c>
      <c r="B63" s="757" t="s">
        <v>673</v>
      </c>
      <c r="C63" s="757">
        <f>SUMIFS(INDEX(Table915[],,MATCH(C$6,Table915[#Headers],0)),Table915[MainSpaceHeatingFuel],$B63,Table915[EnergyRating (group)],$A63)</f>
        <v>203650</v>
      </c>
      <c r="D63" s="757">
        <f>SUMIFS(INDEX(Table915[],,MATCH(D$6,Table915[#Headers],0)),Table915[MainSpaceHeatingFuel],$B63,Table915[EnergyRating (group)],$A63)</f>
        <v>185137</v>
      </c>
      <c r="E63" s="760">
        <f>SUMIFS(INDEX(Table915[],,MATCH(E$6,Table915[#Headers],0)),Table915[MainSpaceHeatingFuel],$B63,Table915[EnergyRating (group)],$A63)</f>
        <v>21504</v>
      </c>
      <c r="F63" s="760">
        <f>SUMIFS(INDEX(Table915[],,MATCH(F$6,Table915[#Headers],0)),Table915[MainSpaceHeatingFuel],$B63,Table915[EnergyRating (group)],$A63)</f>
        <v>20686</v>
      </c>
      <c r="G63" s="757">
        <f>SUMIFS(INDEX(Table915[],,MATCH(G$6,Table915[#Headers],0)),Table915[MainSpaceHeatingFuel],$B63,Table915[EnergyRating (group)],$A63)</f>
        <v>14</v>
      </c>
      <c r="H63" s="757">
        <f>SUMIFS(INDEX(Table915[],,MATCH(H$6,Table915[#Headers],0)),Table915[MainSpaceHeatingFuel],$B63,Table915[EnergyRating (group)],$A63)</f>
        <v>1777</v>
      </c>
      <c r="I63" s="912">
        <f>AVERAGEIFS(INDEX(Table915[],,MATCH(I$6,Table915[#Headers],0)),Table915[MainSpaceHeatingFuel],$B63,Table915[EnergyRating (group)],$A63)</f>
        <v>73.444444444444443</v>
      </c>
      <c r="J63" s="847">
        <f>SUMIFS(INDEX(Table915[],,MATCH(J$6,Table915[#Headers],0)),Table915[MainSpaceHeatingFuel],$B63,Table915[EnergyRating (group)],$A63)</f>
        <v>357951</v>
      </c>
      <c r="K63" s="847">
        <f>SUMIFS(INDEX(Table915[],,MATCH(K$6,Table915[#Headers],0)),Table915[MainSpaceHeatingFuel],$B63,Table915[EnergyRating (group)],$A63)</f>
        <v>285751</v>
      </c>
      <c r="M63" s="840"/>
      <c r="N63" s="914" t="str">
        <f>RSD_Commodities!$M$31&amp;"_"&amp;RIGHT(P63,LEN(P63)-3)&amp;"_"&amp;SETUP!$B$68</f>
        <v>SH_Det-C_BIOWOO_X1</v>
      </c>
      <c r="O63" s="914" t="str">
        <f>RSD_Commodities!$N$31&amp;"_"&amp;RSD_Commodities!D19&amp;"_"&amp;SETUP!$C$68</f>
        <v>Residential Space Heating Detached-C_Biomass &amp; Renewable Waste to Residential_Existing 01</v>
      </c>
      <c r="P63" s="930" t="str">
        <f>RSD_Commodities!$C$19</f>
        <v>RSDBIOWOO</v>
      </c>
      <c r="Q63" s="930" t="str">
        <f>RSD_Commodities!$M$13</f>
        <v>SH_Apt-C</v>
      </c>
      <c r="R63" s="1000">
        <f t="shared" si="31"/>
        <v>8.6459780762698776E-5</v>
      </c>
      <c r="S63" s="932">
        <f>R63*DwellingStocks!$I$66/1000</f>
        <v>6.1528564610597719E-3</v>
      </c>
      <c r="T63" s="914">
        <v>1</v>
      </c>
      <c r="U63" s="914">
        <f t="shared" si="37"/>
        <v>0.73444444444444446</v>
      </c>
      <c r="V63" s="930">
        <v>20</v>
      </c>
      <c r="W63" s="930">
        <v>1</v>
      </c>
      <c r="X63" s="840"/>
      <c r="Y63" s="926">
        <f t="shared" si="33"/>
        <v>5.2043809947316675E-7</v>
      </c>
      <c r="Z63" s="927">
        <f t="shared" si="34"/>
        <v>5.6931790834251455E-7</v>
      </c>
      <c r="AA63" s="840"/>
      <c r="AB63" s="914" t="s">
        <v>393</v>
      </c>
      <c r="AC63" s="914" t="str">
        <f t="shared" si="35"/>
        <v>SH_Det-C_BIOWOO_X1</v>
      </c>
      <c r="AD63" s="914" t="str">
        <f t="shared" si="36"/>
        <v>Residential Space Heating Detached-C_Biomass &amp; Renewable Waste to Residential_Existing 01</v>
      </c>
      <c r="AE63" s="914" t="s">
        <v>53</v>
      </c>
      <c r="AF63" s="914" t="s">
        <v>406</v>
      </c>
      <c r="AG63" s="914"/>
      <c r="AH63" s="914"/>
      <c r="AI63" s="840"/>
      <c r="AJ63" s="840"/>
      <c r="AK63" s="840"/>
      <c r="AL63" s="840"/>
      <c r="AM63" s="840"/>
      <c r="AN63" s="840"/>
    </row>
    <row r="64" spans="1:40" ht="15.75" thickBot="1">
      <c r="A64" s="756" t="s">
        <v>118</v>
      </c>
      <c r="B64" s="1048"/>
      <c r="C64" s="1049"/>
      <c r="D64" s="1049"/>
      <c r="E64" s="1049"/>
      <c r="F64" s="1049"/>
      <c r="G64" s="1049"/>
      <c r="H64" s="1049"/>
      <c r="I64" s="1053"/>
      <c r="J64" s="736" t="s">
        <v>565</v>
      </c>
      <c r="K64" s="737" t="s">
        <v>565</v>
      </c>
      <c r="M64" s="840"/>
      <c r="N64" s="76" t="str">
        <f>AB64</f>
        <v>*D Rating</v>
      </c>
      <c r="O64" s="76"/>
      <c r="P64" s="76"/>
      <c r="Q64" s="76"/>
      <c r="R64" s="949">
        <f>SUM(R65:R79)</f>
        <v>0.99995805808954608</v>
      </c>
      <c r="S64" s="76"/>
      <c r="T64" s="97"/>
      <c r="U64" s="76"/>
      <c r="V64" s="76"/>
      <c r="W64" s="76"/>
      <c r="X64" s="840"/>
      <c r="Y64" s="76"/>
      <c r="Z64" s="76"/>
      <c r="AA64" s="840"/>
      <c r="AB64" s="140" t="str">
        <f>"*"&amp; A65 &amp; " Rating"</f>
        <v>*D Rating</v>
      </c>
      <c r="AC64" s="141"/>
      <c r="AD64" s="141"/>
      <c r="AE64" s="141"/>
      <c r="AF64" s="141"/>
      <c r="AG64" s="141"/>
      <c r="AH64" s="141"/>
      <c r="AI64" s="840"/>
      <c r="AJ64" s="840"/>
      <c r="AK64" s="840"/>
      <c r="AL64" s="840"/>
      <c r="AM64" s="840"/>
      <c r="AN64" s="840"/>
    </row>
    <row r="65" spans="1:40">
      <c r="A65" s="757" t="s">
        <v>118</v>
      </c>
      <c r="B65" s="757" t="s">
        <v>582</v>
      </c>
      <c r="C65" s="757">
        <f>SUMIFS(INDEX(Table915[],,MATCH(C$6,Table915[#Headers],0)),Table915[MainSpaceHeatingFuel],$B65,Table915[EnergyRating (group)],$A65)</f>
        <v>5616851</v>
      </c>
      <c r="D65" s="757">
        <f>SUMIFS(INDEX(Table915[],,MATCH(D$6,Table915[#Headers],0)),Table915[MainSpaceHeatingFuel],$B65,Table915[EnergyRating (group)],$A65)</f>
        <v>5106229</v>
      </c>
      <c r="E65" s="757">
        <f>SUMIFS(INDEX(Table915[],,MATCH(E$6,Table915[#Headers],0)),Table915[MainSpaceHeatingFuel],$B65,Table915[EnergyRating (group)],$A65)</f>
        <v>1301011</v>
      </c>
      <c r="F65" s="757">
        <f>SUMIFS(INDEX(Table915[],,MATCH(F$6,Table915[#Headers],0)),Table915[MainSpaceHeatingFuel],$B65,Table915[EnergyRating (group)],$A65)</f>
        <v>1129719</v>
      </c>
      <c r="G65" s="757">
        <f>SUMIFS(INDEX(Table915[],,MATCH(G$6,Table915[#Headers],0)),Table915[MainSpaceHeatingFuel],$B65,Table915[EnergyRating (group)],$A65)</f>
        <v>392</v>
      </c>
      <c r="H65" s="757">
        <f>SUMIFS(INDEX(Table915[],,MATCH(H$6,Table915[#Headers],0)),Table915[MainSpaceHeatingFuel],$B65,Table915[EnergyRating (group)],$A65)</f>
        <v>39102</v>
      </c>
      <c r="I65" s="912">
        <f>AVERAGEIFS(INDEX(Table915[],,MATCH(I$6,Table915[#Headers],0)),Table915[MainSpaceHeatingFuel],$B65,Table915[EnergyRating (group)],$A65)</f>
        <v>79.65625</v>
      </c>
      <c r="J65" s="847">
        <f>SUMIFS(INDEX(Table915[],,MATCH(J$6,Table915[#Headers],0)),Table915[MainSpaceHeatingFuel],$B65,Table915[EnergyRating (group)],$A65)</f>
        <v>10264897</v>
      </c>
      <c r="K65" s="847">
        <f>SUMIFS(INDEX(Table915[],,MATCH(K$6,Table915[#Headers],0)),Table915[MainSpaceHeatingFuel],$B65,Table915[EnergyRating (group)],$A65)</f>
        <v>8466398</v>
      </c>
      <c r="M65" s="840"/>
      <c r="N65" s="914" t="str">
        <f>RSD_Commodities!$M$32&amp;"_"&amp;RIGHT(P65,LEN(P65)-3)&amp;"_"&amp;SETUP!$B$67</f>
        <v>SH_Det-D_OILLPG_X0</v>
      </c>
      <c r="O65" s="914" t="str">
        <f>RSD_Commodities!$N$32&amp;"_"&amp;RSD_Commodities!D11&amp;"_"&amp;SETUP!$C$67</f>
        <v>Residential Space Heating Detached-D_LPG to Residential_Existing 00</v>
      </c>
      <c r="P65" s="915" t="str">
        <f>RSD_Commodities!$C$11</f>
        <v>RSDOILLPG</v>
      </c>
      <c r="Q65" s="930" t="str">
        <f>RSD_Commodities!$M$32</f>
        <v>SH_Det-D</v>
      </c>
      <c r="R65" s="1000">
        <f>G65/SUM($G$65:$G$80)</f>
        <v>4.1103072244940758E-3</v>
      </c>
      <c r="S65" s="932">
        <f>R65*DwellingStocks!$I$67/1000</f>
        <v>0.19519409042969149</v>
      </c>
      <c r="T65" s="914">
        <v>1</v>
      </c>
      <c r="U65" s="914">
        <f t="shared" si="18"/>
        <v>0.79656249999999995</v>
      </c>
      <c r="V65" s="930">
        <v>20</v>
      </c>
      <c r="W65" s="930">
        <v>1</v>
      </c>
      <c r="X65" s="840"/>
      <c r="Y65" s="926">
        <f t="shared" ref="Y65:Y79" si="38">ABS((D65+F65)*S65*1000*$B$2)</f>
        <v>5.0022747855898108E-4</v>
      </c>
      <c r="Z65" s="927">
        <f t="shared" ref="Z65:Z79" si="39">ABS((C65+E65)*S65*1000*$B$2)</f>
        <v>5.5492840307183285E-4</v>
      </c>
      <c r="AA65" s="840"/>
      <c r="AB65" s="914" t="s">
        <v>393</v>
      </c>
      <c r="AC65" s="914" t="str">
        <f t="shared" ref="AC65:AD68" si="40">N65</f>
        <v>SH_Det-D_OILLPG_X0</v>
      </c>
      <c r="AD65" s="914" t="str">
        <f t="shared" si="40"/>
        <v>Residential Space Heating Detached-D_LPG to Residential_Existing 00</v>
      </c>
      <c r="AE65" s="914" t="s">
        <v>53</v>
      </c>
      <c r="AF65" s="914" t="s">
        <v>406</v>
      </c>
      <c r="AG65" s="914"/>
      <c r="AH65" s="914"/>
      <c r="AI65" s="840"/>
      <c r="AJ65" s="840"/>
      <c r="AK65" s="840"/>
      <c r="AL65" s="840"/>
      <c r="AM65" s="840"/>
      <c r="AN65" s="840"/>
    </row>
    <row r="66" spans="1:40">
      <c r="A66" s="758" t="s">
        <v>118</v>
      </c>
      <c r="B66" s="758" t="s">
        <v>228</v>
      </c>
      <c r="C66" s="758">
        <f>SUMIFS(INDEX(Table915[],,MATCH(C$6,Table915[#Headers],0)),Table915[MainSpaceHeatingFuel],$B66,Table915[EnergyRating (group)],$A66)</f>
        <v>87069324</v>
      </c>
      <c r="D66" s="758">
        <f>SUMIFS(INDEX(Table915[],,MATCH(D$6,Table915[#Headers],0)),Table915[MainSpaceHeatingFuel],$B66,Table915[EnergyRating (group)],$A66)</f>
        <v>32247897</v>
      </c>
      <c r="E66" s="759">
        <f>SUMIFS(INDEX(Table915[],,MATCH(E$6,Table915[#Headers],0)),Table915[MainSpaceHeatingFuel],$B66,Table915[EnergyRating (group)],$A66)</f>
        <v>13907997</v>
      </c>
      <c r="F66" s="759">
        <f>SUMIFS(INDEX(Table915[],,MATCH(F$6,Table915[#Headers],0)),Table915[MainSpaceHeatingFuel],$B66,Table915[EnergyRating (group)],$A66)</f>
        <v>9180043</v>
      </c>
      <c r="G66" s="758">
        <f>SUMIFS(INDEX(Table915[],,MATCH(G$6,Table915[#Headers],0)),Table915[MainSpaceHeatingFuel],$B66,Table915[EnergyRating (group)],$A66)</f>
        <v>6544</v>
      </c>
      <c r="H66" s="758">
        <f>SUMIFS(INDEX(Table915[],,MATCH(H$6,Table915[#Headers],0)),Table915[MainSpaceHeatingFuel],$B66,Table915[EnergyRating (group)],$A66)</f>
        <v>598006</v>
      </c>
      <c r="I66" s="911">
        <f>AVERAGEIFS(INDEX(Table915[],,MATCH(I$6,Table915[#Headers],0)),Table915[MainSpaceHeatingFuel],$B66,Table915[EnergyRating (group)],$A66)</f>
        <v>106.46250000000001</v>
      </c>
      <c r="J66" s="849">
        <f>SUMIFS(INDEX(Table915[],,MATCH(J$6,Table915[#Headers],0)),Table915[MainSpaceHeatingFuel],$B66,Table915[EnergyRating (group)],$A66)</f>
        <v>160493906</v>
      </c>
      <c r="K66" s="849">
        <f>SUMIFS(INDEX(Table915[],,MATCH(K$6,Table915[#Headers],0)),Table915[MainSpaceHeatingFuel],$B66,Table915[EnergyRating (group)],$A66)</f>
        <v>63922949</v>
      </c>
      <c r="M66" s="840"/>
      <c r="N66" s="933" t="str">
        <f>RSD_Commodities!$M$32&amp;"_"&amp;RIGHT(P66,LEN(P66)-3)&amp;"_"&amp;SETUP!$B$67</f>
        <v>SH_Det-D_ELCD_X0</v>
      </c>
      <c r="O66" s="933" t="str">
        <f>RSD_Commodities!$N$32&amp;"_"&amp;RSD_Commodities!D27&amp;"_"&amp;SETUP!$C$67</f>
        <v>Residential Space Heating Detached-D_Electricity to Residential_Existing 00</v>
      </c>
      <c r="P66" s="934" t="str">
        <f>RSD_Commodities!$C$27</f>
        <v>RSDELCD</v>
      </c>
      <c r="Q66" s="935" t="str">
        <f>RSD_Commodities!$M$32</f>
        <v>SH_Det-D</v>
      </c>
      <c r="R66" s="1001">
        <f t="shared" ref="R66:R80" si="41">G66/SUM($G$65:$G$80)</f>
        <v>6.8616965502778654E-2</v>
      </c>
      <c r="S66" s="937">
        <f>R66*DwellingStocks!$I$67/1000</f>
        <v>3.2585462443160744</v>
      </c>
      <c r="T66" s="933">
        <v>1</v>
      </c>
      <c r="U66" s="954">
        <f t="shared" si="18"/>
        <v>1.0646250000000002</v>
      </c>
      <c r="V66" s="935">
        <v>20</v>
      </c>
      <c r="W66" s="935">
        <v>1</v>
      </c>
      <c r="X66" s="840"/>
      <c r="Y66" s="928">
        <f t="shared" si="38"/>
        <v>5.547733902606234E-2</v>
      </c>
      <c r="Z66" s="929">
        <f t="shared" si="39"/>
        <v>0.13522161785163647</v>
      </c>
      <c r="AA66" s="840"/>
      <c r="AB66" s="933" t="s">
        <v>393</v>
      </c>
      <c r="AC66" s="933" t="str">
        <f t="shared" si="40"/>
        <v>SH_Det-D_ELCD_X0</v>
      </c>
      <c r="AD66" s="933" t="str">
        <f t="shared" si="40"/>
        <v>Residential Space Heating Detached-D_Electricity to Residential_Existing 00</v>
      </c>
      <c r="AE66" s="933" t="s">
        <v>53</v>
      </c>
      <c r="AF66" s="933" t="s">
        <v>406</v>
      </c>
      <c r="AG66" s="933"/>
      <c r="AH66" s="933"/>
      <c r="AI66" s="840"/>
      <c r="AJ66" s="840"/>
      <c r="AK66" s="840"/>
      <c r="AL66" s="840"/>
      <c r="AM66" s="840"/>
      <c r="AN66" s="840"/>
    </row>
    <row r="67" spans="1:40">
      <c r="A67" s="757" t="s">
        <v>118</v>
      </c>
      <c r="B67" s="757" t="s">
        <v>583</v>
      </c>
      <c r="C67" s="757">
        <f>SUMIFS(INDEX(Table915[],,MATCH(C$6,Table915[#Headers],0)),Table915[MainSpaceHeatingFuel],$B67,Table915[EnergyRating (group)],$A67)</f>
        <v>434533519</v>
      </c>
      <c r="D67" s="757">
        <f>SUMIFS(INDEX(Table915[],,MATCH(D$6,Table915[#Headers],0)),Table915[MainSpaceHeatingFuel],$B67,Table915[EnergyRating (group)],$A67)</f>
        <v>395030467</v>
      </c>
      <c r="E67" s="760">
        <f>SUMIFS(INDEX(Table915[],,MATCH(E$6,Table915[#Headers],0)),Table915[MainSpaceHeatingFuel],$B67,Table915[EnergyRating (group)],$A67)</f>
        <v>100167373</v>
      </c>
      <c r="F67" s="760">
        <f>SUMIFS(INDEX(Table915[],,MATCH(F$6,Table915[#Headers],0)),Table915[MainSpaceHeatingFuel],$B67,Table915[EnergyRating (group)],$A67)</f>
        <v>86274574</v>
      </c>
      <c r="G67" s="757">
        <f>SUMIFS(INDEX(Table915[],,MATCH(G$6,Table915[#Headers],0)),Table915[MainSpaceHeatingFuel],$B67,Table915[EnergyRating (group)],$A67)</f>
        <v>33686</v>
      </c>
      <c r="H67" s="757">
        <f>SUMIFS(INDEX(Table915[],,MATCH(H$6,Table915[#Headers],0)),Table915[MainSpaceHeatingFuel],$B67,Table915[EnergyRating (group)],$A67)</f>
        <v>3188886</v>
      </c>
      <c r="I67" s="912">
        <f>AVERAGEIFS(INDEX(Table915[],,MATCH(I$6,Table915[#Headers],0)),Table915[MainSpaceHeatingFuel],$B67,Table915[EnergyRating (group)],$A67)</f>
        <v>79.89719626168224</v>
      </c>
      <c r="J67" s="847">
        <f>SUMIFS(INDEX(Table915[],,MATCH(J$6,Table915[#Headers],0)),Table915[MainSpaceHeatingFuel],$B67,Table915[EnergyRating (group)],$A67)</f>
        <v>830597590</v>
      </c>
      <c r="K67" s="847">
        <f>SUMIFS(INDEX(Table915[],,MATCH(K$6,Table915[#Headers],0)),Table915[MainSpaceHeatingFuel],$B67,Table915[EnergyRating (group)],$A67)</f>
        <v>673801886</v>
      </c>
      <c r="M67" s="840"/>
      <c r="N67" s="914" t="str">
        <f>RSD_Commodities!$M$32&amp;"_"&amp;RIGHT(P67,LEN(P67)-3)&amp;"_"&amp;SETUP!$B$67</f>
        <v>SH_Det-D_OILKER_X0</v>
      </c>
      <c r="O67" s="914" t="str">
        <f>RSD_Commodities!$N$32&amp;"_"&amp;RSD_Commodities!D13&amp;"_"&amp;SETUP!$C$67</f>
        <v>Residential Space Heating Detached-D_Kerosene to Residential_Existing 00</v>
      </c>
      <c r="P67" s="915" t="str">
        <f>RSD_Commodities!$C$13</f>
        <v>RSDOILKER</v>
      </c>
      <c r="Q67" s="930" t="str">
        <f>RSD_Commodities!$M$32</f>
        <v>SH_Det-D</v>
      </c>
      <c r="R67" s="1000">
        <f t="shared" si="41"/>
        <v>0.35321379888853938</v>
      </c>
      <c r="S67" s="932">
        <f>R67*DwellingStocks!$I$67/1000</f>
        <v>16.773745230139255</v>
      </c>
      <c r="T67" s="914">
        <v>1</v>
      </c>
      <c r="U67" s="914">
        <f t="shared" si="18"/>
        <v>0.79897196261682235</v>
      </c>
      <c r="V67" s="930">
        <v>20</v>
      </c>
      <c r="W67" s="930">
        <v>1</v>
      </c>
      <c r="X67" s="840"/>
      <c r="Y67" s="926">
        <f t="shared" si="38"/>
        <v>3.3177896448146833</v>
      </c>
      <c r="Z67" s="927">
        <f>ABS((C67+E67)*S67*1000*$B$2)</f>
        <v>3.6858643301655643</v>
      </c>
      <c r="AA67" s="840"/>
      <c r="AB67" s="914" t="s">
        <v>393</v>
      </c>
      <c r="AC67" s="914" t="str">
        <f t="shared" si="40"/>
        <v>SH_Det-D_OILKER_X0</v>
      </c>
      <c r="AD67" s="914" t="str">
        <f t="shared" si="40"/>
        <v>Residential Space Heating Detached-D_Kerosene to Residential_Existing 00</v>
      </c>
      <c r="AE67" s="914" t="s">
        <v>53</v>
      </c>
      <c r="AF67" s="914" t="s">
        <v>406</v>
      </c>
      <c r="AG67" s="914"/>
      <c r="AH67" s="914"/>
      <c r="AI67" s="840"/>
      <c r="AJ67" s="840"/>
      <c r="AK67" s="840"/>
      <c r="AL67" s="840"/>
      <c r="AM67" s="840"/>
      <c r="AN67" s="840"/>
    </row>
    <row r="68" spans="1:40">
      <c r="A68" s="758" t="s">
        <v>118</v>
      </c>
      <c r="B68" s="758" t="s">
        <v>584</v>
      </c>
      <c r="C68" s="758">
        <f>SUMIFS(INDEX(Table915[],,MATCH(C$6,Table915[#Headers],0)),Table915[MainSpaceHeatingFuel],$B68,Table915[EnergyRating (group)],$A68)</f>
        <v>645759555</v>
      </c>
      <c r="D68" s="758">
        <f>SUMIFS(INDEX(Table915[],,MATCH(D$6,Table915[#Headers],0)),Table915[MainSpaceHeatingFuel],$B68,Table915[EnergyRating (group)],$A68)</f>
        <v>587054140</v>
      </c>
      <c r="E68" s="758">
        <f>SUMIFS(INDEX(Table915[],,MATCH(E$6,Table915[#Headers],0)),Table915[MainSpaceHeatingFuel],$B68,Table915[EnergyRating (group)],$A68)</f>
        <v>173799029</v>
      </c>
      <c r="F68" s="758">
        <f>SUMIFS(INDEX(Table915[],,MATCH(F$6,Table915[#Headers],0)),Table915[MainSpaceHeatingFuel],$B68,Table915[EnergyRating (group)],$A68)</f>
        <v>149336913</v>
      </c>
      <c r="G68" s="758">
        <f>SUMIFS(INDEX(Table915[],,MATCH(G$6,Table915[#Headers],0)),Table915[MainSpaceHeatingFuel],$B68,Table915[EnergyRating (group)],$A68)</f>
        <v>48625</v>
      </c>
      <c r="H68" s="758">
        <f>SUMIFS(INDEX(Table915[],,MATCH(H$6,Table915[#Headers],0)),Table915[MainSpaceHeatingFuel],$B68,Table915[EnergyRating (group)],$A68)</f>
        <v>4676714</v>
      </c>
      <c r="I68" s="911">
        <f>AVERAGEIFS(INDEX(Table915[],,MATCH(I$6,Table915[#Headers],0)),Table915[MainSpaceHeatingFuel],$B68,Table915[EnergyRating (group)],$A68)</f>
        <v>78.197183098591552</v>
      </c>
      <c r="J68" s="849">
        <f>SUMIFS(INDEX(Table915[],,MATCH(J$6,Table915[#Headers],0)),Table915[MainSpaceHeatingFuel],$B68,Table915[EnergyRating (group)],$A68)</f>
        <v>1224517950</v>
      </c>
      <c r="K68" s="849">
        <f>SUMIFS(INDEX(Table915[],,MATCH(K$6,Table915[#Headers],0)),Table915[MainSpaceHeatingFuel],$B68,Table915[EnergyRating (group)],$A68)</f>
        <v>1010448171</v>
      </c>
      <c r="M68" s="840"/>
      <c r="N68" s="933" t="str">
        <f>RSD_Commodities!$M$32&amp;"_"&amp;RIGHT(P68,LEN(P68)-3)&amp;"_"&amp;SETUP!$B$67</f>
        <v>SH_Det-D_GASNAT_X0</v>
      </c>
      <c r="O68" s="933" t="str">
        <f>RSD_Commodities!$N$32&amp;"_"&amp;RSD_Commodities!D17&amp;"_"&amp;SETUP!$C$67</f>
        <v>Residential Space Heating Detached-D_Natural Gas to Residential_Existing 00</v>
      </c>
      <c r="P68" s="934" t="str">
        <f>RSD_Commodities!$C$17</f>
        <v>RSDGASNAT</v>
      </c>
      <c r="Q68" s="935" t="str">
        <f>RSD_Commodities!$M$32</f>
        <v>SH_Det-D</v>
      </c>
      <c r="R68" s="1001">
        <f t="shared" si="41"/>
        <v>0.50985634895669496</v>
      </c>
      <c r="S68" s="937">
        <f>R68*DwellingStocks!$I$67/1000</f>
        <v>24.212532263121808</v>
      </c>
      <c r="T68" s="933">
        <v>1</v>
      </c>
      <c r="U68" s="933">
        <f t="shared" si="18"/>
        <v>0.78197183098591549</v>
      </c>
      <c r="V68" s="935">
        <v>20</v>
      </c>
      <c r="W68" s="935">
        <v>1</v>
      </c>
      <c r="X68" s="840"/>
      <c r="Y68" s="928">
        <f t="shared" si="38"/>
        <v>7.327352929741128</v>
      </c>
      <c r="Z68" s="929">
        <f t="shared" si="39"/>
        <v>8.1548994479253807</v>
      </c>
      <c r="AA68" s="840"/>
      <c r="AB68" s="933" t="s">
        <v>393</v>
      </c>
      <c r="AC68" s="933" t="str">
        <f t="shared" si="40"/>
        <v>SH_Det-D_GASNAT_X0</v>
      </c>
      <c r="AD68" s="933" t="str">
        <f t="shared" si="40"/>
        <v>Residential Space Heating Detached-D_Natural Gas to Residential_Existing 00</v>
      </c>
      <c r="AE68" s="933" t="s">
        <v>53</v>
      </c>
      <c r="AF68" s="933" t="s">
        <v>406</v>
      </c>
      <c r="AG68" s="933"/>
      <c r="AH68" s="933"/>
      <c r="AI68" s="840"/>
      <c r="AJ68" s="840"/>
      <c r="AK68" s="840"/>
      <c r="AL68" s="840"/>
      <c r="AM68" s="840"/>
      <c r="AN68" s="840"/>
    </row>
    <row r="69" spans="1:40">
      <c r="A69" s="757" t="s">
        <v>118</v>
      </c>
      <c r="B69" s="757" t="s">
        <v>585</v>
      </c>
      <c r="C69" s="757">
        <f>SUMIFS(INDEX(Table915[],,MATCH(C$6,Table915[#Headers],0)),Table915[MainSpaceHeatingFuel],$B69,Table915[EnergyRating (group)],$A69)</f>
        <v>554706</v>
      </c>
      <c r="D69" s="757">
        <f>SUMIFS(INDEX(Table915[],,MATCH(D$6,Table915[#Headers],0)),Table915[MainSpaceHeatingFuel],$B69,Table915[EnergyRating (group)],$A69)</f>
        <v>504280</v>
      </c>
      <c r="E69" s="757">
        <f>SUMIFS(INDEX(Table915[],,MATCH(E$6,Table915[#Headers],0)),Table915[MainSpaceHeatingFuel],$B69,Table915[EnergyRating (group)],$A69)</f>
        <v>87567</v>
      </c>
      <c r="F69" s="757">
        <f>SUMIFS(INDEX(Table915[],,MATCH(F$6,Table915[#Headers],0)),Table915[MainSpaceHeatingFuel],$B69,Table915[EnergyRating (group)],$A69)</f>
        <v>76592</v>
      </c>
      <c r="G69" s="757">
        <f>SUMIFS(INDEX(Table915[],,MATCH(G$6,Table915[#Headers],0)),Table915[MainSpaceHeatingFuel],$B69,Table915[EnergyRating (group)],$A69)</f>
        <v>31</v>
      </c>
      <c r="H69" s="757">
        <f>SUMIFS(INDEX(Table915[],,MATCH(H$6,Table915[#Headers],0)),Table915[MainSpaceHeatingFuel],$B69,Table915[EnergyRating (group)],$A69)</f>
        <v>3409</v>
      </c>
      <c r="I69" s="912">
        <f>AVERAGEIFS(INDEX(Table915[],,MATCH(I$6,Table915[#Headers],0)),Table915[MainSpaceHeatingFuel],$B69,Table915[EnergyRating (group)],$A69)</f>
        <v>70.294117647058826</v>
      </c>
      <c r="J69" s="847">
        <f>SUMIFS(INDEX(Table915[],,MATCH(J$6,Table915[#Headers],0)),Table915[MainSpaceHeatingFuel],$B69,Table915[EnergyRating (group)],$A69)</f>
        <v>910671</v>
      </c>
      <c r="K69" s="847">
        <f>SUMIFS(INDEX(Table915[],,MATCH(K$6,Table915[#Headers],0)),Table915[MainSpaceHeatingFuel],$B69,Table915[EnergyRating (group)],$A69)</f>
        <v>761233</v>
      </c>
      <c r="M69" s="840"/>
      <c r="N69" s="914" t="str">
        <f>RSD_Commodities!$M$32&amp;"_"&amp;RIGHT(P69,LEN(P69)-3)&amp;"_"&amp;SETUP!$B$67</f>
        <v>SH_Det-D_BIOWOO_X0</v>
      </c>
      <c r="O69" s="914" t="str">
        <f>RSD_Commodities!$N$32&amp;"_"&amp;RSD_Commodities!D19&amp;"_"&amp;SETUP!$C$67</f>
        <v>Residential Space Heating Detached-D_Biomass &amp; Renewable Waste to Residential_Existing 00</v>
      </c>
      <c r="P69" s="915" t="str">
        <f>RSD_Commodities!$C$19</f>
        <v>RSDBIOWOO</v>
      </c>
      <c r="Q69" s="930" t="str">
        <f>RSD_Commodities!$M$32</f>
        <v>SH_Det-D</v>
      </c>
      <c r="R69" s="1000">
        <f t="shared" si="41"/>
        <v>3.2504980601866414E-4</v>
      </c>
      <c r="S69" s="932">
        <f>R69*DwellingStocks!$I$67/1000</f>
        <v>1.5436267355409277E-2</v>
      </c>
      <c r="T69" s="914">
        <v>1</v>
      </c>
      <c r="U69" s="914">
        <f t="shared" si="18"/>
        <v>0.70294117647058829</v>
      </c>
      <c r="V69" s="930">
        <v>20</v>
      </c>
      <c r="W69" s="930">
        <v>1</v>
      </c>
      <c r="X69" s="840"/>
      <c r="Y69" s="926">
        <f t="shared" si="38"/>
        <v>3.6848611607964238E-6</v>
      </c>
      <c r="Z69" s="927">
        <f t="shared" si="39"/>
        <v>4.0743689355455273E-6</v>
      </c>
      <c r="AA69" s="840"/>
      <c r="AB69" s="914" t="s">
        <v>393</v>
      </c>
      <c r="AC69" s="914" t="str">
        <f t="shared" ref="AC69:AC80" si="42">N69</f>
        <v>SH_Det-D_BIOWOO_X0</v>
      </c>
      <c r="AD69" s="914" t="str">
        <f t="shared" ref="AD69:AD80" si="43">O69</f>
        <v>Residential Space Heating Detached-D_Biomass &amp; Renewable Waste to Residential_Existing 00</v>
      </c>
      <c r="AE69" s="914" t="s">
        <v>53</v>
      </c>
      <c r="AF69" s="914" t="s">
        <v>406</v>
      </c>
      <c r="AG69" s="914"/>
      <c r="AH69" s="914"/>
      <c r="AI69" s="840"/>
      <c r="AJ69" s="840"/>
      <c r="AK69" s="840"/>
      <c r="AL69" s="840"/>
      <c r="AM69" s="840"/>
      <c r="AN69" s="840"/>
    </row>
    <row r="70" spans="1:40">
      <c r="A70" s="758" t="s">
        <v>118</v>
      </c>
      <c r="B70" s="758" t="s">
        <v>587</v>
      </c>
      <c r="C70" s="758">
        <f>SUMIFS(INDEX(Table915[],,MATCH(C$6,Table915[#Headers],0)),Table915[MainSpaceHeatingFuel],$B70,Table915[EnergyRating (group)],$A70)</f>
        <v>0</v>
      </c>
      <c r="D70" s="758">
        <f>SUMIFS(INDEX(Table915[],,MATCH(D$6,Table915[#Headers],0)),Table915[MainSpaceHeatingFuel],$B70,Table915[EnergyRating (group)],$A70)</f>
        <v>0</v>
      </c>
      <c r="E70" s="759">
        <f>SUMIFS(INDEX(Table915[],,MATCH(E$6,Table915[#Headers],0)),Table915[MainSpaceHeatingFuel],$B70,Table915[EnergyRating (group)],$A70)</f>
        <v>0</v>
      </c>
      <c r="F70" s="759">
        <f>SUMIFS(INDEX(Table915[],,MATCH(F$6,Table915[#Headers],0)),Table915[MainSpaceHeatingFuel],$B70,Table915[EnergyRating (group)],$A70)</f>
        <v>0</v>
      </c>
      <c r="G70" s="758">
        <f>SUMIFS(INDEX(Table915[],,MATCH(G$6,Table915[#Headers],0)),Table915[MainSpaceHeatingFuel],"",Table915[EnergyRating (group)],$A70)</f>
        <v>203</v>
      </c>
      <c r="H70" s="758">
        <f>SUMIFS(INDEX(Table915[],,MATCH(H$6,Table915[#Headers],0)),Table915[MainSpaceHeatingFuel],"",Table915[EnergyRating (group)],$A70)</f>
        <v>12545</v>
      </c>
      <c r="I70" s="944">
        <f>SUMIFS(INDEX(Table915[],,MATCH(I$6,Table915[#Headers],0)),Table915[MainSpaceHeatingFuel],"",Table915[EnergyRating (group)],$A70)</f>
        <v>0</v>
      </c>
      <c r="J70" s="849">
        <f>SUMIFS(INDEX(Table915[],,MATCH(J$6,Table915[#Headers],0)),Table915[MainSpaceHeatingFuel],"",Table915[EnergyRating (group)],$A70)</f>
        <v>406498</v>
      </c>
      <c r="K70" s="849">
        <f>SUMIFS(INDEX(Table915[],,MATCH(K$6,Table915[#Headers],0)),Table915[MainSpaceHeatingFuel],"",Table915[EnergyRating (group)],$A70)</f>
        <v>150553</v>
      </c>
      <c r="M70" s="840"/>
      <c r="N70" s="933" t="str">
        <f>RSD_Commodities!$M$32&amp;"_"&amp;RIGHT(P70,LEN(P70)-3)&amp;"_"&amp;SETUP!$B$67</f>
        <v>SH_Det-D_HET_X0</v>
      </c>
      <c r="O70" s="933" t="str">
        <f>RSD_Commodities!$N$32&amp;"_"&amp;RSD_Commodities!D28&amp;"_"&amp;SETUP!$C$67</f>
        <v>Residential Space Heating Detached-D_Heat to Residential_Existing 00</v>
      </c>
      <c r="P70" s="934" t="str">
        <f>RSD_Commodities!$C$28</f>
        <v>RSDHET</v>
      </c>
      <c r="Q70" s="935" t="str">
        <f>RSD_Commodities!$M$32</f>
        <v>SH_Det-D</v>
      </c>
      <c r="R70" s="1001">
        <f t="shared" si="41"/>
        <v>2.1285519555415749E-3</v>
      </c>
      <c r="S70" s="937">
        <f>R70*DwellingStocks!$I$67/1000</f>
        <v>0.10108265397251881</v>
      </c>
      <c r="T70" s="933">
        <v>1</v>
      </c>
      <c r="U70" s="917">
        <f>IF(I70=0, 1, I70)</f>
        <v>1</v>
      </c>
      <c r="V70" s="935">
        <v>20</v>
      </c>
      <c r="W70" s="935">
        <v>1</v>
      </c>
      <c r="X70" s="840"/>
      <c r="Y70" s="928">
        <f t="shared" si="38"/>
        <v>0</v>
      </c>
      <c r="Z70" s="929">
        <f t="shared" si="39"/>
        <v>0</v>
      </c>
      <c r="AA70" s="840"/>
      <c r="AB70" s="933" t="s">
        <v>393</v>
      </c>
      <c r="AC70" s="933" t="str">
        <f t="shared" si="42"/>
        <v>SH_Det-D_HET_X0</v>
      </c>
      <c r="AD70" s="933" t="str">
        <f t="shared" si="43"/>
        <v>Residential Space Heating Detached-D_Heat to Residential_Existing 00</v>
      </c>
      <c r="AE70" s="933" t="s">
        <v>53</v>
      </c>
      <c r="AF70" s="933" t="s">
        <v>406</v>
      </c>
      <c r="AG70" s="933"/>
      <c r="AH70" s="933"/>
      <c r="AI70" s="840"/>
      <c r="AJ70" s="840"/>
      <c r="AK70" s="840"/>
      <c r="AL70" s="840"/>
      <c r="AM70" s="840"/>
      <c r="AN70" s="840"/>
    </row>
    <row r="71" spans="1:40">
      <c r="A71" s="757" t="s">
        <v>118</v>
      </c>
      <c r="B71" s="757" t="s">
        <v>664</v>
      </c>
      <c r="C71" s="757">
        <f>SUMIFS(INDEX(Table915[],,MATCH(C$6,Table915[#Headers],0)),Table915[MainSpaceHeatingFuel],$B71,Table915[EnergyRating (group)],$A71)</f>
        <v>1138399</v>
      </c>
      <c r="D71" s="757">
        <f>SUMIFS(INDEX(Table915[],,MATCH(D$6,Table915[#Headers],0)),Table915[MainSpaceHeatingFuel],$B71,Table915[EnergyRating (group)],$A71)</f>
        <v>1034905</v>
      </c>
      <c r="E71" s="757">
        <f>SUMIFS(INDEX(Table915[],,MATCH(E$6,Table915[#Headers],0)),Table915[MainSpaceHeatingFuel],$B71,Table915[EnergyRating (group)],$A71)</f>
        <v>235060</v>
      </c>
      <c r="F71" s="757">
        <f>SUMIFS(INDEX(Table915[],,MATCH(F$6,Table915[#Headers],0)),Table915[MainSpaceHeatingFuel],$B71,Table915[EnergyRating (group)],$A71)</f>
        <v>199887</v>
      </c>
      <c r="G71" s="757">
        <f>SUMIFS(INDEX(Table915[],,MATCH(G$6,Table915[#Headers],0)),Table915[MainSpaceHeatingFuel],$B71,Table915[EnergyRating (group)],$A71)</f>
        <v>78</v>
      </c>
      <c r="H71" s="757">
        <f>SUMIFS(INDEX(Table915[],,MATCH(H$6,Table915[#Headers],0)),Table915[MainSpaceHeatingFuel],$B71,Table915[EnergyRating (group)],$A71)</f>
        <v>7669</v>
      </c>
      <c r="I71" s="912">
        <f>AVERAGEIFS(INDEX(Table915[],,MATCH(I$6,Table915[#Headers],0)),Table915[MainSpaceHeatingFuel],$B71,Table915[EnergyRating (group)],$A71)</f>
        <v>76.5</v>
      </c>
      <c r="J71" s="847">
        <f>SUMIFS(INDEX(Table915[],,MATCH(J$6,Table915[#Headers],0)),Table915[MainSpaceHeatingFuel],$B71,Table915[EnergyRating (group)],$A71)</f>
        <v>2029456</v>
      </c>
      <c r="K71" s="847">
        <f>SUMIFS(INDEX(Table915[],,MATCH(K$6,Table915[#Headers],0)),Table915[MainSpaceHeatingFuel],$B71,Table915[EnergyRating (group)],$A71)</f>
        <v>1675912</v>
      </c>
      <c r="M71" s="840"/>
      <c r="N71" s="914" t="str">
        <f>RSD_Commodities!$M$32&amp;"_"&amp;RIGHT(P71,LEN(P71)-3)&amp;"_"&amp;SETUP!$B$68</f>
        <v>SH_Det-D_OILLPG_X1</v>
      </c>
      <c r="O71" s="914" t="str">
        <f>RSD_Commodities!$N$32&amp;"_"&amp;RSD_Commodities!D11&amp;"_"&amp;SETUP!$C$68</f>
        <v>Residential Space Heating Detached-D_LPG to Residential_Existing 01</v>
      </c>
      <c r="P71" s="915" t="str">
        <f>RSD_Commodities!$C$11</f>
        <v>RSDOILLPG</v>
      </c>
      <c r="Q71" s="930" t="str">
        <f>RSD_Commodities!$M$32</f>
        <v>SH_Det-D</v>
      </c>
      <c r="R71" s="1000">
        <f t="shared" si="41"/>
        <v>8.1786725385341302E-4</v>
      </c>
      <c r="S71" s="932">
        <f>R71*DwellingStocks!$I$67/1000</f>
        <v>3.8839640442642695E-2</v>
      </c>
      <c r="T71" s="914">
        <v>1</v>
      </c>
      <c r="U71" s="916">
        <f t="shared" si="18"/>
        <v>0.76500000000000001</v>
      </c>
      <c r="V71" s="930">
        <v>20</v>
      </c>
      <c r="W71" s="930">
        <v>1</v>
      </c>
      <c r="X71" s="840"/>
      <c r="Y71" s="926">
        <f t="shared" si="38"/>
        <v>1.9709127658130818E-5</v>
      </c>
      <c r="Z71" s="927">
        <f t="shared" si="39"/>
        <v>2.1922460433991069E-5</v>
      </c>
      <c r="AA71" s="840"/>
      <c r="AB71" s="914" t="s">
        <v>393</v>
      </c>
      <c r="AC71" s="914" t="str">
        <f t="shared" si="42"/>
        <v>SH_Det-D_OILLPG_X1</v>
      </c>
      <c r="AD71" s="914" t="str">
        <f t="shared" si="43"/>
        <v>Residential Space Heating Detached-D_LPG to Residential_Existing 01</v>
      </c>
      <c r="AE71" s="914" t="s">
        <v>53</v>
      </c>
      <c r="AF71" s="914" t="s">
        <v>406</v>
      </c>
      <c r="AG71" s="914"/>
      <c r="AH71" s="914"/>
      <c r="AI71" s="840"/>
      <c r="AJ71" s="840"/>
      <c r="AK71" s="840"/>
      <c r="AL71" s="840"/>
      <c r="AM71" s="840"/>
      <c r="AN71" s="840"/>
    </row>
    <row r="72" spans="1:40">
      <c r="A72" s="758" t="s">
        <v>118</v>
      </c>
      <c r="B72" s="758" t="s">
        <v>665</v>
      </c>
      <c r="C72" s="758">
        <f>SUMIFS(INDEX(Table915[],,MATCH(C$6,Table915[#Headers],0)),Table915[MainSpaceHeatingFuel],$B72,Table915[EnergyRating (group)],$A72)</f>
        <v>52471817</v>
      </c>
      <c r="D72" s="758">
        <f>SUMIFS(INDEX(Table915[],,MATCH(D$6,Table915[#Headers],0)),Table915[MainSpaceHeatingFuel],$B72,Table915[EnergyRating (group)],$A72)</f>
        <v>47701656</v>
      </c>
      <c r="E72" s="759">
        <f>SUMIFS(INDEX(Table915[],,MATCH(E$6,Table915[#Headers],0)),Table915[MainSpaceHeatingFuel],$B72,Table915[EnergyRating (group)],$A72)</f>
        <v>6722401</v>
      </c>
      <c r="F72" s="759">
        <f>SUMIFS(INDEX(Table915[],,MATCH(F$6,Table915[#Headers],0)),Table915[MainSpaceHeatingFuel],$B72,Table915[EnergyRating (group)],$A72)</f>
        <v>5510100</v>
      </c>
      <c r="G72" s="758">
        <f>SUMIFS(INDEX(Table915[],,MATCH(G$6,Table915[#Headers],0)),Table915[MainSpaceHeatingFuel],$B72,Table915[EnergyRating (group)],$A72)</f>
        <v>4385</v>
      </c>
      <c r="H72" s="758">
        <f>SUMIFS(INDEX(Table915[],,MATCH(H$6,Table915[#Headers],0)),Table915[MainSpaceHeatingFuel],$B72,Table915[EnergyRating (group)],$A72)</f>
        <v>367420</v>
      </c>
      <c r="I72" s="911">
        <f>AVERAGEIFS(INDEX(Table915[],,MATCH(I$6,Table915[#Headers],0)),Table915[MainSpaceHeatingFuel],$B72,Table915[EnergyRating (group)],$A72)</f>
        <v>61.57692307692308</v>
      </c>
      <c r="J72" s="849">
        <f>SUMIFS(INDEX(Table915[],,MATCH(J$6,Table915[#Headers],0)),Table915[MainSpaceHeatingFuel],$B72,Table915[EnergyRating (group)],$A72)</f>
        <v>98815712</v>
      </c>
      <c r="K72" s="849">
        <f>SUMIFS(INDEX(Table915[],,MATCH(K$6,Table915[#Headers],0)),Table915[MainSpaceHeatingFuel],$B72,Table915[EnergyRating (group)],$A72)</f>
        <v>79265314</v>
      </c>
      <c r="M72" s="840"/>
      <c r="N72" s="935" t="str">
        <f>RSD_Commodities!$M$32&amp;"_"&amp;RSD_Commodities!$C$26&amp;"_"&amp;SETUP!$B$67</f>
        <v>SH_Det-D_RSDSMF_X0</v>
      </c>
      <c r="O72" s="935" t="str">
        <f>RSD_Commodities!$N$32&amp;"_"&amp;RSD_Commodities!$D$26&amp;"_"&amp;SETUP!$C$67</f>
        <v>Residential Space Heating Detached-D_Solid Multi-Fuel_Existing 00</v>
      </c>
      <c r="P72" s="935" t="str">
        <f>RSD_Commodities!$C$6&amp;","&amp;RSD_Commodities!$C$7&amp;","&amp;RSD_Commodities!$C$9&amp;","&amp;RSD_Commodities!$C$10&amp;","&amp;RSD_Commodities!$C$19</f>
        <v>RSDCOABIT,RSDCOAHAR,RSDCOALIG,RSDPEA,RSDBIOWOO</v>
      </c>
      <c r="Q72" s="935" t="str">
        <f>RSD_Commodities!$M$32</f>
        <v>SH_Det-D</v>
      </c>
      <c r="R72" s="1001">
        <f t="shared" si="41"/>
        <v>4.5978819335220716E-2</v>
      </c>
      <c r="S72" s="937">
        <f>R72*DwellingStocks!$I$67/1000</f>
        <v>2.1834849146280542</v>
      </c>
      <c r="T72" s="933">
        <v>1</v>
      </c>
      <c r="U72" s="933">
        <f t="shared" si="18"/>
        <v>0.61576923076923085</v>
      </c>
      <c r="V72" s="935">
        <v>20</v>
      </c>
      <c r="W72" s="935">
        <v>1</v>
      </c>
      <c r="X72" s="840"/>
      <c r="Y72" s="928">
        <f t="shared" si="38"/>
        <v>4.7748109523370767E-2</v>
      </c>
      <c r="Z72" s="929">
        <f t="shared" si="39"/>
        <v>5.3116307686111412E-2</v>
      </c>
      <c r="AA72" s="840"/>
      <c r="AB72" s="933" t="s">
        <v>393</v>
      </c>
      <c r="AC72" s="933" t="str">
        <f t="shared" si="42"/>
        <v>SH_Det-D_RSDSMF_X0</v>
      </c>
      <c r="AD72" s="933" t="str">
        <f t="shared" si="43"/>
        <v>Residential Space Heating Detached-D_Solid Multi-Fuel_Existing 00</v>
      </c>
      <c r="AE72" s="933" t="s">
        <v>53</v>
      </c>
      <c r="AF72" s="933" t="s">
        <v>406</v>
      </c>
      <c r="AG72" s="933"/>
      <c r="AH72" s="933"/>
      <c r="AI72" s="840"/>
      <c r="AJ72" s="840"/>
      <c r="AK72" s="840"/>
      <c r="AL72" s="840"/>
      <c r="AM72" s="840"/>
      <c r="AN72" s="840"/>
    </row>
    <row r="73" spans="1:40">
      <c r="A73" s="757" t="s">
        <v>118</v>
      </c>
      <c r="B73" s="757" t="s">
        <v>669</v>
      </c>
      <c r="C73" s="757">
        <f>SUMIFS(INDEX(Table915[],,MATCH(C$6,Table915[#Headers],0)),Table915[MainSpaceHeatingFuel],$B73,Table915[EnergyRating (group)],$A73)</f>
        <v>10399863</v>
      </c>
      <c r="D73" s="757">
        <f>SUMIFS(INDEX(Table915[],,MATCH(D$6,Table915[#Headers],0)),Table915[MainSpaceHeatingFuel],$B73,Table915[EnergyRating (group)],$A73)</f>
        <v>8666556</v>
      </c>
      <c r="E73" s="760">
        <f>SUMIFS(INDEX(Table915[],,MATCH(E$6,Table915[#Headers],0)),Table915[MainSpaceHeatingFuel],$B73,Table915[EnergyRating (group)],$A73)</f>
        <v>1118229</v>
      </c>
      <c r="F73" s="760">
        <f>SUMIFS(INDEX(Table915[],,MATCH(F$6,Table915[#Headers],0)),Table915[MainSpaceHeatingFuel],$B73,Table915[EnergyRating (group)],$A73)</f>
        <v>830201</v>
      </c>
      <c r="G73" s="757">
        <f>SUMIFS(INDEX(Table915[],,MATCH(G$6,Table915[#Headers],0)),Table915[MainSpaceHeatingFuel],$B73,Table915[EnergyRating (group)],$A73)</f>
        <v>809</v>
      </c>
      <c r="H73" s="757">
        <f>SUMIFS(INDEX(Table915[],,MATCH(H$6,Table915[#Headers],0)),Table915[MainSpaceHeatingFuel],$B73,Table915[EnergyRating (group)],$A73)</f>
        <v>70040</v>
      </c>
      <c r="I73" s="912">
        <f>AVERAGEIFS(INDEX(Table915[],,MATCH(I$6,Table915[#Headers],0)),Table915[MainSpaceHeatingFuel],$B73,Table915[EnergyRating (group)],$A73)</f>
        <v>62.2</v>
      </c>
      <c r="J73" s="847">
        <f>SUMIFS(INDEX(Table915[],,MATCH(J$6,Table915[#Headers],0)),Table915[MainSpaceHeatingFuel],$B73,Table915[EnergyRating (group)],$A73)</f>
        <v>19280858</v>
      </c>
      <c r="K73" s="847">
        <f>SUMIFS(INDEX(Table915[],,MATCH(K$6,Table915[#Headers],0)),Table915[MainSpaceHeatingFuel],$B73,Table915[EnergyRating (group)],$A73)</f>
        <v>14306128</v>
      </c>
      <c r="M73" s="840"/>
      <c r="N73" s="914" t="str">
        <f>RSD_Commodities!$M$32&amp;"_"&amp;RIGHT(P73,LEN(P73)-3)&amp;"_"&amp;SETUP!$B$67</f>
        <v>SH_Det-D_COAHAR_X0</v>
      </c>
      <c r="O73" s="914" t="str">
        <f>RSD_Commodities!$N$32&amp;"_"&amp;RSD_Commodities!D7&amp;"_"&amp;SETUP!$C$67</f>
        <v>Residential Space Heating Detached-D_Anthracite + Manufactured Ovoids to Residential_Existing 00</v>
      </c>
      <c r="P73" s="930" t="str">
        <f>RSD_Commodities!$C$7</f>
        <v>RSDCOAHAR</v>
      </c>
      <c r="Q73" s="930" t="str">
        <f>RSD_Commodities!$M$32</f>
        <v>SH_Det-D</v>
      </c>
      <c r="R73" s="1000">
        <f t="shared" si="41"/>
        <v>8.4827513893257836E-3</v>
      </c>
      <c r="S73" s="932">
        <f>R73*DwellingStocks!$I$67/1000</f>
        <v>0.40283678356535818</v>
      </c>
      <c r="T73" s="914">
        <v>1</v>
      </c>
      <c r="U73" s="914">
        <f t="shared" si="18"/>
        <v>0.622</v>
      </c>
      <c r="V73" s="930">
        <v>20</v>
      </c>
      <c r="W73" s="930">
        <v>1</v>
      </c>
      <c r="X73" s="840"/>
      <c r="Y73" s="926">
        <f t="shared" si="38"/>
        <v>1.5721820729514252E-3</v>
      </c>
      <c r="Z73" s="927">
        <f t="shared" si="39"/>
        <v>1.9068127948314595E-3</v>
      </c>
      <c r="AA73" s="840"/>
      <c r="AB73" s="914" t="s">
        <v>393</v>
      </c>
      <c r="AC73" s="914" t="str">
        <f t="shared" si="42"/>
        <v>SH_Det-D_COAHAR_X0</v>
      </c>
      <c r="AD73" s="914" t="str">
        <f t="shared" si="43"/>
        <v>Residential Space Heating Detached-D_Anthracite + Manufactured Ovoids to Residential_Existing 00</v>
      </c>
      <c r="AE73" s="914" t="s">
        <v>53</v>
      </c>
      <c r="AF73" s="914" t="s">
        <v>406</v>
      </c>
      <c r="AG73" s="914"/>
      <c r="AH73" s="914"/>
      <c r="AI73" s="840"/>
      <c r="AJ73" s="840"/>
      <c r="AK73" s="840"/>
      <c r="AL73" s="840"/>
      <c r="AM73" s="840"/>
      <c r="AN73" s="840"/>
    </row>
    <row r="74" spans="1:40">
      <c r="A74" s="758" t="s">
        <v>118</v>
      </c>
      <c r="B74" s="758" t="s">
        <v>666</v>
      </c>
      <c r="C74" s="758">
        <f>SUMIFS(INDEX(Table915[],,MATCH(C$6,Table915[#Headers],0)),Table915[MainSpaceHeatingFuel],$B74,Table915[EnergyRating (group)],$A74)</f>
        <v>5167695</v>
      </c>
      <c r="D74" s="758">
        <f>SUMIFS(INDEX(Table915[],,MATCH(D$6,Table915[#Headers],0)),Table915[MainSpaceHeatingFuel],$B74,Table915[EnergyRating (group)],$A74)</f>
        <v>4697905</v>
      </c>
      <c r="E74" s="758">
        <f>SUMIFS(INDEX(Table915[],,MATCH(E$6,Table915[#Headers],0)),Table915[MainSpaceHeatingFuel],$B74,Table915[EnergyRating (group)],$A74)</f>
        <v>594445</v>
      </c>
      <c r="F74" s="758">
        <f>SUMIFS(INDEX(Table915[],,MATCH(F$6,Table915[#Headers],0)),Table915[MainSpaceHeatingFuel],$B74,Table915[EnergyRating (group)],$A74)</f>
        <v>444417</v>
      </c>
      <c r="G74" s="758">
        <f>SUMIFS(INDEX(Table915[],,MATCH(G$6,Table915[#Headers],0)),Table915[MainSpaceHeatingFuel],$B74,Table915[EnergyRating (group)],$A74)</f>
        <v>413</v>
      </c>
      <c r="H74" s="758">
        <f>SUMIFS(INDEX(Table915[],,MATCH(H$6,Table915[#Headers],0)),Table915[MainSpaceHeatingFuel],$B74,Table915[EnergyRating (group)],$A74)</f>
        <v>34918</v>
      </c>
      <c r="I74" s="911">
        <f>AVERAGEIFS(INDEX(Table915[],,MATCH(I$6,Table915[#Headers],0)),Table915[MainSpaceHeatingFuel],$B74,Table915[EnergyRating (group)],$A74)</f>
        <v>62.95</v>
      </c>
      <c r="J74" s="849">
        <f>SUMIFS(INDEX(Table915[],,MATCH(J$6,Table915[#Headers],0)),Table915[MainSpaceHeatingFuel],$B74,Table915[EnergyRating (group)],$A74)</f>
        <v>9509239</v>
      </c>
      <c r="K74" s="849">
        <f>SUMIFS(INDEX(Table915[],,MATCH(K$6,Table915[#Headers],0)),Table915[MainSpaceHeatingFuel],$B74,Table915[EnergyRating (group)],$A74)</f>
        <v>7653936</v>
      </c>
      <c r="M74" s="840"/>
      <c r="N74" s="933" t="str">
        <f>RSD_Commodities!$M$32&amp;"_"&amp;RIGHT(P74,LEN(P74)-3)&amp;"_"&amp;SETUP!$B$67</f>
        <v>SH_Det-D_COABIT_X0</v>
      </c>
      <c r="O74" s="933" t="str">
        <f>RSD_Commodities!$N$32&amp;"_"&amp;RSD_Commodities!D22&amp;"_"&amp;SETUP!$C$67</f>
        <v>Residential Space Heating Detached-D_Geothermal to Residential_Existing 00</v>
      </c>
      <c r="P74" s="935" t="str">
        <f>RSD_Commodities!$C$6</f>
        <v>RSDCOABIT</v>
      </c>
      <c r="Q74" s="935" t="str">
        <f>RSD_Commodities!$M$32</f>
        <v>SH_Det-D</v>
      </c>
      <c r="R74" s="1001">
        <f t="shared" si="41"/>
        <v>4.3305022543776873E-3</v>
      </c>
      <c r="S74" s="937">
        <f>R74*DwellingStocks!$I$67/1000</f>
        <v>0.20565091670271071</v>
      </c>
      <c r="T74" s="933">
        <v>1</v>
      </c>
      <c r="U74" s="933">
        <f t="shared" si="18"/>
        <v>0.62950000000000006</v>
      </c>
      <c r="V74" s="935">
        <v>20</v>
      </c>
      <c r="W74" s="935">
        <v>1</v>
      </c>
      <c r="X74" s="840"/>
      <c r="Y74" s="928">
        <f t="shared" ref="Y74:Y76" si="44">ABS((D74+F74)*S74*1000*$B$2)</f>
        <v>4.3459858901939052E-4</v>
      </c>
      <c r="Z74" s="929">
        <f t="shared" ref="Z74:Z76" si="45">ABS((C74+E74)*S74*1000*$B$2)</f>
        <v>4.869819341791881E-4</v>
      </c>
      <c r="AA74" s="840"/>
      <c r="AB74" s="933" t="s">
        <v>393</v>
      </c>
      <c r="AC74" s="933" t="str">
        <f t="shared" si="42"/>
        <v>SH_Det-D_COABIT_X0</v>
      </c>
      <c r="AD74" s="933" t="str">
        <f t="shared" si="43"/>
        <v>Residential Space Heating Detached-D_Geothermal to Residential_Existing 00</v>
      </c>
      <c r="AE74" s="933" t="s">
        <v>53</v>
      </c>
      <c r="AF74" s="933" t="s">
        <v>406</v>
      </c>
      <c r="AG74" s="933"/>
      <c r="AH74" s="933"/>
      <c r="AI74" s="840"/>
      <c r="AJ74" s="840"/>
      <c r="AK74" s="840"/>
      <c r="AL74" s="840"/>
      <c r="AM74" s="840"/>
      <c r="AN74" s="840"/>
    </row>
    <row r="75" spans="1:40">
      <c r="A75" s="757" t="s">
        <v>118</v>
      </c>
      <c r="B75" s="757" t="s">
        <v>667</v>
      </c>
      <c r="C75" s="757">
        <f>SUMIFS(INDEX(Table915[],,MATCH(C$6,Table915[#Headers],0)),Table915[MainSpaceHeatingFuel],$B75,Table915[EnergyRating (group)],$A75)</f>
        <v>466982</v>
      </c>
      <c r="D75" s="757">
        <f>SUMIFS(INDEX(Table915[],,MATCH(D$6,Table915[#Headers],0)),Table915[MainSpaceHeatingFuel],$B75,Table915[EnergyRating (group)],$A75)</f>
        <v>424530</v>
      </c>
      <c r="E75" s="757">
        <f>SUMIFS(INDEX(Table915[],,MATCH(E$6,Table915[#Headers],0)),Table915[MainSpaceHeatingFuel],$B75,Table915[EnergyRating (group)],$A75)</f>
        <v>80571</v>
      </c>
      <c r="F75" s="757">
        <f>SUMIFS(INDEX(Table915[],,MATCH(F$6,Table915[#Headers],0)),Table915[MainSpaceHeatingFuel],$B75,Table915[EnergyRating (group)],$A75)</f>
        <v>65354</v>
      </c>
      <c r="G75" s="757">
        <f>SUMIFS(INDEX(Table915[],,MATCH(G$6,Table915[#Headers],0)),Table915[MainSpaceHeatingFuel],$B75,Table915[EnergyRating (group)],$A75)</f>
        <v>38</v>
      </c>
      <c r="H75" s="757">
        <f>SUMIFS(INDEX(Table915[],,MATCH(H$6,Table915[#Headers],0)),Table915[MainSpaceHeatingFuel],$B75,Table915[EnergyRating (group)],$A75)</f>
        <v>3224</v>
      </c>
      <c r="I75" s="912">
        <f>AVERAGEIFS(INDEX(Table915[],,MATCH(I$6,Table915[#Headers],0)),Table915[MainSpaceHeatingFuel],$B75,Table915[EnergyRating (group)],$A75)</f>
        <v>60.666666666666664</v>
      </c>
      <c r="J75" s="847">
        <f>SUMIFS(INDEX(Table915[],,MATCH(J$6,Table915[#Headers],0)),Table915[MainSpaceHeatingFuel],$B75,Table915[EnergyRating (group)],$A75)</f>
        <v>882383</v>
      </c>
      <c r="K75" s="847">
        <f>SUMIFS(INDEX(Table915[],,MATCH(K$6,Table915[#Headers],0)),Table915[MainSpaceHeatingFuel],$B75,Table915[EnergyRating (group)],$A75)</f>
        <v>724510</v>
      </c>
      <c r="M75" s="840"/>
      <c r="N75" s="914" t="str">
        <f>RSD_Commodities!$M$32&amp;"_"&amp;RIGHT(P75,LEN(P75)-3)&amp;"_"&amp;SETUP!$B$68</f>
        <v>SH_Det-D_PEA_X1</v>
      </c>
      <c r="O75" s="914" t="str">
        <f>RSD_Commodities!$N$32&amp;"_"&amp;RSD_Commodities!D26&amp;"_"&amp;SETUP!$C$68</f>
        <v>Residential Space Heating Detached-D_Solid Multi-Fuel_Existing 01</v>
      </c>
      <c r="P75" s="930" t="str">
        <f>RSD_Commodities!$C$10</f>
        <v>RSDPEA</v>
      </c>
      <c r="Q75" s="930" t="str">
        <f>RSD_Commodities!$M$32</f>
        <v>SH_Det-D</v>
      </c>
      <c r="R75" s="1000">
        <f t="shared" si="41"/>
        <v>3.9844814931320121E-4</v>
      </c>
      <c r="S75" s="932">
        <f>R75*DwellingStocks!$I$67/1000</f>
        <v>1.8921876113082336E-2</v>
      </c>
      <c r="T75" s="914">
        <v>1</v>
      </c>
      <c r="U75" s="914">
        <f t="shared" si="18"/>
        <v>0.60666666666666669</v>
      </c>
      <c r="V75" s="930">
        <v>20</v>
      </c>
      <c r="W75" s="930">
        <v>1</v>
      </c>
      <c r="X75" s="840"/>
      <c r="Y75" s="926">
        <f t="shared" si="44"/>
        <v>3.8093935716909163E-6</v>
      </c>
      <c r="Z75" s="927">
        <f t="shared" si="45"/>
        <v>4.257834259457496E-6</v>
      </c>
      <c r="AA75" s="840"/>
      <c r="AB75" s="914" t="s">
        <v>393</v>
      </c>
      <c r="AC75" s="914" t="str">
        <f t="shared" si="42"/>
        <v>SH_Det-D_PEA_X1</v>
      </c>
      <c r="AD75" s="914" t="str">
        <f t="shared" si="43"/>
        <v>Residential Space Heating Detached-D_Solid Multi-Fuel_Existing 01</v>
      </c>
      <c r="AE75" s="914" t="s">
        <v>53</v>
      </c>
      <c r="AF75" s="914" t="s">
        <v>406</v>
      </c>
      <c r="AG75" s="914"/>
      <c r="AH75" s="914"/>
      <c r="AI75" s="840"/>
      <c r="AJ75" s="840"/>
      <c r="AK75" s="840"/>
      <c r="AL75" s="840"/>
      <c r="AM75" s="840"/>
      <c r="AN75" s="840"/>
    </row>
    <row r="76" spans="1:40">
      <c r="A76" s="758" t="s">
        <v>118</v>
      </c>
      <c r="B76" s="758" t="s">
        <v>671</v>
      </c>
      <c r="C76" s="758">
        <f>SUMIFS(INDEX(Table915[],,MATCH(C$6,Table915[#Headers],0)),Table915[MainSpaceHeatingFuel],$B76,Table915[EnergyRating (group)],$A76)</f>
        <v>1236563</v>
      </c>
      <c r="D76" s="758">
        <f>SUMIFS(INDEX(Table915[],,MATCH(D$6,Table915[#Headers],0)),Table915[MainSpaceHeatingFuel],$B76,Table915[EnergyRating (group)],$A76)</f>
        <v>1124148</v>
      </c>
      <c r="E76" s="759">
        <f>SUMIFS(INDEX(Table915[],,MATCH(E$6,Table915[#Headers],0)),Table915[MainSpaceHeatingFuel],$B76,Table915[EnergyRating (group)],$A76)</f>
        <v>197614</v>
      </c>
      <c r="F76" s="759">
        <f>SUMIFS(INDEX(Table915[],,MATCH(F$6,Table915[#Headers],0)),Table915[MainSpaceHeatingFuel],$B76,Table915[EnergyRating (group)],$A76)</f>
        <v>173041</v>
      </c>
      <c r="G76" s="758">
        <f>SUMIFS(INDEX(Table915[],,MATCH(G$6,Table915[#Headers],0)),Table915[MainSpaceHeatingFuel],$B76,Table915[EnergyRating (group)],$A76)</f>
        <v>101</v>
      </c>
      <c r="H76" s="758">
        <f>SUMIFS(INDEX(Table915[],,MATCH(H$6,Table915[#Headers],0)),Table915[MainSpaceHeatingFuel],$B76,Table915[EnergyRating (group)],$A76)</f>
        <v>8362</v>
      </c>
      <c r="I76" s="911">
        <f>AVERAGEIFS(INDEX(Table915[],,MATCH(I$6,Table915[#Headers],0)),Table915[MainSpaceHeatingFuel],$B76,Table915[EnergyRating (group)],$A76)</f>
        <v>60.25</v>
      </c>
      <c r="J76" s="849">
        <f>SUMIFS(INDEX(Table915[],,MATCH(J$6,Table915[#Headers],0)),Table915[MainSpaceHeatingFuel],$B76,Table915[EnergyRating (group)],$A76)</f>
        <v>2301791</v>
      </c>
      <c r="K76" s="849">
        <f>SUMIFS(INDEX(Table915[],,MATCH(K$6,Table915[#Headers],0)),Table915[MainSpaceHeatingFuel],$B76,Table915[EnergyRating (group)],$A76)</f>
        <v>1920833</v>
      </c>
      <c r="M76" s="840"/>
      <c r="N76" s="840" t="str">
        <f>RSD_Commodities!$M$32&amp;"_"&amp;RIGHT(P76,LEN(P76)-3)&amp;"_"&amp;SETUP!$B$67</f>
        <v>SH_Det-D_PEA_X0</v>
      </c>
      <c r="O76" s="840" t="str">
        <f>RSD_Commodities!$N$32&amp;"_"&amp;RSD_Commodities!D26&amp;"_"&amp;SETUP!$C$67</f>
        <v>Residential Space Heating Detached-D_Solid Multi-Fuel_Existing 00</v>
      </c>
      <c r="P76" s="935" t="str">
        <f>RSD_Commodities!$C$10</f>
        <v>RSDPEA</v>
      </c>
      <c r="Q76" s="935" t="str">
        <f>RSD_Commodities!$M$32</f>
        <v>SH_Det-D</v>
      </c>
      <c r="R76" s="1001">
        <f t="shared" si="41"/>
        <v>1.0590332389640348E-3</v>
      </c>
      <c r="S76" s="937">
        <f>R76*DwellingStocks!$I$67/1000</f>
        <v>5.0292354932139897E-2</v>
      </c>
      <c r="T76" s="933">
        <v>1</v>
      </c>
      <c r="U76" s="933">
        <f t="shared" si="18"/>
        <v>0.60250000000000004</v>
      </c>
      <c r="V76" s="935">
        <v>20</v>
      </c>
      <c r="W76" s="935">
        <v>1</v>
      </c>
      <c r="X76" s="840"/>
      <c r="Y76" s="928">
        <f t="shared" si="44"/>
        <v>2.6810420384411356E-5</v>
      </c>
      <c r="Z76" s="929">
        <f t="shared" si="45"/>
        <v>2.964170084363491E-5</v>
      </c>
      <c r="AA76" s="840"/>
      <c r="AB76" s="933" t="s">
        <v>393</v>
      </c>
      <c r="AC76" s="933" t="str">
        <f t="shared" si="42"/>
        <v>SH_Det-D_PEA_X0</v>
      </c>
      <c r="AD76" s="933" t="str">
        <f t="shared" si="43"/>
        <v>Residential Space Heating Detached-D_Solid Multi-Fuel_Existing 00</v>
      </c>
      <c r="AE76" s="933" t="s">
        <v>53</v>
      </c>
      <c r="AF76" s="933" t="s">
        <v>406</v>
      </c>
      <c r="AG76" s="933"/>
      <c r="AH76" s="933"/>
      <c r="AI76" s="840"/>
      <c r="AJ76" s="840"/>
      <c r="AK76" s="840"/>
      <c r="AL76" s="840"/>
      <c r="AM76" s="840"/>
      <c r="AN76" s="840"/>
    </row>
    <row r="77" spans="1:40">
      <c r="A77" s="757" t="s">
        <v>118</v>
      </c>
      <c r="B77" s="757" t="s">
        <v>668</v>
      </c>
      <c r="C77" s="757">
        <f>SUMIFS(INDEX(Table915[],,MATCH(C$6,Table915[#Headers],0)),Table915[MainSpaceHeatingFuel],$B77,Table915[EnergyRating (group)],$A77)</f>
        <v>116768</v>
      </c>
      <c r="D77" s="757">
        <f>SUMIFS(INDEX(Table915[],,MATCH(D$6,Table915[#Headers],0)),Table915[MainSpaceHeatingFuel],$B77,Table915[EnergyRating (group)],$A77)</f>
        <v>106152</v>
      </c>
      <c r="E77" s="760">
        <f>SUMIFS(INDEX(Table915[],,MATCH(E$6,Table915[#Headers],0)),Table915[MainSpaceHeatingFuel],$B77,Table915[EnergyRating (group)],$A77)</f>
        <v>24027</v>
      </c>
      <c r="F77" s="760">
        <f>SUMIFS(INDEX(Table915[],,MATCH(F$6,Table915[#Headers],0)),Table915[MainSpaceHeatingFuel],$B77,Table915[EnergyRating (group)],$A77)</f>
        <v>21022</v>
      </c>
      <c r="G77" s="757">
        <f>SUMIFS(INDEX(Table915[],,MATCH(G$6,Table915[#Headers],0)),Table915[MainSpaceHeatingFuel],$B77,Table915[EnergyRating (group)],$A77)</f>
        <v>9</v>
      </c>
      <c r="H77" s="757">
        <f>SUMIFS(INDEX(Table915[],,MATCH(H$6,Table915[#Headers],0)),Table915[MainSpaceHeatingFuel],$B77,Table915[EnergyRating (group)],$A77)</f>
        <v>765</v>
      </c>
      <c r="I77" s="912">
        <f>AVERAGEIFS(INDEX(Table915[],,MATCH(I$6,Table915[#Headers],0)),Table915[MainSpaceHeatingFuel],$B77,Table915[EnergyRating (group)],$A77)</f>
        <v>69.833333333333329</v>
      </c>
      <c r="J77" s="847">
        <f>SUMIFS(INDEX(Table915[],,MATCH(J$6,Table915[#Headers],0)),Table915[MainSpaceHeatingFuel],$B77,Table915[EnergyRating (group)],$A77)</f>
        <v>204091</v>
      </c>
      <c r="K77" s="847">
        <f>SUMIFS(INDEX(Table915[],,MATCH(K$6,Table915[#Headers],0)),Table915[MainSpaceHeatingFuel],$B77,Table915[EnergyRating (group)],$A77)</f>
        <v>168115</v>
      </c>
      <c r="M77" s="840"/>
      <c r="N77" s="914" t="str">
        <f>RSD_Commodities!$M$32&amp;"_"&amp;RIGHT(P77,LEN(P77)-3)&amp;"_"&amp;SETUP!$B$69</f>
        <v>SH_Det-D_BIOWOO_X2</v>
      </c>
      <c r="O77" s="914" t="str">
        <f>RSD_Commodities!$N$32&amp;"_"&amp;RSD_Commodities!D35&amp;"_"&amp;SETUP!$C$69</f>
        <v>Residential Space Heating Detached-D_Residential Refrigeration_Existing 02</v>
      </c>
      <c r="P77" s="930" t="str">
        <f>RSD_Commodities!$C$19</f>
        <v>RSDBIOWOO</v>
      </c>
      <c r="Q77" s="930" t="str">
        <f>RSD_Commodities!$M$32</f>
        <v>SH_Det-D</v>
      </c>
      <c r="R77" s="1000">
        <f t="shared" si="41"/>
        <v>9.4369298521547655E-5</v>
      </c>
      <c r="S77" s="932">
        <f>R77*DwellingStocks!$I$67/1000</f>
        <v>4.4814969741510807E-3</v>
      </c>
      <c r="T77" s="914">
        <v>1</v>
      </c>
      <c r="U77" s="914">
        <f t="shared" si="18"/>
        <v>0.69833333333333325</v>
      </c>
      <c r="V77" s="930">
        <v>20</v>
      </c>
      <c r="W77" s="930">
        <v>1</v>
      </c>
      <c r="X77" s="840"/>
      <c r="Y77" s="926">
        <f t="shared" si="38"/>
        <v>2.3421776555781766E-7</v>
      </c>
      <c r="Z77" s="927">
        <f t="shared" si="39"/>
        <v>2.5930371225024722E-7</v>
      </c>
      <c r="AA77" s="840"/>
      <c r="AB77" s="914" t="s">
        <v>393</v>
      </c>
      <c r="AC77" s="914" t="str">
        <f t="shared" si="42"/>
        <v>SH_Det-D_BIOWOO_X2</v>
      </c>
      <c r="AD77" s="914" t="str">
        <f t="shared" si="43"/>
        <v>Residential Space Heating Detached-D_Residential Refrigeration_Existing 02</v>
      </c>
      <c r="AE77" s="914" t="s">
        <v>53</v>
      </c>
      <c r="AF77" s="914" t="s">
        <v>406</v>
      </c>
      <c r="AG77" s="914"/>
      <c r="AH77" s="914"/>
      <c r="AI77" s="840"/>
      <c r="AJ77" s="840"/>
      <c r="AK77" s="840"/>
      <c r="AL77" s="840"/>
      <c r="AM77" s="840"/>
      <c r="AN77" s="840"/>
    </row>
    <row r="78" spans="1:40">
      <c r="A78" s="758" t="s">
        <v>118</v>
      </c>
      <c r="B78" s="758" t="s">
        <v>722</v>
      </c>
      <c r="C78" s="758">
        <f>SUMIFS(INDEX(Table915[],,MATCH(C$6,Table915[#Headers],0)),Table915[MainSpaceHeatingFuel],$B78,Table915[EnergyRating (group)],$A78)</f>
        <v>11376</v>
      </c>
      <c r="D78" s="758">
        <f>SUMIFS(INDEX(Table915[],,MATCH(D$6,Table915[#Headers],0)),Table915[MainSpaceHeatingFuel],$B78,Table915[EnergyRating (group)],$A78)</f>
        <v>10342</v>
      </c>
      <c r="E78" s="758">
        <f>SUMIFS(INDEX(Table915[],,MATCH(E$6,Table915[#Headers],0)),Table915[MainSpaceHeatingFuel],$B78,Table915[EnergyRating (group)],$A78)</f>
        <v>2739</v>
      </c>
      <c r="F78" s="758">
        <f>SUMIFS(INDEX(Table915[],,MATCH(F$6,Table915[#Headers],0)),Table915[MainSpaceHeatingFuel],$B78,Table915[EnergyRating (group)],$A78)</f>
        <v>2490</v>
      </c>
      <c r="G78" s="758">
        <f>SUMIFS(INDEX(Table915[],,MATCH(G$6,Table915[#Headers],0)),Table915[MainSpaceHeatingFuel],$B78,Table915[EnergyRating (group)],$A78)</f>
        <v>1</v>
      </c>
      <c r="H78" s="758">
        <f>SUMIFS(INDEX(Table915[],,MATCH(H$6,Table915[#Headers],0)),Table915[MainSpaceHeatingFuel],$B78,Table915[EnergyRating (group)],$A78)</f>
        <v>83</v>
      </c>
      <c r="I78" s="911">
        <f>AVERAGEIFS(INDEX(Table915[],,MATCH(I$6,Table915[#Headers],0)),Table915[MainSpaceHeatingFuel],$B78,Table915[EnergyRating (group)],$A78)</f>
        <v>65</v>
      </c>
      <c r="J78" s="849">
        <f>SUMIFS(INDEX(Table915[],,MATCH(J$6,Table915[#Headers],0)),Table915[MainSpaceHeatingFuel],$B78,Table915[EnergyRating (group)],$A78)</f>
        <v>23129</v>
      </c>
      <c r="K78" s="849">
        <f>SUMIFS(INDEX(Table915[],,MATCH(K$6,Table915[#Headers],0)),Table915[MainSpaceHeatingFuel],$B78,Table915[EnergyRating (group)],$A78)</f>
        <v>18732</v>
      </c>
      <c r="M78" s="840"/>
      <c r="N78" s="933" t="str">
        <f>RSD_Commodities!$M$32&amp;"_"&amp;RIGHT(P78,LEN(P78)-3)&amp;"_"&amp;SETUP!$B$68</f>
        <v>SH_Det-D_BIOWOO_X1</v>
      </c>
      <c r="O78" s="933" t="str">
        <f>RSD_Commodities!$N$32&amp;"_"&amp;RSD_Commodities!D35&amp;"_"&amp;SETUP!$C$68</f>
        <v>Residential Space Heating Detached-D_Residential Refrigeration_Existing 01</v>
      </c>
      <c r="P78" s="935" t="str">
        <f>RSD_Commodities!$C$19</f>
        <v>RSDBIOWOO</v>
      </c>
      <c r="Q78" s="935" t="str">
        <f>RSD_Commodities!$M$32</f>
        <v>SH_Det-D</v>
      </c>
      <c r="R78" s="1001">
        <f t="shared" si="41"/>
        <v>1.0485477613505295E-5</v>
      </c>
      <c r="S78" s="937">
        <f>R78*DwellingStocks!$I$67/1000</f>
        <v>4.9794410823900896E-4</v>
      </c>
      <c r="T78" s="933">
        <v>1</v>
      </c>
      <c r="U78" s="933">
        <f t="shared" si="18"/>
        <v>0.65</v>
      </c>
      <c r="V78" s="935">
        <v>20</v>
      </c>
      <c r="W78" s="935">
        <v>1</v>
      </c>
      <c r="X78" s="840"/>
      <c r="Y78" s="928">
        <f t="shared" si="38"/>
        <v>2.6258707384614922E-9</v>
      </c>
      <c r="Z78" s="929">
        <f t="shared" si="39"/>
        <v>2.8884168853946354E-9</v>
      </c>
      <c r="AA78" s="840"/>
      <c r="AB78" s="933" t="s">
        <v>393</v>
      </c>
      <c r="AC78" s="933" t="str">
        <f t="shared" si="42"/>
        <v>SH_Det-D_BIOWOO_X1</v>
      </c>
      <c r="AD78" s="933" t="str">
        <f t="shared" si="43"/>
        <v>Residential Space Heating Detached-D_Residential Refrigeration_Existing 01</v>
      </c>
      <c r="AE78" s="933" t="s">
        <v>53</v>
      </c>
      <c r="AF78" s="933" t="s">
        <v>406</v>
      </c>
      <c r="AG78" s="933"/>
      <c r="AH78" s="933"/>
      <c r="AI78" s="840"/>
      <c r="AJ78" s="840"/>
      <c r="AK78" s="840"/>
      <c r="AL78" s="840"/>
      <c r="AM78" s="840"/>
      <c r="AN78" s="840"/>
    </row>
    <row r="79" spans="1:40">
      <c r="A79" s="757" t="s">
        <v>118</v>
      </c>
      <c r="B79" s="757" t="s">
        <v>673</v>
      </c>
      <c r="C79" s="757">
        <f>SUMIFS(INDEX(Table915[],,MATCH(C$6,Table915[#Headers],0)),Table915[MainSpaceHeatingFuel],$B79,Table915[EnergyRating (group)],$A79)</f>
        <v>581925</v>
      </c>
      <c r="D79" s="757">
        <f>SUMIFS(INDEX(Table915[],,MATCH(D$6,Table915[#Headers],0)),Table915[MainSpaceHeatingFuel],$B79,Table915[EnergyRating (group)],$A79)</f>
        <v>529023</v>
      </c>
      <c r="E79" s="757">
        <f>SUMIFS(INDEX(Table915[],,MATCH(E$6,Table915[#Headers],0)),Table915[MainSpaceHeatingFuel],$B79,Table915[EnergyRating (group)],$A79)</f>
        <v>74585</v>
      </c>
      <c r="F79" s="757">
        <f>SUMIFS(INDEX(Table915[],,MATCH(F$6,Table915[#Headers],0)),Table915[MainSpaceHeatingFuel],$B79,Table915[EnergyRating (group)],$A79)</f>
        <v>62145</v>
      </c>
      <c r="G79" s="757">
        <f>SUMIFS(INDEX(Table915[],,MATCH(G$6,Table915[#Headers],0)),Table915[MainSpaceHeatingFuel],$B79,Table915[EnergyRating (group)],$A79)</f>
        <v>51</v>
      </c>
      <c r="H79" s="757">
        <f>SUMIFS(INDEX(Table915[],,MATCH(H$6,Table915[#Headers],0)),Table915[MainSpaceHeatingFuel],$B79,Table915[EnergyRating (group)],$A79)</f>
        <v>3978</v>
      </c>
      <c r="I79" s="912">
        <f>AVERAGEIFS(INDEX(Table915[],,MATCH(I$6,Table915[#Headers],0)),Table915[MainSpaceHeatingFuel],$B79,Table915[EnergyRating (group)],$A79)</f>
        <v>65.400000000000006</v>
      </c>
      <c r="J79" s="847">
        <f>SUMIFS(INDEX(Table915[],,MATCH(J$6,Table915[#Headers],0)),Table915[MainSpaceHeatingFuel],$B79,Table915[EnergyRating (group)],$A79)</f>
        <v>1071816</v>
      </c>
      <c r="K79" s="847">
        <f>SUMIFS(INDEX(Table915[],,MATCH(K$6,Table915[#Headers],0)),Table915[MainSpaceHeatingFuel],$B79,Table915[EnergyRating (group)],$A79)</f>
        <v>864641</v>
      </c>
      <c r="M79" s="840"/>
      <c r="N79" s="914" t="str">
        <f>RSD_Commodities!$M$32&amp;"_"&amp;RIGHT(P79,LEN(P79)-3)&amp;"_"&amp;SETUP!$B$68</f>
        <v>SH_Det-D_BIOWOO_X1</v>
      </c>
      <c r="O79" s="914" t="str">
        <f>RSD_Commodities!$N$32&amp;"_"&amp;RSD_Commodities!D35&amp;"_"&amp;SETUP!$C$68</f>
        <v>Residential Space Heating Detached-D_Residential Refrigeration_Existing 01</v>
      </c>
      <c r="P79" s="930" t="str">
        <f>RSD_Commodities!$C$19</f>
        <v>RSDBIOWOO</v>
      </c>
      <c r="Q79" s="930" t="str">
        <f>RSD_Commodities!$M$32</f>
        <v>SH_Det-D</v>
      </c>
      <c r="R79" s="1000">
        <f t="shared" si="41"/>
        <v>5.3475935828877007E-4</v>
      </c>
      <c r="S79" s="932">
        <f>R79*DwellingStocks!$I$67/1000</f>
        <v>2.5395149520189456E-2</v>
      </c>
      <c r="T79" s="914">
        <v>1</v>
      </c>
      <c r="U79" s="914">
        <f t="shared" si="18"/>
        <v>0.65400000000000003</v>
      </c>
      <c r="V79" s="930">
        <v>20</v>
      </c>
      <c r="W79" s="930">
        <v>1</v>
      </c>
      <c r="X79" s="840"/>
      <c r="Y79" s="926">
        <f t="shared" si="38"/>
        <v>6.1696437335142586E-6</v>
      </c>
      <c r="Z79" s="927">
        <f t="shared" si="39"/>
        <v>6.8515765526710613E-6</v>
      </c>
      <c r="AA79" s="840"/>
      <c r="AB79" s="914" t="s">
        <v>393</v>
      </c>
      <c r="AC79" s="914" t="str">
        <f t="shared" si="42"/>
        <v>SH_Det-D_BIOWOO_X1</v>
      </c>
      <c r="AD79" s="914" t="str">
        <f t="shared" si="43"/>
        <v>Residential Space Heating Detached-D_Residential Refrigeration_Existing 01</v>
      </c>
      <c r="AE79" s="914" t="s">
        <v>53</v>
      </c>
      <c r="AF79" s="914" t="s">
        <v>406</v>
      </c>
      <c r="AG79" s="914"/>
      <c r="AH79" s="914"/>
      <c r="AI79" s="840"/>
      <c r="AJ79" s="840"/>
      <c r="AK79" s="840"/>
      <c r="AL79" s="840"/>
      <c r="AM79" s="840"/>
      <c r="AN79" s="840"/>
    </row>
    <row r="80" spans="1:40" ht="15.75" thickBot="1">
      <c r="A80" s="758" t="s">
        <v>118</v>
      </c>
      <c r="B80" s="758" t="s">
        <v>674</v>
      </c>
      <c r="C80" s="758">
        <f>SUMIFS(INDEX(Table915[],,MATCH(C$6,Table915[#Headers],0)),Table915[MainSpaceHeatingFuel],$B80,Table915[EnergyRating (group)],$A80)</f>
        <v>49915</v>
      </c>
      <c r="D80" s="758">
        <f>SUMIFS(INDEX(Table915[],,MATCH(D$6,Table915[#Headers],0)),Table915[MainSpaceHeatingFuel],$B80,Table915[EnergyRating (group)],$A80)</f>
        <v>45377</v>
      </c>
      <c r="E80" s="759">
        <f>SUMIFS(INDEX(Table915[],,MATCH(E$6,Table915[#Headers],0)),Table915[MainSpaceHeatingFuel],$B80,Table915[EnergyRating (group)],$A80)</f>
        <v>7224</v>
      </c>
      <c r="F80" s="759">
        <f>SUMIFS(INDEX(Table915[],,MATCH(F$6,Table915[#Headers],0)),Table915[MainSpaceHeatingFuel],$B80,Table915[EnergyRating (group)],$A80)</f>
        <v>6568</v>
      </c>
      <c r="G80" s="758">
        <f>SUMIFS(INDEX(Table915[],,MATCH(G$6,Table915[#Headers],0)),Table915[MainSpaceHeatingFuel],$B80,Table915[EnergyRating (group)],$A80)</f>
        <v>4</v>
      </c>
      <c r="H80" s="758">
        <f>SUMIFS(INDEX(Table915[],,MATCH(H$6,Table915[#Headers],0)),Table915[MainSpaceHeatingFuel],$B80,Table915[EnergyRating (group)],$A80)</f>
        <v>346</v>
      </c>
      <c r="I80" s="911">
        <f>AVERAGEIFS(INDEX(Table915[],,MATCH(I$6,Table915[#Headers],0)),Table915[MainSpaceHeatingFuel],$B80,Table915[EnergyRating (group)],$A80)</f>
        <v>62.666666666666664</v>
      </c>
      <c r="J80" s="849">
        <f>SUMIFS(INDEX(Table915[],,MATCH(J$6,Table915[#Headers],0)),Table915[MainSpaceHeatingFuel],$B80,Table915[EnergyRating (group)],$A80)</f>
        <v>94036</v>
      </c>
      <c r="K80" s="849">
        <f>SUMIFS(INDEX(Table915[],,MATCH(K$6,Table915[#Headers],0)),Table915[MainSpaceHeatingFuel],$B80,Table915[EnergyRating (group)],$A80)</f>
        <v>75760</v>
      </c>
      <c r="M80" s="840"/>
      <c r="N80" s="933" t="str">
        <f>RSD_Commodities!$M$32&amp;"_"&amp;RIGHT(P80,LEN(P80)-3)&amp;"_"&amp;SETUP!$B$68</f>
        <v>SH_Det-D_COAHAR_X1</v>
      </c>
      <c r="O80" s="933" t="str">
        <f>RSD_Commodities!$N$32&amp;"_"&amp;RSD_Commodities!D7&amp;"_"&amp;SETUP!$C$68</f>
        <v>Residential Space Heating Detached-D_Anthracite + Manufactured Ovoids to Residential_Existing 01</v>
      </c>
      <c r="P80" s="935" t="str">
        <f>RSD_Commodities!$C$7</f>
        <v>RSDCOAHAR</v>
      </c>
      <c r="Q80" s="935" t="str">
        <f>RSD_Commodities!$M$32</f>
        <v>SH_Det-D</v>
      </c>
      <c r="R80" s="1001">
        <f t="shared" si="41"/>
        <v>4.1941910454021179E-5</v>
      </c>
      <c r="S80" s="937">
        <f>R80*DwellingStocks!$I$67/1000</f>
        <v>1.9917764329560358E-3</v>
      </c>
      <c r="T80" s="933">
        <v>1</v>
      </c>
      <c r="U80" s="933">
        <f t="shared" si="18"/>
        <v>0.62666666666666659</v>
      </c>
      <c r="V80" s="935">
        <v>20</v>
      </c>
      <c r="W80" s="935">
        <v>1</v>
      </c>
      <c r="X80" s="840"/>
      <c r="Y80" s="997"/>
      <c r="Z80" s="997"/>
      <c r="AA80" s="840"/>
      <c r="AB80" s="933" t="s">
        <v>393</v>
      </c>
      <c r="AC80" s="933" t="str">
        <f t="shared" si="42"/>
        <v>SH_Det-D_COAHAR_X1</v>
      </c>
      <c r="AD80" s="933" t="str">
        <f t="shared" si="43"/>
        <v>Residential Space Heating Detached-D_Anthracite + Manufactured Ovoids to Residential_Existing 01</v>
      </c>
      <c r="AE80" s="933" t="s">
        <v>53</v>
      </c>
      <c r="AF80" s="933" t="s">
        <v>406</v>
      </c>
      <c r="AG80" s="933"/>
      <c r="AH80" s="933"/>
      <c r="AI80" s="840"/>
      <c r="AJ80" s="840"/>
      <c r="AK80" s="840"/>
      <c r="AL80" s="840"/>
      <c r="AM80" s="840"/>
      <c r="AN80" s="840"/>
    </row>
    <row r="81" spans="1:40" ht="15.75" thickBot="1">
      <c r="A81" s="756" t="s">
        <v>120</v>
      </c>
      <c r="B81" s="1048"/>
      <c r="C81" s="1049"/>
      <c r="D81" s="1049"/>
      <c r="E81" s="1049"/>
      <c r="F81" s="1049"/>
      <c r="G81" s="1049"/>
      <c r="H81" s="1049"/>
      <c r="I81" s="1053"/>
      <c r="J81" s="736" t="s">
        <v>565</v>
      </c>
      <c r="K81" s="737" t="s">
        <v>565</v>
      </c>
      <c r="M81" s="840"/>
      <c r="N81" s="76" t="str">
        <f>"*"&amp;AB81</f>
        <v>*E Rating</v>
      </c>
      <c r="O81" s="76"/>
      <c r="P81" s="76"/>
      <c r="Q81" s="76"/>
      <c r="R81" s="949">
        <f>SUM(R82:R97)</f>
        <v>0.99999999999999989</v>
      </c>
      <c r="S81" s="76"/>
      <c r="T81" s="97"/>
      <c r="U81" s="76"/>
      <c r="V81" s="76"/>
      <c r="W81" s="76"/>
      <c r="X81" s="840"/>
      <c r="Y81" s="76"/>
      <c r="Z81" s="76"/>
      <c r="AA81" s="840"/>
      <c r="AB81" s="140" t="str">
        <f>A82 &amp; " Rating"</f>
        <v>E Rating</v>
      </c>
      <c r="AC81" s="141"/>
      <c r="AD81" s="141"/>
      <c r="AE81" s="141"/>
      <c r="AF81" s="141"/>
      <c r="AG81" s="141"/>
      <c r="AH81" s="141"/>
      <c r="AI81" s="840"/>
      <c r="AJ81" s="840"/>
      <c r="AK81" s="840"/>
      <c r="AL81" s="840"/>
      <c r="AM81" s="840"/>
      <c r="AN81" s="840"/>
    </row>
    <row r="82" spans="1:40">
      <c r="A82" s="758" t="s">
        <v>120</v>
      </c>
      <c r="B82" s="758" t="s">
        <v>582</v>
      </c>
      <c r="C82" s="758">
        <f>SUMIFS(INDEX(Table915[],,MATCH(C$6,Table915[#Headers],0)),Table915[MainSpaceHeatingFuel],$B82,Table915[EnergyRating (group)],$A82)</f>
        <v>1788017</v>
      </c>
      <c r="D82" s="758">
        <f>SUMIFS(INDEX(Table915[],,MATCH(D$6,Table915[#Headers],0)),Table915[MainSpaceHeatingFuel],$B82,Table915[EnergyRating (group)],$A82)</f>
        <v>1625469</v>
      </c>
      <c r="E82" s="759">
        <f>SUMIFS(INDEX(Table915[],,MATCH(E$6,Table915[#Headers],0)),Table915[MainSpaceHeatingFuel],$B82,Table915[EnergyRating (group)],$A82)</f>
        <v>388227</v>
      </c>
      <c r="F82" s="759">
        <f>SUMIFS(INDEX(Table915[],,MATCH(F$6,Table915[#Headers],0)),Table915[MainSpaceHeatingFuel],$B82,Table915[EnergyRating (group)],$A82)</f>
        <v>333669</v>
      </c>
      <c r="G82" s="758">
        <f>SUMIFS(INDEX(Table915[],,MATCH(G$6,Table915[#Headers],0)),Table915[MainSpaceHeatingFuel],$B82,Table915[EnergyRating (group)],$A82)</f>
        <v>81</v>
      </c>
      <c r="H82" s="758">
        <f>SUMIFS(INDEX(Table915[],,MATCH(H$6,Table915[#Headers],0)),Table915[MainSpaceHeatingFuel],$B82,Table915[EnergyRating (group)],$A82)</f>
        <v>8466</v>
      </c>
      <c r="I82" s="911">
        <f>AVERAGEIFS(INDEX(Table915[],,MATCH(I$6,Table915[#Headers],0)),Table915[MainSpaceHeatingFuel],$B82,Table915[EnergyRating (group)],$A82)</f>
        <v>77.173913043478265</v>
      </c>
      <c r="J82" s="849">
        <f>SUMIFS(INDEX(Table915[],,MATCH(J$6,Table915[#Headers],0)),Table915[MainSpaceHeatingFuel],$B82,Table915[EnergyRating (group)],$A82)</f>
        <v>2881882</v>
      </c>
      <c r="K82" s="849">
        <f>SUMIFS(INDEX(Table915[],,MATCH(K$6,Table915[#Headers],0)),Table915[MainSpaceHeatingFuel],$B82,Table915[EnergyRating (group)],$A82)</f>
        <v>2433908</v>
      </c>
      <c r="M82" s="840"/>
      <c r="N82" s="914" t="str">
        <f>RSD_Commodities!$M$33&amp;"_"&amp;RIGHT(P82,LEN(P82)-3)&amp;"_"&amp;SETUP!$B$67</f>
        <v>SH_Det-E_OILLPG_X0</v>
      </c>
      <c r="O82" s="914" t="str">
        <f>RSD_Commodities!$N$33&amp;"_"&amp;RSD_Commodities!D11&amp;"_"&amp;SETUP!$C$67</f>
        <v>Residential Space Heating Detached-E_LPG to Residential_Existing 00</v>
      </c>
      <c r="P82" s="915" t="str">
        <f>RSD_Commodities!$C$11</f>
        <v>RSDOILLPG</v>
      </c>
      <c r="Q82" s="930" t="str">
        <f>RSD_Commodities!$M$33</f>
        <v>SH_Det-E</v>
      </c>
      <c r="R82" s="1000">
        <f>G82/SUM($G$82:$G$97)</f>
        <v>1.7559072187296771E-3</v>
      </c>
      <c r="S82" s="932">
        <f>R82*DwellingStocks!$I$68/1000</f>
        <v>4.1772486915392683E-2</v>
      </c>
      <c r="T82" s="914">
        <v>1</v>
      </c>
      <c r="U82" s="914">
        <f t="shared" si="18"/>
        <v>0.77173913043478271</v>
      </c>
      <c r="V82" s="930">
        <v>20</v>
      </c>
      <c r="W82" s="930">
        <v>1</v>
      </c>
      <c r="X82" s="840"/>
      <c r="Y82" s="928">
        <f>ABS((D82+F82)*S82*1000*$B$2)</f>
        <v>3.3632082111143262E-5</v>
      </c>
      <c r="Z82" s="929">
        <f>ABS((C82+E82)*S82*1000*$B$2)</f>
        <v>3.7359092060836377E-5</v>
      </c>
      <c r="AA82" s="840"/>
      <c r="AB82" s="933" t="s">
        <v>393</v>
      </c>
      <c r="AC82" s="933" t="str">
        <f>N82</f>
        <v>SH_Det-E_OILLPG_X0</v>
      </c>
      <c r="AD82" s="933" t="str">
        <f>O82</f>
        <v>Residential Space Heating Detached-E_LPG to Residential_Existing 00</v>
      </c>
      <c r="AE82" s="933" t="s">
        <v>53</v>
      </c>
      <c r="AF82" s="933" t="s">
        <v>406</v>
      </c>
      <c r="AG82" s="933"/>
      <c r="AH82" s="933"/>
      <c r="AI82" s="840"/>
      <c r="AJ82" s="840"/>
      <c r="AK82" s="840"/>
      <c r="AL82" s="840"/>
      <c r="AM82" s="840"/>
      <c r="AN82" s="840"/>
    </row>
    <row r="83" spans="1:40">
      <c r="A83" s="757" t="s">
        <v>120</v>
      </c>
      <c r="B83" s="757" t="s">
        <v>228</v>
      </c>
      <c r="C83" s="757">
        <f>SUMIFS(INDEX(Table915[],,MATCH(C$6,Table915[#Headers],0)),Table915[MainSpaceHeatingFuel],$B83,Table915[EnergyRating (group)],$A83)</f>
        <v>78111560</v>
      </c>
      <c r="D83" s="757">
        <f>SUMIFS(INDEX(Table915[],,MATCH(D$6,Table915[#Headers],0)),Table915[MainSpaceHeatingFuel],$B83,Table915[EnergyRating (group)],$A83)</f>
        <v>28930210</v>
      </c>
      <c r="E83" s="757">
        <f>SUMIFS(INDEX(Table915[],,MATCH(E$6,Table915[#Headers],0)),Table915[MainSpaceHeatingFuel],$B83,Table915[EnergyRating (group)],$A83)</f>
        <v>11756500</v>
      </c>
      <c r="F83" s="757">
        <f>SUMIFS(INDEX(Table915[],,MATCH(F$6,Table915[#Headers],0)),Table915[MainSpaceHeatingFuel],$B83,Table915[EnergyRating (group)],$A83)</f>
        <v>8451905</v>
      </c>
      <c r="G83" s="757">
        <f>SUMIFS(INDEX(Table915[],,MATCH(G$6,Table915[#Headers],0)),Table915[MainSpaceHeatingFuel],$B83,Table915[EnergyRating (group)],$A83)</f>
        <v>4784</v>
      </c>
      <c r="H83" s="757">
        <f>SUMIFS(INDEX(Table915[],,MATCH(H$6,Table915[#Headers],0)),Table915[MainSpaceHeatingFuel],$B83,Table915[EnergyRating (group)],$A83)</f>
        <v>382474</v>
      </c>
      <c r="I83" s="912">
        <f>AVERAGEIFS(INDEX(Table915[],,MATCH(I$6,Table915[#Headers],0)),Table915[MainSpaceHeatingFuel],$B83,Table915[EnergyRating (group)],$A83)</f>
        <v>101.61627906976744</v>
      </c>
      <c r="J83" s="847">
        <f>SUMIFS(INDEX(Table915[],,MATCH(J$6,Table915[#Headers],0)),Table915[MainSpaceHeatingFuel],$B83,Table915[EnergyRating (group)],$A83)</f>
        <v>131230273</v>
      </c>
      <c r="K83" s="847">
        <f>SUMIFS(INDEX(Table915[],,MATCH(K$6,Table915[#Headers],0)),Table915[MainSpaceHeatingFuel],$B83,Table915[EnergyRating (group)],$A83)</f>
        <v>53274806</v>
      </c>
      <c r="M83" s="840"/>
      <c r="N83" s="933" t="str">
        <f>RSD_Commodities!$M$33&amp;"_"&amp;RIGHT(P83,LEN(P83)-3)&amp;"_"&amp;SETUP!$B$67</f>
        <v>SH_Det-E_ELCD_X0</v>
      </c>
      <c r="O83" s="933" t="str">
        <f>RSD_Commodities!$N$33&amp;"_"&amp;RSD_Commodities!D27&amp;"_"&amp;SETUP!$C$67</f>
        <v>Residential Space Heating Detached-E_Electricity to Residential_Existing 00</v>
      </c>
      <c r="P83" s="934" t="str">
        <f>RSD_Commodities!$C$27</f>
        <v>RSDELCD</v>
      </c>
      <c r="Q83" s="935" t="str">
        <f>RSD_Commodities!$M$33</f>
        <v>SH_Det-E</v>
      </c>
      <c r="R83" s="1001">
        <f t="shared" ref="R83:R97" si="46">G83/SUM($G$82:$G$97)</f>
        <v>0.10370691523954043</v>
      </c>
      <c r="S83" s="937">
        <f>R83*DwellingStocks!$I$68/1000</f>
        <v>2.4671552765831923</v>
      </c>
      <c r="T83" s="933">
        <v>1</v>
      </c>
      <c r="U83" s="954">
        <f t="shared" si="18"/>
        <v>1.0161627906976745</v>
      </c>
      <c r="V83" s="935">
        <v>20</v>
      </c>
      <c r="W83" s="935">
        <v>1</v>
      </c>
      <c r="X83" s="840"/>
      <c r="Y83" s="926">
        <f t="shared" ref="Y83:Y97" si="47">ABS((D83+F83)*S83*1000*$B$2)</f>
        <v>3.7901705043324546E-2</v>
      </c>
      <c r="Z83" s="927">
        <f t="shared" ref="Z83:Z97" si="48">ABS((C83+E83)*S83*1000*$B$2)</f>
        <v>9.1117174695326694E-2</v>
      </c>
      <c r="AA83" s="840"/>
      <c r="AB83" s="914" t="s">
        <v>393</v>
      </c>
      <c r="AC83" s="914" t="str">
        <f t="shared" ref="AC83:AD97" si="49">N83</f>
        <v>SH_Det-E_ELCD_X0</v>
      </c>
      <c r="AD83" s="914" t="str">
        <f t="shared" si="49"/>
        <v>Residential Space Heating Detached-E_Electricity to Residential_Existing 00</v>
      </c>
      <c r="AE83" s="914" t="s">
        <v>53</v>
      </c>
      <c r="AF83" s="914" t="s">
        <v>406</v>
      </c>
      <c r="AG83" s="914"/>
      <c r="AH83" s="914"/>
      <c r="AI83" s="840"/>
      <c r="AJ83" s="840"/>
      <c r="AK83" s="840"/>
      <c r="AL83" s="840"/>
      <c r="AM83" s="840"/>
      <c r="AN83" s="840"/>
    </row>
    <row r="84" spans="1:40">
      <c r="A84" s="758" t="s">
        <v>120</v>
      </c>
      <c r="B84" s="758" t="s">
        <v>583</v>
      </c>
      <c r="C84" s="758">
        <f>SUMIFS(INDEX(Table915[],,MATCH(C$6,Table915[#Headers],0)),Table915[MainSpaceHeatingFuel],$B84,Table915[EnergyRating (group)],$A84)</f>
        <v>252846030</v>
      </c>
      <c r="D84" s="758">
        <f>SUMIFS(INDEX(Table915[],,MATCH(D$6,Table915[#Headers],0)),Table915[MainSpaceHeatingFuel],$B84,Table915[EnergyRating (group)],$A84)</f>
        <v>229860027</v>
      </c>
      <c r="E84" s="759">
        <f>SUMIFS(INDEX(Table915[],,MATCH(E$6,Table915[#Headers],0)),Table915[MainSpaceHeatingFuel],$B84,Table915[EnergyRating (group)],$A84)</f>
        <v>55851361</v>
      </c>
      <c r="F84" s="759">
        <f>SUMIFS(INDEX(Table915[],,MATCH(F$6,Table915[#Headers],0)),Table915[MainSpaceHeatingFuel],$B84,Table915[EnergyRating (group)],$A84)</f>
        <v>47477502</v>
      </c>
      <c r="G84" s="758">
        <f>SUMIFS(INDEX(Table915[],,MATCH(G$6,Table915[#Headers],0)),Table915[MainSpaceHeatingFuel],$B84,Table915[EnergyRating (group)],$A84)</f>
        <v>13084</v>
      </c>
      <c r="H84" s="758">
        <f>SUMIFS(INDEX(Table915[],,MATCH(H$6,Table915[#Headers],0)),Table915[MainSpaceHeatingFuel],$B84,Table915[EnergyRating (group)],$A84)</f>
        <v>1257265</v>
      </c>
      <c r="I84" s="911">
        <f>AVERAGEIFS(INDEX(Table915[],,MATCH(I$6,Table915[#Headers],0)),Table915[MainSpaceHeatingFuel],$B84,Table915[EnergyRating (group)],$A84)</f>
        <v>76.273809523809518</v>
      </c>
      <c r="J84" s="849">
        <f>SUMIFS(INDEX(Table915[],,MATCH(J$6,Table915[#Headers],0)),Table915[MainSpaceHeatingFuel],$B84,Table915[EnergyRating (group)],$A84)</f>
        <v>429235996</v>
      </c>
      <c r="K84" s="849">
        <f>SUMIFS(INDEX(Table915[],,MATCH(K$6,Table915[#Headers],0)),Table915[MainSpaceHeatingFuel],$B84,Table915[EnergyRating (group)],$A84)</f>
        <v>355434568</v>
      </c>
      <c r="M84" s="840"/>
      <c r="N84" s="914" t="str">
        <f>RSD_Commodities!$M$33&amp;"_"&amp;RIGHT(P84,LEN(P84)-3)&amp;"_"&amp;SETUP!$B$67</f>
        <v>SH_Det-E_OILKER_X0</v>
      </c>
      <c r="O84" s="914" t="str">
        <f>RSD_Commodities!$N$33&amp;"_"&amp;RSD_Commodities!D13&amp;"_"&amp;SETUP!$C$67</f>
        <v>Residential Space Heating Detached-E_Kerosene to Residential_Existing 00</v>
      </c>
      <c r="P84" s="915" t="str">
        <f>RSD_Commodities!$C$13</f>
        <v>RSDOILKER</v>
      </c>
      <c r="Q84" s="930" t="str">
        <f>RSD_Commodities!$M$33</f>
        <v>SH_Det-E</v>
      </c>
      <c r="R84" s="1000">
        <f t="shared" si="46"/>
        <v>0.28363321049208756</v>
      </c>
      <c r="S84" s="932">
        <f>R84*DwellingStocks!$I$68/1000</f>
        <v>6.7475459111234306</v>
      </c>
      <c r="T84" s="914">
        <v>1</v>
      </c>
      <c r="U84" s="914">
        <f t="shared" ref="U84:U97" si="50">I84/100</f>
        <v>0.76273809523809522</v>
      </c>
      <c r="V84" s="930">
        <v>20</v>
      </c>
      <c r="W84" s="930">
        <v>1</v>
      </c>
      <c r="X84" s="840"/>
      <c r="Y84" s="928">
        <f t="shared" si="47"/>
        <v>0.7690470040294628</v>
      </c>
      <c r="Z84" s="929">
        <f t="shared" si="48"/>
        <v>0.85600677469172104</v>
      </c>
      <c r="AA84" s="840"/>
      <c r="AB84" s="933" t="s">
        <v>393</v>
      </c>
      <c r="AC84" s="933" t="str">
        <f t="shared" si="49"/>
        <v>SH_Det-E_OILKER_X0</v>
      </c>
      <c r="AD84" s="933" t="str">
        <f t="shared" si="49"/>
        <v>Residential Space Heating Detached-E_Kerosene to Residential_Existing 00</v>
      </c>
      <c r="AE84" s="933" t="s">
        <v>53</v>
      </c>
      <c r="AF84" s="933" t="s">
        <v>406</v>
      </c>
      <c r="AG84" s="933"/>
      <c r="AH84" s="933"/>
      <c r="AI84" s="840"/>
      <c r="AJ84" s="840"/>
      <c r="AK84" s="840"/>
      <c r="AL84" s="840"/>
      <c r="AM84" s="840"/>
      <c r="AN84" s="840"/>
    </row>
    <row r="85" spans="1:40">
      <c r="A85" s="757" t="s">
        <v>120</v>
      </c>
      <c r="B85" s="757" t="s">
        <v>584</v>
      </c>
      <c r="C85" s="757">
        <f>SUMIFS(INDEX(Table915[],,MATCH(C$6,Table915[#Headers],0)),Table915[MainSpaceHeatingFuel],$B85,Table915[EnergyRating (group)],$A85)</f>
        <v>372874857</v>
      </c>
      <c r="D85" s="757">
        <f>SUMIFS(INDEX(Table915[],,MATCH(D$6,Table915[#Headers],0)),Table915[MainSpaceHeatingFuel],$B85,Table915[EnergyRating (group)],$A85)</f>
        <v>338977140</v>
      </c>
      <c r="E85" s="760">
        <f>SUMIFS(INDEX(Table915[],,MATCH(E$6,Table915[#Headers],0)),Table915[MainSpaceHeatingFuel],$B85,Table915[EnergyRating (group)],$A85)</f>
        <v>96209315</v>
      </c>
      <c r="F85" s="760">
        <f>SUMIFS(INDEX(Table915[],,MATCH(F$6,Table915[#Headers],0)),Table915[MainSpaceHeatingFuel],$B85,Table915[EnergyRating (group)],$A85)</f>
        <v>82034749</v>
      </c>
      <c r="G85" s="757">
        <f>SUMIFS(INDEX(Table915[],,MATCH(G$6,Table915[#Headers],0)),Table915[MainSpaceHeatingFuel],$B85,Table915[EnergyRating (group)],$A85)</f>
        <v>19835</v>
      </c>
      <c r="H85" s="757">
        <f>SUMIFS(INDEX(Table915[],,MATCH(H$6,Table915[#Headers],0)),Table915[MainSpaceHeatingFuel],$B85,Table915[EnergyRating (group)],$A85)</f>
        <v>1870905</v>
      </c>
      <c r="I85" s="912">
        <f>AVERAGEIFS(INDEX(Table915[],,MATCH(I$6,Table915[#Headers],0)),Table915[MainSpaceHeatingFuel],$B85,Table915[EnergyRating (group)],$A85)</f>
        <v>76.3125</v>
      </c>
      <c r="J85" s="847">
        <f>SUMIFS(INDEX(Table915[],,MATCH(J$6,Table915[#Headers],0)),Table915[MainSpaceHeatingFuel],$B85,Table915[EnergyRating (group)],$A85)</f>
        <v>639805076</v>
      </c>
      <c r="K85" s="847">
        <f>SUMIFS(INDEX(Table915[],,MATCH(K$6,Table915[#Headers],0)),Table915[MainSpaceHeatingFuel],$B85,Table915[EnergyRating (group)],$A85)</f>
        <v>535134442</v>
      </c>
      <c r="M85" s="840"/>
      <c r="N85" s="933" t="str">
        <f>RSD_Commodities!$M$33&amp;"_"&amp;RIGHT(P85,LEN(P85)-3)&amp;"_"&amp;SETUP!$B$67</f>
        <v>SH_Det-E_GASNAT_X0</v>
      </c>
      <c r="O85" s="933" t="str">
        <f>RSD_Commodities!$N$33&amp;"_"&amp;RSD_Commodities!D17&amp;"_"&amp;SETUP!$C$67</f>
        <v>Residential Space Heating Detached-E_Natural Gas to Residential_Existing 00</v>
      </c>
      <c r="P85" s="934" t="str">
        <f>RSD_Commodities!$C$17</f>
        <v>RSDGASNAT</v>
      </c>
      <c r="Q85" s="935" t="str">
        <f>RSD_Commodities!$M$33</f>
        <v>SH_Det-E</v>
      </c>
      <c r="R85" s="1001">
        <f t="shared" si="46"/>
        <v>0.42998048991979188</v>
      </c>
      <c r="S85" s="937">
        <f>R85*DwellingStocks!$I$68/1000</f>
        <v>10.22910219712116</v>
      </c>
      <c r="T85" s="933">
        <v>1</v>
      </c>
      <c r="U85" s="933">
        <f t="shared" si="50"/>
        <v>0.76312500000000005</v>
      </c>
      <c r="V85" s="935">
        <v>20</v>
      </c>
      <c r="W85" s="935">
        <v>1</v>
      </c>
      <c r="X85" s="840"/>
      <c r="Y85" s="926">
        <f t="shared" si="47"/>
        <v>1.7698247830619303</v>
      </c>
      <c r="Z85" s="927">
        <f t="shared" si="48"/>
        <v>1.9719081922356003</v>
      </c>
      <c r="AA85" s="840"/>
      <c r="AB85" s="914" t="s">
        <v>393</v>
      </c>
      <c r="AC85" s="914" t="str">
        <f t="shared" si="49"/>
        <v>SH_Det-E_GASNAT_X0</v>
      </c>
      <c r="AD85" s="914" t="str">
        <f t="shared" si="49"/>
        <v>Residential Space Heating Detached-E_Natural Gas to Residential_Existing 00</v>
      </c>
      <c r="AE85" s="914" t="s">
        <v>53</v>
      </c>
      <c r="AF85" s="914" t="s">
        <v>406</v>
      </c>
      <c r="AG85" s="914"/>
      <c r="AH85" s="914"/>
      <c r="AI85" s="840"/>
      <c r="AJ85" s="840"/>
      <c r="AK85" s="840"/>
      <c r="AL85" s="840"/>
      <c r="AM85" s="840"/>
      <c r="AN85" s="840"/>
    </row>
    <row r="86" spans="1:40">
      <c r="A86" s="758" t="s">
        <v>120</v>
      </c>
      <c r="B86" s="758" t="s">
        <v>585</v>
      </c>
      <c r="C86" s="758">
        <f>SUMIFS(INDEX(Table915[],,MATCH(C$6,Table915[#Headers],0)),Table915[MainSpaceHeatingFuel],$B86,Table915[EnergyRating (group)],$A86)</f>
        <v>272691</v>
      </c>
      <c r="D86" s="758">
        <f>SUMIFS(INDEX(Table915[],,MATCH(D$6,Table915[#Headers],0)),Table915[MainSpaceHeatingFuel],$B86,Table915[EnergyRating (group)],$A86)</f>
        <v>247903</v>
      </c>
      <c r="E86" s="759">
        <f>SUMIFS(INDEX(Table915[],,MATCH(E$6,Table915[#Headers],0)),Table915[MainSpaceHeatingFuel],$B86,Table915[EnergyRating (group)],$A86)</f>
        <v>35687</v>
      </c>
      <c r="F86" s="759">
        <f>SUMIFS(INDEX(Table915[],,MATCH(F$6,Table915[#Headers],0)),Table915[MainSpaceHeatingFuel],$B86,Table915[EnergyRating (group)],$A86)</f>
        <v>32251</v>
      </c>
      <c r="G86" s="758">
        <f>SUMIFS(INDEX(Table915[],,MATCH(G$6,Table915[#Headers],0)),Table915[MainSpaceHeatingFuel],$B86,Table915[EnergyRating (group)],$A86)</f>
        <v>12</v>
      </c>
      <c r="H86" s="758">
        <f>SUMIFS(INDEX(Table915[],,MATCH(H$6,Table915[#Headers],0)),Table915[MainSpaceHeatingFuel],$B86,Table915[EnergyRating (group)],$A86)</f>
        <v>1187</v>
      </c>
      <c r="I86" s="911">
        <f>AVERAGEIFS(INDEX(Table915[],,MATCH(I$6,Table915[#Headers],0)),Table915[MainSpaceHeatingFuel],$B86,Table915[EnergyRating (group)],$A86)</f>
        <v>69.285714285714292</v>
      </c>
      <c r="J86" s="849">
        <f>SUMIFS(INDEX(Table915[],,MATCH(J$6,Table915[#Headers],0)),Table915[MainSpaceHeatingFuel],$B86,Table915[EnergyRating (group)],$A86)</f>
        <v>412073</v>
      </c>
      <c r="K86" s="849">
        <f>SUMIFS(INDEX(Table915[],,MATCH(K$6,Table915[#Headers],0)),Table915[MainSpaceHeatingFuel],$B86,Table915[EnergyRating (group)],$A86)</f>
        <v>347090</v>
      </c>
      <c r="M86" s="840"/>
      <c r="N86" s="914" t="str">
        <f>RSD_Commodities!$M$33&amp;"_"&amp;RIGHT(P86,LEN(P86)-3)&amp;"_"&amp;SETUP!$B$67</f>
        <v>SH_Det-E_BIOWOO_X0</v>
      </c>
      <c r="O86" s="914" t="str">
        <f>RSD_Commodities!$N$33&amp;"_"&amp;RSD_Commodities!D19&amp;"_"&amp;SETUP!$C$67</f>
        <v>Residential Space Heating Detached-E_Biomass &amp; Renewable Waste to Residential_Existing 00</v>
      </c>
      <c r="P86" s="915" t="str">
        <f>RSD_Commodities!$C$19</f>
        <v>RSDBIOWOO</v>
      </c>
      <c r="Q86" s="930" t="str">
        <f>RSD_Commodities!$M$33</f>
        <v>SH_Det-E</v>
      </c>
      <c r="R86" s="1000">
        <f t="shared" si="46"/>
        <v>2.6013440277476696E-4</v>
      </c>
      <c r="S86" s="932">
        <f>R86*DwellingStocks!$I$68/1000</f>
        <v>6.1885165800581758E-3</v>
      </c>
      <c r="T86" s="914">
        <v>1</v>
      </c>
      <c r="U86" s="914">
        <f t="shared" si="50"/>
        <v>0.69285714285714295</v>
      </c>
      <c r="V86" s="930">
        <v>20</v>
      </c>
      <c r="W86" s="930">
        <v>1</v>
      </c>
      <c r="X86" s="840"/>
      <c r="Y86" s="928">
        <f t="shared" ref="Y86" si="51">ABS((D86+F86)*S86*1000*$B$2)</f>
        <v>7.1249493450806233E-7</v>
      </c>
      <c r="Z86" s="929">
        <f t="shared" ref="Z86" si="52">ABS((C86+E86)*S86*1000*$B$2)</f>
        <v>7.8427494490075909E-7</v>
      </c>
      <c r="AA86" s="840"/>
      <c r="AB86" s="914"/>
      <c r="AC86" s="914"/>
      <c r="AD86" s="914"/>
      <c r="AE86" s="914"/>
      <c r="AF86" s="914"/>
      <c r="AG86" s="914"/>
      <c r="AH86" s="914"/>
      <c r="AI86" s="840"/>
      <c r="AJ86" s="840"/>
      <c r="AK86" s="840"/>
      <c r="AL86" s="840"/>
      <c r="AM86" s="840"/>
      <c r="AN86" s="840"/>
    </row>
    <row r="87" spans="1:40">
      <c r="A87" s="757" t="s">
        <v>120</v>
      </c>
      <c r="B87" s="757" t="s">
        <v>587</v>
      </c>
      <c r="C87" s="757">
        <f>SUMIFS(INDEX(Table915[],,MATCH(C$6,Table915[#Headers],0)),Table915[MainSpaceHeatingFuel],$B87,Table915[EnergyRating (group)],$A87)</f>
        <v>0</v>
      </c>
      <c r="D87" s="757">
        <f>SUMIFS(INDEX(Table915[],,MATCH(D$6,Table915[#Headers],0)),Table915[MainSpaceHeatingFuel],$B87,Table915[EnergyRating (group)],$A87)</f>
        <v>0</v>
      </c>
      <c r="E87" s="757">
        <f>SUMIFS(INDEX(Table915[],,MATCH(E$6,Table915[#Headers],0)),Table915[MainSpaceHeatingFuel],$B87,Table915[EnergyRating (group)],$A87)</f>
        <v>0</v>
      </c>
      <c r="F87" s="757">
        <f>SUMIFS(INDEX(Table915[],,MATCH(F$6,Table915[#Headers],0)),Table915[MainSpaceHeatingFuel],$B87,Table915[EnergyRating (group)],$A87)</f>
        <v>0</v>
      </c>
      <c r="G87" s="757">
        <f>SUMIFS(INDEX(Table915[],,MATCH(G$6,Table915[#Headers],0)),Table915[MainSpaceHeatingFuel],"",Table915[EnergyRating (group)],$A87)</f>
        <v>78</v>
      </c>
      <c r="H87" s="757">
        <f>SUMIFS(INDEX(Table915[],,MATCH(H$6,Table915[#Headers],0)),Table915[MainSpaceHeatingFuel],"",Table915[EnergyRating (group)],$A87)</f>
        <v>5350</v>
      </c>
      <c r="I87" s="912">
        <f>SUMIFS(INDEX(Table915[],,MATCH(I$6,Table915[#Headers],0)),Table915[MainSpaceHeatingFuel],"",Table915[EnergyRating (group)],$A87)</f>
        <v>0</v>
      </c>
      <c r="J87" s="847">
        <f>SUMIFS(INDEX(Table915[],,MATCH(J$6,Table915[#Headers],0)),Table915[MainSpaceHeatingFuel],"",Table915[EnergyRating (group)],$A87)</f>
        <v>172439</v>
      </c>
      <c r="K87" s="847">
        <f>SUMIFS(INDEX(Table915[],,MATCH(K$6,Table915[#Headers],0)),Table915[MainSpaceHeatingFuel],"",Table915[EnergyRating (group)],$A87)</f>
        <v>63864</v>
      </c>
      <c r="M87" s="840"/>
      <c r="N87" s="933" t="str">
        <f>RSD_Commodities!$M$33&amp;"_"&amp;RIGHT(P87,LEN(P87)-3)&amp;"_"&amp;SETUP!$B$67</f>
        <v>SH_Det-E_HET_X0</v>
      </c>
      <c r="O87" s="933" t="str">
        <f>RSD_Commodities!$N$33&amp;"_"&amp;RSD_Commodities!D28&amp;"_"&amp;SETUP!$C$67</f>
        <v>Residential Space Heating Detached-E_Heat to Residential_Existing 00</v>
      </c>
      <c r="P87" s="934" t="str">
        <f>RSD_Commodities!$C$28</f>
        <v>RSDHET</v>
      </c>
      <c r="Q87" s="935" t="str">
        <f>RSD_Commodities!$M$33</f>
        <v>SH_Det-E</v>
      </c>
      <c r="R87" s="1001">
        <f t="shared" si="46"/>
        <v>1.6908736180359853E-3</v>
      </c>
      <c r="S87" s="937">
        <f>R87*DwellingStocks!$I$68/1000</f>
        <v>4.022535777037814E-2</v>
      </c>
      <c r="T87" s="933">
        <v>1</v>
      </c>
      <c r="U87" s="917">
        <f>IF(I87=0, 1, I87)</f>
        <v>1</v>
      </c>
      <c r="V87" s="935">
        <v>20</v>
      </c>
      <c r="W87" s="935">
        <v>1</v>
      </c>
      <c r="X87" s="840"/>
      <c r="Y87" s="926">
        <f t="shared" si="47"/>
        <v>0</v>
      </c>
      <c r="Z87" s="927">
        <f t="shared" si="48"/>
        <v>0</v>
      </c>
      <c r="AA87" s="840"/>
      <c r="AB87" s="933" t="s">
        <v>393</v>
      </c>
      <c r="AC87" s="933" t="str">
        <f t="shared" si="49"/>
        <v>SH_Det-E_HET_X0</v>
      </c>
      <c r="AD87" s="933" t="str">
        <f t="shared" si="49"/>
        <v>Residential Space Heating Detached-E_Heat to Residential_Existing 00</v>
      </c>
      <c r="AE87" s="933" t="s">
        <v>53</v>
      </c>
      <c r="AF87" s="933" t="s">
        <v>406</v>
      </c>
      <c r="AG87" s="933"/>
      <c r="AH87" s="933"/>
      <c r="AI87" s="840"/>
      <c r="AJ87" s="840"/>
      <c r="AK87" s="840"/>
      <c r="AL87" s="840"/>
      <c r="AM87" s="840"/>
      <c r="AN87" s="840"/>
    </row>
    <row r="88" spans="1:40">
      <c r="A88" s="758" t="s">
        <v>120</v>
      </c>
      <c r="B88" s="758" t="s">
        <v>664</v>
      </c>
      <c r="C88" s="758">
        <f>SUMIFS(INDEX(Table915[],,MATCH(C$6,Table915[#Headers],0)),Table915[MainSpaceHeatingFuel],$B88,Table915[EnergyRating (group)],$A88)</f>
        <v>665817</v>
      </c>
      <c r="D88" s="758">
        <f>SUMIFS(INDEX(Table915[],,MATCH(D$6,Table915[#Headers],0)),Table915[MainSpaceHeatingFuel],$B88,Table915[EnergyRating (group)],$A88)</f>
        <v>605288</v>
      </c>
      <c r="E88" s="759">
        <f>SUMIFS(INDEX(Table915[],,MATCH(E$6,Table915[#Headers],0)),Table915[MainSpaceHeatingFuel],$B88,Table915[EnergyRating (group)],$A88)</f>
        <v>150858</v>
      </c>
      <c r="F88" s="759">
        <f>SUMIFS(INDEX(Table915[],,MATCH(F$6,Table915[#Headers],0)),Table915[MainSpaceHeatingFuel],$B88,Table915[EnergyRating (group)],$A88)</f>
        <v>126340</v>
      </c>
      <c r="G88" s="758">
        <f>SUMIFS(INDEX(Table915[],,MATCH(G$6,Table915[#Headers],0)),Table915[MainSpaceHeatingFuel],$B88,Table915[EnergyRating (group)],$A88)</f>
        <v>35</v>
      </c>
      <c r="H88" s="758">
        <f>SUMIFS(INDEX(Table915[],,MATCH(H$6,Table915[#Headers],0)),Table915[MainSpaceHeatingFuel],$B88,Table915[EnergyRating (group)],$A88)</f>
        <v>3315</v>
      </c>
      <c r="I88" s="911">
        <f>AVERAGEIFS(INDEX(Table915[],,MATCH(I$6,Table915[#Headers],0)),Table915[MainSpaceHeatingFuel],$B88,Table915[EnergyRating (group)],$A88)</f>
        <v>77.444444444444443</v>
      </c>
      <c r="J88" s="849">
        <f>SUMIFS(INDEX(Table915[],,MATCH(J$6,Table915[#Headers],0)),Table915[MainSpaceHeatingFuel],$B88,Table915[EnergyRating (group)],$A88)</f>
        <v>1133113</v>
      </c>
      <c r="K88" s="849">
        <f>SUMIFS(INDEX(Table915[],,MATCH(K$6,Table915[#Headers],0)),Table915[MainSpaceHeatingFuel],$B88,Table915[EnergyRating (group)],$A88)</f>
        <v>932576</v>
      </c>
      <c r="M88" s="840"/>
      <c r="N88" s="914" t="str">
        <f>RSD_Commodities!$M$33&amp;"_"&amp;RIGHT(P88,LEN(P88)-3)&amp;"_"&amp;SETUP!$B$68</f>
        <v>SH_Det-E_OILLPG_X1</v>
      </c>
      <c r="O88" s="914" t="str">
        <f>RSD_Commodities!$N$33&amp;"_"&amp;RSD_Commodities!D11&amp;"_"&amp;SETUP!$C$68</f>
        <v>Residential Space Heating Detached-E_LPG to Residential_Existing 01</v>
      </c>
      <c r="P88" s="915" t="str">
        <f>RSD_Commodities!$C$11</f>
        <v>RSDOILLPG</v>
      </c>
      <c r="Q88" s="930" t="str">
        <f>RSD_Commodities!$M$33</f>
        <v>SH_Det-E</v>
      </c>
      <c r="R88" s="1000">
        <f t="shared" si="46"/>
        <v>7.5872534142640367E-4</v>
      </c>
      <c r="S88" s="932">
        <f>R88*DwellingStocks!$I$68/1000</f>
        <v>1.804984002516968E-2</v>
      </c>
      <c r="T88" s="914">
        <v>1</v>
      </c>
      <c r="U88" s="916">
        <f t="shared" si="50"/>
        <v>0.77444444444444438</v>
      </c>
      <c r="V88" s="930">
        <v>20</v>
      </c>
      <c r="W88" s="930">
        <v>1</v>
      </c>
      <c r="X88" s="840"/>
      <c r="Y88" s="928">
        <f t="shared" si="47"/>
        <v>5.4270280923019915E-6</v>
      </c>
      <c r="Z88" s="929">
        <f t="shared" si="48"/>
        <v>6.0578848366666231E-6</v>
      </c>
      <c r="AA88" s="840"/>
      <c r="AB88" s="914" t="s">
        <v>393</v>
      </c>
      <c r="AC88" s="914" t="str">
        <f t="shared" si="49"/>
        <v>SH_Det-E_OILLPG_X1</v>
      </c>
      <c r="AD88" s="914" t="str">
        <f t="shared" si="49"/>
        <v>Residential Space Heating Detached-E_LPG to Residential_Existing 01</v>
      </c>
      <c r="AE88" s="914" t="s">
        <v>53</v>
      </c>
      <c r="AF88" s="914" t="s">
        <v>406</v>
      </c>
      <c r="AG88" s="914"/>
      <c r="AH88" s="914"/>
      <c r="AI88" s="840"/>
      <c r="AJ88" s="840"/>
      <c r="AK88" s="840"/>
      <c r="AL88" s="840"/>
      <c r="AM88" s="840"/>
      <c r="AN88" s="840"/>
    </row>
    <row r="89" spans="1:40">
      <c r="A89" s="757" t="s">
        <v>120</v>
      </c>
      <c r="B89" s="757" t="s">
        <v>665</v>
      </c>
      <c r="C89" s="757">
        <f>SUMIFS(INDEX(Table915[],,MATCH(C$6,Table915[#Headers],0)),Table915[MainSpaceHeatingFuel],$B89,Table915[EnergyRating (group)],$A89)</f>
        <v>84873079</v>
      </c>
      <c r="D89" s="757">
        <f>SUMIFS(INDEX(Table915[],,MATCH(D$6,Table915[#Headers],0)),Table915[MainSpaceHeatingFuel],$B89,Table915[EnergyRating (group)],$A89)</f>
        <v>77157342</v>
      </c>
      <c r="E89" s="760">
        <f>SUMIFS(INDEX(Table915[],,MATCH(E$6,Table915[#Headers],0)),Table915[MainSpaceHeatingFuel],$B89,Table915[EnergyRating (group)],$A89)</f>
        <v>11346322</v>
      </c>
      <c r="F89" s="760">
        <f>SUMIFS(INDEX(Table915[],,MATCH(F$6,Table915[#Headers],0)),Table915[MainSpaceHeatingFuel],$B89,Table915[EnergyRating (group)],$A89)</f>
        <v>9292874</v>
      </c>
      <c r="G89" s="757">
        <f>SUMIFS(INDEX(Table915[],,MATCH(G$6,Table915[#Headers],0)),Table915[MainSpaceHeatingFuel],$B89,Table915[EnergyRating (group)],$A89)</f>
        <v>5751</v>
      </c>
      <c r="H89" s="757">
        <f>SUMIFS(INDEX(Table915[],,MATCH(H$6,Table915[#Headers],0)),Table915[MainSpaceHeatingFuel],$B89,Table915[EnergyRating (group)],$A89)</f>
        <v>444554</v>
      </c>
      <c r="I89" s="912">
        <f>AVERAGEIFS(INDEX(Table915[],,MATCH(I$6,Table915[#Headers],0)),Table915[MainSpaceHeatingFuel],$B89,Table915[EnergyRating (group)],$A89)</f>
        <v>56.653846153846153</v>
      </c>
      <c r="J89" s="847">
        <f>SUMIFS(INDEX(Table915[],,MATCH(J$6,Table915[#Headers],0)),Table915[MainSpaceHeatingFuel],$B89,Table915[EnergyRating (group)],$A89)</f>
        <v>151162663</v>
      </c>
      <c r="K89" s="847">
        <f>SUMIFS(INDEX(Table915[],,MATCH(K$6,Table915[#Headers],0)),Table915[MainSpaceHeatingFuel],$B89,Table915[EnergyRating (group)],$A89)</f>
        <v>123813281</v>
      </c>
      <c r="M89" s="840"/>
      <c r="N89" s="935" t="str">
        <f>RSD_Commodities!$M$33&amp;"_"&amp;RSD_Commodities!$C$26&amp;"_"&amp;SETUP!$B$67</f>
        <v>SH_Det-E_RSDSMF_X0</v>
      </c>
      <c r="O89" s="935" t="str">
        <f>RSD_Commodities!$N$33&amp;"_"&amp;RSD_Commodities!$D$26&amp;"_"&amp;SETUP!$C$67</f>
        <v>Residential Space Heating Detached-E_Solid Multi-Fuel_Existing 00</v>
      </c>
      <c r="P89" s="935" t="str">
        <f>RSD_Commodities!$C$6&amp;","&amp;RSD_Commodities!$C$7&amp;","&amp;RSD_Commodities!$C$9&amp;","&amp;RSD_Commodities!$C$10&amp;","&amp;RSD_Commodities!$C$19</f>
        <v>RSDCOABIT,RSDCOAHAR,RSDCOALIG,RSDPEA,RSDBIOWOO</v>
      </c>
      <c r="Q89" s="935" t="str">
        <f>RSD_Commodities!$M$33</f>
        <v>SH_Det-E</v>
      </c>
      <c r="R89" s="1001">
        <f t="shared" si="46"/>
        <v>0.12466941252980707</v>
      </c>
      <c r="S89" s="937">
        <f>R89*DwellingStocks!$I$68/1000</f>
        <v>2.9658465709928805</v>
      </c>
      <c r="T89" s="933">
        <v>1</v>
      </c>
      <c r="U89" s="933">
        <f t="shared" si="50"/>
        <v>0.56653846153846155</v>
      </c>
      <c r="V89" s="935">
        <v>20</v>
      </c>
      <c r="W89" s="935">
        <v>1</v>
      </c>
      <c r="X89" s="840"/>
      <c r="Y89" s="926">
        <f t="shared" si="47"/>
        <v>0.10536907261035366</v>
      </c>
      <c r="Z89" s="927">
        <f t="shared" si="48"/>
        <v>0.11727615637760505</v>
      </c>
      <c r="AA89" s="840"/>
      <c r="AB89" s="933" t="s">
        <v>393</v>
      </c>
      <c r="AC89" s="933" t="str">
        <f t="shared" si="49"/>
        <v>SH_Det-E_RSDSMF_X0</v>
      </c>
      <c r="AD89" s="933" t="str">
        <f t="shared" si="49"/>
        <v>Residential Space Heating Detached-E_Solid Multi-Fuel_Existing 00</v>
      </c>
      <c r="AE89" s="933" t="s">
        <v>53</v>
      </c>
      <c r="AF89" s="933" t="s">
        <v>406</v>
      </c>
      <c r="AG89" s="933"/>
      <c r="AH89" s="933"/>
      <c r="AI89" s="840"/>
      <c r="AJ89" s="840"/>
      <c r="AK89" s="840"/>
      <c r="AL89" s="840"/>
      <c r="AM89" s="840"/>
      <c r="AN89" s="840"/>
    </row>
    <row r="90" spans="1:40">
      <c r="A90" s="758" t="s">
        <v>120</v>
      </c>
      <c r="B90" s="758" t="s">
        <v>669</v>
      </c>
      <c r="C90" s="758">
        <f>SUMIFS(INDEX(Table915[],,MATCH(C$6,Table915[#Headers],0)),Table915[MainSpaceHeatingFuel],$B90,Table915[EnergyRating (group)],$A90)</f>
        <v>22736225</v>
      </c>
      <c r="D90" s="758">
        <f>SUMIFS(INDEX(Table915[],,MATCH(D$6,Table915[#Headers],0)),Table915[MainSpaceHeatingFuel],$B90,Table915[EnergyRating (group)],$A90)</f>
        <v>18946856</v>
      </c>
      <c r="E90" s="759">
        <f>SUMIFS(INDEX(Table915[],,MATCH(E$6,Table915[#Headers],0)),Table915[MainSpaceHeatingFuel],$B90,Table915[EnergyRating (group)],$A90)</f>
        <v>2738969</v>
      </c>
      <c r="F90" s="759">
        <f>SUMIFS(INDEX(Table915[],,MATCH(F$6,Table915[#Headers],0)),Table915[MainSpaceHeatingFuel],$B90,Table915[EnergyRating (group)],$A90)</f>
        <v>2106690</v>
      </c>
      <c r="G90" s="758">
        <f>SUMIFS(INDEX(Table915[],,MATCH(G$6,Table915[#Headers],0)),Table915[MainSpaceHeatingFuel],$B90,Table915[EnergyRating (group)],$A90)</f>
        <v>1440</v>
      </c>
      <c r="H90" s="758">
        <f>SUMIFS(INDEX(Table915[],,MATCH(H$6,Table915[#Headers],0)),Table915[MainSpaceHeatingFuel],$B90,Table915[EnergyRating (group)],$A90)</f>
        <v>117496</v>
      </c>
      <c r="I90" s="911">
        <f>AVERAGEIFS(INDEX(Table915[],,MATCH(I$6,Table915[#Headers],0)),Table915[MainSpaceHeatingFuel],$B90,Table915[EnergyRating (group)],$A90)</f>
        <v>57.095238095238095</v>
      </c>
      <c r="J90" s="849">
        <f>SUMIFS(INDEX(Table915[],,MATCH(J$6,Table915[#Headers],0)),Table915[MainSpaceHeatingFuel],$B90,Table915[EnergyRating (group)],$A90)</f>
        <v>39971801</v>
      </c>
      <c r="K90" s="849">
        <f>SUMIFS(INDEX(Table915[],,MATCH(K$6,Table915[#Headers],0)),Table915[MainSpaceHeatingFuel],$B90,Table915[EnergyRating (group)],$A90)</f>
        <v>30170333</v>
      </c>
      <c r="M90" s="840"/>
      <c r="N90" s="914" t="str">
        <f>RSD_Commodities!$M$33&amp;"_"&amp;RIGHT(P90,LEN(P90)-3)&amp;"_"&amp;SETUP!$B$67</f>
        <v>SH_Det-E_COAHAR_X0</v>
      </c>
      <c r="O90" s="914" t="str">
        <f>RSD_Commodities!$N$33&amp;"_"&amp;RSD_Commodities!D7&amp;"_"&amp;SETUP!$C$67</f>
        <v>Residential Space Heating Detached-E_Anthracite + Manufactured Ovoids to Residential_Existing 00</v>
      </c>
      <c r="P90" s="930" t="str">
        <f>RSD_Commodities!$C$7</f>
        <v>RSDCOAHAR</v>
      </c>
      <c r="Q90" s="930" t="str">
        <f>RSD_Commodities!$M$33</f>
        <v>SH_Det-E</v>
      </c>
      <c r="R90" s="1000">
        <f t="shared" si="46"/>
        <v>3.1216128332972035E-2</v>
      </c>
      <c r="S90" s="932">
        <f>R90*DwellingStocks!$I$68/1000</f>
        <v>0.74262198960698111</v>
      </c>
      <c r="T90" s="914">
        <v>1</v>
      </c>
      <c r="U90" s="914">
        <f t="shared" si="50"/>
        <v>0.57095238095238099</v>
      </c>
      <c r="V90" s="930">
        <v>20</v>
      </c>
      <c r="W90" s="930">
        <v>1</v>
      </c>
      <c r="X90" s="840"/>
      <c r="Y90" s="928">
        <f t="shared" si="47"/>
        <v>6.4252710488227806E-3</v>
      </c>
      <c r="Z90" s="929">
        <f t="shared" si="48"/>
        <v>7.77470106324815E-3</v>
      </c>
      <c r="AA90" s="840"/>
      <c r="AB90" s="914" t="s">
        <v>393</v>
      </c>
      <c r="AC90" s="914" t="str">
        <f t="shared" si="49"/>
        <v>SH_Det-E_COAHAR_X0</v>
      </c>
      <c r="AD90" s="914" t="str">
        <f t="shared" si="49"/>
        <v>Residential Space Heating Detached-E_Anthracite + Manufactured Ovoids to Residential_Existing 00</v>
      </c>
      <c r="AE90" s="914" t="s">
        <v>53</v>
      </c>
      <c r="AF90" s="914" t="s">
        <v>406</v>
      </c>
      <c r="AG90" s="914"/>
      <c r="AH90" s="914"/>
      <c r="AI90" s="840"/>
      <c r="AJ90" s="840"/>
      <c r="AK90" s="840"/>
      <c r="AL90" s="840"/>
      <c r="AM90" s="840"/>
      <c r="AN90" s="840"/>
    </row>
    <row r="91" spans="1:40">
      <c r="A91" s="757" t="s">
        <v>120</v>
      </c>
      <c r="B91" s="757" t="s">
        <v>666</v>
      </c>
      <c r="C91" s="757">
        <f>SUMIFS(INDEX(Table915[],,MATCH(C$6,Table915[#Headers],0)),Table915[MainSpaceHeatingFuel],$B91,Table915[EnergyRating (group)],$A91)</f>
        <v>11022300</v>
      </c>
      <c r="D91" s="757">
        <f>SUMIFS(INDEX(Table915[],,MATCH(D$6,Table915[#Headers],0)),Table915[MainSpaceHeatingFuel],$B91,Table915[EnergyRating (group)],$A91)</f>
        <v>10020269</v>
      </c>
      <c r="E91" s="757">
        <f>SUMIFS(INDEX(Table915[],,MATCH(E$6,Table915[#Headers],0)),Table915[MainSpaceHeatingFuel],$B91,Table915[EnergyRating (group)],$A91)</f>
        <v>1561708</v>
      </c>
      <c r="F91" s="757">
        <f>SUMIFS(INDEX(Table915[],,MATCH(F$6,Table915[#Headers],0)),Table915[MainSpaceHeatingFuel],$B91,Table915[EnergyRating (group)],$A91)</f>
        <v>1271575</v>
      </c>
      <c r="G91" s="757">
        <f>SUMIFS(INDEX(Table915[],,MATCH(G$6,Table915[#Headers],0)),Table915[MainSpaceHeatingFuel],$B91,Table915[EnergyRating (group)],$A91)</f>
        <v>735</v>
      </c>
      <c r="H91" s="757">
        <f>SUMIFS(INDEX(Table915[],,MATCH(H$6,Table915[#Headers],0)),Table915[MainSpaceHeatingFuel],$B91,Table915[EnergyRating (group)],$A91)</f>
        <v>57829</v>
      </c>
      <c r="I91" s="912">
        <f>AVERAGEIFS(INDEX(Table915[],,MATCH(I$6,Table915[#Headers],0)),Table915[MainSpaceHeatingFuel],$B91,Table915[EnergyRating (group)],$A91)</f>
        <v>55.736842105263158</v>
      </c>
      <c r="J91" s="847">
        <f>SUMIFS(INDEX(Table915[],,MATCH(J$6,Table915[#Headers],0)),Table915[MainSpaceHeatingFuel],$B91,Table915[EnergyRating (group)],$A91)</f>
        <v>19684870</v>
      </c>
      <c r="K91" s="847">
        <f>SUMIFS(INDEX(Table915[],,MATCH(K$6,Table915[#Headers],0)),Table915[MainSpaceHeatingFuel],$B91,Table915[EnergyRating (group)],$A91)</f>
        <v>16077926</v>
      </c>
      <c r="M91" s="840"/>
      <c r="N91" s="933" t="str">
        <f>RSD_Commodities!$M$33&amp;"_"&amp;RIGHT(P91,LEN(P91)-3)&amp;"_"&amp;SETUP!$B$67</f>
        <v>SH_Det-E_COABIT_X0</v>
      </c>
      <c r="O91" s="933" t="str">
        <f>RSD_Commodities!$N$33&amp;"_"&amp;RSD_Commodities!D6&amp;"_"&amp;SETUP!$C$67</f>
        <v>Residential Space Heating Detached-E_Bituminous Coal to Residential_Existing 00</v>
      </c>
      <c r="P91" s="935" t="str">
        <f>RSD_Commodities!$C$6</f>
        <v>RSDCOABIT</v>
      </c>
      <c r="Q91" s="935" t="str">
        <f>RSD_Commodities!$M$33</f>
        <v>SH_Det-E</v>
      </c>
      <c r="R91" s="1001">
        <f t="shared" si="46"/>
        <v>1.5933232169954476E-2</v>
      </c>
      <c r="S91" s="937">
        <f>R91*DwellingStocks!$I$68/1000</f>
        <v>0.37904664052856324</v>
      </c>
      <c r="T91" s="933">
        <v>1</v>
      </c>
      <c r="U91" s="933">
        <f t="shared" si="50"/>
        <v>0.55736842105263162</v>
      </c>
      <c r="V91" s="935">
        <v>20</v>
      </c>
      <c r="W91" s="935">
        <v>1</v>
      </c>
      <c r="X91" s="840"/>
      <c r="Y91" s="926">
        <f t="shared" ref="Y91" si="53">ABS((D91+F91)*S91*1000*$B$2)</f>
        <v>1.7589598083175126E-3</v>
      </c>
      <c r="Z91" s="927">
        <f t="shared" ref="Z91" si="54">ABS((C91+E91)*S91*1000*$B$2)</f>
        <v>1.9602435438840675E-3</v>
      </c>
      <c r="AA91" s="840"/>
      <c r="AB91" s="914"/>
      <c r="AC91" s="914"/>
      <c r="AD91" s="914"/>
      <c r="AE91" s="914"/>
      <c r="AF91" s="914"/>
      <c r="AG91" s="914"/>
      <c r="AH91" s="914"/>
      <c r="AI91" s="840"/>
      <c r="AJ91" s="840"/>
      <c r="AK91" s="840"/>
      <c r="AL91" s="840"/>
      <c r="AM91" s="840"/>
      <c r="AN91" s="840"/>
    </row>
    <row r="92" spans="1:40">
      <c r="A92" s="758" t="s">
        <v>120</v>
      </c>
      <c r="B92" s="758" t="s">
        <v>667</v>
      </c>
      <c r="C92" s="758">
        <f>SUMIFS(INDEX(Table915[],,MATCH(C$6,Table915[#Headers],0)),Table915[MainSpaceHeatingFuel],$B92,Table915[EnergyRating (group)],$A92)</f>
        <v>689748</v>
      </c>
      <c r="D92" s="758">
        <f>SUMIFS(INDEX(Table915[],,MATCH(D$6,Table915[#Headers],0)),Table915[MainSpaceHeatingFuel],$B92,Table915[EnergyRating (group)],$A92)</f>
        <v>627043</v>
      </c>
      <c r="E92" s="759">
        <f>SUMIFS(INDEX(Table915[],,MATCH(E$6,Table915[#Headers],0)),Table915[MainSpaceHeatingFuel],$B92,Table915[EnergyRating (group)],$A92)</f>
        <v>99433</v>
      </c>
      <c r="F92" s="759">
        <f>SUMIFS(INDEX(Table915[],,MATCH(F$6,Table915[#Headers],0)),Table915[MainSpaceHeatingFuel],$B92,Table915[EnergyRating (group)],$A92)</f>
        <v>84341</v>
      </c>
      <c r="G92" s="758">
        <f>SUMIFS(INDEX(Table915[],,MATCH(G$6,Table915[#Headers],0)),Table915[MainSpaceHeatingFuel],$B92,Table915[EnergyRating (group)],$A92)</f>
        <v>49</v>
      </c>
      <c r="H92" s="758">
        <f>SUMIFS(INDEX(Table915[],,MATCH(H$6,Table915[#Headers],0)),Table915[MainSpaceHeatingFuel],$B92,Table915[EnergyRating (group)],$A92)</f>
        <v>3569</v>
      </c>
      <c r="I92" s="911">
        <f>AVERAGEIFS(INDEX(Table915[],,MATCH(I$6,Table915[#Headers],0)),Table915[MainSpaceHeatingFuel],$B92,Table915[EnergyRating (group)],$A92)</f>
        <v>55.142857142857146</v>
      </c>
      <c r="J92" s="849">
        <f>SUMIFS(INDEX(Table915[],,MATCH(J$6,Table915[#Headers],0)),Table915[MainSpaceHeatingFuel],$B92,Table915[EnergyRating (group)],$A92)</f>
        <v>1214919</v>
      </c>
      <c r="K92" s="849">
        <f>SUMIFS(INDEX(Table915[],,MATCH(K$6,Table915[#Headers],0)),Table915[MainSpaceHeatingFuel],$B92,Table915[EnergyRating (group)],$A92)</f>
        <v>1015356</v>
      </c>
      <c r="M92" s="840"/>
      <c r="N92" s="914" t="str">
        <f>RSD_Commodities!$M$33&amp;"_"&amp;RIGHT(P92,LEN(P92)-3)&amp;"_"&amp;SETUP!$B$68</f>
        <v>SH_Det-E_PEA_X1</v>
      </c>
      <c r="O92" s="914" t="str">
        <f>RSD_Commodities!$N$33&amp;"_"&amp;RSD_Commodities!D10&amp;"_"&amp;SETUP!$C$68</f>
        <v>Residential Space Heating Detached-E_Peat to Residential_Existing 01</v>
      </c>
      <c r="P92" s="930" t="str">
        <f>RSD_Commodities!$C$10</f>
        <v>RSDPEA</v>
      </c>
      <c r="Q92" s="930" t="str">
        <f>RSD_Commodities!$M$33</f>
        <v>SH_Det-E</v>
      </c>
      <c r="R92" s="1000">
        <f t="shared" si="46"/>
        <v>1.0622154779969652E-3</v>
      </c>
      <c r="S92" s="932">
        <f>R92*DwellingStocks!$I$68/1000</f>
        <v>2.5269776035237553E-2</v>
      </c>
      <c r="T92" s="914">
        <v>1</v>
      </c>
      <c r="U92" s="914">
        <f t="shared" si="50"/>
        <v>0.55142857142857149</v>
      </c>
      <c r="V92" s="930">
        <v>20</v>
      </c>
      <c r="W92" s="930">
        <v>1</v>
      </c>
      <c r="X92" s="840"/>
      <c r="Y92" s="928">
        <f t="shared" si="47"/>
        <v>7.3876086390622331E-6</v>
      </c>
      <c r="Z92" s="929">
        <f t="shared" si="48"/>
        <v>8.195517995040333E-6</v>
      </c>
      <c r="AA92" s="840"/>
      <c r="AB92" s="840" t="s">
        <v>393</v>
      </c>
      <c r="AC92" s="840" t="str">
        <f t="shared" si="49"/>
        <v>SH_Det-E_PEA_X1</v>
      </c>
      <c r="AD92" s="840" t="str">
        <f t="shared" si="49"/>
        <v>Residential Space Heating Detached-E_Peat to Residential_Existing 01</v>
      </c>
      <c r="AE92" s="840" t="s">
        <v>53</v>
      </c>
      <c r="AF92" s="840" t="s">
        <v>406</v>
      </c>
      <c r="AG92" s="840"/>
      <c r="AH92" s="840"/>
      <c r="AI92" s="840"/>
      <c r="AJ92" s="840"/>
      <c r="AK92" s="840"/>
      <c r="AL92" s="840"/>
      <c r="AM92" s="840"/>
      <c r="AN92" s="840"/>
    </row>
    <row r="93" spans="1:40">
      <c r="A93" s="757" t="s">
        <v>120</v>
      </c>
      <c r="B93" s="757" t="s">
        <v>671</v>
      </c>
      <c r="C93" s="757">
        <f>SUMIFS(INDEX(Table915[],,MATCH(C$6,Table915[#Headers],0)),Table915[MainSpaceHeatingFuel],$B93,Table915[EnergyRating (group)],$A93)</f>
        <v>2887462</v>
      </c>
      <c r="D93" s="757">
        <f>SUMIFS(INDEX(Table915[],,MATCH(D$6,Table915[#Headers],0)),Table915[MainSpaceHeatingFuel],$B93,Table915[EnergyRating (group)],$A93)</f>
        <v>2624968</v>
      </c>
      <c r="E93" s="760">
        <f>SUMIFS(INDEX(Table915[],,MATCH(E$6,Table915[#Headers],0)),Table915[MainSpaceHeatingFuel],$B93,Table915[EnergyRating (group)],$A93)</f>
        <v>410026</v>
      </c>
      <c r="F93" s="760">
        <f>SUMIFS(INDEX(Table915[],,MATCH(F$6,Table915[#Headers],0)),Table915[MainSpaceHeatingFuel],$B93,Table915[EnergyRating (group)],$A93)</f>
        <v>360838</v>
      </c>
      <c r="G93" s="757">
        <f>SUMIFS(INDEX(Table915[],,MATCH(G$6,Table915[#Headers],0)),Table915[MainSpaceHeatingFuel],$B93,Table915[EnergyRating (group)],$A93)</f>
        <v>179</v>
      </c>
      <c r="H93" s="757">
        <f>SUMIFS(INDEX(Table915[],,MATCH(H$6,Table915[#Headers],0)),Table915[MainSpaceHeatingFuel],$B93,Table915[EnergyRating (group)],$A93)</f>
        <v>14996</v>
      </c>
      <c r="I93" s="912">
        <f>AVERAGEIFS(INDEX(Table915[],,MATCH(I$6,Table915[#Headers],0)),Table915[MainSpaceHeatingFuel],$B93,Table915[EnergyRating (group)],$A93)</f>
        <v>53.842105263157897</v>
      </c>
      <c r="J93" s="847">
        <f>SUMIFS(INDEX(Table915[],,MATCH(J$6,Table915[#Headers],0)),Table915[MainSpaceHeatingFuel],$B93,Table915[EnergyRating (group)],$A93)</f>
        <v>5091706</v>
      </c>
      <c r="K93" s="847">
        <f>SUMIFS(INDEX(Table915[],,MATCH(K$6,Table915[#Headers],0)),Table915[MainSpaceHeatingFuel],$B93,Table915[EnergyRating (group)],$A93)</f>
        <v>4225667</v>
      </c>
      <c r="M93" s="840"/>
      <c r="N93" s="840" t="str">
        <f>RSD_Commodities!$M$33&amp;"_"&amp;RIGHT(P93,LEN(P93)-3)&amp;"_"&amp;SETUP!$B$67</f>
        <v>SH_Det-E_PEA_X0</v>
      </c>
      <c r="O93" s="840" t="str">
        <f>RSD_Commodities!$N$33&amp;"_"&amp;RSD_Commodities!D10&amp;"_"&amp;SETUP!$C$67</f>
        <v>Residential Space Heating Detached-E_Peat to Residential_Existing 00</v>
      </c>
      <c r="P93" s="935" t="str">
        <f>RSD_Commodities!$C$10</f>
        <v>RSDPEA</v>
      </c>
      <c r="Q93" s="935" t="str">
        <f>RSD_Commodities!$M$33</f>
        <v>SH_Det-E</v>
      </c>
      <c r="R93" s="1001">
        <f t="shared" si="46"/>
        <v>3.8803381747236072E-3</v>
      </c>
      <c r="S93" s="937">
        <f>R93*DwellingStocks!$I$68/1000</f>
        <v>9.2312038985867789E-2</v>
      </c>
      <c r="T93" s="933">
        <v>1</v>
      </c>
      <c r="U93" s="933">
        <f t="shared" si="50"/>
        <v>0.53842105263157902</v>
      </c>
      <c r="V93" s="935">
        <v>20</v>
      </c>
      <c r="W93" s="935">
        <v>1</v>
      </c>
      <c r="X93" s="840"/>
      <c r="Y93" s="926">
        <f t="shared" si="47"/>
        <v>1.1327089309982385E-4</v>
      </c>
      <c r="Z93" s="927">
        <f t="shared" si="48"/>
        <v>1.2509500307319093E-4</v>
      </c>
      <c r="AA93" s="840"/>
      <c r="AB93" s="914" t="s">
        <v>393</v>
      </c>
      <c r="AC93" s="914" t="str">
        <f t="shared" si="49"/>
        <v>SH_Det-E_PEA_X0</v>
      </c>
      <c r="AD93" s="914" t="str">
        <f t="shared" si="49"/>
        <v>Residential Space Heating Detached-E_Peat to Residential_Existing 00</v>
      </c>
      <c r="AE93" s="914" t="s">
        <v>53</v>
      </c>
      <c r="AF93" s="914" t="s">
        <v>406</v>
      </c>
      <c r="AG93" s="914"/>
      <c r="AH93" s="914"/>
      <c r="AI93" s="840"/>
      <c r="AJ93" s="840"/>
      <c r="AK93" s="840"/>
      <c r="AL93" s="840"/>
      <c r="AM93" s="840"/>
      <c r="AN93" s="840"/>
    </row>
    <row r="94" spans="1:40">
      <c r="A94" s="758" t="s">
        <v>120</v>
      </c>
      <c r="B94" s="758" t="s">
        <v>668</v>
      </c>
      <c r="C94" s="758">
        <f>SUMIFS(INDEX(Table915[],,MATCH(C$6,Table915[#Headers],0)),Table915[MainSpaceHeatingFuel],$B94,Table915[EnergyRating (group)],$A94)</f>
        <v>154389</v>
      </c>
      <c r="D94" s="758">
        <f>SUMIFS(INDEX(Table915[],,MATCH(D$6,Table915[#Headers],0)),Table915[MainSpaceHeatingFuel],$B94,Table915[EnergyRating (group)],$A94)</f>
        <v>140353</v>
      </c>
      <c r="E94" s="759">
        <f>SUMIFS(INDEX(Table915[],,MATCH(E$6,Table915[#Headers],0)),Table915[MainSpaceHeatingFuel],$B94,Table915[EnergyRating (group)],$A94)</f>
        <v>12659</v>
      </c>
      <c r="F94" s="759">
        <f>SUMIFS(INDEX(Table915[],,MATCH(F$6,Table915[#Headers],0)),Table915[MainSpaceHeatingFuel],$B94,Table915[EnergyRating (group)],$A94)</f>
        <v>11252</v>
      </c>
      <c r="G94" s="758">
        <f>SUMIFS(INDEX(Table915[],,MATCH(G$6,Table915[#Headers],0)),Table915[MainSpaceHeatingFuel],$B94,Table915[EnergyRating (group)],$A94)</f>
        <v>6</v>
      </c>
      <c r="H94" s="758">
        <f>SUMIFS(INDEX(Table915[],,MATCH(H$6,Table915[#Headers],0)),Table915[MainSpaceHeatingFuel],$B94,Table915[EnergyRating (group)],$A94)</f>
        <v>644</v>
      </c>
      <c r="I94" s="911">
        <f>AVERAGEIFS(INDEX(Table915[],,MATCH(I$6,Table915[#Headers],0)),Table915[MainSpaceHeatingFuel],$B94,Table915[EnergyRating (group)],$A94)</f>
        <v>70.5</v>
      </c>
      <c r="J94" s="849">
        <f>SUMIFS(INDEX(Table915[],,MATCH(J$6,Table915[#Headers],0)),Table915[MainSpaceHeatingFuel],$B94,Table915[EnergyRating (group)],$A94)</f>
        <v>219241</v>
      </c>
      <c r="K94" s="849">
        <f>SUMIFS(INDEX(Table915[],,MATCH(K$6,Table915[#Headers],0)),Table915[MainSpaceHeatingFuel],$B94,Table915[EnergyRating (group)],$A94)</f>
        <v>182075</v>
      </c>
      <c r="M94" s="840"/>
      <c r="N94" s="914" t="str">
        <f>RSD_Commodities!$M$33&amp;"_"&amp;RIGHT(P94,LEN(P94)-3)&amp;"_"&amp;SETUP!$B$69</f>
        <v>SH_Det-E_BIOWOO_X2</v>
      </c>
      <c r="O94" s="914" t="str">
        <f>RSD_Commodities!$N$33&amp;"_"&amp;RSD_Commodities!D19&amp;"_"&amp;SETUP!$C$69</f>
        <v>Residential Space Heating Detached-E_Biomass &amp; Renewable Waste to Residential_Existing 02</v>
      </c>
      <c r="P94" s="930" t="str">
        <f>RSD_Commodities!$C$19</f>
        <v>RSDBIOWOO</v>
      </c>
      <c r="Q94" s="930" t="str">
        <f>RSD_Commodities!$M$33</f>
        <v>SH_Det-E</v>
      </c>
      <c r="R94" s="1000">
        <f t="shared" si="46"/>
        <v>1.3006720138738348E-4</v>
      </c>
      <c r="S94" s="932">
        <f>R94*DwellingStocks!$I$68/1000</f>
        <v>3.0942582900290879E-3</v>
      </c>
      <c r="T94" s="914">
        <v>1</v>
      </c>
      <c r="U94" s="914">
        <f t="shared" si="50"/>
        <v>0.70499999999999996</v>
      </c>
      <c r="V94" s="930">
        <v>20</v>
      </c>
      <c r="W94" s="930">
        <v>1</v>
      </c>
      <c r="X94" s="840"/>
      <c r="Y94" s="928">
        <f t="shared" si="47"/>
        <v>1.9278288824377807E-7</v>
      </c>
      <c r="Z94" s="929">
        <f t="shared" si="48"/>
        <v>2.1242040773949829E-7</v>
      </c>
      <c r="AA94" s="840"/>
      <c r="AB94" s="933" t="s">
        <v>393</v>
      </c>
      <c r="AC94" s="933" t="str">
        <f t="shared" si="49"/>
        <v>SH_Det-E_BIOWOO_X2</v>
      </c>
      <c r="AD94" s="933" t="str">
        <f t="shared" si="49"/>
        <v>Residential Space Heating Detached-E_Biomass &amp; Renewable Waste to Residential_Existing 02</v>
      </c>
      <c r="AE94" s="933" t="s">
        <v>53</v>
      </c>
      <c r="AF94" s="933" t="s">
        <v>406</v>
      </c>
      <c r="AG94" s="933"/>
      <c r="AH94" s="933"/>
      <c r="AI94" s="840"/>
      <c r="AJ94" s="840"/>
      <c r="AK94" s="840"/>
      <c r="AL94" s="840"/>
      <c r="AM94" s="840"/>
      <c r="AN94" s="840"/>
    </row>
    <row r="95" spans="1:40">
      <c r="A95" s="757" t="s">
        <v>120</v>
      </c>
      <c r="B95" s="757" t="s">
        <v>722</v>
      </c>
      <c r="C95" s="757">
        <f>SUMIFS(INDEX(Table915[],,MATCH(C$6,Table915[#Headers],0)),Table915[MainSpaceHeatingFuel],$B95,Table915[EnergyRating (group)],$A95)</f>
        <v>69964</v>
      </c>
      <c r="D95" s="757">
        <f>SUMIFS(INDEX(Table915[],,MATCH(D$6,Table915[#Headers],0)),Table915[MainSpaceHeatingFuel],$B95,Table915[EnergyRating (group)],$A95)</f>
        <v>63604</v>
      </c>
      <c r="E95" s="757">
        <f>SUMIFS(INDEX(Table915[],,MATCH(E$6,Table915[#Headers],0)),Table915[MainSpaceHeatingFuel],$B95,Table915[EnergyRating (group)],$A95)</f>
        <v>4846</v>
      </c>
      <c r="F95" s="757">
        <f>SUMIFS(INDEX(Table915[],,MATCH(F$6,Table915[#Headers],0)),Table915[MainSpaceHeatingFuel],$B95,Table915[EnergyRating (group)],$A95)</f>
        <v>4405</v>
      </c>
      <c r="G95" s="757">
        <f>SUMIFS(INDEX(Table915[],,MATCH(G$6,Table915[#Headers],0)),Table915[MainSpaceHeatingFuel],$B95,Table915[EnergyRating (group)],$A95)</f>
        <v>6</v>
      </c>
      <c r="H95" s="757">
        <f>SUMIFS(INDEX(Table915[],,MATCH(H$6,Table915[#Headers],0)),Table915[MainSpaceHeatingFuel],$B95,Table915[EnergyRating (group)],$A95)</f>
        <v>360</v>
      </c>
      <c r="I95" s="912">
        <f>AVERAGEIFS(INDEX(Table915[],,MATCH(I$6,Table915[#Headers],0)),Table915[MainSpaceHeatingFuel],$B95,Table915[EnergyRating (group)],$A95)</f>
        <v>55</v>
      </c>
      <c r="J95" s="847">
        <f>SUMIFS(INDEX(Table915[],,MATCH(J$6,Table915[#Headers],0)),Table915[MainSpaceHeatingFuel],$B95,Table915[EnergyRating (group)],$A95)</f>
        <v>120717</v>
      </c>
      <c r="K95" s="847">
        <f>SUMIFS(INDEX(Table915[],,MATCH(K$6,Table915[#Headers],0)),Table915[MainSpaceHeatingFuel],$B95,Table915[EnergyRating (group)],$A95)</f>
        <v>99760</v>
      </c>
      <c r="M95" s="840"/>
      <c r="N95" s="933" t="str">
        <f>RSD_Commodities!$M$33&amp;"_"&amp;RIGHT(P95,LEN(P95)-3)&amp;"_"&amp;SETUP!$B$68</f>
        <v>SH_Det-E_BIOWOO_X1</v>
      </c>
      <c r="O95" s="933" t="str">
        <f>RSD_Commodities!$N$33&amp;"_"&amp;RSD_Commodities!D19&amp;"_"&amp;SETUP!$C$68</f>
        <v>Residential Space Heating Detached-E_Biomass &amp; Renewable Waste to Residential_Existing 01</v>
      </c>
      <c r="P95" s="935" t="str">
        <f>RSD_Commodities!$C$19</f>
        <v>RSDBIOWOO</v>
      </c>
      <c r="Q95" s="935" t="str">
        <f>RSD_Commodities!$M$33</f>
        <v>SH_Det-E</v>
      </c>
      <c r="R95" s="1001">
        <f t="shared" si="46"/>
        <v>1.3006720138738348E-4</v>
      </c>
      <c r="S95" s="937">
        <f>R95*DwellingStocks!$I$68/1000</f>
        <v>3.0942582900290879E-3</v>
      </c>
      <c r="T95" s="933">
        <v>1</v>
      </c>
      <c r="U95" s="933">
        <f t="shared" si="50"/>
        <v>0.55000000000000004</v>
      </c>
      <c r="V95" s="935">
        <v>20</v>
      </c>
      <c r="W95" s="935">
        <v>1</v>
      </c>
      <c r="X95" s="840"/>
      <c r="Y95" s="926">
        <f t="shared" si="47"/>
        <v>8.6481128238323949E-8</v>
      </c>
      <c r="Z95" s="927">
        <f t="shared" si="48"/>
        <v>9.5129368223455923E-8</v>
      </c>
      <c r="AA95" s="840"/>
      <c r="AB95" s="914" t="s">
        <v>393</v>
      </c>
      <c r="AC95" s="914" t="str">
        <f t="shared" si="49"/>
        <v>SH_Det-E_BIOWOO_X1</v>
      </c>
      <c r="AD95" s="914" t="str">
        <f t="shared" si="49"/>
        <v>Residential Space Heating Detached-E_Biomass &amp; Renewable Waste to Residential_Existing 01</v>
      </c>
      <c r="AE95" s="914" t="s">
        <v>53</v>
      </c>
      <c r="AF95" s="914" t="s">
        <v>406</v>
      </c>
      <c r="AG95" s="914"/>
      <c r="AH95" s="914"/>
      <c r="AI95" s="840"/>
      <c r="AJ95" s="840"/>
      <c r="AK95" s="840"/>
      <c r="AL95" s="840"/>
      <c r="AM95" s="840"/>
      <c r="AN95" s="840"/>
    </row>
    <row r="96" spans="1:40">
      <c r="A96" s="758" t="s">
        <v>120</v>
      </c>
      <c r="B96" s="758" t="s">
        <v>673</v>
      </c>
      <c r="C96" s="758">
        <f>SUMIFS(INDEX(Table915[],,MATCH(C$6,Table915[#Headers],0)),Table915[MainSpaceHeatingFuel],$B96,Table915[EnergyRating (group)],$A96)</f>
        <v>624006</v>
      </c>
      <c r="D96" s="758">
        <f>SUMIFS(INDEX(Table915[],,MATCH(D$6,Table915[#Headers],0)),Table915[MainSpaceHeatingFuel],$B96,Table915[EnergyRating (group)],$A96)</f>
        <v>567278</v>
      </c>
      <c r="E96" s="759">
        <f>SUMIFS(INDEX(Table915[],,MATCH(E$6,Table915[#Headers],0)),Table915[MainSpaceHeatingFuel],$B96,Table915[EnergyRating (group)],$A96)</f>
        <v>87808</v>
      </c>
      <c r="F96" s="759">
        <f>SUMIFS(INDEX(Table915[],,MATCH(F$6,Table915[#Headers],0)),Table915[MainSpaceHeatingFuel],$B96,Table915[EnergyRating (group)],$A96)</f>
        <v>66098</v>
      </c>
      <c r="G96" s="758">
        <f>SUMIFS(INDEX(Table915[],,MATCH(G$6,Table915[#Headers],0)),Table915[MainSpaceHeatingFuel],$B96,Table915[EnergyRating (group)],$A96)</f>
        <v>45</v>
      </c>
      <c r="H96" s="758">
        <f>SUMIFS(INDEX(Table915[],,MATCH(H$6,Table915[#Headers],0)),Table915[MainSpaceHeatingFuel],$B96,Table915[EnergyRating (group)],$A96)</f>
        <v>3213</v>
      </c>
      <c r="I96" s="911">
        <f>AVERAGEIFS(INDEX(Table915[],,MATCH(I$6,Table915[#Headers],0)),Table915[MainSpaceHeatingFuel],$B96,Table915[EnergyRating (group)],$A96)</f>
        <v>61.3125</v>
      </c>
      <c r="J96" s="849">
        <f>SUMIFS(INDEX(Table915[],,MATCH(J$6,Table915[#Headers],0)),Table915[MainSpaceHeatingFuel],$B96,Table915[EnergyRating (group)],$A96)</f>
        <v>1093195</v>
      </c>
      <c r="K96" s="849">
        <f>SUMIFS(INDEX(Table915[],,MATCH(K$6,Table915[#Headers],0)),Table915[MainSpaceHeatingFuel],$B96,Table915[EnergyRating (group)],$A96)</f>
        <v>884797</v>
      </c>
      <c r="M96" s="840"/>
      <c r="N96" s="914" t="str">
        <f>RSD_Commodities!$M$33&amp;"_"&amp;RIGHT(P96,LEN(P96)-3)&amp;"_"&amp;SETUP!$B$68</f>
        <v>SH_Det-E_BIOWOO_X1</v>
      </c>
      <c r="O96" s="914" t="str">
        <f>RSD_Commodities!$N$33&amp;"_"&amp;RSD_Commodities!D19&amp;"_"&amp;SETUP!$C$68</f>
        <v>Residential Space Heating Detached-E_Biomass &amp; Renewable Waste to Residential_Existing 01</v>
      </c>
      <c r="P96" s="930" t="str">
        <f>RSD_Commodities!$C$19</f>
        <v>RSDBIOWOO</v>
      </c>
      <c r="Q96" s="930" t="str">
        <f>RSD_Commodities!$M$33</f>
        <v>SH_Det-E</v>
      </c>
      <c r="R96" s="1000">
        <f t="shared" si="46"/>
        <v>9.7550401040537608E-4</v>
      </c>
      <c r="S96" s="932">
        <f>R96*DwellingStocks!$I$68/1000</f>
        <v>2.320693717521816E-2</v>
      </c>
      <c r="T96" s="914">
        <v>1</v>
      </c>
      <c r="U96" s="914">
        <f t="shared" si="50"/>
        <v>0.61312500000000003</v>
      </c>
      <c r="V96" s="930">
        <v>20</v>
      </c>
      <c r="W96" s="930">
        <v>1</v>
      </c>
      <c r="X96" s="840"/>
      <c r="Y96" s="928"/>
      <c r="Z96" s="929"/>
      <c r="AA96" s="840"/>
      <c r="AB96" s="914"/>
      <c r="AC96" s="914"/>
      <c r="AD96" s="914"/>
      <c r="AE96" s="914"/>
      <c r="AF96" s="914"/>
      <c r="AG96" s="914"/>
      <c r="AH96" s="914"/>
      <c r="AI96" s="840"/>
      <c r="AJ96" s="840"/>
      <c r="AK96" s="840"/>
      <c r="AL96" s="840"/>
      <c r="AM96" s="840"/>
      <c r="AN96" s="840"/>
    </row>
    <row r="97" spans="1:40" ht="15.75" thickBot="1">
      <c r="A97" s="757" t="s">
        <v>120</v>
      </c>
      <c r="B97" s="757" t="s">
        <v>674</v>
      </c>
      <c r="C97" s="757">
        <f>SUMIFS(INDEX(Table915[],,MATCH(C$6,Table915[#Headers],0)),Table915[MainSpaceHeatingFuel],$B97,Table915[EnergyRating (group)],$A97)</f>
        <v>161677</v>
      </c>
      <c r="D97" s="757">
        <f>SUMIFS(INDEX(Table915[],,MATCH(D$6,Table915[#Headers],0)),Table915[MainSpaceHeatingFuel],$B97,Table915[EnergyRating (group)],$A97)</f>
        <v>146978</v>
      </c>
      <c r="E97" s="760">
        <f>SUMIFS(INDEX(Table915[],,MATCH(E$6,Table915[#Headers],0)),Table915[MainSpaceHeatingFuel],$B97,Table915[EnergyRating (group)],$A97)</f>
        <v>16380</v>
      </c>
      <c r="F97" s="760">
        <f>SUMIFS(INDEX(Table915[],,MATCH(F$6,Table915[#Headers],0)),Table915[MainSpaceHeatingFuel],$B97,Table915[EnergyRating (group)],$A97)</f>
        <v>15341</v>
      </c>
      <c r="G97" s="757">
        <f>SUMIFS(INDEX(Table915[],,MATCH(G$6,Table915[#Headers],0)),Table915[MainSpaceHeatingFuel],$B97,Table915[EnergyRating (group)],$A97)</f>
        <v>10</v>
      </c>
      <c r="H97" s="757">
        <f>SUMIFS(INDEX(Table915[],,MATCH(H$6,Table915[#Headers],0)),Table915[MainSpaceHeatingFuel],$B97,Table915[EnergyRating (group)],$A97)</f>
        <v>793</v>
      </c>
      <c r="I97" s="912">
        <f>AVERAGEIFS(INDEX(Table915[],,MATCH(I$6,Table915[#Headers],0)),Table915[MainSpaceHeatingFuel],$B97,Table915[EnergyRating (group)],$A97)</f>
        <v>59.666666666666664</v>
      </c>
      <c r="J97" s="847">
        <f>SUMIFS(INDEX(Table915[],,MATCH(J$6,Table915[#Headers],0)),Table915[MainSpaceHeatingFuel],$B97,Table915[EnergyRating (group)],$A97)</f>
        <v>273981</v>
      </c>
      <c r="K97" s="847">
        <f>SUMIFS(INDEX(Table915[],,MATCH(K$6,Table915[#Headers],0)),Table915[MainSpaceHeatingFuel],$B97,Table915[EnergyRating (group)],$A97)</f>
        <v>227493</v>
      </c>
      <c r="M97" s="840"/>
      <c r="N97" s="933" t="str">
        <f>RSD_Commodities!$M$33&amp;"_"&amp;RIGHT(P97,LEN(P97)-3)&amp;"_"&amp;SETUP!$B$68</f>
        <v>SH_Det-E_COAHAR_X1</v>
      </c>
      <c r="O97" s="933" t="str">
        <f>RSD_Commodities!$N$33&amp;"_"&amp;RSD_Commodities!D7&amp;"_"&amp;SETUP!$C$68</f>
        <v>Residential Space Heating Detached-E_Anthracite + Manufactured Ovoids to Residential_Existing 01</v>
      </c>
      <c r="P97" s="935" t="str">
        <f>RSD_Commodities!$C$7</f>
        <v>RSDCOAHAR</v>
      </c>
      <c r="Q97" s="935" t="str">
        <f>RSD_Commodities!$M$33</f>
        <v>SH_Det-E</v>
      </c>
      <c r="R97" s="1001">
        <f t="shared" si="46"/>
        <v>2.1677866897897247E-4</v>
      </c>
      <c r="S97" s="937">
        <f>R97*DwellingStocks!$I$68/1000</f>
        <v>5.15709715004848E-3</v>
      </c>
      <c r="T97" s="933">
        <v>1</v>
      </c>
      <c r="U97" s="933">
        <f t="shared" si="50"/>
        <v>0.59666666666666668</v>
      </c>
      <c r="V97" s="935">
        <v>20</v>
      </c>
      <c r="W97" s="935">
        <v>1</v>
      </c>
      <c r="X97" s="840"/>
      <c r="Y97" s="926">
        <f t="shared" si="47"/>
        <v>3.4401158313646002E-7</v>
      </c>
      <c r="Z97" s="927">
        <f t="shared" si="48"/>
        <v>3.7736599201897906E-7</v>
      </c>
      <c r="AA97" s="840"/>
      <c r="AB97" s="933" t="s">
        <v>393</v>
      </c>
      <c r="AC97" s="933" t="str">
        <f t="shared" si="49"/>
        <v>SH_Det-E_COAHAR_X1</v>
      </c>
      <c r="AD97" s="933" t="str">
        <f t="shared" si="49"/>
        <v>Residential Space Heating Detached-E_Anthracite + Manufactured Ovoids to Residential_Existing 01</v>
      </c>
      <c r="AE97" s="933" t="s">
        <v>53</v>
      </c>
      <c r="AF97" s="933" t="s">
        <v>406</v>
      </c>
      <c r="AG97" s="933"/>
      <c r="AH97" s="933"/>
      <c r="AI97" s="840"/>
      <c r="AJ97" s="840"/>
      <c r="AK97" s="840"/>
      <c r="AL97" s="840"/>
      <c r="AM97" s="840"/>
      <c r="AN97" s="840"/>
    </row>
    <row r="98" spans="1:40" ht="15.75" thickBot="1">
      <c r="A98" s="756" t="s">
        <v>122</v>
      </c>
      <c r="B98" s="1048"/>
      <c r="C98" s="1049"/>
      <c r="D98" s="1049"/>
      <c r="E98" s="1049"/>
      <c r="F98" s="1049"/>
      <c r="G98" s="1049"/>
      <c r="H98" s="1049"/>
      <c r="I98" s="1053"/>
      <c r="J98" s="736" t="s">
        <v>565</v>
      </c>
      <c r="K98" s="737" t="s">
        <v>565</v>
      </c>
      <c r="M98" s="840"/>
      <c r="N98" s="76" t="str">
        <f>AB98</f>
        <v>*F Rating</v>
      </c>
      <c r="O98" s="76"/>
      <c r="P98" s="76"/>
      <c r="Q98" s="76"/>
      <c r="R98" s="949">
        <f>SUM(R99:R114)</f>
        <v>1</v>
      </c>
      <c r="S98" s="76"/>
      <c r="T98" s="97"/>
      <c r="U98" s="76"/>
      <c r="V98" s="76"/>
      <c r="W98" s="76"/>
      <c r="X98" s="840"/>
      <c r="Y98" s="76"/>
      <c r="Z98" s="76"/>
      <c r="AA98" s="840"/>
      <c r="AB98" s="140" t="str">
        <f>"*"&amp; A100 &amp; " Rating"</f>
        <v>*F Rating</v>
      </c>
      <c r="AC98" s="141"/>
      <c r="AD98" s="141"/>
      <c r="AE98" s="141"/>
      <c r="AF98" s="141"/>
      <c r="AG98" s="141"/>
      <c r="AH98" s="141"/>
      <c r="AI98" s="840"/>
      <c r="AJ98" s="840"/>
      <c r="AK98" s="840"/>
      <c r="AL98" s="840"/>
      <c r="AM98" s="840"/>
      <c r="AN98" s="840"/>
    </row>
    <row r="99" spans="1:40">
      <c r="A99" s="758" t="s">
        <v>122</v>
      </c>
      <c r="B99" s="758" t="s">
        <v>580</v>
      </c>
      <c r="C99" s="758">
        <f>SUMIFS(INDEX(Table915[],,MATCH(C$6,Table915[#Headers],0)),Table915[MainSpaceHeatingFuel],$B99,Table915[EnergyRating (group)],$A99)</f>
        <v>16672</v>
      </c>
      <c r="D99" s="758">
        <f>SUMIFS(INDEX(Table915[],,MATCH(D$6,Table915[#Headers],0)),Table915[MainSpaceHeatingFuel],$B99,Table915[EnergyRating (group)],$A99)</f>
        <v>6175</v>
      </c>
      <c r="E99" s="759">
        <f>SUMIFS(INDEX(Table915[],,MATCH(E$6,Table915[#Headers],0)),Table915[MainSpaceHeatingFuel],$B99,Table915[EnergyRating (group)],$A99)</f>
        <v>5660</v>
      </c>
      <c r="F99" s="759">
        <f>SUMIFS(INDEX(Table915[],,MATCH(F$6,Table915[#Headers],0)),Table915[MainSpaceHeatingFuel],$B99,Table915[EnergyRating (group)],$A99)</f>
        <v>5146</v>
      </c>
      <c r="G99" s="758">
        <f>SUMIFS(INDEX(Table915[],,MATCH(G$6,Table915[#Headers],0)),Table915[MainSpaceHeatingFuel],$B99,Table915[EnergyRating (group)],$A99)</f>
        <v>1</v>
      </c>
      <c r="H99" s="758">
        <f>SUMIFS(INDEX(Table915[],,MATCH(H$6,Table915[#Headers],0)),Table915[MainSpaceHeatingFuel],$B99,Table915[EnergyRating (group)],$A99)</f>
        <v>68</v>
      </c>
      <c r="I99" s="911">
        <f>AVERAGEIFS(INDEX(Table915[],,MATCH(I$6,Table915[#Headers],0)),Table915[MainSpaceHeatingFuel],$B99,Table915[EnergyRating (group)],$A99)</f>
        <v>100</v>
      </c>
      <c r="J99" s="849">
        <f>SUMIFS(INDEX(Table915[],,MATCH(J$6,Table915[#Headers],0)),Table915[MainSpaceHeatingFuel],$B99,Table915[EnergyRating (group)],$A99)</f>
        <v>27968</v>
      </c>
      <c r="K99" s="849">
        <f>SUMIFS(INDEX(Table915[],,MATCH(K$6,Table915[#Headers],0)),Table915[MainSpaceHeatingFuel],$B99,Table915[EnergyRating (group)],$A99)</f>
        <v>13408</v>
      </c>
      <c r="M99" s="840"/>
      <c r="N99" s="914" t="str">
        <f>RSD_Commodities!$M$34&amp;"_"&amp;RIGHT(P99,LEN(P99)-3)&amp;"_"&amp;SETUP!$B$67</f>
        <v>SH_Det-F_BIODST_X0</v>
      </c>
      <c r="O99" s="914" t="str">
        <f>RSD_Commodities!$N$34&amp;"_"&amp;RSD_Commodities!D24&amp;"_"&amp;SETUP!$C$67</f>
        <v>Residential Space Heating Detached-F_Biodiesel to Residential_Existing 00</v>
      </c>
      <c r="P99" s="915" t="str">
        <f>RSD_Commodities!C24</f>
        <v>RSDBIODST</v>
      </c>
      <c r="Q99" s="930" t="str">
        <f>RSD_Commodities!$M$34</f>
        <v>SH_Det-F</v>
      </c>
      <c r="R99" s="1000">
        <f>G99/SUM($G$99:$G$114)</f>
        <v>4.8262548262548262E-5</v>
      </c>
      <c r="S99" s="932">
        <f>R99*DwellingStocks!$I$69/1000</f>
        <v>3.8660308087080187E-4</v>
      </c>
      <c r="T99" s="914">
        <v>1</v>
      </c>
      <c r="U99" s="914">
        <f t="shared" si="18"/>
        <v>1</v>
      </c>
      <c r="V99" s="930">
        <v>20</v>
      </c>
      <c r="W99" s="930">
        <v>1</v>
      </c>
      <c r="X99" s="840"/>
      <c r="Y99" s="928">
        <f>ABS((D99+F99)*S99*1000*$B$2)</f>
        <v>1.7986575939198694E-9</v>
      </c>
      <c r="Z99" s="929">
        <f>ABS((C99+E99)*S99*1000*$B$2)</f>
        <v>3.5480630145233216E-9</v>
      </c>
      <c r="AA99" s="840"/>
      <c r="AB99" s="140"/>
      <c r="AC99" s="141"/>
      <c r="AD99" s="141"/>
      <c r="AE99" s="141"/>
      <c r="AF99" s="141"/>
      <c r="AG99" s="141"/>
      <c r="AH99" s="141"/>
      <c r="AI99" s="840"/>
      <c r="AJ99" s="840"/>
      <c r="AK99" s="840"/>
      <c r="AL99" s="840"/>
      <c r="AM99" s="840"/>
      <c r="AN99" s="840"/>
    </row>
    <row r="100" spans="1:40">
      <c r="A100" s="757" t="s">
        <v>122</v>
      </c>
      <c r="B100" s="757" t="s">
        <v>582</v>
      </c>
      <c r="C100" s="757">
        <f>SUMIFS(INDEX(Table915[],,MATCH(C$6,Table915[#Headers],0)),Table915[MainSpaceHeatingFuel],$B100,Table915[EnergyRating (group)],$A100)</f>
        <v>753436</v>
      </c>
      <c r="D100" s="757">
        <f>SUMIFS(INDEX(Table915[],,MATCH(D$6,Table915[#Headers],0)),Table915[MainSpaceHeatingFuel],$B100,Table915[EnergyRating (group)],$A100)</f>
        <v>684939</v>
      </c>
      <c r="E100" s="757">
        <f>SUMIFS(INDEX(Table915[],,MATCH(E$6,Table915[#Headers],0)),Table915[MainSpaceHeatingFuel],$B100,Table915[EnergyRating (group)],$A100)</f>
        <v>150533</v>
      </c>
      <c r="F100" s="757">
        <f>SUMIFS(INDEX(Table915[],,MATCH(F$6,Table915[#Headers],0)),Table915[MainSpaceHeatingFuel],$B100,Table915[EnergyRating (group)],$A100)</f>
        <v>133795</v>
      </c>
      <c r="G100" s="757">
        <f>SUMIFS(INDEX(Table915[],,MATCH(G$6,Table915[#Headers],0)),Table915[MainSpaceHeatingFuel],$B100,Table915[EnergyRating (group)],$A100)</f>
        <v>29</v>
      </c>
      <c r="H100" s="757">
        <f>SUMIFS(INDEX(Table915[],,MATCH(H$6,Table915[#Headers],0)),Table915[MainSpaceHeatingFuel],$B100,Table915[EnergyRating (group)],$A100)</f>
        <v>2824</v>
      </c>
      <c r="I100" s="912">
        <f>AVERAGEIFS(INDEX(Table915[],,MATCH(I$6,Table915[#Headers],0)),Table915[MainSpaceHeatingFuel],$B100,Table915[EnergyRating (group)],$A100)</f>
        <v>72.294117647058826</v>
      </c>
      <c r="J100" s="847">
        <f>SUMIFS(INDEX(Table915[],,MATCH(J$6,Table915[#Headers],0)),Table915[MainSpaceHeatingFuel],$B100,Table915[EnergyRating (group)],$A100)</f>
        <v>1172237</v>
      </c>
      <c r="K100" s="847">
        <f>SUMIFS(INDEX(Table915[],,MATCH(K$6,Table915[#Headers],0)),Table915[MainSpaceHeatingFuel],$B100,Table915[EnergyRating (group)],$A100)</f>
        <v>998007</v>
      </c>
      <c r="M100" s="840"/>
      <c r="N100" s="933" t="str">
        <f>RSD_Commodities!$M$34&amp;"_"&amp;RIGHT(P100,LEN(P100)-3)&amp;"_"&amp;SETUP!$B$67</f>
        <v>SH_Det-F_OILLPG_X0</v>
      </c>
      <c r="O100" s="933" t="str">
        <f>RSD_Commodities!$N$34&amp;"_"&amp;RSD_Commodities!D11&amp;"_"&amp;SETUP!$C$67</f>
        <v>Residential Space Heating Detached-F_LPG to Residential_Existing 00</v>
      </c>
      <c r="P100" s="934" t="str">
        <f>RSD_Commodities!$C$11</f>
        <v>RSDOILLPG</v>
      </c>
      <c r="Q100" s="935" t="str">
        <f>RSD_Commodities!$M$34</f>
        <v>SH_Det-F</v>
      </c>
      <c r="R100" s="1001">
        <f t="shared" ref="R100:R114" si="55">G100/SUM($G$99:$G$114)</f>
        <v>1.3996138996138995E-3</v>
      </c>
      <c r="S100" s="937">
        <f>R100*DwellingStocks!$I$69/1000</f>
        <v>1.1211489345253251E-2</v>
      </c>
      <c r="T100" s="933">
        <v>1</v>
      </c>
      <c r="U100" s="954">
        <f t="shared" si="18"/>
        <v>0.72294117647058831</v>
      </c>
      <c r="V100" s="935">
        <v>20</v>
      </c>
      <c r="W100" s="935">
        <v>1</v>
      </c>
      <c r="X100" s="840"/>
      <c r="Y100" s="926">
        <f>ABS((D100+F100)*S100*1000*$B$2)</f>
        <v>3.7722852812040724E-6</v>
      </c>
      <c r="Z100" s="927">
        <f>ABS((C100+E100)*S100*1000*$B$2)</f>
        <v>4.1650022514818785E-6</v>
      </c>
      <c r="AA100" s="840"/>
      <c r="AB100" s="933" t="s">
        <v>393</v>
      </c>
      <c r="AC100" s="933" t="str">
        <f>N100</f>
        <v>SH_Det-F_OILLPG_X0</v>
      </c>
      <c r="AD100" s="933" t="str">
        <f>O100</f>
        <v>Residential Space Heating Detached-F_LPG to Residential_Existing 00</v>
      </c>
      <c r="AE100" s="933" t="s">
        <v>53</v>
      </c>
      <c r="AF100" s="933" t="s">
        <v>406</v>
      </c>
      <c r="AG100" s="933"/>
      <c r="AH100" s="933"/>
      <c r="AI100" s="840"/>
      <c r="AJ100" s="840"/>
      <c r="AK100" s="840"/>
      <c r="AL100" s="840"/>
      <c r="AM100" s="840"/>
      <c r="AN100" s="840"/>
    </row>
    <row r="101" spans="1:40">
      <c r="A101" s="758" t="s">
        <v>122</v>
      </c>
      <c r="B101" s="758" t="s">
        <v>228</v>
      </c>
      <c r="C101" s="758">
        <f>SUMIFS(INDEX(Table915[],,MATCH(C$6,Table915[#Headers],0)),Table915[MainSpaceHeatingFuel],$B101,Table915[EnergyRating (group)],$A101)</f>
        <v>45184160</v>
      </c>
      <c r="D101" s="758">
        <f>SUMIFS(INDEX(Table915[],,MATCH(D$6,Table915[#Headers],0)),Table915[MainSpaceHeatingFuel],$B101,Table915[EnergyRating (group)],$A101)</f>
        <v>16734874</v>
      </c>
      <c r="E101" s="759">
        <f>SUMIFS(INDEX(Table915[],,MATCH(E$6,Table915[#Headers],0)),Table915[MainSpaceHeatingFuel],$B101,Table915[EnergyRating (group)],$A101)</f>
        <v>6839373</v>
      </c>
      <c r="F101" s="759">
        <f>SUMIFS(INDEX(Table915[],,MATCH(F$6,Table915[#Headers],0)),Table915[MainSpaceHeatingFuel],$B101,Table915[EnergyRating (group)],$A101)</f>
        <v>5091608</v>
      </c>
      <c r="G101" s="758">
        <f>SUMIFS(INDEX(Table915[],,MATCH(G$6,Table915[#Headers],0)),Table915[MainSpaceHeatingFuel],$B101,Table915[EnergyRating (group)],$A101)</f>
        <v>2213</v>
      </c>
      <c r="H101" s="758">
        <f>SUMIFS(INDEX(Table915[],,MATCH(H$6,Table915[#Headers],0)),Table915[MainSpaceHeatingFuel],$B101,Table915[EnergyRating (group)],$A101)</f>
        <v>169678</v>
      </c>
      <c r="I101" s="911">
        <f>AVERAGEIFS(INDEX(Table915[],,MATCH(I$6,Table915[#Headers],0)),Table915[MainSpaceHeatingFuel],$B101,Table915[EnergyRating (group)],$A101)</f>
        <v>100.02325581395348</v>
      </c>
      <c r="J101" s="849">
        <f>SUMIFS(INDEX(Table915[],,MATCH(J$6,Table915[#Headers],0)),Table915[MainSpaceHeatingFuel],$B101,Table915[EnergyRating (group)],$A101)</f>
        <v>71001249</v>
      </c>
      <c r="K101" s="849">
        <f>SUMIFS(INDEX(Table915[],,MATCH(K$6,Table915[#Headers],0)),Table915[MainSpaceHeatingFuel],$B101,Table915[EnergyRating (group)],$A101)</f>
        <v>29355608</v>
      </c>
      <c r="M101" s="840"/>
      <c r="N101" s="914" t="str">
        <f>RSD_Commodities!$M$34&amp;"_"&amp;RIGHT(P101,LEN(P101)-3)&amp;"_"&amp;SETUP!$B$67</f>
        <v>SH_Det-F_ELCD_X0</v>
      </c>
      <c r="O101" s="914" t="str">
        <f>RSD_Commodities!$N$34&amp;"_"&amp;RSD_Commodities!D27&amp;"_"&amp;SETUP!$C$67</f>
        <v>Residential Space Heating Detached-F_Electricity to Residential_Existing 00</v>
      </c>
      <c r="P101" s="915" t="str">
        <f>RSD_Commodities!$C$27</f>
        <v>RSDELCD</v>
      </c>
      <c r="Q101" s="930" t="str">
        <f>RSD_Commodities!$M$34</f>
        <v>SH_Det-F</v>
      </c>
      <c r="R101" s="1000">
        <f t="shared" si="55"/>
        <v>0.1068050193050193</v>
      </c>
      <c r="S101" s="932">
        <f>R101*DwellingStocks!$I$69/1000</f>
        <v>0.85555261796708448</v>
      </c>
      <c r="T101" s="914">
        <v>1</v>
      </c>
      <c r="U101" s="914">
        <f t="shared" si="18"/>
        <v>1.0002325581395348</v>
      </c>
      <c r="V101" s="930">
        <v>20</v>
      </c>
      <c r="W101" s="930">
        <v>1</v>
      </c>
      <c r="X101" s="840"/>
      <c r="Y101" s="928">
        <f t="shared" ref="Y101:Y108" si="56">ABS((D101+F101)*S101*1000*$B$2)</f>
        <v>7.6741248559362117E-3</v>
      </c>
      <c r="Z101" s="929">
        <f t="shared" ref="Z101:Z108" si="57">ABS((C101+E101)*S101*1000*$B$2)</f>
        <v>1.8291316378375489E-2</v>
      </c>
      <c r="AA101" s="840"/>
      <c r="AB101" s="914" t="s">
        <v>393</v>
      </c>
      <c r="AC101" s="914" t="str">
        <f t="shared" ref="AC101:AD102" si="58">N101</f>
        <v>SH_Det-F_ELCD_X0</v>
      </c>
      <c r="AD101" s="914" t="str">
        <f t="shared" si="58"/>
        <v>Residential Space Heating Detached-F_Electricity to Residential_Existing 00</v>
      </c>
      <c r="AE101" s="914" t="s">
        <v>53</v>
      </c>
      <c r="AF101" s="914" t="s">
        <v>406</v>
      </c>
      <c r="AG101" s="914"/>
      <c r="AH101" s="914"/>
      <c r="AI101" s="840"/>
      <c r="AJ101" s="840"/>
      <c r="AK101" s="840"/>
      <c r="AL101" s="840"/>
      <c r="AM101" s="840"/>
      <c r="AN101" s="840"/>
    </row>
    <row r="102" spans="1:40">
      <c r="A102" s="757" t="s">
        <v>122</v>
      </c>
      <c r="B102" s="757" t="s">
        <v>583</v>
      </c>
      <c r="C102" s="757">
        <f>SUMIFS(INDEX(Table915[],,MATCH(C$6,Table915[#Headers],0)),Table915[MainSpaceHeatingFuel],$B102,Table915[EnergyRating (group)],$A102)</f>
        <v>153817076</v>
      </c>
      <c r="D102" s="757">
        <f>SUMIFS(INDEX(Table915[],,MATCH(D$6,Table915[#Headers],0)),Table915[MainSpaceHeatingFuel],$B102,Table915[EnergyRating (group)],$A102)</f>
        <v>139833704</v>
      </c>
      <c r="E102" s="760">
        <f>SUMIFS(INDEX(Table915[],,MATCH(E$6,Table915[#Headers],0)),Table915[MainSpaceHeatingFuel],$B102,Table915[EnergyRating (group)],$A102)</f>
        <v>33941782</v>
      </c>
      <c r="F102" s="760">
        <f>SUMIFS(INDEX(Table915[],,MATCH(F$6,Table915[#Headers],0)),Table915[MainSpaceHeatingFuel],$B102,Table915[EnergyRating (group)],$A102)</f>
        <v>28923509</v>
      </c>
      <c r="G102" s="757">
        <f>SUMIFS(INDEX(Table915[],,MATCH(G$6,Table915[#Headers],0)),Table915[MainSpaceHeatingFuel],$B102,Table915[EnergyRating (group)],$A102)</f>
        <v>5972</v>
      </c>
      <c r="H102" s="757">
        <f>SUMIFS(INDEX(Table915[],,MATCH(H$6,Table915[#Headers],0)),Table915[MainSpaceHeatingFuel],$B102,Table915[EnergyRating (group)],$A102)</f>
        <v>586902</v>
      </c>
      <c r="I102" s="912">
        <f>AVERAGEIFS(INDEX(Table915[],,MATCH(I$6,Table915[#Headers],0)),Table915[MainSpaceHeatingFuel],$B102,Table915[EnergyRating (group)],$A102)</f>
        <v>76.246153846153845</v>
      </c>
      <c r="J102" s="847">
        <f>SUMIFS(INDEX(Table915[],,MATCH(J$6,Table915[#Headers],0)),Table915[MainSpaceHeatingFuel],$B102,Table915[EnergyRating (group)],$A102)</f>
        <v>245071533</v>
      </c>
      <c r="K102" s="847">
        <f>SUMIFS(INDEX(Table915[],,MATCH(K$6,Table915[#Headers],0)),Table915[MainSpaceHeatingFuel],$B102,Table915[EnergyRating (group)],$A102)</f>
        <v>205757537</v>
      </c>
      <c r="M102" s="840"/>
      <c r="N102" s="933" t="str">
        <f>RSD_Commodities!$M$34&amp;"_"&amp;RIGHT(P102,LEN(P102)-3)&amp;"_"&amp;SETUP!$B$67</f>
        <v>SH_Det-F_OILKER_X0</v>
      </c>
      <c r="O102" s="933" t="str">
        <f>RSD_Commodities!$N$34&amp;"_"&amp;RSD_Commodities!D13&amp;"_"&amp;SETUP!$C$67</f>
        <v>Residential Space Heating Detached-F_Kerosene to Residential_Existing 00</v>
      </c>
      <c r="P102" s="934" t="str">
        <f>RSD_Commodities!$C$13</f>
        <v>RSDOILKER</v>
      </c>
      <c r="Q102" s="935" t="str">
        <f>RSD_Commodities!$M$34</f>
        <v>SH_Det-F</v>
      </c>
      <c r="R102" s="1001">
        <f t="shared" si="55"/>
        <v>0.28822393822393821</v>
      </c>
      <c r="S102" s="937">
        <f>R102*DwellingStocks!$I$69/1000</f>
        <v>2.3087935989604285</v>
      </c>
      <c r="T102" s="933">
        <v>1</v>
      </c>
      <c r="U102" s="933">
        <f t="shared" si="18"/>
        <v>0.76246153846153841</v>
      </c>
      <c r="V102" s="935">
        <v>20</v>
      </c>
      <c r="W102" s="935">
        <v>1</v>
      </c>
      <c r="X102" s="840"/>
      <c r="Y102" s="926">
        <f t="shared" si="56"/>
        <v>0.16012009855594589</v>
      </c>
      <c r="Z102" s="927">
        <f t="shared" si="57"/>
        <v>0.17814922582130963</v>
      </c>
      <c r="AA102" s="840"/>
      <c r="AB102" s="933" t="s">
        <v>393</v>
      </c>
      <c r="AC102" s="933" t="str">
        <f t="shared" si="58"/>
        <v>SH_Det-F_OILKER_X0</v>
      </c>
      <c r="AD102" s="933" t="str">
        <f t="shared" si="58"/>
        <v>Residential Space Heating Detached-F_Kerosene to Residential_Existing 00</v>
      </c>
      <c r="AE102" s="933" t="s">
        <v>53</v>
      </c>
      <c r="AF102" s="933" t="s">
        <v>406</v>
      </c>
      <c r="AG102" s="933"/>
      <c r="AH102" s="933"/>
      <c r="AI102" s="840"/>
      <c r="AJ102" s="840"/>
      <c r="AK102" s="840"/>
      <c r="AL102" s="840"/>
      <c r="AM102" s="840"/>
      <c r="AN102" s="840"/>
    </row>
    <row r="103" spans="1:40">
      <c r="A103" s="758" t="s">
        <v>122</v>
      </c>
      <c r="B103" s="758" t="s">
        <v>584</v>
      </c>
      <c r="C103" s="758">
        <f>SUMIFS(INDEX(Table915[],,MATCH(C$6,Table915[#Headers],0)),Table915[MainSpaceHeatingFuel],$B103,Table915[EnergyRating (group)],$A103)</f>
        <v>200016008</v>
      </c>
      <c r="D103" s="758">
        <f>SUMIFS(INDEX(Table915[],,MATCH(D$6,Table915[#Headers],0)),Table915[MainSpaceHeatingFuel],$B103,Table915[EnergyRating (group)],$A103)</f>
        <v>181832734</v>
      </c>
      <c r="E103" s="759">
        <f>SUMIFS(INDEX(Table915[],,MATCH(E$6,Table915[#Headers],0)),Table915[MainSpaceHeatingFuel],$B103,Table915[EnergyRating (group)],$A103)</f>
        <v>49690453</v>
      </c>
      <c r="F103" s="759">
        <f>SUMIFS(INDEX(Table915[],,MATCH(F$6,Table915[#Headers],0)),Table915[MainSpaceHeatingFuel],$B103,Table915[EnergyRating (group)],$A103)</f>
        <v>42545931</v>
      </c>
      <c r="G103" s="758">
        <f>SUMIFS(INDEX(Table915[],,MATCH(G$6,Table915[#Headers],0)),Table915[MainSpaceHeatingFuel],$B103,Table915[EnergyRating (group)],$A103)</f>
        <v>8454</v>
      </c>
      <c r="H103" s="758">
        <f>SUMIFS(INDEX(Table915[],,MATCH(H$6,Table915[#Headers],0)),Table915[MainSpaceHeatingFuel],$B103,Table915[EnergyRating (group)],$A103)</f>
        <v>780361</v>
      </c>
      <c r="I103" s="911">
        <f>AVERAGEIFS(INDEX(Table915[],,MATCH(I$6,Table915[#Headers],0)),Table915[MainSpaceHeatingFuel],$B103,Table915[EnergyRating (group)],$A103)</f>
        <v>75.235294117647058</v>
      </c>
      <c r="J103" s="849">
        <f>SUMIFS(INDEX(Table915[],,MATCH(J$6,Table915[#Headers],0)),Table915[MainSpaceHeatingFuel],$B103,Table915[EnergyRating (group)],$A103)</f>
        <v>326210497</v>
      </c>
      <c r="K103" s="849">
        <f>SUMIFS(INDEX(Table915[],,MATCH(K$6,Table915[#Headers],0)),Table915[MainSpaceHeatingFuel],$B103,Table915[EnergyRating (group)],$A103)</f>
        <v>275006984</v>
      </c>
      <c r="M103" s="840"/>
      <c r="N103" s="914" t="str">
        <f>RSD_Commodities!$M$34&amp;"_"&amp;RIGHT(P103,LEN(P103)-3)&amp;"_"&amp;SETUP!$B$67</f>
        <v>SH_Det-F_GASNAT_X0</v>
      </c>
      <c r="O103" s="914" t="str">
        <f>RSD_Commodities!$N$34&amp;"_"&amp;RSD_Commodities!D17&amp;"_"&amp;SETUP!$C$67</f>
        <v>Residential Space Heating Detached-F_Natural Gas to Residential_Existing 00</v>
      </c>
      <c r="P103" s="915" t="str">
        <f>RSD_Commodities!$C$17</f>
        <v>RSDGASNAT</v>
      </c>
      <c r="Q103" s="930" t="str">
        <f>RSD_Commodities!$M$34</f>
        <v>SH_Det-F</v>
      </c>
      <c r="R103" s="1000">
        <f t="shared" si="55"/>
        <v>0.40801158301158302</v>
      </c>
      <c r="S103" s="932">
        <f>R103*DwellingStocks!$I$69/1000</f>
        <v>3.2683424456817587</v>
      </c>
      <c r="T103" s="914">
        <v>1</v>
      </c>
      <c r="U103" s="914">
        <f t="shared" si="18"/>
        <v>0.75235294117647056</v>
      </c>
      <c r="V103" s="930">
        <v>20</v>
      </c>
      <c r="W103" s="930">
        <v>1</v>
      </c>
      <c r="X103" s="840"/>
      <c r="Y103" s="928">
        <f t="shared" si="56"/>
        <v>0.301375197832154</v>
      </c>
      <c r="Z103" s="929">
        <f t="shared" si="57"/>
        <v>0.3353943392249083</v>
      </c>
      <c r="AA103" s="840"/>
      <c r="AB103" s="914" t="s">
        <v>393</v>
      </c>
      <c r="AC103" s="914" t="str">
        <f t="shared" ref="AC103:AC114" si="59">N103</f>
        <v>SH_Det-F_GASNAT_X0</v>
      </c>
      <c r="AD103" s="914" t="str">
        <f t="shared" ref="AD103:AD114" si="60">O103</f>
        <v>Residential Space Heating Detached-F_Natural Gas to Residential_Existing 00</v>
      </c>
      <c r="AE103" s="914" t="s">
        <v>53</v>
      </c>
      <c r="AF103" s="914" t="s">
        <v>406</v>
      </c>
      <c r="AG103" s="914"/>
      <c r="AH103" s="914"/>
      <c r="AI103" s="840"/>
      <c r="AJ103" s="840"/>
      <c r="AK103" s="840"/>
      <c r="AL103" s="840"/>
      <c r="AM103" s="840"/>
      <c r="AN103" s="840"/>
    </row>
    <row r="104" spans="1:40">
      <c r="A104" s="757" t="s">
        <v>122</v>
      </c>
      <c r="B104" s="757" t="s">
        <v>585</v>
      </c>
      <c r="C104" s="757">
        <f>SUMIFS(INDEX(Table915[],,MATCH(C$6,Table915[#Headers],0)),Table915[MainSpaceHeatingFuel],$B104,Table915[EnergyRating (group)],$A104)</f>
        <v>502411</v>
      </c>
      <c r="D104" s="757">
        <f>SUMIFS(INDEX(Table915[],,MATCH(D$6,Table915[#Headers],0)),Table915[MainSpaceHeatingFuel],$B104,Table915[EnergyRating (group)],$A104)</f>
        <v>456736</v>
      </c>
      <c r="E104" s="757">
        <f>SUMIFS(INDEX(Table915[],,MATCH(E$6,Table915[#Headers],0)),Table915[MainSpaceHeatingFuel],$B104,Table915[EnergyRating (group)],$A104)</f>
        <v>113936</v>
      </c>
      <c r="F104" s="757">
        <f>SUMIFS(INDEX(Table915[],,MATCH(F$6,Table915[#Headers],0)),Table915[MainSpaceHeatingFuel],$B104,Table915[EnergyRating (group)],$A104)</f>
        <v>98945</v>
      </c>
      <c r="G104" s="757">
        <f>SUMIFS(INDEX(Table915[],,MATCH(G$6,Table915[#Headers],0)),Table915[MainSpaceHeatingFuel],$B104,Table915[EnergyRating (group)],$A104)</f>
        <v>19</v>
      </c>
      <c r="H104" s="757">
        <f>SUMIFS(INDEX(Table915[],,MATCH(H$6,Table915[#Headers],0)),Table915[MainSpaceHeatingFuel],$B104,Table915[EnergyRating (group)],$A104)</f>
        <v>1886</v>
      </c>
      <c r="I104" s="912">
        <f>AVERAGEIFS(INDEX(Table915[],,MATCH(I$6,Table915[#Headers],0)),Table915[MainSpaceHeatingFuel],$B104,Table915[EnergyRating (group)],$A104)</f>
        <v>70.333333333333329</v>
      </c>
      <c r="J104" s="847">
        <f>SUMIFS(INDEX(Table915[],,MATCH(J$6,Table915[#Headers],0)),Table915[MainSpaceHeatingFuel],$B104,Table915[EnergyRating (group)],$A104)</f>
        <v>773489</v>
      </c>
      <c r="K104" s="847">
        <f>SUMIFS(INDEX(Table915[],,MATCH(K$6,Table915[#Headers],0)),Table915[MainSpaceHeatingFuel],$B104,Table915[EnergyRating (group)],$A104)</f>
        <v>663177</v>
      </c>
      <c r="M104" s="840"/>
      <c r="N104" s="933" t="str">
        <f>RSD_Commodities!$M$34&amp;"_"&amp;RIGHT(P104,LEN(P104)-3)&amp;"_"&amp;SETUP!$B$67</f>
        <v>SH_Det-F_BIOWOO_X0</v>
      </c>
      <c r="O104" s="933" t="str">
        <f>RSD_Commodities!$N$34&amp;"_"&amp;RSD_Commodities!D19&amp;"_"&amp;SETUP!$C$67</f>
        <v>Residential Space Heating Detached-F_Biomass &amp; Renewable Waste to Residential_Existing 00</v>
      </c>
      <c r="P104" s="934" t="str">
        <f>RSD_Commodities!$C$19</f>
        <v>RSDBIOWOO</v>
      </c>
      <c r="Q104" s="935" t="str">
        <f>RSD_Commodities!$M$34</f>
        <v>SH_Det-F</v>
      </c>
      <c r="R104" s="1001">
        <f t="shared" si="55"/>
        <v>9.1698841698841698E-4</v>
      </c>
      <c r="S104" s="937">
        <f>R104*DwellingStocks!$I$69/1000</f>
        <v>7.3454585365452345E-3</v>
      </c>
      <c r="T104" s="933">
        <v>1</v>
      </c>
      <c r="U104" s="933">
        <f t="shared" ref="U104" si="61">I104/100</f>
        <v>0.70333333333333325</v>
      </c>
      <c r="V104" s="935">
        <v>20</v>
      </c>
      <c r="W104" s="935">
        <v>1</v>
      </c>
      <c r="X104" s="840"/>
      <c r="Y104" s="926">
        <f t="shared" ref="Y104" si="62">ABS((D104+F104)*S104*1000*$B$2)</f>
        <v>1.6774240048134217E-6</v>
      </c>
      <c r="Z104" s="927">
        <f t="shared" ref="Z104" si="63">ABS((C104+E104)*S104*1000*$B$2)</f>
        <v>1.8605553421742654E-6</v>
      </c>
      <c r="AA104" s="840"/>
      <c r="AB104" s="933" t="s">
        <v>393</v>
      </c>
      <c r="AC104" s="933" t="str">
        <f t="shared" si="59"/>
        <v>SH_Det-F_BIOWOO_X0</v>
      </c>
      <c r="AD104" s="933" t="str">
        <f t="shared" si="60"/>
        <v>Residential Space Heating Detached-F_Biomass &amp; Renewable Waste to Residential_Existing 00</v>
      </c>
      <c r="AE104" s="933" t="s">
        <v>53</v>
      </c>
      <c r="AF104" s="933" t="s">
        <v>406</v>
      </c>
      <c r="AG104" s="933"/>
      <c r="AH104" s="933"/>
      <c r="AI104" s="840"/>
      <c r="AJ104" s="840"/>
      <c r="AK104" s="840"/>
      <c r="AL104" s="840"/>
      <c r="AM104" s="840"/>
      <c r="AN104" s="840"/>
    </row>
    <row r="105" spans="1:40">
      <c r="A105" s="758" t="s">
        <v>122</v>
      </c>
      <c r="B105" s="758" t="s">
        <v>587</v>
      </c>
      <c r="C105" s="758">
        <f>SUMIFS(INDEX(Table915[],,MATCH(C$6,Table915[#Headers],0)),Table915[MainSpaceHeatingFuel],$B105,Table915[EnergyRating (group)],$A105)</f>
        <v>0</v>
      </c>
      <c r="D105" s="758">
        <f>SUMIFS(INDEX(Table915[],,MATCH(D$6,Table915[#Headers],0)),Table915[MainSpaceHeatingFuel],$B105,Table915[EnergyRating (group)],$A105)</f>
        <v>0</v>
      </c>
      <c r="E105" s="759">
        <f>SUMIFS(INDEX(Table915[],,MATCH(E$6,Table915[#Headers],0)),Table915[MainSpaceHeatingFuel],$B105,Table915[EnergyRating (group)],$A105)</f>
        <v>0</v>
      </c>
      <c r="F105" s="759">
        <f>SUMIFS(INDEX(Table915[],,MATCH(F$6,Table915[#Headers],0)),Table915[MainSpaceHeatingFuel],$B105,Table915[EnergyRating (group)],$A105)</f>
        <v>0</v>
      </c>
      <c r="G105" s="758">
        <f>SUMIFS(INDEX(Table915[],,MATCH(G$6,Table915[#Headers],0)),Table915[MainSpaceHeatingFuel],"",Table915[EnergyRating (group)],$A105)</f>
        <v>29</v>
      </c>
      <c r="H105" s="758">
        <f>SUMIFS(INDEX(Table915[],,MATCH(H$6,Table915[#Headers],0)),Table915[MainSpaceHeatingFuel],"",Table915[EnergyRating (group)],$A105)</f>
        <v>2769</v>
      </c>
      <c r="I105" s="944">
        <f>SUMIFS(INDEX(Table915[],,MATCH(I$6,Table915[#Headers],0)),Table915[MainSpaceHeatingFuel],"",Table915[EnergyRating (group)],$A105)</f>
        <v>0</v>
      </c>
      <c r="J105" s="849">
        <f>SUMIFS(INDEX(Table915[],,MATCH(J$6,Table915[#Headers],0)),Table915[MainSpaceHeatingFuel],"",Table915[EnergyRating (group)],$A105)</f>
        <v>80800</v>
      </c>
      <c r="K105" s="849">
        <f>SUMIFS(INDEX(Table915[],,MATCH(K$6,Table915[#Headers],0)),Table915[MainSpaceHeatingFuel],"",Table915[EnergyRating (group)],$A105)</f>
        <v>29924</v>
      </c>
      <c r="M105" s="840"/>
      <c r="N105" s="914" t="str">
        <f>RSD_Commodities!$M$34&amp;"_"&amp;RIGHT(P105,LEN(P105)-3)&amp;"_"&amp;SETUP!$B$67</f>
        <v>SH_Det-F_HET_X0</v>
      </c>
      <c r="O105" s="914" t="str">
        <f>RSD_Commodities!$N$34&amp;"_"&amp;RSD_Commodities!D28&amp;"_"&amp;SETUP!$C$67</f>
        <v>Residential Space Heating Detached-F_Heat to Residential_Existing 00</v>
      </c>
      <c r="P105" s="915" t="str">
        <f>RSD_Commodities!$C$28</f>
        <v>RSDHET</v>
      </c>
      <c r="Q105" s="930" t="str">
        <f>RSD_Commodities!$M$34</f>
        <v>SH_Det-F</v>
      </c>
      <c r="R105" s="1000">
        <f t="shared" si="55"/>
        <v>1.3996138996138995E-3</v>
      </c>
      <c r="S105" s="932">
        <f>R105*DwellingStocks!$I$69/1000</f>
        <v>1.1211489345253251E-2</v>
      </c>
      <c r="T105" s="914">
        <v>1</v>
      </c>
      <c r="U105" s="917">
        <f>IF(I105=0, 1, I105)</f>
        <v>1</v>
      </c>
      <c r="V105" s="930">
        <v>20</v>
      </c>
      <c r="W105" s="930">
        <v>1</v>
      </c>
      <c r="X105" s="840"/>
      <c r="Y105" s="928">
        <f t="shared" si="56"/>
        <v>0</v>
      </c>
      <c r="Z105" s="929">
        <f t="shared" si="57"/>
        <v>0</v>
      </c>
      <c r="AA105" s="840"/>
      <c r="AB105" s="914" t="s">
        <v>393</v>
      </c>
      <c r="AC105" s="914" t="str">
        <f t="shared" si="59"/>
        <v>SH_Det-F_HET_X0</v>
      </c>
      <c r="AD105" s="914" t="str">
        <f t="shared" si="60"/>
        <v>Residential Space Heating Detached-F_Heat to Residential_Existing 00</v>
      </c>
      <c r="AE105" s="914" t="s">
        <v>53</v>
      </c>
      <c r="AF105" s="914" t="s">
        <v>406</v>
      </c>
      <c r="AG105" s="914"/>
      <c r="AH105" s="914"/>
      <c r="AI105" s="840"/>
      <c r="AJ105" s="840"/>
      <c r="AK105" s="840"/>
      <c r="AL105" s="840"/>
      <c r="AM105" s="840"/>
      <c r="AN105" s="840"/>
    </row>
    <row r="106" spans="1:40">
      <c r="A106" s="757" t="s">
        <v>122</v>
      </c>
      <c r="B106" s="757" t="s">
        <v>664</v>
      </c>
      <c r="C106" s="757">
        <f>SUMIFS(INDEX(Table915[],,MATCH(C$6,Table915[#Headers],0)),Table915[MainSpaceHeatingFuel],$B106,Table915[EnergyRating (group)],$A106)</f>
        <v>425228</v>
      </c>
      <c r="D106" s="757">
        <f>SUMIFS(INDEX(Table915[],,MATCH(D$6,Table915[#Headers],0)),Table915[MainSpaceHeatingFuel],$B106,Table915[EnergyRating (group)],$A106)</f>
        <v>386570</v>
      </c>
      <c r="E106" s="760">
        <f>SUMIFS(INDEX(Table915[],,MATCH(E$6,Table915[#Headers],0)),Table915[MainSpaceHeatingFuel],$B106,Table915[EnergyRating (group)],$A106)</f>
        <v>98434</v>
      </c>
      <c r="F106" s="760">
        <f>SUMIFS(INDEX(Table915[],,MATCH(F$6,Table915[#Headers],0)),Table915[MainSpaceHeatingFuel],$B106,Table915[EnergyRating (group)],$A106)</f>
        <v>76305</v>
      </c>
      <c r="G106" s="757">
        <f>SUMIFS(INDEX(Table915[],,MATCH(G$6,Table915[#Headers],0)),Table915[MainSpaceHeatingFuel],$B106,Table915[EnergyRating (group)],$A106)</f>
        <v>17</v>
      </c>
      <c r="H106" s="757">
        <f>SUMIFS(INDEX(Table915[],,MATCH(H$6,Table915[#Headers],0)),Table915[MainSpaceHeatingFuel],$B106,Table915[EnergyRating (group)],$A106)</f>
        <v>1487</v>
      </c>
      <c r="I106" s="912">
        <f>AVERAGEIFS(INDEX(Table915[],,MATCH(I$6,Table915[#Headers],0)),Table915[MainSpaceHeatingFuel],$B106,Table915[EnergyRating (group)],$A106)</f>
        <v>75.727272727272734</v>
      </c>
      <c r="J106" s="847">
        <f>SUMIFS(INDEX(Table915[],,MATCH(J$6,Table915[#Headers],0)),Table915[MainSpaceHeatingFuel],$B106,Table915[EnergyRating (group)],$A106)</f>
        <v>661143</v>
      </c>
      <c r="K106" s="847">
        <f>SUMIFS(INDEX(Table915[],,MATCH(K$6,Table915[#Headers],0)),Table915[MainSpaceHeatingFuel],$B106,Table915[EnergyRating (group)],$A106)</f>
        <v>545399</v>
      </c>
      <c r="M106" s="840"/>
      <c r="N106" s="935" t="str">
        <f>RSD_Commodities!$M$34&amp;"_"&amp;RIGHT(P106,LEN(P106)-3)&amp;"_"&amp;SETUP!$B$68</f>
        <v>SH_Det-F_OILLPG_X1</v>
      </c>
      <c r="O106" s="935" t="str">
        <f>RSD_Commodities!$N$34&amp;"_"&amp;RSD_Commodities!D11&amp;"_"&amp;SETUP!$C$68</f>
        <v>Residential Space Heating Detached-F_LPG to Residential_Existing 01</v>
      </c>
      <c r="P106" s="935" t="str">
        <f>RSD_Commodities!$C$11</f>
        <v>RSDOILLPG</v>
      </c>
      <c r="Q106" s="935" t="str">
        <f>RSD_Commodities!$M$34</f>
        <v>SH_Det-F</v>
      </c>
      <c r="R106" s="1001">
        <f t="shared" si="55"/>
        <v>8.2046332046332049E-4</v>
      </c>
      <c r="S106" s="937">
        <f>R106*DwellingStocks!$I$69/1000</f>
        <v>6.5722523748036315E-3</v>
      </c>
      <c r="T106" s="933">
        <v>1</v>
      </c>
      <c r="U106" s="933">
        <f t="shared" si="18"/>
        <v>0.75727272727272732</v>
      </c>
      <c r="V106" s="935">
        <v>20</v>
      </c>
      <c r="W106" s="935">
        <v>1</v>
      </c>
      <c r="X106" s="840"/>
      <c r="Y106" s="926">
        <f t="shared" si="56"/>
        <v>1.2501909525974925E-6</v>
      </c>
      <c r="Z106" s="927">
        <f t="shared" si="57"/>
        <v>1.4143721190798984E-6</v>
      </c>
      <c r="AA106" s="840"/>
      <c r="AB106" s="933" t="s">
        <v>393</v>
      </c>
      <c r="AC106" s="933" t="str">
        <f t="shared" si="59"/>
        <v>SH_Det-F_OILLPG_X1</v>
      </c>
      <c r="AD106" s="933" t="str">
        <f t="shared" si="60"/>
        <v>Residential Space Heating Detached-F_LPG to Residential_Existing 01</v>
      </c>
      <c r="AE106" s="933" t="s">
        <v>53</v>
      </c>
      <c r="AF106" s="933" t="s">
        <v>406</v>
      </c>
      <c r="AG106" s="933"/>
      <c r="AH106" s="933"/>
      <c r="AI106" s="840"/>
      <c r="AJ106" s="840"/>
      <c r="AK106" s="840"/>
      <c r="AL106" s="840"/>
      <c r="AM106" s="840"/>
      <c r="AN106" s="840"/>
    </row>
    <row r="107" spans="1:40">
      <c r="A107" s="758" t="s">
        <v>122</v>
      </c>
      <c r="B107" s="758" t="s">
        <v>665</v>
      </c>
      <c r="C107" s="758">
        <f>SUMIFS(INDEX(Table915[],,MATCH(C$6,Table915[#Headers],0)),Table915[MainSpaceHeatingFuel],$B107,Table915[EnergyRating (group)],$A107)</f>
        <v>44994189</v>
      </c>
      <c r="D107" s="758">
        <f>SUMIFS(INDEX(Table915[],,MATCH(D$6,Table915[#Headers],0)),Table915[MainSpaceHeatingFuel],$B107,Table915[EnergyRating (group)],$A107)</f>
        <v>40903809</v>
      </c>
      <c r="E107" s="759">
        <f>SUMIFS(INDEX(Table915[],,MATCH(E$6,Table915[#Headers],0)),Table915[MainSpaceHeatingFuel],$B107,Table915[EnergyRating (group)],$A107)</f>
        <v>5395447</v>
      </c>
      <c r="F107" s="759">
        <f>SUMIFS(INDEX(Table915[],,MATCH(F$6,Table915[#Headers],0)),Table915[MainSpaceHeatingFuel],$B107,Table915[EnergyRating (group)],$A107)</f>
        <v>4350776</v>
      </c>
      <c r="G107" s="758">
        <f>SUMIFS(INDEX(Table915[],,MATCH(G$6,Table915[#Headers],0)),Table915[MainSpaceHeatingFuel],$B107,Table915[EnergyRating (group)],$A107)</f>
        <v>2614</v>
      </c>
      <c r="H107" s="758">
        <f>SUMIFS(INDEX(Table915[],,MATCH(H$6,Table915[#Headers],0)),Table915[MainSpaceHeatingFuel],$B107,Table915[EnergyRating (group)],$A107)</f>
        <v>182016</v>
      </c>
      <c r="I107" s="911">
        <f>AVERAGEIFS(INDEX(Table915[],,MATCH(I$6,Table915[#Headers],0)),Table915[MainSpaceHeatingFuel],$B107,Table915[EnergyRating (group)],$A107)</f>
        <v>52.291666666666664</v>
      </c>
      <c r="J107" s="849">
        <f>SUMIFS(INDEX(Table915[],,MATCH(J$6,Table915[#Headers],0)),Table915[MainSpaceHeatingFuel],$B107,Table915[EnergyRating (group)],$A107)</f>
        <v>75017164</v>
      </c>
      <c r="K107" s="849">
        <f>SUMIFS(INDEX(Table915[],,MATCH(K$6,Table915[#Headers],0)),Table915[MainSpaceHeatingFuel],$B107,Table915[EnergyRating (group)],$A107)</f>
        <v>62123183</v>
      </c>
      <c r="M107" s="840"/>
      <c r="N107" s="914" t="str">
        <f>RSD_Commodities!$M$34&amp;"_"&amp;RSD_Commodities!$C$26&amp;"_"&amp;SETUP!$B$67</f>
        <v>SH_Det-F_RSDSMF_X0</v>
      </c>
      <c r="O107" s="914" t="str">
        <f>RSD_Commodities!$N$34&amp;"_"&amp;RSD_Commodities!$D$26&amp;"_"&amp;SETUP!$C$67</f>
        <v>Residential Space Heating Detached-F_Solid Multi-Fuel_Existing 00</v>
      </c>
      <c r="P107" s="930" t="str">
        <f>RSD_Commodities!$C$6&amp;","&amp;RSD_Commodities!$C$7&amp;","&amp;RSD_Commodities!$C$9&amp;","&amp;RSD_Commodities!$C$10&amp;","&amp;RSD_Commodities!$C$19</f>
        <v>RSDCOABIT,RSDCOAHAR,RSDCOALIG,RSDPEA,RSDBIOWOO</v>
      </c>
      <c r="Q107" s="930" t="str">
        <f>RSD_Commodities!$M$34</f>
        <v>SH_Det-F</v>
      </c>
      <c r="R107" s="1000">
        <f t="shared" si="55"/>
        <v>0.12615830115830115</v>
      </c>
      <c r="S107" s="932">
        <f>R107*DwellingStocks!$I$69/1000</f>
        <v>1.0105804533962759</v>
      </c>
      <c r="T107" s="914">
        <v>1</v>
      </c>
      <c r="U107" s="914">
        <f t="shared" si="18"/>
        <v>0.5229166666666667</v>
      </c>
      <c r="V107" s="930">
        <v>20</v>
      </c>
      <c r="W107" s="930">
        <v>1</v>
      </c>
      <c r="X107" s="840"/>
      <c r="Y107" s="928">
        <f t="shared" si="56"/>
        <v>1.8794547545572735E-2</v>
      </c>
      <c r="Z107" s="929">
        <f t="shared" si="57"/>
        <v>2.0927170354254787E-2</v>
      </c>
      <c r="AA107" s="840"/>
      <c r="AB107" s="914" t="s">
        <v>393</v>
      </c>
      <c r="AC107" s="914" t="str">
        <f t="shared" si="59"/>
        <v>SH_Det-F_RSDSMF_X0</v>
      </c>
      <c r="AD107" s="914" t="str">
        <f t="shared" si="60"/>
        <v>Residential Space Heating Detached-F_Solid Multi-Fuel_Existing 00</v>
      </c>
      <c r="AE107" s="914" t="s">
        <v>53</v>
      </c>
      <c r="AF107" s="914" t="s">
        <v>406</v>
      </c>
      <c r="AG107" s="914"/>
      <c r="AH107" s="914"/>
      <c r="AI107" s="840"/>
      <c r="AJ107" s="840"/>
      <c r="AK107" s="840"/>
      <c r="AL107" s="840"/>
      <c r="AM107" s="840"/>
      <c r="AN107" s="840"/>
    </row>
    <row r="108" spans="1:40">
      <c r="A108" s="757" t="s">
        <v>122</v>
      </c>
      <c r="B108" s="757" t="s">
        <v>669</v>
      </c>
      <c r="C108" s="757">
        <f>SUMIFS(INDEX(Table915[],,MATCH(C$6,Table915[#Headers],0)),Table915[MainSpaceHeatingFuel],$B108,Table915[EnergyRating (group)],$A108)</f>
        <v>15595359</v>
      </c>
      <c r="D108" s="757">
        <f>SUMIFS(INDEX(Table915[],,MATCH(D$6,Table915[#Headers],0)),Table915[MainSpaceHeatingFuel],$B108,Table915[EnergyRating (group)],$A108)</f>
        <v>12996126</v>
      </c>
      <c r="E108" s="757">
        <f>SUMIFS(INDEX(Table915[],,MATCH(E$6,Table915[#Headers],0)),Table915[MainSpaceHeatingFuel],$B108,Table915[EnergyRating (group)],$A108)</f>
        <v>1984866</v>
      </c>
      <c r="F108" s="757">
        <f>SUMIFS(INDEX(Table915[],,MATCH(F$6,Table915[#Headers],0)),Table915[MainSpaceHeatingFuel],$B108,Table915[EnergyRating (group)],$A108)</f>
        <v>1520113</v>
      </c>
      <c r="G108" s="757">
        <f>SUMIFS(INDEX(Table915[],,MATCH(G$6,Table915[#Headers],0)),Table915[MainSpaceHeatingFuel],$B108,Table915[EnergyRating (group)],$A108)</f>
        <v>823</v>
      </c>
      <c r="H108" s="757">
        <f>SUMIFS(INDEX(Table915[],,MATCH(H$6,Table915[#Headers],0)),Table915[MainSpaceHeatingFuel],$B108,Table915[EnergyRating (group)],$A108)</f>
        <v>63279</v>
      </c>
      <c r="I108" s="912">
        <f>AVERAGEIFS(INDEX(Table915[],,MATCH(I$6,Table915[#Headers],0)),Table915[MainSpaceHeatingFuel],$B108,Table915[EnergyRating (group)],$A108)</f>
        <v>52.868421052631582</v>
      </c>
      <c r="J108" s="847">
        <f>SUMIFS(INDEX(Table915[],,MATCH(J$6,Table915[#Headers],0)),Table915[MainSpaceHeatingFuel],$B108,Table915[EnergyRating (group)],$A108)</f>
        <v>25939082</v>
      </c>
      <c r="K108" s="847">
        <f>SUMIFS(INDEX(Table915[],,MATCH(K$6,Table915[#Headers],0)),Table915[MainSpaceHeatingFuel],$B108,Table915[EnergyRating (group)],$A108)</f>
        <v>19901932</v>
      </c>
      <c r="M108" s="840"/>
      <c r="N108" s="933" t="str">
        <f>RSD_Commodities!$M$34&amp;"_"&amp;RIGHT(P108,LEN(P108)-3)&amp;"_"&amp;SETUP!$B$67</f>
        <v>SH_Det-F_COAHAR_X0</v>
      </c>
      <c r="O108" s="933" t="str">
        <f>RSD_Commodities!$N$34&amp;"_"&amp;RSD_Commodities!D7&amp;"_"&amp;SETUP!$C$67</f>
        <v>Residential Space Heating Detached-F_Anthracite + Manufactured Ovoids to Residential_Existing 00</v>
      </c>
      <c r="P108" s="935" t="str">
        <f>RSD_Commodities!$C$7</f>
        <v>RSDCOAHAR</v>
      </c>
      <c r="Q108" s="935" t="str">
        <f>RSD_Commodities!$M$34</f>
        <v>SH_Det-F</v>
      </c>
      <c r="R108" s="1001">
        <f t="shared" si="55"/>
        <v>3.972007722007722E-2</v>
      </c>
      <c r="S108" s="937">
        <f>R108*DwellingStocks!$I$69/1000</f>
        <v>0.31817433555666991</v>
      </c>
      <c r="T108" s="933">
        <v>1</v>
      </c>
      <c r="U108" s="933">
        <f t="shared" si="18"/>
        <v>0.52868421052631587</v>
      </c>
      <c r="V108" s="935">
        <v>20</v>
      </c>
      <c r="W108" s="935">
        <v>1</v>
      </c>
      <c r="X108" s="840"/>
      <c r="Y108" s="926">
        <f t="shared" si="56"/>
        <v>1.8980937117562269E-3</v>
      </c>
      <c r="Z108" s="927">
        <f t="shared" si="57"/>
        <v>2.298730030813051E-3</v>
      </c>
      <c r="AA108" s="840"/>
      <c r="AB108" s="933" t="s">
        <v>393</v>
      </c>
      <c r="AC108" s="933" t="str">
        <f t="shared" si="59"/>
        <v>SH_Det-F_COAHAR_X0</v>
      </c>
      <c r="AD108" s="933" t="str">
        <f t="shared" si="60"/>
        <v>Residential Space Heating Detached-F_Anthracite + Manufactured Ovoids to Residential_Existing 00</v>
      </c>
      <c r="AE108" s="933" t="s">
        <v>53</v>
      </c>
      <c r="AF108" s="933" t="s">
        <v>406</v>
      </c>
      <c r="AG108" s="933"/>
      <c r="AH108" s="933"/>
      <c r="AI108" s="840"/>
      <c r="AJ108" s="840"/>
      <c r="AK108" s="840"/>
      <c r="AL108" s="840"/>
      <c r="AM108" s="840"/>
      <c r="AN108" s="840"/>
    </row>
    <row r="109" spans="1:40">
      <c r="A109" s="758" t="s">
        <v>122</v>
      </c>
      <c r="B109" s="758" t="s">
        <v>666</v>
      </c>
      <c r="C109" s="758">
        <f>SUMIFS(INDEX(Table915[],,MATCH(C$6,Table915[#Headers],0)),Table915[MainSpaceHeatingFuel],$B109,Table915[EnergyRating (group)],$A109)</f>
        <v>7328347</v>
      </c>
      <c r="D109" s="758">
        <f>SUMIFS(INDEX(Table915[],,MATCH(D$6,Table915[#Headers],0)),Table915[MainSpaceHeatingFuel],$B109,Table915[EnergyRating (group)],$A109)</f>
        <v>6662130</v>
      </c>
      <c r="E109" s="759">
        <f>SUMIFS(INDEX(Table915[],,MATCH(E$6,Table915[#Headers],0)),Table915[MainSpaceHeatingFuel],$B109,Table915[EnergyRating (group)],$A109)</f>
        <v>991074</v>
      </c>
      <c r="F109" s="759">
        <f>SUMIFS(INDEX(Table915[],,MATCH(F$6,Table915[#Headers],0)),Table915[MainSpaceHeatingFuel],$B109,Table915[EnergyRating (group)],$A109)</f>
        <v>802100</v>
      </c>
      <c r="G109" s="758">
        <f>SUMIFS(INDEX(Table915[],,MATCH(G$6,Table915[#Headers],0)),Table915[MainSpaceHeatingFuel],$B109,Table915[EnergyRating (group)],$A109)</f>
        <v>423</v>
      </c>
      <c r="H109" s="758">
        <f>SUMIFS(INDEX(Table915[],,MATCH(H$6,Table915[#Headers],0)),Table915[MainSpaceHeatingFuel],$B109,Table915[EnergyRating (group)],$A109)</f>
        <v>30313</v>
      </c>
      <c r="I109" s="911">
        <f>AVERAGEIFS(INDEX(Table915[],,MATCH(I$6,Table915[#Headers],0)),Table915[MainSpaceHeatingFuel],$B109,Table915[EnergyRating (group)],$A109)</f>
        <v>54.5</v>
      </c>
      <c r="J109" s="849">
        <f>SUMIFS(INDEX(Table915[],,MATCH(J$6,Table915[#Headers],0)),Table915[MainSpaceHeatingFuel],$B109,Table915[EnergyRating (group)],$A109)</f>
        <v>12432686</v>
      </c>
      <c r="K109" s="849">
        <f>SUMIFS(INDEX(Table915[],,MATCH(K$6,Table915[#Headers],0)),Table915[MainSpaceHeatingFuel],$B109,Table915[EnergyRating (group)],$A109)</f>
        <v>10278984</v>
      </c>
      <c r="M109" s="840"/>
      <c r="N109" s="914" t="str">
        <f>RSD_Commodities!$M$34&amp;"_"&amp;RIGHT(P109,LEN(P109)-3)&amp;"_"&amp;SETUP!$B$67</f>
        <v>SH_Det-F_COABIT_X0</v>
      </c>
      <c r="O109" s="914" t="str">
        <f>RSD_Commodities!$N$34&amp;"_"&amp;RSD_Commodities!D6&amp;"_"&amp;SETUP!$C$67</f>
        <v>Residential Space Heating Detached-F_Bituminous Coal to Residential_Existing 00</v>
      </c>
      <c r="P109" s="930" t="str">
        <f>RSD_Commodities!$C$6</f>
        <v>RSDCOABIT</v>
      </c>
      <c r="Q109" s="930" t="str">
        <f>RSD_Commodities!$M$34</f>
        <v>SH_Det-F</v>
      </c>
      <c r="R109" s="1000">
        <f t="shared" si="55"/>
        <v>2.0415057915057915E-2</v>
      </c>
      <c r="S109" s="932">
        <f>R109*DwellingStocks!$I$69/1000</f>
        <v>0.16353310320834918</v>
      </c>
      <c r="T109" s="914">
        <v>1</v>
      </c>
      <c r="U109" s="914">
        <f t="shared" ref="U109:U114" si="64">I109/100</f>
        <v>0.54500000000000004</v>
      </c>
      <c r="V109" s="930">
        <v>20</v>
      </c>
      <c r="W109" s="930">
        <v>1</v>
      </c>
      <c r="X109" s="840"/>
      <c r="Y109" s="928">
        <f t="shared" ref="Y109:Y114" si="65">ABS((D109+F109)*S109*1000*$B$2)</f>
        <v>5.016364499839137E-4</v>
      </c>
      <c r="Z109" s="929">
        <f t="shared" ref="Z109:Z114" si="66">ABS((C109+E109)*S109*1000*$B$2)</f>
        <v>5.5910989028494843E-4</v>
      </c>
      <c r="AA109" s="840"/>
      <c r="AB109" s="914" t="s">
        <v>393</v>
      </c>
      <c r="AC109" s="914" t="str">
        <f t="shared" si="59"/>
        <v>SH_Det-F_COABIT_X0</v>
      </c>
      <c r="AD109" s="914" t="str">
        <f t="shared" si="60"/>
        <v>Residential Space Heating Detached-F_Bituminous Coal to Residential_Existing 00</v>
      </c>
      <c r="AE109" s="914" t="s">
        <v>53</v>
      </c>
      <c r="AF109" s="914" t="s">
        <v>406</v>
      </c>
      <c r="AG109" s="914"/>
      <c r="AH109" s="914"/>
      <c r="AI109" s="840"/>
      <c r="AJ109" s="840"/>
      <c r="AK109" s="840"/>
      <c r="AL109" s="840"/>
      <c r="AM109" s="840"/>
      <c r="AN109" s="840"/>
    </row>
    <row r="110" spans="1:40">
      <c r="A110" s="757" t="s">
        <v>122</v>
      </c>
      <c r="B110" s="757" t="s">
        <v>667</v>
      </c>
      <c r="C110" s="757">
        <f>SUMIFS(INDEX(Table915[],,MATCH(C$6,Table915[#Headers],0)),Table915[MainSpaceHeatingFuel],$B110,Table915[EnergyRating (group)],$A110)</f>
        <v>306298</v>
      </c>
      <c r="D110" s="757">
        <f>SUMIFS(INDEX(Table915[],,MATCH(D$6,Table915[#Headers],0)),Table915[MainSpaceHeatingFuel],$B110,Table915[EnergyRating (group)],$A110)</f>
        <v>278453</v>
      </c>
      <c r="E110" s="760">
        <f>SUMIFS(INDEX(Table915[],,MATCH(E$6,Table915[#Headers],0)),Table915[MainSpaceHeatingFuel],$B110,Table915[EnergyRating (group)],$A110)</f>
        <v>45977</v>
      </c>
      <c r="F110" s="760">
        <f>SUMIFS(INDEX(Table915[],,MATCH(F$6,Table915[#Headers],0)),Table915[MainSpaceHeatingFuel],$B110,Table915[EnergyRating (group)],$A110)</f>
        <v>38923</v>
      </c>
      <c r="G110" s="757">
        <f>SUMIFS(INDEX(Table915[],,MATCH(G$6,Table915[#Headers],0)),Table915[MainSpaceHeatingFuel],$B110,Table915[EnergyRating (group)],$A110)</f>
        <v>17</v>
      </c>
      <c r="H110" s="757">
        <f>SUMIFS(INDEX(Table915[],,MATCH(H$6,Table915[#Headers],0)),Table915[MainSpaceHeatingFuel],$B110,Table915[EnergyRating (group)],$A110)</f>
        <v>1298</v>
      </c>
      <c r="I110" s="912">
        <f>AVERAGEIFS(INDEX(Table915[],,MATCH(I$6,Table915[#Headers],0)),Table915[MainSpaceHeatingFuel],$B110,Table915[EnergyRating (group)],$A110)</f>
        <v>50.666666666666664</v>
      </c>
      <c r="J110" s="847">
        <f>SUMIFS(INDEX(Table915[],,MATCH(J$6,Table915[#Headers],0)),Table915[MainSpaceHeatingFuel],$B110,Table915[EnergyRating (group)],$A110)</f>
        <v>537111</v>
      </c>
      <c r="K110" s="847">
        <f>SUMIFS(INDEX(Table915[],,MATCH(K$6,Table915[#Headers],0)),Table915[MainSpaceHeatingFuel],$B110,Table915[EnergyRating (group)],$A110)</f>
        <v>442464</v>
      </c>
      <c r="M110" s="840"/>
      <c r="N110" s="840" t="str">
        <f>RSD_Commodities!$M$34&amp;"_"&amp;RIGHT(P110,LEN(P110)-3)&amp;"_"&amp;SETUP!$B$68</f>
        <v>SH_Det-F_PEA_X1</v>
      </c>
      <c r="O110" s="840" t="str">
        <f>RSD_Commodities!$N$34&amp;"_"&amp;RSD_Commodities!D10&amp;"_"&amp;SETUP!$C$68</f>
        <v>Residential Space Heating Detached-F_Peat to Residential_Existing 01</v>
      </c>
      <c r="P110" s="935" t="str">
        <f>RSD_Commodities!$C$10</f>
        <v>RSDPEA</v>
      </c>
      <c r="Q110" s="935" t="str">
        <f>RSD_Commodities!$M$34</f>
        <v>SH_Det-F</v>
      </c>
      <c r="R110" s="1001">
        <f t="shared" si="55"/>
        <v>8.2046332046332049E-4</v>
      </c>
      <c r="S110" s="937">
        <f>R110*DwellingStocks!$I$69/1000</f>
        <v>6.5722523748036315E-3</v>
      </c>
      <c r="T110" s="933">
        <v>1</v>
      </c>
      <c r="U110" s="933">
        <f t="shared" si="64"/>
        <v>0.5066666666666666</v>
      </c>
      <c r="V110" s="935">
        <v>20</v>
      </c>
      <c r="W110" s="935">
        <v>1</v>
      </c>
      <c r="X110" s="840"/>
      <c r="Y110" s="926">
        <f t="shared" si="65"/>
        <v>8.5720897385164839E-7</v>
      </c>
      <c r="Z110" s="927">
        <f t="shared" si="66"/>
        <v>9.5146857753449977E-7</v>
      </c>
      <c r="AA110" s="840"/>
      <c r="AB110" s="933" t="s">
        <v>393</v>
      </c>
      <c r="AC110" s="933" t="str">
        <f t="shared" si="59"/>
        <v>SH_Det-F_PEA_X1</v>
      </c>
      <c r="AD110" s="933" t="str">
        <f t="shared" si="60"/>
        <v>Residential Space Heating Detached-F_Peat to Residential_Existing 01</v>
      </c>
      <c r="AE110" s="933" t="s">
        <v>53</v>
      </c>
      <c r="AF110" s="933" t="s">
        <v>406</v>
      </c>
      <c r="AG110" s="933"/>
      <c r="AH110" s="933"/>
      <c r="AI110" s="840"/>
      <c r="AJ110" s="840"/>
      <c r="AK110" s="840"/>
      <c r="AL110" s="840"/>
      <c r="AM110" s="840"/>
      <c r="AN110" s="840"/>
    </row>
    <row r="111" spans="1:40">
      <c r="A111" s="758" t="s">
        <v>122</v>
      </c>
      <c r="B111" s="758" t="s">
        <v>671</v>
      </c>
      <c r="C111" s="758">
        <f>SUMIFS(INDEX(Table915[],,MATCH(C$6,Table915[#Headers],0)),Table915[MainSpaceHeatingFuel],$B111,Table915[EnergyRating (group)],$A111)</f>
        <v>1824276</v>
      </c>
      <c r="D111" s="758">
        <f>SUMIFS(INDEX(Table915[],,MATCH(D$6,Table915[#Headers],0)),Table915[MainSpaceHeatingFuel],$B111,Table915[EnergyRating (group)],$A111)</f>
        <v>1658433</v>
      </c>
      <c r="E111" s="759">
        <f>SUMIFS(INDEX(Table915[],,MATCH(E$6,Table915[#Headers],0)),Table915[MainSpaceHeatingFuel],$B111,Table915[EnergyRating (group)],$A111)</f>
        <v>266865</v>
      </c>
      <c r="F111" s="759">
        <f>SUMIFS(INDEX(Table915[],,MATCH(F$6,Table915[#Headers],0)),Table915[MainSpaceHeatingFuel],$B111,Table915[EnergyRating (group)],$A111)</f>
        <v>234116</v>
      </c>
      <c r="G111" s="758">
        <f>SUMIFS(INDEX(Table915[],,MATCH(G$6,Table915[#Headers],0)),Table915[MainSpaceHeatingFuel],$B111,Table915[EnergyRating (group)],$A111)</f>
        <v>90</v>
      </c>
      <c r="H111" s="758">
        <f>SUMIFS(INDEX(Table915[],,MATCH(H$6,Table915[#Headers],0)),Table915[MainSpaceHeatingFuel],$B111,Table915[EnergyRating (group)],$A111)</f>
        <v>7229</v>
      </c>
      <c r="I111" s="911">
        <f>AVERAGEIFS(INDEX(Table915[],,MATCH(I$6,Table915[#Headers],0)),Table915[MainSpaceHeatingFuel],$B111,Table915[EnergyRating (group)],$A111)</f>
        <v>46.529411764705884</v>
      </c>
      <c r="J111" s="849">
        <f>SUMIFS(INDEX(Table915[],,MATCH(J$6,Table915[#Headers],0)),Table915[MainSpaceHeatingFuel],$B111,Table915[EnergyRating (group)],$A111)</f>
        <v>3001822</v>
      </c>
      <c r="K111" s="849">
        <f>SUMIFS(INDEX(Table915[],,MATCH(K$6,Table915[#Headers],0)),Table915[MainSpaceHeatingFuel],$B111,Table915[EnergyRating (group)],$A111)</f>
        <v>2534997</v>
      </c>
      <c r="M111" s="840"/>
      <c r="N111" s="914" t="str">
        <f>RSD_Commodities!$M$34&amp;"_"&amp;RIGHT(P111,LEN(P111)-3)&amp;"_"&amp;SETUP!$B$67</f>
        <v>SH_Det-F_PEA_X0</v>
      </c>
      <c r="O111" s="914" t="str">
        <f>RSD_Commodities!$N$34&amp;"_"&amp;RSD_Commodities!D10&amp;"_"&amp;SETUP!$C$67</f>
        <v>Residential Space Heating Detached-F_Peat to Residential_Existing 00</v>
      </c>
      <c r="P111" s="930" t="str">
        <f>RSD_Commodities!$C$10</f>
        <v>RSDPEA</v>
      </c>
      <c r="Q111" s="930" t="str">
        <f>RSD_Commodities!$M$34</f>
        <v>SH_Det-F</v>
      </c>
      <c r="R111" s="1000">
        <f t="shared" si="55"/>
        <v>4.3436293436293436E-3</v>
      </c>
      <c r="S111" s="932">
        <f>R111*DwellingStocks!$I$69/1000</f>
        <v>3.4794277278372164E-2</v>
      </c>
      <c r="T111" s="914">
        <v>1</v>
      </c>
      <c r="U111" s="914">
        <f t="shared" si="64"/>
        <v>0.46529411764705886</v>
      </c>
      <c r="V111" s="930">
        <v>20</v>
      </c>
      <c r="W111" s="930">
        <v>1</v>
      </c>
      <c r="X111" s="840"/>
      <c r="Y111" s="928">
        <f t="shared" si="65"/>
        <v>2.7061592329687388E-5</v>
      </c>
      <c r="Z111" s="929">
        <f t="shared" si="66"/>
        <v>2.9901262924180461E-5</v>
      </c>
      <c r="AA111" s="840"/>
      <c r="AB111" s="914" t="s">
        <v>393</v>
      </c>
      <c r="AC111" s="914" t="str">
        <f t="shared" si="59"/>
        <v>SH_Det-F_PEA_X0</v>
      </c>
      <c r="AD111" s="914" t="str">
        <f t="shared" si="60"/>
        <v>Residential Space Heating Detached-F_Peat to Residential_Existing 00</v>
      </c>
      <c r="AE111" s="914" t="s">
        <v>53</v>
      </c>
      <c r="AF111" s="914" t="s">
        <v>406</v>
      </c>
      <c r="AG111" s="914"/>
      <c r="AH111" s="914"/>
      <c r="AI111" s="840"/>
      <c r="AJ111" s="840"/>
      <c r="AK111" s="840"/>
      <c r="AL111" s="840"/>
      <c r="AM111" s="840"/>
      <c r="AN111" s="840"/>
    </row>
    <row r="112" spans="1:40">
      <c r="A112" s="757" t="s">
        <v>122</v>
      </c>
      <c r="B112" s="757" t="s">
        <v>668</v>
      </c>
      <c r="C112" s="757">
        <f>SUMIFS(INDEX(Table915[],,MATCH(C$6,Table915[#Headers],0)),Table915[MainSpaceHeatingFuel],$B112,Table915[EnergyRating (group)],$A112)</f>
        <v>27473</v>
      </c>
      <c r="D112" s="757">
        <f>SUMIFS(INDEX(Table915[],,MATCH(D$6,Table915[#Headers],0)),Table915[MainSpaceHeatingFuel],$B112,Table915[EnergyRating (group)],$A112)</f>
        <v>24976</v>
      </c>
      <c r="E112" s="757">
        <f>SUMIFS(INDEX(Table915[],,MATCH(E$6,Table915[#Headers],0)),Table915[MainSpaceHeatingFuel],$B112,Table915[EnergyRating (group)],$A112)</f>
        <v>0</v>
      </c>
      <c r="F112" s="757">
        <f>SUMIFS(INDEX(Table915[],,MATCH(F$6,Table915[#Headers],0)),Table915[MainSpaceHeatingFuel],$B112,Table915[EnergyRating (group)],$A112)</f>
        <v>0</v>
      </c>
      <c r="G112" s="757">
        <f>SUMIFS(INDEX(Table915[],,MATCH(G$6,Table915[#Headers],0)),Table915[MainSpaceHeatingFuel],$B112,Table915[EnergyRating (group)],$A112)</f>
        <v>1</v>
      </c>
      <c r="H112" s="757">
        <f>SUMIFS(INDEX(Table915[],,MATCH(H$6,Table915[#Headers],0)),Table915[MainSpaceHeatingFuel],$B112,Table915[EnergyRating (group)],$A112)</f>
        <v>85</v>
      </c>
      <c r="I112" s="912">
        <f>AVERAGEIFS(INDEX(Table915[],,MATCH(I$6,Table915[#Headers],0)),Table915[MainSpaceHeatingFuel],$B112,Table915[EnergyRating (group)],$A112)</f>
        <v>65</v>
      </c>
      <c r="J112" s="847">
        <f>SUMIFS(INDEX(Table915[],,MATCH(J$6,Table915[#Headers],0)),Table915[MainSpaceHeatingFuel],$B112,Table915[EnergyRating (group)],$A112)</f>
        <v>35159</v>
      </c>
      <c r="K112" s="847">
        <f>SUMIFS(INDEX(Table915[],,MATCH(K$6,Table915[#Headers],0)),Table915[MainSpaceHeatingFuel],$B112,Table915[EnergyRating (group)],$A112)</f>
        <v>29790</v>
      </c>
      <c r="M112" s="840"/>
      <c r="N112" s="933" t="str">
        <f>RSD_Commodities!$M$34&amp;"_"&amp;RIGHT(P112,LEN(P112)-3)&amp;"_"&amp;SETUP!$B$69</f>
        <v>SH_Det-F_BIOWOO_X2</v>
      </c>
      <c r="O112" s="933" t="str">
        <f>RSD_Commodities!$N$34&amp;"_"&amp;RSD_Commodities!D19&amp;"_"&amp;SETUP!$C$69</f>
        <v>Residential Space Heating Detached-F_Biomass &amp; Renewable Waste to Residential_Existing 02</v>
      </c>
      <c r="P112" s="935" t="str">
        <f>RSD_Commodities!$C$19</f>
        <v>RSDBIOWOO</v>
      </c>
      <c r="Q112" s="935" t="str">
        <f>RSD_Commodities!$M$34</f>
        <v>SH_Det-F</v>
      </c>
      <c r="R112" s="1001">
        <f t="shared" si="55"/>
        <v>4.8262548262548262E-5</v>
      </c>
      <c r="S112" s="937">
        <f>R112*DwellingStocks!$I$69/1000</f>
        <v>3.8660308087080187E-4</v>
      </c>
      <c r="T112" s="933">
        <v>1</v>
      </c>
      <c r="U112" s="933">
        <f t="shared" si="64"/>
        <v>0.65</v>
      </c>
      <c r="V112" s="935">
        <v>20</v>
      </c>
      <c r="W112" s="935">
        <v>1</v>
      </c>
      <c r="X112" s="840"/>
      <c r="Y112" s="926">
        <f t="shared" si="65"/>
        <v>3.9681363895188284E-9</v>
      </c>
      <c r="Z112" s="927">
        <f t="shared" si="66"/>
        <v>4.3648547016836481E-9</v>
      </c>
      <c r="AA112" s="840"/>
      <c r="AB112" s="933" t="s">
        <v>393</v>
      </c>
      <c r="AC112" s="933" t="str">
        <f t="shared" si="59"/>
        <v>SH_Det-F_BIOWOO_X2</v>
      </c>
      <c r="AD112" s="933" t="str">
        <f t="shared" si="60"/>
        <v>Residential Space Heating Detached-F_Biomass &amp; Renewable Waste to Residential_Existing 02</v>
      </c>
      <c r="AE112" s="933" t="s">
        <v>53</v>
      </c>
      <c r="AF112" s="933" t="s">
        <v>406</v>
      </c>
      <c r="AG112" s="933"/>
      <c r="AH112" s="933"/>
      <c r="AI112" s="840"/>
      <c r="AJ112" s="840"/>
      <c r="AK112" s="840"/>
      <c r="AL112" s="840"/>
      <c r="AM112" s="840"/>
      <c r="AN112" s="840"/>
    </row>
    <row r="113" spans="1:40">
      <c r="A113" s="758" t="s">
        <v>122</v>
      </c>
      <c r="B113" s="758" t="s">
        <v>673</v>
      </c>
      <c r="C113" s="758">
        <f>SUMIFS(INDEX(Table915[],,MATCH(C$6,Table915[#Headers],0)),Table915[MainSpaceHeatingFuel],$B113,Table915[EnergyRating (group)],$A113)</f>
        <v>295428</v>
      </c>
      <c r="D113" s="758">
        <f>SUMIFS(INDEX(Table915[],,MATCH(D$6,Table915[#Headers],0)),Table915[MainSpaceHeatingFuel],$B113,Table915[EnergyRating (group)],$A113)</f>
        <v>268568</v>
      </c>
      <c r="E113" s="759">
        <f>SUMIFS(INDEX(Table915[],,MATCH(E$6,Table915[#Headers],0)),Table915[MainSpaceHeatingFuel],$B113,Table915[EnergyRating (group)],$A113)</f>
        <v>37117</v>
      </c>
      <c r="F113" s="759">
        <f>SUMIFS(INDEX(Table915[],,MATCH(F$6,Table915[#Headers],0)),Table915[MainSpaceHeatingFuel],$B113,Table915[EnergyRating (group)],$A113)</f>
        <v>30135</v>
      </c>
      <c r="G113" s="758">
        <f>SUMIFS(INDEX(Table915[],,MATCH(G$6,Table915[#Headers],0)),Table915[MainSpaceHeatingFuel],$B113,Table915[EnergyRating (group)],$A113)</f>
        <v>16</v>
      </c>
      <c r="H113" s="758">
        <f>SUMIFS(INDEX(Table915[],,MATCH(H$6,Table915[#Headers],0)),Table915[MainSpaceHeatingFuel],$B113,Table915[EnergyRating (group)],$A113)</f>
        <v>1118</v>
      </c>
      <c r="I113" s="911">
        <f>AVERAGEIFS(INDEX(Table915[],,MATCH(I$6,Table915[#Headers],0)),Table915[MainSpaceHeatingFuel],$B113,Table915[EnergyRating (group)],$A113)</f>
        <v>56</v>
      </c>
      <c r="J113" s="849">
        <f>SUMIFS(INDEX(Table915[],,MATCH(J$6,Table915[#Headers],0)),Table915[MainSpaceHeatingFuel],$B113,Table915[EnergyRating (group)],$A113)</f>
        <v>466604</v>
      </c>
      <c r="K113" s="849">
        <f>SUMIFS(INDEX(Table915[],,MATCH(K$6,Table915[#Headers],0)),Table915[MainSpaceHeatingFuel],$B113,Table915[EnergyRating (group)],$A113)</f>
        <v>390451</v>
      </c>
      <c r="L113" s="840"/>
      <c r="M113" s="840"/>
      <c r="N113" s="914" t="str">
        <f>RSD_Commodities!$M$34&amp;"_"&amp;RIGHT(P113,LEN(P113)-3)&amp;"_"&amp;SETUP!$B$68</f>
        <v>SH_Det-F_BIOWOO_X1</v>
      </c>
      <c r="O113" s="914" t="str">
        <f>RSD_Commodities!$N$34&amp;"_"&amp;RSD_Commodities!D19&amp;"_"&amp;SETUP!$C$68</f>
        <v>Residential Space Heating Detached-F_Biomass &amp; Renewable Waste to Residential_Existing 01</v>
      </c>
      <c r="P113" s="930" t="str">
        <f>RSD_Commodities!$C$19</f>
        <v>RSDBIOWOO</v>
      </c>
      <c r="Q113" s="930" t="str">
        <f>RSD_Commodities!$M$34</f>
        <v>SH_Det-F</v>
      </c>
      <c r="R113" s="1000">
        <f t="shared" si="55"/>
        <v>7.722007722007722E-4</v>
      </c>
      <c r="S113" s="932">
        <f>R113*DwellingStocks!$I$69/1000</f>
        <v>6.18564929393283E-3</v>
      </c>
      <c r="T113" s="914">
        <v>1</v>
      </c>
      <c r="U113" s="914">
        <f t="shared" si="64"/>
        <v>0.56000000000000005</v>
      </c>
      <c r="V113" s="930">
        <v>20</v>
      </c>
      <c r="W113" s="930">
        <v>1</v>
      </c>
      <c r="X113" s="840"/>
      <c r="Y113" s="928">
        <f t="shared" si="65"/>
        <v>7.5931726070367888E-7</v>
      </c>
      <c r="Z113" s="929">
        <f t="shared" si="66"/>
        <v>8.4534523744557275E-7</v>
      </c>
      <c r="AA113" s="840"/>
      <c r="AB113" s="914" t="s">
        <v>393</v>
      </c>
      <c r="AC113" s="914" t="str">
        <f t="shared" si="59"/>
        <v>SH_Det-F_BIOWOO_X1</v>
      </c>
      <c r="AD113" s="914" t="str">
        <f t="shared" si="60"/>
        <v>Residential Space Heating Detached-F_Biomass &amp; Renewable Waste to Residential_Existing 01</v>
      </c>
      <c r="AE113" s="914" t="s">
        <v>53</v>
      </c>
      <c r="AF113" s="914" t="s">
        <v>406</v>
      </c>
      <c r="AG113" s="914"/>
      <c r="AH113" s="914"/>
      <c r="AI113" s="840"/>
      <c r="AJ113" s="840"/>
      <c r="AK113" s="840"/>
      <c r="AL113" s="840"/>
      <c r="AM113" s="840"/>
      <c r="AN113" s="840"/>
    </row>
    <row r="114" spans="1:40" ht="15.75" thickBot="1">
      <c r="A114" s="757" t="s">
        <v>122</v>
      </c>
      <c r="B114" s="757" t="s">
        <v>674</v>
      </c>
      <c r="C114" s="757">
        <f>SUMIFS(INDEX(Table915[],,MATCH(C$6,Table915[#Headers],0)),Table915[MainSpaceHeatingFuel],$B114,Table915[EnergyRating (group)],$A114)</f>
        <v>52455</v>
      </c>
      <c r="D114" s="757">
        <f>SUMIFS(INDEX(Table915[],,MATCH(D$6,Table915[#Headers],0)),Table915[MainSpaceHeatingFuel],$B114,Table915[EnergyRating (group)],$A114)</f>
        <v>47687</v>
      </c>
      <c r="E114" s="760">
        <f>SUMIFS(INDEX(Table915[],,MATCH(E$6,Table915[#Headers],0)),Table915[MainSpaceHeatingFuel],$B114,Table915[EnergyRating (group)],$A114)</f>
        <v>0</v>
      </c>
      <c r="F114" s="760">
        <f>SUMIFS(INDEX(Table915[],,MATCH(F$6,Table915[#Headers],0)),Table915[MainSpaceHeatingFuel],$B114,Table915[EnergyRating (group)],$A114)</f>
        <v>0</v>
      </c>
      <c r="G114" s="757">
        <f>SUMIFS(INDEX(Table915[],,MATCH(G$6,Table915[#Headers],0)),Table915[MainSpaceHeatingFuel],$B114,Table915[EnergyRating (group)],$A114)</f>
        <v>2</v>
      </c>
      <c r="H114" s="757">
        <f>SUMIFS(INDEX(Table915[],,MATCH(H$6,Table915[#Headers],0)),Table915[MainSpaceHeatingFuel],$B114,Table915[EnergyRating (group)],$A114)</f>
        <v>176</v>
      </c>
      <c r="I114" s="912">
        <f>AVERAGEIFS(INDEX(Table915[],,MATCH(I$6,Table915[#Headers],0)),Table915[MainSpaceHeatingFuel],$B114,Table915[EnergyRating (group)],$A114)</f>
        <v>65</v>
      </c>
      <c r="J114" s="847">
        <f>SUMIFS(INDEX(Table915[],,MATCH(J$6,Table915[#Headers],0)),Table915[MainSpaceHeatingFuel],$B114,Table915[EnergyRating (group)],$A114)</f>
        <v>72234</v>
      </c>
      <c r="K114" s="847">
        <f>SUMIFS(INDEX(Table915[],,MATCH(K$6,Table915[#Headers],0)),Table915[MainSpaceHeatingFuel],$B114,Table915[EnergyRating (group)],$A114)</f>
        <v>60160</v>
      </c>
      <c r="L114" s="840"/>
      <c r="M114" s="840"/>
      <c r="N114" s="933" t="str">
        <f>RSD_Commodities!$M$34&amp;"_"&amp;RIGHT(P114,LEN(P114)-3)&amp;"_"&amp;SETUP!$B$68</f>
        <v>SH_Det-F_COAHAR_X1</v>
      </c>
      <c r="O114" s="933" t="str">
        <f>RSD_Commodities!$N$34&amp;"_"&amp;RSD_Commodities!D7&amp;"_"&amp;SETUP!$C$68</f>
        <v>Residential Space Heating Detached-F_Anthracite + Manufactured Ovoids to Residential_Existing 01</v>
      </c>
      <c r="P114" s="935" t="str">
        <f>RSD_Commodities!$C$7</f>
        <v>RSDCOAHAR</v>
      </c>
      <c r="Q114" s="935" t="str">
        <f>RSD_Commodities!$M$34</f>
        <v>SH_Det-F</v>
      </c>
      <c r="R114" s="1001">
        <f t="shared" si="55"/>
        <v>9.6525096525096525E-5</v>
      </c>
      <c r="S114" s="937">
        <f>R114*DwellingStocks!$I$69/1000</f>
        <v>7.7320616174160375E-4</v>
      </c>
      <c r="T114" s="933">
        <v>1</v>
      </c>
      <c r="U114" s="933">
        <f t="shared" si="64"/>
        <v>0.65</v>
      </c>
      <c r="V114" s="935">
        <v>20</v>
      </c>
      <c r="W114" s="935">
        <v>1</v>
      </c>
      <c r="X114" s="840"/>
      <c r="Y114" s="926">
        <f t="shared" si="65"/>
        <v>1.5152828315741859E-8</v>
      </c>
      <c r="Z114" s="927">
        <f t="shared" si="66"/>
        <v>1.6667888718146232E-8</v>
      </c>
      <c r="AA114" s="840"/>
      <c r="AB114" s="933" t="s">
        <v>393</v>
      </c>
      <c r="AC114" s="933" t="str">
        <f t="shared" si="59"/>
        <v>SH_Det-F_COAHAR_X1</v>
      </c>
      <c r="AD114" s="933" t="str">
        <f t="shared" si="60"/>
        <v>Residential Space Heating Detached-F_Anthracite + Manufactured Ovoids to Residential_Existing 01</v>
      </c>
      <c r="AE114" s="933" t="s">
        <v>53</v>
      </c>
      <c r="AF114" s="933" t="s">
        <v>406</v>
      </c>
      <c r="AG114" s="933"/>
      <c r="AH114" s="933"/>
      <c r="AI114" s="840"/>
      <c r="AJ114" s="840"/>
      <c r="AK114" s="840"/>
      <c r="AL114" s="840"/>
      <c r="AM114" s="840"/>
      <c r="AN114" s="840"/>
    </row>
    <row r="115" spans="1:40" ht="15.75" thickBot="1">
      <c r="A115" s="756" t="s">
        <v>124</v>
      </c>
      <c r="B115" s="1048"/>
      <c r="C115" s="1049"/>
      <c r="D115" s="1049"/>
      <c r="E115" s="1049"/>
      <c r="F115" s="1049"/>
      <c r="G115" s="1049"/>
      <c r="H115" s="1049"/>
      <c r="I115" s="1053"/>
      <c r="J115" s="736" t="s">
        <v>565</v>
      </c>
      <c r="K115" s="737" t="s">
        <v>565</v>
      </c>
      <c r="L115" s="840"/>
      <c r="M115" s="840"/>
      <c r="N115" s="76" t="str">
        <f>AB115</f>
        <v>*G Rating</v>
      </c>
      <c r="O115" s="76"/>
      <c r="P115" s="76"/>
      <c r="Q115" s="76"/>
      <c r="R115" s="949">
        <f>SUM(R116:R129)</f>
        <v>0.99971708789136171</v>
      </c>
      <c r="S115" s="76"/>
      <c r="T115" s="97"/>
      <c r="U115" s="76"/>
      <c r="V115" s="76"/>
      <c r="W115" s="76"/>
      <c r="X115" s="840"/>
      <c r="Y115" s="76"/>
      <c r="Z115" s="76"/>
      <c r="AA115" s="840"/>
      <c r="AB115" s="140" t="str">
        <f>"*"&amp; A116 &amp; " Rating"</f>
        <v>*G Rating</v>
      </c>
      <c r="AC115" s="141"/>
      <c r="AD115" s="141"/>
      <c r="AE115" s="141"/>
      <c r="AF115" s="141"/>
      <c r="AG115" s="141"/>
      <c r="AH115" s="141"/>
      <c r="AI115" s="840"/>
      <c r="AJ115" s="840"/>
      <c r="AK115" s="840"/>
      <c r="AL115" s="840"/>
      <c r="AM115" s="840"/>
      <c r="AN115" s="840"/>
    </row>
    <row r="116" spans="1:40">
      <c r="A116" s="758" t="s">
        <v>124</v>
      </c>
      <c r="B116" s="758" t="s">
        <v>582</v>
      </c>
      <c r="C116" s="758">
        <f>SUMIFS(INDEX(Table915[],,MATCH(C$6,Table915[#Headers],0)),Table915[MainSpaceHeatingFuel],$B116,Table915[EnergyRating (group)],$A116)</f>
        <v>937930</v>
      </c>
      <c r="D116" s="758">
        <f>SUMIFS(INDEX(Table915[],,MATCH(D$6,Table915[#Headers],0)),Table915[MainSpaceHeatingFuel],$B116,Table915[EnergyRating (group)],$A116)</f>
        <v>852663</v>
      </c>
      <c r="E116" s="759">
        <f>SUMIFS(INDEX(Table915[],,MATCH(E$6,Table915[#Headers],0)),Table915[MainSpaceHeatingFuel],$B116,Table915[EnergyRating (group)],$A116)</f>
        <v>181510</v>
      </c>
      <c r="F116" s="759">
        <f>SUMIFS(INDEX(Table915[],,MATCH(F$6,Table915[#Headers],0)),Table915[MainSpaceHeatingFuel],$B116,Table915[EnergyRating (group)],$A116)</f>
        <v>166870</v>
      </c>
      <c r="G116" s="758">
        <f>SUMIFS(INDEX(Table915[],,MATCH(G$6,Table915[#Headers],0)),Table915[MainSpaceHeatingFuel],$B116,Table915[EnergyRating (group)],$A116)</f>
        <v>24</v>
      </c>
      <c r="H116" s="758">
        <f>SUMIFS(INDEX(Table915[],,MATCH(H$6,Table915[#Headers],0)),Table915[MainSpaceHeatingFuel],$B116,Table915[EnergyRating (group)],$A116)</f>
        <v>2492</v>
      </c>
      <c r="I116" s="911">
        <f>AVERAGEIFS(INDEX(Table915[],,MATCH(I$6,Table915[#Headers],0)),Table915[MainSpaceHeatingFuel],$B116,Table915[EnergyRating (group)],$A116)</f>
        <v>68.529411764705884</v>
      </c>
      <c r="J116" s="849">
        <f>SUMIFS(INDEX(Table915[],,MATCH(J$6,Table915[#Headers],0)),Table915[MainSpaceHeatingFuel],$B116,Table915[EnergyRating (group)],$A116)</f>
        <v>1361005</v>
      </c>
      <c r="K116" s="849">
        <f>SUMIFS(INDEX(Table915[],,MATCH(K$6,Table915[#Headers],0)),Table915[MainSpaceHeatingFuel],$B116,Table915[EnergyRating (group)],$A116)</f>
        <v>1165487</v>
      </c>
      <c r="L116" s="840"/>
      <c r="M116" s="840"/>
      <c r="N116" s="933" t="str">
        <f>RSD_Commodities!$M$35&amp;"_"&amp;RIGHT(P116,LEN(P116)-3)&amp;"_"&amp;SETUP!$B$67</f>
        <v>SH_Det-G_OILLPG_X0</v>
      </c>
      <c r="O116" s="933" t="str">
        <f>RSD_Commodities!$N$35&amp;"_"&amp;RSD_Commodities!D11&amp;"_"&amp;SETUP!$C$67</f>
        <v>Residential Space Heating Detached-G_LPG to Residential_Existing 00</v>
      </c>
      <c r="P116" s="934" t="str">
        <f>RSD_Commodities!$C$11</f>
        <v>RSDOILLPG</v>
      </c>
      <c r="Q116" s="935" t="str">
        <f>RSD_Commodities!$M$35</f>
        <v>SH_Det-G</v>
      </c>
      <c r="R116" s="1001">
        <f>G116/SUM($G$116:$G$130)</f>
        <v>1.1316484345529989E-3</v>
      </c>
      <c r="S116" s="937">
        <f>R116*DwellingStocks!$I$70/1000</f>
        <v>9.7974625954120043E-3</v>
      </c>
      <c r="T116" s="935">
        <v>1</v>
      </c>
      <c r="U116" s="954">
        <f t="shared" si="18"/>
        <v>0.68529411764705883</v>
      </c>
      <c r="V116" s="935">
        <v>20</v>
      </c>
      <c r="W116" s="935">
        <v>1</v>
      </c>
      <c r="X116" s="840"/>
      <c r="Y116" s="924">
        <f>ABS((D116+F116)*S116*1000*$B$2)</f>
        <v>4.1050012735430908E-6</v>
      </c>
      <c r="Z116" s="925">
        <f>ABS((C116+E116)*S116*1000*$B$2)</f>
        <v>4.5072622717019244E-6</v>
      </c>
      <c r="AA116" s="840"/>
      <c r="AB116" s="933" t="s">
        <v>393</v>
      </c>
      <c r="AC116" s="933" t="str">
        <f>N116</f>
        <v>SH_Det-G_OILLPG_X0</v>
      </c>
      <c r="AD116" s="933" t="str">
        <f>O116</f>
        <v>Residential Space Heating Detached-G_LPG to Residential_Existing 00</v>
      </c>
      <c r="AE116" s="933" t="s">
        <v>53</v>
      </c>
      <c r="AF116" s="933" t="s">
        <v>406</v>
      </c>
      <c r="AG116" s="933"/>
      <c r="AH116" s="933"/>
      <c r="AI116" s="840"/>
      <c r="AJ116" s="840"/>
      <c r="AK116" s="840"/>
      <c r="AL116" s="840"/>
      <c r="AM116" s="840"/>
      <c r="AN116" s="840"/>
    </row>
    <row r="117" spans="1:40">
      <c r="A117" s="757" t="s">
        <v>124</v>
      </c>
      <c r="B117" s="757" t="s">
        <v>228</v>
      </c>
      <c r="C117" s="757">
        <f>SUMIFS(INDEX(Table915[],,MATCH(C$6,Table915[#Headers],0)),Table915[MainSpaceHeatingFuel],$B117,Table915[EnergyRating (group)],$A117)</f>
        <v>206816897</v>
      </c>
      <c r="D117" s="757">
        <f>SUMIFS(INDEX(Table915[],,MATCH(D$6,Table915[#Headers],0)),Table915[MainSpaceHeatingFuel],$B117,Table915[EnergyRating (group)],$A117)</f>
        <v>76598846</v>
      </c>
      <c r="E117" s="757">
        <f>SUMIFS(INDEX(Table915[],,MATCH(E$6,Table915[#Headers],0)),Table915[MainSpaceHeatingFuel],$B117,Table915[EnergyRating (group)],$A117)</f>
        <v>37267484</v>
      </c>
      <c r="F117" s="757">
        <f>SUMIFS(INDEX(Table915[],,MATCH(F$6,Table915[#Headers],0)),Table915[MainSpaceHeatingFuel],$B117,Table915[EnergyRating (group)],$A117)</f>
        <v>29934056</v>
      </c>
      <c r="G117" s="757">
        <f>SUMIFS(INDEX(Table915[],,MATCH(G$6,Table915[#Headers],0)),Table915[MainSpaceHeatingFuel],$B117,Table915[EnergyRating (group)],$A117)</f>
        <v>5712</v>
      </c>
      <c r="H117" s="757">
        <f>SUMIFS(INDEX(Table915[],,MATCH(H$6,Table915[#Headers],0)),Table915[MainSpaceHeatingFuel],$B117,Table915[EnergyRating (group)],$A117)</f>
        <v>465596</v>
      </c>
      <c r="I117" s="912">
        <f>AVERAGEIFS(INDEX(Table915[],,MATCH(I$6,Table915[#Headers],0)),Table915[MainSpaceHeatingFuel],$B117,Table915[EnergyRating (group)],$A117)</f>
        <v>99.934579439252332</v>
      </c>
      <c r="J117" s="847">
        <f>SUMIFS(INDEX(Table915[],,MATCH(J$6,Table915[#Headers],0)),Table915[MainSpaceHeatingFuel],$B117,Table915[EnergyRating (group)],$A117)</f>
        <v>294922018</v>
      </c>
      <c r="K117" s="847">
        <f>SUMIFS(INDEX(Table915[],,MATCH(K$6,Table915[#Headers],0)),Table915[MainSpaceHeatingFuel],$B117,Table915[EnergyRating (group)],$A117)</f>
        <v>126972675</v>
      </c>
      <c r="L117" s="840"/>
      <c r="M117" s="840"/>
      <c r="N117" s="914" t="str">
        <f>RSD_Commodities!$M$35&amp;"_"&amp;RIGHT(P117,LEN(P117)-3)&amp;"_"&amp;SETUP!$B$67</f>
        <v>SH_Det-G_ELCD_X0</v>
      </c>
      <c r="O117" s="914" t="str">
        <f>RSD_Commodities!$N$35&amp;"_"&amp;RSD_Commodities!D27&amp;"_"&amp;SETUP!$C$67</f>
        <v>Residential Space Heating Detached-G_Electricity to Residential_Existing 00</v>
      </c>
      <c r="P117" s="930" t="str">
        <f>RSD_Commodities!$C$27</f>
        <v>RSDELCD</v>
      </c>
      <c r="Q117" s="930" t="str">
        <f>RSD_Commodities!$M$35</f>
        <v>SH_Det-G</v>
      </c>
      <c r="R117" s="1000">
        <f t="shared" ref="R117:R130" si="67">G117/SUM($G$116:$G$130)</f>
        <v>0.26933232742361374</v>
      </c>
      <c r="S117" s="932">
        <f>R117*DwellingStocks!$I$70/1000</f>
        <v>2.331796097708057</v>
      </c>
      <c r="T117" s="930">
        <v>1</v>
      </c>
      <c r="U117" s="916">
        <f t="shared" si="18"/>
        <v>0.99934579439252336</v>
      </c>
      <c r="V117" s="930">
        <v>20</v>
      </c>
      <c r="W117" s="930">
        <v>1</v>
      </c>
      <c r="X117" s="840"/>
      <c r="Y117" s="926">
        <f t="shared" ref="Y117:Y129" si="68">ABS((D117+F117)*S117*1000*$B$2)</f>
        <v>0.10208753636758146</v>
      </c>
      <c r="Z117" s="927">
        <f t="shared" ref="Z117:Z129" si="69">ABS((C117+E117)*S117*1000*$B$2)</f>
        <v>0.23389931799751504</v>
      </c>
      <c r="AA117" s="840"/>
      <c r="AB117" s="914" t="s">
        <v>393</v>
      </c>
      <c r="AC117" s="914" t="str">
        <f t="shared" ref="AC117:AD129" si="70">N117</f>
        <v>SH_Det-G_ELCD_X0</v>
      </c>
      <c r="AD117" s="914" t="str">
        <f t="shared" si="70"/>
        <v>Residential Space Heating Detached-G_Electricity to Residential_Existing 00</v>
      </c>
      <c r="AE117" s="914" t="s">
        <v>53</v>
      </c>
      <c r="AF117" s="914" t="s">
        <v>406</v>
      </c>
      <c r="AG117" s="914"/>
      <c r="AH117" s="914"/>
      <c r="AI117" s="840"/>
      <c r="AJ117" s="840"/>
      <c r="AK117" s="840"/>
      <c r="AL117" s="840"/>
      <c r="AM117" s="840"/>
      <c r="AN117" s="840"/>
    </row>
    <row r="118" spans="1:40">
      <c r="A118" s="758" t="s">
        <v>124</v>
      </c>
      <c r="B118" s="758" t="s">
        <v>583</v>
      </c>
      <c r="C118" s="758">
        <f>SUMIFS(INDEX(Table915[],,MATCH(C$6,Table915[#Headers],0)),Table915[MainSpaceHeatingFuel],$B118,Table915[EnergyRating (group)],$A118)</f>
        <v>143494007</v>
      </c>
      <c r="D118" s="758">
        <f>SUMIFS(INDEX(Table915[],,MATCH(D$6,Table915[#Headers],0)),Table915[MainSpaceHeatingFuel],$B118,Table915[EnergyRating (group)],$A118)</f>
        <v>130449100</v>
      </c>
      <c r="E118" s="759">
        <f>SUMIFS(INDEX(Table915[],,MATCH(E$6,Table915[#Headers],0)),Table915[MainSpaceHeatingFuel],$B118,Table915[EnergyRating (group)],$A118)</f>
        <v>31900916</v>
      </c>
      <c r="F118" s="759">
        <f>SUMIFS(INDEX(Table915[],,MATCH(F$6,Table915[#Headers],0)),Table915[MainSpaceHeatingFuel],$B118,Table915[EnergyRating (group)],$A118)</f>
        <v>27523395</v>
      </c>
      <c r="G118" s="758">
        <f>SUMIFS(INDEX(Table915[],,MATCH(G$6,Table915[#Headers],0)),Table915[MainSpaceHeatingFuel],$B118,Table915[EnergyRating (group)],$A118)</f>
        <v>4451</v>
      </c>
      <c r="H118" s="758">
        <f>SUMIFS(INDEX(Table915[],,MATCH(H$6,Table915[#Headers],0)),Table915[MainSpaceHeatingFuel],$B118,Table915[EnergyRating (group)],$A118)</f>
        <v>410262</v>
      </c>
      <c r="I118" s="911">
        <f>AVERAGEIFS(INDEX(Table915[],,MATCH(I$6,Table915[#Headers],0)),Table915[MainSpaceHeatingFuel],$B118,Table915[EnergyRating (group)],$A118)</f>
        <v>71.318840579710141</v>
      </c>
      <c r="J118" s="849">
        <f>SUMIFS(INDEX(Table915[],,MATCH(J$6,Table915[#Headers],0)),Table915[MainSpaceHeatingFuel],$B118,Table915[EnergyRating (group)],$A118)</f>
        <v>218505931</v>
      </c>
      <c r="K118" s="849">
        <f>SUMIFS(INDEX(Table915[],,MATCH(K$6,Table915[#Headers],0)),Table915[MainSpaceHeatingFuel],$B118,Table915[EnergyRating (group)],$A118)</f>
        <v>185934509</v>
      </c>
      <c r="L118" s="840"/>
      <c r="M118" s="840"/>
      <c r="N118" s="933" t="str">
        <f>RSD_Commodities!$M$35&amp;"_"&amp;RIGHT(P118,LEN(P118)-3)&amp;"_"&amp;SETUP!$B$67</f>
        <v>SH_Det-G_OILKER_X0</v>
      </c>
      <c r="O118" s="933" t="str">
        <f>RSD_Commodities!$N$35&amp;"_"&amp;RSD_Commodities!D13&amp;"_"&amp;SETUP!$C$67</f>
        <v>Residential Space Heating Detached-G_Kerosene to Residential_Existing 00</v>
      </c>
      <c r="P118" s="935" t="str">
        <f>RSD_Commodities!$C$13</f>
        <v>RSDOILKER</v>
      </c>
      <c r="Q118" s="935" t="str">
        <f>RSD_Commodities!$M$35</f>
        <v>SH_Det-G</v>
      </c>
      <c r="R118" s="1001">
        <f t="shared" si="67"/>
        <v>0.2098736325914749</v>
      </c>
      <c r="S118" s="937">
        <f>R118*DwellingStocks!$I$70/1000</f>
        <v>1.8170210838407843</v>
      </c>
      <c r="T118" s="935">
        <v>1</v>
      </c>
      <c r="U118" s="954">
        <f t="shared" si="18"/>
        <v>0.71318840579710141</v>
      </c>
      <c r="V118" s="935">
        <v>20</v>
      </c>
      <c r="W118" s="935">
        <v>1</v>
      </c>
      <c r="X118" s="840"/>
      <c r="Y118" s="928">
        <f t="shared" si="68"/>
        <v>0.11796137838983546</v>
      </c>
      <c r="Z118" s="929">
        <f t="shared" si="69"/>
        <v>0.13097107113272505</v>
      </c>
      <c r="AA118" s="840"/>
      <c r="AB118" s="933" t="s">
        <v>393</v>
      </c>
      <c r="AC118" s="933" t="str">
        <f t="shared" si="70"/>
        <v>SH_Det-G_OILKER_X0</v>
      </c>
      <c r="AD118" s="933" t="str">
        <f t="shared" si="70"/>
        <v>Residential Space Heating Detached-G_Kerosene to Residential_Existing 00</v>
      </c>
      <c r="AE118" s="933" t="s">
        <v>53</v>
      </c>
      <c r="AF118" s="933" t="s">
        <v>406</v>
      </c>
      <c r="AG118" s="933"/>
      <c r="AH118" s="933"/>
      <c r="AI118" s="840"/>
      <c r="AJ118" s="840"/>
      <c r="AK118" s="840"/>
      <c r="AL118" s="840"/>
      <c r="AM118" s="840"/>
      <c r="AN118" s="840"/>
    </row>
    <row r="119" spans="1:40">
      <c r="A119" s="757" t="s">
        <v>124</v>
      </c>
      <c r="B119" s="757" t="s">
        <v>584</v>
      </c>
      <c r="C119" s="757">
        <f>SUMIFS(INDEX(Table915[],,MATCH(C$6,Table915[#Headers],0)),Table915[MainSpaceHeatingFuel],$B119,Table915[EnergyRating (group)],$A119)</f>
        <v>137015699</v>
      </c>
      <c r="D119" s="757">
        <f>SUMIFS(INDEX(Table915[],,MATCH(D$6,Table915[#Headers],0)),Table915[MainSpaceHeatingFuel],$B119,Table915[EnergyRating (group)],$A119)</f>
        <v>124559723</v>
      </c>
      <c r="E119" s="760">
        <f>SUMIFS(INDEX(Table915[],,MATCH(E$6,Table915[#Headers],0)),Table915[MainSpaceHeatingFuel],$B119,Table915[EnergyRating (group)],$A119)</f>
        <v>35656772</v>
      </c>
      <c r="F119" s="760">
        <f>SUMIFS(INDEX(Table915[],,MATCH(F$6,Table915[#Headers],0)),Table915[MainSpaceHeatingFuel],$B119,Table915[EnergyRating (group)],$A119)</f>
        <v>30241691</v>
      </c>
      <c r="G119" s="757">
        <f>SUMIFS(INDEX(Table915[],,MATCH(G$6,Table915[#Headers],0)),Table915[MainSpaceHeatingFuel],$B119,Table915[EnergyRating (group)],$A119)</f>
        <v>5073</v>
      </c>
      <c r="H119" s="757">
        <f>SUMIFS(INDEX(Table915[],,MATCH(H$6,Table915[#Headers],0)),Table915[MainSpaceHeatingFuel],$B119,Table915[EnergyRating (group)],$A119)</f>
        <v>413770</v>
      </c>
      <c r="I119" s="912">
        <f>AVERAGEIFS(INDEX(Table915[],,MATCH(I$6,Table915[#Headers],0)),Table915[MainSpaceHeatingFuel],$B119,Table915[EnergyRating (group)],$A119)</f>
        <v>71.63636363636364</v>
      </c>
      <c r="J119" s="847">
        <f>SUMIFS(INDEX(Table915[],,MATCH(J$6,Table915[#Headers],0)),Table915[MainSpaceHeatingFuel],$B119,Table915[EnergyRating (group)],$A119)</f>
        <v>217904087</v>
      </c>
      <c r="K119" s="847">
        <f>SUMIFS(INDEX(Table915[],,MATCH(K$6,Table915[#Headers],0)),Table915[MainSpaceHeatingFuel],$B119,Table915[EnergyRating (group)],$A119)</f>
        <v>184548961</v>
      </c>
      <c r="L119" s="840"/>
      <c r="M119" s="840"/>
      <c r="N119" s="914" t="str">
        <f>RSD_Commodities!$M$35&amp;"_"&amp;RIGHT(P119,LEN(P119)-3)&amp;"_"&amp;SETUP!$B$67</f>
        <v>SH_Det-G_GASNAT_X0</v>
      </c>
      <c r="O119" s="914" t="str">
        <f>RSD_Commodities!$N$35&amp;"_"&amp;RSD_Commodities!D17&amp;"_"&amp;SETUP!$C$67</f>
        <v>Residential Space Heating Detached-G_Natural Gas to Residential_Existing 00</v>
      </c>
      <c r="P119" s="930" t="str">
        <f>RSD_Commodities!$C$17</f>
        <v>RSDGASNAT</v>
      </c>
      <c r="Q119" s="930" t="str">
        <f>RSD_Commodities!$M$35</f>
        <v>SH_Det-G</v>
      </c>
      <c r="R119" s="1000">
        <f t="shared" si="67"/>
        <v>0.23920218785364014</v>
      </c>
      <c r="S119" s="932">
        <f>R119*DwellingStocks!$I$70/1000</f>
        <v>2.0709386561052123</v>
      </c>
      <c r="T119" s="930">
        <v>1</v>
      </c>
      <c r="U119" s="916">
        <f t="shared" si="18"/>
        <v>0.71636363636363642</v>
      </c>
      <c r="V119" s="930">
        <v>20</v>
      </c>
      <c r="W119" s="930">
        <v>1</v>
      </c>
      <c r="X119" s="840"/>
      <c r="Y119" s="926">
        <f t="shared" si="68"/>
        <v>0.13174694476945753</v>
      </c>
      <c r="Z119" s="927">
        <f t="shared" si="69"/>
        <v>0.14695647741333137</v>
      </c>
      <c r="AA119" s="840"/>
      <c r="AB119" s="914" t="s">
        <v>393</v>
      </c>
      <c r="AC119" s="914" t="str">
        <f t="shared" si="70"/>
        <v>SH_Det-G_GASNAT_X0</v>
      </c>
      <c r="AD119" s="914" t="str">
        <f t="shared" si="70"/>
        <v>Residential Space Heating Detached-G_Natural Gas to Residential_Existing 00</v>
      </c>
      <c r="AE119" s="914" t="s">
        <v>53</v>
      </c>
      <c r="AF119" s="914" t="s">
        <v>406</v>
      </c>
      <c r="AG119" s="914"/>
      <c r="AH119" s="914"/>
      <c r="AI119" s="840"/>
      <c r="AJ119" s="840"/>
      <c r="AK119" s="840"/>
      <c r="AL119" s="840"/>
      <c r="AM119" s="840"/>
      <c r="AN119" s="840"/>
    </row>
    <row r="120" spans="1:40">
      <c r="A120" s="758" t="s">
        <v>124</v>
      </c>
      <c r="B120" s="758" t="s">
        <v>585</v>
      </c>
      <c r="C120" s="758">
        <f>SUMIFS(INDEX(Table915[],,MATCH(C$6,Table915[#Headers],0)),Table915[MainSpaceHeatingFuel],$B120,Table915[EnergyRating (group)],$A120)</f>
        <v>89068</v>
      </c>
      <c r="D120" s="758">
        <f>SUMIFS(INDEX(Table915[],,MATCH(D$6,Table915[#Headers],0)),Table915[MainSpaceHeatingFuel],$B120,Table915[EnergyRating (group)],$A120)</f>
        <v>80971</v>
      </c>
      <c r="E120" s="758">
        <f>SUMIFS(INDEX(Table915[],,MATCH(E$6,Table915[#Headers],0)),Table915[MainSpaceHeatingFuel],$B120,Table915[EnergyRating (group)],$A120)</f>
        <v>30227</v>
      </c>
      <c r="F120" s="758">
        <f>SUMIFS(INDEX(Table915[],,MATCH(F$6,Table915[#Headers],0)),Table915[MainSpaceHeatingFuel],$B120,Table915[EnergyRating (group)],$A120)</f>
        <v>13118</v>
      </c>
      <c r="G120" s="758">
        <f>SUMIFS(INDEX(Table915[],,MATCH(G$6,Table915[#Headers],0)),Table915[MainSpaceHeatingFuel],$B120,Table915[EnergyRating (group)],$A120)</f>
        <v>2</v>
      </c>
      <c r="H120" s="758">
        <f>SUMIFS(INDEX(Table915[],,MATCH(H$6,Table915[#Headers],0)),Table915[MainSpaceHeatingFuel],$B120,Table915[EnergyRating (group)],$A120)</f>
        <v>247</v>
      </c>
      <c r="I120" s="950">
        <f>AVERAGEIFS(INDEX(Table915[],,MATCH(I$6,Table915[#Headers],0)),Table915[MainSpaceHeatingFuel],$B120,Table915[EnergyRating (group)],$A120)</f>
        <v>65</v>
      </c>
      <c r="J120" s="849">
        <f>SUMIFS(INDEX(Table915[],,MATCH(J$6,Table915[#Headers],0)),Table915[MainSpaceHeatingFuel],$B120,Table915[EnergyRating (group)],$A120)</f>
        <v>144869</v>
      </c>
      <c r="K120" s="849">
        <f>SUMIFS(INDEX(Table915[],,MATCH(K$6,Table915[#Headers],0)),Table915[MainSpaceHeatingFuel],$B120,Table915[EnergyRating (group)],$A120)</f>
        <v>105740</v>
      </c>
      <c r="L120" s="840"/>
      <c r="M120" s="840"/>
      <c r="N120" s="933" t="str">
        <f>RSD_Commodities!$M$35&amp;"_"&amp;RIGHT(P120,LEN(P120)-3)&amp;"_"&amp;SETUP!$B$67</f>
        <v>SH_Det-G_BIOWOO_X0</v>
      </c>
      <c r="O120" s="933" t="str">
        <f>RSD_Commodities!$N$35&amp;"_"&amp;RSD_Commodities!D19&amp;"_"&amp;SETUP!$C$67</f>
        <v>Residential Space Heating Detached-G_Biomass &amp; Renewable Waste to Residential_Existing 00</v>
      </c>
      <c r="P120" s="935" t="str">
        <f>RSD_Commodities!$C$19</f>
        <v>RSDBIOWOO</v>
      </c>
      <c r="Q120" s="935" t="str">
        <f>RSD_Commodities!$M$35</f>
        <v>SH_Det-G</v>
      </c>
      <c r="R120" s="1001">
        <f t="shared" si="67"/>
        <v>9.4304036212749905E-5</v>
      </c>
      <c r="S120" s="937">
        <f>R120*DwellingStocks!$I$70/1000</f>
        <v>8.1645521628433354E-4</v>
      </c>
      <c r="T120" s="935">
        <v>1</v>
      </c>
      <c r="U120" s="954">
        <f t="shared" si="18"/>
        <v>0.65</v>
      </c>
      <c r="V120" s="935">
        <v>20</v>
      </c>
      <c r="W120" s="935">
        <v>1</v>
      </c>
      <c r="X120" s="840"/>
      <c r="Y120" s="928">
        <f t="shared" si="68"/>
        <v>3.1569638977387673E-8</v>
      </c>
      <c r="Z120" s="929">
        <f t="shared" si="69"/>
        <v>4.0026996586290236E-8</v>
      </c>
      <c r="AA120" s="840"/>
      <c r="AB120" s="933" t="s">
        <v>393</v>
      </c>
      <c r="AC120" s="933" t="str">
        <f t="shared" si="70"/>
        <v>SH_Det-G_BIOWOO_X0</v>
      </c>
      <c r="AD120" s="933" t="str">
        <f t="shared" si="70"/>
        <v>Residential Space Heating Detached-G_Biomass &amp; Renewable Waste to Residential_Existing 00</v>
      </c>
      <c r="AE120" s="933" t="s">
        <v>53</v>
      </c>
      <c r="AF120" s="933" t="s">
        <v>406</v>
      </c>
      <c r="AG120" s="933"/>
      <c r="AH120" s="933"/>
      <c r="AI120" s="840"/>
      <c r="AJ120" s="840"/>
      <c r="AK120" s="840"/>
      <c r="AL120" s="840"/>
      <c r="AM120" s="840"/>
      <c r="AN120" s="840"/>
    </row>
    <row r="121" spans="1:40">
      <c r="A121" s="757" t="s">
        <v>124</v>
      </c>
      <c r="B121" s="757" t="s">
        <v>587</v>
      </c>
      <c r="C121" s="757">
        <f>SUMIFS(INDEX(Table915[],,MATCH(C$6,Table915[#Headers],0)),Table915[MainSpaceHeatingFuel],$B121,Table915[EnergyRating (group)],$A121)</f>
        <v>0</v>
      </c>
      <c r="D121" s="757">
        <f>SUMIFS(INDEX(Table915[],,MATCH(D$6,Table915[#Headers],0)),Table915[MainSpaceHeatingFuel],$B121,Table915[EnergyRating (group)],$A121)</f>
        <v>0</v>
      </c>
      <c r="E121" s="757">
        <f>SUMIFS(INDEX(Table915[],,MATCH(E$6,Table915[#Headers],0)),Table915[MainSpaceHeatingFuel],$B121,Table915[EnergyRating (group)],$A121)</f>
        <v>0</v>
      </c>
      <c r="F121" s="757">
        <f>SUMIFS(INDEX(Table915[],,MATCH(F$6,Table915[#Headers],0)),Table915[MainSpaceHeatingFuel],$B121,Table915[EnergyRating (group)],$A121)</f>
        <v>0</v>
      </c>
      <c r="G121" s="757">
        <f>SUMIFS(INDEX(Table915[],,MATCH(G$6,Table915[#Headers],0)),Table915[MainSpaceHeatingFuel],"",Table915[EnergyRating (group)],$A121)</f>
        <v>59</v>
      </c>
      <c r="H121" s="757">
        <f>SUMIFS(INDEX(Table915[],,MATCH(H$6,Table915[#Headers],0)),Table915[MainSpaceHeatingFuel],"",Table915[EnergyRating (group)],$A121)</f>
        <v>5478</v>
      </c>
      <c r="I121" s="913">
        <f>SUMIFS(INDEX(Table915[],,MATCH(I$6,Table915[#Headers],0)),Table915[MainSpaceHeatingFuel],"",Table915[EnergyRating (group)],$A121)</f>
        <v>0</v>
      </c>
      <c r="J121" s="847">
        <f>SUMIFS(INDEX(Table915[],,MATCH(J$6,Table915[#Headers],0)),Table915[MainSpaceHeatingFuel],"",Table915[EnergyRating (group)],$A121)</f>
        <v>171456</v>
      </c>
      <c r="K121" s="847">
        <f>SUMIFS(INDEX(Table915[],,MATCH(K$6,Table915[#Headers],0)),Table915[MainSpaceHeatingFuel],"",Table915[EnergyRating (group)],$A121)</f>
        <v>63502</v>
      </c>
      <c r="L121" s="840"/>
      <c r="M121" s="840"/>
      <c r="N121" s="914" t="str">
        <f>RSD_Commodities!$M$35&amp;"_"&amp;RIGHT(P121,LEN(P121)-3)&amp;"_"&amp;SETUP!$B$67</f>
        <v>SH_Det-G_HET_X0</v>
      </c>
      <c r="O121" s="914" t="str">
        <f>RSD_Commodities!$N$35&amp;"_"&amp;RSD_Commodities!D28&amp;"_"&amp;SETUP!$C$67</f>
        <v>Residential Space Heating Detached-G_Heat to Residential_Existing 00</v>
      </c>
      <c r="P121" s="915" t="str">
        <f>RSD_Commodities!$C$28</f>
        <v>RSDHET</v>
      </c>
      <c r="Q121" s="930" t="str">
        <f>RSD_Commodities!$M$35</f>
        <v>SH_Det-G</v>
      </c>
      <c r="R121" s="1000">
        <f t="shared" si="67"/>
        <v>2.7819690682761222E-3</v>
      </c>
      <c r="S121" s="932">
        <f>R121*DwellingStocks!$I$70/1000</f>
        <v>2.4085428880387841E-2</v>
      </c>
      <c r="T121" s="930">
        <v>1</v>
      </c>
      <c r="U121" s="917">
        <f>IF(I121=0, 1, I121)</f>
        <v>1</v>
      </c>
      <c r="V121" s="930">
        <v>20</v>
      </c>
      <c r="W121" s="930">
        <v>1</v>
      </c>
      <c r="X121" s="840"/>
      <c r="Y121" s="926">
        <f t="shared" si="68"/>
        <v>0</v>
      </c>
      <c r="Z121" s="927">
        <f t="shared" si="69"/>
        <v>0</v>
      </c>
      <c r="AA121" s="840"/>
      <c r="AB121" s="914" t="s">
        <v>393</v>
      </c>
      <c r="AC121" s="914" t="str">
        <f t="shared" si="70"/>
        <v>SH_Det-G_HET_X0</v>
      </c>
      <c r="AD121" s="914" t="str">
        <f t="shared" si="70"/>
        <v>Residential Space Heating Detached-G_Heat to Residential_Existing 00</v>
      </c>
      <c r="AE121" s="914" t="s">
        <v>53</v>
      </c>
      <c r="AF121" s="914" t="s">
        <v>406</v>
      </c>
      <c r="AG121" s="914"/>
      <c r="AH121" s="914"/>
      <c r="AI121" s="840"/>
      <c r="AJ121" s="840"/>
      <c r="AK121" s="840"/>
      <c r="AL121" s="840"/>
      <c r="AM121" s="840"/>
      <c r="AN121" s="840"/>
    </row>
    <row r="122" spans="1:40">
      <c r="A122" s="758" t="s">
        <v>124</v>
      </c>
      <c r="B122" s="758" t="s">
        <v>664</v>
      </c>
      <c r="C122" s="758">
        <f>SUMIFS(INDEX(Table915[],,MATCH(C$6,Table915[#Headers],0)),Table915[MainSpaceHeatingFuel],$B122,Table915[EnergyRating (group)],$A122)</f>
        <v>843845</v>
      </c>
      <c r="D122" s="758">
        <f>SUMIFS(INDEX(Table915[],,MATCH(D$6,Table915[#Headers],0)),Table915[MainSpaceHeatingFuel],$B122,Table915[EnergyRating (group)],$A122)</f>
        <v>767132</v>
      </c>
      <c r="E122" s="759">
        <f>SUMIFS(INDEX(Table915[],,MATCH(E$6,Table915[#Headers],0)),Table915[MainSpaceHeatingFuel],$B122,Table915[EnergyRating (group)],$A122)</f>
        <v>199088</v>
      </c>
      <c r="F122" s="759">
        <f>SUMIFS(INDEX(Table915[],,MATCH(F$6,Table915[#Headers],0)),Table915[MainSpaceHeatingFuel],$B122,Table915[EnergyRating (group)],$A122)</f>
        <v>174626</v>
      </c>
      <c r="G122" s="758">
        <f>SUMIFS(INDEX(Table915[],,MATCH(G$6,Table915[#Headers],0)),Table915[MainSpaceHeatingFuel],$B122,Table915[EnergyRating (group)],$A122)</f>
        <v>26</v>
      </c>
      <c r="H122" s="758">
        <f>SUMIFS(INDEX(Table915[],,MATCH(H$6,Table915[#Headers],0)),Table915[MainSpaceHeatingFuel],$B122,Table915[EnergyRating (group)],$A122)</f>
        <v>2408</v>
      </c>
      <c r="I122" s="950">
        <f>AVERAGEIFS(INDEX(Table915[],,MATCH(I$6,Table915[#Headers],0)),Table915[MainSpaceHeatingFuel],$B122,Table915[EnergyRating (group)],$A122)</f>
        <v>67.15789473684211</v>
      </c>
      <c r="J122" s="849">
        <f>SUMIFS(INDEX(Table915[],,MATCH(J$6,Table915[#Headers],0)),Table915[MainSpaceHeatingFuel],$B122,Table915[EnergyRating (group)],$A122)</f>
        <v>1300429</v>
      </c>
      <c r="K122" s="849">
        <f>SUMIFS(INDEX(Table915[],,MATCH(K$6,Table915[#Headers],0)),Table915[MainSpaceHeatingFuel],$B122,Table915[EnergyRating (group)],$A122)</f>
        <v>1095105</v>
      </c>
      <c r="L122" s="840"/>
      <c r="M122" s="840"/>
      <c r="N122" s="933" t="str">
        <f>RSD_Commodities!$M$35&amp;"_"&amp;RIGHT(P122,LEN(P122)-3)&amp;"_"&amp;SETUP!$B$68</f>
        <v>SH_Det-G_OILLPG_X1</v>
      </c>
      <c r="O122" s="933" t="str">
        <f>RSD_Commodities!$N$35&amp;"_"&amp;RSD_Commodities!D11&amp;"_"&amp;SETUP!$C$68</f>
        <v>Residential Space Heating Detached-G_LPG to Residential_Existing 01</v>
      </c>
      <c r="P122" s="935" t="str">
        <f>RSD_Commodities!$C$11</f>
        <v>RSDOILLPG</v>
      </c>
      <c r="Q122" s="935" t="str">
        <f>RSD_Commodities!$M$35</f>
        <v>SH_Det-G</v>
      </c>
      <c r="R122" s="1001">
        <f t="shared" si="67"/>
        <v>1.2259524707657489E-3</v>
      </c>
      <c r="S122" s="937">
        <f>R122*DwellingStocks!$I$70/1000</f>
        <v>1.0613917811696337E-2</v>
      </c>
      <c r="T122" s="935">
        <v>1</v>
      </c>
      <c r="U122" s="954">
        <f t="shared" si="18"/>
        <v>0.67157894736842105</v>
      </c>
      <c r="V122" s="935">
        <v>20</v>
      </c>
      <c r="W122" s="935">
        <v>1</v>
      </c>
      <c r="X122" s="840"/>
      <c r="Y122" s="928">
        <f t="shared" si="68"/>
        <v>4.1078391824003517E-6</v>
      </c>
      <c r="Z122" s="929">
        <f t="shared" si="69"/>
        <v>4.549152799358588E-6</v>
      </c>
      <c r="AA122" s="840"/>
      <c r="AB122" s="933" t="s">
        <v>393</v>
      </c>
      <c r="AC122" s="933" t="str">
        <f t="shared" si="70"/>
        <v>SH_Det-G_OILLPG_X1</v>
      </c>
      <c r="AD122" s="933" t="str">
        <f t="shared" si="70"/>
        <v>Residential Space Heating Detached-G_LPG to Residential_Existing 01</v>
      </c>
      <c r="AE122" s="933" t="s">
        <v>53</v>
      </c>
      <c r="AF122" s="933" t="s">
        <v>406</v>
      </c>
      <c r="AG122" s="933"/>
      <c r="AH122" s="933"/>
      <c r="AI122" s="840"/>
      <c r="AJ122" s="840"/>
      <c r="AK122" s="840"/>
      <c r="AL122" s="840"/>
      <c r="AM122" s="840"/>
      <c r="AN122" s="840"/>
    </row>
    <row r="123" spans="1:40">
      <c r="A123" s="757" t="s">
        <v>124</v>
      </c>
      <c r="B123" s="757" t="s">
        <v>665</v>
      </c>
      <c r="C123" s="757">
        <f>SUMIFS(INDEX(Table915[],,MATCH(C$6,Table915[#Headers],0)),Table915[MainSpaceHeatingFuel],$B123,Table915[EnergyRating (group)],$A123)</f>
        <v>136698344</v>
      </c>
      <c r="D123" s="757">
        <f>SUMIFS(INDEX(Table915[],,MATCH(D$6,Table915[#Headers],0)),Table915[MainSpaceHeatingFuel],$B123,Table915[EnergyRating (group)],$A123)</f>
        <v>124271222</v>
      </c>
      <c r="E123" s="760">
        <f>SUMIFS(INDEX(Table915[],,MATCH(E$6,Table915[#Headers],0)),Table915[MainSpaceHeatingFuel],$B123,Table915[EnergyRating (group)],$A123)</f>
        <v>15106968</v>
      </c>
      <c r="F123" s="760">
        <f>SUMIFS(INDEX(Table915[],,MATCH(F$6,Table915[#Headers],0)),Table915[MainSpaceHeatingFuel],$B123,Table915[EnergyRating (group)],$A123)</f>
        <v>10803306</v>
      </c>
      <c r="G123" s="757">
        <f>SUMIFS(INDEX(Table915[],,MATCH(G$6,Table915[#Headers],0)),Table915[MainSpaceHeatingFuel],$B123,Table915[EnergyRating (group)],$A123)</f>
        <v>3565</v>
      </c>
      <c r="H123" s="757">
        <f>SUMIFS(INDEX(Table915[],,MATCH(H$6,Table915[#Headers],0)),Table915[MainSpaceHeatingFuel],$B123,Table915[EnergyRating (group)],$A123)</f>
        <v>268948</v>
      </c>
      <c r="I123" s="912">
        <f>AVERAGEIFS(INDEX(Table915[],,MATCH(I$6,Table915[#Headers],0)),Table915[MainSpaceHeatingFuel],$B123,Table915[EnergyRating (group)],$A123)</f>
        <v>43.072463768115945</v>
      </c>
      <c r="J123" s="847">
        <f>SUMIFS(INDEX(Table915[],,MATCH(J$6,Table915[#Headers],0)),Table915[MainSpaceHeatingFuel],$B123,Table915[EnergyRating (group)],$A123)</f>
        <v>186178711</v>
      </c>
      <c r="K123" s="847">
        <f>SUMIFS(INDEX(Table915[],,MATCH(K$6,Table915[#Headers],0)),Table915[MainSpaceHeatingFuel],$B123,Table915[EnergyRating (group)],$A123)</f>
        <v>156729299</v>
      </c>
      <c r="L123" s="840"/>
      <c r="M123" s="840"/>
      <c r="N123" s="914" t="str">
        <f>RSD_Commodities!$M$35&amp;"_"&amp;RSD_Commodities!$C$26&amp;"_"&amp;SETUP!$B$67</f>
        <v>SH_Det-G_RSDSMF_X0</v>
      </c>
      <c r="O123" s="914" t="str">
        <f>RSD_Commodities!$N$35&amp;"_"&amp;RSD_Commodities!$D$26&amp;"_"&amp;SETUP!$C$67</f>
        <v>Residential Space Heating Detached-G_Solid Multi-Fuel_Existing 00</v>
      </c>
      <c r="P123" s="930" t="str">
        <f>RSD_Commodities!$C$6&amp;","&amp;RSD_Commodities!$C$7&amp;","&amp;RSD_Commodities!$C$9&amp;","&amp;RSD_Commodities!$C$10&amp;","&amp;RSD_Commodities!$C$19</f>
        <v>RSDCOABIT,RSDCOAHAR,RSDCOALIG,RSDPEA,RSDBIOWOO</v>
      </c>
      <c r="Q123" s="930" t="str">
        <f>RSD_Commodities!$M$35</f>
        <v>SH_Det-G</v>
      </c>
      <c r="R123" s="1000">
        <f t="shared" si="67"/>
        <v>0.16809694454922672</v>
      </c>
      <c r="S123" s="932">
        <f>R123*DwellingStocks!$I$70/1000</f>
        <v>1.4553314230268248</v>
      </c>
      <c r="T123" s="930">
        <v>1</v>
      </c>
      <c r="U123" s="916">
        <f t="shared" si="18"/>
        <v>0.43072463768115943</v>
      </c>
      <c r="V123" s="930">
        <v>20</v>
      </c>
      <c r="W123" s="930">
        <v>1</v>
      </c>
      <c r="X123" s="840"/>
      <c r="Y123" s="926">
        <f t="shared" si="68"/>
        <v>8.0785563718732897E-2</v>
      </c>
      <c r="Z123" s="927">
        <f t="shared" si="69"/>
        <v>9.0791934549037459E-2</v>
      </c>
      <c r="AA123" s="840"/>
      <c r="AB123" s="914" t="s">
        <v>393</v>
      </c>
      <c r="AC123" s="914" t="str">
        <f t="shared" si="70"/>
        <v>SH_Det-G_RSDSMF_X0</v>
      </c>
      <c r="AD123" s="914" t="str">
        <f t="shared" si="70"/>
        <v>Residential Space Heating Detached-G_Solid Multi-Fuel_Existing 00</v>
      </c>
      <c r="AE123" s="914" t="s">
        <v>53</v>
      </c>
      <c r="AF123" s="914" t="s">
        <v>406</v>
      </c>
      <c r="AG123" s="914"/>
      <c r="AH123" s="914"/>
      <c r="AI123" s="840"/>
      <c r="AJ123" s="840"/>
      <c r="AK123" s="840"/>
      <c r="AL123" s="840"/>
      <c r="AM123" s="840"/>
      <c r="AN123" s="840"/>
    </row>
    <row r="124" spans="1:40">
      <c r="A124" s="758" t="s">
        <v>124</v>
      </c>
      <c r="B124" s="758" t="s">
        <v>669</v>
      </c>
      <c r="C124" s="758">
        <f>SUMIFS(INDEX(Table915[],,MATCH(C$6,Table915[#Headers],0)),Table915[MainSpaceHeatingFuel],$B124,Table915[EnergyRating (group)],$A124)</f>
        <v>79979037</v>
      </c>
      <c r="D124" s="758">
        <f>SUMIFS(INDEX(Table915[],,MATCH(D$6,Table915[#Headers],0)),Table915[MainSpaceHeatingFuel],$B124,Table915[EnergyRating (group)],$A124)</f>
        <v>66649197</v>
      </c>
      <c r="E124" s="758">
        <f>SUMIFS(INDEX(Table915[],,MATCH(E$6,Table915[#Headers],0)),Table915[MainSpaceHeatingFuel],$B124,Table915[EnergyRating (group)],$A124)</f>
        <v>6889485</v>
      </c>
      <c r="F124" s="758">
        <f>SUMIFS(INDEX(Table915[],,MATCH(F$6,Table915[#Headers],0)),Table915[MainSpaceHeatingFuel],$B124,Table915[EnergyRating (group)],$A124)</f>
        <v>4449016</v>
      </c>
      <c r="G124" s="758">
        <f>SUMIFS(INDEX(Table915[],,MATCH(G$6,Table915[#Headers],0)),Table915[MainSpaceHeatingFuel],$B124,Table915[EnergyRating (group)],$A124)</f>
        <v>1599</v>
      </c>
      <c r="H124" s="758">
        <f>SUMIFS(INDEX(Table915[],,MATCH(H$6,Table915[#Headers],0)),Table915[MainSpaceHeatingFuel],$B124,Table915[EnergyRating (group)],$A124)</f>
        <v>132502</v>
      </c>
      <c r="I124" s="911">
        <f>AVERAGEIFS(INDEX(Table915[],,MATCH(I$6,Table915[#Headers],0)),Table915[MainSpaceHeatingFuel],$B124,Table915[EnergyRating (group)],$A124)</f>
        <v>42.764705882352942</v>
      </c>
      <c r="J124" s="849">
        <f>SUMIFS(INDEX(Table915[],,MATCH(J$6,Table915[#Headers],0)),Table915[MainSpaceHeatingFuel],$B124,Table915[EnergyRating (group)],$A124)</f>
        <v>102494171</v>
      </c>
      <c r="K124" s="849">
        <f>SUMIFS(INDEX(Table915[],,MATCH(K$6,Table915[#Headers],0)),Table915[MainSpaceHeatingFuel],$B124,Table915[EnergyRating (group)],$A124)</f>
        <v>79669939</v>
      </c>
      <c r="L124" s="840"/>
      <c r="M124" s="840"/>
      <c r="N124" s="935" t="str">
        <f>RSD_Commodities!$M$35&amp;"_"&amp;RIGHT(P124,LEN(P124)-3)&amp;"_"&amp;SETUP!$B$67</f>
        <v>SH_Det-G_COAHAR_X0</v>
      </c>
      <c r="O124" s="935" t="str">
        <f>RSD_Commodities!$N$35&amp;"_"&amp;RSD_Commodities!$D$7&amp;"_"&amp;SETUP!$C$67</f>
        <v>Residential Space Heating Detached-G_Anthracite + Manufactured Ovoids to Residential_Existing 00</v>
      </c>
      <c r="P124" s="934" t="str">
        <f>RSD_Commodities!$C$7</f>
        <v>RSDCOAHAR</v>
      </c>
      <c r="Q124" s="935" t="str">
        <f>RSD_Commodities!$M$35</f>
        <v>SH_Det-G</v>
      </c>
      <c r="R124" s="1001">
        <f t="shared" si="67"/>
        <v>7.5396076952093549E-2</v>
      </c>
      <c r="S124" s="937">
        <f>R124*DwellingStocks!$I$70/1000</f>
        <v>0.65275594541932469</v>
      </c>
      <c r="T124" s="935">
        <v>1</v>
      </c>
      <c r="U124" s="954">
        <f t="shared" si="18"/>
        <v>0.42764705882352944</v>
      </c>
      <c r="V124" s="935">
        <v>20</v>
      </c>
      <c r="W124" s="935">
        <v>1</v>
      </c>
      <c r="X124" s="840"/>
      <c r="Y124" s="928">
        <f t="shared" si="68"/>
        <v>1.907251284018063E-2</v>
      </c>
      <c r="Z124" s="929">
        <f t="shared" si="69"/>
        <v>2.3302990769297021E-2</v>
      </c>
      <c r="AA124" s="840"/>
      <c r="AB124" s="933" t="s">
        <v>393</v>
      </c>
      <c r="AC124" s="933" t="str">
        <f t="shared" si="70"/>
        <v>SH_Det-G_COAHAR_X0</v>
      </c>
      <c r="AD124" s="933" t="str">
        <f t="shared" si="70"/>
        <v>Residential Space Heating Detached-G_Anthracite + Manufactured Ovoids to Residential_Existing 00</v>
      </c>
      <c r="AE124" s="933" t="s">
        <v>53</v>
      </c>
      <c r="AF124" s="933" t="s">
        <v>406</v>
      </c>
      <c r="AG124" s="933"/>
      <c r="AH124" s="933"/>
      <c r="AI124" s="840"/>
      <c r="AJ124" s="840"/>
      <c r="AK124" s="840"/>
      <c r="AL124" s="840"/>
      <c r="AM124" s="840"/>
      <c r="AN124" s="840"/>
    </row>
    <row r="125" spans="1:40">
      <c r="A125" s="757" t="s">
        <v>124</v>
      </c>
      <c r="B125" s="757" t="s">
        <v>671</v>
      </c>
      <c r="C125" s="757">
        <f>SUMIFS(INDEX(Table915[],,MATCH(C$6,Table915[#Headers],0)),Table915[MainSpaceHeatingFuel],$B125,Table915[EnergyRating (group)],$A125)</f>
        <v>2934516</v>
      </c>
      <c r="D125" s="757">
        <f>SUMIFS(INDEX(Table915[],,MATCH(D$6,Table915[#Headers],0)),Table915[MainSpaceHeatingFuel],$B125,Table915[EnergyRating (group)],$A125)</f>
        <v>2667740</v>
      </c>
      <c r="E125" s="757">
        <f>SUMIFS(INDEX(Table915[],,MATCH(E$6,Table915[#Headers],0)),Table915[MainSpaceHeatingFuel],$B125,Table915[EnergyRating (group)],$A125)</f>
        <v>459428</v>
      </c>
      <c r="F125" s="757">
        <f>SUMIFS(INDEX(Table915[],,MATCH(F$6,Table915[#Headers],0)),Table915[MainSpaceHeatingFuel],$B125,Table915[EnergyRating (group)],$A125)</f>
        <v>378603</v>
      </c>
      <c r="G125" s="757">
        <f>SUMIFS(INDEX(Table915[],,MATCH(G$6,Table915[#Headers],0)),Table915[MainSpaceHeatingFuel],$B125,Table915[EnergyRating (group)],$A125)</f>
        <v>89</v>
      </c>
      <c r="H125" s="757">
        <f>SUMIFS(INDEX(Table915[],,MATCH(H$6,Table915[#Headers],0)),Table915[MainSpaceHeatingFuel],$B125,Table915[EnergyRating (group)],$A125)</f>
        <v>7212</v>
      </c>
      <c r="I125" s="912">
        <f>AVERAGEIFS(INDEX(Table915[],,MATCH(I$6,Table915[#Headers],0)),Table915[MainSpaceHeatingFuel],$B125,Table915[EnergyRating (group)],$A125)</f>
        <v>51.8125</v>
      </c>
      <c r="J125" s="847">
        <f>SUMIFS(INDEX(Table915[],,MATCH(J$6,Table915[#Headers],0)),Table915[MainSpaceHeatingFuel],$B125,Table915[EnergyRating (group)],$A125)</f>
        <v>4324267</v>
      </c>
      <c r="K125" s="847">
        <f>SUMIFS(INDEX(Table915[],,MATCH(K$6,Table915[#Headers],0)),Table915[MainSpaceHeatingFuel],$B125,Table915[EnergyRating (group)],$A125)</f>
        <v>3703887</v>
      </c>
      <c r="L125" s="840"/>
      <c r="M125" s="840"/>
      <c r="N125" s="914" t="str">
        <f>RSD_Commodities!$M$35&amp;"_"&amp;RIGHT(P125,LEN(P125)-3)&amp;"_"&amp;SETUP!$B$67</f>
        <v>SH_Det-G_PEA_X0</v>
      </c>
      <c r="O125" s="914" t="str">
        <f>RSD_Commodities!$N$35&amp;"_"&amp;RSD_Commodities!D10&amp;"_"&amp;SETUP!$C$67</f>
        <v>Residential Space Heating Detached-G_Peat to Residential_Existing 00</v>
      </c>
      <c r="P125" s="930" t="str">
        <f>RSD_Commodities!$C$10</f>
        <v>RSDPEA</v>
      </c>
      <c r="Q125" s="930" t="str">
        <f>RSD_Commodities!$M$35</f>
        <v>SH_Det-G</v>
      </c>
      <c r="R125" s="1000">
        <f t="shared" si="67"/>
        <v>4.1965296114673707E-3</v>
      </c>
      <c r="S125" s="932">
        <f>R125*DwellingStocks!$I$70/1000</f>
        <v>3.6332257124652843E-2</v>
      </c>
      <c r="T125" s="930">
        <v>1</v>
      </c>
      <c r="U125" s="916">
        <f t="shared" ref="U125:U129" si="71">I125/100</f>
        <v>0.51812499999999995</v>
      </c>
      <c r="V125" s="930">
        <v>20</v>
      </c>
      <c r="W125" s="930">
        <v>1</v>
      </c>
      <c r="X125" s="840"/>
      <c r="Y125" s="926">
        <f t="shared" si="68"/>
        <v>4.5485144040775207E-5</v>
      </c>
      <c r="Z125" s="927">
        <f t="shared" si="69"/>
        <v>5.0675197016988822E-5</v>
      </c>
      <c r="AA125" s="840"/>
      <c r="AB125" s="914" t="s">
        <v>393</v>
      </c>
      <c r="AC125" s="914" t="str">
        <f t="shared" si="70"/>
        <v>SH_Det-G_PEA_X0</v>
      </c>
      <c r="AD125" s="914" t="str">
        <f t="shared" si="70"/>
        <v>Residential Space Heating Detached-G_Peat to Residential_Existing 00</v>
      </c>
      <c r="AE125" s="914" t="s">
        <v>53</v>
      </c>
      <c r="AF125" s="914" t="s">
        <v>406</v>
      </c>
      <c r="AG125" s="914"/>
      <c r="AH125" s="914"/>
      <c r="AI125" s="840"/>
      <c r="AJ125" s="840"/>
      <c r="AK125" s="840"/>
      <c r="AL125" s="840"/>
      <c r="AM125" s="840"/>
      <c r="AN125" s="840"/>
    </row>
    <row r="126" spans="1:40">
      <c r="A126" s="758" t="s">
        <v>124</v>
      </c>
      <c r="B126" s="758" t="s">
        <v>666</v>
      </c>
      <c r="C126" s="758">
        <f>SUMIFS(INDEX(Table915[],,MATCH(C$6,Table915[#Headers],0)),Table915[MainSpaceHeatingFuel],$B126,Table915[EnergyRating (group)],$A126)</f>
        <v>20767891</v>
      </c>
      <c r="D126" s="758">
        <f>SUMIFS(INDEX(Table915[],,MATCH(D$6,Table915[#Headers],0)),Table915[MainSpaceHeatingFuel],$B126,Table915[EnergyRating (group)],$A126)</f>
        <v>18879900</v>
      </c>
      <c r="E126" s="759">
        <f>SUMIFS(INDEX(Table915[],,MATCH(E$6,Table915[#Headers],0)),Table915[MainSpaceHeatingFuel],$B126,Table915[EnergyRating (group)],$A126)</f>
        <v>2297361</v>
      </c>
      <c r="F126" s="759">
        <f>SUMIFS(INDEX(Table915[],,MATCH(F$6,Table915[#Headers],0)),Table915[MainSpaceHeatingFuel],$B126,Table915[EnergyRating (group)],$A126)</f>
        <v>1861856</v>
      </c>
      <c r="G126" s="758">
        <f>SUMIFS(INDEX(Table915[],,MATCH(G$6,Table915[#Headers],0)),Table915[MainSpaceHeatingFuel],$B126,Table915[EnergyRating (group)],$A126)</f>
        <v>524</v>
      </c>
      <c r="H126" s="758">
        <f>SUMIFS(INDEX(Table915[],,MATCH(H$6,Table915[#Headers],0)),Table915[MainSpaceHeatingFuel],$B126,Table915[EnergyRating (group)],$A126)</f>
        <v>39617</v>
      </c>
      <c r="I126" s="911">
        <f>AVERAGEIFS(INDEX(Table915[],,MATCH(I$6,Table915[#Headers],0)),Table915[MainSpaceHeatingFuel],$B126,Table915[EnergyRating (group)],$A126)</f>
        <v>47.368421052631582</v>
      </c>
      <c r="J126" s="849">
        <f>SUMIFS(INDEX(Table915[],,MATCH(J$6,Table915[#Headers],0)),Table915[MainSpaceHeatingFuel],$B126,Table915[EnergyRating (group)],$A126)</f>
        <v>28435825</v>
      </c>
      <c r="K126" s="849">
        <f>SUMIFS(INDEX(Table915[],,MATCH(K$6,Table915[#Headers],0)),Table915[MainSpaceHeatingFuel],$B126,Table915[EnergyRating (group)],$A126)</f>
        <v>23983917</v>
      </c>
      <c r="L126" s="840"/>
      <c r="M126" s="840"/>
      <c r="N126" s="933" t="str">
        <f>RSD_Commodities!$M$35&amp;"_"&amp;RIGHT(P126,LEN(P126)-3)&amp;"_"&amp;SETUP!$B$67</f>
        <v>SH_Det-G_COABIT_X0</v>
      </c>
      <c r="O126" s="933" t="str">
        <f>RSD_Commodities!$N$35&amp;"_"&amp;RSD_Commodities!$D$6&amp;"_"&amp;SETUP!$C$67</f>
        <v>Residential Space Heating Detached-G_Bituminous Coal to Residential_Existing 00</v>
      </c>
      <c r="P126" s="935" t="str">
        <f>RSD_Commodities!$C$6</f>
        <v>RSDCOABIT</v>
      </c>
      <c r="Q126" s="935" t="str">
        <f>RSD_Commodities!$M$35</f>
        <v>SH_Det-G</v>
      </c>
      <c r="R126" s="1001">
        <f t="shared" si="67"/>
        <v>2.4707657487740474E-2</v>
      </c>
      <c r="S126" s="937">
        <f>R126*DwellingStocks!$I$70/1000</f>
        <v>0.21391126666649538</v>
      </c>
      <c r="T126" s="935">
        <v>1</v>
      </c>
      <c r="U126" s="954">
        <f t="shared" si="71"/>
        <v>0.47368421052631582</v>
      </c>
      <c r="V126" s="935">
        <v>20</v>
      </c>
      <c r="W126" s="935">
        <v>1</v>
      </c>
      <c r="X126" s="840"/>
      <c r="Y126" s="926">
        <f t="shared" si="68"/>
        <v>1.823381629663307E-3</v>
      </c>
      <c r="Z126" s="927">
        <f t="shared" si="69"/>
        <v>2.0276372347816096E-3</v>
      </c>
      <c r="AA126" s="840"/>
      <c r="AB126" s="933" t="s">
        <v>393</v>
      </c>
      <c r="AC126" s="933" t="str">
        <f t="shared" si="70"/>
        <v>SH_Det-G_COABIT_X0</v>
      </c>
      <c r="AD126" s="933" t="str">
        <f t="shared" si="70"/>
        <v>Residential Space Heating Detached-G_Bituminous Coal to Residential_Existing 00</v>
      </c>
      <c r="AE126" s="933" t="s">
        <v>53</v>
      </c>
      <c r="AF126" s="933" t="s">
        <v>406</v>
      </c>
      <c r="AG126" s="933"/>
      <c r="AH126" s="933"/>
      <c r="AI126" s="840"/>
      <c r="AJ126" s="840"/>
      <c r="AK126" s="840"/>
      <c r="AL126" s="840"/>
      <c r="AM126" s="840"/>
      <c r="AN126" s="840"/>
    </row>
    <row r="127" spans="1:40">
      <c r="A127" s="757" t="s">
        <v>124</v>
      </c>
      <c r="B127" s="757" t="s">
        <v>667</v>
      </c>
      <c r="C127" s="757">
        <f>SUMIFS(INDEX(Table915[],,MATCH(C$6,Table915[#Headers],0)),Table915[MainSpaceHeatingFuel],$B127,Table915[EnergyRating (group)],$A127)</f>
        <v>1316610</v>
      </c>
      <c r="D127" s="757">
        <f>SUMIFS(INDEX(Table915[],,MATCH(D$6,Table915[#Headers],0)),Table915[MainSpaceHeatingFuel],$B127,Table915[EnergyRating (group)],$A127)</f>
        <v>1196917</v>
      </c>
      <c r="E127" s="757">
        <f>SUMIFS(INDEX(Table915[],,MATCH(E$6,Table915[#Headers],0)),Table915[MainSpaceHeatingFuel],$B127,Table915[EnergyRating (group)],$A127)</f>
        <v>153267</v>
      </c>
      <c r="F127" s="757">
        <f>SUMIFS(INDEX(Table915[],,MATCH(F$6,Table915[#Headers],0)),Table915[MainSpaceHeatingFuel],$B127,Table915[EnergyRating (group)],$A127)</f>
        <v>128014</v>
      </c>
      <c r="G127" s="757">
        <f>SUMIFS(INDEX(Table915[],,MATCH(G$6,Table915[#Headers],0)),Table915[MainSpaceHeatingFuel],$B127,Table915[EnergyRating (group)],$A127)</f>
        <v>38</v>
      </c>
      <c r="H127" s="757">
        <f>SUMIFS(INDEX(Table915[],,MATCH(H$6,Table915[#Headers],0)),Table915[MainSpaceHeatingFuel],$B127,Table915[EnergyRating (group)],$A127)</f>
        <v>2915</v>
      </c>
      <c r="I127" s="912">
        <f>AVERAGEIFS(INDEX(Table915[],,MATCH(I$6,Table915[#Headers],0)),Table915[MainSpaceHeatingFuel],$B127,Table915[EnergyRating (group)],$A127)</f>
        <v>50.125</v>
      </c>
      <c r="J127" s="847">
        <f>SUMIFS(INDEX(Table915[],,MATCH(J$6,Table915[#Headers],0)),Table915[MainSpaceHeatingFuel],$B127,Table915[EnergyRating (group)],$A127)</f>
        <v>1845702</v>
      </c>
      <c r="K127" s="847">
        <f>SUMIFS(INDEX(Table915[],,MATCH(K$6,Table915[#Headers],0)),Table915[MainSpaceHeatingFuel],$B127,Table915[EnergyRating (group)],$A127)</f>
        <v>1585250</v>
      </c>
      <c r="L127" s="840"/>
      <c r="M127" s="840"/>
      <c r="N127" s="914" t="str">
        <f>RSD_Commodities!$M$35&amp;"_"&amp;RIGHT(P127,LEN(P127)-3)&amp;"_"&amp;SETUP!$B$68</f>
        <v>SH_Det-G_PEA_X1</v>
      </c>
      <c r="O127" s="914" t="str">
        <f>RSD_Commodities!$N$35&amp;"_"&amp;RSD_Commodities!D10&amp;"_"&amp;SETUP!$C$68</f>
        <v>Residential Space Heating Detached-G_Peat to Residential_Existing 01</v>
      </c>
      <c r="P127" s="930" t="str">
        <f>RSD_Commodities!$C$10</f>
        <v>RSDPEA</v>
      </c>
      <c r="Q127" s="930" t="str">
        <f>RSD_Commodities!$M$35</f>
        <v>SH_Det-G</v>
      </c>
      <c r="R127" s="1000">
        <f t="shared" si="67"/>
        <v>1.7917766880422483E-3</v>
      </c>
      <c r="S127" s="932">
        <f>R127*DwellingStocks!$I$70/1000</f>
        <v>1.551264910940234E-2</v>
      </c>
      <c r="T127" s="930">
        <v>1</v>
      </c>
      <c r="U127" s="916">
        <f t="shared" si="71"/>
        <v>0.50124999999999997</v>
      </c>
      <c r="V127" s="930">
        <v>20</v>
      </c>
      <c r="W127" s="930">
        <v>1</v>
      </c>
      <c r="X127" s="840"/>
      <c r="Y127" s="928">
        <f t="shared" si="68"/>
        <v>8.4465163139052958E-6</v>
      </c>
      <c r="Z127" s="929">
        <f t="shared" si="69"/>
        <v>9.3705559458825985E-6</v>
      </c>
      <c r="AA127" s="840"/>
      <c r="AB127" s="914" t="s">
        <v>393</v>
      </c>
      <c r="AC127" s="914" t="str">
        <f t="shared" si="70"/>
        <v>SH_Det-G_PEA_X1</v>
      </c>
      <c r="AD127" s="914" t="str">
        <f t="shared" si="70"/>
        <v>Residential Space Heating Detached-G_Peat to Residential_Existing 01</v>
      </c>
      <c r="AE127" s="914" t="s">
        <v>53</v>
      </c>
      <c r="AF127" s="914" t="s">
        <v>406</v>
      </c>
      <c r="AG127" s="914"/>
      <c r="AH127" s="914"/>
      <c r="AI127" s="840"/>
      <c r="AJ127" s="840"/>
      <c r="AK127" s="840"/>
      <c r="AL127" s="840"/>
      <c r="AM127" s="840"/>
      <c r="AN127" s="840"/>
    </row>
    <row r="128" spans="1:40">
      <c r="A128" s="758" t="s">
        <v>124</v>
      </c>
      <c r="B128" s="758" t="s">
        <v>673</v>
      </c>
      <c r="C128" s="758">
        <f>SUMIFS(INDEX(Table915[],,MATCH(C$6,Table915[#Headers],0)),Table915[MainSpaceHeatingFuel],$B128,Table915[EnergyRating (group)],$A128)</f>
        <v>1336676</v>
      </c>
      <c r="D128" s="758">
        <f>SUMIFS(INDEX(Table915[],,MATCH(D$6,Table915[#Headers],0)),Table915[MainSpaceHeatingFuel],$B128,Table915[EnergyRating (group)],$A128)</f>
        <v>1215159</v>
      </c>
      <c r="E128" s="759">
        <f>SUMIFS(INDEX(Table915[],,MATCH(E$6,Table915[#Headers],0)),Table915[MainSpaceHeatingFuel],$B128,Table915[EnergyRating (group)],$A128)</f>
        <v>162270</v>
      </c>
      <c r="F128" s="759">
        <f>SUMIFS(INDEX(Table915[],,MATCH(F$6,Table915[#Headers],0)),Table915[MainSpaceHeatingFuel],$B128,Table915[EnergyRating (group)],$A128)</f>
        <v>116462</v>
      </c>
      <c r="G128" s="758">
        <f>SUMIFS(INDEX(Table915[],,MATCH(G$6,Table915[#Headers],0)),Table915[MainSpaceHeatingFuel],$B128,Table915[EnergyRating (group)],$A128)</f>
        <v>37</v>
      </c>
      <c r="H128" s="758">
        <f>SUMIFS(INDEX(Table915[],,MATCH(H$6,Table915[#Headers],0)),Table915[MainSpaceHeatingFuel],$B128,Table915[EnergyRating (group)],$A128)</f>
        <v>2739</v>
      </c>
      <c r="I128" s="950">
        <f>AVERAGEIFS(INDEX(Table915[],,MATCH(I$6,Table915[#Headers],0)),Table915[MainSpaceHeatingFuel],$B128,Table915[EnergyRating (group)],$A128)</f>
        <v>50.238095238095241</v>
      </c>
      <c r="J128" s="849">
        <f>SUMIFS(INDEX(Table915[],,MATCH(J$6,Table915[#Headers],0)),Table915[MainSpaceHeatingFuel],$B128,Table915[EnergyRating (group)],$A128)</f>
        <v>1826818</v>
      </c>
      <c r="K128" s="849">
        <f>SUMIFS(INDEX(Table915[],,MATCH(K$6,Table915[#Headers],0)),Table915[MainSpaceHeatingFuel],$B128,Table915[EnergyRating (group)],$A128)</f>
        <v>1537569</v>
      </c>
      <c r="L128" s="840"/>
      <c r="M128" s="840"/>
      <c r="N128" s="933" t="str">
        <f>RSD_Commodities!$M26&amp;"_"&amp;RIGHT(P128,LEN(P128)-3)&amp;"_"&amp;SETUP!$B$68</f>
        <v>SH_Att-G_BIOWOO_X1</v>
      </c>
      <c r="O128" s="933" t="str">
        <f>RSD_Commodities!$N$35&amp;"_"&amp;RSD_Commodities!D19&amp;"_"&amp;SETUP!$C$68</f>
        <v>Residential Space Heating Detached-G_Biomass &amp; Renewable Waste to Residential_Existing 01</v>
      </c>
      <c r="P128" s="935" t="str">
        <f>RSD_Commodities!$C$19</f>
        <v>RSDBIOWOO</v>
      </c>
      <c r="Q128" s="935" t="str">
        <f>RSD_Commodities!$M$35</f>
        <v>SH_Det-G</v>
      </c>
      <c r="R128" s="1001">
        <f t="shared" si="67"/>
        <v>1.7446246699358732E-3</v>
      </c>
      <c r="S128" s="937">
        <f>R128*DwellingStocks!$I$70/1000</f>
        <v>1.5104421501260172E-2</v>
      </c>
      <c r="T128" s="935">
        <v>1</v>
      </c>
      <c r="U128" s="954">
        <f t="shared" si="71"/>
        <v>0.50238095238095237</v>
      </c>
      <c r="V128" s="935">
        <v>20</v>
      </c>
      <c r="W128" s="935">
        <v>1</v>
      </c>
      <c r="X128" s="840"/>
      <c r="Y128" s="926">
        <f t="shared" si="68"/>
        <v>8.2657663824368106E-6</v>
      </c>
      <c r="Z128" s="927">
        <f t="shared" si="69"/>
        <v>9.3044022705320258E-6</v>
      </c>
      <c r="AA128" s="840"/>
      <c r="AB128" s="933" t="s">
        <v>393</v>
      </c>
      <c r="AC128" s="933" t="str">
        <f t="shared" si="70"/>
        <v>SH_Att-G_BIOWOO_X1</v>
      </c>
      <c r="AD128" s="933" t="str">
        <f t="shared" si="70"/>
        <v>Residential Space Heating Detached-G_Biomass &amp; Renewable Waste to Residential_Existing 01</v>
      </c>
      <c r="AE128" s="933" t="s">
        <v>53</v>
      </c>
      <c r="AF128" s="933" t="s">
        <v>406</v>
      </c>
      <c r="AG128" s="933"/>
      <c r="AH128" s="933"/>
      <c r="AI128" s="840"/>
      <c r="AJ128" s="840"/>
      <c r="AK128" s="840"/>
      <c r="AL128" s="840"/>
      <c r="AM128" s="840"/>
      <c r="AN128" s="840"/>
    </row>
    <row r="129" spans="1:41">
      <c r="A129" s="757" t="s">
        <v>124</v>
      </c>
      <c r="B129" s="993" t="s">
        <v>722</v>
      </c>
      <c r="C129" s="757">
        <f>SUMIFS(INDEX(Table915[],,MATCH(C$6,Table915[#Headers],0)),Table915[MainSpaceHeatingFuel],$B129,Table915[EnergyRating (group)],$A129)</f>
        <v>89076</v>
      </c>
      <c r="D129" s="757">
        <f>SUMIFS(INDEX(Table915[],,MATCH(D$6,Table915[#Headers],0)),Table915[MainSpaceHeatingFuel],$B129,Table915[EnergyRating (group)],$A129)</f>
        <v>80979</v>
      </c>
      <c r="E129" s="760">
        <f>SUMIFS(INDEX(Table915[],,MATCH(E$6,Table915[#Headers],0)),Table915[MainSpaceHeatingFuel],$B129,Table915[EnergyRating (group)],$A129)</f>
        <v>18224</v>
      </c>
      <c r="F129" s="760">
        <f>SUMIFS(INDEX(Table915[],,MATCH(F$6,Table915[#Headers],0)),Table915[MainSpaceHeatingFuel],$B129,Table915[EnergyRating (group)],$A129)</f>
        <v>14321</v>
      </c>
      <c r="G129" s="757">
        <f>SUMIFS(INDEX(Table915[],,MATCH(G$6,Table915[#Headers],0)),Table915[MainSpaceHeatingFuel],$B129,Table915[EnergyRating (group)],$A129)</f>
        <v>3</v>
      </c>
      <c r="H129" s="757">
        <f>SUMIFS(INDEX(Table915[],,MATCH(H$6,Table915[#Headers],0)),Table915[MainSpaceHeatingFuel],$B129,Table915[EnergyRating (group)],$A129)</f>
        <v>224</v>
      </c>
      <c r="I129" s="912">
        <f>AVERAGEIFS(INDEX(Table915[],,MATCH(I$6,Table915[#Headers],0)),Table915[MainSpaceHeatingFuel],$B129,Table915[EnergyRating (group)],$A129)</f>
        <v>60</v>
      </c>
      <c r="J129" s="847">
        <f>SUMIFS(INDEX(Table915[],,MATCH(J$6,Table915[#Headers],0)),Table915[MainSpaceHeatingFuel],$B129,Table915[EnergyRating (group)],$A129)</f>
        <v>132029</v>
      </c>
      <c r="K129" s="847">
        <f>SUMIFS(INDEX(Table915[],,MATCH(K$6,Table915[#Headers],0)),Table915[MainSpaceHeatingFuel],$B129,Table915[EnergyRating (group)],$A129)</f>
        <v>109846</v>
      </c>
      <c r="L129" s="840"/>
      <c r="M129" s="840"/>
      <c r="N129" s="914" t="str">
        <f>RSD_Commodities!$M$35&amp;"_"&amp;RIGHT(P129,LEN(P129)-3)&amp;"_"&amp;SETUP!$B$69</f>
        <v>SH_Det-G_BIOWOO_X2</v>
      </c>
      <c r="O129" s="914" t="str">
        <f>RSD_Commodities!$N$35&amp;"_"&amp;RSD_Commodities!D19&amp;"_"&amp;SETUP!$C$69</f>
        <v>Residential Space Heating Detached-G_Biomass &amp; Renewable Waste to Residential_Existing 02</v>
      </c>
      <c r="P129" s="930" t="str">
        <f>RSD_Commodities!$C$19</f>
        <v>RSDBIOWOO</v>
      </c>
      <c r="Q129" s="930" t="str">
        <f>RSD_Commodities!$M$35</f>
        <v>SH_Det-G</v>
      </c>
      <c r="R129" s="1000">
        <f t="shared" si="67"/>
        <v>1.4145605431912486E-4</v>
      </c>
      <c r="S129" s="932">
        <f>R129*DwellingStocks!$I$70/1000</f>
        <v>1.2246828244265005E-3</v>
      </c>
      <c r="T129" s="930">
        <v>1</v>
      </c>
      <c r="U129" s="916">
        <f t="shared" si="71"/>
        <v>0.6</v>
      </c>
      <c r="V129" s="930">
        <v>20</v>
      </c>
      <c r="W129" s="930">
        <v>1</v>
      </c>
      <c r="X129" s="840"/>
      <c r="Y129" s="928">
        <f t="shared" si="68"/>
        <v>4.7963947877196788E-8</v>
      </c>
      <c r="Z129" s="929">
        <f t="shared" si="69"/>
        <v>5.40034796140946E-8</v>
      </c>
      <c r="AA129" s="840"/>
      <c r="AB129" s="914" t="s">
        <v>393</v>
      </c>
      <c r="AC129" s="914" t="str">
        <f t="shared" si="70"/>
        <v>SH_Det-G_BIOWOO_X2</v>
      </c>
      <c r="AD129" s="914" t="str">
        <f t="shared" si="70"/>
        <v>Residential Space Heating Detached-G_Biomass &amp; Renewable Waste to Residential_Existing 02</v>
      </c>
      <c r="AE129" s="914" t="s">
        <v>53</v>
      </c>
      <c r="AF129" s="914" t="s">
        <v>406</v>
      </c>
      <c r="AG129" s="914"/>
      <c r="AH129" s="914"/>
      <c r="AI129" s="840"/>
      <c r="AJ129" s="840"/>
      <c r="AK129" s="840"/>
      <c r="AL129" s="840"/>
      <c r="AM129" s="840"/>
      <c r="AN129" s="840"/>
    </row>
    <row r="130" spans="1:41">
      <c r="A130" s="758" t="s">
        <v>124</v>
      </c>
      <c r="B130" s="758" t="s">
        <v>674</v>
      </c>
      <c r="C130" s="758">
        <f>SUMIFS(INDEX(Table915[],,MATCH(C$6,Table915[#Headers],0)),Table915[MainSpaceHeatingFuel],$B130,Table915[EnergyRating (group)],$A130)</f>
        <v>211642</v>
      </c>
      <c r="D130" s="758">
        <f>SUMIFS(INDEX(Table915[],,MATCH(D$6,Table915[#Headers],0)),Table915[MainSpaceHeatingFuel],$B130,Table915[EnergyRating (group)],$A130)</f>
        <v>192403</v>
      </c>
      <c r="E130" s="759">
        <f>SUMIFS(INDEX(Table915[],,MATCH(E$6,Table915[#Headers],0)),Table915[MainSpaceHeatingFuel],$B130,Table915[EnergyRating (group)],$A130)</f>
        <v>23560</v>
      </c>
      <c r="F130" s="759">
        <f>SUMIFS(INDEX(Table915[],,MATCH(F$6,Table915[#Headers],0)),Table915[MainSpaceHeatingFuel],$B130,Table915[EnergyRating (group)],$A130)</f>
        <v>23169</v>
      </c>
      <c r="G130" s="758">
        <f>SUMIFS(INDEX(Table915[],,MATCH(G$6,Table915[#Headers],0)),Table915[MainSpaceHeatingFuel],$B130,Table915[EnergyRating (group)],$A130)</f>
        <v>6</v>
      </c>
      <c r="H130" s="758">
        <f>SUMIFS(INDEX(Table915[],,MATCH(H$6,Table915[#Headers],0)),Table915[MainSpaceHeatingFuel],$B130,Table915[EnergyRating (group)],$A130)</f>
        <v>434</v>
      </c>
      <c r="I130" s="950">
        <f>AVERAGEIFS(INDEX(Table915[],,MATCH(I$6,Table915[#Headers],0)),Table915[MainSpaceHeatingFuel],$B130,Table915[EnergyRating (group)],$A130)</f>
        <v>45</v>
      </c>
      <c r="J130" s="849">
        <f>SUMIFS(INDEX(Table915[],,MATCH(J$6,Table915[#Headers],0)),Table915[MainSpaceHeatingFuel],$B130,Table915[EnergyRating (group)],$A130)</f>
        <v>298910</v>
      </c>
      <c r="K130" s="849">
        <f>SUMIFS(INDEX(Table915[],,MATCH(K$6,Table915[#Headers],0)),Table915[MainSpaceHeatingFuel],$B130,Table915[EnergyRating (group)],$A130)</f>
        <v>256337</v>
      </c>
      <c r="L130" s="840"/>
      <c r="M130" s="840"/>
      <c r="N130" s="933" t="str">
        <f>RSD_Commodities!$M$35&amp;"_"&amp;RIGHT(P130,LEN(P130)-3)&amp;"_"&amp;SETUP!$B$68</f>
        <v>SH_Det-G_COAHAR_X1</v>
      </c>
      <c r="O130" s="933" t="str">
        <f>RSD_Commodities!$N$35&amp;"_"&amp;RSD_Commodities!D7&amp;"_"&amp;SETUP!$C$68</f>
        <v>Residential Space Heating Detached-G_Anthracite + Manufactured Ovoids to Residential_Existing 01</v>
      </c>
      <c r="P130" s="935" t="str">
        <f>RSD_Commodities!$C$7</f>
        <v>RSDCOAHAR</v>
      </c>
      <c r="Q130" s="935" t="str">
        <f>RSD_Commodities!$M$35</f>
        <v>SH_Det-G</v>
      </c>
      <c r="R130" s="1001">
        <f t="shared" si="67"/>
        <v>2.8291210863824973E-4</v>
      </c>
      <c r="S130" s="937">
        <f>R130*DwellingStocks!$I$70/1000</f>
        <v>2.4493656488530011E-3</v>
      </c>
      <c r="T130" s="935">
        <v>1</v>
      </c>
      <c r="U130" s="954">
        <f t="shared" ref="U130" si="72">I130/100</f>
        <v>0.45</v>
      </c>
      <c r="V130" s="935">
        <v>20</v>
      </c>
      <c r="W130" s="935">
        <v>1</v>
      </c>
      <c r="X130" s="840"/>
      <c r="Y130" s="926">
        <f t="shared" ref="Y130" si="73">ABS((D130+F130)*S130*1000*$B$2)</f>
        <v>2.1699232259775585E-7</v>
      </c>
      <c r="Z130" s="927">
        <f t="shared" ref="Z130" si="74">ABS((C130+E130)*S130*1000*$B$2)</f>
        <v>2.3675165726363985E-7</v>
      </c>
      <c r="AA130" s="840"/>
      <c r="AB130" s="933" t="s">
        <v>393</v>
      </c>
      <c r="AC130" s="933" t="str">
        <f t="shared" ref="AC130" si="75">N130</f>
        <v>SH_Det-G_COAHAR_X1</v>
      </c>
      <c r="AD130" s="933" t="str">
        <f t="shared" ref="AD130" si="76">O130</f>
        <v>Residential Space Heating Detached-G_Anthracite + Manufactured Ovoids to Residential_Existing 01</v>
      </c>
      <c r="AE130" s="933" t="s">
        <v>53</v>
      </c>
      <c r="AF130" s="933" t="s">
        <v>406</v>
      </c>
      <c r="AG130" s="933"/>
      <c r="AH130" s="933"/>
      <c r="AI130" s="840"/>
      <c r="AJ130" s="840"/>
      <c r="AK130" s="840"/>
      <c r="AL130" s="840"/>
      <c r="AM130" s="840"/>
      <c r="AN130" s="840"/>
    </row>
    <row r="131" spans="1:41">
      <c r="A131" s="840"/>
      <c r="B131" s="840"/>
      <c r="C131" s="840"/>
      <c r="D131" s="840"/>
      <c r="E131" s="840"/>
      <c r="F131" s="840"/>
      <c r="G131" s="840"/>
      <c r="H131" s="840"/>
      <c r="I131" s="840"/>
      <c r="J131" s="840"/>
      <c r="K131" s="840"/>
      <c r="L131" s="840"/>
      <c r="M131" s="840"/>
      <c r="N131" s="840"/>
      <c r="O131" s="840"/>
      <c r="P131" s="840"/>
      <c r="Q131" s="840"/>
      <c r="R131" s="840"/>
      <c r="S131" s="840"/>
      <c r="T131" s="840"/>
      <c r="U131" s="840"/>
      <c r="V131" s="840"/>
      <c r="W131" s="840"/>
      <c r="X131" s="840"/>
      <c r="Y131" s="840"/>
      <c r="Z131" s="840"/>
      <c r="AA131" s="840"/>
      <c r="AB131" s="840"/>
      <c r="AC131" s="840"/>
      <c r="AD131" s="840"/>
      <c r="AE131" s="840"/>
      <c r="AF131" s="840"/>
      <c r="AG131" s="840"/>
      <c r="AH131" s="840"/>
      <c r="AI131" s="840"/>
      <c r="AJ131" s="840"/>
      <c r="AK131" s="840"/>
      <c r="AL131" s="840"/>
      <c r="AM131" s="840"/>
      <c r="AN131" s="840"/>
      <c r="AO131" s="840"/>
    </row>
    <row r="132" spans="1:41">
      <c r="A132" s="840"/>
      <c r="B132" s="840"/>
      <c r="C132" s="840"/>
      <c r="D132" s="840"/>
      <c r="E132" s="840"/>
      <c r="F132" s="840"/>
      <c r="G132" s="840"/>
      <c r="H132" s="840"/>
      <c r="I132" s="840"/>
      <c r="J132" s="840"/>
      <c r="K132" s="840"/>
      <c r="L132" s="840"/>
      <c r="M132" s="840"/>
      <c r="N132" s="840"/>
      <c r="O132" s="840"/>
      <c r="P132" s="840"/>
      <c r="Q132" s="840"/>
      <c r="R132" s="840"/>
      <c r="S132" s="840"/>
      <c r="T132" s="840"/>
      <c r="U132" s="840"/>
      <c r="V132" s="840"/>
      <c r="W132" s="840"/>
      <c r="X132" s="840"/>
      <c r="Y132" s="840"/>
      <c r="Z132" s="840"/>
      <c r="AA132" s="840"/>
      <c r="AB132" s="840"/>
      <c r="AC132" s="840"/>
      <c r="AD132" s="840"/>
      <c r="AE132" s="840"/>
      <c r="AF132" s="840"/>
      <c r="AG132" s="840"/>
      <c r="AH132" s="840"/>
      <c r="AI132" s="840"/>
      <c r="AJ132" s="840"/>
      <c r="AK132" s="840"/>
      <c r="AL132" s="840"/>
      <c r="AM132" s="840"/>
      <c r="AN132" s="840"/>
      <c r="AO132" s="840"/>
    </row>
    <row r="133" spans="1:41" ht="21">
      <c r="A133" s="840"/>
      <c r="B133" s="840"/>
      <c r="C133" s="840"/>
      <c r="D133" s="840"/>
      <c r="E133" s="840"/>
      <c r="F133" s="840"/>
      <c r="G133" s="840">
        <f>SUM(G237:G252)</f>
        <v>20719</v>
      </c>
      <c r="H133" s="840"/>
      <c r="I133" s="840"/>
      <c r="J133" s="840"/>
      <c r="K133" s="840"/>
      <c r="L133" s="840"/>
      <c r="M133" s="840"/>
      <c r="N133" s="138" t="s">
        <v>836</v>
      </c>
      <c r="O133" s="138"/>
      <c r="P133" s="138"/>
      <c r="Q133" s="142" t="s">
        <v>372</v>
      </c>
      <c r="R133" s="85"/>
      <c r="S133" s="85"/>
      <c r="T133" s="85"/>
      <c r="U133" s="85"/>
      <c r="V133" s="85"/>
      <c r="W133" s="85"/>
      <c r="X133" s="90"/>
      <c r="Y133" s="96" t="s">
        <v>561</v>
      </c>
      <c r="Z133" s="866"/>
      <c r="AA133" s="840"/>
      <c r="AB133" s="68" t="s">
        <v>373</v>
      </c>
      <c r="AC133" s="68"/>
      <c r="AD133" s="839"/>
      <c r="AE133" s="839"/>
      <c r="AF133" s="839"/>
      <c r="AG133" s="839"/>
      <c r="AH133" s="839"/>
      <c r="AI133" s="840"/>
      <c r="AJ133" s="840"/>
      <c r="AK133" s="840"/>
      <c r="AL133" s="840"/>
      <c r="AM133" s="840"/>
      <c r="AN133" s="840"/>
      <c r="AO133" s="840"/>
    </row>
    <row r="134" spans="1:41" ht="21.75" thickBot="1">
      <c r="A134" s="139" t="s">
        <v>835</v>
      </c>
      <c r="B134" s="139"/>
      <c r="C134" s="139"/>
      <c r="D134" s="139"/>
      <c r="E134" s="139"/>
      <c r="F134" s="139"/>
      <c r="G134" s="139"/>
      <c r="H134" s="139"/>
      <c r="I134" s="139"/>
      <c r="J134" s="139"/>
      <c r="K134" s="139"/>
      <c r="L134" s="840"/>
      <c r="M134" s="840"/>
      <c r="N134" s="73" t="s">
        <v>374</v>
      </c>
      <c r="O134" s="73" t="s">
        <v>397</v>
      </c>
      <c r="P134" s="73" t="s">
        <v>376</v>
      </c>
      <c r="Q134" s="73" t="s">
        <v>377</v>
      </c>
      <c r="R134" s="73" t="s">
        <v>562</v>
      </c>
      <c r="S134" s="86" t="s">
        <v>398</v>
      </c>
      <c r="T134" s="73" t="s">
        <v>811</v>
      </c>
      <c r="U134" s="86" t="s">
        <v>378</v>
      </c>
      <c r="V134" s="86" t="s">
        <v>380</v>
      </c>
      <c r="W134" s="86" t="s">
        <v>400</v>
      </c>
      <c r="X134" s="91"/>
      <c r="Y134" s="94" t="s">
        <v>563</v>
      </c>
      <c r="Z134" s="95" t="s">
        <v>564</v>
      </c>
      <c r="AA134" s="840"/>
      <c r="AB134" s="73" t="s">
        <v>385</v>
      </c>
      <c r="AC134" s="73" t="s">
        <v>374</v>
      </c>
      <c r="AD134" s="73" t="s">
        <v>375</v>
      </c>
      <c r="AE134" s="73" t="s">
        <v>386</v>
      </c>
      <c r="AF134" s="73" t="s">
        <v>387</v>
      </c>
      <c r="AG134" s="73" t="s">
        <v>388</v>
      </c>
      <c r="AH134" s="73" t="s">
        <v>389</v>
      </c>
      <c r="AI134" s="840"/>
      <c r="AJ134" s="840"/>
      <c r="AK134" s="840"/>
      <c r="AL134" s="840"/>
      <c r="AM134" s="840"/>
      <c r="AN134" s="840"/>
      <c r="AO134" s="840"/>
    </row>
    <row r="135" spans="1:41" ht="26.25" customHeight="1" thickBot="1">
      <c r="A135" s="756" t="s">
        <v>108</v>
      </c>
      <c r="B135" s="756"/>
      <c r="C135" s="756" t="s">
        <v>565</v>
      </c>
      <c r="D135" s="756" t="s">
        <v>565</v>
      </c>
      <c r="E135" s="756" t="s">
        <v>565</v>
      </c>
      <c r="F135" s="756" t="s">
        <v>565</v>
      </c>
      <c r="G135" s="756" t="s">
        <v>825</v>
      </c>
      <c r="H135" s="756" t="s">
        <v>567</v>
      </c>
      <c r="I135" s="951" t="s">
        <v>826</v>
      </c>
      <c r="J135" s="756" t="s">
        <v>565</v>
      </c>
      <c r="K135" s="962" t="s">
        <v>565</v>
      </c>
      <c r="L135" s="135"/>
      <c r="M135" s="840"/>
      <c r="N135" s="74" t="s">
        <v>402</v>
      </c>
      <c r="O135" s="74" t="s">
        <v>403</v>
      </c>
      <c r="P135" s="74" t="s">
        <v>404</v>
      </c>
      <c r="Q135" s="74" t="s">
        <v>405</v>
      </c>
      <c r="R135" s="74"/>
      <c r="S135" s="89" t="s">
        <v>406</v>
      </c>
      <c r="T135" s="74"/>
      <c r="U135" s="87" t="s">
        <v>568</v>
      </c>
      <c r="V135" s="87"/>
      <c r="W135" s="87"/>
      <c r="X135" s="92"/>
      <c r="Y135" s="732" t="s">
        <v>53</v>
      </c>
      <c r="Z135" s="733" t="s">
        <v>53</v>
      </c>
      <c r="AA135" s="92"/>
      <c r="AB135" s="75" t="s">
        <v>370</v>
      </c>
      <c r="AC135" s="75"/>
      <c r="AD135" s="74"/>
      <c r="AE135" s="75"/>
      <c r="AF135" s="75"/>
      <c r="AG135" s="75"/>
      <c r="AH135" s="75"/>
      <c r="AI135" s="840"/>
      <c r="AJ135" s="840"/>
      <c r="AK135" s="840"/>
      <c r="AL135" s="840"/>
      <c r="AM135" s="840"/>
      <c r="AN135" s="840"/>
      <c r="AO135" s="840"/>
    </row>
    <row r="136" spans="1:41" ht="26.25" customHeight="1" thickBot="1">
      <c r="A136" s="945" t="s">
        <v>569</v>
      </c>
      <c r="B136" s="946" t="s">
        <v>589</v>
      </c>
      <c r="C136" s="946" t="s">
        <v>659</v>
      </c>
      <c r="D136" s="946" t="s">
        <v>660</v>
      </c>
      <c r="E136" s="946" t="s">
        <v>661</v>
      </c>
      <c r="F136" s="946" t="s">
        <v>662</v>
      </c>
      <c r="G136" s="946" t="s">
        <v>575</v>
      </c>
      <c r="H136" s="946" t="s">
        <v>576</v>
      </c>
      <c r="I136" s="958" t="s">
        <v>827</v>
      </c>
      <c r="J136" s="945" t="s">
        <v>829</v>
      </c>
      <c r="K136" s="963" t="s">
        <v>828</v>
      </c>
      <c r="L136" s="135"/>
      <c r="M136" s="840"/>
      <c r="N136" s="76" t="str">
        <f>AB136</f>
        <v>*A Rating</v>
      </c>
      <c r="O136" s="76"/>
      <c r="P136" s="76"/>
      <c r="Q136" s="76"/>
      <c r="R136" s="949">
        <f>SUM(R137:R143)</f>
        <v>1</v>
      </c>
      <c r="S136" s="76"/>
      <c r="T136" s="97"/>
      <c r="U136" s="76"/>
      <c r="V136" s="76"/>
      <c r="W136" s="76"/>
      <c r="X136" s="93"/>
      <c r="Y136" s="76"/>
      <c r="Z136" s="76"/>
      <c r="AA136" s="93"/>
      <c r="AB136" s="140" t="str">
        <f>"*"&amp;A135&amp;" Rating"</f>
        <v>*A Rating</v>
      </c>
      <c r="AC136" s="141"/>
      <c r="AD136" s="141"/>
      <c r="AE136" s="141"/>
      <c r="AF136" s="141"/>
      <c r="AG136" s="141"/>
      <c r="AH136" s="141"/>
      <c r="AI136" s="840"/>
      <c r="AJ136" s="840"/>
      <c r="AK136" s="840"/>
      <c r="AL136" s="840"/>
      <c r="AM136" s="840"/>
      <c r="AN136" s="840"/>
      <c r="AO136" s="840"/>
    </row>
    <row r="137" spans="1:41">
      <c r="A137" s="757" t="s">
        <v>108</v>
      </c>
      <c r="B137" s="757" t="s">
        <v>582</v>
      </c>
      <c r="C137" s="757">
        <f>SUMIFS(INDEX(Table915[],,MATCH(C$136,Table915[#Headers],0)),Table915[MainWaterHeatingFuel],$B137,Table915[EnergyRating (group)],$A137)</f>
        <v>517295</v>
      </c>
      <c r="D137" s="757">
        <f>SUMIFS(INDEX(Table915[],,MATCH(D$136,Table915[#Headers],0)),Table915[MainWaterHeatingFuel],$B137,Table915[EnergyRating (group)],$A137)</f>
        <v>470269</v>
      </c>
      <c r="E137" s="760">
        <f>SUMIFS(INDEX(Table915[],,MATCH(E$136,Table915[#Headers],0)),Table915[MainWaterHeatingFuel],$B137,Table915[EnergyRating (group)],$A137)</f>
        <v>0</v>
      </c>
      <c r="F137" s="760">
        <f>SUMIFS(INDEX(Table915[],,MATCH(F$136,Table915[#Headers],0)),Table915[MainWaterHeatingFuel],$B137,Table915[EnergyRating (group)],$A137)</f>
        <v>0</v>
      </c>
      <c r="G137" s="757">
        <f>SUMIFS(INDEX(Table915[],,MATCH(G$136,Table915[#Headers],0)),Table915[MainWaterHeatingFuel],$B137,Table915[EnergyRating (group)],$A137)</f>
        <v>184</v>
      </c>
      <c r="H137" s="757">
        <f>SUMIFS(INDEX(Table915[],,MATCH(H$136,Table915[#Headers],0)),Table915[MainWaterHeatingFuel],$B137,Table915[EnergyRating (group)],$A137)</f>
        <v>21720</v>
      </c>
      <c r="I137" s="959"/>
      <c r="J137" s="968">
        <f t="shared" ref="J137:K150" si="77">C137+E137</f>
        <v>517295</v>
      </c>
      <c r="K137" s="965">
        <f t="shared" si="77"/>
        <v>470269</v>
      </c>
      <c r="L137" s="840"/>
      <c r="M137" s="840"/>
      <c r="N137" s="914" t="str">
        <f>RSD_Commodities!$M$72&amp;"_"&amp;RIGHT(P137,LEN(P137)-3)&amp;"_"&amp;SETUP!$B$67</f>
        <v>WH_Att-A_OILLPG_X0</v>
      </c>
      <c r="O137" s="914" t="str">
        <f>RSD_Commodities!$N$72&amp;"_"&amp;RSD_Commodities!D11&amp;"_"&amp;SETUP!$C$67</f>
        <v>Residential Water Heating Attached-A_LPG to Residential_Existing 00</v>
      </c>
      <c r="P137" s="915" t="str">
        <f>RSD_Commodities!$C$11</f>
        <v>RSDOILLPG</v>
      </c>
      <c r="Q137" s="930" t="str">
        <f>RSD_Commodities!$M$72</f>
        <v>WH_Att-A</v>
      </c>
      <c r="R137" s="1000">
        <f t="shared" ref="R137:R143" si="78">G137/SUM($G$137:$G$143)</f>
        <v>5.9514183135491797E-3</v>
      </c>
      <c r="S137" s="932">
        <f>R137*DwellingStocks!$I$62/1000</f>
        <v>6.2763754520048232E-2</v>
      </c>
      <c r="T137" s="914">
        <v>1</v>
      </c>
      <c r="U137" s="914">
        <f>K137/J137</f>
        <v>0.9090924907451261</v>
      </c>
      <c r="V137" s="930">
        <v>20</v>
      </c>
      <c r="W137" s="930">
        <v>1</v>
      </c>
      <c r="X137" s="866"/>
      <c r="Y137" s="924">
        <f>ABS((K137)*S137*1000*$B$2)</f>
        <v>1.2129800578515849E-5</v>
      </c>
      <c r="Z137" s="925">
        <f>ABS((J137)*S137*1000*$B$2)</f>
        <v>1.3342757422376036E-5</v>
      </c>
      <c r="AA137" s="866"/>
      <c r="AB137" s="914" t="s">
        <v>393</v>
      </c>
      <c r="AC137" s="914" t="str">
        <f t="shared" ref="AC137:AD141" si="79">N137</f>
        <v>WH_Att-A_OILLPG_X0</v>
      </c>
      <c r="AD137" s="915" t="str">
        <f t="shared" si="79"/>
        <v>Residential Water Heating Attached-A_LPG to Residential_Existing 00</v>
      </c>
      <c r="AE137" s="914" t="s">
        <v>53</v>
      </c>
      <c r="AF137" s="916" t="s">
        <v>406</v>
      </c>
      <c r="AG137" s="914"/>
      <c r="AH137" s="914"/>
      <c r="AI137" s="840"/>
      <c r="AJ137" s="840"/>
      <c r="AK137" s="840"/>
      <c r="AL137" s="840"/>
      <c r="AM137" s="840"/>
      <c r="AN137" s="840"/>
      <c r="AO137" s="840"/>
    </row>
    <row r="138" spans="1:41">
      <c r="A138" s="758" t="s">
        <v>108</v>
      </c>
      <c r="B138" s="758" t="s">
        <v>228</v>
      </c>
      <c r="C138" s="758">
        <f>SUMIFS(INDEX(Table915[],,MATCH(C$136,Table915[#Headers],0)),Table915[MainWaterHeatingFuel],$B138,Table915[EnergyRating (group)],$A138)</f>
        <v>46545246</v>
      </c>
      <c r="D138" s="758">
        <f>SUMIFS(INDEX(Table915[],,MATCH(D$136,Table915[#Headers],0)),Table915[MainWaterHeatingFuel],$B138,Table915[EnergyRating (group)],$A138)</f>
        <v>17238977</v>
      </c>
      <c r="E138" s="758">
        <f>SUMIFS(INDEX(Table915[],,MATCH(E$136,Table915[#Headers],0)),Table915[MainWaterHeatingFuel],$B138,Table915[EnergyRating (group)],$A138)</f>
        <v>4571</v>
      </c>
      <c r="F138" s="758">
        <f>SUMIFS(INDEX(Table915[],,MATCH(F$136,Table915[#Headers],0)),Table915[MainWaterHeatingFuel],$B138,Table915[EnergyRating (group)],$A138)</f>
        <v>1693</v>
      </c>
      <c r="G138" s="758">
        <f>SUMIFS(INDEX(Table915[],,MATCH(G$136,Table915[#Headers],0)),Table915[MainWaterHeatingFuel],$B138,Table915[EnergyRating (group)],$A138)</f>
        <v>11544</v>
      </c>
      <c r="H138" s="758">
        <f>SUMIFS(INDEX(Table915[],,MATCH(H$136,Table915[#Headers],0)),Table915[MainWaterHeatingFuel],$B138,Table915[EnergyRating (group)],$A138)</f>
        <v>1408409</v>
      </c>
      <c r="I138" s="960"/>
      <c r="J138" s="969">
        <f t="shared" si="77"/>
        <v>46549817</v>
      </c>
      <c r="K138" s="967">
        <f t="shared" si="77"/>
        <v>17240670</v>
      </c>
      <c r="L138" s="840"/>
      <c r="M138" s="840"/>
      <c r="N138" s="933" t="str">
        <f>RSD_Commodities!$M$72&amp;"_"&amp;RIGHT(P138,LEN(P138)-3)&amp;"_"&amp;SETUP!$B$67</f>
        <v>WH_Att-A_ELCD_X0</v>
      </c>
      <c r="O138" s="933" t="str">
        <f>RSD_Commodities!$N$72&amp;"_"&amp;RSD_Commodities!D27&amp;"_"&amp;SETUP!$C$67</f>
        <v>Residential Water Heating Attached-A_Electricity to Residential_Existing 00</v>
      </c>
      <c r="P138" s="934" t="str">
        <f>RSD_Commodities!$C$27</f>
        <v>RSDELCD</v>
      </c>
      <c r="Q138" s="935" t="str">
        <f>RSD_Commodities!$M$72</f>
        <v>WH_Att-A</v>
      </c>
      <c r="R138" s="1001">
        <f t="shared" si="78"/>
        <v>0.37338680984571593</v>
      </c>
      <c r="S138" s="937">
        <f>R138*DwellingStocks!$I$62/1000</f>
        <v>3.9377433814099829</v>
      </c>
      <c r="T138" s="933">
        <v>1</v>
      </c>
      <c r="U138" s="954">
        <f t="shared" ref="U138:U140" si="80">K138/J138</f>
        <v>0.37037030671892868</v>
      </c>
      <c r="V138" s="935">
        <v>20</v>
      </c>
      <c r="W138" s="935">
        <v>1</v>
      </c>
      <c r="X138" s="866"/>
      <c r="Y138" s="926">
        <f t="shared" ref="Y138:Y143" si="81">ABS((K138)*S138*1000*$B$2)</f>
        <v>2.7899726376811092E-2</v>
      </c>
      <c r="Z138" s="927">
        <f t="shared" ref="Z138:Z143" si="82">ABS((J138)*S138*1000*$B$2)</f>
        <v>7.532927416339559E-2</v>
      </c>
      <c r="AA138" s="866"/>
      <c r="AB138" s="66" t="s">
        <v>393</v>
      </c>
      <c r="AC138" s="66" t="str">
        <f t="shared" si="79"/>
        <v>WH_Att-A_ELCD_X0</v>
      </c>
      <c r="AD138" s="83" t="str">
        <f t="shared" si="79"/>
        <v>Residential Water Heating Attached-A_Electricity to Residential_Existing 00</v>
      </c>
      <c r="AE138" s="66" t="s">
        <v>53</v>
      </c>
      <c r="AF138" s="88" t="s">
        <v>406</v>
      </c>
      <c r="AG138" s="66"/>
      <c r="AH138" s="66"/>
      <c r="AI138" s="840"/>
      <c r="AJ138" s="840"/>
      <c r="AK138" s="840"/>
      <c r="AL138" s="840"/>
      <c r="AM138" s="840"/>
      <c r="AN138" s="840"/>
      <c r="AO138" s="840"/>
    </row>
    <row r="139" spans="1:41">
      <c r="A139" s="757" t="s">
        <v>108</v>
      </c>
      <c r="B139" s="757" t="s">
        <v>583</v>
      </c>
      <c r="C139" s="757">
        <f>SUMIFS(INDEX(Table915[],,MATCH(C$136,Table915[#Headers],0)),Table915[MainWaterHeatingFuel],$B139,Table915[EnergyRating (group)],$A139)</f>
        <v>2287321</v>
      </c>
      <c r="D139" s="757">
        <f>SUMIFS(INDEX(Table915[],,MATCH(D$136,Table915[#Headers],0)),Table915[MainWaterHeatingFuel],$B139,Table915[EnergyRating (group)],$A139)</f>
        <v>2079383</v>
      </c>
      <c r="E139" s="760">
        <f>SUMIFS(INDEX(Table915[],,MATCH(E$136,Table915[#Headers],0)),Table915[MainWaterHeatingFuel],$B139,Table915[EnergyRating (group)],$A139)</f>
        <v>0</v>
      </c>
      <c r="F139" s="760">
        <f>SUMIFS(INDEX(Table915[],,MATCH(F$136,Table915[#Headers],0)),Table915[MainWaterHeatingFuel],$B139,Table915[EnergyRating (group)],$A139)</f>
        <v>0</v>
      </c>
      <c r="G139" s="757">
        <f>SUMIFS(INDEX(Table915[],,MATCH(G$136,Table915[#Headers],0)),Table915[MainWaterHeatingFuel],$B139,Table915[EnergyRating (group)],$A139)</f>
        <v>756</v>
      </c>
      <c r="H139" s="757">
        <f>SUMIFS(INDEX(Table915[],,MATCH(H$136,Table915[#Headers],0)),Table915[MainWaterHeatingFuel],$B139,Table915[EnergyRating (group)],$A139)</f>
        <v>83480</v>
      </c>
      <c r="I139" s="959"/>
      <c r="J139" s="968">
        <f t="shared" ref="J139:J143" si="83">C139+E139</f>
        <v>2287321</v>
      </c>
      <c r="K139" s="965">
        <f t="shared" ref="K139:K143" si="84">D139+F139</f>
        <v>2079383</v>
      </c>
      <c r="L139" s="840"/>
      <c r="M139" s="840"/>
      <c r="N139" s="914" t="str">
        <f>RSD_Commodities!$M$72&amp;"_"&amp;RIGHT(P139,LEN(P139)-3)&amp;"_"&amp;SETUP!$B$67</f>
        <v>WH_Att-A_OILKER_X0</v>
      </c>
      <c r="O139" s="914" t="str">
        <f>RSD_Commodities!$N$72&amp;"_"&amp;RSD_Commodities!D13&amp;"_"&amp;SETUP!$C$67</f>
        <v>Residential Water Heating Attached-A_Kerosene to Residential_Existing 00</v>
      </c>
      <c r="P139" s="915" t="str">
        <f>RSD_Commodities!$C$13</f>
        <v>RSDOILKER</v>
      </c>
      <c r="Q139" s="930" t="str">
        <f>RSD_Commodities!$M$72</f>
        <v>WH_Att-A</v>
      </c>
      <c r="R139" s="1000">
        <f t="shared" si="78"/>
        <v>2.4452566549147719E-2</v>
      </c>
      <c r="S139" s="932">
        <f>R139*DwellingStocks!$I$62/1000</f>
        <v>0.25787716531063304</v>
      </c>
      <c r="T139" s="914">
        <v>1</v>
      </c>
      <c r="U139" s="914">
        <f t="shared" si="80"/>
        <v>0.90909102832527655</v>
      </c>
      <c r="V139" s="930">
        <v>20</v>
      </c>
      <c r="W139" s="930">
        <v>1</v>
      </c>
      <c r="X139" s="866"/>
      <c r="Y139" s="928">
        <f t="shared" si="81"/>
        <v>2.2036660012402198E-4</v>
      </c>
      <c r="Z139" s="929">
        <f t="shared" si="82"/>
        <v>2.4240322834334898E-4</v>
      </c>
      <c r="AA139" s="866"/>
      <c r="AB139" s="914" t="s">
        <v>393</v>
      </c>
      <c r="AC139" s="914" t="str">
        <f t="shared" si="79"/>
        <v>WH_Att-A_OILKER_X0</v>
      </c>
      <c r="AD139" s="915" t="str">
        <f t="shared" si="79"/>
        <v>Residential Water Heating Attached-A_Kerosene to Residential_Existing 00</v>
      </c>
      <c r="AE139" s="914" t="s">
        <v>53</v>
      </c>
      <c r="AF139" s="916" t="s">
        <v>406</v>
      </c>
      <c r="AG139" s="914"/>
      <c r="AH139" s="914"/>
      <c r="AI139" s="840"/>
      <c r="AJ139" s="840"/>
      <c r="AK139" s="840"/>
      <c r="AL139" s="840"/>
      <c r="AM139" s="840"/>
      <c r="AN139" s="840"/>
      <c r="AO139" s="840"/>
    </row>
    <row r="140" spans="1:41" ht="15.75" thickBot="1">
      <c r="A140" s="758" t="s">
        <v>108</v>
      </c>
      <c r="B140" s="758" t="s">
        <v>584</v>
      </c>
      <c r="C140" s="758">
        <f>SUMIFS(INDEX(Table915[],,MATCH(C$136,Table915[#Headers],0)),Table915[MainWaterHeatingFuel],$B140,Table915[EnergyRating (group)],$A140)</f>
        <v>63837243</v>
      </c>
      <c r="D140" s="758">
        <f>SUMIFS(INDEX(Table915[],,MATCH(D$136,Table915[#Headers],0)),Table915[MainWaterHeatingFuel],$B140,Table915[EnergyRating (group)],$A140)</f>
        <v>58033856</v>
      </c>
      <c r="E140" s="758">
        <f>SUMIFS(INDEX(Table915[],,MATCH(E$136,Table915[#Headers],0)),Table915[MainWaterHeatingFuel],$B140,Table915[EnergyRating (group)],$A140)</f>
        <v>8082</v>
      </c>
      <c r="F140" s="758">
        <f>SUMIFS(INDEX(Table915[],,MATCH(F$136,Table915[#Headers],0)),Table915[MainWaterHeatingFuel],$B140,Table915[EnergyRating (group)],$A140)</f>
        <v>2993</v>
      </c>
      <c r="G140" s="758">
        <f>SUMIFS(INDEX(Table915[],,MATCH(G$136,Table915[#Headers],0)),Table915[MainWaterHeatingFuel],$B140,Table915[EnergyRating (group)],$A140)</f>
        <v>18225</v>
      </c>
      <c r="H140" s="758">
        <f>SUMIFS(INDEX(Table915[],,MATCH(H$136,Table915[#Headers],0)),Table915[MainWaterHeatingFuel],$B140,Table915[EnergyRating (group)],$A140)</f>
        <v>2254658</v>
      </c>
      <c r="I140" s="960"/>
      <c r="J140" s="969">
        <f>C140+E140</f>
        <v>63845325</v>
      </c>
      <c r="K140" s="967">
        <f t="shared" si="84"/>
        <v>58036849</v>
      </c>
      <c r="L140" s="840"/>
      <c r="M140" s="840"/>
      <c r="N140" s="933" t="str">
        <f>RSD_Commodities!$M$72&amp;"_"&amp;RIGHT(P140,LEN(P140)-3)&amp;"_"&amp;SETUP!$B$67</f>
        <v>WH_Att-A_GASNAT_X0</v>
      </c>
      <c r="O140" s="933" t="str">
        <f>RSD_Commodities!$N$72&amp;"_"&amp;RSD_Commodities!D17&amp;"_"&amp;SETUP!$C$67</f>
        <v>Residential Water Heating Attached-A_Natural Gas to Residential_Existing 00</v>
      </c>
      <c r="P140" s="934" t="str">
        <f>RSD_Commodities!$C$17</f>
        <v>RSDGASNAT</v>
      </c>
      <c r="Q140" s="935" t="str">
        <f>RSD_Commodities!$M$72</f>
        <v>WH_Att-A</v>
      </c>
      <c r="R140" s="1001">
        <f t="shared" si="78"/>
        <v>0.58948151502409674</v>
      </c>
      <c r="S140" s="937">
        <f>R140*DwellingStocks!$I$62/1000</f>
        <v>6.2166816637384734</v>
      </c>
      <c r="T140" s="933">
        <v>1</v>
      </c>
      <c r="U140" s="933">
        <f t="shared" si="80"/>
        <v>0.90902268881864101</v>
      </c>
      <c r="V140" s="935">
        <v>20</v>
      </c>
      <c r="W140" s="935">
        <v>1</v>
      </c>
      <c r="X140" s="866"/>
      <c r="Y140" s="926">
        <f t="shared" si="81"/>
        <v>0.14827258150662684</v>
      </c>
      <c r="Z140" s="927">
        <f t="shared" si="82"/>
        <v>0.16311207996284532</v>
      </c>
      <c r="AA140" s="866"/>
      <c r="AB140" s="66" t="s">
        <v>393</v>
      </c>
      <c r="AC140" s="66" t="str">
        <f t="shared" si="79"/>
        <v>WH_Att-A_GASNAT_X0</v>
      </c>
      <c r="AD140" s="83" t="str">
        <f t="shared" si="79"/>
        <v>Residential Water Heating Attached-A_Natural Gas to Residential_Existing 00</v>
      </c>
      <c r="AE140" s="66" t="s">
        <v>53</v>
      </c>
      <c r="AF140" s="88" t="s">
        <v>406</v>
      </c>
      <c r="AG140" s="66"/>
      <c r="AH140" s="66"/>
      <c r="AI140" s="840"/>
      <c r="AJ140" s="840"/>
      <c r="AK140" s="840"/>
      <c r="AL140" s="840"/>
      <c r="AM140" s="840"/>
      <c r="AN140" s="840"/>
      <c r="AO140" s="840"/>
    </row>
    <row r="141" spans="1:41">
      <c r="A141" s="757" t="s">
        <v>108</v>
      </c>
      <c r="B141" s="757" t="s">
        <v>587</v>
      </c>
      <c r="C141" s="757">
        <f>SUMIFS(INDEX(Table915[],,MATCH(C$136,Table915[#Headers],0)),Table915[MainWaterHeatingFuel],"",Table915[EnergyRating (group)],$A141)</f>
        <v>0</v>
      </c>
      <c r="D141" s="757">
        <f>SUMIFS(INDEX(Table915[],,MATCH(D$136,Table915[#Headers],0)),Table915[MainWaterHeatingFuel],"",Table915[EnergyRating (group)],$A141)</f>
        <v>0</v>
      </c>
      <c r="E141" s="760">
        <f>SUMIFS(INDEX(Table915[],,MATCH(E136,Table915[#Headers],0)),Table915[MainWaterHeatingFuel],"",Table915[EnergyRating (group)],$A141)</f>
        <v>0</v>
      </c>
      <c r="F141" s="760">
        <f>SUMIFS(INDEX(Table915[],,MATCH(F$136,Table915[#Headers],0)),Table915[MainWaterHeatingFuel],"",Table915[EnergyRating (group)],A141)</f>
        <v>0</v>
      </c>
      <c r="G141" s="757">
        <f>SUMIFS(INDEX(Table915[],,MATCH(G$136,Table915[#Headers],0)),Table915[MainWaterHeatingFuel],"",Table915[EnergyRating (group)],$A141)</f>
        <v>203</v>
      </c>
      <c r="H141" s="757">
        <f>SUMIFS(INDEX(Table915[],,MATCH(H$136,Table915[#Headers],0)),Table915[MainWaterHeatingFuel],"",Table915[EnergyRating (group)],$A141)</f>
        <v>22399</v>
      </c>
      <c r="I141" s="959"/>
      <c r="J141" s="1002">
        <f t="shared" si="83"/>
        <v>0</v>
      </c>
      <c r="K141" s="1003">
        <f t="shared" si="84"/>
        <v>0</v>
      </c>
      <c r="L141" s="840"/>
      <c r="M141" s="840"/>
      <c r="N141" s="914" t="str">
        <f>RSD_Commodities!$M$72&amp;"_"&amp;RIGHT(P141,LEN(P141)-3)&amp;"_"&amp;SETUP!$B$67</f>
        <v>WH_Att-A_HET_X0</v>
      </c>
      <c r="O141" s="914" t="str">
        <f>RSD_Commodities!$N$72&amp;"_"&amp;RSD_Commodities!D28&amp;"_"&amp;SETUP!$C$67</f>
        <v>Residential Water Heating Attached-A_Heat to Residential_Existing 00</v>
      </c>
      <c r="P141" s="915" t="str">
        <f>RSD_Commodities!$C$28</f>
        <v>RSDHET</v>
      </c>
      <c r="Q141" s="930" t="str">
        <f>RSD_Commodities!$M$72</f>
        <v>WH_Att-A</v>
      </c>
      <c r="R141" s="1000">
        <f t="shared" si="78"/>
        <v>6.5659669437526276E-3</v>
      </c>
      <c r="S141" s="932">
        <f>R141*DwellingStocks!$I$62/1000</f>
        <v>6.924479438896626E-2</v>
      </c>
      <c r="T141" s="914">
        <v>1</v>
      </c>
      <c r="U141" s="917">
        <v>1</v>
      </c>
      <c r="V141" s="930">
        <v>20</v>
      </c>
      <c r="W141" s="930">
        <v>1</v>
      </c>
      <c r="X141" s="866"/>
      <c r="Y141" s="924">
        <f t="shared" si="81"/>
        <v>0</v>
      </c>
      <c r="Z141" s="925">
        <f t="shared" si="82"/>
        <v>0</v>
      </c>
      <c r="AA141" s="866"/>
      <c r="AB141" s="914" t="s">
        <v>393</v>
      </c>
      <c r="AC141" s="914" t="str">
        <f t="shared" si="79"/>
        <v>WH_Att-A_HET_X0</v>
      </c>
      <c r="AD141" s="915" t="str">
        <f t="shared" si="79"/>
        <v>Residential Water Heating Attached-A_Heat to Residential_Existing 00</v>
      </c>
      <c r="AE141" s="914" t="s">
        <v>53</v>
      </c>
      <c r="AF141" s="916" t="s">
        <v>406</v>
      </c>
      <c r="AG141" s="914"/>
      <c r="AH141" s="914"/>
      <c r="AI141" s="840"/>
      <c r="AJ141" s="840"/>
      <c r="AK141" s="840"/>
      <c r="AL141" s="840"/>
      <c r="AM141" s="840"/>
      <c r="AN141" s="840"/>
      <c r="AO141" s="840"/>
    </row>
    <row r="142" spans="1:41">
      <c r="A142" s="758" t="s">
        <v>108</v>
      </c>
      <c r="B142" s="758" t="s">
        <v>668</v>
      </c>
      <c r="C142" s="758">
        <f>SUMIFS(INDEX(Table915[],,MATCH(C$136,Table915[#Headers],0)),Table915[MainWaterHeatingFuel],$B142,Table915[EnergyRating (group)],$A142)</f>
        <v>12134</v>
      </c>
      <c r="D142" s="758">
        <f>SUMIFS(INDEX(Table915[],,MATCH(D$136,Table915[#Headers],0)),Table915[MainWaterHeatingFuel],$B142,Table915[EnergyRating (group)],$A142)</f>
        <v>11031</v>
      </c>
      <c r="E142" s="758">
        <f>SUMIFS(INDEX(Table915[],,MATCH(E$136,Table915[#Headers],0)),Table915[MainWaterHeatingFuel],$B142,Table915[EnergyRating (group)],$A142)</f>
        <v>0</v>
      </c>
      <c r="F142" s="758">
        <f>SUMIFS(INDEX(Table915[],,MATCH(F$136,Table915[#Headers],0)),Table915[MainWaterHeatingFuel],$B142,Table915[EnergyRating (group)],$A142)</f>
        <v>0</v>
      </c>
      <c r="G142" s="758">
        <f>SUMIFS(INDEX(Table915[],,MATCH(G$136,Table915[#Headers],0)),Table915[MainWaterHeatingFuel],$B142,Table915[EnergyRating (group)],$A142)</f>
        <v>4</v>
      </c>
      <c r="H142" s="758">
        <f>SUMIFS(INDEX(Table915[],,MATCH(H$136,Table915[#Headers],0)),Table915[MainWaterHeatingFuel],$B142,Table915[EnergyRating (group)],$A142)</f>
        <v>514</v>
      </c>
      <c r="I142" s="960"/>
      <c r="J142" s="969">
        <f t="shared" si="83"/>
        <v>12134</v>
      </c>
      <c r="K142" s="967">
        <f t="shared" si="84"/>
        <v>11031</v>
      </c>
      <c r="L142" s="840"/>
      <c r="M142" s="840"/>
      <c r="N142" s="933" t="str">
        <f>RSD_Commodities!$M$72&amp;"_"&amp;RIGHT(P142,LEN(P142)-3)&amp;"_"&amp;SETUP!$B$69</f>
        <v>WH_Att-A_BIOWOO_X2</v>
      </c>
      <c r="O142" s="933" t="str">
        <f>RSD_Commodities!$N$72&amp;"_"&amp;RSD_Commodities!D19&amp;"_"&amp;SETUP!$C$69</f>
        <v>Residential Water Heating Attached-A_Biomass &amp; Renewable Waste to Residential_Existing 02</v>
      </c>
      <c r="P142" s="934" t="str">
        <f>RSD_Commodities!$C$19</f>
        <v>RSDBIOWOO</v>
      </c>
      <c r="Q142" s="935" t="str">
        <f>RSD_Commodities!$M$72</f>
        <v>WH_Att-A</v>
      </c>
      <c r="R142" s="1001">
        <f t="shared" si="78"/>
        <v>1.2937865899019957E-4</v>
      </c>
      <c r="S142" s="937">
        <f>R142*DwellingStocks!$I$62/1000</f>
        <v>1.3644294460880054E-3</v>
      </c>
      <c r="T142" s="933">
        <v>1</v>
      </c>
      <c r="U142" s="933">
        <f>K142/J142</f>
        <v>0.90909840118674801</v>
      </c>
      <c r="V142" s="935">
        <v>20</v>
      </c>
      <c r="W142" s="935">
        <v>1</v>
      </c>
      <c r="X142" s="866"/>
      <c r="Y142" s="926">
        <f t="shared" si="81"/>
        <v>6.1853511862178582E-9</v>
      </c>
      <c r="Z142" s="927">
        <f t="shared" si="82"/>
        <v>6.8038302323966558E-9</v>
      </c>
      <c r="AA142" s="866"/>
      <c r="AB142" s="66" t="s">
        <v>393</v>
      </c>
      <c r="AC142" s="66" t="str">
        <f t="shared" ref="AC142:AC143" si="85">N142</f>
        <v>WH_Att-A_BIOWOO_X2</v>
      </c>
      <c r="AD142" s="83" t="str">
        <f t="shared" ref="AD142:AD143" si="86">O142</f>
        <v>Residential Water Heating Attached-A_Biomass &amp; Renewable Waste to Residential_Existing 02</v>
      </c>
      <c r="AE142" s="66" t="s">
        <v>53</v>
      </c>
      <c r="AF142" s="88" t="s">
        <v>406</v>
      </c>
      <c r="AG142" s="66"/>
      <c r="AH142" s="66"/>
      <c r="AI142" s="840"/>
      <c r="AJ142" s="840"/>
      <c r="AK142" s="840"/>
      <c r="AL142" s="840"/>
      <c r="AM142" s="840"/>
      <c r="AN142" s="840"/>
      <c r="AO142" s="840"/>
    </row>
    <row r="143" spans="1:41" ht="15.75" thickBot="1">
      <c r="A143" s="757" t="s">
        <v>108</v>
      </c>
      <c r="B143" s="757" t="s">
        <v>674</v>
      </c>
      <c r="C143" s="757">
        <f>SUMIFS(INDEX(Table915[],,MATCH(C$136,Table915[#Headers],0)),Table915[MainWaterHeatingFuel],$B143,Table915[EnergyRating (group)],$A143)</f>
        <v>2799</v>
      </c>
      <c r="D143" s="757">
        <f>SUMIFS(INDEX(Table915[],,MATCH(D$136,Table915[#Headers],0)),Table915[MainWaterHeatingFuel],$B143,Table915[EnergyRating (group)],$A143)</f>
        <v>2544</v>
      </c>
      <c r="E143" s="760">
        <f>SUMIFS(INDEX(Table915[],,MATCH(E$136,Table915[#Headers],0)),Table915[MainWaterHeatingFuel],$B143,Table915[EnergyRating (group)],$A143)</f>
        <v>0</v>
      </c>
      <c r="F143" s="760">
        <f>SUMIFS(INDEX(Table915[],,MATCH(F$136,Table915[#Headers],0)),Table915[MainWaterHeatingFuel],$B143,Table915[EnergyRating (group)],$A143)</f>
        <v>0</v>
      </c>
      <c r="G143" s="757">
        <f>SUMIFS(INDEX(Table915[],,MATCH(G$136,Table915[#Headers],0)),Table915[MainWaterHeatingFuel],$B143,Table915[EnergyRating (group)],$A143)</f>
        <v>1</v>
      </c>
      <c r="H143" s="757">
        <f>SUMIFS(INDEX(Table915[],,MATCH(H$136,Table915[#Headers],0)),Table915[MainWaterHeatingFuel],$B143,Table915[EnergyRating (group)],$A143)</f>
        <v>140</v>
      </c>
      <c r="I143" s="959"/>
      <c r="J143" s="968">
        <f t="shared" si="83"/>
        <v>2799</v>
      </c>
      <c r="K143" s="965">
        <f t="shared" si="84"/>
        <v>2544</v>
      </c>
      <c r="L143" s="840"/>
      <c r="M143" s="840"/>
      <c r="N143" s="914" t="str">
        <f>RSD_Commodities!$M$72&amp;"_"&amp;RIGHT(P143,LEN(P143)-3)&amp;"_"&amp;SETUP!$B$68</f>
        <v>WH_Att-A_COAHAR_X1</v>
      </c>
      <c r="O143" s="914" t="str">
        <f>RSD_Commodities!$N$72&amp;"_"&amp;RSD_Commodities!D7&amp;"_"&amp;SETUP!$C$68</f>
        <v>Residential Water Heating Attached-A_Anthracite + Manufactured Ovoids to Residential_Existing 01</v>
      </c>
      <c r="P143" s="915" t="str">
        <f>RSD_Commodities!$C$7</f>
        <v>RSDCOAHAR</v>
      </c>
      <c r="Q143" s="930" t="str">
        <f>RSD_Commodities!$M$72</f>
        <v>WH_Att-A</v>
      </c>
      <c r="R143" s="1000">
        <f t="shared" si="78"/>
        <v>3.2344664747549894E-5</v>
      </c>
      <c r="S143" s="932">
        <f>R143*DwellingStocks!$I$62/1000</f>
        <v>3.4110736152200135E-4</v>
      </c>
      <c r="T143" s="914">
        <v>1</v>
      </c>
      <c r="U143" s="914">
        <f t="shared" ref="U143" si="87">K143/J143</f>
        <v>0.90889603429796351</v>
      </c>
      <c r="V143" s="930">
        <v>20</v>
      </c>
      <c r="W143" s="930">
        <v>1</v>
      </c>
      <c r="X143" s="866"/>
      <c r="Y143" s="928">
        <f t="shared" si="81"/>
        <v>3.5662073741587876E-10</v>
      </c>
      <c r="Z143" s="929">
        <f t="shared" si="82"/>
        <v>3.9236691982195148E-10</v>
      </c>
      <c r="AA143" s="866"/>
      <c r="AB143" s="914" t="s">
        <v>393</v>
      </c>
      <c r="AC143" s="914" t="str">
        <f t="shared" si="85"/>
        <v>WH_Att-A_COAHAR_X1</v>
      </c>
      <c r="AD143" s="915" t="str">
        <f t="shared" si="86"/>
        <v>Residential Water Heating Attached-A_Anthracite + Manufactured Ovoids to Residential_Existing 01</v>
      </c>
      <c r="AE143" s="914" t="s">
        <v>53</v>
      </c>
      <c r="AF143" s="916" t="s">
        <v>406</v>
      </c>
      <c r="AG143" s="914"/>
      <c r="AH143" s="914"/>
      <c r="AI143" s="840"/>
      <c r="AJ143" s="840"/>
      <c r="AK143" s="840"/>
      <c r="AL143" s="840"/>
      <c r="AM143" s="840"/>
      <c r="AN143" s="840"/>
      <c r="AO143" s="840"/>
    </row>
    <row r="144" spans="1:41" ht="15.75" thickBot="1">
      <c r="A144" s="756" t="s">
        <v>110</v>
      </c>
      <c r="B144" s="1048"/>
      <c r="C144" s="1049"/>
      <c r="D144" s="1049"/>
      <c r="E144" s="1049"/>
      <c r="F144" s="1049"/>
      <c r="G144" s="1049"/>
      <c r="H144" s="1049"/>
      <c r="I144" s="1049"/>
      <c r="J144" s="1049"/>
      <c r="K144" s="1052"/>
      <c r="L144" s="840"/>
      <c r="M144" s="840"/>
      <c r="N144" s="76" t="str">
        <f>AB144</f>
        <v>*B1 Rating</v>
      </c>
      <c r="O144" s="76"/>
      <c r="P144" s="76"/>
      <c r="Q144" s="76"/>
      <c r="R144" s="949">
        <f>SUM(R145:R154)</f>
        <v>1</v>
      </c>
      <c r="S144" s="76"/>
      <c r="T144" s="97"/>
      <c r="U144" s="76"/>
      <c r="V144" s="76"/>
      <c r="W144" s="76"/>
      <c r="X144" s="840"/>
      <c r="Y144" s="76"/>
      <c r="Z144" s="76"/>
      <c r="AA144" s="840"/>
      <c r="AB144" s="140" t="str">
        <f>"*"&amp; A145 &amp; " Rating"</f>
        <v>*B1 Rating</v>
      </c>
      <c r="AC144" s="141"/>
      <c r="AD144" s="141"/>
      <c r="AE144" s="141"/>
      <c r="AF144" s="141"/>
      <c r="AG144" s="141"/>
      <c r="AH144" s="141"/>
      <c r="AI144" s="840"/>
      <c r="AJ144" s="840"/>
      <c r="AK144" s="840"/>
      <c r="AL144" s="840"/>
      <c r="AM144" s="840"/>
      <c r="AN144" s="840"/>
      <c r="AO144" s="840"/>
    </row>
    <row r="145" spans="1:41">
      <c r="A145" s="972" t="s">
        <v>110</v>
      </c>
      <c r="B145" s="757" t="s">
        <v>582</v>
      </c>
      <c r="C145" s="757">
        <f>SUMIFS(INDEX(Table915[],,MATCH(C$136,Table915[#Headers],0)),Table915[MainWaterHeatingFuel],$B145,Table915[EnergyRating (group)],$A145)</f>
        <v>231333</v>
      </c>
      <c r="D145" s="757">
        <f>SUMIFS(INDEX(Table915[],,MATCH(D$136,Table915[#Headers],0)),Table915[MainWaterHeatingFuel],$B145,Table915[EnergyRating (group)],$A145)</f>
        <v>210303</v>
      </c>
      <c r="E145" s="760">
        <f>SUMIFS(INDEX(Table915[],,MATCH(E$136,Table915[#Headers],0)),Table915[MainWaterHeatingFuel],$B145,Table915[EnergyRating (group)],$A145)</f>
        <v>0</v>
      </c>
      <c r="F145" s="760">
        <f>SUMIFS(INDEX(Table915[],,MATCH(F$136,Table915[#Headers],0)),Table915[MainWaterHeatingFuel],$B145,Table915[EnergyRating (group)],$A145)</f>
        <v>0</v>
      </c>
      <c r="G145" s="757">
        <f>SUMIFS(INDEX(Table915[],,MATCH(G$136,Table915[#Headers],0)),Table915[MainWaterHeatingFuel],$B145,Table915[EnergyRating (group)],$A145)</f>
        <v>83</v>
      </c>
      <c r="H145" s="757">
        <f>SUMIFS(INDEX(Table915[],,MATCH(H$136,Table915[#Headers],0)),Table915[MainWaterHeatingFuel],$B145,Table915[EnergyRating (group)],$A145)</f>
        <v>8243</v>
      </c>
      <c r="I145" s="959"/>
      <c r="J145" s="974">
        <f t="shared" si="77"/>
        <v>231333</v>
      </c>
      <c r="K145" s="975">
        <f t="shared" si="77"/>
        <v>210303</v>
      </c>
      <c r="L145" s="840"/>
      <c r="M145" s="840"/>
      <c r="N145" s="914" t="str">
        <f>RSD_Commodities!$M$73&amp;"_"&amp;RIGHT(P145,LEN(P145)-3)&amp;"_"&amp;SETUP!$B$67</f>
        <v>WH_Att-B1_OILLPG_X0</v>
      </c>
      <c r="O145" s="914" t="str">
        <f>RSD_Commodities!$N$82&amp;"_"&amp;RSD_Commodities!D11&amp;"_"&amp;SETUP!$C$67</f>
        <v>Residential Water Heating Detached-B1_LPG to Residential_Existing 00</v>
      </c>
      <c r="P145" s="915" t="str">
        <f>RSD_Commodities!$C$11</f>
        <v>RSDOILLPG</v>
      </c>
      <c r="Q145" s="930" t="str">
        <f>RSD_Commodities!$M$73</f>
        <v>WH_Att-B1</v>
      </c>
      <c r="R145" s="1000">
        <f>G145/SUM($G$145:$G$154)</f>
        <v>2.2299838796346051E-2</v>
      </c>
      <c r="S145" s="932">
        <f>R145*DwellingStocks!$I$63/1000</f>
        <v>0.1159047860606563</v>
      </c>
      <c r="T145" s="914">
        <v>1</v>
      </c>
      <c r="U145" s="914">
        <f>K145/J145</f>
        <v>0.90909208802894526</v>
      </c>
      <c r="V145" s="930">
        <v>20</v>
      </c>
      <c r="W145" s="930">
        <v>1</v>
      </c>
      <c r="X145" s="866"/>
      <c r="Y145" s="924">
        <f>ABS((K145)*S145*1000*$B$2)</f>
        <v>1.001717433818392E-5</v>
      </c>
      <c r="Z145" s="925">
        <f>ABS((J145)*S145*1000*$B$2)</f>
        <v>1.1018877482371155E-5</v>
      </c>
      <c r="AA145" s="866"/>
      <c r="AB145" s="914" t="s">
        <v>393</v>
      </c>
      <c r="AC145" s="914" t="str">
        <f t="shared" ref="AC145:AD150" si="88">N145</f>
        <v>WH_Att-B1_OILLPG_X0</v>
      </c>
      <c r="AD145" s="915" t="str">
        <f t="shared" si="88"/>
        <v>Residential Water Heating Detached-B1_LPG to Residential_Existing 00</v>
      </c>
      <c r="AE145" s="914" t="s">
        <v>53</v>
      </c>
      <c r="AF145" s="916" t="s">
        <v>406</v>
      </c>
      <c r="AG145" s="914"/>
      <c r="AH145" s="914"/>
      <c r="AI145" s="840"/>
      <c r="AJ145" s="840"/>
      <c r="AK145" s="840"/>
      <c r="AL145" s="840"/>
      <c r="AM145" s="840"/>
      <c r="AN145" s="840"/>
      <c r="AO145" s="840"/>
    </row>
    <row r="146" spans="1:41">
      <c r="A146" s="973" t="s">
        <v>110</v>
      </c>
      <c r="B146" s="758" t="s">
        <v>228</v>
      </c>
      <c r="C146" s="758">
        <f>SUMIFS(INDEX(Table915[],,MATCH(C$136,Table915[#Headers],0)),Table915[MainWaterHeatingFuel],$B146,Table915[EnergyRating (group)],$A146)</f>
        <v>2992605</v>
      </c>
      <c r="D146" s="758">
        <f>SUMIFS(INDEX(Table915[],,MATCH(D$136,Table915[#Headers],0)),Table915[MainWaterHeatingFuel],$B146,Table915[EnergyRating (group)],$A146)</f>
        <v>1108371</v>
      </c>
      <c r="E146" s="758">
        <f>SUMIFS(INDEX(Table915[],,MATCH(E$136,Table915[#Headers],0)),Table915[MainWaterHeatingFuel],$B146,Table915[EnergyRating (group)],$A146)</f>
        <v>0</v>
      </c>
      <c r="F146" s="758">
        <f>SUMIFS(INDEX(Table915[],,MATCH(F$136,Table915[#Headers],0)),Table915[MainWaterHeatingFuel],$B146,Table915[EnergyRating (group)],$A146)</f>
        <v>0</v>
      </c>
      <c r="G146" s="758">
        <f>SUMIFS(INDEX(Table915[],,MATCH(G$136,Table915[#Headers],0)),Table915[MainWaterHeatingFuel],$B146,Table915[EnergyRating (group)],$A146)</f>
        <v>851</v>
      </c>
      <c r="H146" s="758">
        <f>SUMIFS(INDEX(Table915[],,MATCH(H$136,Table915[#Headers],0)),Table915[MainWaterHeatingFuel],$B146,Table915[EnergyRating (group)],$A146)</f>
        <v>82298</v>
      </c>
      <c r="I146" s="960"/>
      <c r="J146" s="969">
        <f t="shared" si="77"/>
        <v>2992605</v>
      </c>
      <c r="K146" s="967">
        <f t="shared" si="77"/>
        <v>1108371</v>
      </c>
      <c r="L146" s="840"/>
      <c r="M146" s="840"/>
      <c r="N146" s="933" t="str">
        <f>RSD_Commodities!$M$73&amp;"_"&amp;RIGHT(P146,LEN(P146)-3)&amp;"_"&amp;SETUP!$B$67</f>
        <v>WH_Att-B1_ELCD_X0</v>
      </c>
      <c r="O146" s="933" t="str">
        <f>RSD_Commodities!$N$82&amp;"_"&amp;RSD_Commodities!D27&amp;"_"&amp;SETUP!$C$67</f>
        <v>Residential Water Heating Detached-B1_Electricity to Residential_Existing 00</v>
      </c>
      <c r="P146" s="934" t="str">
        <f>RSD_Commodities!$C$27</f>
        <v>RSDELCD</v>
      </c>
      <c r="Q146" s="935" t="str">
        <f>RSD_Commodities!$M$73</f>
        <v>WH_Att-B1</v>
      </c>
      <c r="R146" s="1001">
        <f t="shared" ref="R146:R154" si="89">G146/SUM($G$145:$G$154)</f>
        <v>0.22864051585169265</v>
      </c>
      <c r="S146" s="937">
        <f>R146*DwellingStocks!$I$63/1000</f>
        <v>1.1883731679231146</v>
      </c>
      <c r="T146" s="933">
        <v>1</v>
      </c>
      <c r="U146" s="954">
        <f t="shared" ref="U146:U154" si="90">K146/J146</f>
        <v>0.37036996195622207</v>
      </c>
      <c r="V146" s="935">
        <v>20</v>
      </c>
      <c r="W146" s="935">
        <v>1</v>
      </c>
      <c r="X146" s="866"/>
      <c r="Y146" s="926">
        <f t="shared" ref="Y146:Y150" si="91">ABS((K146)*S146*1000*$B$2)</f>
        <v>5.4129795472771674E-4</v>
      </c>
      <c r="Z146" s="927">
        <f t="shared" ref="Z146:Z150" si="92">ABS((J146)*S146*1000*$B$2)</f>
        <v>1.4615060893941999E-3</v>
      </c>
      <c r="AA146" s="866"/>
      <c r="AB146" s="66" t="s">
        <v>393</v>
      </c>
      <c r="AC146" s="66" t="str">
        <f t="shared" si="88"/>
        <v>WH_Att-B1_ELCD_X0</v>
      </c>
      <c r="AD146" s="83" t="str">
        <f t="shared" si="88"/>
        <v>Residential Water Heating Detached-B1_Electricity to Residential_Existing 00</v>
      </c>
      <c r="AE146" s="66" t="s">
        <v>53</v>
      </c>
      <c r="AF146" s="88" t="s">
        <v>406</v>
      </c>
      <c r="AG146" s="66"/>
      <c r="AH146" s="66"/>
      <c r="AI146" s="840"/>
      <c r="AJ146" s="840"/>
      <c r="AK146" s="840"/>
      <c r="AL146" s="840"/>
      <c r="AM146" s="840"/>
      <c r="AN146" s="840"/>
      <c r="AO146" s="840"/>
    </row>
    <row r="147" spans="1:41">
      <c r="A147" s="972" t="s">
        <v>110</v>
      </c>
      <c r="B147" s="757" t="s">
        <v>583</v>
      </c>
      <c r="C147" s="757">
        <f>SUMIFS(INDEX(Table915[],,MATCH(C$136,Table915[#Headers],0)),Table915[MainWaterHeatingFuel],$B147,Table915[EnergyRating (group)],$A147)</f>
        <v>1099598</v>
      </c>
      <c r="D147" s="757">
        <f>SUMIFS(INDEX(Table915[],,MATCH(D$136,Table915[#Headers],0)),Table915[MainWaterHeatingFuel],$B147,Table915[EnergyRating (group)],$A147)</f>
        <v>999636</v>
      </c>
      <c r="E147" s="757">
        <f>SUMIFS(INDEX(Table915[],,MATCH(E$136,Table915[#Headers],0)),Table915[MainWaterHeatingFuel],$B147,Table915[EnergyRating (group)],$A147)</f>
        <v>23466</v>
      </c>
      <c r="F147" s="757">
        <f>SUMIFS(INDEX(Table915[],,MATCH(F$136,Table915[#Headers],0)),Table915[MainWaterHeatingFuel],$B147,Table915[EnergyRating (group)],$A147)</f>
        <v>8692</v>
      </c>
      <c r="G147" s="757">
        <f>SUMIFS(INDEX(Table915[],,MATCH(G$136,Table915[#Headers],0)),Table915[MainWaterHeatingFuel],$B147,Table915[EnergyRating (group)],$A147)</f>
        <v>392</v>
      </c>
      <c r="H147" s="757">
        <f>SUMIFS(INDEX(Table915[],,MATCH(H$136,Table915[#Headers],0)),Table915[MainWaterHeatingFuel],$B147,Table915[EnergyRating (group)],$A147)</f>
        <v>44551</v>
      </c>
      <c r="I147" s="961"/>
      <c r="J147" s="1005">
        <f t="shared" si="77"/>
        <v>1123064</v>
      </c>
      <c r="K147" s="1006">
        <f t="shared" si="77"/>
        <v>1008328</v>
      </c>
      <c r="L147" s="840"/>
      <c r="M147" s="840"/>
      <c r="N147" s="914" t="str">
        <f>RSD_Commodities!$M$73&amp;"_"&amp;RIGHT(P147,LEN(P147)-3)&amp;"_"&amp;SETUP!$B$67</f>
        <v>WH_Att-B1_OILKER_X0</v>
      </c>
      <c r="O147" s="914" t="str">
        <f>RSD_Commodities!$N$82&amp;"_"&amp;RSD_Commodities!D13&amp;"_"&amp;SETUP!$C$67</f>
        <v>Residential Water Heating Detached-B1_Kerosene to Residential_Existing 00</v>
      </c>
      <c r="P147" s="915" t="str">
        <f>RSD_Commodities!$C$13</f>
        <v>RSDOILKER</v>
      </c>
      <c r="Q147" s="930" t="str">
        <f>RSD_Commodities!$M$73</f>
        <v>WH_Att-B1</v>
      </c>
      <c r="R147" s="1000">
        <f t="shared" si="89"/>
        <v>0.10531972058033315</v>
      </c>
      <c r="S147" s="932">
        <f>R147*DwellingStocks!$I$63/1000</f>
        <v>0.54740573657562974</v>
      </c>
      <c r="T147" s="914">
        <v>1</v>
      </c>
      <c r="U147" s="914">
        <f t="shared" si="90"/>
        <v>0.89783663264070435</v>
      </c>
      <c r="V147" s="930">
        <v>20</v>
      </c>
      <c r="W147" s="930">
        <v>1</v>
      </c>
      <c r="X147" s="866"/>
      <c r="Y147" s="928">
        <f t="shared" si="91"/>
        <v>2.2683473899308152E-4</v>
      </c>
      <c r="Z147" s="929">
        <f t="shared" si="92"/>
        <v>2.5264589430475603E-4</v>
      </c>
      <c r="AA147" s="866"/>
      <c r="AB147" s="914" t="s">
        <v>393</v>
      </c>
      <c r="AC147" s="914" t="str">
        <f t="shared" si="88"/>
        <v>WH_Att-B1_OILKER_X0</v>
      </c>
      <c r="AD147" s="915" t="str">
        <f t="shared" si="88"/>
        <v>Residential Water Heating Detached-B1_Kerosene to Residential_Existing 00</v>
      </c>
      <c r="AE147" s="914" t="s">
        <v>53</v>
      </c>
      <c r="AF147" s="916" t="s">
        <v>406</v>
      </c>
      <c r="AG147" s="914"/>
      <c r="AH147" s="914"/>
      <c r="AI147" s="840"/>
      <c r="AJ147" s="840"/>
      <c r="AK147" s="840"/>
      <c r="AL147" s="840"/>
      <c r="AM147" s="840"/>
      <c r="AN147" s="840"/>
      <c r="AO147" s="840"/>
    </row>
    <row r="148" spans="1:41">
      <c r="A148" s="973" t="s">
        <v>110</v>
      </c>
      <c r="B148" s="758" t="s">
        <v>584</v>
      </c>
      <c r="C148" s="758">
        <f>SUMIFS(INDEX(Table915[],,MATCH(C$136,Table915[#Headers],0)),Table915[MainWaterHeatingFuel],$B148,Table915[EnergyRating (group)],$A148)</f>
        <v>6984737</v>
      </c>
      <c r="D148" s="758">
        <f>SUMIFS(INDEX(Table915[],,MATCH(D$136,Table915[#Headers],0)),Table915[MainWaterHeatingFuel],$B148,Table915[EnergyRating (group)],$A148)</f>
        <v>6349760</v>
      </c>
      <c r="E148" s="759">
        <f>SUMIFS(INDEX(Table915[],,MATCH(E$136,Table915[#Headers],0)),Table915[MainWaterHeatingFuel],$B148,Table915[EnergyRating (group)],$A148)</f>
        <v>56525</v>
      </c>
      <c r="F148" s="759">
        <f>SUMIFS(INDEX(Table915[],,MATCH(F$136,Table915[#Headers],0)),Table915[MainWaterHeatingFuel],$B148,Table915[EnergyRating (group)],$A148)</f>
        <v>20935</v>
      </c>
      <c r="G148" s="758">
        <f>SUMIFS(INDEX(Table915[],,MATCH(G$136,Table915[#Headers],0)),Table915[MainWaterHeatingFuel],$B148,Table915[EnergyRating (group)],$A148)</f>
        <v>2314</v>
      </c>
      <c r="H148" s="758">
        <f>SUMIFS(INDEX(Table915[],,MATCH(H$136,Table915[#Headers],0)),Table915[MainWaterHeatingFuel],$B148,Table915[EnergyRating (group)],$A148)</f>
        <v>274966</v>
      </c>
      <c r="I148" s="960"/>
      <c r="J148" s="980">
        <f t="shared" si="77"/>
        <v>7041262</v>
      </c>
      <c r="K148" s="981">
        <f t="shared" si="77"/>
        <v>6370695</v>
      </c>
      <c r="L148" s="840"/>
      <c r="M148" s="840"/>
      <c r="N148" s="933" t="str">
        <f>RSD_Commodities!$M$73&amp;"_"&amp;RIGHT(P148,LEN(P148)-3)&amp;"_"&amp;SETUP!$B$67</f>
        <v>WH_Att-B1_GASNAT_X0</v>
      </c>
      <c r="O148" s="933" t="str">
        <f>RSD_Commodities!$N$82&amp;"_"&amp;RSD_Commodities!D17&amp;"_"&amp;SETUP!$C$67</f>
        <v>Residential Water Heating Detached-B1_Natural Gas to Residential_Existing 00</v>
      </c>
      <c r="P148" s="934" t="str">
        <f>RSD_Commodities!$C$17</f>
        <v>RSDGASNAT</v>
      </c>
      <c r="Q148" s="935" t="str">
        <f>RSD_Commodities!$M$73</f>
        <v>WH_Att-B1</v>
      </c>
      <c r="R148" s="1001">
        <f t="shared" si="89"/>
        <v>0.6217087587318646</v>
      </c>
      <c r="S148" s="937">
        <f>R148*DwellingStocks!$I$63/1000</f>
        <v>3.2313695776428752</v>
      </c>
      <c r="T148" s="933">
        <v>1</v>
      </c>
      <c r="U148" s="933">
        <f t="shared" si="90"/>
        <v>0.90476607744463988</v>
      </c>
      <c r="V148" s="935">
        <v>20</v>
      </c>
      <c r="W148" s="935">
        <v>1</v>
      </c>
      <c r="X148" s="866"/>
      <c r="Y148" s="926">
        <f t="shared" si="91"/>
        <v>8.4600287718253082E-3</v>
      </c>
      <c r="Z148" s="927">
        <f t="shared" si="92"/>
        <v>9.3505149924710262E-3</v>
      </c>
      <c r="AA148" s="866"/>
      <c r="AB148" s="66" t="s">
        <v>393</v>
      </c>
      <c r="AC148" s="66" t="str">
        <f t="shared" si="88"/>
        <v>WH_Att-B1_GASNAT_X0</v>
      </c>
      <c r="AD148" s="83" t="str">
        <f t="shared" si="88"/>
        <v>Residential Water Heating Detached-B1_Natural Gas to Residential_Existing 00</v>
      </c>
      <c r="AE148" s="66" t="s">
        <v>53</v>
      </c>
      <c r="AF148" s="88" t="s">
        <v>406</v>
      </c>
      <c r="AG148" s="66"/>
      <c r="AH148" s="66"/>
      <c r="AI148" s="840"/>
      <c r="AJ148" s="840"/>
      <c r="AK148" s="840"/>
      <c r="AL148" s="840"/>
      <c r="AM148" s="840"/>
      <c r="AN148" s="840"/>
      <c r="AO148" s="840"/>
    </row>
    <row r="149" spans="1:41">
      <c r="A149" s="972" t="s">
        <v>110</v>
      </c>
      <c r="B149" s="757" t="s">
        <v>585</v>
      </c>
      <c r="C149" s="757">
        <f>SUMIFS(INDEX(Table915[],,MATCH(C$136,Table915[#Headers],0)),Table915[MainWaterHeatingFuel],$B149,Table915[EnergyRating (group)],$A149)</f>
        <v>34324</v>
      </c>
      <c r="D149" s="757">
        <f>SUMIFS(INDEX(Table915[],,MATCH(D$136,Table915[#Headers],0)),Table915[MainWaterHeatingFuel],$B149,Table915[EnergyRating (group)],$A149)</f>
        <v>31204</v>
      </c>
      <c r="E149" s="760">
        <f>SUMIFS(INDEX(Table915[],,MATCH(E$136,Table915[#Headers],0)),Table915[MainWaterHeatingFuel],$B149,Table915[EnergyRating (group)],$A149)</f>
        <v>4004</v>
      </c>
      <c r="F149" s="760">
        <f>SUMIFS(INDEX(Table915[],,MATCH(F$136,Table915[#Headers],0)),Table915[MainWaterHeatingFuel],$B149,Table915[EnergyRating (group)],$A149)</f>
        <v>1483</v>
      </c>
      <c r="G149" s="757">
        <f>SUMIFS(INDEX(Table915[],,MATCH(G$136,Table915[#Headers],0)),Table915[MainWaterHeatingFuel],$B149,Table915[EnergyRating (group)],$A149)</f>
        <v>29</v>
      </c>
      <c r="H149" s="757">
        <f>SUMIFS(INDEX(Table915[],,MATCH(H$136,Table915[#Headers],0)),Table915[MainWaterHeatingFuel],$B149,Table915[EnergyRating (group)],$A149)</f>
        <v>2662</v>
      </c>
      <c r="I149" s="959"/>
      <c r="J149" s="978">
        <f t="shared" si="77"/>
        <v>38328</v>
      </c>
      <c r="K149" s="979">
        <f t="shared" si="77"/>
        <v>32687</v>
      </c>
      <c r="L149" s="840"/>
      <c r="M149" s="840"/>
      <c r="N149" s="914" t="str">
        <f>RSD_Commodities!$M$73&amp;"_"&amp;RIGHT(P149,LEN(P149)-3)&amp;"_"&amp;SETUP!$B$67</f>
        <v>WH_Att-B1_BIOWOO_X0</v>
      </c>
      <c r="O149" s="914" t="str">
        <f>RSD_Commodities!$N$82&amp;"_"&amp;RSD_Commodities!D19&amp;"_"&amp;SETUP!$C$67</f>
        <v>Residential Water Heating Detached-B1_Biomass &amp; Renewable Waste to Residential_Existing 00</v>
      </c>
      <c r="P149" s="915" t="str">
        <f>RSD_Commodities!$C$19</f>
        <v>RSDBIOWOO</v>
      </c>
      <c r="Q149" s="930" t="str">
        <f>RSD_Commodities!$M$73</f>
        <v>WH_Att-B1</v>
      </c>
      <c r="R149" s="1000">
        <f t="shared" si="89"/>
        <v>7.7915099408919939E-3</v>
      </c>
      <c r="S149" s="932">
        <f>R149*DwellingStocks!$I$63/1000</f>
        <v>4.04968529609522E-2</v>
      </c>
      <c r="T149" s="914">
        <v>1</v>
      </c>
      <c r="U149" s="914">
        <f t="shared" si="90"/>
        <v>0.85282300146107282</v>
      </c>
      <c r="V149" s="930">
        <v>20</v>
      </c>
      <c r="W149" s="930">
        <v>1</v>
      </c>
      <c r="X149" s="866"/>
      <c r="Y149" s="928">
        <f t="shared" si="91"/>
        <v>5.4399478057588141E-7</v>
      </c>
      <c r="Z149" s="929">
        <f t="shared" si="92"/>
        <v>6.3787536176193541E-7</v>
      </c>
      <c r="AA149" s="866"/>
      <c r="AB149" s="914" t="s">
        <v>393</v>
      </c>
      <c r="AC149" s="914" t="str">
        <f t="shared" si="88"/>
        <v>WH_Att-B1_BIOWOO_X0</v>
      </c>
      <c r="AD149" s="915" t="str">
        <f t="shared" si="88"/>
        <v>Residential Water Heating Detached-B1_Biomass &amp; Renewable Waste to Residential_Existing 00</v>
      </c>
      <c r="AE149" s="914" t="s">
        <v>53</v>
      </c>
      <c r="AF149" s="916" t="s">
        <v>406</v>
      </c>
      <c r="AG149" s="914"/>
      <c r="AH149" s="914"/>
      <c r="AI149" s="840"/>
      <c r="AJ149" s="840"/>
      <c r="AK149" s="840"/>
      <c r="AL149" s="840"/>
      <c r="AM149" s="840"/>
      <c r="AN149" s="840"/>
      <c r="AO149" s="840"/>
    </row>
    <row r="150" spans="1:41">
      <c r="A150" s="973" t="s">
        <v>110</v>
      </c>
      <c r="B150" s="758" t="s">
        <v>587</v>
      </c>
      <c r="C150" s="758">
        <f>SUMIFS(INDEX(Table915[],,MATCH(C$136,Table915[#Headers],0)),Table915[MainWaterHeatingFuel],$B150,Table915[EnergyRating (group)],$A150)</f>
        <v>0</v>
      </c>
      <c r="D150" s="758">
        <f>SUMIFS(INDEX(Table915[],,MATCH(D$136,Table915[#Headers],0)),Table915[MainWaterHeatingFuel],"",Table915[EnergyRating (group)],$A150)</f>
        <v>0</v>
      </c>
      <c r="E150" s="758">
        <f>SUMIFS(INDEX(Table915[],,MATCH(E$136,Table915[#Headers],0)),Table915[MainWaterHeatingFuel],"",Table915[EnergyRating (group)],$A150)</f>
        <v>0</v>
      </c>
      <c r="F150" s="758">
        <f>SUMIFS(INDEX(Table915[],,MATCH(F$136,Table915[#Headers],0)),Table915[MainWaterHeatingFuel],"",Table915[EnergyRating (group)],A150)</f>
        <v>0</v>
      </c>
      <c r="G150" s="758">
        <f>SUMIFS(INDEX(Table915[],,MATCH(G$136,Table915[#Headers],0)),Table915[MainWaterHeatingFuel],"",Table915[EnergyRating (group)],A150)</f>
        <v>42</v>
      </c>
      <c r="H150" s="758">
        <f>SUMIFS(INDEX(Table915[],,MATCH(H$136,Table915[#Headers],0)),Table915[MainWaterHeatingFuel],"",Table915[EnergyRating (group)],A150)</f>
        <v>4061</v>
      </c>
      <c r="I150" s="960"/>
      <c r="J150" s="1009">
        <f t="shared" si="77"/>
        <v>0</v>
      </c>
      <c r="K150" s="1010">
        <f t="shared" si="77"/>
        <v>0</v>
      </c>
      <c r="L150" s="840"/>
      <c r="M150" s="840"/>
      <c r="N150" s="933" t="str">
        <f>RSD_Commodities!$M$73&amp;"_"&amp;RIGHT(P150,LEN(P150)-3)&amp;"_"&amp;SETUP!$B$67</f>
        <v>WH_Att-B1_HET_X0</v>
      </c>
      <c r="O150" s="933" t="str">
        <f>RSD_Commodities!$N$82&amp;"_"&amp;RSD_Commodities!D28&amp;"_"&amp;SETUP!$C$67</f>
        <v>Residential Water Heating Detached-B1_Heat to Residential_Existing 00</v>
      </c>
      <c r="P150" s="934" t="str">
        <f>RSD_Commodities!$C$28</f>
        <v>RSDHET</v>
      </c>
      <c r="Q150" s="935" t="str">
        <f>RSD_Commodities!$M$73</f>
        <v>WH_Att-B1</v>
      </c>
      <c r="R150" s="1001">
        <f t="shared" si="89"/>
        <v>1.1284255776464266E-2</v>
      </c>
      <c r="S150" s="937">
        <f>R150*DwellingStocks!$I$63/1000</f>
        <v>5.8650614633103185E-2</v>
      </c>
      <c r="T150" s="933">
        <v>1</v>
      </c>
      <c r="U150" s="917">
        <v>1</v>
      </c>
      <c r="V150" s="935">
        <v>20</v>
      </c>
      <c r="W150" s="935">
        <v>1</v>
      </c>
      <c r="X150" s="866"/>
      <c r="Y150" s="926">
        <f t="shared" si="91"/>
        <v>0</v>
      </c>
      <c r="Z150" s="927">
        <f t="shared" si="92"/>
        <v>0</v>
      </c>
      <c r="AA150" s="866"/>
      <c r="AB150" s="66" t="s">
        <v>393</v>
      </c>
      <c r="AC150" s="66" t="str">
        <f t="shared" si="88"/>
        <v>WH_Att-B1_HET_X0</v>
      </c>
      <c r="AD150" s="83" t="str">
        <f t="shared" si="88"/>
        <v>Residential Water Heating Detached-B1_Heat to Residential_Existing 00</v>
      </c>
      <c r="AE150" s="66" t="s">
        <v>53</v>
      </c>
      <c r="AF150" s="88" t="s">
        <v>406</v>
      </c>
      <c r="AG150" s="66"/>
      <c r="AH150" s="66"/>
      <c r="AI150" s="840"/>
      <c r="AJ150" s="840"/>
      <c r="AK150" s="840"/>
      <c r="AL150" s="840"/>
      <c r="AM150" s="840"/>
      <c r="AN150" s="840"/>
      <c r="AO150" s="840"/>
    </row>
    <row r="151" spans="1:41">
      <c r="A151" s="972" t="s">
        <v>110</v>
      </c>
      <c r="B151" s="757" t="s">
        <v>665</v>
      </c>
      <c r="C151" s="757">
        <f>SUMIFS(INDEX(Table915[],,MATCH(C$136,Table915[#Headers],0)),Table915[MainWaterHeatingFuel],$B151,Table915[EnergyRating (group)],$A151)</f>
        <v>1220</v>
      </c>
      <c r="D151" s="757">
        <f>SUMIFS(INDEX(Table915[],,MATCH(D$136,Table915[#Headers],0)),Table915[MainWaterHeatingFuel],$B151,Table915[EnergyRating (group)],$A151)</f>
        <v>1109</v>
      </c>
      <c r="E151" s="757">
        <f>SUMIFS(INDEX(Table915[],,MATCH(E$136,Table915[#Headers],0)),Table915[MainWaterHeatingFuel],$B151,Table915[EnergyRating (group)],$A151)</f>
        <v>0</v>
      </c>
      <c r="F151" s="757">
        <f>SUMIFS(INDEX(Table915[],,MATCH(F$136,Table915[#Headers],0)),Table915[MainWaterHeatingFuel],$B151,Table915[EnergyRating (group)],$A151)</f>
        <v>0</v>
      </c>
      <c r="G151" s="757">
        <f>SUMIFS(INDEX(Table915[],,MATCH(G$136,Table915[#Headers],0)),Table915[MainWaterHeatingFuel],$B151,Table915[EnergyRating (group)],$A151)</f>
        <v>1</v>
      </c>
      <c r="H151" s="757">
        <f>SUMIFS(INDEX(Table915[],,MATCH(H$136,Table915[#Headers],0)),Table915[MainWaterHeatingFuel],$B151,Table915[EnergyRating (group)],$A151)</f>
        <v>71</v>
      </c>
      <c r="I151" s="961"/>
      <c r="J151" s="978">
        <f t="shared" ref="J151:J154" si="93">C151+E151</f>
        <v>1220</v>
      </c>
      <c r="K151" s="979">
        <f t="shared" ref="K151:K154" si="94">D151+F151</f>
        <v>1109</v>
      </c>
      <c r="L151" s="840"/>
      <c r="M151" s="840"/>
      <c r="N151" s="914" t="str">
        <f>RSD_Commodities!$M$73&amp;"_"&amp;RSD_Commodities!$C$26&amp;"_"&amp;SETUP!$B$67</f>
        <v>WH_Att-B1_RSDSMF_X0</v>
      </c>
      <c r="O151" s="914" t="str">
        <f>RSD_Commodities!$N$82&amp;"_"&amp;RSD_Commodities!$D$26&amp;"_"&amp;SETUP!$C$67</f>
        <v>Residential Water Heating Detached-B1_Solid Multi-Fuel_Existing 00</v>
      </c>
      <c r="P151" s="915" t="str">
        <f>RSD_Commodities!$C$6&amp;","&amp;RSD_Commodities!$C$7&amp;","&amp;RSD_Commodities!$C$9&amp;","&amp;RSD_Commodities!$C$10&amp;","&amp;RSD_Commodities!$C$19</f>
        <v>RSDCOABIT,RSDCOAHAR,RSDCOALIG,RSDPEA,RSDBIOWOO</v>
      </c>
      <c r="Q151" s="930" t="str">
        <f>RSD_Commodities!$M$73</f>
        <v>WH_Att-B1</v>
      </c>
      <c r="R151" s="1000">
        <f t="shared" si="89"/>
        <v>2.6867275658248256E-4</v>
      </c>
      <c r="S151" s="932">
        <f>R151*DwellingStocks!$I$63/1000</f>
        <v>1.3964432055500759E-3</v>
      </c>
      <c r="T151" s="914">
        <v>1</v>
      </c>
      <c r="U151" s="914">
        <f t="shared" si="90"/>
        <v>0.90901639344262297</v>
      </c>
      <c r="V151" s="930">
        <v>20</v>
      </c>
      <c r="W151" s="930">
        <v>1</v>
      </c>
      <c r="X151" s="866"/>
      <c r="Y151" s="928">
        <f t="shared" ref="Y151:Y154" si="95">ABS((K151)*S151*1000*$B$2)</f>
        <v>6.364337732691923E-10</v>
      </c>
      <c r="Z151" s="929">
        <f t="shared" ref="Z151:Z154" si="96">ABS((J151)*S151*1000*$B$2)</f>
        <v>7.0013453867305185E-10</v>
      </c>
      <c r="AA151" s="866"/>
      <c r="AB151" s="914" t="s">
        <v>393</v>
      </c>
      <c r="AC151" s="914" t="str">
        <f t="shared" ref="AC151:AC154" si="97">N151</f>
        <v>WH_Att-B1_RSDSMF_X0</v>
      </c>
      <c r="AD151" s="915" t="str">
        <f t="shared" ref="AD151:AD154" si="98">O151</f>
        <v>Residential Water Heating Detached-B1_Solid Multi-Fuel_Existing 00</v>
      </c>
      <c r="AE151" s="914" t="s">
        <v>53</v>
      </c>
      <c r="AF151" s="916" t="s">
        <v>406</v>
      </c>
      <c r="AG151" s="914"/>
      <c r="AH151" s="914"/>
      <c r="AI151" s="840"/>
      <c r="AJ151" s="840"/>
      <c r="AK151" s="840"/>
      <c r="AL151" s="840"/>
      <c r="AM151" s="840"/>
      <c r="AN151" s="840"/>
      <c r="AO151" s="840"/>
    </row>
    <row r="152" spans="1:41">
      <c r="A152" s="973" t="s">
        <v>110</v>
      </c>
      <c r="B152" s="758" t="s">
        <v>668</v>
      </c>
      <c r="C152" s="758">
        <f>SUMIFS(INDEX(Table915[],,MATCH(C$136,Table915[#Headers],0)),Table915[MainWaterHeatingFuel],$B152,Table915[EnergyRating (group)],$A152)</f>
        <v>10441</v>
      </c>
      <c r="D152" s="758">
        <f>SUMIFS(INDEX(Table915[],,MATCH(D$136,Table915[#Headers],0)),Table915[MainWaterHeatingFuel],$B152,Table915[EnergyRating (group)],$A152)</f>
        <v>9492</v>
      </c>
      <c r="E152" s="759">
        <f>SUMIFS(INDEX(Table915[],,MATCH(E$136,Table915[#Headers],0)),Table915[MainWaterHeatingFuel],$B152,Table915[EnergyRating (group)],$A152)</f>
        <v>0</v>
      </c>
      <c r="F152" s="759">
        <f>SUMIFS(INDEX(Table915[],,MATCH(F$136,Table915[#Headers],0)),Table915[MainWaterHeatingFuel],$B152,Table915[EnergyRating (group)],$A152)</f>
        <v>0</v>
      </c>
      <c r="G152" s="758">
        <f>SUMIFS(INDEX(Table915[],,MATCH(G$136,Table915[#Headers],0)),Table915[MainWaterHeatingFuel],$B152,Table915[EnergyRating (group)],$A152)</f>
        <v>6</v>
      </c>
      <c r="H152" s="758">
        <f>SUMIFS(INDEX(Table915[],,MATCH(H$136,Table915[#Headers],0)),Table915[MainWaterHeatingFuel],$B152,Table915[EnergyRating (group)],$A152)</f>
        <v>600</v>
      </c>
      <c r="I152" s="960"/>
      <c r="J152" s="980">
        <f t="shared" si="93"/>
        <v>10441</v>
      </c>
      <c r="K152" s="981">
        <f t="shared" si="94"/>
        <v>9492</v>
      </c>
      <c r="L152" s="840"/>
      <c r="M152" s="840"/>
      <c r="N152" s="933" t="str">
        <f>RSD_Commodities!$M$73&amp;"_"&amp;RIGHT(P152,LEN(P152)-3)&amp;"_"&amp;SETUP!$B$69</f>
        <v>WH_Att-B1_BIOWOO_X2</v>
      </c>
      <c r="O152" s="933" t="str">
        <f>RSD_Commodities!$N$82&amp;"_"&amp;RSD_Commodities!D29&amp;"_"&amp;SETUP!$C$69</f>
        <v>Residential Water Heating Detached-B1_Carbon Dioxide - Combustion (RSD)_Existing 02</v>
      </c>
      <c r="P152" s="934" t="str">
        <f>RSD_Commodities!$C$19</f>
        <v>RSDBIOWOO</v>
      </c>
      <c r="Q152" s="935" t="str">
        <f>RSD_Commodities!$M$73</f>
        <v>WH_Att-B1</v>
      </c>
      <c r="R152" s="1001">
        <f t="shared" si="89"/>
        <v>1.6120365394948952E-3</v>
      </c>
      <c r="S152" s="937">
        <f>R152*DwellingStocks!$I$63/1000</f>
        <v>8.3786592333004555E-3</v>
      </c>
      <c r="T152" s="933">
        <v>1</v>
      </c>
      <c r="U152" s="954">
        <f t="shared" si="90"/>
        <v>0.90910832295757116</v>
      </c>
      <c r="V152" s="935">
        <v>20</v>
      </c>
      <c r="W152" s="935">
        <v>1</v>
      </c>
      <c r="X152" s="866"/>
      <c r="Y152" s="926">
        <f t="shared" si="95"/>
        <v>3.268365757910463E-8</v>
      </c>
      <c r="Z152" s="927">
        <f t="shared" si="96"/>
        <v>3.5951334680091815E-8</v>
      </c>
      <c r="AA152" s="866"/>
      <c r="AB152" s="66" t="s">
        <v>393</v>
      </c>
      <c r="AC152" s="66" t="str">
        <f t="shared" si="97"/>
        <v>WH_Att-B1_BIOWOO_X2</v>
      </c>
      <c r="AD152" s="83" t="str">
        <f t="shared" si="98"/>
        <v>Residential Water Heating Detached-B1_Carbon Dioxide - Combustion (RSD)_Existing 02</v>
      </c>
      <c r="AE152" s="66" t="s">
        <v>53</v>
      </c>
      <c r="AF152" s="88" t="s">
        <v>406</v>
      </c>
      <c r="AG152" s="66"/>
      <c r="AH152" s="66"/>
      <c r="AI152" s="840"/>
      <c r="AJ152" s="840"/>
      <c r="AK152" s="840"/>
      <c r="AL152" s="840"/>
      <c r="AM152" s="840"/>
      <c r="AN152" s="840"/>
      <c r="AO152" s="840"/>
    </row>
    <row r="153" spans="1:41">
      <c r="A153" s="972" t="s">
        <v>110</v>
      </c>
      <c r="B153" s="757" t="s">
        <v>666</v>
      </c>
      <c r="C153" s="757">
        <f>SUMIFS(INDEX(Table915[],,MATCH(C$136,Table915[#Headers],0)),Table915[MainWaterHeatingFuel],$B153,Table915[EnergyRating (group)],$A153)</f>
        <v>4369</v>
      </c>
      <c r="D153" s="757">
        <f>SUMIFS(INDEX(Table915[],,MATCH(D$136,Table915[#Headers],0)),Table915[MainWaterHeatingFuel],$B153,Table915[EnergyRating (group)],$A153)</f>
        <v>3972</v>
      </c>
      <c r="E153" s="760">
        <f>SUMIFS(INDEX(Table915[],,MATCH(E$136,Table915[#Headers],0)),Table915[MainWaterHeatingFuel],$B153,Table915[EnergyRating (group)],$A153)</f>
        <v>0</v>
      </c>
      <c r="F153" s="760">
        <f>SUMIFS(INDEX(Table915[],,MATCH(F$136,Table915[#Headers],0)),Table915[MainWaterHeatingFuel],$B153,Table915[EnergyRating (group)],$A153)</f>
        <v>0</v>
      </c>
      <c r="G153" s="757">
        <f>SUMIFS(INDEX(Table915[],,MATCH(G$136,Table915[#Headers],0)),Table915[MainWaterHeatingFuel],$B153,Table915[EnergyRating (group)],$A153)</f>
        <v>3</v>
      </c>
      <c r="H153" s="757">
        <f>SUMIFS(INDEX(Table915[],,MATCH(H$136,Table915[#Headers],0)),Table915[MainWaterHeatingFuel],$B153,Table915[EnergyRating (group)],$A153)</f>
        <v>255</v>
      </c>
      <c r="I153" s="959"/>
      <c r="J153" s="978">
        <f t="shared" si="93"/>
        <v>4369</v>
      </c>
      <c r="K153" s="979">
        <f t="shared" si="94"/>
        <v>3972</v>
      </c>
      <c r="L153" s="840"/>
      <c r="M153" s="840"/>
      <c r="N153" s="914" t="str">
        <f>RSD_Commodities!$M$73&amp;"_"&amp;RIGHT(P153,LEN(P153)-3)&amp;"_"&amp;SETUP!$B$67</f>
        <v>WH_Att-B1_COABIT_X0</v>
      </c>
      <c r="O153" s="914" t="str">
        <f>RSD_Commodities!$N$82&amp;"_"&amp;RSD_Commodities!D6&amp;"_"&amp;SETUP!$C$67</f>
        <v>Residential Water Heating Detached-B1_Bituminous Coal to Residential_Existing 00</v>
      </c>
      <c r="P153" s="915" t="str">
        <f>RSD_Commodities!$C$6</f>
        <v>RSDCOABIT</v>
      </c>
      <c r="Q153" s="930" t="str">
        <f>RSD_Commodities!$M$73</f>
        <v>WH_Att-B1</v>
      </c>
      <c r="R153" s="1000">
        <f t="shared" si="89"/>
        <v>8.0601826974744761E-4</v>
      </c>
      <c r="S153" s="932">
        <f>R153*DwellingStocks!$I$63/1000</f>
        <v>4.1893296166502277E-3</v>
      </c>
      <c r="T153" s="914">
        <v>1</v>
      </c>
      <c r="U153" s="914">
        <f t="shared" si="90"/>
        <v>0.9091325246051728</v>
      </c>
      <c r="V153" s="930">
        <v>20</v>
      </c>
      <c r="W153" s="930">
        <v>1</v>
      </c>
      <c r="X153" s="866"/>
      <c r="Y153" s="928">
        <f t="shared" si="95"/>
        <v>6.8383632482197425E-9</v>
      </c>
      <c r="Z153" s="929">
        <f t="shared" si="96"/>
        <v>7.5218552445800732E-9</v>
      </c>
      <c r="AA153" s="866"/>
      <c r="AB153" s="914" t="s">
        <v>393</v>
      </c>
      <c r="AC153" s="914" t="str">
        <f t="shared" si="97"/>
        <v>WH_Att-B1_COABIT_X0</v>
      </c>
      <c r="AD153" s="915" t="str">
        <f t="shared" si="98"/>
        <v>Residential Water Heating Detached-B1_Bituminous Coal to Residential_Existing 00</v>
      </c>
      <c r="AE153" s="914" t="s">
        <v>53</v>
      </c>
      <c r="AF153" s="916" t="s">
        <v>406</v>
      </c>
      <c r="AG153" s="914"/>
      <c r="AH153" s="914"/>
      <c r="AI153" s="840"/>
      <c r="AJ153" s="840"/>
      <c r="AK153" s="840"/>
      <c r="AL153" s="840"/>
      <c r="AM153" s="840"/>
      <c r="AN153" s="840"/>
      <c r="AO153" s="840"/>
    </row>
    <row r="154" spans="1:41" ht="15.75" thickBot="1">
      <c r="A154" s="973" t="s">
        <v>110</v>
      </c>
      <c r="B154" s="758" t="s">
        <v>673</v>
      </c>
      <c r="C154" s="758">
        <f>SUMIFS(INDEX(Table915[],,MATCH(C$136,Table915[#Headers],0)),Table915[MainWaterHeatingFuel],$B154,Table915[EnergyRating (group)],$A154)</f>
        <v>4071</v>
      </c>
      <c r="D154" s="758">
        <f>SUMIFS(INDEX(Table915[],,MATCH(D$136,Table915[#Headers],0)),Table915[MainWaterHeatingFuel],$B154,Table915[EnergyRating (group)],$A154)</f>
        <v>3701</v>
      </c>
      <c r="E154" s="758">
        <f>SUMIFS(INDEX(Table915[],,MATCH(E$136,Table915[#Headers],0)),Table915[MainWaterHeatingFuel],$B154,Table915[EnergyRating (group)],$A154)</f>
        <v>0</v>
      </c>
      <c r="F154" s="758">
        <f>SUMIFS(INDEX(Table915[],,MATCH(F$136,Table915[#Headers],0)),Table915[MainWaterHeatingFuel],$B154,Table915[EnergyRating (group)],$A154)</f>
        <v>0</v>
      </c>
      <c r="G154" s="758">
        <f>SUMIFS(INDEX(Table915[],,MATCH(G$136,Table915[#Headers],0)),Table915[MainWaterHeatingFuel],$B154,Table915[EnergyRating (group)],$A154)</f>
        <v>1</v>
      </c>
      <c r="H154" s="758">
        <f>SUMIFS(INDEX(Table915[],,MATCH(H$136,Table915[#Headers],0)),Table915[MainWaterHeatingFuel],$B154,Table915[EnergyRating (group)],$A154)</f>
        <v>183</v>
      </c>
      <c r="I154" s="960"/>
      <c r="J154" s="982">
        <f t="shared" si="93"/>
        <v>4071</v>
      </c>
      <c r="K154" s="983">
        <f t="shared" si="94"/>
        <v>3701</v>
      </c>
      <c r="L154" s="840"/>
      <c r="M154" s="840"/>
      <c r="N154" s="933" t="str">
        <f>RSD_Commodities!$M$73&amp;"_"&amp;RIGHT(P154,LEN(P154)-3)&amp;"_"&amp;SETUP!$B$68</f>
        <v>WH_Att-B1_BIOWOO_X1</v>
      </c>
      <c r="O154" s="933" t="str">
        <f>RSD_Commodities!$N$82&amp;"_"&amp;RSD_Commodities!D19&amp;"_"&amp;SETUP!$C$68</f>
        <v>Residential Water Heating Detached-B1_Biomass &amp; Renewable Waste to Residential_Existing 01</v>
      </c>
      <c r="P154" s="934" t="str">
        <f>RSD_Commodities!$C$19</f>
        <v>RSDBIOWOO</v>
      </c>
      <c r="Q154" s="935" t="str">
        <f>RSD_Commodities!$M$73</f>
        <v>WH_Att-B1</v>
      </c>
      <c r="R154" s="1001">
        <f t="shared" si="89"/>
        <v>2.6867275658248256E-4</v>
      </c>
      <c r="S154" s="937">
        <f>R154*DwellingStocks!$I$63/1000</f>
        <v>1.3964432055500759E-3</v>
      </c>
      <c r="T154" s="933">
        <v>1</v>
      </c>
      <c r="U154" s="933">
        <f t="shared" si="90"/>
        <v>0.90911323999017446</v>
      </c>
      <c r="V154" s="935">
        <v>20</v>
      </c>
      <c r="W154" s="935">
        <v>1</v>
      </c>
      <c r="X154" s="866"/>
      <c r="Y154" s="926">
        <f t="shared" si="95"/>
        <v>2.1239327275647254E-9</v>
      </c>
      <c r="Z154" s="927">
        <f t="shared" si="96"/>
        <v>2.3362686122442573E-9</v>
      </c>
      <c r="AA154" s="866"/>
      <c r="AB154" s="66" t="s">
        <v>393</v>
      </c>
      <c r="AC154" s="66" t="str">
        <f t="shared" si="97"/>
        <v>WH_Att-B1_BIOWOO_X1</v>
      </c>
      <c r="AD154" s="83" t="str">
        <f t="shared" si="98"/>
        <v>Residential Water Heating Detached-B1_Biomass &amp; Renewable Waste to Residential_Existing 01</v>
      </c>
      <c r="AE154" s="66" t="s">
        <v>53</v>
      </c>
      <c r="AF154" s="88" t="s">
        <v>406</v>
      </c>
      <c r="AG154" s="66"/>
      <c r="AH154" s="66"/>
      <c r="AI154" s="840"/>
      <c r="AJ154" s="840"/>
      <c r="AK154" s="840"/>
      <c r="AL154" s="840"/>
      <c r="AM154" s="840"/>
      <c r="AN154" s="840"/>
      <c r="AO154" s="840"/>
    </row>
    <row r="155" spans="1:41" ht="15.75" thickBot="1">
      <c r="A155" s="756" t="s">
        <v>112</v>
      </c>
      <c r="B155" s="1048"/>
      <c r="C155" s="1049"/>
      <c r="D155" s="1049"/>
      <c r="E155" s="1049"/>
      <c r="F155" s="1049"/>
      <c r="G155" s="1049"/>
      <c r="H155" s="1049"/>
      <c r="I155" s="1049"/>
      <c r="J155" s="1049"/>
      <c r="K155" s="1052"/>
      <c r="L155" s="840"/>
      <c r="M155" s="840"/>
      <c r="N155" s="76" t="str">
        <f>AB155</f>
        <v>*B2 Rating</v>
      </c>
      <c r="O155" s="76"/>
      <c r="P155" s="76"/>
      <c r="Q155" s="76"/>
      <c r="R155" s="949">
        <f>SUM(R156:R166)</f>
        <v>0.99999999999999989</v>
      </c>
      <c r="S155" s="76"/>
      <c r="T155" s="97"/>
      <c r="U155" s="76"/>
      <c r="V155" s="76"/>
      <c r="W155" s="76"/>
      <c r="X155" s="840"/>
      <c r="Y155" s="76"/>
      <c r="Z155" s="76"/>
      <c r="AA155" s="840"/>
      <c r="AB155" s="140" t="str">
        <f>"*"&amp; A156 &amp; " Rating"</f>
        <v>*B2 Rating</v>
      </c>
      <c r="AC155" s="141"/>
      <c r="AD155" s="141"/>
      <c r="AE155" s="141"/>
      <c r="AF155" s="141"/>
      <c r="AG155" s="141"/>
      <c r="AH155" s="141"/>
      <c r="AI155" s="840"/>
      <c r="AJ155" s="840"/>
      <c r="AK155" s="840"/>
      <c r="AL155" s="840"/>
      <c r="AM155" s="840"/>
      <c r="AN155" s="840"/>
      <c r="AO155" s="840"/>
    </row>
    <row r="156" spans="1:41">
      <c r="A156" s="972" t="s">
        <v>112</v>
      </c>
      <c r="B156" s="757" t="s">
        <v>582</v>
      </c>
      <c r="C156" s="757">
        <f>SUMIFS(INDEX(Table915[],,MATCH(C$136,Table915[#Headers],0)),Table915[MainWaterHeatingFuel],$B156,Table915[EnergyRating (group)],$A156)</f>
        <v>980248</v>
      </c>
      <c r="D156" s="757">
        <f>SUMIFS(INDEX(Table915[],,MATCH(D$136,Table915[#Headers],0)),Table915[MainWaterHeatingFuel],$B156,Table915[EnergyRating (group)],$A156)</f>
        <v>891136</v>
      </c>
      <c r="E156" s="760">
        <f>SUMIFS(INDEX(Table915[],,MATCH(E$136,Table915[#Headers],0)),Table915[MainWaterHeatingFuel],$B156,Table915[EnergyRating (group)],$A156)</f>
        <v>8931</v>
      </c>
      <c r="F156" s="760">
        <f>SUMIFS(INDEX(Table915[],,MATCH(F$136,Table915[#Headers],0)),Table915[MainWaterHeatingFuel],$B156,Table915[EnergyRating (group)],$A156)</f>
        <v>3308</v>
      </c>
      <c r="G156" s="757">
        <f>SUMIFS(INDEX(Table915[],,MATCH(G$136,Table915[#Headers],0)),Table915[MainWaterHeatingFuel],$B156,Table915[EnergyRating (group)],$A156)</f>
        <v>255</v>
      </c>
      <c r="H156" s="757">
        <f>SUMIFS(INDEX(Table915[],,MATCH(H$136,Table915[#Headers],0)),Table915[MainWaterHeatingFuel],$B156,Table915[EnergyRating (group)],$A156)</f>
        <v>28680</v>
      </c>
      <c r="I156" s="959"/>
      <c r="J156" s="974">
        <f t="shared" ref="J156:K163" si="99">C156+E156</f>
        <v>989179</v>
      </c>
      <c r="K156" s="975">
        <f t="shared" si="99"/>
        <v>894444</v>
      </c>
      <c r="L156" s="840"/>
      <c r="M156" s="840"/>
      <c r="N156" s="914" t="str">
        <f>RSD_Commodities!$M$83&amp;"_"&amp;RIGHT(P156,LEN(P156)-3)&amp;"_"&amp;SETUP!$B$67</f>
        <v>WH_Det-B2_OILLPG_X0</v>
      </c>
      <c r="O156" s="914" t="str">
        <f>RSD_Commodities!$N$83&amp;"_"&amp;RSD_Commodities!D11&amp;"_"&amp;SETUP!$C$67</f>
        <v>Residential Water Heating Detached-B2_LPG to Residential_Existing 00</v>
      </c>
      <c r="P156" s="915" t="str">
        <f>RSD_Commodities!$C$11</f>
        <v>RSDOILLPG</v>
      </c>
      <c r="Q156" s="930" t="str">
        <f>RSD_Commodities!$M$83</f>
        <v>WH_Det-B2</v>
      </c>
      <c r="R156" s="1000">
        <f>G156/SUM($G$156:$G$166)</f>
        <v>3.2352194874397361E-2</v>
      </c>
      <c r="S156" s="932">
        <f>R156*DwellingStocks!$I$64/1000</f>
        <v>0.45226298299681467</v>
      </c>
      <c r="T156" s="914">
        <v>1</v>
      </c>
      <c r="U156" s="914">
        <f>K156/J156</f>
        <v>0.90422865831158972</v>
      </c>
      <c r="V156" s="930">
        <v>20</v>
      </c>
      <c r="W156" s="930">
        <v>1</v>
      </c>
      <c r="X156" s="866"/>
      <c r="Y156" s="924">
        <f>ABS((K156)*S156*1000*$B$2)</f>
        <v>1.6624270338230261E-4</v>
      </c>
      <c r="Z156" s="925">
        <f>ABS((J156)*S156*1000*$B$2)</f>
        <v>1.8385029257170118E-4</v>
      </c>
      <c r="AA156" s="866"/>
      <c r="AB156" s="914" t="s">
        <v>393</v>
      </c>
      <c r="AC156" s="914" t="str">
        <f t="shared" ref="AC156:AD163" si="100">N156</f>
        <v>WH_Det-B2_OILLPG_X0</v>
      </c>
      <c r="AD156" s="915" t="str">
        <f t="shared" si="100"/>
        <v>Residential Water Heating Detached-B2_LPG to Residential_Existing 00</v>
      </c>
      <c r="AE156" s="914" t="s">
        <v>53</v>
      </c>
      <c r="AF156" s="916" t="s">
        <v>406</v>
      </c>
      <c r="AG156" s="914"/>
      <c r="AH156" s="914"/>
      <c r="AI156" s="840"/>
      <c r="AJ156" s="840"/>
      <c r="AK156" s="840"/>
      <c r="AL156" s="840"/>
      <c r="AM156" s="840"/>
      <c r="AN156" s="840"/>
      <c r="AO156" s="840"/>
    </row>
    <row r="157" spans="1:41">
      <c r="A157" s="973" t="s">
        <v>112</v>
      </c>
      <c r="B157" s="758" t="s">
        <v>228</v>
      </c>
      <c r="C157" s="758">
        <f>SUMIFS(INDEX(Table915[],,MATCH(C$136,Table915[#Headers],0)),Table915[MainWaterHeatingFuel],$B157,Table915[EnergyRating (group)],$A157)</f>
        <v>2224066</v>
      </c>
      <c r="D157" s="758">
        <f>SUMIFS(INDEX(Table915[],,MATCH(D$136,Table915[#Headers],0)),Table915[MainWaterHeatingFuel],$B157,Table915[EnergyRating (group)],$A157)</f>
        <v>823728</v>
      </c>
      <c r="E157" s="758">
        <f>SUMIFS(INDEX(Table915[],,MATCH(E$136,Table915[#Headers],0)),Table915[MainWaterHeatingFuel],$B157,Table915[EnergyRating (group)],$A157)</f>
        <v>8245</v>
      </c>
      <c r="F157" s="758">
        <f>SUMIFS(INDEX(Table915[],,MATCH(F$136,Table915[#Headers],0)),Table915[MainWaterHeatingFuel],$B157,Table915[EnergyRating (group)],$A157)</f>
        <v>3054</v>
      </c>
      <c r="G157" s="758">
        <f>SUMIFS(INDEX(Table915[],,MATCH(G$136,Table915[#Headers],0)),Table915[MainWaterHeatingFuel],$B157,Table915[EnergyRating (group)],$A157)</f>
        <v>553</v>
      </c>
      <c r="H157" s="758">
        <f>SUMIFS(INDEX(Table915[],,MATCH(H$136,Table915[#Headers],0)),Table915[MainWaterHeatingFuel],$B157,Table915[EnergyRating (group)],$A157)</f>
        <v>51906</v>
      </c>
      <c r="I157" s="960"/>
      <c r="J157" s="969">
        <f t="shared" si="99"/>
        <v>2232311</v>
      </c>
      <c r="K157" s="967">
        <f t="shared" si="99"/>
        <v>826782</v>
      </c>
      <c r="L157" s="840"/>
      <c r="M157" s="840"/>
      <c r="N157" s="933" t="str">
        <f>RSD_Commodities!$M$83&amp;"_"&amp;RIGHT(P157,LEN(P157)-3)&amp;"_"&amp;SETUP!$B$67</f>
        <v>WH_Det-B2_ELCD_X0</v>
      </c>
      <c r="O157" s="933" t="str">
        <f>RSD_Commodities!$N$83&amp;"_"&amp;RSD_Commodities!D27&amp;"_"&amp;SETUP!$C$67</f>
        <v>Residential Water Heating Detached-B2_Electricity to Residential_Existing 00</v>
      </c>
      <c r="P157" s="934" t="str">
        <f>RSD_Commodities!$C$27</f>
        <v>RSDELCD</v>
      </c>
      <c r="Q157" s="935" t="str">
        <f>RSD_Commodities!$M$83</f>
        <v>WH_Det-B2</v>
      </c>
      <c r="R157" s="1001">
        <f t="shared" ref="R157:R166" si="101">G157/SUM($G$156:$G$166)</f>
        <v>7.0159857904085257E-2</v>
      </c>
      <c r="S157" s="937">
        <f>R157*DwellingStocks!$I$64/1000</f>
        <v>0.98078991998917053</v>
      </c>
      <c r="T157" s="933">
        <v>1</v>
      </c>
      <c r="U157" s="954">
        <f t="shared" ref="U157:U163" si="102">K157/J157</f>
        <v>0.37037043673574155</v>
      </c>
      <c r="V157" s="935">
        <v>20</v>
      </c>
      <c r="W157" s="935">
        <v>1</v>
      </c>
      <c r="X157" s="866"/>
      <c r="Y157" s="926">
        <f t="shared" ref="Y157:Y163" si="103">ABS((K157)*S157*1000*$B$2)</f>
        <v>3.3324634998430953E-4</v>
      </c>
      <c r="Z157" s="927">
        <f t="shared" ref="Z157:Z163" si="104">ABS((J157)*S157*1000*$B$2)</f>
        <v>8.9976498373189558E-4</v>
      </c>
      <c r="AA157" s="866"/>
      <c r="AB157" s="66" t="s">
        <v>393</v>
      </c>
      <c r="AC157" s="66" t="str">
        <f t="shared" si="100"/>
        <v>WH_Det-B2_ELCD_X0</v>
      </c>
      <c r="AD157" s="83" t="str">
        <f t="shared" si="100"/>
        <v>Residential Water Heating Detached-B2_Electricity to Residential_Existing 00</v>
      </c>
      <c r="AE157" s="66" t="s">
        <v>53</v>
      </c>
      <c r="AF157" s="88" t="s">
        <v>406</v>
      </c>
      <c r="AG157" s="66"/>
      <c r="AH157" s="66"/>
      <c r="AI157" s="840"/>
      <c r="AJ157" s="840"/>
      <c r="AK157" s="840"/>
      <c r="AL157" s="840"/>
      <c r="AM157" s="840"/>
      <c r="AN157" s="840"/>
      <c r="AO157" s="840"/>
    </row>
    <row r="158" spans="1:41">
      <c r="A158" s="972" t="s">
        <v>112</v>
      </c>
      <c r="B158" s="757" t="s">
        <v>583</v>
      </c>
      <c r="C158" s="757">
        <f>SUMIFS(INDEX(Table915[],,MATCH(C$136,Table915[#Headers],0)),Table915[MainWaterHeatingFuel],$B158,Table915[EnergyRating (group)],$A158)</f>
        <v>5609973</v>
      </c>
      <c r="D158" s="757">
        <f>SUMIFS(INDEX(Table915[],,MATCH(D$136,Table915[#Headers],0)),Table915[MainWaterHeatingFuel],$B158,Table915[EnergyRating (group)],$A158)</f>
        <v>5099973</v>
      </c>
      <c r="E158" s="757">
        <f>SUMIFS(INDEX(Table915[],,MATCH(E$136,Table915[#Headers],0)),Table915[MainWaterHeatingFuel],$B158,Table915[EnergyRating (group)],$A158)</f>
        <v>83654</v>
      </c>
      <c r="F158" s="757">
        <f>SUMIFS(INDEX(Table915[],,MATCH(F$136,Table915[#Headers],0)),Table915[MainWaterHeatingFuel],$B158,Table915[EnergyRating (group)],$A158)</f>
        <v>30983</v>
      </c>
      <c r="G158" s="757">
        <f>SUMIFS(INDEX(Table915[],,MATCH(G$136,Table915[#Headers],0)),Table915[MainWaterHeatingFuel],$B158,Table915[EnergyRating (group)],$A158)</f>
        <v>1446</v>
      </c>
      <c r="H158" s="757">
        <f>SUMIFS(INDEX(Table915[],,MATCH(H$136,Table915[#Headers],0)),Table915[MainWaterHeatingFuel],$B158,Table915[EnergyRating (group)],$A158)</f>
        <v>170812</v>
      </c>
      <c r="I158" s="961"/>
      <c r="J158" s="964">
        <f t="shared" si="99"/>
        <v>5693627</v>
      </c>
      <c r="K158" s="965">
        <f t="shared" si="99"/>
        <v>5130956</v>
      </c>
      <c r="L158" s="840"/>
      <c r="M158" s="840"/>
      <c r="N158" s="914" t="str">
        <f>RSD_Commodities!$M$83&amp;"_"&amp;RIGHT(P158,LEN(P158)-3)&amp;"_"&amp;SETUP!$B$67</f>
        <v>WH_Det-B2_OILKER_X0</v>
      </c>
      <c r="O158" s="914" t="str">
        <f>RSD_Commodities!$N$83&amp;"_"&amp;RSD_Commodities!D13&amp;"_"&amp;SETUP!$C$67</f>
        <v>Residential Water Heating Detached-B2_Kerosene to Residential_Existing 00</v>
      </c>
      <c r="P158" s="915" t="str">
        <f>RSD_Commodities!$C$13</f>
        <v>RSDOILKER</v>
      </c>
      <c r="Q158" s="930" t="str">
        <f>RSD_Commodities!$M$83</f>
        <v>WH_Det-B2</v>
      </c>
      <c r="R158" s="1000">
        <f t="shared" si="101"/>
        <v>0.18345597564070032</v>
      </c>
      <c r="S158" s="932">
        <f>R158*DwellingStocks!$I$64/1000</f>
        <v>2.5645971506407603</v>
      </c>
      <c r="T158" s="914">
        <v>1</v>
      </c>
      <c r="U158" s="914">
        <f t="shared" si="102"/>
        <v>0.90117529652012685</v>
      </c>
      <c r="V158" s="930">
        <v>20</v>
      </c>
      <c r="W158" s="930">
        <v>1</v>
      </c>
      <c r="X158" s="866"/>
      <c r="Y158" s="928">
        <f t="shared" si="103"/>
        <v>5.4077404675327871E-3</v>
      </c>
      <c r="Z158" s="929">
        <f t="shared" si="104"/>
        <v>6.0007642113745086E-3</v>
      </c>
      <c r="AA158" s="866"/>
      <c r="AB158" s="914" t="s">
        <v>393</v>
      </c>
      <c r="AC158" s="914" t="str">
        <f t="shared" si="100"/>
        <v>WH_Det-B2_OILKER_X0</v>
      </c>
      <c r="AD158" s="915" t="str">
        <f t="shared" si="100"/>
        <v>Residential Water Heating Detached-B2_Kerosene to Residential_Existing 00</v>
      </c>
      <c r="AE158" s="914" t="s">
        <v>53</v>
      </c>
      <c r="AF158" s="916" t="s">
        <v>406</v>
      </c>
      <c r="AG158" s="914"/>
      <c r="AH158" s="914"/>
      <c r="AI158" s="840"/>
      <c r="AJ158" s="840"/>
      <c r="AK158" s="840"/>
      <c r="AL158" s="840"/>
      <c r="AM158" s="840"/>
      <c r="AN158" s="840"/>
      <c r="AO158" s="840"/>
    </row>
    <row r="159" spans="1:41">
      <c r="A159" s="973" t="s">
        <v>112</v>
      </c>
      <c r="B159" s="758" t="s">
        <v>584</v>
      </c>
      <c r="C159" s="758">
        <f>SUMIFS(INDEX(Table915[],,MATCH(C$136,Table915[#Headers],0)),Table915[MainWaterHeatingFuel],$B159,Table915[EnergyRating (group)],$A159)</f>
        <v>22485186</v>
      </c>
      <c r="D159" s="758">
        <f>SUMIFS(INDEX(Table915[],,MATCH(D$136,Table915[#Headers],0)),Table915[MainWaterHeatingFuel],$B159,Table915[EnergyRating (group)],$A159)</f>
        <v>20441078</v>
      </c>
      <c r="E159" s="759">
        <f>SUMIFS(INDEX(Table915[],,MATCH(E$136,Table915[#Headers],0)),Table915[MainWaterHeatingFuel],$B159,Table915[EnergyRating (group)],$A159)</f>
        <v>215665</v>
      </c>
      <c r="F159" s="759">
        <f>SUMIFS(INDEX(Table915[],,MATCH(F$136,Table915[#Headers],0)),Table915[MainWaterHeatingFuel],$B159,Table915[EnergyRating (group)],$A159)</f>
        <v>79876</v>
      </c>
      <c r="G159" s="758">
        <f>SUMIFS(INDEX(Table915[],,MATCH(G$136,Table915[#Headers],0)),Table915[MainWaterHeatingFuel],$B159,Table915[EnergyRating (group)],$A159)</f>
        <v>5542</v>
      </c>
      <c r="H159" s="758">
        <f>SUMIFS(INDEX(Table915[],,MATCH(H$136,Table915[#Headers],0)),Table915[MainWaterHeatingFuel],$B159,Table915[EnergyRating (group)],$A159)</f>
        <v>664362</v>
      </c>
      <c r="I159" s="960"/>
      <c r="J159" s="976">
        <f t="shared" si="99"/>
        <v>22700851</v>
      </c>
      <c r="K159" s="977">
        <f t="shared" si="99"/>
        <v>20520954</v>
      </c>
      <c r="L159" s="840"/>
      <c r="M159" s="840"/>
      <c r="N159" s="933" t="str">
        <f>RSD_Commodities!$M$83&amp;"_"&amp;RIGHT(P159,LEN(P159)-3)&amp;"_"&amp;SETUP!$B$67</f>
        <v>WH_Det-B2_GASNAT_X0</v>
      </c>
      <c r="O159" s="933" t="str">
        <f>RSD_Commodities!$N$83&amp;"_"&amp;RSD_Commodities!D17&amp;"_"&amp;SETUP!$C$67</f>
        <v>Residential Water Heating Detached-B2_Natural Gas to Residential_Existing 00</v>
      </c>
      <c r="P159" s="934" t="str">
        <f>RSD_Commodities!$C$17</f>
        <v>RSDGASNAT</v>
      </c>
      <c r="Q159" s="935" t="str">
        <f>RSD_Commodities!$M$83</f>
        <v>WH_Det-B2</v>
      </c>
      <c r="R159" s="1001">
        <f t="shared" si="101"/>
        <v>0.70312103527023595</v>
      </c>
      <c r="S159" s="937">
        <f>R159*DwellingStocks!$I$64/1000</f>
        <v>9.829182163797439</v>
      </c>
      <c r="T159" s="933">
        <v>1</v>
      </c>
      <c r="U159" s="933">
        <f t="shared" si="102"/>
        <v>0.90397289511305101</v>
      </c>
      <c r="V159" s="935">
        <v>20</v>
      </c>
      <c r="W159" s="935">
        <v>1</v>
      </c>
      <c r="X159" s="866"/>
      <c r="Y159" s="926">
        <f t="shared" si="103"/>
        <v>8.289213494831825E-2</v>
      </c>
      <c r="Z159" s="927">
        <f t="shared" si="104"/>
        <v>9.1697588939269853E-2</v>
      </c>
      <c r="AA159" s="866"/>
      <c r="AB159" s="66" t="s">
        <v>393</v>
      </c>
      <c r="AC159" s="66" t="str">
        <f t="shared" si="100"/>
        <v>WH_Det-B2_GASNAT_X0</v>
      </c>
      <c r="AD159" s="83" t="str">
        <f t="shared" si="100"/>
        <v>Residential Water Heating Detached-B2_Natural Gas to Residential_Existing 00</v>
      </c>
      <c r="AE159" s="66" t="s">
        <v>53</v>
      </c>
      <c r="AF159" s="88" t="s">
        <v>406</v>
      </c>
      <c r="AG159" s="66"/>
      <c r="AH159" s="66"/>
      <c r="AI159" s="840"/>
      <c r="AJ159" s="840"/>
      <c r="AK159" s="840"/>
      <c r="AL159" s="840"/>
      <c r="AM159" s="840"/>
      <c r="AN159" s="840"/>
      <c r="AO159" s="840"/>
    </row>
    <row r="160" spans="1:41">
      <c r="A160" s="972" t="s">
        <v>112</v>
      </c>
      <c r="B160" s="757" t="s">
        <v>585</v>
      </c>
      <c r="C160" s="757">
        <f>SUMIFS(INDEX(Table915[],,MATCH(C$136,Table915[#Headers],0)),Table915[MainWaterHeatingFuel],$B160,Table915[EnergyRating (group)],$A160)</f>
        <v>20629</v>
      </c>
      <c r="D160" s="757">
        <f>SUMIFS(INDEX(Table915[],,MATCH(D$136,Table915[#Headers],0)),Table915[MainWaterHeatingFuel],$B160,Table915[EnergyRating (group)],$A160)</f>
        <v>18755</v>
      </c>
      <c r="E160" s="760">
        <f>SUMIFS(INDEX(Table915[],,MATCH(E$136,Table915[#Headers],0)),Table915[MainWaterHeatingFuel],$B160,Table915[EnergyRating (group)],$A160)</f>
        <v>2745</v>
      </c>
      <c r="F160" s="760">
        <f>SUMIFS(INDEX(Table915[],,MATCH(F$136,Table915[#Headers],0)),Table915[MainWaterHeatingFuel],$B160,Table915[EnergyRating (group)],$A160)</f>
        <v>1017</v>
      </c>
      <c r="G160" s="757">
        <f>SUMIFS(INDEX(Table915[],,MATCH(G$136,Table915[#Headers],0)),Table915[MainWaterHeatingFuel],$B160,Table915[EnergyRating (group)],$A160)</f>
        <v>9</v>
      </c>
      <c r="H160" s="757">
        <f>SUMIFS(INDEX(Table915[],,MATCH(H$136,Table915[#Headers],0)),Table915[MainWaterHeatingFuel],$B160,Table915[EnergyRating (group)],$A160)</f>
        <v>1140</v>
      </c>
      <c r="I160" s="959"/>
      <c r="J160" s="978">
        <f t="shared" si="99"/>
        <v>23374</v>
      </c>
      <c r="K160" s="979">
        <f t="shared" si="99"/>
        <v>19772</v>
      </c>
      <c r="L160" s="840"/>
      <c r="M160" s="840"/>
      <c r="N160" s="914" t="str">
        <f>RSD_Commodities!$M$83&amp;"_"&amp;RIGHT(P160,LEN(P160)-3)&amp;"_"&amp;SETUP!$B$67</f>
        <v>WH_Det-B2_BIOWOO_X0</v>
      </c>
      <c r="O160" s="914" t="str">
        <f>RSD_Commodities!$N$83&amp;"_"&amp;RSD_Commodities!D19&amp;"_"&amp;SETUP!$C$67</f>
        <v>Residential Water Heating Detached-B2_Biomass &amp; Renewable Waste to Residential_Existing 00</v>
      </c>
      <c r="P160" s="915" t="str">
        <f>RSD_Commodities!$C$19</f>
        <v>RSDBIOWOO</v>
      </c>
      <c r="Q160" s="930" t="str">
        <f>RSD_Commodities!$M$83</f>
        <v>WH_Det-B2</v>
      </c>
      <c r="R160" s="1000">
        <f t="shared" si="101"/>
        <v>1.141842172037554E-3</v>
      </c>
      <c r="S160" s="932">
        <f>R160*DwellingStocks!$I$64/1000</f>
        <v>1.596222292929934E-2</v>
      </c>
      <c r="T160" s="914">
        <v>1</v>
      </c>
      <c r="U160" s="914">
        <f t="shared" si="102"/>
        <v>0.84589715068024296</v>
      </c>
      <c r="V160" s="930">
        <v>20</v>
      </c>
      <c r="W160" s="930">
        <v>1</v>
      </c>
      <c r="X160" s="866"/>
      <c r="Y160" s="928">
        <f t="shared" si="103"/>
        <v>1.297007144211397E-7</v>
      </c>
      <c r="Z160" s="929">
        <f t="shared" si="104"/>
        <v>1.533291775682642E-7</v>
      </c>
      <c r="AA160" s="866"/>
      <c r="AB160" s="914" t="s">
        <v>393</v>
      </c>
      <c r="AC160" s="914" t="str">
        <f t="shared" si="100"/>
        <v>WH_Det-B2_BIOWOO_X0</v>
      </c>
      <c r="AD160" s="915" t="str">
        <f t="shared" si="100"/>
        <v>Residential Water Heating Detached-B2_Biomass &amp; Renewable Waste to Residential_Existing 00</v>
      </c>
      <c r="AE160" s="914" t="s">
        <v>53</v>
      </c>
      <c r="AF160" s="916" t="s">
        <v>406</v>
      </c>
      <c r="AG160" s="914"/>
      <c r="AH160" s="914"/>
      <c r="AI160" s="840"/>
      <c r="AJ160" s="840"/>
      <c r="AK160" s="840"/>
      <c r="AL160" s="840"/>
      <c r="AM160" s="840"/>
      <c r="AN160" s="840"/>
      <c r="AO160" s="840"/>
    </row>
    <row r="161" spans="1:41">
      <c r="A161" s="973" t="s">
        <v>112</v>
      </c>
      <c r="B161" s="758" t="s">
        <v>587</v>
      </c>
      <c r="C161" s="758">
        <f>SUMIFS(INDEX(Table915[],,MATCH(C136,Table915[#Headers],0)),Table915[MainWaterHeatingFuel],"",Table915[EnergyRating (group)],$A161)</f>
        <v>0</v>
      </c>
      <c r="D161" s="758">
        <f>SUMIFS(INDEX(Table915[],,MATCH(D136,Table915[#Headers],0)),Table915[MainWaterHeatingFuel],"",Table915[EnergyRating (group)],$A161)</f>
        <v>0</v>
      </c>
      <c r="E161" s="758">
        <f>SUMIFS(INDEX(Table915[],,MATCH(E136,Table915[#Headers],0)),Table915[MainWaterHeatingFuel],"",Table915[EnergyRating (group)],$A161)</f>
        <v>5993</v>
      </c>
      <c r="F161" s="758">
        <f>SUMIFS(INDEX(Table915[],,MATCH(F136,Table915[#Headers],0)),Table915[MainWaterHeatingFuel],"",Table915[EnergyRating (group)],$A161)</f>
        <v>2219</v>
      </c>
      <c r="G161" s="758">
        <f>SUMIFS(INDEX(Table915[],,MATCH(G136,Table915[#Headers],0)),Table915[MainWaterHeatingFuel],"",Table915[EnergyRating (group)],$A161)</f>
        <v>62</v>
      </c>
      <c r="H161" s="758">
        <f>SUMIFS(INDEX(Table915[],,MATCH(H136,Table915[#Headers],0)),Table915[MainWaterHeatingFuel],"",Table915[EnergyRating (group)],$A161)</f>
        <v>5288</v>
      </c>
      <c r="I161" s="960"/>
      <c r="J161" s="980">
        <f t="shared" si="99"/>
        <v>5993</v>
      </c>
      <c r="K161" s="981">
        <f t="shared" si="99"/>
        <v>2219</v>
      </c>
      <c r="L161" s="840"/>
      <c r="M161" s="840"/>
      <c r="N161" s="933" t="str">
        <f>RSD_Commodities!$M$83&amp;"_"&amp;RIGHT(P161,LEN(P161)-3)&amp;"_"&amp;SETUP!$B$67</f>
        <v>WH_Det-B2_HET_X0</v>
      </c>
      <c r="O161" s="933" t="str">
        <f>RSD_Commodities!$N$83&amp;"_"&amp;RSD_Commodities!D28&amp;"_"&amp;SETUP!$C$67</f>
        <v>Residential Water Heating Detached-B2_Heat to Residential_Existing 00</v>
      </c>
      <c r="P161" s="934" t="str">
        <f>RSD_Commodities!$C$28</f>
        <v>RSDHET</v>
      </c>
      <c r="Q161" s="935" t="str">
        <f>RSD_Commodities!$M$83</f>
        <v>WH_Det-B2</v>
      </c>
      <c r="R161" s="1001">
        <f t="shared" si="101"/>
        <v>7.8660238518142595E-3</v>
      </c>
      <c r="S161" s="937">
        <f>R161*DwellingStocks!$I$64/1000</f>
        <v>0.10996198017961767</v>
      </c>
      <c r="T161" s="933">
        <v>1</v>
      </c>
      <c r="U161" s="917">
        <v>1</v>
      </c>
      <c r="V161" s="935">
        <v>20</v>
      </c>
      <c r="W161" s="935">
        <v>1</v>
      </c>
      <c r="X161" s="866"/>
      <c r="Y161" s="926">
        <f t="shared" si="103"/>
        <v>1.0027628795283766E-7</v>
      </c>
      <c r="Z161" s="927">
        <f t="shared" si="104"/>
        <v>2.7082280022593786E-7</v>
      </c>
      <c r="AA161" s="866"/>
      <c r="AB161" s="66" t="s">
        <v>393</v>
      </c>
      <c r="AC161" s="66" t="str">
        <f t="shared" si="100"/>
        <v>WH_Det-B2_HET_X0</v>
      </c>
      <c r="AD161" s="83" t="str">
        <f t="shared" si="100"/>
        <v>Residential Water Heating Detached-B2_Heat to Residential_Existing 00</v>
      </c>
      <c r="AE161" s="66" t="s">
        <v>53</v>
      </c>
      <c r="AF161" s="88" t="s">
        <v>406</v>
      </c>
      <c r="AG161" s="66"/>
      <c r="AH161" s="66"/>
      <c r="AI161" s="840"/>
      <c r="AJ161" s="840"/>
      <c r="AK161" s="840"/>
      <c r="AL161" s="840"/>
      <c r="AM161" s="840"/>
      <c r="AN161" s="840"/>
      <c r="AO161" s="840"/>
    </row>
    <row r="162" spans="1:41">
      <c r="A162" s="972" t="s">
        <v>112</v>
      </c>
      <c r="B162" s="757" t="s">
        <v>664</v>
      </c>
      <c r="C162" s="757">
        <f>SUMIFS(INDEX(Table915[],,MATCH(C$136,Table915[#Headers],0)),Table915[MainWaterHeatingFuel],$B162,Table915[EnergyRating (group)],$A162)</f>
        <v>19059</v>
      </c>
      <c r="D162" s="757">
        <f>SUMIFS(INDEX(Table915[],,MATCH(D$136,Table915[#Headers],0)),Table915[MainWaterHeatingFuel],$B162,Table915[EnergyRating (group)],$A162)</f>
        <v>17326</v>
      </c>
      <c r="E162" s="757">
        <f>SUMIFS(INDEX(Table915[],,MATCH(E$136,Table915[#Headers],0)),Table915[MainWaterHeatingFuel],$B162,Table915[EnergyRating (group)],$A162)</f>
        <v>0</v>
      </c>
      <c r="F162" s="757">
        <f>SUMIFS(INDEX(Table915[],,MATCH(F$136,Table915[#Headers],0)),Table915[MainWaterHeatingFuel],$B162,Table915[EnergyRating (group)],$A162)</f>
        <v>0</v>
      </c>
      <c r="G162" s="757">
        <f>SUMIFS(INDEX(Table915[],,MATCH(G$136,Table915[#Headers],0)),Table915[MainWaterHeatingFuel],$B162,Table915[EnergyRating (group)],$A162)</f>
        <v>5</v>
      </c>
      <c r="H162" s="757">
        <f>SUMIFS(INDEX(Table915[],,MATCH(H$136,Table915[#Headers],0)),Table915[MainWaterHeatingFuel],$B162,Table915[EnergyRating (group)],$A162)</f>
        <v>593</v>
      </c>
      <c r="I162" s="961"/>
      <c r="J162" s="978">
        <f t="shared" si="99"/>
        <v>19059</v>
      </c>
      <c r="K162" s="979">
        <f t="shared" si="99"/>
        <v>17326</v>
      </c>
      <c r="L162" s="840"/>
      <c r="M162" s="840"/>
      <c r="N162" s="914" t="str">
        <f>RSD_Commodities!$M$83&amp;"_"&amp;RIGHT(P162,LEN(P162)-3)&amp;"_"&amp;SETUP!$B$68</f>
        <v>WH_Det-B2_OILLPG_X1</v>
      </c>
      <c r="O162" s="914" t="str">
        <f>RSD_Commodities!$N$83&amp;"_"&amp;RSD_Commodities!D11&amp;"_"&amp;SETUP!$C$68</f>
        <v>Residential Water Heating Detached-B2_LPG to Residential_Existing 01</v>
      </c>
      <c r="P162" s="915" t="str">
        <f>RSD_Commodities!$C$11</f>
        <v>RSDOILLPG</v>
      </c>
      <c r="Q162" s="930" t="str">
        <f>RSD_Commodities!$M$83</f>
        <v>WH_Det-B2</v>
      </c>
      <c r="R162" s="1000">
        <f t="shared" si="101"/>
        <v>6.3435676224308547E-4</v>
      </c>
      <c r="S162" s="932">
        <f>R162*DwellingStocks!$I$64/1000</f>
        <v>8.8679016273885206E-3</v>
      </c>
      <c r="T162" s="914">
        <v>1</v>
      </c>
      <c r="U162" s="914">
        <f t="shared" si="102"/>
        <v>0.90907182958182486</v>
      </c>
      <c r="V162" s="930">
        <v>20</v>
      </c>
      <c r="W162" s="930">
        <v>1</v>
      </c>
      <c r="X162" s="866"/>
      <c r="Y162" s="928">
        <f t="shared" si="103"/>
        <v>6.3141889149095975E-8</v>
      </c>
      <c r="Z162" s="929">
        <f t="shared" si="104"/>
        <v>6.9457535801259399E-8</v>
      </c>
      <c r="AA162" s="866"/>
      <c r="AB162" s="914" t="s">
        <v>393</v>
      </c>
      <c r="AC162" s="914" t="str">
        <f t="shared" si="100"/>
        <v>WH_Det-B2_OILLPG_X1</v>
      </c>
      <c r="AD162" s="915" t="str">
        <f t="shared" si="100"/>
        <v>Residential Water Heating Detached-B2_LPG to Residential_Existing 01</v>
      </c>
      <c r="AE162" s="914" t="s">
        <v>53</v>
      </c>
      <c r="AF162" s="916" t="s">
        <v>406</v>
      </c>
      <c r="AG162" s="914"/>
      <c r="AH162" s="914"/>
      <c r="AI162" s="840"/>
      <c r="AJ162" s="840"/>
      <c r="AK162" s="840"/>
      <c r="AL162" s="840"/>
      <c r="AM162" s="840"/>
      <c r="AN162" s="840"/>
      <c r="AO162" s="840"/>
    </row>
    <row r="163" spans="1:41">
      <c r="A163" s="973" t="s">
        <v>112</v>
      </c>
      <c r="B163" s="758" t="s">
        <v>665</v>
      </c>
      <c r="C163" s="758">
        <f>SUMIFS(INDEX(Table915[],,MATCH(C$136,Table915[#Headers],0)),Table915[MainWaterHeatingFuel],$B163,Table915[EnergyRating (group)],$A163)</f>
        <v>14686</v>
      </c>
      <c r="D163" s="758">
        <f>SUMIFS(INDEX(Table915[],,MATCH(D$136,Table915[#Headers],0)),Table915[MainWaterHeatingFuel],$B163,Table915[EnergyRating (group)],$A163)</f>
        <v>13352</v>
      </c>
      <c r="E163" s="759">
        <f>SUMIFS(INDEX(Table915[],,MATCH(E$136,Table915[#Headers],0)),Table915[MainWaterHeatingFuel],$B163,Table915[EnergyRating (group)],$A163)</f>
        <v>0</v>
      </c>
      <c r="F163" s="759">
        <f>SUMIFS(INDEX(Table915[],,MATCH(F$136,Table915[#Headers],0)),Table915[MainWaterHeatingFuel],$B163,Table915[EnergyRating (group)],$A163)</f>
        <v>0</v>
      </c>
      <c r="G163" s="758">
        <f>SUMIFS(INDEX(Table915[],,MATCH(G$136,Table915[#Headers],0)),Table915[MainWaterHeatingFuel],$B163,Table915[EnergyRating (group)],$A163)</f>
        <v>4</v>
      </c>
      <c r="H163" s="758">
        <f>SUMIFS(INDEX(Table915[],,MATCH(H$136,Table915[#Headers],0)),Table915[MainWaterHeatingFuel],$B163,Table915[EnergyRating (group)],$A163)</f>
        <v>480</v>
      </c>
      <c r="I163" s="960"/>
      <c r="J163" s="980">
        <f t="shared" si="99"/>
        <v>14686</v>
      </c>
      <c r="K163" s="981">
        <f t="shared" si="99"/>
        <v>13352</v>
      </c>
      <c r="L163" s="840"/>
      <c r="M163" s="840"/>
      <c r="N163" s="933" t="str">
        <f>RSD_Commodities!$M$83&amp;"_"&amp;RSD_Commodities!$C$26&amp;"_"&amp;SETUP!$B$67</f>
        <v>WH_Det-B2_RSDSMF_X0</v>
      </c>
      <c r="O163" s="933" t="str">
        <f>RSD_Commodities!$N$83&amp;"_"&amp;RSD_Commodities!$D$26&amp;"_"&amp;SETUP!$C$67</f>
        <v>Residential Water Heating Detached-B2_Solid Multi-Fuel_Existing 00</v>
      </c>
      <c r="P163" s="934" t="str">
        <f>RSD_Commodities!$C$6&amp;","&amp;RSD_Commodities!$C$7&amp;","&amp;RSD_Commodities!$C$9&amp;","&amp;RSD_Commodities!$C$10&amp;","&amp;RSD_Commodities!$C$19</f>
        <v>RSDCOABIT,RSDCOAHAR,RSDCOALIG,RSDPEA,RSDBIOWOO</v>
      </c>
      <c r="Q163" s="935" t="str">
        <f>RSD_Commodities!$M$83</f>
        <v>WH_Det-B2</v>
      </c>
      <c r="R163" s="1001">
        <f t="shared" si="101"/>
        <v>5.0748540979446844E-4</v>
      </c>
      <c r="S163" s="937">
        <f>R163*DwellingStocks!$I$64/1000</f>
        <v>7.094321301910819E-3</v>
      </c>
      <c r="T163" s="933">
        <v>1</v>
      </c>
      <c r="U163" s="954">
        <f t="shared" si="102"/>
        <v>0.90916519133868989</v>
      </c>
      <c r="V163" s="935">
        <v>20</v>
      </c>
      <c r="W163" s="935">
        <v>1</v>
      </c>
      <c r="X163" s="866"/>
      <c r="Y163" s="926">
        <f t="shared" si="103"/>
        <v>3.8927415625936958E-8</v>
      </c>
      <c r="Z163" s="927">
        <f t="shared" si="104"/>
        <v>4.2816658619121497E-8</v>
      </c>
      <c r="AA163" s="866"/>
      <c r="AB163" s="66" t="s">
        <v>393</v>
      </c>
      <c r="AC163" s="66" t="str">
        <f t="shared" si="100"/>
        <v>WH_Det-B2_RSDSMF_X0</v>
      </c>
      <c r="AD163" s="83" t="str">
        <f t="shared" si="100"/>
        <v>Residential Water Heating Detached-B2_Solid Multi-Fuel_Existing 00</v>
      </c>
      <c r="AE163" s="66" t="s">
        <v>53</v>
      </c>
      <c r="AF163" s="88" t="s">
        <v>406</v>
      </c>
      <c r="AG163" s="66"/>
      <c r="AH163" s="66"/>
      <c r="AI163" s="840"/>
      <c r="AJ163" s="840"/>
      <c r="AK163" s="840"/>
      <c r="AL163" s="840"/>
      <c r="AM163" s="840"/>
      <c r="AN163" s="840"/>
      <c r="AO163" s="840"/>
    </row>
    <row r="164" spans="1:41">
      <c r="A164" s="972" t="s">
        <v>112</v>
      </c>
      <c r="B164" s="757" t="s">
        <v>669</v>
      </c>
      <c r="C164" s="757">
        <f>SUMIFS(INDEX(Table915[],,MATCH(C$136,Table915[#Headers],0)),Table915[MainWaterHeatingFuel],$B164,Table915[EnergyRating (group)],$A164)</f>
        <v>7262</v>
      </c>
      <c r="D164" s="757">
        <f>SUMIFS(INDEX(Table915[],,MATCH(D$136,Table915[#Headers],0)),Table915[MainWaterHeatingFuel],$B164,Table915[EnergyRating (group)],$A164)</f>
        <v>6052</v>
      </c>
      <c r="E164" s="760">
        <f>SUMIFS(INDEX(Table915[],,MATCH(E$136,Table915[#Headers],0)),Table915[MainWaterHeatingFuel],$B164,Table915[EnergyRating (group)],$A164)</f>
        <v>4168</v>
      </c>
      <c r="F164" s="760">
        <f>SUMIFS(INDEX(Table915[],,MATCH(F$136,Table915[#Headers],0)),Table915[MainWaterHeatingFuel],$B164,Table915[EnergyRating (group)],$A164)</f>
        <v>1544</v>
      </c>
      <c r="G164" s="757">
        <f>SUMIFS(INDEX(Table915[],,MATCH(G$136,Table915[#Headers],0)),Table915[MainWaterHeatingFuel],$B164,Table915[EnergyRating (group)],$A164)</f>
        <v>2</v>
      </c>
      <c r="H164" s="757">
        <f>SUMIFS(INDEX(Table915[],,MATCH(H$136,Table915[#Headers],0)),Table915[MainWaterHeatingFuel],$B164,Table915[EnergyRating (group)],$A164)</f>
        <v>154</v>
      </c>
      <c r="I164" s="959"/>
      <c r="J164" s="978">
        <f t="shared" ref="J164:J166" si="105">C164+E164</f>
        <v>11430</v>
      </c>
      <c r="K164" s="979">
        <f t="shared" ref="K164:K166" si="106">D164+F164</f>
        <v>7596</v>
      </c>
      <c r="L164" s="840"/>
      <c r="M164" s="840"/>
      <c r="N164" s="914" t="str">
        <f>RSD_Commodities!$M$83&amp;"_"&amp;RIGHT(P164,LEN(P164)-3)&amp;"_"&amp;SETUP!$B$67</f>
        <v>WH_Det-B2_COAHAR_X0</v>
      </c>
      <c r="O164" s="914" t="str">
        <f>RSD_Commodities!$N$83&amp;"_"&amp;RSD_Commodities!D7&amp;"_"&amp;SETUP!$C$67</f>
        <v>Residential Water Heating Detached-B2_Anthracite + Manufactured Ovoids to Residential_Existing 00</v>
      </c>
      <c r="P164" s="915" t="str">
        <f>RSD_Commodities!$C$7</f>
        <v>RSDCOAHAR</v>
      </c>
      <c r="Q164" s="930" t="str">
        <f>RSD_Commodities!$M$83</f>
        <v>WH_Det-B2</v>
      </c>
      <c r="R164" s="1000">
        <f t="shared" si="101"/>
        <v>2.5374270489723422E-4</v>
      </c>
      <c r="S164" s="932">
        <f>R164*DwellingStocks!$I$64/1000</f>
        <v>3.5471606509554095E-3</v>
      </c>
      <c r="T164" s="914">
        <v>1</v>
      </c>
      <c r="U164" s="914">
        <f t="shared" ref="U164:U166" si="107">K164/J164</f>
        <v>0.66456692913385829</v>
      </c>
      <c r="V164" s="930">
        <v>20</v>
      </c>
      <c r="W164" s="930">
        <v>1</v>
      </c>
      <c r="X164" s="866"/>
      <c r="Y164" s="928">
        <f t="shared" ref="Y164:Y166" si="108">ABS((K164)*S164*1000*$B$2)</f>
        <v>1.1072972179996148E-8</v>
      </c>
      <c r="Z164" s="929">
        <f t="shared" ref="Z164:Z166" si="109">ABS((J164)*S164*1000*$B$2)</f>
        <v>1.6661936811131644E-8</v>
      </c>
      <c r="AA164" s="866"/>
      <c r="AB164" s="914" t="s">
        <v>393</v>
      </c>
      <c r="AC164" s="914" t="str">
        <f t="shared" ref="AC164:AC166" si="110">N164</f>
        <v>WH_Det-B2_COAHAR_X0</v>
      </c>
      <c r="AD164" s="915" t="str">
        <f t="shared" ref="AD164:AD166" si="111">O164</f>
        <v>Residential Water Heating Detached-B2_Anthracite + Manufactured Ovoids to Residential_Existing 00</v>
      </c>
      <c r="AE164" s="914" t="s">
        <v>53</v>
      </c>
      <c r="AF164" s="916" t="s">
        <v>406</v>
      </c>
      <c r="AG164" s="914"/>
      <c r="AH164" s="914"/>
      <c r="AI164" s="840"/>
      <c r="AJ164" s="840"/>
      <c r="AK164" s="840"/>
      <c r="AL164" s="840"/>
      <c r="AM164" s="840"/>
      <c r="AN164" s="840"/>
      <c r="AO164" s="840"/>
    </row>
    <row r="165" spans="1:41">
      <c r="A165" s="973" t="s">
        <v>112</v>
      </c>
      <c r="B165" s="758" t="s">
        <v>668</v>
      </c>
      <c r="C165" s="758">
        <f>SUMIFS(INDEX(Table915[],,MATCH(C$136,Table915[#Headers],0)),Table915[MainWaterHeatingFuel],$B165,Table915[EnergyRating (group)],$A165)</f>
        <v>10484</v>
      </c>
      <c r="D165" s="758">
        <f>SUMIFS(INDEX(Table915[],,MATCH(D$136,Table915[#Headers],0)),Table915[MainWaterHeatingFuel],$B165,Table915[EnergyRating (group)],$A165)</f>
        <v>9531</v>
      </c>
      <c r="E165" s="758">
        <f>SUMIFS(INDEX(Table915[],,MATCH(E$136,Table915[#Headers],0)),Table915[MainWaterHeatingFuel],$B165,Table915[EnergyRating (group)],$A165)</f>
        <v>0</v>
      </c>
      <c r="F165" s="758">
        <f>SUMIFS(INDEX(Table915[],,MATCH(F$136,Table915[#Headers],0)),Table915[MainWaterHeatingFuel],$B165,Table915[EnergyRating (group)],$A165)</f>
        <v>0</v>
      </c>
      <c r="G165" s="758">
        <f>SUMIFS(INDEX(Table915[],,MATCH(G$136,Table915[#Headers],0)),Table915[MainWaterHeatingFuel],$B165,Table915[EnergyRating (group)],$A165)</f>
        <v>3</v>
      </c>
      <c r="H165" s="758">
        <f>SUMIFS(INDEX(Table915[],,MATCH(H$136,Table915[#Headers],0)),Table915[MainWaterHeatingFuel],$B165,Table915[EnergyRating (group)],$A165)</f>
        <v>309</v>
      </c>
      <c r="I165" s="960"/>
      <c r="J165" s="980">
        <f t="shared" si="105"/>
        <v>10484</v>
      </c>
      <c r="K165" s="981">
        <f t="shared" si="106"/>
        <v>9531</v>
      </c>
      <c r="L165" s="840"/>
      <c r="M165" s="840"/>
      <c r="N165" s="933" t="str">
        <f>RSD_Commodities!$M$83&amp;"_"&amp;RIGHT(P165,LEN(P165)-3)&amp;"_"&amp;SETUP!$B$69</f>
        <v>WH_Det-B2_BIOWOO_X2</v>
      </c>
      <c r="O165" s="933" t="str">
        <f>RSD_Commodities!$N$83&amp;"_"&amp;RSD_Commodities!D19&amp;"_"&amp;SETUP!$C$69</f>
        <v>Residential Water Heating Detached-B2_Biomass &amp; Renewable Waste to Residential_Existing 02</v>
      </c>
      <c r="P165" s="934" t="str">
        <f>RSD_Commodities!$C$19</f>
        <v>RSDBIOWOO</v>
      </c>
      <c r="Q165" s="935" t="str">
        <f>RSD_Commodities!$M$83</f>
        <v>WH_Det-B2</v>
      </c>
      <c r="R165" s="1001">
        <f t="shared" si="101"/>
        <v>3.8061405734585131E-4</v>
      </c>
      <c r="S165" s="937">
        <f>R165*DwellingStocks!$I$64/1000</f>
        <v>5.3207409764331141E-3</v>
      </c>
      <c r="T165" s="933">
        <v>1</v>
      </c>
      <c r="U165" s="933">
        <f t="shared" si="107"/>
        <v>0.90909958031285765</v>
      </c>
      <c r="V165" s="935">
        <v>20</v>
      </c>
      <c r="W165" s="935">
        <v>1</v>
      </c>
      <c r="X165" s="866"/>
      <c r="Y165" s="926">
        <f t="shared" si="108"/>
        <v>2.0840540649198913E-8</v>
      </c>
      <c r="Z165" s="927">
        <f t="shared" si="109"/>
        <v>2.292437605353073E-8</v>
      </c>
      <c r="AA165" s="866"/>
      <c r="AB165" s="66" t="s">
        <v>393</v>
      </c>
      <c r="AC165" s="66" t="str">
        <f t="shared" si="110"/>
        <v>WH_Det-B2_BIOWOO_X2</v>
      </c>
      <c r="AD165" s="83" t="str">
        <f t="shared" si="111"/>
        <v>Residential Water Heating Detached-B2_Biomass &amp; Renewable Waste to Residential_Existing 02</v>
      </c>
      <c r="AE165" s="66" t="s">
        <v>53</v>
      </c>
      <c r="AF165" s="88" t="s">
        <v>406</v>
      </c>
      <c r="AG165" s="66"/>
      <c r="AH165" s="66"/>
      <c r="AI165" s="840"/>
      <c r="AJ165" s="840"/>
      <c r="AK165" s="840"/>
      <c r="AL165" s="840"/>
      <c r="AM165" s="840"/>
      <c r="AN165" s="840"/>
      <c r="AO165" s="840"/>
    </row>
    <row r="166" spans="1:41" ht="15.75" thickBot="1">
      <c r="A166" s="972" t="s">
        <v>112</v>
      </c>
      <c r="B166" s="757" t="s">
        <v>722</v>
      </c>
      <c r="C166" s="757">
        <f>SUMIFS(INDEX(Table915[],,MATCH(C$136,Table915[#Headers],0)),Table915[MainWaterHeatingFuel],$B166,Table915[EnergyRating (group)],$A166)</f>
        <v>2501</v>
      </c>
      <c r="D166" s="757">
        <f>SUMIFS(INDEX(Table915[],,MATCH(D$136,Table915[#Headers],0)),Table915[MainWaterHeatingFuel],$B166,Table915[EnergyRating (group)],$A166)</f>
        <v>2274</v>
      </c>
      <c r="E166" s="757">
        <f>SUMIFS(INDEX(Table915[],,MATCH(E$136,Table915[#Headers],0)),Table915[MainWaterHeatingFuel],$B166,Table915[EnergyRating (group)],$A166)</f>
        <v>2522</v>
      </c>
      <c r="F166" s="757">
        <f>SUMIFS(INDEX(Table915[],,MATCH(F$136,Table915[#Headers],0)),Table915[MainWaterHeatingFuel],$B166,Table915[EnergyRating (group)],$A166)</f>
        <v>934</v>
      </c>
      <c r="G166" s="757">
        <f>SUMIFS(INDEX(Table915[],,MATCH(G$136,Table915[#Headers],0)),Table915[MainWaterHeatingFuel],$B166,Table915[EnergyRating (group)],$A166)</f>
        <v>1</v>
      </c>
      <c r="H166" s="757">
        <f>SUMIFS(INDEX(Table915[],,MATCH(H$136,Table915[#Headers],0)),Table915[MainWaterHeatingFuel],$B166,Table915[EnergyRating (group)],$A166)</f>
        <v>97</v>
      </c>
      <c r="I166" s="961"/>
      <c r="J166" s="991">
        <f t="shared" si="105"/>
        <v>5023</v>
      </c>
      <c r="K166" s="992">
        <f t="shared" si="106"/>
        <v>3208</v>
      </c>
      <c r="L166" s="840"/>
      <c r="M166" s="840"/>
      <c r="N166" s="914" t="str">
        <f>RSD_Commodities!$M$83&amp;"_"&amp;RIGHT(P166,LEN(P166)-3)&amp;"_"&amp;SETUP!$B$68</f>
        <v>WH_Det-B2_BIOWOO_X1</v>
      </c>
      <c r="O166" s="914" t="str">
        <f>RSD_Commodities!$N$83&amp;"_"&amp;RSD_Commodities!D19&amp;"_"&amp;SETUP!$C$68</f>
        <v>Residential Water Heating Detached-B2_Biomass &amp; Renewable Waste to Residential_Existing 01</v>
      </c>
      <c r="P166" s="915" t="str">
        <f>RSD_Commodities!$C$19</f>
        <v>RSDBIOWOO</v>
      </c>
      <c r="Q166" s="930" t="str">
        <f>RSD_Commodities!$M$83</f>
        <v>WH_Det-B2</v>
      </c>
      <c r="R166" s="1000">
        <f t="shared" si="101"/>
        <v>1.2687135244861711E-4</v>
      </c>
      <c r="S166" s="932">
        <f>R166*DwellingStocks!$I$64/1000</f>
        <v>1.7735803254777048E-3</v>
      </c>
      <c r="T166" s="914">
        <v>1</v>
      </c>
      <c r="U166" s="914">
        <f t="shared" si="107"/>
        <v>0.63866215409118055</v>
      </c>
      <c r="V166" s="930">
        <v>20</v>
      </c>
      <c r="W166" s="930">
        <v>1</v>
      </c>
      <c r="X166" s="866"/>
      <c r="Y166" s="928">
        <f t="shared" si="108"/>
        <v>2.3382105551229356E-9</v>
      </c>
      <c r="Z166" s="929">
        <f t="shared" si="109"/>
        <v>3.6611071129621285E-9</v>
      </c>
      <c r="AA166" s="866"/>
      <c r="AB166" s="914" t="s">
        <v>393</v>
      </c>
      <c r="AC166" s="914" t="str">
        <f t="shared" si="110"/>
        <v>WH_Det-B2_BIOWOO_X1</v>
      </c>
      <c r="AD166" s="915" t="str">
        <f t="shared" si="111"/>
        <v>Residential Water Heating Detached-B2_Biomass &amp; Renewable Waste to Residential_Existing 01</v>
      </c>
      <c r="AE166" s="914" t="s">
        <v>53</v>
      </c>
      <c r="AF166" s="916" t="s">
        <v>406</v>
      </c>
      <c r="AG166" s="914"/>
      <c r="AH166" s="914"/>
      <c r="AI166" s="840"/>
      <c r="AJ166" s="840"/>
      <c r="AK166" s="840"/>
      <c r="AL166" s="840"/>
      <c r="AM166" s="840"/>
      <c r="AN166" s="840"/>
      <c r="AO166" s="840"/>
    </row>
    <row r="167" spans="1:41" ht="15.75" thickBot="1">
      <c r="A167" s="756" t="s">
        <v>114</v>
      </c>
      <c r="B167" s="1048"/>
      <c r="C167" s="1049"/>
      <c r="D167" s="1049"/>
      <c r="E167" s="1049"/>
      <c r="F167" s="1049"/>
      <c r="G167" s="1049"/>
      <c r="H167" s="1049"/>
      <c r="I167" s="1049"/>
      <c r="J167" s="1049"/>
      <c r="K167" s="1052"/>
      <c r="L167" s="840"/>
      <c r="M167" s="840"/>
      <c r="N167" s="76" t="str">
        <f>AB167</f>
        <v>*B3 Rating</v>
      </c>
      <c r="O167" s="76"/>
      <c r="P167" s="76"/>
      <c r="Q167" s="76"/>
      <c r="R167" s="949">
        <f>SUM(R169:R176)</f>
        <v>0.99959378115883146</v>
      </c>
      <c r="S167" s="76"/>
      <c r="T167" s="97"/>
      <c r="U167" s="76"/>
      <c r="V167" s="76"/>
      <c r="W167" s="76"/>
      <c r="X167" s="840"/>
      <c r="Y167" s="76"/>
      <c r="Z167" s="76"/>
      <c r="AA167" s="840"/>
      <c r="AB167" s="140" t="str">
        <f>"*"&amp; A169 &amp; " Rating"</f>
        <v>*B3 Rating</v>
      </c>
      <c r="AC167" s="141"/>
      <c r="AD167" s="141"/>
      <c r="AE167" s="141"/>
      <c r="AF167" s="141"/>
      <c r="AG167" s="141"/>
      <c r="AH167" s="141"/>
      <c r="AI167" s="840"/>
      <c r="AJ167" s="840"/>
      <c r="AK167" s="840"/>
      <c r="AL167" s="840"/>
      <c r="AM167" s="840"/>
      <c r="AN167" s="840"/>
      <c r="AO167" s="840"/>
    </row>
    <row r="168" spans="1:41" ht="15.75" thickBot="1">
      <c r="A168" s="972" t="s">
        <v>114</v>
      </c>
      <c r="B168" s="757" t="s">
        <v>581</v>
      </c>
      <c r="C168" s="757">
        <f>SUMIFS(INDEX(Table915[],,MATCH(C$136,Table915[#Headers],0)),Table915[MainWaterHeatingFuel],$B168,Table915[EnergyRating (group)],$A168)</f>
        <v>8832</v>
      </c>
      <c r="D168" s="757">
        <f>SUMIFS(INDEX(Table915[],,MATCH(D$136,Table915[#Headers],0)),Table915[MainWaterHeatingFuel],$B168,Table915[EnergyRating (group)],$A168)</f>
        <v>3271</v>
      </c>
      <c r="E168" s="760">
        <f>SUMIFS(INDEX(Table915[],,MATCH(E$136,Table915[#Headers],0)),Table915[MainWaterHeatingFuel],$B168,Table915[EnergyRating (group)],$A168)</f>
        <v>0</v>
      </c>
      <c r="F168" s="760">
        <f>SUMIFS(INDEX(Table915[],,MATCH(F$136,Table915[#Headers],0)),Table915[MainWaterHeatingFuel],$B168,Table915[EnergyRating (group)],$A168)</f>
        <v>0</v>
      </c>
      <c r="G168" s="757">
        <f>SUMIFS(INDEX(Table915[],,MATCH(G$136,Table915[#Headers],0)),Table915[MainWaterHeatingFuel],$B168,Table915[EnergyRating (group)],$A168)</f>
        <v>1</v>
      </c>
      <c r="H168" s="757">
        <f>SUMIFS(INDEX(Table915[],,MATCH(H$136,Table915[#Headers],0)),Table915[MainWaterHeatingFuel],$B168,Table915[EnergyRating (group)],$A168)</f>
        <v>117</v>
      </c>
      <c r="I168" s="959"/>
      <c r="J168" s="974">
        <f t="shared" ref="J168" si="112">C168+E168</f>
        <v>8832</v>
      </c>
      <c r="K168" s="975">
        <f t="shared" ref="K168" si="113">D168+F168</f>
        <v>3271</v>
      </c>
      <c r="L168" s="840"/>
      <c r="M168" s="840"/>
      <c r="N168" s="66" t="str">
        <f>RSD_Commodities!$M$84&amp;"_"&amp;RIGHT(P168,LEN(P168)-3)&amp;"_"&amp;SETUP!$B$67</f>
        <v>WH_Det-B3_BIOETH_X0</v>
      </c>
      <c r="O168" s="66" t="str">
        <f>RSD_Commodities!$N$84&amp;"_"&amp;RSD_Commodities!D23&amp;"_"&amp;SETUP!$C$67</f>
        <v>Residential Water Heating Detached-B3_Ethanol to Residential_Existing 00</v>
      </c>
      <c r="P168" s="83" t="str">
        <f>RSD_Commodities!$C$23</f>
        <v>RSDBIOETH</v>
      </c>
      <c r="Q168" s="66" t="str">
        <f>RSD_Commodities!$M$84</f>
        <v>WH_Det-B3</v>
      </c>
      <c r="R168" s="985">
        <f>G168/SUM($G$169:$G$182)</f>
        <v>3.6928985560766647E-5</v>
      </c>
      <c r="S168" s="66">
        <f>R168*DwellingStocks!$I$65/1000</f>
        <v>8.0170790902508039E-4</v>
      </c>
      <c r="T168" s="83">
        <v>1</v>
      </c>
      <c r="U168" s="987">
        <f t="shared" ref="U168" si="114">K168/J168</f>
        <v>0.37035778985507245</v>
      </c>
      <c r="V168" s="83">
        <v>20</v>
      </c>
      <c r="W168" s="66">
        <v>1</v>
      </c>
      <c r="X168" s="840"/>
      <c r="Y168" s="76"/>
      <c r="Z168" s="76"/>
      <c r="AA168" s="840"/>
      <c r="AB168" s="66" t="s">
        <v>393</v>
      </c>
      <c r="AC168" s="66" t="str">
        <f t="shared" ref="AC168" si="115">N168</f>
        <v>WH_Det-B3_BIOETH_X0</v>
      </c>
      <c r="AD168" s="83" t="str">
        <f t="shared" ref="AD168" si="116">O168</f>
        <v>Residential Water Heating Detached-B3_Ethanol to Residential_Existing 00</v>
      </c>
      <c r="AE168" s="66" t="s">
        <v>53</v>
      </c>
      <c r="AF168" s="88" t="s">
        <v>406</v>
      </c>
      <c r="AG168" s="66"/>
      <c r="AH168" s="66"/>
      <c r="AI168" s="840"/>
      <c r="AJ168" s="840"/>
      <c r="AK168" s="840"/>
      <c r="AL168" s="840"/>
      <c r="AM168" s="840"/>
      <c r="AN168" s="840"/>
      <c r="AO168" s="840"/>
    </row>
    <row r="169" spans="1:41">
      <c r="A169" s="973" t="s">
        <v>114</v>
      </c>
      <c r="B169" s="758" t="s">
        <v>582</v>
      </c>
      <c r="C169" s="758">
        <f>SUMIFS(INDEX(Table915[],,MATCH(C$136,Table915[#Headers],0)),Table915[MainWaterHeatingFuel],$B169,Table915[EnergyRating (group)],$A169)</f>
        <v>3417933</v>
      </c>
      <c r="D169" s="758">
        <f>SUMIFS(INDEX(Table915[],,MATCH(D$136,Table915[#Headers],0)),Table915[MainWaterHeatingFuel],$B169,Table915[EnergyRating (group)],$A169)</f>
        <v>3107212</v>
      </c>
      <c r="E169" s="758">
        <f>SUMIFS(INDEX(Table915[],,MATCH(E$136,Table915[#Headers],0)),Table915[MainWaterHeatingFuel],$B169,Table915[EnergyRating (group)],$A169)</f>
        <v>119074</v>
      </c>
      <c r="F169" s="758">
        <f>SUMIFS(INDEX(Table915[],,MATCH(F$136,Table915[#Headers],0)),Table915[MainWaterHeatingFuel],$B169,Table915[EnergyRating (group)],$A169)</f>
        <v>44102</v>
      </c>
      <c r="G169" s="758">
        <f>SUMIFS(INDEX(Table915[],,MATCH(G$136,Table915[#Headers],0)),Table915[MainWaterHeatingFuel],$B169,Table915[EnergyRating (group)],$A169)</f>
        <v>817</v>
      </c>
      <c r="H169" s="758">
        <f>SUMIFS(INDEX(Table915[],,MATCH(H$136,Table915[#Headers],0)),Table915[MainWaterHeatingFuel],$B169,Table915[EnergyRating (group)],$A169)</f>
        <v>91939</v>
      </c>
      <c r="I169" s="960"/>
      <c r="J169" s="969">
        <f t="shared" ref="J169:K176" si="117">C169+E169</f>
        <v>3537007</v>
      </c>
      <c r="K169" s="967">
        <f t="shared" si="117"/>
        <v>3151314</v>
      </c>
      <c r="L169" s="840"/>
      <c r="M169" s="840"/>
      <c r="N169" s="914" t="str">
        <f>RSD_Commodities!$M$84&amp;"_"&amp;RIGHT(P169,LEN(P169)-3)&amp;"_"&amp;SETUP!$B$67</f>
        <v>WH_Det-B3_OILLPG_X0</v>
      </c>
      <c r="O169" s="914" t="str">
        <f>RSD_Commodities!$N$84&amp;"_"&amp;RSD_Commodities!D11&amp;"_"&amp;SETUP!$C$67</f>
        <v>Residential Water Heating Detached-B3_LPG to Residential_Existing 00</v>
      </c>
      <c r="P169" s="915" t="str">
        <f>RSD_Commodities!$C$11</f>
        <v>RSDOILLPG</v>
      </c>
      <c r="Q169" s="914" t="str">
        <f>RSD_Commodities!$M$84</f>
        <v>WH_Det-B3</v>
      </c>
      <c r="R169" s="984">
        <f>G169/SUM($G$169:$G$182)</f>
        <v>3.017098120314635E-2</v>
      </c>
      <c r="S169" s="914">
        <f>R169*DwellingStocks!$I$65/1000</f>
        <v>0.65499536167349059</v>
      </c>
      <c r="T169" s="915">
        <v>1</v>
      </c>
      <c r="U169" s="986">
        <f>K169/J169</f>
        <v>0.89095497973286453</v>
      </c>
      <c r="V169" s="915">
        <v>20</v>
      </c>
      <c r="W169" s="914">
        <v>1</v>
      </c>
      <c r="X169" s="866"/>
      <c r="Y169" s="924">
        <f>ABS((K169)*S169*1000*$B$2)</f>
        <v>8.4825865199043891E-4</v>
      </c>
      <c r="Z169" s="925">
        <f>ABS((J169)*S169*1000*$B$2)</f>
        <v>9.5207801885205542E-4</v>
      </c>
      <c r="AA169" s="866"/>
      <c r="AB169" s="914" t="s">
        <v>393</v>
      </c>
      <c r="AC169" s="914" t="str">
        <f t="shared" ref="AC169:AD176" si="118">N169</f>
        <v>WH_Det-B3_OILLPG_X0</v>
      </c>
      <c r="AD169" s="915" t="str">
        <f t="shared" si="118"/>
        <v>Residential Water Heating Detached-B3_LPG to Residential_Existing 00</v>
      </c>
      <c r="AE169" s="914" t="s">
        <v>53</v>
      </c>
      <c r="AF169" s="916" t="s">
        <v>406</v>
      </c>
      <c r="AG169" s="914"/>
      <c r="AH169" s="914"/>
      <c r="AI169" s="840"/>
      <c r="AJ169" s="840"/>
      <c r="AK169" s="840"/>
      <c r="AL169" s="840"/>
      <c r="AM169" s="840"/>
      <c r="AN169" s="840"/>
      <c r="AO169" s="840"/>
    </row>
    <row r="170" spans="1:41">
      <c r="A170" s="972" t="s">
        <v>114</v>
      </c>
      <c r="B170" s="757" t="s">
        <v>228</v>
      </c>
      <c r="C170" s="757">
        <f>SUMIFS(INDEX(Table915[],,MATCH(C$136,Table915[#Headers],0)),Table915[MainWaterHeatingFuel],$B170,Table915[EnergyRating (group)],$A170)</f>
        <v>2054465</v>
      </c>
      <c r="D170" s="757">
        <f>SUMIFS(INDEX(Table915[],,MATCH(D$136,Table915[#Headers],0)),Table915[MainWaterHeatingFuel],$B170,Table915[EnergyRating (group)],$A170)</f>
        <v>760913</v>
      </c>
      <c r="E170" s="757">
        <f>SUMIFS(INDEX(Table915[],,MATCH(E$136,Table915[#Headers],0)),Table915[MainWaterHeatingFuel],$B170,Table915[EnergyRating (group)],$A170)</f>
        <v>16138</v>
      </c>
      <c r="F170" s="757">
        <f>SUMIFS(INDEX(Table915[],,MATCH(F$136,Table915[#Headers],0)),Table915[MainWaterHeatingFuel],$B170,Table915[EnergyRating (group)],$A170)</f>
        <v>5977</v>
      </c>
      <c r="G170" s="757">
        <f>SUMIFS(INDEX(Table915[],,MATCH(G$136,Table915[#Headers],0)),Table915[MainWaterHeatingFuel],$B170,Table915[EnergyRating (group)],$A170)</f>
        <v>411</v>
      </c>
      <c r="H170" s="757">
        <f>SUMIFS(INDEX(Table915[],,MATCH(H$136,Table915[#Headers],0)),Table915[MainWaterHeatingFuel],$B170,Table915[EnergyRating (group)],$A170)</f>
        <v>37388</v>
      </c>
      <c r="I170" s="961"/>
      <c r="J170" s="964">
        <f t="shared" si="117"/>
        <v>2070603</v>
      </c>
      <c r="K170" s="965">
        <f t="shared" si="117"/>
        <v>766890</v>
      </c>
      <c r="L170" s="840"/>
      <c r="M170" s="840"/>
      <c r="N170" s="66" t="str">
        <f>RSD_Commodities!$M$84&amp;"_"&amp;RIGHT(P170,LEN(P170)-3)&amp;"_"&amp;SETUP!$B$67</f>
        <v>WH_Det-B3_ELCD_X0</v>
      </c>
      <c r="O170" s="66" t="str">
        <f>RSD_Commodities!$N$84&amp;"_"&amp;RSD_Commodities!D27&amp;"_"&amp;SETUP!$C$67</f>
        <v>Residential Water Heating Detached-B3_Electricity to Residential_Existing 00</v>
      </c>
      <c r="P170" s="83" t="str">
        <f>RSD_Commodities!$C$27</f>
        <v>RSDELCD</v>
      </c>
      <c r="Q170" s="66" t="str">
        <f>RSD_Commodities!$M$84</f>
        <v>WH_Det-B3</v>
      </c>
      <c r="R170" s="985">
        <f t="shared" ref="R170:R182" si="119">G170/SUM($G$169:$G$182)</f>
        <v>1.5177813065475091E-2</v>
      </c>
      <c r="S170" s="66">
        <f>R170*DwellingStocks!$I$65/1000</f>
        <v>0.32950195060930798</v>
      </c>
      <c r="T170" s="83">
        <v>1</v>
      </c>
      <c r="U170" s="987">
        <f t="shared" ref="U170:U176" si="120">K170/J170</f>
        <v>0.37037037037037035</v>
      </c>
      <c r="V170" s="83">
        <v>20</v>
      </c>
      <c r="W170" s="66">
        <v>1</v>
      </c>
      <c r="X170" s="866"/>
      <c r="Y170" s="926">
        <f t="shared" ref="Y170:Y172" si="121">ABS((K170)*S170*1000*$B$2)</f>
        <v>1.0384592502853655E-4</v>
      </c>
      <c r="Z170" s="927">
        <f t="shared" ref="Z170:Z172" si="122">ABS((J170)*S170*1000*$B$2)</f>
        <v>2.8038399757704862E-4</v>
      </c>
      <c r="AA170" s="866"/>
      <c r="AB170" s="66" t="s">
        <v>393</v>
      </c>
      <c r="AC170" s="66" t="str">
        <f t="shared" si="118"/>
        <v>WH_Det-B3_ELCD_X0</v>
      </c>
      <c r="AD170" s="83" t="str">
        <f t="shared" si="118"/>
        <v>Residential Water Heating Detached-B3_Electricity to Residential_Existing 00</v>
      </c>
      <c r="AE170" s="66" t="s">
        <v>53</v>
      </c>
      <c r="AF170" s="88" t="s">
        <v>406</v>
      </c>
      <c r="AG170" s="66"/>
      <c r="AH170" s="66"/>
      <c r="AI170" s="840"/>
      <c r="AJ170" s="840"/>
      <c r="AK170" s="840"/>
      <c r="AL170" s="840"/>
      <c r="AM170" s="840"/>
      <c r="AN170" s="840"/>
      <c r="AO170" s="840"/>
    </row>
    <row r="171" spans="1:41">
      <c r="A171" s="973" t="s">
        <v>114</v>
      </c>
      <c r="B171" s="758" t="s">
        <v>583</v>
      </c>
      <c r="C171" s="758">
        <f>SUMIFS(INDEX(Table915[],,MATCH(C$136,Table915[#Headers],0)),Table915[MainWaterHeatingFuel],$B171,Table915[EnergyRating (group)],$A171)</f>
        <v>29128016</v>
      </c>
      <c r="D171" s="758">
        <f>SUMIFS(INDEX(Table915[],,MATCH(D$136,Table915[#Headers],0)),Table915[MainWaterHeatingFuel],$B171,Table915[EnergyRating (group)],$A171)</f>
        <v>26480015</v>
      </c>
      <c r="E171" s="759">
        <f>SUMIFS(INDEX(Table915[],,MATCH(E$136,Table915[#Headers],0)),Table915[MainWaterHeatingFuel],$B171,Table915[EnergyRating (group)],$A171)</f>
        <v>1310864</v>
      </c>
      <c r="F171" s="759">
        <f>SUMIFS(INDEX(Table915[],,MATCH(F$136,Table915[#Headers],0)),Table915[MainWaterHeatingFuel],$B171,Table915[EnergyRating (group)],$A171)</f>
        <v>485504</v>
      </c>
      <c r="G171" s="758">
        <f>SUMIFS(INDEX(Table915[],,MATCH(G$136,Table915[#Headers],0)),Table915[MainWaterHeatingFuel],$B171,Table915[EnergyRating (group)],$A171)</f>
        <v>6942</v>
      </c>
      <c r="H171" s="758">
        <f>SUMIFS(INDEX(Table915[],,MATCH(H$136,Table915[#Headers],0)),Table915[MainWaterHeatingFuel],$B171,Table915[EnergyRating (group)],$A171)</f>
        <v>755279</v>
      </c>
      <c r="I171" s="960"/>
      <c r="J171" s="976">
        <f t="shared" si="117"/>
        <v>30438880</v>
      </c>
      <c r="K171" s="977">
        <f t="shared" si="117"/>
        <v>26965519</v>
      </c>
      <c r="L171" s="840"/>
      <c r="M171" s="840"/>
      <c r="N171" s="914" t="str">
        <f>RSD_Commodities!$M$84&amp;"_"&amp;RIGHT(P171,LEN(P171)-3)&amp;"_"&amp;SETUP!$B$67</f>
        <v>WH_Det-B3_OILKER_X0</v>
      </c>
      <c r="O171" s="914" t="str">
        <f>RSD_Commodities!$N$84&amp;"_"&amp;RSD_Commodities!D13&amp;"_"&amp;SETUP!$C$67</f>
        <v>Residential Water Heating Detached-B3_Kerosene to Residential_Existing 00</v>
      </c>
      <c r="P171" s="915" t="str">
        <f>RSD_Commodities!$C$13</f>
        <v>RSDOILKER</v>
      </c>
      <c r="Q171" s="914" t="str">
        <f>RSD_Commodities!$M$84</f>
        <v>WH_Det-B3</v>
      </c>
      <c r="R171" s="984">
        <f t="shared" si="119"/>
        <v>0.25636101776284204</v>
      </c>
      <c r="S171" s="914">
        <f>R171*DwellingStocks!$I$65/1000</f>
        <v>5.5654563044521073</v>
      </c>
      <c r="T171" s="915">
        <v>1</v>
      </c>
      <c r="U171" s="986">
        <f t="shared" si="120"/>
        <v>0.88589064380818217</v>
      </c>
      <c r="V171" s="915">
        <v>20</v>
      </c>
      <c r="W171" s="914">
        <v>1</v>
      </c>
      <c r="X171" s="866"/>
      <c r="Y171" s="928">
        <f t="shared" si="121"/>
        <v>6.1674829200564288E-2</v>
      </c>
      <c r="Z171" s="929">
        <f t="shared" si="122"/>
        <v>6.9619009560189529E-2</v>
      </c>
      <c r="AA171" s="866"/>
      <c r="AB171" s="914" t="s">
        <v>393</v>
      </c>
      <c r="AC171" s="914" t="str">
        <f t="shared" si="118"/>
        <v>WH_Det-B3_OILKER_X0</v>
      </c>
      <c r="AD171" s="915" t="str">
        <f t="shared" si="118"/>
        <v>Residential Water Heating Detached-B3_Kerosene to Residential_Existing 00</v>
      </c>
      <c r="AE171" s="914" t="s">
        <v>53</v>
      </c>
      <c r="AF171" s="916" t="s">
        <v>406</v>
      </c>
      <c r="AG171" s="914"/>
      <c r="AH171" s="914"/>
      <c r="AI171" s="840"/>
      <c r="AJ171" s="840"/>
      <c r="AK171" s="840"/>
      <c r="AL171" s="840"/>
      <c r="AM171" s="840"/>
      <c r="AN171" s="840"/>
      <c r="AO171" s="840"/>
    </row>
    <row r="172" spans="1:41">
      <c r="A172" s="972" t="s">
        <v>114</v>
      </c>
      <c r="B172" s="757" t="s">
        <v>584</v>
      </c>
      <c r="C172" s="757">
        <f>SUMIFS(INDEX(Table915[],,MATCH(C$136,Table915[#Headers],0)),Table915[MainWaterHeatingFuel],$B172,Table915[EnergyRating (group)],$A172)</f>
        <v>80187288</v>
      </c>
      <c r="D172" s="757">
        <f>SUMIFS(INDEX(Table915[],,MATCH(D$136,Table915[#Headers],0)),Table915[MainWaterHeatingFuel],$B172,Table915[EnergyRating (group)],$A172)</f>
        <v>72897532</v>
      </c>
      <c r="E172" s="760">
        <f>SUMIFS(INDEX(Table915[],,MATCH(E$136,Table915[#Headers],0)),Table915[MainWaterHeatingFuel],$B172,Table915[EnergyRating (group)],$A172)</f>
        <v>2557064</v>
      </c>
      <c r="F172" s="760">
        <f>SUMIFS(INDEX(Table915[],,MATCH(F$136,Table915[#Headers],0)),Table915[MainWaterHeatingFuel],$B172,Table915[EnergyRating (group)],$A172)</f>
        <v>947059</v>
      </c>
      <c r="G172" s="757">
        <f>SUMIFS(INDEX(Table915[],,MATCH(G$136,Table915[#Headers],0)),Table915[MainWaterHeatingFuel],$B172,Table915[EnergyRating (group)],$A172)</f>
        <v>18711</v>
      </c>
      <c r="H172" s="757">
        <f>SUMIFS(INDEX(Table915[],,MATCH(H$136,Table915[#Headers],0)),Table915[MainWaterHeatingFuel],$B172,Table915[EnergyRating (group)],$A172)</f>
        <v>2048263</v>
      </c>
      <c r="I172" s="959"/>
      <c r="J172" s="978">
        <f t="shared" si="117"/>
        <v>82744352</v>
      </c>
      <c r="K172" s="979">
        <f t="shared" si="117"/>
        <v>73844591</v>
      </c>
      <c r="L172" s="840"/>
      <c r="M172" s="840"/>
      <c r="N172" s="66" t="str">
        <f>RSD_Commodities!$M$84&amp;"_"&amp;RIGHT(P172,LEN(P172)-3)&amp;"_"&amp;SETUP!$B$67</f>
        <v>WH_Det-B3_GASNAT_X0</v>
      </c>
      <c r="O172" s="66" t="str">
        <f>RSD_Commodities!$N$84&amp;"_"&amp;RSD_Commodities!D17&amp;"_"&amp;SETUP!$C$67</f>
        <v>Residential Water Heating Detached-B3_Natural Gas to Residential_Existing 00</v>
      </c>
      <c r="P172" s="83" t="str">
        <f>RSD_Commodities!$C$17</f>
        <v>RSDGASNAT</v>
      </c>
      <c r="Q172" s="66" t="str">
        <f>RSD_Commodities!$M$84</f>
        <v>WH_Det-B3</v>
      </c>
      <c r="R172" s="985">
        <f t="shared" si="119"/>
        <v>0.69097824882750469</v>
      </c>
      <c r="S172" s="66">
        <f>R172*DwellingStocks!$I$65/1000</f>
        <v>15.000756685768279</v>
      </c>
      <c r="T172" s="83">
        <v>1</v>
      </c>
      <c r="U172" s="987">
        <f t="shared" si="120"/>
        <v>0.89244267693340573</v>
      </c>
      <c r="V172" s="83">
        <v>20</v>
      </c>
      <c r="W172" s="66">
        <v>1</v>
      </c>
      <c r="X172" s="866"/>
      <c r="Y172" s="926">
        <f t="shared" si="121"/>
        <v>0.45522934608948262</v>
      </c>
      <c r="Z172" s="927">
        <f t="shared" si="122"/>
        <v>0.51009365403023188</v>
      </c>
      <c r="AA172" s="866"/>
      <c r="AB172" s="66" t="s">
        <v>393</v>
      </c>
      <c r="AC172" s="66" t="str">
        <f t="shared" si="118"/>
        <v>WH_Det-B3_GASNAT_X0</v>
      </c>
      <c r="AD172" s="83" t="str">
        <f t="shared" si="118"/>
        <v>Residential Water Heating Detached-B3_Natural Gas to Residential_Existing 00</v>
      </c>
      <c r="AE172" s="66" t="s">
        <v>53</v>
      </c>
      <c r="AF172" s="88" t="s">
        <v>406</v>
      </c>
      <c r="AG172" s="66"/>
      <c r="AH172" s="66"/>
      <c r="AI172" s="840"/>
      <c r="AJ172" s="840"/>
      <c r="AK172" s="840"/>
      <c r="AL172" s="840"/>
      <c r="AM172" s="840"/>
      <c r="AN172" s="840"/>
      <c r="AO172" s="840"/>
    </row>
    <row r="173" spans="1:41">
      <c r="A173" s="973" t="s">
        <v>114</v>
      </c>
      <c r="B173" s="758" t="s">
        <v>585</v>
      </c>
      <c r="C173" s="758">
        <f>SUMIFS(INDEX(Table915[],,MATCH(C$136,Table915[#Headers],0)),Table915[MainWaterHeatingFuel],$B173,Table915[EnergyRating (group)],$A173)</f>
        <v>106626</v>
      </c>
      <c r="D173" s="758">
        <f>SUMIFS(INDEX(Table915[],,MATCH(D$136,Table915[#Headers],0)),Table915[MainWaterHeatingFuel],$B173,Table915[EnergyRating (group)],$A173)</f>
        <v>96933</v>
      </c>
      <c r="E173" s="758">
        <f>SUMIFS(INDEX(Table915[],,MATCH(E$136,Table915[#Headers],0)),Table915[MainWaterHeatingFuel],$B173,Table915[EnergyRating (group)],$A173)</f>
        <v>0</v>
      </c>
      <c r="F173" s="758">
        <f>SUMIFS(INDEX(Table915[],,MATCH(F$136,Table915[#Headers],0)),Table915[MainWaterHeatingFuel],$B173,Table915[EnergyRating (group)],$A173)</f>
        <v>0</v>
      </c>
      <c r="G173" s="758">
        <f>SUMIFS(INDEX(Table915[],,MATCH(G$136,Table915[#Headers],0)),Table915[MainWaterHeatingFuel],$B173,Table915[EnergyRating (group)],$A173)</f>
        <v>38</v>
      </c>
      <c r="H173" s="758">
        <f>SUMIFS(INDEX(Table915[],,MATCH(H$136,Table915[#Headers],0)),Table915[MainWaterHeatingFuel],$B173,Table915[EnergyRating (group)],$A173)</f>
        <v>3753</v>
      </c>
      <c r="I173" s="960"/>
      <c r="J173" s="980">
        <f t="shared" si="117"/>
        <v>106626</v>
      </c>
      <c r="K173" s="981">
        <f t="shared" si="117"/>
        <v>96933</v>
      </c>
      <c r="L173" s="840"/>
      <c r="M173" s="840"/>
      <c r="N173" s="914" t="str">
        <f>RSD_Commodities!$M$84&amp;"_"&amp;RIGHT(P173,LEN(P173)-3)&amp;"_"&amp;SETUP!$B$67</f>
        <v>WH_Det-B3_BIOWOO_X0</v>
      </c>
      <c r="O173" s="914" t="str">
        <f>RSD_Commodities!$N$84&amp;"_"&amp;RSD_Commodities!D19&amp;"_"&amp;SETUP!$C$67</f>
        <v>Residential Water Heating Detached-B3_Biomass &amp; Renewable Waste to Residential_Existing 00</v>
      </c>
      <c r="P173" s="915" t="str">
        <f>RSD_Commodities!$C$19</f>
        <v>RSDBIOWOO</v>
      </c>
      <c r="Q173" s="914" t="str">
        <f>RSD_Commodities!$M$84</f>
        <v>WH_Det-B3</v>
      </c>
      <c r="R173" s="984">
        <f t="shared" si="119"/>
        <v>1.4033014513091325E-3</v>
      </c>
      <c r="S173" s="914">
        <f>R173*DwellingStocks!$I$65/1000</f>
        <v>3.0464900542953054E-2</v>
      </c>
      <c r="T173" s="915">
        <v>1</v>
      </c>
      <c r="U173" s="986">
        <f t="shared" si="120"/>
        <v>0.90909346688424963</v>
      </c>
      <c r="V173" s="915">
        <v>20</v>
      </c>
      <c r="W173" s="914">
        <v>1</v>
      </c>
      <c r="X173" s="866"/>
      <c r="Y173" s="928">
        <f t="shared" ref="Y173:Y182" si="123">ABS((K173)*S173*1000*$B$2)</f>
        <v>1.2135839195876995E-6</v>
      </c>
      <c r="Z173" s="929">
        <f t="shared" ref="Z173:Z182" si="124">ABS((J173)*S173*1000*$B$2)</f>
        <v>1.3349385555998273E-6</v>
      </c>
      <c r="AA173" s="866"/>
      <c r="AB173" s="914" t="s">
        <v>393</v>
      </c>
      <c r="AC173" s="914" t="str">
        <f t="shared" si="118"/>
        <v>WH_Det-B3_BIOWOO_X0</v>
      </c>
      <c r="AD173" s="915" t="str">
        <f t="shared" si="118"/>
        <v>Residential Water Heating Detached-B3_Biomass &amp; Renewable Waste to Residential_Existing 00</v>
      </c>
      <c r="AE173" s="914" t="s">
        <v>53</v>
      </c>
      <c r="AF173" s="916" t="s">
        <v>406</v>
      </c>
      <c r="AG173" s="914"/>
      <c r="AH173" s="914"/>
      <c r="AI173" s="840"/>
      <c r="AJ173" s="840"/>
      <c r="AK173" s="840"/>
      <c r="AL173" s="840"/>
      <c r="AM173" s="840"/>
      <c r="AN173" s="840"/>
      <c r="AO173" s="840"/>
    </row>
    <row r="174" spans="1:41">
      <c r="A174" s="972" t="s">
        <v>114</v>
      </c>
      <c r="B174" s="757" t="s">
        <v>587</v>
      </c>
      <c r="C174" s="757">
        <f>SUMIFS(INDEX(Table915[],,MATCH(C136,Table915[#Headers],0)),Table915[MainWaterHeatingFuel],"",Table915[EnergyRating (group)],$A174)</f>
        <v>0</v>
      </c>
      <c r="D174" s="757">
        <f>SUMIFS(INDEX(Table915[],,MATCH(D136,Table915[#Headers],0)),Table915[MainWaterHeatingFuel],"",Table915[EnergyRating (group)],$A174)</f>
        <v>0</v>
      </c>
      <c r="E174" s="757">
        <f>SUMIFS(INDEX(Table915[],,MATCH(E136,Table915[#Headers],0)),Table915[MainWaterHeatingFuel],"",Table915[EnergyRating (group)],$A174)</f>
        <v>1498</v>
      </c>
      <c r="F174" s="757">
        <f>SUMIFS(INDEX(Table915[],,MATCH(F136,Table915[#Headers],0)),Table915[MainWaterHeatingFuel],"",Table915[EnergyRating (group)],$A174)</f>
        <v>555</v>
      </c>
      <c r="G174" s="757">
        <f>SUMIFS(INDEX(Table915[],,MATCH(G136,Table915[#Headers],0)),Table915[MainWaterHeatingFuel],"",Table915[EnergyRating (group)],$A174)</f>
        <v>107</v>
      </c>
      <c r="H174" s="757">
        <f>SUMIFS(INDEX(Table915[],,MATCH(H136,Table915[#Headers],0)),Table915[MainWaterHeatingFuel],"",Table915[EnergyRating (group)],$A174)</f>
        <v>8493</v>
      </c>
      <c r="I174" s="961"/>
      <c r="J174" s="978">
        <f t="shared" si="117"/>
        <v>1498</v>
      </c>
      <c r="K174" s="979">
        <f t="shared" si="117"/>
        <v>555</v>
      </c>
      <c r="L174" s="840"/>
      <c r="M174" s="840"/>
      <c r="N174" s="66" t="str">
        <f>RSD_Commodities!$M$84&amp;"_"&amp;RIGHT(P174,LEN(P174)-3)&amp;"_"&amp;SETUP!$B$67</f>
        <v>WH_Det-B3_HET_X0</v>
      </c>
      <c r="O174" s="66" t="str">
        <f>RSD_Commodities!$N$84&amp;"_"&amp;RSD_Commodities!D28&amp;"_"&amp;SETUP!$C$67</f>
        <v>Residential Water Heating Detached-B3_Heat to Residential_Existing 00</v>
      </c>
      <c r="P174" s="83" t="str">
        <f>RSD_Commodities!$C$28</f>
        <v>RSDHET</v>
      </c>
      <c r="Q174" s="66" t="str">
        <f>RSD_Commodities!$M$84</f>
        <v>WH_Det-B3</v>
      </c>
      <c r="R174" s="985">
        <f t="shared" si="119"/>
        <v>3.9514014550020311E-3</v>
      </c>
      <c r="S174" s="66">
        <f>R174*DwellingStocks!$I$65/1000</f>
        <v>8.5782746265683593E-2</v>
      </c>
      <c r="T174" s="83">
        <v>1</v>
      </c>
      <c r="U174" s="917">
        <v>1</v>
      </c>
      <c r="V174" s="83">
        <v>20</v>
      </c>
      <c r="W174" s="66">
        <v>1</v>
      </c>
      <c r="X174" s="866"/>
      <c r="Y174" s="926">
        <f t="shared" si="123"/>
        <v>1.9565516785255234E-8</v>
      </c>
      <c r="Z174" s="927">
        <f t="shared" si="124"/>
        <v>5.2809268728490705E-8</v>
      </c>
      <c r="AA174" s="866"/>
      <c r="AB174" s="66" t="s">
        <v>393</v>
      </c>
      <c r="AC174" s="66" t="str">
        <f t="shared" si="118"/>
        <v>WH_Det-B3_HET_X0</v>
      </c>
      <c r="AD174" s="83" t="str">
        <f t="shared" si="118"/>
        <v>Residential Water Heating Detached-B3_Heat to Residential_Existing 00</v>
      </c>
      <c r="AE174" s="66" t="s">
        <v>53</v>
      </c>
      <c r="AF174" s="88" t="s">
        <v>406</v>
      </c>
      <c r="AG174" s="66"/>
      <c r="AH174" s="66"/>
      <c r="AI174" s="840"/>
      <c r="AJ174" s="840"/>
      <c r="AK174" s="840"/>
      <c r="AL174" s="840"/>
      <c r="AM174" s="840"/>
      <c r="AN174" s="840"/>
      <c r="AO174" s="840"/>
    </row>
    <row r="175" spans="1:41">
      <c r="A175" s="973" t="s">
        <v>114</v>
      </c>
      <c r="B175" s="758" t="s">
        <v>664</v>
      </c>
      <c r="C175" s="758">
        <f>SUMIFS(INDEX(Table915[],,MATCH(C$136,Table915[#Headers],0)),Table915[MainWaterHeatingFuel],$B175,Table915[EnergyRating (group)],$A175)</f>
        <v>141462</v>
      </c>
      <c r="D175" s="758">
        <f>SUMIFS(INDEX(Table915[],,MATCH(D$136,Table915[#Headers],0)),Table915[MainWaterHeatingFuel],$B175,Table915[EnergyRating (group)],$A175)</f>
        <v>128603</v>
      </c>
      <c r="E175" s="759">
        <f>SUMIFS(INDEX(Table915[],,MATCH(E$136,Table915[#Headers],0)),Table915[MainWaterHeatingFuel],$B175,Table915[EnergyRating (group)],$A175)</f>
        <v>0</v>
      </c>
      <c r="F175" s="759">
        <f>SUMIFS(INDEX(Table915[],,MATCH(F$136,Table915[#Headers],0)),Table915[MainWaterHeatingFuel],$B175,Table915[EnergyRating (group)],$A175)</f>
        <v>0</v>
      </c>
      <c r="G175" s="758">
        <f>SUMIFS(INDEX(Table915[],,MATCH(G$136,Table915[#Headers],0)),Table915[MainWaterHeatingFuel],$B175,Table915[EnergyRating (group)],$A175)</f>
        <v>34</v>
      </c>
      <c r="H175" s="758">
        <f>SUMIFS(INDEX(Table915[],,MATCH(H$136,Table915[#Headers],0)),Table915[MainWaterHeatingFuel],$B175,Table915[EnergyRating (group)],$A175)</f>
        <v>3831</v>
      </c>
      <c r="I175" s="960"/>
      <c r="J175" s="980">
        <f>C175+E175</f>
        <v>141462</v>
      </c>
      <c r="K175" s="981">
        <f>D175+F175</f>
        <v>128603</v>
      </c>
      <c r="L175" s="840"/>
      <c r="M175" s="840"/>
      <c r="N175" s="914" t="str">
        <f>RSD_Commodities!$M$84&amp;"_"&amp;RIGHT(P175,LEN(P175)-3)&amp;"_"&amp;SETUP!$B$68</f>
        <v>WH_Det-B3_OILLPG_X1</v>
      </c>
      <c r="O175" s="914" t="str">
        <f>RSD_Commodities!$N$84&amp;"_"&amp;RSD_Commodities!D11&amp;"_"&amp;SETUP!$C$68</f>
        <v>Residential Water Heating Detached-B3_LPG to Residential_Existing 01</v>
      </c>
      <c r="P175" s="915" t="str">
        <f>RSD_Commodities!$C$11</f>
        <v>RSDOILLPG</v>
      </c>
      <c r="Q175" s="914" t="str">
        <f>RSD_Commodities!$M$84</f>
        <v>WH_Det-B3</v>
      </c>
      <c r="R175" s="984">
        <f t="shared" si="119"/>
        <v>1.255585509066066E-3</v>
      </c>
      <c r="S175" s="914">
        <f>R175*DwellingStocks!$I$65/1000</f>
        <v>2.7258068906852735E-2</v>
      </c>
      <c r="T175" s="915">
        <v>1</v>
      </c>
      <c r="U175" s="986">
        <f t="shared" si="120"/>
        <v>0.90909926340642722</v>
      </c>
      <c r="V175" s="915">
        <v>20</v>
      </c>
      <c r="W175" s="914">
        <v>1</v>
      </c>
      <c r="X175" s="866"/>
      <c r="Y175" s="928">
        <f t="shared" si="123"/>
        <v>1.4406038776553354E-6</v>
      </c>
      <c r="Z175" s="929">
        <f t="shared" si="124"/>
        <v>1.5846497028909049E-6</v>
      </c>
      <c r="AA175" s="866"/>
      <c r="AB175" s="914" t="s">
        <v>393</v>
      </c>
      <c r="AC175" s="914" t="str">
        <f t="shared" si="118"/>
        <v>WH_Det-B3_OILLPG_X1</v>
      </c>
      <c r="AD175" s="915" t="str">
        <f t="shared" si="118"/>
        <v>Residential Water Heating Detached-B3_LPG to Residential_Existing 01</v>
      </c>
      <c r="AE175" s="914" t="s">
        <v>53</v>
      </c>
      <c r="AF175" s="916" t="s">
        <v>406</v>
      </c>
      <c r="AG175" s="914"/>
      <c r="AH175" s="914"/>
      <c r="AI175" s="840"/>
      <c r="AJ175" s="840"/>
      <c r="AK175" s="840"/>
      <c r="AL175" s="840"/>
      <c r="AM175" s="840"/>
      <c r="AN175" s="840"/>
      <c r="AO175" s="840"/>
    </row>
    <row r="176" spans="1:41">
      <c r="A176" s="972" t="s">
        <v>114</v>
      </c>
      <c r="B176" s="757" t="s">
        <v>665</v>
      </c>
      <c r="C176" s="757">
        <f>SUMIFS(INDEX(Table915[],,MATCH(C$136,Table915[#Headers],0)),Table915[MainWaterHeatingFuel],$B176,Table915[EnergyRating (group)],$A176)</f>
        <v>27806</v>
      </c>
      <c r="D176" s="757">
        <f>SUMIFS(INDEX(Table915[],,MATCH(D$136,Table915[#Headers],0)),Table915[MainWaterHeatingFuel],$B176,Table915[EnergyRating (group)],$A176)</f>
        <v>25277</v>
      </c>
      <c r="E176" s="760">
        <f>SUMIFS(INDEX(Table915[],,MATCH(E$136,Table915[#Headers],0)),Table915[MainWaterHeatingFuel],$B176,Table915[EnergyRating (group)],$A176)</f>
        <v>2842</v>
      </c>
      <c r="F176" s="760">
        <f>SUMIFS(INDEX(Table915[],,MATCH(F$136,Table915[#Headers],0)),Table915[MainWaterHeatingFuel],$B176,Table915[EnergyRating (group)],$A176)</f>
        <v>1053</v>
      </c>
      <c r="G176" s="757">
        <f>SUMIFS(INDEX(Table915[],,MATCH(G$136,Table915[#Headers],0)),Table915[MainWaterHeatingFuel],$B176,Table915[EnergyRating (group)],$A176)</f>
        <v>8</v>
      </c>
      <c r="H176" s="757">
        <f>SUMIFS(INDEX(Table915[],,MATCH(H$136,Table915[#Headers],0)),Table915[MainWaterHeatingFuel],$B176,Table915[EnergyRating (group)],$A176)</f>
        <v>736</v>
      </c>
      <c r="I176" s="959"/>
      <c r="J176" s="978">
        <f t="shared" si="117"/>
        <v>30648</v>
      </c>
      <c r="K176" s="979">
        <f t="shared" si="117"/>
        <v>26330</v>
      </c>
      <c r="L176" s="840"/>
      <c r="M176" s="840"/>
      <c r="N176" s="66" t="str">
        <f>RSD_Commodities!$M$84&amp;"_"&amp;RSD_Commodities!$C$26&amp;"_"&amp;SETUP!$B$67</f>
        <v>WH_Det-B3_RSDSMF_X0</v>
      </c>
      <c r="O176" s="66" t="str">
        <f>RSD_Commodities!$N$84&amp;"_"&amp;RSD_Commodities!$D$26&amp;"_"&amp;SETUP!$C$67</f>
        <v>Residential Water Heating Detached-B3_Solid Multi-Fuel_Existing 00</v>
      </c>
      <c r="P176" s="83" t="str">
        <f>RSD_Commodities!$C$6&amp;","&amp;RSD_Commodities!$C$7&amp;","&amp;RSD_Commodities!$C$9&amp;","&amp;RSD_Commodities!$C$10&amp;","&amp;RSD_Commodities!$C$19</f>
        <v>RSDCOABIT,RSDCOAHAR,RSDCOALIG,RSDPEA,RSDBIOWOO</v>
      </c>
      <c r="Q176" s="66" t="str">
        <f>RSD_Commodities!$M$84</f>
        <v>WH_Det-B3</v>
      </c>
      <c r="R176" s="985">
        <f t="shared" si="119"/>
        <v>2.9543188448613318E-4</v>
      </c>
      <c r="S176" s="66">
        <f>R176*DwellingStocks!$I$65/1000</f>
        <v>6.4136632722006431E-3</v>
      </c>
      <c r="T176" s="83">
        <v>1</v>
      </c>
      <c r="U176" s="987">
        <f t="shared" si="120"/>
        <v>0.85910989297833462</v>
      </c>
      <c r="V176" s="83">
        <v>20</v>
      </c>
      <c r="W176" s="66">
        <v>1</v>
      </c>
      <c r="X176" s="866"/>
      <c r="Y176" s="926">
        <f t="shared" si="123"/>
        <v>6.9399350941250537E-8</v>
      </c>
      <c r="Z176" s="927">
        <f t="shared" si="124"/>
        <v>8.0780528205372067E-8</v>
      </c>
      <c r="AA176" s="866"/>
      <c r="AB176" s="66" t="s">
        <v>393</v>
      </c>
      <c r="AC176" s="66" t="str">
        <f t="shared" si="118"/>
        <v>WH_Det-B3_RSDSMF_X0</v>
      </c>
      <c r="AD176" s="83" t="str">
        <f t="shared" si="118"/>
        <v>Residential Water Heating Detached-B3_Solid Multi-Fuel_Existing 00</v>
      </c>
      <c r="AE176" s="66" t="s">
        <v>53</v>
      </c>
      <c r="AF176" s="88" t="s">
        <v>406</v>
      </c>
      <c r="AG176" s="66"/>
      <c r="AH176" s="66"/>
      <c r="AI176" s="840"/>
      <c r="AJ176" s="840"/>
      <c r="AK176" s="840"/>
      <c r="AL176" s="840"/>
      <c r="AM176" s="840"/>
      <c r="AN176" s="840"/>
      <c r="AO176" s="840"/>
    </row>
    <row r="177" spans="1:41">
      <c r="A177" s="973" t="s">
        <v>114</v>
      </c>
      <c r="B177" s="758" t="s">
        <v>669</v>
      </c>
      <c r="C177" s="758">
        <f>SUMIFS(INDEX(Table915[],,MATCH(C$136,Table915[#Headers],0)),Table915[MainWaterHeatingFuel],$B177,Table915[EnergyRating (group)],$A177)</f>
        <v>8260</v>
      </c>
      <c r="D177" s="758">
        <f>SUMIFS(INDEX(Table915[],,MATCH(D$136,Table915[#Headers],0)),Table915[MainWaterHeatingFuel],$B177,Table915[EnergyRating (group)],$A177)</f>
        <v>6884</v>
      </c>
      <c r="E177" s="758">
        <f>SUMIFS(INDEX(Table915[],,MATCH(E$136,Table915[#Headers],0)),Table915[MainWaterHeatingFuel],$B177,Table915[EnergyRating (group)],$A177)</f>
        <v>0</v>
      </c>
      <c r="F177" s="758">
        <f>SUMIFS(INDEX(Table915[],,MATCH(F$136,Table915[#Headers],0)),Table915[MainWaterHeatingFuel],$B177,Table915[EnergyRating (group)],$A177)</f>
        <v>0</v>
      </c>
      <c r="G177" s="758">
        <f>SUMIFS(INDEX(Table915[],,MATCH(G$136,Table915[#Headers],0)),Table915[MainWaterHeatingFuel],$B177,Table915[EnergyRating (group)],$A177)</f>
        <v>2</v>
      </c>
      <c r="H177" s="758">
        <f>SUMIFS(INDEX(Table915[],,MATCH(H$136,Table915[#Headers],0)),Table915[MainWaterHeatingFuel],$B177,Table915[EnergyRating (group)],$A177)</f>
        <v>216</v>
      </c>
      <c r="I177" s="960"/>
      <c r="J177" s="980">
        <f t="shared" ref="J177:J182" si="125">C177+E177</f>
        <v>8260</v>
      </c>
      <c r="K177" s="981">
        <f t="shared" ref="K177:K182" si="126">D177+F177</f>
        <v>6884</v>
      </c>
      <c r="L177" s="840"/>
      <c r="M177" s="840"/>
      <c r="N177" s="914" t="str">
        <f>RSD_Commodities!$M$84&amp;"_"&amp;RIGHT(P177,LEN(P177)-3)&amp;"_"&amp;SETUP!$B$67</f>
        <v>WH_Det-B3_COAHAR_X0</v>
      </c>
      <c r="O177" s="914" t="str">
        <f>RSD_Commodities!$N$84&amp;"_"&amp;RSD_Commodities!D7&amp;"_"&amp;SETUP!$C$67</f>
        <v>Residential Water Heating Detached-B3_Anthracite + Manufactured Ovoids to Residential_Existing 00</v>
      </c>
      <c r="P177" s="915" t="str">
        <f>RSD_Commodities!$C$7</f>
        <v>RSDCOAHAR</v>
      </c>
      <c r="Q177" s="914" t="str">
        <f>RSD_Commodities!$M$84</f>
        <v>WH_Det-B3</v>
      </c>
      <c r="R177" s="984">
        <f t="shared" si="119"/>
        <v>7.3857971121533294E-5</v>
      </c>
      <c r="S177" s="914">
        <f>R177*DwellingStocks!$I$65/1000</f>
        <v>1.6034158180501608E-3</v>
      </c>
      <c r="T177" s="915">
        <v>1</v>
      </c>
      <c r="U177" s="986">
        <f t="shared" ref="U177:U182" si="127">K177/J177</f>
        <v>0.8334140435835351</v>
      </c>
      <c r="V177" s="915">
        <v>20</v>
      </c>
      <c r="W177" s="914">
        <v>1</v>
      </c>
      <c r="X177" s="866"/>
      <c r="Y177" s="928">
        <f t="shared" si="123"/>
        <v>4.536129243064648E-9</v>
      </c>
      <c r="Z177" s="929">
        <f t="shared" si="124"/>
        <v>5.4428279412716424E-9</v>
      </c>
      <c r="AA177" s="866"/>
      <c r="AB177" s="914" t="s">
        <v>393</v>
      </c>
      <c r="AC177" s="914" t="str">
        <f t="shared" ref="AC177:AC182" si="128">N177</f>
        <v>WH_Det-B3_COAHAR_X0</v>
      </c>
      <c r="AD177" s="915" t="str">
        <f t="shared" ref="AD177:AD182" si="129">O177</f>
        <v>Residential Water Heating Detached-B3_Anthracite + Manufactured Ovoids to Residential_Existing 00</v>
      </c>
      <c r="AE177" s="914" t="s">
        <v>53</v>
      </c>
      <c r="AF177" s="916" t="s">
        <v>406</v>
      </c>
      <c r="AG177" s="914"/>
      <c r="AH177" s="914"/>
      <c r="AI177" s="840"/>
      <c r="AJ177" s="840"/>
      <c r="AK177" s="840"/>
      <c r="AL177" s="840"/>
      <c r="AM177" s="840"/>
      <c r="AN177" s="840"/>
      <c r="AO177" s="840"/>
    </row>
    <row r="178" spans="1:41">
      <c r="A178" s="972" t="s">
        <v>114</v>
      </c>
      <c r="B178" s="757" t="s">
        <v>668</v>
      </c>
      <c r="C178" s="757">
        <f>SUMIFS(INDEX(Table915[],,MATCH(C$136,Table915[#Headers],0)),Table915[MainWaterHeatingFuel],$B178,Table915[EnergyRating (group)],$A178)</f>
        <v>4222</v>
      </c>
      <c r="D178" s="757">
        <f>SUMIFS(INDEX(Table915[],,MATCH(D$136,Table915[#Headers],0)),Table915[MainWaterHeatingFuel],$B178,Table915[EnergyRating (group)],$A178)</f>
        <v>3838</v>
      </c>
      <c r="E178" s="760">
        <f>SUMIFS(INDEX(Table915[],,MATCH(E$136,Table915[#Headers],0)),Table915[MainWaterHeatingFuel],$B178,Table915[EnergyRating (group)],$A178)</f>
        <v>0</v>
      </c>
      <c r="F178" s="760">
        <f>SUMIFS(INDEX(Table915[],,MATCH(F$136,Table915[#Headers],0)),Table915[MainWaterHeatingFuel],$B178,Table915[EnergyRating (group)],$A178)</f>
        <v>0</v>
      </c>
      <c r="G178" s="757">
        <f>SUMIFS(INDEX(Table915[],,MATCH(G$136,Table915[#Headers],0)),Table915[MainWaterHeatingFuel],$B178,Table915[EnergyRating (group)],$A178)</f>
        <v>2</v>
      </c>
      <c r="H178" s="757">
        <f>SUMIFS(INDEX(Table915[],,MATCH(H$136,Table915[#Headers],0)),Table915[MainWaterHeatingFuel],$B178,Table915[EnergyRating (group)],$A178)</f>
        <v>195</v>
      </c>
      <c r="I178" s="959"/>
      <c r="J178" s="978">
        <f t="shared" si="125"/>
        <v>4222</v>
      </c>
      <c r="K178" s="979">
        <f t="shared" si="126"/>
        <v>3838</v>
      </c>
      <c r="L178" s="840"/>
      <c r="M178" s="840"/>
      <c r="N178" s="933" t="str">
        <f>RSD_Commodities!$M$84&amp;"_"&amp;RIGHT(P178,LEN(P178)-3)&amp;"_"&amp;SETUP!$B$69</f>
        <v>WH_Det-B3_BIOWOO_X2</v>
      </c>
      <c r="O178" s="933" t="str">
        <f>RSD_Commodities!$N$84&amp;"_"&amp;RSD_Commodities!D19&amp;"_"&amp;SETUP!$C$69</f>
        <v>Residential Water Heating Detached-B3_Biomass &amp; Renewable Waste to Residential_Existing 02</v>
      </c>
      <c r="P178" s="934" t="str">
        <f>RSD_Commodities!$C$19</f>
        <v>RSDBIOWOO</v>
      </c>
      <c r="Q178" s="66" t="str">
        <f>RSD_Commodities!$M$84</f>
        <v>WH_Det-B3</v>
      </c>
      <c r="R178" s="985">
        <f t="shared" si="119"/>
        <v>7.3857971121533294E-5</v>
      </c>
      <c r="S178" s="66">
        <f>R178*DwellingStocks!$I$65/1000</f>
        <v>1.6034158180501608E-3</v>
      </c>
      <c r="T178" s="83">
        <v>1</v>
      </c>
      <c r="U178" s="987">
        <f t="shared" si="127"/>
        <v>0.90904784462340127</v>
      </c>
      <c r="V178" s="83">
        <v>20</v>
      </c>
      <c r="W178" s="66">
        <v>1</v>
      </c>
      <c r="X178" s="866"/>
      <c r="Y178" s="926">
        <f t="shared" si="123"/>
        <v>2.5290040724698017E-9</v>
      </c>
      <c r="Z178" s="927">
        <f t="shared" si="124"/>
        <v>2.7820362673182657E-9</v>
      </c>
      <c r="AA178" s="866"/>
      <c r="AB178" s="66" t="s">
        <v>393</v>
      </c>
      <c r="AC178" s="66" t="str">
        <f t="shared" si="128"/>
        <v>WH_Det-B3_BIOWOO_X2</v>
      </c>
      <c r="AD178" s="83" t="str">
        <f t="shared" si="129"/>
        <v>Residential Water Heating Detached-B3_Biomass &amp; Renewable Waste to Residential_Existing 02</v>
      </c>
      <c r="AE178" s="66" t="s">
        <v>53</v>
      </c>
      <c r="AF178" s="88" t="s">
        <v>406</v>
      </c>
      <c r="AG178" s="66"/>
      <c r="AH178" s="66"/>
      <c r="AI178" s="840"/>
      <c r="AJ178" s="840"/>
      <c r="AK178" s="840"/>
      <c r="AL178" s="840"/>
      <c r="AM178" s="840"/>
      <c r="AN178" s="840"/>
      <c r="AO178" s="840"/>
    </row>
    <row r="179" spans="1:41">
      <c r="A179" s="973" t="s">
        <v>114</v>
      </c>
      <c r="B179" s="758" t="s">
        <v>673</v>
      </c>
      <c r="C179" s="758">
        <f>SUMIFS(INDEX(Table915[],,MATCH(C$136,Table915[#Headers],0)),Table915[MainWaterHeatingFuel],$B179,Table915[EnergyRating (group)],$A179)</f>
        <v>11519</v>
      </c>
      <c r="D179" s="758">
        <f>SUMIFS(INDEX(Table915[],,MATCH(D$136,Table915[#Headers],0)),Table915[MainWaterHeatingFuel],$B179,Table915[EnergyRating (group)],$A179)</f>
        <v>10472</v>
      </c>
      <c r="E179" s="758">
        <f>SUMIFS(INDEX(Table915[],,MATCH(E$136,Table915[#Headers],0)),Table915[MainWaterHeatingFuel],$B179,Table915[EnergyRating (group)],$A179)</f>
        <v>3114</v>
      </c>
      <c r="F179" s="758">
        <f>SUMIFS(INDEX(Table915[],,MATCH(F$136,Table915[#Headers],0)),Table915[MainWaterHeatingFuel],$B179,Table915[EnergyRating (group)],$A179)</f>
        <v>1154</v>
      </c>
      <c r="G179" s="758">
        <f>SUMIFS(INDEX(Table915[],,MATCH(G$136,Table915[#Headers],0)),Table915[MainWaterHeatingFuel],$B179,Table915[EnergyRating (group)],$A179)</f>
        <v>3</v>
      </c>
      <c r="H179" s="758">
        <f>SUMIFS(INDEX(Table915[],,MATCH(H$136,Table915[#Headers],0)),Table915[MainWaterHeatingFuel],$B179,Table915[EnergyRating (group)],$A179)</f>
        <v>372</v>
      </c>
      <c r="I179" s="960"/>
      <c r="J179" s="1007">
        <f t="shared" si="125"/>
        <v>14633</v>
      </c>
      <c r="K179" s="1008">
        <f t="shared" si="126"/>
        <v>11626</v>
      </c>
      <c r="L179" s="840"/>
      <c r="M179" s="840"/>
      <c r="N179" s="914" t="str">
        <f>RSD_Commodities!$M$84&amp;"_"&amp;RIGHT(P179,LEN(P179)-3)&amp;"_"&amp;SETUP!$B$68</f>
        <v>WH_Det-B3_BIOWOO_X1</v>
      </c>
      <c r="O179" s="914" t="str">
        <f>RSD_Commodities!$N$84&amp;"_"&amp;RSD_Commodities!D19&amp;"_"&amp;SETUP!$C$68</f>
        <v>Residential Water Heating Detached-B3_Biomass &amp; Renewable Waste to Residential_Existing 01</v>
      </c>
      <c r="P179" s="915" t="str">
        <f>RSD_Commodities!$C$19</f>
        <v>RSDBIOWOO</v>
      </c>
      <c r="Q179" s="914" t="str">
        <f>RSD_Commodities!$M$84</f>
        <v>WH_Det-B3</v>
      </c>
      <c r="R179" s="984">
        <f t="shared" si="119"/>
        <v>1.1078695668229994E-4</v>
      </c>
      <c r="S179" s="914">
        <f>R179*DwellingStocks!$I$65/1000</f>
        <v>2.4051237270752411E-3</v>
      </c>
      <c r="T179" s="915">
        <v>1</v>
      </c>
      <c r="U179" s="986">
        <f t="shared" si="127"/>
        <v>0.79450556960295227</v>
      </c>
      <c r="V179" s="915">
        <v>20</v>
      </c>
      <c r="W179" s="914">
        <v>1</v>
      </c>
      <c r="X179" s="840"/>
      <c r="Y179" s="928">
        <f t="shared" si="123"/>
        <v>1.1491219911360311E-8</v>
      </c>
      <c r="Z179" s="929">
        <f t="shared" si="124"/>
        <v>1.4463359793818634E-8</v>
      </c>
      <c r="AA179" s="840"/>
      <c r="AB179" s="914" t="s">
        <v>393</v>
      </c>
      <c r="AC179" s="914" t="str">
        <f t="shared" si="128"/>
        <v>WH_Det-B3_BIOWOO_X1</v>
      </c>
      <c r="AD179" s="915" t="str">
        <f t="shared" si="129"/>
        <v>Residential Water Heating Detached-B3_Biomass &amp; Renewable Waste to Residential_Existing 01</v>
      </c>
      <c r="AE179" s="914" t="s">
        <v>53</v>
      </c>
      <c r="AF179" s="916" t="s">
        <v>406</v>
      </c>
      <c r="AG179" s="914"/>
      <c r="AH179" s="914"/>
      <c r="AI179" s="840"/>
      <c r="AJ179" s="840"/>
      <c r="AK179" s="840"/>
      <c r="AL179" s="840"/>
      <c r="AM179" s="840"/>
      <c r="AN179" s="840"/>
      <c r="AO179" s="840"/>
    </row>
    <row r="180" spans="1:41">
      <c r="A180" s="972" t="s">
        <v>114</v>
      </c>
      <c r="B180" s="757" t="s">
        <v>671</v>
      </c>
      <c r="C180" s="757">
        <f>SUMIFS(INDEX(Table915[],,MATCH(C$136,Table915[#Headers],0)),Table915[MainWaterHeatingFuel],$B180,Table915[EnergyRating (group)],$A180)</f>
        <v>5495</v>
      </c>
      <c r="D180" s="757">
        <f>SUMIFS(INDEX(Table915[],,MATCH(D$136,Table915[#Headers],0)),Table915[MainWaterHeatingFuel],$B180,Table915[EnergyRating (group)],$A180)</f>
        <v>4996</v>
      </c>
      <c r="E180" s="757">
        <f>SUMIFS(INDEX(Table915[],,MATCH(E$136,Table915[#Headers],0)),Table915[MainWaterHeatingFuel],$B180,Table915[EnergyRating (group)],$A180)</f>
        <v>0</v>
      </c>
      <c r="F180" s="757">
        <f>SUMIFS(INDEX(Table915[],,MATCH(F$136,Table915[#Headers],0)),Table915[MainWaterHeatingFuel],$B180,Table915[EnergyRating (group)],$A180)</f>
        <v>0</v>
      </c>
      <c r="G180" s="757">
        <f>SUMIFS(INDEX(Table915[],,MATCH(G$136,Table915[#Headers],0)),Table915[MainWaterHeatingFuel],$B180,Table915[EnergyRating (group)],$A180)</f>
        <v>1</v>
      </c>
      <c r="H180" s="757">
        <f>SUMIFS(INDEX(Table915[],,MATCH(H$136,Table915[#Headers],0)),Table915[MainWaterHeatingFuel],$B180,Table915[EnergyRating (group)],$A180)</f>
        <v>169</v>
      </c>
      <c r="I180" s="961"/>
      <c r="J180" s="964">
        <f t="shared" si="125"/>
        <v>5495</v>
      </c>
      <c r="K180" s="965">
        <f t="shared" si="126"/>
        <v>4996</v>
      </c>
      <c r="L180" s="840"/>
      <c r="M180" s="840"/>
      <c r="N180" s="66" t="str">
        <f>RSD_Commodities!$M$84&amp;"_"&amp;RIGHT(P180,LEN(P180)-3)&amp;"_"&amp;SETUP!$B$67</f>
        <v>WH_Det-B3_PEA_X0</v>
      </c>
      <c r="O180" s="66" t="str">
        <f>RSD_Commodities!$N$84&amp;"_"&amp;RSD_Commodities!$D$10&amp;"_"&amp;SETUP!$C$67</f>
        <v>Residential Water Heating Detached-B3_Peat to Residential_Existing 00</v>
      </c>
      <c r="P180" s="83" t="str">
        <f>RSD_Commodities!$C$10</f>
        <v>RSDPEA</v>
      </c>
      <c r="Q180" s="66" t="str">
        <f>RSD_Commodities!$M$84</f>
        <v>WH_Det-B3</v>
      </c>
      <c r="R180" s="985">
        <f t="shared" si="119"/>
        <v>3.6928985560766647E-5</v>
      </c>
      <c r="S180" s="66">
        <f>R180*DwellingStocks!$I$65/1000</f>
        <v>8.0170790902508039E-4</v>
      </c>
      <c r="T180" s="83">
        <v>1</v>
      </c>
      <c r="U180" s="987">
        <f t="shared" si="127"/>
        <v>0.90919017288444037</v>
      </c>
      <c r="V180" s="83">
        <v>20</v>
      </c>
      <c r="W180" s="66">
        <v>1</v>
      </c>
      <c r="X180" s="840"/>
      <c r="Y180" s="926">
        <f t="shared" si="123"/>
        <v>1.6460271425298503E-9</v>
      </c>
      <c r="Z180" s="927">
        <f t="shared" si="124"/>
        <v>1.81043217538061E-9</v>
      </c>
      <c r="AA180" s="840"/>
      <c r="AB180" s="66" t="s">
        <v>393</v>
      </c>
      <c r="AC180" s="66" t="str">
        <f t="shared" si="128"/>
        <v>WH_Det-B3_PEA_X0</v>
      </c>
      <c r="AD180" s="83" t="str">
        <f t="shared" si="129"/>
        <v>Residential Water Heating Detached-B3_Peat to Residential_Existing 00</v>
      </c>
      <c r="AE180" s="66" t="s">
        <v>53</v>
      </c>
      <c r="AF180" s="88" t="s">
        <v>406</v>
      </c>
      <c r="AG180" s="66"/>
      <c r="AH180" s="66"/>
      <c r="AI180" s="840"/>
      <c r="AJ180" s="840"/>
      <c r="AK180" s="840"/>
      <c r="AL180" s="840"/>
      <c r="AM180" s="840"/>
      <c r="AN180" s="840"/>
      <c r="AO180" s="840"/>
    </row>
    <row r="181" spans="1:41">
      <c r="A181" s="973" t="s">
        <v>114</v>
      </c>
      <c r="B181" s="758" t="s">
        <v>667</v>
      </c>
      <c r="C181" s="758">
        <f>SUMIFS(INDEX(Table915[],,MATCH(C$136,Table915[#Headers],0)),Table915[MainWaterHeatingFuel],$B181,Table915[EnergyRating (group)],$A181)</f>
        <v>3770</v>
      </c>
      <c r="D181" s="758">
        <f>SUMIFS(INDEX(Table915[],,MATCH(D$136,Table915[#Headers],0)),Table915[MainWaterHeatingFuel],$B181,Table915[EnergyRating (group)],$A181)</f>
        <v>3427</v>
      </c>
      <c r="E181" s="759">
        <f>SUMIFS(INDEX(Table915[],,MATCH(E$136,Table915[#Headers],0)),Table915[MainWaterHeatingFuel],$B181,Table915[EnergyRating (group)],$A181)</f>
        <v>0</v>
      </c>
      <c r="F181" s="759">
        <f>SUMIFS(INDEX(Table915[],,MATCH(F$136,Table915[#Headers],0)),Table915[MainWaterHeatingFuel],$B181,Table915[EnergyRating (group)],$A181)</f>
        <v>0</v>
      </c>
      <c r="G181" s="758">
        <f>SUMIFS(INDEX(Table915[],,MATCH(G$136,Table915[#Headers],0)),Table915[MainWaterHeatingFuel],$B181,Table915[EnergyRating (group)],$A181)</f>
        <v>1</v>
      </c>
      <c r="H181" s="758">
        <f>SUMIFS(INDEX(Table915[],,MATCH(H$136,Table915[#Headers],0)),Table915[MainWaterHeatingFuel],$B181,Table915[EnergyRating (group)],$A181)</f>
        <v>101</v>
      </c>
      <c r="I181" s="960"/>
      <c r="J181" s="976">
        <f t="shared" si="125"/>
        <v>3770</v>
      </c>
      <c r="K181" s="977">
        <f t="shared" si="126"/>
        <v>3427</v>
      </c>
      <c r="L181" s="840"/>
      <c r="M181" s="840"/>
      <c r="N181" s="914" t="str">
        <f>RSD_Commodities!$M$84&amp;"_"&amp;RIGHT(P181,LEN(P181)-3)&amp;"_"&amp;SETUP!$B$68</f>
        <v>WH_Det-B3_PEA_X1</v>
      </c>
      <c r="O181" s="914" t="str">
        <f>RSD_Commodities!$N$84&amp;"_"&amp;RSD_Commodities!$D$10&amp;"_"&amp;SETUP!$C$68</f>
        <v>Residential Water Heating Detached-B3_Peat to Residential_Existing 01</v>
      </c>
      <c r="P181" s="915" t="str">
        <f>RSD_Commodities!$C$10</f>
        <v>RSDPEA</v>
      </c>
      <c r="Q181" s="914" t="str">
        <f>RSD_Commodities!$M$84</f>
        <v>WH_Det-B3</v>
      </c>
      <c r="R181" s="984">
        <f t="shared" si="119"/>
        <v>3.6928985560766647E-5</v>
      </c>
      <c r="S181" s="914">
        <f>R181*DwellingStocks!$I$65/1000</f>
        <v>8.0170790902508039E-4</v>
      </c>
      <c r="T181" s="915">
        <v>1</v>
      </c>
      <c r="U181" s="986">
        <f t="shared" si="127"/>
        <v>0.90901856763925726</v>
      </c>
      <c r="V181" s="915">
        <v>20</v>
      </c>
      <c r="W181" s="914">
        <v>1</v>
      </c>
      <c r="X181" s="840"/>
      <c r="Y181" s="928">
        <f t="shared" si="123"/>
        <v>1.1290902757105278E-9</v>
      </c>
      <c r="Z181" s="929">
        <f t="shared" si="124"/>
        <v>1.2420981439826932E-9</v>
      </c>
      <c r="AA181" s="840"/>
      <c r="AB181" s="914" t="s">
        <v>393</v>
      </c>
      <c r="AC181" s="914" t="str">
        <f t="shared" si="128"/>
        <v>WH_Det-B3_PEA_X1</v>
      </c>
      <c r="AD181" s="915" t="str">
        <f t="shared" si="129"/>
        <v>Residential Water Heating Detached-B3_Peat to Residential_Existing 01</v>
      </c>
      <c r="AE181" s="914" t="s">
        <v>53</v>
      </c>
      <c r="AF181" s="916" t="s">
        <v>406</v>
      </c>
      <c r="AG181" s="914"/>
      <c r="AH181" s="914"/>
      <c r="AI181" s="840"/>
      <c r="AJ181" s="840"/>
      <c r="AK181" s="840"/>
      <c r="AL181" s="840"/>
      <c r="AM181" s="840"/>
      <c r="AN181" s="840"/>
      <c r="AO181" s="840"/>
    </row>
    <row r="182" spans="1:41" ht="15.75" thickBot="1">
      <c r="A182" s="972" t="s">
        <v>114</v>
      </c>
      <c r="B182" s="757" t="s">
        <v>666</v>
      </c>
      <c r="C182" s="757">
        <f>SUMIFS(INDEX(Table915[],,MATCH(C$136,Table915[#Headers],0)),Table915[MainWaterHeatingFuel],$B182,Table915[EnergyRating (group)],$A182)</f>
        <v>11090</v>
      </c>
      <c r="D182" s="757">
        <f>SUMIFS(INDEX(Table915[],,MATCH(D$136,Table915[#Headers],0)),Table915[MainWaterHeatingFuel],$B182,Table915[EnergyRating (group)],$A182)</f>
        <v>10081</v>
      </c>
      <c r="E182" s="760">
        <f>SUMIFS(INDEX(Table915[],,MATCH(E$136,Table915[#Headers],0)),Table915[MainWaterHeatingFuel],$B182,Table915[EnergyRating (group)],$A182)</f>
        <v>0</v>
      </c>
      <c r="F182" s="760">
        <f>SUMIFS(INDEX(Table915[],,MATCH(F$136,Table915[#Headers],0)),Table915[MainWaterHeatingFuel],$B182,Table915[EnergyRating (group)],$A182)</f>
        <v>0</v>
      </c>
      <c r="G182" s="757">
        <f>SUMIFS(INDEX(Table915[],,MATCH(G$136,Table915[#Headers],0)),Table915[MainWaterHeatingFuel],$B182,Table915[EnergyRating (group)],$A182)</f>
        <v>2</v>
      </c>
      <c r="H182" s="757">
        <f>SUMIFS(INDEX(Table915[],,MATCH(H$136,Table915[#Headers],0)),Table915[MainWaterHeatingFuel],$B182,Table915[EnergyRating (group)],$A182)</f>
        <v>387</v>
      </c>
      <c r="I182" s="959"/>
      <c r="J182" s="991">
        <f t="shared" si="125"/>
        <v>11090</v>
      </c>
      <c r="K182" s="992">
        <f t="shared" si="126"/>
        <v>10081</v>
      </c>
      <c r="L182" s="840"/>
      <c r="M182" s="840"/>
      <c r="N182" s="66" t="str">
        <f>RSD_Commodities!$M$84&amp;"_"&amp;RIGHT(P182,LEN(P182)-3)&amp;"_"&amp;SETUP!$B$67</f>
        <v>WH_Det-B3_COABIT_X0</v>
      </c>
      <c r="O182" s="66" t="str">
        <f>RSD_Commodities!$N$84&amp;"_"&amp;RSD_Commodities!D6&amp;"_"&amp;SETUP!$C$67</f>
        <v>Residential Water Heating Detached-B3_Bituminous Coal to Residential_Existing 00</v>
      </c>
      <c r="P182" s="83" t="str">
        <f>RSD_Commodities!$C$6</f>
        <v>RSDCOABIT</v>
      </c>
      <c r="Q182" s="66" t="str">
        <f>RSD_Commodities!$M$84</f>
        <v>WH_Det-B3</v>
      </c>
      <c r="R182" s="985">
        <f t="shared" si="119"/>
        <v>7.3857971121533294E-5</v>
      </c>
      <c r="S182" s="66">
        <f>R182*DwellingStocks!$I$65/1000</f>
        <v>1.6034158180501608E-3</v>
      </c>
      <c r="T182" s="83">
        <v>1</v>
      </c>
      <c r="U182" s="987">
        <f t="shared" si="127"/>
        <v>0.90901713255184846</v>
      </c>
      <c r="V182" s="83">
        <v>20</v>
      </c>
      <c r="W182" s="66">
        <v>1</v>
      </c>
      <c r="X182" s="840"/>
      <c r="Y182" s="926">
        <f t="shared" si="123"/>
        <v>6.6427540527795921E-9</v>
      </c>
      <c r="Z182" s="927">
        <f t="shared" si="124"/>
        <v>7.3076225022642279E-9</v>
      </c>
      <c r="AA182" s="840"/>
      <c r="AB182" s="66" t="s">
        <v>393</v>
      </c>
      <c r="AC182" s="66" t="str">
        <f t="shared" si="128"/>
        <v>WH_Det-B3_COABIT_X0</v>
      </c>
      <c r="AD182" s="83" t="str">
        <f t="shared" si="129"/>
        <v>Residential Water Heating Detached-B3_Bituminous Coal to Residential_Existing 00</v>
      </c>
      <c r="AE182" s="66" t="s">
        <v>53</v>
      </c>
      <c r="AF182" s="88" t="s">
        <v>406</v>
      </c>
      <c r="AG182" s="66"/>
      <c r="AH182" s="66"/>
      <c r="AI182" s="840"/>
      <c r="AJ182" s="840"/>
      <c r="AK182" s="840"/>
      <c r="AL182" s="840"/>
      <c r="AM182" s="840"/>
      <c r="AN182" s="840"/>
      <c r="AO182" s="840"/>
    </row>
    <row r="183" spans="1:41" ht="15.75" thickBot="1">
      <c r="A183" s="756" t="s">
        <v>116</v>
      </c>
      <c r="B183" s="1048"/>
      <c r="C183" s="1049"/>
      <c r="D183" s="1049"/>
      <c r="E183" s="1049"/>
      <c r="F183" s="1049"/>
      <c r="G183" s="1049"/>
      <c r="H183" s="1049"/>
      <c r="I183" s="1049"/>
      <c r="J183" s="1050"/>
      <c r="K183" s="1051"/>
      <c r="L183" s="840"/>
      <c r="M183" s="840"/>
      <c r="N183" s="76" t="str">
        <f>AB183</f>
        <v>*C Rating</v>
      </c>
      <c r="O183" s="76"/>
      <c r="P183" s="76"/>
      <c r="Q183" s="76"/>
      <c r="R183" s="949">
        <f>SUM(R184:R200)</f>
        <v>1</v>
      </c>
      <c r="S183" s="76"/>
      <c r="T183" s="97"/>
      <c r="U183" s="76"/>
      <c r="V183" s="76"/>
      <c r="W183" s="76"/>
      <c r="X183" s="840"/>
      <c r="Y183" s="76"/>
      <c r="Z183" s="76"/>
      <c r="AA183" s="840"/>
      <c r="AB183" s="140" t="str">
        <f>"*"&amp; A184 &amp; " Rating"</f>
        <v>*C Rating</v>
      </c>
      <c r="AC183" s="141"/>
      <c r="AD183" s="141"/>
      <c r="AE183" s="141"/>
      <c r="AF183" s="141"/>
      <c r="AG183" s="141"/>
      <c r="AH183" s="141"/>
      <c r="AI183" s="840"/>
      <c r="AJ183" s="840"/>
      <c r="AK183" s="840"/>
      <c r="AL183" s="840"/>
      <c r="AM183" s="840"/>
      <c r="AN183" s="840"/>
      <c r="AO183" s="840"/>
    </row>
    <row r="184" spans="1:41">
      <c r="A184" s="972" t="s">
        <v>116</v>
      </c>
      <c r="B184" s="757" t="s">
        <v>580</v>
      </c>
      <c r="C184" s="757">
        <f>SUMIFS(INDEX(Table915[],,MATCH(C$136,Table915[#Headers],0)),Table915[MainWaterHeatingFuel],$B184,Table915[EnergyRating (group)],$A184)</f>
        <v>27951</v>
      </c>
      <c r="D184" s="757">
        <f>SUMIFS(INDEX(Table915[],,MATCH(D$136,Table915[#Headers],0)),Table915[MainWaterHeatingFuel],$B184,Table915[EnergyRating (group)],$A184)</f>
        <v>10352</v>
      </c>
      <c r="E184" s="760">
        <f>SUMIFS(INDEX(Table915[],,MATCH(E$136,Table915[#Headers],0)),Table915[MainWaterHeatingFuel],$B184,Table915[EnergyRating (group)],$A184)</f>
        <v>0</v>
      </c>
      <c r="F184" s="760">
        <f>SUMIFS(INDEX(Table915[],,MATCH(F$136,Table915[#Headers],0)),Table915[MainWaterHeatingFuel],$B184,Table915[EnergyRating (group)],$A184)</f>
        <v>0</v>
      </c>
      <c r="G184" s="757">
        <f>SUMIFS(INDEX(Table915[],,MATCH(G$136,Table915[#Headers],0)),Table915[MainWaterHeatingFuel],$B184,Table915[EnergyRating (group)],$A184)</f>
        <v>2</v>
      </c>
      <c r="H184" s="757">
        <f>SUMIFS(INDEX(Table915[],,MATCH(H$136,Table915[#Headers],0)),Table915[MainWaterHeatingFuel],$B184,Table915[EnergyRating (group)],$A184)</f>
        <v>254</v>
      </c>
      <c r="I184" s="959"/>
      <c r="J184" s="989">
        <f t="shared" ref="J184:K190" si="130">C184+E184</f>
        <v>27951</v>
      </c>
      <c r="K184" s="990">
        <f t="shared" si="130"/>
        <v>10352</v>
      </c>
      <c r="L184" s="840"/>
      <c r="M184" s="840"/>
      <c r="N184" s="66" t="str">
        <f>RSD_Commodities!$M$85&amp;"_"&amp;RIGHT(P184,LEN(P184)-3)&amp;"_"&amp;SETUP!$B$67</f>
        <v>WH_Det-C_BIODST_X0</v>
      </c>
      <c r="O184" s="66" t="str">
        <f>RSD_Commodities!$N$85&amp;"_"&amp;RSD_Commodities!D24&amp;"_"&amp;SETUP!$C$67</f>
        <v>Residential Water Heating Detached-C_Biodiesel to Residential_Existing 00</v>
      </c>
      <c r="P184" s="83" t="str">
        <f>RSD_Commodities!$C$24</f>
        <v>RSDBIODST</v>
      </c>
      <c r="Q184" s="66" t="str">
        <f>RSD_Commodities!$M$85</f>
        <v>WH_Det-C</v>
      </c>
      <c r="R184" s="985">
        <f>G184/SUM($G$184:$G$200)</f>
        <v>1.2351320973778146E-5</v>
      </c>
      <c r="S184" s="66">
        <f>R184*DwellingStocks!$I$66/1000</f>
        <v>8.7897406615817771E-4</v>
      </c>
      <c r="T184" s="83">
        <v>1</v>
      </c>
      <c r="U184" s="987">
        <f>K184/J184</f>
        <v>0.37036241994919683</v>
      </c>
      <c r="V184" s="83">
        <v>20</v>
      </c>
      <c r="W184" s="66">
        <v>1</v>
      </c>
      <c r="X184" s="866"/>
      <c r="Y184" s="924">
        <f>ABS((K184)*S184*1000*$B$2)</f>
        <v>3.7393724107682703E-9</v>
      </c>
      <c r="Z184" s="925">
        <f>ABS((J184)*S184*1000*$B$2)</f>
        <v>1.0096522242405709E-8</v>
      </c>
      <c r="AA184" s="866"/>
      <c r="AB184" s="914" t="s">
        <v>393</v>
      </c>
      <c r="AC184" s="914" t="str">
        <f t="shared" ref="AC184:AD195" si="131">N184</f>
        <v>WH_Det-C_BIODST_X0</v>
      </c>
      <c r="AD184" s="915" t="str">
        <f t="shared" si="131"/>
        <v>Residential Water Heating Detached-C_Biodiesel to Residential_Existing 00</v>
      </c>
      <c r="AE184" s="914" t="s">
        <v>53</v>
      </c>
      <c r="AF184" s="916" t="s">
        <v>406</v>
      </c>
      <c r="AG184" s="914"/>
      <c r="AH184" s="914"/>
      <c r="AI184" s="840"/>
      <c r="AJ184" s="840"/>
      <c r="AK184" s="840"/>
      <c r="AL184" s="840"/>
      <c r="AM184" s="840"/>
      <c r="AN184" s="840"/>
      <c r="AO184" s="840"/>
    </row>
    <row r="185" spans="1:41">
      <c r="A185" s="973" t="s">
        <v>116</v>
      </c>
      <c r="B185" s="758" t="s">
        <v>582</v>
      </c>
      <c r="C185" s="758">
        <f>SUMIFS(INDEX(Table915[],,MATCH(C$136,Table915[#Headers],0)),Table915[MainWaterHeatingFuel],$B185,Table915[EnergyRating (group)],$A185)</f>
        <v>11293305</v>
      </c>
      <c r="D185" s="758">
        <f>SUMIFS(INDEX(Table915[],,MATCH(D$136,Table915[#Headers],0)),Table915[MainWaterHeatingFuel],$B185,Table915[EnergyRating (group)],$A185)</f>
        <v>10266640</v>
      </c>
      <c r="E185" s="758">
        <f>SUMIFS(INDEX(Table915[],,MATCH(E$136,Table915[#Headers],0)),Table915[MainWaterHeatingFuel],$B185,Table915[EnergyRating (group)],$A185)</f>
        <v>984237</v>
      </c>
      <c r="F185" s="758">
        <f>SUMIFS(INDEX(Table915[],,MATCH(F$136,Table915[#Headers],0)),Table915[MainWaterHeatingFuel],$B185,Table915[EnergyRating (group)],$A185)</f>
        <v>364533</v>
      </c>
      <c r="G185" s="758">
        <f>SUMIFS(INDEX(Table915[],,MATCH(G$136,Table915[#Headers],0)),Table915[MainWaterHeatingFuel],$B185,Table915[EnergyRating (group)],$A185)</f>
        <v>2445</v>
      </c>
      <c r="H185" s="758">
        <f>SUMIFS(INDEX(Table915[],,MATCH(H$136,Table915[#Headers],0)),Table915[MainWaterHeatingFuel],$B185,Table915[EnergyRating (group)],$A185)</f>
        <v>256802</v>
      </c>
      <c r="I185" s="960"/>
      <c r="J185" s="980">
        <f t="shared" si="130"/>
        <v>12277542</v>
      </c>
      <c r="K185" s="981">
        <f t="shared" si="130"/>
        <v>10631173</v>
      </c>
      <c r="L185" s="840"/>
      <c r="M185" s="840"/>
      <c r="N185" s="914" t="str">
        <f>RSD_Commodities!$M$85&amp;"_"&amp;RIGHT(P185,LEN(P185)-3)&amp;"_"&amp;SETUP!$B$67</f>
        <v>WH_Det-C_OILLPG_X0</v>
      </c>
      <c r="O185" s="914" t="str">
        <f>RSD_Commodities!$N$85&amp;"_"&amp;RSD_Commodities!D11&amp;"_"&amp;SETUP!$C$67</f>
        <v>Residential Water Heating Detached-C_LPG to Residential_Existing 00</v>
      </c>
      <c r="P185" s="915" t="str">
        <f>RSD_Commodities!$C$11</f>
        <v>RSDOILLPG</v>
      </c>
      <c r="Q185" s="914" t="str">
        <f>RSD_Commodities!$M$85</f>
        <v>WH_Det-C</v>
      </c>
      <c r="R185" s="984">
        <f t="shared" ref="R185:R200" si="132">G185/SUM($G$184:$G$200)</f>
        <v>1.5099489890443784E-2</v>
      </c>
      <c r="S185" s="914">
        <f>R185*DwellingStocks!$I$66/1000</f>
        <v>1.0745457958783722</v>
      </c>
      <c r="T185" s="915">
        <v>1</v>
      </c>
      <c r="U185" s="986">
        <f t="shared" ref="U185:U195" si="133">K185/J185</f>
        <v>0.86590402215687801</v>
      </c>
      <c r="V185" s="915">
        <v>20</v>
      </c>
      <c r="W185" s="914">
        <v>1</v>
      </c>
      <c r="X185" s="866"/>
      <c r="Y185" s="926">
        <f t="shared" ref="Y185:Y195" si="134">ABS((K185)*S185*1000*$B$2)</f>
        <v>4.6946639393447938E-3</v>
      </c>
      <c r="Z185" s="927">
        <f t="shared" ref="Z185:Z195" si="135">ABS((J185)*S185*1000*$B$2)</f>
        <v>5.4216908793781413E-3</v>
      </c>
      <c r="AA185" s="866"/>
      <c r="AB185" s="66" t="s">
        <v>393</v>
      </c>
      <c r="AC185" s="66" t="str">
        <f t="shared" si="131"/>
        <v>WH_Det-C_OILLPG_X0</v>
      </c>
      <c r="AD185" s="83" t="str">
        <f t="shared" si="131"/>
        <v>Residential Water Heating Detached-C_LPG to Residential_Existing 00</v>
      </c>
      <c r="AE185" s="66" t="s">
        <v>53</v>
      </c>
      <c r="AF185" s="88" t="s">
        <v>406</v>
      </c>
      <c r="AG185" s="66"/>
      <c r="AH185" s="66"/>
      <c r="AI185" s="840"/>
      <c r="AJ185" s="840"/>
      <c r="AK185" s="840"/>
      <c r="AL185" s="840"/>
      <c r="AM185" s="840"/>
      <c r="AN185" s="840"/>
      <c r="AO185" s="840"/>
    </row>
    <row r="186" spans="1:41">
      <c r="A186" s="972" t="s">
        <v>116</v>
      </c>
      <c r="B186" s="757" t="s">
        <v>228</v>
      </c>
      <c r="C186" s="757">
        <f>SUMIFS(INDEX(Table915[],,MATCH(C$136,Table915[#Headers],0)),Table915[MainWaterHeatingFuel],$B186,Table915[EnergyRating (group)],$A186)</f>
        <v>16745154</v>
      </c>
      <c r="D186" s="757">
        <f>SUMIFS(INDEX(Table915[],,MATCH(D$136,Table915[#Headers],0)),Table915[MainWaterHeatingFuel],$B186,Table915[EnergyRating (group)],$A186)</f>
        <v>6201907</v>
      </c>
      <c r="E186" s="757">
        <f>SUMIFS(INDEX(Table915[],,MATCH(E$136,Table915[#Headers],0)),Table915[MainWaterHeatingFuel],$B186,Table915[EnergyRating (group)],$A186)</f>
        <v>27417</v>
      </c>
      <c r="F186" s="757">
        <f>SUMIFS(INDEX(Table915[],,MATCH(F$136,Table915[#Headers],0)),Table915[MainWaterHeatingFuel],$B186,Table915[EnergyRating (group)],$A186)</f>
        <v>10153</v>
      </c>
      <c r="G186" s="757">
        <f>SUMIFS(INDEX(Table915[],,MATCH(G$136,Table915[#Headers],0)),Table915[MainWaterHeatingFuel],$B186,Table915[EnergyRating (group)],$A186)</f>
        <v>2419</v>
      </c>
      <c r="H186" s="757">
        <f>SUMIFS(INDEX(Table915[],,MATCH(H$136,Table915[#Headers],0)),Table915[MainWaterHeatingFuel],$B186,Table915[EnergyRating (group)],$A186)</f>
        <v>234046</v>
      </c>
      <c r="I186" s="961"/>
      <c r="J186" s="978">
        <f t="shared" si="130"/>
        <v>16772571</v>
      </c>
      <c r="K186" s="979">
        <f t="shared" si="130"/>
        <v>6212060</v>
      </c>
      <c r="L186" s="840"/>
      <c r="M186" s="840"/>
      <c r="N186" s="66" t="str">
        <f>RSD_Commodities!$M$85&amp;"_"&amp;RIGHT(P186,LEN(P186)-3)&amp;"_"&amp;SETUP!$B$67</f>
        <v>WH_Det-C_ELCD_X0</v>
      </c>
      <c r="O186" s="66" t="str">
        <f>RSD_Commodities!$N76&amp;"_"&amp;RSD_Commodities!D27&amp;"_"&amp;SETUP!$C$67</f>
        <v>Residential Water Heating Attached-C_Electricity to Residential_Existing 00</v>
      </c>
      <c r="P186" s="83" t="str">
        <f>RSD_Commodities!$C$27</f>
        <v>RSDELCD</v>
      </c>
      <c r="Q186" s="66" t="str">
        <f>RSD_Commodities!$M$85</f>
        <v>WH_Det-C</v>
      </c>
      <c r="R186" s="985">
        <f t="shared" si="132"/>
        <v>1.4938922717784667E-2</v>
      </c>
      <c r="S186" s="66">
        <f>R186*DwellingStocks!$I$66/1000</f>
        <v>1.0631191330183161</v>
      </c>
      <c r="T186" s="83">
        <v>1</v>
      </c>
      <c r="U186" s="987">
        <f t="shared" si="133"/>
        <v>0.37037017163319802</v>
      </c>
      <c r="V186" s="83">
        <v>20</v>
      </c>
      <c r="W186" s="66">
        <v>1</v>
      </c>
      <c r="X186" s="866"/>
      <c r="Y186" s="928">
        <f t="shared" si="134"/>
        <v>2.7140382910100392E-3</v>
      </c>
      <c r="Z186" s="929">
        <f t="shared" si="135"/>
        <v>7.3279073178115703E-3</v>
      </c>
      <c r="AA186" s="866"/>
      <c r="AB186" s="914" t="s">
        <v>393</v>
      </c>
      <c r="AC186" s="914" t="str">
        <f t="shared" si="131"/>
        <v>WH_Det-C_ELCD_X0</v>
      </c>
      <c r="AD186" s="915" t="str">
        <f t="shared" si="131"/>
        <v>Residential Water Heating Attached-C_Electricity to Residential_Existing 00</v>
      </c>
      <c r="AE186" s="914" t="s">
        <v>53</v>
      </c>
      <c r="AF186" s="916" t="s">
        <v>406</v>
      </c>
      <c r="AG186" s="914"/>
      <c r="AH186" s="914"/>
      <c r="AI186" s="840"/>
      <c r="AJ186" s="840"/>
      <c r="AK186" s="840"/>
      <c r="AL186" s="840"/>
      <c r="AM186" s="840"/>
      <c r="AN186" s="840"/>
      <c r="AO186" s="840"/>
    </row>
    <row r="187" spans="1:41">
      <c r="A187" s="973" t="s">
        <v>116</v>
      </c>
      <c r="B187" s="758" t="s">
        <v>583</v>
      </c>
      <c r="C187" s="758">
        <f>SUMIFS(INDEX(Table915[],,MATCH(C$136,Table915[#Headers],0)),Table915[MainWaterHeatingFuel],$B187,Table915[EnergyRating (group)],$A187)</f>
        <v>252970762</v>
      </c>
      <c r="D187" s="758">
        <f>SUMIFS(INDEX(Table915[],,MATCH(D$136,Table915[#Headers],0)),Table915[MainWaterHeatingFuel],$B187,Table915[EnergyRating (group)],$A187)</f>
        <v>229973418</v>
      </c>
      <c r="E187" s="759">
        <f>SUMIFS(INDEX(Table915[],,MATCH(E$136,Table915[#Headers],0)),Table915[MainWaterHeatingFuel],$B187,Table915[EnergyRating (group)],$A187)</f>
        <v>62302492</v>
      </c>
      <c r="F187" s="759">
        <f>SUMIFS(INDEX(Table915[],,MATCH(F$136,Table915[#Headers],0)),Table915[MainWaterHeatingFuel],$B187,Table915[EnergyRating (group)],$A187)</f>
        <v>23075000</v>
      </c>
      <c r="G187" s="758">
        <f>SUMIFS(INDEX(Table915[],,MATCH(G$136,Table915[#Headers],0)),Table915[MainWaterHeatingFuel],$B187,Table915[EnergyRating (group)],$A187)</f>
        <v>57346</v>
      </c>
      <c r="H187" s="758">
        <f>SUMIFS(INDEX(Table915[],,MATCH(H$136,Table915[#Headers],0)),Table915[MainWaterHeatingFuel],$B187,Table915[EnergyRating (group)],$A187)</f>
        <v>5861879</v>
      </c>
      <c r="I187" s="960"/>
      <c r="J187" s="980">
        <f t="shared" si="130"/>
        <v>315273254</v>
      </c>
      <c r="K187" s="981">
        <f t="shared" si="130"/>
        <v>253048418</v>
      </c>
      <c r="L187" s="840"/>
      <c r="M187" s="840"/>
      <c r="N187" s="914" t="str">
        <f>RSD_Commodities!$M$85&amp;"_"&amp;RIGHT(P187,LEN(P187)-3)&amp;"_"&amp;SETUP!$B$67</f>
        <v>WH_Det-C_OILKER_X0</v>
      </c>
      <c r="O187" s="914" t="str">
        <f>RSD_Commodities!$N$85&amp;"_"&amp;RSD_Commodities!D13&amp;"_"&amp;SETUP!$C$67</f>
        <v>Residential Water Heating Detached-C_Kerosene to Residential_Existing 00</v>
      </c>
      <c r="P187" s="915" t="str">
        <f>RSD_Commodities!$C$13</f>
        <v>RSDOILKER</v>
      </c>
      <c r="Q187" s="914" t="str">
        <f>RSD_Commodities!$M$85</f>
        <v>WH_Det-C</v>
      </c>
      <c r="R187" s="984">
        <f t="shared" si="132"/>
        <v>0.35414942628114077</v>
      </c>
      <c r="S187" s="914">
        <f>R187*DwellingStocks!$I$66/1000</f>
        <v>25.202823398953427</v>
      </c>
      <c r="T187" s="915">
        <v>1</v>
      </c>
      <c r="U187" s="986">
        <f t="shared" si="133"/>
        <v>0.802632049466524</v>
      </c>
      <c r="V187" s="915">
        <v>20</v>
      </c>
      <c r="W187" s="914">
        <v>1</v>
      </c>
      <c r="X187" s="866"/>
      <c r="Y187" s="926">
        <f t="shared" si="134"/>
        <v>2.6209046261254305</v>
      </c>
      <c r="Z187" s="927">
        <f t="shared" si="135"/>
        <v>3.2653874560172831</v>
      </c>
      <c r="AA187" s="866"/>
      <c r="AB187" s="66" t="s">
        <v>393</v>
      </c>
      <c r="AC187" s="66" t="str">
        <f t="shared" si="131"/>
        <v>WH_Det-C_OILKER_X0</v>
      </c>
      <c r="AD187" s="83" t="str">
        <f t="shared" si="131"/>
        <v>Residential Water Heating Detached-C_Kerosene to Residential_Existing 00</v>
      </c>
      <c r="AE187" s="66" t="s">
        <v>53</v>
      </c>
      <c r="AF187" s="88" t="s">
        <v>406</v>
      </c>
      <c r="AG187" s="66"/>
      <c r="AH187" s="66"/>
      <c r="AI187" s="840"/>
      <c r="AJ187" s="840"/>
      <c r="AK187" s="840"/>
      <c r="AL187" s="840"/>
      <c r="AM187" s="840"/>
      <c r="AN187" s="840"/>
      <c r="AO187" s="840"/>
    </row>
    <row r="188" spans="1:41">
      <c r="A188" s="972" t="s">
        <v>116</v>
      </c>
      <c r="B188" s="757" t="s">
        <v>584</v>
      </c>
      <c r="C188" s="757">
        <f>SUMIFS(INDEX(Table915[],,MATCH(C$136,Table915[#Headers],0)),Table915[MainWaterHeatingFuel],$B188,Table915[EnergyRating (group)],$A188)</f>
        <v>450619172</v>
      </c>
      <c r="D188" s="757">
        <f>SUMIFS(INDEX(Table915[],,MATCH(D$136,Table915[#Headers],0)),Table915[MainWaterHeatingFuel],$B188,Table915[EnergyRating (group)],$A188)</f>
        <v>409653790</v>
      </c>
      <c r="E188" s="760">
        <f>SUMIFS(INDEX(Table915[],,MATCH(E$136,Table915[#Headers],0)),Table915[MainWaterHeatingFuel],$B188,Table915[EnergyRating (group)],$A188)</f>
        <v>56423034</v>
      </c>
      <c r="F188" s="760">
        <f>SUMIFS(INDEX(Table915[],,MATCH(F$136,Table915[#Headers],0)),Table915[MainWaterHeatingFuel],$B188,Table915[EnergyRating (group)],$A188)</f>
        <v>20897422</v>
      </c>
      <c r="G188" s="757">
        <f>SUMIFS(INDEX(Table915[],,MATCH(G$136,Table915[#Headers],0)),Table915[MainWaterHeatingFuel],$B188,Table915[EnergyRating (group)],$A188)</f>
        <v>98381</v>
      </c>
      <c r="H188" s="757">
        <f>SUMIFS(INDEX(Table915[],,MATCH(H$136,Table915[#Headers],0)),Table915[MainWaterHeatingFuel],$B188,Table915[EnergyRating (group)],$A188)</f>
        <v>9857691</v>
      </c>
      <c r="I188" s="959"/>
      <c r="J188" s="978">
        <f t="shared" si="130"/>
        <v>507042206</v>
      </c>
      <c r="K188" s="979">
        <f t="shared" si="130"/>
        <v>430551212</v>
      </c>
      <c r="L188" s="840"/>
      <c r="M188" s="840"/>
      <c r="N188" s="66" t="str">
        <f>RSD_Commodities!$M$85&amp;"_"&amp;RIGHT(P188,LEN(P188)-3)&amp;"_"&amp;SETUP!$B$67</f>
        <v>WH_Det-C_GASNAT_X0</v>
      </c>
      <c r="O188" s="66" t="str">
        <f>RSD_Commodities!$N$85&amp;"_"&amp;RSD_Commodities!D17&amp;"_"&amp;SETUP!$C$67</f>
        <v>Residential Water Heating Detached-C_Natural Gas to Residential_Existing 00</v>
      </c>
      <c r="P188" s="83" t="str">
        <f>RSD_Commodities!$C$17</f>
        <v>RSDGASNAT</v>
      </c>
      <c r="Q188" s="66" t="str">
        <f>RSD_Commodities!$M$85</f>
        <v>WH_Det-C</v>
      </c>
      <c r="R188" s="985">
        <f t="shared" si="132"/>
        <v>0.60756765436063387</v>
      </c>
      <c r="S188" s="66">
        <f>R188*DwellingStocks!$I$66/1000</f>
        <v>43.23717380135384</v>
      </c>
      <c r="T188" s="83">
        <v>1</v>
      </c>
      <c r="U188" s="987">
        <f t="shared" si="133"/>
        <v>0.84914274769465636</v>
      </c>
      <c r="V188" s="83">
        <v>20</v>
      </c>
      <c r="W188" s="66">
        <v>1</v>
      </c>
      <c r="X188" s="866"/>
      <c r="Y188" s="928">
        <f t="shared" si="134"/>
        <v>7.650335993271594</v>
      </c>
      <c r="Z188" s="929">
        <f t="shared" si="135"/>
        <v>9.0094816378536411</v>
      </c>
      <c r="AA188" s="866"/>
      <c r="AB188" s="914" t="s">
        <v>393</v>
      </c>
      <c r="AC188" s="914" t="str">
        <f t="shared" si="131"/>
        <v>WH_Det-C_GASNAT_X0</v>
      </c>
      <c r="AD188" s="915" t="str">
        <f t="shared" si="131"/>
        <v>Residential Water Heating Detached-C_Natural Gas to Residential_Existing 00</v>
      </c>
      <c r="AE188" s="914" t="s">
        <v>53</v>
      </c>
      <c r="AF188" s="916" t="s">
        <v>406</v>
      </c>
      <c r="AG188" s="914"/>
      <c r="AH188" s="914"/>
      <c r="AI188" s="840"/>
      <c r="AJ188" s="840"/>
      <c r="AK188" s="840"/>
      <c r="AL188" s="840"/>
      <c r="AM188" s="840"/>
      <c r="AN188" s="840"/>
      <c r="AO188" s="840"/>
    </row>
    <row r="189" spans="1:41">
      <c r="A189" s="973" t="s">
        <v>116</v>
      </c>
      <c r="B189" s="994" t="s">
        <v>585</v>
      </c>
      <c r="C189" s="758">
        <f>SUMIFS(INDEX(Table915[],,MATCH(C$136,Table915[#Headers],0)),Table915[MainWaterHeatingFuel],$B189,Table915[EnergyRating (group)],$A189)</f>
        <v>389089</v>
      </c>
      <c r="D189" s="758">
        <f>SUMIFS(INDEX(Table915[],,MATCH(D$136,Table915[#Headers],0)),Table915[MainWaterHeatingFuel],$B189,Table915[EnergyRating (group)],$A189)</f>
        <v>353718</v>
      </c>
      <c r="E189" s="758">
        <f>SUMIFS(INDEX(Table915[],,MATCH(E$136,Table915[#Headers],0)),Table915[MainWaterHeatingFuel],$B189,Table915[EnergyRating (group)],$A189)</f>
        <v>50479</v>
      </c>
      <c r="F189" s="758">
        <f>SUMIFS(INDEX(Table915[],,MATCH(F$136,Table915[#Headers],0)),Table915[MainWaterHeatingFuel],$B189,Table915[EnergyRating (group)],$A189)</f>
        <v>18696</v>
      </c>
      <c r="G189" s="758">
        <f>SUMIFS(INDEX(Table915[],,MATCH(G$136,Table915[#Headers],0)),Table915[MainWaterHeatingFuel],$B189,Table915[EnergyRating (group)],$A189)</f>
        <v>90</v>
      </c>
      <c r="H189" s="758">
        <f>SUMIFS(INDEX(Table915[],,MATCH(H$136,Table915[#Headers],0)),Table915[MainWaterHeatingFuel],$B189,Table915[EnergyRating (group)],$A189)</f>
        <v>8838</v>
      </c>
      <c r="I189" s="960"/>
      <c r="J189" s="980">
        <f t="shared" si="130"/>
        <v>439568</v>
      </c>
      <c r="K189" s="981">
        <f t="shared" si="130"/>
        <v>372414</v>
      </c>
      <c r="L189" s="840"/>
      <c r="M189" s="840"/>
      <c r="N189" s="914" t="str">
        <f>RSD_Commodities!$M$85&amp;"_"&amp;RIGHT(P189,LEN(P189)-3)&amp;"_"&amp;SETUP!$B$67</f>
        <v>WH_Det-C_BIOWOO_X0</v>
      </c>
      <c r="O189" s="914" t="str">
        <f>RSD_Commodities!$N$85&amp;"_"&amp;RSD_Commodities!D19&amp;"_"&amp;SETUP!$C$67</f>
        <v>Residential Water Heating Detached-C_Biomass &amp; Renewable Waste to Residential_Existing 00</v>
      </c>
      <c r="P189" s="915" t="str">
        <f>RSD_Commodities!$C$19</f>
        <v>RSDBIOWOO</v>
      </c>
      <c r="Q189" s="914" t="str">
        <f>RSD_Commodities!$M$85</f>
        <v>WH_Det-C</v>
      </c>
      <c r="R189" s="984">
        <f t="shared" si="132"/>
        <v>5.5580944382001654E-4</v>
      </c>
      <c r="S189" s="914">
        <f>R189*DwellingStocks!$I$66/1000</f>
        <v>3.9553832977117995E-2</v>
      </c>
      <c r="T189" s="915">
        <v>1</v>
      </c>
      <c r="U189" s="986">
        <f t="shared" si="133"/>
        <v>0.84722727769082373</v>
      </c>
      <c r="V189" s="915">
        <v>20</v>
      </c>
      <c r="W189" s="914">
        <v>1</v>
      </c>
      <c r="X189" s="866"/>
      <c r="Y189" s="926">
        <f t="shared" si="134"/>
        <v>6.0535895154823659E-6</v>
      </c>
      <c r="Z189" s="927">
        <f t="shared" si="135"/>
        <v>7.1451777756517005E-6</v>
      </c>
      <c r="AA189" s="866"/>
      <c r="AB189" s="66" t="s">
        <v>393</v>
      </c>
      <c r="AC189" s="66" t="str">
        <f t="shared" si="131"/>
        <v>WH_Det-C_BIOWOO_X0</v>
      </c>
      <c r="AD189" s="83" t="str">
        <f t="shared" si="131"/>
        <v>Residential Water Heating Detached-C_Biomass &amp; Renewable Waste to Residential_Existing 00</v>
      </c>
      <c r="AE189" s="66" t="s">
        <v>53</v>
      </c>
      <c r="AF189" s="88" t="s">
        <v>406</v>
      </c>
      <c r="AG189" s="66"/>
      <c r="AH189" s="66"/>
      <c r="AI189" s="840"/>
      <c r="AJ189" s="840"/>
      <c r="AK189" s="840"/>
      <c r="AL189" s="840"/>
      <c r="AM189" s="840"/>
      <c r="AN189" s="840"/>
      <c r="AO189" s="840"/>
    </row>
    <row r="190" spans="1:41">
      <c r="A190" s="972" t="s">
        <v>116</v>
      </c>
      <c r="B190" s="757" t="s">
        <v>587</v>
      </c>
      <c r="C190" s="757">
        <f>SUMIFS(INDEX(Table915[],,MATCH(C136,Table915[#Headers],0)),Table915[MainWaterHeatingFuel],"",Table915[EnergyRating (group)],$A190)</f>
        <v>0</v>
      </c>
      <c r="D190" s="757">
        <f>SUMIFS(INDEX(Table915[],,MATCH(D136,Table915[#Headers],0)),Table915[MainWaterHeatingFuel],"",Table915[EnergyRating (group)],$A190)</f>
        <v>0</v>
      </c>
      <c r="E190" s="760">
        <f>SUMIFS(INDEX(Table915[],,MATCH(E136,Table915[#Headers],0)),Table915[MainWaterHeatingFuel],"",Table915[EnergyRating (group)],$A190)</f>
        <v>56972</v>
      </c>
      <c r="F190" s="760">
        <f>SUMIFS(INDEX(Table915[],,MATCH(F136,Table915[#Headers],0)),Table915[MainWaterHeatingFuel],"",Table915[EnergyRating (group)],$A190)</f>
        <v>21101</v>
      </c>
      <c r="G190" s="757">
        <f>SUMIFS(INDEX(Table915[],,MATCH(G136,Table915[#Headers],0)),Table915[MainWaterHeatingFuel],"",Table915[EnergyRating (group)],$A190)</f>
        <v>234</v>
      </c>
      <c r="H190" s="757">
        <f>SUMIFS(INDEX(Table915[],,MATCH(H136,Table915[#Headers],0)),Table915[MainWaterHeatingFuel],"",Table915[EnergyRating (group)],$A190)</f>
        <v>17012</v>
      </c>
      <c r="I190" s="959"/>
      <c r="J190" s="978">
        <f t="shared" si="130"/>
        <v>56972</v>
      </c>
      <c r="K190" s="979">
        <f t="shared" si="130"/>
        <v>21101</v>
      </c>
      <c r="L190" s="840"/>
      <c r="M190" s="840"/>
      <c r="N190" s="66" t="str">
        <f>RSD_Commodities!$M$85&amp;"_"&amp;RIGHT(P190,LEN(P190)-3)&amp;"_"&amp;SETUP!$B$68</f>
        <v>WH_Det-C_HET_X1</v>
      </c>
      <c r="O190" s="66" t="str">
        <f>RSD_Commodities!$N$85&amp;"_"&amp;RSD_Commodities!D28&amp;"_"&amp;SETUP!$C$67</f>
        <v>Residential Water Heating Detached-C_Heat to Residential_Existing 00</v>
      </c>
      <c r="P190" s="83" t="str">
        <f>RSD_Commodities!$C$28</f>
        <v>RSDHET</v>
      </c>
      <c r="Q190" s="66" t="str">
        <f>RSD_Commodities!$M$85</f>
        <v>WH_Det-C</v>
      </c>
      <c r="R190" s="985">
        <f t="shared" si="132"/>
        <v>1.445104553932043E-3</v>
      </c>
      <c r="S190" s="66">
        <f>R190*DwellingStocks!$I$66/1000</f>
        <v>0.10283996574050679</v>
      </c>
      <c r="T190" s="83">
        <v>1</v>
      </c>
      <c r="U190" s="917">
        <v>1</v>
      </c>
      <c r="V190" s="83">
        <v>20</v>
      </c>
      <c r="W190" s="66">
        <v>1</v>
      </c>
      <c r="X190" s="866"/>
      <c r="Y190" s="928">
        <f t="shared" si="134"/>
        <v>8.9179155496867158E-7</v>
      </c>
      <c r="Z190" s="929">
        <f t="shared" si="135"/>
        <v>2.4078076143156798E-6</v>
      </c>
      <c r="AA190" s="866"/>
      <c r="AB190" s="914" t="s">
        <v>393</v>
      </c>
      <c r="AC190" s="914" t="str">
        <f t="shared" si="131"/>
        <v>WH_Det-C_HET_X1</v>
      </c>
      <c r="AD190" s="915" t="str">
        <f t="shared" si="131"/>
        <v>Residential Water Heating Detached-C_Heat to Residential_Existing 00</v>
      </c>
      <c r="AE190" s="914" t="s">
        <v>53</v>
      </c>
      <c r="AF190" s="916" t="s">
        <v>406</v>
      </c>
      <c r="AG190" s="914"/>
      <c r="AH190" s="914"/>
      <c r="AI190" s="840"/>
      <c r="AJ190" s="840"/>
      <c r="AK190" s="840"/>
      <c r="AL190" s="840"/>
      <c r="AM190" s="840"/>
      <c r="AN190" s="840"/>
      <c r="AO190" s="840"/>
    </row>
    <row r="191" spans="1:41">
      <c r="A191" s="973" t="s">
        <v>116</v>
      </c>
      <c r="B191" s="758" t="s">
        <v>664</v>
      </c>
      <c r="C191" s="758">
        <f>SUMIFS(INDEX(Table915[],,MATCH(C$136,Table915[#Headers],0)),Table915[MainWaterHeatingFuel],$B191,Table915[EnergyRating (group)],$A191)</f>
        <v>685126</v>
      </c>
      <c r="D191" s="758">
        <f>SUMIFS(INDEX(Table915[],,MATCH(D$136,Table915[#Headers],0)),Table915[MainWaterHeatingFuel],$B191,Table915[EnergyRating (group)],$A191)</f>
        <v>622845</v>
      </c>
      <c r="E191" s="758">
        <f>SUMIFS(INDEX(Table915[],,MATCH(E$136,Table915[#Headers],0)),Table915[MainWaterHeatingFuel],$B191,Table915[EnergyRating (group)],$A191)</f>
        <v>74397</v>
      </c>
      <c r="F191" s="758">
        <f>SUMIFS(INDEX(Table915[],,MATCH(F$136,Table915[#Headers],0)),Table915[MainWaterHeatingFuel],$B191,Table915[EnergyRating (group)],$A191)</f>
        <v>27557</v>
      </c>
      <c r="G191" s="758">
        <f>SUMIFS(INDEX(Table915[],,MATCH(G$136,Table915[#Headers],0)),Table915[MainWaterHeatingFuel],$B191,Table915[EnergyRating (group)],$A191)</f>
        <v>155</v>
      </c>
      <c r="H191" s="758">
        <f>SUMIFS(INDEX(Table915[],,MATCH(H$136,Table915[#Headers],0)),Table915[MainWaterHeatingFuel],$B191,Table915[EnergyRating (group)],$A191)</f>
        <v>15691</v>
      </c>
      <c r="I191" s="960"/>
      <c r="J191" s="980">
        <f>C191+E191</f>
        <v>759523</v>
      </c>
      <c r="K191" s="981">
        <f>D191+F191</f>
        <v>650402</v>
      </c>
      <c r="L191" s="840"/>
      <c r="M191" s="840"/>
      <c r="N191" s="914" t="str">
        <f>RSD_Commodities!$M$85&amp;"_"&amp;RIGHT(P191,LEN(P191)-3)&amp;"_"&amp;SETUP!$B$68</f>
        <v>WH_Det-C_OILLPG_X1</v>
      </c>
      <c r="O191" s="914" t="str">
        <f>RSD_Commodities!$N$85&amp;"_"&amp;RSD_Commodities!D11&amp;"_"&amp;SETUP!$C$68</f>
        <v>Residential Water Heating Detached-C_LPG to Residential_Existing 01</v>
      </c>
      <c r="P191" s="915" t="str">
        <f>RSD_Commodities!$C$11</f>
        <v>RSDOILLPG</v>
      </c>
      <c r="Q191" s="914" t="str">
        <f>RSD_Commodities!$M$85</f>
        <v>WH_Det-C</v>
      </c>
      <c r="R191" s="984">
        <f t="shared" si="132"/>
        <v>9.5722737546780632E-4</v>
      </c>
      <c r="S191" s="914">
        <f>R191*DwellingStocks!$I$66/1000</f>
        <v>6.8120490127258779E-2</v>
      </c>
      <c r="T191" s="915">
        <v>1</v>
      </c>
      <c r="U191" s="986">
        <f t="shared" si="133"/>
        <v>0.85632956473997501</v>
      </c>
      <c r="V191" s="915">
        <v>20</v>
      </c>
      <c r="W191" s="914">
        <v>1</v>
      </c>
      <c r="X191" s="866"/>
      <c r="Y191" s="926">
        <f t="shared" si="134"/>
        <v>1.8207823158801112E-5</v>
      </c>
      <c r="Z191" s="927">
        <f t="shared" si="135"/>
        <v>2.1262635214901089E-5</v>
      </c>
      <c r="AA191" s="866"/>
      <c r="AB191" s="66" t="s">
        <v>393</v>
      </c>
      <c r="AC191" s="66" t="str">
        <f t="shared" si="131"/>
        <v>WH_Det-C_OILLPG_X1</v>
      </c>
      <c r="AD191" s="83" t="str">
        <f t="shared" si="131"/>
        <v>Residential Water Heating Detached-C_LPG to Residential_Existing 01</v>
      </c>
      <c r="AE191" s="66" t="s">
        <v>53</v>
      </c>
      <c r="AF191" s="88" t="s">
        <v>406</v>
      </c>
      <c r="AG191" s="66"/>
      <c r="AH191" s="66"/>
      <c r="AI191" s="840"/>
      <c r="AJ191" s="840"/>
      <c r="AK191" s="840"/>
      <c r="AL191" s="840"/>
      <c r="AM191" s="840"/>
      <c r="AN191" s="840"/>
      <c r="AO191" s="840"/>
    </row>
    <row r="192" spans="1:41">
      <c r="A192" s="972" t="s">
        <v>116</v>
      </c>
      <c r="B192" s="757" t="s">
        <v>665</v>
      </c>
      <c r="C192" s="757">
        <f>SUMIFS(INDEX(Table915[],,MATCH(C$136,Table915[#Headers],0)),Table915[MainWaterHeatingFuel],$B192,Table915[EnergyRating (group)],$A192)</f>
        <v>2589513</v>
      </c>
      <c r="D192" s="757">
        <f>SUMIFS(INDEX(Table915[],,MATCH(D$136,Table915[#Headers],0)),Table915[MainWaterHeatingFuel],$B192,Table915[EnergyRating (group)],$A192)</f>
        <v>2354097</v>
      </c>
      <c r="E192" s="757">
        <f>SUMIFS(INDEX(Table915[],,MATCH(E$136,Table915[#Headers],0)),Table915[MainWaterHeatingFuel],$B192,Table915[EnergyRating (group)],$A192)</f>
        <v>1150328</v>
      </c>
      <c r="F192" s="757">
        <f>SUMIFS(INDEX(Table915[],,MATCH(F$136,Table915[#Headers],0)),Table915[MainWaterHeatingFuel],$B192,Table915[EnergyRating (group)],$A192)</f>
        <v>426046</v>
      </c>
      <c r="G192" s="757">
        <f>SUMIFS(INDEX(Table915[],,MATCH(G$136,Table915[#Headers],0)),Table915[MainWaterHeatingFuel],$B192,Table915[EnergyRating (group)],$A192)</f>
        <v>624</v>
      </c>
      <c r="H192" s="757">
        <f>SUMIFS(INDEX(Table915[],,MATCH(H$136,Table915[#Headers],0)),Table915[MainWaterHeatingFuel],$B192,Table915[EnergyRating (group)],$A192)</f>
        <v>57140</v>
      </c>
      <c r="I192" s="961"/>
      <c r="J192" s="978">
        <f t="shared" ref="J192:K200" si="136">C192+E192</f>
        <v>3739841</v>
      </c>
      <c r="K192" s="979">
        <f t="shared" si="136"/>
        <v>2780143</v>
      </c>
      <c r="L192" s="840"/>
      <c r="M192" s="840"/>
      <c r="N192" s="66" t="str">
        <f>RSD_Commodities!$M$85&amp;"_"&amp;RSD_Commodities!$C$26&amp;"_"&amp;SETUP!$B$67</f>
        <v>WH_Det-C_RSDSMF_X0</v>
      </c>
      <c r="O192" s="66" t="str">
        <f>RSD_Commodities!$N$85&amp;"_"&amp;RSD_Commodities!$D$26&amp;"_"&amp;SETUP!$C$67</f>
        <v>Residential Water Heating Detached-C_Solid Multi-Fuel_Existing 00</v>
      </c>
      <c r="P192" s="83" t="str">
        <f>RSD_Commodities!$C$6&amp;","&amp;RSD_Commodities!$C$7&amp;","&amp;RSD_Commodities!$C$9&amp;","&amp;RSD_Commodities!$C$10&amp;","&amp;RSD_Commodities!$C$19</f>
        <v>RSDCOABIT,RSDCOAHAR,RSDCOALIG,RSDPEA,RSDBIOWOO</v>
      </c>
      <c r="Q192" s="66" t="str">
        <f>RSD_Commodities!$M$85</f>
        <v>WH_Det-C</v>
      </c>
      <c r="R192" s="985">
        <f t="shared" si="132"/>
        <v>3.8536121438187813E-3</v>
      </c>
      <c r="S192" s="66">
        <f>R192*DwellingStocks!$I$66/1000</f>
        <v>0.27423990864135139</v>
      </c>
      <c r="T192" s="83">
        <v>1</v>
      </c>
      <c r="U192" s="987">
        <f t="shared" si="133"/>
        <v>0.74338534713106785</v>
      </c>
      <c r="V192" s="83">
        <v>20</v>
      </c>
      <c r="W192" s="66">
        <v>1</v>
      </c>
      <c r="X192" s="840"/>
      <c r="Y192" s="928">
        <f t="shared" si="134"/>
        <v>3.1332582013557234E-4</v>
      </c>
      <c r="Z192" s="929">
        <f t="shared" si="135"/>
        <v>4.2148506335884127E-4</v>
      </c>
      <c r="AA192" s="840"/>
      <c r="AB192" s="914" t="s">
        <v>393</v>
      </c>
      <c r="AC192" s="914" t="str">
        <f t="shared" si="131"/>
        <v>WH_Det-C_RSDSMF_X0</v>
      </c>
      <c r="AD192" s="915" t="str">
        <f t="shared" si="131"/>
        <v>Residential Water Heating Detached-C_Solid Multi-Fuel_Existing 00</v>
      </c>
      <c r="AE192" s="914" t="s">
        <v>53</v>
      </c>
      <c r="AF192" s="916" t="s">
        <v>406</v>
      </c>
      <c r="AG192" s="914"/>
      <c r="AH192" s="914"/>
      <c r="AI192" s="840"/>
      <c r="AJ192" s="840"/>
      <c r="AK192" s="840"/>
      <c r="AL192" s="840"/>
      <c r="AM192" s="840"/>
      <c r="AN192" s="840"/>
      <c r="AO192" s="840"/>
    </row>
    <row r="193" spans="1:41">
      <c r="A193" s="973" t="s">
        <v>116</v>
      </c>
      <c r="B193" s="758" t="s">
        <v>669</v>
      </c>
      <c r="C193" s="758">
        <f>SUMIFS(INDEX(Table915[],,MATCH(C$136,Table915[#Headers],0)),Table915[MainWaterHeatingFuel],$B193,Table915[EnergyRating (group)],$A193)</f>
        <v>398947</v>
      </c>
      <c r="D193" s="758">
        <f>SUMIFS(INDEX(Table915[],,MATCH(D$136,Table915[#Headers],0)),Table915[MainWaterHeatingFuel],$B193,Table915[EnergyRating (group)],$A193)</f>
        <v>332458</v>
      </c>
      <c r="E193" s="759">
        <f>SUMIFS(INDEX(Table915[],,MATCH(E$136,Table915[#Headers],0)),Table915[MainWaterHeatingFuel],$B193,Table915[EnergyRating (group)],$A193)</f>
        <v>131662</v>
      </c>
      <c r="F193" s="759">
        <f>SUMIFS(INDEX(Table915[],,MATCH(F$136,Table915[#Headers],0)),Table915[MainWaterHeatingFuel],$B193,Table915[EnergyRating (group)],$A193)</f>
        <v>48762</v>
      </c>
      <c r="G193" s="758">
        <f>SUMIFS(INDEX(Table915[],,MATCH(G$136,Table915[#Headers],0)),Table915[MainWaterHeatingFuel],$B193,Table915[EnergyRating (group)],$A193)</f>
        <v>84</v>
      </c>
      <c r="H193" s="758">
        <f>SUMIFS(INDEX(Table915[],,MATCH(H$136,Table915[#Headers],0)),Table915[MainWaterHeatingFuel],$B193,Table915[EnergyRating (group)],$A193)</f>
        <v>7351</v>
      </c>
      <c r="I193" s="960"/>
      <c r="J193" s="980">
        <f t="shared" si="136"/>
        <v>530609</v>
      </c>
      <c r="K193" s="981">
        <f t="shared" si="136"/>
        <v>381220</v>
      </c>
      <c r="L193" s="840"/>
      <c r="M193" s="840"/>
      <c r="N193" s="914" t="str">
        <f>RSD_Commodities!$M$85&amp;"_"&amp;RIGHT(P193,LEN(P193)-3)&amp;"_"&amp;SETUP!$B$67</f>
        <v>WH_Det-C_COAHAR_X0</v>
      </c>
      <c r="O193" s="914" t="str">
        <f>RSD_Commodities!$N$85&amp;"_"&amp;RSD_Commodities!D7&amp;"_"&amp;SETUP!$C$67</f>
        <v>Residential Water Heating Detached-C_Anthracite + Manufactured Ovoids to Residential_Existing 00</v>
      </c>
      <c r="P193" s="915" t="str">
        <f>RSD_Commodities!$C$7</f>
        <v>RSDCOAHAR</v>
      </c>
      <c r="Q193" s="914" t="str">
        <f>RSD_Commodities!$M$85</f>
        <v>WH_Det-C</v>
      </c>
      <c r="R193" s="984">
        <f t="shared" si="132"/>
        <v>5.1875548089868207E-4</v>
      </c>
      <c r="S193" s="914">
        <f>R193*DwellingStocks!$I$66/1000</f>
        <v>3.6916910778643459E-2</v>
      </c>
      <c r="T193" s="915">
        <v>1</v>
      </c>
      <c r="U193" s="986">
        <f t="shared" si="133"/>
        <v>0.71845747056683928</v>
      </c>
      <c r="V193" s="915">
        <v>20</v>
      </c>
      <c r="W193" s="914">
        <v>1</v>
      </c>
      <c r="X193" s="866"/>
      <c r="Y193" s="926">
        <f t="shared" si="134"/>
        <v>5.7836156412470391E-6</v>
      </c>
      <c r="Z193" s="927">
        <f t="shared" si="135"/>
        <v>8.0500459361692725E-6</v>
      </c>
      <c r="AA193" s="866"/>
      <c r="AB193" s="66" t="s">
        <v>393</v>
      </c>
      <c r="AC193" s="66" t="str">
        <f t="shared" si="131"/>
        <v>WH_Det-C_COAHAR_X0</v>
      </c>
      <c r="AD193" s="83" t="str">
        <f t="shared" si="131"/>
        <v>Residential Water Heating Detached-C_Anthracite + Manufactured Ovoids to Residential_Existing 00</v>
      </c>
      <c r="AE193" s="66" t="s">
        <v>53</v>
      </c>
      <c r="AF193" s="88" t="s">
        <v>406</v>
      </c>
      <c r="AG193" s="66"/>
      <c r="AH193" s="66"/>
      <c r="AI193" s="840"/>
      <c r="AJ193" s="840"/>
      <c r="AK193" s="840"/>
      <c r="AL193" s="840"/>
      <c r="AM193" s="840"/>
      <c r="AN193" s="840"/>
      <c r="AO193" s="840"/>
    </row>
    <row r="194" spans="1:41">
      <c r="A194" s="972" t="s">
        <v>116</v>
      </c>
      <c r="B194" s="757" t="s">
        <v>668</v>
      </c>
      <c r="C194" s="757">
        <f>SUMIFS(INDEX(Table915[],,MATCH(C$136,Table915[#Headers],0)),Table915[MainWaterHeatingFuel],$B194,Table915[EnergyRating (group)],$A194)</f>
        <v>176605</v>
      </c>
      <c r="D194" s="757">
        <f>SUMIFS(INDEX(Table915[],,MATCH(D$136,Table915[#Headers],0)),Table915[MainWaterHeatingFuel],$B194,Table915[EnergyRating (group)],$A194)</f>
        <v>160551</v>
      </c>
      <c r="E194" s="760">
        <f>SUMIFS(INDEX(Table915[],,MATCH(E$136,Table915[#Headers],0)),Table915[MainWaterHeatingFuel],$B194,Table915[EnergyRating (group)],$A194)</f>
        <v>18288</v>
      </c>
      <c r="F194" s="760">
        <f>SUMIFS(INDEX(Table915[],,MATCH(F$136,Table915[#Headers],0)),Table915[MainWaterHeatingFuel],$B194,Table915[EnergyRating (group)],$A194)</f>
        <v>6773</v>
      </c>
      <c r="G194" s="757">
        <f>SUMIFS(INDEX(Table915[],,MATCH(G$136,Table915[#Headers],0)),Table915[MainWaterHeatingFuel],$B194,Table915[EnergyRating (group)],$A194)</f>
        <v>44</v>
      </c>
      <c r="H194" s="757">
        <f>SUMIFS(INDEX(Table915[],,MATCH(H$136,Table915[#Headers],0)),Table915[MainWaterHeatingFuel],$B194,Table915[EnergyRating (group)],$A194)</f>
        <v>4004</v>
      </c>
      <c r="I194" s="959"/>
      <c r="J194" s="978">
        <f t="shared" si="136"/>
        <v>194893</v>
      </c>
      <c r="K194" s="979">
        <f t="shared" si="136"/>
        <v>167324</v>
      </c>
      <c r="L194" s="840"/>
      <c r="M194" s="840"/>
      <c r="N194" s="933" t="str">
        <f>RSD_Commodities!$M$85&amp;"_"&amp;RIGHT(P194,LEN(P194)-3)&amp;"_"&amp;SETUP!$B$69</f>
        <v>WH_Det-C_BIOWOO_X2</v>
      </c>
      <c r="O194" s="933" t="str">
        <f>RSD_Commodities!$N$85&amp;"_"&amp;RSD_Commodities!D19&amp;"_"&amp;SETUP!$C$69</f>
        <v>Residential Water Heating Detached-C_Biomass &amp; Renewable Waste to Residential_Existing 02</v>
      </c>
      <c r="P194" s="934" t="str">
        <f>RSD_Commodities!$C$19</f>
        <v>RSDBIOWOO</v>
      </c>
      <c r="Q194" s="66" t="str">
        <f>RSD_Commodities!$M$85</f>
        <v>WH_Det-C</v>
      </c>
      <c r="R194" s="985">
        <f t="shared" si="132"/>
        <v>2.7172906142311921E-4</v>
      </c>
      <c r="S194" s="66">
        <f>R194*DwellingStocks!$I$66/1000</f>
        <v>1.933742945547991E-2</v>
      </c>
      <c r="T194" s="83">
        <v>1</v>
      </c>
      <c r="U194" s="987">
        <f t="shared" si="133"/>
        <v>0.85854289276680029</v>
      </c>
      <c r="V194" s="83">
        <v>20</v>
      </c>
      <c r="W194" s="66">
        <v>1</v>
      </c>
      <c r="X194" s="866"/>
      <c r="Y194" s="928">
        <f t="shared" si="134"/>
        <v>1.3297052244693374E-6</v>
      </c>
      <c r="Z194" s="929">
        <f t="shared" si="135"/>
        <v>1.5487930022740466E-6</v>
      </c>
      <c r="AA194" s="866"/>
      <c r="AB194" s="914" t="s">
        <v>393</v>
      </c>
      <c r="AC194" s="914" t="str">
        <f t="shared" si="131"/>
        <v>WH_Det-C_BIOWOO_X2</v>
      </c>
      <c r="AD194" s="915" t="str">
        <f t="shared" si="131"/>
        <v>Residential Water Heating Detached-C_Biomass &amp; Renewable Waste to Residential_Existing 02</v>
      </c>
      <c r="AE194" s="914" t="s">
        <v>53</v>
      </c>
      <c r="AF194" s="916" t="s">
        <v>406</v>
      </c>
      <c r="AG194" s="914"/>
      <c r="AH194" s="914"/>
      <c r="AI194" s="840"/>
      <c r="AJ194" s="840"/>
      <c r="AK194" s="840"/>
      <c r="AL194" s="840"/>
      <c r="AM194" s="840"/>
      <c r="AN194" s="840"/>
      <c r="AO194" s="840"/>
    </row>
    <row r="195" spans="1:41">
      <c r="A195" s="973" t="s">
        <v>116</v>
      </c>
      <c r="B195" s="994" t="s">
        <v>671</v>
      </c>
      <c r="C195" s="758">
        <f>SUMIFS(INDEX(Table915[],,MATCH(C$136,Table915[#Headers],0)),Table915[MainWaterHeatingFuel],$B195,Table915[EnergyRating (group)],$A195)</f>
        <v>69602</v>
      </c>
      <c r="D195" s="758">
        <f>SUMIFS(INDEX(Table915[],,MATCH(D$136,Table915[#Headers],0)),Table915[MainWaterHeatingFuel],$B195,Table915[EnergyRating (group)],$A195)</f>
        <v>63276</v>
      </c>
      <c r="E195" s="758">
        <f>SUMIFS(INDEX(Table915[],,MATCH(E$136,Table915[#Headers],0)),Table915[MainWaterHeatingFuel],$B195,Table915[EnergyRating (group)],$A195)</f>
        <v>19736</v>
      </c>
      <c r="F195" s="758">
        <f>SUMIFS(INDEX(Table915[],,MATCH(F$136,Table915[#Headers],0)),Table915[MainWaterHeatingFuel],$B195,Table915[EnergyRating (group)],$A195)</f>
        <v>7311</v>
      </c>
      <c r="G195" s="758">
        <f>SUMIFS(INDEX(Table915[],,MATCH(G$136,Table915[#Headers],0)),Table915[MainWaterHeatingFuel],$B195,Table915[EnergyRating (group)],$A195)</f>
        <v>15</v>
      </c>
      <c r="H195" s="758">
        <f>SUMIFS(INDEX(Table915[],,MATCH(H$136,Table915[#Headers],0)),Table915[MainWaterHeatingFuel],$B195,Table915[EnergyRating (group)],$A195)</f>
        <v>1281</v>
      </c>
      <c r="I195" s="960"/>
      <c r="J195" s="980">
        <f t="shared" si="136"/>
        <v>89338</v>
      </c>
      <c r="K195" s="981">
        <f t="shared" si="136"/>
        <v>70587</v>
      </c>
      <c r="L195" s="840"/>
      <c r="M195" s="840"/>
      <c r="N195" s="914" t="str">
        <f>RSD_Commodities!$M$85&amp;"_"&amp;RIGHT(P195,LEN(P195)-3)&amp;"_"&amp;SETUP!$B$67</f>
        <v>WH_Det-C_PEA_X0</v>
      </c>
      <c r="O195" s="914" t="str">
        <f>RSD_Commodities!$N$85&amp;"_"&amp;RSD_Commodities!$D$10&amp;"_"&amp;SETUP!$C$67</f>
        <v>Residential Water Heating Detached-C_Peat to Residential_Existing 00</v>
      </c>
      <c r="P195" s="915" t="str">
        <f>RSD_Commodities!$C$10</f>
        <v>RSDPEA</v>
      </c>
      <c r="Q195" s="914" t="str">
        <f>RSD_Commodities!$M$85</f>
        <v>WH_Det-C</v>
      </c>
      <c r="R195" s="984">
        <f t="shared" si="132"/>
        <v>9.2634907303336094E-5</v>
      </c>
      <c r="S195" s="914">
        <f>R195*DwellingStocks!$I$66/1000</f>
        <v>6.5923054961863322E-3</v>
      </c>
      <c r="T195" s="915">
        <v>1</v>
      </c>
      <c r="U195" s="986">
        <f t="shared" si="133"/>
        <v>0.79011171058228302</v>
      </c>
      <c r="V195" s="915">
        <v>20</v>
      </c>
      <c r="W195" s="914">
        <v>1</v>
      </c>
      <c r="X195" s="866"/>
      <c r="Y195" s="926">
        <f t="shared" si="134"/>
        <v>1.9123194577779643E-7</v>
      </c>
      <c r="Z195" s="927">
        <f t="shared" si="135"/>
        <v>2.4203152948697035E-7</v>
      </c>
      <c r="AA195" s="866"/>
      <c r="AB195" s="66" t="s">
        <v>393</v>
      </c>
      <c r="AC195" s="66" t="str">
        <f t="shared" si="131"/>
        <v>WH_Det-C_PEA_X0</v>
      </c>
      <c r="AD195" s="83" t="str">
        <f t="shared" si="131"/>
        <v>Residential Water Heating Detached-C_Peat to Residential_Existing 00</v>
      </c>
      <c r="AE195" s="66" t="s">
        <v>53</v>
      </c>
      <c r="AF195" s="88" t="s">
        <v>406</v>
      </c>
      <c r="AG195" s="66"/>
      <c r="AH195" s="66"/>
      <c r="AI195" s="840"/>
      <c r="AJ195" s="840"/>
      <c r="AK195" s="840"/>
      <c r="AL195" s="840"/>
      <c r="AM195" s="840"/>
      <c r="AN195" s="840"/>
      <c r="AO195" s="840"/>
    </row>
    <row r="196" spans="1:41">
      <c r="A196" s="972" t="s">
        <v>116</v>
      </c>
      <c r="B196" s="757" t="s">
        <v>667</v>
      </c>
      <c r="C196" s="757">
        <f>SUMIFS(INDEX(Table915[],,MATCH(C$136,Table915[#Headers],0)),Table915[MainWaterHeatingFuel],$B196,Table915[EnergyRating (group)],$A196)</f>
        <v>37382</v>
      </c>
      <c r="D196" s="757">
        <f>SUMIFS(INDEX(Table915[],,MATCH(D$136,Table915[#Headers],0)),Table915[MainWaterHeatingFuel],$B196,Table915[EnergyRating (group)],$A196)</f>
        <v>33984</v>
      </c>
      <c r="E196" s="760">
        <f>SUMIFS(INDEX(Table915[],,MATCH(E$136,Table915[#Headers],0)),Table915[MainWaterHeatingFuel],$B196,Table915[EnergyRating (group)],$A196)</f>
        <v>7347</v>
      </c>
      <c r="F196" s="760">
        <f>SUMIFS(INDEX(Table915[],,MATCH(F$136,Table915[#Headers],0)),Table915[MainWaterHeatingFuel],$B196,Table915[EnergyRating (group)],$A196)</f>
        <v>2721</v>
      </c>
      <c r="G196" s="757">
        <f>SUMIFS(INDEX(Table915[],,MATCH(G$136,Table915[#Headers],0)),Table915[MainWaterHeatingFuel],$B196,Table915[EnergyRating (group)],$A196)</f>
        <v>7</v>
      </c>
      <c r="H196" s="757">
        <f>SUMIFS(INDEX(Table915[],,MATCH(H$136,Table915[#Headers],0)),Table915[MainWaterHeatingFuel],$B196,Table915[EnergyRating (group)],$A196)</f>
        <v>677</v>
      </c>
      <c r="I196" s="959"/>
      <c r="J196" s="978">
        <f t="shared" si="136"/>
        <v>44729</v>
      </c>
      <c r="K196" s="979">
        <f t="shared" si="136"/>
        <v>36705</v>
      </c>
      <c r="L196" s="840"/>
      <c r="M196" s="840"/>
      <c r="N196" s="66" t="str">
        <f>RSD_Commodities!$M$85&amp;"_"&amp;RIGHT(P196,LEN(P196)-3)&amp;"_"&amp;SETUP!$B$68</f>
        <v>WH_Det-C_PEA_X1</v>
      </c>
      <c r="O196" s="66" t="str">
        <f>RSD_Commodities!$N$85&amp;"_"&amp;RSD_Commodities!$D$10&amp;"_"&amp;SETUP!$C$68</f>
        <v>Residential Water Heating Detached-C_Peat to Residential_Existing 01</v>
      </c>
      <c r="P196" s="83" t="str">
        <f>RSD_Commodities!$C$10</f>
        <v>RSDPEA</v>
      </c>
      <c r="Q196" s="66" t="str">
        <f>RSD_Commodities!$M$85</f>
        <v>WH_Det-C</v>
      </c>
      <c r="R196" s="985">
        <f t="shared" si="132"/>
        <v>4.322962340822351E-5</v>
      </c>
      <c r="S196" s="66">
        <f>R196*DwellingStocks!$I$66/1000</f>
        <v>3.0764092315536222E-3</v>
      </c>
      <c r="T196" s="83">
        <v>1</v>
      </c>
      <c r="U196" s="987">
        <f t="shared" ref="U196:U200" si="137">K196/J196</f>
        <v>0.82060855373471353</v>
      </c>
      <c r="V196" s="83">
        <v>20</v>
      </c>
      <c r="W196" s="66">
        <v>1</v>
      </c>
      <c r="X196" s="866"/>
      <c r="Y196" s="928">
        <f t="shared" ref="Y196:Y200" si="138">ABS((K196)*S196*1000*$B$2)</f>
        <v>4.6405315415414678E-8</v>
      </c>
      <c r="Z196" s="929">
        <f t="shared" ref="Z196:Z200" si="139">ABS((J196)*S196*1000*$B$2)</f>
        <v>5.6549880212943284E-8</v>
      </c>
      <c r="AA196" s="866"/>
      <c r="AB196" s="914" t="s">
        <v>393</v>
      </c>
      <c r="AC196" s="914" t="str">
        <f t="shared" ref="AC196:AC200" si="140">N196</f>
        <v>WH_Det-C_PEA_X1</v>
      </c>
      <c r="AD196" s="915" t="str">
        <f t="shared" ref="AD196:AD200" si="141">O196</f>
        <v>Residential Water Heating Detached-C_Peat to Residential_Existing 01</v>
      </c>
      <c r="AE196" s="914" t="s">
        <v>53</v>
      </c>
      <c r="AF196" s="916" t="s">
        <v>406</v>
      </c>
      <c r="AG196" s="914"/>
      <c r="AH196" s="914"/>
      <c r="AI196" s="840"/>
      <c r="AJ196" s="840"/>
      <c r="AK196" s="840"/>
      <c r="AL196" s="840"/>
      <c r="AM196" s="840"/>
      <c r="AN196" s="840"/>
      <c r="AO196" s="840"/>
    </row>
    <row r="197" spans="1:41">
      <c r="A197" s="973" t="s">
        <v>116</v>
      </c>
      <c r="B197" s="758" t="s">
        <v>666</v>
      </c>
      <c r="C197" s="758">
        <f>SUMIFS(INDEX(Table915[],,MATCH(C$136,Table915[#Headers],0)),Table915[MainWaterHeatingFuel],$B197,Table915[EnergyRating (group)],$A197)</f>
        <v>258860</v>
      </c>
      <c r="D197" s="758">
        <f>SUMIFS(INDEX(Table915[],,MATCH(D$136,Table915[#Headers],0)),Table915[MainWaterHeatingFuel],$B197,Table915[EnergyRating (group)],$A197)</f>
        <v>235325</v>
      </c>
      <c r="E197" s="758">
        <f>SUMIFS(INDEX(Table915[],,MATCH(E$136,Table915[#Headers],0)),Table915[MainWaterHeatingFuel],$B197,Table915[EnergyRating (group)],$A197)</f>
        <v>81951</v>
      </c>
      <c r="F197" s="758">
        <f>SUMIFS(INDEX(Table915[],,MATCH(F$136,Table915[#Headers],0)),Table915[MainWaterHeatingFuel],$B197,Table915[EnergyRating (group)],$A197)</f>
        <v>30351</v>
      </c>
      <c r="G197" s="758">
        <f>SUMIFS(INDEX(Table915[],,MATCH(G$136,Table915[#Headers],0)),Table915[MainWaterHeatingFuel],$B197,Table915[EnergyRating (group)],$A197)</f>
        <v>57</v>
      </c>
      <c r="H197" s="758">
        <f>SUMIFS(INDEX(Table915[],,MATCH(H$136,Table915[#Headers],0)),Table915[MainWaterHeatingFuel],$B197,Table915[EnergyRating (group)],$A197)</f>
        <v>5643</v>
      </c>
      <c r="I197" s="960"/>
      <c r="J197" s="980">
        <f t="shared" si="136"/>
        <v>340811</v>
      </c>
      <c r="K197" s="981">
        <f t="shared" si="136"/>
        <v>265676</v>
      </c>
      <c r="L197" s="840"/>
      <c r="M197" s="840"/>
      <c r="N197" s="914" t="str">
        <f>RSD_Commodities!$M$85&amp;"_"&amp;RIGHT(P197,LEN(P197)-3)&amp;"_"&amp;SETUP!$B$67</f>
        <v>WH_Det-C_COABIT_X0</v>
      </c>
      <c r="O197" s="914" t="str">
        <f>RSD_Commodities!$N$85&amp;"_"&amp;RSD_Commodities!D6&amp;"_"&amp;SETUP!$C$67</f>
        <v>Residential Water Heating Detached-C_Bituminous Coal to Residential_Existing 00</v>
      </c>
      <c r="P197" s="915" t="str">
        <f>RSD_Commodities!$C$6</f>
        <v>RSDCOABIT</v>
      </c>
      <c r="Q197" s="914" t="str">
        <f>RSD_Commodities!$M$85</f>
        <v>WH_Det-C</v>
      </c>
      <c r="R197" s="984">
        <f t="shared" si="132"/>
        <v>3.5201264775267714E-4</v>
      </c>
      <c r="S197" s="914">
        <f>R197*DwellingStocks!$I$66/1000</f>
        <v>2.5050760885508061E-2</v>
      </c>
      <c r="T197" s="915">
        <v>1</v>
      </c>
      <c r="U197" s="986">
        <f t="shared" si="137"/>
        <v>0.77954056647232628</v>
      </c>
      <c r="V197" s="915">
        <v>20</v>
      </c>
      <c r="W197" s="914">
        <v>1</v>
      </c>
      <c r="X197" s="866"/>
      <c r="Y197" s="926">
        <f t="shared" si="138"/>
        <v>2.7350901160348931E-6</v>
      </c>
      <c r="Z197" s="927">
        <f t="shared" si="139"/>
        <v>3.5085924115688587E-6</v>
      </c>
      <c r="AA197" s="866"/>
      <c r="AB197" s="66" t="s">
        <v>393</v>
      </c>
      <c r="AC197" s="66" t="str">
        <f t="shared" si="140"/>
        <v>WH_Det-C_COABIT_X0</v>
      </c>
      <c r="AD197" s="83" t="str">
        <f t="shared" si="141"/>
        <v>Residential Water Heating Detached-C_Bituminous Coal to Residential_Existing 00</v>
      </c>
      <c r="AE197" s="66" t="s">
        <v>53</v>
      </c>
      <c r="AF197" s="88" t="s">
        <v>406</v>
      </c>
      <c r="AG197" s="66"/>
      <c r="AH197" s="66"/>
      <c r="AI197" s="840"/>
      <c r="AJ197" s="840"/>
      <c r="AK197" s="840"/>
      <c r="AL197" s="840"/>
      <c r="AM197" s="840"/>
      <c r="AN197" s="840"/>
      <c r="AO197" s="840"/>
    </row>
    <row r="198" spans="1:41">
      <c r="A198" s="972" t="s">
        <v>116</v>
      </c>
      <c r="B198" s="757" t="s">
        <v>673</v>
      </c>
      <c r="C198" s="757">
        <f>SUMIFS(INDEX(Table915[],,MATCH(C$136,Table915[#Headers],0)),Table915[MainWaterHeatingFuel],$B198,Table915[EnergyRating (group)],$A198)</f>
        <v>80677</v>
      </c>
      <c r="D198" s="757">
        <f>SUMIFS(INDEX(Table915[],,MATCH(D$136,Table915[#Headers],0)),Table915[MainWaterHeatingFuel],$B198,Table915[EnergyRating (group)],$A198)</f>
        <v>73343</v>
      </c>
      <c r="E198" s="757">
        <f>SUMIFS(INDEX(Table915[],,MATCH(E$136,Table915[#Headers],0)),Table915[MainWaterHeatingFuel],$B198,Table915[EnergyRating (group)],$A198)</f>
        <v>26923</v>
      </c>
      <c r="F198" s="757">
        <f>SUMIFS(INDEX(Table915[],,MATCH(F$136,Table915[#Headers],0)),Table915[MainWaterHeatingFuel],$B198,Table915[EnergyRating (group)],$A198)</f>
        <v>9972</v>
      </c>
      <c r="G198" s="757">
        <f>SUMIFS(INDEX(Table915[],,MATCH(G$136,Table915[#Headers],0)),Table915[MainWaterHeatingFuel],$B198,Table915[EnergyRating (group)],$A198)</f>
        <v>17</v>
      </c>
      <c r="H198" s="757">
        <f>SUMIFS(INDEX(Table915[],,MATCH(H$136,Table915[#Headers],0)),Table915[MainWaterHeatingFuel],$B198,Table915[EnergyRating (group)],$A198)</f>
        <v>1990</v>
      </c>
      <c r="I198" s="961"/>
      <c r="J198" s="978">
        <f t="shared" si="136"/>
        <v>107600</v>
      </c>
      <c r="K198" s="979">
        <f t="shared" si="136"/>
        <v>83315</v>
      </c>
      <c r="L198" s="840"/>
      <c r="M198" s="840"/>
      <c r="N198" s="66" t="str">
        <f>RSD_Commodities!$M$85&amp;"_"&amp;RIGHT(P198,LEN(P198)-3)&amp;"_"&amp;SETUP!$B$68</f>
        <v>WH_Det-C_BIOWOO_X1</v>
      </c>
      <c r="O198" s="66" t="str">
        <f>RSD_Commodities!$N$85&amp;"_"&amp;RSD_Commodities!D19&amp;"_"&amp;SETUP!$C$68</f>
        <v>Residential Water Heating Detached-C_Biomass &amp; Renewable Waste to Residential_Existing 01</v>
      </c>
      <c r="P198" s="83" t="str">
        <f>RSD_Commodities!$C$19</f>
        <v>RSDBIOWOO</v>
      </c>
      <c r="Q198" s="66" t="str">
        <f>RSD_Commodities!$M$85</f>
        <v>WH_Det-C</v>
      </c>
      <c r="R198" s="985">
        <f t="shared" si="132"/>
        <v>1.0498622827711424E-4</v>
      </c>
      <c r="S198" s="66">
        <f>R198*DwellingStocks!$I$66/1000</f>
        <v>7.4712795623445103E-3</v>
      </c>
      <c r="T198" s="83">
        <v>1</v>
      </c>
      <c r="U198" s="987">
        <f t="shared" si="137"/>
        <v>0.77430297397769521</v>
      </c>
      <c r="V198" s="83">
        <v>20</v>
      </c>
      <c r="W198" s="66">
        <v>1</v>
      </c>
      <c r="X198" s="866"/>
      <c r="Y198" s="928">
        <f t="shared" si="138"/>
        <v>2.5580944797399987E-7</v>
      </c>
      <c r="Z198" s="929">
        <f t="shared" si="139"/>
        <v>3.3037384146915183E-7</v>
      </c>
      <c r="AA198" s="866"/>
      <c r="AB198" s="914" t="s">
        <v>393</v>
      </c>
      <c r="AC198" s="914" t="str">
        <f t="shared" si="140"/>
        <v>WH_Det-C_BIOWOO_X1</v>
      </c>
      <c r="AD198" s="915" t="str">
        <f t="shared" si="141"/>
        <v>Residential Water Heating Detached-C_Biomass &amp; Renewable Waste to Residential_Existing 01</v>
      </c>
      <c r="AE198" s="914" t="s">
        <v>53</v>
      </c>
      <c r="AF198" s="916" t="s">
        <v>406</v>
      </c>
      <c r="AG198" s="914"/>
      <c r="AH198" s="914"/>
      <c r="AI198" s="840"/>
      <c r="AJ198" s="840"/>
      <c r="AK198" s="840"/>
      <c r="AL198" s="840"/>
      <c r="AM198" s="840"/>
      <c r="AN198" s="840"/>
      <c r="AO198" s="840"/>
    </row>
    <row r="199" spans="1:41">
      <c r="A199" s="973" t="s">
        <v>116</v>
      </c>
      <c r="B199" s="758" t="s">
        <v>722</v>
      </c>
      <c r="C199" s="758">
        <f>SUMIFS(INDEX(Table915[],,MATCH(C$136,Table915[#Headers],0)),Table915[MainWaterHeatingFuel],$B199,Table915[EnergyRating (group)],$A199)</f>
        <v>14635</v>
      </c>
      <c r="D199" s="758">
        <f>SUMIFS(INDEX(Table915[],,MATCH(D$136,Table915[#Headers],0)),Table915[MainWaterHeatingFuel],$B199,Table915[EnergyRating (group)],$A199)</f>
        <v>13304</v>
      </c>
      <c r="E199" s="759">
        <f>SUMIFS(INDEX(Table915[],,MATCH(E$136,Table915[#Headers],0)),Table915[MainWaterHeatingFuel],$B199,Table915[EnergyRating (group)],$A199)</f>
        <v>2282</v>
      </c>
      <c r="F199" s="759">
        <f>SUMIFS(INDEX(Table915[],,MATCH(F$136,Table915[#Headers],0)),Table915[MainWaterHeatingFuel],$B199,Table915[EnergyRating (group)],$A199)</f>
        <v>845</v>
      </c>
      <c r="G199" s="758">
        <f>SUMIFS(INDEX(Table915[],,MATCH(G$136,Table915[#Headers],0)),Table915[MainWaterHeatingFuel],$B199,Table915[EnergyRating (group)],$A199)</f>
        <v>3</v>
      </c>
      <c r="H199" s="758">
        <f>SUMIFS(INDEX(Table915[],,MATCH(H$136,Table915[#Headers],0)),Table915[MainWaterHeatingFuel],$B199,Table915[EnergyRating (group)],$A199)</f>
        <v>238</v>
      </c>
      <c r="I199" s="960"/>
      <c r="J199" s="980">
        <f t="shared" si="136"/>
        <v>16917</v>
      </c>
      <c r="K199" s="981">
        <f t="shared" si="136"/>
        <v>14149</v>
      </c>
      <c r="L199" s="840"/>
      <c r="M199" s="840"/>
      <c r="N199" s="914" t="str">
        <f>RSD_Commodities!$M$85&amp;"_"&amp;RIGHT(P199,LEN(P199)-3)&amp;"_"&amp;SETUP!$B$68</f>
        <v>WH_Det-C_BIOWOO_X1</v>
      </c>
      <c r="O199" s="914" t="str">
        <f>RSD_Commodities!$N$85&amp;"_"&amp;RSD_Commodities!D19&amp;"_"&amp;SETUP!$C$68</f>
        <v>Residential Water Heating Detached-C_Biomass &amp; Renewable Waste to Residential_Existing 01</v>
      </c>
      <c r="P199" s="915" t="str">
        <f>RSD_Commodities!$C$19</f>
        <v>RSDBIOWOO</v>
      </c>
      <c r="Q199" s="914" t="str">
        <f>RSD_Commodities!$M$85</f>
        <v>WH_Det-C</v>
      </c>
      <c r="R199" s="984">
        <f t="shared" si="132"/>
        <v>1.8526981460667219E-5</v>
      </c>
      <c r="S199" s="914">
        <f>R199*DwellingStocks!$I$66/1000</f>
        <v>1.3184610992372666E-3</v>
      </c>
      <c r="T199" s="915">
        <v>1</v>
      </c>
      <c r="U199" s="986">
        <f t="shared" si="137"/>
        <v>0.83637760832298869</v>
      </c>
      <c r="V199" s="915">
        <v>20</v>
      </c>
      <c r="W199" s="914">
        <v>1</v>
      </c>
      <c r="X199" s="866"/>
      <c r="Y199" s="926">
        <f t="shared" si="138"/>
        <v>7.6663997642909958E-9</v>
      </c>
      <c r="Z199" s="927">
        <f t="shared" si="139"/>
        <v>9.1661944174507563E-9</v>
      </c>
      <c r="AA199" s="866"/>
      <c r="AB199" s="66" t="s">
        <v>393</v>
      </c>
      <c r="AC199" s="66" t="str">
        <f t="shared" si="140"/>
        <v>WH_Det-C_BIOWOO_X1</v>
      </c>
      <c r="AD199" s="83" t="str">
        <f t="shared" si="141"/>
        <v>Residential Water Heating Detached-C_Biomass &amp; Renewable Waste to Residential_Existing 01</v>
      </c>
      <c r="AE199" s="66" t="s">
        <v>53</v>
      </c>
      <c r="AF199" s="88" t="s">
        <v>406</v>
      </c>
      <c r="AG199" s="66"/>
      <c r="AH199" s="66"/>
      <c r="AI199" s="840"/>
      <c r="AJ199" s="840"/>
      <c r="AK199" s="840"/>
      <c r="AL199" s="840"/>
      <c r="AM199" s="840"/>
      <c r="AN199" s="840"/>
      <c r="AO199" s="840"/>
    </row>
    <row r="200" spans="1:41" ht="15.75" thickBot="1">
      <c r="A200" s="972" t="s">
        <v>116</v>
      </c>
      <c r="B200" s="757" t="s">
        <v>674</v>
      </c>
      <c r="C200" s="757">
        <f>SUMIFS(INDEX(Table915[],,MATCH(C$136,Table915[#Headers],0)),Table915[MainWaterHeatingFuel],$B200,Table915[EnergyRating (group)],$A200)</f>
        <v>11396</v>
      </c>
      <c r="D200" s="757">
        <f>SUMIFS(INDEX(Table915[],,MATCH(D$136,Table915[#Headers],0)),Table915[MainWaterHeatingFuel],$B200,Table915[EnergyRating (group)],$A200)</f>
        <v>10361</v>
      </c>
      <c r="E200" s="760">
        <f>SUMIFS(INDEX(Table915[],,MATCH(E$136,Table915[#Headers],0)),Table915[MainWaterHeatingFuel],$B200,Table915[EnergyRating (group)],$A200)</f>
        <v>4749</v>
      </c>
      <c r="F200" s="760">
        <f>SUMIFS(INDEX(Table915[],,MATCH(F$136,Table915[#Headers],0)),Table915[MainWaterHeatingFuel],$B200,Table915[EnergyRating (group)],$A200)</f>
        <v>1759</v>
      </c>
      <c r="G200" s="757">
        <f>SUMIFS(INDEX(Table915[],,MATCH(G$136,Table915[#Headers],0)),Table915[MainWaterHeatingFuel],$B200,Table915[EnergyRating (group)],$A200)</f>
        <v>3</v>
      </c>
      <c r="H200" s="757">
        <f>SUMIFS(INDEX(Table915[],,MATCH(H$136,Table915[#Headers],0)),Table915[MainWaterHeatingFuel],$B200,Table915[EnergyRating (group)],$A200)</f>
        <v>306</v>
      </c>
      <c r="I200" s="959"/>
      <c r="J200" s="991">
        <f t="shared" si="136"/>
        <v>16145</v>
      </c>
      <c r="K200" s="992">
        <f t="shared" si="136"/>
        <v>12120</v>
      </c>
      <c r="L200" s="840"/>
      <c r="M200" s="840"/>
      <c r="N200" s="66" t="str">
        <f>RSD_Commodities!$M$85&amp;"_"&amp;RIGHT(P200,LEN(P200)-3)&amp;"_"&amp;SETUP!$B$68</f>
        <v>WH_Det-C_COAHAR_X1</v>
      </c>
      <c r="O200" s="66" t="str">
        <f>RSD_Commodities!$N$85&amp;"_"&amp;RSD_Commodities!D7&amp;"_"&amp;SETUP!$C$68</f>
        <v>Residential Water Heating Detached-C_Anthracite + Manufactured Ovoids to Residential_Existing 01</v>
      </c>
      <c r="P200" s="83" t="str">
        <f>RSD_Commodities!$C$7</f>
        <v>RSDCOAHAR</v>
      </c>
      <c r="Q200" s="66" t="str">
        <f>RSD_Commodities!$M$85</f>
        <v>WH_Det-C</v>
      </c>
      <c r="R200" s="985">
        <f t="shared" si="132"/>
        <v>1.8526981460667219E-5</v>
      </c>
      <c r="S200" s="66">
        <f>R200*DwellingStocks!$I$66/1000</f>
        <v>1.3184610992372666E-3</v>
      </c>
      <c r="T200" s="83">
        <v>1</v>
      </c>
      <c r="U200" s="987">
        <f t="shared" si="137"/>
        <v>0.75069681015794365</v>
      </c>
      <c r="V200" s="83">
        <v>20</v>
      </c>
      <c r="W200" s="66">
        <v>1</v>
      </c>
      <c r="X200" s="866"/>
      <c r="Y200" s="928">
        <f t="shared" si="138"/>
        <v>6.5670199408584953E-9</v>
      </c>
      <c r="Z200" s="929">
        <f t="shared" si="139"/>
        <v>8.747899087884523E-9</v>
      </c>
      <c r="AA200" s="866"/>
      <c r="AB200" s="914" t="s">
        <v>393</v>
      </c>
      <c r="AC200" s="914" t="str">
        <f t="shared" si="140"/>
        <v>WH_Det-C_COAHAR_X1</v>
      </c>
      <c r="AD200" s="915" t="str">
        <f t="shared" si="141"/>
        <v>Residential Water Heating Detached-C_Anthracite + Manufactured Ovoids to Residential_Existing 01</v>
      </c>
      <c r="AE200" s="914" t="s">
        <v>53</v>
      </c>
      <c r="AF200" s="916" t="s">
        <v>406</v>
      </c>
      <c r="AG200" s="914"/>
      <c r="AH200" s="914"/>
      <c r="AI200" s="840"/>
      <c r="AJ200" s="840"/>
      <c r="AK200" s="840"/>
      <c r="AL200" s="840"/>
      <c r="AM200" s="840"/>
      <c r="AN200" s="840"/>
      <c r="AO200" s="840"/>
    </row>
    <row r="201" spans="1:41" ht="15.75" thickBot="1">
      <c r="A201" s="756" t="s">
        <v>118</v>
      </c>
      <c r="B201" s="1048"/>
      <c r="C201" s="1049"/>
      <c r="D201" s="1049"/>
      <c r="E201" s="1049"/>
      <c r="F201" s="1049"/>
      <c r="G201" s="1049"/>
      <c r="H201" s="1049"/>
      <c r="I201" s="1049"/>
      <c r="J201" s="1050"/>
      <c r="K201" s="1051"/>
      <c r="L201" s="840"/>
      <c r="M201" s="840"/>
      <c r="N201" s="76" t="str">
        <f>AB201</f>
        <v>*D Rating</v>
      </c>
      <c r="O201" s="76"/>
      <c r="P201" s="76"/>
      <c r="Q201" s="76"/>
      <c r="R201" s="949">
        <f>SUM(R202:R217)</f>
        <v>1</v>
      </c>
      <c r="S201" s="76"/>
      <c r="T201" s="97"/>
      <c r="U201" s="76"/>
      <c r="V201" s="76"/>
      <c r="W201" s="76"/>
      <c r="X201" s="840"/>
      <c r="Y201" s="76"/>
      <c r="Z201" s="76"/>
      <c r="AA201" s="840"/>
      <c r="AB201" s="140" t="str">
        <f>"*"&amp; A202 &amp; " Rating"</f>
        <v>*D Rating</v>
      </c>
      <c r="AC201" s="141"/>
      <c r="AD201" s="141"/>
      <c r="AE201" s="141"/>
      <c r="AF201" s="141"/>
      <c r="AG201" s="141"/>
      <c r="AH201" s="141"/>
      <c r="AI201" s="840"/>
      <c r="AJ201" s="840"/>
      <c r="AK201" s="840"/>
      <c r="AL201" s="840"/>
      <c r="AM201" s="840"/>
      <c r="AN201" s="840"/>
      <c r="AO201" s="840"/>
    </row>
    <row r="202" spans="1:41">
      <c r="A202" s="972" t="s">
        <v>118</v>
      </c>
      <c r="B202" s="757" t="s">
        <v>582</v>
      </c>
      <c r="C202" s="757">
        <f>SUMIFS(INDEX(Table915[],,MATCH(C$136,Table915[#Headers],0)),Table915[MainWaterHeatingFuel],$B202,Table915[EnergyRating (group)],$A202)</f>
        <v>1920184</v>
      </c>
      <c r="D202" s="757">
        <f>SUMIFS(INDEX(Table915[],,MATCH(D$136,Table915[#Headers],0)),Table915[MainWaterHeatingFuel],$B202,Table915[EnergyRating (group)],$A202)</f>
        <v>1745621</v>
      </c>
      <c r="E202" s="760">
        <f>SUMIFS(INDEX(Table915[],,MATCH(E$136,Table915[#Headers],0)),Table915[MainWaterHeatingFuel],$B202,Table915[EnergyRating (group)],$A202)</f>
        <v>471529</v>
      </c>
      <c r="F202" s="760">
        <f>SUMIFS(INDEX(Table915[],,MATCH(F$136,Table915[#Headers],0)),Table915[MainWaterHeatingFuel],$B202,Table915[EnergyRating (group)],$A202)</f>
        <v>174639</v>
      </c>
      <c r="G202" s="757">
        <f>SUMIFS(INDEX(Table915[],,MATCH(G$136,Table915[#Headers],0)),Table915[MainWaterHeatingFuel],$B202,Table915[EnergyRating (group)],$A202)</f>
        <v>403</v>
      </c>
      <c r="H202" s="757">
        <f>SUMIFS(INDEX(Table915[],,MATCH(H$136,Table915[#Headers],0)),Table915[MainWaterHeatingFuel],$B202,Table915[EnergyRating (group)],$A202)</f>
        <v>40199</v>
      </c>
      <c r="I202" s="959"/>
      <c r="J202" s="989">
        <f t="shared" ref="J202:K207" si="142">C202+E202</f>
        <v>2391713</v>
      </c>
      <c r="K202" s="990">
        <f t="shared" si="142"/>
        <v>1920260</v>
      </c>
      <c r="L202" s="840"/>
      <c r="M202" s="840"/>
      <c r="N202" s="914" t="str">
        <f>RSD_Commodities!$M$86&amp;"_"&amp;RIGHT(P202,LEN(P202)-3)&amp;"_"&amp;SETUP!$B$67</f>
        <v>WH_Det-D_OILLPG_X0</v>
      </c>
      <c r="O202" s="914" t="str">
        <f>RSD_Commodities!$N$86&amp;"_"&amp;RSD_Commodities!D11&amp;"_"&amp;SETUP!$C$67</f>
        <v>Residential Water Heating Detached-D_LPG to Residential_Existing 00</v>
      </c>
      <c r="P202" s="915" t="str">
        <f>RSD_Commodities!$C$11</f>
        <v>RSDOILLPG</v>
      </c>
      <c r="Q202" s="914" t="str">
        <f>RSD_Commodities!$M$68</f>
        <v>WH_Apt-D</v>
      </c>
      <c r="R202" s="984">
        <f>G202/SUM($G$202:$G$217)</f>
        <v>4.2256474782426338E-3</v>
      </c>
      <c r="S202" s="914">
        <f>R202*DwellingStocks!$I$67/1000</f>
        <v>0.20067147562032059</v>
      </c>
      <c r="T202" s="915">
        <v>1</v>
      </c>
      <c r="U202" s="986">
        <f t="shared" ref="U202:U212" si="143">K202/J202</f>
        <v>0.80288061318393966</v>
      </c>
      <c r="V202" s="915">
        <v>20</v>
      </c>
      <c r="W202" s="914">
        <v>1</v>
      </c>
      <c r="X202" s="866"/>
      <c r="Y202" s="928">
        <f t="shared" ref="Y202:Y212" si="144">ABS((K202)*S202*1000*$B$2)</f>
        <v>1.5835948264712748E-4</v>
      </c>
      <c r="Z202" s="928">
        <f t="shared" ref="Z202:Z212" si="145">ABS((J202)*S202*1000*$B$2)</f>
        <v>1.9723914122067284E-4</v>
      </c>
      <c r="AA202" s="866"/>
      <c r="AB202" s="914" t="s">
        <v>393</v>
      </c>
      <c r="AC202" s="914" t="str">
        <f t="shared" ref="AC202:AD212" si="146">N202</f>
        <v>WH_Det-D_OILLPG_X0</v>
      </c>
      <c r="AD202" s="915" t="str">
        <f t="shared" si="146"/>
        <v>Residential Water Heating Detached-D_LPG to Residential_Existing 00</v>
      </c>
      <c r="AE202" s="914" t="s">
        <v>53</v>
      </c>
      <c r="AF202" s="916" t="s">
        <v>406</v>
      </c>
      <c r="AG202" s="914"/>
      <c r="AH202" s="914"/>
      <c r="AI202" s="840"/>
      <c r="AJ202" s="840"/>
      <c r="AK202" s="840"/>
      <c r="AL202" s="840"/>
      <c r="AM202" s="840"/>
      <c r="AN202" s="840"/>
      <c r="AO202" s="840"/>
    </row>
    <row r="203" spans="1:41">
      <c r="A203" s="973" t="s">
        <v>118</v>
      </c>
      <c r="B203" s="758" t="s">
        <v>228</v>
      </c>
      <c r="C203" s="758">
        <f>SUMIFS(INDEX(Table915[],,MATCH(C$136,Table915[#Headers],0)),Table915[MainWaterHeatingFuel],$B203,Table915[EnergyRating (group)],$A203)</f>
        <v>48363142</v>
      </c>
      <c r="D203" s="758">
        <f>SUMIFS(INDEX(Table915[],,MATCH(D$136,Table915[#Headers],0)),Table915[MainWaterHeatingFuel],$B203,Table915[EnergyRating (group)],$A203)</f>
        <v>17912270</v>
      </c>
      <c r="E203" s="758">
        <f>SUMIFS(INDEX(Table915[],,MATCH(E$136,Table915[#Headers],0)),Table915[MainWaterHeatingFuel],$B203,Table915[EnergyRating (group)],$A203)</f>
        <v>130392</v>
      </c>
      <c r="F203" s="758">
        <f>SUMIFS(INDEX(Table915[],,MATCH(F$136,Table915[#Headers],0)),Table915[MainWaterHeatingFuel],$B203,Table915[EnergyRating (group)],$A203)</f>
        <v>48293</v>
      </c>
      <c r="G203" s="758">
        <f>SUMIFS(INDEX(Table915[],,MATCH(G$136,Table915[#Headers],0)),Table915[MainWaterHeatingFuel],$B203,Table915[EnergyRating (group)],$A203)</f>
        <v>6746</v>
      </c>
      <c r="H203" s="758">
        <f>SUMIFS(INDEX(Table915[],,MATCH(H$136,Table915[#Headers],0)),Table915[MainWaterHeatingFuel],$B203,Table915[EnergyRating (group)],$A203)</f>
        <v>617940</v>
      </c>
      <c r="I203" s="960"/>
      <c r="J203" s="980">
        <f t="shared" si="142"/>
        <v>48493534</v>
      </c>
      <c r="K203" s="981">
        <f t="shared" si="142"/>
        <v>17960563</v>
      </c>
      <c r="L203" s="840"/>
      <c r="M203" s="840"/>
      <c r="N203" s="66" t="str">
        <f>RSD_Commodities!$M$86&amp;"_"&amp;RIGHT(P203,LEN(P203)-3)&amp;"_"&amp;SETUP!$B$67</f>
        <v>WH_Det-D_ELCD_X0</v>
      </c>
      <c r="O203" s="66" t="str">
        <f>RSD_Commodities!$N$86&amp;"_"&amp;RSD_Commodities!D27&amp;"_"&amp;SETUP!$C$67</f>
        <v>Residential Water Heating Detached-D_Electricity to Residential_Existing 00</v>
      </c>
      <c r="P203" s="83" t="str">
        <f>RSD_Commodities!$C$27</f>
        <v>RSDELCD</v>
      </c>
      <c r="Q203" s="66" t="str">
        <f>RSD_Commodities!$M$68</f>
        <v>WH_Apt-D</v>
      </c>
      <c r="R203" s="985">
        <f t="shared" ref="R203:R217" si="147">G203/SUM($G$202:$G$217)</f>
        <v>7.0735031980706728E-2</v>
      </c>
      <c r="S203" s="66">
        <f>R203*DwellingStocks!$I$67/1000</f>
        <v>3.3591309541803542</v>
      </c>
      <c r="T203" s="83">
        <v>1</v>
      </c>
      <c r="U203" s="987">
        <f t="shared" si="143"/>
        <v>0.37037026420883246</v>
      </c>
      <c r="V203" s="83">
        <v>20</v>
      </c>
      <c r="W203" s="66">
        <v>1</v>
      </c>
      <c r="X203" s="866"/>
      <c r="Y203" s="926">
        <f t="shared" si="144"/>
        <v>2.4793924573071113E-2</v>
      </c>
      <c r="Z203" s="926">
        <f t="shared" si="145"/>
        <v>6.6943615535752399E-2</v>
      </c>
      <c r="AA203" s="866"/>
      <c r="AB203" s="66" t="s">
        <v>393</v>
      </c>
      <c r="AC203" s="66" t="str">
        <f t="shared" si="146"/>
        <v>WH_Det-D_ELCD_X0</v>
      </c>
      <c r="AD203" s="83" t="str">
        <f t="shared" si="146"/>
        <v>Residential Water Heating Detached-D_Electricity to Residential_Existing 00</v>
      </c>
      <c r="AE203" s="66" t="s">
        <v>53</v>
      </c>
      <c r="AF203" s="88" t="s">
        <v>406</v>
      </c>
      <c r="AG203" s="66"/>
      <c r="AH203" s="66"/>
      <c r="AI203" s="840"/>
      <c r="AJ203" s="840"/>
      <c r="AK203" s="840"/>
      <c r="AL203" s="840"/>
      <c r="AM203" s="840"/>
      <c r="AN203" s="840"/>
      <c r="AO203" s="840"/>
    </row>
    <row r="204" spans="1:41">
      <c r="A204" s="972" t="s">
        <v>118</v>
      </c>
      <c r="B204" s="757" t="s">
        <v>583</v>
      </c>
      <c r="C204" s="757">
        <f>SUMIFS(INDEX(Table915[],,MATCH(C$136,Table915[#Headers],0)),Table915[MainWaterHeatingFuel],$B204,Table915[EnergyRating (group)],$A204)</f>
        <v>153726947</v>
      </c>
      <c r="D204" s="757">
        <f>SUMIFS(INDEX(Table915[],,MATCH(D$136,Table915[#Headers],0)),Table915[MainWaterHeatingFuel],$B204,Table915[EnergyRating (group)],$A204)</f>
        <v>139751768</v>
      </c>
      <c r="E204" s="757">
        <f>SUMIFS(INDEX(Table915[],,MATCH(E$136,Table915[#Headers],0)),Table915[MainWaterHeatingFuel],$B204,Table915[EnergyRating (group)],$A204)</f>
        <v>54293087</v>
      </c>
      <c r="F204" s="757">
        <f>SUMIFS(INDEX(Table915[],,MATCH(F$136,Table915[#Headers],0)),Table915[MainWaterHeatingFuel],$B204,Table915[EnergyRating (group)],$A204)</f>
        <v>20108548</v>
      </c>
      <c r="G204" s="757">
        <f>SUMIFS(INDEX(Table915[],,MATCH(G$136,Table915[#Headers],0)),Table915[MainWaterHeatingFuel],$B204,Table915[EnergyRating (group)],$A204)</f>
        <v>33505</v>
      </c>
      <c r="H204" s="757">
        <f>SUMIFS(INDEX(Table915[],,MATCH(H$136,Table915[#Headers],0)),Table915[MainWaterHeatingFuel],$B204,Table915[EnergyRating (group)],$A204)</f>
        <v>3171413</v>
      </c>
      <c r="I204" s="961"/>
      <c r="J204" s="978">
        <f t="shared" si="142"/>
        <v>208020034</v>
      </c>
      <c r="K204" s="979">
        <f t="shared" si="142"/>
        <v>159860316</v>
      </c>
      <c r="L204" s="840"/>
      <c r="M204" s="840"/>
      <c r="N204" s="914" t="str">
        <f>RSD_Commodities!$M$86&amp;"_"&amp;RIGHT(P204,LEN(P204)-3)&amp;"_"&amp;SETUP!$B$67</f>
        <v>WH_Det-D_OILKER_X0</v>
      </c>
      <c r="O204" s="914" t="str">
        <f>RSD_Commodities!$N$86&amp;"_"&amp;RSD_Commodities!D13&amp;"_"&amp;SETUP!$C$67</f>
        <v>Residential Water Heating Detached-D_Kerosene to Residential_Existing 00</v>
      </c>
      <c r="P204" s="915" t="str">
        <f>RSD_Commodities!$C$13</f>
        <v>RSDOILKER</v>
      </c>
      <c r="Q204" s="914" t="str">
        <f>RSD_Commodities!$M$68</f>
        <v>WH_Apt-D</v>
      </c>
      <c r="R204" s="984">
        <f t="shared" si="147"/>
        <v>0.35131592744049489</v>
      </c>
      <c r="S204" s="914">
        <f>R204*DwellingStocks!$I$67/1000</f>
        <v>16.68361734654799</v>
      </c>
      <c r="T204" s="915">
        <v>1</v>
      </c>
      <c r="U204" s="986">
        <f t="shared" si="143"/>
        <v>0.76848519311365948</v>
      </c>
      <c r="V204" s="915">
        <v>20</v>
      </c>
      <c r="W204" s="914">
        <v>1</v>
      </c>
      <c r="X204" s="866"/>
      <c r="Y204" s="928">
        <f t="shared" si="144"/>
        <v>1.096047263442018</v>
      </c>
      <c r="Z204" s="928">
        <f t="shared" si="145"/>
        <v>1.4262438278103713</v>
      </c>
      <c r="AA204" s="866"/>
      <c r="AB204" s="914" t="s">
        <v>393</v>
      </c>
      <c r="AC204" s="914" t="str">
        <f t="shared" si="146"/>
        <v>WH_Det-D_OILKER_X0</v>
      </c>
      <c r="AD204" s="915" t="str">
        <f t="shared" si="146"/>
        <v>Residential Water Heating Detached-D_Kerosene to Residential_Existing 00</v>
      </c>
      <c r="AE204" s="914" t="s">
        <v>53</v>
      </c>
      <c r="AF204" s="916" t="s">
        <v>406</v>
      </c>
      <c r="AG204" s="914"/>
      <c r="AH204" s="914"/>
      <c r="AI204" s="840"/>
      <c r="AJ204" s="840"/>
      <c r="AK204" s="840"/>
      <c r="AL204" s="840"/>
      <c r="AM204" s="840"/>
      <c r="AN204" s="840"/>
      <c r="AO204" s="840"/>
    </row>
    <row r="205" spans="1:41">
      <c r="A205" s="973" t="s">
        <v>118</v>
      </c>
      <c r="B205" s="758" t="s">
        <v>584</v>
      </c>
      <c r="C205" s="758">
        <f>SUMIFS(INDEX(Table915[],,MATCH(C$136,Table915[#Headers],0)),Table915[MainWaterHeatingFuel],$B205,Table915[EnergyRating (group)],$A205)</f>
        <v>230031622</v>
      </c>
      <c r="D205" s="758">
        <f>SUMIFS(INDEX(Table915[],,MATCH(D$136,Table915[#Headers],0)),Table915[MainWaterHeatingFuel],$B205,Table915[EnergyRating (group)],$A205)</f>
        <v>209119654</v>
      </c>
      <c r="E205" s="759">
        <f>SUMIFS(INDEX(Table915[],,MATCH(E$136,Table915[#Headers],0)),Table915[MainWaterHeatingFuel],$B205,Table915[EnergyRating (group)],$A205)</f>
        <v>54489068</v>
      </c>
      <c r="F205" s="759">
        <f>SUMIFS(INDEX(Table915[],,MATCH(F$136,Table915[#Headers],0)),Table915[MainWaterHeatingFuel],$B205,Table915[EnergyRating (group)],$A205)</f>
        <v>20181137</v>
      </c>
      <c r="G205" s="758">
        <f>SUMIFS(INDEX(Table915[],,MATCH(G$136,Table915[#Headers],0)),Table915[MainWaterHeatingFuel],$B205,Table915[EnergyRating (group)],$A205)</f>
        <v>48469</v>
      </c>
      <c r="H205" s="758">
        <f>SUMIFS(INDEX(Table915[],,MATCH(H$136,Table915[#Headers],0)),Table915[MainWaterHeatingFuel],$B205,Table915[EnergyRating (group)],$A205)</f>
        <v>4662008</v>
      </c>
      <c r="I205" s="960"/>
      <c r="J205" s="980">
        <f t="shared" si="142"/>
        <v>284520690</v>
      </c>
      <c r="K205" s="981">
        <f t="shared" si="142"/>
        <v>229300791</v>
      </c>
      <c r="L205" s="840"/>
      <c r="M205" s="840"/>
      <c r="N205" s="66" t="str">
        <f>RSD_Commodities!$M$86&amp;"_"&amp;RIGHT(P205,LEN(P205)-3)&amp;"_"&amp;SETUP!$B$67</f>
        <v>WH_Det-D_GASNAT_X0</v>
      </c>
      <c r="O205" s="66" t="str">
        <f>RSD_Commodities!$N$86&amp;"_"&amp;RSD_Commodities!D17&amp;"_"&amp;SETUP!$C$67</f>
        <v>Residential Water Heating Detached-D_Natural Gas to Residential_Existing 00</v>
      </c>
      <c r="P205" s="83" t="str">
        <f>RSD_Commodities!$C$17</f>
        <v>RSDGASNAT</v>
      </c>
      <c r="Q205" s="66" t="str">
        <f>RSD_Commodities!$M$68</f>
        <v>WH_Apt-D</v>
      </c>
      <c r="R205" s="985">
        <f t="shared" si="147"/>
        <v>0.50822061444898814</v>
      </c>
      <c r="S205" s="66">
        <f>R205*DwellingStocks!$I$67/1000</f>
        <v>24.134852982236524</v>
      </c>
      <c r="T205" s="83">
        <v>1</v>
      </c>
      <c r="U205" s="987">
        <f t="shared" si="143"/>
        <v>0.80591956599008674</v>
      </c>
      <c r="V205" s="83">
        <v>20</v>
      </c>
      <c r="W205" s="66">
        <v>1</v>
      </c>
      <c r="X205" s="866"/>
      <c r="Y205" s="926">
        <f t="shared" si="144"/>
        <v>2.2743044710255664</v>
      </c>
      <c r="Z205" s="926">
        <f t="shared" si="145"/>
        <v>2.8219993247484227</v>
      </c>
      <c r="AA205" s="866"/>
      <c r="AB205" s="66" t="s">
        <v>393</v>
      </c>
      <c r="AC205" s="66" t="str">
        <f t="shared" si="146"/>
        <v>WH_Det-D_GASNAT_X0</v>
      </c>
      <c r="AD205" s="83" t="str">
        <f t="shared" si="146"/>
        <v>Residential Water Heating Detached-D_Natural Gas to Residential_Existing 00</v>
      </c>
      <c r="AE205" s="66" t="s">
        <v>53</v>
      </c>
      <c r="AF205" s="88" t="s">
        <v>406</v>
      </c>
      <c r="AG205" s="66"/>
      <c r="AH205" s="66"/>
      <c r="AI205" s="840"/>
      <c r="AJ205" s="840"/>
      <c r="AK205" s="840"/>
      <c r="AL205" s="840"/>
      <c r="AM205" s="840"/>
      <c r="AN205" s="840"/>
      <c r="AO205" s="840"/>
    </row>
    <row r="206" spans="1:41">
      <c r="A206" s="972" t="s">
        <v>118</v>
      </c>
      <c r="B206" s="757" t="s">
        <v>585</v>
      </c>
      <c r="C206" s="757">
        <f>SUMIFS(INDEX(Table915[],,MATCH(C$136,Table915[#Headers],0)),Table915[MainWaterHeatingFuel],$B206,Table915[EnergyRating (group)],$A206)</f>
        <v>139174</v>
      </c>
      <c r="D206" s="757">
        <f>SUMIFS(INDEX(Table915[],,MATCH(D$136,Table915[#Headers],0)),Table915[MainWaterHeatingFuel],$B206,Table915[EnergyRating (group)],$A206)</f>
        <v>126521</v>
      </c>
      <c r="E206" s="760">
        <f>SUMIFS(INDEX(Table915[],,MATCH(E$136,Table915[#Headers],0)),Table915[MainWaterHeatingFuel],$B206,Table915[EnergyRating (group)],$A206)</f>
        <v>41502</v>
      </c>
      <c r="F206" s="760">
        <f>SUMIFS(INDEX(Table915[],,MATCH(F$136,Table915[#Headers],0)),Table915[MainWaterHeatingFuel],$B206,Table915[EnergyRating (group)],$A206)</f>
        <v>15371</v>
      </c>
      <c r="G206" s="757">
        <f>SUMIFS(INDEX(Table915[],,MATCH(G$136,Table915[#Headers],0)),Table915[MainWaterHeatingFuel],$B206,Table915[EnergyRating (group)],$A206)</f>
        <v>29</v>
      </c>
      <c r="H206" s="757">
        <f>SUMIFS(INDEX(Table915[],,MATCH(H$136,Table915[#Headers],0)),Table915[MainWaterHeatingFuel],$B206,Table915[EnergyRating (group)],$A206)</f>
        <v>3196</v>
      </c>
      <c r="I206" s="959"/>
      <c r="J206" s="978">
        <f t="shared" si="142"/>
        <v>180676</v>
      </c>
      <c r="K206" s="979">
        <f t="shared" si="142"/>
        <v>141892</v>
      </c>
      <c r="L206" s="840"/>
      <c r="M206" s="840"/>
      <c r="N206" s="914" t="str">
        <f>RSD_Commodities!$M$86&amp;"_"&amp;RIGHT(P206,LEN(P206)-3)&amp;"_"&amp;SETUP!$B$67</f>
        <v>WH_Det-D_BIOWOO_X0</v>
      </c>
      <c r="O206" s="914" t="str">
        <f>RSD_Commodities!$N$86&amp;"_"&amp;RSD_Commodities!D19&amp;"_"&amp;SETUP!$C$67</f>
        <v>Residential Water Heating Detached-D_Biomass &amp; Renewable Waste to Residential_Existing 00</v>
      </c>
      <c r="P206" s="915" t="str">
        <f>RSD_Commodities!$C$19</f>
        <v>RSDBIOWOO</v>
      </c>
      <c r="Q206" s="914" t="str">
        <f>RSD_Commodities!$M$68</f>
        <v>WH_Apt-D</v>
      </c>
      <c r="R206" s="984">
        <f t="shared" si="147"/>
        <v>3.0407885079165354E-4</v>
      </c>
      <c r="S206" s="914">
        <f>R206*DwellingStocks!$I$67/1000</f>
        <v>1.4440379138931257E-2</v>
      </c>
      <c r="T206" s="915">
        <v>1</v>
      </c>
      <c r="U206" s="986">
        <f t="shared" si="143"/>
        <v>0.78533950275631514</v>
      </c>
      <c r="V206" s="915">
        <v>20</v>
      </c>
      <c r="W206" s="914">
        <v>1</v>
      </c>
      <c r="X206" s="866"/>
      <c r="Y206" s="928">
        <f t="shared" si="144"/>
        <v>8.4204422333475383E-7</v>
      </c>
      <c r="Z206" s="928">
        <f t="shared" si="145"/>
        <v>1.0722040854680318E-6</v>
      </c>
      <c r="AA206" s="866"/>
      <c r="AB206" s="914" t="s">
        <v>393</v>
      </c>
      <c r="AC206" s="914" t="str">
        <f t="shared" si="146"/>
        <v>WH_Det-D_BIOWOO_X0</v>
      </c>
      <c r="AD206" s="915" t="str">
        <f t="shared" si="146"/>
        <v>Residential Water Heating Detached-D_Biomass &amp; Renewable Waste to Residential_Existing 00</v>
      </c>
      <c r="AE206" s="914" t="s">
        <v>53</v>
      </c>
      <c r="AF206" s="916" t="s">
        <v>406</v>
      </c>
      <c r="AG206" s="914"/>
      <c r="AH206" s="914"/>
      <c r="AI206" s="840"/>
      <c r="AJ206" s="840"/>
      <c r="AK206" s="840"/>
      <c r="AL206" s="840"/>
      <c r="AM206" s="840"/>
      <c r="AN206" s="840"/>
      <c r="AO206" s="840"/>
    </row>
    <row r="207" spans="1:41">
      <c r="A207" s="973" t="s">
        <v>118</v>
      </c>
      <c r="B207" s="994" t="s">
        <v>587</v>
      </c>
      <c r="C207" s="758">
        <f>SUMIFS(INDEX(Table915[],,MATCH(C136,Table915[#Headers],0)),Table915[MainWaterHeatingFuel],"",Table915[EnergyRating (group)],$A207)</f>
        <v>0</v>
      </c>
      <c r="D207" s="758">
        <f>SUMIFS(INDEX(Table915[],,MATCH(D136,Table915[#Headers],0)),Table915[MainWaterHeatingFuel],"",Table915[EnergyRating (group)],$A207)</f>
        <v>0</v>
      </c>
      <c r="E207" s="758">
        <f>SUMIFS(INDEX(Table915[],,MATCH(E136,Table915[#Headers],0)),Table915[MainWaterHeatingFuel],"",Table915[EnergyRating (group)],$A207)</f>
        <v>85061</v>
      </c>
      <c r="F207" s="758">
        <f>SUMIFS(INDEX(Table915[],,MATCH(F136,Table915[#Headers],0)),Table915[MainWaterHeatingFuel],"",Table915[EnergyRating (group)],$A207)</f>
        <v>31504</v>
      </c>
      <c r="G207" s="758">
        <f>SUMIFS(INDEX(Table915[],,MATCH(G136,Table915[#Headers],0)),Table915[MainWaterHeatingFuel],"",Table915[EnergyRating (group)],$A207)</f>
        <v>203</v>
      </c>
      <c r="H207" s="758">
        <f>SUMIFS(INDEX(Table915[],,MATCH(H136,Table915[#Headers],0)),Table915[MainWaterHeatingFuel],"",Table915[EnergyRating (group)],$A207)</f>
        <v>12545</v>
      </c>
      <c r="I207" s="960"/>
      <c r="J207" s="980">
        <f>C207+E207</f>
        <v>85061</v>
      </c>
      <c r="K207" s="981">
        <f t="shared" si="142"/>
        <v>31504</v>
      </c>
      <c r="L207" s="840"/>
      <c r="M207" s="840"/>
      <c r="N207" s="66" t="str">
        <f>RSD_Commodities!$M$86&amp;"_"&amp;RIGHT(P207,LEN(P207)-3)&amp;"_"&amp;SETUP!$B$67</f>
        <v>WH_Det-D_HET_X0</v>
      </c>
      <c r="O207" s="66" t="str">
        <f>RSD_Commodities!$N$86&amp;"_"&amp;RSD_Commodities!D28&amp;"_"&amp;SETUP!$C$67</f>
        <v>Residential Water Heating Detached-D_Heat to Residential_Existing 00</v>
      </c>
      <c r="P207" s="83" t="str">
        <f>RSD_Commodities!$C$28</f>
        <v>RSDHET</v>
      </c>
      <c r="Q207" s="66" t="str">
        <f>RSD_Commodities!$M$68</f>
        <v>WH_Apt-D</v>
      </c>
      <c r="R207" s="985">
        <f t="shared" si="147"/>
        <v>2.1285519555415749E-3</v>
      </c>
      <c r="S207" s="66">
        <f>R207*DwellingStocks!$I$67/1000</f>
        <v>0.10108265397251881</v>
      </c>
      <c r="T207" s="83">
        <v>1</v>
      </c>
      <c r="U207" s="917">
        <v>1</v>
      </c>
      <c r="V207" s="83">
        <v>20</v>
      </c>
      <c r="W207" s="66">
        <v>1</v>
      </c>
      <c r="X207" s="866"/>
      <c r="Y207" s="926">
        <f t="shared" si="144"/>
        <v>1.3087018893494107E-6</v>
      </c>
      <c r="Z207" s="926">
        <f t="shared" si="145"/>
        <v>3.5335034094067496E-6</v>
      </c>
      <c r="AA207" s="866"/>
      <c r="AB207" s="66" t="s">
        <v>393</v>
      </c>
      <c r="AC207" s="66" t="str">
        <f t="shared" si="146"/>
        <v>WH_Det-D_HET_X0</v>
      </c>
      <c r="AD207" s="83" t="str">
        <f t="shared" si="146"/>
        <v>Residential Water Heating Detached-D_Heat to Residential_Existing 00</v>
      </c>
      <c r="AE207" s="66" t="s">
        <v>53</v>
      </c>
      <c r="AF207" s="88" t="s">
        <v>406</v>
      </c>
      <c r="AG207" s="66"/>
      <c r="AH207" s="66"/>
      <c r="AI207" s="840"/>
      <c r="AJ207" s="840"/>
      <c r="AK207" s="840"/>
      <c r="AL207" s="840"/>
      <c r="AM207" s="840"/>
      <c r="AN207" s="840"/>
      <c r="AO207" s="840"/>
    </row>
    <row r="208" spans="1:41">
      <c r="A208" s="972" t="s">
        <v>118</v>
      </c>
      <c r="B208" s="757" t="s">
        <v>664</v>
      </c>
      <c r="C208" s="757">
        <f>SUMIFS(INDEX(Table915[],,MATCH(C$136,Table915[#Headers],0)),Table915[MainWaterHeatingFuel],$B208,Table915[EnergyRating (group)],$A208)</f>
        <v>424538</v>
      </c>
      <c r="D208" s="757">
        <f>SUMIFS(INDEX(Table915[],,MATCH(D$136,Table915[#Headers],0)),Table915[MainWaterHeatingFuel],$B208,Table915[EnergyRating (group)],$A208)</f>
        <v>385945</v>
      </c>
      <c r="E208" s="760">
        <f>SUMIFS(INDEX(Table915[],,MATCH(E$136,Table915[#Headers],0)),Table915[MainWaterHeatingFuel],$B208,Table915[EnergyRating (group)],$A208)</f>
        <v>109725</v>
      </c>
      <c r="F208" s="760">
        <f>SUMIFS(INDEX(Table915[],,MATCH(F$136,Table915[#Headers],0)),Table915[MainWaterHeatingFuel],$B208,Table915[EnergyRating (group)],$A208)</f>
        <v>40638</v>
      </c>
      <c r="G208" s="757">
        <f>SUMIFS(INDEX(Table915[],,MATCH(G$136,Table915[#Headers],0)),Table915[MainWaterHeatingFuel],$B208,Table915[EnergyRating (group)],$A208)</f>
        <v>88</v>
      </c>
      <c r="H208" s="757">
        <f>SUMIFS(INDEX(Table915[],,MATCH(H$136,Table915[#Headers],0)),Table915[MainWaterHeatingFuel],$B208,Table915[EnergyRating (group)],$A208)</f>
        <v>8803</v>
      </c>
      <c r="I208" s="959"/>
      <c r="J208" s="978">
        <f>C208+E208</f>
        <v>534263</v>
      </c>
      <c r="K208" s="979">
        <f>D208+F208</f>
        <v>426583</v>
      </c>
      <c r="L208" s="840"/>
      <c r="M208" s="840"/>
      <c r="N208" s="914" t="str">
        <f>RSD_Commodities!$M$86&amp;"_"&amp;RIGHT(P208,LEN(P208)-3)&amp;"_"&amp;SETUP!$B$68</f>
        <v>WH_Det-D_OILLPG_X1</v>
      </c>
      <c r="O208" s="914" t="str">
        <f>RSD_Commodities!$N$86&amp;"_"&amp;RSD_Commodities!D11&amp;"_"&amp;SETUP!$C$68</f>
        <v>Residential Water Heating Detached-D_LPG to Residential_Existing 01</v>
      </c>
      <c r="P208" s="930" t="str">
        <f>RSD_Commodities!$C$11</f>
        <v>RSDOILLPG</v>
      </c>
      <c r="Q208" s="914" t="str">
        <f>RSD_Commodities!$M$68</f>
        <v>WH_Apt-D</v>
      </c>
      <c r="R208" s="984">
        <f t="shared" si="147"/>
        <v>9.2272202998846598E-4</v>
      </c>
      <c r="S208" s="914">
        <f>R208*DwellingStocks!$I$67/1000</f>
        <v>4.3819081525032784E-2</v>
      </c>
      <c r="T208" s="915">
        <v>1</v>
      </c>
      <c r="U208" s="986">
        <f t="shared" si="143"/>
        <v>0.79845132453492007</v>
      </c>
      <c r="V208" s="930">
        <v>20</v>
      </c>
      <c r="W208" s="914">
        <v>1</v>
      </c>
      <c r="X208" s="866"/>
      <c r="Y208" s="928">
        <f t="shared" si="144"/>
        <v>7.6818391455587935E-6</v>
      </c>
      <c r="Z208" s="928">
        <f t="shared" si="145"/>
        <v>9.6209235422501074E-6</v>
      </c>
      <c r="AA208" s="866"/>
      <c r="AB208" s="914" t="s">
        <v>393</v>
      </c>
      <c r="AC208" s="914" t="str">
        <f t="shared" si="146"/>
        <v>WH_Det-D_OILLPG_X1</v>
      </c>
      <c r="AD208" s="915" t="str">
        <f t="shared" si="146"/>
        <v>Residential Water Heating Detached-D_LPG to Residential_Existing 01</v>
      </c>
      <c r="AE208" s="914" t="s">
        <v>53</v>
      </c>
      <c r="AF208" s="916" t="s">
        <v>406</v>
      </c>
      <c r="AG208" s="914"/>
      <c r="AH208" s="914"/>
      <c r="AI208" s="840"/>
      <c r="AJ208" s="840"/>
      <c r="AK208" s="840"/>
      <c r="AL208" s="840"/>
      <c r="AM208" s="840"/>
      <c r="AN208" s="840"/>
      <c r="AO208" s="840"/>
    </row>
    <row r="209" spans="1:41">
      <c r="A209" s="973" t="s">
        <v>118</v>
      </c>
      <c r="B209" s="758" t="s">
        <v>665</v>
      </c>
      <c r="C209" s="758">
        <f>SUMIFS(INDEX(Table915[],,MATCH(C$136,Table915[#Headers],0)),Table915[MainWaterHeatingFuel],$B209,Table915[EnergyRating (group)],$A209)</f>
        <v>21782546</v>
      </c>
      <c r="D209" s="758">
        <f>SUMIFS(INDEX(Table915[],,MATCH(D$136,Table915[#Headers],0)),Table915[MainWaterHeatingFuel],$B209,Table915[EnergyRating (group)],$A209)</f>
        <v>19802314</v>
      </c>
      <c r="E209" s="758">
        <f>SUMIFS(INDEX(Table915[],,MATCH(E$136,Table915[#Headers],0)),Table915[MainWaterHeatingFuel],$B209,Table915[EnergyRating (group)],$A209)</f>
        <v>9525556</v>
      </c>
      <c r="F209" s="758">
        <f>SUMIFS(INDEX(Table915[],,MATCH(F$136,Table915[#Headers],0)),Table915[MainWaterHeatingFuel],$B209,Table915[EnergyRating (group)],$A209)</f>
        <v>3527984</v>
      </c>
      <c r="G209" s="758">
        <f>SUMIFS(INDEX(Table915[],,MATCH(G$136,Table915[#Headers],0)),Table915[MainWaterHeatingFuel],$B209,Table915[EnergyRating (group)],$A209)</f>
        <v>4439</v>
      </c>
      <c r="H209" s="758">
        <f>SUMIFS(INDEX(Table915[],,MATCH(H$136,Table915[#Headers],0)),Table915[MainWaterHeatingFuel],$B209,Table915[EnergyRating (group)],$A209)</f>
        <v>372454</v>
      </c>
      <c r="I209" s="960"/>
      <c r="J209" s="980">
        <f t="shared" ref="J209:K212" si="148">C209+E209</f>
        <v>31308102</v>
      </c>
      <c r="K209" s="981">
        <f t="shared" si="148"/>
        <v>23330298</v>
      </c>
      <c r="L209" s="840"/>
      <c r="M209" s="840"/>
      <c r="N209" s="66" t="str">
        <f>RSD_Commodities!$M$86&amp;"_"&amp;RSD_Commodities!$C$26&amp;"_"&amp;SETUP!$B$67</f>
        <v>WH_Det-D_RSDSMF_X0</v>
      </c>
      <c r="O209" s="66" t="str">
        <f>RSD_Commodities!$N$86&amp;"_"&amp;RSD_Commodities!$D$26&amp;"_"&amp;SETUP!$C$67</f>
        <v>Residential Water Heating Detached-D_Solid Multi-Fuel_Existing 00</v>
      </c>
      <c r="P209" s="83" t="str">
        <f>RSD_Commodities!$C$6&amp;","&amp;RSD_Commodities!$C$7&amp;","&amp;RSD_Commodities!$C$9&amp;","&amp;RSD_Commodities!$C$10&amp;","&amp;RSD_Commodities!$C$19</f>
        <v>RSDCOABIT,RSDCOAHAR,RSDCOALIG,RSDPEA,RSDBIOWOO</v>
      </c>
      <c r="Q209" s="66" t="str">
        <f>RSD_Commodities!$M$68</f>
        <v>WH_Apt-D</v>
      </c>
      <c r="R209" s="985">
        <f t="shared" si="147"/>
        <v>4.6545035126350005E-2</v>
      </c>
      <c r="S209" s="66">
        <f>R209*DwellingStocks!$I$67/1000</f>
        <v>2.2103738964729605</v>
      </c>
      <c r="T209" s="83">
        <v>1</v>
      </c>
      <c r="U209" s="987">
        <f t="shared" si="143"/>
        <v>0.74518404213708</v>
      </c>
      <c r="V209" s="83">
        <v>20</v>
      </c>
      <c r="W209" s="66">
        <v>1</v>
      </c>
      <c r="X209" s="840"/>
      <c r="Y209" s="926">
        <f t="shared" si="144"/>
        <v>2.1192608916219997E-2</v>
      </c>
      <c r="Z209" s="926">
        <f t="shared" si="145"/>
        <v>2.843942934612859E-2</v>
      </c>
      <c r="AA209" s="840"/>
      <c r="AB209" s="66" t="s">
        <v>393</v>
      </c>
      <c r="AC209" s="66" t="str">
        <f t="shared" si="146"/>
        <v>WH_Det-D_RSDSMF_X0</v>
      </c>
      <c r="AD209" s="83" t="str">
        <f t="shared" si="146"/>
        <v>Residential Water Heating Detached-D_Solid Multi-Fuel_Existing 00</v>
      </c>
      <c r="AE209" s="66" t="s">
        <v>53</v>
      </c>
      <c r="AF209" s="88" t="s">
        <v>406</v>
      </c>
      <c r="AG209" s="66"/>
      <c r="AH209" s="66"/>
      <c r="AI209" s="840"/>
      <c r="AJ209" s="840"/>
      <c r="AK209" s="840"/>
      <c r="AL209" s="840"/>
      <c r="AM209" s="840"/>
      <c r="AN209" s="840"/>
      <c r="AO209" s="840"/>
    </row>
    <row r="210" spans="1:41">
      <c r="A210" s="972" t="s">
        <v>118</v>
      </c>
      <c r="B210" s="757" t="s">
        <v>669</v>
      </c>
      <c r="C210" s="757">
        <f>SUMIFS(INDEX(Table915[],,MATCH(C$136,Table915[#Headers],0)),Table915[MainWaterHeatingFuel],$B210,Table915[EnergyRating (group)],$A210)</f>
        <v>4454640</v>
      </c>
      <c r="D210" s="757">
        <f>SUMIFS(INDEX(Table915[],,MATCH(D$136,Table915[#Headers],0)),Table915[MainWaterHeatingFuel],$B210,Table915[EnergyRating (group)],$A210)</f>
        <v>3712200</v>
      </c>
      <c r="E210" s="757">
        <f>SUMIFS(INDEX(Table915[],,MATCH(E$136,Table915[#Headers],0)),Table915[MainWaterHeatingFuel],$B210,Table915[EnergyRating (group)],$A210)</f>
        <v>1805309</v>
      </c>
      <c r="F210" s="757">
        <f>SUMIFS(INDEX(Table915[],,MATCH(F$136,Table915[#Headers],0)),Table915[MainWaterHeatingFuel],$B210,Table915[EnergyRating (group)],$A210)</f>
        <v>668632</v>
      </c>
      <c r="G210" s="757">
        <f>SUMIFS(INDEX(Table915[],,MATCH(G$136,Table915[#Headers],0)),Table915[MainWaterHeatingFuel],$B210,Table915[EnergyRating (group)],$A210)</f>
        <v>831</v>
      </c>
      <c r="H210" s="757">
        <f>SUMIFS(INDEX(Table915[],,MATCH(H$136,Table915[#Headers],0)),Table915[MainWaterHeatingFuel],$B210,Table915[EnergyRating (group)],$A210)</f>
        <v>71537</v>
      </c>
      <c r="I210" s="961"/>
      <c r="J210" s="978">
        <f t="shared" si="148"/>
        <v>6259949</v>
      </c>
      <c r="K210" s="979">
        <f t="shared" si="148"/>
        <v>4380832</v>
      </c>
      <c r="L210" s="840"/>
      <c r="M210" s="840"/>
      <c r="N210" s="914" t="str">
        <f>RSD_Commodities!$M$86&amp;"_"&amp;RIGHT(P210,LEN(P210)-3)&amp;"_"&amp;SETUP!$B$67</f>
        <v>WH_Det-D_COAHAR_X0</v>
      </c>
      <c r="O210" s="914" t="str">
        <f>RSD_Commodities!$N$86&amp;"_"&amp;RSD_Commodities!D7&amp;"_"&amp;SETUP!$C$67</f>
        <v>Residential Water Heating Detached-D_Anthracite + Manufactured Ovoids to Residential_Existing 00</v>
      </c>
      <c r="P210" s="915" t="str">
        <f>RSD_Commodities!$C$7</f>
        <v>RSDCOAHAR</v>
      </c>
      <c r="Q210" s="914" t="str">
        <f>RSD_Commodities!$M$68</f>
        <v>WH_Apt-D</v>
      </c>
      <c r="R210" s="984">
        <f t="shared" si="147"/>
        <v>8.7134318968228996E-3</v>
      </c>
      <c r="S210" s="914">
        <f>R210*DwellingStocks!$I$67/1000</f>
        <v>0.41379155394661638</v>
      </c>
      <c r="T210" s="915">
        <v>1</v>
      </c>
      <c r="U210" s="986">
        <f t="shared" si="143"/>
        <v>0.6998191199321272</v>
      </c>
      <c r="V210" s="915">
        <v>20</v>
      </c>
      <c r="W210" s="914">
        <v>1</v>
      </c>
      <c r="X210" s="866"/>
      <c r="Y210" s="928">
        <f t="shared" si="144"/>
        <v>7.4496627980509468E-4</v>
      </c>
      <c r="Z210" s="928">
        <f t="shared" si="145"/>
        <v>1.064512612741055E-3</v>
      </c>
      <c r="AA210" s="866"/>
      <c r="AB210" s="914" t="s">
        <v>393</v>
      </c>
      <c r="AC210" s="914" t="str">
        <f t="shared" si="146"/>
        <v>WH_Det-D_COAHAR_X0</v>
      </c>
      <c r="AD210" s="915" t="str">
        <f t="shared" si="146"/>
        <v>Residential Water Heating Detached-D_Anthracite + Manufactured Ovoids to Residential_Existing 00</v>
      </c>
      <c r="AE210" s="914" t="s">
        <v>53</v>
      </c>
      <c r="AF210" s="916" t="s">
        <v>406</v>
      </c>
      <c r="AG210" s="914"/>
      <c r="AH210" s="914"/>
      <c r="AI210" s="840"/>
      <c r="AJ210" s="840"/>
      <c r="AK210" s="840"/>
      <c r="AL210" s="840"/>
      <c r="AM210" s="840"/>
      <c r="AN210" s="840"/>
      <c r="AO210" s="840"/>
    </row>
    <row r="211" spans="1:41">
      <c r="A211" s="973" t="s">
        <v>118</v>
      </c>
      <c r="B211" s="758" t="s">
        <v>668</v>
      </c>
      <c r="C211" s="758">
        <f>SUMIFS(INDEX(Table915[],,MATCH(C$136,Table915[#Headers],0)),Table915[MainWaterHeatingFuel],$B211,Table915[EnergyRating (group)],$A211)</f>
        <v>39147</v>
      </c>
      <c r="D211" s="758">
        <f>SUMIFS(INDEX(Table915[],,MATCH(D$136,Table915[#Headers],0)),Table915[MainWaterHeatingFuel],$B211,Table915[EnergyRating (group)],$A211)</f>
        <v>35587</v>
      </c>
      <c r="E211" s="759">
        <f>SUMIFS(INDEX(Table915[],,MATCH(E$136,Table915[#Headers],0)),Table915[MainWaterHeatingFuel],$B211,Table915[EnergyRating (group)],$A211)</f>
        <v>9478</v>
      </c>
      <c r="F211" s="759">
        <f>SUMIFS(INDEX(Table915[],,MATCH(F$136,Table915[#Headers],0)),Table915[MainWaterHeatingFuel],$B211,Table915[EnergyRating (group)],$A211)</f>
        <v>3510</v>
      </c>
      <c r="G211" s="758">
        <f>SUMIFS(INDEX(Table915[],,MATCH(G$136,Table915[#Headers],0)),Table915[MainWaterHeatingFuel],$B211,Table915[EnergyRating (group)],$A211)</f>
        <v>9</v>
      </c>
      <c r="H211" s="758">
        <f>SUMIFS(INDEX(Table915[],,MATCH(H$136,Table915[#Headers],0)),Table915[MainWaterHeatingFuel],$B211,Table915[EnergyRating (group)],$A211)</f>
        <v>779</v>
      </c>
      <c r="I211" s="960"/>
      <c r="J211" s="980">
        <f t="shared" si="148"/>
        <v>48625</v>
      </c>
      <c r="K211" s="981">
        <f t="shared" si="148"/>
        <v>39097</v>
      </c>
      <c r="L211" s="840"/>
      <c r="M211" s="840"/>
      <c r="N211" s="933" t="str">
        <f>RSD_Commodities!$M$86&amp;"_"&amp;RIGHT(P211,LEN(P211)-3)&amp;"_"&amp;SETUP!$B$69</f>
        <v>WH_Det-D_BIOWOO_X2</v>
      </c>
      <c r="O211" s="933" t="str">
        <f>RSD_Commodities!$N$86&amp;"_"&amp;RSD_Commodities!D36&amp;"_"&amp;SETUP!$C$69</f>
        <v>Residential Water Heating Detached-D_Residential Cooking_Existing 02</v>
      </c>
      <c r="P211" s="934" t="str">
        <f>RSD_Commodities!$C$19</f>
        <v>RSDBIOWOO</v>
      </c>
      <c r="Q211" s="66" t="str">
        <f>RSD_Commodities!$M$68</f>
        <v>WH_Apt-D</v>
      </c>
      <c r="R211" s="985">
        <f t="shared" si="147"/>
        <v>9.4369298521547655E-5</v>
      </c>
      <c r="S211" s="66">
        <f>R211*DwellingStocks!$I$67/1000</f>
        <v>4.4814969741510807E-3</v>
      </c>
      <c r="T211" s="83">
        <v>1</v>
      </c>
      <c r="U211" s="987">
        <f t="shared" si="143"/>
        <v>0.80405141388174806</v>
      </c>
      <c r="V211" s="83">
        <v>20</v>
      </c>
      <c r="W211" s="66">
        <v>1</v>
      </c>
      <c r="X211" s="866"/>
      <c r="Y211" s="926">
        <f t="shared" si="144"/>
        <v>7.200537830070609E-8</v>
      </c>
      <c r="Z211" s="926">
        <f t="shared" si="145"/>
        <v>8.9553201521135481E-8</v>
      </c>
      <c r="AA211" s="866"/>
      <c r="AB211" s="66" t="s">
        <v>393</v>
      </c>
      <c r="AC211" s="66" t="str">
        <f t="shared" si="146"/>
        <v>WH_Det-D_BIOWOO_X2</v>
      </c>
      <c r="AD211" s="83" t="str">
        <f t="shared" si="146"/>
        <v>Residential Water Heating Detached-D_Residential Cooking_Existing 02</v>
      </c>
      <c r="AE211" s="66" t="s">
        <v>53</v>
      </c>
      <c r="AF211" s="88" t="s">
        <v>406</v>
      </c>
      <c r="AG211" s="66"/>
      <c r="AH211" s="66"/>
      <c r="AI211" s="840"/>
      <c r="AJ211" s="840"/>
      <c r="AK211" s="840"/>
      <c r="AL211" s="840"/>
      <c r="AM211" s="840"/>
      <c r="AN211" s="840"/>
      <c r="AO211" s="840"/>
    </row>
    <row r="212" spans="1:41">
      <c r="A212" s="972" t="s">
        <v>118</v>
      </c>
      <c r="B212" s="757" t="s">
        <v>671</v>
      </c>
      <c r="C212" s="757">
        <f>SUMIFS(INDEX(Table915[],,MATCH(C$136,Table915[#Headers],0)),Table915[MainWaterHeatingFuel],$B212,Table915[EnergyRating (group)],$A212)</f>
        <v>586328</v>
      </c>
      <c r="D212" s="757">
        <f>SUMIFS(INDEX(Table915[],,MATCH(D$136,Table915[#Headers],0)),Table915[MainWaterHeatingFuel],$B212,Table915[EnergyRating (group)],$A212)</f>
        <v>533025</v>
      </c>
      <c r="E212" s="760">
        <f>SUMIFS(INDEX(Table915[],,MATCH(E$136,Table915[#Headers],0)),Table915[MainWaterHeatingFuel],$B212,Table915[EnergyRating (group)],$A212)</f>
        <v>139579</v>
      </c>
      <c r="F212" s="760">
        <f>SUMIFS(INDEX(Table915[],,MATCH(F$136,Table915[#Headers],0)),Table915[MainWaterHeatingFuel],$B212,Table915[EnergyRating (group)],$A212)</f>
        <v>51695</v>
      </c>
      <c r="G212" s="757">
        <f>SUMIFS(INDEX(Table915[],,MATCH(G$136,Table915[#Headers],0)),Table915[MainWaterHeatingFuel],$B212,Table915[EnergyRating (group)],$A212)</f>
        <v>106</v>
      </c>
      <c r="H212" s="757">
        <f>SUMIFS(INDEX(Table915[],,MATCH(H$136,Table915[#Headers],0)),Table915[MainWaterHeatingFuel],$B212,Table915[EnergyRating (group)],$A212)</f>
        <v>8792</v>
      </c>
      <c r="I212" s="959"/>
      <c r="J212" s="978">
        <f t="shared" si="148"/>
        <v>725907</v>
      </c>
      <c r="K212" s="979">
        <f t="shared" si="148"/>
        <v>584720</v>
      </c>
      <c r="L212" s="840"/>
      <c r="M212" s="840"/>
      <c r="N212" s="914" t="str">
        <f>RSD_Commodities!$M$86&amp;"_"&amp;RIGHT(P212,LEN(P212)-3)&amp;"_"&amp;SETUP!$B$67</f>
        <v>WH_Det-D_PEA_X0</v>
      </c>
      <c r="O212" s="914" t="str">
        <f>RSD_Commodities!$N$85&amp;"_"&amp;RSD_Commodities!$D$10&amp;"_"&amp;SETUP!$C$67</f>
        <v>Residential Water Heating Detached-C_Peat to Residential_Existing 00</v>
      </c>
      <c r="P212" s="915" t="str">
        <f>RSD_Commodities!$C$10</f>
        <v>RSDPEA</v>
      </c>
      <c r="Q212" s="914" t="str">
        <f>RSD_Commodities!$M$68</f>
        <v>WH_Apt-D</v>
      </c>
      <c r="R212" s="984">
        <f t="shared" si="147"/>
        <v>1.1114606270315613E-3</v>
      </c>
      <c r="S212" s="914">
        <f>R212*DwellingStocks!$I$67/1000</f>
        <v>5.2782075473334952E-2</v>
      </c>
      <c r="T212" s="915">
        <v>1</v>
      </c>
      <c r="U212" s="986">
        <f t="shared" si="143"/>
        <v>0.80550263325742832</v>
      </c>
      <c r="V212" s="915">
        <v>20</v>
      </c>
      <c r="W212" s="914">
        <v>1</v>
      </c>
      <c r="X212" s="840"/>
      <c r="Y212" s="928">
        <f t="shared" si="144"/>
        <v>1.2683315823603459E-5</v>
      </c>
      <c r="Z212" s="928">
        <f t="shared" si="145"/>
        <v>1.5745840298885821E-5</v>
      </c>
      <c r="AA212" s="840"/>
      <c r="AB212" s="914" t="s">
        <v>393</v>
      </c>
      <c r="AC212" s="914" t="str">
        <f t="shared" si="146"/>
        <v>WH_Det-D_PEA_X0</v>
      </c>
      <c r="AD212" s="915" t="str">
        <f t="shared" si="146"/>
        <v>Residential Water Heating Detached-C_Peat to Residential_Existing 00</v>
      </c>
      <c r="AE212" s="914" t="s">
        <v>53</v>
      </c>
      <c r="AF212" s="916" t="s">
        <v>406</v>
      </c>
      <c r="AG212" s="914"/>
      <c r="AH212" s="914"/>
      <c r="AI212" s="840"/>
      <c r="AJ212" s="840"/>
      <c r="AK212" s="840"/>
      <c r="AL212" s="840"/>
      <c r="AM212" s="840"/>
      <c r="AN212" s="840"/>
      <c r="AO212" s="840"/>
    </row>
    <row r="213" spans="1:41">
      <c r="A213" s="973" t="s">
        <v>118</v>
      </c>
      <c r="B213" s="994" t="s">
        <v>667</v>
      </c>
      <c r="C213" s="758">
        <f>SUMIFS(INDEX(Table915[],,MATCH(C$136,Table915[#Headers],0)),Table915[MainWaterHeatingFuel],$B213,Table915[EnergyRating (group)],$A213)</f>
        <v>215389</v>
      </c>
      <c r="D213" s="758">
        <f>SUMIFS(INDEX(Table915[],,MATCH(D$136,Table915[#Headers],0)),Table915[MainWaterHeatingFuel],$B213,Table915[EnergyRating (group)],$A213)</f>
        <v>195807</v>
      </c>
      <c r="E213" s="758">
        <f>SUMIFS(INDEX(Table915[],,MATCH(E$136,Table915[#Headers],0)),Table915[MainWaterHeatingFuel],$B213,Table915[EnergyRating (group)],$A213)</f>
        <v>55397</v>
      </c>
      <c r="F213" s="758">
        <f>SUMIFS(INDEX(Table915[],,MATCH(F$136,Table915[#Headers],0)),Table915[MainWaterHeatingFuel],$B213,Table915[EnergyRating (group)],$A213)</f>
        <v>20520</v>
      </c>
      <c r="G213" s="758">
        <f>SUMIFS(INDEX(Table915[],,MATCH(G$136,Table915[#Headers],0)),Table915[MainWaterHeatingFuel],$B213,Table915[EnergyRating (group)],$A213)</f>
        <v>39</v>
      </c>
      <c r="H213" s="758">
        <f>SUMIFS(INDEX(Table915[],,MATCH(H$136,Table915[#Headers],0)),Table915[MainWaterHeatingFuel],$B213,Table915[EnergyRating (group)],$A213)</f>
        <v>3261</v>
      </c>
      <c r="I213" s="960"/>
      <c r="J213" s="980">
        <f t="shared" ref="J213:J217" si="149">C213+E213</f>
        <v>270786</v>
      </c>
      <c r="K213" s="981">
        <f t="shared" ref="K213:K217" si="150">D213+F213</f>
        <v>216327</v>
      </c>
      <c r="L213" s="840"/>
      <c r="M213" s="840"/>
      <c r="N213" s="66" t="str">
        <f>RSD_Commodities!$M$86&amp;"_"&amp;RIGHT(P213,LEN(P213)-3)&amp;"_"&amp;SETUP!$B$68</f>
        <v>WH_Det-D_PEA_X1</v>
      </c>
      <c r="O213" s="66" t="str">
        <f>RSD_Commodities!$N$86&amp;"_"&amp;RSD_Commodities!$D$10&amp;"_"&amp;SETUP!$C$68</f>
        <v>Residential Water Heating Detached-D_Peat to Residential_Existing 01</v>
      </c>
      <c r="P213" s="83" t="str">
        <f>RSD_Commodities!$C$10</f>
        <v>RSDPEA</v>
      </c>
      <c r="Q213" s="66" t="str">
        <f>RSD_Commodities!$M$68</f>
        <v>WH_Apt-D</v>
      </c>
      <c r="R213" s="985">
        <f t="shared" si="147"/>
        <v>4.0893362692670651E-4</v>
      </c>
      <c r="S213" s="66">
        <f>R213*DwellingStocks!$I$67/1000</f>
        <v>1.9419820221321347E-2</v>
      </c>
      <c r="T213" s="83">
        <v>1</v>
      </c>
      <c r="U213" s="987">
        <f t="shared" ref="U213:U217" si="151">K213/J213</f>
        <v>0.79888546675234318</v>
      </c>
      <c r="V213" s="83">
        <v>20</v>
      </c>
      <c r="W213" s="66">
        <v>1</v>
      </c>
      <c r="X213" s="840"/>
      <c r="Y213" s="926">
        <f t="shared" ref="Y213:Y217" si="152">ABS((K213)*S213*1000*$B$2)</f>
        <v>1.7264512804182676E-6</v>
      </c>
      <c r="Z213" s="926">
        <f t="shared" ref="Z213:Z217" si="153">ABS((J213)*S213*1000*$B$2)</f>
        <v>2.1610748377194753E-6</v>
      </c>
      <c r="AA213" s="840"/>
      <c r="AB213" s="66" t="s">
        <v>393</v>
      </c>
      <c r="AC213" s="66" t="str">
        <f t="shared" ref="AC213:AC217" si="154">N213</f>
        <v>WH_Det-D_PEA_X1</v>
      </c>
      <c r="AD213" s="83" t="str">
        <f t="shared" ref="AD213:AD217" si="155">O213</f>
        <v>Residential Water Heating Detached-D_Peat to Residential_Existing 01</v>
      </c>
      <c r="AE213" s="66" t="s">
        <v>53</v>
      </c>
      <c r="AF213" s="88" t="s">
        <v>406</v>
      </c>
      <c r="AG213" s="66"/>
      <c r="AH213" s="66"/>
      <c r="AI213" s="840"/>
      <c r="AJ213" s="840"/>
      <c r="AK213" s="840"/>
      <c r="AL213" s="840"/>
      <c r="AM213" s="840"/>
      <c r="AN213" s="840"/>
      <c r="AO213" s="840"/>
    </row>
    <row r="214" spans="1:41">
      <c r="A214" s="972" t="s">
        <v>118</v>
      </c>
      <c r="B214" s="757" t="s">
        <v>666</v>
      </c>
      <c r="C214" s="757">
        <f>SUMIFS(INDEX(Table915[],,MATCH(C$136,Table915[#Headers],0)),Table915[MainWaterHeatingFuel],$B214,Table915[EnergyRating (group)],$A214)</f>
        <v>2256002</v>
      </c>
      <c r="D214" s="757">
        <f>SUMIFS(INDEX(Table915[],,MATCH(D$136,Table915[#Headers],0)),Table915[MainWaterHeatingFuel],$B214,Table915[EnergyRating (group)],$A214)</f>
        <v>2050915</v>
      </c>
      <c r="E214" s="760">
        <f>SUMIFS(INDEX(Table915[],,MATCH(E$136,Table915[#Headers],0)),Table915[MainWaterHeatingFuel],$B214,Table915[EnergyRating (group)],$A214)</f>
        <v>833136</v>
      </c>
      <c r="F214" s="760">
        <f>SUMIFS(INDEX(Table915[],,MATCH(F$136,Table915[#Headers],0)),Table915[MainWaterHeatingFuel],$B214,Table915[EnergyRating (group)],$A214)</f>
        <v>308567</v>
      </c>
      <c r="G214" s="757">
        <f>SUMIFS(INDEX(Table915[],,MATCH(G$136,Table915[#Headers],0)),Table915[MainWaterHeatingFuel],$B214,Table915[EnergyRating (group)],$A214)</f>
        <v>438</v>
      </c>
      <c r="H214" s="757">
        <f>SUMIFS(INDEX(Table915[],,MATCH(H$136,Table915[#Headers],0)),Table915[MainWaterHeatingFuel],$B214,Table915[EnergyRating (group)],$A214)</f>
        <v>37160</v>
      </c>
      <c r="I214" s="959"/>
      <c r="J214" s="978">
        <f t="shared" si="149"/>
        <v>3089138</v>
      </c>
      <c r="K214" s="979">
        <f t="shared" si="150"/>
        <v>2359482</v>
      </c>
      <c r="L214" s="840"/>
      <c r="M214" s="840"/>
      <c r="N214" s="914" t="str">
        <f>RSD_Commodities!$M$86&amp;"_"&amp;RIGHT(P214,LEN(P214)-3)&amp;"_"&amp;SETUP!$B$67</f>
        <v>WH_Det-D_COABIT_X0</v>
      </c>
      <c r="O214" s="914" t="str">
        <f>RSD_Commodities!$N$86&amp;"_"&amp;RSD_Commodities!D23&amp;"_"&amp;SETUP!$C$67</f>
        <v>Residential Water Heating Detached-D_Ethanol to Residential_Existing 00</v>
      </c>
      <c r="P214" s="915" t="str">
        <f>RSD_Commodities!$C$6</f>
        <v>RSDCOABIT</v>
      </c>
      <c r="Q214" s="914" t="str">
        <f>RSD_Commodities!$M$68</f>
        <v>WH_Apt-D</v>
      </c>
      <c r="R214" s="984">
        <f t="shared" si="147"/>
        <v>4.5926391947153193E-3</v>
      </c>
      <c r="S214" s="914">
        <f>R214*DwellingStocks!$I$67/1000</f>
        <v>0.21809951940868591</v>
      </c>
      <c r="T214" s="915">
        <v>1</v>
      </c>
      <c r="U214" s="986">
        <f t="shared" si="151"/>
        <v>0.7637994806318138</v>
      </c>
      <c r="V214" s="915">
        <v>20</v>
      </c>
      <c r="W214" s="914">
        <v>1</v>
      </c>
      <c r="X214" s="840"/>
      <c r="Y214" s="928">
        <f t="shared" si="152"/>
        <v>2.1148022887127884E-4</v>
      </c>
      <c r="Z214" s="928">
        <f t="shared" si="153"/>
        <v>2.768792519947024E-4</v>
      </c>
      <c r="AA214" s="840"/>
      <c r="AB214" s="914" t="s">
        <v>393</v>
      </c>
      <c r="AC214" s="914" t="str">
        <f t="shared" si="154"/>
        <v>WH_Det-D_COABIT_X0</v>
      </c>
      <c r="AD214" s="915" t="str">
        <f t="shared" si="155"/>
        <v>Residential Water Heating Detached-D_Ethanol to Residential_Existing 00</v>
      </c>
      <c r="AE214" s="914" t="s">
        <v>53</v>
      </c>
      <c r="AF214" s="916" t="s">
        <v>406</v>
      </c>
      <c r="AG214" s="914"/>
      <c r="AH214" s="914"/>
      <c r="AI214" s="840"/>
      <c r="AJ214" s="840"/>
      <c r="AK214" s="840"/>
      <c r="AL214" s="840"/>
      <c r="AM214" s="840"/>
      <c r="AN214" s="840"/>
      <c r="AO214" s="840"/>
    </row>
    <row r="215" spans="1:41">
      <c r="A215" s="973" t="s">
        <v>118</v>
      </c>
      <c r="B215" s="758" t="s">
        <v>673</v>
      </c>
      <c r="C215" s="758">
        <f>SUMIFS(INDEX(Table915[],,MATCH(C$136,Table915[#Headers],0)),Table915[MainWaterHeatingFuel],$B215,Table915[EnergyRating (group)],$A215)</f>
        <v>247332</v>
      </c>
      <c r="D215" s="758">
        <f>SUMIFS(INDEX(Table915[],,MATCH(D$136,Table915[#Headers],0)),Table915[MainWaterHeatingFuel],$B215,Table915[EnergyRating (group)],$A215)</f>
        <v>224849</v>
      </c>
      <c r="E215" s="758">
        <f>SUMIFS(INDEX(Table915[],,MATCH(E$136,Table915[#Headers],0)),Table915[MainWaterHeatingFuel],$B215,Table915[EnergyRating (group)],$A215)</f>
        <v>106311</v>
      </c>
      <c r="F215" s="758">
        <f>SUMIFS(INDEX(Table915[],,MATCH(F$136,Table915[#Headers],0)),Table915[MainWaterHeatingFuel],$B215,Table915[EnergyRating (group)],$A215)</f>
        <v>39375</v>
      </c>
      <c r="G215" s="758">
        <f>SUMIFS(INDEX(Table915[],,MATCH(G$136,Table915[#Headers],0)),Table915[MainWaterHeatingFuel],$B215,Table915[EnergyRating (group)],$A215)</f>
        <v>55</v>
      </c>
      <c r="H215" s="758">
        <f>SUMIFS(INDEX(Table915[],,MATCH(H$136,Table915[#Headers],0)),Table915[MainWaterHeatingFuel],$B215,Table915[EnergyRating (group)],$A215)</f>
        <v>4422</v>
      </c>
      <c r="I215" s="960"/>
      <c r="J215" s="980">
        <f t="shared" si="149"/>
        <v>353643</v>
      </c>
      <c r="K215" s="981">
        <f t="shared" si="150"/>
        <v>264224</v>
      </c>
      <c r="L215" s="840"/>
      <c r="M215" s="840"/>
      <c r="N215" s="66" t="str">
        <f>RSD_Commodities!$M$86&amp;"_"&amp;RIGHT(P215,LEN(P215)-3)&amp;"_"&amp;SETUP!$B$68</f>
        <v>WH_Det-D_BIOWOO_X1</v>
      </c>
      <c r="O215" s="66" t="str">
        <f>RSD_Commodities!$N$86&amp;"_"&amp;RSD_Commodities!D36&amp;"_"&amp;SETUP!$C$68</f>
        <v>Residential Water Heating Detached-D_Residential Cooking_Existing 01</v>
      </c>
      <c r="P215" s="83" t="str">
        <f>RSD_Commodities!$C$19</f>
        <v>RSDBIOWOO</v>
      </c>
      <c r="Q215" s="66" t="str">
        <f>RSD_Commodities!$M$68</f>
        <v>WH_Apt-D</v>
      </c>
      <c r="R215" s="985">
        <f t="shared" si="147"/>
        <v>5.7670126874279125E-4</v>
      </c>
      <c r="S215" s="66">
        <f>R215*DwellingStocks!$I$67/1000</f>
        <v>2.7386925953145493E-2</v>
      </c>
      <c r="T215" s="83">
        <v>1</v>
      </c>
      <c r="U215" s="987">
        <f t="shared" si="151"/>
        <v>0.74714896095780203</v>
      </c>
      <c r="V215" s="83">
        <v>20</v>
      </c>
      <c r="W215" s="66">
        <v>1</v>
      </c>
      <c r="X215" s="840"/>
      <c r="Y215" s="926">
        <f t="shared" si="152"/>
        <v>2.973814982072842E-6</v>
      </c>
      <c r="Z215" s="926">
        <f t="shared" si="153"/>
        <v>3.9802169814444798E-6</v>
      </c>
      <c r="AA215" s="840"/>
      <c r="AB215" s="66" t="s">
        <v>393</v>
      </c>
      <c r="AC215" s="66" t="str">
        <f t="shared" si="154"/>
        <v>WH_Det-D_BIOWOO_X1</v>
      </c>
      <c r="AD215" s="83" t="str">
        <f t="shared" si="155"/>
        <v>Residential Water Heating Detached-D_Residential Cooking_Existing 01</v>
      </c>
      <c r="AE215" s="66" t="s">
        <v>53</v>
      </c>
      <c r="AF215" s="88" t="s">
        <v>406</v>
      </c>
      <c r="AG215" s="66"/>
      <c r="AH215" s="66"/>
      <c r="AI215" s="840"/>
      <c r="AJ215" s="840"/>
      <c r="AK215" s="840"/>
      <c r="AL215" s="840"/>
      <c r="AM215" s="840"/>
      <c r="AN215" s="840"/>
      <c r="AO215" s="840"/>
    </row>
    <row r="216" spans="1:41">
      <c r="A216" s="972" t="s">
        <v>118</v>
      </c>
      <c r="B216" s="757" t="s">
        <v>722</v>
      </c>
      <c r="C216" s="757">
        <f>SUMIFS(INDEX(Table915[],,MATCH(C$136,Table915[#Headers],0)),Table915[MainWaterHeatingFuel],$B216,Table915[EnergyRating (group)],$A216)</f>
        <v>17498</v>
      </c>
      <c r="D216" s="757">
        <f>SUMIFS(INDEX(Table915[],,MATCH(D$136,Table915[#Headers],0)),Table915[MainWaterHeatingFuel],$B216,Table915[EnergyRating (group)],$A216)</f>
        <v>15907</v>
      </c>
      <c r="E216" s="757">
        <f>SUMIFS(INDEX(Table915[],,MATCH(E$136,Table915[#Headers],0)),Table915[MainWaterHeatingFuel],$B216,Table915[EnergyRating (group)],$A216)</f>
        <v>9618</v>
      </c>
      <c r="F216" s="757">
        <f>SUMIFS(INDEX(Table915[],,MATCH(F$136,Table915[#Headers],0)),Table915[MainWaterHeatingFuel],$B216,Table915[EnergyRating (group)],$A216)</f>
        <v>3562</v>
      </c>
      <c r="G216" s="757">
        <f>SUMIFS(INDEX(Table915[],,MATCH(G$136,Table915[#Headers],0)),Table915[MainWaterHeatingFuel],$B216,Table915[EnergyRating (group)],$A216)</f>
        <v>4</v>
      </c>
      <c r="H216" s="757">
        <f>SUMIFS(INDEX(Table915[],,MATCH(H$136,Table915[#Headers],0)),Table915[MainWaterHeatingFuel],$B216,Table915[EnergyRating (group)],$A216)</f>
        <v>355</v>
      </c>
      <c r="I216" s="961"/>
      <c r="J216" s="978">
        <f t="shared" si="149"/>
        <v>27116</v>
      </c>
      <c r="K216" s="979">
        <f t="shared" si="150"/>
        <v>19469</v>
      </c>
      <c r="L216" s="840"/>
      <c r="M216" s="840"/>
      <c r="N216" s="914" t="str">
        <f>RSD_Commodities!$M$86&amp;"_"&amp;RIGHT(P216,LEN(P216)-3)&amp;"_"&amp;SETUP!$B$68</f>
        <v>WH_Det-D_BIOWOO_X1</v>
      </c>
      <c r="O216" s="914" t="str">
        <f>RSD_Commodities!$N$86&amp;"_"&amp;RSD_Commodities!D36&amp;"_"&amp;SETUP!$C$68</f>
        <v>Residential Water Heating Detached-D_Residential Cooking_Existing 01</v>
      </c>
      <c r="P216" s="915" t="str">
        <f>RSD_Commodities!$C$19</f>
        <v>RSDBIOWOO</v>
      </c>
      <c r="Q216" s="914" t="str">
        <f>RSD_Commodities!$M$68</f>
        <v>WH_Apt-D</v>
      </c>
      <c r="R216" s="984">
        <f t="shared" si="147"/>
        <v>4.1941910454021179E-5</v>
      </c>
      <c r="S216" s="914">
        <f>R216*DwellingStocks!$I$67/1000</f>
        <v>1.9917764329560358E-3</v>
      </c>
      <c r="T216" s="915">
        <v>1</v>
      </c>
      <c r="U216" s="986">
        <f t="shared" si="151"/>
        <v>0.71798937896444903</v>
      </c>
      <c r="V216" s="915">
        <v>20</v>
      </c>
      <c r="W216" s="914">
        <v>1</v>
      </c>
      <c r="X216" s="840"/>
      <c r="Y216" s="928">
        <f t="shared" si="152"/>
        <v>1.5936121386255233E-8</v>
      </c>
      <c r="Z216" s="928">
        <f t="shared" si="153"/>
        <v>2.2195483461384603E-8</v>
      </c>
      <c r="AA216" s="840"/>
      <c r="AB216" s="914" t="s">
        <v>393</v>
      </c>
      <c r="AC216" s="914" t="str">
        <f t="shared" si="154"/>
        <v>WH_Det-D_BIOWOO_X1</v>
      </c>
      <c r="AD216" s="915" t="str">
        <f t="shared" si="155"/>
        <v>Residential Water Heating Detached-D_Residential Cooking_Existing 01</v>
      </c>
      <c r="AE216" s="914" t="s">
        <v>53</v>
      </c>
      <c r="AF216" s="916" t="s">
        <v>406</v>
      </c>
      <c r="AG216" s="914"/>
      <c r="AH216" s="914"/>
      <c r="AI216" s="840"/>
      <c r="AJ216" s="840"/>
      <c r="AK216" s="840"/>
      <c r="AL216" s="840"/>
      <c r="AM216" s="840"/>
      <c r="AN216" s="840"/>
      <c r="AO216" s="840"/>
    </row>
    <row r="217" spans="1:41" ht="15.75" thickBot="1">
      <c r="A217" s="973" t="s">
        <v>118</v>
      </c>
      <c r="B217" s="758" t="s">
        <v>674</v>
      </c>
      <c r="C217" s="758">
        <f>SUMIFS(INDEX(Table915[],,MATCH(C$136,Table915[#Headers],0)),Table915[MainWaterHeatingFuel],$B217,Table915[EnergyRating (group)],$A217)</f>
        <v>26755</v>
      </c>
      <c r="D217" s="758">
        <f>SUMIFS(INDEX(Table915[],,MATCH(D$136,Table915[#Headers],0)),Table915[MainWaterHeatingFuel],$B217,Table915[EnergyRating (group)],$A217)</f>
        <v>24322</v>
      </c>
      <c r="E217" s="759">
        <f>SUMIFS(INDEX(Table915[],,MATCH(E$136,Table915[#Headers],0)),Table915[MainWaterHeatingFuel],$B217,Table915[EnergyRating (group)],$A217)</f>
        <v>15541</v>
      </c>
      <c r="F217" s="759">
        <f>SUMIFS(INDEX(Table915[],,MATCH(F$136,Table915[#Headers],0)),Table915[MainWaterHeatingFuel],$B217,Table915[EnergyRating (group)],$A217)</f>
        <v>5755</v>
      </c>
      <c r="G217" s="758">
        <f>SUMIFS(INDEX(Table915[],,MATCH(G$136,Table915[#Headers],0)),Table915[MainWaterHeatingFuel],$B217,Table915[EnergyRating (group)],$A217)</f>
        <v>6</v>
      </c>
      <c r="H217" s="758">
        <f>SUMIFS(INDEX(Table915[],,MATCH(H$136,Table915[#Headers],0)),Table915[MainWaterHeatingFuel],$B217,Table915[EnergyRating (group)],$A217)</f>
        <v>603</v>
      </c>
      <c r="I217" s="960"/>
      <c r="J217" s="980">
        <f t="shared" si="149"/>
        <v>42296</v>
      </c>
      <c r="K217" s="981">
        <f t="shared" si="150"/>
        <v>30077</v>
      </c>
      <c r="L217" s="840"/>
      <c r="M217" s="840"/>
      <c r="N217" s="66" t="str">
        <f>RSD_Commodities!$M$86&amp;"_"&amp;RIGHT(P217,LEN(P217)-3)&amp;"_"&amp;SETUP!$B$68</f>
        <v>WH_Det-D_COAHAR_X1</v>
      </c>
      <c r="O217" s="66" t="str">
        <f>RSD_Commodities!$N$86&amp;"_"&amp;RSD_Commodities!D24&amp;"_"&amp;SETUP!$C$68</f>
        <v>Residential Water Heating Detached-D_Biodiesel to Residential_Existing 01</v>
      </c>
      <c r="P217" s="83" t="str">
        <f>RSD_Commodities!$C$7</f>
        <v>RSDCOAHAR</v>
      </c>
      <c r="Q217" s="66" t="str">
        <f>RSD_Commodities!$M$68</f>
        <v>WH_Apt-D</v>
      </c>
      <c r="R217" s="985">
        <f t="shared" si="147"/>
        <v>6.2912865681031765E-5</v>
      </c>
      <c r="S217" s="66">
        <f>R217*DwellingStocks!$I$67/1000</f>
        <v>2.9876646494340531E-3</v>
      </c>
      <c r="T217" s="83">
        <v>1</v>
      </c>
      <c r="U217" s="987">
        <f t="shared" si="151"/>
        <v>0.71110743332702853</v>
      </c>
      <c r="V217" s="83">
        <v>20</v>
      </c>
      <c r="W217" s="66">
        <v>1</v>
      </c>
      <c r="X217" s="840"/>
      <c r="Y217" s="926">
        <f t="shared" si="152"/>
        <v>3.6928762874395079E-8</v>
      </c>
      <c r="Z217" s="926">
        <f t="shared" si="153"/>
        <v>5.1931341374984685E-8</v>
      </c>
      <c r="AA217" s="840"/>
      <c r="AB217" s="66" t="s">
        <v>393</v>
      </c>
      <c r="AC217" s="66" t="str">
        <f t="shared" si="154"/>
        <v>WH_Det-D_COAHAR_X1</v>
      </c>
      <c r="AD217" s="83" t="str">
        <f t="shared" si="155"/>
        <v>Residential Water Heating Detached-D_Biodiesel to Residential_Existing 01</v>
      </c>
      <c r="AE217" s="66" t="s">
        <v>53</v>
      </c>
      <c r="AF217" s="88" t="s">
        <v>406</v>
      </c>
      <c r="AG217" s="66"/>
      <c r="AH217" s="66"/>
      <c r="AI217" s="840"/>
      <c r="AJ217" s="840"/>
      <c r="AK217" s="840"/>
      <c r="AL217" s="840"/>
      <c r="AM217" s="840"/>
      <c r="AN217" s="840"/>
      <c r="AO217" s="840"/>
    </row>
    <row r="218" spans="1:41" ht="15.75" thickBot="1">
      <c r="A218" s="756" t="s">
        <v>120</v>
      </c>
      <c r="B218" s="1048"/>
      <c r="C218" s="1049"/>
      <c r="D218" s="1049"/>
      <c r="E218" s="1049"/>
      <c r="F218" s="1049"/>
      <c r="G218" s="1049"/>
      <c r="H218" s="1049"/>
      <c r="I218" s="1049"/>
      <c r="J218" s="1054"/>
      <c r="K218" s="1055"/>
      <c r="L218" s="840"/>
      <c r="M218" s="840"/>
      <c r="N218" s="76" t="str">
        <f>AB218</f>
        <v>*E Rating</v>
      </c>
      <c r="O218" s="76"/>
      <c r="P218" s="76"/>
      <c r="Q218" s="76"/>
      <c r="R218" s="949">
        <f>SUM(R219:R234)</f>
        <v>0.99999999999999989</v>
      </c>
      <c r="S218" s="76"/>
      <c r="T218" s="97"/>
      <c r="U218" s="76"/>
      <c r="V218" s="76"/>
      <c r="W218" s="76"/>
      <c r="X218" s="840"/>
      <c r="Y218" s="76"/>
      <c r="Z218" s="76"/>
      <c r="AA218" s="840"/>
      <c r="AB218" s="140" t="str">
        <f>"*"&amp; A219 &amp; " Rating"</f>
        <v>*E Rating</v>
      </c>
      <c r="AC218" s="141"/>
      <c r="AD218" s="141"/>
      <c r="AE218" s="141"/>
      <c r="AF218" s="141"/>
      <c r="AG218" s="141"/>
      <c r="AH218" s="141"/>
      <c r="AI218" s="840"/>
      <c r="AJ218" s="840"/>
      <c r="AK218" s="840"/>
      <c r="AL218" s="840"/>
      <c r="AM218" s="840"/>
      <c r="AN218" s="840"/>
      <c r="AO218" s="840"/>
    </row>
    <row r="219" spans="1:41">
      <c r="A219" s="972" t="s">
        <v>120</v>
      </c>
      <c r="B219" s="757" t="s">
        <v>582</v>
      </c>
      <c r="C219" s="757">
        <f>SUMIFS(INDEX(Table915[],,MATCH(C$136,Table915[#Headers],0)),Table915[MainWaterHeatingFuel],$B219,Table915[EnergyRating (group)],$A219)</f>
        <v>408593</v>
      </c>
      <c r="D219" s="757">
        <f>SUMIFS(INDEX(Table915[],,MATCH(D$136,Table915[#Headers],0)),Table915[MainWaterHeatingFuel],$B219,Table915[EnergyRating (group)],$A219)</f>
        <v>371449</v>
      </c>
      <c r="E219" s="760">
        <f>SUMIFS(INDEX(Table915[],,MATCH(E$136,Table915[#Headers],0)),Table915[MainWaterHeatingFuel],$B219,Table915[EnergyRating (group)],$A219)</f>
        <v>93809</v>
      </c>
      <c r="F219" s="760">
        <f>SUMIFS(INDEX(Table915[],,MATCH(F$136,Table915[#Headers],0)),Table915[MainWaterHeatingFuel],$B219,Table915[EnergyRating (group)],$A219)</f>
        <v>34742</v>
      </c>
      <c r="G219" s="757">
        <f>SUMIFS(INDEX(Table915[],,MATCH(G$136,Table915[#Headers],0)),Table915[MainWaterHeatingFuel],$B219,Table915[EnergyRating (group)],$A219)</f>
        <v>84</v>
      </c>
      <c r="H219" s="757">
        <f>SUMIFS(INDEX(Table915[],,MATCH(H$136,Table915[#Headers],0)),Table915[MainWaterHeatingFuel],$B219,Table915[EnergyRating (group)],$A219)</f>
        <v>8792</v>
      </c>
      <c r="I219" s="959"/>
      <c r="J219" s="989">
        <f t="shared" ref="J219:K221" si="156">C219+E219</f>
        <v>502402</v>
      </c>
      <c r="K219" s="990">
        <f t="shared" si="156"/>
        <v>406191</v>
      </c>
      <c r="L219" s="840"/>
      <c r="M219" s="840"/>
      <c r="N219" s="914" t="str">
        <f>RSD_Commodities!$M$87&amp;"_"&amp;RIGHT(P219,LEN(P219)-3)&amp;"_"&amp;SETUP!$B$67</f>
        <v>WH_Det-E_OILLPG_X0</v>
      </c>
      <c r="O219" s="914" t="str">
        <f>RSD_Commodities!$N$87&amp;"_"&amp;RSD_Commodities!D11&amp;"_"&amp;SETUP!$C$67</f>
        <v>Residential Water Heating Detached-E_LPG to Residential_Existing 00</v>
      </c>
      <c r="P219" s="915" t="str">
        <f>RSD_Commodities!$C$11</f>
        <v>RSDOILLPG</v>
      </c>
      <c r="Q219" s="914" t="str">
        <f>RSD_Commodities!$M$87</f>
        <v>WH_Det-E</v>
      </c>
      <c r="R219" s="984">
        <f>G219/SUM($G$219:$G$234)</f>
        <v>1.8209408194233688E-3</v>
      </c>
      <c r="S219" s="914">
        <f>R219*DwellingStocks!$I$68/1000</f>
        <v>4.3319616060407233E-2</v>
      </c>
      <c r="T219" s="915">
        <v>1</v>
      </c>
      <c r="U219" s="986">
        <f>K219/J219</f>
        <v>0.8084979757246189</v>
      </c>
      <c r="V219" s="915">
        <v>20</v>
      </c>
      <c r="W219" s="914">
        <v>1</v>
      </c>
      <c r="X219" s="866"/>
      <c r="Y219" s="928">
        <f>ABS((K219)*S219*1000*$B$2)</f>
        <v>7.2312485618600855E-6</v>
      </c>
      <c r="Z219" s="928">
        <f>ABS((J219)*S219*1000*$B$2)</f>
        <v>8.9440527731427599E-6</v>
      </c>
      <c r="AA219" s="866"/>
      <c r="AB219" s="914" t="s">
        <v>393</v>
      </c>
      <c r="AC219" s="914" t="str">
        <f t="shared" ref="AC219:AD222" si="157">N219</f>
        <v>WH_Det-E_OILLPG_X0</v>
      </c>
      <c r="AD219" s="915" t="str">
        <f t="shared" si="157"/>
        <v>Residential Water Heating Detached-E_LPG to Residential_Existing 00</v>
      </c>
      <c r="AE219" s="914" t="s">
        <v>53</v>
      </c>
      <c r="AF219" s="916" t="s">
        <v>406</v>
      </c>
      <c r="AG219" s="914"/>
      <c r="AH219" s="914"/>
      <c r="AI219" s="840"/>
      <c r="AJ219" s="840"/>
      <c r="AK219" s="840"/>
      <c r="AL219" s="840"/>
      <c r="AM219" s="840"/>
      <c r="AN219" s="840"/>
      <c r="AO219" s="840"/>
    </row>
    <row r="220" spans="1:41">
      <c r="A220" s="973" t="s">
        <v>120</v>
      </c>
      <c r="B220" s="758" t="s">
        <v>228</v>
      </c>
      <c r="C220" s="758">
        <f>SUMIFS(INDEX(Table915[],,MATCH(C$136,Table915[#Headers],0)),Table915[MainWaterHeatingFuel],$B220,Table915[EnergyRating (group)],$A220)</f>
        <v>34853401</v>
      </c>
      <c r="D220" s="758">
        <f>SUMIFS(INDEX(Table915[],,MATCH(D$136,Table915[#Headers],0)),Table915[MainWaterHeatingFuel],$B220,Table915[EnergyRating (group)],$A220)</f>
        <v>12908667</v>
      </c>
      <c r="E220" s="758">
        <f>SUMIFS(INDEX(Table915[],,MATCH(E$136,Table915[#Headers],0)),Table915[MainWaterHeatingFuel],$B220,Table915[EnergyRating (group)],$A220)</f>
        <v>144485</v>
      </c>
      <c r="F220" s="758">
        <f>SUMIFS(INDEX(Table915[],,MATCH(F$136,Table915[#Headers],0)),Table915[MainWaterHeatingFuel],$B220,Table915[EnergyRating (group)],$A220)</f>
        <v>53511</v>
      </c>
      <c r="G220" s="758">
        <f>SUMIFS(INDEX(Table915[],,MATCH(G$136,Table915[#Headers],0)),Table915[MainWaterHeatingFuel],$B220,Table915[EnergyRating (group)],$A220)</f>
        <v>5027</v>
      </c>
      <c r="H220" s="758">
        <f>SUMIFS(INDEX(Table915[],,MATCH(H$136,Table915[#Headers],0)),Table915[MainWaterHeatingFuel],$B220,Table915[EnergyRating (group)],$A220)</f>
        <v>405859</v>
      </c>
      <c r="I220" s="960"/>
      <c r="J220" s="980">
        <f t="shared" si="156"/>
        <v>34997886</v>
      </c>
      <c r="K220" s="981">
        <f t="shared" si="156"/>
        <v>12962178</v>
      </c>
      <c r="L220" s="840"/>
      <c r="M220" s="840"/>
      <c r="N220" s="66" t="str">
        <f>RSD_Commodities!$M$87&amp;"_"&amp;RIGHT(P220,LEN(P220)-3)&amp;"_"&amp;SETUP!$B$67</f>
        <v>WH_Det-E_ELCD_X0</v>
      </c>
      <c r="O220" s="66" t="str">
        <f>RSD_Commodities!$N$87&amp;"_"&amp;RSD_Commodities!D27&amp;"_"&amp;SETUP!$C$67</f>
        <v>Residential Water Heating Detached-E_Electricity to Residential_Existing 00</v>
      </c>
      <c r="P220" s="83" t="str">
        <f>RSD_Commodities!$C$27</f>
        <v>RSDELCD</v>
      </c>
      <c r="Q220" s="66" t="str">
        <f>RSD_Commodities!$M$87</f>
        <v>WH_Det-E</v>
      </c>
      <c r="R220" s="985">
        <f t="shared" ref="R220:R234" si="158">G220/SUM($G$219:$G$234)</f>
        <v>0.10897463689572946</v>
      </c>
      <c r="S220" s="66">
        <f>R220*DwellingStocks!$I$68/1000</f>
        <v>2.5924727373293708</v>
      </c>
      <c r="T220" s="83">
        <v>1</v>
      </c>
      <c r="U220" s="987">
        <f t="shared" ref="U220:U222" si="159">K220/J220</f>
        <v>0.37037031322406161</v>
      </c>
      <c r="V220" s="83">
        <v>20</v>
      </c>
      <c r="W220" s="66">
        <v>1</v>
      </c>
      <c r="X220" s="866"/>
      <c r="Y220" s="926">
        <f t="shared" ref="Y220:Y221" si="160">ABS((K220)*S220*1000*$B$2)</f>
        <v>1.3809901266333104E-2</v>
      </c>
      <c r="Z220" s="926">
        <f t="shared" ref="Z220:Z221" si="161">ABS((J220)*S220*1000*$B$2)</f>
        <v>3.7286739172258061E-2</v>
      </c>
      <c r="AA220" s="866"/>
      <c r="AB220" s="66" t="s">
        <v>393</v>
      </c>
      <c r="AC220" s="66" t="str">
        <f t="shared" si="157"/>
        <v>WH_Det-E_ELCD_X0</v>
      </c>
      <c r="AD220" s="83" t="str">
        <f t="shared" si="157"/>
        <v>Residential Water Heating Detached-E_Electricity to Residential_Existing 00</v>
      </c>
      <c r="AE220" s="66" t="s">
        <v>53</v>
      </c>
      <c r="AF220" s="88" t="s">
        <v>406</v>
      </c>
      <c r="AG220" s="66"/>
      <c r="AH220" s="66"/>
      <c r="AI220" s="840"/>
      <c r="AJ220" s="840"/>
      <c r="AK220" s="840"/>
      <c r="AL220" s="840"/>
      <c r="AM220" s="840"/>
      <c r="AN220" s="840"/>
      <c r="AO220" s="840"/>
    </row>
    <row r="221" spans="1:41">
      <c r="A221" s="972" t="s">
        <v>120</v>
      </c>
      <c r="B221" s="757" t="s">
        <v>583</v>
      </c>
      <c r="C221" s="757">
        <f>SUMIFS(INDEX(Table915[],,MATCH(C$136,Table915[#Headers],0)),Table915[MainWaterHeatingFuel],$B221,Table915[EnergyRating (group)],$A221)</f>
        <v>61971616</v>
      </c>
      <c r="D221" s="757">
        <f>SUMIFS(INDEX(Table915[],,MATCH(D$136,Table915[#Headers],0)),Table915[MainWaterHeatingFuel],$B221,Table915[EnergyRating (group)],$A221)</f>
        <v>56337829</v>
      </c>
      <c r="E221" s="757">
        <f>SUMIFS(INDEX(Table915[],,MATCH(E$136,Table915[#Headers],0)),Table915[MainWaterHeatingFuel],$B221,Table915[EnergyRating (group)],$A221)</f>
        <v>22891731</v>
      </c>
      <c r="F221" s="757">
        <f>SUMIFS(INDEX(Table915[],,MATCH(F$136,Table915[#Headers],0)),Table915[MainWaterHeatingFuel],$B221,Table915[EnergyRating (group)],$A221)</f>
        <v>8478416</v>
      </c>
      <c r="G221" s="757">
        <f>SUMIFS(INDEX(Table915[],,MATCH(G$136,Table915[#Headers],0)),Table915[MainWaterHeatingFuel],$B221,Table915[EnergyRating (group)],$A221)</f>
        <v>12936</v>
      </c>
      <c r="H221" s="757">
        <f>SUMIFS(INDEX(Table915[],,MATCH(H$136,Table915[#Headers],0)),Table915[MainWaterHeatingFuel],$B221,Table915[EnergyRating (group)],$A221)</f>
        <v>1243052</v>
      </c>
      <c r="I221" s="961"/>
      <c r="J221" s="978">
        <f t="shared" si="156"/>
        <v>84863347</v>
      </c>
      <c r="K221" s="979">
        <f t="shared" si="156"/>
        <v>64816245</v>
      </c>
      <c r="L221" s="840"/>
      <c r="M221" s="840"/>
      <c r="N221" s="914" t="str">
        <f>RSD_Commodities!$M$87&amp;"_"&amp;RIGHT(P221,LEN(P221)-3)&amp;"_"&amp;SETUP!$B$67</f>
        <v>WH_Det-E_OILKER_X0</v>
      </c>
      <c r="O221" s="914" t="str">
        <f>RSD_Commodities!$N$87&amp;"_"&amp;RSD_Commodities!D13&amp;"_"&amp;SETUP!$C$67</f>
        <v>Residential Water Heating Detached-E_Kerosene to Residential_Existing 00</v>
      </c>
      <c r="P221" s="915" t="str">
        <f>RSD_Commodities!$C$13</f>
        <v>RSDOILKER</v>
      </c>
      <c r="Q221" s="914" t="str">
        <f>RSD_Commodities!$M$87</f>
        <v>WH_Det-E</v>
      </c>
      <c r="R221" s="984">
        <f t="shared" si="158"/>
        <v>0.28042488619119876</v>
      </c>
      <c r="S221" s="914">
        <f>R221*DwellingStocks!$I$68/1000</f>
        <v>6.6712208733027127</v>
      </c>
      <c r="T221" s="915">
        <v>1</v>
      </c>
      <c r="U221" s="986">
        <f t="shared" si="159"/>
        <v>0.76377196152774884</v>
      </c>
      <c r="V221" s="915">
        <v>20</v>
      </c>
      <c r="W221" s="914">
        <v>1</v>
      </c>
      <c r="X221" s="866"/>
      <c r="Y221" s="928">
        <f t="shared" si="160"/>
        <v>0.17770006297524768</v>
      </c>
      <c r="Z221" s="928">
        <f t="shared" si="161"/>
        <v>0.2326611500896156</v>
      </c>
      <c r="AA221" s="866"/>
      <c r="AB221" s="914" t="s">
        <v>393</v>
      </c>
      <c r="AC221" s="914" t="str">
        <f t="shared" si="157"/>
        <v>WH_Det-E_OILKER_X0</v>
      </c>
      <c r="AD221" s="915" t="str">
        <f t="shared" si="157"/>
        <v>Residential Water Heating Detached-E_Kerosene to Residential_Existing 00</v>
      </c>
      <c r="AE221" s="914" t="s">
        <v>53</v>
      </c>
      <c r="AF221" s="916" t="s">
        <v>406</v>
      </c>
      <c r="AG221" s="914"/>
      <c r="AH221" s="914"/>
      <c r="AI221" s="840"/>
      <c r="AJ221" s="840"/>
      <c r="AK221" s="840"/>
      <c r="AL221" s="840"/>
      <c r="AM221" s="840"/>
      <c r="AN221" s="840"/>
      <c r="AO221" s="840"/>
    </row>
    <row r="222" spans="1:41">
      <c r="A222" s="973" t="s">
        <v>120</v>
      </c>
      <c r="B222" s="758" t="s">
        <v>584</v>
      </c>
      <c r="C222" s="758">
        <f>SUMIFS(INDEX(Table915[],,MATCH(C$136,Table915[#Headers],0)),Table915[MainWaterHeatingFuel],$B222,Table915[EnergyRating (group)],$A222)</f>
        <v>94418483</v>
      </c>
      <c r="D222" s="758">
        <f>SUMIFS(INDEX(Table915[],,MATCH(D$136,Table915[#Headers],0)),Table915[MainWaterHeatingFuel],$B222,Table915[EnergyRating (group)],$A222)</f>
        <v>85834986</v>
      </c>
      <c r="E222" s="759">
        <f>SUMIFS(INDEX(Table915[],,MATCH(E$136,Table915[#Headers],0)),Table915[MainWaterHeatingFuel],$B222,Table915[EnergyRating (group)],$A222)</f>
        <v>26611870</v>
      </c>
      <c r="F222" s="759">
        <f>SUMIFS(INDEX(Table915[],,MATCH(F$136,Table915[#Headers],0)),Table915[MainWaterHeatingFuel],$B222,Table915[EnergyRating (group)],$A222)</f>
        <v>9856247</v>
      </c>
      <c r="G222" s="758">
        <f>SUMIFS(INDEX(Table915[],,MATCH(G$136,Table915[#Headers],0)),Table915[MainWaterHeatingFuel],$B222,Table915[EnergyRating (group)],$A222)</f>
        <v>19691</v>
      </c>
      <c r="H222" s="758">
        <f>SUMIFS(INDEX(Table915[],,MATCH(H$136,Table915[#Headers],0)),Table915[MainWaterHeatingFuel],$B222,Table915[EnergyRating (group)],$A222)</f>
        <v>1858112</v>
      </c>
      <c r="I222" s="960"/>
      <c r="J222" s="980">
        <f t="shared" ref="J222:J231" si="162">C222+E222</f>
        <v>121030353</v>
      </c>
      <c r="K222" s="981">
        <f t="shared" ref="K222:K231" si="163">D222+F222</f>
        <v>95691233</v>
      </c>
      <c r="L222" s="840"/>
      <c r="N222" s="66" t="str">
        <f>RSD_Commodities!$M$87&amp;"_"&amp;RIGHT(P222,LEN(P222)-3)&amp;"_"&amp;SETUP!$B$67</f>
        <v>WH_Det-E_GASNAT_X0</v>
      </c>
      <c r="O222" s="66" t="str">
        <f>RSD_Commodities!$N$87&amp;"_"&amp;RSD_Commodities!D17&amp;"_"&amp;SETUP!$C$67</f>
        <v>Residential Water Heating Detached-E_Natural Gas to Residential_Existing 00</v>
      </c>
      <c r="P222" s="83" t="str">
        <f>RSD_Commodities!$C$17</f>
        <v>RSDGASNAT</v>
      </c>
      <c r="Q222" s="66" t="str">
        <f>RSD_Commodities!$M$87</f>
        <v>WH_Det-E</v>
      </c>
      <c r="R222" s="985">
        <f t="shared" si="158"/>
        <v>0.42685887708649467</v>
      </c>
      <c r="S222" s="66">
        <f>R222*DwellingStocks!$I$68/1000</f>
        <v>10.154839998160462</v>
      </c>
      <c r="T222" s="83">
        <v>1</v>
      </c>
      <c r="U222" s="987">
        <f t="shared" si="159"/>
        <v>0.79063830376500677</v>
      </c>
      <c r="V222" s="83">
        <v>20</v>
      </c>
      <c r="W222" s="66">
        <v>1</v>
      </c>
      <c r="X222" s="866"/>
      <c r="Y222" s="926">
        <f t="shared" ref="Y222:Y234" si="164">ABS((K222)*S222*1000*$B$2)</f>
        <v>0.39934075082535309</v>
      </c>
      <c r="Z222" s="926">
        <f t="shared" ref="Z222:Z234" si="165">ABS((J222)*S222*1000*$B$2)</f>
        <v>0.50508652176816993</v>
      </c>
      <c r="AA222" s="866"/>
      <c r="AB222" s="66" t="s">
        <v>393</v>
      </c>
      <c r="AC222" s="66" t="str">
        <f t="shared" si="157"/>
        <v>WH_Det-E_GASNAT_X0</v>
      </c>
      <c r="AD222" s="83" t="str">
        <f t="shared" si="157"/>
        <v>Residential Water Heating Detached-E_Natural Gas to Residential_Existing 00</v>
      </c>
      <c r="AE222" s="66" t="s">
        <v>53</v>
      </c>
      <c r="AF222" s="88" t="s">
        <v>406</v>
      </c>
      <c r="AG222" s="66"/>
      <c r="AH222" s="66"/>
      <c r="AI222" s="840"/>
      <c r="AJ222" s="840"/>
      <c r="AK222" s="840"/>
      <c r="AL222" s="840"/>
      <c r="AM222" s="840"/>
      <c r="AN222" s="840"/>
      <c r="AO222" s="840"/>
    </row>
    <row r="223" spans="1:41">
      <c r="A223" s="972" t="s">
        <v>120</v>
      </c>
      <c r="B223" s="757" t="s">
        <v>585</v>
      </c>
      <c r="C223" s="757">
        <f>SUMIFS(INDEX(Table915[],,MATCH(C$136,Table915[#Headers],0)),Table915[MainWaterHeatingFuel],$B223,Table915[EnergyRating (group)],$A223)</f>
        <v>52958</v>
      </c>
      <c r="D223" s="757">
        <f>SUMIFS(INDEX(Table915[],,MATCH(D$136,Table915[#Headers],0)),Table915[MainWaterHeatingFuel],$B223,Table915[EnergyRating (group)],$A223)</f>
        <v>48144</v>
      </c>
      <c r="E223" s="760">
        <f>SUMIFS(INDEX(Table915[],,MATCH(E$136,Table915[#Headers],0)),Table915[MainWaterHeatingFuel],$B223,Table915[EnergyRating (group)],$A223)</f>
        <v>20389</v>
      </c>
      <c r="F223" s="760">
        <f>SUMIFS(INDEX(Table915[],,MATCH(F$136,Table915[#Headers],0)),Table915[MainWaterHeatingFuel],$B223,Table915[EnergyRating (group)],$A223)</f>
        <v>7552</v>
      </c>
      <c r="G223" s="757">
        <f>SUMIFS(INDEX(Table915[],,MATCH(G$136,Table915[#Headers],0)),Table915[MainWaterHeatingFuel],$B223,Table915[EnergyRating (group)],$A223)</f>
        <v>12</v>
      </c>
      <c r="H223" s="757">
        <f>SUMIFS(INDEX(Table915[],,MATCH(H$136,Table915[#Headers],0)),Table915[MainWaterHeatingFuel],$B223,Table915[EnergyRating (group)],$A223)</f>
        <v>1187</v>
      </c>
      <c r="I223" s="959"/>
      <c r="J223" s="978">
        <f t="shared" si="162"/>
        <v>73347</v>
      </c>
      <c r="K223" s="979">
        <f t="shared" si="163"/>
        <v>55696</v>
      </c>
      <c r="L223" s="840"/>
      <c r="N223" s="914" t="str">
        <f>RSD_Commodities!$M$87&amp;"_"&amp;RIGHT(P223,LEN(P223)-3)&amp;"_"&amp;SETUP!$B$67</f>
        <v>WH_Det-E_BIOWOO_X0</v>
      </c>
      <c r="O223" s="914" t="str">
        <f>RSD_Commodities!$N$87&amp;"_"&amp;RSD_Commodities!D19&amp;"_"&amp;SETUP!$C$67</f>
        <v>Residential Water Heating Detached-E_Biomass &amp; Renewable Waste to Residential_Existing 00</v>
      </c>
      <c r="P223" s="915" t="str">
        <f>RSD_Commodities!$C$19</f>
        <v>RSDBIOWOO</v>
      </c>
      <c r="Q223" s="914" t="str">
        <f>RSD_Commodities!$M$87</f>
        <v>WH_Det-E</v>
      </c>
      <c r="R223" s="984">
        <f t="shared" si="158"/>
        <v>2.6013440277476696E-4</v>
      </c>
      <c r="S223" s="914">
        <f>R223*DwellingStocks!$I$68/1000</f>
        <v>6.1885165800581758E-3</v>
      </c>
      <c r="T223" s="915">
        <v>1</v>
      </c>
      <c r="U223" s="986">
        <f t="shared" ref="U223:U234" si="166">K223/J223</f>
        <v>0.75934939397657708</v>
      </c>
      <c r="V223" s="915">
        <v>20</v>
      </c>
      <c r="W223" s="914">
        <v>1</v>
      </c>
      <c r="X223" s="866"/>
      <c r="Y223" s="928">
        <f t="shared" si="164"/>
        <v>1.4164751483955625E-7</v>
      </c>
      <c r="Z223" s="928">
        <f t="shared" si="165"/>
        <v>1.8653799682090154E-7</v>
      </c>
      <c r="AA223" s="866"/>
      <c r="AB223" s="914" t="s">
        <v>393</v>
      </c>
      <c r="AC223" s="914" t="str">
        <f t="shared" ref="AC223:AC234" si="167">N223</f>
        <v>WH_Det-E_BIOWOO_X0</v>
      </c>
      <c r="AD223" s="915" t="str">
        <f t="shared" ref="AD223:AD234" si="168">O223</f>
        <v>Residential Water Heating Detached-E_Biomass &amp; Renewable Waste to Residential_Existing 00</v>
      </c>
      <c r="AE223" s="914" t="s">
        <v>53</v>
      </c>
      <c r="AF223" s="916" t="s">
        <v>406</v>
      </c>
      <c r="AG223" s="914"/>
      <c r="AH223" s="914"/>
      <c r="AI223" s="840"/>
      <c r="AJ223" s="840"/>
      <c r="AK223" s="840"/>
      <c r="AL223" s="840"/>
      <c r="AM223" s="840"/>
      <c r="AN223" s="840"/>
      <c r="AO223" s="840"/>
    </row>
    <row r="224" spans="1:41">
      <c r="A224" s="973" t="s">
        <v>120</v>
      </c>
      <c r="B224" s="994" t="s">
        <v>587</v>
      </c>
      <c r="C224" s="758">
        <f>SUMIFS(INDEX(Table915[],,MATCH(C136,Table915[#Headers],0)),Table915[MainWaterHeatingFuel],"",Table915[EnergyRating (group)],$A224)</f>
        <v>0</v>
      </c>
      <c r="D224" s="758">
        <f>SUMIFS(INDEX(Table915[],,MATCH(D136,Table915[#Headers],0)),Table915[MainWaterHeatingFuel],"",Table915[EnergyRating (group)],$A224)</f>
        <v>0</v>
      </c>
      <c r="E224" s="758">
        <f>SUMIFS(INDEX(Table915[],,MATCH(E136,Table915[#Headers],0)),Table915[MainWaterHeatingFuel],"",Table915[EnergyRating (group)],$A224)</f>
        <v>42261</v>
      </c>
      <c r="F224" s="758">
        <f>SUMIFS(INDEX(Table915[],,MATCH(F136,Table915[#Headers],0)),Table915[MainWaterHeatingFuel],"",Table915[EnergyRating (group)],$A224)</f>
        <v>15652</v>
      </c>
      <c r="G224" s="758">
        <f>SUMIFS(INDEX(Table915[],,MATCH(G136,Table915[#Headers],0)),Table915[MainWaterHeatingFuel],"",Table915[EnergyRating (group)],$A224)</f>
        <v>78</v>
      </c>
      <c r="H224" s="758">
        <f>SUMIFS(INDEX(Table915[],,MATCH(H136,Table915[#Headers],0)),Table915[MainWaterHeatingFuel],"",Table915[EnergyRating (group)],$A224)</f>
        <v>5350</v>
      </c>
      <c r="I224" s="960"/>
      <c r="J224" s="980">
        <f t="shared" si="162"/>
        <v>42261</v>
      </c>
      <c r="K224" s="981">
        <f t="shared" si="163"/>
        <v>15652</v>
      </c>
      <c r="L224" s="840"/>
      <c r="M224" s="840"/>
      <c r="N224" s="66" t="str">
        <f>RSD_Commodities!$M$87&amp;"_"&amp;RIGHT(P224,LEN(P224)-3)&amp;"_"&amp;SETUP!$B$67</f>
        <v>WH_Det-E_HET_X0</v>
      </c>
      <c r="O224" s="66" t="str">
        <f>RSD_Commodities!$N$87&amp;"_"&amp;RSD_Commodities!D28&amp;"_"&amp;SETUP!$C$67</f>
        <v>Residential Water Heating Detached-E_Heat to Residential_Existing 00</v>
      </c>
      <c r="P224" s="83" t="str">
        <f>RSD_Commodities!$C$28</f>
        <v>RSDHET</v>
      </c>
      <c r="Q224" s="66" t="str">
        <f>RSD_Commodities!$M$87</f>
        <v>WH_Det-E</v>
      </c>
      <c r="R224" s="985">
        <f t="shared" si="158"/>
        <v>1.6908736180359853E-3</v>
      </c>
      <c r="S224" s="66">
        <f>R224*DwellingStocks!$I$68/1000</f>
        <v>4.022535777037814E-2</v>
      </c>
      <c r="T224" s="83">
        <v>1</v>
      </c>
      <c r="U224" s="917">
        <v>1</v>
      </c>
      <c r="V224" s="83">
        <v>20</v>
      </c>
      <c r="W224" s="66">
        <v>1</v>
      </c>
      <c r="X224" s="866"/>
      <c r="Y224" s="926">
        <f t="shared" si="164"/>
        <v>2.5874272595422961E-7</v>
      </c>
      <c r="Z224" s="926">
        <f t="shared" si="165"/>
        <v>6.9861527865778801E-7</v>
      </c>
      <c r="AA224" s="866"/>
      <c r="AB224" s="66" t="s">
        <v>393</v>
      </c>
      <c r="AC224" s="66" t="str">
        <f t="shared" si="167"/>
        <v>WH_Det-E_HET_X0</v>
      </c>
      <c r="AD224" s="83" t="str">
        <f t="shared" si="168"/>
        <v>Residential Water Heating Detached-E_Heat to Residential_Existing 00</v>
      </c>
      <c r="AE224" s="66" t="s">
        <v>53</v>
      </c>
      <c r="AF224" s="88" t="s">
        <v>406</v>
      </c>
      <c r="AG224" s="66"/>
      <c r="AH224" s="66"/>
      <c r="AI224" s="840"/>
      <c r="AJ224" s="840"/>
      <c r="AK224" s="840"/>
      <c r="AL224" s="840"/>
      <c r="AM224" s="840"/>
      <c r="AN224" s="840"/>
      <c r="AO224" s="840"/>
    </row>
    <row r="225" spans="1:41">
      <c r="A225" s="972" t="s">
        <v>120</v>
      </c>
      <c r="B225" s="757" t="s">
        <v>664</v>
      </c>
      <c r="C225" s="757">
        <f>SUMIFS(INDEX(Table915[],,MATCH(C$136,Table915[#Headers],0)),Table915[MainWaterHeatingFuel],$B225,Table915[EnergyRating (group)],$A225)</f>
        <v>186437</v>
      </c>
      <c r="D225" s="757">
        <f>SUMIFS(INDEX(Table915[],,MATCH(D$136,Table915[#Headers],0)),Table915[MainWaterHeatingFuel],$B225,Table915[EnergyRating (group)],$A225)</f>
        <v>169487</v>
      </c>
      <c r="E225" s="760">
        <f>SUMIFS(INDEX(Table915[],,MATCH(E$136,Table915[#Headers],0)),Table915[MainWaterHeatingFuel],$B225,Table915[EnergyRating (group)],$A225)</f>
        <v>70953</v>
      </c>
      <c r="F225" s="760">
        <f>SUMIFS(INDEX(Table915[],,MATCH(F$136,Table915[#Headers],0)),Table915[MainWaterHeatingFuel],$B225,Table915[EnergyRating (group)],$A225)</f>
        <v>26280</v>
      </c>
      <c r="G225" s="757">
        <f>SUMIFS(INDEX(Table915[],,MATCH(G$136,Table915[#Headers],0)),Table915[MainWaterHeatingFuel],$B225,Table915[EnergyRating (group)],$A225)</f>
        <v>41</v>
      </c>
      <c r="H225" s="757">
        <f>SUMIFS(INDEX(Table915[],,MATCH(H$136,Table915[#Headers],0)),Table915[MainWaterHeatingFuel],$B225,Table915[EnergyRating (group)],$A225)</f>
        <v>3782</v>
      </c>
      <c r="I225" s="959"/>
      <c r="J225" s="978">
        <f t="shared" si="162"/>
        <v>257390</v>
      </c>
      <c r="K225" s="979">
        <f t="shared" si="163"/>
        <v>195767</v>
      </c>
      <c r="L225" s="840"/>
      <c r="M225" s="840"/>
      <c r="N225" s="914" t="str">
        <f>RSD_Commodities!$M$87&amp;"_"&amp;RIGHT(P225,LEN(P225)-3)&amp;"_"&amp;SETUP!$B$68</f>
        <v>WH_Det-E_OILLPG_X1</v>
      </c>
      <c r="O225" s="914" t="str">
        <f>RSD_Commodities!$N$87&amp;"_"&amp;RSD_Commodities!D11&amp;"_"&amp;SETUP!$C$68</f>
        <v>Residential Water Heating Detached-E_LPG to Residential_Existing 01</v>
      </c>
      <c r="P225" s="930" t="str">
        <f>RSD_Commodities!$C$11</f>
        <v>RSDOILLPG</v>
      </c>
      <c r="Q225" s="914" t="str">
        <f>RSD_Commodities!$M$87</f>
        <v>WH_Det-E</v>
      </c>
      <c r="R225" s="984">
        <f t="shared" si="158"/>
        <v>8.8879254281378709E-4</v>
      </c>
      <c r="S225" s="914">
        <f>R225*DwellingStocks!$I$68/1000</f>
        <v>2.1144098315198763E-2</v>
      </c>
      <c r="T225" s="915">
        <v>1</v>
      </c>
      <c r="U225" s="986">
        <f t="shared" si="166"/>
        <v>0.76058510431640702</v>
      </c>
      <c r="V225" s="930">
        <v>20</v>
      </c>
      <c r="W225" s="914">
        <v>1</v>
      </c>
      <c r="X225" s="866"/>
      <c r="Y225" s="928">
        <f t="shared" si="164"/>
        <v>1.7010890526869247E-6</v>
      </c>
      <c r="Z225" s="928">
        <f t="shared" si="165"/>
        <v>2.2365532049379496E-6</v>
      </c>
      <c r="AA225" s="866"/>
      <c r="AB225" s="914" t="s">
        <v>393</v>
      </c>
      <c r="AC225" s="914" t="str">
        <f t="shared" si="167"/>
        <v>WH_Det-E_OILLPG_X1</v>
      </c>
      <c r="AD225" s="915" t="str">
        <f t="shared" si="168"/>
        <v>Residential Water Heating Detached-E_LPG to Residential_Existing 01</v>
      </c>
      <c r="AE225" s="914" t="s">
        <v>53</v>
      </c>
      <c r="AF225" s="916" t="s">
        <v>406</v>
      </c>
      <c r="AG225" s="914"/>
      <c r="AH225" s="914"/>
      <c r="AI225" s="840"/>
      <c r="AJ225" s="840"/>
      <c r="AK225" s="840"/>
      <c r="AL225" s="840"/>
      <c r="AM225" s="840"/>
      <c r="AN225" s="840"/>
      <c r="AO225" s="840"/>
    </row>
    <row r="226" spans="1:41">
      <c r="A226" s="973" t="s">
        <v>120</v>
      </c>
      <c r="B226" s="758" t="s">
        <v>665</v>
      </c>
      <c r="C226" s="758">
        <f>SUMIFS(INDEX(Table915[],,MATCH(C$136,Table915[#Headers],0)),Table915[MainWaterHeatingFuel],$B226,Table915[EnergyRating (group)],$A226)</f>
        <v>32306765</v>
      </c>
      <c r="D226" s="758">
        <f>SUMIFS(INDEX(Table915[],,MATCH(D$136,Table915[#Headers],0)),Table915[MainWaterHeatingFuel],$B226,Table915[EnergyRating (group)],$A226)</f>
        <v>29369788</v>
      </c>
      <c r="E226" s="758">
        <f>SUMIFS(INDEX(Table915[],,MATCH(E$136,Table915[#Headers],0)),Table915[MainWaterHeatingFuel],$B226,Table915[EnergyRating (group)],$A226)</f>
        <v>12458967</v>
      </c>
      <c r="F226" s="758">
        <f>SUMIFS(INDEX(Table915[],,MATCH(F$136,Table915[#Headers],0)),Table915[MainWaterHeatingFuel],$B226,Table915[EnergyRating (group)],$A226)</f>
        <v>4614436</v>
      </c>
      <c r="G226" s="758">
        <f>SUMIFS(INDEX(Table915[],,MATCH(G$136,Table915[#Headers],0)),Table915[MainWaterHeatingFuel],$B226,Table915[EnergyRating (group)],$A226)</f>
        <v>5800</v>
      </c>
      <c r="H226" s="758">
        <f>SUMIFS(INDEX(Table915[],,MATCH(H$136,Table915[#Headers],0)),Table915[MainWaterHeatingFuel],$B226,Table915[EnergyRating (group)],$A226)</f>
        <v>448212</v>
      </c>
      <c r="I226" s="960"/>
      <c r="J226" s="980">
        <f t="shared" si="162"/>
        <v>44765732</v>
      </c>
      <c r="K226" s="981">
        <f t="shared" si="163"/>
        <v>33984224</v>
      </c>
      <c r="L226" s="840"/>
      <c r="M226" s="840"/>
      <c r="N226" s="66" t="str">
        <f>RSD_Commodities!$M$87&amp;"_"&amp;RSD_Commodities!$C$26&amp;"_"&amp;SETUP!$B$67</f>
        <v>WH_Det-E_RSDSMF_X0</v>
      </c>
      <c r="O226" s="66" t="str">
        <f>RSD_Commodities!$N$87&amp;"_"&amp;RSD_Commodities!$D$26&amp;"_"&amp;SETUP!$C$67</f>
        <v>Residential Water Heating Detached-E_Solid Multi-Fuel_Existing 00</v>
      </c>
      <c r="P226" s="83" t="str">
        <f>RSD_Commodities!$C$6&amp;","&amp;RSD_Commodities!$C$7&amp;","&amp;RSD_Commodities!$C$9&amp;","&amp;RSD_Commodities!$C$10&amp;","&amp;RSD_Commodities!$C$19</f>
        <v>RSDCOABIT,RSDCOAHAR,RSDCOALIG,RSDPEA,RSDBIOWOO</v>
      </c>
      <c r="Q226" s="66" t="str">
        <f>RSD_Commodities!$M$87</f>
        <v>WH_Det-E</v>
      </c>
      <c r="R226" s="985">
        <f t="shared" si="158"/>
        <v>0.12573162800780402</v>
      </c>
      <c r="S226" s="66">
        <f>R226*DwellingStocks!$I$68/1000</f>
        <v>2.9911163470281181</v>
      </c>
      <c r="T226" s="83">
        <v>1</v>
      </c>
      <c r="U226" s="987">
        <f t="shared" si="166"/>
        <v>0.7591571159832704</v>
      </c>
      <c r="V226" s="83">
        <v>20</v>
      </c>
      <c r="W226" s="66">
        <v>1</v>
      </c>
      <c r="X226" s="866"/>
      <c r="Y226" s="926">
        <f t="shared" si="164"/>
        <v>4.1774288197588487E-2</v>
      </c>
      <c r="Z226" s="926">
        <f t="shared" si="165"/>
        <v>5.5027197029539621E-2</v>
      </c>
      <c r="AA226" s="866"/>
      <c r="AB226" s="66" t="s">
        <v>393</v>
      </c>
      <c r="AC226" s="66" t="str">
        <f t="shared" si="167"/>
        <v>WH_Det-E_RSDSMF_X0</v>
      </c>
      <c r="AD226" s="83" t="str">
        <f t="shared" si="168"/>
        <v>Residential Water Heating Detached-E_Solid Multi-Fuel_Existing 00</v>
      </c>
      <c r="AE226" s="66" t="s">
        <v>53</v>
      </c>
      <c r="AF226" s="88" t="s">
        <v>406</v>
      </c>
      <c r="AG226" s="66"/>
      <c r="AH226" s="66"/>
      <c r="AI226" s="840"/>
      <c r="AJ226" s="840"/>
      <c r="AK226" s="840"/>
      <c r="AL226" s="840"/>
      <c r="AM226" s="840"/>
      <c r="AN226" s="840"/>
      <c r="AO226" s="840"/>
    </row>
    <row r="227" spans="1:41">
      <c r="A227" s="972" t="s">
        <v>120</v>
      </c>
      <c r="B227" s="757" t="s">
        <v>669</v>
      </c>
      <c r="C227" s="757">
        <f>SUMIFS(INDEX(Table915[],,MATCH(C$136,Table915[#Headers],0)),Table915[MainWaterHeatingFuel],$B227,Table915[EnergyRating (group)],$A227)</f>
        <v>8416814</v>
      </c>
      <c r="D227" s="757">
        <f>SUMIFS(INDEX(Table915[],,MATCH(D$136,Table915[#Headers],0)),Table915[MainWaterHeatingFuel],$B227,Table915[EnergyRating (group)],$A227)</f>
        <v>7014011</v>
      </c>
      <c r="E227" s="757">
        <f>SUMIFS(INDEX(Table915[],,MATCH(E$136,Table915[#Headers],0)),Table915[MainWaterHeatingFuel],$B227,Table915[EnergyRating (group)],$A227)</f>
        <v>3053614</v>
      </c>
      <c r="F227" s="757">
        <f>SUMIFS(INDEX(Table915[],,MATCH(F$136,Table915[#Headers],0)),Table915[MainWaterHeatingFuel],$B227,Table915[EnergyRating (group)],$A227)</f>
        <v>1130966</v>
      </c>
      <c r="G227" s="757">
        <f>SUMIFS(INDEX(Table915[],,MATCH(G$136,Table915[#Headers],0)),Table915[MainWaterHeatingFuel],$B227,Table915[EnergyRating (group)],$A227)</f>
        <v>1418</v>
      </c>
      <c r="H227" s="757">
        <f>SUMIFS(INDEX(Table915[],,MATCH(H$136,Table915[#Headers],0)),Table915[MainWaterHeatingFuel],$B227,Table915[EnergyRating (group)],$A227)</f>
        <v>115514</v>
      </c>
      <c r="I227" s="961"/>
      <c r="J227" s="978">
        <f t="shared" si="162"/>
        <v>11470428</v>
      </c>
      <c r="K227" s="979">
        <f t="shared" si="163"/>
        <v>8144977</v>
      </c>
      <c r="L227" s="840"/>
      <c r="M227" s="840"/>
      <c r="N227" s="914" t="str">
        <f>RSD_Commodities!$M$87&amp;"_"&amp;RIGHT(P227,LEN(P227)-3)&amp;"_"&amp;SETUP!$B$67</f>
        <v>WH_Det-E_COAHAR_X0</v>
      </c>
      <c r="O227" s="914" t="str">
        <f>RSD_Commodities!$N$87&amp;"_"&amp;RSD_Commodities!$D$7&amp;"_"&amp;SETUP!$C$67</f>
        <v>Residential Water Heating Detached-E_Anthracite + Manufactured Ovoids to Residential_Existing 00</v>
      </c>
      <c r="P227" s="915" t="str">
        <f>RSD_Commodities!$C$7</f>
        <v>RSDCOAHAR</v>
      </c>
      <c r="Q227" s="914" t="str">
        <f>RSD_Commodities!$M$87</f>
        <v>WH_Det-E</v>
      </c>
      <c r="R227" s="984">
        <f t="shared" si="158"/>
        <v>3.0739215261218297E-2</v>
      </c>
      <c r="S227" s="914">
        <f>R227*DwellingStocks!$I$68/1000</f>
        <v>0.73127637587687444</v>
      </c>
      <c r="T227" s="915">
        <v>1</v>
      </c>
      <c r="U227" s="986">
        <f t="shared" si="166"/>
        <v>0.7100848372876758</v>
      </c>
      <c r="V227" s="915">
        <v>20</v>
      </c>
      <c r="W227" s="914">
        <v>1</v>
      </c>
      <c r="X227" s="840"/>
      <c r="Y227" s="928">
        <f t="shared" si="164"/>
        <v>2.4477654502029441E-3</v>
      </c>
      <c r="Z227" s="928">
        <f t="shared" si="165"/>
        <v>3.4471450757246405E-3</v>
      </c>
      <c r="AA227" s="840"/>
      <c r="AB227" s="914" t="s">
        <v>393</v>
      </c>
      <c r="AC227" s="914" t="str">
        <f t="shared" si="167"/>
        <v>WH_Det-E_COAHAR_X0</v>
      </c>
      <c r="AD227" s="915" t="str">
        <f t="shared" si="168"/>
        <v>Residential Water Heating Detached-E_Anthracite + Manufactured Ovoids to Residential_Existing 00</v>
      </c>
      <c r="AE227" s="914" t="s">
        <v>53</v>
      </c>
      <c r="AF227" s="916" t="s">
        <v>406</v>
      </c>
      <c r="AG227" s="914"/>
      <c r="AH227" s="914"/>
      <c r="AI227" s="840"/>
      <c r="AJ227" s="840"/>
      <c r="AK227" s="840"/>
      <c r="AL227" s="840"/>
      <c r="AM227" s="840"/>
      <c r="AN227" s="840"/>
      <c r="AO227" s="840"/>
    </row>
    <row r="228" spans="1:41">
      <c r="A228" s="973" t="s">
        <v>120</v>
      </c>
      <c r="B228" s="758" t="s">
        <v>668</v>
      </c>
      <c r="C228" s="758">
        <f>SUMIFS(INDEX(Table915[],,MATCH(C$136,Table915[#Headers],0)),Table915[MainWaterHeatingFuel],$B228,Table915[EnergyRating (group)],$A228)</f>
        <v>20678</v>
      </c>
      <c r="D228" s="758">
        <f>SUMIFS(INDEX(Table915[],,MATCH(D$136,Table915[#Headers],0)),Table915[MainWaterHeatingFuel],$B228,Table915[EnergyRating (group)],$A228)</f>
        <v>18798</v>
      </c>
      <c r="E228" s="759">
        <f>SUMIFS(INDEX(Table915[],,MATCH(E$136,Table915[#Headers],0)),Table915[MainWaterHeatingFuel],$B228,Table915[EnergyRating (group)],$A228)</f>
        <v>2226</v>
      </c>
      <c r="F228" s="759">
        <f>SUMIFS(INDEX(Table915[],,MATCH(F$136,Table915[#Headers],0)),Table915[MainWaterHeatingFuel],$B228,Table915[EnergyRating (group)],$A228)</f>
        <v>824</v>
      </c>
      <c r="G228" s="758">
        <f>SUMIFS(INDEX(Table915[],,MATCH(G$136,Table915[#Headers],0)),Table915[MainWaterHeatingFuel],$B228,Table915[EnergyRating (group)],$A228)</f>
        <v>4</v>
      </c>
      <c r="H228" s="758">
        <f>SUMIFS(INDEX(Table915[],,MATCH(H$136,Table915[#Headers],0)),Table915[MainWaterHeatingFuel],$B228,Table915[EnergyRating (group)],$A228)</f>
        <v>390</v>
      </c>
      <c r="I228" s="960"/>
      <c r="J228" s="980">
        <f t="shared" si="162"/>
        <v>22904</v>
      </c>
      <c r="K228" s="981">
        <f t="shared" si="163"/>
        <v>19622</v>
      </c>
      <c r="L228" s="840"/>
      <c r="M228" s="840"/>
      <c r="N228" s="933" t="str">
        <f>RSD_Commodities!$M$87&amp;"_"&amp;RIGHT(P228,LEN(P228)-3)&amp;"_"&amp;SETUP!$B$69</f>
        <v>WH_Det-E_BIOWOO_X2</v>
      </c>
      <c r="O228" s="933" t="str">
        <f>RSD_Commodities!$N$87&amp;"_"&amp;RSD_Commodities!D19&amp;"_"&amp;SETUP!$C$69</f>
        <v>Residential Water Heating Detached-E_Biomass &amp; Renewable Waste to Residential_Existing 02</v>
      </c>
      <c r="P228" s="934" t="str">
        <f>RSD_Commodities!$C$19</f>
        <v>RSDBIOWOO</v>
      </c>
      <c r="Q228" s="66" t="str">
        <f>RSD_Commodities!$M$87</f>
        <v>WH_Det-E</v>
      </c>
      <c r="R228" s="985">
        <f t="shared" si="158"/>
        <v>8.6711467591588987E-5</v>
      </c>
      <c r="S228" s="66">
        <f>R228*DwellingStocks!$I$68/1000</f>
        <v>2.0628388600193921E-3</v>
      </c>
      <c r="T228" s="83">
        <v>1</v>
      </c>
      <c r="U228" s="987">
        <f t="shared" si="166"/>
        <v>0.85670625218302476</v>
      </c>
      <c r="V228" s="83">
        <v>20</v>
      </c>
      <c r="W228" s="66">
        <v>1</v>
      </c>
      <c r="X228" s="866"/>
      <c r="Y228" s="926">
        <f t="shared" si="164"/>
        <v>1.6634393470397472E-8</v>
      </c>
      <c r="Z228" s="926">
        <f t="shared" si="165"/>
        <v>1.9416682705431848E-8</v>
      </c>
      <c r="AA228" s="866"/>
      <c r="AB228" s="66" t="s">
        <v>393</v>
      </c>
      <c r="AC228" s="66" t="str">
        <f t="shared" si="167"/>
        <v>WH_Det-E_BIOWOO_X2</v>
      </c>
      <c r="AD228" s="83" t="str">
        <f t="shared" si="168"/>
        <v>Residential Water Heating Detached-E_Biomass &amp; Renewable Waste to Residential_Existing 02</v>
      </c>
      <c r="AE228" s="66" t="s">
        <v>53</v>
      </c>
      <c r="AF228" s="88" t="s">
        <v>406</v>
      </c>
      <c r="AG228" s="66"/>
      <c r="AH228" s="66"/>
      <c r="AI228" s="840"/>
      <c r="AJ228" s="840"/>
      <c r="AK228" s="840"/>
      <c r="AL228" s="840"/>
      <c r="AM228" s="840"/>
      <c r="AN228" s="840"/>
      <c r="AO228" s="840"/>
    </row>
    <row r="229" spans="1:41">
      <c r="A229" s="972" t="s">
        <v>120</v>
      </c>
      <c r="B229" s="757" t="s">
        <v>671</v>
      </c>
      <c r="C229" s="757">
        <f>SUMIFS(INDEX(Table915[],,MATCH(C$136,Table915[#Headers],0)),Table915[MainWaterHeatingFuel],$B229,Table915[EnergyRating (group)],$A229)</f>
        <v>1094140</v>
      </c>
      <c r="D229" s="757">
        <f>SUMIFS(INDEX(Table915[],,MATCH(D$136,Table915[#Headers],0)),Table915[MainWaterHeatingFuel],$B229,Table915[EnergyRating (group)],$A229)</f>
        <v>994670</v>
      </c>
      <c r="E229" s="760">
        <f>SUMIFS(INDEX(Table915[],,MATCH(E$136,Table915[#Headers],0)),Table915[MainWaterHeatingFuel],$B229,Table915[EnergyRating (group)],$A229)</f>
        <v>365302</v>
      </c>
      <c r="F229" s="760">
        <f>SUMIFS(INDEX(Table915[],,MATCH(F$136,Table915[#Headers],0)),Table915[MainWaterHeatingFuel],$B229,Table915[EnergyRating (group)],$A229)</f>
        <v>135299</v>
      </c>
      <c r="G229" s="757">
        <f>SUMIFS(INDEX(Table915[],,MATCH(G$136,Table915[#Headers],0)),Table915[MainWaterHeatingFuel],$B229,Table915[EnergyRating (group)],$A229)</f>
        <v>181</v>
      </c>
      <c r="H229" s="757">
        <f>SUMIFS(INDEX(Table915[],,MATCH(H$136,Table915[#Headers],0)),Table915[MainWaterHeatingFuel],$B229,Table915[EnergyRating (group)],$A229)</f>
        <v>15135</v>
      </c>
      <c r="I229" s="959"/>
      <c r="J229" s="978">
        <f t="shared" si="162"/>
        <v>1459442</v>
      </c>
      <c r="K229" s="979">
        <f t="shared" si="163"/>
        <v>1129969</v>
      </c>
      <c r="L229" s="840"/>
      <c r="M229" s="840"/>
      <c r="N229" s="914" t="str">
        <f>RSD_Commodities!$M$87&amp;"_"&amp;RIGHT(P229,LEN(P229)-3)&amp;"_"&amp;SETUP!$B$67</f>
        <v>WH_Det-E_PEA_X0</v>
      </c>
      <c r="O229" s="914" t="str">
        <f>RSD_Commodities!$N$87&amp;"_"&amp;RSD_Commodities!$D$10&amp;"_"&amp;SETUP!$C$67</f>
        <v>Residential Water Heating Detached-E_Peat to Residential_Existing 00</v>
      </c>
      <c r="P229" s="915" t="str">
        <f>RSD_Commodities!$C$10</f>
        <v>RSDPEA</v>
      </c>
      <c r="Q229" s="914" t="str">
        <f>RSD_Commodities!$M$87</f>
        <v>WH_Det-E</v>
      </c>
      <c r="R229" s="984">
        <f t="shared" si="158"/>
        <v>3.9236939085194019E-3</v>
      </c>
      <c r="S229" s="914">
        <f>R229*DwellingStocks!$I$68/1000</f>
        <v>9.3343458415877475E-2</v>
      </c>
      <c r="T229" s="915">
        <v>1</v>
      </c>
      <c r="U229" s="986">
        <f t="shared" si="166"/>
        <v>0.774247280810063</v>
      </c>
      <c r="V229" s="915">
        <v>20</v>
      </c>
      <c r="W229" s="914">
        <v>1</v>
      </c>
      <c r="X229" s="866"/>
      <c r="Y229" s="928">
        <f t="shared" si="164"/>
        <v>4.3345978505231783E-5</v>
      </c>
      <c r="Z229" s="928">
        <f t="shared" si="165"/>
        <v>5.5984669987966465E-5</v>
      </c>
      <c r="AA229" s="866"/>
      <c r="AB229" s="914" t="s">
        <v>393</v>
      </c>
      <c r="AC229" s="914" t="str">
        <f t="shared" si="167"/>
        <v>WH_Det-E_PEA_X0</v>
      </c>
      <c r="AD229" s="915" t="str">
        <f t="shared" si="168"/>
        <v>Residential Water Heating Detached-E_Peat to Residential_Existing 00</v>
      </c>
      <c r="AE229" s="914" t="s">
        <v>53</v>
      </c>
      <c r="AF229" s="916" t="s">
        <v>406</v>
      </c>
      <c r="AG229" s="914"/>
      <c r="AH229" s="914"/>
      <c r="AI229" s="840"/>
      <c r="AJ229" s="840"/>
      <c r="AK229" s="840"/>
      <c r="AL229" s="840"/>
      <c r="AM229" s="840"/>
      <c r="AN229" s="840"/>
      <c r="AO229" s="840"/>
    </row>
    <row r="230" spans="1:41">
      <c r="A230" s="973" t="s">
        <v>120</v>
      </c>
      <c r="B230" s="994" t="s">
        <v>667</v>
      </c>
      <c r="C230" s="758">
        <f>SUMIFS(INDEX(Table915[],,MATCH(C$136,Table915[#Headers],0)),Table915[MainWaterHeatingFuel],$B230,Table915[EnergyRating (group)],$A230)</f>
        <v>276302</v>
      </c>
      <c r="D230" s="758">
        <f>SUMIFS(INDEX(Table915[],,MATCH(D$136,Table915[#Headers],0)),Table915[MainWaterHeatingFuel],$B230,Table915[EnergyRating (group)],$A230)</f>
        <v>251185</v>
      </c>
      <c r="E230" s="758">
        <f>SUMIFS(INDEX(Table915[],,MATCH(E$136,Table915[#Headers],0)),Table915[MainWaterHeatingFuel],$B230,Table915[EnergyRating (group)],$A230)</f>
        <v>72237</v>
      </c>
      <c r="F230" s="758">
        <f>SUMIFS(INDEX(Table915[],,MATCH(F$136,Table915[#Headers],0)),Table915[MainWaterHeatingFuel],$B230,Table915[EnergyRating (group)],$A230)</f>
        <v>26752</v>
      </c>
      <c r="G230" s="758">
        <f>SUMIFS(INDEX(Table915[],,MATCH(G$136,Table915[#Headers],0)),Table915[MainWaterHeatingFuel],$B230,Table915[EnergyRating (group)],$A230)</f>
        <v>50</v>
      </c>
      <c r="H230" s="758">
        <f>SUMIFS(INDEX(Table915[],,MATCH(H$136,Table915[#Headers],0)),Table915[MainWaterHeatingFuel],$B230,Table915[EnergyRating (group)],$A230)</f>
        <v>3669</v>
      </c>
      <c r="I230" s="960"/>
      <c r="J230" s="980">
        <f t="shared" si="162"/>
        <v>348539</v>
      </c>
      <c r="K230" s="981">
        <f t="shared" si="163"/>
        <v>277937</v>
      </c>
      <c r="L230" s="840"/>
      <c r="M230" s="840"/>
      <c r="N230" s="66" t="str">
        <f>RSD_Commodities!$M$87&amp;"_"&amp;RIGHT(P230,LEN(P230)-3)&amp;"_"&amp;SETUP!$B$68</f>
        <v>WH_Det-E_PEA_X1</v>
      </c>
      <c r="O230" s="66" t="str">
        <f>RSD_Commodities!$N$87&amp;"_"&amp;RSD_Commodities!$D$10&amp;"_"&amp;SETUP!$C$68</f>
        <v>Residential Water Heating Detached-E_Peat to Residential_Existing 01</v>
      </c>
      <c r="P230" s="83" t="str">
        <f>RSD_Commodities!$C$10</f>
        <v>RSDPEA</v>
      </c>
      <c r="Q230" s="66" t="str">
        <f>RSD_Commodities!$M$87</f>
        <v>WH_Det-E</v>
      </c>
      <c r="R230" s="985">
        <f t="shared" si="158"/>
        <v>1.0838933448948623E-3</v>
      </c>
      <c r="S230" s="66">
        <f>R230*DwellingStocks!$I$68/1000</f>
        <v>2.5785485750242396E-2</v>
      </c>
      <c r="T230" s="83">
        <v>1</v>
      </c>
      <c r="U230" s="987">
        <f t="shared" si="166"/>
        <v>0.7974344334493414</v>
      </c>
      <c r="V230" s="83">
        <v>20</v>
      </c>
      <c r="W230" s="66">
        <v>1</v>
      </c>
      <c r="X230" s="866"/>
      <c r="Y230" s="926">
        <f t="shared" si="164"/>
        <v>2.9452358436842966E-6</v>
      </c>
      <c r="Z230" s="926">
        <f t="shared" si="165"/>
        <v>3.6933893498234531E-6</v>
      </c>
      <c r="AA230" s="866"/>
      <c r="AB230" s="66" t="s">
        <v>393</v>
      </c>
      <c r="AC230" s="66" t="str">
        <f t="shared" si="167"/>
        <v>WH_Det-E_PEA_X1</v>
      </c>
      <c r="AD230" s="83" t="str">
        <f t="shared" si="168"/>
        <v>Residential Water Heating Detached-E_Peat to Residential_Existing 01</v>
      </c>
      <c r="AE230" s="66" t="s">
        <v>53</v>
      </c>
      <c r="AF230" s="88" t="s">
        <v>406</v>
      </c>
      <c r="AG230" s="66"/>
      <c r="AH230" s="66"/>
      <c r="AI230" s="840"/>
      <c r="AJ230" s="840"/>
      <c r="AK230" s="840"/>
      <c r="AL230" s="840"/>
      <c r="AM230" s="840"/>
      <c r="AN230" s="840"/>
      <c r="AO230" s="840"/>
    </row>
    <row r="231" spans="1:41">
      <c r="A231" s="972" t="s">
        <v>120</v>
      </c>
      <c r="B231" s="757" t="s">
        <v>666</v>
      </c>
      <c r="C231" s="757">
        <f>SUMIFS(INDEX(Table915[],,MATCH(C$136,Table915[#Headers],0)),Table915[MainWaterHeatingFuel],$B231,Table915[EnergyRating (group)],$A231)</f>
        <v>4161587</v>
      </c>
      <c r="D231" s="757">
        <f>SUMIFS(INDEX(Table915[],,MATCH(D$136,Table915[#Headers],0)),Table915[MainWaterHeatingFuel],$B231,Table915[EnergyRating (group)],$A231)</f>
        <v>3783263</v>
      </c>
      <c r="E231" s="760">
        <f>SUMIFS(INDEX(Table915[],,MATCH(E$136,Table915[#Headers],0)),Table915[MainWaterHeatingFuel],$B231,Table915[EnergyRating (group)],$A231)</f>
        <v>1625728</v>
      </c>
      <c r="F231" s="760">
        <f>SUMIFS(INDEX(Table915[],,MATCH(F$136,Table915[#Headers],0)),Table915[MainWaterHeatingFuel],$B231,Table915[EnergyRating (group)],$A231)</f>
        <v>602122</v>
      </c>
      <c r="G231" s="757">
        <f>SUMIFS(INDEX(Table915[],,MATCH(G$136,Table915[#Headers],0)),Table915[MainWaterHeatingFuel],$B231,Table915[EnergyRating (group)],$A231)</f>
        <v>747</v>
      </c>
      <c r="H231" s="757">
        <f>SUMIFS(INDEX(Table915[],,MATCH(H$136,Table915[#Headers],0)),Table915[MainWaterHeatingFuel],$B231,Table915[EnergyRating (group)],$A231)</f>
        <v>58847</v>
      </c>
      <c r="I231" s="959"/>
      <c r="J231" s="978">
        <f t="shared" si="162"/>
        <v>5787315</v>
      </c>
      <c r="K231" s="979">
        <f t="shared" si="163"/>
        <v>4385385</v>
      </c>
      <c r="L231" s="840"/>
      <c r="M231" s="840"/>
      <c r="N231" s="914" t="str">
        <f>RSD_Commodities!$M$87&amp;"_"&amp;RIGHT(P231,LEN(P231)-3)&amp;"_"&amp;SETUP!$B$67</f>
        <v>WH_Det-E_COABIT_X0</v>
      </c>
      <c r="O231" s="914" t="str">
        <f>RSD_Commodities!$N$87&amp;"_"&amp;RSD_Commodities!D6&amp;"_"&amp;SETUP!$C$67</f>
        <v>Residential Water Heating Detached-E_Bituminous Coal to Residential_Existing 00</v>
      </c>
      <c r="P231" s="915" t="str">
        <f>RSD_Commodities!$C$6</f>
        <v>RSDCOABIT</v>
      </c>
      <c r="Q231" s="914" t="str">
        <f>RSD_Commodities!$M$87</f>
        <v>WH_Det-E</v>
      </c>
      <c r="R231" s="984">
        <f t="shared" si="158"/>
        <v>1.6193366572729243E-2</v>
      </c>
      <c r="S231" s="914">
        <f>R231*DwellingStocks!$I$68/1000</f>
        <v>0.38523515710862144</v>
      </c>
      <c r="T231" s="915">
        <v>1</v>
      </c>
      <c r="U231" s="986">
        <f t="shared" si="166"/>
        <v>0.75775813136143444</v>
      </c>
      <c r="V231" s="915">
        <v>20</v>
      </c>
      <c r="W231" s="914">
        <v>1</v>
      </c>
      <c r="X231" s="866"/>
      <c r="Y231" s="928">
        <f t="shared" si="164"/>
        <v>6.9427581347539398E-4</v>
      </c>
      <c r="Z231" s="928">
        <f t="shared" si="165"/>
        <v>9.162235081898965E-4</v>
      </c>
      <c r="AA231" s="866"/>
      <c r="AB231" s="914" t="s">
        <v>393</v>
      </c>
      <c r="AC231" s="914" t="str">
        <f t="shared" si="167"/>
        <v>WH_Det-E_COABIT_X0</v>
      </c>
      <c r="AD231" s="915" t="str">
        <f t="shared" si="168"/>
        <v>Residential Water Heating Detached-E_Bituminous Coal to Residential_Existing 00</v>
      </c>
      <c r="AE231" s="914" t="s">
        <v>53</v>
      </c>
      <c r="AF231" s="916" t="s">
        <v>406</v>
      </c>
      <c r="AG231" s="914"/>
      <c r="AH231" s="914"/>
      <c r="AI231" s="840"/>
      <c r="AJ231" s="840"/>
      <c r="AK231" s="840"/>
      <c r="AL231" s="840"/>
      <c r="AM231" s="840"/>
      <c r="AN231" s="840"/>
      <c r="AO231" s="840"/>
    </row>
    <row r="232" spans="1:41">
      <c r="A232" s="973" t="s">
        <v>120</v>
      </c>
      <c r="B232" s="758" t="s">
        <v>673</v>
      </c>
      <c r="C232" s="758">
        <f>SUMIFS(INDEX(Table915[],,MATCH(C$136,Table915[#Headers],0)),Table915[MainWaterHeatingFuel],$B232,Table915[EnergyRating (group)],$A232)</f>
        <v>207980</v>
      </c>
      <c r="D232" s="758">
        <f>SUMIFS(INDEX(Table915[],,MATCH(D$136,Table915[#Headers],0)),Table915[MainWaterHeatingFuel],$B232,Table915[EnergyRating (group)],$A232)</f>
        <v>189071</v>
      </c>
      <c r="E232" s="758">
        <f>SUMIFS(INDEX(Table915[],,MATCH(E$136,Table915[#Headers],0)),Table915[MainWaterHeatingFuel],$B232,Table915[EnergyRating (group)],$A232)</f>
        <v>90092</v>
      </c>
      <c r="F232" s="758">
        <f>SUMIFS(INDEX(Table915[],,MATCH(F$136,Table915[#Headers],0)),Table915[MainWaterHeatingFuel],$B232,Table915[EnergyRating (group)],$A232)</f>
        <v>33368</v>
      </c>
      <c r="G232" s="758">
        <f>SUMIFS(INDEX(Table915[],,MATCH(G$136,Table915[#Headers],0)),Table915[MainWaterHeatingFuel],$B232,Table915[EnergyRating (group)],$A232)</f>
        <v>44</v>
      </c>
      <c r="H232" s="758">
        <f>SUMIFS(INDEX(Table915[],,MATCH(H$136,Table915[#Headers],0)),Table915[MainWaterHeatingFuel],$B232,Table915[EnergyRating (group)],$A232)</f>
        <v>3173</v>
      </c>
      <c r="I232" s="960"/>
      <c r="J232" s="980">
        <f t="shared" ref="J232:J234" si="169">C232+E232</f>
        <v>298072</v>
      </c>
      <c r="K232" s="981">
        <f t="shared" ref="K232:K234" si="170">D232+F232</f>
        <v>222439</v>
      </c>
      <c r="L232" s="840"/>
      <c r="M232" s="840"/>
      <c r="N232" s="66" t="str">
        <f>RSD_Commodities!$M$87&amp;"_"&amp;RIGHT(P232,LEN(P232)-3)&amp;"_"&amp;SETUP!$B$68</f>
        <v>WH_Det-E_BIOWOO_X1</v>
      </c>
      <c r="O232" s="66" t="str">
        <f>RSD_Commodities!$N$87&amp;"_"&amp;RSD_Commodities!D19&amp;"_"&amp;SETUP!$C$68</f>
        <v>Residential Water Heating Detached-E_Biomass &amp; Renewable Waste to Residential_Existing 01</v>
      </c>
      <c r="P232" s="83" t="str">
        <f>RSD_Commodities!$C$19</f>
        <v>RSDBIOWOO</v>
      </c>
      <c r="Q232" s="66" t="str">
        <f>RSD_Commodities!$M$87</f>
        <v>WH_Det-E</v>
      </c>
      <c r="R232" s="985">
        <f t="shared" si="158"/>
        <v>9.5382614350747886E-4</v>
      </c>
      <c r="S232" s="66">
        <f>R232*DwellingStocks!$I$68/1000</f>
        <v>2.269122746021331E-2</v>
      </c>
      <c r="T232" s="83">
        <v>1</v>
      </c>
      <c r="U232" s="987">
        <f t="shared" si="166"/>
        <v>0.74625929305671113</v>
      </c>
      <c r="V232" s="83">
        <v>20</v>
      </c>
      <c r="W232" s="66">
        <v>1</v>
      </c>
      <c r="X232" s="866"/>
      <c r="Y232" s="926">
        <f t="shared" si="164"/>
        <v>2.0742797034338587E-6</v>
      </c>
      <c r="Z232" s="926">
        <f t="shared" si="165"/>
        <v>2.7795696787071382E-6</v>
      </c>
      <c r="AA232" s="866"/>
      <c r="AB232" s="66" t="s">
        <v>393</v>
      </c>
      <c r="AC232" s="66" t="str">
        <f t="shared" si="167"/>
        <v>WH_Det-E_BIOWOO_X1</v>
      </c>
      <c r="AD232" s="83" t="str">
        <f t="shared" si="168"/>
        <v>Residential Water Heating Detached-E_Biomass &amp; Renewable Waste to Residential_Existing 01</v>
      </c>
      <c r="AE232" s="66" t="s">
        <v>53</v>
      </c>
      <c r="AF232" s="88" t="s">
        <v>406</v>
      </c>
      <c r="AG232" s="66"/>
      <c r="AH232" s="66"/>
      <c r="AI232" s="840"/>
      <c r="AJ232" s="840"/>
      <c r="AK232" s="840"/>
      <c r="AL232" s="840"/>
      <c r="AM232" s="840"/>
      <c r="AN232" s="840"/>
      <c r="AO232" s="840"/>
    </row>
    <row r="233" spans="1:41">
      <c r="A233" s="972" t="s">
        <v>120</v>
      </c>
      <c r="B233" s="757" t="s">
        <v>722</v>
      </c>
      <c r="C233" s="757">
        <f>SUMIFS(INDEX(Table915[],,MATCH(C$136,Table915[#Headers],0)),Table915[MainWaterHeatingFuel],$B233,Table915[EnergyRating (group)],$A233)</f>
        <v>19839</v>
      </c>
      <c r="D233" s="757">
        <f>SUMIFS(INDEX(Table915[],,MATCH(D$136,Table915[#Headers],0)),Table915[MainWaterHeatingFuel],$B233,Table915[EnergyRating (group)],$A233)</f>
        <v>18035</v>
      </c>
      <c r="E233" s="760">
        <f>SUMIFS(INDEX(Table915[],,MATCH(E$136,Table915[#Headers],0)),Table915[MainWaterHeatingFuel],$B233,Table915[EnergyRating (group)],$A233)</f>
        <v>10154</v>
      </c>
      <c r="F233" s="760">
        <f>SUMIFS(INDEX(Table915[],,MATCH(F$136,Table915[#Headers],0)),Table915[MainWaterHeatingFuel],$B233,Table915[EnergyRating (group)],$A233)</f>
        <v>3761</v>
      </c>
      <c r="G233" s="757">
        <f>SUMIFS(INDEX(Table915[],,MATCH(G$136,Table915[#Headers],0)),Table915[MainWaterHeatingFuel],$B233,Table915[EnergyRating (group)],$A233)</f>
        <v>5</v>
      </c>
      <c r="H233" s="757">
        <f>SUMIFS(INDEX(Table915[],,MATCH(H$136,Table915[#Headers],0)),Table915[MainWaterHeatingFuel],$B233,Table915[EnergyRating (group)],$A233)</f>
        <v>385</v>
      </c>
      <c r="I233" s="959"/>
      <c r="J233" s="978">
        <f t="shared" si="169"/>
        <v>29993</v>
      </c>
      <c r="K233" s="979">
        <f t="shared" si="170"/>
        <v>21796</v>
      </c>
      <c r="L233" s="840"/>
      <c r="M233" s="840"/>
      <c r="N233" s="914" t="str">
        <f>RSD_Commodities!$M$87&amp;"_"&amp;RIGHT(P233,LEN(P233)-3)&amp;"_"&amp;SETUP!$B$68</f>
        <v>WH_Det-E_BIOWOO_X1</v>
      </c>
      <c r="O233" s="914" t="str">
        <f>RSD_Commodities!$N$87&amp;"_"&amp;RSD_Commodities!D19&amp;"_"&amp;SETUP!$C$68</f>
        <v>Residential Water Heating Detached-E_Biomass &amp; Renewable Waste to Residential_Existing 01</v>
      </c>
      <c r="P233" s="915" t="str">
        <f>RSD_Commodities!$C$19</f>
        <v>RSDBIOWOO</v>
      </c>
      <c r="Q233" s="914" t="str">
        <f>RSD_Commodities!$M$87</f>
        <v>WH_Det-E</v>
      </c>
      <c r="R233" s="984">
        <f t="shared" si="158"/>
        <v>1.0838933448948623E-4</v>
      </c>
      <c r="S233" s="914">
        <f>R233*DwellingStocks!$I$68/1000</f>
        <v>2.57854857502424E-3</v>
      </c>
      <c r="T233" s="915">
        <v>1</v>
      </c>
      <c r="U233" s="986">
        <f t="shared" si="166"/>
        <v>0.72670289734271332</v>
      </c>
      <c r="V233" s="915">
        <v>20</v>
      </c>
      <c r="W233" s="914">
        <v>1</v>
      </c>
      <c r="X233" s="866"/>
      <c r="Y233" s="928">
        <f t="shared" si="164"/>
        <v>2.309673071557329E-8</v>
      </c>
      <c r="Z233" s="928">
        <f t="shared" si="165"/>
        <v>3.1782907155083032E-8</v>
      </c>
      <c r="AA233" s="866"/>
      <c r="AB233" s="914" t="s">
        <v>393</v>
      </c>
      <c r="AC233" s="914" t="str">
        <f t="shared" si="167"/>
        <v>WH_Det-E_BIOWOO_X1</v>
      </c>
      <c r="AD233" s="915" t="str">
        <f t="shared" si="168"/>
        <v>Residential Water Heating Detached-E_Biomass &amp; Renewable Waste to Residential_Existing 01</v>
      </c>
      <c r="AE233" s="914" t="s">
        <v>53</v>
      </c>
      <c r="AF233" s="916" t="s">
        <v>406</v>
      </c>
      <c r="AG233" s="914"/>
      <c r="AH233" s="914"/>
      <c r="AI233" s="840"/>
      <c r="AJ233" s="840"/>
      <c r="AK233" s="840"/>
      <c r="AL233" s="840"/>
      <c r="AM233" s="840"/>
      <c r="AN233" s="840"/>
      <c r="AO233" s="840"/>
    </row>
    <row r="234" spans="1:41" ht="15.75" thickBot="1">
      <c r="A234" s="973" t="s">
        <v>120</v>
      </c>
      <c r="B234" s="758" t="s">
        <v>674</v>
      </c>
      <c r="C234" s="758">
        <f>SUMIFS(INDEX(Table915[],,MATCH(C$136,Table915[#Headers],0)),Table915[MainWaterHeatingFuel],$B234,Table915[EnergyRating (group)],$A234)</f>
        <v>64783</v>
      </c>
      <c r="D234" s="758">
        <f>SUMIFS(INDEX(Table915[],,MATCH(D$136,Table915[#Headers],0)),Table915[MainWaterHeatingFuel],$B234,Table915[EnergyRating (group)],$A234)</f>
        <v>58894</v>
      </c>
      <c r="E234" s="758">
        <f>SUMIFS(INDEX(Table915[],,MATCH(E$136,Table915[#Headers],0)),Table915[MainWaterHeatingFuel],$B234,Table915[EnergyRating (group)],$A234)</f>
        <v>21089</v>
      </c>
      <c r="F234" s="758">
        <f>SUMIFS(INDEX(Table915[],,MATCH(F$136,Table915[#Headers],0)),Table915[MainWaterHeatingFuel],$B234,Table915[EnergyRating (group)],$A234)</f>
        <v>7810</v>
      </c>
      <c r="G234" s="758">
        <f>SUMIFS(INDEX(Table915[],,MATCH(G$136,Table915[#Headers],0)),Table915[MainWaterHeatingFuel],$B234,Table915[EnergyRating (group)],$A234)</f>
        <v>12</v>
      </c>
      <c r="H234" s="758">
        <f>SUMIFS(INDEX(Table915[],,MATCH(H$136,Table915[#Headers],0)),Table915[MainWaterHeatingFuel],$B234,Table915[EnergyRating (group)],$A234)</f>
        <v>957</v>
      </c>
      <c r="I234" s="960"/>
      <c r="J234" s="980">
        <f t="shared" si="169"/>
        <v>85872</v>
      </c>
      <c r="K234" s="981">
        <f t="shared" si="170"/>
        <v>66704</v>
      </c>
      <c r="L234" s="840"/>
      <c r="M234" s="840"/>
      <c r="N234" s="66" t="str">
        <f>RSD_Commodities!$M$87&amp;"_"&amp;RIGHT(P234,LEN(P234)-3)&amp;"_"&amp;SETUP!$B$68</f>
        <v>WH_Det-E_COAHAR_X1</v>
      </c>
      <c r="O234" s="66" t="str">
        <f>RSD_Commodities!$N$87&amp;"_"&amp;RSD_Commodities!D7&amp;"_"&amp;SETUP!$C$68</f>
        <v>Residential Water Heating Detached-E_Anthracite + Manufactured Ovoids to Residential_Existing 01</v>
      </c>
      <c r="P234" s="83" t="str">
        <f>RSD_Commodities!$C$7</f>
        <v>RSDCOAHAR</v>
      </c>
      <c r="Q234" s="66" t="str">
        <f>RSD_Commodities!$M$87</f>
        <v>WH_Det-E</v>
      </c>
      <c r="R234" s="985">
        <f t="shared" si="158"/>
        <v>2.6013440277476696E-4</v>
      </c>
      <c r="S234" s="66">
        <f>R234*DwellingStocks!$I$68/1000</f>
        <v>6.1885165800581758E-3</v>
      </c>
      <c r="T234" s="83">
        <v>1</v>
      </c>
      <c r="U234" s="987">
        <f t="shared" si="166"/>
        <v>0.77678405068008194</v>
      </c>
      <c r="V234" s="83">
        <v>20</v>
      </c>
      <c r="W234" s="66">
        <v>1</v>
      </c>
      <c r="X234" s="866"/>
      <c r="Y234" s="926">
        <f t="shared" si="164"/>
        <v>1.6964334655734272E-7</v>
      </c>
      <c r="Z234" s="926">
        <f t="shared" si="165"/>
        <v>2.1839190236825578E-7</v>
      </c>
      <c r="AA234" s="866"/>
      <c r="AB234" s="66" t="s">
        <v>393</v>
      </c>
      <c r="AC234" s="66" t="str">
        <f t="shared" si="167"/>
        <v>WH_Det-E_COAHAR_X1</v>
      </c>
      <c r="AD234" s="83" t="str">
        <f t="shared" si="168"/>
        <v>Residential Water Heating Detached-E_Anthracite + Manufactured Ovoids to Residential_Existing 01</v>
      </c>
      <c r="AE234" s="66" t="s">
        <v>53</v>
      </c>
      <c r="AF234" s="88" t="s">
        <v>406</v>
      </c>
      <c r="AG234" s="66"/>
      <c r="AH234" s="66"/>
      <c r="AI234" s="840"/>
      <c r="AJ234" s="840"/>
      <c r="AK234" s="840"/>
      <c r="AL234" s="840"/>
      <c r="AM234" s="840"/>
      <c r="AN234" s="840"/>
      <c r="AO234" s="840"/>
    </row>
    <row r="235" spans="1:41" ht="15.75" thickBot="1">
      <c r="A235" s="756" t="s">
        <v>122</v>
      </c>
      <c r="B235" s="1048"/>
      <c r="C235" s="1049"/>
      <c r="D235" s="1049"/>
      <c r="E235" s="1049"/>
      <c r="F235" s="1049"/>
      <c r="G235" s="1049"/>
      <c r="H235" s="1049"/>
      <c r="I235" s="1049"/>
      <c r="J235" s="1050"/>
      <c r="K235" s="1051"/>
      <c r="L235" s="840"/>
      <c r="M235" s="840"/>
      <c r="N235" s="76" t="str">
        <f>AB235</f>
        <v>*F Rating</v>
      </c>
      <c r="O235" s="76"/>
      <c r="P235" s="76"/>
      <c r="Q235" s="76"/>
      <c r="R235" s="949">
        <f>SUM(R237:R252)</f>
        <v>0.99999999999999978</v>
      </c>
      <c r="S235" s="76"/>
      <c r="T235" s="97"/>
      <c r="U235" s="76"/>
      <c r="V235" s="76"/>
      <c r="W235" s="76"/>
      <c r="X235" s="840"/>
      <c r="Y235" s="76"/>
      <c r="Z235" s="76"/>
      <c r="AA235" s="840"/>
      <c r="AB235" s="140" t="str">
        <f>"*"&amp; A236 &amp; " Rating"</f>
        <v>*F Rating</v>
      </c>
      <c r="AC235" s="141"/>
      <c r="AD235" s="141"/>
      <c r="AE235" s="141"/>
      <c r="AF235" s="141"/>
      <c r="AG235" s="141"/>
      <c r="AH235" s="141"/>
      <c r="AI235" s="840"/>
      <c r="AJ235" s="840"/>
      <c r="AK235" s="840"/>
      <c r="AL235" s="840"/>
      <c r="AM235" s="840"/>
      <c r="AN235" s="840"/>
      <c r="AO235" s="840"/>
    </row>
    <row r="236" spans="1:41">
      <c r="A236" s="972" t="s">
        <v>122</v>
      </c>
      <c r="B236" s="757" t="s">
        <v>580</v>
      </c>
      <c r="C236" s="757">
        <f>SUMIFS(INDEX(Table915[],,MATCH(C$136,Table915[#Headers],0)),Table915[MainWaterHeatingFuel],$B236,Table915[EnergyRating (group)],$A236)</f>
        <v>3595</v>
      </c>
      <c r="D236" s="757">
        <f>SUMIFS(INDEX(Table915[],,MATCH(D$136,Table915[#Headers],0)),Table915[MainWaterHeatingFuel],$B236,Table915[EnergyRating (group)],$A236)</f>
        <v>1332</v>
      </c>
      <c r="E236" s="760">
        <f>SUMIFS(INDEX(Table915[],,MATCH(E$136,Table915[#Headers],0)),Table915[MainWaterHeatingFuel],$B236,Table915[EnergyRating (group)],$A236)</f>
        <v>0</v>
      </c>
      <c r="F236" s="760">
        <f>SUMIFS(INDEX(Table915[],,MATCH(F$136,Table915[#Headers],0)),Table915[MainWaterHeatingFuel],$B236,Table915[EnergyRating (group)],$A236)</f>
        <v>0</v>
      </c>
      <c r="G236" s="757">
        <f>SUMIFS(INDEX(Table915[],,MATCH(G$136,Table915[#Headers],0)),Table915[MainWaterHeatingFuel],$B236,Table915[EnergyRating (group)],$A236)</f>
        <v>1</v>
      </c>
      <c r="H236" s="757">
        <f>SUMIFS(INDEX(Table915[],,MATCH(H$136,Table915[#Headers],0)),Table915[MainWaterHeatingFuel],$B236,Table915[EnergyRating (group)],$A236)</f>
        <v>57</v>
      </c>
      <c r="I236" s="959"/>
      <c r="J236" s="989">
        <f t="shared" ref="J236" si="171">C236+E236</f>
        <v>3595</v>
      </c>
      <c r="K236" s="990">
        <f t="shared" ref="K236" si="172">D236+F236</f>
        <v>1332</v>
      </c>
      <c r="L236" s="840"/>
      <c r="M236" s="840"/>
      <c r="N236" s="914" t="str">
        <f>RSD_Commodities!$M$88&amp;"_"&amp;RIGHT(P236,LEN(P236)-3)&amp;"_"&amp;SETUP!$B$67</f>
        <v>WH_Det-F_BIODST_X0</v>
      </c>
      <c r="O236" s="914" t="str">
        <f>RSD_Commodities!$N$88&amp;"_"&amp;RSD_Commodities!D24&amp;"_"&amp;SETUP!$C$67</f>
        <v>Residential Water Heating Detached-F_Biodiesel to Residential_Existing 00</v>
      </c>
      <c r="P236" s="915" t="str">
        <f>RSD_Commodities!$C$24</f>
        <v>RSDBIODST</v>
      </c>
      <c r="Q236" s="914" t="str">
        <f>RSD_Commodities!$M$88</f>
        <v>WH_Det-F</v>
      </c>
      <c r="R236" s="984">
        <f>G236/SUM($G$237:$G$252)</f>
        <v>4.8264877648535163E-5</v>
      </c>
      <c r="S236" s="914">
        <f>R236*DwellingStocks!$I$69/1000</f>
        <v>3.8662174022119865E-4</v>
      </c>
      <c r="T236" s="915">
        <v>1</v>
      </c>
      <c r="U236" s="986">
        <f t="shared" ref="U236" si="173">K236/J236</f>
        <v>0.37051460361613353</v>
      </c>
      <c r="V236" s="915">
        <v>20</v>
      </c>
      <c r="W236" s="914">
        <v>1</v>
      </c>
      <c r="X236" s="840"/>
      <c r="Y236" s="928">
        <f t="shared" ref="Y236" si="174">ABS((K236)*S236*1000*$B$2)</f>
        <v>2.1163568135943972E-10</v>
      </c>
      <c r="Z236" s="928">
        <f t="shared" ref="Z236" si="175">ABS((J236)*S236*1000*$B$2)</f>
        <v>5.711938997651545E-10</v>
      </c>
      <c r="AA236" s="840"/>
      <c r="AB236" s="66" t="s">
        <v>393</v>
      </c>
      <c r="AC236" s="66" t="str">
        <f t="shared" ref="AC236" si="176">N236</f>
        <v>WH_Det-F_BIODST_X0</v>
      </c>
      <c r="AD236" s="83" t="str">
        <f t="shared" ref="AD236" si="177">O236</f>
        <v>Residential Water Heating Detached-F_Biodiesel to Residential_Existing 00</v>
      </c>
      <c r="AE236" s="66" t="s">
        <v>53</v>
      </c>
      <c r="AF236" s="88" t="s">
        <v>406</v>
      </c>
      <c r="AG236" s="66"/>
      <c r="AH236" s="66"/>
      <c r="AI236" s="840"/>
      <c r="AJ236" s="840"/>
      <c r="AK236" s="840"/>
      <c r="AL236" s="840"/>
      <c r="AM236" s="840"/>
      <c r="AN236" s="840"/>
      <c r="AO236" s="840"/>
    </row>
    <row r="237" spans="1:41">
      <c r="A237" s="973" t="s">
        <v>122</v>
      </c>
      <c r="B237" s="758" t="s">
        <v>582</v>
      </c>
      <c r="C237" s="758">
        <f>SUMIFS(INDEX(Table915[],,MATCH(C$136,Table915[#Headers],0)),Table915[MainWaterHeatingFuel],$B237,Table915[EnergyRating (group)],$A237)</f>
        <v>162613</v>
      </c>
      <c r="D237" s="758">
        <f>SUMIFS(INDEX(Table915[],,MATCH(D$136,Table915[#Headers],0)),Table915[MainWaterHeatingFuel],$B237,Table915[EnergyRating (group)],$A237)</f>
        <v>147828</v>
      </c>
      <c r="E237" s="758">
        <f>SUMIFS(INDEX(Table915[],,MATCH(E$136,Table915[#Headers],0)),Table915[MainWaterHeatingFuel],$B237,Table915[EnergyRating (group)],$A237)</f>
        <v>52176</v>
      </c>
      <c r="F237" s="758">
        <f>SUMIFS(INDEX(Table915[],,MATCH(F$136,Table915[#Headers],0)),Table915[MainWaterHeatingFuel],$B237,Table915[EnergyRating (group)],$A237)</f>
        <v>19324</v>
      </c>
      <c r="G237" s="758">
        <f>SUMIFS(INDEX(Table915[],,MATCH(G$136,Table915[#Headers],0)),Table915[MainWaterHeatingFuel],$B237,Table915[EnergyRating (group)],$A237)</f>
        <v>31</v>
      </c>
      <c r="H237" s="758">
        <f>SUMIFS(INDEX(Table915[],,MATCH(H$136,Table915[#Headers],0)),Table915[MainWaterHeatingFuel],$B237,Table915[EnergyRating (group)],$A237)</f>
        <v>3248</v>
      </c>
      <c r="I237" s="960"/>
      <c r="J237" s="980">
        <f t="shared" ref="J237:K238" si="178">C237+E237</f>
        <v>214789</v>
      </c>
      <c r="K237" s="981">
        <f t="shared" si="178"/>
        <v>167152</v>
      </c>
      <c r="L237" s="840"/>
      <c r="M237" s="840"/>
      <c r="N237" s="66" t="str">
        <f>RSD_Commodities!$M$88&amp;"_"&amp;RIGHT(P237,LEN(P237)-3)&amp;"_"&amp;SETUP!$B$67</f>
        <v>WH_Det-F_OILLPG_X0</v>
      </c>
      <c r="O237" s="66" t="str">
        <f>RSD_Commodities!$N$88&amp;"_"&amp;RSD_Commodities!D11&amp;"_"&amp;SETUP!$C$67</f>
        <v>Residential Water Heating Detached-F_LPG to Residential_Existing 00</v>
      </c>
      <c r="P237" s="83" t="str">
        <f>RSD_Commodities!$C$11</f>
        <v>RSDOILLPG</v>
      </c>
      <c r="Q237" s="66" t="str">
        <f>RSD_Commodities!$M$88</f>
        <v>WH_Det-F</v>
      </c>
      <c r="R237" s="985">
        <f t="shared" ref="R237:R252" si="179">G237/SUM($G$237:$G$252)</f>
        <v>1.4962112071045899E-3</v>
      </c>
      <c r="S237" s="66">
        <f>R237*DwellingStocks!$I$69/1000</f>
        <v>1.1985273946857158E-2</v>
      </c>
      <c r="T237" s="83">
        <v>1</v>
      </c>
      <c r="U237" s="987">
        <f>K237/J237</f>
        <v>0.77821489927324028</v>
      </c>
      <c r="V237" s="83">
        <v>20</v>
      </c>
      <c r="W237" s="66">
        <v>1</v>
      </c>
      <c r="X237" s="866"/>
      <c r="Y237" s="926">
        <f>ABS((K237)*S237*1000*$B$2)</f>
        <v>8.2329966195824716E-7</v>
      </c>
      <c r="Z237" s="926">
        <f>ABS((J237)*S237*1000*$B$2)</f>
        <v>1.0579335640156861E-6</v>
      </c>
      <c r="AA237" s="866"/>
      <c r="AB237" s="914" t="s">
        <v>393</v>
      </c>
      <c r="AC237" s="914" t="str">
        <f t="shared" ref="AC237:AD240" si="180">N237</f>
        <v>WH_Det-F_OILLPG_X0</v>
      </c>
      <c r="AD237" s="915" t="str">
        <f t="shared" si="180"/>
        <v>Residential Water Heating Detached-F_LPG to Residential_Existing 00</v>
      </c>
      <c r="AE237" s="914" t="s">
        <v>53</v>
      </c>
      <c r="AF237" s="916" t="s">
        <v>406</v>
      </c>
      <c r="AG237" s="914"/>
      <c r="AH237" s="914"/>
      <c r="AI237" s="840"/>
      <c r="AJ237" s="840"/>
      <c r="AK237" s="840"/>
      <c r="AL237" s="840"/>
      <c r="AM237" s="840"/>
      <c r="AN237" s="840"/>
      <c r="AO237" s="840"/>
    </row>
    <row r="238" spans="1:41">
      <c r="A238" s="972" t="s">
        <v>122</v>
      </c>
      <c r="B238" s="757" t="s">
        <v>228</v>
      </c>
      <c r="C238" s="757">
        <f>SUMIFS(INDEX(Table915[],,MATCH(C$136,Table915[#Headers],0)),Table915[MainWaterHeatingFuel],$B238,Table915[EnergyRating (group)],$A238)</f>
        <v>16481502</v>
      </c>
      <c r="D238" s="757">
        <f>SUMIFS(INDEX(Table915[],,MATCH(D$136,Table915[#Headers],0)),Table915[MainWaterHeatingFuel],$B238,Table915[EnergyRating (group)],$A238)</f>
        <v>6104258</v>
      </c>
      <c r="E238" s="757">
        <f>SUMIFS(INDEX(Table915[],,MATCH(E$136,Table915[#Headers],0)),Table915[MainWaterHeatingFuel],$B238,Table915[EnergyRating (group)],$A238)</f>
        <v>77649</v>
      </c>
      <c r="F238" s="757">
        <f>SUMIFS(INDEX(Table915[],,MATCH(F$136,Table915[#Headers],0)),Table915[MainWaterHeatingFuel],$B238,Table915[EnergyRating (group)],$A238)</f>
        <v>28760</v>
      </c>
      <c r="G238" s="757">
        <f>SUMIFS(INDEX(Table915[],,MATCH(G$136,Table915[#Headers],0)),Table915[MainWaterHeatingFuel],$B238,Table915[EnergyRating (group)],$A238)</f>
        <v>2391</v>
      </c>
      <c r="H238" s="757">
        <f>SUMIFS(INDEX(Table915[],,MATCH(H$136,Table915[#Headers],0)),Table915[MainWaterHeatingFuel],$B238,Table915[EnergyRating (group)],$A238)</f>
        <v>186730</v>
      </c>
      <c r="I238" s="961"/>
      <c r="J238" s="978">
        <f t="shared" si="178"/>
        <v>16559151</v>
      </c>
      <c r="K238" s="979">
        <f t="shared" si="178"/>
        <v>6133018</v>
      </c>
      <c r="L238" s="840"/>
      <c r="M238" s="840"/>
      <c r="N238" s="914" t="str">
        <f>RSD_Commodities!$M$88&amp;"_"&amp;RIGHT(P238,LEN(P238)-3)&amp;"_"&amp;SETUP!$B$67</f>
        <v>WH_Det-F_ELCD_X0</v>
      </c>
      <c r="O238" s="914" t="str">
        <f>RSD_Commodities!$N$88&amp;"_"&amp;RSD_Commodities!D27&amp;"_"&amp;SETUP!$C$67</f>
        <v>Residential Water Heating Detached-F_Electricity to Residential_Existing 00</v>
      </c>
      <c r="P238" s="915" t="str">
        <f>RSD_Commodities!$C$27</f>
        <v>RSDELCD</v>
      </c>
      <c r="Q238" s="914" t="str">
        <f>RSD_Commodities!$M$88</f>
        <v>WH_Det-F</v>
      </c>
      <c r="R238" s="984">
        <f t="shared" si="179"/>
        <v>0.11540132245764757</v>
      </c>
      <c r="S238" s="914">
        <f>R238*DwellingStocks!$I$69/1000</f>
        <v>0.92441258086888589</v>
      </c>
      <c r="T238" s="915">
        <v>1</v>
      </c>
      <c r="U238" s="986">
        <f t="shared" ref="U238:U239" si="181">K238/J238</f>
        <v>0.37037031669075304</v>
      </c>
      <c r="V238" s="915">
        <v>20</v>
      </c>
      <c r="W238" s="914">
        <v>1</v>
      </c>
      <c r="X238" s="866"/>
      <c r="Y238" s="928">
        <f t="shared" ref="Y238:Y252" si="182">ABS((K238)*S238*1000*$B$2)</f>
        <v>2.3299064374912334E-3</v>
      </c>
      <c r="Z238" s="928">
        <f t="shared" ref="Z238:Z252" si="183">ABS((J238)*S238*1000*$B$2)</f>
        <v>6.2907482929757241E-3</v>
      </c>
      <c r="AA238" s="866"/>
      <c r="AB238" s="66" t="s">
        <v>393</v>
      </c>
      <c r="AC238" s="66" t="str">
        <f t="shared" si="180"/>
        <v>WH_Det-F_ELCD_X0</v>
      </c>
      <c r="AD238" s="83" t="str">
        <f t="shared" si="180"/>
        <v>Residential Water Heating Detached-F_Electricity to Residential_Existing 00</v>
      </c>
      <c r="AE238" s="66" t="s">
        <v>53</v>
      </c>
      <c r="AF238" s="88" t="s">
        <v>406</v>
      </c>
      <c r="AG238" s="66"/>
      <c r="AH238" s="66"/>
      <c r="AI238" s="840"/>
      <c r="AJ238" s="840"/>
      <c r="AK238" s="840"/>
      <c r="AL238" s="840"/>
      <c r="AM238" s="840"/>
      <c r="AN238" s="840"/>
      <c r="AO238" s="840"/>
    </row>
    <row r="239" spans="1:41">
      <c r="A239" s="973" t="s">
        <v>122</v>
      </c>
      <c r="B239" s="758" t="s">
        <v>583</v>
      </c>
      <c r="C239" s="758">
        <f>SUMIFS(INDEX(Table915[],,MATCH(C$136,Table915[#Headers],0)),Table915[MainWaterHeatingFuel],$B239,Table915[EnergyRating (group)],$A239)</f>
        <v>29308536</v>
      </c>
      <c r="D239" s="758">
        <f>SUMIFS(INDEX(Table915[],,MATCH(D$136,Table915[#Headers],0)),Table915[MainWaterHeatingFuel],$B239,Table915[EnergyRating (group)],$A239)</f>
        <v>26644127</v>
      </c>
      <c r="E239" s="759">
        <f>SUMIFS(INDEX(Table915[],,MATCH(E$136,Table915[#Headers],0)),Table915[MainWaterHeatingFuel],$B239,Table915[EnergyRating (group)],$A239)</f>
        <v>11019141</v>
      </c>
      <c r="F239" s="759">
        <f>SUMIFS(INDEX(Table915[],,MATCH(F$136,Table915[#Headers],0)),Table915[MainWaterHeatingFuel],$B239,Table915[EnergyRating (group)],$A239)</f>
        <v>4081163</v>
      </c>
      <c r="G239" s="758">
        <f>SUMIFS(INDEX(Table915[],,MATCH(G$136,Table915[#Headers],0)),Table915[MainWaterHeatingFuel],$B239,Table915[EnergyRating (group)],$A239)</f>
        <v>5886</v>
      </c>
      <c r="H239" s="758">
        <f>SUMIFS(INDEX(Table915[],,MATCH(H$136,Table915[#Headers],0)),Table915[MainWaterHeatingFuel],$B239,Table915[EnergyRating (group)],$A239)</f>
        <v>578486</v>
      </c>
      <c r="I239" s="960"/>
      <c r="J239" s="980">
        <f t="shared" ref="J239:J252" si="184">C239+E239</f>
        <v>40327677</v>
      </c>
      <c r="K239" s="981">
        <f t="shared" ref="K239:K252" si="185">D239+F239</f>
        <v>30725290</v>
      </c>
      <c r="L239" s="840"/>
      <c r="M239" s="840"/>
      <c r="N239" s="66" t="str">
        <f>RSD_Commodities!$M$88&amp;"_"&amp;RIGHT(P239,LEN(P239)-3)&amp;"_"&amp;SETUP!$B$67</f>
        <v>WH_Det-F_OILKER_X0</v>
      </c>
      <c r="O239" s="66" t="str">
        <f>RSD_Commodities!$N$88&amp;"_"&amp;RSD_Commodities!D13&amp;"_"&amp;SETUP!$C$67</f>
        <v>Residential Water Heating Detached-F_Kerosene to Residential_Existing 00</v>
      </c>
      <c r="P239" s="83" t="str">
        <f>RSD_Commodities!$C$13</f>
        <v>RSDOILKER</v>
      </c>
      <c r="Q239" s="66" t="str">
        <f>RSD_Commodities!$M$88</f>
        <v>WH_Det-F</v>
      </c>
      <c r="R239" s="985">
        <f t="shared" si="179"/>
        <v>0.28408706983927795</v>
      </c>
      <c r="S239" s="66">
        <f>R239*DwellingStocks!$I$69/1000</f>
        <v>2.2756555629419748</v>
      </c>
      <c r="T239" s="83">
        <v>1</v>
      </c>
      <c r="U239" s="987">
        <f t="shared" si="181"/>
        <v>0.76189089691429535</v>
      </c>
      <c r="V239" s="83">
        <v>20</v>
      </c>
      <c r="W239" s="66">
        <v>1</v>
      </c>
      <c r="X239" s="866"/>
      <c r="Y239" s="926">
        <f t="shared" si="182"/>
        <v>2.8734319360892647E-2</v>
      </c>
      <c r="Z239" s="926">
        <f t="shared" si="183"/>
        <v>3.7714480481744035E-2</v>
      </c>
      <c r="AA239" s="866"/>
      <c r="AB239" s="914" t="s">
        <v>393</v>
      </c>
      <c r="AC239" s="914" t="str">
        <f t="shared" si="180"/>
        <v>WH_Det-F_OILKER_X0</v>
      </c>
      <c r="AD239" s="915" t="str">
        <f t="shared" si="180"/>
        <v>Residential Water Heating Detached-F_Kerosene to Residential_Existing 00</v>
      </c>
      <c r="AE239" s="914" t="s">
        <v>53</v>
      </c>
      <c r="AF239" s="916" t="s">
        <v>406</v>
      </c>
      <c r="AG239" s="914"/>
      <c r="AH239" s="914"/>
      <c r="AI239" s="840"/>
      <c r="AJ239" s="840"/>
      <c r="AK239" s="840"/>
      <c r="AL239" s="840"/>
      <c r="AM239" s="840"/>
      <c r="AN239" s="840"/>
      <c r="AO239" s="840"/>
    </row>
    <row r="240" spans="1:41">
      <c r="A240" s="972" t="s">
        <v>122</v>
      </c>
      <c r="B240" s="757" t="s">
        <v>584</v>
      </c>
      <c r="C240" s="757">
        <f>SUMIFS(INDEX(Table915[],,MATCH(C$136,Table915[#Headers],0)),Table915[MainWaterHeatingFuel],$B240,Table915[EnergyRating (group)],$A240)</f>
        <v>41367749</v>
      </c>
      <c r="D240" s="757">
        <f>SUMIFS(INDEX(Table915[],,MATCH(D$136,Table915[#Headers],0)),Table915[MainWaterHeatingFuel],$B240,Table915[EnergyRating (group)],$A240)</f>
        <v>37607043</v>
      </c>
      <c r="E240" s="760">
        <f>SUMIFS(INDEX(Table915[],,MATCH(E$136,Table915[#Headers],0)),Table915[MainWaterHeatingFuel],$B240,Table915[EnergyRating (group)],$A240)</f>
        <v>13396519</v>
      </c>
      <c r="F240" s="760">
        <f>SUMIFS(INDEX(Table915[],,MATCH(F$136,Table915[#Headers],0)),Table915[MainWaterHeatingFuel],$B240,Table915[EnergyRating (group)],$A240)</f>
        <v>4961674</v>
      </c>
      <c r="G240" s="757">
        <f>SUMIFS(INDEX(Table915[],,MATCH(G$136,Table915[#Headers],0)),Table915[MainWaterHeatingFuel],$B240,Table915[EnergyRating (group)],$A240)</f>
        <v>8313</v>
      </c>
      <c r="H240" s="757">
        <f>SUMIFS(INDEX(Table915[],,MATCH(H$136,Table915[#Headers],0)),Table915[MainWaterHeatingFuel],$B240,Table915[EnergyRating (group)],$A240)</f>
        <v>767616</v>
      </c>
      <c r="I240" s="959"/>
      <c r="J240" s="978">
        <f t="shared" si="184"/>
        <v>54764268</v>
      </c>
      <c r="K240" s="979">
        <f t="shared" si="185"/>
        <v>42568717</v>
      </c>
      <c r="L240" s="840"/>
      <c r="M240" s="840"/>
      <c r="N240" s="914" t="str">
        <f>RSD_Commodities!$M$88&amp;"_"&amp;RIGHT(P240,LEN(P240)-3)&amp;"_"&amp;SETUP!$B$67</f>
        <v>WH_Det-F_GASNAT_X0</v>
      </c>
      <c r="O240" s="914" t="str">
        <f>RSD_Commodities!$N$88&amp;"_"&amp;RSD_Commodities!D17&amp;"_"&amp;SETUP!$C$67</f>
        <v>Residential Water Heating Detached-F_Natural Gas to Residential_Existing 00</v>
      </c>
      <c r="P240" s="915" t="str">
        <f>RSD_Commodities!$C$17</f>
        <v>RSDGASNAT</v>
      </c>
      <c r="Q240" s="914" t="str">
        <f>RSD_Commodities!$M$88</f>
        <v>WH_Det-F</v>
      </c>
      <c r="R240" s="984">
        <f t="shared" si="179"/>
        <v>0.40122592789227279</v>
      </c>
      <c r="S240" s="914">
        <f>R240*DwellingStocks!$I$69/1000</f>
        <v>3.2139865264588243</v>
      </c>
      <c r="T240" s="915">
        <v>1</v>
      </c>
      <c r="U240" s="986">
        <f t="shared" ref="U240:U252" si="186">K240/J240</f>
        <v>0.77730824412735688</v>
      </c>
      <c r="V240" s="915">
        <v>20</v>
      </c>
      <c r="W240" s="914">
        <v>1</v>
      </c>
      <c r="X240" s="866"/>
      <c r="Y240" s="928">
        <f t="shared" si="182"/>
        <v>5.6225458720536463E-2</v>
      </c>
      <c r="Z240" s="928">
        <f t="shared" si="183"/>
        <v>7.2333542253443905E-2</v>
      </c>
      <c r="AA240" s="866"/>
      <c r="AB240" s="66" t="s">
        <v>393</v>
      </c>
      <c r="AC240" s="66" t="str">
        <f t="shared" si="180"/>
        <v>WH_Det-F_GASNAT_X0</v>
      </c>
      <c r="AD240" s="83" t="str">
        <f t="shared" si="180"/>
        <v>Residential Water Heating Detached-F_Natural Gas to Residential_Existing 00</v>
      </c>
      <c r="AE240" s="66" t="s">
        <v>53</v>
      </c>
      <c r="AF240" s="88" t="s">
        <v>406</v>
      </c>
      <c r="AG240" s="66"/>
      <c r="AH240" s="66"/>
      <c r="AI240" s="840"/>
      <c r="AJ240" s="840"/>
      <c r="AK240" s="840"/>
      <c r="AL240" s="840"/>
      <c r="AM240" s="840"/>
      <c r="AN240" s="840"/>
      <c r="AO240" s="840"/>
    </row>
    <row r="241" spans="1:41">
      <c r="A241" s="973" t="s">
        <v>122</v>
      </c>
      <c r="B241" s="994" t="s">
        <v>585</v>
      </c>
      <c r="C241" s="758">
        <f>SUMIFS(INDEX(Table915[],,MATCH(C$136,Table915[#Headers],0)),Table915[MainWaterHeatingFuel],$B241,Table915[EnergyRating (group)],$A241)</f>
        <v>91502</v>
      </c>
      <c r="D241" s="758">
        <f>SUMIFS(INDEX(Table915[],,MATCH(D$136,Table915[#Headers],0)),Table915[MainWaterHeatingFuel],$B241,Table915[EnergyRating (group)],$A241)</f>
        <v>83184</v>
      </c>
      <c r="E241" s="758">
        <f>SUMIFS(INDEX(Table915[],,MATCH(E$136,Table915[#Headers],0)),Table915[MainWaterHeatingFuel],$B241,Table915[EnergyRating (group)],$A241)</f>
        <v>17030</v>
      </c>
      <c r="F241" s="758">
        <f>SUMIFS(INDEX(Table915[],,MATCH(F$136,Table915[#Headers],0)),Table915[MainWaterHeatingFuel],$B241,Table915[EnergyRating (group)],$A241)</f>
        <v>6308</v>
      </c>
      <c r="G241" s="758">
        <f>SUMIFS(INDEX(Table915[],,MATCH(G$136,Table915[#Headers],0)),Table915[MainWaterHeatingFuel],$B241,Table915[EnergyRating (group)],$A241)</f>
        <v>18</v>
      </c>
      <c r="H241" s="758">
        <f>SUMIFS(INDEX(Table915[],,MATCH(H$136,Table915[#Headers],0)),Table915[MainWaterHeatingFuel],$B241,Table915[EnergyRating (group)],$A241)</f>
        <v>1808</v>
      </c>
      <c r="I241" s="960"/>
      <c r="J241" s="980">
        <f t="shared" si="184"/>
        <v>108532</v>
      </c>
      <c r="K241" s="981">
        <f t="shared" si="185"/>
        <v>89492</v>
      </c>
      <c r="L241" s="840"/>
      <c r="M241" s="840"/>
      <c r="N241" s="66" t="str">
        <f>RSD_Commodities!$M$88&amp;"_"&amp;RIGHT(P241,LEN(P241)-3)&amp;"_"&amp;SETUP!$B$67</f>
        <v>WH_Det-F_BIOWOO_X0</v>
      </c>
      <c r="O241" s="66" t="str">
        <f>RSD_Commodities!$N$88&amp;"_"&amp;RSD_Commodities!D19&amp;"_"&amp;SETUP!$C$67</f>
        <v>Residential Water Heating Detached-F_Biomass &amp; Renewable Waste to Residential_Existing 00</v>
      </c>
      <c r="P241" s="83" t="str">
        <f>RSD_Commodities!$C$19</f>
        <v>RSDBIOWOO</v>
      </c>
      <c r="Q241" s="66" t="str">
        <f>RSD_Commodities!$M$88</f>
        <v>WH_Det-F</v>
      </c>
      <c r="R241" s="985">
        <f t="shared" si="179"/>
        <v>8.6876779767363287E-4</v>
      </c>
      <c r="S241" s="66">
        <f>R241*DwellingStocks!$I$69/1000</f>
        <v>6.9591913239815751E-3</v>
      </c>
      <c r="T241" s="83">
        <v>1</v>
      </c>
      <c r="U241" s="987">
        <f t="shared" si="186"/>
        <v>0.82456786938414472</v>
      </c>
      <c r="V241" s="83">
        <v>20</v>
      </c>
      <c r="W241" s="66">
        <v>1</v>
      </c>
      <c r="X241" s="866"/>
      <c r="Y241" s="926">
        <f t="shared" si="182"/>
        <v>2.5594189724620246E-7</v>
      </c>
      <c r="Z241" s="926">
        <f t="shared" si="183"/>
        <v>3.1039518607165828E-7</v>
      </c>
      <c r="AA241" s="866"/>
      <c r="AB241" s="914" t="s">
        <v>393</v>
      </c>
      <c r="AC241" s="914" t="str">
        <f t="shared" ref="AC241:AC252" si="187">N241</f>
        <v>WH_Det-F_BIOWOO_X0</v>
      </c>
      <c r="AD241" s="915" t="str">
        <f t="shared" ref="AD241:AD252" si="188">O241</f>
        <v>Residential Water Heating Detached-F_Biomass &amp; Renewable Waste to Residential_Existing 00</v>
      </c>
      <c r="AE241" s="914" t="s">
        <v>53</v>
      </c>
      <c r="AF241" s="916" t="s">
        <v>406</v>
      </c>
      <c r="AG241" s="914"/>
      <c r="AH241" s="914"/>
      <c r="AI241" s="840"/>
      <c r="AJ241" s="840"/>
      <c r="AK241" s="840"/>
      <c r="AL241" s="840"/>
      <c r="AM241" s="840"/>
      <c r="AN241" s="840"/>
      <c r="AO241" s="840"/>
    </row>
    <row r="242" spans="1:41">
      <c r="A242" s="972" t="s">
        <v>122</v>
      </c>
      <c r="B242" s="757" t="s">
        <v>587</v>
      </c>
      <c r="C242" s="757">
        <f>SUMIFS(INDEX(Table915[],,MATCH(C136,Table915[#Headers],0)),Table915[MainWaterHeatingFuel],"",Table915[EnergyRating (group)],$A242)</f>
        <v>0</v>
      </c>
      <c r="D242" s="757">
        <f>SUMIFS(INDEX(Table915[],,MATCH(D136,Table915[#Headers],0)),Table915[MainWaterHeatingFuel],"",Table915[EnergyRating (group)],$A242)</f>
        <v>0</v>
      </c>
      <c r="E242" s="760">
        <f>SUMIFS(INDEX(Table915[],,MATCH(E136,Table915[#Headers],0)),Table915[MainWaterHeatingFuel],"",Table915[EnergyRating (group)],$A242)</f>
        <v>14149</v>
      </c>
      <c r="F242" s="760">
        <f>SUMIFS(INDEX(Table915[],,MATCH(F136,Table915[#Headers],0)),Table915[MainWaterHeatingFuel],"",Table915[EnergyRating (group)],$A242)</f>
        <v>5240</v>
      </c>
      <c r="G242" s="757">
        <f>SUMIFS(INDEX(Table915[],,MATCH(G136,Table915[#Headers],0)),Table915[MainWaterHeatingFuel],"",Table915[EnergyRating (group)],$A242)</f>
        <v>29</v>
      </c>
      <c r="H242" s="757">
        <f>SUMIFS(INDEX(Table915[],,MATCH(H136,Table915[#Headers],0)),Table915[MainWaterHeatingFuel],"",Table915[EnergyRating (group)],$A242)</f>
        <v>2769</v>
      </c>
      <c r="I242" s="959"/>
      <c r="J242" s="978">
        <f t="shared" si="184"/>
        <v>14149</v>
      </c>
      <c r="K242" s="979">
        <f t="shared" si="185"/>
        <v>5240</v>
      </c>
      <c r="L242" s="840"/>
      <c r="M242" s="840"/>
      <c r="N242" s="914" t="str">
        <f>RSD_Commodities!$M$88&amp;"_"&amp;RIGHT(P242,LEN(P242)-3)&amp;"_"&amp;SETUP!$B$67</f>
        <v>WH_Det-F_HET_X0</v>
      </c>
      <c r="O242" s="914" t="str">
        <f>RSD_Commodities!$N$88&amp;"_"&amp;RSD_Commodities!D28&amp;"_"&amp;SETUP!$C$67</f>
        <v>Residential Water Heating Detached-F_Heat to Residential_Existing 00</v>
      </c>
      <c r="P242" s="915" t="str">
        <f>RSD_Commodities!$C$28</f>
        <v>RSDHET</v>
      </c>
      <c r="Q242" s="914" t="str">
        <f>RSD_Commodities!$M$88</f>
        <v>WH_Det-F</v>
      </c>
      <c r="R242" s="984">
        <f t="shared" si="179"/>
        <v>1.3996814518075196E-3</v>
      </c>
      <c r="S242" s="914">
        <f>R242*DwellingStocks!$I$69/1000</f>
        <v>1.1212030466414759E-2</v>
      </c>
      <c r="T242" s="915">
        <v>1</v>
      </c>
      <c r="U242" s="917">
        <v>1</v>
      </c>
      <c r="V242" s="915">
        <v>20</v>
      </c>
      <c r="W242" s="914">
        <v>1</v>
      </c>
      <c r="X242" s="866"/>
      <c r="Y242" s="928">
        <f t="shared" si="182"/>
        <v>2.4144262867402748E-8</v>
      </c>
      <c r="Z242" s="928">
        <f t="shared" si="183"/>
        <v>6.5194117425740738E-8</v>
      </c>
      <c r="AA242" s="866"/>
      <c r="AB242" s="66" t="s">
        <v>393</v>
      </c>
      <c r="AC242" s="66" t="str">
        <f t="shared" si="187"/>
        <v>WH_Det-F_HET_X0</v>
      </c>
      <c r="AD242" s="83" t="str">
        <f t="shared" si="188"/>
        <v>Residential Water Heating Detached-F_Heat to Residential_Existing 00</v>
      </c>
      <c r="AE242" s="66" t="s">
        <v>53</v>
      </c>
      <c r="AF242" s="88" t="s">
        <v>406</v>
      </c>
      <c r="AG242" s="66"/>
      <c r="AH242" s="66"/>
      <c r="AI242" s="840"/>
      <c r="AJ242" s="840"/>
      <c r="AK242" s="840"/>
      <c r="AL242" s="840"/>
      <c r="AM242" s="840"/>
      <c r="AN242" s="840"/>
      <c r="AO242" s="840"/>
    </row>
    <row r="243" spans="1:41">
      <c r="A243" s="973" t="s">
        <v>122</v>
      </c>
      <c r="B243" s="758" t="s">
        <v>664</v>
      </c>
      <c r="C243" s="758">
        <f>SUMIFS(INDEX(Table915[],,MATCH(C$136,Table915[#Headers],0)),Table915[MainWaterHeatingFuel],$B243,Table915[EnergyRating (group)],$A243)</f>
        <v>82447</v>
      </c>
      <c r="D243" s="758">
        <f>SUMIFS(INDEX(Table915[],,MATCH(D$136,Table915[#Headers],0)),Table915[MainWaterHeatingFuel],$B243,Table915[EnergyRating (group)],$A243)</f>
        <v>74954</v>
      </c>
      <c r="E243" s="758">
        <f>SUMIFS(INDEX(Table915[],,MATCH(E$136,Table915[#Headers],0)),Table915[MainWaterHeatingFuel],$B243,Table915[EnergyRating (group)],$A243)</f>
        <v>16695</v>
      </c>
      <c r="F243" s="758">
        <f>SUMIFS(INDEX(Table915[],,MATCH(F$136,Table915[#Headers],0)),Table915[MainWaterHeatingFuel],$B243,Table915[EnergyRating (group)],$A243)</f>
        <v>6184</v>
      </c>
      <c r="G243" s="758">
        <f>SUMIFS(INDEX(Table915[],,MATCH(G$136,Table915[#Headers],0)),Table915[MainWaterHeatingFuel],$B243,Table915[EnergyRating (group)],$A243)</f>
        <v>19</v>
      </c>
      <c r="H243" s="758">
        <f>SUMIFS(INDEX(Table915[],,MATCH(H$136,Table915[#Headers],0)),Table915[MainWaterHeatingFuel],$B243,Table915[EnergyRating (group)],$A243)</f>
        <v>1680</v>
      </c>
      <c r="I243" s="960"/>
      <c r="J243" s="980">
        <f t="shared" si="184"/>
        <v>99142</v>
      </c>
      <c r="K243" s="981">
        <f t="shared" si="185"/>
        <v>81138</v>
      </c>
      <c r="L243" s="840"/>
      <c r="M243" s="840"/>
      <c r="N243" s="66" t="str">
        <f>RSD_Commodities!$M$88&amp;"_"&amp;RIGHT(P243,LEN(P243)-3)&amp;"_"&amp;SETUP!$B$68</f>
        <v>WH_Det-F_OILLPG_X1</v>
      </c>
      <c r="O243" s="66" t="str">
        <f>RSD_Commodities!$N$88&amp;"_"&amp;RSD_Commodities!D11&amp;"_"&amp;SETUP!$C$68</f>
        <v>Residential Water Heating Detached-F_LPG to Residential_Existing 01</v>
      </c>
      <c r="P243" s="83" t="str">
        <f>RSD_Commodities!$C$11</f>
        <v>RSDOILLPG</v>
      </c>
      <c r="Q243" s="66" t="str">
        <f>RSD_Commodities!$M$88</f>
        <v>WH_Det-F</v>
      </c>
      <c r="R243" s="985">
        <f t="shared" si="179"/>
        <v>9.1703267532216811E-4</v>
      </c>
      <c r="S243" s="66">
        <f>R243*DwellingStocks!$I$69/1000</f>
        <v>7.3458130642027747E-3</v>
      </c>
      <c r="T243" s="83">
        <v>1</v>
      </c>
      <c r="U243" s="987">
        <f t="shared" si="186"/>
        <v>0.81840188820076254</v>
      </c>
      <c r="V243" s="83">
        <v>20</v>
      </c>
      <c r="W243" s="66">
        <v>1</v>
      </c>
      <c r="X243" s="866"/>
      <c r="Y243" s="926">
        <f t="shared" si="182"/>
        <v>2.449416083849116E-7</v>
      </c>
      <c r="Z243" s="926">
        <f t="shared" si="183"/>
        <v>2.9929257485391434E-7</v>
      </c>
      <c r="AA243" s="866"/>
      <c r="AB243" s="914" t="s">
        <v>393</v>
      </c>
      <c r="AC243" s="914" t="str">
        <f t="shared" si="187"/>
        <v>WH_Det-F_OILLPG_X1</v>
      </c>
      <c r="AD243" s="915" t="str">
        <f t="shared" si="188"/>
        <v>Residential Water Heating Detached-F_LPG to Residential_Existing 01</v>
      </c>
      <c r="AE243" s="914" t="s">
        <v>53</v>
      </c>
      <c r="AF243" s="916" t="s">
        <v>406</v>
      </c>
      <c r="AG243" s="914"/>
      <c r="AH243" s="914"/>
      <c r="AI243" s="840"/>
      <c r="AJ243" s="840"/>
      <c r="AK243" s="840"/>
      <c r="AL243" s="840"/>
      <c r="AM243" s="840"/>
      <c r="AN243" s="840"/>
      <c r="AO243" s="840"/>
    </row>
    <row r="244" spans="1:41">
      <c r="A244" s="972" t="s">
        <v>122</v>
      </c>
      <c r="B244" s="757" t="s">
        <v>665</v>
      </c>
      <c r="C244" s="757">
        <f>SUMIFS(INDEX(Table915[],,MATCH(C$136,Table915[#Headers],0)),Table915[MainWaterHeatingFuel],$B244,Table915[EnergyRating (group)],$A244)</f>
        <v>15005033</v>
      </c>
      <c r="D244" s="757">
        <f>SUMIFS(INDEX(Table915[],,MATCH(D$136,Table915[#Headers],0)),Table915[MainWaterHeatingFuel],$B244,Table915[EnergyRating (group)],$A244)</f>
        <v>13640939</v>
      </c>
      <c r="E244" s="757">
        <f>SUMIFS(INDEX(Table915[],,MATCH(E$136,Table915[#Headers],0)),Table915[MainWaterHeatingFuel],$B244,Table915[EnergyRating (group)],$A244)</f>
        <v>5488841</v>
      </c>
      <c r="F244" s="757">
        <f>SUMIFS(INDEX(Table915[],,MATCH(F$136,Table915[#Headers],0)),Table915[MainWaterHeatingFuel],$B244,Table915[EnergyRating (group)],$A244)</f>
        <v>2032905</v>
      </c>
      <c r="G244" s="757">
        <f>SUMIFS(INDEX(Table915[],,MATCH(G$136,Table915[#Headers],0)),Table915[MainWaterHeatingFuel],$B244,Table915[EnergyRating (group)],$A244)</f>
        <v>2668</v>
      </c>
      <c r="H244" s="757">
        <f>SUMIFS(INDEX(Table915[],,MATCH(H$136,Table915[#Headers],0)),Table915[MainWaterHeatingFuel],$B244,Table915[EnergyRating (group)],$A244)</f>
        <v>185802</v>
      </c>
      <c r="I244" s="961"/>
      <c r="J244" s="978">
        <f t="shared" si="184"/>
        <v>20493874</v>
      </c>
      <c r="K244" s="979">
        <f t="shared" si="185"/>
        <v>15673844</v>
      </c>
      <c r="L244" s="840"/>
      <c r="M244" s="840"/>
      <c r="N244" s="914" t="str">
        <f>RSD_Commodities!$M$88&amp;"_"&amp;RSD_Commodities!$C$26&amp;"_"&amp;SETUP!$B$67</f>
        <v>WH_Det-F_RSDSMF_X0</v>
      </c>
      <c r="O244" s="914" t="str">
        <f>RSD_Commodities!$N$88&amp;"_"&amp;RSD_Commodities!$D$26&amp;"_"&amp;SETUP!$C$67</f>
        <v>Residential Water Heating Detached-F_Solid Multi-Fuel_Existing 00</v>
      </c>
      <c r="P244" s="915" t="str">
        <f>RSD_Commodities!$C$6&amp;","&amp;RSD_Commodities!$C$7&amp;","&amp;RSD_Commodities!$C$9&amp;","&amp;RSD_Commodities!$C$10&amp;","&amp;RSD_Commodities!$C$19</f>
        <v>RSDCOABIT,RSDCOAHAR,RSDCOALIG,RSDPEA,RSDBIOWOO</v>
      </c>
      <c r="Q244" s="914" t="str">
        <f>RSD_Commodities!$M$88</f>
        <v>WH_Det-F</v>
      </c>
      <c r="R244" s="984">
        <f t="shared" si="179"/>
        <v>0.12877069356629181</v>
      </c>
      <c r="S244" s="914">
        <f>R244*DwellingStocks!$I$69/1000</f>
        <v>1.0315068029101579</v>
      </c>
      <c r="T244" s="915">
        <v>1</v>
      </c>
      <c r="U244" s="986">
        <f t="shared" si="186"/>
        <v>0.7648063026053542</v>
      </c>
      <c r="V244" s="915">
        <v>20</v>
      </c>
      <c r="W244" s="914">
        <v>1</v>
      </c>
      <c r="X244" s="866"/>
      <c r="Y244" s="928">
        <f t="shared" si="182"/>
        <v>6.6442507042818759E-3</v>
      </c>
      <c r="Z244" s="928">
        <f t="shared" si="183"/>
        <v>8.6874947050617577E-3</v>
      </c>
      <c r="AA244" s="866"/>
      <c r="AB244" s="66" t="s">
        <v>393</v>
      </c>
      <c r="AC244" s="66" t="str">
        <f t="shared" si="187"/>
        <v>WH_Det-F_RSDSMF_X0</v>
      </c>
      <c r="AD244" s="83" t="str">
        <f t="shared" si="188"/>
        <v>Residential Water Heating Detached-F_Solid Multi-Fuel_Existing 00</v>
      </c>
      <c r="AE244" s="66" t="s">
        <v>53</v>
      </c>
      <c r="AF244" s="88" t="s">
        <v>406</v>
      </c>
      <c r="AG244" s="66"/>
      <c r="AH244" s="66"/>
      <c r="AI244" s="840"/>
      <c r="AJ244" s="840"/>
      <c r="AK244" s="840"/>
      <c r="AL244" s="840"/>
      <c r="AM244" s="840"/>
      <c r="AN244" s="840"/>
      <c r="AO244" s="840"/>
    </row>
    <row r="245" spans="1:41">
      <c r="A245" s="973" t="s">
        <v>122</v>
      </c>
      <c r="B245" s="758" t="s">
        <v>669</v>
      </c>
      <c r="C245" s="758">
        <f>SUMIFS(INDEX(Table915[],,MATCH(C$136,Table915[#Headers],0)),Table915[MainWaterHeatingFuel],$B245,Table915[EnergyRating (group)],$A245)</f>
        <v>5092921</v>
      </c>
      <c r="D245" s="758">
        <f>SUMIFS(INDEX(Table915[],,MATCH(D$136,Table915[#Headers],0)),Table915[MainWaterHeatingFuel],$B245,Table915[EnergyRating (group)],$A245)</f>
        <v>4244098</v>
      </c>
      <c r="E245" s="759">
        <f>SUMIFS(INDEX(Table915[],,MATCH(E$136,Table915[#Headers],0)),Table915[MainWaterHeatingFuel],$B245,Table915[EnergyRating (group)],$A245)</f>
        <v>1647130</v>
      </c>
      <c r="F245" s="759">
        <f>SUMIFS(INDEX(Table915[],,MATCH(F$136,Table915[#Headers],0)),Table915[MainWaterHeatingFuel],$B245,Table915[EnergyRating (group)],$A245)</f>
        <v>610047</v>
      </c>
      <c r="G245" s="758">
        <f>SUMIFS(INDEX(Table915[],,MATCH(G$136,Table915[#Headers],0)),Table915[MainWaterHeatingFuel],$B245,Table915[EnergyRating (group)],$A245)</f>
        <v>811</v>
      </c>
      <c r="H245" s="758">
        <f>SUMIFS(INDEX(Table915[],,MATCH(H$136,Table915[#Headers],0)),Table915[MainWaterHeatingFuel],$B245,Table915[EnergyRating (group)],$A245)</f>
        <v>62697</v>
      </c>
      <c r="I245" s="960"/>
      <c r="J245" s="980">
        <f t="shared" si="184"/>
        <v>6740051</v>
      </c>
      <c r="K245" s="981">
        <f t="shared" si="185"/>
        <v>4854145</v>
      </c>
      <c r="L245" s="840"/>
      <c r="M245" s="840"/>
      <c r="N245" s="66" t="str">
        <f>RSD_Commodities!$M$88&amp;"_"&amp;RIGHT(P245,LEN(P245)-3)&amp;"_"&amp;SETUP!$B$67</f>
        <v>WH_Det-F_COAHAR_X0</v>
      </c>
      <c r="O245" s="66" t="str">
        <f>RSD_Commodities!$N$88&amp;"_"&amp;RSD_Commodities!$D$7&amp;"_"&amp;SETUP!$C$67</f>
        <v>Residential Water Heating Detached-F_Anthracite + Manufactured Ovoids to Residential_Existing 00</v>
      </c>
      <c r="P245" s="83" t="str">
        <f>RSD_Commodities!$C$7</f>
        <v>RSDCOAHAR</v>
      </c>
      <c r="Q245" s="66" t="str">
        <f>RSD_Commodities!$M$88</f>
        <v>WH_Det-F</v>
      </c>
      <c r="R245" s="985">
        <f t="shared" si="179"/>
        <v>3.9142815772962018E-2</v>
      </c>
      <c r="S245" s="66">
        <f>R245*DwellingStocks!$I$69/1000</f>
        <v>0.31355023131939208</v>
      </c>
      <c r="T245" s="83">
        <v>1</v>
      </c>
      <c r="U245" s="987">
        <f t="shared" si="186"/>
        <v>0.72019410535617612</v>
      </c>
      <c r="V245" s="83">
        <v>20</v>
      </c>
      <c r="W245" s="66">
        <v>1</v>
      </c>
      <c r="X245" s="840"/>
      <c r="Y245" s="926">
        <f t="shared" si="182"/>
        <v>6.2548696751008384E-4</v>
      </c>
      <c r="Z245" s="926">
        <f t="shared" si="183"/>
        <v>8.6849776033746582E-4</v>
      </c>
      <c r="AA245" s="840"/>
      <c r="AB245" s="914" t="s">
        <v>393</v>
      </c>
      <c r="AC245" s="914" t="str">
        <f t="shared" si="187"/>
        <v>WH_Det-F_COAHAR_X0</v>
      </c>
      <c r="AD245" s="915" t="str">
        <f t="shared" si="188"/>
        <v>Residential Water Heating Detached-F_Anthracite + Manufactured Ovoids to Residential_Existing 00</v>
      </c>
      <c r="AE245" s="914" t="s">
        <v>53</v>
      </c>
      <c r="AF245" s="916" t="s">
        <v>406</v>
      </c>
      <c r="AG245" s="914"/>
      <c r="AH245" s="914"/>
      <c r="AI245" s="840"/>
      <c r="AJ245" s="840"/>
      <c r="AK245" s="840"/>
      <c r="AL245" s="840"/>
      <c r="AM245" s="840"/>
      <c r="AN245" s="840"/>
      <c r="AO245" s="840"/>
    </row>
    <row r="246" spans="1:41">
      <c r="A246" s="972" t="s">
        <v>122</v>
      </c>
      <c r="B246" s="757" t="s">
        <v>668</v>
      </c>
      <c r="C246" s="757">
        <f>SUMIFS(INDEX(Table915[],,MATCH(C$136,Table915[#Headers],0)),Table915[MainWaterHeatingFuel],$B246,Table915[EnergyRating (group)],$A246)</f>
        <v>3649</v>
      </c>
      <c r="D246" s="757">
        <f>SUMIFS(INDEX(Table915[],,MATCH(D$136,Table915[#Headers],0)),Table915[MainWaterHeatingFuel],$B246,Table915[EnergyRating (group)],$A246)</f>
        <v>3318</v>
      </c>
      <c r="E246" s="760">
        <f>SUMIFS(INDEX(Table915[],,MATCH(E$136,Table915[#Headers],0)),Table915[MainWaterHeatingFuel],$B246,Table915[EnergyRating (group)],$A246)</f>
        <v>1781</v>
      </c>
      <c r="F246" s="760">
        <f>SUMIFS(INDEX(Table915[],,MATCH(F$136,Table915[#Headers],0)),Table915[MainWaterHeatingFuel],$B246,Table915[EnergyRating (group)],$A246)</f>
        <v>660</v>
      </c>
      <c r="G246" s="757">
        <f>SUMIFS(INDEX(Table915[],,MATCH(G$136,Table915[#Headers],0)),Table915[MainWaterHeatingFuel],$B246,Table915[EnergyRating (group)],$A246)</f>
        <v>1</v>
      </c>
      <c r="H246" s="757">
        <f>SUMIFS(INDEX(Table915[],,MATCH(H$136,Table915[#Headers],0)),Table915[MainWaterHeatingFuel],$B246,Table915[EnergyRating (group)],$A246)</f>
        <v>85</v>
      </c>
      <c r="I246" s="959"/>
      <c r="J246" s="978">
        <f t="shared" si="184"/>
        <v>5430</v>
      </c>
      <c r="K246" s="979">
        <f t="shared" si="185"/>
        <v>3978</v>
      </c>
      <c r="L246" s="840"/>
      <c r="M246" s="840"/>
      <c r="N246" s="914" t="str">
        <f>RSD_Commodities!$M$88&amp;"_"&amp;RIGHT(P246,LEN(P246)-3)&amp;"_"&amp;SETUP!$B$69</f>
        <v>WH_Det-F_BIOWOO_X2</v>
      </c>
      <c r="O246" s="914" t="str">
        <f>RSD_Commodities!$N$88&amp;"_"&amp;RSD_Commodities!D19&amp;"_"&amp;SETUP!$C$69</f>
        <v>Residential Water Heating Detached-F_Biomass &amp; Renewable Waste to Residential_Existing 02</v>
      </c>
      <c r="P246" s="915" t="str">
        <f>RSD_Commodities!$C$19</f>
        <v>RSDBIOWOO</v>
      </c>
      <c r="Q246" s="914" t="str">
        <f>RSD_Commodities!$M$88</f>
        <v>WH_Det-F</v>
      </c>
      <c r="R246" s="984">
        <f t="shared" si="179"/>
        <v>4.8264877648535163E-5</v>
      </c>
      <c r="S246" s="914">
        <f>R246*DwellingStocks!$I$69/1000</f>
        <v>3.8662174022119865E-4</v>
      </c>
      <c r="T246" s="915">
        <v>1</v>
      </c>
      <c r="U246" s="986">
        <f t="shared" si="186"/>
        <v>0.7325966850828729</v>
      </c>
      <c r="V246" s="915">
        <v>20</v>
      </c>
      <c r="W246" s="914">
        <v>1</v>
      </c>
      <c r="X246" s="866"/>
      <c r="Y246" s="928">
        <f t="shared" si="182"/>
        <v>6.3204710243832673E-10</v>
      </c>
      <c r="Z246" s="928">
        <f t="shared" si="183"/>
        <v>8.6274906139771613E-10</v>
      </c>
      <c r="AA246" s="866"/>
      <c r="AB246" s="66" t="s">
        <v>393</v>
      </c>
      <c r="AC246" s="66" t="str">
        <f t="shared" si="187"/>
        <v>WH_Det-F_BIOWOO_X2</v>
      </c>
      <c r="AD246" s="83" t="str">
        <f t="shared" si="188"/>
        <v>Residential Water Heating Detached-F_Biomass &amp; Renewable Waste to Residential_Existing 02</v>
      </c>
      <c r="AE246" s="66" t="s">
        <v>53</v>
      </c>
      <c r="AF246" s="88" t="s">
        <v>406</v>
      </c>
      <c r="AG246" s="66"/>
      <c r="AH246" s="66"/>
      <c r="AI246" s="840"/>
      <c r="AJ246" s="840"/>
      <c r="AK246" s="840"/>
      <c r="AL246" s="840"/>
      <c r="AM246" s="840"/>
      <c r="AN246" s="840"/>
      <c r="AO246" s="840"/>
    </row>
    <row r="247" spans="1:41">
      <c r="A247" s="973" t="s">
        <v>122</v>
      </c>
      <c r="B247" s="758" t="s">
        <v>671</v>
      </c>
      <c r="C247" s="758">
        <f>SUMIFS(INDEX(Table915[],,MATCH(C$136,Table915[#Headers],0)),Table915[MainWaterHeatingFuel],$B247,Table915[EnergyRating (group)],$A247)</f>
        <v>602340</v>
      </c>
      <c r="D247" s="758">
        <f>SUMIFS(INDEX(Table915[],,MATCH(D$136,Table915[#Headers],0)),Table915[MainWaterHeatingFuel],$B247,Table915[EnergyRating (group)],$A247)</f>
        <v>547583</v>
      </c>
      <c r="E247" s="758">
        <f>SUMIFS(INDEX(Table915[],,MATCH(E$136,Table915[#Headers],0)),Table915[MainWaterHeatingFuel],$B247,Table915[EnergyRating (group)],$A247)</f>
        <v>171620</v>
      </c>
      <c r="F247" s="758">
        <f>SUMIFS(INDEX(Table915[],,MATCH(F$136,Table915[#Headers],0)),Table915[MainWaterHeatingFuel],$B247,Table915[EnergyRating (group)],$A247)</f>
        <v>63562</v>
      </c>
      <c r="G247" s="758">
        <f>SUMIFS(INDEX(Table915[],,MATCH(G$136,Table915[#Headers],0)),Table915[MainWaterHeatingFuel],$B247,Table915[EnergyRating (group)],$A247)</f>
        <v>95</v>
      </c>
      <c r="H247" s="758">
        <f>SUMIFS(INDEX(Table915[],,MATCH(H$136,Table915[#Headers],0)),Table915[MainWaterHeatingFuel],$B247,Table915[EnergyRating (group)],$A247)</f>
        <v>7750</v>
      </c>
      <c r="I247" s="960"/>
      <c r="J247" s="980">
        <f t="shared" si="184"/>
        <v>773960</v>
      </c>
      <c r="K247" s="981">
        <f t="shared" si="185"/>
        <v>611145</v>
      </c>
      <c r="L247" s="840"/>
      <c r="M247" s="840"/>
      <c r="N247" s="66" t="str">
        <f>RSD_Commodities!$M$88&amp;"_"&amp;RIGHT(P247,LEN(P247)-3)&amp;"_"&amp;SETUP!$B$67</f>
        <v>WH_Det-F_PEA_X0</v>
      </c>
      <c r="O247" s="66" t="str">
        <f>RSD_Commodities!$N$88&amp;"_"&amp;RSD_Commodities!$D$10&amp;"_"&amp;SETUP!$C$67</f>
        <v>Residential Water Heating Detached-F_Peat to Residential_Existing 00</v>
      </c>
      <c r="P247" s="83" t="str">
        <f>RSD_Commodities!$C$10</f>
        <v>RSDPEA</v>
      </c>
      <c r="Q247" s="66" t="str">
        <f>RSD_Commodities!$M$88</f>
        <v>WH_Det-F</v>
      </c>
      <c r="R247" s="985">
        <f t="shared" si="179"/>
        <v>4.5851633766108403E-3</v>
      </c>
      <c r="S247" s="66">
        <f>R247*DwellingStocks!$I$69/1000</f>
        <v>3.6729065321013873E-2</v>
      </c>
      <c r="T247" s="83">
        <v>1</v>
      </c>
      <c r="U247" s="987">
        <f t="shared" si="186"/>
        <v>0.78963383120574704</v>
      </c>
      <c r="V247" s="83">
        <v>20</v>
      </c>
      <c r="W247" s="66">
        <v>1</v>
      </c>
      <c r="X247" s="866"/>
      <c r="Y247" s="926">
        <f t="shared" si="182"/>
        <v>9.2247060105250803E-6</v>
      </c>
      <c r="Z247" s="926">
        <f t="shared" si="183"/>
        <v>1.1682257833911742E-5</v>
      </c>
      <c r="AA247" s="866"/>
      <c r="AB247" s="914" t="s">
        <v>393</v>
      </c>
      <c r="AC247" s="914" t="str">
        <f t="shared" si="187"/>
        <v>WH_Det-F_PEA_X0</v>
      </c>
      <c r="AD247" s="915" t="str">
        <f t="shared" si="188"/>
        <v>Residential Water Heating Detached-F_Peat to Residential_Existing 00</v>
      </c>
      <c r="AE247" s="914" t="s">
        <v>53</v>
      </c>
      <c r="AF247" s="916" t="s">
        <v>406</v>
      </c>
      <c r="AG247" s="914"/>
      <c r="AH247" s="914"/>
      <c r="AI247" s="840"/>
      <c r="AJ247" s="840"/>
      <c r="AK247" s="840"/>
      <c r="AL247" s="840"/>
      <c r="AM247" s="840"/>
      <c r="AN247" s="840"/>
      <c r="AO247" s="840"/>
    </row>
    <row r="248" spans="1:41">
      <c r="A248" s="972" t="s">
        <v>122</v>
      </c>
      <c r="B248" s="757" t="s">
        <v>667</v>
      </c>
      <c r="C248" s="757">
        <f>SUMIFS(INDEX(Table915[],,MATCH(C$136,Table915[#Headers],0)),Table915[MainWaterHeatingFuel],$B248,Table915[EnergyRating (group)],$A248)</f>
        <v>113318</v>
      </c>
      <c r="D248" s="757">
        <f>SUMIFS(INDEX(Table915[],,MATCH(D$136,Table915[#Headers],0)),Table915[MainWaterHeatingFuel],$B248,Table915[EnergyRating (group)],$A248)</f>
        <v>103016</v>
      </c>
      <c r="E248" s="757">
        <f>SUMIFS(INDEX(Table915[],,MATCH(E$136,Table915[#Headers],0)),Table915[MainWaterHeatingFuel],$B248,Table915[EnergyRating (group)],$A248)</f>
        <v>44131</v>
      </c>
      <c r="F248" s="757">
        <f>SUMIFS(INDEX(Table915[],,MATCH(F$136,Table915[#Headers],0)),Table915[MainWaterHeatingFuel],$B248,Table915[EnergyRating (group)],$A248)</f>
        <v>16345</v>
      </c>
      <c r="G248" s="757">
        <f>SUMIFS(INDEX(Table915[],,MATCH(G$136,Table915[#Headers],0)),Table915[MainWaterHeatingFuel],$B248,Table915[EnergyRating (group)],$A248)</f>
        <v>17</v>
      </c>
      <c r="H248" s="757">
        <f>SUMIFS(INDEX(Table915[],,MATCH(H$136,Table915[#Headers],0)),Table915[MainWaterHeatingFuel],$B248,Table915[EnergyRating (group)],$A248)</f>
        <v>1377</v>
      </c>
      <c r="I248" s="961"/>
      <c r="J248" s="978">
        <f t="shared" si="184"/>
        <v>157449</v>
      </c>
      <c r="K248" s="979">
        <f t="shared" si="185"/>
        <v>119361</v>
      </c>
      <c r="L248" s="840"/>
      <c r="M248" s="840"/>
      <c r="N248" s="914" t="str">
        <f>RSD_Commodities!$M$88&amp;"_"&amp;RIGHT(P248,LEN(P248)-3)&amp;"_"&amp;SETUP!$B$68</f>
        <v>WH_Det-F_PEA_X1</v>
      </c>
      <c r="O248" s="914" t="str">
        <f>RSD_Commodities!$N$88&amp;"_"&amp;RSD_Commodities!$D$10&amp;"_"&amp;SETUP!$C$68</f>
        <v>Residential Water Heating Detached-F_Peat to Residential_Existing 01</v>
      </c>
      <c r="P248" s="915" t="str">
        <f>RSD_Commodities!$C$10</f>
        <v>RSDPEA</v>
      </c>
      <c r="Q248" s="914" t="str">
        <f>RSD_Commodities!$M$88</f>
        <v>WH_Det-F</v>
      </c>
      <c r="R248" s="984">
        <f t="shared" si="179"/>
        <v>8.2050292002509774E-4</v>
      </c>
      <c r="S248" s="914">
        <f>R248*DwellingStocks!$I$69/1000</f>
        <v>6.5725695837603763E-3</v>
      </c>
      <c r="T248" s="915">
        <v>1</v>
      </c>
      <c r="U248" s="986">
        <f t="shared" si="186"/>
        <v>0.75809309681230108</v>
      </c>
      <c r="V248" s="915">
        <v>20</v>
      </c>
      <c r="W248" s="914">
        <v>1</v>
      </c>
      <c r="X248" s="866"/>
      <c r="Y248" s="928">
        <f t="shared" si="182"/>
        <v>3.2240074441940649E-7</v>
      </c>
      <c r="Z248" s="928">
        <f t="shared" si="183"/>
        <v>4.2527856509321411E-7</v>
      </c>
      <c r="AA248" s="866"/>
      <c r="AB248" s="66" t="s">
        <v>393</v>
      </c>
      <c r="AC248" s="66" t="str">
        <f t="shared" si="187"/>
        <v>WH_Det-F_PEA_X1</v>
      </c>
      <c r="AD248" s="83" t="str">
        <f t="shared" si="188"/>
        <v>Residential Water Heating Detached-F_Peat to Residential_Existing 01</v>
      </c>
      <c r="AE248" s="66" t="s">
        <v>53</v>
      </c>
      <c r="AF248" s="88" t="s">
        <v>406</v>
      </c>
      <c r="AG248" s="66"/>
      <c r="AH248" s="66"/>
      <c r="AI248" s="840"/>
      <c r="AJ248" s="840"/>
      <c r="AK248" s="840"/>
      <c r="AL248" s="840"/>
      <c r="AM248" s="840"/>
      <c r="AN248" s="840"/>
      <c r="AO248" s="840"/>
    </row>
    <row r="249" spans="1:41">
      <c r="A249" s="973" t="s">
        <v>122</v>
      </c>
      <c r="B249" s="758" t="s">
        <v>666</v>
      </c>
      <c r="C249" s="758">
        <f>SUMIFS(INDEX(Table915[],,MATCH(C$136,Table915[#Headers],0)),Table915[MainWaterHeatingFuel],$B249,Table915[EnergyRating (group)],$A249)</f>
        <v>2463566</v>
      </c>
      <c r="D249" s="758">
        <f>SUMIFS(INDEX(Table915[],,MATCH(D$136,Table915[#Headers],0)),Table915[MainWaterHeatingFuel],$B249,Table915[EnergyRating (group)],$A249)</f>
        <v>2239604</v>
      </c>
      <c r="E249" s="759">
        <f>SUMIFS(INDEX(Table915[],,MATCH(E$136,Table915[#Headers],0)),Table915[MainWaterHeatingFuel],$B249,Table915[EnergyRating (group)],$A249)</f>
        <v>871129</v>
      </c>
      <c r="F249" s="759">
        <f>SUMIFS(INDEX(Table915[],,MATCH(F$136,Table915[#Headers],0)),Table915[MainWaterHeatingFuel],$B249,Table915[EnergyRating (group)],$A249)</f>
        <v>322641</v>
      </c>
      <c r="G249" s="758">
        <f>SUMIFS(INDEX(Table915[],,MATCH(G$136,Table915[#Headers],0)),Table915[MainWaterHeatingFuel],$B249,Table915[EnergyRating (group)],$A249)</f>
        <v>419</v>
      </c>
      <c r="H249" s="758">
        <f>SUMIFS(INDEX(Table915[],,MATCH(H$136,Table915[#Headers],0)),Table915[MainWaterHeatingFuel],$B249,Table915[EnergyRating (group)],$A249)</f>
        <v>29895</v>
      </c>
      <c r="I249" s="960"/>
      <c r="J249" s="980">
        <f t="shared" si="184"/>
        <v>3334695</v>
      </c>
      <c r="K249" s="981">
        <f t="shared" si="185"/>
        <v>2562245</v>
      </c>
      <c r="L249" s="840"/>
      <c r="M249" s="840"/>
      <c r="N249" s="66" t="str">
        <f>RSD_Commodities!$M$88&amp;"_"&amp;RIGHT(P249,LEN(P249)-3)&amp;"_"&amp;SETUP!$B$67</f>
        <v>WH_Det-F_COABIT_X0</v>
      </c>
      <c r="O249" s="66" t="str">
        <f>RSD_Commodities!$N$88&amp;"_"&amp;RSD_Commodities!D6&amp;"_"&amp;SETUP!$C$67</f>
        <v>Residential Water Heating Detached-F_Bituminous Coal to Residential_Existing 00</v>
      </c>
      <c r="P249" s="83" t="str">
        <f>RSD_Commodities!$C$6</f>
        <v>RSDCOABIT</v>
      </c>
      <c r="Q249" s="66" t="str">
        <f>RSD_Commodities!$M$88</f>
        <v>WH_Det-F</v>
      </c>
      <c r="R249" s="985">
        <f t="shared" si="179"/>
        <v>2.0222983734736234E-2</v>
      </c>
      <c r="S249" s="66">
        <f>R249*DwellingStocks!$I$69/1000</f>
        <v>0.16199450915268224</v>
      </c>
      <c r="T249" s="83">
        <v>1</v>
      </c>
      <c r="U249" s="987">
        <f t="shared" si="186"/>
        <v>0.76835962509314948</v>
      </c>
      <c r="V249" s="83">
        <v>20</v>
      </c>
      <c r="W249" s="66">
        <v>1</v>
      </c>
      <c r="X249" s="866"/>
      <c r="Y249" s="926">
        <f t="shared" si="182"/>
        <v>1.7057655661804698E-4</v>
      </c>
      <c r="Z249" s="926">
        <f t="shared" si="183"/>
        <v>2.220009368625632E-4</v>
      </c>
      <c r="AA249" s="866"/>
      <c r="AB249" s="914" t="s">
        <v>393</v>
      </c>
      <c r="AC249" s="914" t="str">
        <f t="shared" si="187"/>
        <v>WH_Det-F_COABIT_X0</v>
      </c>
      <c r="AD249" s="915" t="str">
        <f t="shared" si="188"/>
        <v>Residential Water Heating Detached-F_Bituminous Coal to Residential_Existing 00</v>
      </c>
      <c r="AE249" s="914" t="s">
        <v>53</v>
      </c>
      <c r="AF249" s="916" t="s">
        <v>406</v>
      </c>
      <c r="AG249" s="914"/>
      <c r="AH249" s="914"/>
      <c r="AI249" s="840"/>
      <c r="AJ249" s="840"/>
      <c r="AK249" s="840"/>
      <c r="AL249" s="840"/>
      <c r="AM249" s="840"/>
      <c r="AN249" s="840"/>
      <c r="AO249" s="840"/>
    </row>
    <row r="250" spans="1:41">
      <c r="A250" s="972" t="s">
        <v>122</v>
      </c>
      <c r="B250" s="757" t="s">
        <v>673</v>
      </c>
      <c r="C250" s="757">
        <f>SUMIFS(INDEX(Table915[],,MATCH(C$136,Table915[#Headers],0)),Table915[MainWaterHeatingFuel],$B250,Table915[EnergyRating (group)],$A250)</f>
        <v>78141</v>
      </c>
      <c r="D250" s="757">
        <f>SUMIFS(INDEX(Table915[],,MATCH(D$136,Table915[#Headers],0)),Table915[MainWaterHeatingFuel],$B250,Table915[EnergyRating (group)],$A250)</f>
        <v>71038</v>
      </c>
      <c r="E250" s="760">
        <f>SUMIFS(INDEX(Table915[],,MATCH(E$136,Table915[#Headers],0)),Table915[MainWaterHeatingFuel],$B250,Table915[EnergyRating (group)],$A250)</f>
        <v>29853</v>
      </c>
      <c r="F250" s="760">
        <f>SUMIFS(INDEX(Table915[],,MATCH(F$136,Table915[#Headers],0)),Table915[MainWaterHeatingFuel],$B250,Table915[EnergyRating (group)],$A250)</f>
        <v>11057</v>
      </c>
      <c r="G250" s="757">
        <f>SUMIFS(INDEX(Table915[],,MATCH(G$136,Table915[#Headers],0)),Table915[MainWaterHeatingFuel],$B250,Table915[EnergyRating (group)],$A250)</f>
        <v>16</v>
      </c>
      <c r="H250" s="757">
        <f>SUMIFS(INDEX(Table915[],,MATCH(H$136,Table915[#Headers],0)),Table915[MainWaterHeatingFuel],$B250,Table915[EnergyRating (group)],$A250)</f>
        <v>1118</v>
      </c>
      <c r="I250" s="959"/>
      <c r="J250" s="978">
        <f t="shared" si="184"/>
        <v>107994</v>
      </c>
      <c r="K250" s="979">
        <f t="shared" si="185"/>
        <v>82095</v>
      </c>
      <c r="L250" s="840"/>
      <c r="M250" s="840"/>
      <c r="N250" s="914" t="str">
        <f>RSD_Commodities!$M$88&amp;"_"&amp;RIGHT(P250,LEN(P250)-3)&amp;"_"&amp;SETUP!$B$68</f>
        <v>WH_Det-F_BIOWOO_X1</v>
      </c>
      <c r="O250" s="914" t="str">
        <f>RSD_Commodities!$N$88&amp;"_"&amp;RSD_Commodities!D19&amp;"_"&amp;SETUP!$C$68</f>
        <v>Residential Water Heating Detached-F_Biomass &amp; Renewable Waste to Residential_Existing 01</v>
      </c>
      <c r="P250" s="915" t="str">
        <f>RSD_Commodities!$C$19</f>
        <v>RSDBIOWOO</v>
      </c>
      <c r="Q250" s="914" t="str">
        <f>RSD_Commodities!$M$88</f>
        <v>WH_Det-F</v>
      </c>
      <c r="R250" s="984">
        <f t="shared" si="179"/>
        <v>7.7223804237656261E-4</v>
      </c>
      <c r="S250" s="914">
        <f>R250*DwellingStocks!$I$69/1000</f>
        <v>6.1859478435391784E-3</v>
      </c>
      <c r="T250" s="915">
        <v>1</v>
      </c>
      <c r="U250" s="986">
        <f t="shared" si="186"/>
        <v>0.76018112117339853</v>
      </c>
      <c r="V250" s="915">
        <v>20</v>
      </c>
      <c r="W250" s="914">
        <v>1</v>
      </c>
      <c r="X250" s="866"/>
      <c r="Y250" s="928">
        <f t="shared" si="182"/>
        <v>2.0869947460904751E-7</v>
      </c>
      <c r="Z250" s="928">
        <f t="shared" si="183"/>
        <v>2.745391444171932E-7</v>
      </c>
      <c r="AA250" s="866"/>
      <c r="AB250" s="66" t="s">
        <v>393</v>
      </c>
      <c r="AC250" s="66" t="str">
        <f t="shared" si="187"/>
        <v>WH_Det-F_BIOWOO_X1</v>
      </c>
      <c r="AD250" s="83" t="str">
        <f t="shared" si="188"/>
        <v>Residential Water Heating Detached-F_Biomass &amp; Renewable Waste to Residential_Existing 01</v>
      </c>
      <c r="AE250" s="66" t="s">
        <v>53</v>
      </c>
      <c r="AF250" s="88" t="s">
        <v>406</v>
      </c>
      <c r="AG250" s="66"/>
      <c r="AH250" s="66"/>
      <c r="AI250" s="840"/>
      <c r="AJ250" s="840"/>
      <c r="AK250" s="840"/>
      <c r="AL250" s="840"/>
      <c r="AM250" s="840"/>
      <c r="AN250" s="840"/>
      <c r="AO250" s="840"/>
    </row>
    <row r="251" spans="1:41">
      <c r="A251" s="973" t="s">
        <v>122</v>
      </c>
      <c r="B251" s="994" t="s">
        <v>722</v>
      </c>
      <c r="C251" s="758">
        <f>SUMIFS(INDEX(Table915[],,MATCH(C$136,Table915[#Headers],0)),Table915[MainWaterHeatingFuel],$B251,Table915[EnergyRating (group)],$A251)</f>
        <v>10855</v>
      </c>
      <c r="D251" s="758">
        <f>SUMIFS(INDEX(Table915[],,MATCH(D$136,Table915[#Headers],0)),Table915[MainWaterHeatingFuel],$B251,Table915[EnergyRating (group)],$A251)</f>
        <v>9869</v>
      </c>
      <c r="E251" s="758">
        <f>SUMIFS(INDEX(Table915[],,MATCH(E$136,Table915[#Headers],0)),Table915[MainWaterHeatingFuel],$B251,Table915[EnergyRating (group)],$A251)</f>
        <v>4146</v>
      </c>
      <c r="F251" s="758">
        <f>SUMIFS(INDEX(Table915[],,MATCH(F$136,Table915[#Headers],0)),Table915[MainWaterHeatingFuel],$B251,Table915[EnergyRating (group)],$A251)</f>
        <v>1535</v>
      </c>
      <c r="G251" s="758">
        <f>SUMIFS(INDEX(Table915[],,MATCH(G$136,Table915[#Headers],0)),Table915[MainWaterHeatingFuel],$B251,Table915[EnergyRating (group)],$A251)</f>
        <v>2</v>
      </c>
      <c r="H251" s="758">
        <f>SUMIFS(INDEX(Table915[],,MATCH(H$136,Table915[#Headers],0)),Table915[MainWaterHeatingFuel],$B251,Table915[EnergyRating (group)],$A251)</f>
        <v>114</v>
      </c>
      <c r="I251" s="960"/>
      <c r="J251" s="980">
        <f t="shared" si="184"/>
        <v>15001</v>
      </c>
      <c r="K251" s="981">
        <f t="shared" si="185"/>
        <v>11404</v>
      </c>
      <c r="L251" s="840"/>
      <c r="M251" s="840"/>
      <c r="N251" s="66" t="str">
        <f>RSD_Commodities!$M$88&amp;"_"&amp;RIGHT(P251,LEN(P251)-3)&amp;"_"&amp;SETUP!$B$68</f>
        <v>WH_Det-F_BIOWOO_X1</v>
      </c>
      <c r="O251" s="66" t="str">
        <f>RSD_Commodities!$N$88&amp;"_"&amp;RSD_Commodities!D19&amp;"_"&amp;SETUP!$C$68</f>
        <v>Residential Water Heating Detached-F_Biomass &amp; Renewable Waste to Residential_Existing 01</v>
      </c>
      <c r="P251" s="83" t="str">
        <f>RSD_Commodities!$C$19</f>
        <v>RSDBIOWOO</v>
      </c>
      <c r="Q251" s="66" t="str">
        <f>RSD_Commodities!$M$88</f>
        <v>WH_Det-F</v>
      </c>
      <c r="R251" s="985">
        <f t="shared" si="179"/>
        <v>9.6529755297070327E-5</v>
      </c>
      <c r="S251" s="66">
        <f>R251*DwellingStocks!$I$69/1000</f>
        <v>7.732434804423973E-4</v>
      </c>
      <c r="T251" s="83">
        <v>1</v>
      </c>
      <c r="U251" s="987">
        <f t="shared" si="186"/>
        <v>0.76021598560095993</v>
      </c>
      <c r="V251" s="83">
        <v>20</v>
      </c>
      <c r="W251" s="66">
        <v>1</v>
      </c>
      <c r="X251" s="866"/>
      <c r="Y251" s="926">
        <f t="shared" si="182"/>
        <v>3.6238638291637397E-9</v>
      </c>
      <c r="Z251" s="926">
        <f t="shared" si="183"/>
        <v>4.7668871712807137E-9</v>
      </c>
      <c r="AA251" s="866"/>
      <c r="AB251" s="914" t="s">
        <v>393</v>
      </c>
      <c r="AC251" s="914" t="str">
        <f t="shared" si="187"/>
        <v>WH_Det-F_BIOWOO_X1</v>
      </c>
      <c r="AD251" s="915" t="str">
        <f t="shared" si="188"/>
        <v>Residential Water Heating Detached-F_Biomass &amp; Renewable Waste to Residential_Existing 01</v>
      </c>
      <c r="AE251" s="914" t="s">
        <v>53</v>
      </c>
      <c r="AF251" s="916" t="s">
        <v>406</v>
      </c>
      <c r="AG251" s="914"/>
      <c r="AH251" s="914"/>
      <c r="AI251" s="840"/>
      <c r="AJ251" s="840"/>
      <c r="AK251" s="840"/>
      <c r="AL251" s="840"/>
      <c r="AM251" s="840"/>
      <c r="AN251" s="840"/>
      <c r="AO251" s="840"/>
    </row>
    <row r="252" spans="1:41" ht="15.75" thickBot="1">
      <c r="A252" s="972" t="s">
        <v>122</v>
      </c>
      <c r="B252" s="757" t="s">
        <v>674</v>
      </c>
      <c r="C252" s="757">
        <f>SUMIFS(INDEX(Table915[],,MATCH(C$136,Table915[#Headers],0)),Table915[MainWaterHeatingFuel],$B252,Table915[EnergyRating (group)],$A252)</f>
        <v>13798</v>
      </c>
      <c r="D252" s="757">
        <f>SUMIFS(INDEX(Table915[],,MATCH(D$136,Table915[#Headers],0)),Table915[MainWaterHeatingFuel],$B252,Table915[EnergyRating (group)],$A252)</f>
        <v>12543</v>
      </c>
      <c r="E252" s="760">
        <f>SUMIFS(INDEX(Table915[],,MATCH(E$136,Table915[#Headers],0)),Table915[MainWaterHeatingFuel],$B252,Table915[EnergyRating (group)],$A252)</f>
        <v>7612</v>
      </c>
      <c r="F252" s="760">
        <f>SUMIFS(INDEX(Table915[],,MATCH(F$136,Table915[#Headers],0)),Table915[MainWaterHeatingFuel],$B252,Table915[EnergyRating (group)],$A252)</f>
        <v>2820</v>
      </c>
      <c r="G252" s="757">
        <f>SUMIFS(INDEX(Table915[],,MATCH(G$136,Table915[#Headers],0)),Table915[MainWaterHeatingFuel],$B252,Table915[EnergyRating (group)],$A252)</f>
        <v>3</v>
      </c>
      <c r="H252" s="757">
        <f>SUMIFS(INDEX(Table915[],,MATCH(H$136,Table915[#Headers],0)),Table915[MainWaterHeatingFuel],$B252,Table915[EnergyRating (group)],$A252)</f>
        <v>257</v>
      </c>
      <c r="I252" s="959"/>
      <c r="J252" s="991">
        <f t="shared" si="184"/>
        <v>21410</v>
      </c>
      <c r="K252" s="992">
        <f t="shared" si="185"/>
        <v>15363</v>
      </c>
      <c r="L252" s="840"/>
      <c r="M252" s="840"/>
      <c r="N252" s="914" t="str">
        <f>RSD_Commodities!$M$88&amp;"_"&amp;RIGHT(P252,LEN(P252)-3)&amp;"_"&amp;SETUP!$B$68</f>
        <v>WH_Det-F_COAHAR_X1</v>
      </c>
      <c r="O252" s="914" t="str">
        <f>RSD_Commodities!$N$88&amp;"_"&amp;RSD_Commodities!D7&amp;"_"&amp;SETUP!$C$68</f>
        <v>Residential Water Heating Detached-F_Anthracite + Manufactured Ovoids to Residential_Existing 01</v>
      </c>
      <c r="P252" s="915" t="str">
        <f>RSD_Commodities!$C$7</f>
        <v>RSDCOAHAR</v>
      </c>
      <c r="Q252" s="914" t="str">
        <f>RSD_Commodities!$M$88</f>
        <v>WH_Det-F</v>
      </c>
      <c r="R252" s="984">
        <f t="shared" si="179"/>
        <v>1.4479463294560547E-4</v>
      </c>
      <c r="S252" s="914">
        <f>R252*DwellingStocks!$I$69/1000</f>
        <v>1.1598652206635958E-3</v>
      </c>
      <c r="T252" s="915">
        <v>1</v>
      </c>
      <c r="U252" s="986">
        <f t="shared" si="186"/>
        <v>0.71756188696870626</v>
      </c>
      <c r="V252" s="915">
        <v>20</v>
      </c>
      <c r="W252" s="914">
        <v>1</v>
      </c>
      <c r="X252" s="866"/>
      <c r="Y252" s="928">
        <f t="shared" si="182"/>
        <v>7.3228805692006128E-9</v>
      </c>
      <c r="Z252" s="928">
        <f t="shared" si="183"/>
        <v>1.0205225085372983E-8</v>
      </c>
      <c r="AA252" s="866"/>
      <c r="AB252" s="66" t="s">
        <v>393</v>
      </c>
      <c r="AC252" s="66" t="str">
        <f t="shared" si="187"/>
        <v>WH_Det-F_COAHAR_X1</v>
      </c>
      <c r="AD252" s="83" t="str">
        <f t="shared" si="188"/>
        <v>Residential Water Heating Detached-F_Anthracite + Manufactured Ovoids to Residential_Existing 01</v>
      </c>
      <c r="AE252" s="66" t="s">
        <v>53</v>
      </c>
      <c r="AF252" s="88" t="s">
        <v>406</v>
      </c>
      <c r="AG252" s="66"/>
      <c r="AH252" s="66"/>
      <c r="AI252" s="840"/>
      <c r="AJ252" s="840"/>
      <c r="AK252" s="840"/>
      <c r="AL252" s="840"/>
      <c r="AM252" s="840"/>
      <c r="AN252" s="840"/>
      <c r="AO252" s="840"/>
    </row>
    <row r="253" spans="1:41" ht="15.75" thickBot="1">
      <c r="A253" s="756" t="s">
        <v>124</v>
      </c>
      <c r="B253" s="1048"/>
      <c r="C253" s="1049"/>
      <c r="D253" s="1049"/>
      <c r="E253" s="1049"/>
      <c r="F253" s="1049"/>
      <c r="G253" s="1049"/>
      <c r="H253" s="1049"/>
      <c r="I253" s="1049"/>
      <c r="J253" s="1050"/>
      <c r="K253" s="1051"/>
      <c r="L253" s="840"/>
      <c r="M253" s="840"/>
      <c r="N253" s="76" t="str">
        <f>AB253</f>
        <v>*G Rating</v>
      </c>
      <c r="O253" s="76"/>
      <c r="P253" s="76"/>
      <c r="Q253" s="76"/>
      <c r="R253" s="949">
        <f>SUM(R254:R266)</f>
        <v>0.99962278385514902</v>
      </c>
      <c r="S253" s="76"/>
      <c r="T253" s="97"/>
      <c r="U253" s="76"/>
      <c r="V253" s="76"/>
      <c r="W253" s="76"/>
      <c r="X253" s="840"/>
      <c r="Y253" s="76"/>
      <c r="Z253" s="76"/>
      <c r="AA253" s="840"/>
      <c r="AB253" s="140" t="str">
        <f>"*"&amp; A254 &amp; " Rating"</f>
        <v>*G Rating</v>
      </c>
      <c r="AC253" s="141"/>
      <c r="AD253" s="141"/>
      <c r="AE253" s="141"/>
      <c r="AF253" s="141"/>
      <c r="AG253" s="141"/>
      <c r="AH253" s="141"/>
      <c r="AI253" s="840"/>
      <c r="AJ253" s="840"/>
      <c r="AK253" s="840"/>
      <c r="AL253" s="840"/>
      <c r="AM253" s="840"/>
      <c r="AN253" s="840"/>
      <c r="AO253" s="840"/>
    </row>
    <row r="254" spans="1:41">
      <c r="A254" s="972" t="s">
        <v>124</v>
      </c>
      <c r="B254" s="757" t="s">
        <v>582</v>
      </c>
      <c r="C254" s="757">
        <f>SUMIFS(INDEX(Table915[],,MATCH(C$136,Table915[#Headers],0)),Table915[MainWaterHeatingFuel],$B254,Table915[EnergyRating (group)],$A254)</f>
        <v>125600</v>
      </c>
      <c r="D254" s="757">
        <f>SUMIFS(INDEX(Table915[],,MATCH(D$136,Table915[#Headers],0)),Table915[MainWaterHeatingFuel],$B254,Table915[EnergyRating (group)],$A254)</f>
        <v>114184</v>
      </c>
      <c r="E254" s="760">
        <f>SUMIFS(INDEX(Table915[],,MATCH(E$136,Table915[#Headers],0)),Table915[MainWaterHeatingFuel],$B254,Table915[EnergyRating (group)],$A254)</f>
        <v>31327</v>
      </c>
      <c r="F254" s="760">
        <f>SUMIFS(INDEX(Table915[],,MATCH(F$136,Table915[#Headers],0)),Table915[MainWaterHeatingFuel],$B254,Table915[EnergyRating (group)],$A254)</f>
        <v>11602</v>
      </c>
      <c r="G254" s="757">
        <f>SUMIFS(INDEX(Table915[],,MATCH(G$136,Table915[#Headers],0)),Table915[MainWaterHeatingFuel],$B254,Table915[EnergyRating (group)],$A254)</f>
        <v>22</v>
      </c>
      <c r="H254" s="757">
        <f>SUMIFS(INDEX(Table915[],,MATCH(H$136,Table915[#Headers],0)),Table915[MainWaterHeatingFuel],$B254,Table915[EnergyRating (group)],$A254)</f>
        <v>2343</v>
      </c>
      <c r="I254" s="959"/>
      <c r="J254" s="989">
        <f t="shared" ref="J254:K266" si="189">C254+E254</f>
        <v>156927</v>
      </c>
      <c r="K254" s="990">
        <f t="shared" si="189"/>
        <v>125786</v>
      </c>
      <c r="L254" s="840"/>
      <c r="M254" s="840"/>
      <c r="N254" s="914" t="str">
        <f>RSD_Commodities!$M$89&amp;"_"&amp;RIGHT(P254,LEN(P254)-3)&amp;"_"&amp;SETUP!$B$67</f>
        <v>WH_Det-G_OILLPG_X0</v>
      </c>
      <c r="O254" s="914" t="str">
        <f>RSD_Commodities!$N$89&amp;"_"&amp;RSD_Commodities!D11&amp;"_"&amp;SETUP!$C$67</f>
        <v>Residential Water Heating Detached-G_LPG to Residential_Existing 00</v>
      </c>
      <c r="P254" s="915" t="str">
        <f>RSD_Commodities!$C$11</f>
        <v>RSDOILLPG</v>
      </c>
      <c r="Q254" s="914" t="str">
        <f>RSD_Commodities!$M$89</f>
        <v>WH_Det-G</v>
      </c>
      <c r="R254" s="984">
        <f>G254/SUM($G$254:$G$268)</f>
        <v>1.037344398340249E-3</v>
      </c>
      <c r="S254" s="914">
        <f>R254*DwellingStocks!$I$70/1000</f>
        <v>8.9810073791276694E-3</v>
      </c>
      <c r="T254" s="915">
        <v>1</v>
      </c>
      <c r="U254" s="986">
        <f>K254/J254</f>
        <v>0.80155741204509101</v>
      </c>
      <c r="V254" s="915">
        <v>20</v>
      </c>
      <c r="W254" s="914">
        <v>1</v>
      </c>
      <c r="X254" s="866"/>
      <c r="Y254" s="928">
        <f>ABS((K254)*S254*1000*$B$2)</f>
        <v>4.6425410720176157E-7</v>
      </c>
      <c r="Z254" s="928">
        <f>ABS((J254)*S254*1000*$B$2)</f>
        <v>5.7919008697987718E-7</v>
      </c>
      <c r="AA254" s="866"/>
      <c r="AB254" s="914" t="s">
        <v>393</v>
      </c>
      <c r="AC254" s="914" t="str">
        <f t="shared" ref="AC254:AD266" si="190">N254</f>
        <v>WH_Det-G_OILLPG_X0</v>
      </c>
      <c r="AD254" s="915" t="str">
        <f t="shared" si="190"/>
        <v>Residential Water Heating Detached-G_LPG to Residential_Existing 00</v>
      </c>
      <c r="AE254" s="914" t="s">
        <v>53</v>
      </c>
      <c r="AF254" s="916" t="s">
        <v>406</v>
      </c>
      <c r="AG254" s="914"/>
      <c r="AH254" s="914"/>
      <c r="AI254" s="840"/>
      <c r="AJ254" s="840"/>
      <c r="AK254" s="840"/>
      <c r="AL254" s="840"/>
      <c r="AM254" s="840"/>
      <c r="AN254" s="840"/>
      <c r="AO254" s="840"/>
    </row>
    <row r="255" spans="1:41">
      <c r="A255" s="973" t="s">
        <v>124</v>
      </c>
      <c r="B255" s="758" t="s">
        <v>228</v>
      </c>
      <c r="C255" s="758">
        <f>SUMIFS(INDEX(Table915[],,MATCH(C$136,Table915[#Headers],0)),Table915[MainWaterHeatingFuel],$B255,Table915[EnergyRating (group)],$A255)</f>
        <v>50022439</v>
      </c>
      <c r="D255" s="758">
        <f>SUMIFS(INDEX(Table915[],,MATCH(D$136,Table915[#Headers],0)),Table915[MainWaterHeatingFuel],$B255,Table915[EnergyRating (group)],$A255)</f>
        <v>18526822</v>
      </c>
      <c r="E255" s="758">
        <f>SUMIFS(INDEX(Table915[],,MATCH(E$136,Table915[#Headers],0)),Table915[MainWaterHeatingFuel],$B255,Table915[EnergyRating (group)],$A255)</f>
        <v>250398</v>
      </c>
      <c r="F255" s="758">
        <f>SUMIFS(INDEX(Table915[],,MATCH(F$136,Table915[#Headers],0)),Table915[MainWaterHeatingFuel],$B255,Table915[EnergyRating (group)],$A255)</f>
        <v>92741</v>
      </c>
      <c r="G255" s="758">
        <f>SUMIFS(INDEX(Table915[],,MATCH(G$136,Table915[#Headers],0)),Table915[MainWaterHeatingFuel],$B255,Table915[EnergyRating (group)],$A255)</f>
        <v>6999</v>
      </c>
      <c r="H255" s="758">
        <f>SUMIFS(INDEX(Table915[],,MATCH(H$136,Table915[#Headers],0)),Table915[MainWaterHeatingFuel],$B255,Table915[EnergyRating (group)],$A255)</f>
        <v>581745</v>
      </c>
      <c r="I255" s="960"/>
      <c r="J255" s="980">
        <f t="shared" si="189"/>
        <v>50272837</v>
      </c>
      <c r="K255" s="981">
        <f t="shared" si="189"/>
        <v>18619563</v>
      </c>
      <c r="L255" s="840"/>
      <c r="M255" s="840"/>
      <c r="N255" s="66" t="str">
        <f>RSD_Commodities!$M$89&amp;"_"&amp;RIGHT(P255,LEN(P255)-3)&amp;"_"&amp;SETUP!$B$67</f>
        <v>WH_Det-G_ELCD_X0</v>
      </c>
      <c r="O255" s="66" t="str">
        <f>RSD_Commodities!$N$89&amp;"_"&amp;RSD_Commodities!D27&amp;"_"&amp;SETUP!$C$67</f>
        <v>Residential Water Heating Detached-G_Electricity to Residential_Existing 00</v>
      </c>
      <c r="P255" s="83" t="str">
        <f>RSD_Commodities!$C$27</f>
        <v>RSDELCD</v>
      </c>
      <c r="Q255" s="66" t="str">
        <f>RSD_Commodities!$M$89</f>
        <v>WH_Det-G</v>
      </c>
      <c r="R255" s="985">
        <f t="shared" ref="R255:R268" si="191">G255/SUM($G$254:$G$268)</f>
        <v>0.33001697472651831</v>
      </c>
      <c r="S255" s="66">
        <f>R255*DwellingStocks!$I$70/1000</f>
        <v>2.8571850293870256</v>
      </c>
      <c r="T255" s="83">
        <v>1</v>
      </c>
      <c r="U255" s="987">
        <f>K255/J255</f>
        <v>0.37037024586458089</v>
      </c>
      <c r="V255" s="83">
        <v>20</v>
      </c>
      <c r="W255" s="66">
        <v>1</v>
      </c>
      <c r="X255" s="866"/>
      <c r="Y255" s="926">
        <f>ABS((K255)*S255*1000*$B$2)</f>
        <v>2.1862823283833665E-2</v>
      </c>
      <c r="Z255" s="926">
        <f>ABS((J255)*S255*1000*$B$2)</f>
        <v>5.9029642710088009E-2</v>
      </c>
      <c r="AA255" s="866"/>
      <c r="AB255" s="914" t="s">
        <v>393</v>
      </c>
      <c r="AC255" s="914" t="str">
        <f t="shared" si="190"/>
        <v>WH_Det-G_ELCD_X0</v>
      </c>
      <c r="AD255" s="915" t="str">
        <f t="shared" si="190"/>
        <v>Residential Water Heating Detached-G_Electricity to Residential_Existing 00</v>
      </c>
      <c r="AE255" s="914" t="s">
        <v>53</v>
      </c>
      <c r="AF255" s="916" t="s">
        <v>406</v>
      </c>
      <c r="AG255" s="914"/>
      <c r="AH255" s="914"/>
      <c r="AI255" s="840"/>
      <c r="AJ255" s="840"/>
      <c r="AK255" s="840"/>
      <c r="AL255" s="840"/>
      <c r="AM255" s="840"/>
      <c r="AN255" s="840"/>
      <c r="AO255" s="840"/>
    </row>
    <row r="256" spans="1:41">
      <c r="A256" s="972" t="s">
        <v>124</v>
      </c>
      <c r="B256" s="757" t="s">
        <v>583</v>
      </c>
      <c r="C256" s="757">
        <f>SUMIFS(INDEX(Table915[],,MATCH(C$136,Table915[#Headers],0)),Table915[MainWaterHeatingFuel],$B256,Table915[EnergyRating (group)],$A256)</f>
        <v>22551882</v>
      </c>
      <c r="D256" s="757">
        <f>SUMIFS(INDEX(Table915[],,MATCH(D$136,Table915[#Headers],0)),Table915[MainWaterHeatingFuel],$B256,Table915[EnergyRating (group)],$A256)</f>
        <v>20501713</v>
      </c>
      <c r="E256" s="757">
        <f>SUMIFS(INDEX(Table915[],,MATCH(E$136,Table915[#Headers],0)),Table915[MainWaterHeatingFuel],$B256,Table915[EnergyRating (group)],$A256)</f>
        <v>8208551</v>
      </c>
      <c r="F256" s="757">
        <f>SUMIFS(INDEX(Table915[],,MATCH(F$136,Table915[#Headers],0)),Table915[MainWaterHeatingFuel],$B256,Table915[EnergyRating (group)],$A256)</f>
        <v>3040206</v>
      </c>
      <c r="G256" s="757">
        <f>SUMIFS(INDEX(Table915[],,MATCH(G$136,Table915[#Headers],0)),Table915[MainWaterHeatingFuel],$B256,Table915[EnergyRating (group)],$A256)</f>
        <v>4367</v>
      </c>
      <c r="H256" s="757">
        <f>SUMIFS(INDEX(Table915[],,MATCH(H$136,Table915[#Headers],0)),Table915[MainWaterHeatingFuel],$B256,Table915[EnergyRating (group)],$A256)</f>
        <v>404891</v>
      </c>
      <c r="I256" s="961"/>
      <c r="J256" s="978">
        <f t="shared" si="189"/>
        <v>30760433</v>
      </c>
      <c r="K256" s="979">
        <f t="shared" si="189"/>
        <v>23541919</v>
      </c>
      <c r="L256" s="840"/>
      <c r="M256" s="840"/>
      <c r="N256" s="914" t="str">
        <f>RSD_Commodities!$M$89&amp;"_"&amp;RIGHT(P256,LEN(P256)-3)&amp;"_"&amp;SETUP!$B$67</f>
        <v>WH_Det-G_OILKER_X0</v>
      </c>
      <c r="O256" s="914" t="str">
        <f>RSD_Commodities!$N$89&amp;"_"&amp;RSD_Commodities!D13&amp;"_"&amp;SETUP!$C$67</f>
        <v>Residential Water Heating Detached-G_Kerosene to Residential_Existing 00</v>
      </c>
      <c r="P256" s="915" t="str">
        <f>RSD_Commodities!$C$13</f>
        <v>RSDOILKER</v>
      </c>
      <c r="Q256" s="914" t="str">
        <f>RSD_Commodities!$M$89</f>
        <v>WH_Det-G</v>
      </c>
      <c r="R256" s="984">
        <f t="shared" si="191"/>
        <v>0.20591286307053941</v>
      </c>
      <c r="S256" s="914">
        <f>R256*DwellingStocks!$I$70/1000</f>
        <v>1.7827299647568422</v>
      </c>
      <c r="T256" s="915">
        <v>1</v>
      </c>
      <c r="U256" s="986">
        <f t="shared" ref="U256" si="192">K256/J256</f>
        <v>0.76533119673575467</v>
      </c>
      <c r="V256" s="915">
        <v>20</v>
      </c>
      <c r="W256" s="914">
        <v>1</v>
      </c>
      <c r="X256" s="866"/>
      <c r="Y256" s="928">
        <f t="shared" ref="Y256:Y266" si="193">ABS((K256)*S256*1000*$B$2)</f>
        <v>1.7247486751717164E-2</v>
      </c>
      <c r="Z256" s="928">
        <f t="shared" ref="Z256:Z266" si="194">ABS((J256)*S256*1000*$B$2)</f>
        <v>2.253597765945009E-2</v>
      </c>
      <c r="AA256" s="866"/>
      <c r="AB256" s="66" t="s">
        <v>393</v>
      </c>
      <c r="AC256" s="66" t="str">
        <f t="shared" si="190"/>
        <v>WH_Det-G_OILKER_X0</v>
      </c>
      <c r="AD256" s="83" t="str">
        <f t="shared" si="190"/>
        <v>Residential Water Heating Detached-G_Kerosene to Residential_Existing 00</v>
      </c>
      <c r="AE256" s="66" t="s">
        <v>53</v>
      </c>
      <c r="AF256" s="88" t="s">
        <v>406</v>
      </c>
      <c r="AG256" s="66"/>
      <c r="AH256" s="66"/>
      <c r="AI256" s="840"/>
      <c r="AJ256" s="840"/>
      <c r="AK256" s="840"/>
      <c r="AL256" s="840"/>
      <c r="AM256" s="840"/>
      <c r="AN256" s="840"/>
      <c r="AO256" s="840"/>
    </row>
    <row r="257" spans="1:42">
      <c r="A257" s="973" t="s">
        <v>124</v>
      </c>
      <c r="B257" s="758" t="s">
        <v>584</v>
      </c>
      <c r="C257" s="758">
        <f>SUMIFS(INDEX(Table915[],,MATCH(C$136,Table915[#Headers],0)),Table915[MainWaterHeatingFuel],$B257,Table915[EnergyRating (group)],$A257)</f>
        <v>24377681</v>
      </c>
      <c r="D257" s="758">
        <f>SUMIFS(INDEX(Table915[],,MATCH(D$136,Table915[#Headers],0)),Table915[MainWaterHeatingFuel],$B257,Table915[EnergyRating (group)],$A257)</f>
        <v>22161529</v>
      </c>
      <c r="E257" s="759">
        <f>SUMIFS(INDEX(Table915[],,MATCH(E$136,Table915[#Headers],0)),Table915[MainWaterHeatingFuel],$B257,Table915[EnergyRating (group)],$A257)</f>
        <v>8212550</v>
      </c>
      <c r="F257" s="759">
        <f>SUMIFS(INDEX(Table915[],,MATCH(F$136,Table915[#Headers],0)),Table915[MainWaterHeatingFuel],$B257,Table915[EnergyRating (group)],$A257)</f>
        <v>3041685</v>
      </c>
      <c r="G257" s="758">
        <f>SUMIFS(INDEX(Table915[],,MATCH(G$136,Table915[#Headers],0)),Table915[MainWaterHeatingFuel],$B257,Table915[EnergyRating (group)],$A257)</f>
        <v>4910</v>
      </c>
      <c r="H257" s="758">
        <f>SUMIFS(INDEX(Table915[],,MATCH(H$136,Table915[#Headers],0)),Table915[MainWaterHeatingFuel],$B257,Table915[EnergyRating (group)],$A257)</f>
        <v>402427</v>
      </c>
      <c r="I257" s="960"/>
      <c r="J257" s="980">
        <f t="shared" si="189"/>
        <v>32590231</v>
      </c>
      <c r="K257" s="981">
        <f t="shared" si="189"/>
        <v>25203214</v>
      </c>
      <c r="L257" s="840"/>
      <c r="M257" s="840"/>
      <c r="N257" s="66" t="str">
        <f>RSD_Commodities!$M$89&amp;"_"&amp;RIGHT(P257,LEN(P257)-3)&amp;"_"&amp;SETUP!$B$67</f>
        <v>WH_Det-G_GASNAT_X0</v>
      </c>
      <c r="O257" s="66" t="str">
        <f>RSD_Commodities!$N$89&amp;"_"&amp;RSD_Commodities!D17&amp;"_"&amp;SETUP!$C$67</f>
        <v>Residential Water Heating Detached-G_Natural Gas to Residential_Existing 00</v>
      </c>
      <c r="P257" s="83" t="str">
        <f>RSD_Commodities!$C$17</f>
        <v>RSDGASNAT</v>
      </c>
      <c r="Q257" s="66" t="str">
        <f>RSD_Commodities!$M$89</f>
        <v>WH_Det-G</v>
      </c>
      <c r="R257" s="985">
        <f t="shared" si="191"/>
        <v>0.23151640890230102</v>
      </c>
      <c r="S257" s="66">
        <f>R257*DwellingStocks!$I$70/1000</f>
        <v>2.0043975559780391</v>
      </c>
      <c r="T257" s="83">
        <v>1</v>
      </c>
      <c r="U257" s="987">
        <f>K257/J257</f>
        <v>0.77333646392380584</v>
      </c>
      <c r="V257" s="83">
        <v>20</v>
      </c>
      <c r="W257" s="66">
        <v>1</v>
      </c>
      <c r="X257" s="866"/>
      <c r="Y257" s="926">
        <f t="shared" si="193"/>
        <v>2.0760518031941712E-2</v>
      </c>
      <c r="Z257" s="926">
        <f t="shared" si="194"/>
        <v>2.6845388780202633E-2</v>
      </c>
      <c r="AA257" s="866"/>
      <c r="AB257" s="914" t="s">
        <v>393</v>
      </c>
      <c r="AC257" s="914" t="str">
        <f t="shared" si="190"/>
        <v>WH_Det-G_GASNAT_X0</v>
      </c>
      <c r="AD257" s="915" t="str">
        <f t="shared" si="190"/>
        <v>Residential Water Heating Detached-G_Natural Gas to Residential_Existing 00</v>
      </c>
      <c r="AE257" s="914" t="s">
        <v>53</v>
      </c>
      <c r="AF257" s="916" t="s">
        <v>406</v>
      </c>
      <c r="AG257" s="914"/>
      <c r="AH257" s="914"/>
      <c r="AI257" s="840"/>
      <c r="AJ257" s="840"/>
      <c r="AK257" s="840"/>
      <c r="AL257" s="840"/>
      <c r="AM257" s="840"/>
      <c r="AN257" s="840"/>
      <c r="AO257" s="840"/>
    </row>
    <row r="258" spans="1:42">
      <c r="A258" s="972" t="s">
        <v>124</v>
      </c>
      <c r="B258" s="757" t="s">
        <v>585</v>
      </c>
      <c r="C258" s="757">
        <f>SUMIFS(INDEX(Table915[],,MATCH(C$136,Table915[#Headers],0)),Table915[MainWaterHeatingFuel],$B258,Table915[EnergyRating (group)],$A258)</f>
        <v>4046</v>
      </c>
      <c r="D258" s="757">
        <f>SUMIFS(INDEX(Table915[],,MATCH(D$136,Table915[#Headers],0)),Table915[MainWaterHeatingFuel],$B258,Table915[EnergyRating (group)],$A258)</f>
        <v>3678</v>
      </c>
      <c r="E258" s="760">
        <f>SUMIFS(INDEX(Table915[],,MATCH(E$136,Table915[#Headers],0)),Table915[MainWaterHeatingFuel],$B258,Table915[EnergyRating (group)],$A258)</f>
        <v>2093</v>
      </c>
      <c r="F258" s="760">
        <f>SUMIFS(INDEX(Table915[],,MATCH(F$136,Table915[#Headers],0)),Table915[MainWaterHeatingFuel],$B258,Table915[EnergyRating (group)],$A258)</f>
        <v>775</v>
      </c>
      <c r="G258" s="757">
        <f>SUMIFS(INDEX(Table915[],,MATCH(G$136,Table915[#Headers],0)),Table915[MainWaterHeatingFuel],$B258,Table915[EnergyRating (group)],$A258)</f>
        <v>1</v>
      </c>
      <c r="H258" s="757">
        <f>SUMIFS(INDEX(Table915[],,MATCH(H$136,Table915[#Headers],0)),Table915[MainWaterHeatingFuel],$B258,Table915[EnergyRating (group)],$A258)</f>
        <v>75</v>
      </c>
      <c r="I258" s="959"/>
      <c r="J258" s="978">
        <f t="shared" si="189"/>
        <v>6139</v>
      </c>
      <c r="K258" s="979">
        <f t="shared" si="189"/>
        <v>4453</v>
      </c>
      <c r="L258" s="840"/>
      <c r="M258" s="840"/>
      <c r="N258" s="914" t="str">
        <f>RSD_Commodities!$M$89&amp;"_"&amp;RIGHT(P258,LEN(P258)-3)&amp;"_"&amp;SETUP!$B$67</f>
        <v>WH_Det-G_BIOWOO_X0</v>
      </c>
      <c r="O258" s="914" t="str">
        <f>RSD_Commodities!$N$89&amp;"_"&amp;RSD_Commodities!D19&amp;"_"&amp;SETUP!$C$67</f>
        <v>Residential Water Heating Detached-G_Biomass &amp; Renewable Waste to Residential_Existing 00</v>
      </c>
      <c r="P258" s="915" t="str">
        <f>RSD_Commodities!$C$19</f>
        <v>RSDBIOWOO</v>
      </c>
      <c r="Q258" s="914" t="str">
        <f>RSD_Commodities!$M$89</f>
        <v>WH_Det-G</v>
      </c>
      <c r="R258" s="984">
        <f t="shared" si="191"/>
        <v>4.7152018106374952E-5</v>
      </c>
      <c r="S258" s="914">
        <f>R258*DwellingStocks!$I$70/1000</f>
        <v>4.0822760814216677E-4</v>
      </c>
      <c r="T258" s="915">
        <v>1</v>
      </c>
      <c r="U258" s="986">
        <f t="shared" ref="U258:U266" si="195">K258/J258</f>
        <v>0.72536243687897051</v>
      </c>
      <c r="V258" s="915">
        <v>20</v>
      </c>
      <c r="W258" s="914">
        <v>1</v>
      </c>
      <c r="X258" s="866"/>
      <c r="Y258" s="928">
        <f t="shared" si="193"/>
        <v>7.4705652290016534E-10</v>
      </c>
      <c r="Z258" s="928">
        <f t="shared" si="194"/>
        <v>1.029907925911546E-9</v>
      </c>
      <c r="AA258" s="866"/>
      <c r="AB258" s="66" t="s">
        <v>393</v>
      </c>
      <c r="AC258" s="66" t="str">
        <f t="shared" si="190"/>
        <v>WH_Det-G_BIOWOO_X0</v>
      </c>
      <c r="AD258" s="83" t="str">
        <f t="shared" si="190"/>
        <v>Residential Water Heating Detached-G_Biomass &amp; Renewable Waste to Residential_Existing 00</v>
      </c>
      <c r="AE258" s="66" t="s">
        <v>53</v>
      </c>
      <c r="AF258" s="88" t="s">
        <v>406</v>
      </c>
      <c r="AG258" s="66"/>
      <c r="AH258" s="66"/>
      <c r="AI258" s="840"/>
      <c r="AJ258" s="840"/>
      <c r="AK258" s="840"/>
      <c r="AL258" s="840"/>
      <c r="AM258" s="840"/>
      <c r="AN258" s="840"/>
      <c r="AO258" s="840"/>
    </row>
    <row r="259" spans="1:42">
      <c r="A259" s="973" t="s">
        <v>124</v>
      </c>
      <c r="B259" s="758" t="s">
        <v>587</v>
      </c>
      <c r="C259" s="758">
        <f>SUMIFS(INDEX(Table915[],,MATCH(C136,Table915[#Headers],0)),Table915[MainWaterHeatingFuel],"",Table915[EnergyRating (group)],$A242)</f>
        <v>0</v>
      </c>
      <c r="D259" s="758">
        <f>SUMIFS(INDEX(Table915[],,MATCH(D136,Table915[#Headers],0)),Table915[MainWaterHeatingFuel],"",Table915[EnergyRating (group)],$A259)</f>
        <v>0</v>
      </c>
      <c r="E259" s="758">
        <f>SUMIFS(INDEX(Table915[],,MATCH(E136,Table915[#Headers],0)),Table915[MainWaterHeatingFuel],"",Table915[EnergyRating (group)],$A259)</f>
        <v>30339</v>
      </c>
      <c r="F259" s="758">
        <f>SUMIFS(INDEX(Table915[],,MATCH(F136,Table915[#Headers],0)),Table915[MainWaterHeatingFuel],"",Table915[EnergyRating (group)],$A259)</f>
        <v>11237</v>
      </c>
      <c r="G259" s="758">
        <f>SUMIFS(INDEX(Table915[],,MATCH(G136,Table915[#Headers],0)),Table915[MainWaterHeatingFuel],"",Table915[EnergyRating (group)],$A259)</f>
        <v>59</v>
      </c>
      <c r="H259" s="758">
        <f>SUMIFS(INDEX(Table915[],,MATCH(H136,Table915[#Headers],0)),Table915[MainWaterHeatingFuel],"",Table915[EnergyRating (group)],$A259)</f>
        <v>5478</v>
      </c>
      <c r="I259" s="960"/>
      <c r="J259" s="980">
        <f t="shared" si="189"/>
        <v>30339</v>
      </c>
      <c r="K259" s="981">
        <f t="shared" si="189"/>
        <v>11237</v>
      </c>
      <c r="L259" s="840"/>
      <c r="M259" s="840"/>
      <c r="N259" s="66" t="str">
        <f>RSD_Commodities!$M$89&amp;"_"&amp;RIGHT(P259,LEN(P259)-3)&amp;"_"&amp;SETUP!$B$67</f>
        <v>WH_Det-G_HET_X0</v>
      </c>
      <c r="O259" s="66" t="str">
        <f>RSD_Commodities!$N$89&amp;"_"&amp;RSD_Commodities!D28&amp;"_"&amp;SETUP!$C$67</f>
        <v>Residential Water Heating Detached-G_Heat to Residential_Existing 00</v>
      </c>
      <c r="P259" s="83" t="str">
        <f>RSD_Commodities!$C$28</f>
        <v>RSDHET</v>
      </c>
      <c r="Q259" s="66" t="str">
        <f>RSD_Commodities!$M$89</f>
        <v>WH_Det-G</v>
      </c>
      <c r="R259" s="985">
        <f t="shared" si="191"/>
        <v>2.7819690682761222E-3</v>
      </c>
      <c r="S259" s="66">
        <f>R259*DwellingStocks!$I$70/1000</f>
        <v>2.4085428880387841E-2</v>
      </c>
      <c r="T259" s="83">
        <v>1</v>
      </c>
      <c r="U259" s="917">
        <v>1</v>
      </c>
      <c r="V259" s="83">
        <v>20</v>
      </c>
      <c r="W259" s="66">
        <v>1</v>
      </c>
      <c r="X259" s="866"/>
      <c r="Y259" s="926">
        <f t="shared" si="193"/>
        <v>1.1122519082010338E-7</v>
      </c>
      <c r="Z259" s="926">
        <f t="shared" si="194"/>
        <v>3.0029910690496719E-7</v>
      </c>
      <c r="AA259" s="866"/>
      <c r="AB259" s="914" t="s">
        <v>393</v>
      </c>
      <c r="AC259" s="914" t="str">
        <f t="shared" si="190"/>
        <v>WH_Det-G_HET_X0</v>
      </c>
      <c r="AD259" s="915" t="str">
        <f t="shared" si="190"/>
        <v>Residential Water Heating Detached-G_Heat to Residential_Existing 00</v>
      </c>
      <c r="AE259" s="914" t="s">
        <v>53</v>
      </c>
      <c r="AF259" s="916" t="s">
        <v>406</v>
      </c>
      <c r="AG259" s="914"/>
      <c r="AH259" s="914"/>
      <c r="AI259" s="840"/>
      <c r="AJ259" s="840"/>
      <c r="AK259" s="840"/>
      <c r="AL259" s="840"/>
      <c r="AM259" s="840"/>
      <c r="AN259" s="840"/>
      <c r="AO259" s="840"/>
    </row>
    <row r="260" spans="1:42">
      <c r="A260" s="972" t="s">
        <v>124</v>
      </c>
      <c r="B260" s="757" t="s">
        <v>664</v>
      </c>
      <c r="C260" s="757">
        <f>SUMIFS(INDEX(Table915[],,MATCH(C$136,Table915[#Headers],0)),Table915[MainWaterHeatingFuel],$B260,Table915[EnergyRating (group)],$A260)</f>
        <v>113459</v>
      </c>
      <c r="D260" s="757">
        <f>SUMIFS(INDEX(Table915[],,MATCH(D$136,Table915[#Headers],0)),Table915[MainWaterHeatingFuel],$B260,Table915[EnergyRating (group)],$A260)</f>
        <v>103145</v>
      </c>
      <c r="E260" s="757">
        <f>SUMIFS(INDEX(Table915[],,MATCH(E$136,Table915[#Headers],0)),Table915[MainWaterHeatingFuel],$B260,Table915[EnergyRating (group)],$A260)</f>
        <v>20487</v>
      </c>
      <c r="F260" s="757">
        <f>SUMIFS(INDEX(Table915[],,MATCH(F$136,Table915[#Headers],0)),Table915[MainWaterHeatingFuel],$B260,Table915[EnergyRating (group)],$A260)</f>
        <v>7589</v>
      </c>
      <c r="G260" s="757">
        <f>SUMIFS(INDEX(Table915[],,MATCH(G$136,Table915[#Headers],0)),Table915[MainWaterHeatingFuel],$B260,Table915[EnergyRating (group)],$A260)</f>
        <v>24</v>
      </c>
      <c r="H260" s="757">
        <f>SUMIFS(INDEX(Table915[],,MATCH(H$136,Table915[#Headers],0)),Table915[MainWaterHeatingFuel],$B260,Table915[EnergyRating (group)],$A260)</f>
        <v>2141</v>
      </c>
      <c r="I260" s="961"/>
      <c r="J260" s="978">
        <f t="shared" si="189"/>
        <v>133946</v>
      </c>
      <c r="K260" s="979">
        <f t="shared" si="189"/>
        <v>110734</v>
      </c>
      <c r="L260" s="840"/>
      <c r="M260" s="840"/>
      <c r="N260" s="914" t="str">
        <f>RSD_Commodities!$M$89&amp;"_"&amp;RIGHT(P260,LEN(P260)-3)&amp;"_"&amp;SETUP!$B$68</f>
        <v>WH_Det-G_OILLPG_X1</v>
      </c>
      <c r="O260" s="914" t="str">
        <f>RSD_Commodities!$N$89&amp;"_"&amp;RSD_Commodities!D11&amp;"_"&amp;SETUP!$C$68</f>
        <v>Residential Water Heating Detached-G_LPG to Residential_Existing 01</v>
      </c>
      <c r="P260" s="915" t="str">
        <f>RSD_Commodities!$C$11</f>
        <v>RSDOILLPG</v>
      </c>
      <c r="Q260" s="914" t="str">
        <f>RSD_Commodities!$M$89</f>
        <v>WH_Det-G</v>
      </c>
      <c r="R260" s="984">
        <f t="shared" si="191"/>
        <v>1.1316484345529989E-3</v>
      </c>
      <c r="S260" s="914">
        <f>R260*DwellingStocks!$I$70/1000</f>
        <v>9.7974625954120043E-3</v>
      </c>
      <c r="T260" s="915">
        <v>1</v>
      </c>
      <c r="U260" s="986">
        <f t="shared" si="195"/>
        <v>0.82670628462216122</v>
      </c>
      <c r="V260" s="915">
        <v>20</v>
      </c>
      <c r="W260" s="914">
        <v>1</v>
      </c>
      <c r="X260" s="866"/>
      <c r="Y260" s="928">
        <f t="shared" si="193"/>
        <v>4.4585433823576161E-7</v>
      </c>
      <c r="Z260" s="928">
        <f t="shared" si="194"/>
        <v>5.3931407868700958E-7</v>
      </c>
      <c r="AA260" s="866"/>
      <c r="AB260" s="66" t="s">
        <v>393</v>
      </c>
      <c r="AC260" s="66" t="str">
        <f t="shared" si="190"/>
        <v>WH_Det-G_OILLPG_X1</v>
      </c>
      <c r="AD260" s="83" t="str">
        <f t="shared" si="190"/>
        <v>Residential Water Heating Detached-G_LPG to Residential_Existing 01</v>
      </c>
      <c r="AE260" s="66" t="s">
        <v>53</v>
      </c>
      <c r="AF260" s="88" t="s">
        <v>406</v>
      </c>
      <c r="AG260" s="66"/>
      <c r="AH260" s="66"/>
      <c r="AI260" s="840"/>
      <c r="AJ260" s="840"/>
      <c r="AK260" s="840"/>
      <c r="AL260" s="840"/>
      <c r="AM260" s="840"/>
      <c r="AN260" s="840"/>
      <c r="AO260" s="840"/>
    </row>
    <row r="261" spans="1:42">
      <c r="A261" s="973" t="s">
        <v>124</v>
      </c>
      <c r="B261" s="758" t="s">
        <v>665</v>
      </c>
      <c r="C261" s="758">
        <f>SUMIFS(INDEX(Table915[],,MATCH(C$136,Table915[#Headers],0)),Table915[MainWaterHeatingFuel],$B261,Table915[EnergyRating (group)],$A261)</f>
        <v>18261307</v>
      </c>
      <c r="D261" s="758">
        <f>SUMIFS(INDEX(Table915[],,MATCH(D$136,Table915[#Headers],0)),Table915[MainWaterHeatingFuel],$B261,Table915[EnergyRating (group)],$A261)</f>
        <v>16601193</v>
      </c>
      <c r="E261" s="759">
        <f>SUMIFS(INDEX(Table915[],,MATCH(E$136,Table915[#Headers],0)),Table915[MainWaterHeatingFuel],$B261,Table915[EnergyRating (group)],$A261)</f>
        <v>6106634</v>
      </c>
      <c r="F261" s="759">
        <f>SUMIFS(INDEX(Table915[],,MATCH(F$136,Table915[#Headers],0)),Table915[MainWaterHeatingFuel],$B261,Table915[EnergyRating (group)],$A261)</f>
        <v>2261717</v>
      </c>
      <c r="G261" s="758">
        <f>SUMIFS(INDEX(Table915[],,MATCH(G$136,Table915[#Headers],0)),Table915[MainWaterHeatingFuel],$B261,Table915[EnergyRating (group)],$A261)</f>
        <v>3136</v>
      </c>
      <c r="H261" s="758">
        <f>SUMIFS(INDEX(Table915[],,MATCH(H$136,Table915[#Headers],0)),Table915[MainWaterHeatingFuel],$B261,Table915[EnergyRating (group)],$A261)</f>
        <v>226497</v>
      </c>
      <c r="I261" s="960"/>
      <c r="J261" s="980">
        <f t="shared" si="189"/>
        <v>24367941</v>
      </c>
      <c r="K261" s="981">
        <f t="shared" si="189"/>
        <v>18862910</v>
      </c>
      <c r="L261" s="840"/>
      <c r="M261" s="840"/>
      <c r="N261" s="66" t="str">
        <f>RSD_Commodities!$M$89&amp;"_"&amp;RSD_Commodities!$C$26&amp;"_"&amp;SETUP!$B$67</f>
        <v>WH_Det-G_RSDSMF_X0</v>
      </c>
      <c r="O261" s="66" t="str">
        <f>RSD_Commodities!$N$89&amp;"_"&amp;RSD_Commodities!$D$26&amp;"_"&amp;SETUP!$C$67</f>
        <v>Residential Water Heating Detached-G_Solid Multi-Fuel_Existing 00</v>
      </c>
      <c r="P261" s="83" t="str">
        <f>RSD_Commodities!$C$6&amp;","&amp;RSD_Commodities!$C$7&amp;","&amp;RSD_Commodities!$C$9&amp;","&amp;RSD_Commodities!$C$10&amp;","&amp;RSD_Commodities!$C$19</f>
        <v>RSDCOABIT,RSDCOAHAR,RSDCOALIG,RSDPEA,RSDBIOWOO</v>
      </c>
      <c r="Q261" s="66" t="str">
        <f>RSD_Commodities!$M$89</f>
        <v>WH_Det-G</v>
      </c>
      <c r="R261" s="985">
        <f t="shared" si="191"/>
        <v>0.14786872878159185</v>
      </c>
      <c r="S261" s="66">
        <f>R261*DwellingStocks!$I$70/1000</f>
        <v>1.2802017791338351</v>
      </c>
      <c r="T261" s="83">
        <v>1</v>
      </c>
      <c r="U261" s="987">
        <f t="shared" si="195"/>
        <v>0.77408714999761363</v>
      </c>
      <c r="V261" s="83">
        <v>20</v>
      </c>
      <c r="W261" s="66">
        <v>1</v>
      </c>
      <c r="X261" s="866"/>
      <c r="Y261" s="926">
        <f t="shared" si="193"/>
        <v>9.9239716198526364E-3</v>
      </c>
      <c r="Z261" s="926">
        <f t="shared" si="194"/>
        <v>1.282022524192945E-2</v>
      </c>
      <c r="AA261" s="866"/>
      <c r="AB261" s="914" t="s">
        <v>393</v>
      </c>
      <c r="AC261" s="914" t="str">
        <f t="shared" si="190"/>
        <v>WH_Det-G_RSDSMF_X0</v>
      </c>
      <c r="AD261" s="915" t="str">
        <f t="shared" si="190"/>
        <v>Residential Water Heating Detached-G_Solid Multi-Fuel_Existing 00</v>
      </c>
      <c r="AE261" s="914" t="s">
        <v>53</v>
      </c>
      <c r="AF261" s="916" t="s">
        <v>406</v>
      </c>
      <c r="AG261" s="914"/>
      <c r="AH261" s="914"/>
      <c r="AI261" s="840"/>
      <c r="AJ261" s="840"/>
      <c r="AK261" s="840"/>
      <c r="AL261" s="840"/>
      <c r="AM261" s="840"/>
      <c r="AN261" s="840"/>
      <c r="AO261" s="840"/>
    </row>
    <row r="262" spans="1:42">
      <c r="A262" s="972" t="s">
        <v>124</v>
      </c>
      <c r="B262" s="757" t="s">
        <v>669</v>
      </c>
      <c r="C262" s="757">
        <f>SUMIFS(INDEX(Table915[],,MATCH(C$136,Table915[#Headers],0)),Table915[MainWaterHeatingFuel],$B262,Table915[EnergyRating (group)],$A262)</f>
        <v>6653294</v>
      </c>
      <c r="D262" s="757">
        <f>SUMIFS(INDEX(Table915[],,MATCH(D$136,Table915[#Headers],0)),Table915[MainWaterHeatingFuel],$B262,Table915[EnergyRating (group)],$A262)</f>
        <v>5544410</v>
      </c>
      <c r="E262" s="760">
        <f>SUMIFS(INDEX(Table915[],,MATCH(E$136,Table915[#Headers],0)),Table915[MainWaterHeatingFuel],$B262,Table915[EnergyRating (group)],$A262)</f>
        <v>2245126</v>
      </c>
      <c r="F262" s="760">
        <f>SUMIFS(INDEX(Table915[],,MATCH(F$136,Table915[#Headers],0)),Table915[MainWaterHeatingFuel],$B262,Table915[EnergyRating (group)],$A262)</f>
        <v>831528</v>
      </c>
      <c r="G262" s="757">
        <f>SUMIFS(INDEX(Table915[],,MATCH(G$136,Table915[#Headers],0)),Table915[MainWaterHeatingFuel],$B262,Table915[EnergyRating (group)],$A262)</f>
        <v>1120</v>
      </c>
      <c r="H262" s="757">
        <f>SUMIFS(INDEX(Table915[],,MATCH(H$136,Table915[#Headers],0)),Table915[MainWaterHeatingFuel],$B262,Table915[EnergyRating (group)],$A262)</f>
        <v>87051</v>
      </c>
      <c r="I262" s="959"/>
      <c r="J262" s="978">
        <f t="shared" si="189"/>
        <v>8898420</v>
      </c>
      <c r="K262" s="979">
        <f t="shared" si="189"/>
        <v>6375938</v>
      </c>
      <c r="L262" s="840"/>
      <c r="M262" s="840"/>
      <c r="N262" s="914" t="str">
        <f>RSD_Commodities!$M$89&amp;"_"&amp;RIGHT(P262,LEN(P262)-3)&amp;"_"&amp;SETUP!$B$67</f>
        <v>WH_Det-G_COAHAR_X0</v>
      </c>
      <c r="O262" s="914" t="str">
        <f>RSD_Commodities!$N$89&amp;"_"&amp;RSD_Commodities!$D$7&amp;"_"&amp;SETUP!$C$67</f>
        <v>Residential Water Heating Detached-G_Anthracite + Manufactured Ovoids to Residential_Existing 00</v>
      </c>
      <c r="P262" s="930" t="str">
        <f>RSD_Commodities!$C$7</f>
        <v>RSDCOAHAR</v>
      </c>
      <c r="Q262" s="914" t="str">
        <f>RSD_Commodities!$M$89</f>
        <v>WH_Det-G</v>
      </c>
      <c r="R262" s="984">
        <f t="shared" si="191"/>
        <v>5.2810260279139945E-2</v>
      </c>
      <c r="S262" s="914">
        <f>R262*DwellingStocks!$I$70/1000</f>
        <v>0.45721492111922679</v>
      </c>
      <c r="T262" s="915">
        <v>1</v>
      </c>
      <c r="U262" s="986">
        <f t="shared" si="195"/>
        <v>0.71652473135680261</v>
      </c>
      <c r="V262" s="930">
        <v>20</v>
      </c>
      <c r="W262" s="914">
        <v>1</v>
      </c>
      <c r="X262" s="840"/>
      <c r="Y262" s="928">
        <f t="shared" si="193"/>
        <v>1.1980167081086636E-3</v>
      </c>
      <c r="Z262" s="928">
        <f t="shared" si="194"/>
        <v>1.6719823555009935E-3</v>
      </c>
      <c r="AA262" s="840"/>
      <c r="AB262" s="66" t="s">
        <v>393</v>
      </c>
      <c r="AC262" s="66" t="str">
        <f t="shared" si="190"/>
        <v>WH_Det-G_COAHAR_X0</v>
      </c>
      <c r="AD262" s="83" t="str">
        <f t="shared" si="190"/>
        <v>Residential Water Heating Detached-G_Anthracite + Manufactured Ovoids to Residential_Existing 00</v>
      </c>
      <c r="AE262" s="66" t="s">
        <v>53</v>
      </c>
      <c r="AF262" s="88" t="s">
        <v>406</v>
      </c>
      <c r="AG262" s="66"/>
      <c r="AH262" s="66"/>
      <c r="AI262" s="840"/>
      <c r="AJ262" s="840"/>
      <c r="AK262" s="840"/>
      <c r="AL262" s="840"/>
      <c r="AM262" s="840"/>
      <c r="AN262" s="840"/>
      <c r="AO262" s="840"/>
    </row>
    <row r="263" spans="1:42">
      <c r="A263" s="973" t="s">
        <v>124</v>
      </c>
      <c r="B263" s="758" t="s">
        <v>671</v>
      </c>
      <c r="C263" s="758">
        <f>SUMIFS(INDEX(Table915[],,MATCH(C$136,Table915[#Headers],0)),Table915[MainWaterHeatingFuel],$B263,Table915[EnergyRating (group)],$A263)</f>
        <v>619701</v>
      </c>
      <c r="D263" s="758">
        <f>SUMIFS(INDEX(Table915[],,MATCH(D$136,Table915[#Headers],0)),Table915[MainWaterHeatingFuel],$B263,Table915[EnergyRating (group)],$A263)</f>
        <v>563364</v>
      </c>
      <c r="E263" s="758">
        <f>SUMIFS(INDEX(Table915[],,MATCH(E$136,Table915[#Headers],0)),Table915[MainWaterHeatingFuel],$B263,Table915[EnergyRating (group)],$A263)</f>
        <v>163418</v>
      </c>
      <c r="F263" s="758">
        <f>SUMIFS(INDEX(Table915[],,MATCH(F$136,Table915[#Headers],0)),Table915[MainWaterHeatingFuel],$B263,Table915[EnergyRating (group)],$A263)</f>
        <v>60525</v>
      </c>
      <c r="G263" s="758">
        <f>SUMIFS(INDEX(Table915[],,MATCH(G$136,Table915[#Headers],0)),Table915[MainWaterHeatingFuel],$B263,Table915[EnergyRating (group)],$A263)</f>
        <v>91</v>
      </c>
      <c r="H263" s="758">
        <f>SUMIFS(INDEX(Table915[],,MATCH(H$136,Table915[#Headers],0)),Table915[MainWaterHeatingFuel],$B263,Table915[EnergyRating (group)],$A263)</f>
        <v>7432</v>
      </c>
      <c r="I263" s="960"/>
      <c r="J263" s="980">
        <f t="shared" si="189"/>
        <v>783119</v>
      </c>
      <c r="K263" s="981">
        <f t="shared" si="189"/>
        <v>623889</v>
      </c>
      <c r="L263" s="840"/>
      <c r="M263" s="840"/>
      <c r="N263" s="66" t="str">
        <f>RSD_Commodities!$M$89&amp;"_"&amp;RIGHT(P263,LEN(P263)-3)&amp;"_"&amp;SETUP!$B$67</f>
        <v>WH_Det-G_PEA_X0</v>
      </c>
      <c r="O263" s="66" t="str">
        <f>RSD_Commodities!$N$89&amp;"_"&amp;RSD_Commodities!$D$10&amp;"_"&amp;SETUP!$C$67</f>
        <v>Residential Water Heating Detached-G_Peat to Residential_Existing 00</v>
      </c>
      <c r="P263" s="83" t="str">
        <f>RSD_Commodities!$C$10</f>
        <v>RSDPEA</v>
      </c>
      <c r="Q263" s="66" t="str">
        <f>RSD_Commodities!$M$89</f>
        <v>WH_Det-G</v>
      </c>
      <c r="R263" s="985">
        <f t="shared" si="191"/>
        <v>4.2908336476801204E-3</v>
      </c>
      <c r="S263" s="66">
        <f>R263*DwellingStocks!$I$70/1000</f>
        <v>3.7148712340937175E-2</v>
      </c>
      <c r="T263" s="83">
        <v>1</v>
      </c>
      <c r="U263" s="987">
        <f t="shared" si="195"/>
        <v>0.79667202557976502</v>
      </c>
      <c r="V263" s="83">
        <v>20</v>
      </c>
      <c r="W263" s="66">
        <v>1</v>
      </c>
      <c r="X263" s="866"/>
      <c r="Y263" s="926">
        <f t="shared" si="193"/>
        <v>9.5246601343869688E-6</v>
      </c>
      <c r="Z263" s="926">
        <f t="shared" si="194"/>
        <v>1.1955559914954404E-5</v>
      </c>
      <c r="AA263" s="866"/>
      <c r="AB263" s="914" t="s">
        <v>393</v>
      </c>
      <c r="AC263" s="914" t="str">
        <f t="shared" si="190"/>
        <v>WH_Det-G_PEA_X0</v>
      </c>
      <c r="AD263" s="915" t="str">
        <f t="shared" si="190"/>
        <v>Residential Water Heating Detached-G_Peat to Residential_Existing 00</v>
      </c>
      <c r="AE263" s="914" t="s">
        <v>53</v>
      </c>
      <c r="AF263" s="916" t="s">
        <v>406</v>
      </c>
      <c r="AG263" s="914"/>
      <c r="AH263" s="914"/>
      <c r="AI263" s="840"/>
      <c r="AJ263" s="840"/>
      <c r="AK263" s="840"/>
      <c r="AL263" s="840"/>
      <c r="AM263" s="840"/>
      <c r="AN263" s="840"/>
      <c r="AO263" s="840"/>
    </row>
    <row r="264" spans="1:42">
      <c r="A264" s="972" t="s">
        <v>124</v>
      </c>
      <c r="B264" s="757" t="s">
        <v>666</v>
      </c>
      <c r="C264" s="757">
        <f>SUMIFS(INDEX(Table915[],,MATCH(C$136,Table915[#Headers],0)),Table915[MainWaterHeatingFuel],$B264,Table915[EnergyRating (group)],$A264)</f>
        <v>2407229</v>
      </c>
      <c r="D264" s="757">
        <f>SUMIFS(INDEX(Table915[],,MATCH(D$136,Table915[#Headers],0)),Table915[MainWaterHeatingFuel],$B264,Table915[EnergyRating (group)],$A264)</f>
        <v>2188388</v>
      </c>
      <c r="E264" s="757">
        <f>SUMIFS(INDEX(Table915[],,MATCH(E$136,Table915[#Headers],0)),Table915[MainWaterHeatingFuel],$B264,Table915[EnergyRating (group)],$A264)</f>
        <v>750156</v>
      </c>
      <c r="F264" s="757">
        <f>SUMIFS(INDEX(Table915[],,MATCH(F$136,Table915[#Headers],0)),Table915[MainWaterHeatingFuel],$B264,Table915[EnergyRating (group)],$A264)</f>
        <v>277837</v>
      </c>
      <c r="G264" s="757">
        <f>SUMIFS(INDEX(Table915[],,MATCH(G$136,Table915[#Headers],0)),Table915[MainWaterHeatingFuel],$B264,Table915[EnergyRating (group)],$A264)</f>
        <v>401</v>
      </c>
      <c r="H264" s="757">
        <f>SUMIFS(INDEX(Table915[],,MATCH(H$136,Table915[#Headers],0)),Table915[MainWaterHeatingFuel],$B264,Table915[EnergyRating (group)],$A264)</f>
        <v>28729</v>
      </c>
      <c r="I264" s="961"/>
      <c r="J264" s="978">
        <f t="shared" si="189"/>
        <v>3157385</v>
      </c>
      <c r="K264" s="979">
        <f t="shared" si="189"/>
        <v>2466225</v>
      </c>
      <c r="L264" s="840"/>
      <c r="M264" s="840"/>
      <c r="N264" s="914" t="str">
        <f>RSD_Commodities!$M$89&amp;"_"&amp;RIGHT(P264,LEN(P264)-3)&amp;"_"&amp;SETUP!$B$67</f>
        <v>WH_Det-G_COABIT_X0</v>
      </c>
      <c r="O264" s="914" t="str">
        <f>RSD_Commodities!$N$89&amp;"_"&amp;RSD_Commodities!D6&amp;"_"&amp;SETUP!$C$67</f>
        <v>Residential Water Heating Detached-G_Bituminous Coal to Residential_Existing 00</v>
      </c>
      <c r="P264" s="915" t="str">
        <f>RSD_Commodities!$C$6</f>
        <v>RSDCOABIT</v>
      </c>
      <c r="Q264" s="914" t="str">
        <f>RSD_Commodities!$M$89</f>
        <v>WH_Det-G</v>
      </c>
      <c r="R264" s="984">
        <f t="shared" si="191"/>
        <v>1.8907959260656356E-2</v>
      </c>
      <c r="S264" s="914">
        <f>R264*DwellingStocks!$I$70/1000</f>
        <v>0.16369927086500888</v>
      </c>
      <c r="T264" s="915">
        <v>1</v>
      </c>
      <c r="U264" s="986">
        <f t="shared" si="195"/>
        <v>0.78109733212769428</v>
      </c>
      <c r="V264" s="915">
        <v>20</v>
      </c>
      <c r="W264" s="914">
        <v>1</v>
      </c>
      <c r="X264" s="866"/>
      <c r="Y264" s="928">
        <f t="shared" si="193"/>
        <v>1.6591201409139311E-4</v>
      </c>
      <c r="Z264" s="928">
        <f t="shared" si="194"/>
        <v>2.1240888589319843E-4</v>
      </c>
      <c r="AA264" s="866"/>
      <c r="AB264" s="66" t="s">
        <v>393</v>
      </c>
      <c r="AC264" s="66" t="str">
        <f t="shared" si="190"/>
        <v>WH_Det-G_COABIT_X0</v>
      </c>
      <c r="AD264" s="83" t="str">
        <f t="shared" si="190"/>
        <v>Residential Water Heating Detached-G_Bituminous Coal to Residential_Existing 00</v>
      </c>
      <c r="AE264" s="66" t="s">
        <v>53</v>
      </c>
      <c r="AF264" s="88" t="s">
        <v>406</v>
      </c>
      <c r="AG264" s="66"/>
      <c r="AH264" s="66"/>
      <c r="AI264" s="840"/>
      <c r="AJ264" s="840"/>
      <c r="AK264" s="840"/>
      <c r="AL264" s="840"/>
      <c r="AM264" s="840"/>
      <c r="AN264" s="840"/>
      <c r="AO264" s="840"/>
    </row>
    <row r="265" spans="1:42">
      <c r="A265" s="973" t="s">
        <v>124</v>
      </c>
      <c r="B265" s="758" t="s">
        <v>667</v>
      </c>
      <c r="C265" s="758">
        <f>SUMIFS(INDEX(Table915[],,MATCH(C$136,Table915[#Headers],0)),Table915[MainWaterHeatingFuel],$B265,Table915[EnergyRating (group)],$A265)</f>
        <v>235004</v>
      </c>
      <c r="D265" s="758">
        <f>SUMIFS(INDEX(Table915[],,MATCH(D$136,Table915[#Headers],0)),Table915[MainWaterHeatingFuel],$B265,Table915[EnergyRating (group)],$A265)</f>
        <v>213641</v>
      </c>
      <c r="E265" s="759">
        <f>SUMIFS(INDEX(Table915[],,MATCH(E$136,Table915[#Headers],0)),Table915[MainWaterHeatingFuel],$B265,Table915[EnergyRating (group)],$A265)</f>
        <v>56651</v>
      </c>
      <c r="F265" s="759">
        <f>SUMIFS(INDEX(Table915[],,MATCH(F$136,Table915[#Headers],0)),Table915[MainWaterHeatingFuel],$B265,Table915[EnergyRating (group)],$A265)</f>
        <v>20984</v>
      </c>
      <c r="G265" s="758">
        <f>SUMIFS(INDEX(Table915[],,MATCH(G$136,Table915[#Headers],0)),Table915[MainWaterHeatingFuel],$B265,Table915[EnergyRating (group)],$A265)</f>
        <v>37</v>
      </c>
      <c r="H265" s="758">
        <f>SUMIFS(INDEX(Table915[],,MATCH(H$136,Table915[#Headers],0)),Table915[MainWaterHeatingFuel],$B265,Table915[EnergyRating (group)],$A265)</f>
        <v>2790</v>
      </c>
      <c r="I265" s="960"/>
      <c r="J265" s="980">
        <f t="shared" si="189"/>
        <v>291655</v>
      </c>
      <c r="K265" s="981">
        <f t="shared" si="189"/>
        <v>234625</v>
      </c>
      <c r="L265" s="840"/>
      <c r="M265" s="840"/>
      <c r="N265" s="66" t="str">
        <f>RSD_Commodities!$M$89&amp;"_"&amp;RIGHT(P265,LEN(P265)-3)&amp;"_"&amp;SETUP!$B$68</f>
        <v>WH_Det-G_PEA_X1</v>
      </c>
      <c r="O265" s="66" t="str">
        <f>RSD_Commodities!$N$89&amp;"_"&amp;RSD_Commodities!$D$10&amp;"_"&amp;SETUP!$C$68</f>
        <v>Residential Water Heating Detached-G_Peat to Residential_Existing 01</v>
      </c>
      <c r="P265" s="83" t="str">
        <f>RSD_Commodities!$C$10</f>
        <v>RSDPEA</v>
      </c>
      <c r="Q265" s="66" t="str">
        <f>RSD_Commodities!$M$89</f>
        <v>WH_Det-G</v>
      </c>
      <c r="R265" s="985">
        <f t="shared" si="191"/>
        <v>1.7446246699358732E-3</v>
      </c>
      <c r="S265" s="66">
        <f>R265*DwellingStocks!$I$70/1000</f>
        <v>1.5104421501260172E-2</v>
      </c>
      <c r="T265" s="83">
        <v>1</v>
      </c>
      <c r="U265" s="987">
        <f t="shared" si="195"/>
        <v>0.80446074985856575</v>
      </c>
      <c r="V265" s="83">
        <v>20</v>
      </c>
      <c r="W265" s="66">
        <v>1</v>
      </c>
      <c r="X265" s="866"/>
      <c r="Y265" s="926">
        <f t="shared" si="193"/>
        <v>1.4563869430410281E-6</v>
      </c>
      <c r="Z265" s="926">
        <f t="shared" si="194"/>
        <v>1.8103890628561794E-6</v>
      </c>
      <c r="AA265" s="866"/>
      <c r="AB265" s="914" t="s">
        <v>393</v>
      </c>
      <c r="AC265" s="914" t="str">
        <f t="shared" si="190"/>
        <v>WH_Det-G_PEA_X1</v>
      </c>
      <c r="AD265" s="915" t="str">
        <f t="shared" si="190"/>
        <v>Residential Water Heating Detached-G_Peat to Residential_Existing 01</v>
      </c>
      <c r="AE265" s="914" t="s">
        <v>53</v>
      </c>
      <c r="AF265" s="916" t="s">
        <v>406</v>
      </c>
      <c r="AG265" s="914"/>
      <c r="AH265" s="914"/>
      <c r="AI265" s="840"/>
      <c r="AJ265" s="840"/>
      <c r="AK265" s="840"/>
      <c r="AL265" s="840"/>
      <c r="AM265" s="840"/>
      <c r="AN265" s="840"/>
      <c r="AO265" s="840"/>
    </row>
    <row r="266" spans="1:42">
      <c r="A266" s="972" t="s">
        <v>124</v>
      </c>
      <c r="B266" s="757" t="s">
        <v>673</v>
      </c>
      <c r="C266" s="757">
        <f>SUMIFS(INDEX(Table915[],,MATCH(C$136,Table915[#Headers],0)),Table915[MainWaterHeatingFuel],$B266,Table915[EnergyRating (group)],$A266)</f>
        <v>184792</v>
      </c>
      <c r="D266" s="757">
        <f>SUMIFS(INDEX(Table915[],,MATCH(D$136,Table915[#Headers],0)),Table915[MainWaterHeatingFuel],$B266,Table915[EnergyRating (group)],$A266)</f>
        <v>167990</v>
      </c>
      <c r="E266" s="760">
        <f>SUMIFS(INDEX(Table915[],,MATCH(E$136,Table915[#Headers],0)),Table915[MainWaterHeatingFuel],$B266,Table915[EnergyRating (group)],$A266)</f>
        <v>65775</v>
      </c>
      <c r="F266" s="760">
        <f>SUMIFS(INDEX(Table915[],,MATCH(F$136,Table915[#Headers],0)),Table915[MainWaterHeatingFuel],$B266,Table915[EnergyRating (group)],$A266)</f>
        <v>24363</v>
      </c>
      <c r="G266" s="757">
        <f>SUMIFS(INDEX(Table915[],,MATCH(G$136,Table915[#Headers],0)),Table915[MainWaterHeatingFuel],$B266,Table915[EnergyRating (group)],$A266)</f>
        <v>33</v>
      </c>
      <c r="H266" s="757">
        <f>SUMIFS(INDEX(Table915[],,MATCH(H$136,Table915[#Headers],0)),Table915[MainWaterHeatingFuel],$B266,Table915[EnergyRating (group)],$A266)</f>
        <v>2641</v>
      </c>
      <c r="I266" s="959"/>
      <c r="J266" s="978">
        <f t="shared" si="189"/>
        <v>250567</v>
      </c>
      <c r="K266" s="979">
        <f t="shared" si="189"/>
        <v>192353</v>
      </c>
      <c r="L266" s="840"/>
      <c r="M266" s="840"/>
      <c r="N266" s="914" t="str">
        <f>RSD_Commodities!$M$89&amp;"_"&amp;RIGHT(P266,LEN(P266)-3)&amp;"_"&amp;SETUP!$B$68</f>
        <v>WH_Det-G_BIOWOO_X1</v>
      </c>
      <c r="O266" s="914" t="str">
        <f>RSD_Commodities!$N$89&amp;"_"&amp;RSD_Commodities!D19&amp;"_"&amp;SETUP!$C$68</f>
        <v>Residential Water Heating Detached-G_Biomass &amp; Renewable Waste to Residential_Existing 01</v>
      </c>
      <c r="P266" s="915" t="str">
        <f>RSD_Commodities!$C$19</f>
        <v>RSDBIOWOO</v>
      </c>
      <c r="Q266" s="914" t="str">
        <f>RSD_Commodities!$M$89</f>
        <v>WH_Det-G</v>
      </c>
      <c r="R266" s="984">
        <f t="shared" si="191"/>
        <v>1.5560165975103733E-3</v>
      </c>
      <c r="S266" s="914">
        <f>R266*DwellingStocks!$I$70/1000</f>
        <v>1.3471511068691504E-2</v>
      </c>
      <c r="T266" s="915">
        <v>1</v>
      </c>
      <c r="U266" s="986">
        <f t="shared" si="195"/>
        <v>0.76767092234811452</v>
      </c>
      <c r="V266" s="915">
        <v>20</v>
      </c>
      <c r="W266" s="914">
        <v>1</v>
      </c>
      <c r="X266" s="866"/>
      <c r="Y266" s="928">
        <f t="shared" si="193"/>
        <v>1.0649118775052125E-6</v>
      </c>
      <c r="Z266" s="928">
        <f t="shared" si="194"/>
        <v>1.3871984029926675E-6</v>
      </c>
      <c r="AA266" s="866"/>
      <c r="AB266" s="66" t="s">
        <v>393</v>
      </c>
      <c r="AC266" s="66" t="str">
        <f t="shared" si="190"/>
        <v>WH_Det-G_BIOWOO_X1</v>
      </c>
      <c r="AD266" s="83" t="str">
        <f t="shared" si="190"/>
        <v>Residential Water Heating Detached-G_Biomass &amp; Renewable Waste to Residential_Existing 01</v>
      </c>
      <c r="AE266" s="66" t="s">
        <v>53</v>
      </c>
      <c r="AF266" s="88" t="s">
        <v>406</v>
      </c>
      <c r="AG266" s="66"/>
      <c r="AH266" s="66"/>
      <c r="AI266" s="840"/>
      <c r="AJ266" s="840"/>
      <c r="AK266" s="840"/>
      <c r="AL266" s="840"/>
      <c r="AM266" s="840"/>
      <c r="AN266" s="840"/>
      <c r="AO266" s="840"/>
    </row>
    <row r="267" spans="1:42">
      <c r="A267" s="973" t="s">
        <v>124</v>
      </c>
      <c r="B267" s="758" t="s">
        <v>722</v>
      </c>
      <c r="C267" s="758">
        <f>SUMIFS(INDEX(Table915[],,MATCH(C$136,Table915[#Headers],0)),Table915[MainWaterHeatingFuel],$B267,Table915[EnergyRating (group)],$A267)</f>
        <v>18980</v>
      </c>
      <c r="D267" s="758">
        <f>SUMIFS(INDEX(Table915[],,MATCH(D$136,Table915[#Headers],0)),Table915[MainWaterHeatingFuel],$B267,Table915[EnergyRating (group)],$A267)</f>
        <v>17256</v>
      </c>
      <c r="E267" s="758">
        <f>SUMIFS(INDEX(Table915[],,MATCH(E$136,Table915[#Headers],0)),Table915[MainWaterHeatingFuel],$B267,Table915[EnergyRating (group)],$A267)</f>
        <v>0</v>
      </c>
      <c r="F267" s="758">
        <f>SUMIFS(INDEX(Table915[],,MATCH(F$136,Table915[#Headers],0)),Table915[MainWaterHeatingFuel],$B267,Table915[EnergyRating (group)],$A267)</f>
        <v>0</v>
      </c>
      <c r="G267" s="758">
        <f>SUMIFS(INDEX(Table915[],,MATCH(G$136,Table915[#Headers],0)),Table915[MainWaterHeatingFuel],$B267,Table915[EnergyRating (group)],$A267)</f>
        <v>2</v>
      </c>
      <c r="H267" s="758">
        <f>SUMIFS(INDEX(Table915[],,MATCH(H$136,Table915[#Headers],0)),Table915[MainWaterHeatingFuel],$B267,Table915[EnergyRating (group)],$A267)</f>
        <v>117</v>
      </c>
      <c r="I267" s="960"/>
      <c r="J267" s="980">
        <f t="shared" ref="J267:J268" si="196">C267+E267</f>
        <v>18980</v>
      </c>
      <c r="K267" s="981">
        <f t="shared" ref="K267:K268" si="197">D267+F267</f>
        <v>17256</v>
      </c>
      <c r="L267" s="840"/>
      <c r="M267" s="840"/>
      <c r="N267" s="66" t="str">
        <f>RSD_Commodities!$M$89&amp;"_"&amp;RIGHT(P267,LEN(P267)-3)&amp;"_"&amp;SETUP!$B$68</f>
        <v>WH_Det-G_BIOWOO_X1</v>
      </c>
      <c r="O267" s="66" t="str">
        <f>RSD_Commodities!$N$89&amp;"_"&amp;RSD_Commodities!D19&amp;"_"&amp;SETUP!$C$68</f>
        <v>Residential Water Heating Detached-G_Biomass &amp; Renewable Waste to Residential_Existing 01</v>
      </c>
      <c r="P267" s="83" t="str">
        <f>RSD_Commodities!$C$19</f>
        <v>RSDBIOWOO</v>
      </c>
      <c r="Q267" s="66" t="str">
        <f>RSD_Commodities!$M$89</f>
        <v>WH_Det-G</v>
      </c>
      <c r="R267" s="985">
        <f t="shared" si="191"/>
        <v>9.4304036212749905E-5</v>
      </c>
      <c r="S267" s="66">
        <f>R267*DwellingStocks!$I$70/1000</f>
        <v>8.1645521628433354E-4</v>
      </c>
      <c r="T267" s="83">
        <v>1</v>
      </c>
      <c r="U267" s="987">
        <f t="shared" ref="U267:U268" si="198">K267/J267</f>
        <v>0.90916754478398309</v>
      </c>
      <c r="V267" s="83">
        <v>20</v>
      </c>
      <c r="W267" s="66">
        <v>1</v>
      </c>
      <c r="X267" s="840"/>
      <c r="Y267" s="926">
        <f t="shared" ref="Y267:Y268" si="199">ABS((K267)*S267*1000*$B$2)</f>
        <v>5.7898977584393678E-9</v>
      </c>
      <c r="Z267" s="926">
        <f t="shared" ref="Z267:Z268" si="200">ABS((J267)*S267*1000*$B$2)</f>
        <v>6.3683506870178028E-9</v>
      </c>
      <c r="AA267" s="840"/>
      <c r="AB267" s="914" t="s">
        <v>393</v>
      </c>
      <c r="AC267" s="914" t="str">
        <f t="shared" ref="AC267:AC268" si="201">N267</f>
        <v>WH_Det-G_BIOWOO_X1</v>
      </c>
      <c r="AD267" s="915" t="str">
        <f t="shared" ref="AD267:AD268" si="202">O267</f>
        <v>Residential Water Heating Detached-G_Biomass &amp; Renewable Waste to Residential_Existing 01</v>
      </c>
      <c r="AE267" s="914" t="s">
        <v>53</v>
      </c>
      <c r="AF267" s="916" t="s">
        <v>406</v>
      </c>
      <c r="AG267" s="914"/>
      <c r="AH267" s="914"/>
      <c r="AI267" s="840"/>
      <c r="AJ267" s="840"/>
      <c r="AK267" s="840"/>
      <c r="AL267" s="840"/>
      <c r="AM267" s="840"/>
      <c r="AN267" s="840"/>
      <c r="AO267" s="840"/>
    </row>
    <row r="268" spans="1:42" ht="15.75" thickBot="1">
      <c r="A268" s="972" t="s">
        <v>124</v>
      </c>
      <c r="B268" s="757" t="s">
        <v>674</v>
      </c>
      <c r="C268" s="757">
        <f>SUMIFS(INDEX(Table915[],,MATCH(C$136,Table915[#Headers],0)),Table915[MainWaterHeatingFuel],$B268,Table915[EnergyRating (group)],$A268)</f>
        <v>41591</v>
      </c>
      <c r="D268" s="757">
        <f>SUMIFS(INDEX(Table915[],,MATCH(D$136,Table915[#Headers],0)),Table915[MainWaterHeatingFuel],$B268,Table915[EnergyRating (group)],$A268)</f>
        <v>37809</v>
      </c>
      <c r="E268" s="757">
        <f>SUMIFS(INDEX(Table915[],,MATCH(E$136,Table915[#Headers],0)),Table915[MainWaterHeatingFuel],$B268,Table915[EnergyRating (group)],$A268)</f>
        <v>9213</v>
      </c>
      <c r="F268" s="757">
        <f>SUMIFS(INDEX(Table915[],,MATCH(F$136,Table915[#Headers],0)),Table915[MainWaterHeatingFuel],$B268,Table915[EnergyRating (group)],$A268)</f>
        <v>3412</v>
      </c>
      <c r="G268" s="757">
        <f>SUMIFS(INDEX(Table915[],,MATCH(G$136,Table915[#Headers],0)),Table915[MainWaterHeatingFuel],$B268,Table915[EnergyRating (group)],$A268)</f>
        <v>6</v>
      </c>
      <c r="H268" s="757">
        <f>SUMIFS(INDEX(Table915[],,MATCH(H$136,Table915[#Headers],0)),Table915[MainWaterHeatingFuel],$B268,Table915[EnergyRating (group)],$A268)</f>
        <v>487</v>
      </c>
      <c r="I268" s="961"/>
      <c r="J268" s="991">
        <f t="shared" si="196"/>
        <v>50804</v>
      </c>
      <c r="K268" s="992">
        <f t="shared" si="197"/>
        <v>41221</v>
      </c>
      <c r="L268" s="840"/>
      <c r="M268" s="840"/>
      <c r="N268" s="914" t="str">
        <f>RSD_Commodities!$M$89&amp;"_"&amp;RIGHT(P268,LEN(P268)-3)&amp;"_"&amp;SETUP!$B$68</f>
        <v>WH_Det-G_COAHAR_X1</v>
      </c>
      <c r="O268" s="914" t="str">
        <f>RSD_Commodities!$N$89&amp;"_"&amp;RSD_Commodities!D7&amp;"_"&amp;SETUP!$C$68</f>
        <v>Residential Water Heating Detached-G_Anthracite + Manufactured Ovoids to Residential_Existing 01</v>
      </c>
      <c r="P268" s="915" t="str">
        <f>RSD_Commodities!$C$7</f>
        <v>RSDCOAHAR</v>
      </c>
      <c r="Q268" s="914" t="str">
        <f>RSD_Commodities!$M$89</f>
        <v>WH_Det-G</v>
      </c>
      <c r="R268" s="984">
        <f t="shared" si="191"/>
        <v>2.8291210863824973E-4</v>
      </c>
      <c r="S268" s="914">
        <f>R268*DwellingStocks!$I$70/1000</f>
        <v>2.4493656488530011E-3</v>
      </c>
      <c r="T268" s="915">
        <v>1</v>
      </c>
      <c r="U268" s="986">
        <f t="shared" si="198"/>
        <v>0.81137312022675379</v>
      </c>
      <c r="V268" s="915">
        <v>20</v>
      </c>
      <c r="W268" s="914">
        <v>1</v>
      </c>
      <c r="X268" s="840"/>
      <c r="Y268" s="928">
        <f t="shared" si="199"/>
        <v>4.1492589621110782E-8</v>
      </c>
      <c r="Z268" s="928">
        <f t="shared" si="200"/>
        <v>5.1138728393559405E-8</v>
      </c>
      <c r="AA268" s="840"/>
      <c r="AB268" s="66" t="s">
        <v>393</v>
      </c>
      <c r="AC268" s="66" t="str">
        <f t="shared" si="201"/>
        <v>WH_Det-G_COAHAR_X1</v>
      </c>
      <c r="AD268" s="83" t="str">
        <f t="shared" si="202"/>
        <v>Residential Water Heating Detached-G_Anthracite + Manufactured Ovoids to Residential_Existing 01</v>
      </c>
      <c r="AE268" s="66" t="s">
        <v>53</v>
      </c>
      <c r="AF268" s="88" t="s">
        <v>406</v>
      </c>
      <c r="AG268" s="66"/>
      <c r="AH268" s="66"/>
      <c r="AI268" s="840"/>
      <c r="AJ268" s="840"/>
      <c r="AK268" s="840"/>
      <c r="AL268" s="840"/>
      <c r="AM268" s="840"/>
      <c r="AN268" s="840"/>
      <c r="AO268" s="840"/>
    </row>
    <row r="269" spans="1:42">
      <c r="A269" s="840"/>
      <c r="B269" s="840"/>
      <c r="C269" s="840"/>
      <c r="D269" s="840"/>
      <c r="E269" s="840"/>
      <c r="F269" s="840"/>
      <c r="G269" s="840"/>
      <c r="H269" s="840"/>
      <c r="I269" s="840"/>
      <c r="J269" s="840"/>
      <c r="K269" s="840"/>
      <c r="L269" s="840"/>
      <c r="M269" s="840"/>
      <c r="N269" s="840"/>
      <c r="O269" s="840"/>
      <c r="P269" s="840"/>
      <c r="Q269" s="840"/>
      <c r="R269" s="840"/>
      <c r="S269" s="840"/>
      <c r="T269" s="840"/>
      <c r="U269" s="840"/>
      <c r="V269" s="840"/>
      <c r="W269" s="840"/>
      <c r="X269" s="840"/>
      <c r="Y269" s="840"/>
      <c r="Z269" s="840"/>
      <c r="AA269" s="840"/>
      <c r="AB269" s="840"/>
      <c r="AC269" s="840"/>
      <c r="AD269" s="840"/>
      <c r="AE269" s="840"/>
      <c r="AF269" s="840"/>
      <c r="AG269" s="840"/>
      <c r="AH269" s="840"/>
      <c r="AI269" s="839"/>
      <c r="AJ269" s="840"/>
      <c r="AK269" s="840"/>
      <c r="AL269" s="840"/>
      <c r="AM269" s="840"/>
      <c r="AN269" s="840"/>
      <c r="AO269" s="840"/>
    </row>
    <row r="270" spans="1:42">
      <c r="A270" s="840"/>
      <c r="B270" s="840"/>
      <c r="C270" s="840"/>
      <c r="D270" s="840"/>
      <c r="E270" s="840"/>
      <c r="F270" s="840"/>
      <c r="G270" s="840"/>
      <c r="H270" s="840"/>
      <c r="I270" s="840"/>
      <c r="J270" s="840"/>
      <c r="K270" s="840"/>
      <c r="L270" s="840"/>
      <c r="M270" s="840"/>
      <c r="N270" s="840"/>
      <c r="O270" s="840"/>
      <c r="P270" s="840"/>
      <c r="Q270" s="840"/>
      <c r="R270" s="840"/>
      <c r="S270" s="840"/>
      <c r="T270" s="840"/>
      <c r="U270" s="840"/>
      <c r="V270" s="840"/>
      <c r="W270" s="840"/>
      <c r="X270" s="840"/>
      <c r="Y270" s="840"/>
      <c r="Z270" s="840"/>
      <c r="AA270" s="840"/>
      <c r="AB270" s="840"/>
      <c r="AC270" s="840"/>
      <c r="AD270" s="840"/>
      <c r="AE270" s="840"/>
      <c r="AF270" s="840"/>
      <c r="AG270" s="840"/>
      <c r="AH270" s="839"/>
      <c r="AI270" s="840"/>
      <c r="AJ270" s="840"/>
      <c r="AK270" s="840"/>
      <c r="AL270" s="840"/>
      <c r="AM270" s="840"/>
      <c r="AN270" s="840"/>
    </row>
    <row r="271" spans="1:42">
      <c r="A271" s="840"/>
      <c r="B271" s="840"/>
      <c r="C271" s="840"/>
      <c r="D271" s="840"/>
      <c r="E271" s="840"/>
      <c r="F271" s="840"/>
      <c r="G271" s="840"/>
      <c r="H271" s="840"/>
      <c r="I271" s="840"/>
      <c r="J271" s="840"/>
      <c r="K271" s="840"/>
      <c r="L271" s="840"/>
      <c r="M271" s="840"/>
      <c r="N271" s="840"/>
      <c r="O271" s="840"/>
      <c r="P271" s="840"/>
      <c r="Q271" s="840"/>
      <c r="R271" s="840"/>
      <c r="S271" s="840"/>
      <c r="T271" s="840"/>
      <c r="U271" s="840"/>
      <c r="V271" s="840"/>
      <c r="W271" s="840"/>
      <c r="X271" s="840"/>
      <c r="Y271" s="840"/>
      <c r="Z271" s="840"/>
      <c r="AA271" s="840"/>
      <c r="AB271" s="840"/>
      <c r="AC271" s="840"/>
      <c r="AD271" s="840"/>
      <c r="AE271" s="840"/>
      <c r="AF271" s="840"/>
      <c r="AG271" s="840"/>
      <c r="AH271" s="839"/>
      <c r="AI271" s="839"/>
      <c r="AJ271" s="839"/>
      <c r="AK271" s="839"/>
      <c r="AL271" s="839"/>
      <c r="AM271" s="839"/>
      <c r="AN271" s="839"/>
      <c r="AO271" s="839"/>
      <c r="AP271" s="839"/>
    </row>
    <row r="272" spans="1:42" ht="21.75" thickBot="1">
      <c r="A272" s="139" t="s">
        <v>838</v>
      </c>
      <c r="B272" s="139"/>
      <c r="C272" s="139"/>
      <c r="D272" s="139"/>
      <c r="E272" s="139"/>
      <c r="F272" s="139"/>
      <c r="G272" s="139"/>
      <c r="H272" s="840"/>
      <c r="K272" s="840"/>
      <c r="L272" s="840"/>
      <c r="M272" s="840"/>
      <c r="N272" s="138" t="s">
        <v>838</v>
      </c>
      <c r="O272" s="138"/>
      <c r="P272" s="142" t="s">
        <v>372</v>
      </c>
      <c r="Q272" s="85"/>
      <c r="R272" s="85"/>
      <c r="S272" s="85"/>
      <c r="T272" s="85"/>
      <c r="U272" s="85"/>
      <c r="V272" s="85"/>
      <c r="W272" s="90"/>
      <c r="X272" s="96" t="s">
        <v>561</v>
      </c>
      <c r="Y272" s="866"/>
      <c r="Z272" s="840"/>
      <c r="AA272" s="68" t="s">
        <v>373</v>
      </c>
      <c r="AB272" s="68"/>
      <c r="AC272" s="839"/>
      <c r="AD272" s="839"/>
      <c r="AE272" s="839"/>
      <c r="AF272" s="839"/>
      <c r="AG272" s="839"/>
      <c r="AH272" s="839"/>
      <c r="AI272" s="839"/>
      <c r="AJ272" s="839"/>
      <c r="AK272" s="839"/>
      <c r="AL272" s="839"/>
      <c r="AM272" s="839"/>
      <c r="AN272" s="839"/>
      <c r="AO272" s="839"/>
      <c r="AP272" s="839"/>
    </row>
    <row r="273" spans="1:41" ht="15.75" thickBot="1">
      <c r="A273" s="756" t="s">
        <v>108</v>
      </c>
      <c r="B273" s="756" t="s">
        <v>565</v>
      </c>
      <c r="C273" s="756" t="s">
        <v>565</v>
      </c>
      <c r="D273" s="756" t="s">
        <v>565</v>
      </c>
      <c r="E273" s="756" t="s">
        <v>565</v>
      </c>
      <c r="F273" s="756" t="s">
        <v>825</v>
      </c>
      <c r="G273" s="756" t="s">
        <v>567</v>
      </c>
      <c r="J273" s="135"/>
      <c r="K273" s="840"/>
      <c r="L273" s="840"/>
      <c r="M273" s="840"/>
      <c r="N273" s="73" t="s">
        <v>374</v>
      </c>
      <c r="O273" s="73" t="s">
        <v>397</v>
      </c>
      <c r="P273" s="73" t="s">
        <v>376</v>
      </c>
      <c r="Q273" s="73" t="s">
        <v>377</v>
      </c>
      <c r="R273" s="73" t="s">
        <v>562</v>
      </c>
      <c r="S273" s="86" t="s">
        <v>398</v>
      </c>
      <c r="T273" s="73" t="s">
        <v>811</v>
      </c>
      <c r="U273" s="86" t="s">
        <v>378</v>
      </c>
      <c r="V273" s="86" t="s">
        <v>380</v>
      </c>
      <c r="W273" s="86" t="s">
        <v>400</v>
      </c>
      <c r="X273" s="91"/>
      <c r="Y273" s="94" t="s">
        <v>563</v>
      </c>
      <c r="Z273" s="95" t="s">
        <v>564</v>
      </c>
      <c r="AA273" s="840"/>
      <c r="AB273" s="73" t="s">
        <v>385</v>
      </c>
      <c r="AC273" s="73" t="s">
        <v>374</v>
      </c>
      <c r="AD273" s="73" t="s">
        <v>375</v>
      </c>
      <c r="AE273" s="73" t="s">
        <v>386</v>
      </c>
      <c r="AF273" s="73" t="s">
        <v>387</v>
      </c>
      <c r="AG273" s="73" t="s">
        <v>388</v>
      </c>
      <c r="AH273" s="73" t="s">
        <v>389</v>
      </c>
      <c r="AI273" s="839"/>
      <c r="AJ273" s="839"/>
      <c r="AK273" s="839"/>
      <c r="AL273" s="839"/>
      <c r="AM273" s="839"/>
      <c r="AN273" s="839"/>
      <c r="AO273" s="839"/>
    </row>
    <row r="274" spans="1:41" ht="26.25" thickBot="1">
      <c r="A274" s="945" t="s">
        <v>569</v>
      </c>
      <c r="B274" s="988" t="s">
        <v>655</v>
      </c>
      <c r="C274" s="988" t="s">
        <v>656</v>
      </c>
      <c r="D274" s="988" t="s">
        <v>657</v>
      </c>
      <c r="E274" s="988" t="s">
        <v>658</v>
      </c>
      <c r="F274" s="946" t="s">
        <v>575</v>
      </c>
      <c r="G274" s="946" t="s">
        <v>576</v>
      </c>
      <c r="J274" s="135"/>
      <c r="K274" s="840"/>
      <c r="L274" s="840"/>
      <c r="M274" s="840"/>
      <c r="N274" s="74" t="s">
        <v>402</v>
      </c>
      <c r="O274" s="74" t="s">
        <v>403</v>
      </c>
      <c r="P274" s="74" t="s">
        <v>404</v>
      </c>
      <c r="Q274" s="74" t="s">
        <v>405</v>
      </c>
      <c r="R274" s="74"/>
      <c r="S274" s="89" t="s">
        <v>406</v>
      </c>
      <c r="T274" s="74"/>
      <c r="U274" s="87" t="s">
        <v>568</v>
      </c>
      <c r="V274" s="87"/>
      <c r="W274" s="87"/>
      <c r="X274" s="92"/>
      <c r="Y274" s="732" t="s">
        <v>53</v>
      </c>
      <c r="Z274" s="733" t="s">
        <v>53</v>
      </c>
      <c r="AA274" s="92"/>
      <c r="AB274" s="75" t="s">
        <v>370</v>
      </c>
      <c r="AC274" s="75"/>
      <c r="AD274" s="74"/>
      <c r="AE274" s="75"/>
      <c r="AF274" s="75"/>
      <c r="AG274" s="75"/>
      <c r="AH274" s="75"/>
      <c r="AI274" s="839"/>
      <c r="AJ274" s="839"/>
      <c r="AK274" s="839"/>
      <c r="AL274" s="839"/>
      <c r="AM274" s="839"/>
      <c r="AN274" s="839"/>
      <c r="AO274" s="839"/>
    </row>
    <row r="275" spans="1:41">
      <c r="A275" s="972" t="s">
        <v>108</v>
      </c>
      <c r="B275" s="757">
        <f>SUMIFS(INDEX(Table915[],,MATCH(B$274,Table915[#Headers],0)),Table915[EnergyRating (group)],$A275)</f>
        <v>47872038</v>
      </c>
      <c r="C275" s="757">
        <f>SUMIFS(INDEX(Table915[],,MATCH(C$274,Table915[#Headers],0)),Table915[EnergyRating (group)],$A275)</f>
        <v>17730385</v>
      </c>
      <c r="D275" s="760">
        <f>SUMIFS(INDEX(Table915[],,MATCH(D$274,Table915[#Headers],0)),Table915[EnergyRating (group)],$A275)</f>
        <v>28938927</v>
      </c>
      <c r="E275" s="760">
        <f>SUMIFS(INDEX(Table915[],,MATCH(E$274,Table915[#Headers],0)),Table915[EnergyRating (group)],$A275)</f>
        <v>10718118</v>
      </c>
      <c r="F275" s="757">
        <f>SUMIFS(INDEX(Table915[],,MATCH(F$274,Table915[#Headers],0)),Table915[EnergyRating (group)],$A275)</f>
        <v>30917</v>
      </c>
      <c r="G275" s="757">
        <f>SUMIFS(INDEX(Table915[],,MATCH(G$274,Table915[#Headers],0)),Table915[EnergyRating (group)],$A275)</f>
        <v>3791320</v>
      </c>
      <c r="L275" s="840"/>
      <c r="M275" s="840"/>
      <c r="N275" s="914" t="str">
        <f>RSD_Commodities!M99&amp;"_"&amp;SETUP!$B$67</f>
        <v>LT_Att-A_X0</v>
      </c>
      <c r="O275" s="914" t="str">
        <f>RSD_Commodities!N99&amp;"_"&amp;SETUP!$B$67</f>
        <v>Residential Lighting Attached-A_X0</v>
      </c>
      <c r="P275" s="930" t="str">
        <f>RSD_Commodities!$C$27</f>
        <v>RSDELCD</v>
      </c>
      <c r="Q275" s="914" t="str">
        <f>RSD_Commodities!M99</f>
        <v>LT_Att-A</v>
      </c>
      <c r="R275" s="984">
        <f>F275/SUM($F$275:$F$283)</f>
        <v>7.4506335580950364E-2</v>
      </c>
      <c r="S275" s="914">
        <f>R275*DwellingStocks!I62/1000</f>
        <v>0.78574502920503908</v>
      </c>
      <c r="T275" s="915">
        <v>1</v>
      </c>
      <c r="U275" s="986">
        <f>C275/B275</f>
        <v>0.37037038197538197</v>
      </c>
      <c r="V275" s="930">
        <v>20</v>
      </c>
      <c r="W275" s="914">
        <v>1</v>
      </c>
      <c r="Y275" s="928">
        <f>ABS((C275)*S275*1000*$B$2)</f>
        <v>5.7252994025924339E-3</v>
      </c>
      <c r="Z275" s="928">
        <f>ABS((B275)*S275*1000*$B$2)</f>
        <v>1.5458307902636198E-2</v>
      </c>
      <c r="AB275" s="914" t="s">
        <v>393</v>
      </c>
      <c r="AC275" s="914" t="str">
        <f t="shared" ref="AC275:AD283" si="203">N275</f>
        <v>LT_Att-A_X0</v>
      </c>
      <c r="AD275" s="915" t="str">
        <f t="shared" si="203"/>
        <v>Residential Lighting Attached-A_X0</v>
      </c>
      <c r="AE275" s="914" t="s">
        <v>53</v>
      </c>
      <c r="AF275" s="916" t="s">
        <v>406</v>
      </c>
      <c r="AG275" s="914"/>
      <c r="AH275" s="914"/>
      <c r="AI275" s="839"/>
      <c r="AJ275" s="839"/>
      <c r="AK275" s="839"/>
      <c r="AL275" s="839"/>
      <c r="AM275" s="839"/>
      <c r="AN275" s="839"/>
      <c r="AO275" s="839"/>
    </row>
    <row r="276" spans="1:41">
      <c r="A276" s="973" t="s">
        <v>110</v>
      </c>
      <c r="B276" s="758">
        <f>SUMIFS(INDEX(Table915[],,MATCH(B$274,Table915[#Headers],0)),Table915[EnergyRating (group)],$A276)</f>
        <v>6050289</v>
      </c>
      <c r="C276" s="758">
        <f>SUMIFS(INDEX(Table915[],,MATCH(C$274,Table915[#Headers],0)),Table915[EnergyRating (group)],$A276)</f>
        <v>2240845</v>
      </c>
      <c r="D276" s="758">
        <f>SUMIFS(INDEX(Table915[],,MATCH(D$274,Table915[#Headers],0)),Table915[EnergyRating (group)],$A276)</f>
        <v>2129145</v>
      </c>
      <c r="E276" s="758">
        <f>SUMIFS(INDEX(Table915[],,MATCH(E$274,Table915[#Headers],0)),Table915[EnergyRating (group)],$A276)</f>
        <v>788571</v>
      </c>
      <c r="F276" s="758">
        <f>SUMIFS(INDEX(Table915[],,MATCH(F$274,Table915[#Headers],0)),Table915[EnergyRating (group)],$A276)</f>
        <v>3722</v>
      </c>
      <c r="G276" s="758">
        <f>SUMIFS(INDEX(Table915[],,MATCH(G$274,Table915[#Headers],0)),Table915[EnergyRating (group)],$A276)</f>
        <v>417890</v>
      </c>
      <c r="L276" s="840"/>
      <c r="N276" s="66" t="str">
        <f>RSD_Commodities!M100&amp;"_"&amp;SETUP!$B$67</f>
        <v>LT_Att-B1_X0</v>
      </c>
      <c r="O276" s="66" t="str">
        <f>RSD_Commodities!N100&amp;"_"&amp;SETUP!$B$67</f>
        <v>Residential Lighting Attached-B1_X0</v>
      </c>
      <c r="P276" s="83" t="str">
        <f>RSD_Commodities!$C$27</f>
        <v>RSDELCD</v>
      </c>
      <c r="Q276" s="66" t="str">
        <f>RSD_Commodities!M100</f>
        <v>LT_Att-B1</v>
      </c>
      <c r="R276" s="985">
        <f t="shared" ref="R276:R283" si="204">F276/SUM($F$275:$F$283)</f>
        <v>8.9695824637674171E-3</v>
      </c>
      <c r="S276" s="66">
        <f>R276*DwellingStocks!I63/1000</f>
        <v>4.6619957480891018E-2</v>
      </c>
      <c r="T276" s="83">
        <v>1</v>
      </c>
      <c r="U276" s="987">
        <f t="shared" ref="U276:U283" si="205">C276/B276</f>
        <v>0.37036991125547886</v>
      </c>
      <c r="V276" s="83">
        <v>20</v>
      </c>
      <c r="W276" s="66">
        <v>1</v>
      </c>
      <c r="Y276" s="926">
        <f t="shared" ref="Y276:Y283" si="206">ABS((C276)*S276*1000*$B$2)</f>
        <v>4.2932095323808459E-5</v>
      </c>
      <c r="Z276" s="926">
        <f t="shared" ref="Z276:Z283" si="207">ABS((B276)*S276*1000*$B$2)</f>
        <v>1.1591680106593263E-4</v>
      </c>
      <c r="AB276" s="66" t="s">
        <v>393</v>
      </c>
      <c r="AC276" s="66" t="str">
        <f t="shared" si="203"/>
        <v>LT_Att-B1_X0</v>
      </c>
      <c r="AD276" s="83" t="str">
        <f t="shared" si="203"/>
        <v>Residential Lighting Attached-B1_X0</v>
      </c>
      <c r="AE276" s="66" t="s">
        <v>53</v>
      </c>
      <c r="AF276" s="88" t="s">
        <v>406</v>
      </c>
      <c r="AG276" s="66"/>
      <c r="AH276" s="66"/>
      <c r="AI276" s="839"/>
      <c r="AJ276" s="839"/>
      <c r="AK276" s="839"/>
      <c r="AL276" s="839"/>
      <c r="AM276" s="839"/>
      <c r="AN276" s="839"/>
      <c r="AO276" s="839"/>
    </row>
    <row r="277" spans="1:41">
      <c r="A277" s="972" t="s">
        <v>112</v>
      </c>
      <c r="B277" s="757">
        <f>SUMIFS(INDEX(Table915[],,MATCH(B$274,Table915[#Headers],0)),Table915[EnergyRating (group)],$A277)</f>
        <v>15368440</v>
      </c>
      <c r="C277" s="757">
        <f>SUMIFS(INDEX(Table915[],,MATCH(C$274,Table915[#Headers],0)),Table915[EnergyRating (group)],$A277)</f>
        <v>5692016</v>
      </c>
      <c r="D277" s="757">
        <f>SUMIFS(INDEX(Table915[],,MATCH(D$274,Table915[#Headers],0)),Table915[EnergyRating (group)],$A277)</f>
        <v>4302943</v>
      </c>
      <c r="E277" s="757">
        <f>SUMIFS(INDEX(Table915[],,MATCH(E$274,Table915[#Headers],0)),Table915[EnergyRating (group)],$A277)</f>
        <v>1593680</v>
      </c>
      <c r="F277" s="757">
        <f>SUMIFS(INDEX(Table915[],,MATCH(F$274,Table915[#Headers],0)),Table915[EnergyRating (group)],$A277)</f>
        <v>7882</v>
      </c>
      <c r="G277" s="757">
        <f>SUMIFS(INDEX(Table915[],,MATCH(G$274,Table915[#Headers],0)),Table915[EnergyRating (group)],$A277)</f>
        <v>923821</v>
      </c>
      <c r="L277" s="840"/>
      <c r="N277" s="914" t="str">
        <f>RSD_Commodities!M101&amp;"_"&amp;SETUP!$B$67</f>
        <v>LT_Att-B2_X0</v>
      </c>
      <c r="O277" s="914" t="str">
        <f>RSD_Commodities!N101&amp;"_"&amp;SETUP!$B$67</f>
        <v>Residential Lighting Attached-B2_X0</v>
      </c>
      <c r="P277" s="915" t="str">
        <f>RSD_Commodities!$C$27</f>
        <v>RSDELCD</v>
      </c>
      <c r="Q277" s="914" t="str">
        <f>RSD_Commodities!M101</f>
        <v>LT_Att-B2</v>
      </c>
      <c r="R277" s="984">
        <f t="shared" si="204"/>
        <v>1.8994693438854054E-2</v>
      </c>
      <c r="S277" s="914">
        <f>R277*DwellingStocks!I64/1000</f>
        <v>0.26553366005360335</v>
      </c>
      <c r="T277" s="915">
        <v>1</v>
      </c>
      <c r="U277" s="986">
        <f t="shared" si="205"/>
        <v>0.37037044748848941</v>
      </c>
      <c r="V277" s="915">
        <v>20</v>
      </c>
      <c r="W277" s="914">
        <v>1</v>
      </c>
      <c r="Y277" s="928">
        <f t="shared" si="206"/>
        <v>6.2113226365630332E-4</v>
      </c>
      <c r="Z277" s="928">
        <f t="shared" si="207"/>
        <v>1.6770567626770688E-3</v>
      </c>
      <c r="AB277" s="914" t="s">
        <v>393</v>
      </c>
      <c r="AC277" s="914" t="str">
        <f t="shared" si="203"/>
        <v>LT_Att-B2_X0</v>
      </c>
      <c r="AD277" s="915" t="str">
        <f t="shared" si="203"/>
        <v>Residential Lighting Attached-B2_X0</v>
      </c>
      <c r="AE277" s="914" t="s">
        <v>53</v>
      </c>
      <c r="AF277" s="916" t="s">
        <v>406</v>
      </c>
      <c r="AG277" s="914"/>
      <c r="AH277" s="914"/>
    </row>
    <row r="278" spans="1:41">
      <c r="A278" s="973" t="s">
        <v>114</v>
      </c>
      <c r="B278" s="758">
        <f>SUMIFS(INDEX(Table915[],,MATCH(B$274,Table915[#Headers],0)),Table915[EnergyRating (group)],$A278)</f>
        <v>54186532</v>
      </c>
      <c r="C278" s="758">
        <f>SUMIFS(INDEX(Table915[],,MATCH(C$274,Table915[#Headers],0)),Table915[EnergyRating (group)],$A278)</f>
        <v>20069088</v>
      </c>
      <c r="D278" s="759">
        <f>SUMIFS(INDEX(Table915[],,MATCH(D$274,Table915[#Headers],0)),Table915[EnergyRating (group)],$A278)</f>
        <v>14447973</v>
      </c>
      <c r="E278" s="759">
        <f>SUMIFS(INDEX(Table915[],,MATCH(E$274,Table915[#Headers],0)),Table915[EnergyRating (group)],$A278)</f>
        <v>5351091</v>
      </c>
      <c r="F278" s="758">
        <f>SUMIFS(INDEX(Table915[],,MATCH(F$274,Table915[#Headers],0)),Table915[EnergyRating (group)],$A278)</f>
        <v>27081</v>
      </c>
      <c r="G278" s="758">
        <f>SUMIFS(INDEX(Table915[],,MATCH(G$274,Table915[#Headers],0)),Table915[EnergyRating (group)],$A278)</f>
        <v>2951359</v>
      </c>
      <c r="N278" s="66" t="str">
        <f>RSD_Commodities!M102&amp;"_"&amp;SETUP!$B$67</f>
        <v>LT_Att-B3_X0</v>
      </c>
      <c r="O278" s="66" t="str">
        <f>RSD_Commodities!N102&amp;"_"&amp;SETUP!$B$67</f>
        <v>Residential Lighting Attached-B3_X0</v>
      </c>
      <c r="P278" s="83" t="str">
        <f>RSD_Commodities!$C$27</f>
        <v>RSDELCD</v>
      </c>
      <c r="Q278" s="66" t="str">
        <f>RSD_Commodities!M102</f>
        <v>LT_Att-B3</v>
      </c>
      <c r="R278" s="985">
        <f t="shared" si="204"/>
        <v>6.5262026518346436E-2</v>
      </c>
      <c r="S278" s="66">
        <f>R278*DwellingStocks!I65/1000</f>
        <v>1.4168026016492796</v>
      </c>
      <c r="T278" s="83">
        <v>1</v>
      </c>
      <c r="U278" s="987">
        <f t="shared" si="205"/>
        <v>0.37037040864693094</v>
      </c>
      <c r="V278" s="83">
        <v>20</v>
      </c>
      <c r="W278" s="66">
        <v>1</v>
      </c>
      <c r="Y278" s="926">
        <f t="shared" si="206"/>
        <v>1.1685179215532195E-2</v>
      </c>
      <c r="Z278" s="926">
        <f t="shared" si="207"/>
        <v>3.1549980621350115E-2</v>
      </c>
      <c r="AB278" s="66" t="s">
        <v>393</v>
      </c>
      <c r="AC278" s="66" t="str">
        <f t="shared" si="203"/>
        <v>LT_Att-B3_X0</v>
      </c>
      <c r="AD278" s="83" t="str">
        <f t="shared" si="203"/>
        <v>Residential Lighting Attached-B3_X0</v>
      </c>
      <c r="AE278" s="66" t="s">
        <v>53</v>
      </c>
      <c r="AF278" s="88" t="s">
        <v>406</v>
      </c>
      <c r="AG278" s="66"/>
      <c r="AH278" s="66"/>
    </row>
    <row r="279" spans="1:41">
      <c r="A279" s="972" t="s">
        <v>116</v>
      </c>
      <c r="B279" s="757">
        <f>SUMIFS(INDEX(Table915[],,MATCH(B$274,Table915[#Headers],0)),Table915[EnergyRating (group)],$A279)</f>
        <v>320774345</v>
      </c>
      <c r="C279" s="757">
        <f>SUMIFS(INDEX(Table915[],,MATCH(C$274,Table915[#Headers],0)),Table915[EnergyRating (group)],$A279)</f>
        <v>118805307</v>
      </c>
      <c r="D279" s="760">
        <f>SUMIFS(INDEX(Table915[],,MATCH(D$274,Table915[#Headers],0)),Table915[EnergyRating (group)],$A279)</f>
        <v>85827264</v>
      </c>
      <c r="E279" s="760">
        <f>SUMIFS(INDEX(Table915[],,MATCH(E$274,Table915[#Headers],0)),Table915[EnergyRating (group)],$A279)</f>
        <v>31787852</v>
      </c>
      <c r="F279" s="757">
        <f>SUMIFS(INDEX(Table915[],,MATCH(F$274,Table915[#Headers],0)),Table915[EnergyRating (group)],$A279)</f>
        <v>161926</v>
      </c>
      <c r="G279" s="757">
        <f>SUMIFS(INDEX(Table915[],,MATCH(G$274,Table915[#Headers],0)),Table915[EnergyRating (group)],$A279)</f>
        <v>16330843</v>
      </c>
      <c r="N279" s="914" t="str">
        <f>RSD_Commodities!M103&amp;"_"&amp;SETUP!$B$67</f>
        <v>LT_Att-C_X0</v>
      </c>
      <c r="O279" s="914" t="str">
        <f>RSD_Commodities!N103&amp;"_"&amp;SETUP!$B$67</f>
        <v>Residential Lighting Attached-C_X0</v>
      </c>
      <c r="P279" s="915" t="str">
        <f>RSD_Commodities!$C$27</f>
        <v>RSDELCD</v>
      </c>
      <c r="Q279" s="914" t="str">
        <f>RSD_Commodities!M103</f>
        <v>LT_Att-C</v>
      </c>
      <c r="R279" s="984">
        <f t="shared" si="204"/>
        <v>0.39022262494035542</v>
      </c>
      <c r="S279" s="914">
        <f>R279*DwellingStocks!I66/1000</f>
        <v>27.769950119418102</v>
      </c>
      <c r="T279" s="915">
        <v>1</v>
      </c>
      <c r="U279" s="986">
        <f t="shared" si="205"/>
        <v>0.37037035178109395</v>
      </c>
      <c r="V279" s="915">
        <v>20</v>
      </c>
      <c r="W279" s="914">
        <v>1</v>
      </c>
      <c r="Y279" s="928">
        <f t="shared" si="206"/>
        <v>1.3558427873885568</v>
      </c>
      <c r="Z279" s="928">
        <f t="shared" si="207"/>
        <v>3.6607757096872664</v>
      </c>
      <c r="AB279" s="914" t="s">
        <v>393</v>
      </c>
      <c r="AC279" s="914" t="str">
        <f t="shared" si="203"/>
        <v>LT_Att-C_X0</v>
      </c>
      <c r="AD279" s="915" t="str">
        <f t="shared" si="203"/>
        <v>Residential Lighting Attached-C_X0</v>
      </c>
      <c r="AE279" s="914" t="s">
        <v>53</v>
      </c>
      <c r="AF279" s="916" t="s">
        <v>406</v>
      </c>
      <c r="AG279" s="914"/>
      <c r="AH279" s="914"/>
    </row>
    <row r="280" spans="1:41">
      <c r="A280" s="973" t="s">
        <v>118</v>
      </c>
      <c r="B280" s="758">
        <f>SUMIFS(INDEX(Table915[],,MATCH(B$274,Table915[#Headers],0)),Table915[EnergyRating (group)],$A280)</f>
        <v>184411335</v>
      </c>
      <c r="C280" s="758">
        <f>SUMIFS(INDEX(Table915[],,MATCH(C$274,Table915[#Headers],0)),Table915[EnergyRating (group)],$A280)</f>
        <v>68300489</v>
      </c>
      <c r="D280" s="758">
        <f>SUMIFS(INDEX(Table915[],,MATCH(D$274,Table915[#Headers],0)),Table915[EnergyRating (group)],$A280)</f>
        <v>47148388</v>
      </c>
      <c r="E280" s="758">
        <f>SUMIFS(INDEX(Table915[],,MATCH(E$274,Table915[#Headers],0)),Table915[EnergyRating (group)],$A280)</f>
        <v>17462349</v>
      </c>
      <c r="F280" s="758">
        <f>SUMIFS(INDEX(Table915[],,MATCH(F$274,Table915[#Headers],0)),Table915[EnergyRating (group)],$A280)</f>
        <v>95372</v>
      </c>
      <c r="G280" s="758">
        <f>SUMIFS(INDEX(Table915[],,MATCH(G$274,Table915[#Headers],0)),Table915[EnergyRating (group)],$A280)</f>
        <v>9015654</v>
      </c>
      <c r="N280" s="66" t="str">
        <f>RSD_Commodities!M104&amp;"_"&amp;SETUP!$B$67</f>
        <v>LT_Att-D_X0</v>
      </c>
      <c r="O280" s="66" t="str">
        <f>RSD_Commodities!N104&amp;"_"&amp;SETUP!$B$67</f>
        <v>Residential Lighting Attached-D_X0</v>
      </c>
      <c r="P280" s="83" t="str">
        <f>RSD_Commodities!$C$27</f>
        <v>RSDELCD</v>
      </c>
      <c r="Q280" s="66" t="str">
        <f>RSD_Commodities!M104</f>
        <v>LT_Att-D</v>
      </c>
      <c r="R280" s="985">
        <f t="shared" si="204"/>
        <v>0.22983530863364485</v>
      </c>
      <c r="S280" s="66">
        <f>R280*DwellingStocks!I67/1000</f>
        <v>10.914632791930464</v>
      </c>
      <c r="T280" s="83">
        <v>1</v>
      </c>
      <c r="U280" s="987">
        <f t="shared" si="205"/>
        <v>0.37037034084699838</v>
      </c>
      <c r="V280" s="83">
        <v>20</v>
      </c>
      <c r="W280" s="66">
        <v>1</v>
      </c>
      <c r="Y280" s="926">
        <f t="shared" si="206"/>
        <v>0.30635948915518602</v>
      </c>
      <c r="Z280" s="926">
        <f t="shared" si="207"/>
        <v>0.82717068665534565</v>
      </c>
      <c r="AB280" s="66" t="s">
        <v>393</v>
      </c>
      <c r="AC280" s="66" t="str">
        <f t="shared" si="203"/>
        <v>LT_Att-D_X0</v>
      </c>
      <c r="AD280" s="83" t="str">
        <f t="shared" si="203"/>
        <v>Residential Lighting Attached-D_X0</v>
      </c>
      <c r="AE280" s="66" t="s">
        <v>53</v>
      </c>
      <c r="AF280" s="88" t="s">
        <v>406</v>
      </c>
      <c r="AG280" s="66"/>
      <c r="AH280" s="66"/>
    </row>
    <row r="281" spans="1:41">
      <c r="A281" s="972" t="s">
        <v>120</v>
      </c>
      <c r="B281" s="757">
        <f>SUMIFS(INDEX(Table915[],,MATCH(B$274,Table915[#Headers],0)),Table915[EnergyRating (group)],$A281)</f>
        <v>86465188</v>
      </c>
      <c r="C281" s="757">
        <f>SUMIFS(INDEX(Table915[],,MATCH(C$274,Table915[#Headers],0)),Table915[EnergyRating (group)],$A281)</f>
        <v>32024135</v>
      </c>
      <c r="D281" s="760">
        <f>SUMIFS(INDEX(Table915[],,MATCH(D$274,Table915[#Headers],0)),Table915[EnergyRating (group)],$A281)</f>
        <v>20755553</v>
      </c>
      <c r="E281" s="760">
        <f>SUMIFS(INDEX(Table915[],,MATCH(E$274,Table915[#Headers],0)),Table915[EnergyRating (group)],$A281)</f>
        <v>7687234</v>
      </c>
      <c r="F281" s="757">
        <f>SUMIFS(INDEX(Table915[],,MATCH(F$274,Table915[#Headers],0)),Table915[EnergyRating (group)],$A281)</f>
        <v>46130</v>
      </c>
      <c r="G281" s="757">
        <f>SUMIFS(INDEX(Table915[],,MATCH(G$274,Table915[#Headers],0)),Table915[EnergyRating (group)],$A281)</f>
        <v>4172416</v>
      </c>
      <c r="N281" s="914" t="str">
        <f>RSD_Commodities!M105&amp;"_"&amp;SETUP!$B$67</f>
        <v>LT_Att-E_X0</v>
      </c>
      <c r="O281" s="914" t="str">
        <f>RSD_Commodities!N105&amp;"_"&amp;SETUP!$B$67</f>
        <v>Residential Lighting Attached-E_X0</v>
      </c>
      <c r="P281" s="930" t="str">
        <f>RSD_Commodities!$C$27</f>
        <v>RSDELCD</v>
      </c>
      <c r="Q281" s="914" t="str">
        <f>RSD_Commodities!M105</f>
        <v>LT_Att-E</v>
      </c>
      <c r="R281" s="984">
        <f t="shared" si="204"/>
        <v>0.11116787723094868</v>
      </c>
      <c r="S281" s="914">
        <f>R281*DwellingStocks!I68/1000</f>
        <v>2.644649243142438</v>
      </c>
      <c r="T281" s="915">
        <v>1</v>
      </c>
      <c r="U281" s="986">
        <f t="shared" si="205"/>
        <v>0.37037026970900705</v>
      </c>
      <c r="V281" s="930">
        <v>20</v>
      </c>
      <c r="W281" s="914">
        <v>1</v>
      </c>
      <c r="Y281" s="928">
        <f t="shared" si="206"/>
        <v>3.480517988631833E-2</v>
      </c>
      <c r="Z281" s="928">
        <f t="shared" si="207"/>
        <v>9.3974011233850116E-2</v>
      </c>
      <c r="AB281" s="914" t="s">
        <v>393</v>
      </c>
      <c r="AC281" s="914" t="str">
        <f t="shared" si="203"/>
        <v>LT_Att-E_X0</v>
      </c>
      <c r="AD281" s="915" t="str">
        <f t="shared" si="203"/>
        <v>Residential Lighting Attached-E_X0</v>
      </c>
      <c r="AE281" s="914" t="s">
        <v>53</v>
      </c>
      <c r="AF281" s="916" t="s">
        <v>406</v>
      </c>
      <c r="AG281" s="914"/>
      <c r="AH281" s="914"/>
    </row>
    <row r="282" spans="1:41">
      <c r="A282" s="973" t="s">
        <v>122</v>
      </c>
      <c r="B282" s="758">
        <f>SUMIFS(INDEX(Table915[],,MATCH(B$274,Table915[#Headers],0)),Table915[EnergyRating (group)],$A282)</f>
        <v>38857046</v>
      </c>
      <c r="C282" s="758">
        <f>SUMIFS(INDEX(Table915[],,MATCH(C$274,Table915[#Headers],0)),Table915[EnergyRating (group)],$A282)</f>
        <v>14391505</v>
      </c>
      <c r="D282" s="758">
        <f>SUMIFS(INDEX(Table915[],,MATCH(D$274,Table915[#Headers],0)),Table915[EnergyRating (group)],$A282)</f>
        <v>9202232</v>
      </c>
      <c r="E282" s="758">
        <f>SUMIFS(INDEX(Table915[],,MATCH(E$274,Table915[#Headers],0)),Table915[EnergyRating (group)],$A282)</f>
        <v>3408225</v>
      </c>
      <c r="F282" s="758">
        <f>SUMIFS(INDEX(Table915[],,MATCH(F$274,Table915[#Headers],0)),Table915[EnergyRating (group)],$A282)</f>
        <v>20720</v>
      </c>
      <c r="G282" s="758">
        <f>SUMIFS(INDEX(Table915[],,MATCH(G$274,Table915[#Headers],0)),Table915[EnergyRating (group)],$A282)</f>
        <v>1831489</v>
      </c>
      <c r="N282" s="66" t="str">
        <f>RSD_Commodities!M106&amp;"_"&amp;SETUP!$B$67</f>
        <v>LT_Att-F_X0</v>
      </c>
      <c r="O282" s="66" t="str">
        <f>RSD_Commodities!N106&amp;"_"&amp;SETUP!$B$67</f>
        <v>Residential Lighting Attached-F_X0</v>
      </c>
      <c r="P282" s="83" t="str">
        <f>RSD_Commodities!$C$27</f>
        <v>RSDELCD</v>
      </c>
      <c r="Q282" s="66" t="str">
        <f>RSD_Commodities!M106</f>
        <v>LT_Att-F</v>
      </c>
      <c r="R282" s="985">
        <f t="shared" si="204"/>
        <v>4.9932764279758436E-2</v>
      </c>
      <c r="S282" s="66">
        <f>R282*DwellingStocks!I69/1000</f>
        <v>0.39998220570400683</v>
      </c>
      <c r="T282" s="83">
        <v>1</v>
      </c>
      <c r="U282" s="987">
        <f t="shared" si="205"/>
        <v>0.3703705371736184</v>
      </c>
      <c r="V282" s="83">
        <v>20</v>
      </c>
      <c r="W282" s="66">
        <v>1</v>
      </c>
      <c r="Y282" s="926">
        <f t="shared" si="206"/>
        <v>2.3656216082055797E-3</v>
      </c>
      <c r="Z282" s="926">
        <f t="shared" si="207"/>
        <v>6.3871754655707089E-3</v>
      </c>
      <c r="AB282" s="66" t="s">
        <v>393</v>
      </c>
      <c r="AC282" s="66" t="str">
        <f t="shared" si="203"/>
        <v>LT_Att-F_X0</v>
      </c>
      <c r="AD282" s="83" t="str">
        <f t="shared" si="203"/>
        <v>Residential Lighting Attached-F_X0</v>
      </c>
      <c r="AE282" s="66" t="s">
        <v>53</v>
      </c>
      <c r="AF282" s="88" t="s">
        <v>406</v>
      </c>
      <c r="AG282" s="66"/>
      <c r="AH282" s="66"/>
    </row>
    <row r="283" spans="1:41">
      <c r="A283" s="972" t="s">
        <v>124</v>
      </c>
      <c r="B283" s="757">
        <f>SUMIFS(INDEX(Table915[],,MATCH(B$274,Table915[#Headers],0)),Table915[EnergyRating (group)],$A283)</f>
        <v>38498913</v>
      </c>
      <c r="C283" s="757">
        <f>SUMIFS(INDEX(Table915[],,MATCH(C$274,Table915[#Headers],0)),Table915[EnergyRating (group)],$A283)</f>
        <v>14258849</v>
      </c>
      <c r="D283" s="760">
        <f>SUMIFS(INDEX(Table915[],,MATCH(D$274,Table915[#Headers],0)),Table915[EnergyRating (group)],$A283)</f>
        <v>6699794</v>
      </c>
      <c r="E283" s="760">
        <f>SUMIFS(INDEX(Table915[],,MATCH(E$274,Table915[#Headers],0)),Table915[EnergyRating (group)],$A283)</f>
        <v>2481396</v>
      </c>
      <c r="F283" s="757">
        <f>SUMIFS(INDEX(Table915[],,MATCH(F$274,Table915[#Headers],0)),Table915[EnergyRating (group)],$A283)</f>
        <v>21208</v>
      </c>
      <c r="G283" s="757">
        <f>SUMIFS(INDEX(Table915[],,MATCH(G$274,Table915[#Headers],0)),Table915[EnergyRating (group)],$A283)</f>
        <v>1754844</v>
      </c>
      <c r="N283" s="914" t="str">
        <f>RSD_Commodities!M107&amp;"_"&amp;SETUP!$B$67</f>
        <v>LT_Att-G_X0</v>
      </c>
      <c r="O283" s="914" t="str">
        <f>RSD_Commodities!N107&amp;"_"&amp;SETUP!$B$67</f>
        <v>Residential Lighting Attached-G_X0</v>
      </c>
      <c r="P283" s="915" t="str">
        <f>RSD_Commodities!$C$27</f>
        <v>RSDELCD</v>
      </c>
      <c r="Q283" s="914" t="str">
        <f>RSD_Commodities!M107</f>
        <v>LT_Att-G</v>
      </c>
      <c r="R283" s="984">
        <f t="shared" si="204"/>
        <v>5.1108786913374366E-2</v>
      </c>
      <c r="S283" s="914">
        <f>R283*DwellingStocks!I70/1000</f>
        <v>0.4424840902806168</v>
      </c>
      <c r="T283" s="915">
        <v>1</v>
      </c>
      <c r="U283" s="986">
        <f t="shared" si="205"/>
        <v>0.37037017123054877</v>
      </c>
      <c r="V283" s="915">
        <v>20</v>
      </c>
      <c r="W283" s="914">
        <v>1</v>
      </c>
      <c r="Y283" s="928">
        <f t="shared" si="206"/>
        <v>2.5928686965261713E-3</v>
      </c>
      <c r="Z283" s="928">
        <f t="shared" si="207"/>
        <v>7.0007492447661428E-3</v>
      </c>
      <c r="AB283" s="914" t="s">
        <v>393</v>
      </c>
      <c r="AC283" s="914" t="str">
        <f t="shared" si="203"/>
        <v>LT_Att-G_X0</v>
      </c>
      <c r="AD283" s="915" t="str">
        <f t="shared" si="203"/>
        <v>Residential Lighting Attached-G_X0</v>
      </c>
      <c r="AE283" s="914" t="s">
        <v>53</v>
      </c>
      <c r="AF283" s="916" t="s">
        <v>406</v>
      </c>
      <c r="AG283" s="914"/>
      <c r="AH283" s="914"/>
    </row>
    <row r="286" spans="1:41" ht="21.75" thickBot="1">
      <c r="A286" s="139" t="s">
        <v>833</v>
      </c>
      <c r="B286" s="139"/>
      <c r="C286" s="139"/>
      <c r="D286" s="139"/>
      <c r="E286" s="139"/>
      <c r="F286" s="139"/>
      <c r="G286" s="139"/>
      <c r="N286" s="138" t="s">
        <v>839</v>
      </c>
      <c r="O286" s="138"/>
      <c r="P286" s="142" t="s">
        <v>372</v>
      </c>
      <c r="Q286" s="85"/>
      <c r="R286" s="85"/>
      <c r="S286" s="85"/>
      <c r="T286" s="85"/>
      <c r="U286" s="85"/>
      <c r="V286" s="85"/>
      <c r="W286" s="90"/>
      <c r="X286" s="96" t="s">
        <v>561</v>
      </c>
      <c r="Y286" s="866"/>
      <c r="Z286" s="840"/>
      <c r="AA286" s="68" t="s">
        <v>373</v>
      </c>
      <c r="AB286" s="68"/>
      <c r="AC286" s="839"/>
      <c r="AD286" s="839"/>
      <c r="AE286" s="839"/>
      <c r="AF286" s="839"/>
      <c r="AG286" s="839"/>
      <c r="AH286" s="839"/>
    </row>
    <row r="287" spans="1:41" ht="15.75" thickBot="1">
      <c r="A287" s="756" t="s">
        <v>108</v>
      </c>
      <c r="B287" s="756" t="s">
        <v>565</v>
      </c>
      <c r="C287" s="756" t="s">
        <v>565</v>
      </c>
      <c r="D287" s="756" t="s">
        <v>565</v>
      </c>
      <c r="E287" s="756" t="s">
        <v>565</v>
      </c>
      <c r="F287" s="756" t="s">
        <v>825</v>
      </c>
      <c r="G287" s="756" t="s">
        <v>567</v>
      </c>
      <c r="N287" s="73" t="s">
        <v>374</v>
      </c>
      <c r="O287" s="73" t="s">
        <v>397</v>
      </c>
      <c r="P287" s="73" t="s">
        <v>376</v>
      </c>
      <c r="Q287" s="73" t="s">
        <v>377</v>
      </c>
      <c r="R287" s="73" t="s">
        <v>562</v>
      </c>
      <c r="S287" s="86" t="s">
        <v>398</v>
      </c>
      <c r="T287" s="73" t="s">
        <v>811</v>
      </c>
      <c r="U287" s="86" t="s">
        <v>378</v>
      </c>
      <c r="V287" s="86" t="s">
        <v>380</v>
      </c>
      <c r="W287" s="86" t="s">
        <v>400</v>
      </c>
      <c r="X287" s="91"/>
      <c r="Y287" s="94" t="s">
        <v>563</v>
      </c>
      <c r="Z287" s="95" t="s">
        <v>564</v>
      </c>
      <c r="AA287" s="840"/>
      <c r="AB287" s="73" t="s">
        <v>385</v>
      </c>
      <c r="AC287" s="73" t="s">
        <v>374</v>
      </c>
      <c r="AD287" s="73" t="s">
        <v>375</v>
      </c>
      <c r="AE287" s="73" t="s">
        <v>386</v>
      </c>
      <c r="AF287" s="73" t="s">
        <v>387</v>
      </c>
      <c r="AG287" s="73" t="s">
        <v>388</v>
      </c>
      <c r="AH287" s="73" t="s">
        <v>389</v>
      </c>
    </row>
    <row r="288" spans="1:41" ht="26.25" thickBot="1">
      <c r="A288" s="945" t="s">
        <v>569</v>
      </c>
      <c r="B288" s="988" t="s">
        <v>655</v>
      </c>
      <c r="C288" s="988" t="s">
        <v>656</v>
      </c>
      <c r="D288" s="988" t="s">
        <v>657</v>
      </c>
      <c r="E288" s="988" t="s">
        <v>658</v>
      </c>
      <c r="F288" s="946" t="s">
        <v>575</v>
      </c>
      <c r="G288" s="946" t="s">
        <v>576</v>
      </c>
      <c r="N288" s="74" t="s">
        <v>402</v>
      </c>
      <c r="O288" s="74" t="s">
        <v>403</v>
      </c>
      <c r="P288" s="74" t="s">
        <v>404</v>
      </c>
      <c r="Q288" s="74" t="s">
        <v>405</v>
      </c>
      <c r="R288" s="74"/>
      <c r="S288" s="89" t="s">
        <v>406</v>
      </c>
      <c r="T288" s="74"/>
      <c r="U288" s="87" t="s">
        <v>568</v>
      </c>
      <c r="V288" s="87"/>
      <c r="W288" s="87"/>
      <c r="X288" s="92"/>
      <c r="Y288" s="732" t="s">
        <v>53</v>
      </c>
      <c r="Z288" s="733" t="s">
        <v>53</v>
      </c>
      <c r="AA288" s="92"/>
      <c r="AB288" s="75" t="s">
        <v>370</v>
      </c>
      <c r="AC288" s="75"/>
      <c r="AD288" s="74"/>
      <c r="AE288" s="75"/>
      <c r="AF288" s="75"/>
      <c r="AG288" s="75"/>
      <c r="AH288" s="75"/>
    </row>
    <row r="289" spans="1:34">
      <c r="A289" s="972" t="s">
        <v>108</v>
      </c>
      <c r="B289" s="757">
        <f>SUMIFS(INDEX(Table915[],,MATCH(B$274,Table915[#Headers],0)),Table915[EnergyRating (group)],$A289)</f>
        <v>47872038</v>
      </c>
      <c r="C289" s="757">
        <f>SUMIFS(INDEX(Table915[],,MATCH(C$274,Table915[#Headers],0)),Table915[EnergyRating (group)],$A289)</f>
        <v>17730385</v>
      </c>
      <c r="D289" s="760">
        <f>SUMIFS(INDEX(Table915[],,MATCH(D$274,Table915[#Headers],0)),Table915[EnergyRating (group)],$A289)</f>
        <v>28938927</v>
      </c>
      <c r="E289" s="760">
        <f>SUMIFS(INDEX(Table915[],,MATCH(E$274,Table915[#Headers],0)),Table915[EnergyRating (group)],$A289)</f>
        <v>10718118</v>
      </c>
      <c r="F289" s="757">
        <f>SUMIFS(INDEX(Table915[],,MATCH(F$274,Table915[#Headers],0)),Table915[EnergyRating (group)],$A289)</f>
        <v>30917</v>
      </c>
      <c r="G289" s="757">
        <f>SUMIFS(INDEX(Table915[],,MATCH(G$274,Table915[#Headers],0)),Table915[EnergyRating (group)],$A289)</f>
        <v>3791320</v>
      </c>
      <c r="N289" s="914" t="str">
        <f>RSD_Commodities!M126&amp;"_"&amp;SETUP!$B$67</f>
        <v>PF_Att-A_X0</v>
      </c>
      <c r="O289" s="914" t="str">
        <f>RSD_Commodities!N126&amp;"_"&amp;SETUP!$B$67</f>
        <v>Residential Pumps &amp; Fans Attached-A_X0</v>
      </c>
      <c r="P289" s="915" t="str">
        <f>RSD_Commodities!$C$27</f>
        <v>RSDELCD</v>
      </c>
      <c r="Q289" s="914" t="str">
        <f>RSD_Commodities!M126</f>
        <v>PF_Att-A</v>
      </c>
      <c r="R289" s="915">
        <f>F289/SUM($F$289:$F$297)</f>
        <v>7.4506335580950364E-2</v>
      </c>
      <c r="S289" s="914">
        <f>R289*DwellingStocks!I62/1000</f>
        <v>0.78574502920503908</v>
      </c>
      <c r="T289" s="915">
        <v>1</v>
      </c>
      <c r="U289" s="986">
        <f>E289/D289</f>
        <v>0.37037026286427277</v>
      </c>
      <c r="V289" s="915">
        <v>20</v>
      </c>
      <c r="W289" s="914">
        <v>1</v>
      </c>
      <c r="Y289" s="928">
        <f>ABS((E289)*S289*1000*$B$2)</f>
        <v>3.4609758661368721E-3</v>
      </c>
      <c r="Z289" s="928">
        <f>ABS((D289)*S289*1000*$B$2)</f>
        <v>9.3446375510044498E-3</v>
      </c>
      <c r="AB289" s="914" t="s">
        <v>393</v>
      </c>
      <c r="AC289" s="914" t="str">
        <f t="shared" ref="AC289:AD297" si="208">N289</f>
        <v>PF_Att-A_X0</v>
      </c>
      <c r="AD289" s="915" t="str">
        <f t="shared" si="208"/>
        <v>Residential Pumps &amp; Fans Attached-A_X0</v>
      </c>
      <c r="AE289" s="914" t="s">
        <v>53</v>
      </c>
      <c r="AF289" s="916" t="s">
        <v>406</v>
      </c>
      <c r="AG289" s="914"/>
      <c r="AH289" s="914"/>
    </row>
    <row r="290" spans="1:34">
      <c r="A290" s="973" t="s">
        <v>110</v>
      </c>
      <c r="B290" s="758">
        <f>SUMIFS(INDEX(Table915[],,MATCH(B$274,Table915[#Headers],0)),Table915[EnergyRating (group)],$A290)</f>
        <v>6050289</v>
      </c>
      <c r="C290" s="758">
        <f>SUMIFS(INDEX(Table915[],,MATCH(C$274,Table915[#Headers],0)),Table915[EnergyRating (group)],$A290)</f>
        <v>2240845</v>
      </c>
      <c r="D290" s="758">
        <f>SUMIFS(INDEX(Table915[],,MATCH(D$274,Table915[#Headers],0)),Table915[EnergyRating (group)],$A290)</f>
        <v>2129145</v>
      </c>
      <c r="E290" s="758">
        <f>SUMIFS(INDEX(Table915[],,MATCH(E$274,Table915[#Headers],0)),Table915[EnergyRating (group)],$A290)</f>
        <v>788571</v>
      </c>
      <c r="F290" s="758">
        <f>SUMIFS(INDEX(Table915[],,MATCH(F$274,Table915[#Headers],0)),Table915[EnergyRating (group)],$A290)</f>
        <v>3722</v>
      </c>
      <c r="G290" s="758">
        <f>SUMIFS(INDEX(Table915[],,MATCH(G$274,Table915[#Headers],0)),Table915[EnergyRating (group)],$A290)</f>
        <v>417890</v>
      </c>
      <c r="N290" s="66" t="str">
        <f>RSD_Commodities!M127&amp;"_"&amp;SETUP!$B$67</f>
        <v>PF_Att-B1_X0</v>
      </c>
      <c r="O290" s="66" t="str">
        <f>RSD_Commodities!N127&amp;"_"&amp;SETUP!$B$67</f>
        <v>Residential Pumps &amp; Fans Attached-B1_X0</v>
      </c>
      <c r="P290" s="83" t="str">
        <f>RSD_Commodities!$C$27</f>
        <v>RSDELCD</v>
      </c>
      <c r="Q290" s="66" t="str">
        <f>RSD_Commodities!M127</f>
        <v>PF_Att-B1</v>
      </c>
      <c r="R290" s="83">
        <f>F290/SUM($F$289:$F$297)</f>
        <v>8.9695824637674171E-3</v>
      </c>
      <c r="S290" s="66">
        <f>R290*DwellingStocks!I63/1000</f>
        <v>4.6619957480891018E-2</v>
      </c>
      <c r="T290" s="83">
        <v>1</v>
      </c>
      <c r="U290" s="987">
        <f t="shared" ref="U290:U297" si="209">E290/D290</f>
        <v>0.37036979632669453</v>
      </c>
      <c r="V290" s="83">
        <v>20</v>
      </c>
      <c r="W290" s="66">
        <v>1</v>
      </c>
      <c r="Y290" s="926">
        <f>ABS((E290)*S290*1000*$B$2)</f>
        <v>1.5108142393423446E-5</v>
      </c>
      <c r="Z290" s="926">
        <f>ABS((D290)*S290*1000*$B$2)</f>
        <v>4.0792047686569203E-5</v>
      </c>
      <c r="AB290" s="66" t="s">
        <v>393</v>
      </c>
      <c r="AC290" s="66" t="str">
        <f t="shared" si="208"/>
        <v>PF_Att-B1_X0</v>
      </c>
      <c r="AD290" s="83" t="str">
        <f t="shared" si="208"/>
        <v>Residential Pumps &amp; Fans Attached-B1_X0</v>
      </c>
      <c r="AE290" s="66" t="s">
        <v>53</v>
      </c>
      <c r="AF290" s="88" t="s">
        <v>406</v>
      </c>
      <c r="AG290" s="66"/>
      <c r="AH290" s="66"/>
    </row>
    <row r="291" spans="1:34">
      <c r="A291" s="972" t="s">
        <v>112</v>
      </c>
      <c r="B291" s="757">
        <f>SUMIFS(INDEX(Table915[],,MATCH(B$274,Table915[#Headers],0)),Table915[EnergyRating (group)],$A291)</f>
        <v>15368440</v>
      </c>
      <c r="C291" s="757">
        <f>SUMIFS(INDEX(Table915[],,MATCH(C$274,Table915[#Headers],0)),Table915[EnergyRating (group)],$A291)</f>
        <v>5692016</v>
      </c>
      <c r="D291" s="757">
        <f>SUMIFS(INDEX(Table915[],,MATCH(D$274,Table915[#Headers],0)),Table915[EnergyRating (group)],$A291)</f>
        <v>4302943</v>
      </c>
      <c r="E291" s="757">
        <f>SUMIFS(INDEX(Table915[],,MATCH(E$274,Table915[#Headers],0)),Table915[EnergyRating (group)],$A291)</f>
        <v>1593680</v>
      </c>
      <c r="F291" s="757">
        <f>SUMIFS(INDEX(Table915[],,MATCH(F$274,Table915[#Headers],0)),Table915[EnergyRating (group)],$A291)</f>
        <v>7882</v>
      </c>
      <c r="G291" s="757">
        <f>SUMIFS(INDEX(Table915[],,MATCH(G$274,Table915[#Headers],0)),Table915[EnergyRating (group)],$A291)</f>
        <v>923821</v>
      </c>
      <c r="N291" s="914" t="str">
        <f>RSD_Commodities!M128&amp;"_"&amp;SETUP!$B$67</f>
        <v>PF_Att-B2_X0</v>
      </c>
      <c r="O291" s="914" t="str">
        <f>RSD_Commodities!N128&amp;"_"&amp;SETUP!$B$67</f>
        <v>Residential Pumps &amp; Fans Attached-B2_X0</v>
      </c>
      <c r="P291" s="915" t="str">
        <f>RSD_Commodities!$C$27</f>
        <v>RSDELCD</v>
      </c>
      <c r="Q291" s="914" t="str">
        <f>RSD_Commodities!M128</f>
        <v>PF_Att-B2</v>
      </c>
      <c r="R291" s="915">
        <f t="shared" ref="R291:R297" si="210">F291/SUM($F$289:$F$297)</f>
        <v>1.8994693438854054E-2</v>
      </c>
      <c r="S291" s="914">
        <f>R291*DwellingStocks!I64/1000</f>
        <v>0.26553366005360335</v>
      </c>
      <c r="T291" s="915">
        <v>1</v>
      </c>
      <c r="U291" s="986">
        <f t="shared" si="209"/>
        <v>0.3703697678542337</v>
      </c>
      <c r="V291" s="915">
        <v>20</v>
      </c>
      <c r="W291" s="914">
        <v>1</v>
      </c>
      <c r="Y291" s="928">
        <f t="shared" ref="Y291:Y297" si="211">ABS((E291)*S291*1000*$B$2)</f>
        <v>1.7390781507707945E-4</v>
      </c>
      <c r="Z291" s="928">
        <f t="shared" ref="Z291:Z297" si="212">ABS((D291)*S291*1000*$B$2)</f>
        <v>4.6955186457206804E-4</v>
      </c>
      <c r="AB291" s="914" t="s">
        <v>393</v>
      </c>
      <c r="AC291" s="914" t="str">
        <f t="shared" si="208"/>
        <v>PF_Att-B2_X0</v>
      </c>
      <c r="AD291" s="915" t="str">
        <f t="shared" si="208"/>
        <v>Residential Pumps &amp; Fans Attached-B2_X0</v>
      </c>
      <c r="AE291" s="914" t="s">
        <v>53</v>
      </c>
      <c r="AF291" s="916" t="s">
        <v>406</v>
      </c>
      <c r="AG291" s="914"/>
      <c r="AH291" s="914"/>
    </row>
    <row r="292" spans="1:34">
      <c r="A292" s="973" t="s">
        <v>114</v>
      </c>
      <c r="B292" s="758">
        <f>SUMIFS(INDEX(Table915[],,MATCH(B$274,Table915[#Headers],0)),Table915[EnergyRating (group)],$A292)</f>
        <v>54186532</v>
      </c>
      <c r="C292" s="758">
        <f>SUMIFS(INDEX(Table915[],,MATCH(C$274,Table915[#Headers],0)),Table915[EnergyRating (group)],$A292)</f>
        <v>20069088</v>
      </c>
      <c r="D292" s="759">
        <f>SUMIFS(INDEX(Table915[],,MATCH(D$274,Table915[#Headers],0)),Table915[EnergyRating (group)],$A292)</f>
        <v>14447973</v>
      </c>
      <c r="E292" s="759">
        <f>SUMIFS(INDEX(Table915[],,MATCH(E$274,Table915[#Headers],0)),Table915[EnergyRating (group)],$A292)</f>
        <v>5351091</v>
      </c>
      <c r="F292" s="758">
        <f>SUMIFS(INDEX(Table915[],,MATCH(F$274,Table915[#Headers],0)),Table915[EnergyRating (group)],$A292)</f>
        <v>27081</v>
      </c>
      <c r="G292" s="758">
        <f>SUMIFS(INDEX(Table915[],,MATCH(G$274,Table915[#Headers],0)),Table915[EnergyRating (group)],$A292)</f>
        <v>2951359</v>
      </c>
      <c r="N292" s="66" t="str">
        <f>RSD_Commodities!M129&amp;"_"&amp;SETUP!$B$67</f>
        <v>PF_Att-B3_X0</v>
      </c>
      <c r="O292" s="66" t="str">
        <f>RSD_Commodities!N129&amp;"_"&amp;SETUP!$B$67</f>
        <v>Residential Pumps &amp; Fans Attached-B3_X0</v>
      </c>
      <c r="P292" s="83" t="str">
        <f>RSD_Commodities!$C$27</f>
        <v>RSDELCD</v>
      </c>
      <c r="Q292" s="66" t="str">
        <f>RSD_Commodities!M129</f>
        <v>PF_Att-B3</v>
      </c>
      <c r="R292" s="83">
        <f t="shared" si="210"/>
        <v>6.5262026518346436E-2</v>
      </c>
      <c r="S292" s="66">
        <f>R292*DwellingStocks!I65/1000</f>
        <v>1.4168026016492796</v>
      </c>
      <c r="T292" s="83">
        <v>1</v>
      </c>
      <c r="U292" s="987">
        <f t="shared" si="209"/>
        <v>0.37036967054132786</v>
      </c>
      <c r="V292" s="83">
        <v>20</v>
      </c>
      <c r="W292" s="66">
        <v>1</v>
      </c>
      <c r="Y292" s="926">
        <f t="shared" si="211"/>
        <v>3.1156601303268688E-3</v>
      </c>
      <c r="Z292" s="926">
        <f t="shared" si="212"/>
        <v>8.4122982472432401E-3</v>
      </c>
      <c r="AB292" s="66" t="s">
        <v>393</v>
      </c>
      <c r="AC292" s="66" t="str">
        <f t="shared" si="208"/>
        <v>PF_Att-B3_X0</v>
      </c>
      <c r="AD292" s="83" t="str">
        <f t="shared" si="208"/>
        <v>Residential Pumps &amp; Fans Attached-B3_X0</v>
      </c>
      <c r="AE292" s="66" t="s">
        <v>53</v>
      </c>
      <c r="AF292" s="88" t="s">
        <v>406</v>
      </c>
      <c r="AG292" s="66"/>
      <c r="AH292" s="66"/>
    </row>
    <row r="293" spans="1:34">
      <c r="A293" s="972" t="s">
        <v>116</v>
      </c>
      <c r="B293" s="757">
        <f>SUMIFS(INDEX(Table915[],,MATCH(B$274,Table915[#Headers],0)),Table915[EnergyRating (group)],$A293)</f>
        <v>320774345</v>
      </c>
      <c r="C293" s="757">
        <f>SUMIFS(INDEX(Table915[],,MATCH(C$274,Table915[#Headers],0)),Table915[EnergyRating (group)],$A293)</f>
        <v>118805307</v>
      </c>
      <c r="D293" s="760">
        <f>SUMIFS(INDEX(Table915[],,MATCH(D$274,Table915[#Headers],0)),Table915[EnergyRating (group)],$A293)</f>
        <v>85827264</v>
      </c>
      <c r="E293" s="760">
        <f>SUMIFS(INDEX(Table915[],,MATCH(E$274,Table915[#Headers],0)),Table915[EnergyRating (group)],$A293)</f>
        <v>31787852</v>
      </c>
      <c r="F293" s="757">
        <f>SUMIFS(INDEX(Table915[],,MATCH(F$274,Table915[#Headers],0)),Table915[EnergyRating (group)],$A293)</f>
        <v>161926</v>
      </c>
      <c r="G293" s="757">
        <f>SUMIFS(INDEX(Table915[],,MATCH(G$274,Table915[#Headers],0)),Table915[EnergyRating (group)],$A293)</f>
        <v>16330843</v>
      </c>
      <c r="N293" s="914" t="str">
        <f>RSD_Commodities!M130&amp;"_"&amp;SETUP!$B$67</f>
        <v>PF_Att-C_X0</v>
      </c>
      <c r="O293" s="914" t="str">
        <f>RSD_Commodities!N130&amp;"_"&amp;SETUP!$B$67</f>
        <v>Residential Pumps &amp; Fans Attached-C_X0</v>
      </c>
      <c r="P293" s="915" t="str">
        <f>RSD_Commodities!$C$27</f>
        <v>RSDELCD</v>
      </c>
      <c r="Q293" s="914" t="str">
        <f>RSD_Commodities!M130</f>
        <v>PF_Att-C</v>
      </c>
      <c r="R293" s="915">
        <f t="shared" si="210"/>
        <v>0.39022262494035542</v>
      </c>
      <c r="S293" s="914">
        <f>R293*DwellingStocks!I66/1000</f>
        <v>27.769950119418102</v>
      </c>
      <c r="T293" s="915">
        <v>1</v>
      </c>
      <c r="U293" s="986">
        <f t="shared" si="209"/>
        <v>0.37037009591730663</v>
      </c>
      <c r="V293" s="915">
        <v>20</v>
      </c>
      <c r="W293" s="914">
        <v>1</v>
      </c>
      <c r="Y293" s="928">
        <f t="shared" si="211"/>
        <v>0.36277276620963494</v>
      </c>
      <c r="Z293" s="928">
        <f t="shared" si="212"/>
        <v>0.97948719458882028</v>
      </c>
      <c r="AB293" s="914" t="s">
        <v>393</v>
      </c>
      <c r="AC293" s="914" t="str">
        <f t="shared" si="208"/>
        <v>PF_Att-C_X0</v>
      </c>
      <c r="AD293" s="915" t="str">
        <f t="shared" si="208"/>
        <v>Residential Pumps &amp; Fans Attached-C_X0</v>
      </c>
      <c r="AE293" s="914" t="s">
        <v>53</v>
      </c>
      <c r="AF293" s="916" t="s">
        <v>406</v>
      </c>
      <c r="AG293" s="914"/>
      <c r="AH293" s="914"/>
    </row>
    <row r="294" spans="1:34">
      <c r="A294" s="973" t="s">
        <v>118</v>
      </c>
      <c r="B294" s="758">
        <f>SUMIFS(INDEX(Table915[],,MATCH(B$274,Table915[#Headers],0)),Table915[EnergyRating (group)],$A294)</f>
        <v>184411335</v>
      </c>
      <c r="C294" s="758">
        <f>SUMIFS(INDEX(Table915[],,MATCH(C$274,Table915[#Headers],0)),Table915[EnergyRating (group)],$A294)</f>
        <v>68300489</v>
      </c>
      <c r="D294" s="758">
        <f>SUMIFS(INDEX(Table915[],,MATCH(D$274,Table915[#Headers],0)),Table915[EnergyRating (group)],$A294)</f>
        <v>47148388</v>
      </c>
      <c r="E294" s="758">
        <f>SUMIFS(INDEX(Table915[],,MATCH(E$274,Table915[#Headers],0)),Table915[EnergyRating (group)],$A294)</f>
        <v>17462349</v>
      </c>
      <c r="F294" s="758">
        <f>SUMIFS(INDEX(Table915[],,MATCH(F$274,Table915[#Headers],0)),Table915[EnergyRating (group)],$A294)</f>
        <v>95372</v>
      </c>
      <c r="G294" s="758">
        <f>SUMIFS(INDEX(Table915[],,MATCH(G$274,Table915[#Headers],0)),Table915[EnergyRating (group)],$A294)</f>
        <v>9015654</v>
      </c>
      <c r="N294" s="66" t="str">
        <f>RSD_Commodities!M131&amp;"_"&amp;SETUP!$B$67</f>
        <v>PF_Att-D_X0</v>
      </c>
      <c r="O294" s="66" t="str">
        <f>RSD_Commodities!N131&amp;"_"&amp;SETUP!$B$67</f>
        <v>Residential Pumps &amp; Fans Attached-D_X0</v>
      </c>
      <c r="P294" s="83" t="str">
        <f>RSD_Commodities!$C$27</f>
        <v>RSDELCD</v>
      </c>
      <c r="Q294" s="66" t="str">
        <f>RSD_Commodities!M131</f>
        <v>PF_Att-D</v>
      </c>
      <c r="R294" s="83">
        <f t="shared" si="210"/>
        <v>0.22983530863364485</v>
      </c>
      <c r="S294" s="66">
        <f>R294*DwellingStocks!I67/1000</f>
        <v>10.914632791930464</v>
      </c>
      <c r="T294" s="83">
        <v>1</v>
      </c>
      <c r="U294" s="987">
        <f t="shared" si="209"/>
        <v>0.37037001137769548</v>
      </c>
      <c r="V294" s="83">
        <v>20</v>
      </c>
      <c r="W294" s="66">
        <v>1</v>
      </c>
      <c r="Y294" s="926">
        <f t="shared" si="211"/>
        <v>7.832676452857569E-2</v>
      </c>
      <c r="Z294" s="926">
        <f t="shared" si="212"/>
        <v>0.21148246921292913</v>
      </c>
      <c r="AB294" s="66" t="s">
        <v>393</v>
      </c>
      <c r="AC294" s="66" t="str">
        <f t="shared" si="208"/>
        <v>PF_Att-D_X0</v>
      </c>
      <c r="AD294" s="83" t="str">
        <f t="shared" si="208"/>
        <v>Residential Pumps &amp; Fans Attached-D_X0</v>
      </c>
      <c r="AE294" s="66" t="s">
        <v>53</v>
      </c>
      <c r="AF294" s="88" t="s">
        <v>406</v>
      </c>
      <c r="AG294" s="66"/>
      <c r="AH294" s="66"/>
    </row>
    <row r="295" spans="1:34">
      <c r="A295" s="972" t="s">
        <v>120</v>
      </c>
      <c r="B295" s="757">
        <f>SUMIFS(INDEX(Table915[],,MATCH(B$274,Table915[#Headers],0)),Table915[EnergyRating (group)],$A295)</f>
        <v>86465188</v>
      </c>
      <c r="C295" s="757">
        <f>SUMIFS(INDEX(Table915[],,MATCH(C$274,Table915[#Headers],0)),Table915[EnergyRating (group)],$A295)</f>
        <v>32024135</v>
      </c>
      <c r="D295" s="760">
        <f>SUMIFS(INDEX(Table915[],,MATCH(D$274,Table915[#Headers],0)),Table915[EnergyRating (group)],$A295)</f>
        <v>20755553</v>
      </c>
      <c r="E295" s="760">
        <f>SUMIFS(INDEX(Table915[],,MATCH(E$274,Table915[#Headers],0)),Table915[EnergyRating (group)],$A295)</f>
        <v>7687234</v>
      </c>
      <c r="F295" s="757">
        <f>SUMIFS(INDEX(Table915[],,MATCH(F$274,Table915[#Headers],0)),Table915[EnergyRating (group)],$A295)</f>
        <v>46130</v>
      </c>
      <c r="G295" s="757">
        <f>SUMIFS(INDEX(Table915[],,MATCH(G$274,Table915[#Headers],0)),Table915[EnergyRating (group)],$A295)</f>
        <v>4172416</v>
      </c>
      <c r="N295" s="914" t="str">
        <f>RSD_Commodities!M132&amp;"_"&amp;SETUP!$B$67</f>
        <v>PF_Att-E_X0</v>
      </c>
      <c r="O295" s="914" t="str">
        <f>RSD_Commodities!N132&amp;"_"&amp;SETUP!$B$67</f>
        <v>Residential Pumps &amp; Fans Attached-E_X0</v>
      </c>
      <c r="P295" s="915" t="str">
        <f>RSD_Commodities!$C$27</f>
        <v>RSDELCD</v>
      </c>
      <c r="Q295" s="914" t="str">
        <f>RSD_Commodities!M132</f>
        <v>PF_Att-E</v>
      </c>
      <c r="R295" s="915">
        <f t="shared" si="210"/>
        <v>0.11116787723094868</v>
      </c>
      <c r="S295" s="914">
        <f>R295*DwellingStocks!I68/1000</f>
        <v>2.644649243142438</v>
      </c>
      <c r="T295" s="915">
        <v>1</v>
      </c>
      <c r="U295" s="986">
        <f t="shared" si="209"/>
        <v>0.37036999206911037</v>
      </c>
      <c r="V295" s="915">
        <v>20</v>
      </c>
      <c r="W295" s="914">
        <v>1</v>
      </c>
      <c r="Y295" s="928">
        <f t="shared" si="211"/>
        <v>8.3548099643666381E-3</v>
      </c>
      <c r="Z295" s="928">
        <f t="shared" si="212"/>
        <v>2.25580099448436E-2</v>
      </c>
      <c r="AB295" s="914" t="s">
        <v>393</v>
      </c>
      <c r="AC295" s="914" t="str">
        <f t="shared" si="208"/>
        <v>PF_Att-E_X0</v>
      </c>
      <c r="AD295" s="915" t="str">
        <f t="shared" si="208"/>
        <v>Residential Pumps &amp; Fans Attached-E_X0</v>
      </c>
      <c r="AE295" s="914" t="s">
        <v>53</v>
      </c>
      <c r="AF295" s="916" t="s">
        <v>406</v>
      </c>
      <c r="AG295" s="914"/>
      <c r="AH295" s="914"/>
    </row>
    <row r="296" spans="1:34">
      <c r="A296" s="973" t="s">
        <v>122</v>
      </c>
      <c r="B296" s="758">
        <f>SUMIFS(INDEX(Table915[],,MATCH(B$274,Table915[#Headers],0)),Table915[EnergyRating (group)],$A296)</f>
        <v>38857046</v>
      </c>
      <c r="C296" s="758">
        <f>SUMIFS(INDEX(Table915[],,MATCH(C$274,Table915[#Headers],0)),Table915[EnergyRating (group)],$A296)</f>
        <v>14391505</v>
      </c>
      <c r="D296" s="758">
        <f>SUMIFS(INDEX(Table915[],,MATCH(D$274,Table915[#Headers],0)),Table915[EnergyRating (group)],$A296)</f>
        <v>9202232</v>
      </c>
      <c r="E296" s="758">
        <f>SUMIFS(INDEX(Table915[],,MATCH(E$274,Table915[#Headers],0)),Table915[EnergyRating (group)],$A296)</f>
        <v>3408225</v>
      </c>
      <c r="F296" s="758">
        <f>SUMIFS(INDEX(Table915[],,MATCH(F$274,Table915[#Headers],0)),Table915[EnergyRating (group)],$A296)</f>
        <v>20720</v>
      </c>
      <c r="G296" s="758">
        <f>SUMIFS(INDEX(Table915[],,MATCH(G$274,Table915[#Headers],0)),Table915[EnergyRating (group)],$A296)</f>
        <v>1831489</v>
      </c>
      <c r="N296" s="66" t="str">
        <f>RSD_Commodities!M133&amp;"_"&amp;SETUP!$B$67</f>
        <v>PF_Att-F_X0</v>
      </c>
      <c r="O296" s="66" t="str">
        <f>RSD_Commodities!N133&amp;"_"&amp;SETUP!$B$67</f>
        <v>Residential Pumps &amp; Fans Attached-F_X0</v>
      </c>
      <c r="P296" s="83" t="str">
        <f>RSD_Commodities!$C$27</f>
        <v>RSDELCD</v>
      </c>
      <c r="Q296" s="66" t="str">
        <f>RSD_Commodities!M133</f>
        <v>PF_Att-F</v>
      </c>
      <c r="R296" s="83">
        <f t="shared" si="210"/>
        <v>4.9932764279758436E-2</v>
      </c>
      <c r="S296" s="66">
        <f>R296*DwellingStocks!I69/1000</f>
        <v>0.39998220570400683</v>
      </c>
      <c r="T296" s="83">
        <v>1</v>
      </c>
      <c r="U296" s="987">
        <f t="shared" si="209"/>
        <v>0.37036938429720095</v>
      </c>
      <c r="V296" s="83">
        <v>20</v>
      </c>
      <c r="W296" s="66">
        <v>1</v>
      </c>
      <c r="Y296" s="926">
        <f t="shared" si="211"/>
        <v>5.6023124097350917E-4</v>
      </c>
      <c r="Z296" s="926">
        <f t="shared" si="212"/>
        <v>1.5126283778465733E-3</v>
      </c>
      <c r="AB296" s="66" t="s">
        <v>393</v>
      </c>
      <c r="AC296" s="66" t="str">
        <f t="shared" si="208"/>
        <v>PF_Att-F_X0</v>
      </c>
      <c r="AD296" s="83" t="str">
        <f t="shared" si="208"/>
        <v>Residential Pumps &amp; Fans Attached-F_X0</v>
      </c>
      <c r="AE296" s="66" t="s">
        <v>53</v>
      </c>
      <c r="AF296" s="88" t="s">
        <v>406</v>
      </c>
      <c r="AG296" s="66"/>
      <c r="AH296" s="66"/>
    </row>
    <row r="297" spans="1:34">
      <c r="A297" s="972" t="s">
        <v>124</v>
      </c>
      <c r="B297" s="757">
        <f>SUMIFS(INDEX(Table915[],,MATCH(B$274,Table915[#Headers],0)),Table915[EnergyRating (group)],$A297)</f>
        <v>38498913</v>
      </c>
      <c r="C297" s="757">
        <f>SUMIFS(INDEX(Table915[],,MATCH(C$274,Table915[#Headers],0)),Table915[EnergyRating (group)],$A297)</f>
        <v>14258849</v>
      </c>
      <c r="D297" s="760">
        <f>SUMIFS(INDEX(Table915[],,MATCH(D$274,Table915[#Headers],0)),Table915[EnergyRating (group)],$A297)</f>
        <v>6699794</v>
      </c>
      <c r="E297" s="760">
        <f>SUMIFS(INDEX(Table915[],,MATCH(E$274,Table915[#Headers],0)),Table915[EnergyRating (group)],$A297)</f>
        <v>2481396</v>
      </c>
      <c r="F297" s="757">
        <f>SUMIFS(INDEX(Table915[],,MATCH(F$274,Table915[#Headers],0)),Table915[EnergyRating (group)],$A297)</f>
        <v>21208</v>
      </c>
      <c r="G297" s="757">
        <f>SUMIFS(INDEX(Table915[],,MATCH(G$274,Table915[#Headers],0)),Table915[EnergyRating (group)],$A297)</f>
        <v>1754844</v>
      </c>
      <c r="N297" s="914" t="str">
        <f>RSD_Commodities!M134&amp;"_"&amp;SETUP!$B$67</f>
        <v>PF_Att-G_X0</v>
      </c>
      <c r="O297" s="914" t="str">
        <f>RSD_Commodities!N134&amp;"_"&amp;SETUP!$B$67</f>
        <v>Residential Pumps &amp; Fans Attached-G_X0</v>
      </c>
      <c r="P297" s="930" t="str">
        <f>RSD_Commodities!$C$27</f>
        <v>RSDELCD</v>
      </c>
      <c r="Q297" s="914" t="str">
        <f>RSD_Commodities!M134</f>
        <v>PF_Att-G</v>
      </c>
      <c r="R297" s="930">
        <f t="shared" si="210"/>
        <v>5.1108786913374366E-2</v>
      </c>
      <c r="S297" s="914">
        <f>R297*DwellingStocks!I70/1000</f>
        <v>0.4424840902806168</v>
      </c>
      <c r="T297" s="915">
        <v>1</v>
      </c>
      <c r="U297" s="986">
        <f t="shared" si="209"/>
        <v>0.37036899940505635</v>
      </c>
      <c r="V297" s="930">
        <v>20</v>
      </c>
      <c r="W297" s="914">
        <v>1</v>
      </c>
      <c r="Y297" s="928">
        <f t="shared" si="211"/>
        <v>4.5122393904902533E-4</v>
      </c>
      <c r="Z297" s="928">
        <f t="shared" si="212"/>
        <v>1.2183091451332337E-3</v>
      </c>
      <c r="AB297" s="914" t="s">
        <v>393</v>
      </c>
      <c r="AC297" s="914" t="str">
        <f t="shared" si="208"/>
        <v>PF_Att-G_X0</v>
      </c>
      <c r="AD297" s="915" t="str">
        <f t="shared" si="208"/>
        <v>Residential Pumps &amp; Fans Attached-G_X0</v>
      </c>
      <c r="AE297" s="914" t="s">
        <v>53</v>
      </c>
      <c r="AF297" s="916" t="s">
        <v>406</v>
      </c>
      <c r="AG297" s="914"/>
      <c r="AH297" s="914"/>
    </row>
  </sheetData>
  <mergeCells count="16">
    <mergeCell ref="B218:K218"/>
    <mergeCell ref="B235:K235"/>
    <mergeCell ref="B253:K253"/>
    <mergeCell ref="B144:K144"/>
    <mergeCell ref="B155:K155"/>
    <mergeCell ref="B167:K167"/>
    <mergeCell ref="B183:K183"/>
    <mergeCell ref="B201:K201"/>
    <mergeCell ref="B81:I81"/>
    <mergeCell ref="B98:I98"/>
    <mergeCell ref="B115:I115"/>
    <mergeCell ref="B13:I13"/>
    <mergeCell ref="B23:I23"/>
    <mergeCell ref="B35:I35"/>
    <mergeCell ref="B48:I48"/>
    <mergeCell ref="B64:I64"/>
  </mergeCells>
  <phoneticPr fontId="23" type="noConversion"/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61030-1B31-432B-AC08-DD058BB2FFBB}">
  <sheetPr>
    <tabColor rgb="FF92D050"/>
  </sheetPr>
  <dimension ref="A1:AP310"/>
  <sheetViews>
    <sheetView tabSelected="1" topLeftCell="K269" zoomScale="70" zoomScaleNormal="70" workbookViewId="0">
      <selection activeCell="Y314" sqref="Y314"/>
    </sheetView>
    <sheetView topLeftCell="I266" zoomScale="70" zoomScaleNormal="70" workbookViewId="1">
      <selection activeCell="K306" sqref="K306:K307"/>
    </sheetView>
  </sheetViews>
  <sheetFormatPr defaultRowHeight="15"/>
  <cols>
    <col min="1" max="1" width="9.140625" style="137"/>
    <col min="2" max="2" width="32.140625" style="137" customWidth="1"/>
    <col min="3" max="11" width="20.7109375" style="137" customWidth="1"/>
    <col min="12" max="12" width="9.140625" style="137"/>
    <col min="13" max="13" width="12.7109375" style="137" customWidth="1"/>
    <col min="14" max="14" width="29.7109375" style="137" customWidth="1"/>
    <col min="15" max="15" width="96.7109375" style="137" customWidth="1"/>
    <col min="16" max="16" width="32" style="137" customWidth="1"/>
    <col min="17" max="17" width="12.42578125" style="137" bestFit="1" customWidth="1"/>
    <col min="18" max="18" width="13.7109375" style="137" customWidth="1"/>
    <col min="19" max="19" width="8.5703125" style="137" customWidth="1"/>
    <col min="20" max="20" width="10.85546875" style="137" customWidth="1"/>
    <col min="21" max="23" width="8.5703125" style="137" customWidth="1"/>
    <col min="24" max="24" width="2.7109375" style="137" customWidth="1"/>
    <col min="25" max="25" width="15.28515625" style="137" customWidth="1"/>
    <col min="26" max="26" width="16.42578125" style="137" customWidth="1"/>
    <col min="27" max="27" width="2.7109375" style="137" customWidth="1"/>
    <col min="28" max="28" width="16.140625" style="137" bestFit="1" customWidth="1"/>
    <col min="29" max="29" width="27" style="137" customWidth="1"/>
    <col min="30" max="30" width="79.28515625" style="137" customWidth="1"/>
    <col min="31" max="33" width="9.140625" style="137"/>
    <col min="34" max="34" width="12.28515625" style="137" customWidth="1"/>
    <col min="35" max="35" width="9.140625" style="137"/>
    <col min="36" max="36" width="2.28515625" style="137" bestFit="1" customWidth="1"/>
    <col min="37" max="37" width="2.85546875" style="137" bestFit="1" customWidth="1"/>
    <col min="38" max="38" width="11" style="137" bestFit="1" customWidth="1"/>
    <col min="39" max="39" width="10.5703125" style="137" bestFit="1" customWidth="1"/>
    <col min="40" max="40" width="4.140625" style="137" bestFit="1" customWidth="1"/>
    <col min="41" max="41" width="6.5703125" style="137" customWidth="1"/>
    <col min="42" max="16384" width="9.140625" style="137"/>
  </cols>
  <sheetData>
    <row r="1" spans="1:40" ht="21.95" customHeight="1">
      <c r="A1" s="139" t="s">
        <v>840</v>
      </c>
      <c r="B1" s="139"/>
      <c r="C1" s="139"/>
      <c r="D1" s="139"/>
      <c r="E1" s="139"/>
      <c r="F1" s="139"/>
      <c r="G1" s="139"/>
      <c r="H1" s="139"/>
      <c r="I1" s="139"/>
      <c r="J1" s="139"/>
      <c r="K1" s="139"/>
      <c r="L1" s="840"/>
      <c r="M1" s="840"/>
      <c r="N1" s="138" t="s">
        <v>395</v>
      </c>
      <c r="O1" s="99"/>
      <c r="P1" s="99"/>
      <c r="Q1" s="99"/>
      <c r="R1" s="99"/>
      <c r="S1" s="864"/>
      <c r="T1" s="99"/>
      <c r="U1" s="864"/>
      <c r="V1" s="864"/>
      <c r="W1" s="864"/>
      <c r="X1" s="864"/>
      <c r="Y1" s="864"/>
      <c r="Z1" s="864"/>
      <c r="AA1" s="840"/>
      <c r="AB1" s="864"/>
      <c r="AC1" s="864"/>
      <c r="AD1" s="864"/>
      <c r="AE1" s="864"/>
      <c r="AF1" s="864"/>
      <c r="AG1" s="864"/>
      <c r="AH1" s="864"/>
      <c r="AI1" s="840"/>
      <c r="AJ1" s="840"/>
      <c r="AK1" s="840"/>
      <c r="AL1" s="840"/>
      <c r="AM1" s="840"/>
      <c r="AN1" s="840"/>
    </row>
    <row r="2" spans="1:40" ht="15" customHeight="1">
      <c r="A2" s="1100" t="s">
        <v>846</v>
      </c>
      <c r="B2" s="865">
        <f>3.6*10^-9/8760</f>
        <v>4.1095890410958911E-13</v>
      </c>
      <c r="C2" s="865"/>
      <c r="D2" s="865" t="s">
        <v>53</v>
      </c>
      <c r="E2" s="865"/>
      <c r="F2" s="865"/>
      <c r="G2" s="840"/>
      <c r="H2" s="840"/>
      <c r="I2" s="840"/>
      <c r="J2" s="840"/>
      <c r="K2" s="840"/>
      <c r="L2" s="840"/>
      <c r="M2" s="840"/>
      <c r="N2" s="840"/>
      <c r="O2" s="840"/>
      <c r="P2" s="840"/>
      <c r="Q2" s="840"/>
      <c r="R2" s="840"/>
      <c r="S2" s="840"/>
      <c r="T2" s="840"/>
      <c r="U2" s="840"/>
      <c r="V2" s="840"/>
      <c r="W2" s="840"/>
      <c r="X2" s="840"/>
      <c r="Y2" s="840"/>
      <c r="Z2" s="840"/>
      <c r="AA2" s="840"/>
      <c r="AB2" s="840"/>
      <c r="AC2" s="840"/>
      <c r="AD2" s="840"/>
      <c r="AE2" s="840"/>
      <c r="AF2" s="840"/>
      <c r="AG2" s="840"/>
      <c r="AH2" s="840"/>
      <c r="AI2" s="840"/>
      <c r="AJ2" s="840"/>
      <c r="AK2" s="840"/>
      <c r="AL2" s="840"/>
      <c r="AM2" s="840"/>
      <c r="AN2" s="840"/>
    </row>
    <row r="3" spans="1:40" ht="21">
      <c r="A3" s="840"/>
      <c r="B3" s="840"/>
      <c r="C3" s="840"/>
      <c r="D3" s="840"/>
      <c r="E3" s="840"/>
      <c r="F3" s="840"/>
      <c r="G3" s="840"/>
      <c r="H3" s="840"/>
      <c r="I3" s="840"/>
      <c r="J3" s="840"/>
      <c r="K3" s="840"/>
      <c r="L3" s="840"/>
      <c r="M3" s="840"/>
      <c r="N3" s="138" t="s">
        <v>841</v>
      </c>
      <c r="O3" s="138"/>
      <c r="P3" s="138"/>
      <c r="Q3" s="142" t="s">
        <v>372</v>
      </c>
      <c r="R3" s="85"/>
      <c r="S3" s="85"/>
      <c r="T3" s="85"/>
      <c r="U3" s="85"/>
      <c r="V3" s="85"/>
      <c r="W3" s="85"/>
      <c r="X3" s="90"/>
      <c r="Y3" s="96" t="s">
        <v>561</v>
      </c>
      <c r="Z3" s="866"/>
      <c r="AA3" s="866"/>
      <c r="AB3" s="68" t="s">
        <v>373</v>
      </c>
      <c r="AC3" s="68"/>
      <c r="AD3" s="839"/>
      <c r="AE3" s="839"/>
      <c r="AF3" s="839"/>
      <c r="AG3" s="839"/>
      <c r="AH3" s="839"/>
      <c r="AI3" s="840"/>
      <c r="AJ3" s="840"/>
      <c r="AK3" s="840"/>
      <c r="AL3" s="840"/>
      <c r="AM3" s="840"/>
      <c r="AN3" s="840"/>
    </row>
    <row r="4" spans="1:40" ht="15" customHeight="1" thickBot="1">
      <c r="A4" s="840"/>
      <c r="B4" s="840"/>
      <c r="C4" s="840"/>
      <c r="D4" s="840"/>
      <c r="E4" s="840"/>
      <c r="F4" s="840"/>
      <c r="G4" s="840"/>
      <c r="H4" s="840"/>
      <c r="I4" s="840"/>
      <c r="J4" s="840"/>
      <c r="K4" s="840"/>
      <c r="L4" s="840"/>
      <c r="M4" s="840"/>
      <c r="N4" s="73" t="s">
        <v>374</v>
      </c>
      <c r="O4" s="73" t="s">
        <v>397</v>
      </c>
      <c r="P4" s="73" t="s">
        <v>376</v>
      </c>
      <c r="Q4" s="73" t="s">
        <v>377</v>
      </c>
      <c r="R4" s="73" t="s">
        <v>562</v>
      </c>
      <c r="S4" s="86" t="s">
        <v>398</v>
      </c>
      <c r="T4" s="73" t="s">
        <v>811</v>
      </c>
      <c r="U4" s="73" t="s">
        <v>378</v>
      </c>
      <c r="V4" s="86" t="s">
        <v>380</v>
      </c>
      <c r="W4" s="86" t="s">
        <v>400</v>
      </c>
      <c r="X4" s="91"/>
      <c r="Y4" s="94" t="s">
        <v>563</v>
      </c>
      <c r="Z4" s="95" t="s">
        <v>564</v>
      </c>
      <c r="AA4" s="91"/>
      <c r="AB4" s="73" t="s">
        <v>385</v>
      </c>
      <c r="AC4" s="73" t="s">
        <v>374</v>
      </c>
      <c r="AD4" s="73" t="s">
        <v>375</v>
      </c>
      <c r="AE4" s="73" t="s">
        <v>386</v>
      </c>
      <c r="AF4" s="73" t="s">
        <v>387</v>
      </c>
      <c r="AG4" s="73" t="s">
        <v>388</v>
      </c>
      <c r="AH4" s="73" t="s">
        <v>389</v>
      </c>
      <c r="AI4" s="840"/>
      <c r="AJ4" s="840"/>
      <c r="AK4" s="840"/>
      <c r="AL4" s="840"/>
      <c r="AM4" s="840"/>
      <c r="AN4" s="840"/>
    </row>
    <row r="5" spans="1:40" ht="21.75" customHeight="1" thickBot="1">
      <c r="A5" s="756" t="s">
        <v>108</v>
      </c>
      <c r="B5" s="756"/>
      <c r="C5" s="756" t="s">
        <v>565</v>
      </c>
      <c r="D5" s="756" t="s">
        <v>565</v>
      </c>
      <c r="E5" s="756" t="s">
        <v>565</v>
      </c>
      <c r="F5" s="756" t="s">
        <v>565</v>
      </c>
      <c r="G5" s="756" t="s">
        <v>566</v>
      </c>
      <c r="H5" s="756" t="s">
        <v>567</v>
      </c>
      <c r="I5" s="756" t="s">
        <v>568</v>
      </c>
      <c r="J5" s="736" t="s">
        <v>565</v>
      </c>
      <c r="K5" s="737" t="s">
        <v>565</v>
      </c>
      <c r="L5" s="135"/>
      <c r="M5" s="840"/>
      <c r="N5" s="74" t="s">
        <v>402</v>
      </c>
      <c r="O5" s="74" t="s">
        <v>403</v>
      </c>
      <c r="P5" s="74" t="s">
        <v>404</v>
      </c>
      <c r="Q5" s="74" t="s">
        <v>405</v>
      </c>
      <c r="R5" s="74"/>
      <c r="S5" s="89" t="s">
        <v>406</v>
      </c>
      <c r="T5" s="74"/>
      <c r="U5" s="74" t="s">
        <v>568</v>
      </c>
      <c r="V5" s="87"/>
      <c r="W5" s="87"/>
      <c r="X5" s="92"/>
      <c r="Y5" s="732" t="s">
        <v>53</v>
      </c>
      <c r="Z5" s="733" t="s">
        <v>53</v>
      </c>
      <c r="AA5" s="92"/>
      <c r="AB5" s="75" t="s">
        <v>370</v>
      </c>
      <c r="AC5" s="75"/>
      <c r="AD5" s="74"/>
      <c r="AE5" s="75"/>
      <c r="AF5" s="75"/>
      <c r="AG5" s="75"/>
      <c r="AH5" s="75"/>
      <c r="AI5" s="840"/>
      <c r="AJ5" s="840"/>
      <c r="AK5" s="840"/>
      <c r="AL5" s="840"/>
      <c r="AM5" s="840"/>
      <c r="AN5" s="840"/>
    </row>
    <row r="6" spans="1:40" ht="26.25" customHeight="1" thickBot="1">
      <c r="A6" s="945" t="s">
        <v>569</v>
      </c>
      <c r="B6" s="946" t="s">
        <v>570</v>
      </c>
      <c r="C6" s="946" t="s">
        <v>571</v>
      </c>
      <c r="D6" s="946" t="s">
        <v>572</v>
      </c>
      <c r="E6" s="946" t="s">
        <v>573</v>
      </c>
      <c r="F6" s="946" t="s">
        <v>574</v>
      </c>
      <c r="G6" s="946" t="s">
        <v>575</v>
      </c>
      <c r="H6" s="946" t="s">
        <v>576</v>
      </c>
      <c r="I6" s="946" t="s">
        <v>577</v>
      </c>
      <c r="J6" s="947" t="s">
        <v>578</v>
      </c>
      <c r="K6" s="948" t="s">
        <v>579</v>
      </c>
      <c r="L6" s="135"/>
      <c r="M6" s="840"/>
      <c r="N6" s="76" t="str">
        <f>AB6</f>
        <v>*A Rating</v>
      </c>
      <c r="O6" s="76"/>
      <c r="P6" s="76"/>
      <c r="Q6" s="76"/>
      <c r="R6" s="949">
        <f>SUM(R7:R16)</f>
        <v>1</v>
      </c>
      <c r="S6" s="76"/>
      <c r="T6" s="97"/>
      <c r="U6" s="76"/>
      <c r="V6" s="76"/>
      <c r="W6" s="76"/>
      <c r="X6" s="93"/>
      <c r="Y6" s="76"/>
      <c r="Z6" s="76"/>
      <c r="AA6" s="93"/>
      <c r="AB6" s="140" t="str">
        <f>"*"&amp; A5 &amp; " Rating"</f>
        <v>*A Rating</v>
      </c>
      <c r="AC6" s="141"/>
      <c r="AD6" s="141"/>
      <c r="AE6" s="141"/>
      <c r="AF6" s="141"/>
      <c r="AG6" s="141"/>
      <c r="AH6" s="141"/>
      <c r="AI6" s="840"/>
      <c r="AJ6" s="840"/>
      <c r="AK6" s="840"/>
      <c r="AL6" s="840"/>
      <c r="AM6" s="840"/>
      <c r="AN6" s="840"/>
    </row>
    <row r="7" spans="1:40">
      <c r="A7" s="758" t="s">
        <v>108</v>
      </c>
      <c r="B7" s="758" t="s">
        <v>582</v>
      </c>
      <c r="C7" s="758">
        <f>SUMIFS(INDEX(Table91517[],,MATCH(C$6,Table91517[#Headers],0)),Table91517[MainSpaceHeatingFuel],$B7,Table91517[EnergyRating (group)],$A7)</f>
        <v>222904</v>
      </c>
      <c r="D7" s="759">
        <f>SUMIFS(INDEX(Table91517[],,MATCH($D$6,Table91517[#Headers],0)),Table91517[MainSpaceHeatingFuel],B7,Table91517[EnergyRating (group)],A7)</f>
        <v>202640</v>
      </c>
      <c r="E7" s="759">
        <f>SUMIFS(INDEX(Table91517[],,MATCH(E$6,Table91517[#Headers],0)),Table91517[MainSpaceHeatingFuel],$B7,Table91517[EnergyRating (group)],$A7)</f>
        <v>25990</v>
      </c>
      <c r="F7" s="758">
        <f>SUMIFS(INDEX(Table91517[],,MATCH(F$6,Table91517[#Headers],0)),Table91517[MainSpaceHeatingFuel],$B7,Table91517[EnergyRating (group)],$A7)</f>
        <v>25686</v>
      </c>
      <c r="G7" s="758">
        <f>SUMIFS(INDEX(Table91517[],,MATCH(G$6,Table91517[#Headers],0)),Table91517[MainSpaceHeatingFuel],$B7,Table91517[EnergyRating (group)],$A7)</f>
        <v>63</v>
      </c>
      <c r="H7" s="911">
        <f>SUMIFS(INDEX(Table91517[],,MATCH(H$6,Table91517[#Headers],0)),Table91517[MainSpaceHeatingFuel],$B7,Table91517[EnergyRating (group)],$A7)</f>
        <v>12690</v>
      </c>
      <c r="I7" s="911">
        <f>AVERAGEIFS(INDEX(Table91517[],,MATCH(I$6,Table91517[#Headers],0)),Table91517[MainSpaceHeatingFuel],$B7,Table91517[EnergyRating (group)],$A7)</f>
        <v>91.391304347826093</v>
      </c>
      <c r="J7" s="849">
        <f>SUMIFS(INDEX(Table91517[],,MATCH(J$6,Table91517[#Headers],0)),Table91517[MainSpaceHeatingFuel],$B7,Table91517[EnergyRating (group)],$A7)</f>
        <v>763606</v>
      </c>
      <c r="K7" s="870">
        <f>SUMIFS(INDEX(Table91517[],,MATCH(K$6,Table91517[#Headers],0)),Table91517[MainSpaceHeatingFuel],$B7,Table91517[EnergyRating (group)],$A7)</f>
        <v>531558</v>
      </c>
      <c r="L7" s="135"/>
      <c r="M7" s="840"/>
      <c r="N7" s="914" t="str">
        <f>RSD_Commodities!$M$27&amp;"_"&amp;RIGHT(P7,LEN(P7)-3)&amp;"_"&amp;SETUP!$B$67</f>
        <v>SH_Det-A_OILLPG_X0</v>
      </c>
      <c r="O7" s="914" t="str">
        <f>RSD_Commodities!$N$18&amp;"_"&amp;RSD_Commodities!D11&amp;"_"&amp;SETUP!$C$67</f>
        <v>Residential Space Heating Attached-A_LPG to Residential_Existing 00</v>
      </c>
      <c r="P7" s="915" t="str">
        <f>RSD_Commodities!$C$11</f>
        <v>RSDOILLPG</v>
      </c>
      <c r="Q7" s="930" t="str">
        <f>RSD_Commodities!$M$27</f>
        <v>SH_Det-A</v>
      </c>
      <c r="R7" s="1000">
        <f>G7/SUM($G$7:$G$16)</f>
        <v>6.3810391978122152E-3</v>
      </c>
      <c r="S7" s="932">
        <f>R7*DwellingStocks!$I$62/1000</f>
        <v>6.7294543366663628E-2</v>
      </c>
      <c r="T7" s="914">
        <v>1</v>
      </c>
      <c r="U7" s="914">
        <f t="shared" ref="U7:U10" si="0">I7/100</f>
        <v>0.91391304347826097</v>
      </c>
      <c r="V7" s="930">
        <v>20</v>
      </c>
      <c r="W7" s="930">
        <v>1</v>
      </c>
      <c r="X7" s="866"/>
      <c r="Y7" s="922">
        <f t="shared" ref="Y7:Y8" si="1">ABS((D7+F7)*S7*1000*$B$2)</f>
        <v>6.3144221542754142E-6</v>
      </c>
      <c r="Z7" s="922">
        <f t="shared" ref="Z7:Z8" si="2">ABS((C7+E7)*S7*1000*$B$2)</f>
        <v>6.8832361959050874E-6</v>
      </c>
      <c r="AA7" s="866"/>
      <c r="AB7" s="939" t="s">
        <v>393</v>
      </c>
      <c r="AC7" s="914" t="str">
        <f t="shared" ref="AC7:AD10" si="3">N7</f>
        <v>SH_Det-A_OILLPG_X0</v>
      </c>
      <c r="AD7" s="915" t="str">
        <f t="shared" si="3"/>
        <v>Residential Space Heating Attached-A_LPG to Residential_Existing 00</v>
      </c>
      <c r="AE7" s="914" t="s">
        <v>53</v>
      </c>
      <c r="AF7" s="916" t="s">
        <v>406</v>
      </c>
      <c r="AG7" s="914"/>
      <c r="AH7" s="914"/>
      <c r="AI7" s="840"/>
      <c r="AJ7" s="840"/>
      <c r="AK7" s="840"/>
      <c r="AL7" s="840"/>
      <c r="AM7" s="840"/>
      <c r="AN7" s="840"/>
    </row>
    <row r="8" spans="1:40">
      <c r="A8" s="757" t="s">
        <v>108</v>
      </c>
      <c r="B8" s="757" t="s">
        <v>228</v>
      </c>
      <c r="C8" s="757">
        <f>SUMIFS(INDEX(Table91517[],,MATCH(C$6,Table91517[#Headers],0)),Table91517[MainSpaceHeatingFuel],$B8,Table91517[EnergyRating (group)],$A8)</f>
        <v>9056935</v>
      </c>
      <c r="D8" s="757">
        <f>SUMIFS(INDEX(Table91517[],,MATCH($D$6,Table91517[#Headers],0)),Table91517[MainSpaceHeatingFuel],B8,Table91517[EnergyRating (group)],A8)</f>
        <v>3354421</v>
      </c>
      <c r="E8" s="757">
        <f>SUMIFS(INDEX(Table91517[],,MATCH(E$6,Table91517[#Headers],0)),Table91517[MainSpaceHeatingFuel],$B8,Table91517[EnergyRating (group)],$A8)</f>
        <v>2336537</v>
      </c>
      <c r="F8" s="757">
        <f>SUMIFS(INDEX(Table91517[],,MATCH(F$6,Table91517[#Headers],0)),Table91517[MainSpaceHeatingFuel],$B8,Table91517[EnergyRating (group)],$A8)</f>
        <v>2027747</v>
      </c>
      <c r="G8" s="757">
        <f>SUMIFS(INDEX(Table91517[],,MATCH(G$6,Table91517[#Headers],0)),Table91517[MainSpaceHeatingFuel],$B8,Table91517[EnergyRating (group)],$A8)</f>
        <v>6105</v>
      </c>
      <c r="H8" s="912">
        <f>SUMIFS(INDEX(Table91517[],,MATCH(H$6,Table91517[#Headers],0)),Table91517[MainSpaceHeatingFuel],$B8,Table91517[EnergyRating (group)],$A8)</f>
        <v>1314982</v>
      </c>
      <c r="I8" s="912">
        <f>AVERAGEIFS(INDEX(Table91517[],,MATCH(I$6,Table91517[#Headers],0)),Table91517[MainSpaceHeatingFuel],$B8,Table91517[EnergyRating (group)],$A8)</f>
        <v>434.26829268292681</v>
      </c>
      <c r="J8" s="847">
        <f>SUMIFS(INDEX(Table91517[],,MATCH(J$6,Table91517[#Headers],0)),Table91517[MainSpaceHeatingFuel],$B8,Table91517[EnergyRating (group)],$A8)</f>
        <v>70570727</v>
      </c>
      <c r="K8" s="869">
        <f>SUMIFS(INDEX(Table91517[],,MATCH(K$6,Table91517[#Headers],0)),Table91517[MainSpaceHeatingFuel],$B8,Table91517[EnergyRating (group)],$A8)</f>
        <v>27350173</v>
      </c>
      <c r="L8" s="135"/>
      <c r="M8" s="840"/>
      <c r="N8" s="66" t="str">
        <f>RSD_Commodities!$M$27&amp;"_"&amp;RIGHT(P8,LEN(P8)-3)&amp;"_"&amp;SETUP!$B$67</f>
        <v>SH_Det-A_ELCD_X0</v>
      </c>
      <c r="O8" s="933" t="str">
        <f>RSD_Commodities!$N$18&amp;"_"&amp;RSD_Commodities!D27&amp;"_"&amp;SETUP!$C$67</f>
        <v>Residential Space Heating Attached-A_Electricity to Residential_Existing 00</v>
      </c>
      <c r="P8" s="83" t="str">
        <f>RSD_Commodities!$C$27</f>
        <v>RSDELCD</v>
      </c>
      <c r="Q8" s="935" t="str">
        <f>RSD_Commodities!$M$27</f>
        <v>SH_Det-A</v>
      </c>
      <c r="R8" s="1001">
        <f>G8/SUM($G$7:$G$16)</f>
        <v>0.61835308416894563</v>
      </c>
      <c r="S8" s="937">
        <f>R8*DwellingStocks!$I$62/1000</f>
        <v>6.5211617024362143</v>
      </c>
      <c r="T8" s="66">
        <v>1</v>
      </c>
      <c r="U8" s="66">
        <f t="shared" si="0"/>
        <v>4.3426829268292684</v>
      </c>
      <c r="V8" s="935">
        <v>20</v>
      </c>
      <c r="W8" s="935">
        <v>1</v>
      </c>
      <c r="X8" s="866"/>
      <c r="Y8" s="920">
        <f t="shared" si="1"/>
        <v>1.4423830618223723E-2</v>
      </c>
      <c r="Z8" s="920">
        <f t="shared" si="2"/>
        <v>3.0533701341443568E-2</v>
      </c>
      <c r="AA8" s="866"/>
      <c r="AB8" s="941" t="s">
        <v>393</v>
      </c>
      <c r="AC8" s="933" t="str">
        <f t="shared" si="3"/>
        <v>SH_Det-A_ELCD_X0</v>
      </c>
      <c r="AD8" s="934" t="str">
        <f t="shared" si="3"/>
        <v>Residential Space Heating Attached-A_Electricity to Residential_Existing 00</v>
      </c>
      <c r="AE8" s="935" t="s">
        <v>53</v>
      </c>
      <c r="AF8" s="942" t="s">
        <v>406</v>
      </c>
      <c r="AG8" s="935"/>
      <c r="AH8" s="935"/>
      <c r="AI8" s="840"/>
      <c r="AJ8" s="840"/>
      <c r="AK8" s="840"/>
      <c r="AL8" s="840"/>
      <c r="AM8" s="840"/>
      <c r="AN8" s="840"/>
    </row>
    <row r="9" spans="1:40">
      <c r="A9" s="758" t="s">
        <v>108</v>
      </c>
      <c r="B9" s="758" t="s">
        <v>583</v>
      </c>
      <c r="C9" s="758">
        <f>SUMIFS(INDEX(Table91517[],,MATCH(C$6,Table91517[#Headers],0)),Table91517[MainSpaceHeatingFuel],$B9,Table91517[EnergyRating (group)],$A9)</f>
        <v>5305488</v>
      </c>
      <c r="D9" s="759">
        <f>SUMIFS(INDEX(Table91517[],,MATCH($D$6,Table91517[#Headers],0)),Table91517[MainSpaceHeatingFuel],B9,Table91517[EnergyRating (group)],A9)</f>
        <v>4823171</v>
      </c>
      <c r="E9" s="759">
        <f>SUMIFS(INDEX(Table91517[],,MATCH(E$6,Table91517[#Headers],0)),Table91517[MainSpaceHeatingFuel],$B9,Table91517[EnergyRating (group)],$A9)</f>
        <v>774017</v>
      </c>
      <c r="F9" s="758">
        <f>SUMIFS(INDEX(Table91517[],,MATCH(F$6,Table91517[#Headers],0)),Table91517[MainSpaceHeatingFuel],$B9,Table91517[EnergyRating (group)],$A9)</f>
        <v>701006</v>
      </c>
      <c r="G9" s="758">
        <f>SUMIFS(INDEX(Table91517[],,MATCH(G$6,Table91517[#Headers],0)),Table91517[MainSpaceHeatingFuel],$B9,Table91517[EnergyRating (group)],$A9)</f>
        <v>1280</v>
      </c>
      <c r="H9" s="911">
        <f>SUMIFS(INDEX(Table91517[],,MATCH(H$6,Table91517[#Headers],0)),Table91517[MainSpaceHeatingFuel],$B9,Table91517[EnergyRating (group)],$A9)</f>
        <v>262147</v>
      </c>
      <c r="I9" s="911">
        <f>AVERAGEIFS(INDEX(Table91517[],,MATCH(I$6,Table91517[#Headers],0)),Table91517[MainSpaceHeatingFuel],$B9,Table91517[EnergyRating (group)],$A9)</f>
        <v>94.956521739130437</v>
      </c>
      <c r="J9" s="849">
        <f>SUMIFS(INDEX(Table91517[],,MATCH(J$6,Table91517[#Headers],0)),Table91517[MainSpaceHeatingFuel],$B9,Table91517[EnergyRating (group)],$A9)</f>
        <v>16002409</v>
      </c>
      <c r="K9" s="870">
        <f>SUMIFS(INDEX(Table91517[],,MATCH(K$6,Table91517[#Headers],0)),Table91517[MainSpaceHeatingFuel],$B9,Table91517[EnergyRating (group)],$A9)</f>
        <v>11670645</v>
      </c>
      <c r="L9" s="135"/>
      <c r="M9" s="840"/>
      <c r="N9" s="914" t="str">
        <f>RSD_Commodities!$M$27&amp;"_"&amp;RIGHT(P9,LEN(P9)-3)&amp;"_"&amp;SETUP!$B$67</f>
        <v>SH_Det-A_OILKER_X0</v>
      </c>
      <c r="O9" s="914" t="str">
        <f>RSD_Commodities!$N$18&amp;"_"&amp;RSD_Commodities!D13&amp;"_"&amp;SETUP!$C$67</f>
        <v>Residential Space Heating Attached-A_Kerosene to Residential_Existing 00</v>
      </c>
      <c r="P9" s="915" t="str">
        <f>RSD_Commodities!$C$13</f>
        <v>RSDOILKER</v>
      </c>
      <c r="Q9" s="930" t="str">
        <f>RSD_Commodities!$M$27</f>
        <v>SH_Det-A</v>
      </c>
      <c r="R9" s="1000">
        <f t="shared" ref="R9:R16" si="4">G9/SUM($G$7:$G$16)</f>
        <v>0.12964651068570851</v>
      </c>
      <c r="S9" s="932">
        <f>R9*DwellingStocks!$I$62/1000</f>
        <v>1.3672542144338009</v>
      </c>
      <c r="T9" s="914">
        <v>1</v>
      </c>
      <c r="U9" s="914">
        <f t="shared" si="0"/>
        <v>0.94956521739130439</v>
      </c>
      <c r="V9" s="930">
        <v>20</v>
      </c>
      <c r="W9" s="930">
        <v>1</v>
      </c>
      <c r="X9" s="866"/>
      <c r="Y9" s="922">
        <f t="shared" ref="Y9:Y16" si="5">ABS((D9+F9)*S9*1000*$B$2)</f>
        <v>3.1039538155595643E-3</v>
      </c>
      <c r="Z9" s="922">
        <f t="shared" ref="Z9:Z16" si="6">ABS((C9+E9)*S9*1000*$B$2)</f>
        <v>3.4159844518854929E-3</v>
      </c>
      <c r="AA9" s="866"/>
      <c r="AB9" s="939" t="s">
        <v>393</v>
      </c>
      <c r="AC9" s="914" t="str">
        <f t="shared" si="3"/>
        <v>SH_Det-A_OILKER_X0</v>
      </c>
      <c r="AD9" s="915" t="str">
        <f t="shared" si="3"/>
        <v>Residential Space Heating Attached-A_Kerosene to Residential_Existing 00</v>
      </c>
      <c r="AE9" s="930" t="s">
        <v>53</v>
      </c>
      <c r="AF9" s="940" t="s">
        <v>406</v>
      </c>
      <c r="AG9" s="930"/>
      <c r="AH9" s="930"/>
      <c r="AI9" s="840"/>
      <c r="AJ9" s="840"/>
      <c r="AK9" s="840"/>
      <c r="AL9" s="840"/>
      <c r="AM9" s="840"/>
      <c r="AN9" s="840"/>
    </row>
    <row r="10" spans="1:40">
      <c r="A10" s="757" t="s">
        <v>108</v>
      </c>
      <c r="B10" s="757" t="s">
        <v>584</v>
      </c>
      <c r="C10" s="757">
        <f>SUMIFS(INDEX(Table91517[],,MATCH(C$6,Table91517[#Headers],0)),Table91517[MainSpaceHeatingFuel],$B10,Table91517[EnergyRating (group)],$A10)</f>
        <v>5590105</v>
      </c>
      <c r="D10" s="760">
        <f>SUMIFS(INDEX(Table91517[],,MATCH($D$6,Table91517[#Headers],0)),Table91517[MainSpaceHeatingFuel],B10,Table91517[EnergyRating (group)],A10)</f>
        <v>5081916</v>
      </c>
      <c r="E10" s="760">
        <f>SUMIFS(INDEX(Table91517[],,MATCH(E$6,Table91517[#Headers],0)),Table91517[MainSpaceHeatingFuel],$B10,Table91517[EnergyRating (group)],$A10)</f>
        <v>571173</v>
      </c>
      <c r="F10" s="757">
        <f>SUMIFS(INDEX(Table91517[],,MATCH(F$6,Table91517[#Headers],0)),Table91517[MainSpaceHeatingFuel],$B10,Table91517[EnergyRating (group)],$A10)</f>
        <v>481192</v>
      </c>
      <c r="G10" s="757">
        <f>SUMIFS(INDEX(Table91517[],,MATCH(G$6,Table91517[#Headers],0)),Table91517[MainSpaceHeatingFuel],$B10,Table91517[EnergyRating (group)],$A10)</f>
        <v>2330</v>
      </c>
      <c r="H10" s="912">
        <f>SUMIFS(INDEX(Table91517[],,MATCH(H$6,Table91517[#Headers],0)),Table91517[MainSpaceHeatingFuel],$B10,Table91517[EnergyRating (group)],$A10)</f>
        <v>381411</v>
      </c>
      <c r="I10" s="912">
        <f>AVERAGEIFS(INDEX(Table91517[],,MATCH(I$6,Table91517[#Headers],0)),Table91517[MainSpaceHeatingFuel],$B10,Table91517[EnergyRating (group)],$A10)</f>
        <v>90.678571428571431</v>
      </c>
      <c r="J10" s="847">
        <f>SUMIFS(INDEX(Table91517[],,MATCH(J$6,Table91517[#Headers],0)),Table91517[MainSpaceHeatingFuel],$B10,Table91517[EnergyRating (group)],$A10)</f>
        <v>22339579</v>
      </c>
      <c r="K10" s="869">
        <f>SUMIFS(INDEX(Table91517[],,MATCH(K$6,Table91517[#Headers],0)),Table91517[MainSpaceHeatingFuel],$B10,Table91517[EnergyRating (group)],$A10)</f>
        <v>16140949</v>
      </c>
      <c r="L10" s="135"/>
      <c r="M10" s="840"/>
      <c r="N10" s="66" t="str">
        <f>RSD_Commodities!$M$27&amp;"_"&amp;RIGHT(P10,LEN(P10)-3)&amp;"_"&amp;SETUP!$B$67</f>
        <v>SH_Det-A_GASNAT_X0</v>
      </c>
      <c r="O10" s="933" t="str">
        <f>RSD_Commodities!$N$18&amp;"_"&amp;RSD_Commodities!D17&amp;"_"&amp;SETUP!$C$67</f>
        <v>Residential Space Heating Attached-A_Natural Gas to Residential_Existing 00</v>
      </c>
      <c r="P10" s="83" t="str">
        <f>RSD_Commodities!$C$17</f>
        <v>RSDGASNAT</v>
      </c>
      <c r="Q10" s="935" t="str">
        <f>RSD_Commodities!$M$27</f>
        <v>SH_Det-A</v>
      </c>
      <c r="R10" s="1001">
        <f t="shared" si="4"/>
        <v>0.23599716398257875</v>
      </c>
      <c r="S10" s="937">
        <f>R10*DwellingStocks!$I$62/1000</f>
        <v>2.4888299372115279</v>
      </c>
      <c r="T10" s="66">
        <v>1</v>
      </c>
      <c r="U10" s="66">
        <f t="shared" si="0"/>
        <v>0.90678571428571431</v>
      </c>
      <c r="V10" s="935">
        <v>20</v>
      </c>
      <c r="W10" s="935">
        <v>1</v>
      </c>
      <c r="X10" s="866"/>
      <c r="Y10" s="920">
        <f t="shared" si="5"/>
        <v>5.6899848223318974E-3</v>
      </c>
      <c r="Z10" s="920">
        <f t="shared" si="6"/>
        <v>6.3017971799518239E-3</v>
      </c>
      <c r="AA10" s="866"/>
      <c r="AB10" s="941" t="s">
        <v>393</v>
      </c>
      <c r="AC10" s="933" t="str">
        <f t="shared" si="3"/>
        <v>SH_Det-A_GASNAT_X0</v>
      </c>
      <c r="AD10" s="934" t="str">
        <f t="shared" si="3"/>
        <v>Residential Space Heating Attached-A_Natural Gas to Residential_Existing 00</v>
      </c>
      <c r="AE10" s="935" t="s">
        <v>53</v>
      </c>
      <c r="AF10" s="942" t="s">
        <v>406</v>
      </c>
      <c r="AG10" s="935"/>
      <c r="AH10" s="935"/>
      <c r="AI10" s="840"/>
      <c r="AJ10" s="840"/>
      <c r="AK10" s="840"/>
      <c r="AL10" s="840"/>
      <c r="AM10" s="840"/>
      <c r="AN10" s="840"/>
    </row>
    <row r="11" spans="1:40">
      <c r="A11" s="758" t="s">
        <v>108</v>
      </c>
      <c r="B11" s="758" t="s">
        <v>587</v>
      </c>
      <c r="C11" s="758">
        <f>SUMIFS(INDEX(Table91517[],,MATCH(C$6,Table91517[#Headers],0)),Table91517[MainSpaceHeatingFuel],"",Table91517[EnergyRating (group)],$A11)</f>
        <v>0</v>
      </c>
      <c r="D11" s="758">
        <f>SUMIFS(INDEX(Table91517[],,MATCH($D$6,Table91517[#Headers],0)),Table91517[MainSpaceHeatingFuel],"",Table91517[EnergyRating (group)],$A11)</f>
        <v>0</v>
      </c>
      <c r="E11" s="758">
        <f>SUMIFS(INDEX(Table91517[],,MATCH(E$6,Table91517[#Headers],0)),Table91517[MainSpaceHeatingFuel],"",Table91517[EnergyRating (group)],$A11)</f>
        <v>0</v>
      </c>
      <c r="F11" s="758">
        <f>SUMIFS(INDEX(Table91517[],,MATCH(F$6,Table91517[#Headers],0)),Table91517[MainSpaceHeatingFuel],"",Table91517[EnergyRating (group)],$A11)</f>
        <v>0</v>
      </c>
      <c r="G11" s="758">
        <f>SUMIFS(INDEX(Table91517[],,MATCH(G$6,Table91517[#Headers],0)),Table91517[MainSpaceHeatingFuel],"",Table91517[EnergyRating (group)],$A11)</f>
        <v>32</v>
      </c>
      <c r="H11" s="999">
        <f>SUMIFS(INDEX(Table91517[],,MATCH(H$6,Table91517[#Headers],0)),Table91517[MainSpaceHeatingFuel],"",Table91517[EnergyRating (group)],$A11)</f>
        <v>5530</v>
      </c>
      <c r="I11" s="944">
        <f>SUMIFS(INDEX(Table91517[],,MATCH(I$6,Table91517[#Headers],0)),Table91517[MainSpaceHeatingFuel],"",Table91517[EnergyRating (group)],$A11)</f>
        <v>0</v>
      </c>
      <c r="J11" s="849">
        <f>SUMIFS(INDEX(Table91517[],,MATCH(J$6,Table91517[#Headers],0)),Table91517[MainSpaceHeatingFuel],"",Table91517[EnergyRating (group)],$A11)</f>
        <v>93776</v>
      </c>
      <c r="K11" s="870">
        <f>SUMIFS(INDEX(Table91517[],,MATCH(K$6,Table91517[#Headers],0)),Table91517[MainSpaceHeatingFuel],"",Table91517[EnergyRating (group)],$A11)</f>
        <v>34732</v>
      </c>
      <c r="L11" s="135"/>
      <c r="M11" s="840"/>
      <c r="N11" s="914" t="str">
        <f>RSD_Commodities!$M$27&amp;"_"&amp;RIGHT(P11,LEN(P11)-3)&amp;"_"&amp;SETUP!$B$67</f>
        <v>SH_Det-A_HET_X0</v>
      </c>
      <c r="O11" s="914" t="str">
        <f>RSD_Commodities!$N$18&amp;"_"&amp;RSD_Commodities!D28&amp;"_"&amp;SETUP!$C$67</f>
        <v>Residential Space Heating Attached-A_Heat to Residential_Existing 00</v>
      </c>
      <c r="P11" s="915" t="str">
        <f>RSD_Commodities!$C$28</f>
        <v>RSDHET</v>
      </c>
      <c r="Q11" s="930" t="str">
        <f>RSD_Commodities!$M$27</f>
        <v>SH_Det-A</v>
      </c>
      <c r="R11" s="1000">
        <f t="shared" si="4"/>
        <v>3.2411627671427123E-3</v>
      </c>
      <c r="S11" s="932">
        <f>R11*DwellingStocks!$I$62/1000</f>
        <v>3.4181355360845017E-2</v>
      </c>
      <c r="T11" s="914">
        <v>1</v>
      </c>
      <c r="U11" s="917">
        <f>IF(I11=0, 1, I11)</f>
        <v>1</v>
      </c>
      <c r="V11" s="930">
        <v>20</v>
      </c>
      <c r="W11" s="930">
        <v>1</v>
      </c>
      <c r="X11" s="866"/>
      <c r="Y11" s="922">
        <f t="shared" si="5"/>
        <v>0</v>
      </c>
      <c r="Z11" s="922">
        <f t="shared" si="6"/>
        <v>0</v>
      </c>
      <c r="AA11" s="866"/>
      <c r="AB11" s="939" t="s">
        <v>393</v>
      </c>
      <c r="AC11" s="914" t="str">
        <f t="shared" ref="AC11:AC16" si="7">N11</f>
        <v>SH_Det-A_HET_X0</v>
      </c>
      <c r="AD11" s="915" t="str">
        <f t="shared" ref="AD11:AD16" si="8">O11</f>
        <v>Residential Space Heating Attached-A_Heat to Residential_Existing 00</v>
      </c>
      <c r="AE11" s="930" t="s">
        <v>53</v>
      </c>
      <c r="AF11" s="940" t="s">
        <v>406</v>
      </c>
      <c r="AG11" s="930"/>
      <c r="AH11" s="930"/>
      <c r="AI11" s="840"/>
      <c r="AJ11" s="840"/>
      <c r="AK11" s="840"/>
      <c r="AL11" s="840"/>
      <c r="AM11" s="840"/>
      <c r="AN11" s="840"/>
    </row>
    <row r="12" spans="1:40">
      <c r="A12" s="757" t="s">
        <v>108</v>
      </c>
      <c r="B12" s="757" t="s">
        <v>664</v>
      </c>
      <c r="C12" s="757">
        <f>SUMIFS(INDEX(Table91517[],,MATCH(C$6,Table91517[#Headers],0)),Table91517[MainSpaceHeatingFuel],$B12,Table91517[EnergyRating (group)],$A12)</f>
        <v>29767</v>
      </c>
      <c r="D12" s="760">
        <f>SUMIFS(INDEX(Table91517[],,MATCH($D$6,Table91517[#Headers],0)),Table91517[MainSpaceHeatingFuel],B12,Table91517[EnergyRating (group)],A12)</f>
        <v>27062</v>
      </c>
      <c r="E12" s="760">
        <f>SUMIFS(INDEX(Table91517[],,MATCH(E$6,Table91517[#Headers],0)),Table91517[MainSpaceHeatingFuel],$B12,Table91517[EnergyRating (group)],$A12)</f>
        <v>4216</v>
      </c>
      <c r="F12" s="757">
        <f>SUMIFS(INDEX(Table91517[],,MATCH(F$6,Table91517[#Headers],0)),Table91517[MainSpaceHeatingFuel],$B12,Table91517[EnergyRating (group)],$A12)</f>
        <v>3833</v>
      </c>
      <c r="G12" s="757">
        <f>SUMIFS(INDEX(Table91517[],,MATCH(G$6,Table91517[#Headers],0)),Table91517[MainSpaceHeatingFuel],$B12,Table91517[EnergyRating (group)],$A12)</f>
        <v>5</v>
      </c>
      <c r="H12" s="912">
        <f>SUMIFS(INDEX(Table91517[],,MATCH(H$6,Table91517[#Headers],0)),Table91517[MainSpaceHeatingFuel],$B12,Table91517[EnergyRating (group)],$A12)</f>
        <v>1067</v>
      </c>
      <c r="I12" s="1058">
        <f>AVERAGEIFS(INDEX(Table91517[],,MATCH(I$6,Table91517[#Headers],0)),Table91517[MainSpaceHeatingFuel],$B12,Table91517[EnergyRating (group)],$A12)</f>
        <v>91.4</v>
      </c>
      <c r="J12" s="847">
        <f>SUMIFS(INDEX(Table91517[],,MATCH(J$6,Table91517[#Headers],0)),Table91517[MainSpaceHeatingFuel],$B12,Table91517[EnergyRating (group)],$A12)</f>
        <v>76329</v>
      </c>
      <c r="K12" s="869">
        <f>SUMIFS(INDEX(Table91517[],,MATCH(K$6,Table91517[#Headers],0)),Table91517[MainSpaceHeatingFuel],$B12,Table91517[EnergyRating (group)],$A12)</f>
        <v>58065</v>
      </c>
      <c r="L12" s="135"/>
      <c r="M12" s="840"/>
      <c r="N12" s="66" t="str">
        <f>RSD_Commodities!$M$27&amp;"_"&amp;RIGHT(P12,LEN(P12)-3)&amp;"_"&amp;SETUP!$B$68</f>
        <v>SH_Det-A_OILLPG_X1</v>
      </c>
      <c r="O12" s="933" t="str">
        <f>RSD_Commodities!$N$27&amp;"_"&amp;RSD_Commodities!D11&amp;"_"&amp;SETUP!$C$68</f>
        <v>Residential Space Heating Detached-A_LPG to Residential_Existing 01</v>
      </c>
      <c r="P12" s="83" t="str">
        <f>RSD_Commodities!$C$11</f>
        <v>RSDOILLPG</v>
      </c>
      <c r="Q12" s="935" t="str">
        <f>RSD_Commodities!$M$27</f>
        <v>SH_Det-A</v>
      </c>
      <c r="R12" s="1001">
        <f t="shared" si="4"/>
        <v>5.0643168236604887E-4</v>
      </c>
      <c r="S12" s="937">
        <f>R12*DwellingStocks!$I$62/1000</f>
        <v>5.3408367751320348E-3</v>
      </c>
      <c r="T12" s="66">
        <v>1</v>
      </c>
      <c r="U12" s="66">
        <f t="shared" ref="U12:U16" si="9">I12/100</f>
        <v>0.91400000000000003</v>
      </c>
      <c r="V12" s="935">
        <v>20</v>
      </c>
      <c r="W12" s="935">
        <v>1</v>
      </c>
      <c r="X12" s="866"/>
      <c r="Y12" s="920">
        <f t="shared" si="5"/>
        <v>6.7810336507275721E-8</v>
      </c>
      <c r="Z12" s="920">
        <f t="shared" si="6"/>
        <v>7.4588077861361086E-8</v>
      </c>
      <c r="AA12" s="866"/>
      <c r="AB12" s="941" t="s">
        <v>393</v>
      </c>
      <c r="AC12" s="933" t="str">
        <f t="shared" si="7"/>
        <v>SH_Det-A_OILLPG_X1</v>
      </c>
      <c r="AD12" s="934" t="str">
        <f t="shared" si="8"/>
        <v>Residential Space Heating Detached-A_LPG to Residential_Existing 01</v>
      </c>
      <c r="AE12" s="935" t="s">
        <v>53</v>
      </c>
      <c r="AF12" s="942" t="s">
        <v>406</v>
      </c>
      <c r="AG12" s="935"/>
      <c r="AH12" s="935"/>
      <c r="AI12" s="840"/>
      <c r="AJ12" s="840"/>
      <c r="AK12" s="840"/>
      <c r="AL12" s="840"/>
      <c r="AM12" s="840"/>
      <c r="AN12" s="840"/>
    </row>
    <row r="13" spans="1:40">
      <c r="A13" s="758" t="s">
        <v>108</v>
      </c>
      <c r="B13" s="758" t="s">
        <v>665</v>
      </c>
      <c r="C13" s="758">
        <f>SUMIFS(INDEX(Table91517[],,MATCH(C$6,Table91517[#Headers],0)),Table91517[MainSpaceHeatingFuel],$B13,Table91517[EnergyRating (group)],$A13)</f>
        <v>7915</v>
      </c>
      <c r="D13" s="759">
        <f>SUMIFS(INDEX(Table91517[],,MATCH($D$6,Table91517[#Headers],0)),Table91517[MainSpaceHeatingFuel],B13,Table91517[EnergyRating (group)],A13)</f>
        <v>7195</v>
      </c>
      <c r="E13" s="759">
        <f>SUMIFS(INDEX(Table91517[],,MATCH(E$6,Table91517[#Headers],0)),Table91517[MainSpaceHeatingFuel],$B13,Table91517[EnergyRating (group)],$A13)</f>
        <v>1780</v>
      </c>
      <c r="F13" s="758">
        <f>SUMIFS(INDEX(Table91517[],,MATCH(F$6,Table91517[#Headers],0)),Table91517[MainSpaceHeatingFuel],$B13,Table91517[EnergyRating (group)],$A13)</f>
        <v>1618</v>
      </c>
      <c r="G13" s="758">
        <f>SUMIFS(INDEX(Table91517[],,MATCH(G$6,Table91517[#Headers],0)),Table91517[MainSpaceHeatingFuel],$B13,Table91517[EnergyRating (group)],$A13)</f>
        <v>2</v>
      </c>
      <c r="H13" s="911">
        <f>SUMIFS(INDEX(Table91517[],,MATCH(H$6,Table91517[#Headers],0)),Table91517[MainSpaceHeatingFuel],$B13,Table91517[EnergyRating (group)],$A13)</f>
        <v>336</v>
      </c>
      <c r="I13" s="911">
        <f>AVERAGEIFS(INDEX(Table91517[],,MATCH(I$6,Table91517[#Headers],0)),Table91517[MainSpaceHeatingFuel],$B13,Table91517[EnergyRating (group)],$A13)</f>
        <v>232.5</v>
      </c>
      <c r="J13" s="849">
        <f>SUMIFS(INDEX(Table91517[],,MATCH(J$6,Table91517[#Headers],0)),Table91517[MainSpaceHeatingFuel],$B13,Table91517[EnergyRating (group)],$A13)</f>
        <v>21229</v>
      </c>
      <c r="K13" s="870">
        <f>SUMIFS(INDEX(Table91517[],,MATCH(K$6,Table91517[#Headers],0)),Table91517[MainSpaceHeatingFuel],$B13,Table91517[EnergyRating (group)],$A13)</f>
        <v>15764</v>
      </c>
      <c r="L13" s="135"/>
      <c r="M13" s="840"/>
      <c r="N13" s="914" t="str">
        <f>RSD_Commodities!$M$27&amp;"_"&amp;RSD_Commodities!$C$26&amp;"_"&amp;SETUP!$B$67</f>
        <v>SH_Det-A_RSDSMF_X0</v>
      </c>
      <c r="O13" s="914" t="str">
        <f>RSD_Commodities!$N$27&amp;"_"&amp;RSD_Commodities!$D$26&amp;"_"&amp;SETUP!$C$67</f>
        <v>Residential Space Heating Detached-A_Solid Multi-Fuel_Existing 00</v>
      </c>
      <c r="P13" s="915" t="str">
        <f>RSD_Commodities!$C$6&amp;","&amp;RSD_Commodities!$C$7&amp;","&amp;RSD_Commodities!$C$9&amp;","&amp;RSD_Commodities!$C$10&amp;","&amp;RSD_Commodities!$C$19</f>
        <v>RSDCOABIT,RSDCOAHAR,RSDCOALIG,RSDPEA,RSDBIOWOO</v>
      </c>
      <c r="Q13" s="930" t="str">
        <f>RSD_Commodities!$M$27</f>
        <v>SH_Det-A</v>
      </c>
      <c r="R13" s="1000">
        <f t="shared" si="4"/>
        <v>2.0257267294641952E-4</v>
      </c>
      <c r="S13" s="932">
        <f>R13*DwellingStocks!$I$62/1000</f>
        <v>2.1363347100528136E-3</v>
      </c>
      <c r="T13" s="914">
        <v>1</v>
      </c>
      <c r="U13" s="914">
        <f t="shared" si="9"/>
        <v>2.3250000000000002</v>
      </c>
      <c r="V13" s="930">
        <v>20</v>
      </c>
      <c r="W13" s="930">
        <v>1</v>
      </c>
      <c r="X13" s="866"/>
      <c r="Y13" s="922">
        <f t="shared" si="5"/>
        <v>7.7373360820666214E-9</v>
      </c>
      <c r="Z13" s="922">
        <f t="shared" si="6"/>
        <v>8.5116842523131624E-9</v>
      </c>
      <c r="AA13" s="866"/>
      <c r="AB13" s="939" t="s">
        <v>393</v>
      </c>
      <c r="AC13" s="914" t="str">
        <f t="shared" si="7"/>
        <v>SH_Det-A_RSDSMF_X0</v>
      </c>
      <c r="AD13" s="915" t="str">
        <f t="shared" si="8"/>
        <v>Residential Space Heating Detached-A_Solid Multi-Fuel_Existing 00</v>
      </c>
      <c r="AE13" s="930" t="s">
        <v>53</v>
      </c>
      <c r="AF13" s="940" t="s">
        <v>406</v>
      </c>
      <c r="AG13" s="930"/>
      <c r="AH13" s="930"/>
      <c r="AI13" s="840"/>
      <c r="AJ13" s="840"/>
      <c r="AK13" s="840"/>
      <c r="AL13" s="840"/>
      <c r="AM13" s="840"/>
      <c r="AN13" s="840"/>
    </row>
    <row r="14" spans="1:40">
      <c r="A14" s="757" t="s">
        <v>108</v>
      </c>
      <c r="B14" s="757" t="s">
        <v>585</v>
      </c>
      <c r="C14" s="757">
        <f>SUMIFS(INDEX(Table91517[],,MATCH(C$6,Table91517[#Headers],0)),Table91517[MainSpaceHeatingFuel],$B14,Table91517[EnergyRating (group)],$A14)</f>
        <v>154928</v>
      </c>
      <c r="D14" s="757">
        <f>SUMIFS(INDEX(Table91517[],,MATCH($D$6,Table91517[#Headers],0)),Table91517[MainSpaceHeatingFuel],B14,Table91517[EnergyRating (group)],A14)</f>
        <v>140842</v>
      </c>
      <c r="E14" s="757">
        <f>SUMIFS(INDEX(Table91517[],,MATCH(E$6,Table91517[#Headers],0)),Table91517[MainSpaceHeatingFuel],$B14,Table91517[EnergyRating (group)],$A14)</f>
        <v>9893</v>
      </c>
      <c r="F14" s="757">
        <f>SUMIFS(INDEX(Table91517[],,MATCH(F$6,Table91517[#Headers],0)),Table91517[MainSpaceHeatingFuel],$B14,Table91517[EnergyRating (group)],$A14)</f>
        <v>8215</v>
      </c>
      <c r="G14" s="757">
        <f>SUMIFS(INDEX(Table91517[],,MATCH(G$6,Table91517[#Headers],0)),Table91517[MainSpaceHeatingFuel],$B14,Table91517[EnergyRating (group)],$A14)</f>
        <v>31</v>
      </c>
      <c r="H14" s="912">
        <f>SUMIFS(INDEX(Table91517[],,MATCH(H$6,Table91517[#Headers],0)),Table91517[MainSpaceHeatingFuel],$B14,Table91517[EnergyRating (group)],$A14)</f>
        <v>6509</v>
      </c>
      <c r="I14" s="912">
        <f>AVERAGEIFS(INDEX(Table91517[],,MATCH(I$6,Table91517[#Headers],0)),Table91517[MainSpaceHeatingFuel],$B14,Table91517[EnergyRating (group)],$A14)</f>
        <v>88.857142857142861</v>
      </c>
      <c r="J14" s="847">
        <f>SUMIFS(INDEX(Table91517[],,MATCH(J$6,Table91517[#Headers],0)),Table91517[MainSpaceHeatingFuel],$B14,Table91517[EnergyRating (group)],$A14)</f>
        <v>430053</v>
      </c>
      <c r="K14" s="869">
        <f>SUMIFS(INDEX(Table91517[],,MATCH(K$6,Table91517[#Headers],0)),Table91517[MainSpaceHeatingFuel],$B14,Table91517[EnergyRating (group)],$A14)</f>
        <v>305985</v>
      </c>
      <c r="L14" s="135"/>
      <c r="M14" s="840"/>
      <c r="N14" s="66" t="str">
        <f>RSD_Commodities!$M$27&amp;"_"&amp;RIGHT(P14,LEN(P14)-3)&amp;"_"&amp;SETUP!$B$67</f>
        <v>SH_Det-A_BIOWOO_X0</v>
      </c>
      <c r="O14" s="933" t="str">
        <f>RSD_Commodities!$N$27&amp;"_"&amp;RSD_Commodities!D19&amp;"_"&amp;SETUP!$C$67</f>
        <v>Residential Space Heating Detached-A_Biomass &amp; Renewable Waste to Residential_Existing 00</v>
      </c>
      <c r="P14" s="83" t="str">
        <f>RSD_Commodities!$C$19</f>
        <v>RSDBIOWOO</v>
      </c>
      <c r="Q14" s="935" t="str">
        <f>RSD_Commodities!$M$27</f>
        <v>SH_Det-A</v>
      </c>
      <c r="R14" s="1001">
        <f t="shared" si="4"/>
        <v>3.1398764306695029E-3</v>
      </c>
      <c r="S14" s="937">
        <f>R14*DwellingStocks!$I$62/1000</f>
        <v>3.3113188005818611E-2</v>
      </c>
      <c r="T14" s="66">
        <v>1</v>
      </c>
      <c r="U14" s="66">
        <f t="shared" si="9"/>
        <v>0.88857142857142857</v>
      </c>
      <c r="V14" s="935">
        <v>20</v>
      </c>
      <c r="W14" s="935">
        <v>1</v>
      </c>
      <c r="X14" s="866"/>
      <c r="Y14" s="920">
        <f t="shared" si="5"/>
        <v>2.0283914238013582E-6</v>
      </c>
      <c r="Z14" s="920">
        <f t="shared" si="6"/>
        <v>2.2429104494412456E-6</v>
      </c>
      <c r="AA14" s="866"/>
      <c r="AB14" s="941" t="s">
        <v>393</v>
      </c>
      <c r="AC14" s="933" t="str">
        <f t="shared" si="7"/>
        <v>SH_Det-A_BIOWOO_X0</v>
      </c>
      <c r="AD14" s="934" t="str">
        <f t="shared" si="8"/>
        <v>Residential Space Heating Detached-A_Biomass &amp; Renewable Waste to Residential_Existing 00</v>
      </c>
      <c r="AE14" s="935" t="s">
        <v>53</v>
      </c>
      <c r="AF14" s="942" t="s">
        <v>406</v>
      </c>
      <c r="AG14" s="935"/>
      <c r="AH14" s="935"/>
      <c r="AI14" s="840"/>
      <c r="AJ14" s="840"/>
      <c r="AK14" s="840"/>
      <c r="AL14" s="840"/>
      <c r="AM14" s="840"/>
      <c r="AN14" s="840"/>
    </row>
    <row r="15" spans="1:40">
      <c r="A15" s="758" t="s">
        <v>108</v>
      </c>
      <c r="B15" s="758" t="s">
        <v>668</v>
      </c>
      <c r="C15" s="758">
        <f>SUMIFS(INDEX(Table91517[],,MATCH(C$6,Table91517[#Headers],0)),Table91517[MainSpaceHeatingFuel],$B15,Table91517[EnergyRating (group)],$A15)</f>
        <v>4103</v>
      </c>
      <c r="D15" s="759">
        <f>SUMIFS(INDEX(Table91517[],,MATCH($D$6,Table91517[#Headers],0)),Table91517[MainSpaceHeatingFuel],B15,Table91517[EnergyRating (group)],A15)</f>
        <v>3729</v>
      </c>
      <c r="E15" s="759">
        <f>SUMIFS(INDEX(Table91517[],,MATCH(E$6,Table91517[#Headers],0)),Table91517[MainSpaceHeatingFuel],$B15,Table91517[EnergyRating (group)],$A15)</f>
        <v>-36</v>
      </c>
      <c r="F15" s="758">
        <f>SUMIFS(INDEX(Table91517[],,MATCH(F$6,Table91517[#Headers],0)),Table91517[MainSpaceHeatingFuel],$B15,Table91517[EnergyRating (group)],$A15)</f>
        <v>-32</v>
      </c>
      <c r="G15" s="758">
        <f>SUMIFS(INDEX(Table91517[],,MATCH(G$6,Table91517[#Headers],0)),Table91517[MainSpaceHeatingFuel],$B15,Table91517[EnergyRating (group)],$A15)</f>
        <v>2</v>
      </c>
      <c r="H15" s="911">
        <f>SUMIFS(INDEX(Table91517[],,MATCH(H$6,Table91517[#Headers],0)),Table91517[MainSpaceHeatingFuel],$B15,Table91517[EnergyRating (group)],$A15)</f>
        <v>371</v>
      </c>
      <c r="I15" s="911">
        <f>AVERAGEIFS(INDEX(Table91517[],,MATCH(I$6,Table91517[#Headers],0)),Table91517[MainSpaceHeatingFuel],$B15,Table91517[EnergyRating (group)],$A15)</f>
        <v>92.5</v>
      </c>
      <c r="J15" s="849">
        <f>SUMIFS(INDEX(Table91517[],,MATCH(J$6,Table91517[#Headers],0)),Table91517[MainSpaceHeatingFuel],$B15,Table91517[EnergyRating (group)],$A15)</f>
        <v>20151</v>
      </c>
      <c r="K15" s="870">
        <f>SUMIFS(INDEX(Table91517[],,MATCH(K$6,Table91517[#Headers],0)),Table91517[MainSpaceHeatingFuel],$B15,Table91517[EnergyRating (group)],$A15)</f>
        <v>14240</v>
      </c>
      <c r="L15" s="135"/>
      <c r="M15" s="840"/>
      <c r="N15" s="914" t="str">
        <f>RSD_Commodities!$M$27&amp;"_"&amp;RIGHT(P15,LEN(P15)-3)&amp;"_"&amp;SETUP!$B$69</f>
        <v>SH_Det-A_BIOWOO_X2</v>
      </c>
      <c r="O15" s="914" t="str">
        <f>RSD_Commodities!$N$27&amp;"_"&amp;RSD_Commodities!D19&amp;"_"&amp;SETUP!$C$69</f>
        <v>Residential Space Heating Detached-A_Biomass &amp; Renewable Waste to Residential_Existing 02</v>
      </c>
      <c r="P15" s="915" t="str">
        <f>RSD_Commodities!$C$19</f>
        <v>RSDBIOWOO</v>
      </c>
      <c r="Q15" s="930" t="str">
        <f>RSD_Commodities!$M$27</f>
        <v>SH_Det-A</v>
      </c>
      <c r="R15" s="1000">
        <f t="shared" si="4"/>
        <v>2.0257267294641952E-4</v>
      </c>
      <c r="S15" s="932">
        <f>R15*DwellingStocks!$I$62/1000</f>
        <v>2.1363347100528136E-3</v>
      </c>
      <c r="T15" s="914">
        <v>1</v>
      </c>
      <c r="U15" s="914">
        <f t="shared" si="9"/>
        <v>0.92500000000000004</v>
      </c>
      <c r="V15" s="930">
        <v>20</v>
      </c>
      <c r="W15" s="930">
        <v>1</v>
      </c>
      <c r="X15" s="866"/>
      <c r="Y15" s="922">
        <f t="shared" si="5"/>
        <v>3.2457655163281862E-9</v>
      </c>
      <c r="Z15" s="922">
        <f t="shared" si="6"/>
        <v>3.5706054516923811E-9</v>
      </c>
      <c r="AA15" s="866"/>
      <c r="AB15" s="939" t="s">
        <v>393</v>
      </c>
      <c r="AC15" s="914" t="str">
        <f t="shared" si="7"/>
        <v>SH_Det-A_BIOWOO_X2</v>
      </c>
      <c r="AD15" s="915" t="str">
        <f t="shared" si="8"/>
        <v>Residential Space Heating Detached-A_Biomass &amp; Renewable Waste to Residential_Existing 02</v>
      </c>
      <c r="AE15" s="930" t="s">
        <v>53</v>
      </c>
      <c r="AF15" s="940" t="s">
        <v>406</v>
      </c>
      <c r="AG15" s="930"/>
      <c r="AH15" s="930"/>
      <c r="AI15" s="840"/>
      <c r="AJ15" s="840"/>
      <c r="AK15" s="840"/>
      <c r="AL15" s="840"/>
      <c r="AM15" s="840"/>
      <c r="AN15" s="840"/>
    </row>
    <row r="16" spans="1:40" ht="15.75" thickBot="1">
      <c r="A16" s="757" t="s">
        <v>108</v>
      </c>
      <c r="B16" s="757" t="s">
        <v>673</v>
      </c>
      <c r="C16" s="757">
        <f>SUMIFS(INDEX(Table91517[],,MATCH(C$6,Table91517[#Headers],0)),Table91517[MainSpaceHeatingFuel],$B16,Table91517[EnergyRating (group)],$A16)</f>
        <v>68692</v>
      </c>
      <c r="D16" s="757">
        <f>SUMIFS(INDEX(Table91517[],,MATCH($D$6,Table91517[#Headers],0)),Table91517[MainSpaceHeatingFuel],B16,Table91517[EnergyRating (group)],A16)</f>
        <v>62448</v>
      </c>
      <c r="E16" s="757">
        <f>SUMIFS(INDEX(Table91517[],,MATCH(E$6,Table91517[#Headers],0)),Table91517[MainSpaceHeatingFuel],$B16,Table91517[EnergyRating (group)],$A16)</f>
        <v>6611</v>
      </c>
      <c r="F16" s="757">
        <f>SUMIFS(INDEX(Table91517[],,MATCH(F$6,Table91517[#Headers],0)),Table91517[MainSpaceHeatingFuel],$B16,Table91517[EnergyRating (group)],$A16)</f>
        <v>5535</v>
      </c>
      <c r="G16" s="757">
        <f>SUMIFS(INDEX(Table91517[],,MATCH(G$6,Table91517[#Headers],0)),Table91517[MainSpaceHeatingFuel],$B16,Table91517[EnergyRating (group)],$A16)</f>
        <v>23</v>
      </c>
      <c r="H16" s="912">
        <f>SUMIFS(INDEX(Table91517[],,MATCH(H$6,Table91517[#Headers],0)),Table91517[MainSpaceHeatingFuel],$B16,Table91517[EnergyRating (group)],$A16)</f>
        <v>5378</v>
      </c>
      <c r="I16" s="912">
        <f>AVERAGEIFS(INDEX(Table91517[],,MATCH(I$6,Table91517[#Headers],0)),Table91517[MainSpaceHeatingFuel],$B16,Table91517[EnergyRating (group)],$A16)</f>
        <v>78.375</v>
      </c>
      <c r="J16" s="847">
        <f>SUMIFS(INDEX(Table91517[],,MATCH(J$6,Table91517[#Headers],0)),Table91517[MainSpaceHeatingFuel],$B16,Table91517[EnergyRating (group)],$A16)</f>
        <v>327363</v>
      </c>
      <c r="K16" s="869">
        <f>SUMIFS(INDEX(Table91517[],,MATCH(K$6,Table91517[#Headers],0)),Table91517[MainSpaceHeatingFuel],$B16,Table91517[EnergyRating (group)],$A16)</f>
        <v>205029</v>
      </c>
      <c r="L16" s="135"/>
      <c r="M16" s="840"/>
      <c r="N16" s="66" t="str">
        <f>RSD_Commodities!$M$27&amp;"_"&amp;RIGHT(P16,LEN(P16)-3)&amp;"_"&amp;SETUP!$B$68</f>
        <v>SH_Det-A_BIOWOO_X1</v>
      </c>
      <c r="O16" s="933" t="str">
        <f>RSD_Commodities!$N$27&amp;"_"&amp;RSD_Commodities!D19&amp;"_"&amp;SETUP!$C$68</f>
        <v>Residential Space Heating Detached-A_Biomass &amp; Renewable Waste to Residential_Existing 01</v>
      </c>
      <c r="P16" s="83" t="str">
        <f>RSD_Commodities!$C$19</f>
        <v>RSDBIOWOO</v>
      </c>
      <c r="Q16" s="935" t="str">
        <f>RSD_Commodities!$M$27</f>
        <v>SH_Det-A</v>
      </c>
      <c r="R16" s="1001">
        <f t="shared" si="4"/>
        <v>2.3295857388838247E-3</v>
      </c>
      <c r="S16" s="937">
        <f>R16*DwellingStocks!$I$62/1000</f>
        <v>2.4567849165607357E-2</v>
      </c>
      <c r="T16" s="66">
        <v>1</v>
      </c>
      <c r="U16" s="66">
        <f t="shared" si="9"/>
        <v>0.78374999999999995</v>
      </c>
      <c r="V16" s="935">
        <v>20</v>
      </c>
      <c r="W16" s="935">
        <v>1</v>
      </c>
      <c r="X16" s="866"/>
      <c r="Y16" s="920">
        <f t="shared" si="5"/>
        <v>6.863819547228021E-7</v>
      </c>
      <c r="Z16" s="920">
        <f t="shared" si="6"/>
        <v>7.6028742974701284E-7</v>
      </c>
      <c r="AA16" s="866"/>
      <c r="AB16" s="941" t="s">
        <v>393</v>
      </c>
      <c r="AC16" s="933" t="str">
        <f t="shared" si="7"/>
        <v>SH_Det-A_BIOWOO_X1</v>
      </c>
      <c r="AD16" s="934" t="str">
        <f t="shared" si="8"/>
        <v>Residential Space Heating Detached-A_Biomass &amp; Renewable Waste to Residential_Existing 01</v>
      </c>
      <c r="AE16" s="935" t="s">
        <v>53</v>
      </c>
      <c r="AF16" s="942" t="s">
        <v>406</v>
      </c>
      <c r="AG16" s="935"/>
      <c r="AH16" s="935"/>
      <c r="AI16" s="840"/>
      <c r="AJ16" s="840"/>
      <c r="AK16" s="840"/>
      <c r="AL16" s="840"/>
      <c r="AM16" s="840"/>
      <c r="AN16" s="840"/>
    </row>
    <row r="17" spans="1:40" ht="15" customHeight="1" thickBot="1">
      <c r="A17" s="756" t="s">
        <v>110</v>
      </c>
      <c r="B17" s="1048"/>
      <c r="C17" s="1049"/>
      <c r="D17" s="1049"/>
      <c r="E17" s="1049"/>
      <c r="F17" s="1049"/>
      <c r="G17" s="1049"/>
      <c r="H17" s="1049"/>
      <c r="I17" s="1053"/>
      <c r="J17" s="736" t="s">
        <v>565</v>
      </c>
      <c r="K17" s="737" t="s">
        <v>565</v>
      </c>
      <c r="L17" s="840"/>
      <c r="M17" s="840"/>
      <c r="N17" s="76" t="str">
        <f>AB17</f>
        <v>*B1 Rating</v>
      </c>
      <c r="O17" s="76"/>
      <c r="P17" s="76"/>
      <c r="Q17" s="76"/>
      <c r="R17" s="949">
        <f>SUM(R18:R29)</f>
        <v>0.99999999999999989</v>
      </c>
      <c r="S17" s="76"/>
      <c r="T17" s="97"/>
      <c r="U17" s="76"/>
      <c r="V17" s="76"/>
      <c r="W17" s="76"/>
      <c r="X17" s="866"/>
      <c r="Y17" s="76"/>
      <c r="Z17" s="76"/>
      <c r="AA17" s="866"/>
      <c r="AB17" s="140" t="str">
        <f>"*"&amp; A18 &amp; " Rating"</f>
        <v>*B1 Rating</v>
      </c>
      <c r="AC17" s="141"/>
      <c r="AD17" s="141"/>
      <c r="AE17" s="141"/>
      <c r="AF17" s="141"/>
      <c r="AG17" s="141"/>
      <c r="AH17" s="141"/>
      <c r="AI17" s="840"/>
      <c r="AJ17" s="840"/>
      <c r="AK17" s="840"/>
      <c r="AL17" s="840"/>
      <c r="AM17" s="840"/>
      <c r="AN17" s="840"/>
    </row>
    <row r="18" spans="1:40">
      <c r="A18" s="758" t="s">
        <v>110</v>
      </c>
      <c r="B18" s="758" t="s">
        <v>582</v>
      </c>
      <c r="C18" s="758">
        <f>SUMIFS(INDEX(Table91517[],,MATCH(C$6,Table91517[#Headers],0)),Table91517[MainSpaceHeatingFuel],$B18,Table91517[EnergyRating (group)],$A18)</f>
        <v>958040</v>
      </c>
      <c r="D18" s="759">
        <f>SUMIFS(INDEX(Table91517[],,MATCH($D$6,Table91517[#Headers],0)),Table91517[MainSpaceHeatingFuel],B18,Table91517[EnergyRating (group)],A18)</f>
        <v>870946</v>
      </c>
      <c r="E18" s="759">
        <f>SUMIFS(INDEX(Table91517[],,MATCH(E$6,Table91517[#Headers],0)),Table91517[MainSpaceHeatingFuel],$B18,Table91517[EnergyRating (group)],$A18)</f>
        <v>142771</v>
      </c>
      <c r="F18" s="758">
        <f>SUMIFS(INDEX(Table91517[],,MATCH(F$6,Table91517[#Headers],0)),Table91517[MainSpaceHeatingFuel],$B18,Table91517[EnergyRating (group)],$A18)</f>
        <v>121028</v>
      </c>
      <c r="G18" s="758">
        <f>SUMIFS(INDEX(Table91517[],,MATCH(G$6,Table91517[#Headers],0)),Table91517[MainSpaceHeatingFuel],$B18,Table91517[EnergyRating (group)],$A18)</f>
        <v>79</v>
      </c>
      <c r="H18" s="911">
        <f>SUMIFS(INDEX(Table91517[],,MATCH(H$6,Table91517[#Headers],0)),Table91517[MainSpaceHeatingFuel],$B18,Table91517[EnergyRating (group)],$A18)</f>
        <v>19679</v>
      </c>
      <c r="I18" s="911">
        <f>AVERAGEIFS(INDEX(Table91517[],,MATCH(I$6,Table91517[#Headers],0)),Table91517[MainSpaceHeatingFuel],$B18,Table91517[EnergyRating (group)],$A18)</f>
        <v>90.89473684210526</v>
      </c>
      <c r="J18" s="849">
        <f>SUMIFS(INDEX(Table91517[],,MATCH(J$6,Table91517[#Headers],0)),Table91517[MainSpaceHeatingFuel],$B18,Table91517[EnergyRating (group)],$A18)</f>
        <v>1867414</v>
      </c>
      <c r="K18" s="870">
        <f>SUMIFS(INDEX(Table91517[],,MATCH(K$6,Table91517[#Headers],0)),Table91517[MainSpaceHeatingFuel],$B18,Table91517[EnergyRating (group)],$A18)</f>
        <v>1467735</v>
      </c>
      <c r="L18" s="135"/>
      <c r="M18" s="840"/>
      <c r="N18" s="914" t="str">
        <f>RSD_Commodities!$M$28&amp;"_"&amp;RIGHT(P18,LEN(P18)-3)&amp;"_"&amp;SETUP!$B$67</f>
        <v>SH_Det-B1_OILLPG_X0</v>
      </c>
      <c r="O18" s="914" t="str">
        <f>RSD_Commodities!$N$28&amp;"_"&amp;RSD_Commodities!D11&amp;"_"&amp;SETUP!$C$67</f>
        <v>Residential Space Heating Detached-B1_LPG to Residential_Existing 00</v>
      </c>
      <c r="P18" s="915" t="str">
        <f>RSD_Commodities!$C$11</f>
        <v>RSDOILLPG</v>
      </c>
      <c r="Q18" s="930" t="str">
        <f>RSD_Commodities!$M$28</f>
        <v>SH_Det-B1</v>
      </c>
      <c r="R18" s="1000">
        <f>G18/SUM($G$18:$G$29)</f>
        <v>2.6046818331684801E-2</v>
      </c>
      <c r="S18" s="932">
        <f>R18*DwellingStocks!$I$63/1000</f>
        <v>0.13537994305095061</v>
      </c>
      <c r="T18" s="914">
        <v>1</v>
      </c>
      <c r="U18" s="914">
        <f t="shared" ref="U18:U26" si="10">I18/100</f>
        <v>0.90894736842105261</v>
      </c>
      <c r="V18" s="930">
        <v>20</v>
      </c>
      <c r="W18" s="930">
        <v>1</v>
      </c>
      <c r="X18" s="866"/>
      <c r="Y18" s="918">
        <f>ABS((D18+F18)*S18*1000*$B$2)</f>
        <v>5.5189061764941248E-5</v>
      </c>
      <c r="Z18" s="919">
        <f>ABS((C18+E18)*S18*1000*$B$2)</f>
        <v>6.1244272804052065E-5</v>
      </c>
      <c r="AA18" s="866"/>
      <c r="AB18" s="939" t="s">
        <v>393</v>
      </c>
      <c r="AC18" s="914" t="str">
        <f>N18</f>
        <v>SH_Det-B1_OILLPG_X0</v>
      </c>
      <c r="AD18" s="915" t="str">
        <f>O18</f>
        <v>Residential Space Heating Detached-B1_LPG to Residential_Existing 00</v>
      </c>
      <c r="AE18" s="914" t="s">
        <v>53</v>
      </c>
      <c r="AF18" s="916" t="s">
        <v>406</v>
      </c>
      <c r="AG18" s="914"/>
      <c r="AH18" s="914"/>
      <c r="AI18" s="840"/>
      <c r="AJ18" s="840"/>
      <c r="AK18" s="840"/>
      <c r="AL18" s="840"/>
      <c r="AM18" s="840"/>
      <c r="AN18" s="840"/>
    </row>
    <row r="19" spans="1:40" ht="15.75" thickBot="1">
      <c r="A19" s="757" t="s">
        <v>110</v>
      </c>
      <c r="B19" s="757" t="s">
        <v>228</v>
      </c>
      <c r="C19" s="757">
        <f>SUMIFS(INDEX(Table91517[],,MATCH(C$6,Table91517[#Headers],0)),Table91517[MainSpaceHeatingFuel],$B19,Table91517[EnergyRating (group)],$A19)</f>
        <v>8049609</v>
      </c>
      <c r="D19" s="757">
        <f>SUMIFS(INDEX(Table91517[],,MATCH($D$6,Table91517[#Headers],0)),Table91517[MainSpaceHeatingFuel],B19,Table91517[EnergyRating (group)],A19)</f>
        <v>2981338</v>
      </c>
      <c r="E19" s="757">
        <f>SUMIFS(INDEX(Table91517[],,MATCH(E$6,Table91517[#Headers],0)),Table91517[MainSpaceHeatingFuel],$B19,Table91517[EnergyRating (group)],$A19)</f>
        <v>2219047</v>
      </c>
      <c r="F19" s="757">
        <f>SUMIFS(INDEX(Table91517[],,MATCH(F$6,Table91517[#Headers],0)),Table91517[MainSpaceHeatingFuel],$B19,Table91517[EnergyRating (group)],$A19)</f>
        <v>1971695</v>
      </c>
      <c r="G19" s="757">
        <f>SUMIFS(INDEX(Table91517[],,MATCH(G$6,Table91517[#Headers],0)),Table91517[MainSpaceHeatingFuel],$B19,Table91517[EnergyRating (group)],$A19)</f>
        <v>938</v>
      </c>
      <c r="H19" s="912">
        <f>SUMIFS(INDEX(Table91517[],,MATCH(H$6,Table91517[#Headers],0)),Table91517[MainSpaceHeatingFuel],$B19,Table91517[EnergyRating (group)],$A19)</f>
        <v>227838</v>
      </c>
      <c r="I19" s="912">
        <f>AVERAGEIFS(INDEX(Table91517[],,MATCH(I$6,Table91517[#Headers],0)),Table91517[MainSpaceHeatingFuel],$B19,Table91517[EnergyRating (group)],$A19)</f>
        <v>362.45714285714286</v>
      </c>
      <c r="J19" s="847">
        <f>SUMIFS(INDEX(Table91517[],,MATCH(J$6,Table91517[#Headers],0)),Table91517[MainSpaceHeatingFuel],$B19,Table91517[EnergyRating (group)],$A19)</f>
        <v>20950900</v>
      </c>
      <c r="K19" s="869">
        <f>SUMIFS(INDEX(Table91517[],,MATCH(K$6,Table91517[#Headers],0)),Table91517[MainSpaceHeatingFuel],$B19,Table91517[EnergyRating (group)],$A19)</f>
        <v>8940825</v>
      </c>
      <c r="L19" s="135"/>
      <c r="M19" s="840"/>
      <c r="N19" s="66" t="str">
        <f>RSD_Commodities!$M$28&amp;"_"&amp;RIGHT(P19,LEN(P19)-3)&amp;"_"&amp;SETUP!$B$67</f>
        <v>SH_Det-B1_ELCD_X0</v>
      </c>
      <c r="O19" s="933" t="str">
        <f>RSD_Commodities!$N$28&amp;"_"&amp;RSD_Commodities!D27&amp;"_"&amp;SETUP!$C$67</f>
        <v>Residential Space Heating Detached-B1_Electricity to Residential_Existing 00</v>
      </c>
      <c r="P19" s="83" t="str">
        <f>RSD_Commodities!$C$27</f>
        <v>RSDELCD</v>
      </c>
      <c r="Q19" s="935" t="str">
        <f>RSD_Commodities!$M$28</f>
        <v>SH_Det-B1</v>
      </c>
      <c r="R19" s="1001">
        <f>G19/SUM($G$18:$G$29)</f>
        <v>0.30926475436861195</v>
      </c>
      <c r="S19" s="937">
        <f>R19*DwellingStocks!$I$63/1000</f>
        <v>1.6074226149593882</v>
      </c>
      <c r="T19" s="66">
        <v>1</v>
      </c>
      <c r="U19" s="66">
        <f t="shared" si="10"/>
        <v>3.6245714285714286</v>
      </c>
      <c r="V19" s="935">
        <v>20</v>
      </c>
      <c r="W19" s="935">
        <v>1</v>
      </c>
      <c r="X19" s="873"/>
      <c r="Y19" s="920">
        <f t="shared" ref="Y19:Y20" si="11">ABS((D19+F19)*S19*1000*$B$2)</f>
        <v>3.2718975028110183E-3</v>
      </c>
      <c r="Z19" s="921">
        <f t="shared" ref="Z19:Z20" si="12">ABS((C19+E19)*S19*1000*$B$2)</f>
        <v>6.7833163888924982E-3</v>
      </c>
      <c r="AA19" s="873"/>
      <c r="AB19" s="941" t="s">
        <v>393</v>
      </c>
      <c r="AC19" s="933" t="str">
        <f t="shared" ref="AC19:AD23" si="13">N19</f>
        <v>SH_Det-B1_ELCD_X0</v>
      </c>
      <c r="AD19" s="934" t="str">
        <f t="shared" si="13"/>
        <v>Residential Space Heating Detached-B1_Electricity to Residential_Existing 00</v>
      </c>
      <c r="AE19" s="935" t="s">
        <v>53</v>
      </c>
      <c r="AF19" s="942" t="s">
        <v>406</v>
      </c>
      <c r="AG19" s="935"/>
      <c r="AH19" s="935"/>
      <c r="AI19" s="840"/>
      <c r="AJ19" s="840"/>
      <c r="AK19" s="840"/>
      <c r="AL19" s="840"/>
      <c r="AM19" s="840"/>
      <c r="AN19" s="840"/>
    </row>
    <row r="20" spans="1:40">
      <c r="A20" s="758" t="s">
        <v>110</v>
      </c>
      <c r="B20" s="758" t="s">
        <v>583</v>
      </c>
      <c r="C20" s="758">
        <f>SUMIFS(INDEX(Table91517[],,MATCH(C$6,Table91517[#Headers],0)),Table91517[MainSpaceHeatingFuel],$B20,Table91517[EnergyRating (group)],$A20)</f>
        <v>14723067</v>
      </c>
      <c r="D20" s="759">
        <f>SUMIFS(INDEX(Table91517[],,MATCH($D$6,Table91517[#Headers],0)),Table91517[MainSpaceHeatingFuel],B20,Table91517[EnergyRating (group)],A20)</f>
        <v>13384606</v>
      </c>
      <c r="E20" s="759">
        <f>SUMIFS(INDEX(Table91517[],,MATCH(E$6,Table91517[#Headers],0)),Table91517[MainSpaceHeatingFuel],$B20,Table91517[EnergyRating (group)],$A20)</f>
        <v>2446317</v>
      </c>
      <c r="F20" s="758">
        <f>SUMIFS(INDEX(Table91517[],,MATCH(F$6,Table91517[#Headers],0)),Table91517[MainSpaceHeatingFuel],$B20,Table91517[EnergyRating (group)],$A20)</f>
        <v>3057438</v>
      </c>
      <c r="G20" s="758">
        <f>SUMIFS(INDEX(Table91517[],,MATCH(G$6,Table91517[#Headers],0)),Table91517[MainSpaceHeatingFuel],$B20,Table91517[EnergyRating (group)],$A20)</f>
        <v>1347</v>
      </c>
      <c r="H20" s="911">
        <f>SUMIFS(INDEX(Table91517[],,MATCH(H$6,Table91517[#Headers],0)),Table91517[MainSpaceHeatingFuel],$B20,Table91517[EnergyRating (group)],$A20)</f>
        <v>311080</v>
      </c>
      <c r="I20" s="911">
        <f>AVERAGEIFS(INDEX(Table91517[],,MATCH(I$6,Table91517[#Headers],0)),Table91517[MainSpaceHeatingFuel],$B20,Table91517[EnergyRating (group)],$A20)</f>
        <v>96.75</v>
      </c>
      <c r="J20" s="849">
        <f>SUMIFS(INDEX(Table91517[],,MATCH(J$6,Table91517[#Headers],0)),Table91517[MainSpaceHeatingFuel],$B20,Table91517[EnergyRating (group)],$A20)</f>
        <v>29009658</v>
      </c>
      <c r="K20" s="870">
        <f>SUMIFS(INDEX(Table91517[],,MATCH(K$6,Table91517[#Headers],0)),Table91517[MainSpaceHeatingFuel],$B20,Table91517[EnergyRating (group)],$A20)</f>
        <v>23913414</v>
      </c>
      <c r="L20" s="135"/>
      <c r="M20" s="840"/>
      <c r="N20" s="914" t="str">
        <f>RSD_Commodities!$M$28&amp;"_"&amp;RIGHT(P20,LEN(P20)-3)&amp;"_"&amp;SETUP!$B$67</f>
        <v>SH_Det-B1_OILKER_X0</v>
      </c>
      <c r="O20" s="914" t="str">
        <f>RSD_Commodities!$N$28&amp;"_"&amp;RSD_Commodities!D13&amp;"_"&amp;SETUP!$C$67</f>
        <v>Residential Space Heating Detached-B1_Kerosene to Residential_Existing 00</v>
      </c>
      <c r="P20" s="915" t="str">
        <f>RSD_Commodities!$C$13</f>
        <v>RSDOILKER</v>
      </c>
      <c r="Q20" s="930" t="str">
        <f>RSD_Commodities!$M$28</f>
        <v>SH_Det-B1</v>
      </c>
      <c r="R20" s="1000">
        <f>G20/SUM($G$18:$G$29)</f>
        <v>0.44411473788328387</v>
      </c>
      <c r="S20" s="932">
        <f>R20*DwellingStocks!$I$63/1000</f>
        <v>2.3083137125269677</v>
      </c>
      <c r="T20" s="914">
        <v>1</v>
      </c>
      <c r="U20" s="914">
        <f t="shared" si="10"/>
        <v>0.96750000000000003</v>
      </c>
      <c r="V20" s="930">
        <v>20</v>
      </c>
      <c r="W20" s="930">
        <v>1</v>
      </c>
      <c r="X20" s="840"/>
      <c r="Y20" s="918">
        <f t="shared" si="11"/>
        <v>1.5597285874180175E-2</v>
      </c>
      <c r="Z20" s="919">
        <f t="shared" si="12"/>
        <v>1.6287256653222379E-2</v>
      </c>
      <c r="AA20" s="840"/>
      <c r="AB20" s="939" t="s">
        <v>393</v>
      </c>
      <c r="AC20" s="914" t="str">
        <f t="shared" si="13"/>
        <v>SH_Det-B1_OILKER_X0</v>
      </c>
      <c r="AD20" s="915" t="str">
        <f t="shared" si="13"/>
        <v>Residential Space Heating Detached-B1_Kerosene to Residential_Existing 00</v>
      </c>
      <c r="AE20" s="930" t="s">
        <v>53</v>
      </c>
      <c r="AF20" s="940" t="s">
        <v>406</v>
      </c>
      <c r="AG20" s="930"/>
      <c r="AH20" s="930"/>
      <c r="AI20" s="840"/>
      <c r="AJ20" s="840"/>
      <c r="AK20" s="840"/>
      <c r="AL20" s="840"/>
      <c r="AM20" s="840"/>
      <c r="AN20" s="840"/>
    </row>
    <row r="21" spans="1:40" ht="15.75" thickBot="1">
      <c r="A21" s="757" t="s">
        <v>110</v>
      </c>
      <c r="B21" s="757" t="s">
        <v>584</v>
      </c>
      <c r="C21" s="757">
        <f>SUMIFS(INDEX(Table91517[],,MATCH(C$6,Table91517[#Headers],0)),Table91517[MainSpaceHeatingFuel],$B21,Table91517[EnergyRating (group)],$A21)</f>
        <v>5391923</v>
      </c>
      <c r="D21" s="760">
        <f>SUMIFS(INDEX(Table91517[],,MATCH($D$6,Table91517[#Headers],0)),Table91517[MainSpaceHeatingFuel],B21,Table91517[EnergyRating (group)],A21)</f>
        <v>4901751</v>
      </c>
      <c r="E21" s="760">
        <f>SUMIFS(INDEX(Table91517[],,MATCH(E$6,Table91517[#Headers],0)),Table91517[MainSpaceHeatingFuel],$B21,Table91517[EnergyRating (group)],$A21)</f>
        <v>820599</v>
      </c>
      <c r="F21" s="757">
        <f>SUMIFS(INDEX(Table91517[],,MATCH(F$6,Table91517[#Headers],0)),Table91517[MainSpaceHeatingFuel],$B21,Table91517[EnergyRating (group)],$A21)</f>
        <v>735845</v>
      </c>
      <c r="G21" s="757">
        <f>SUMIFS(INDEX(Table91517[],,MATCH(G$6,Table91517[#Headers],0)),Table91517[MainSpaceHeatingFuel],$B21,Table91517[EnergyRating (group)],$A21)</f>
        <v>588</v>
      </c>
      <c r="H21" s="912">
        <f>SUMIFS(INDEX(Table91517[],,MATCH(H$6,Table91517[#Headers],0)),Table91517[MainSpaceHeatingFuel],$B21,Table91517[EnergyRating (group)],$A21)</f>
        <v>115024</v>
      </c>
      <c r="I21" s="912">
        <f>AVERAGEIFS(INDEX(Table91517[],,MATCH(I$6,Table91517[#Headers],0)),Table91517[MainSpaceHeatingFuel],$B21,Table91517[EnergyRating (group)],$A21)</f>
        <v>89.909090909090907</v>
      </c>
      <c r="J21" s="847">
        <f>SUMIFS(INDEX(Table91517[],,MATCH(J$6,Table91517[#Headers],0)),Table91517[MainSpaceHeatingFuel],$B21,Table91517[EnergyRating (group)],$A21)</f>
        <v>10683622</v>
      </c>
      <c r="K21" s="869">
        <f>SUMIFS(INDEX(Table91517[],,MATCH(K$6,Table91517[#Headers],0)),Table91517[MainSpaceHeatingFuel],$B21,Table91517[EnergyRating (group)],$A21)</f>
        <v>8517740</v>
      </c>
      <c r="L21" s="135"/>
      <c r="M21" s="840"/>
      <c r="N21" s="66" t="str">
        <f>RSD_Commodities!$M$28&amp;"_"&amp;RIGHT(P21,LEN(P21)-3)&amp;"_"&amp;SETUP!$B$67</f>
        <v>SH_Det-B1_GASNAT_X0</v>
      </c>
      <c r="O21" s="933" t="str">
        <f>RSD_Commodities!$N$28&amp;"_"&amp;RSD_Commodities!D17&amp;"_"&amp;SETUP!$C$67</f>
        <v>Residential Space Heating Detached-B1_Natural Gas to Residential_Existing 00</v>
      </c>
      <c r="P21" s="83" t="str">
        <f>RSD_Commodities!$C$17</f>
        <v>RSDGASNAT</v>
      </c>
      <c r="Q21" s="935" t="str">
        <f>RSD_Commodities!$M$28</f>
        <v>SH_Det-B1</v>
      </c>
      <c r="R21" s="1001">
        <f>G21/SUM($G$18:$G$29)</f>
        <v>0.19386745796241345</v>
      </c>
      <c r="S21" s="937">
        <f>R21*DwellingStocks!$I$63/1000</f>
        <v>1.0076380571387209</v>
      </c>
      <c r="T21" s="66">
        <v>1</v>
      </c>
      <c r="U21" s="66">
        <f t="shared" si="10"/>
        <v>0.89909090909090905</v>
      </c>
      <c r="V21" s="935">
        <v>20</v>
      </c>
      <c r="W21" s="935">
        <v>1</v>
      </c>
      <c r="X21" s="935"/>
      <c r="Y21" s="920">
        <f t="shared" ref="Y21:Y29" si="14">ABS((D21+F21)*S21*1000*$B$2)</f>
        <v>2.3345162796053532E-3</v>
      </c>
      <c r="Z21" s="921">
        <f t="shared" ref="Z21:Z29" si="15">ABS((C21+E21)*S21*1000*$B$2)</f>
        <v>2.5725918895937922E-3</v>
      </c>
      <c r="AA21" s="840"/>
      <c r="AB21" s="941" t="s">
        <v>393</v>
      </c>
      <c r="AC21" s="933" t="str">
        <f t="shared" si="13"/>
        <v>SH_Det-B1_GASNAT_X0</v>
      </c>
      <c r="AD21" s="934" t="str">
        <f t="shared" si="13"/>
        <v>Residential Space Heating Detached-B1_Natural Gas to Residential_Existing 00</v>
      </c>
      <c r="AE21" s="935" t="s">
        <v>53</v>
      </c>
      <c r="AF21" s="942" t="s">
        <v>406</v>
      </c>
      <c r="AG21" s="935"/>
      <c r="AH21" s="935"/>
      <c r="AI21" s="840"/>
      <c r="AJ21" s="840"/>
      <c r="AK21" s="840"/>
      <c r="AL21" s="840"/>
      <c r="AM21" s="840"/>
      <c r="AN21" s="840"/>
    </row>
    <row r="22" spans="1:40">
      <c r="A22" s="758" t="s">
        <v>110</v>
      </c>
      <c r="B22" s="758" t="s">
        <v>585</v>
      </c>
      <c r="C22" s="758">
        <f>SUMIFS(INDEX(Table91517[],,MATCH(C$6,Table91517[#Headers],0)),Table91517[MainSpaceHeatingFuel],$B22,Table91517[EnergyRating (group)],$A22)</f>
        <v>416129</v>
      </c>
      <c r="D22" s="758">
        <f>SUMIFS(INDEX(Table91517[],,MATCH($D$6,Table91517[#Headers],0)),Table91517[MainSpaceHeatingFuel],B22,Table91517[EnergyRating (group)],A22)</f>
        <v>378299</v>
      </c>
      <c r="E22" s="758">
        <f>SUMIFS(INDEX(Table91517[],,MATCH(E$6,Table91517[#Headers],0)),Table91517[MainSpaceHeatingFuel],$B22,Table91517[EnergyRating (group)],$A22)</f>
        <v>51146</v>
      </c>
      <c r="F22" s="758">
        <f>SUMIFS(INDEX(Table91517[],,MATCH(F$6,Table91517[#Headers],0)),Table91517[MainSpaceHeatingFuel],$B22,Table91517[EnergyRating (group)],$A22)</f>
        <v>51018</v>
      </c>
      <c r="G22" s="758">
        <f>SUMIFS(INDEX(Table91517[],,MATCH(G$6,Table91517[#Headers],0)),Table91517[MainSpaceHeatingFuel],$B22,Table91517[EnergyRating (group)],$A22)</f>
        <v>35</v>
      </c>
      <c r="H22" s="999">
        <f>SUMIFS(INDEX(Table91517[],,MATCH(H$6,Table91517[#Headers],0)),Table91517[MainSpaceHeatingFuel],$B22,Table91517[EnergyRating (group)],$A22)</f>
        <v>8015</v>
      </c>
      <c r="I22" s="1059">
        <f>AVERAGEIFS(INDEX(Table91517[],,MATCH(I$6,Table91517[#Headers],0)),Table91517[MainSpaceHeatingFuel],$B22,Table91517[EnergyRating (group)],$A22)</f>
        <v>89.466666666666669</v>
      </c>
      <c r="J22" s="849">
        <f>SUMIFS(INDEX(Table91517[],,MATCH(J$6,Table91517[#Headers],0)),Table91517[MainSpaceHeatingFuel],$B22,Table91517[EnergyRating (group)],$A22)</f>
        <v>765986</v>
      </c>
      <c r="K22" s="870">
        <f>SUMIFS(INDEX(Table91517[],,MATCH(K$6,Table91517[#Headers],0)),Table91517[MainSpaceHeatingFuel],$B22,Table91517[EnergyRating (group)],$A22)</f>
        <v>606962</v>
      </c>
      <c r="L22" s="135"/>
      <c r="M22" s="840"/>
      <c r="N22" s="914" t="str">
        <f>RSD_Commodities!$M$28&amp;"_"&amp;RIGHT(P22,LEN(P22)-3)&amp;"_"&amp;SETUP!$B$67</f>
        <v>SH_Det-B1_BIOWOO_X0</v>
      </c>
      <c r="O22" s="914" t="str">
        <f>RSD_Commodities!$N$28&amp;"_"&amp;RSD_Commodities!D19&amp;"_"&amp;SETUP!$C$67</f>
        <v>Residential Space Heating Detached-B1_Biomass &amp; Renewable Waste to Residential_Existing 00</v>
      </c>
      <c r="P22" s="915" t="str">
        <f>RSD_Commodities!$C$19</f>
        <v>RSDBIOWOO</v>
      </c>
      <c r="Q22" s="930" t="str">
        <f>RSD_Commodities!$M$28</f>
        <v>SH_Det-B1</v>
      </c>
      <c r="R22" s="1000">
        <f>G22/SUM($G$18:$G$29)</f>
        <v>1.1539729640619849E-2</v>
      </c>
      <c r="S22" s="932">
        <f>R22*DwellingStocks!$I$63/1000</f>
        <v>5.9978455782066724E-2</v>
      </c>
      <c r="T22" s="914">
        <v>1</v>
      </c>
      <c r="U22" s="914">
        <f t="shared" si="10"/>
        <v>0.89466666666666672</v>
      </c>
      <c r="V22" s="930">
        <v>20</v>
      </c>
      <c r="W22" s="930">
        <v>1</v>
      </c>
      <c r="X22" s="840"/>
      <c r="Y22" s="918">
        <f t="shared" si="14"/>
        <v>1.0582097548351866E-5</v>
      </c>
      <c r="Z22" s="919">
        <f t="shared" si="15"/>
        <v>1.1517712161191193E-5</v>
      </c>
      <c r="AA22" s="840"/>
      <c r="AB22" s="939" t="s">
        <v>393</v>
      </c>
      <c r="AC22" s="914" t="str">
        <f t="shared" si="13"/>
        <v>SH_Det-B1_BIOWOO_X0</v>
      </c>
      <c r="AD22" s="915" t="str">
        <f t="shared" si="13"/>
        <v>Residential Space Heating Detached-B1_Biomass &amp; Renewable Waste to Residential_Existing 00</v>
      </c>
      <c r="AE22" s="930" t="s">
        <v>53</v>
      </c>
      <c r="AF22" s="940" t="s">
        <v>406</v>
      </c>
      <c r="AG22" s="930"/>
      <c r="AH22" s="930"/>
      <c r="AI22" s="840"/>
      <c r="AJ22" s="840"/>
      <c r="AK22" s="840"/>
      <c r="AL22" s="840"/>
      <c r="AM22" s="840"/>
      <c r="AN22" s="840"/>
    </row>
    <row r="23" spans="1:40" ht="15.75" thickBot="1">
      <c r="A23" s="757" t="s">
        <v>110</v>
      </c>
      <c r="B23" s="757" t="s">
        <v>587</v>
      </c>
      <c r="C23" s="757">
        <f>SUMIFS(INDEX(Table91517[],,MATCH(C$6,Table91517[#Headers],0)),Table91517[MainSpaceHeatingFuel],"",Table91517[EnergyRating (group)],$A23)</f>
        <v>0</v>
      </c>
      <c r="D23" s="760">
        <f>SUMIFS(INDEX(Table91517[],,MATCH($D$6,Table91517[#Headers],0)),Table91517[MainSpaceHeatingFuel],"",Table91517[EnergyRating (group)],$A23)</f>
        <v>0</v>
      </c>
      <c r="E23" s="760">
        <f>SUMIFS(INDEX(Table91517[],,MATCH(E$6,Table91517[#Headers],0)),Table91517[MainSpaceHeatingFuel],"",Table91517[EnergyRating (group)],$A23)</f>
        <v>0</v>
      </c>
      <c r="F23" s="757">
        <f>SUMIFS(INDEX(Table91517[],,MATCH(F$6,Table91517[#Headers],0)),Table91517[MainSpaceHeatingFuel],"",Table91517[EnergyRating (group)],$A23)</f>
        <v>0</v>
      </c>
      <c r="G23" s="757">
        <f>SUMIFS(INDEX(Table91517[],,MATCH(G$6,Table91517[#Headers],0)),Table91517[MainSpaceHeatingFuel],"",Table91517[EnergyRating (group)],$A23)</f>
        <v>22</v>
      </c>
      <c r="H23" s="912">
        <f>SUMIFS(INDEX(Table91517[],,MATCH(H$6,Table91517[#Headers],0)),Table91517[MainSpaceHeatingFuel],"",Table91517[EnergyRating (group)],$A23)</f>
        <v>3676</v>
      </c>
      <c r="I23" s="913">
        <f>SUMIFS(INDEX(Table91517[],,MATCH(I$6,Table91517[#Headers],0)),Table91517[MainSpaceHeatingFuel],"",Table91517[EnergyRating (group)],$A23)</f>
        <v>0</v>
      </c>
      <c r="J23" s="847">
        <f>SUMIFS(INDEX(Table91517[],,MATCH(J$6,Table91517[#Headers],0)),Table91517[MainSpaceHeatingFuel],"",Table91517[EnergyRating (group)],$A23)</f>
        <v>71059</v>
      </c>
      <c r="K23" s="869">
        <f>SUMIFS(INDEX(Table91517[],,MATCH(K$6,Table91517[#Headers],0)),Table91517[MainSpaceHeatingFuel],"",Table91517[EnergyRating (group)],$A23)</f>
        <v>26318</v>
      </c>
      <c r="L23" s="135"/>
      <c r="M23" s="840"/>
      <c r="N23" s="66" t="str">
        <f>RSD_Commodities!$M$28&amp;"_"&amp;RIGHT(P23,LEN(P23)-3)&amp;"_"&amp;SETUP!$B$67</f>
        <v>SH_Det-B1_HET_X0</v>
      </c>
      <c r="O23" s="933" t="str">
        <f>RSD_Commodities!$N$28&amp;"_"&amp;RSD_Commodities!D28&amp;"_"&amp;SETUP!$C$67</f>
        <v>Residential Space Heating Detached-B1_Heat to Residential_Existing 00</v>
      </c>
      <c r="P23" s="83" t="str">
        <f>RSD_Commodities!$C$28</f>
        <v>RSDHET</v>
      </c>
      <c r="Q23" s="935" t="str">
        <f>RSD_Commodities!$M$28</f>
        <v>SH_Det-B1</v>
      </c>
      <c r="R23" s="1001">
        <f>G23/SUM($G$18:$G$29)</f>
        <v>7.2535443455324757E-3</v>
      </c>
      <c r="S23" s="937">
        <f>R23*DwellingStocks!$I$63/1000</f>
        <v>3.7700743634441931E-2</v>
      </c>
      <c r="T23" s="66">
        <v>1</v>
      </c>
      <c r="U23" s="917">
        <f>IF(I23=0, 1, I23)</f>
        <v>1</v>
      </c>
      <c r="V23" s="935">
        <v>20</v>
      </c>
      <c r="W23" s="935">
        <v>1</v>
      </c>
      <c r="X23" s="935"/>
      <c r="Y23" s="920">
        <f t="shared" si="14"/>
        <v>0</v>
      </c>
      <c r="Z23" s="921">
        <f t="shared" si="15"/>
        <v>0</v>
      </c>
      <c r="AA23" s="840"/>
      <c r="AB23" s="941" t="s">
        <v>393</v>
      </c>
      <c r="AC23" s="933" t="str">
        <f t="shared" si="13"/>
        <v>SH_Det-B1_HET_X0</v>
      </c>
      <c r="AD23" s="934" t="str">
        <f t="shared" si="13"/>
        <v>Residential Space Heating Detached-B1_Heat to Residential_Existing 00</v>
      </c>
      <c r="AE23" s="935" t="s">
        <v>53</v>
      </c>
      <c r="AF23" s="942" t="s">
        <v>406</v>
      </c>
      <c r="AG23" s="840"/>
      <c r="AH23" s="840"/>
      <c r="AI23" s="840"/>
      <c r="AJ23" s="840"/>
      <c r="AK23" s="840"/>
      <c r="AL23" s="840"/>
      <c r="AM23" s="840"/>
      <c r="AN23" s="840"/>
    </row>
    <row r="24" spans="1:40">
      <c r="A24" s="758" t="s">
        <v>110</v>
      </c>
      <c r="B24" s="758" t="s">
        <v>664</v>
      </c>
      <c r="C24" s="758">
        <f>SUMIFS(INDEX(Table91517[],,MATCH(C$6,Table91517[#Headers],0)),Table91517[MainSpaceHeatingFuel],$B24,Table91517[EnergyRating (group)],$A24)</f>
        <v>49922</v>
      </c>
      <c r="D24" s="759">
        <f>SUMIFS(INDEX(Table91517[],,MATCH($D$6,Table91517[#Headers],0)),Table91517[MainSpaceHeatingFuel],B24,Table91517[EnergyRating (group)],A24)</f>
        <v>45385</v>
      </c>
      <c r="E24" s="759">
        <f>SUMIFS(INDEX(Table91517[],,MATCH(E$6,Table91517[#Headers],0)),Table91517[MainSpaceHeatingFuel],$B24,Table91517[EnergyRating (group)],$A24)</f>
        <v>11304</v>
      </c>
      <c r="F24" s="758">
        <f>SUMIFS(INDEX(Table91517[],,MATCH(F$6,Table91517[#Headers],0)),Table91517[MainSpaceHeatingFuel],$B24,Table91517[EnergyRating (group)],$A24)</f>
        <v>10277</v>
      </c>
      <c r="G24" s="758">
        <f>SUMIFS(INDEX(Table91517[],,MATCH(G$6,Table91517[#Headers],0)),Table91517[MainSpaceHeatingFuel],$B24,Table91517[EnergyRating (group)],$A24)</f>
        <v>5</v>
      </c>
      <c r="H24" s="911">
        <f>SUMIFS(INDEX(Table91517[],,MATCH(H$6,Table91517[#Headers],0)),Table91517[MainSpaceHeatingFuel],$B24,Table91517[EnergyRating (group)],$A24)</f>
        <v>1159</v>
      </c>
      <c r="I24" s="911">
        <f>AVERAGEIFS(INDEX(Table91517[],,MATCH(I$6,Table91517[#Headers],0)),Table91517[MainSpaceHeatingFuel],$B24,Table91517[EnergyRating (group)],$A24)</f>
        <v>117.25</v>
      </c>
      <c r="J24" s="849">
        <f>SUMIFS(INDEX(Table91517[],,MATCH(J$6,Table91517[#Headers],0)),Table91517[MainSpaceHeatingFuel],$B24,Table91517[EnergyRating (group)],$A24)</f>
        <v>100015</v>
      </c>
      <c r="K24" s="870">
        <f>SUMIFS(INDEX(Table91517[],,MATCH(K$6,Table91517[#Headers],0)),Table91517[MainSpaceHeatingFuel],$B24,Table91517[EnergyRating (group)],$A24)</f>
        <v>79476</v>
      </c>
      <c r="L24" s="135"/>
      <c r="M24" s="840"/>
      <c r="N24" s="914" t="str">
        <f>RSD_Commodities!$M$28&amp;"_"&amp;RIGHT(P24,LEN(P24)-3)&amp;"_"&amp;SETUP!$B$68</f>
        <v>SH_Det-B1_OILLPG_X1</v>
      </c>
      <c r="O24" s="914" t="str">
        <f>RSD_Commodities!$N$28&amp;"_"&amp;RSD_Commodities!D11&amp;"_"&amp;SETUP!$C$68</f>
        <v>Residential Space Heating Detached-B1_LPG to Residential_Existing 01</v>
      </c>
      <c r="P24" s="915" t="str">
        <f>RSD_Commodities!$C$11</f>
        <v>RSDOILLPG</v>
      </c>
      <c r="Q24" s="930" t="str">
        <f>RSD_Commodities!$M$28</f>
        <v>SH_Det-B1</v>
      </c>
      <c r="R24" s="1000">
        <f>G24/SUM($G$18:$G$29)</f>
        <v>1.6485328058028356E-3</v>
      </c>
      <c r="S24" s="932">
        <f>R24*DwellingStocks!$I$63/1000</f>
        <v>8.5683508260095322E-3</v>
      </c>
      <c r="T24" s="914">
        <v>1</v>
      </c>
      <c r="U24" s="914">
        <f t="shared" ref="U24" si="16">I24/100</f>
        <v>1.1725000000000001</v>
      </c>
      <c r="V24" s="930">
        <v>20</v>
      </c>
      <c r="W24" s="930">
        <v>1</v>
      </c>
      <c r="X24" s="935"/>
      <c r="Y24" s="918">
        <f t="shared" si="14"/>
        <v>1.9599926452493534E-7</v>
      </c>
      <c r="Z24" s="919">
        <f t="shared" si="15"/>
        <v>2.1559144424928482E-7</v>
      </c>
      <c r="AA24" s="840"/>
      <c r="AB24" s="939" t="s">
        <v>393</v>
      </c>
      <c r="AC24" s="914" t="str">
        <f t="shared" ref="AC24:AC29" si="17">N24</f>
        <v>SH_Det-B1_OILLPG_X1</v>
      </c>
      <c r="AD24" s="915" t="str">
        <f t="shared" ref="AD24:AD29" si="18">O24</f>
        <v>Residential Space Heating Detached-B1_LPG to Residential_Existing 01</v>
      </c>
      <c r="AE24" s="930" t="s">
        <v>53</v>
      </c>
      <c r="AF24" s="940" t="s">
        <v>406</v>
      </c>
      <c r="AG24" s="930"/>
      <c r="AH24" s="930"/>
      <c r="AI24" s="840"/>
      <c r="AJ24" s="840"/>
      <c r="AK24" s="840"/>
      <c r="AL24" s="840"/>
      <c r="AM24" s="840"/>
      <c r="AN24" s="840"/>
    </row>
    <row r="25" spans="1:40" ht="15.75" thickBot="1">
      <c r="A25" s="757" t="s">
        <v>110</v>
      </c>
      <c r="B25" s="757" t="s">
        <v>665</v>
      </c>
      <c r="C25" s="757">
        <f>SUMIFS(INDEX(Table91517[],,MATCH(C$6,Table91517[#Headers],0)),Table91517[MainSpaceHeatingFuel],$B25,Table91517[EnergyRating (group)],$A25)</f>
        <v>29040</v>
      </c>
      <c r="D25" s="757">
        <f>SUMIFS(INDEX(Table91517[],,MATCH($D$6,Table91517[#Headers],0)),Table91517[MainSpaceHeatingFuel],B25,Table91517[EnergyRating (group)],A25)</f>
        <v>26400</v>
      </c>
      <c r="E25" s="757">
        <f>SUMIFS(INDEX(Table91517[],,MATCH(E$6,Table91517[#Headers],0)),Table91517[MainSpaceHeatingFuel],$B25,Table91517[EnergyRating (group)],$A25)</f>
        <v>3573</v>
      </c>
      <c r="F25" s="757">
        <f>SUMIFS(INDEX(Table91517[],,MATCH(F$6,Table91517[#Headers],0)),Table91517[MainSpaceHeatingFuel],$B25,Table91517[EnergyRating (group)],$A25)</f>
        <v>1920</v>
      </c>
      <c r="G25" s="757">
        <f>SUMIFS(INDEX(Table91517[],,MATCH(G$6,Table91517[#Headers],0)),Table91517[MainSpaceHeatingFuel],$B25,Table91517[EnergyRating (group)],$A25)</f>
        <v>3</v>
      </c>
      <c r="H25" s="912">
        <f>SUMIFS(INDEX(Table91517[],,MATCH(H$6,Table91517[#Headers],0)),Table91517[MainSpaceHeatingFuel],$B25,Table91517[EnergyRating (group)],$A25)</f>
        <v>695</v>
      </c>
      <c r="I25" s="912">
        <f>AVERAGEIFS(INDEX(Table91517[],,MATCH(I$6,Table91517[#Headers],0)),Table91517[MainSpaceHeatingFuel],$B25,Table91517[EnergyRating (group)],$A25)</f>
        <v>75.666666666666671</v>
      </c>
      <c r="J25" s="847">
        <f>SUMIFS(INDEX(Table91517[],,MATCH(J$6,Table91517[#Headers],0)),Table91517[MainSpaceHeatingFuel],$B25,Table91517[EnergyRating (group)],$A25)</f>
        <v>64949</v>
      </c>
      <c r="K25" s="869">
        <f>SUMIFS(INDEX(Table91517[],,MATCH(K$6,Table91517[#Headers],0)),Table91517[MainSpaceHeatingFuel],$B25,Table91517[EnergyRating (group)],$A25)</f>
        <v>45209</v>
      </c>
      <c r="L25" s="135"/>
      <c r="M25" s="840"/>
      <c r="N25" s="66" t="str">
        <f>RSD_Commodities!$M$28&amp;"_"&amp;RSD_Commodities!$C$26&amp;"_"&amp;SETUP!$B$67</f>
        <v>SH_Det-B1_RSDSMF_X0</v>
      </c>
      <c r="O25" s="933" t="str">
        <f>RSD_Commodities!$N$28&amp;"_"&amp;RSD_Commodities!$D$26&amp;"_"&amp;SETUP!$C$67</f>
        <v>Residential Space Heating Detached-B1_Solid Multi-Fuel_Existing 00</v>
      </c>
      <c r="P25" s="83" t="str">
        <f>RSD_Commodities!$C$6&amp;","&amp;RSD_Commodities!$C$7&amp;","&amp;RSD_Commodities!$C$9&amp;","&amp;RSD_Commodities!$C$10&amp;","&amp;RSD_Commodities!$C$19</f>
        <v>RSDCOABIT,RSDCOAHAR,RSDCOALIG,RSDPEA,RSDBIOWOO</v>
      </c>
      <c r="Q25" s="935" t="str">
        <f>RSD_Commodities!$M$28</f>
        <v>SH_Det-B1</v>
      </c>
      <c r="R25" s="1001">
        <f>G25/SUM($G$18:$G$29)</f>
        <v>9.8911968348170125E-4</v>
      </c>
      <c r="S25" s="937">
        <f>R25*DwellingStocks!$I$63/1000</f>
        <v>5.1410104956057185E-3</v>
      </c>
      <c r="T25" s="66">
        <v>1</v>
      </c>
      <c r="U25" s="66">
        <f t="shared" si="10"/>
        <v>0.75666666666666671</v>
      </c>
      <c r="V25" s="935">
        <v>20</v>
      </c>
      <c r="W25" s="935">
        <v>1</v>
      </c>
      <c r="X25" s="935"/>
      <c r="Y25" s="920">
        <f t="shared" si="14"/>
        <v>5.9832911192693403E-8</v>
      </c>
      <c r="Z25" s="921">
        <f t="shared" si="15"/>
        <v>6.8902921353365479E-8</v>
      </c>
      <c r="AA25" s="840"/>
      <c r="AB25" s="941" t="s">
        <v>393</v>
      </c>
      <c r="AC25" s="933" t="str">
        <f t="shared" si="17"/>
        <v>SH_Det-B1_RSDSMF_X0</v>
      </c>
      <c r="AD25" s="934" t="str">
        <f t="shared" si="18"/>
        <v>Residential Space Heating Detached-B1_Solid Multi-Fuel_Existing 00</v>
      </c>
      <c r="AE25" s="935" t="s">
        <v>53</v>
      </c>
      <c r="AF25" s="942" t="s">
        <v>406</v>
      </c>
      <c r="AG25" s="840"/>
      <c r="AH25" s="840"/>
      <c r="AI25" s="840"/>
      <c r="AJ25" s="840"/>
      <c r="AK25" s="840"/>
      <c r="AL25" s="840"/>
      <c r="AM25" s="840"/>
      <c r="AN25" s="840"/>
    </row>
    <row r="26" spans="1:40">
      <c r="A26" s="758" t="s">
        <v>110</v>
      </c>
      <c r="B26" s="758" t="s">
        <v>669</v>
      </c>
      <c r="C26" s="758">
        <f>SUMIFS(INDEX(Table91517[],,MATCH(C$6,Table91517[#Headers],0)),Table91517[MainSpaceHeatingFuel],$B26,Table91517[EnergyRating (group)],$A26)</f>
        <v>5763</v>
      </c>
      <c r="D26" s="759">
        <f>SUMIFS(INDEX(Table91517[],,MATCH($D$6,Table91517[#Headers],0)),Table91517[MainSpaceHeatingFuel],B26,Table91517[EnergyRating (group)],A26)</f>
        <v>4803</v>
      </c>
      <c r="E26" s="759">
        <f>SUMIFS(INDEX(Table91517[],,MATCH(E$6,Table91517[#Headers],0)),Table91517[MainSpaceHeatingFuel],$B26,Table91517[EnergyRating (group)],$A26)</f>
        <v>1017</v>
      </c>
      <c r="F26" s="758">
        <f>SUMIFS(INDEX(Table91517[],,MATCH(F$6,Table91517[#Headers],0)),Table91517[MainSpaceHeatingFuel],$B26,Table91517[EnergyRating (group)],$A26)</f>
        <v>283</v>
      </c>
      <c r="G26" s="758">
        <f>SUMIFS(INDEX(Table91517[],,MATCH(G$6,Table91517[#Headers],0)),Table91517[MainSpaceHeatingFuel],$B26,Table91517[EnergyRating (group)],$A26)</f>
        <v>2</v>
      </c>
      <c r="H26" s="911">
        <f>SUMIFS(INDEX(Table91517[],,MATCH(H$6,Table91517[#Headers],0)),Table91517[MainSpaceHeatingFuel],$B26,Table91517[EnergyRating (group)],$A26)</f>
        <v>405</v>
      </c>
      <c r="I26" s="911">
        <f>AVERAGEIFS(INDEX(Table91517[],,MATCH(I$6,Table91517[#Headers],0)),Table91517[MainSpaceHeatingFuel],$B26,Table91517[EnergyRating (group)],$A26)</f>
        <v>247.5</v>
      </c>
      <c r="J26" s="849">
        <f>SUMIFS(INDEX(Table91517[],,MATCH(J$6,Table91517[#Headers],0)),Table91517[MainSpaceHeatingFuel],$B26,Table91517[EnergyRating (group)],$A26)</f>
        <v>36556</v>
      </c>
      <c r="K26" s="870">
        <f>SUMIFS(INDEX(Table91517[],,MATCH(K$6,Table91517[#Headers],0)),Table91517[MainSpaceHeatingFuel],$B26,Table91517[EnergyRating (group)],$A26)</f>
        <v>16600</v>
      </c>
      <c r="L26" s="135"/>
      <c r="M26" s="840"/>
      <c r="N26" s="914" t="str">
        <f>RSD_Commodities!$M$28&amp;"_"&amp;RIGHT(P26,LEN(P26)-3)&amp;"_"&amp;SETUP!$B$67</f>
        <v>SH_Det-B1_COAHAR_X0</v>
      </c>
      <c r="O26" s="914" t="str">
        <f>RSD_Commodities!$N$28&amp;"_"&amp;RSD_Commodities!D7&amp;"_"&amp;SETUP!$C$67</f>
        <v>Residential Space Heating Detached-B1_Anthracite + Manufactured Ovoids to Residential_Existing 00</v>
      </c>
      <c r="P26" s="915" t="str">
        <f>RSD_Commodities!$C$7</f>
        <v>RSDCOAHAR</v>
      </c>
      <c r="Q26" s="930" t="str">
        <f>RSD_Commodities!$M$28</f>
        <v>SH_Det-B1</v>
      </c>
      <c r="R26" s="1000">
        <f t="shared" ref="R26:R29" si="19">G26/SUM($G$18:$G$29)</f>
        <v>6.594131223211342E-4</v>
      </c>
      <c r="S26" s="932">
        <f>R26*DwellingStocks!$I$63/1000</f>
        <v>3.4273403304038129E-3</v>
      </c>
      <c r="T26" s="914">
        <v>1</v>
      </c>
      <c r="U26" s="914">
        <f t="shared" si="10"/>
        <v>2.4750000000000001</v>
      </c>
      <c r="V26" s="930">
        <v>20</v>
      </c>
      <c r="W26" s="930">
        <v>1</v>
      </c>
      <c r="X26" s="935"/>
      <c r="Y26" s="918">
        <f t="shared" si="14"/>
        <v>7.163610789219368E-9</v>
      </c>
      <c r="Z26" s="919">
        <f t="shared" si="15"/>
        <v>9.5496030575909003E-9</v>
      </c>
      <c r="AA26" s="840"/>
      <c r="AB26" s="939" t="s">
        <v>393</v>
      </c>
      <c r="AC26" s="914" t="str">
        <f t="shared" si="17"/>
        <v>SH_Det-B1_COAHAR_X0</v>
      </c>
      <c r="AD26" s="915" t="str">
        <f t="shared" si="18"/>
        <v>Residential Space Heating Detached-B1_Anthracite + Manufactured Ovoids to Residential_Existing 00</v>
      </c>
      <c r="AE26" s="930" t="s">
        <v>53</v>
      </c>
      <c r="AF26" s="940" t="s">
        <v>406</v>
      </c>
      <c r="AG26" s="930"/>
      <c r="AH26" s="930"/>
      <c r="AI26" s="840"/>
      <c r="AJ26" s="840"/>
      <c r="AK26" s="840"/>
      <c r="AL26" s="840"/>
      <c r="AM26" s="840"/>
      <c r="AN26" s="840"/>
    </row>
    <row r="27" spans="1:40" ht="15.75" thickBot="1">
      <c r="A27" s="757" t="s">
        <v>110</v>
      </c>
      <c r="B27" s="757" t="s">
        <v>668</v>
      </c>
      <c r="C27" s="757">
        <f>SUMIFS(INDEX(Table91517[],,MATCH(C$6,Table91517[#Headers],0)),Table91517[MainSpaceHeatingFuel],$B27,Table91517[EnergyRating (group)],$A27)</f>
        <v>15266</v>
      </c>
      <c r="D27" s="757">
        <f>SUMIFS(INDEX(Table91517[],,MATCH($D$6,Table91517[#Headers],0)),Table91517[MainSpaceHeatingFuel],B27,Table91517[EnergyRating (group)],A27)</f>
        <v>13878</v>
      </c>
      <c r="E27" s="757">
        <f>SUMIFS(INDEX(Table91517[],,MATCH(E$6,Table91517[#Headers],0)),Table91517[MainSpaceHeatingFuel],$B27,Table91517[EnergyRating (group)],$A27)</f>
        <v>0</v>
      </c>
      <c r="F27" s="757">
        <f>SUMIFS(INDEX(Table91517[],,MATCH(F$6,Table91517[#Headers],0)),Table91517[MainSpaceHeatingFuel],$B27,Table91517[EnergyRating (group)],$A27)</f>
        <v>0</v>
      </c>
      <c r="G27" s="757">
        <f>SUMIFS(INDEX(Table91517[],,MATCH(G$6,Table91517[#Headers],0)),Table91517[MainSpaceHeatingFuel],$B27,Table91517[EnergyRating (group)],$A27)</f>
        <v>2</v>
      </c>
      <c r="H27" s="912">
        <f>SUMIFS(INDEX(Table91517[],,MATCH(H$6,Table91517[#Headers],0)),Table91517[MainSpaceHeatingFuel],$B27,Table91517[EnergyRating (group)],$A27)</f>
        <v>318</v>
      </c>
      <c r="I27" s="912">
        <f>AVERAGEIFS(INDEX(Table91517[],,MATCH(I$6,Table91517[#Headers],0)),Table91517[MainSpaceHeatingFuel],$B27,Table91517[EnergyRating (group)],$A27)</f>
        <v>89.5</v>
      </c>
      <c r="J27" s="847">
        <f>SUMIFS(INDEX(Table91517[],,MATCH(J$6,Table91517[#Headers],0)),Table91517[MainSpaceHeatingFuel],$B27,Table91517[EnergyRating (group)],$A27)</f>
        <v>28517</v>
      </c>
      <c r="K27" s="869">
        <f>SUMIFS(INDEX(Table91517[],,MATCH(K$6,Table91517[#Headers],0)),Table91517[MainSpaceHeatingFuel],$B27,Table91517[EnergyRating (group)],$A27)</f>
        <v>22657</v>
      </c>
      <c r="L27" s="135"/>
      <c r="M27" s="840"/>
      <c r="N27" s="66" t="str">
        <f>RSD_Commodities!$M$28&amp;"_"&amp;RIGHT(P27,LEN(P27)-3)&amp;"_"&amp;SETUP!$B$69</f>
        <v>SH_Det-B1_BIOWOO_X2</v>
      </c>
      <c r="O27" s="933" t="str">
        <f>RSD_Commodities!$N$28&amp;"_"&amp;RSD_Commodities!D19&amp;"_"&amp;SETUP!$C$69</f>
        <v>Residential Space Heating Detached-B1_Biomass &amp; Renewable Waste to Residential_Existing 02</v>
      </c>
      <c r="P27" s="83" t="str">
        <f>RSD_Commodities!$C$19</f>
        <v>RSDBIOWOO</v>
      </c>
      <c r="Q27" s="935" t="str">
        <f>RSD_Commodities!$M$28</f>
        <v>SH_Det-B1</v>
      </c>
      <c r="R27" s="1001">
        <f t="shared" si="19"/>
        <v>6.594131223211342E-4</v>
      </c>
      <c r="S27" s="937">
        <f>R27*DwellingStocks!$I$63/1000</f>
        <v>3.4273403304038129E-3</v>
      </c>
      <c r="T27" s="66">
        <v>1</v>
      </c>
      <c r="U27" s="66">
        <f t="shared" ref="U27:U29" si="20">I27/100</f>
        <v>0.89500000000000002</v>
      </c>
      <c r="V27" s="935">
        <v>20</v>
      </c>
      <c r="W27" s="935">
        <v>1</v>
      </c>
      <c r="X27" s="866"/>
      <c r="Y27" s="920">
        <f t="shared" si="14"/>
        <v>1.9547107851511284E-8</v>
      </c>
      <c r="Z27" s="921">
        <f t="shared" si="15"/>
        <v>2.150210033586765E-8</v>
      </c>
      <c r="AA27" s="866"/>
      <c r="AB27" s="941" t="s">
        <v>393</v>
      </c>
      <c r="AC27" s="933" t="str">
        <f t="shared" si="17"/>
        <v>SH_Det-B1_BIOWOO_X2</v>
      </c>
      <c r="AD27" s="934" t="str">
        <f t="shared" si="18"/>
        <v>Residential Space Heating Detached-B1_Biomass &amp; Renewable Waste to Residential_Existing 02</v>
      </c>
      <c r="AE27" s="935" t="s">
        <v>53</v>
      </c>
      <c r="AF27" s="942" t="s">
        <v>406</v>
      </c>
      <c r="AG27" s="840"/>
      <c r="AH27" s="840"/>
      <c r="AI27" s="840"/>
      <c r="AJ27" s="840"/>
      <c r="AK27" s="840"/>
      <c r="AL27" s="840"/>
      <c r="AM27" s="840"/>
      <c r="AN27" s="840"/>
    </row>
    <row r="28" spans="1:40">
      <c r="A28" s="758" t="s">
        <v>110</v>
      </c>
      <c r="B28" s="758" t="s">
        <v>722</v>
      </c>
      <c r="C28" s="758">
        <f>SUMIFS(INDEX(Table91517[],,MATCH(C$6,Table91517[#Headers],0)),Table91517[MainSpaceHeatingFuel],$B28,Table91517[EnergyRating (group)],$A28)</f>
        <v>48245</v>
      </c>
      <c r="D28" s="759">
        <f>SUMIFS(INDEX(Table91517[],,MATCH($D$6,Table91517[#Headers],0)),Table91517[MainSpaceHeatingFuel],B28,Table91517[EnergyRating (group)],A28)</f>
        <v>43859</v>
      </c>
      <c r="E28" s="759">
        <f>SUMIFS(INDEX(Table91517[],,MATCH(E$6,Table91517[#Headers],0)),Table91517[MainSpaceHeatingFuel],$B28,Table91517[EnergyRating (group)],$A28)</f>
        <v>8287</v>
      </c>
      <c r="F28" s="758">
        <f>SUMIFS(INDEX(Table91517[],,MATCH(F$6,Table91517[#Headers],0)),Table91517[MainSpaceHeatingFuel],$B28,Table91517[EnergyRating (group)],$A28)</f>
        <v>7534</v>
      </c>
      <c r="G28" s="758">
        <f>SUMIFS(INDEX(Table91517[],,MATCH(G$6,Table91517[#Headers],0)),Table91517[MainSpaceHeatingFuel],$B28,Table91517[EnergyRating (group)],$A28)</f>
        <v>3</v>
      </c>
      <c r="H28" s="911">
        <f>SUMIFS(INDEX(Table91517[],,MATCH(H$6,Table91517[#Headers],0)),Table91517[MainSpaceHeatingFuel],$B28,Table91517[EnergyRating (group)],$A28)</f>
        <v>1004</v>
      </c>
      <c r="I28" s="911">
        <f>AVERAGEIFS(INDEX(Table91517[],,MATCH(I$6,Table91517[#Headers],0)),Table91517[MainSpaceHeatingFuel],$B28,Table91517[EnergyRating (group)],$A28)</f>
        <v>90.333333333333329</v>
      </c>
      <c r="J28" s="849">
        <f>SUMIFS(INDEX(Table91517[],,MATCH(J$6,Table91517[#Headers],0)),Table91517[MainSpaceHeatingFuel],$B28,Table91517[EnergyRating (group)],$A28)</f>
        <v>95614</v>
      </c>
      <c r="K28" s="870">
        <f>SUMIFS(INDEX(Table91517[],,MATCH(K$6,Table91517[#Headers],0)),Table91517[MainSpaceHeatingFuel],$B28,Table91517[EnergyRating (group)],$A28)</f>
        <v>76317</v>
      </c>
      <c r="L28" s="135"/>
      <c r="M28" s="840"/>
      <c r="N28" s="914" t="str">
        <f>RSD_Commodities!$M$28&amp;"_"&amp;RIGHT(P28,LEN(P28)-3)&amp;"_"&amp;SETUP!$B$68</f>
        <v>SH_Det-B1_BIOWOO_X1</v>
      </c>
      <c r="O28" s="914" t="str">
        <f>RSD_Commodities!$N$28&amp;"_"&amp;RSD_Commodities!D19&amp;"_"&amp;SETUP!$C$68</f>
        <v>Residential Space Heating Detached-B1_Biomass &amp; Renewable Waste to Residential_Existing 01</v>
      </c>
      <c r="P28" s="915" t="str">
        <f>RSD_Commodities!$C$19</f>
        <v>RSDBIOWOO</v>
      </c>
      <c r="Q28" s="930" t="str">
        <f>RSD_Commodities!$M$28</f>
        <v>SH_Det-B1</v>
      </c>
      <c r="R28" s="1000">
        <f t="shared" si="19"/>
        <v>9.8911968348170125E-4</v>
      </c>
      <c r="S28" s="932">
        <f>R28*DwellingStocks!$I$63/1000</f>
        <v>5.1410104956057185E-3</v>
      </c>
      <c r="T28" s="914">
        <v>1</v>
      </c>
      <c r="U28" s="914">
        <f t="shared" si="20"/>
        <v>0.90333333333333332</v>
      </c>
      <c r="V28" s="930">
        <v>20</v>
      </c>
      <c r="W28" s="930">
        <v>1</v>
      </c>
      <c r="X28" s="866"/>
      <c r="Y28" s="918">
        <f t="shared" si="14"/>
        <v>1.0858025441123208E-7</v>
      </c>
      <c r="Z28" s="919">
        <f t="shared" si="15"/>
        <v>1.1943764602914349E-7</v>
      </c>
      <c r="AA28" s="866"/>
      <c r="AB28" s="939" t="s">
        <v>393</v>
      </c>
      <c r="AC28" s="914" t="str">
        <f t="shared" si="17"/>
        <v>SH_Det-B1_BIOWOO_X1</v>
      </c>
      <c r="AD28" s="915" t="str">
        <f t="shared" si="18"/>
        <v>Residential Space Heating Detached-B1_Biomass &amp; Renewable Waste to Residential_Existing 01</v>
      </c>
      <c r="AE28" s="930" t="s">
        <v>53</v>
      </c>
      <c r="AF28" s="940" t="s">
        <v>406</v>
      </c>
      <c r="AG28" s="930"/>
      <c r="AH28" s="930"/>
      <c r="AI28" s="840"/>
      <c r="AJ28" s="840"/>
      <c r="AK28" s="840"/>
      <c r="AL28" s="840"/>
      <c r="AM28" s="840"/>
      <c r="AN28" s="840"/>
    </row>
    <row r="29" spans="1:40" ht="15.75" thickBot="1">
      <c r="A29" s="757" t="s">
        <v>110</v>
      </c>
      <c r="B29" s="757" t="s">
        <v>673</v>
      </c>
      <c r="C29" s="757">
        <f>SUMIFS(INDEX(Table91517[],,MATCH(C$6,Table91517[#Headers],0)),Table91517[MainSpaceHeatingFuel],$B29,Table91517[EnergyRating (group)],$A29)</f>
        <v>90488</v>
      </c>
      <c r="D29" s="757">
        <f>SUMIFS(INDEX(Table91517[],,MATCH($D$6,Table91517[#Headers],0)),Table91517[MainSpaceHeatingFuel],B29,Table91517[EnergyRating (group)],A29)</f>
        <v>82262</v>
      </c>
      <c r="E29" s="757">
        <f>SUMIFS(INDEX(Table91517[],,MATCH(E$6,Table91517[#Headers],0)),Table91517[MainSpaceHeatingFuel],$B29,Table91517[EnergyRating (group)],$A29)</f>
        <v>7674</v>
      </c>
      <c r="F29" s="757">
        <f>SUMIFS(INDEX(Table91517[],,MATCH(F$6,Table91517[#Headers],0)),Table91517[MainSpaceHeatingFuel],$B29,Table91517[EnergyRating (group)],$A29)</f>
        <v>8266</v>
      </c>
      <c r="G29" s="757">
        <f>SUMIFS(INDEX(Table91517[],,MATCH(G$6,Table91517[#Headers],0)),Table91517[MainSpaceHeatingFuel],$B29,Table91517[EnergyRating (group)],$A29)</f>
        <v>9</v>
      </c>
      <c r="H29" s="912">
        <f>SUMIFS(INDEX(Table91517[],,MATCH(H$6,Table91517[#Headers],0)),Table91517[MainSpaceHeatingFuel],$B29,Table91517[EnergyRating (group)],$A29)</f>
        <v>2358</v>
      </c>
      <c r="I29" s="912">
        <f>AVERAGEIFS(INDEX(Table91517[],,MATCH(I$6,Table91517[#Headers],0)),Table91517[MainSpaceHeatingFuel],$B29,Table91517[EnergyRating (group)],$A29)</f>
        <v>78</v>
      </c>
      <c r="J29" s="847">
        <f>SUMIFS(INDEX(Table91517[],,MATCH(J$6,Table91517[#Headers],0)),Table91517[MainSpaceHeatingFuel],$B29,Table91517[EnergyRating (group)],$A29)</f>
        <v>211273</v>
      </c>
      <c r="K29" s="869">
        <f>SUMIFS(INDEX(Table91517[],,MATCH(K$6,Table91517[#Headers],0)),Table91517[MainSpaceHeatingFuel],$B29,Table91517[EnergyRating (group)],$A29)</f>
        <v>152582</v>
      </c>
      <c r="L29" s="135"/>
      <c r="M29" s="840"/>
      <c r="N29" s="66" t="str">
        <f>RSD_Commodities!$M$28&amp;"_"&amp;RIGHT(P29,LEN(P29)-3)&amp;"_"&amp;SETUP!$B$68</f>
        <v>SH_Det-B1_BIOWOO_X1</v>
      </c>
      <c r="O29" s="933" t="str">
        <f>RSD_Commodities!$N$28&amp;"_"&amp;RSD_Commodities!D19&amp;"_"&amp;SETUP!$C$68</f>
        <v>Residential Space Heating Detached-B1_Biomass &amp; Renewable Waste to Residential_Existing 01</v>
      </c>
      <c r="P29" s="83" t="str">
        <f>RSD_Commodities!$C$19</f>
        <v>RSDBIOWOO</v>
      </c>
      <c r="Q29" s="935" t="str">
        <f>RSD_Commodities!$M$28</f>
        <v>SH_Det-B1</v>
      </c>
      <c r="R29" s="1001">
        <f t="shared" si="19"/>
        <v>2.967359050445104E-3</v>
      </c>
      <c r="S29" s="937">
        <f>R29*DwellingStocks!$I$63/1000</f>
        <v>1.5423031486817158E-2</v>
      </c>
      <c r="T29" s="66">
        <v>1</v>
      </c>
      <c r="U29" s="66">
        <f t="shared" si="20"/>
        <v>0.78</v>
      </c>
      <c r="V29" s="935">
        <v>20</v>
      </c>
      <c r="W29" s="935">
        <v>1</v>
      </c>
      <c r="X29" s="866"/>
      <c r="Y29" s="920">
        <f t="shared" si="14"/>
        <v>5.737874771665413E-7</v>
      </c>
      <c r="Z29" s="921">
        <f t="shared" si="15"/>
        <v>6.2217354115436148E-7</v>
      </c>
      <c r="AA29" s="866"/>
      <c r="AB29" s="941" t="s">
        <v>393</v>
      </c>
      <c r="AC29" s="933" t="str">
        <f t="shared" si="17"/>
        <v>SH_Det-B1_BIOWOO_X1</v>
      </c>
      <c r="AD29" s="934" t="str">
        <f t="shared" si="18"/>
        <v>Residential Space Heating Detached-B1_Biomass &amp; Renewable Waste to Residential_Existing 01</v>
      </c>
      <c r="AE29" s="935" t="s">
        <v>53</v>
      </c>
      <c r="AF29" s="942" t="s">
        <v>406</v>
      </c>
      <c r="AG29" s="840"/>
      <c r="AH29" s="840"/>
      <c r="AI29" s="840"/>
      <c r="AJ29" s="840"/>
      <c r="AK29" s="840"/>
      <c r="AL29" s="840"/>
      <c r="AM29" s="840"/>
      <c r="AN29" s="840"/>
    </row>
    <row r="30" spans="1:40" ht="15.75" thickBot="1">
      <c r="A30" s="756" t="s">
        <v>112</v>
      </c>
      <c r="B30" s="1048"/>
      <c r="C30" s="1049"/>
      <c r="D30" s="1049"/>
      <c r="E30" s="1049"/>
      <c r="F30" s="1049"/>
      <c r="G30" s="1049"/>
      <c r="H30" s="1049"/>
      <c r="I30" s="1053"/>
      <c r="J30" s="736" t="s">
        <v>565</v>
      </c>
      <c r="K30" s="737" t="s">
        <v>565</v>
      </c>
      <c r="L30" s="135"/>
      <c r="M30" s="840"/>
      <c r="N30" s="76" t="str">
        <f>AB30</f>
        <v>*B2 Rating</v>
      </c>
      <c r="O30" s="76"/>
      <c r="P30" s="76"/>
      <c r="Q30" s="76"/>
      <c r="R30" s="949">
        <f>SUM(R31:R41)</f>
        <v>0.99999999999999989</v>
      </c>
      <c r="S30" s="76"/>
      <c r="T30" s="97"/>
      <c r="U30" s="76"/>
      <c r="V30" s="76"/>
      <c r="W30" s="76"/>
      <c r="X30" s="840"/>
      <c r="Y30" s="76"/>
      <c r="Z30" s="76"/>
      <c r="AA30" s="840"/>
      <c r="AB30" s="140" t="str">
        <f>"*"&amp; A31 &amp; " Rating"</f>
        <v>*B2 Rating</v>
      </c>
      <c r="AC30" s="141"/>
      <c r="AD30" s="141"/>
      <c r="AE30" s="141"/>
      <c r="AF30" s="141"/>
      <c r="AG30" s="141"/>
      <c r="AH30" s="141"/>
      <c r="AI30" s="840"/>
      <c r="AJ30" s="840"/>
      <c r="AK30" s="840"/>
      <c r="AL30" s="840"/>
      <c r="AM30" s="840"/>
      <c r="AN30" s="840"/>
    </row>
    <row r="31" spans="1:40">
      <c r="A31" s="758" t="s">
        <v>112</v>
      </c>
      <c r="B31" s="758" t="s">
        <v>582</v>
      </c>
      <c r="C31" s="758">
        <f>SUMIFS(INDEX(Table91517[],,MATCH(C$6,Table91517[#Headers],0)),Table91517[MainSpaceHeatingFuel],$B31,Table91517[EnergyRating (group)],$A31)</f>
        <v>4038868</v>
      </c>
      <c r="D31" s="759">
        <f>SUMIFS(INDEX(Table91517[],,MATCH($D$6,Table91517[#Headers],0)),Table91517[MainSpaceHeatingFuel],B31,Table91517[EnergyRating (group)],A31)</f>
        <v>3671700</v>
      </c>
      <c r="E31" s="759">
        <f>SUMIFS(INDEX(Table91517[],,MATCH(E$6,Table91517[#Headers],0)),Table91517[MainSpaceHeatingFuel],$B31,Table91517[EnergyRating (group)],$A31)</f>
        <v>716965</v>
      </c>
      <c r="F31" s="758">
        <f>SUMIFS(INDEX(Table91517[],,MATCH(F$6,Table91517[#Headers],0)),Table91517[MainSpaceHeatingFuel],$B31,Table91517[EnergyRating (group)],$A31)</f>
        <v>642808</v>
      </c>
      <c r="G31" s="758">
        <f>SUMIFS(INDEX(Table91517[],,MATCH(G$6,Table91517[#Headers],0)),Table91517[MainSpaceHeatingFuel],$B31,Table91517[EnergyRating (group)],$A31)</f>
        <v>262</v>
      </c>
      <c r="H31" s="911">
        <f>SUMIFS(INDEX(Table91517[],,MATCH(H$6,Table91517[#Headers],0)),Table91517[MainSpaceHeatingFuel],$B31,Table91517[EnergyRating (group)],$A31)</f>
        <v>60244</v>
      </c>
      <c r="I31" s="911">
        <f>AVERAGEIFS(INDEX(Table91517[],,MATCH(I$6,Table91517[#Headers],0)),Table91517[MainSpaceHeatingFuel],$B31,Table91517[EnergyRating (group)],$A31)</f>
        <v>90.838709677419359</v>
      </c>
      <c r="J31" s="849">
        <f>SUMIFS(INDEX(Table91517[],,MATCH(J$6,Table91517[#Headers],0)),Table91517[MainSpaceHeatingFuel],$B31,Table91517[EnergyRating (group)],$A31)</f>
        <v>7423756</v>
      </c>
      <c r="K31" s="870">
        <f>SUMIFS(INDEX(Table91517[],,MATCH(K$6,Table91517[#Headers],0)),Table91517[MainSpaceHeatingFuel],$B31,Table91517[EnergyRating (group)],$A31)</f>
        <v>6013992</v>
      </c>
      <c r="L31" s="135"/>
      <c r="M31" s="840"/>
      <c r="N31" s="914" t="str">
        <f>RSD_Commodities!$M$29&amp;"_"&amp;RIGHT(P31,LEN(P31)-3)&amp;"_"&amp;SETUP!$B$67</f>
        <v>SH_Det-B2_OILLPG_X0</v>
      </c>
      <c r="O31" s="914" t="str">
        <f>RSD_Commodities!$N$29&amp;"_"&amp;RSD_Commodities!D11&amp;"_"&amp;SETUP!$C$67</f>
        <v>Residential Space Heating Detached-B2_LPG to Residential_Existing 00</v>
      </c>
      <c r="P31" s="915" t="str">
        <f>RSD_Commodities!$C$11</f>
        <v>RSDOILLPG</v>
      </c>
      <c r="Q31" s="930" t="str">
        <f>RSD_Commodities!$M$29</f>
        <v>SH_Det-B2</v>
      </c>
      <c r="R31" s="1000">
        <f>G31/SUM($G$31:$G$41)</f>
        <v>3.7163120567375883E-2</v>
      </c>
      <c r="S31" s="932">
        <f>R31*DwellingStocks!$I$64/1000</f>
        <v>0.51951664579557444</v>
      </c>
      <c r="T31" s="914">
        <v>1</v>
      </c>
      <c r="U31" s="914">
        <f t="shared" ref="U31:U32" si="21">I31/100</f>
        <v>0.9083870967741936</v>
      </c>
      <c r="V31" s="930">
        <v>20</v>
      </c>
      <c r="W31" s="930">
        <v>1</v>
      </c>
      <c r="X31" s="840"/>
      <c r="Y31" s="918">
        <f>ABS((D31+F31)*S31*1000*$B$2)</f>
        <v>9.2114742099376956E-4</v>
      </c>
      <c r="Z31" s="919">
        <f>ABS((C31+E31)*S31*1000*$B$2)</f>
        <v>1.015370304708454E-3</v>
      </c>
      <c r="AA31" s="840"/>
      <c r="AB31" s="939" t="s">
        <v>393</v>
      </c>
      <c r="AC31" s="930" t="str">
        <f>N31</f>
        <v>SH_Det-B2_OILLPG_X0</v>
      </c>
      <c r="AD31" s="915" t="str">
        <f>O31</f>
        <v>Residential Space Heating Detached-B2_LPG to Residential_Existing 00</v>
      </c>
      <c r="AE31" s="914" t="s">
        <v>53</v>
      </c>
      <c r="AF31" s="916" t="s">
        <v>406</v>
      </c>
      <c r="AG31" s="914"/>
      <c r="AH31" s="914"/>
      <c r="AI31" s="840"/>
      <c r="AJ31" s="840"/>
      <c r="AK31" s="840"/>
      <c r="AL31" s="840"/>
      <c r="AM31" s="840"/>
      <c r="AN31" s="840"/>
    </row>
    <row r="32" spans="1:40" ht="15.75" thickBot="1">
      <c r="A32" s="757" t="s">
        <v>112</v>
      </c>
      <c r="B32" s="757" t="s">
        <v>228</v>
      </c>
      <c r="C32" s="757">
        <f>SUMIFS(INDEX(Table91517[],,MATCH(C$6,Table91517[#Headers],0)),Table91517[MainSpaceHeatingFuel],$B32,Table91517[EnergyRating (group)],$A32)</f>
        <v>10136825</v>
      </c>
      <c r="D32" s="757">
        <f>SUMIFS(INDEX(Table91517[],,MATCH($D$6,Table91517[#Headers],0)),Table91517[MainSpaceHeatingFuel],B32,Table91517[EnergyRating (group)],A32)</f>
        <v>3754378</v>
      </c>
      <c r="E32" s="757">
        <f>SUMIFS(INDEX(Table91517[],,MATCH(E$6,Table91517[#Headers],0)),Table91517[MainSpaceHeatingFuel],$B32,Table91517[EnergyRating (group)],$A32)</f>
        <v>2871696</v>
      </c>
      <c r="F32" s="757">
        <f>SUMIFS(INDEX(Table91517[],,MATCH(F$6,Table91517[#Headers],0)),Table91517[MainSpaceHeatingFuel],$B32,Table91517[EnergyRating (group)],$A32)</f>
        <v>2550355</v>
      </c>
      <c r="G32" s="757">
        <f>SUMIFS(INDEX(Table91517[],,MATCH(G$6,Table91517[#Headers],0)),Table91517[MainSpaceHeatingFuel],$B32,Table91517[EnergyRating (group)],$A32)</f>
        <v>775</v>
      </c>
      <c r="H32" s="912">
        <f>SUMIFS(INDEX(Table91517[],,MATCH(H$6,Table91517[#Headers],0)),Table91517[MainSpaceHeatingFuel],$B32,Table91517[EnergyRating (group)],$A32)</f>
        <v>193418</v>
      </c>
      <c r="I32" s="912">
        <f>AVERAGEIFS(INDEX(Table91517[],,MATCH(I$6,Table91517[#Headers],0)),Table91517[MainSpaceHeatingFuel],$B32,Table91517[EnergyRating (group)],$A32)</f>
        <v>330.52499999999998</v>
      </c>
      <c r="J32" s="847">
        <f>SUMIFS(INDEX(Table91517[],,MATCH(J$6,Table91517[#Headers],0)),Table91517[MainSpaceHeatingFuel],$B32,Table91517[EnergyRating (group)],$A32)</f>
        <v>23111862</v>
      </c>
      <c r="K32" s="869">
        <f>SUMIFS(INDEX(Table91517[],,MATCH(K$6,Table91517[#Headers],0)),Table91517[MainSpaceHeatingFuel],$B32,Table91517[EnergyRating (group)],$A32)</f>
        <v>10109241</v>
      </c>
      <c r="L32" s="135"/>
      <c r="M32" s="840"/>
      <c r="N32" s="66" t="str">
        <f>RSD_Commodities!$M$29&amp;"_"&amp;RIGHT(P32,LEN(P32)-3)&amp;"_"&amp;SETUP!$B$67</f>
        <v>SH_Det-B2_ELCD_X0</v>
      </c>
      <c r="O32" s="933" t="str">
        <f>RSD_Commodities!$N$29&amp;"_"&amp;RSD_Commodities!D27&amp;"_"&amp;SETUP!$C$67</f>
        <v>Residential Space Heating Detached-B2_Electricity to Residential_Existing 00</v>
      </c>
      <c r="P32" s="83" t="str">
        <f>RSD_Commodities!$C$27</f>
        <v>RSDELCD</v>
      </c>
      <c r="Q32" s="935" t="str">
        <f>RSD_Commodities!$M$29</f>
        <v>SH_Det-B2</v>
      </c>
      <c r="R32" s="1001">
        <f>G32/SUM($G$31:$G$41)</f>
        <v>0.1099290780141844</v>
      </c>
      <c r="S32" s="937">
        <f>R32*DwellingStocks!$I$64/1000</f>
        <v>1.5367381698151534</v>
      </c>
      <c r="T32" s="66">
        <v>1</v>
      </c>
      <c r="U32" s="66">
        <f t="shared" si="21"/>
        <v>3.3052499999999996</v>
      </c>
      <c r="V32" s="935">
        <v>20</v>
      </c>
      <c r="W32" s="935">
        <v>1</v>
      </c>
      <c r="X32" s="840"/>
      <c r="Y32" s="920">
        <f t="shared" ref="Y32:Y33" si="22">ABS((D32+F32)*S32*1000*$B$2)</f>
        <v>3.9816673362711797E-3</v>
      </c>
      <c r="Z32" s="921">
        <f t="shared" ref="Z32:Z33" si="23">ABS((C32+E32)*S32*1000*$B$2)</f>
        <v>8.2153523644693128E-3</v>
      </c>
      <c r="AA32" s="840"/>
      <c r="AB32" s="941" t="s">
        <v>393</v>
      </c>
      <c r="AC32" s="935" t="str">
        <f t="shared" ref="AC32:AD36" si="24">N32</f>
        <v>SH_Det-B2_ELCD_X0</v>
      </c>
      <c r="AD32" s="934" t="str">
        <f t="shared" si="24"/>
        <v>Residential Space Heating Detached-B2_Electricity to Residential_Existing 00</v>
      </c>
      <c r="AE32" s="935" t="s">
        <v>53</v>
      </c>
      <c r="AF32" s="942" t="s">
        <v>406</v>
      </c>
      <c r="AG32" s="935"/>
      <c r="AH32" s="935"/>
      <c r="AI32" s="840"/>
      <c r="AJ32" s="840"/>
      <c r="AK32" s="840"/>
      <c r="AL32" s="840"/>
      <c r="AM32" s="840"/>
      <c r="AN32" s="840"/>
    </row>
    <row r="33" spans="1:40">
      <c r="A33" s="758" t="s">
        <v>112</v>
      </c>
      <c r="B33" s="758" t="s">
        <v>583</v>
      </c>
      <c r="C33" s="758">
        <f>SUMIFS(INDEX(Table91517[],,MATCH(C$6,Table91517[#Headers],0)),Table91517[MainSpaceHeatingFuel],$B33,Table91517[EnergyRating (group)],$A33)</f>
        <v>65675236</v>
      </c>
      <c r="D33" s="759">
        <f>SUMIFS(INDEX(Table91517[],,MATCH($D$6,Table91517[#Headers],0)),Table91517[MainSpaceHeatingFuel],B33,Table91517[EnergyRating (group)],A33)</f>
        <v>59704762</v>
      </c>
      <c r="E33" s="759">
        <f>SUMIFS(INDEX(Table91517[],,MATCH(E$6,Table91517[#Headers],0)),Table91517[MainSpaceHeatingFuel],$B33,Table91517[EnergyRating (group)],$A33)</f>
        <v>12157560</v>
      </c>
      <c r="F33" s="758">
        <f>SUMIFS(INDEX(Table91517[],,MATCH(F$6,Table91517[#Headers],0)),Table91517[MainSpaceHeatingFuel],$B33,Table91517[EnergyRating (group)],$A33)</f>
        <v>12252615</v>
      </c>
      <c r="G33" s="758">
        <f>SUMIFS(INDEX(Table91517[],,MATCH(G$6,Table91517[#Headers],0)),Table91517[MainSpaceHeatingFuel],$B33,Table91517[EnergyRating (group)],$A33)</f>
        <v>4289</v>
      </c>
      <c r="H33" s="911">
        <f>SUMIFS(INDEX(Table91517[],,MATCH(H$6,Table91517[#Headers],0)),Table91517[MainSpaceHeatingFuel],$B33,Table91517[EnergyRating (group)],$A33)</f>
        <v>975809</v>
      </c>
      <c r="I33" s="911">
        <f>AVERAGEIFS(INDEX(Table91517[],,MATCH(I$6,Table91517[#Headers],0)),Table91517[MainSpaceHeatingFuel],$B33,Table91517[EnergyRating (group)],$A33)</f>
        <v>91.421052631578945</v>
      </c>
      <c r="J33" s="849">
        <f>SUMIFS(INDEX(Table91517[],,MATCH(J$6,Table91517[#Headers],0)),Table91517[MainSpaceHeatingFuel],$B33,Table91517[EnergyRating (group)],$A33)</f>
        <v>121234705</v>
      </c>
      <c r="K33" s="870">
        <f>SUMIFS(INDEX(Table91517[],,MATCH(K$6,Table91517[#Headers],0)),Table91517[MainSpaceHeatingFuel],$B33,Table91517[EnergyRating (group)],$A33)</f>
        <v>99722500</v>
      </c>
      <c r="L33" s="135"/>
      <c r="M33" s="840"/>
      <c r="N33" s="914" t="str">
        <f>RSD_Commodities!$M$29&amp;"_"&amp;RIGHT(P33,LEN(P33)-3)&amp;"_"&amp;SETUP!$B$67</f>
        <v>SH_Det-B2_OILKER_X0</v>
      </c>
      <c r="O33" s="914" t="str">
        <f>RSD_Commodities!$N$29&amp;"_"&amp;RSD_Commodities!D13&amp;"_"&amp;SETUP!$C$67</f>
        <v>Residential Space Heating Detached-B2_Kerosene to Residential_Existing 00</v>
      </c>
      <c r="P33" s="915" t="str">
        <f>RSD_Commodities!$C$13</f>
        <v>RSDOILKER</v>
      </c>
      <c r="Q33" s="930" t="str">
        <f>RSD_Commodities!$M$29</f>
        <v>SH_Det-B2</v>
      </c>
      <c r="R33" s="1000">
        <f t="shared" ref="R33:R41" si="25">G33/SUM($G$31:$G$41)</f>
        <v>0.60836879432624114</v>
      </c>
      <c r="S33" s="932">
        <f>R33*DwellingStocks!$I$64/1000</f>
        <v>8.5046064649512179</v>
      </c>
      <c r="T33" s="914">
        <v>1</v>
      </c>
      <c r="U33" s="914">
        <f t="shared" ref="U33:U41" si="26">I33/100</f>
        <v>0.91421052631578947</v>
      </c>
      <c r="V33" s="930">
        <v>20</v>
      </c>
      <c r="W33" s="930">
        <v>1</v>
      </c>
      <c r="X33" s="840"/>
      <c r="Y33" s="918">
        <f t="shared" si="22"/>
        <v>0.25149418094594472</v>
      </c>
      <c r="Z33" s="919">
        <f t="shared" si="23"/>
        <v>0.27202902741650525</v>
      </c>
      <c r="AA33" s="840"/>
      <c r="AB33" s="939" t="s">
        <v>393</v>
      </c>
      <c r="AC33" s="930" t="str">
        <f t="shared" si="24"/>
        <v>SH_Det-B2_OILKER_X0</v>
      </c>
      <c r="AD33" s="915" t="str">
        <f t="shared" si="24"/>
        <v>Residential Space Heating Detached-B2_Kerosene to Residential_Existing 00</v>
      </c>
      <c r="AE33" s="930" t="s">
        <v>53</v>
      </c>
      <c r="AF33" s="940" t="s">
        <v>406</v>
      </c>
      <c r="AG33" s="930"/>
      <c r="AH33" s="930"/>
      <c r="AI33" s="840"/>
      <c r="AJ33" s="840"/>
      <c r="AK33" s="840"/>
      <c r="AL33" s="840"/>
      <c r="AM33" s="840"/>
      <c r="AN33" s="840"/>
    </row>
    <row r="34" spans="1:40" ht="15.75" thickBot="1">
      <c r="A34" s="757" t="s">
        <v>112</v>
      </c>
      <c r="B34" s="757" t="s">
        <v>584</v>
      </c>
      <c r="C34" s="757">
        <f>SUMIFS(INDEX(Table91517[],,MATCH(C$6,Table91517[#Headers],0)),Table91517[MainSpaceHeatingFuel],$B34,Table91517[EnergyRating (group)],$A34)</f>
        <v>20256828</v>
      </c>
      <c r="D34" s="760">
        <f>SUMIFS(INDEX(Table91517[],,MATCH($D$6,Table91517[#Headers],0)),Table91517[MainSpaceHeatingFuel],B34,Table91517[EnergyRating (group)],A34)</f>
        <v>18415299</v>
      </c>
      <c r="E34" s="760">
        <f>SUMIFS(INDEX(Table91517[],,MATCH(E$6,Table91517[#Headers],0)),Table91517[MainSpaceHeatingFuel],$B34,Table91517[EnergyRating (group)],$A34)</f>
        <v>3771095</v>
      </c>
      <c r="F34" s="757">
        <f>SUMIFS(INDEX(Table91517[],,MATCH(F$6,Table91517[#Headers],0)),Table91517[MainSpaceHeatingFuel],$B34,Table91517[EnergyRating (group)],$A34)</f>
        <v>3877567</v>
      </c>
      <c r="G34" s="757">
        <f>SUMIFS(INDEX(Table91517[],,MATCH(G$6,Table91517[#Headers],0)),Table91517[MainSpaceHeatingFuel],$B34,Table91517[EnergyRating (group)],$A34)</f>
        <v>1618</v>
      </c>
      <c r="H34" s="912">
        <f>SUMIFS(INDEX(Table91517[],,MATCH(H$6,Table91517[#Headers],0)),Table91517[MainSpaceHeatingFuel],$B34,Table91517[EnergyRating (group)],$A34)</f>
        <v>318646</v>
      </c>
      <c r="I34" s="912">
        <f>AVERAGEIFS(INDEX(Table91517[],,MATCH(I$6,Table91517[#Headers],0)),Table91517[MainSpaceHeatingFuel],$B34,Table91517[EnergyRating (group)],$A34)</f>
        <v>89.86666666666666</v>
      </c>
      <c r="J34" s="847">
        <f>SUMIFS(INDEX(Table91517[],,MATCH(J$6,Table91517[#Headers],0)),Table91517[MainSpaceHeatingFuel],$B34,Table91517[EnergyRating (group)],$A34)</f>
        <v>38515785</v>
      </c>
      <c r="K34" s="869">
        <f>SUMIFS(INDEX(Table91517[],,MATCH(K$6,Table91517[#Headers],0)),Table91517[MainSpaceHeatingFuel],$B34,Table91517[EnergyRating (group)],$A34)</f>
        <v>31833486</v>
      </c>
      <c r="L34" s="135"/>
      <c r="M34" s="840"/>
      <c r="N34" s="66" t="str">
        <f>RSD_Commodities!$M$29&amp;"_"&amp;RIGHT(P34,LEN(P34)-3)&amp;"_"&amp;SETUP!$B$67</f>
        <v>SH_Det-B2_GASNAT_X0</v>
      </c>
      <c r="O34" s="933" t="str">
        <f>RSD_Commodities!$N$29&amp;"_"&amp;RSD_Commodities!D17&amp;"_"&amp;SETUP!$C$67</f>
        <v>Residential Space Heating Detached-B2_Natural Gas to Residential_Existing 00</v>
      </c>
      <c r="P34" s="83" t="str">
        <f>RSD_Commodities!$C$17</f>
        <v>RSDGASNAT</v>
      </c>
      <c r="Q34" s="935" t="str">
        <f>RSD_Commodities!$M$29</f>
        <v>SH_Det-B2</v>
      </c>
      <c r="R34" s="1001">
        <f t="shared" si="25"/>
        <v>0.22950354609929077</v>
      </c>
      <c r="S34" s="937">
        <f>R34*DwellingStocks!$I$64/1000</f>
        <v>3.2083127209818301</v>
      </c>
      <c r="T34" s="66">
        <v>1</v>
      </c>
      <c r="U34" s="66">
        <f t="shared" si="26"/>
        <v>0.89866666666666661</v>
      </c>
      <c r="V34" s="935">
        <v>20</v>
      </c>
      <c r="W34" s="935">
        <v>1</v>
      </c>
      <c r="X34" s="840"/>
      <c r="Y34" s="920">
        <f t="shared" ref="Y34:Y41" si="27">ABS((D34+F34)*S34*1000*$B$2)</f>
        <v>2.9392802291072599E-2</v>
      </c>
      <c r="Z34" s="921">
        <f t="shared" ref="Z34:Z41" si="28">ABS((C34+E34)*S34*1000*$B$2)</f>
        <v>3.1680448364248735E-2</v>
      </c>
      <c r="AA34" s="840"/>
      <c r="AB34" s="941" t="s">
        <v>393</v>
      </c>
      <c r="AC34" s="935" t="str">
        <f t="shared" si="24"/>
        <v>SH_Det-B2_GASNAT_X0</v>
      </c>
      <c r="AD34" s="934" t="str">
        <f t="shared" si="24"/>
        <v>Residential Space Heating Detached-B2_Natural Gas to Residential_Existing 00</v>
      </c>
      <c r="AE34" s="935" t="s">
        <v>53</v>
      </c>
      <c r="AF34" s="942" t="s">
        <v>406</v>
      </c>
      <c r="AG34" s="840"/>
      <c r="AH34" s="840"/>
      <c r="AI34" s="840"/>
      <c r="AJ34" s="840"/>
      <c r="AK34" s="840"/>
      <c r="AL34" s="840"/>
      <c r="AM34" s="840"/>
      <c r="AN34" s="840"/>
    </row>
    <row r="35" spans="1:40">
      <c r="A35" s="758" t="s">
        <v>112</v>
      </c>
      <c r="B35" s="758" t="s">
        <v>585</v>
      </c>
      <c r="C35" s="758">
        <f>SUMIFS(INDEX(Table91517[],,MATCH(C$6,Table91517[#Headers],0)),Table91517[MainSpaceHeatingFuel],$B35,Table91517[EnergyRating (group)],$A35)</f>
        <v>988906</v>
      </c>
      <c r="D35" s="758">
        <f>SUMIFS(INDEX(Table91517[],,MATCH($D$6,Table91517[#Headers],0)),Table91517[MainSpaceHeatingFuel],B35,Table91517[EnergyRating (group)],A35)</f>
        <v>899004</v>
      </c>
      <c r="E35" s="758">
        <f>SUMIFS(INDEX(Table91517[],,MATCH(E$6,Table91517[#Headers],0)),Table91517[MainSpaceHeatingFuel],$B35,Table91517[EnergyRating (group)],$A35)</f>
        <v>154995</v>
      </c>
      <c r="F35" s="758">
        <f>SUMIFS(INDEX(Table91517[],,MATCH(F$6,Table91517[#Headers],0)),Table91517[MainSpaceHeatingFuel],$B35,Table91517[EnergyRating (group)],$A35)</f>
        <v>135996</v>
      </c>
      <c r="G35" s="758">
        <f>SUMIFS(INDEX(Table91517[],,MATCH(G$6,Table91517[#Headers],0)),Table91517[MainSpaceHeatingFuel],$B35,Table91517[EnergyRating (group)],$A35)</f>
        <v>66</v>
      </c>
      <c r="H35" s="999">
        <f>SUMIFS(INDEX(Table91517[],,MATCH(H$6,Table91517[#Headers],0)),Table91517[MainSpaceHeatingFuel],$B35,Table91517[EnergyRating (group)],$A35)</f>
        <v>13804</v>
      </c>
      <c r="I35" s="1059">
        <f>AVERAGEIFS(INDEX(Table91517[],,MATCH(I$6,Table91517[#Headers],0)),Table91517[MainSpaceHeatingFuel],$B35,Table91517[EnergyRating (group)],$A35)</f>
        <v>86.227272727272734</v>
      </c>
      <c r="J35" s="849">
        <f>SUMIFS(INDEX(Table91517[],,MATCH(J$6,Table91517[#Headers],0)),Table91517[MainSpaceHeatingFuel],$B35,Table91517[EnergyRating (group)],$A35)</f>
        <v>1728585</v>
      </c>
      <c r="K35" s="870">
        <f>SUMIFS(INDEX(Table91517[],,MATCH(K$6,Table91517[#Headers],0)),Table91517[MainSpaceHeatingFuel],$B35,Table91517[EnergyRating (group)],$A35)</f>
        <v>1396592</v>
      </c>
      <c r="L35" s="135"/>
      <c r="M35" s="840"/>
      <c r="N35" s="914" t="str">
        <f>RSD_Commodities!$M$29&amp;"_"&amp;RIGHT(P35,LEN(P35)-3)&amp;"_"&amp;SETUP!$B$67</f>
        <v>SH_Det-B2_BIOWOO_X0</v>
      </c>
      <c r="O35" s="914" t="str">
        <f>RSD_Commodities!$N$29&amp;"_"&amp;RSD_Commodities!D19&amp;"_"&amp;SETUP!$C$67</f>
        <v>Residential Space Heating Detached-B2_Biomass &amp; Renewable Waste to Residential_Existing 00</v>
      </c>
      <c r="P35" s="915" t="str">
        <f>RSD_Commodities!$C$19</f>
        <v>RSDBIOWOO</v>
      </c>
      <c r="Q35" s="930" t="str">
        <f>RSD_Commodities!$M$29</f>
        <v>SH_Det-B2</v>
      </c>
      <c r="R35" s="1000">
        <f t="shared" si="25"/>
        <v>9.3617021276595751E-3</v>
      </c>
      <c r="S35" s="932">
        <f>R35*DwellingStocks!$I$64/1000</f>
        <v>0.13087060542941953</v>
      </c>
      <c r="T35" s="914">
        <v>1</v>
      </c>
      <c r="U35" s="914">
        <f t="shared" si="26"/>
        <v>0.8622727272727273</v>
      </c>
      <c r="V35" s="930">
        <v>20</v>
      </c>
      <c r="W35" s="930">
        <v>1</v>
      </c>
      <c r="X35" s="840"/>
      <c r="Y35" s="918">
        <f t="shared" si="27"/>
        <v>5.5664826007992841E-5</v>
      </c>
      <c r="Z35" s="919">
        <f t="shared" si="28"/>
        <v>6.1521787570404843E-5</v>
      </c>
      <c r="AA35" s="840"/>
      <c r="AB35" s="939" t="s">
        <v>393</v>
      </c>
      <c r="AC35" s="930" t="str">
        <f t="shared" si="24"/>
        <v>SH_Det-B2_BIOWOO_X0</v>
      </c>
      <c r="AD35" s="915" t="str">
        <f t="shared" si="24"/>
        <v>Residential Space Heating Detached-B2_Biomass &amp; Renewable Waste to Residential_Existing 00</v>
      </c>
      <c r="AE35" s="930" t="s">
        <v>53</v>
      </c>
      <c r="AF35" s="940" t="s">
        <v>406</v>
      </c>
      <c r="AG35" s="930"/>
      <c r="AH35" s="930"/>
      <c r="AI35" s="840"/>
      <c r="AJ35" s="840"/>
      <c r="AK35" s="840"/>
      <c r="AL35" s="840"/>
      <c r="AM35" s="840"/>
      <c r="AN35" s="840"/>
    </row>
    <row r="36" spans="1:40" ht="15.75" thickBot="1">
      <c r="A36" s="757" t="s">
        <v>112</v>
      </c>
      <c r="B36" s="757" t="s">
        <v>587</v>
      </c>
      <c r="C36" s="757">
        <f>SUMIFS(INDEX(Table91517[],,MATCH(C$6,Table91517[#Headers],0)),Table91517[MainSpaceHeatingFuel],"",Table91517[EnergyRating (group)],$A36)</f>
        <v>0</v>
      </c>
      <c r="D36" s="760">
        <f>SUMIFS(INDEX(Table91517[],,MATCH($D$6,Table91517[#Headers],0)),Table91517[MainSpaceHeatingFuel],"",Table91517[EnergyRating (group)],$A36)</f>
        <v>0</v>
      </c>
      <c r="E36" s="760">
        <f>SUMIFS(INDEX(Table91517[],,MATCH(E$6,Table91517[#Headers],0)),Table91517[MainSpaceHeatingFuel],"",Table91517[EnergyRating (group)],$A36)</f>
        <v>0</v>
      </c>
      <c r="F36" s="757">
        <f>SUMIFS(INDEX(Table91517[],,MATCH(F$6,Table91517[#Headers],0)),Table91517[MainSpaceHeatingFuel],"",Table91517[EnergyRating (group)],$A36)</f>
        <v>0</v>
      </c>
      <c r="G36" s="757">
        <f>SUMIFS(INDEX(Table91517[],,MATCH(G$6,Table91517[#Headers],0)),Table91517[MainSpaceHeatingFuel],"",Table91517[EnergyRating (group)],$A36)</f>
        <v>4</v>
      </c>
      <c r="H36" s="912">
        <f>SUMIFS(INDEX(Table91517[],,MATCH(H$6,Table91517[#Headers],0)),Table91517[MainSpaceHeatingFuel],"",Table91517[EnergyRating (group)],$A36)</f>
        <v>479</v>
      </c>
      <c r="I36" s="913">
        <f>SUMIFS(INDEX(Table91517[],,MATCH(I$6,Table91517[#Headers],0)),Table91517[MainSpaceHeatingFuel],"",Table91517[EnergyRating (group)],$A36)</f>
        <v>0</v>
      </c>
      <c r="J36" s="847">
        <f>SUMIFS(INDEX(Table91517[],,MATCH(J$6,Table91517[#Headers],0)),Table91517[MainSpaceHeatingFuel],"",Table91517[EnergyRating (group)],$A36)</f>
        <v>9068</v>
      </c>
      <c r="K36" s="869">
        <f>SUMIFS(INDEX(Table91517[],,MATCH(K$6,Table91517[#Headers],0)),Table91517[MainSpaceHeatingFuel],"",Table91517[EnergyRating (group)],$A36)</f>
        <v>3358</v>
      </c>
      <c r="L36" s="840"/>
      <c r="M36" s="840"/>
      <c r="N36" s="66" t="str">
        <f>RSD_Commodities!$M$29&amp;"_"&amp;RIGHT(P36,LEN(P36)-3)&amp;"_"&amp;SETUP!$B$67</f>
        <v>SH_Det-B2_HET_X0</v>
      </c>
      <c r="O36" s="933" t="str">
        <f>RSD_Commodities!$N$29&amp;"_"&amp;RSD_Commodities!D28&amp;"_"&amp;SETUP!$C$67</f>
        <v>Residential Space Heating Detached-B2_Heat to Residential_Existing 00</v>
      </c>
      <c r="P36" s="83" t="str">
        <f>RSD_Commodities!$C$28</f>
        <v>RSDHET</v>
      </c>
      <c r="Q36" s="935" t="str">
        <f>RSD_Commodities!$M$29</f>
        <v>SH_Det-B2</v>
      </c>
      <c r="R36" s="1001">
        <f t="shared" si="25"/>
        <v>5.6737588652482269E-4</v>
      </c>
      <c r="S36" s="937">
        <f>R36*DwellingStocks!$I$64/1000</f>
        <v>7.9315518442072443E-3</v>
      </c>
      <c r="T36" s="66">
        <v>1</v>
      </c>
      <c r="U36" s="917">
        <f>IF(I36=0, 1, I36)</f>
        <v>1</v>
      </c>
      <c r="V36" s="935">
        <v>20</v>
      </c>
      <c r="W36" s="935">
        <v>1</v>
      </c>
      <c r="X36" s="840"/>
      <c r="Y36" s="920">
        <f t="shared" si="27"/>
        <v>0</v>
      </c>
      <c r="Z36" s="921">
        <f t="shared" si="28"/>
        <v>0</v>
      </c>
      <c r="AA36" s="840"/>
      <c r="AB36" s="941" t="s">
        <v>393</v>
      </c>
      <c r="AC36" s="935" t="str">
        <f t="shared" si="24"/>
        <v>SH_Det-B2_HET_X0</v>
      </c>
      <c r="AD36" s="934" t="str">
        <f t="shared" si="24"/>
        <v>Residential Space Heating Detached-B2_Heat to Residential_Existing 00</v>
      </c>
      <c r="AE36" s="935" t="s">
        <v>53</v>
      </c>
      <c r="AF36" s="942" t="s">
        <v>406</v>
      </c>
      <c r="AG36" s="840"/>
      <c r="AH36" s="840"/>
      <c r="AI36" s="840"/>
      <c r="AJ36" s="840"/>
      <c r="AK36" s="840"/>
      <c r="AL36" s="840"/>
      <c r="AM36" s="840"/>
      <c r="AN36" s="840"/>
    </row>
    <row r="37" spans="1:40">
      <c r="A37" s="758" t="s">
        <v>112</v>
      </c>
      <c r="B37" s="758" t="s">
        <v>664</v>
      </c>
      <c r="C37" s="758">
        <f>SUMIFS(INDEX(Table91517[],,MATCH(C$6,Table91517[#Headers],0)),Table91517[MainSpaceHeatingFuel],$B37,Table91517[EnergyRating (group)],$A37)</f>
        <v>192256</v>
      </c>
      <c r="D37" s="759">
        <f>SUMIFS(INDEX(Table91517[],,MATCH($D$6,Table91517[#Headers],0)),Table91517[MainSpaceHeatingFuel],B37,Table91517[EnergyRating (group)],A37)</f>
        <v>174778</v>
      </c>
      <c r="E37" s="759">
        <f>SUMIFS(INDEX(Table91517[],,MATCH(E$6,Table91517[#Headers],0)),Table91517[MainSpaceHeatingFuel],$B37,Table91517[EnergyRating (group)],$A37)</f>
        <v>25602</v>
      </c>
      <c r="F37" s="758">
        <f>SUMIFS(INDEX(Table91517[],,MATCH(F$6,Table91517[#Headers],0)),Table91517[MainSpaceHeatingFuel],$B37,Table91517[EnergyRating (group)],$A37)</f>
        <v>23273</v>
      </c>
      <c r="G37" s="758">
        <f>SUMIFS(INDEX(Table91517[],,MATCH(G$6,Table91517[#Headers],0)),Table91517[MainSpaceHeatingFuel],$B37,Table91517[EnergyRating (group)],$A37)</f>
        <v>13</v>
      </c>
      <c r="H37" s="911">
        <f>SUMIFS(INDEX(Table91517[],,MATCH(H$6,Table91517[#Headers],0)),Table91517[MainSpaceHeatingFuel],$B37,Table91517[EnergyRating (group)],$A37)</f>
        <v>2946</v>
      </c>
      <c r="I37" s="911">
        <f>AVERAGEIFS(INDEX(Table91517[],,MATCH(I$6,Table91517[#Headers],0)),Table91517[MainSpaceHeatingFuel],$B37,Table91517[EnergyRating (group)],$A37)</f>
        <v>90.125</v>
      </c>
      <c r="J37" s="849">
        <f>SUMIFS(INDEX(Table91517[],,MATCH(J$6,Table91517[#Headers],0)),Table91517[MainSpaceHeatingFuel],$B37,Table91517[EnergyRating (group)],$A37)</f>
        <v>352781</v>
      </c>
      <c r="K37" s="870">
        <f>SUMIFS(INDEX(Table91517[],,MATCH(K$6,Table91517[#Headers],0)),Table91517[MainSpaceHeatingFuel],$B37,Table91517[EnergyRating (group)],$A37)</f>
        <v>283029</v>
      </c>
      <c r="L37" s="840"/>
      <c r="M37" s="840"/>
      <c r="N37" s="914" t="str">
        <f>RSD_Commodities!$M$29&amp;"_"&amp;RIGHT(P37,LEN(P37)-3)&amp;"_"&amp;SETUP!$B$68</f>
        <v>SH_Det-B2_OILLPG_X1</v>
      </c>
      <c r="O37" s="914" t="str">
        <f>RSD_Commodities!$N$29&amp;"_"&amp;RSD_Commodities!D11&amp;"_"&amp;SETUP!$C$68</f>
        <v>Residential Space Heating Detached-B2_LPG to Residential_Existing 01</v>
      </c>
      <c r="P37" s="915" t="str">
        <f>RSD_Commodities!$C$11</f>
        <v>RSDOILLPG</v>
      </c>
      <c r="Q37" s="930" t="str">
        <f>RSD_Commodities!$M$29</f>
        <v>SH_Det-B2</v>
      </c>
      <c r="R37" s="1000">
        <f t="shared" si="25"/>
        <v>1.8439716312056737E-3</v>
      </c>
      <c r="S37" s="932">
        <f>R37*DwellingStocks!$I$64/1000</f>
        <v>2.577754349367354E-2</v>
      </c>
      <c r="T37" s="914">
        <v>1</v>
      </c>
      <c r="U37" s="914">
        <f t="shared" si="26"/>
        <v>0.90125</v>
      </c>
      <c r="V37" s="930">
        <v>20</v>
      </c>
      <c r="W37" s="930">
        <v>1</v>
      </c>
      <c r="X37" s="840"/>
      <c r="Y37" s="918">
        <f t="shared" si="27"/>
        <v>2.0980554519721394E-6</v>
      </c>
      <c r="Z37" s="919">
        <f t="shared" si="28"/>
        <v>2.3078811248403004E-6</v>
      </c>
      <c r="AA37" s="840"/>
      <c r="AB37" s="939" t="s">
        <v>393</v>
      </c>
      <c r="AC37" s="930" t="str">
        <f t="shared" ref="AC37:AC41" si="29">N37</f>
        <v>SH_Det-B2_OILLPG_X1</v>
      </c>
      <c r="AD37" s="915" t="str">
        <f t="shared" ref="AD37:AD41" si="30">O37</f>
        <v>Residential Space Heating Detached-B2_LPG to Residential_Existing 01</v>
      </c>
      <c r="AE37" s="930" t="s">
        <v>53</v>
      </c>
      <c r="AF37" s="940" t="s">
        <v>406</v>
      </c>
      <c r="AG37" s="930"/>
      <c r="AH37" s="930"/>
      <c r="AI37" s="840"/>
      <c r="AJ37" s="840"/>
      <c r="AK37" s="840"/>
      <c r="AL37" s="840"/>
      <c r="AM37" s="840"/>
      <c r="AN37" s="840"/>
    </row>
    <row r="38" spans="1:40" ht="15.75" thickBot="1">
      <c r="A38" s="757" t="s">
        <v>112</v>
      </c>
      <c r="B38" s="757" t="s">
        <v>665</v>
      </c>
      <c r="C38" s="757">
        <f>SUMIFS(INDEX(Table91517[],,MATCH(C$6,Table91517[#Headers],0)),Table91517[MainSpaceHeatingFuel],$B38,Table91517[EnergyRating (group)],$A38)</f>
        <v>173309</v>
      </c>
      <c r="D38" s="757">
        <f>SUMIFS(INDEX(Table91517[],,MATCH($D$6,Table91517[#Headers],0)),Table91517[MainSpaceHeatingFuel],B38,Table91517[EnergyRating (group)],A38)</f>
        <v>157554</v>
      </c>
      <c r="E38" s="757">
        <f>SUMIFS(INDEX(Table91517[],,MATCH(E$6,Table91517[#Headers],0)),Table91517[MainSpaceHeatingFuel],$B38,Table91517[EnergyRating (group)],$A38)</f>
        <v>15278</v>
      </c>
      <c r="F38" s="757">
        <f>SUMIFS(INDEX(Table91517[],,MATCH(F$6,Table91517[#Headers],0)),Table91517[MainSpaceHeatingFuel],$B38,Table91517[EnergyRating (group)],$A38)</f>
        <v>11962</v>
      </c>
      <c r="G38" s="757">
        <f>SUMIFS(INDEX(Table91517[],,MATCH(G$6,Table91517[#Headers],0)),Table91517[MainSpaceHeatingFuel],$B38,Table91517[EnergyRating (group)],$A38)</f>
        <v>10</v>
      </c>
      <c r="H38" s="912">
        <f>SUMIFS(INDEX(Table91517[],,MATCH(H$6,Table91517[#Headers],0)),Table91517[MainSpaceHeatingFuel],$B38,Table91517[EnergyRating (group)],$A38)</f>
        <v>2380</v>
      </c>
      <c r="I38" s="912">
        <f>AVERAGEIFS(INDEX(Table91517[],,MATCH(I$6,Table91517[#Headers],0)),Table91517[MainSpaceHeatingFuel],$B38,Table91517[EnergyRating (group)],$A38)</f>
        <v>74</v>
      </c>
      <c r="J38" s="847">
        <f>SUMIFS(INDEX(Table91517[],,MATCH(J$6,Table91517[#Headers],0)),Table91517[MainSpaceHeatingFuel],$B38,Table91517[EnergyRating (group)],$A38)</f>
        <v>295295</v>
      </c>
      <c r="K38" s="869">
        <f>SUMIFS(INDEX(Table91517[],,MATCH(K$6,Table91517[#Headers],0)),Table91517[MainSpaceHeatingFuel],$B38,Table91517[EnergyRating (group)],$A38)</f>
        <v>233846</v>
      </c>
      <c r="L38" s="840"/>
      <c r="M38" s="840"/>
      <c r="N38" s="66" t="str">
        <f>RSD_Commodities!$M$29&amp;"_"&amp;RSD_Commodities!$C$26&amp;"_"&amp;SETUP!$B$67</f>
        <v>SH_Det-B2_RSDSMF_X0</v>
      </c>
      <c r="O38" s="933" t="str">
        <f>RSD_Commodities!$N$29&amp;"_"&amp;RSD_Commodities!$D$26&amp;"_"&amp;SETUP!$C$67</f>
        <v>Residential Space Heating Detached-B2_Solid Multi-Fuel_Existing 00</v>
      </c>
      <c r="P38" s="83" t="str">
        <f>RSD_Commodities!$C$6&amp;","&amp;RSD_Commodities!$C$7&amp;","&amp;RSD_Commodities!$C$9&amp;","&amp;RSD_Commodities!$C$10&amp;","&amp;RSD_Commodities!$C$19</f>
        <v>RSDCOABIT,RSDCOAHAR,RSDCOALIG,RSDPEA,RSDBIOWOO</v>
      </c>
      <c r="Q38" s="935" t="str">
        <f>RSD_Commodities!$M$29</f>
        <v>SH_Det-B2</v>
      </c>
      <c r="R38" s="1001">
        <f t="shared" si="25"/>
        <v>1.4184397163120568E-3</v>
      </c>
      <c r="S38" s="937">
        <f>R38*DwellingStocks!$I$64/1000</f>
        <v>1.9828879610518112E-2</v>
      </c>
      <c r="T38" s="66">
        <v>1</v>
      </c>
      <c r="U38" s="66">
        <f t="shared" si="26"/>
        <v>0.74</v>
      </c>
      <c r="V38" s="935">
        <v>20</v>
      </c>
      <c r="W38" s="935">
        <v>1</v>
      </c>
      <c r="X38" s="840"/>
      <c r="Y38" s="920">
        <f t="shared" si="27"/>
        <v>1.3813612422150365E-6</v>
      </c>
      <c r="Z38" s="921">
        <f t="shared" si="28"/>
        <v>1.5367680489488137E-6</v>
      </c>
      <c r="AA38" s="840"/>
      <c r="AB38" s="941" t="s">
        <v>393</v>
      </c>
      <c r="AC38" s="935" t="str">
        <f t="shared" si="29"/>
        <v>SH_Det-B2_RSDSMF_X0</v>
      </c>
      <c r="AD38" s="934" t="str">
        <f t="shared" si="30"/>
        <v>Residential Space Heating Detached-B2_Solid Multi-Fuel_Existing 00</v>
      </c>
      <c r="AE38" s="935" t="s">
        <v>53</v>
      </c>
      <c r="AF38" s="942" t="s">
        <v>406</v>
      </c>
      <c r="AG38" s="840"/>
      <c r="AH38" s="840"/>
      <c r="AI38" s="840"/>
      <c r="AJ38" s="840"/>
      <c r="AK38" s="840"/>
      <c r="AL38" s="840"/>
      <c r="AM38" s="840"/>
      <c r="AN38" s="840"/>
    </row>
    <row r="39" spans="1:40">
      <c r="A39" s="758" t="s">
        <v>112</v>
      </c>
      <c r="B39" s="758" t="s">
        <v>668</v>
      </c>
      <c r="C39" s="758">
        <f>SUMIFS(INDEX(Table91517[],,MATCH(C$6,Table91517[#Headers],0)),Table91517[MainSpaceHeatingFuel],$B39,Table91517[EnergyRating (group)],$A39)</f>
        <v>15319</v>
      </c>
      <c r="D39" s="759">
        <f>SUMIFS(INDEX(Table91517[],,MATCH($D$6,Table91517[#Headers],0)),Table91517[MainSpaceHeatingFuel],B39,Table91517[EnergyRating (group)],A39)</f>
        <v>13926</v>
      </c>
      <c r="E39" s="759">
        <f>SUMIFS(INDEX(Table91517[],,MATCH(E$6,Table91517[#Headers],0)),Table91517[MainSpaceHeatingFuel],$B39,Table91517[EnergyRating (group)],$A39)</f>
        <v>0</v>
      </c>
      <c r="F39" s="758">
        <f>SUMIFS(INDEX(Table91517[],,MATCH(F$6,Table91517[#Headers],0)),Table91517[MainSpaceHeatingFuel],$B39,Table91517[EnergyRating (group)],$A39)</f>
        <v>0</v>
      </c>
      <c r="G39" s="758">
        <f>SUMIFS(INDEX(Table91517[],,MATCH(G$6,Table91517[#Headers],0)),Table91517[MainSpaceHeatingFuel],$B39,Table91517[EnergyRating (group)],$A39)</f>
        <v>1</v>
      </c>
      <c r="H39" s="911">
        <f>SUMIFS(INDEX(Table91517[],,MATCH(H$6,Table91517[#Headers],0)),Table91517[MainSpaceHeatingFuel],$B39,Table91517[EnergyRating (group)],$A39)</f>
        <v>184</v>
      </c>
      <c r="I39" s="911">
        <f>AVERAGEIFS(INDEX(Table91517[],,MATCH(I$6,Table91517[#Headers],0)),Table91517[MainSpaceHeatingFuel],$B39,Table91517[EnergyRating (group)],$A39)</f>
        <v>65</v>
      </c>
      <c r="J39" s="849">
        <f>SUMIFS(INDEX(Table91517[],,MATCH(J$6,Table91517[#Headers],0)),Table91517[MainSpaceHeatingFuel],$B39,Table91517[EnergyRating (group)],$A39)</f>
        <v>20491</v>
      </c>
      <c r="K39" s="870">
        <f>SUMIFS(INDEX(Table91517[],,MATCH(K$6,Table91517[#Headers],0)),Table91517[MainSpaceHeatingFuel],$B39,Table91517[EnergyRating (group)],$A39)</f>
        <v>16344</v>
      </c>
      <c r="L39" s="840"/>
      <c r="M39" s="840"/>
      <c r="N39" s="914" t="str">
        <f>RSD_Commodities!$M$29&amp;"_"&amp;RIGHT(P39,LEN(P39)-3)&amp;"_"&amp;SETUP!$B$69</f>
        <v>SH_Det-B2_BIOWOO_X2</v>
      </c>
      <c r="O39" s="914" t="str">
        <f>RSD_Commodities!$N$29&amp;"_"&amp;RSD_Commodities!D19&amp;"_"&amp;SETUP!$C$69</f>
        <v>Residential Space Heating Detached-B2_Biomass &amp; Renewable Waste to Residential_Existing 02</v>
      </c>
      <c r="P39" s="915" t="str">
        <f>RSD_Commodities!$C$19</f>
        <v>RSDBIOWOO</v>
      </c>
      <c r="Q39" s="930" t="str">
        <f>RSD_Commodities!$M$29</f>
        <v>SH_Det-B2</v>
      </c>
      <c r="R39" s="1000">
        <f t="shared" si="25"/>
        <v>1.4184397163120567E-4</v>
      </c>
      <c r="S39" s="932">
        <f>R39*DwellingStocks!$I$64/1000</f>
        <v>1.9828879610518111E-3</v>
      </c>
      <c r="T39" s="914">
        <v>1</v>
      </c>
      <c r="U39" s="914">
        <f t="shared" si="26"/>
        <v>0.65</v>
      </c>
      <c r="V39" s="930">
        <v>20</v>
      </c>
      <c r="W39" s="930">
        <v>1</v>
      </c>
      <c r="X39" s="840"/>
      <c r="Y39" s="918">
        <f t="shared" si="27"/>
        <v>1.1348094963948298E-8</v>
      </c>
      <c r="Z39" s="919">
        <f t="shared" si="28"/>
        <v>1.2483230414528507E-8</v>
      </c>
      <c r="AA39" s="840"/>
      <c r="AB39" s="939" t="s">
        <v>393</v>
      </c>
      <c r="AC39" s="930" t="str">
        <f t="shared" si="29"/>
        <v>SH_Det-B2_BIOWOO_X2</v>
      </c>
      <c r="AD39" s="915" t="str">
        <f t="shared" si="30"/>
        <v>Residential Space Heating Detached-B2_Biomass &amp; Renewable Waste to Residential_Existing 02</v>
      </c>
      <c r="AE39" s="930" t="s">
        <v>53</v>
      </c>
      <c r="AF39" s="940" t="s">
        <v>406</v>
      </c>
      <c r="AG39" s="930"/>
      <c r="AH39" s="930"/>
      <c r="AI39" s="840"/>
      <c r="AJ39" s="840"/>
      <c r="AK39" s="840"/>
      <c r="AL39" s="840"/>
      <c r="AM39" s="840"/>
      <c r="AN39" s="840"/>
    </row>
    <row r="40" spans="1:40" ht="15.75" thickBot="1">
      <c r="A40" s="757" t="s">
        <v>112</v>
      </c>
      <c r="B40" s="757" t="s">
        <v>673</v>
      </c>
      <c r="C40" s="757">
        <f>SUMIFS(INDEX(Table91517[],,MATCH(C$6,Table91517[#Headers],0)),Table91517[MainSpaceHeatingFuel],$B40,Table91517[EnergyRating (group)],$A40)</f>
        <v>181283</v>
      </c>
      <c r="D40" s="757">
        <f>SUMIFS(INDEX(Table91517[],,MATCH($D$6,Table91517[#Headers],0)),Table91517[MainSpaceHeatingFuel],B40,Table91517[EnergyRating (group)],A40)</f>
        <v>164803</v>
      </c>
      <c r="E40" s="757">
        <f>SUMIFS(INDEX(Table91517[],,MATCH(E$6,Table91517[#Headers],0)),Table91517[MainSpaceHeatingFuel],$B40,Table91517[EnergyRating (group)],$A40)</f>
        <v>23305</v>
      </c>
      <c r="F40" s="757">
        <f>SUMIFS(INDEX(Table91517[],,MATCH(F$6,Table91517[#Headers],0)),Table91517[MainSpaceHeatingFuel],$B40,Table91517[EnergyRating (group)],$A40)</f>
        <v>19639</v>
      </c>
      <c r="G40" s="757">
        <f>SUMIFS(INDEX(Table91517[],,MATCH(G$6,Table91517[#Headers],0)),Table91517[MainSpaceHeatingFuel],$B40,Table91517[EnergyRating (group)],$A40)</f>
        <v>11</v>
      </c>
      <c r="H40" s="912">
        <f>SUMIFS(INDEX(Table91517[],,MATCH(H$6,Table91517[#Headers],0)),Table91517[MainSpaceHeatingFuel],$B40,Table91517[EnergyRating (group)],$A40)</f>
        <v>2665</v>
      </c>
      <c r="I40" s="912">
        <f>AVERAGEIFS(INDEX(Table91517[],,MATCH(I$6,Table91517[#Headers],0)),Table91517[MainSpaceHeatingFuel],$B40,Table91517[EnergyRating (group)],$A40)</f>
        <v>80.222222222222229</v>
      </c>
      <c r="J40" s="847">
        <f>SUMIFS(INDEX(Table91517[],,MATCH(J$6,Table91517[#Headers],0)),Table91517[MainSpaceHeatingFuel],$B40,Table91517[EnergyRating (group)],$A40)</f>
        <v>322970</v>
      </c>
      <c r="K40" s="869">
        <f>SUMIFS(INDEX(Table91517[],,MATCH(K$6,Table91517[#Headers],0)),Table91517[MainSpaceHeatingFuel],$B40,Table91517[EnergyRating (group)],$A40)</f>
        <v>250492</v>
      </c>
      <c r="L40" s="840"/>
      <c r="M40" s="840"/>
      <c r="N40" s="66" t="str">
        <f>RSD_Commodities!$M$29&amp;"_"&amp;RIGHT(P40,LEN(P41)-3)&amp;"_"&amp;SETUP!$B$68</f>
        <v>SH_Det-B2_BIOWOO_X1</v>
      </c>
      <c r="O40" s="933" t="str">
        <f>RSD_Commodities!$N$29&amp;"_"&amp;RSD_Commodities!D19&amp;"_"&amp;SETUP!$C$68</f>
        <v>Residential Space Heating Detached-B2_Biomass &amp; Renewable Waste to Residential_Existing 01</v>
      </c>
      <c r="P40" s="83" t="str">
        <f>RSD_Commodities!$C$19</f>
        <v>RSDBIOWOO</v>
      </c>
      <c r="Q40" s="935" t="str">
        <f>RSD_Commodities!$M$29</f>
        <v>SH_Det-B2</v>
      </c>
      <c r="R40" s="1001">
        <f t="shared" si="25"/>
        <v>1.5602836879432625E-3</v>
      </c>
      <c r="S40" s="937">
        <f>R40*DwellingStocks!$I$64/1000</f>
        <v>2.1811767571569919E-2</v>
      </c>
      <c r="T40" s="66">
        <v>1</v>
      </c>
      <c r="U40" s="66">
        <f t="shared" si="26"/>
        <v>0.80222222222222228</v>
      </c>
      <c r="V40" s="935">
        <v>20</v>
      </c>
      <c r="W40" s="935">
        <v>1</v>
      </c>
      <c r="X40" s="840"/>
      <c r="Y40" s="920">
        <f t="shared" si="27"/>
        <v>1.6532901511378765E-6</v>
      </c>
      <c r="Z40" s="921">
        <f t="shared" si="28"/>
        <v>1.8338736591502799E-6</v>
      </c>
      <c r="AA40" s="840"/>
      <c r="AB40" s="941" t="s">
        <v>393</v>
      </c>
      <c r="AC40" s="935" t="str">
        <f t="shared" si="29"/>
        <v>SH_Det-B2_BIOWOO_X1</v>
      </c>
      <c r="AD40" s="934" t="str">
        <f t="shared" si="30"/>
        <v>Residential Space Heating Detached-B2_Biomass &amp; Renewable Waste to Residential_Existing 01</v>
      </c>
      <c r="AE40" s="935" t="s">
        <v>53</v>
      </c>
      <c r="AF40" s="942" t="s">
        <v>406</v>
      </c>
      <c r="AG40" s="840"/>
      <c r="AH40" s="840"/>
      <c r="AI40" s="840"/>
      <c r="AJ40" s="840"/>
      <c r="AK40" s="840"/>
      <c r="AL40" s="840"/>
      <c r="AM40" s="840"/>
      <c r="AN40" s="840"/>
    </row>
    <row r="41" spans="1:40" ht="15.75" thickBot="1">
      <c r="A41" s="758" t="s">
        <v>112</v>
      </c>
      <c r="B41" s="758" t="s">
        <v>666</v>
      </c>
      <c r="C41" s="758">
        <f>SUMIFS(INDEX(Table91517[],,MATCH(C$6,Table91517[#Headers],0)),Table91517[MainSpaceHeatingFuel],$B41,Table91517[EnergyRating (group)],$A41)</f>
        <v>19071</v>
      </c>
      <c r="D41" s="759">
        <f>SUMIFS(INDEX(Table91517[],,MATCH($D$6,Table91517[#Headers],0)),Table91517[MainSpaceHeatingFuel],B41,Table91517[EnergyRating (group)],A41)</f>
        <v>17337</v>
      </c>
      <c r="E41" s="759">
        <f>SUMIFS(INDEX(Table91517[],,MATCH(E$6,Table91517[#Headers],0)),Table91517[MainSpaceHeatingFuel],$B41,Table91517[EnergyRating (group)],$A41)</f>
        <v>1718</v>
      </c>
      <c r="F41" s="758">
        <f>SUMIFS(INDEX(Table91517[],,MATCH(F$6,Table91517[#Headers],0)),Table91517[MainSpaceHeatingFuel],$B41,Table91517[EnergyRating (group)],$A41)</f>
        <v>1562</v>
      </c>
      <c r="G41" s="758">
        <f>SUMIFS(INDEX(Table91517[],,MATCH(G$6,Table91517[#Headers],0)),Table91517[MainSpaceHeatingFuel],$B41,Table91517[EnergyRating (group)],$A41)</f>
        <v>1</v>
      </c>
      <c r="H41" s="911">
        <f>SUMIFS(INDEX(Table91517[],,MATCH(H$6,Table91517[#Headers],0)),Table91517[MainSpaceHeatingFuel],$B41,Table91517[EnergyRating (group)],$A41)</f>
        <v>236</v>
      </c>
      <c r="I41" s="911">
        <f>AVERAGEIFS(INDEX(Table91517[],,MATCH(I$6,Table91517[#Headers],0)),Table91517[MainSpaceHeatingFuel],$B41,Table91517[EnergyRating (group)],$A41)</f>
        <v>75</v>
      </c>
      <c r="J41" s="849">
        <f>SUMIFS(INDEX(Table91517[],,MATCH(J$6,Table91517[#Headers],0)),Table91517[MainSpaceHeatingFuel],$B41,Table91517[EnergyRating (group)],$A41)</f>
        <v>29102</v>
      </c>
      <c r="K41" s="870">
        <f>SUMIFS(INDEX(Table91517[],,MATCH(K$6,Table91517[#Headers],0)),Table91517[MainSpaceHeatingFuel],$B41,Table91517[EnergyRating (group)],$A41)</f>
        <v>24573</v>
      </c>
      <c r="L41" s="840"/>
      <c r="M41" s="840"/>
      <c r="N41" s="914" t="str">
        <f>RSD_Commodities!$M$29&amp;"_"&amp;RIGHT(P41,LEN(P41)-3)&amp;"_"&amp;SETUP!$B$67</f>
        <v>SH_Det-B2_COABIT_X0</v>
      </c>
      <c r="O41" s="914" t="str">
        <f>RSD_Commodities!$N$29&amp;"_"&amp;RSD_Commodities!D6&amp;"_"&amp;SETUP!$C$67</f>
        <v>Residential Space Heating Detached-B2_Bituminous Coal to Residential_Existing 00</v>
      </c>
      <c r="P41" s="915" t="str">
        <f>RSD_Commodities!$C$6</f>
        <v>RSDCOABIT</v>
      </c>
      <c r="Q41" s="930" t="str">
        <f>RSD_Commodities!$M$29</f>
        <v>SH_Det-B2</v>
      </c>
      <c r="R41" s="1000">
        <f t="shared" si="25"/>
        <v>1.4184397163120567E-4</v>
      </c>
      <c r="S41" s="932">
        <f>R41*DwellingStocks!$I$64/1000</f>
        <v>1.9828879610518111E-3</v>
      </c>
      <c r="T41" s="914">
        <v>1</v>
      </c>
      <c r="U41" s="914">
        <f t="shared" si="26"/>
        <v>0.75</v>
      </c>
      <c r="V41" s="930">
        <v>20</v>
      </c>
      <c r="W41" s="930">
        <v>1</v>
      </c>
      <c r="X41" s="840"/>
      <c r="Y41" s="918">
        <f t="shared" si="27"/>
        <v>1.5400520373665007E-8</v>
      </c>
      <c r="Z41" s="919">
        <f t="shared" si="28"/>
        <v>1.6940653899577853E-8</v>
      </c>
      <c r="AA41" s="840"/>
      <c r="AB41" s="939" t="s">
        <v>393</v>
      </c>
      <c r="AC41" s="930" t="str">
        <f t="shared" si="29"/>
        <v>SH_Det-B2_COABIT_X0</v>
      </c>
      <c r="AD41" s="915" t="str">
        <f t="shared" si="30"/>
        <v>Residential Space Heating Detached-B2_Bituminous Coal to Residential_Existing 00</v>
      </c>
      <c r="AE41" s="930" t="s">
        <v>53</v>
      </c>
      <c r="AF41" s="940" t="s">
        <v>406</v>
      </c>
      <c r="AG41" s="930"/>
      <c r="AH41" s="930"/>
      <c r="AI41" s="840"/>
      <c r="AJ41" s="840"/>
      <c r="AK41" s="840"/>
      <c r="AL41" s="840"/>
      <c r="AM41" s="840"/>
      <c r="AN41" s="840"/>
    </row>
    <row r="42" spans="1:40" ht="15.75" thickBot="1">
      <c r="A42" s="756" t="s">
        <v>114</v>
      </c>
      <c r="B42" s="1048"/>
      <c r="C42" s="1049"/>
      <c r="D42" s="1049"/>
      <c r="E42" s="1049"/>
      <c r="F42" s="1049"/>
      <c r="G42" s="1049"/>
      <c r="H42" s="1049"/>
      <c r="I42" s="1053"/>
      <c r="J42" s="736" t="s">
        <v>565</v>
      </c>
      <c r="K42" s="737" t="s">
        <v>565</v>
      </c>
      <c r="L42" s="840"/>
      <c r="M42" s="840"/>
      <c r="N42" s="76" t="str">
        <f>AB42</f>
        <v>*B3 Rating</v>
      </c>
      <c r="O42" s="76"/>
      <c r="P42" s="76"/>
      <c r="Q42" s="76"/>
      <c r="R42" s="949">
        <f>SUM(R43:R55)</f>
        <v>1.0000000000000002</v>
      </c>
      <c r="S42" s="76"/>
      <c r="T42" s="97"/>
      <c r="U42" s="76"/>
      <c r="V42" s="76"/>
      <c r="W42" s="76"/>
      <c r="X42" s="840"/>
      <c r="Y42" s="76"/>
      <c r="Z42" s="76"/>
      <c r="AA42" s="840"/>
      <c r="AB42" s="140" t="str">
        <f>"*"&amp; A43 &amp; " Rating"</f>
        <v>*B3 Rating</v>
      </c>
      <c r="AC42" s="141"/>
      <c r="AD42" s="141"/>
      <c r="AE42" s="141"/>
      <c r="AF42" s="141"/>
      <c r="AG42" s="141"/>
      <c r="AH42" s="141"/>
      <c r="AI42" s="840"/>
      <c r="AJ42" s="840"/>
      <c r="AK42" s="840"/>
      <c r="AL42" s="840"/>
      <c r="AM42" s="840"/>
      <c r="AN42" s="840"/>
    </row>
    <row r="43" spans="1:40">
      <c r="A43" s="758" t="s">
        <v>114</v>
      </c>
      <c r="B43" s="758" t="s">
        <v>582</v>
      </c>
      <c r="C43" s="758">
        <f>SUMIFS(INDEX(Table91517[],,MATCH(C$6,Table91517[#Headers],0)),Table91517[MainSpaceHeatingFuel],$B43,Table91517[EnergyRating (group)],$A43)</f>
        <v>12306889</v>
      </c>
      <c r="D43" s="759">
        <f>SUMIFS(INDEX(Table91517[],,MATCH(D$6,Table91517[#Headers],0)),Table91517[MainSpaceHeatingFuel],$B43,Table91517[EnergyRating (group)],$A43)</f>
        <v>11188082</v>
      </c>
      <c r="E43" s="759">
        <f>SUMIFS(INDEX(Table91517[],,MATCH(E$6,Table91517[#Headers],0)),Table91517[MainSpaceHeatingFuel],$B43,Table91517[EnergyRating (group)],$A43)</f>
        <v>2504053</v>
      </c>
      <c r="F43" s="758">
        <f>SUMIFS(INDEX(Table91517[],,MATCH(F$6,Table91517[#Headers],0)),Table91517[MainSpaceHeatingFuel],$B43,Table91517[EnergyRating (group)],$A43)</f>
        <v>2227736</v>
      </c>
      <c r="G43" s="758">
        <f>SUMIFS(INDEX(Table91517[],,MATCH(G$6,Table91517[#Headers],0)),Table91517[MainSpaceHeatingFuel],$B43,Table91517[EnergyRating (group)],$A43)</f>
        <v>774</v>
      </c>
      <c r="H43" s="911">
        <f>SUMIFS(INDEX(Table91517[],,MATCH(H$6,Table91517[#Headers],0)),Table91517[MainSpaceHeatingFuel],$B43,Table91517[EnergyRating (group)],$A43)</f>
        <v>150415</v>
      </c>
      <c r="I43" s="911">
        <f>AVERAGEIFS(INDEX(Table91517[],,MATCH(I$6,Table91517[#Headers],0)),Table91517[MainSpaceHeatingFuel],$B43,Table91517[EnergyRating (group)],$A43)</f>
        <v>88.837837837837839</v>
      </c>
      <c r="J43" s="849">
        <f>SUMIFS(INDEX(Table91517[],,MATCH(J$6,Table91517[#Headers],0)),Table91517[MainSpaceHeatingFuel],$B43,Table91517[EnergyRating (group)],$A43)</f>
        <v>22329524</v>
      </c>
      <c r="K43" s="870">
        <f>SUMIFS(INDEX(Table91517[],,MATCH(K$6,Table91517[#Headers],0)),Table91517[MainSpaceHeatingFuel],$B43,Table91517[EnergyRating (group)],$A43)</f>
        <v>18352624</v>
      </c>
      <c r="L43" s="840"/>
      <c r="M43" s="840"/>
      <c r="N43" s="914" t="str">
        <f>RSD_Commodities!$M$30&amp;"_"&amp;RIGHT(P43,LEN(P43)-3)&amp;"_"&amp;SETUP!$B$67</f>
        <v>SH_Det-B3_OILLPG_X0</v>
      </c>
      <c r="O43" s="914" t="str">
        <f>RSD_Commodities!$N$30&amp;"_"&amp;RSD_Commodities!D11&amp;"_"&amp;SETUP!$C$67</f>
        <v>Residential Space Heating Detached-B3_LPG to Residential_Existing 00</v>
      </c>
      <c r="P43" s="915" t="str">
        <f>RSD_Commodities!$C$11</f>
        <v>RSDOILLPG</v>
      </c>
      <c r="Q43" s="930" t="str">
        <f>RSD_Commodities!$M$30</f>
        <v>SH_Det-B3</v>
      </c>
      <c r="R43" s="1000">
        <f>G43/SUM($G$43:$G$55)</f>
        <v>3.837762792542642E-2</v>
      </c>
      <c r="S43" s="932">
        <f>R43*DwellingStocks!$I$65/1000</f>
        <v>0.83315713578993345</v>
      </c>
      <c r="T43" s="914">
        <v>1</v>
      </c>
      <c r="U43" s="914">
        <f t="shared" ref="U43:U131" si="31">I43/100</f>
        <v>0.88837837837837841</v>
      </c>
      <c r="V43" s="930">
        <v>20</v>
      </c>
      <c r="W43" s="914">
        <v>1</v>
      </c>
      <c r="X43" s="840"/>
      <c r="Y43" s="918">
        <f>ABS((D43+F43)*S43*1000*$B$2)</f>
        <v>4.5934867804763154E-3</v>
      </c>
      <c r="Z43" s="919">
        <f>ABS((C43+E43)*S43*1000*$B$2)</f>
        <v>5.0711679513989706E-3</v>
      </c>
      <c r="AA43" s="840"/>
      <c r="AB43" s="939" t="s">
        <v>393</v>
      </c>
      <c r="AC43" s="930" t="str">
        <f>N43</f>
        <v>SH_Det-B3_OILLPG_X0</v>
      </c>
      <c r="AD43" s="915" t="str">
        <f>O43</f>
        <v>Residential Space Heating Detached-B3_LPG to Residential_Existing 00</v>
      </c>
      <c r="AE43" s="914" t="s">
        <v>53</v>
      </c>
      <c r="AF43" s="916" t="s">
        <v>406</v>
      </c>
      <c r="AG43" s="914"/>
      <c r="AH43" s="914"/>
      <c r="AI43" s="840"/>
      <c r="AJ43" s="840"/>
      <c r="AK43" s="840"/>
      <c r="AL43" s="840"/>
      <c r="AM43" s="840"/>
      <c r="AN43" s="840"/>
    </row>
    <row r="44" spans="1:40">
      <c r="A44" s="757" t="s">
        <v>114</v>
      </c>
      <c r="B44" s="757" t="s">
        <v>228</v>
      </c>
      <c r="C44" s="757">
        <f>SUMIFS(INDEX(Table91517[],,MATCH(C$6,Table91517[#Headers],0)),Table91517[MainSpaceHeatingFuel],$B44,Table91517[EnergyRating (group)],$A44)</f>
        <v>8841103</v>
      </c>
      <c r="D44" s="757">
        <f>SUMIFS(INDEX(Table91517[],,MATCH(D$6,Table91517[#Headers],0)),Table91517[MainSpaceHeatingFuel],$B44,Table91517[EnergyRating (group)],$A44)</f>
        <v>3274486</v>
      </c>
      <c r="E44" s="757">
        <f>SUMIFS(INDEX(Table91517[],,MATCH(E$6,Table91517[#Headers],0)),Table91517[MainSpaceHeatingFuel],$B44,Table91517[EnergyRating (group)],$A44)</f>
        <v>2437201</v>
      </c>
      <c r="F44" s="757">
        <f>SUMIFS(INDEX(Table91517[],,MATCH(F$6,Table91517[#Headers],0)),Table91517[MainSpaceHeatingFuel],$B44,Table91517[EnergyRating (group)],$A44)</f>
        <v>2151751</v>
      </c>
      <c r="G44" s="757">
        <f>SUMIFS(INDEX(Table91517[],,MATCH(G$6,Table91517[#Headers],0)),Table91517[MainSpaceHeatingFuel],$B44,Table91517[EnergyRating (group)],$A44)</f>
        <v>580</v>
      </c>
      <c r="H44" s="912">
        <f>SUMIFS(INDEX(Table91517[],,MATCH(H$6,Table91517[#Headers],0)),Table91517[MainSpaceHeatingFuel],$B44,Table91517[EnergyRating (group)],$A44)</f>
        <v>129133</v>
      </c>
      <c r="I44" s="912">
        <f>AVERAGEIFS(INDEX(Table91517[],,MATCH(I$6,Table91517[#Headers],0)),Table91517[MainSpaceHeatingFuel],$B44,Table91517[EnergyRating (group)],$A44)</f>
        <v>293.39473684210526</v>
      </c>
      <c r="J44" s="847">
        <f>SUMIFS(INDEX(Table91517[],,MATCH(J$6,Table91517[#Headers],0)),Table91517[MainSpaceHeatingFuel],$B44,Table91517[EnergyRating (group)],$A44)</f>
        <v>18925484</v>
      </c>
      <c r="K44" s="869">
        <f>SUMIFS(INDEX(Table91517[],,MATCH(K$6,Table91517[#Headers],0)),Table91517[MainSpaceHeatingFuel],$B44,Table91517[EnergyRating (group)],$A44)</f>
        <v>8296790</v>
      </c>
      <c r="L44" s="840"/>
      <c r="M44" s="840"/>
      <c r="N44" s="66" t="str">
        <f>RSD_Commodities!$M$30&amp;"_"&amp;RIGHT(P44,LEN(P44)-3)&amp;"_"&amp;SETUP!$B$67</f>
        <v>SH_Det-B3_ELCD_X0</v>
      </c>
      <c r="O44" s="933" t="str">
        <f>RSD_Commodities!$N$30&amp;"_"&amp;RSD_Commodities!D27&amp;"_"&amp;SETUP!$C$67</f>
        <v>Residential Space Heating Detached-B3_Electricity to Residential_Existing 00</v>
      </c>
      <c r="P44" s="83" t="str">
        <f>RSD_Commodities!$C$27</f>
        <v>RSDELCD</v>
      </c>
      <c r="Q44" s="935" t="str">
        <f>RSD_Commodities!$M$30</f>
        <v>SH_Det-B3</v>
      </c>
      <c r="R44" s="1001">
        <f>G44/SUM($G$43:$G$55)</f>
        <v>2.8758429194763981E-2</v>
      </c>
      <c r="S44" s="937">
        <f>R44*DwellingStocks!$I$65/1000</f>
        <v>0.62432963663845131</v>
      </c>
      <c r="T44" s="66">
        <v>1</v>
      </c>
      <c r="U44" s="66">
        <f t="shared" si="31"/>
        <v>2.9339473684210526</v>
      </c>
      <c r="V44" s="935">
        <v>20</v>
      </c>
      <c r="W44" s="66">
        <v>1</v>
      </c>
      <c r="X44" s="840"/>
      <c r="Y44" s="920">
        <f t="shared" ref="Y44:Y48" si="32">ABS((D44+F44)*S44*1000*$B$2)</f>
        <v>1.3922303730921042E-3</v>
      </c>
      <c r="Z44" s="921">
        <f t="shared" ref="Z44:Z48" si="33">ABS((C44+E44)*S44*1000*$B$2)</f>
        <v>2.8937175773498603E-3</v>
      </c>
      <c r="AA44" s="840"/>
      <c r="AB44" s="941" t="s">
        <v>393</v>
      </c>
      <c r="AC44" s="935" t="str">
        <f t="shared" ref="AC44:AD54" si="34">N44</f>
        <v>SH_Det-B3_ELCD_X0</v>
      </c>
      <c r="AD44" s="934" t="str">
        <f t="shared" si="34"/>
        <v>Residential Space Heating Detached-B3_Electricity to Residential_Existing 00</v>
      </c>
      <c r="AE44" s="935" t="s">
        <v>53</v>
      </c>
      <c r="AF44" s="942" t="s">
        <v>406</v>
      </c>
      <c r="AG44" s="935"/>
      <c r="AH44" s="935"/>
      <c r="AI44" s="840"/>
      <c r="AJ44" s="840"/>
      <c r="AK44" s="840"/>
      <c r="AL44" s="840"/>
      <c r="AM44" s="840"/>
      <c r="AN44" s="840"/>
    </row>
    <row r="45" spans="1:40">
      <c r="A45" s="758" t="s">
        <v>114</v>
      </c>
      <c r="B45" s="758" t="s">
        <v>583</v>
      </c>
      <c r="C45" s="758">
        <f>SUMIFS(INDEX(Table91517[],,MATCH(C$6,Table91517[#Headers],0)),Table91517[MainSpaceHeatingFuel],$B45,Table91517[EnergyRating (group)],$A45)</f>
        <v>231556739</v>
      </c>
      <c r="D45" s="759">
        <f>SUMIFS(INDEX(Table91517[],,MATCH(D$6,Table91517[#Headers],0)),Table91517[MainSpaceHeatingFuel],$B45,Table91517[EnergyRating (group)],$A45)</f>
        <v>210506121</v>
      </c>
      <c r="E45" s="759">
        <f>SUMIFS(INDEX(Table91517[],,MATCH(E$6,Table91517[#Headers],0)),Table91517[MainSpaceHeatingFuel],$B45,Table91517[EnergyRating (group)],$A45)</f>
        <v>47201100</v>
      </c>
      <c r="F45" s="758">
        <f>SUMIFS(INDEX(Table91517[],,MATCH(F$6,Table91517[#Headers],0)),Table91517[MainSpaceHeatingFuel],$B45,Table91517[EnergyRating (group)],$A45)</f>
        <v>42795208</v>
      </c>
      <c r="G45" s="758">
        <f>SUMIFS(INDEX(Table91517[],,MATCH(G$6,Table91517[#Headers],0)),Table91517[MainSpaceHeatingFuel],$B45,Table91517[EnergyRating (group)],$A45)</f>
        <v>13807</v>
      </c>
      <c r="H45" s="911">
        <f>SUMIFS(INDEX(Table91517[],,MATCH(H$6,Table91517[#Headers],0)),Table91517[MainSpaceHeatingFuel],$B45,Table91517[EnergyRating (group)],$A45)</f>
        <v>2833484</v>
      </c>
      <c r="I45" s="911">
        <f>AVERAGEIFS(INDEX(Table91517[],,MATCH(I$6,Table91517[#Headers],0)),Table91517[MainSpaceHeatingFuel],$B45,Table91517[EnergyRating (group)],$A45)</f>
        <v>88.924050632911388</v>
      </c>
      <c r="J45" s="849">
        <f>SUMIFS(INDEX(Table91517[],,MATCH(J$6,Table91517[#Headers],0)),Table91517[MainSpaceHeatingFuel],$B45,Table91517[EnergyRating (group)],$A45)</f>
        <v>425121452</v>
      </c>
      <c r="K45" s="870">
        <f>SUMIFS(INDEX(Table91517[],,MATCH(K$6,Table91517[#Headers],0)),Table91517[MainSpaceHeatingFuel],$B45,Table91517[EnergyRating (group)],$A45)</f>
        <v>348153655</v>
      </c>
      <c r="M45" s="840"/>
      <c r="N45" s="914" t="str">
        <f>RSD_Commodities!$M$30&amp;"_"&amp;RIGHT(P45,LEN(P45)-3)&amp;"_"&amp;SETUP!$B$67</f>
        <v>SH_Det-B3_OILKER_X0</v>
      </c>
      <c r="O45" s="914" t="str">
        <f>RSD_Commodities!$N$30&amp;"_"&amp;RSD_Commodities!D13&amp;"_"&amp;SETUP!$C$67</f>
        <v>Residential Space Heating Detached-B3_Kerosene to Residential_Existing 00</v>
      </c>
      <c r="P45" s="915" t="str">
        <f>RSD_Commodities!$C$13</f>
        <v>RSDOILKER</v>
      </c>
      <c r="Q45" s="930" t="str">
        <f>RSD_Commodities!$M$30</f>
        <v>SH_Det-B3</v>
      </c>
      <c r="R45" s="1000">
        <f t="shared" ref="R45:R55" si="35">G45/SUM($G$43:$G$55)</f>
        <v>0.68459936533121779</v>
      </c>
      <c r="S45" s="932">
        <f>R45*DwellingStocks!$I$65/1000</f>
        <v>14.862274643219136</v>
      </c>
      <c r="T45" s="914">
        <v>1</v>
      </c>
      <c r="U45" s="914">
        <f t="shared" si="31"/>
        <v>0.88924050632911389</v>
      </c>
      <c r="V45" s="930">
        <v>20</v>
      </c>
      <c r="W45" s="914">
        <v>1</v>
      </c>
      <c r="X45" s="840"/>
      <c r="Y45" s="922">
        <f t="shared" si="32"/>
        <v>1.5471098297631816</v>
      </c>
      <c r="Z45" s="923">
        <f t="shared" si="33"/>
        <v>1.7025926967814782</v>
      </c>
      <c r="AA45" s="840"/>
      <c r="AB45" s="939" t="s">
        <v>393</v>
      </c>
      <c r="AC45" s="930" t="str">
        <f t="shared" si="34"/>
        <v>SH_Det-B3_OILKER_X0</v>
      </c>
      <c r="AD45" s="915" t="str">
        <f t="shared" si="34"/>
        <v>Residential Space Heating Detached-B3_Kerosene to Residential_Existing 00</v>
      </c>
      <c r="AE45" s="930" t="s">
        <v>53</v>
      </c>
      <c r="AF45" s="940" t="s">
        <v>406</v>
      </c>
      <c r="AG45" s="930"/>
      <c r="AH45" s="930"/>
      <c r="AI45" s="840"/>
      <c r="AJ45" s="840"/>
      <c r="AK45" s="840"/>
      <c r="AL45" s="840"/>
      <c r="AM45" s="840"/>
      <c r="AN45" s="840"/>
    </row>
    <row r="46" spans="1:40">
      <c r="A46" s="757" t="s">
        <v>114</v>
      </c>
      <c r="B46" s="757" t="s">
        <v>584</v>
      </c>
      <c r="C46" s="757">
        <f>SUMIFS(INDEX(Table91517[],,MATCH(C$6,Table91517[#Headers],0)),Table91517[MainSpaceHeatingFuel],$B46,Table91517[EnergyRating (group)],$A46)</f>
        <v>67073496</v>
      </c>
      <c r="D46" s="760">
        <f>SUMIFS(INDEX(Table91517[],,MATCH(D$6,Table91517[#Headers],0)),Table91517[MainSpaceHeatingFuel],$B46,Table91517[EnergyRating (group)],$A46)</f>
        <v>60975905</v>
      </c>
      <c r="E46" s="760">
        <f>SUMIFS(INDEX(Table91517[],,MATCH(E$6,Table91517[#Headers],0)),Table91517[MainSpaceHeatingFuel],$B46,Table91517[EnergyRating (group)],$A46)</f>
        <v>14536191</v>
      </c>
      <c r="F46" s="757">
        <f>SUMIFS(INDEX(Table91517[],,MATCH(F$6,Table91517[#Headers],0)),Table91517[MainSpaceHeatingFuel],$B46,Table91517[EnergyRating (group)],$A46)</f>
        <v>13652335</v>
      </c>
      <c r="G46" s="757">
        <f>SUMIFS(INDEX(Table91517[],,MATCH(G$6,Table91517[#Headers],0)),Table91517[MainSpaceHeatingFuel],$B46,Table91517[EnergyRating (group)],$A46)</f>
        <v>4753</v>
      </c>
      <c r="H46" s="912">
        <f>SUMIFS(INDEX(Table91517[],,MATCH(H$6,Table91517[#Headers],0)),Table91517[MainSpaceHeatingFuel],$B46,Table91517[EnergyRating (group)],$A46)</f>
        <v>862419</v>
      </c>
      <c r="I46" s="912">
        <f>AVERAGEIFS(INDEX(Table91517[],,MATCH(I$6,Table91517[#Headers],0)),Table91517[MainSpaceHeatingFuel],$B46,Table91517[EnergyRating (group)],$A46)</f>
        <v>87.628571428571433</v>
      </c>
      <c r="J46" s="847">
        <f>SUMIFS(INDEX(Table91517[],,MATCH(J$6,Table91517[#Headers],0)),Table91517[MainSpaceHeatingFuel],$B46,Table91517[EnergyRating (group)],$A46)</f>
        <v>126539533</v>
      </c>
      <c r="K46" s="869">
        <f>SUMIFS(INDEX(Table91517[],,MATCH(K$6,Table91517[#Headers],0)),Table91517[MainSpaceHeatingFuel],$B46,Table91517[EnergyRating (group)],$A46)</f>
        <v>104625153</v>
      </c>
      <c r="M46" s="840"/>
      <c r="N46" s="66" t="str">
        <f>RSD_Commodities!$M$30&amp;"_"&amp;RIGHT(P46,LEN(P46)-3)&amp;"_"&amp;SETUP!$B$67</f>
        <v>SH_Det-B3_GASNAT_X0</v>
      </c>
      <c r="O46" s="933" t="str">
        <f>RSD_Commodities!$N$30&amp;"_"&amp;RSD_Commodities!D17&amp;"_"&amp;SETUP!$C$67</f>
        <v>Residential Space Heating Detached-B3_Natural Gas to Residential_Existing 00</v>
      </c>
      <c r="P46" s="83" t="str">
        <f>RSD_Commodities!$C$17</f>
        <v>RSDGASNAT</v>
      </c>
      <c r="Q46" s="935" t="str">
        <f>RSD_Commodities!$M$30</f>
        <v>SH_Det-B3</v>
      </c>
      <c r="R46" s="1001">
        <f t="shared" si="35"/>
        <v>0.23567036890122967</v>
      </c>
      <c r="S46" s="937">
        <f>R46*DwellingStocks!$I$65/1000</f>
        <v>5.1162737292113087</v>
      </c>
      <c r="T46" s="66">
        <v>1</v>
      </c>
      <c r="U46" s="66">
        <f t="shared" si="31"/>
        <v>0.87628571428571433</v>
      </c>
      <c r="V46" s="935">
        <v>20</v>
      </c>
      <c r="W46" s="66">
        <v>1</v>
      </c>
      <c r="X46" s="840"/>
      <c r="Y46" s="920">
        <f t="shared" si="32"/>
        <v>0.15691171387778491</v>
      </c>
      <c r="Z46" s="921">
        <f t="shared" si="33"/>
        <v>0.17159075245777716</v>
      </c>
      <c r="AA46" s="840"/>
      <c r="AB46" s="941" t="s">
        <v>393</v>
      </c>
      <c r="AC46" s="935" t="str">
        <f t="shared" si="34"/>
        <v>SH_Det-B3_GASNAT_X0</v>
      </c>
      <c r="AD46" s="934" t="str">
        <f t="shared" si="34"/>
        <v>Residential Space Heating Detached-B3_Natural Gas to Residential_Existing 00</v>
      </c>
      <c r="AE46" s="935" t="s">
        <v>53</v>
      </c>
      <c r="AF46" s="942" t="s">
        <v>406</v>
      </c>
      <c r="AG46" s="840"/>
      <c r="AH46" s="840"/>
      <c r="AI46" s="840"/>
      <c r="AJ46" s="840"/>
      <c r="AK46" s="840"/>
      <c r="AL46" s="840"/>
      <c r="AM46" s="840"/>
      <c r="AN46" s="840"/>
    </row>
    <row r="47" spans="1:40">
      <c r="A47" s="758" t="s">
        <v>114</v>
      </c>
      <c r="B47" s="758" t="s">
        <v>585</v>
      </c>
      <c r="C47" s="758">
        <f>SUMIFS(INDEX(Table91517[],,MATCH(C$6,Table91517[#Headers],0)),Table91517[MainSpaceHeatingFuel],$B47,Table91517[EnergyRating (group)],$A47)</f>
        <v>3213577</v>
      </c>
      <c r="D47" s="759">
        <f>SUMIFS(INDEX(Table91517[],,MATCH(D$6,Table91517[#Headers],0)),Table91517[MainSpaceHeatingFuel],$B47,Table91517[EnergyRating (group)],$A47)</f>
        <v>2921435</v>
      </c>
      <c r="E47" s="759">
        <f>SUMIFS(INDEX(Table91517[],,MATCH(E$6,Table91517[#Headers],0)),Table91517[MainSpaceHeatingFuel],$B47,Table91517[EnergyRating (group)],$A47)</f>
        <v>543733</v>
      </c>
      <c r="F47" s="758">
        <f>SUMIFS(INDEX(Table91517[],,MATCH(F$6,Table91517[#Headers],0)),Table91517[MainSpaceHeatingFuel],$B47,Table91517[EnergyRating (group)],$A47)</f>
        <v>488445</v>
      </c>
      <c r="G47" s="758">
        <f>SUMIFS(INDEX(Table91517[],,MATCH(G$6,Table91517[#Headers],0)),Table91517[MainSpaceHeatingFuel],$B47,Table91517[EnergyRating (group)],$A47)</f>
        <v>152</v>
      </c>
      <c r="H47" s="911">
        <f>SUMIFS(INDEX(Table91517[],,MATCH(H$6,Table91517[#Headers],0)),Table91517[MainSpaceHeatingFuel],$B47,Table91517[EnergyRating (group)],$A47)</f>
        <v>36087</v>
      </c>
      <c r="I47" s="911">
        <f>AVERAGEIFS(INDEX(Table91517[],,MATCH(I$6,Table91517[#Headers],0)),Table91517[MainSpaceHeatingFuel],$B47,Table91517[EnergyRating (group)],$A47)</f>
        <v>81.870967741935488</v>
      </c>
      <c r="J47" s="849">
        <f>SUMIFS(INDEX(Table91517[],,MATCH(J$6,Table91517[#Headers],0)),Table91517[MainSpaceHeatingFuel],$B47,Table91517[EnergyRating (group)],$A47)</f>
        <v>5385718</v>
      </c>
      <c r="K47" s="870">
        <f>SUMIFS(INDEX(Table91517[],,MATCH(K$6,Table91517[#Headers],0)),Table91517[MainSpaceHeatingFuel],$B47,Table91517[EnergyRating (group)],$A47)</f>
        <v>4447057</v>
      </c>
      <c r="M47" s="840"/>
      <c r="N47" s="914" t="str">
        <f>RSD_Commodities!$M$30&amp;"_"&amp;RIGHT(P47,LEN(P47)-3)&amp;"_"&amp;SETUP!$B$67</f>
        <v>SH_Det-B3_BIOWOO_X0</v>
      </c>
      <c r="O47" s="914" t="str">
        <f>RSD_Commodities!$N$30&amp;"_"&amp;RSD_Commodities!D19&amp;"_"&amp;SETUP!$C$67</f>
        <v>Residential Space Heating Detached-B3_Biomass &amp; Renewable Waste to Residential_Existing 00</v>
      </c>
      <c r="P47" s="915" t="str">
        <f>RSD_Commodities!$C$19</f>
        <v>RSDBIOWOO</v>
      </c>
      <c r="Q47" s="930" t="str">
        <f>RSD_Commodities!$M$30</f>
        <v>SH_Det-B3</v>
      </c>
      <c r="R47" s="1000">
        <f t="shared" si="35"/>
        <v>7.5366917889726302E-3</v>
      </c>
      <c r="S47" s="932">
        <f>R47*DwellingStocks!$I$65/1000</f>
        <v>0.16361742201559418</v>
      </c>
      <c r="T47" s="914">
        <v>1</v>
      </c>
      <c r="U47" s="914">
        <f t="shared" si="31"/>
        <v>0.81870967741935485</v>
      </c>
      <c r="V47" s="930">
        <v>20</v>
      </c>
      <c r="W47" s="914">
        <v>1</v>
      </c>
      <c r="X47" s="840"/>
      <c r="Y47" s="922">
        <f t="shared" si="32"/>
        <v>2.292804554722744E-4</v>
      </c>
      <c r="Z47" s="923">
        <f t="shared" si="33"/>
        <v>2.5264166133427902E-4</v>
      </c>
      <c r="AA47" s="840"/>
      <c r="AB47" s="939" t="s">
        <v>393</v>
      </c>
      <c r="AC47" s="930" t="str">
        <f t="shared" si="34"/>
        <v>SH_Det-B3_BIOWOO_X0</v>
      </c>
      <c r="AD47" s="915" t="str">
        <f t="shared" si="34"/>
        <v>Residential Space Heating Detached-B3_Biomass &amp; Renewable Waste to Residential_Existing 00</v>
      </c>
      <c r="AE47" s="930" t="s">
        <v>53</v>
      </c>
      <c r="AF47" s="940" t="s">
        <v>406</v>
      </c>
      <c r="AG47" s="930"/>
      <c r="AH47" s="930"/>
      <c r="AI47" s="840"/>
      <c r="AJ47" s="840"/>
      <c r="AK47" s="840"/>
      <c r="AL47" s="840"/>
      <c r="AM47" s="840"/>
      <c r="AN47" s="840"/>
    </row>
    <row r="48" spans="1:40">
      <c r="A48" s="757" t="s">
        <v>114</v>
      </c>
      <c r="B48" s="757" t="s">
        <v>587</v>
      </c>
      <c r="C48" s="757">
        <f>SUMIFS(INDEX(Table91517[],,MATCH(C$6,Table91517[#Headers],0)),Table91517[MainSpaceHeatingFuel],$B48,Table91517[EnergyRating (group)],$A48)</f>
        <v>0</v>
      </c>
      <c r="D48" s="757">
        <f>SUMIFS(INDEX(Table91517[],,MATCH(D$6,Table91517[#Headers],0)),Table91517[MainSpaceHeatingFuel],$B48,Table91517[EnergyRating (group)],$A48)</f>
        <v>0</v>
      </c>
      <c r="E48" s="757">
        <f>SUMIFS(INDEX(Table91517[],,MATCH(E$6,Table91517[#Headers],0)),Table91517[MainSpaceHeatingFuel],$B48,Table91517[EnergyRating (group)],$A48)</f>
        <v>0</v>
      </c>
      <c r="F48" s="757">
        <f>SUMIFS(INDEX(Table91517[],,MATCH(F$6,Table91517[#Headers],0)),Table91517[MainSpaceHeatingFuel],$B48,Table91517[EnergyRating (group)],$A48)</f>
        <v>0</v>
      </c>
      <c r="G48" s="757">
        <f>SUMIFS(INDEX(Table91517[],,MATCH(G$6,Table91517[#Headers],0)),Table91517[MainSpaceHeatingFuel],"",Table91517[EnergyRating (group)],$A48)</f>
        <v>14</v>
      </c>
      <c r="H48" s="912">
        <f>SUMIFS(INDEX(Table91517[],,MATCH(H$6,Table91517[#Headers],0)),Table91517[MainSpaceHeatingFuel],"",Table91517[EnergyRating (group)],$A48)</f>
        <v>2402</v>
      </c>
      <c r="I48" s="913">
        <f>SUMIFS(INDEX(Table91517[],,MATCH(I$6,Table91517[#Headers],0)),Table91517[MainSpaceHeatingFuel],"",Table91517[EnergyRating (group)],$A48)</f>
        <v>0</v>
      </c>
      <c r="J48" s="847">
        <f>SUMIFS(INDEX(Table91517[],,MATCH(J$6,Table91517[#Headers],0)),Table91517[MainSpaceHeatingFuel],"",Table91517[EnergyRating (group)],$A48)</f>
        <v>49602</v>
      </c>
      <c r="K48" s="869">
        <f>SUMIFS(INDEX(Table91517[],,MATCH(K$6,Table91517[#Headers],0)),Table91517[MainSpaceHeatingFuel],"",Table91517[EnergyRating (group)],$A48)</f>
        <v>18371</v>
      </c>
      <c r="M48" s="840"/>
      <c r="N48" s="66" t="str">
        <f>RSD_Commodities!$M$30&amp;"_"&amp;RIGHT(P48,LEN(P48)-3)&amp;"_"&amp;SETUP!$B$67</f>
        <v>SH_Det-B3_HET_X0</v>
      </c>
      <c r="O48" s="933" t="str">
        <f>RSD_Commodities!$N$30&amp;"_"&amp;RSD_Commodities!D28&amp;"_"&amp;SETUP!$C$67</f>
        <v>Residential Space Heating Detached-B3_Heat to Residential_Existing 00</v>
      </c>
      <c r="P48" s="83" t="str">
        <f>RSD_Commodities!$C$28</f>
        <v>RSDHET</v>
      </c>
      <c r="Q48" s="935" t="str">
        <f>RSD_Commodities!$M$30</f>
        <v>SH_Det-B3</v>
      </c>
      <c r="R48" s="1001">
        <f t="shared" si="35"/>
        <v>6.9416898056326849E-4</v>
      </c>
      <c r="S48" s="937">
        <f>R48*DwellingStocks!$I$65/1000</f>
        <v>1.5070025711962618E-2</v>
      </c>
      <c r="T48" s="66">
        <v>1</v>
      </c>
      <c r="U48" s="917">
        <f>IF(I48=0, 1, I48)</f>
        <v>1</v>
      </c>
      <c r="V48" s="935">
        <v>20</v>
      </c>
      <c r="W48" s="66">
        <v>1</v>
      </c>
      <c r="X48" s="840"/>
      <c r="Y48" s="920">
        <f t="shared" si="32"/>
        <v>0</v>
      </c>
      <c r="Z48" s="921">
        <f t="shared" si="33"/>
        <v>0</v>
      </c>
      <c r="AA48" s="840"/>
      <c r="AB48" s="941" t="s">
        <v>393</v>
      </c>
      <c r="AC48" s="935" t="str">
        <f t="shared" si="34"/>
        <v>SH_Det-B3_HET_X0</v>
      </c>
      <c r="AD48" s="934" t="str">
        <f t="shared" si="34"/>
        <v>Residential Space Heating Detached-B3_Heat to Residential_Existing 00</v>
      </c>
      <c r="AE48" s="935" t="s">
        <v>53</v>
      </c>
      <c r="AF48" s="942" t="s">
        <v>406</v>
      </c>
      <c r="AG48" s="840"/>
      <c r="AH48" s="840"/>
      <c r="AI48" s="840"/>
      <c r="AJ48" s="840"/>
      <c r="AK48" s="840"/>
      <c r="AL48" s="840"/>
      <c r="AM48" s="840"/>
      <c r="AN48" s="840"/>
    </row>
    <row r="49" spans="1:40">
      <c r="A49" s="758" t="s">
        <v>114</v>
      </c>
      <c r="B49" s="758" t="s">
        <v>664</v>
      </c>
      <c r="C49" s="758">
        <f>SUMIFS(INDEX(Table91517[],,MATCH(C$6,Table91517[#Headers],0)),Table91517[MainSpaceHeatingFuel],$B49,Table91517[EnergyRating (group)],$A49)</f>
        <v>883664</v>
      </c>
      <c r="D49" s="759">
        <f>SUMIFS(INDEX(Table91517[],,MATCH(D$6,Table91517[#Headers],0)),Table91517[MainSpaceHeatingFuel],$B49,Table91517[EnergyRating (group)],$A49)</f>
        <v>803327</v>
      </c>
      <c r="E49" s="759">
        <f>SUMIFS(INDEX(Table91517[],,MATCH(E$6,Table91517[#Headers],0)),Table91517[MainSpaceHeatingFuel],$B49,Table91517[EnergyRating (group)],$A49)</f>
        <v>163610</v>
      </c>
      <c r="F49" s="758">
        <f>SUMIFS(INDEX(Table91517[],,MATCH(F$6,Table91517[#Headers],0)),Table91517[MainSpaceHeatingFuel],$B49,Table91517[EnergyRating (group)],$A49)</f>
        <v>146465</v>
      </c>
      <c r="G49" s="758">
        <f>SUMIFS(INDEX(Table91517[],,MATCH(G$6,Table91517[#Headers],0)),Table91517[MainSpaceHeatingFuel],$B49,Table91517[EnergyRating (group)],$A49)</f>
        <v>43</v>
      </c>
      <c r="H49" s="911">
        <f>SUMIFS(INDEX(Table91517[],,MATCH(H$6,Table91517[#Headers],0)),Table91517[MainSpaceHeatingFuel],$B49,Table91517[EnergyRating (group)],$A49)</f>
        <v>10152</v>
      </c>
      <c r="I49" s="911">
        <f>AVERAGEIFS(INDEX(Table91517[],,MATCH(I$6,Table91517[#Headers],0)),Table91517[MainSpaceHeatingFuel],$B49,Table91517[EnergyRating (group)],$A49)</f>
        <v>89.045454545454547</v>
      </c>
      <c r="J49" s="849">
        <f>SUMIFS(INDEX(Table91517[],,MATCH(J$6,Table91517[#Headers],0)),Table91517[MainSpaceHeatingFuel],$B49,Table91517[EnergyRating (group)],$A49)</f>
        <v>1522810</v>
      </c>
      <c r="K49" s="870">
        <f>SUMIFS(INDEX(Table91517[],,MATCH(K$6,Table91517[#Headers],0)),Table91517[MainSpaceHeatingFuel],$B49,Table91517[EnergyRating (group)],$A49)</f>
        <v>1257609</v>
      </c>
      <c r="M49" s="840"/>
      <c r="N49" s="914" t="str">
        <f>RSD_Commodities!$M$30&amp;"_"&amp;RIGHT(P49,LEN(P49)-3)&amp;"_"&amp;SETUP!$B$68</f>
        <v>SH_Det-B3_OILLPG_X1</v>
      </c>
      <c r="O49" s="914" t="str">
        <f>RSD_Commodities!$N$30&amp;"_"&amp;RSD_Commodities!D11&amp;"_"&amp;SETUP!$C$68</f>
        <v>Residential Space Heating Detached-B3_LPG to Residential_Existing 01</v>
      </c>
      <c r="P49" s="915" t="str">
        <f>RSD_Commodities!$C$11</f>
        <v>RSDOILLPG</v>
      </c>
      <c r="Q49" s="930" t="str">
        <f>RSD_Commodities!$M$30</f>
        <v>SH_Det-B3</v>
      </c>
      <c r="R49" s="1000">
        <f t="shared" si="35"/>
        <v>2.1320904403014677E-3</v>
      </c>
      <c r="S49" s="932">
        <f>R49*DwellingStocks!$I$65/1000</f>
        <v>4.6286507543885184E-2</v>
      </c>
      <c r="T49" s="914">
        <v>1</v>
      </c>
      <c r="U49" s="914">
        <f t="shared" si="31"/>
        <v>0.8904545454545455</v>
      </c>
      <c r="V49" s="930">
        <v>20</v>
      </c>
      <c r="W49" s="914">
        <v>1</v>
      </c>
      <c r="X49" s="840"/>
      <c r="Y49" s="922">
        <f t="shared" ref="Y49:Y55" si="36">ABS((D49+F49)*S49*1000*$B$2)</f>
        <v>1.8066803249228138E-5</v>
      </c>
      <c r="Z49" s="923">
        <f t="shared" ref="Z49:Z55" si="37">ABS((C49+E49)*S49*1000*$B$2)</f>
        <v>1.9921091466375955E-5</v>
      </c>
      <c r="AA49" s="840"/>
      <c r="AB49" s="939" t="s">
        <v>393</v>
      </c>
      <c r="AC49" s="930" t="str">
        <f t="shared" si="34"/>
        <v>SH_Det-B3_OILLPG_X1</v>
      </c>
      <c r="AD49" s="915" t="str">
        <f t="shared" si="34"/>
        <v>Residential Space Heating Detached-B3_LPG to Residential_Existing 01</v>
      </c>
      <c r="AE49" s="930" t="s">
        <v>53</v>
      </c>
      <c r="AF49" s="940" t="s">
        <v>406</v>
      </c>
      <c r="AG49" s="930"/>
      <c r="AH49" s="930"/>
      <c r="AI49" s="840"/>
      <c r="AJ49" s="840"/>
      <c r="AK49" s="840"/>
      <c r="AL49" s="840"/>
      <c r="AM49" s="840"/>
      <c r="AN49" s="840"/>
    </row>
    <row r="50" spans="1:40">
      <c r="A50" s="757" t="s">
        <v>114</v>
      </c>
      <c r="B50" s="757" t="s">
        <v>665</v>
      </c>
      <c r="C50" s="757">
        <f>SUMIFS(INDEX(Table91517[],,MATCH(C$6,Table91517[#Headers],0)),Table91517[MainSpaceHeatingFuel],$B50,Table91517[EnergyRating (group)],$A50)</f>
        <v>381113</v>
      </c>
      <c r="D50" s="760">
        <f>SUMIFS(INDEX(Table91517[],,MATCH(D$6,Table91517[#Headers],0)),Table91517[MainSpaceHeatingFuel],$B50,Table91517[EnergyRating (group)],$A50)</f>
        <v>346469</v>
      </c>
      <c r="E50" s="760">
        <f>SUMIFS(INDEX(Table91517[],,MATCH(E$6,Table91517[#Headers],0)),Table91517[MainSpaceHeatingFuel],$B50,Table91517[EnergyRating (group)],$A50)</f>
        <v>39971</v>
      </c>
      <c r="F50" s="757">
        <f>SUMIFS(INDEX(Table91517[],,MATCH(F$6,Table91517[#Headers],0)),Table91517[MainSpaceHeatingFuel],$B50,Table91517[EnergyRating (group)],$A50)</f>
        <v>33685</v>
      </c>
      <c r="G50" s="757">
        <f>SUMIFS(INDEX(Table91517[],,MATCH(G$6,Table91517[#Headers],0)),Table91517[MainSpaceHeatingFuel],$B50,Table91517[EnergyRating (group)],$A50)</f>
        <v>17</v>
      </c>
      <c r="H50" s="912">
        <f>SUMIFS(INDEX(Table91517[],,MATCH(H$6,Table91517[#Headers],0)),Table91517[MainSpaceHeatingFuel],$B50,Table91517[EnergyRating (group)],$A50)</f>
        <v>3988</v>
      </c>
      <c r="I50" s="912">
        <f>AVERAGEIFS(INDEX(Table91517[],,MATCH(I$6,Table91517[#Headers],0)),Table91517[MainSpaceHeatingFuel],$B50,Table91517[EnergyRating (group)],$A50)</f>
        <v>70.142857142857139</v>
      </c>
      <c r="J50" s="847">
        <f>SUMIFS(INDEX(Table91517[],,MATCH(J$6,Table91517[#Headers],0)),Table91517[MainSpaceHeatingFuel],$B50,Table91517[EnergyRating (group)],$A50)</f>
        <v>605324</v>
      </c>
      <c r="K50" s="869">
        <f>SUMIFS(INDEX(Table91517[],,MATCH(K$6,Table91517[#Headers],0)),Table91517[MainSpaceHeatingFuel],$B50,Table91517[EnergyRating (group)],$A50)</f>
        <v>478193</v>
      </c>
      <c r="M50" s="840"/>
      <c r="N50" s="66" t="str">
        <f>RSD_Commodities!$M$30&amp;"_"&amp;RSD_Commodities!$C$26&amp;"_"&amp;SETUP!$B$67</f>
        <v>SH_Det-B3_RSDSMF_X0</v>
      </c>
      <c r="O50" s="933" t="str">
        <f>RSD_Commodities!$N$30&amp;"_"&amp;RSD_Commodities!$D$26&amp;"_"&amp;SETUP!$C$67</f>
        <v>Residential Space Heating Detached-B3_Solid Multi-Fuel_Existing 00</v>
      </c>
      <c r="P50" s="83" t="str">
        <f>RSD_Commodities!$C$6&amp;","&amp;RSD_Commodities!$C$7&amp;","&amp;RSD_Commodities!$C$9&amp;","&amp;RSD_Commodities!$C$10&amp;","&amp;RSD_Commodities!$C$19</f>
        <v>RSDCOABIT,RSDCOAHAR,RSDCOALIG,RSDPEA,RSDBIOWOO</v>
      </c>
      <c r="Q50" s="935" t="str">
        <f>RSD_Commodities!$M$30</f>
        <v>SH_Det-B3</v>
      </c>
      <c r="R50" s="1001">
        <f t="shared" si="35"/>
        <v>8.4291947639825464E-4</v>
      </c>
      <c r="S50" s="937">
        <f>R50*DwellingStocks!$I$65/1000</f>
        <v>1.8299316935954608E-2</v>
      </c>
      <c r="T50" s="66">
        <v>1</v>
      </c>
      <c r="U50" s="66">
        <f t="shared" si="31"/>
        <v>0.7014285714285714</v>
      </c>
      <c r="V50" s="935">
        <v>20</v>
      </c>
      <c r="W50" s="66">
        <v>1</v>
      </c>
      <c r="X50" s="840"/>
      <c r="Y50" s="920">
        <f t="shared" si="36"/>
        <v>2.85885967005653E-6</v>
      </c>
      <c r="Z50" s="921">
        <f t="shared" si="37"/>
        <v>3.1666642079422648E-6</v>
      </c>
      <c r="AA50" s="840"/>
      <c r="AB50" s="938" t="s">
        <v>393</v>
      </c>
      <c r="AC50" s="840" t="str">
        <f t="shared" si="34"/>
        <v>SH_Det-B3_RSDSMF_X0</v>
      </c>
      <c r="AD50" s="840" t="str">
        <f t="shared" si="34"/>
        <v>Residential Space Heating Detached-B3_Solid Multi-Fuel_Existing 00</v>
      </c>
      <c r="AE50" s="840" t="s">
        <v>53</v>
      </c>
      <c r="AF50" s="868" t="s">
        <v>406</v>
      </c>
      <c r="AG50" s="840"/>
      <c r="AH50" s="840"/>
      <c r="AI50" s="840"/>
      <c r="AJ50" s="840"/>
      <c r="AK50" s="840"/>
      <c r="AL50" s="840"/>
      <c r="AM50" s="840"/>
      <c r="AN50" s="840"/>
    </row>
    <row r="51" spans="1:40">
      <c r="A51" s="758" t="s">
        <v>114</v>
      </c>
      <c r="B51" s="758" t="s">
        <v>669</v>
      </c>
      <c r="C51" s="758">
        <f>SUMIFS(INDEX(Table91517[],,MATCH(C$6,Table91517[#Headers],0)),Table91517[MainSpaceHeatingFuel],$B51,Table91517[EnergyRating (group)],$A51)</f>
        <v>56833</v>
      </c>
      <c r="D51" s="759">
        <f>SUMIFS(INDEX(Table91517[],,MATCH(D$6,Table91517[#Headers],0)),Table91517[MainSpaceHeatingFuel],$B51,Table91517[EnergyRating (group)],$A51)</f>
        <v>47361</v>
      </c>
      <c r="E51" s="759">
        <f>SUMIFS(INDEX(Table91517[],,MATCH(E$6,Table91517[#Headers],0)),Table91517[MainSpaceHeatingFuel],$B51,Table91517[EnergyRating (group)],$A51)</f>
        <v>0</v>
      </c>
      <c r="F51" s="758">
        <f>SUMIFS(INDEX(Table91517[],,MATCH(F$6,Table91517[#Headers],0)),Table91517[MainSpaceHeatingFuel],$B51,Table91517[EnergyRating (group)],$A51)</f>
        <v>0</v>
      </c>
      <c r="G51" s="758">
        <f>SUMIFS(INDEX(Table91517[],,MATCH(G$6,Table91517[#Headers],0)),Table91517[MainSpaceHeatingFuel],$B51,Table91517[EnergyRating (group)],$A51)</f>
        <v>2</v>
      </c>
      <c r="H51" s="911">
        <f>SUMIFS(INDEX(Table91517[],,MATCH(H$6,Table91517[#Headers],0)),Table91517[MainSpaceHeatingFuel],$B51,Table91517[EnergyRating (group)],$A51)</f>
        <v>572</v>
      </c>
      <c r="I51" s="911">
        <f>AVERAGEIFS(INDEX(Table91517[],,MATCH(I$6,Table91517[#Headers],0)),Table91517[MainSpaceHeatingFuel],$B51,Table91517[EnergyRating (group)],$A51)</f>
        <v>77.5</v>
      </c>
      <c r="J51" s="849">
        <f>SUMIFS(INDEX(Table91517[],,MATCH(J$6,Table91517[#Headers],0)),Table91517[MainSpaceHeatingFuel],$B51,Table91517[EnergyRating (group)],$A51)</f>
        <v>89269</v>
      </c>
      <c r="K51" s="870">
        <f>SUMIFS(INDEX(Table91517[],,MATCH(K$6,Table91517[#Headers],0)),Table91517[MainSpaceHeatingFuel],$B51,Table91517[EnergyRating (group)],$A51)</f>
        <v>63993</v>
      </c>
      <c r="M51" s="840"/>
      <c r="N51" s="914" t="str">
        <f>RSD_Commodities!$M$30&amp;"_"&amp;RIGHT(P51,LEN(P51)-3)&amp;"_"&amp;SETUP!$B$67</f>
        <v>SH_Det-B3_COAHAR_X0</v>
      </c>
      <c r="O51" s="914" t="str">
        <f>RSD_Commodities!$N$30&amp;"_"&amp;RSD_Commodities!D7&amp;"_"&amp;SETUP!$C$67</f>
        <v>Residential Space Heating Detached-B3_Anthracite + Manufactured Ovoids to Residential_Existing 00</v>
      </c>
      <c r="P51" s="915" t="str">
        <f>RSD_Commodities!$C$7</f>
        <v>RSDCOAHAR</v>
      </c>
      <c r="Q51" s="930" t="str">
        <f>RSD_Commodities!$M$30</f>
        <v>SH_Det-B3</v>
      </c>
      <c r="R51" s="1000">
        <f t="shared" si="35"/>
        <v>9.9166997223324078E-5</v>
      </c>
      <c r="S51" s="932">
        <f>R51*DwellingStocks!$I$65/1000</f>
        <v>2.1528608159946598E-3</v>
      </c>
      <c r="T51" s="914">
        <v>1</v>
      </c>
      <c r="U51" s="914">
        <f t="shared" si="31"/>
        <v>0.77500000000000002</v>
      </c>
      <c r="V51" s="930">
        <v>20</v>
      </c>
      <c r="W51" s="914">
        <v>1</v>
      </c>
      <c r="X51" s="840"/>
      <c r="Y51" s="922">
        <f t="shared" si="36"/>
        <v>4.1902044290269768E-8</v>
      </c>
      <c r="Z51" s="923">
        <f t="shared" si="37"/>
        <v>5.0282276200859386E-8</v>
      </c>
      <c r="AA51" s="840"/>
      <c r="AB51" s="939" t="s">
        <v>393</v>
      </c>
      <c r="AC51" s="930" t="str">
        <f t="shared" si="34"/>
        <v>SH_Det-B3_COAHAR_X0</v>
      </c>
      <c r="AD51" s="915" t="str">
        <f t="shared" si="34"/>
        <v>Residential Space Heating Detached-B3_Anthracite + Manufactured Ovoids to Residential_Existing 00</v>
      </c>
      <c r="AE51" s="930" t="s">
        <v>53</v>
      </c>
      <c r="AF51" s="940" t="s">
        <v>406</v>
      </c>
      <c r="AG51" s="930"/>
      <c r="AH51" s="930"/>
      <c r="AI51" s="840"/>
      <c r="AJ51" s="840"/>
      <c r="AK51" s="840"/>
      <c r="AL51" s="840"/>
      <c r="AM51" s="840"/>
      <c r="AN51" s="840"/>
    </row>
    <row r="52" spans="1:40">
      <c r="A52" s="757" t="s">
        <v>114</v>
      </c>
      <c r="B52" s="1057" t="s">
        <v>722</v>
      </c>
      <c r="C52" s="757">
        <f>SUMIFS(INDEX(Table91517[],,MATCH(C$6,Table91517[#Headers],0)),Table91517[MainSpaceHeatingFuel],$B52,Table91517[EnergyRating (group)],$A52)</f>
        <v>143546</v>
      </c>
      <c r="D52" s="757">
        <f>SUMIFS(INDEX(Table91517[],,MATCH(D$6,Table91517[#Headers],0)),Table91517[MainSpaceHeatingFuel],$B52,Table91517[EnergyRating (group)],$A52)</f>
        <v>130497</v>
      </c>
      <c r="E52" s="757">
        <f>SUMIFS(INDEX(Table91517[],,MATCH(E$6,Table91517[#Headers],0)),Table91517[MainSpaceHeatingFuel],$B52,Table91517[EnergyRating (group)],$A52)</f>
        <v>19098</v>
      </c>
      <c r="F52" s="757">
        <f>SUMIFS(INDEX(Table91517[],,MATCH(F$6,Table91517[#Headers],0)),Table91517[MainSpaceHeatingFuel],$B52,Table91517[EnergyRating (group)],$A52)</f>
        <v>17361</v>
      </c>
      <c r="G52" s="757">
        <f>SUMIFS(INDEX(Table91517[],,MATCH(G$6,Table91517[#Headers],0)),Table91517[MainSpaceHeatingFuel],$B52,Table91517[EnergyRating (group)],$A52)</f>
        <v>6</v>
      </c>
      <c r="H52" s="912">
        <f>SUMIFS(INDEX(Table91517[],,MATCH(H$6,Table91517[#Headers],0)),Table91517[MainSpaceHeatingFuel],$B52,Table91517[EnergyRating (group)],$A52)</f>
        <v>1729</v>
      </c>
      <c r="I52" s="912">
        <f>AVERAGEIFS(INDEX(Table91517[],,MATCH(I$6,Table91517[#Headers],0)),Table91517[MainSpaceHeatingFuel],$B52,Table91517[EnergyRating (group)],$A52)</f>
        <v>83.333333333333329</v>
      </c>
      <c r="J52" s="847">
        <f>SUMIFS(INDEX(Table91517[],,MATCH(J$6,Table91517[#Headers],0)),Table91517[MainSpaceHeatingFuel],$B52,Table91517[EnergyRating (group)],$A52)</f>
        <v>236035</v>
      </c>
      <c r="K52" s="869">
        <f>SUMIFS(INDEX(Table91517[],,MATCH(K$6,Table91517[#Headers],0)),Table91517[MainSpaceHeatingFuel],$B52,Table91517[EnergyRating (group)],$A52)</f>
        <v>194347</v>
      </c>
      <c r="M52" s="840"/>
      <c r="N52" s="66" t="str">
        <f>RSD_Commodities!$M$30&amp;"_"&amp;RIGHT(P52,LEN(P52)-3)&amp;"_"&amp;SETUP!$B$68</f>
        <v>SH_Det-B3_BIOWOO_X1</v>
      </c>
      <c r="O52" s="933" t="str">
        <f>RSD_Commodities!$N$30&amp;"_"&amp;RSD_Commodities!D19&amp;"_"&amp;SETUP!$C$68</f>
        <v>Residential Space Heating Detached-B3_Biomass &amp; Renewable Waste to Residential_Existing 01</v>
      </c>
      <c r="P52" s="83" t="str">
        <f>RSD_Commodities!$C$19</f>
        <v>RSDBIOWOO</v>
      </c>
      <c r="Q52" s="935" t="str">
        <f>RSD_Commodities!$M$30</f>
        <v>SH_Det-B3</v>
      </c>
      <c r="R52" s="1001">
        <f t="shared" si="35"/>
        <v>2.9750099166997223E-4</v>
      </c>
      <c r="S52" s="937">
        <f>R52*DwellingStocks!$I$65/1000</f>
        <v>6.4585824479839798E-3</v>
      </c>
      <c r="T52" s="66">
        <v>1</v>
      </c>
      <c r="U52" s="66">
        <f t="shared" si="31"/>
        <v>0.83333333333333326</v>
      </c>
      <c r="V52" s="935">
        <v>20</v>
      </c>
      <c r="W52" s="66">
        <v>1</v>
      </c>
      <c r="X52" s="840"/>
      <c r="Y52" s="920">
        <f t="shared" si="36"/>
        <v>3.9244647270986937E-7</v>
      </c>
      <c r="Z52" s="921">
        <f t="shared" si="37"/>
        <v>4.3169165082324924E-7</v>
      </c>
      <c r="AA52" s="840"/>
      <c r="AB52" s="938" t="s">
        <v>393</v>
      </c>
      <c r="AC52" s="840" t="str">
        <f t="shared" si="34"/>
        <v>SH_Det-B3_BIOWOO_X1</v>
      </c>
      <c r="AD52" s="840" t="str">
        <f t="shared" si="34"/>
        <v>Residential Space Heating Detached-B3_Biomass &amp; Renewable Waste to Residential_Existing 01</v>
      </c>
      <c r="AE52" s="840" t="s">
        <v>53</v>
      </c>
      <c r="AF52" s="868" t="s">
        <v>406</v>
      </c>
      <c r="AG52" s="840"/>
      <c r="AH52" s="840"/>
      <c r="AI52" s="840"/>
      <c r="AJ52" s="840"/>
      <c r="AK52" s="840"/>
      <c r="AL52" s="840"/>
      <c r="AM52" s="840"/>
      <c r="AN52" s="840"/>
    </row>
    <row r="53" spans="1:40">
      <c r="A53" s="758" t="s">
        <v>114</v>
      </c>
      <c r="B53" s="758" t="s">
        <v>668</v>
      </c>
      <c r="C53" s="758">
        <f>SUMIFS(INDEX(Table91517[],,MATCH(C$6,Table91517[#Headers],0)),Table91517[MainSpaceHeatingFuel],$B53,Table91517[EnergyRating (group)],$A53)</f>
        <v>20736</v>
      </c>
      <c r="D53" s="759">
        <f>SUMIFS(INDEX(Table91517[],,MATCH(D$6,Table91517[#Headers],0)),Table91517[MainSpaceHeatingFuel],$B53,Table91517[EnergyRating (group)],$A53)</f>
        <v>18850</v>
      </c>
      <c r="E53" s="759">
        <f>SUMIFS(INDEX(Table91517[],,MATCH(E$6,Table91517[#Headers],0)),Table91517[MainSpaceHeatingFuel],$B53,Table91517[EnergyRating (group)],$A53)</f>
        <v>2803</v>
      </c>
      <c r="F53" s="758">
        <f>SUMIFS(INDEX(Table91517[],,MATCH(F$6,Table91517[#Headers],0)),Table91517[MainSpaceHeatingFuel],$B53,Table91517[EnergyRating (group)],$A53)</f>
        <v>2548</v>
      </c>
      <c r="G53" s="758">
        <f>SUMIFS(INDEX(Table91517[],,MATCH(G$6,Table91517[#Headers],0)),Table91517[MainSpaceHeatingFuel],$B53,Table91517[EnergyRating (group)],$A53)</f>
        <v>2</v>
      </c>
      <c r="H53" s="911">
        <f>SUMIFS(INDEX(Table91517[],,MATCH(H$6,Table91517[#Headers],0)),Table91517[MainSpaceHeatingFuel],$B53,Table91517[EnergyRating (group)],$A53)</f>
        <v>327</v>
      </c>
      <c r="I53" s="911">
        <f>AVERAGEIFS(INDEX(Table91517[],,MATCH(I$6,Table91517[#Headers],0)),Table91517[MainSpaceHeatingFuel],$B53,Table91517[EnergyRating (group)],$A53)</f>
        <v>75.5</v>
      </c>
      <c r="J53" s="849">
        <f>SUMIFS(INDEX(Table91517[],,MATCH(J$6,Table91517[#Headers],0)),Table91517[MainSpaceHeatingFuel],$B53,Table91517[EnergyRating (group)],$A53)</f>
        <v>46151</v>
      </c>
      <c r="K53" s="870">
        <f>SUMIFS(INDEX(Table91517[],,MATCH(K$6,Table91517[#Headers],0)),Table91517[MainSpaceHeatingFuel],$B53,Table91517[EnergyRating (group)],$A53)</f>
        <v>38340</v>
      </c>
      <c r="M53" s="840"/>
      <c r="N53" s="914" t="str">
        <f>RSD_Commodities!$M$30&amp;"_"&amp;RIGHT(P53,LEN(P53)-3)&amp;"_"&amp;SETUP!$B$69</f>
        <v>SH_Det-B3_BIOWOO_X2</v>
      </c>
      <c r="O53" s="914" t="str">
        <f>RSD_Commodities!$N$30&amp;"_"&amp;RSD_Commodities!D19&amp;"_"&amp;SETUP!$C$69</f>
        <v>Residential Space Heating Detached-B3_Biomass &amp; Renewable Waste to Residential_Existing 02</v>
      </c>
      <c r="P53" s="915" t="str">
        <f>RSD_Commodities!$C$19</f>
        <v>RSDBIOWOO</v>
      </c>
      <c r="Q53" s="930" t="str">
        <f>RSD_Commodities!$M$30</f>
        <v>SH_Det-B3</v>
      </c>
      <c r="R53" s="1000">
        <f t="shared" si="35"/>
        <v>9.9166997223324078E-5</v>
      </c>
      <c r="S53" s="932">
        <f>R53*DwellingStocks!$I$65/1000</f>
        <v>2.1528608159946598E-3</v>
      </c>
      <c r="T53" s="914">
        <v>1</v>
      </c>
      <c r="U53" s="914">
        <f t="shared" si="31"/>
        <v>0.755</v>
      </c>
      <c r="V53" s="930">
        <v>20</v>
      </c>
      <c r="W53" s="914">
        <v>1</v>
      </c>
      <c r="X53" s="840"/>
      <c r="Y53" s="922">
        <f t="shared" si="36"/>
        <v>1.8931609208487837E-8</v>
      </c>
      <c r="Z53" s="923">
        <f t="shared" si="37"/>
        <v>2.0825831814122594E-8</v>
      </c>
      <c r="AA53" s="840"/>
      <c r="AB53" s="939" t="s">
        <v>393</v>
      </c>
      <c r="AC53" s="930" t="str">
        <f t="shared" si="34"/>
        <v>SH_Det-B3_BIOWOO_X2</v>
      </c>
      <c r="AD53" s="915" t="str">
        <f t="shared" si="34"/>
        <v>Residential Space Heating Detached-B3_Biomass &amp; Renewable Waste to Residential_Existing 02</v>
      </c>
      <c r="AE53" s="930" t="s">
        <v>53</v>
      </c>
      <c r="AF53" s="940" t="s">
        <v>406</v>
      </c>
      <c r="AG53" s="930"/>
      <c r="AH53" s="930"/>
      <c r="AI53" s="840"/>
      <c r="AJ53" s="840"/>
      <c r="AK53" s="840"/>
      <c r="AL53" s="840"/>
      <c r="AM53" s="840"/>
      <c r="AN53" s="840"/>
    </row>
    <row r="54" spans="1:40">
      <c r="A54" s="757" t="s">
        <v>114</v>
      </c>
      <c r="B54" s="757" t="s">
        <v>673</v>
      </c>
      <c r="C54" s="757">
        <f>SUMIFS(INDEX(Table91517[],,MATCH(C$6,Table91517[#Headers],0)),Table91517[MainSpaceHeatingFuel],$B54,Table91517[EnergyRating (group)],$A54)</f>
        <v>278570</v>
      </c>
      <c r="D54" s="757">
        <f>SUMIFS(INDEX(Table91517[],,MATCH(D$6,Table91517[#Headers],0)),Table91517[MainSpaceHeatingFuel],$B54,Table91517[EnergyRating (group)],$A54)</f>
        <v>253244</v>
      </c>
      <c r="E54" s="757">
        <f>SUMIFS(INDEX(Table91517[],,MATCH(E$6,Table91517[#Headers],0)),Table91517[MainSpaceHeatingFuel],$B54,Table91517[EnergyRating (group)],$A54)</f>
        <v>33135</v>
      </c>
      <c r="F54" s="757">
        <f>SUMIFS(INDEX(Table91517[],,MATCH(F$6,Table91517[#Headers],0)),Table91517[MainSpaceHeatingFuel],$B54,Table91517[EnergyRating (group)],$A54)</f>
        <v>29322</v>
      </c>
      <c r="G54" s="757">
        <f>SUMIFS(INDEX(Table91517[],,MATCH(G$6,Table91517[#Headers],0)),Table91517[MainSpaceHeatingFuel],$B54,Table91517[EnergyRating (group)],$A54)</f>
        <v>14</v>
      </c>
      <c r="H54" s="912">
        <f>SUMIFS(INDEX(Table91517[],,MATCH(H$6,Table91517[#Headers],0)),Table91517[MainSpaceHeatingFuel],$B54,Table91517[EnergyRating (group)],$A54)</f>
        <v>3047</v>
      </c>
      <c r="I54" s="912">
        <f>AVERAGEIFS(INDEX(Table91517[],,MATCH(I$6,Table91517[#Headers],0)),Table91517[MainSpaceHeatingFuel],$B54,Table91517[EnergyRating (group)],$A54)</f>
        <v>74.5</v>
      </c>
      <c r="J54" s="847">
        <f>SUMIFS(INDEX(Table91517[],,MATCH(J$6,Table91517[#Headers],0)),Table91517[MainSpaceHeatingFuel],$B54,Table91517[EnergyRating (group)],$A54)</f>
        <v>447724</v>
      </c>
      <c r="K54" s="869">
        <f>SUMIFS(INDEX(Table91517[],,MATCH(K$6,Table91517[#Headers],0)),Table91517[MainSpaceHeatingFuel],$B54,Table91517[EnergyRating (group)],$A54)</f>
        <v>359855</v>
      </c>
      <c r="M54" s="840"/>
      <c r="N54" s="66" t="str">
        <f>RSD_Commodities!$M$30&amp;"_"&amp;RIGHT(P54,LEN(P54)-3)&amp;"_"&amp;SETUP!$B$68</f>
        <v>SH_Det-B3_BIOWOO_X1</v>
      </c>
      <c r="O54" s="933" t="str">
        <f>RSD_Commodities!$N$30&amp;"_"&amp;RSD_Commodities!D19&amp;"_"&amp;SETUP!$C$68</f>
        <v>Residential Space Heating Detached-B3_Biomass &amp; Renewable Waste to Residential_Existing 01</v>
      </c>
      <c r="P54" s="83" t="str">
        <f>RSD_Commodities!$C$19</f>
        <v>RSDBIOWOO</v>
      </c>
      <c r="Q54" s="935" t="str">
        <f>RSD_Commodities!$M$30</f>
        <v>SH_Det-B3</v>
      </c>
      <c r="R54" s="1001">
        <f t="shared" si="35"/>
        <v>6.9416898056326849E-4</v>
      </c>
      <c r="S54" s="937">
        <f>R54*DwellingStocks!$I$65/1000</f>
        <v>1.5070025711962618E-2</v>
      </c>
      <c r="T54" s="66">
        <v>1</v>
      </c>
      <c r="U54" s="66">
        <f t="shared" si="31"/>
        <v>0.745</v>
      </c>
      <c r="V54" s="935">
        <v>20</v>
      </c>
      <c r="W54" s="66">
        <v>1</v>
      </c>
      <c r="X54" s="840"/>
      <c r="Y54" s="920">
        <f t="shared" si="36"/>
        <v>1.7499768021889435E-6</v>
      </c>
      <c r="Z54" s="921">
        <f t="shared" si="37"/>
        <v>1.9304393278961543E-6</v>
      </c>
      <c r="AA54" s="840"/>
      <c r="AB54" s="938" t="s">
        <v>393</v>
      </c>
      <c r="AC54" s="840" t="str">
        <f t="shared" si="34"/>
        <v>SH_Det-B3_BIOWOO_X1</v>
      </c>
      <c r="AD54" s="840" t="str">
        <f t="shared" si="34"/>
        <v>Residential Space Heating Detached-B3_Biomass &amp; Renewable Waste to Residential_Existing 01</v>
      </c>
      <c r="AE54" s="840" t="s">
        <v>53</v>
      </c>
      <c r="AF54" s="868" t="s">
        <v>406</v>
      </c>
      <c r="AG54" s="840"/>
      <c r="AH54" s="840"/>
      <c r="AI54" s="840"/>
      <c r="AJ54" s="840"/>
      <c r="AK54" s="840"/>
      <c r="AL54" s="840"/>
      <c r="AM54" s="840"/>
      <c r="AN54" s="840"/>
    </row>
    <row r="55" spans="1:40" ht="15.75" thickBot="1">
      <c r="A55" s="758" t="s">
        <v>114</v>
      </c>
      <c r="B55" s="758" t="s">
        <v>666</v>
      </c>
      <c r="C55" s="758">
        <f>SUMIFS(INDEX(Table91517[],,MATCH(C$6,Table91517[#Headers],0)),Table91517[MainSpaceHeatingFuel],$B55,Table91517[EnergyRating (group)],$A55)</f>
        <v>84211</v>
      </c>
      <c r="D55" s="759">
        <f>SUMIFS(INDEX(Table91517[],,MATCH(D$6,Table91517[#Headers],0)),Table91517[MainSpaceHeatingFuel],$B55,Table91517[EnergyRating (group)],$A55)</f>
        <v>76555</v>
      </c>
      <c r="E55" s="759">
        <f>SUMIFS(INDEX(Table91517[],,MATCH(E$6,Table91517[#Headers],0)),Table91517[MainSpaceHeatingFuel],$B55,Table91517[EnergyRating (group)],$A55)</f>
        <v>22311</v>
      </c>
      <c r="F55" s="758">
        <f>SUMIFS(INDEX(Table91517[],,MATCH(F$6,Table91517[#Headers],0)),Table91517[MainSpaceHeatingFuel],$B55,Table91517[EnergyRating (group)],$A55)</f>
        <v>17877</v>
      </c>
      <c r="G55" s="758">
        <f>SUMIFS(INDEX(Table91517[],,MATCH(G$6,Table91517[#Headers],0)),Table91517[MainSpaceHeatingFuel],$B55,Table91517[EnergyRating (group)],$A55)</f>
        <v>4</v>
      </c>
      <c r="H55" s="911">
        <f>SUMIFS(INDEX(Table91517[],,MATCH(H$6,Table91517[#Headers],0)),Table91517[MainSpaceHeatingFuel],$B55,Table91517[EnergyRating (group)],$A55)</f>
        <v>1081</v>
      </c>
      <c r="I55" s="911">
        <f>AVERAGEIFS(INDEX(Table91517[],,MATCH(I$6,Table91517[#Headers],0)),Table91517[MainSpaceHeatingFuel],$B55,Table91517[EnergyRating (group)],$A55)</f>
        <v>78.75</v>
      </c>
      <c r="J55" s="849">
        <f>SUMIFS(INDEX(Table91517[],,MATCH(J$6,Table91517[#Headers],0)),Table91517[MainSpaceHeatingFuel],$B55,Table91517[EnergyRating (group)],$A55)</f>
        <v>151790</v>
      </c>
      <c r="K55" s="870">
        <f>SUMIFS(INDEX(Table91517[],,MATCH(K$6,Table91517[#Headers],0)),Table91517[MainSpaceHeatingFuel],$B55,Table91517[EnergyRating (group)],$A55)</f>
        <v>126018</v>
      </c>
      <c r="M55" s="840"/>
      <c r="N55" s="914" t="str">
        <f>RSD_Commodities!$M$30&amp;"_"&amp;RIGHT(P55,LEN(P55)-3)&amp;"_"&amp;SETUP!$B$67</f>
        <v>SH_Det-B3_COABIT_X0</v>
      </c>
      <c r="O55" s="914" t="str">
        <f>RSD_Commodities!$N$30&amp;"_"&amp;RSD_Commodities!D6&amp;"_"&amp;SETUP!$C$67</f>
        <v>Residential Space Heating Detached-B3_Bituminous Coal to Residential_Existing 00</v>
      </c>
      <c r="P55" s="915" t="str">
        <f>RSD_Commodities!$C$6</f>
        <v>RSDCOABIT</v>
      </c>
      <c r="Q55" s="930" t="str">
        <f>RSD_Commodities!$M$30</f>
        <v>SH_Det-B3</v>
      </c>
      <c r="R55" s="1000">
        <f t="shared" si="35"/>
        <v>1.9833399444664816E-4</v>
      </c>
      <c r="S55" s="932">
        <f>R55*DwellingStocks!$I$65/1000</f>
        <v>4.3057216319893196E-3</v>
      </c>
      <c r="T55" s="914">
        <v>1</v>
      </c>
      <c r="U55" s="914">
        <f t="shared" ref="U55" si="38">I55/100</f>
        <v>0.78749999999999998</v>
      </c>
      <c r="V55" s="930">
        <v>20</v>
      </c>
      <c r="W55" s="914">
        <v>1</v>
      </c>
      <c r="X55" s="840"/>
      <c r="Y55" s="922">
        <f t="shared" si="36"/>
        <v>1.6709502951452691E-7</v>
      </c>
      <c r="Z55" s="923">
        <f t="shared" si="37"/>
        <v>1.8848797795182178E-7</v>
      </c>
      <c r="AA55" s="840"/>
      <c r="AB55" s="939" t="s">
        <v>393</v>
      </c>
      <c r="AC55" s="930" t="str">
        <f t="shared" ref="AC55" si="39">N55</f>
        <v>SH_Det-B3_COABIT_X0</v>
      </c>
      <c r="AD55" s="915" t="str">
        <f t="shared" ref="AD55" si="40">O55</f>
        <v>Residential Space Heating Detached-B3_Bituminous Coal to Residential_Existing 00</v>
      </c>
      <c r="AE55" s="930" t="s">
        <v>53</v>
      </c>
      <c r="AF55" s="940" t="s">
        <v>406</v>
      </c>
      <c r="AG55" s="930"/>
      <c r="AH55" s="930"/>
      <c r="AI55" s="840"/>
      <c r="AJ55" s="840"/>
      <c r="AK55" s="840"/>
      <c r="AL55" s="840"/>
      <c r="AM55" s="840"/>
      <c r="AN55" s="840"/>
    </row>
    <row r="56" spans="1:40" ht="15.75" thickBot="1">
      <c r="A56" s="756" t="s">
        <v>116</v>
      </c>
      <c r="B56" s="1048"/>
      <c r="C56" s="1049"/>
      <c r="D56" s="1049"/>
      <c r="E56" s="1049"/>
      <c r="F56" s="1049"/>
      <c r="G56" s="1049"/>
      <c r="H56" s="1049"/>
      <c r="I56" s="1053"/>
      <c r="J56" s="736" t="s">
        <v>565</v>
      </c>
      <c r="K56" s="737" t="s">
        <v>565</v>
      </c>
      <c r="M56" s="840"/>
      <c r="N56" s="76" t="str">
        <f>AB56</f>
        <v>*C Rating</v>
      </c>
      <c r="O56" s="76"/>
      <c r="P56" s="76"/>
      <c r="Q56" s="76"/>
      <c r="R56" s="949">
        <f>SUM(R57:R71)</f>
        <v>0.99995910396793763</v>
      </c>
      <c r="S56" s="76"/>
      <c r="T56" s="97"/>
      <c r="U56" s="76"/>
      <c r="V56" s="76"/>
      <c r="W56" s="76"/>
      <c r="X56" s="840"/>
      <c r="Y56" s="76"/>
      <c r="Z56" s="76"/>
      <c r="AA56" s="840"/>
      <c r="AB56" s="140" t="str">
        <f>"*"&amp; A57 &amp; " Rating"</f>
        <v>*C Rating</v>
      </c>
      <c r="AC56" s="141"/>
      <c r="AD56" s="141"/>
      <c r="AE56" s="141"/>
      <c r="AF56" s="141"/>
      <c r="AG56" s="141"/>
      <c r="AH56" s="141"/>
      <c r="AI56" s="840"/>
      <c r="AJ56" s="840"/>
      <c r="AK56" s="840"/>
      <c r="AL56" s="840"/>
      <c r="AM56" s="840"/>
      <c r="AN56" s="840"/>
    </row>
    <row r="57" spans="1:40">
      <c r="A57" s="757" t="s">
        <v>116</v>
      </c>
      <c r="B57" s="757" t="s">
        <v>582</v>
      </c>
      <c r="C57" s="757">
        <f>SUMIFS(INDEX(Table91517[],,MATCH(C$6,Table91517[#Headers],0)),Table91517[MainSpaceHeatingFuel],$B57,Table91517[EnergyRating (group)],$A57)</f>
        <v>45359187</v>
      </c>
      <c r="D57" s="757">
        <f>SUMIFS(INDEX(Table91517[],,MATCH(D$6,Table91517[#Headers],0)),Table91517[MainSpaceHeatingFuel],$B57,Table91517[EnergyRating (group)],$A57)</f>
        <v>41235619</v>
      </c>
      <c r="E57" s="757">
        <f>SUMIFS(INDEX(Table91517[],,MATCH(E$6,Table91517[#Headers],0)),Table91517[MainSpaceHeatingFuel],$B57,Table91517[EnergyRating (group)],$A57)</f>
        <v>10231659</v>
      </c>
      <c r="F57" s="757">
        <f>SUMIFS(INDEX(Table91517[],,MATCH(F$6,Table91517[#Headers],0)),Table91517[MainSpaceHeatingFuel],$B57,Table91517[EnergyRating (group)],$A57)</f>
        <v>9284064</v>
      </c>
      <c r="G57" s="757">
        <f>SUMIFS(INDEX(Table91517[],,MATCH(G$6,Table91517[#Headers],0)),Table91517[MainSpaceHeatingFuel],$B57,Table91517[EnergyRating (group)],$A57)</f>
        <v>2537</v>
      </c>
      <c r="H57" s="757">
        <f>SUMIFS(INDEX(Table91517[],,MATCH(H$6,Table91517[#Headers],0)),Table91517[MainSpaceHeatingFuel],$B57,Table91517[EnergyRating (group)],$A57)</f>
        <v>410761</v>
      </c>
      <c r="I57" s="912">
        <f>AVERAGEIFS(INDEX(Table91517[],,MATCH(I$6,Table91517[#Headers],0)),Table91517[MainSpaceHeatingFuel],$B57,Table91517[EnergyRating (group)],$A57)</f>
        <v>85.966666666666669</v>
      </c>
      <c r="J57" s="847">
        <f>SUMIFS(INDEX(Table91517[],,MATCH(J$6,Table91517[#Headers],0)),Table91517[MainSpaceHeatingFuel],$B57,Table91517[EnergyRating (group)],$A57)</f>
        <v>80063019</v>
      </c>
      <c r="K57" s="847">
        <f>SUMIFS(INDEX(Table91517[],,MATCH(K$6,Table91517[#Headers],0)),Table91517[MainSpaceHeatingFuel],$B57,Table91517[EnergyRating (group)],$A57)</f>
        <v>66692854</v>
      </c>
      <c r="M57" s="840"/>
      <c r="N57" s="914" t="str">
        <f>RSD_Commodities!$M$31&amp;"_"&amp;RIGHT(P57,LEN(P57)-3)&amp;"_"&amp;SETUP!$B$67</f>
        <v>SH_Det-C_OILLPG_X0</v>
      </c>
      <c r="O57" s="914" t="str">
        <f>RSD_Commodities!$N$31&amp;"_"&amp;RSD_Commodities!D11&amp;"_"&amp;SETUP!$C$67</f>
        <v>Residential Space Heating Detached-C_LPG to Residential_Existing 00</v>
      </c>
      <c r="P57" s="915" t="str">
        <f>RSD_Commodities!$C$11</f>
        <v>RSDOILLPG</v>
      </c>
      <c r="Q57" s="930" t="str">
        <f>RSD_Commodities!$M$13</f>
        <v>SH_Apt-C</v>
      </c>
      <c r="R57" s="1000">
        <f>G57/SUM($G$57:$G$72)</f>
        <v>2.5938308335633736E-2</v>
      </c>
      <c r="S57" s="932">
        <f>R57*DwellingStocks!$I$66/1000</f>
        <v>1.8458835613971194</v>
      </c>
      <c r="T57" s="914">
        <v>1</v>
      </c>
      <c r="U57" s="914">
        <f t="shared" si="31"/>
        <v>0.85966666666666669</v>
      </c>
      <c r="V57" s="930">
        <v>20</v>
      </c>
      <c r="W57" s="930">
        <v>1</v>
      </c>
      <c r="X57" s="840"/>
      <c r="Y57" s="926">
        <f t="shared" ref="Y57:Y71" si="41">ABS((D57+F57)*S57*1000*$B$2)</f>
        <v>3.8323336593161714E-2</v>
      </c>
      <c r="Z57" s="927">
        <f t="shared" ref="Z57:Z71" si="42">ABS((C57+E57)*S57*1000*$B$2)</f>
        <v>4.2170231011873491E-2</v>
      </c>
      <c r="AA57" s="840"/>
      <c r="AB57" s="914" t="s">
        <v>393</v>
      </c>
      <c r="AC57" s="914" t="str">
        <f t="shared" ref="AC57:AD71" si="43">N57</f>
        <v>SH_Det-C_OILLPG_X0</v>
      </c>
      <c r="AD57" s="914" t="str">
        <f t="shared" si="43"/>
        <v>Residential Space Heating Detached-C_LPG to Residential_Existing 00</v>
      </c>
      <c r="AE57" s="914" t="s">
        <v>53</v>
      </c>
      <c r="AF57" s="914" t="s">
        <v>406</v>
      </c>
      <c r="AG57" s="914"/>
      <c r="AH57" s="914"/>
      <c r="AI57" s="840"/>
      <c r="AJ57" s="840"/>
      <c r="AK57" s="840"/>
      <c r="AL57" s="840"/>
      <c r="AM57" s="840"/>
      <c r="AN57" s="840"/>
    </row>
    <row r="58" spans="1:40">
      <c r="A58" s="758" t="s">
        <v>116</v>
      </c>
      <c r="B58" s="758" t="s">
        <v>228</v>
      </c>
      <c r="C58" s="758">
        <f>SUMIFS(INDEX(Table91517[],,MATCH(C$6,Table91517[#Headers],0)),Table91517[MainSpaceHeatingFuel],$B58,Table91517[EnergyRating (group)],$A58)</f>
        <v>13474634</v>
      </c>
      <c r="D58" s="758">
        <f>SUMIFS(INDEX(Table91517[],,MATCH(D$6,Table91517[#Headers],0)),Table91517[MainSpaceHeatingFuel],$B58,Table91517[EnergyRating (group)],$A58)</f>
        <v>4990608</v>
      </c>
      <c r="E58" s="759">
        <f>SUMIFS(INDEX(Table91517[],,MATCH(E$6,Table91517[#Headers],0)),Table91517[MainSpaceHeatingFuel],$B58,Table91517[EnergyRating (group)],$A58)</f>
        <v>2675110</v>
      </c>
      <c r="F58" s="759">
        <f>SUMIFS(INDEX(Table91517[],,MATCH(F$6,Table91517[#Headers],0)),Table91517[MainSpaceHeatingFuel],$B58,Table91517[EnergyRating (group)],$A58)</f>
        <v>2276706</v>
      </c>
      <c r="G58" s="758">
        <f>SUMIFS(INDEX(Table91517[],,MATCH(G$6,Table91517[#Headers],0)),Table91517[MainSpaceHeatingFuel],$B58,Table91517[EnergyRating (group)],$A58)</f>
        <v>649</v>
      </c>
      <c r="H58" s="758">
        <f>SUMIFS(INDEX(Table91517[],,MATCH(H$6,Table91517[#Headers],0)),Table91517[MainSpaceHeatingFuel],$B58,Table91517[EnergyRating (group)],$A58)</f>
        <v>126318</v>
      </c>
      <c r="I58" s="911">
        <f>AVERAGEIFS(INDEX(Table91517[],,MATCH(I$6,Table91517[#Headers],0)),Table91517[MainSpaceHeatingFuel],$B58,Table91517[EnergyRating (group)],$A58)</f>
        <v>215.05</v>
      </c>
      <c r="J58" s="849">
        <f>SUMIFS(INDEX(Table91517[],,MATCH(J$6,Table91517[#Headers],0)),Table91517[MainSpaceHeatingFuel],$B58,Table91517[EnergyRating (group)],$A58)</f>
        <v>24474501</v>
      </c>
      <c r="K58" s="849">
        <f>SUMIFS(INDEX(Table91517[],,MATCH(K$6,Table91517[#Headers],0)),Table91517[MainSpaceHeatingFuel],$B58,Table91517[EnergyRating (group)],$A58)</f>
        <v>10398066</v>
      </c>
      <c r="M58" s="840"/>
      <c r="N58" s="933" t="str">
        <f>RSD_Commodities!$M$31&amp;"_"&amp;RIGHT(P58,LEN(P58)-3)&amp;"_"&amp;SETUP!$B$67</f>
        <v>SH_Det-C_ELCD_X0</v>
      </c>
      <c r="O58" s="933" t="str">
        <f>RSD_Commodities!$N$31&amp;"_"&amp;RSD_Commodities!D27&amp;"_"&amp;SETUP!$C$67</f>
        <v>Residential Space Heating Detached-C_Electricity to Residential_Existing 00</v>
      </c>
      <c r="P58" s="934" t="str">
        <f>RSD_Commodities!$C$27</f>
        <v>RSDELCD</v>
      </c>
      <c r="Q58" s="935" t="str">
        <f>RSD_Commodities!$M$13</f>
        <v>SH_Apt-C</v>
      </c>
      <c r="R58" s="1001">
        <f>G58/SUM($G$57:$G$72)</f>
        <v>6.6353812021388622E-3</v>
      </c>
      <c r="S58" s="937">
        <f>R58*DwellingStocks!$I$66/1000</f>
        <v>0.47220277152019324</v>
      </c>
      <c r="T58" s="933">
        <v>1</v>
      </c>
      <c r="U58" s="933">
        <f t="shared" si="31"/>
        <v>2.1505000000000001</v>
      </c>
      <c r="V58" s="935">
        <v>20</v>
      </c>
      <c r="W58" s="935">
        <v>1</v>
      </c>
      <c r="X58" s="840"/>
      <c r="Y58" s="928">
        <f t="shared" si="41"/>
        <v>1.4102654023181516E-3</v>
      </c>
      <c r="Z58" s="929">
        <f t="shared" si="42"/>
        <v>3.1339536477294296E-3</v>
      </c>
      <c r="AA58" s="840"/>
      <c r="AB58" s="933" t="s">
        <v>393</v>
      </c>
      <c r="AC58" s="933" t="str">
        <f t="shared" si="43"/>
        <v>SH_Det-C_ELCD_X0</v>
      </c>
      <c r="AD58" s="933" t="str">
        <f t="shared" si="43"/>
        <v>Residential Space Heating Detached-C_Electricity to Residential_Existing 00</v>
      </c>
      <c r="AE58" s="933" t="s">
        <v>53</v>
      </c>
      <c r="AF58" s="933" t="s">
        <v>406</v>
      </c>
      <c r="AG58" s="933"/>
      <c r="AH58" s="933"/>
      <c r="AI58" s="840"/>
      <c r="AJ58" s="840"/>
      <c r="AK58" s="840"/>
      <c r="AL58" s="840"/>
      <c r="AM58" s="840"/>
      <c r="AN58" s="840"/>
    </row>
    <row r="59" spans="1:40">
      <c r="A59" s="757" t="s">
        <v>116</v>
      </c>
      <c r="B59" s="757" t="s">
        <v>583</v>
      </c>
      <c r="C59" s="757">
        <f>SUMIFS(INDEX(Table91517[],,MATCH(C$6,Table91517[#Headers],0)),Table91517[MainSpaceHeatingFuel],$B59,Table91517[EnergyRating (group)],$A59)</f>
        <v>1363499472</v>
      </c>
      <c r="D59" s="757">
        <f>SUMIFS(INDEX(Table91517[],,MATCH(D$6,Table91517[#Headers],0)),Table91517[MainSpaceHeatingFuel],$B59,Table91517[EnergyRating (group)],$A59)</f>
        <v>1239544980</v>
      </c>
      <c r="E59" s="760">
        <f>SUMIFS(INDEX(Table91517[],,MATCH(E$6,Table91517[#Headers],0)),Table91517[MainSpaceHeatingFuel],$B59,Table91517[EnergyRating (group)],$A59)</f>
        <v>294171443</v>
      </c>
      <c r="F59" s="760">
        <f>SUMIFS(INDEX(Table91517[],,MATCH(F$6,Table91517[#Headers],0)),Table91517[MainSpaceHeatingFuel],$B59,Table91517[EnergyRating (group)],$A59)</f>
        <v>264392325</v>
      </c>
      <c r="G59" s="757">
        <f>SUMIFS(INDEX(Table91517[],,MATCH(G$6,Table91517[#Headers],0)),Table91517[MainSpaceHeatingFuel],$B59,Table91517[EnergyRating (group)],$A59)</f>
        <v>74252</v>
      </c>
      <c r="H59" s="757">
        <f>SUMIFS(INDEX(Table91517[],,MATCH(H$6,Table91517[#Headers],0)),Table91517[MainSpaceHeatingFuel],$B59,Table91517[EnergyRating (group)],$A59)</f>
        <v>12265890</v>
      </c>
      <c r="I59" s="912">
        <f>AVERAGEIFS(INDEX(Table91517[],,MATCH(I$6,Table91517[#Headers],0)),Table91517[MainSpaceHeatingFuel],$B59,Table91517[EnergyRating (group)],$A59)</f>
        <v>84.117241379310343</v>
      </c>
      <c r="J59" s="847">
        <f>SUMIFS(INDEX(Table91517[],,MATCH(J$6,Table91517[#Headers],0)),Table91517[MainSpaceHeatingFuel],$B59,Table91517[EnergyRating (group)],$A59)</f>
        <v>2450824660</v>
      </c>
      <c r="K59" s="847">
        <f>SUMIFS(INDEX(Table91517[],,MATCH(K$6,Table91517[#Headers],0)),Table91517[MainSpaceHeatingFuel],$B59,Table91517[EnergyRating (group)],$A59)</f>
        <v>2016077895</v>
      </c>
      <c r="M59" s="840"/>
      <c r="N59" s="914" t="str">
        <f>RSD_Commodities!$M$31&amp;"_"&amp;RIGHT(P59,LEN(P59)-3)&amp;"_"&amp;SETUP!$B$67</f>
        <v>SH_Det-C_OILKER_X0</v>
      </c>
      <c r="O59" s="914" t="str">
        <f>RSD_Commodities!$N$31&amp;"_"&amp;RSD_Commodities!D13&amp;"_"&amp;SETUP!$C$67</f>
        <v>Residential Space Heating Detached-C_Kerosene to Residential_Existing 00</v>
      </c>
      <c r="P59" s="915" t="str">
        <f>RSD_Commodities!$C$13</f>
        <v>RSDOILKER</v>
      </c>
      <c r="Q59" s="930" t="str">
        <f>RSD_Commodities!$M$13</f>
        <v>SH_Apt-C</v>
      </c>
      <c r="R59" s="1000">
        <f t="shared" ref="R59:R72" si="44">G59/SUM($G$57:$G$72)</f>
        <v>0.75915304317598586</v>
      </c>
      <c r="S59" s="932">
        <f>R59*DwellingStocks!$I$66/1000</f>
        <v>54.024653606960541</v>
      </c>
      <c r="T59" s="914">
        <v>1</v>
      </c>
      <c r="U59" s="914">
        <f t="shared" si="31"/>
        <v>0.84117241379310348</v>
      </c>
      <c r="V59" s="930">
        <v>20</v>
      </c>
      <c r="W59" s="930">
        <v>1</v>
      </c>
      <c r="X59" s="840"/>
      <c r="Y59" s="926">
        <f t="shared" si="41"/>
        <v>33.390284362689364</v>
      </c>
      <c r="Z59" s="927">
        <f t="shared" si="42"/>
        <v>36.80346451118151</v>
      </c>
      <c r="AA59" s="840"/>
      <c r="AB59" s="914" t="s">
        <v>393</v>
      </c>
      <c r="AC59" s="914" t="str">
        <f t="shared" si="43"/>
        <v>SH_Det-C_OILKER_X0</v>
      </c>
      <c r="AD59" s="914" t="str">
        <f t="shared" si="43"/>
        <v>Residential Space Heating Detached-C_Kerosene to Residential_Existing 00</v>
      </c>
      <c r="AE59" s="914" t="s">
        <v>53</v>
      </c>
      <c r="AF59" s="914" t="s">
        <v>406</v>
      </c>
      <c r="AG59" s="914"/>
      <c r="AH59" s="914"/>
      <c r="AI59" s="840"/>
      <c r="AJ59" s="840"/>
      <c r="AK59" s="840"/>
      <c r="AL59" s="840"/>
      <c r="AM59" s="840"/>
      <c r="AN59" s="840"/>
    </row>
    <row r="60" spans="1:40">
      <c r="A60" s="758" t="s">
        <v>116</v>
      </c>
      <c r="B60" s="758" t="s">
        <v>584</v>
      </c>
      <c r="C60" s="758">
        <f>SUMIFS(INDEX(Table91517[],,MATCH(C$6,Table91517[#Headers],0)),Table91517[MainSpaceHeatingFuel],$B60,Table91517[EnergyRating (group)],$A60)</f>
        <v>305896846</v>
      </c>
      <c r="D60" s="758">
        <f>SUMIFS(INDEX(Table91517[],,MATCH(D$6,Table91517[#Headers],0)),Table91517[MainSpaceHeatingFuel],$B60,Table91517[EnergyRating (group)],$A60)</f>
        <v>278088044</v>
      </c>
      <c r="E60" s="758">
        <f>SUMIFS(INDEX(Table91517[],,MATCH(E$6,Table91517[#Headers],0)),Table91517[MainSpaceHeatingFuel],$B60,Table91517[EnergyRating (group)],$A60)</f>
        <v>80617788</v>
      </c>
      <c r="F60" s="758">
        <f>SUMIFS(INDEX(Table91517[],,MATCH(F$6,Table91517[#Headers],0)),Table91517[MainSpaceHeatingFuel],$B60,Table91517[EnergyRating (group)],$A60)</f>
        <v>70816095</v>
      </c>
      <c r="G60" s="758">
        <f>SUMIFS(INDEX(Table91517[],,MATCH(G$6,Table91517[#Headers],0)),Table91517[MainSpaceHeatingFuel],$B60,Table91517[EnergyRating (group)],$A60)</f>
        <v>19374</v>
      </c>
      <c r="H60" s="758">
        <f>SUMIFS(INDEX(Table91517[],,MATCH(H$6,Table91517[#Headers],0)),Table91517[MainSpaceHeatingFuel],$B60,Table91517[EnergyRating (group)],$A60)</f>
        <v>2976282</v>
      </c>
      <c r="I60" s="911">
        <f>AVERAGEIFS(INDEX(Table91517[],,MATCH(I$6,Table91517[#Headers],0)),Table91517[MainSpaceHeatingFuel],$B60,Table91517[EnergyRating (group)],$A60)</f>
        <v>82.793650793650798</v>
      </c>
      <c r="J60" s="849">
        <f>SUMIFS(INDEX(Table91517[],,MATCH(J$6,Table91517[#Headers],0)),Table91517[MainSpaceHeatingFuel],$B60,Table91517[EnergyRating (group)],$A60)</f>
        <v>571981752</v>
      </c>
      <c r="K60" s="849">
        <f>SUMIFS(INDEX(Table91517[],,MATCH(K$6,Table91517[#Headers],0)),Table91517[MainSpaceHeatingFuel],$B60,Table91517[EnergyRating (group)],$A60)</f>
        <v>473544405</v>
      </c>
      <c r="M60" s="840"/>
      <c r="N60" s="933" t="str">
        <f>RSD_Commodities!$M$31&amp;"_"&amp;RIGHT(P60,LEN(P60)-3)&amp;"_"&amp;SETUP!$B$67</f>
        <v>SH_Det-C_GASNAT_X0</v>
      </c>
      <c r="O60" s="933" t="str">
        <f>RSD_Commodities!$N$31&amp;"_"&amp;RSD_Commodities!D17&amp;"_"&amp;SETUP!$C$67</f>
        <v>Residential Space Heating Detached-C_Natural Gas to Residential_Existing 00</v>
      </c>
      <c r="P60" s="934" t="str">
        <f>RSD_Commodities!$C$17</f>
        <v>RSDGASNAT</v>
      </c>
      <c r="Q60" s="935" t="str">
        <f>RSD_Commodities!$M$13</f>
        <v>SH_Apt-C</v>
      </c>
      <c r="R60" s="1001">
        <f t="shared" si="44"/>
        <v>0.19807993129466614</v>
      </c>
      <c r="S60" s="937">
        <f>R60*DwellingStocks!$I$66/1000</f>
        <v>14.096234969849345</v>
      </c>
      <c r="T60" s="933">
        <v>1</v>
      </c>
      <c r="U60" s="954">
        <f t="shared" si="31"/>
        <v>0.82793650793650797</v>
      </c>
      <c r="V60" s="935">
        <v>20</v>
      </c>
      <c r="W60" s="935">
        <v>1</v>
      </c>
      <c r="X60" s="840"/>
      <c r="Y60" s="928">
        <f t="shared" si="41"/>
        <v>2.0211923528617715</v>
      </c>
      <c r="Z60" s="929">
        <f t="shared" si="42"/>
        <v>2.2390689452668444</v>
      </c>
      <c r="AA60" s="840"/>
      <c r="AB60" s="933" t="s">
        <v>393</v>
      </c>
      <c r="AC60" s="933" t="str">
        <f t="shared" si="43"/>
        <v>SH_Det-C_GASNAT_X0</v>
      </c>
      <c r="AD60" s="933" t="str">
        <f t="shared" si="43"/>
        <v>Residential Space Heating Detached-C_Natural Gas to Residential_Existing 00</v>
      </c>
      <c r="AE60" s="933" t="s">
        <v>53</v>
      </c>
      <c r="AF60" s="933" t="s">
        <v>406</v>
      </c>
      <c r="AG60" s="933"/>
      <c r="AH60" s="933"/>
      <c r="AI60" s="840"/>
      <c r="AJ60" s="840"/>
      <c r="AK60" s="840"/>
      <c r="AL60" s="840"/>
      <c r="AM60" s="840"/>
      <c r="AN60" s="840"/>
    </row>
    <row r="61" spans="1:40">
      <c r="A61" s="757" t="s">
        <v>116</v>
      </c>
      <c r="B61" s="757" t="s">
        <v>585</v>
      </c>
      <c r="C61" s="757">
        <f>SUMIFS(INDEX(Table91517[],,MATCH(C$6,Table91517[#Headers],0)),Table91517[MainSpaceHeatingFuel],$B61,Table91517[EnergyRating (group)],$A61)</f>
        <v>9048342</v>
      </c>
      <c r="D61" s="757">
        <f>SUMIFS(INDEX(Table91517[],,MATCH(D$6,Table91517[#Headers],0)),Table91517[MainSpaceHeatingFuel],$B61,Table91517[EnergyRating (group)],$A61)</f>
        <v>8225765</v>
      </c>
      <c r="E61" s="757">
        <f>SUMIFS(INDEX(Table91517[],,MATCH(E$6,Table91517[#Headers],0)),Table91517[MainSpaceHeatingFuel],$B61,Table91517[EnergyRating (group)],$A61)</f>
        <v>1493339</v>
      </c>
      <c r="F61" s="757">
        <f>SUMIFS(INDEX(Table91517[],,MATCH(F$6,Table91517[#Headers],0)),Table91517[MainSpaceHeatingFuel],$B61,Table91517[EnergyRating (group)],$A61)</f>
        <v>1324877</v>
      </c>
      <c r="G61" s="757">
        <f>SUMIFS(INDEX(Table91517[],,MATCH(G$6,Table91517[#Headers],0)),Table91517[MainSpaceHeatingFuel],$B61,Table91517[EnergyRating (group)],$A61)</f>
        <v>360</v>
      </c>
      <c r="H61" s="757">
        <f>SUMIFS(INDEX(Table91517[],,MATCH(H$6,Table91517[#Headers],0)),Table91517[MainSpaceHeatingFuel],$B61,Table91517[EnergyRating (group)],$A61)</f>
        <v>74928</v>
      </c>
      <c r="I61" s="912">
        <f>AVERAGEIFS(INDEX(Table91517[],,MATCH(I$6,Table91517[#Headers],0)),Table91517[MainSpaceHeatingFuel],$B61,Table91517[EnergyRating (group)],$A61)</f>
        <v>74.825000000000003</v>
      </c>
      <c r="J61" s="847">
        <f>SUMIFS(INDEX(Table91517[],,MATCH(J$6,Table91517[#Headers],0)),Table91517[MainSpaceHeatingFuel],$B61,Table91517[EnergyRating (group)],$A61)</f>
        <v>14688137</v>
      </c>
      <c r="K61" s="847">
        <f>SUMIFS(INDEX(Table91517[],,MATCH(K$6,Table91517[#Headers],0)),Table91517[MainSpaceHeatingFuel],$B61,Table91517[EnergyRating (group)],$A61)</f>
        <v>12268230</v>
      </c>
      <c r="M61" s="840"/>
      <c r="N61" s="914" t="str">
        <f>RSD_Commodities!$M$31&amp;"_"&amp;RIGHT(P61,LEN(P61)-3)&amp;"_"&amp;SETUP!$B$67</f>
        <v>SH_Det-C_BIOWOO_X0</v>
      </c>
      <c r="O61" s="914" t="str">
        <f>RSD_Commodities!$N$31&amp;"_"&amp;RSD_Commodities!D19&amp;"_"&amp;SETUP!$C$67</f>
        <v>Residential Space Heating Detached-C_Biomass &amp; Renewable Waste to Residential_Existing 00</v>
      </c>
      <c r="P61" s="915" t="str">
        <f>RSD_Commodities!$C$19</f>
        <v>RSDBIOWOO</v>
      </c>
      <c r="Q61" s="930" t="str">
        <f>RSD_Commodities!$M$13</f>
        <v>SH_Apt-C</v>
      </c>
      <c r="R61" s="1000">
        <f t="shared" si="44"/>
        <v>3.6806428856240225E-3</v>
      </c>
      <c r="S61" s="932">
        <f>R61*DwellingStocks!$I$66/1000</f>
        <v>0.26193065908670199</v>
      </c>
      <c r="T61" s="914">
        <v>1</v>
      </c>
      <c r="U61" s="914">
        <f t="shared" si="31"/>
        <v>0.74825000000000008</v>
      </c>
      <c r="V61" s="930">
        <v>20</v>
      </c>
      <c r="W61" s="930">
        <v>1</v>
      </c>
      <c r="X61" s="840"/>
      <c r="Y61" s="926">
        <f t="shared" si="41"/>
        <v>1.0280572412717005E-3</v>
      </c>
      <c r="Z61" s="927">
        <f t="shared" si="42"/>
        <v>1.1347353913199031E-3</v>
      </c>
      <c r="AA61" s="840"/>
      <c r="AB61" s="914" t="s">
        <v>393</v>
      </c>
      <c r="AC61" s="914" t="str">
        <f t="shared" si="43"/>
        <v>SH_Det-C_BIOWOO_X0</v>
      </c>
      <c r="AD61" s="914" t="str">
        <f t="shared" si="43"/>
        <v>Residential Space Heating Detached-C_Biomass &amp; Renewable Waste to Residential_Existing 00</v>
      </c>
      <c r="AE61" s="914" t="s">
        <v>53</v>
      </c>
      <c r="AF61" s="914" t="s">
        <v>406</v>
      </c>
      <c r="AG61" s="914"/>
      <c r="AH61" s="914"/>
      <c r="AI61" s="840"/>
      <c r="AJ61" s="840"/>
      <c r="AK61" s="840"/>
      <c r="AL61" s="840"/>
      <c r="AM61" s="840"/>
      <c r="AN61" s="840"/>
    </row>
    <row r="62" spans="1:40">
      <c r="A62" s="758" t="s">
        <v>116</v>
      </c>
      <c r="B62" s="758" t="s">
        <v>587</v>
      </c>
      <c r="C62" s="758">
        <f>SUMIFS(INDEX(Table91517[],,MATCH(C$6,Table91517[#Headers],0)),Table91517[MainSpaceHeatingFuel],$B62,Table91517[EnergyRating (group)],$A62)</f>
        <v>0</v>
      </c>
      <c r="D62" s="758">
        <f>SUMIFS(INDEX(Table91517[],,MATCH(D$6,Table91517[#Headers],0)),Table91517[MainSpaceHeatingFuel],$B62,Table91517[EnergyRating (group)],$A62)</f>
        <v>0</v>
      </c>
      <c r="E62" s="759">
        <f>SUMIFS(INDEX(Table91517[],,MATCH(E$6,Table91517[#Headers],0)),Table91517[MainSpaceHeatingFuel],$B62,Table91517[EnergyRating (group)],$A62)</f>
        <v>0</v>
      </c>
      <c r="F62" s="759">
        <f>SUMIFS(INDEX(Table91517[],,MATCH(F$6,Table91517[#Headers],0)),Table91517[MainSpaceHeatingFuel],$B62,Table91517[EnergyRating (group)],$A62)</f>
        <v>0</v>
      </c>
      <c r="G62" s="758">
        <f>SUMIFS(INDEX(Table91517[],,MATCH(G$6,Table91517[#Headers],0)),Table91517[MainSpaceHeatingFuel],"",Table91517[EnergyRating (group)],$A62)</f>
        <v>34</v>
      </c>
      <c r="H62" s="758">
        <f>SUMIFS(INDEX(Table91517[],,MATCH(H$6,Table91517[#Headers],0)),Table91517[MainSpaceHeatingFuel],"",Table91517[EnergyRating (group)],$A62)</f>
        <v>7145</v>
      </c>
      <c r="I62" s="944">
        <f>SUMIFS(INDEX(Table91517[],,MATCH(I$6,Table91517[#Headers],0)),Table91517[MainSpaceHeatingFuel],"",Table91517[EnergyRating (group)],$A62)</f>
        <v>0</v>
      </c>
      <c r="J62" s="849">
        <f>SUMIFS(INDEX(Table91517[],,MATCH(J$6,Table91517[#Headers],0)),Table91517[MainSpaceHeatingFuel],"",Table91517[EnergyRating (group)],$A62)</f>
        <v>182654</v>
      </c>
      <c r="K62" s="849">
        <f>SUMIFS(INDEX(Table91517[],,MATCH(K$6,Table91517[#Headers],0)),Table91517[MainSpaceHeatingFuel],"",Table91517[EnergyRating (group)],$A62)</f>
        <v>67652</v>
      </c>
      <c r="M62" s="840"/>
      <c r="N62" s="933" t="str">
        <f>RSD_Commodities!$M$31&amp;"_"&amp;RIGHT(P62,LEN(P62)-3)&amp;"_"&amp;SETUP!$B$67</f>
        <v>SH_Det-C_HET_X0</v>
      </c>
      <c r="O62" s="933" t="str">
        <f>RSD_Commodities!$N$31&amp;"_"&amp;RSD_Commodities!D28&amp;"_"&amp;SETUP!$C$67</f>
        <v>Residential Space Heating Detached-C_Heat to Residential_Existing 00</v>
      </c>
      <c r="P62" s="934" t="str">
        <f>RSD_Commodities!$C$28</f>
        <v>RSDHET</v>
      </c>
      <c r="Q62" s="935" t="str">
        <f>RSD_Commodities!$M$13</f>
        <v>SH_Apt-C</v>
      </c>
      <c r="R62" s="1001">
        <f t="shared" si="44"/>
        <v>3.4761627253115766E-4</v>
      </c>
      <c r="S62" s="937">
        <f>R62*DwellingStocks!$I$66/1000</f>
        <v>2.4737895580410743E-2</v>
      </c>
      <c r="T62" s="933">
        <v>1</v>
      </c>
      <c r="U62" s="917">
        <f>IF(I62=0, 1, I62)</f>
        <v>1</v>
      </c>
      <c r="V62" s="935">
        <v>20</v>
      </c>
      <c r="W62" s="935">
        <v>1</v>
      </c>
      <c r="X62" s="840"/>
      <c r="Y62" s="928">
        <f t="shared" si="41"/>
        <v>0</v>
      </c>
      <c r="Z62" s="929">
        <f t="shared" si="42"/>
        <v>0</v>
      </c>
      <c r="AA62" s="840"/>
      <c r="AB62" s="933" t="s">
        <v>393</v>
      </c>
      <c r="AC62" s="933" t="str">
        <f t="shared" si="43"/>
        <v>SH_Det-C_HET_X0</v>
      </c>
      <c r="AD62" s="933" t="str">
        <f t="shared" si="43"/>
        <v>Residential Space Heating Detached-C_Heat to Residential_Existing 00</v>
      </c>
      <c r="AE62" s="933" t="s">
        <v>53</v>
      </c>
      <c r="AF62" s="933" t="s">
        <v>406</v>
      </c>
      <c r="AG62" s="933"/>
      <c r="AH62" s="933"/>
      <c r="AI62" s="840"/>
      <c r="AJ62" s="840"/>
      <c r="AK62" s="840"/>
      <c r="AL62" s="840"/>
      <c r="AM62" s="840"/>
      <c r="AN62" s="840"/>
    </row>
    <row r="63" spans="1:40">
      <c r="A63" s="757" t="s">
        <v>116</v>
      </c>
      <c r="B63" s="757" t="s">
        <v>664</v>
      </c>
      <c r="C63" s="757">
        <f>SUMIFS(INDEX(Table91517[],,MATCH(C$6,Table91517[#Headers],0)),Table91517[MainSpaceHeatingFuel],$B63,Table91517[EnergyRating (group)],$A63)</f>
        <v>3898026</v>
      </c>
      <c r="D63" s="757">
        <f>SUMIFS(INDEX(Table91517[],,MATCH(D$6,Table91517[#Headers],0)),Table91517[MainSpaceHeatingFuel],$B63,Table91517[EnergyRating (group)],$A63)</f>
        <v>3543657</v>
      </c>
      <c r="E63" s="757">
        <f>SUMIFS(INDEX(Table91517[],,MATCH(E$6,Table91517[#Headers],0)),Table91517[MainSpaceHeatingFuel],$B63,Table91517[EnergyRating (group)],$A63)</f>
        <v>789303</v>
      </c>
      <c r="F63" s="757">
        <f>SUMIFS(INDEX(Table91517[],,MATCH(F$6,Table91517[#Headers],0)),Table91517[MainSpaceHeatingFuel],$B63,Table91517[EnergyRating (group)],$A63)</f>
        <v>712539</v>
      </c>
      <c r="G63" s="757">
        <f>SUMIFS(INDEX(Table91517[],,MATCH(G$6,Table91517[#Headers],0)),Table91517[MainSpaceHeatingFuel],$B63,Table91517[EnergyRating (group)],$A63)</f>
        <v>205</v>
      </c>
      <c r="H63" s="757">
        <f>SUMIFS(INDEX(Table91517[],,MATCH(H$6,Table91517[#Headers],0)),Table91517[MainSpaceHeatingFuel],$B63,Table91517[EnergyRating (group)],$A63)</f>
        <v>33498</v>
      </c>
      <c r="I63" s="912">
        <f>AVERAGEIFS(INDEX(Table91517[],,MATCH(I$6,Table91517[#Headers],0)),Table91517[MainSpaceHeatingFuel],$B63,Table91517[EnergyRating (group)],$A63)</f>
        <v>84.875</v>
      </c>
      <c r="J63" s="847">
        <f>SUMIFS(INDEX(Table91517[],,MATCH(J$6,Table91517[#Headers],0)),Table91517[MainSpaceHeatingFuel],$B63,Table91517[EnergyRating (group)],$A63)</f>
        <v>6762485</v>
      </c>
      <c r="K63" s="847">
        <f>SUMIFS(INDEX(Table91517[],,MATCH(K$6,Table91517[#Headers],0)),Table91517[MainSpaceHeatingFuel],$B63,Table91517[EnergyRating (group)],$A63)</f>
        <v>5622701</v>
      </c>
      <c r="M63" s="840"/>
      <c r="N63" s="914" t="str">
        <f>RSD_Commodities!$M$31&amp;"_"&amp;RIGHT(P63,LEN(P63)-3)&amp;"_"&amp;SETUP!$B$68</f>
        <v>SH_Det-C_OILLPG_X1</v>
      </c>
      <c r="O63" s="914" t="str">
        <f>RSD_Commodities!$N$31&amp;"_"&amp;RSD_Commodities!D11&amp;"_"&amp;SETUP!$C$68</f>
        <v>Residential Space Heating Detached-C_LPG to Residential_Existing 01</v>
      </c>
      <c r="P63" s="915" t="str">
        <f>RSD_Commodities!$C$11</f>
        <v>RSDOILLPG</v>
      </c>
      <c r="Q63" s="930" t="str">
        <f>RSD_Commodities!$M$13</f>
        <v>SH_Apt-C</v>
      </c>
      <c r="R63" s="1000">
        <f t="shared" si="44"/>
        <v>2.0959216432025682E-3</v>
      </c>
      <c r="S63" s="932">
        <f>R63*DwellingStocks!$I$66/1000</f>
        <v>0.14915495864659417</v>
      </c>
      <c r="T63" s="914">
        <v>1</v>
      </c>
      <c r="U63" s="916">
        <f t="shared" si="31"/>
        <v>0.84875</v>
      </c>
      <c r="V63" s="930">
        <v>20</v>
      </c>
      <c r="W63" s="930">
        <v>1</v>
      </c>
      <c r="X63" s="840"/>
      <c r="Y63" s="926">
        <f t="shared" si="41"/>
        <v>2.608901664541642E-4</v>
      </c>
      <c r="Z63" s="927">
        <f t="shared" si="42"/>
        <v>2.8731713554437606E-4</v>
      </c>
      <c r="AA63" s="840"/>
      <c r="AB63" s="914" t="s">
        <v>393</v>
      </c>
      <c r="AC63" s="914" t="str">
        <f t="shared" si="43"/>
        <v>SH_Det-C_OILLPG_X1</v>
      </c>
      <c r="AD63" s="914" t="str">
        <f t="shared" si="43"/>
        <v>Residential Space Heating Detached-C_LPG to Residential_Existing 01</v>
      </c>
      <c r="AE63" s="914" t="s">
        <v>53</v>
      </c>
      <c r="AF63" s="914" t="s">
        <v>406</v>
      </c>
      <c r="AG63" s="914"/>
      <c r="AH63" s="914"/>
      <c r="AI63" s="840"/>
      <c r="AJ63" s="840"/>
      <c r="AK63" s="840"/>
      <c r="AL63" s="840"/>
      <c r="AM63" s="840"/>
      <c r="AN63" s="840"/>
    </row>
    <row r="64" spans="1:40">
      <c r="A64" s="758" t="s">
        <v>116</v>
      </c>
      <c r="B64" s="758" t="s">
        <v>665</v>
      </c>
      <c r="C64" s="758">
        <f>SUMIFS(INDEX(Table91517[],,MATCH(C$6,Table91517[#Headers],0)),Table91517[MainSpaceHeatingFuel],$B64,Table91517[EnergyRating (group)],$A64)</f>
        <v>6059198</v>
      </c>
      <c r="D64" s="758">
        <f>SUMIFS(INDEX(Table91517[],,MATCH(D$6,Table91517[#Headers],0)),Table91517[MainSpaceHeatingFuel],$B64,Table91517[EnergyRating (group)],$A64)</f>
        <v>5508360</v>
      </c>
      <c r="E64" s="759">
        <f>SUMIFS(INDEX(Table91517[],,MATCH(E$6,Table91517[#Headers],0)),Table91517[MainSpaceHeatingFuel],$B64,Table91517[EnergyRating (group)],$A64)</f>
        <v>693637</v>
      </c>
      <c r="F64" s="759">
        <f>SUMIFS(INDEX(Table91517[],,MATCH(F$6,Table91517[#Headers],0)),Table91517[MainSpaceHeatingFuel],$B64,Table91517[EnergyRating (group)],$A64)</f>
        <v>604530</v>
      </c>
      <c r="G64" s="758">
        <f>SUMIFS(INDEX(Table91517[],,MATCH(G$6,Table91517[#Headers],0)),Table91517[MainSpaceHeatingFuel],$B64,Table91517[EnergyRating (group)],$A64)</f>
        <v>260</v>
      </c>
      <c r="H64" s="758">
        <f>SUMIFS(INDEX(Table91517[],,MATCH(H$6,Table91517[#Headers],0)),Table91517[MainSpaceHeatingFuel],$B64,Table91517[EnergyRating (group)],$A64)</f>
        <v>44217</v>
      </c>
      <c r="I64" s="911">
        <f>AVERAGEIFS(INDEX(Table91517[],,MATCH(I$6,Table91517[#Headers],0)),Table91517[MainSpaceHeatingFuel],$B64,Table91517[EnergyRating (group)],$A64)</f>
        <v>68.78947368421052</v>
      </c>
      <c r="J64" s="849">
        <f>SUMIFS(INDEX(Table91517[],,MATCH(J$6,Table91517[#Headers],0)),Table91517[MainSpaceHeatingFuel],$B64,Table91517[EnergyRating (group)],$A64)</f>
        <v>9813625</v>
      </c>
      <c r="K64" s="849">
        <f>SUMIFS(INDEX(Table91517[],,MATCH(K$6,Table91517[#Headers],0)),Table91517[MainSpaceHeatingFuel],$B64,Table91517[EnergyRating (group)],$A64)</f>
        <v>8046705</v>
      </c>
      <c r="M64" s="840"/>
      <c r="N64" s="840" t="str">
        <f>RSD_Commodities!$M$31&amp;"_"&amp;RSD_Commodities!$C$26&amp;"_"&amp;SETUP!$B$67</f>
        <v>SH_Det-C_RSDSMF_X0</v>
      </c>
      <c r="O64" s="840" t="str">
        <f>RSD_Commodities!$N$31&amp;"_"&amp;RSD_Commodities!$D$26&amp;"_"&amp;SETUP!$C$67</f>
        <v>Residential Space Heating Detached-C_Solid Multi-Fuel_Existing 00</v>
      </c>
      <c r="P64" s="935" t="str">
        <f>RSD_Commodities!$C$6&amp;","&amp;RSD_Commodities!$C$7&amp;","&amp;RSD_Commodities!$C$9&amp;","&amp;RSD_Commodities!$C$10&amp;","&amp;RSD_Commodities!$C$19</f>
        <v>RSDCOABIT,RSDCOAHAR,RSDCOALIG,RSDPEA,RSDBIOWOO</v>
      </c>
      <c r="Q64" s="935" t="str">
        <f>RSD_Commodities!$M$13</f>
        <v>SH_Apt-C</v>
      </c>
      <c r="R64" s="1001">
        <f t="shared" si="44"/>
        <v>2.6582420840617939E-3</v>
      </c>
      <c r="S64" s="937">
        <f>R64*DwellingStocks!$I$66/1000</f>
        <v>0.1891721426737292</v>
      </c>
      <c r="T64" s="933">
        <v>1</v>
      </c>
      <c r="U64" s="933">
        <f t="shared" si="31"/>
        <v>0.68789473684210523</v>
      </c>
      <c r="V64" s="935">
        <v>20</v>
      </c>
      <c r="W64" s="935">
        <v>1</v>
      </c>
      <c r="X64" s="840"/>
      <c r="Y64" s="928">
        <f t="shared" si="41"/>
        <v>4.7522815036800517E-4</v>
      </c>
      <c r="Z64" s="929">
        <f t="shared" si="42"/>
        <v>5.2497873948170639E-4</v>
      </c>
      <c r="AA64" s="840"/>
      <c r="AB64" s="840" t="s">
        <v>393</v>
      </c>
      <c r="AC64" s="840" t="str">
        <f t="shared" si="43"/>
        <v>SH_Det-C_RSDSMF_X0</v>
      </c>
      <c r="AD64" s="840" t="str">
        <f t="shared" si="43"/>
        <v>Residential Space Heating Detached-C_Solid Multi-Fuel_Existing 00</v>
      </c>
      <c r="AE64" s="840" t="s">
        <v>53</v>
      </c>
      <c r="AF64" s="840" t="s">
        <v>406</v>
      </c>
      <c r="AG64" s="840"/>
      <c r="AH64" s="840"/>
      <c r="AI64" s="840"/>
      <c r="AJ64" s="840"/>
      <c r="AK64" s="840"/>
      <c r="AL64" s="840"/>
      <c r="AM64" s="840"/>
      <c r="AN64" s="840"/>
    </row>
    <row r="65" spans="1:40">
      <c r="A65" s="757" t="s">
        <v>116</v>
      </c>
      <c r="B65" s="757" t="s">
        <v>669</v>
      </c>
      <c r="C65" s="757">
        <f>SUMIFS(INDEX(Table91517[],,MATCH(C$6,Table91517[#Headers],0)),Table91517[MainSpaceHeatingFuel],$B65,Table91517[EnergyRating (group)],$A65)</f>
        <v>353470</v>
      </c>
      <c r="D65" s="757">
        <f>SUMIFS(INDEX(Table91517[],,MATCH(D$6,Table91517[#Headers],0)),Table91517[MainSpaceHeatingFuel],$B65,Table91517[EnergyRating (group)],$A65)</f>
        <v>294559</v>
      </c>
      <c r="E65" s="760">
        <f>SUMIFS(INDEX(Table91517[],,MATCH(E$6,Table91517[#Headers],0)),Table91517[MainSpaceHeatingFuel],$B65,Table91517[EnergyRating (group)],$A65)</f>
        <v>30964</v>
      </c>
      <c r="F65" s="760">
        <f>SUMIFS(INDEX(Table91517[],,MATCH(F$6,Table91517[#Headers],0)),Table91517[MainSpaceHeatingFuel],$B65,Table91517[EnergyRating (group)],$A65)</f>
        <v>26825</v>
      </c>
      <c r="G65" s="757">
        <f>SUMIFS(INDEX(Table91517[],,MATCH(G$6,Table91517[#Headers],0)),Table91517[MainSpaceHeatingFuel],$B65,Table91517[EnergyRating (group)],$A65)</f>
        <v>12</v>
      </c>
      <c r="H65" s="757">
        <f>SUMIFS(INDEX(Table91517[],,MATCH(H$6,Table91517[#Headers],0)),Table91517[MainSpaceHeatingFuel],$B65,Table91517[EnergyRating (group)],$A65)</f>
        <v>2563</v>
      </c>
      <c r="I65" s="912">
        <f>AVERAGEIFS(INDEX(Table91517[],,MATCH(I$6,Table91517[#Headers],0)),Table91517[MainSpaceHeatingFuel],$B65,Table91517[EnergyRating (group)],$A65)</f>
        <v>69.571428571428569</v>
      </c>
      <c r="J65" s="847">
        <f>SUMIFS(INDEX(Table91517[],,MATCH(J$6,Table91517[#Headers],0)),Table91517[MainSpaceHeatingFuel],$B65,Table91517[EnergyRating (group)],$A65)</f>
        <v>538717</v>
      </c>
      <c r="K65" s="847">
        <f>SUMIFS(INDEX(Table91517[],,MATCH(K$6,Table91517[#Headers],0)),Table91517[MainSpaceHeatingFuel],$B65,Table91517[EnergyRating (group)],$A65)</f>
        <v>413265</v>
      </c>
      <c r="M65" s="840"/>
      <c r="N65" s="914" t="str">
        <f>RSD_Commodities!$M$31&amp;"_"&amp;RIGHT(P65,LEN(P65)-3)&amp;"_"&amp;SETUP!$B$67</f>
        <v>SH_Det-C_COAHAR_X0</v>
      </c>
      <c r="O65" s="914" t="str">
        <f>RSD_Commodities!$N$31&amp;"_"&amp;RSD_Commodities!D7&amp;"_"&amp;SETUP!$C$67</f>
        <v>Residential Space Heating Detached-C_Anthracite + Manufactured Ovoids to Residential_Existing 00</v>
      </c>
      <c r="P65" s="930" t="str">
        <f>RSD_Commodities!$C$7</f>
        <v>RSDCOAHAR</v>
      </c>
      <c r="Q65" s="930" t="str">
        <f>RSD_Commodities!$M$13</f>
        <v>SH_Apt-C</v>
      </c>
      <c r="R65" s="1000">
        <f t="shared" si="44"/>
        <v>1.2268809618746742E-4</v>
      </c>
      <c r="S65" s="932">
        <f>R65*DwellingStocks!$I$66/1000</f>
        <v>8.7310219695567338E-3</v>
      </c>
      <c r="T65" s="914">
        <v>1</v>
      </c>
      <c r="U65" s="914">
        <f t="shared" si="31"/>
        <v>0.69571428571428573</v>
      </c>
      <c r="V65" s="930">
        <v>20</v>
      </c>
      <c r="W65" s="930">
        <v>1</v>
      </c>
      <c r="X65" s="840"/>
      <c r="Y65" s="926">
        <f t="shared" si="41"/>
        <v>1.1531551087660363E-6</v>
      </c>
      <c r="Z65" s="927">
        <f t="shared" si="42"/>
        <v>1.3793842602100991E-6</v>
      </c>
      <c r="AA65" s="840"/>
      <c r="AB65" s="914" t="s">
        <v>393</v>
      </c>
      <c r="AC65" s="914" t="str">
        <f t="shared" si="43"/>
        <v>SH_Det-C_COAHAR_X0</v>
      </c>
      <c r="AD65" s="914" t="str">
        <f t="shared" si="43"/>
        <v>Residential Space Heating Detached-C_Anthracite + Manufactured Ovoids to Residential_Existing 00</v>
      </c>
      <c r="AE65" s="914" t="s">
        <v>53</v>
      </c>
      <c r="AF65" s="914" t="s">
        <v>406</v>
      </c>
      <c r="AG65" s="914"/>
      <c r="AH65" s="914"/>
      <c r="AI65" s="840"/>
      <c r="AJ65" s="840"/>
      <c r="AK65" s="840"/>
      <c r="AL65" s="840"/>
      <c r="AM65" s="840"/>
      <c r="AN65" s="840"/>
    </row>
    <row r="66" spans="1:40">
      <c r="A66" s="758" t="s">
        <v>116</v>
      </c>
      <c r="B66" s="758" t="s">
        <v>666</v>
      </c>
      <c r="C66" s="758">
        <f>SUMIFS(INDEX(Table91517[],,MATCH(C$6,Table91517[#Headers],0)),Table91517[MainSpaceHeatingFuel],$B66,Table91517[EnergyRating (group)],$A66)</f>
        <v>574971</v>
      </c>
      <c r="D66" s="758">
        <f>SUMIFS(INDEX(Table91517[],,MATCH(D$6,Table91517[#Headers],0)),Table91517[MainSpaceHeatingFuel],$B66,Table91517[EnergyRating (group)],$A66)</f>
        <v>522704</v>
      </c>
      <c r="E66" s="758">
        <f>SUMIFS(INDEX(Table91517[],,MATCH(E$6,Table91517[#Headers],0)),Table91517[MainSpaceHeatingFuel],$B66,Table91517[EnergyRating (group)],$A66)</f>
        <v>92920</v>
      </c>
      <c r="F66" s="758">
        <f>SUMIFS(INDEX(Table91517[],,MATCH(F$6,Table91517[#Headers],0)),Table91517[MainSpaceHeatingFuel],$B66,Table91517[EnergyRating (group)],$A66)</f>
        <v>82259</v>
      </c>
      <c r="G66" s="758">
        <f>SUMIFS(INDEX(Table91517[],,MATCH(G$6,Table91517[#Headers],0)),Table91517[MainSpaceHeatingFuel],$B66,Table91517[EnergyRating (group)],$A66)</f>
        <v>29</v>
      </c>
      <c r="H66" s="758">
        <f>SUMIFS(INDEX(Table91517[],,MATCH(H$6,Table91517[#Headers],0)),Table91517[MainSpaceHeatingFuel],$B66,Table91517[EnergyRating (group)],$A66)</f>
        <v>4900</v>
      </c>
      <c r="I66" s="911">
        <f>AVERAGEIFS(INDEX(Table91517[],,MATCH(I$6,Table91517[#Headers],0)),Table91517[MainSpaceHeatingFuel],$B66,Table91517[EnergyRating (group)],$A66)</f>
        <v>77.10526315789474</v>
      </c>
      <c r="J66" s="849">
        <f>SUMIFS(INDEX(Table91517[],,MATCH(J$6,Table91517[#Headers],0)),Table91517[MainSpaceHeatingFuel],$B66,Table91517[EnergyRating (group)],$A66)</f>
        <v>977815</v>
      </c>
      <c r="K66" s="849">
        <f>SUMIFS(INDEX(Table91517[],,MATCH(K$6,Table91517[#Headers],0)),Table91517[MainSpaceHeatingFuel],$B66,Table91517[EnergyRating (group)],$A66)</f>
        <v>811653</v>
      </c>
      <c r="M66" s="840"/>
      <c r="N66" s="933" t="str">
        <f>RSD_Commodities!$M$31&amp;"_"&amp;RIGHT(P66,LEN(P66)-3)&amp;"_"&amp;SETUP!$B$67</f>
        <v>SH_Det-C_COABIT_X0</v>
      </c>
      <c r="O66" s="933" t="str">
        <f>RSD_Commodities!$N$31&amp;"_"&amp;RSD_Commodities!D6&amp;"_"&amp;SETUP!$C$67</f>
        <v>Residential Space Heating Detached-C_Bituminous Coal to Residential_Existing 00</v>
      </c>
      <c r="P66" s="935" t="str">
        <f>RSD_Commodities!$C$6</f>
        <v>RSDCOABIT</v>
      </c>
      <c r="Q66" s="935" t="str">
        <f>RSD_Commodities!$M$13</f>
        <v>SH_Apt-C</v>
      </c>
      <c r="R66" s="1001">
        <f t="shared" si="44"/>
        <v>2.9649623245304622E-4</v>
      </c>
      <c r="S66" s="937">
        <f>R66*DwellingStocks!$I$66/1000</f>
        <v>2.1099969759762104E-2</v>
      </c>
      <c r="T66" s="933">
        <v>1</v>
      </c>
      <c r="U66" s="933">
        <f t="shared" si="31"/>
        <v>0.77105263157894743</v>
      </c>
      <c r="V66" s="935">
        <v>20</v>
      </c>
      <c r="W66" s="935">
        <v>1</v>
      </c>
      <c r="X66" s="840"/>
      <c r="Y66" s="928">
        <f t="shared" si="41"/>
        <v>5.2457675366198483E-6</v>
      </c>
      <c r="Z66" s="929">
        <f t="shared" si="42"/>
        <v>5.7914300970481949E-6</v>
      </c>
      <c r="AA66" s="840"/>
      <c r="AB66" s="933" t="s">
        <v>393</v>
      </c>
      <c r="AC66" s="933" t="str">
        <f t="shared" si="43"/>
        <v>SH_Det-C_COABIT_X0</v>
      </c>
      <c r="AD66" s="933" t="str">
        <f t="shared" si="43"/>
        <v>Residential Space Heating Detached-C_Bituminous Coal to Residential_Existing 00</v>
      </c>
      <c r="AE66" s="933" t="s">
        <v>53</v>
      </c>
      <c r="AF66" s="933" t="s">
        <v>406</v>
      </c>
      <c r="AG66" s="933"/>
      <c r="AH66" s="933"/>
      <c r="AI66" s="840"/>
      <c r="AJ66" s="840"/>
      <c r="AK66" s="840"/>
      <c r="AL66" s="840"/>
      <c r="AM66" s="840"/>
      <c r="AN66" s="840"/>
    </row>
    <row r="67" spans="1:40">
      <c r="A67" s="757" t="s">
        <v>116</v>
      </c>
      <c r="B67" s="757" t="s">
        <v>667</v>
      </c>
      <c r="C67" s="757">
        <f>SUMIFS(INDEX(Table91517[],,MATCH(C$6,Table91517[#Headers],0)),Table91517[MainSpaceHeatingFuel],$B67,Table91517[EnergyRating (group)],$A67)</f>
        <v>18083</v>
      </c>
      <c r="D67" s="757">
        <f>SUMIFS(INDEX(Table91517[],,MATCH(D$6,Table91517[#Headers],0)),Table91517[MainSpaceHeatingFuel],$B67,Table91517[EnergyRating (group)],$A67)</f>
        <v>16439</v>
      </c>
      <c r="E67" s="757">
        <f>SUMIFS(INDEX(Table91517[],,MATCH(E$6,Table91517[#Headers],0)),Table91517[MainSpaceHeatingFuel],$B67,Table91517[EnergyRating (group)],$A67)</f>
        <v>1789</v>
      </c>
      <c r="F67" s="757">
        <f>SUMIFS(INDEX(Table91517[],,MATCH(F$6,Table91517[#Headers],0)),Table91517[MainSpaceHeatingFuel],$B67,Table91517[EnergyRating (group)],$A67)</f>
        <v>1626</v>
      </c>
      <c r="G67" s="757">
        <f>SUMIFS(INDEX(Table91517[],,MATCH(G$6,Table91517[#Headers],0)),Table91517[MainSpaceHeatingFuel],$B67,Table91517[EnergyRating (group)],$A67)</f>
        <v>1</v>
      </c>
      <c r="H67" s="757">
        <f>SUMIFS(INDEX(Table91517[],,MATCH(H$6,Table91517[#Headers],0)),Table91517[MainSpaceHeatingFuel],$B67,Table91517[EnergyRating (group)],$A67)</f>
        <v>155</v>
      </c>
      <c r="I67" s="912">
        <f>AVERAGEIFS(INDEX(Table91517[],,MATCH(I$6,Table91517[#Headers],0)),Table91517[MainSpaceHeatingFuel],$B67,Table91517[EnergyRating (group)],$A67)</f>
        <v>65</v>
      </c>
      <c r="J67" s="847">
        <f>SUMIFS(INDEX(Table91517[],,MATCH(J$6,Table91517[#Headers],0)),Table91517[MainSpaceHeatingFuel],$B67,Table91517[EnergyRating (group)],$A67)</f>
        <v>28313</v>
      </c>
      <c r="K67" s="847">
        <f>SUMIFS(INDEX(Table91517[],,MATCH(K$6,Table91517[#Headers],0)),Table91517[MainSpaceHeatingFuel],$B67,Table91517[EnergyRating (group)],$A67)</f>
        <v>23176</v>
      </c>
      <c r="M67" s="840"/>
      <c r="N67" s="914" t="str">
        <f>RSD_Commodities!$M$31&amp;"_"&amp;RIGHT(P67,LEN(P67)-3)&amp;"_"&amp;SETUP!$B$68</f>
        <v>SH_Det-C_PEA_X1</v>
      </c>
      <c r="O67" s="914" t="str">
        <f>RSD_Commodities!$N$31&amp;"_"&amp;RSD_Commodities!D10&amp;"_"&amp;SETUP!$C$68</f>
        <v>Residential Space Heating Detached-C_Peat to Residential_Existing 01</v>
      </c>
      <c r="P67" s="930" t="str">
        <f>RSD_Commodities!$C$10</f>
        <v>RSDPEA</v>
      </c>
      <c r="Q67" s="930" t="str">
        <f>RSD_Commodities!$M$13</f>
        <v>SH_Apt-C</v>
      </c>
      <c r="R67" s="1000">
        <f t="shared" si="44"/>
        <v>1.0224008015622284E-5</v>
      </c>
      <c r="S67" s="932">
        <f>R67*DwellingStocks!$I$66/1000</f>
        <v>7.275851641297276E-4</v>
      </c>
      <c r="T67" s="914">
        <v>1</v>
      </c>
      <c r="U67" s="914">
        <f t="shared" si="31"/>
        <v>0.65</v>
      </c>
      <c r="V67" s="930">
        <v>20</v>
      </c>
      <c r="W67" s="930">
        <v>1</v>
      </c>
      <c r="X67" s="840"/>
      <c r="Y67" s="926">
        <f t="shared" si="41"/>
        <v>5.4015723246589856E-9</v>
      </c>
      <c r="Z67" s="927">
        <f t="shared" si="42"/>
        <v>5.9418790609257331E-9</v>
      </c>
      <c r="AA67" s="840"/>
      <c r="AB67" s="914" t="s">
        <v>393</v>
      </c>
      <c r="AC67" s="914" t="str">
        <f t="shared" si="43"/>
        <v>SH_Det-C_PEA_X1</v>
      </c>
      <c r="AD67" s="914" t="str">
        <f t="shared" si="43"/>
        <v>Residential Space Heating Detached-C_Peat to Residential_Existing 01</v>
      </c>
      <c r="AE67" s="914" t="s">
        <v>53</v>
      </c>
      <c r="AF67" s="914" t="s">
        <v>406</v>
      </c>
      <c r="AG67" s="914"/>
      <c r="AH67" s="914"/>
      <c r="AI67" s="840"/>
      <c r="AJ67" s="840"/>
      <c r="AK67" s="840"/>
      <c r="AL67" s="840"/>
      <c r="AM67" s="840"/>
      <c r="AN67" s="840"/>
    </row>
    <row r="68" spans="1:40">
      <c r="A68" s="758" t="s">
        <v>116</v>
      </c>
      <c r="B68" s="758" t="s">
        <v>671</v>
      </c>
      <c r="C68" s="758">
        <f>SUMIFS(INDEX(Table91517[],,MATCH(C$6,Table91517[#Headers],0)),Table91517[MainSpaceHeatingFuel],$B68,Table91517[EnergyRating (group)],$A68)</f>
        <v>474772</v>
      </c>
      <c r="D68" s="758">
        <f>SUMIFS(INDEX(Table91517[],,MATCH(D$6,Table91517[#Headers],0)),Table91517[MainSpaceHeatingFuel],$B68,Table91517[EnergyRating (group)],$A68)</f>
        <v>431611</v>
      </c>
      <c r="E68" s="759">
        <f>SUMIFS(INDEX(Table91517[],,MATCH(E$6,Table91517[#Headers],0)),Table91517[MainSpaceHeatingFuel],$B68,Table91517[EnergyRating (group)],$A68)</f>
        <v>56260</v>
      </c>
      <c r="F68" s="759">
        <f>SUMIFS(INDEX(Table91517[],,MATCH(F$6,Table91517[#Headers],0)),Table91517[MainSpaceHeatingFuel],$B68,Table91517[EnergyRating (group)],$A68)</f>
        <v>48307</v>
      </c>
      <c r="G68" s="758">
        <f>SUMIFS(INDEX(Table91517[],,MATCH(G$6,Table91517[#Headers],0)),Table91517[MainSpaceHeatingFuel],$B68,Table91517[EnergyRating (group)],$A68)</f>
        <v>15</v>
      </c>
      <c r="H68" s="758">
        <f>SUMIFS(INDEX(Table91517[],,MATCH(H$6,Table91517[#Headers],0)),Table91517[MainSpaceHeatingFuel],$B68,Table91517[EnergyRating (group)],$A68)</f>
        <v>3441</v>
      </c>
      <c r="I68" s="911">
        <f>AVERAGEIFS(INDEX(Table91517[],,MATCH(I$6,Table91517[#Headers],0)),Table91517[MainSpaceHeatingFuel],$B68,Table91517[EnergyRating (group)],$A68)</f>
        <v>63.166666666666664</v>
      </c>
      <c r="J68" s="849">
        <f>SUMIFS(INDEX(Table91517[],,MATCH(J$6,Table91517[#Headers],0)),Table91517[MainSpaceHeatingFuel],$B68,Table91517[EnergyRating (group)],$A68)</f>
        <v>748752</v>
      </c>
      <c r="K68" s="849">
        <f>SUMIFS(INDEX(Table91517[],,MATCH(K$6,Table91517[#Headers],0)),Table91517[MainSpaceHeatingFuel],$B68,Table91517[EnergyRating (group)],$A68)</f>
        <v>619840</v>
      </c>
      <c r="M68" s="840"/>
      <c r="N68" s="840" t="str">
        <f>RSD_Commodities!$M$31&amp;"_"&amp;RIGHT(P68,LEN(P68)-3)&amp;"_"&amp;SETUP!$B$67</f>
        <v>SH_Det-C_PEA_X0</v>
      </c>
      <c r="O68" s="840" t="str">
        <f>RSD_Commodities!$N$31&amp;"_"&amp;RSD_Commodities!D10&amp;"_"&amp;SETUP!$C$67</f>
        <v>Residential Space Heating Detached-C_Peat to Residential_Existing 00</v>
      </c>
      <c r="P68" s="935" t="str">
        <f>RSD_Commodities!$C$10</f>
        <v>RSDPEA</v>
      </c>
      <c r="Q68" s="935" t="str">
        <f>RSD_Commodities!$M$13</f>
        <v>SH_Apt-C</v>
      </c>
      <c r="R68" s="1001">
        <f t="shared" si="44"/>
        <v>1.5336012023433427E-4</v>
      </c>
      <c r="S68" s="937">
        <f>R68*DwellingStocks!$I$66/1000</f>
        <v>1.0913777461945915E-2</v>
      </c>
      <c r="T68" s="933">
        <v>1</v>
      </c>
      <c r="U68" s="933">
        <f t="shared" si="31"/>
        <v>0.6316666666666666</v>
      </c>
      <c r="V68" s="935">
        <v>20</v>
      </c>
      <c r="W68" s="935">
        <v>1</v>
      </c>
      <c r="X68" s="840"/>
      <c r="Y68" s="928">
        <f t="shared" si="41"/>
        <v>2.1524869528693813E-6</v>
      </c>
      <c r="Z68" s="929">
        <f t="shared" si="42"/>
        <v>2.381739071166602E-6</v>
      </c>
      <c r="AA68" s="840"/>
      <c r="AB68" s="933" t="s">
        <v>393</v>
      </c>
      <c r="AC68" s="933" t="str">
        <f t="shared" si="43"/>
        <v>SH_Det-C_PEA_X0</v>
      </c>
      <c r="AD68" s="933" t="str">
        <f t="shared" si="43"/>
        <v>Residential Space Heating Detached-C_Peat to Residential_Existing 00</v>
      </c>
      <c r="AE68" s="933" t="s">
        <v>53</v>
      </c>
      <c r="AF68" s="933" t="s">
        <v>406</v>
      </c>
      <c r="AG68" s="933"/>
      <c r="AH68" s="933"/>
      <c r="AI68" s="840"/>
      <c r="AJ68" s="840"/>
      <c r="AK68" s="840"/>
      <c r="AL68" s="840"/>
      <c r="AM68" s="840"/>
      <c r="AN68" s="840"/>
    </row>
    <row r="69" spans="1:40">
      <c r="A69" s="757" t="s">
        <v>116</v>
      </c>
      <c r="B69" s="757" t="s">
        <v>668</v>
      </c>
      <c r="C69" s="757">
        <f>SUMIFS(INDEX(Table91517[],,MATCH(C$6,Table91517[#Headers],0)),Table91517[MainSpaceHeatingFuel],$B69,Table91517[EnergyRating (group)],$A69)</f>
        <v>495268</v>
      </c>
      <c r="D69" s="757">
        <f>SUMIFS(INDEX(Table91517[],,MATCH(D$6,Table91517[#Headers],0)),Table91517[MainSpaceHeatingFuel],$B69,Table91517[EnergyRating (group)],$A69)</f>
        <v>450245</v>
      </c>
      <c r="E69" s="760">
        <f>SUMIFS(INDEX(Table91517[],,MATCH(E$6,Table91517[#Headers],0)),Table91517[MainSpaceHeatingFuel],$B69,Table91517[EnergyRating (group)],$A69)</f>
        <v>57814</v>
      </c>
      <c r="F69" s="760">
        <f>SUMIFS(INDEX(Table91517[],,MATCH(F$6,Table91517[#Headers],0)),Table91517[MainSpaceHeatingFuel],$B69,Table91517[EnergyRating (group)],$A69)</f>
        <v>48324</v>
      </c>
      <c r="G69" s="757">
        <f>SUMIFS(INDEX(Table91517[],,MATCH(G$6,Table91517[#Headers],0)),Table91517[MainSpaceHeatingFuel],$B69,Table91517[EnergyRating (group)],$A69)</f>
        <v>29</v>
      </c>
      <c r="H69" s="757">
        <f>SUMIFS(INDEX(Table91517[],,MATCH(H$6,Table91517[#Headers],0)),Table91517[MainSpaceHeatingFuel],$B69,Table91517[EnergyRating (group)],$A69)</f>
        <v>3970</v>
      </c>
      <c r="I69" s="912">
        <f>AVERAGEIFS(INDEX(Table91517[],,MATCH(I$6,Table91517[#Headers],0)),Table91517[MainSpaceHeatingFuel],$B69,Table91517[EnergyRating (group)],$A69)</f>
        <v>80.705882352941174</v>
      </c>
      <c r="J69" s="847">
        <f>SUMIFS(INDEX(Table91517[],,MATCH(J$6,Table91517[#Headers],0)),Table91517[MainSpaceHeatingFuel],$B69,Table91517[EnergyRating (group)],$A69)</f>
        <v>813094</v>
      </c>
      <c r="K69" s="847">
        <f>SUMIFS(INDEX(Table91517[],,MATCH(K$6,Table91517[#Headers],0)),Table91517[MainSpaceHeatingFuel],$B69,Table91517[EnergyRating (group)],$A69)</f>
        <v>662936</v>
      </c>
      <c r="M69" s="840"/>
      <c r="N69" s="914" t="str">
        <f>RSD_Commodities!$M$31&amp;"_"&amp;RIGHT(P69,LEN(P69)-3)&amp;"_"&amp;SETUP!$B$69</f>
        <v>SH_Det-C_BIOWOO_X2</v>
      </c>
      <c r="O69" s="914" t="str">
        <f>RSD_Commodities!$N$31&amp;"_"&amp;RSD_Commodities!D19&amp;"_"&amp;SETUP!$C$69</f>
        <v>Residential Space Heating Detached-C_Biomass &amp; Renewable Waste to Residential_Existing 02</v>
      </c>
      <c r="P69" s="930" t="str">
        <f>RSD_Commodities!$C$19</f>
        <v>RSDBIOWOO</v>
      </c>
      <c r="Q69" s="930" t="str">
        <f>RSD_Commodities!$M$13</f>
        <v>SH_Apt-C</v>
      </c>
      <c r="R69" s="1000">
        <f t="shared" si="44"/>
        <v>2.9649623245304622E-4</v>
      </c>
      <c r="S69" s="932">
        <f>R69*DwellingStocks!$I$66/1000</f>
        <v>2.1099969759762104E-2</v>
      </c>
      <c r="T69" s="914">
        <v>1</v>
      </c>
      <c r="U69" s="914">
        <f t="shared" si="31"/>
        <v>0.80705882352941172</v>
      </c>
      <c r="V69" s="930">
        <v>20</v>
      </c>
      <c r="W69" s="930">
        <v>1</v>
      </c>
      <c r="X69" s="840"/>
      <c r="Y69" s="926">
        <f t="shared" si="41"/>
        <v>4.323201708145822E-6</v>
      </c>
      <c r="Z69" s="927">
        <f t="shared" si="42"/>
        <v>4.7958959484940051E-6</v>
      </c>
      <c r="AA69" s="840"/>
      <c r="AB69" s="914" t="s">
        <v>393</v>
      </c>
      <c r="AC69" s="914" t="str">
        <f t="shared" si="43"/>
        <v>SH_Det-C_BIOWOO_X2</v>
      </c>
      <c r="AD69" s="914" t="str">
        <f t="shared" si="43"/>
        <v>Residential Space Heating Detached-C_Biomass &amp; Renewable Waste to Residential_Existing 02</v>
      </c>
      <c r="AE69" s="914" t="s">
        <v>53</v>
      </c>
      <c r="AF69" s="914" t="s">
        <v>406</v>
      </c>
      <c r="AG69" s="914"/>
      <c r="AH69" s="914"/>
      <c r="AI69" s="840"/>
      <c r="AJ69" s="840"/>
      <c r="AK69" s="840"/>
      <c r="AL69" s="840"/>
      <c r="AM69" s="840"/>
      <c r="AN69" s="840"/>
    </row>
    <row r="70" spans="1:40">
      <c r="A70" s="758" t="s">
        <v>116</v>
      </c>
      <c r="B70" s="758" t="s">
        <v>722</v>
      </c>
      <c r="C70" s="758">
        <f>SUMIFS(INDEX(Table91517[],,MATCH(C$6,Table91517[#Headers],0)),Table91517[MainSpaceHeatingFuel],$B70,Table91517[EnergyRating (group)],$A70)</f>
        <v>178133</v>
      </c>
      <c r="D70" s="758">
        <f>SUMIFS(INDEX(Table91517[],,MATCH(D$6,Table91517[#Headers],0)),Table91517[MainSpaceHeatingFuel],$B70,Table91517[EnergyRating (group)],$A70)</f>
        <v>161940</v>
      </c>
      <c r="E70" s="758">
        <f>SUMIFS(INDEX(Table91517[],,MATCH(E$6,Table91517[#Headers],0)),Table91517[MainSpaceHeatingFuel],$B70,Table91517[EnergyRating (group)],$A70)</f>
        <v>27286</v>
      </c>
      <c r="F70" s="758">
        <f>SUMIFS(INDEX(Table91517[],,MATCH(F$6,Table91517[#Headers],0)),Table91517[MainSpaceHeatingFuel],$B70,Table91517[EnergyRating (group)],$A70)</f>
        <v>24581</v>
      </c>
      <c r="G70" s="758">
        <f>SUMIFS(INDEX(Table91517[],,MATCH(G$6,Table91517[#Headers],0)),Table91517[MainSpaceHeatingFuel],$B70,Table91517[EnergyRating (group)],$A70)</f>
        <v>7</v>
      </c>
      <c r="H70" s="758">
        <f>SUMIFS(INDEX(Table91517[],,MATCH(H$6,Table91517[#Headers],0)),Table91517[MainSpaceHeatingFuel],$B70,Table91517[EnergyRating (group)],$A70)</f>
        <v>1715</v>
      </c>
      <c r="I70" s="911">
        <f>AVERAGEIFS(INDEX(Table91517[],,MATCH(I$6,Table91517[#Headers],0)),Table91517[MainSpaceHeatingFuel],$B70,Table91517[EnergyRating (group)],$A70)</f>
        <v>74.5</v>
      </c>
      <c r="J70" s="849">
        <f>SUMIFS(INDEX(Table91517[],,MATCH(J$6,Table91517[#Headers],0)),Table91517[MainSpaceHeatingFuel],$B70,Table91517[EnergyRating (group)],$A70)</f>
        <v>293280</v>
      </c>
      <c r="K70" s="849">
        <f>SUMIFS(INDEX(Table91517[],,MATCH(K$6,Table91517[#Headers],0)),Table91517[MainSpaceHeatingFuel],$B70,Table91517[EnergyRating (group)],$A70)</f>
        <v>243684</v>
      </c>
      <c r="M70" s="840"/>
      <c r="N70" s="933" t="str">
        <f>RSD_Commodities!$M$31&amp;"_"&amp;RIGHT(P70,LEN(P70)-3)&amp;"_"&amp;SETUP!$B$68</f>
        <v>SH_Det-C_BIOWOO_X1</v>
      </c>
      <c r="O70" s="933" t="str">
        <f>RSD_Commodities!$N$31&amp;"_"&amp;RSD_Commodities!D19&amp;"_"&amp;SETUP!$C$68</f>
        <v>Residential Space Heating Detached-C_Biomass &amp; Renewable Waste to Residential_Existing 01</v>
      </c>
      <c r="P70" s="935" t="str">
        <f>RSD_Commodities!$C$19</f>
        <v>RSDBIOWOO</v>
      </c>
      <c r="Q70" s="935" t="str">
        <f>RSD_Commodities!$M$13</f>
        <v>SH_Apt-C</v>
      </c>
      <c r="R70" s="1001">
        <f t="shared" si="44"/>
        <v>7.1568056109355988E-5</v>
      </c>
      <c r="S70" s="937">
        <f>R70*DwellingStocks!$I$66/1000</f>
        <v>5.0930961489080943E-3</v>
      </c>
      <c r="T70" s="933">
        <v>1</v>
      </c>
      <c r="U70" s="933">
        <f t="shared" si="31"/>
        <v>0.745</v>
      </c>
      <c r="V70" s="935">
        <v>20</v>
      </c>
      <c r="W70" s="935">
        <v>1</v>
      </c>
      <c r="X70" s="840"/>
      <c r="Y70" s="928">
        <f t="shared" si="41"/>
        <v>3.9039837813307676E-7</v>
      </c>
      <c r="Z70" s="929">
        <f t="shared" si="42"/>
        <v>4.2995289773118577E-7</v>
      </c>
      <c r="AA70" s="840"/>
      <c r="AB70" s="933" t="s">
        <v>393</v>
      </c>
      <c r="AC70" s="933" t="str">
        <f t="shared" si="43"/>
        <v>SH_Det-C_BIOWOO_X1</v>
      </c>
      <c r="AD70" s="933" t="str">
        <f t="shared" si="43"/>
        <v>Residential Space Heating Detached-C_Biomass &amp; Renewable Waste to Residential_Existing 01</v>
      </c>
      <c r="AE70" s="933" t="s">
        <v>53</v>
      </c>
      <c r="AF70" s="933" t="s">
        <v>406</v>
      </c>
      <c r="AG70" s="933"/>
      <c r="AH70" s="933"/>
      <c r="AI70" s="840"/>
      <c r="AJ70" s="840"/>
      <c r="AK70" s="840"/>
      <c r="AL70" s="840"/>
      <c r="AM70" s="840"/>
      <c r="AN70" s="840"/>
    </row>
    <row r="71" spans="1:40">
      <c r="A71" s="757" t="s">
        <v>116</v>
      </c>
      <c r="B71" s="757" t="s">
        <v>673</v>
      </c>
      <c r="C71" s="757">
        <f>SUMIFS(INDEX(Table91517[],,MATCH(C$6,Table91517[#Headers],0)),Table91517[MainSpaceHeatingFuel],$B71,Table91517[EnergyRating (group)],$A71)</f>
        <v>958978</v>
      </c>
      <c r="D71" s="757">
        <f>SUMIFS(INDEX(Table91517[],,MATCH(D$6,Table91517[#Headers],0)),Table91517[MainSpaceHeatingFuel],$B71,Table91517[EnergyRating (group)],$A71)</f>
        <v>871802</v>
      </c>
      <c r="E71" s="760">
        <f>SUMIFS(INDEX(Table91517[],,MATCH(E$6,Table91517[#Headers],0)),Table91517[MainSpaceHeatingFuel],$B71,Table91517[EnergyRating (group)],$A71)</f>
        <v>142756</v>
      </c>
      <c r="F71" s="760">
        <f>SUMIFS(INDEX(Table91517[],,MATCH(F$6,Table91517[#Headers],0)),Table91517[MainSpaceHeatingFuel],$B71,Table91517[EnergyRating (group)],$A71)</f>
        <v>122902</v>
      </c>
      <c r="G71" s="757">
        <f>SUMIFS(INDEX(Table91517[],,MATCH(G$6,Table91517[#Headers],0)),Table91517[MainSpaceHeatingFuel],$B71,Table91517[EnergyRating (group)],$A71)</f>
        <v>41</v>
      </c>
      <c r="H71" s="757">
        <f>SUMIFS(INDEX(Table91517[],,MATCH(H$6,Table91517[#Headers],0)),Table91517[MainSpaceHeatingFuel],$B71,Table91517[EnergyRating (group)],$A71)</f>
        <v>7302</v>
      </c>
      <c r="I71" s="912">
        <f>AVERAGEIFS(INDEX(Table91517[],,MATCH(I$6,Table91517[#Headers],0)),Table91517[MainSpaceHeatingFuel],$B71,Table91517[EnergyRating (group)],$A71)</f>
        <v>71.19047619047619</v>
      </c>
      <c r="J71" s="847">
        <f>SUMIFS(INDEX(Table91517[],,MATCH(J$6,Table91517[#Headers],0)),Table91517[MainSpaceHeatingFuel],$B71,Table91517[EnergyRating (group)],$A71)</f>
        <v>1545673</v>
      </c>
      <c r="K71" s="847">
        <f>SUMIFS(INDEX(Table91517[],,MATCH(K$6,Table91517[#Headers],0)),Table91517[MainSpaceHeatingFuel],$B71,Table91517[EnergyRating (group)],$A71)</f>
        <v>1276091</v>
      </c>
      <c r="M71" s="840"/>
      <c r="N71" s="914" t="str">
        <f>RSD_Commodities!$M$31&amp;"_"&amp;RIGHT(P71,LEN(P71)-3)&amp;"_"&amp;SETUP!$B$68</f>
        <v>SH_Det-C_BIOWOO_X1</v>
      </c>
      <c r="O71" s="914" t="str">
        <f>RSD_Commodities!$N$31&amp;"_"&amp;RSD_Commodities!D19&amp;"_"&amp;SETUP!$C$68</f>
        <v>Residential Space Heating Detached-C_Biomass &amp; Renewable Waste to Residential_Existing 01</v>
      </c>
      <c r="P71" s="930" t="str">
        <f>RSD_Commodities!$C$19</f>
        <v>RSDBIOWOO</v>
      </c>
      <c r="Q71" s="930" t="str">
        <f>RSD_Commodities!$M$13</f>
        <v>SH_Apt-C</v>
      </c>
      <c r="R71" s="1000">
        <f t="shared" si="44"/>
        <v>4.1918432864051364E-4</v>
      </c>
      <c r="S71" s="932">
        <f>R71*DwellingStocks!$I$66/1000</f>
        <v>2.9830991729318836E-2</v>
      </c>
      <c r="T71" s="914">
        <v>1</v>
      </c>
      <c r="U71" s="914">
        <f t="shared" si="31"/>
        <v>0.71190476190476193</v>
      </c>
      <c r="V71" s="930">
        <v>20</v>
      </c>
      <c r="W71" s="930">
        <v>1</v>
      </c>
      <c r="X71" s="840"/>
      <c r="Y71" s="926">
        <f t="shared" si="41"/>
        <v>1.2194386354980972E-5</v>
      </c>
      <c r="Z71" s="927">
        <f t="shared" si="42"/>
        <v>1.3506500482976452E-5</v>
      </c>
      <c r="AA71" s="840"/>
      <c r="AB71" s="914" t="s">
        <v>393</v>
      </c>
      <c r="AC71" s="914" t="str">
        <f t="shared" si="43"/>
        <v>SH_Det-C_BIOWOO_X1</v>
      </c>
      <c r="AD71" s="914" t="str">
        <f t="shared" si="43"/>
        <v>Residential Space Heating Detached-C_Biomass &amp; Renewable Waste to Residential_Existing 01</v>
      </c>
      <c r="AE71" s="914" t="s">
        <v>53</v>
      </c>
      <c r="AF71" s="914" t="s">
        <v>406</v>
      </c>
      <c r="AG71" s="914"/>
      <c r="AH71" s="914"/>
      <c r="AI71" s="840"/>
      <c r="AJ71" s="840"/>
      <c r="AK71" s="840"/>
      <c r="AL71" s="840"/>
      <c r="AM71" s="840"/>
      <c r="AN71" s="840"/>
    </row>
    <row r="72" spans="1:40" ht="15.75" thickBot="1">
      <c r="A72" s="1060" t="s">
        <v>116</v>
      </c>
      <c r="B72" s="758" t="s">
        <v>674</v>
      </c>
      <c r="C72" s="758">
        <f>SUMIFS(INDEX(Table91517[],,MATCH(C$6,Table91517[#Headers],0)),Table91517[MainSpaceHeatingFuel],$B72,Table91517[EnergyRating (group)],$A72)</f>
        <v>73659</v>
      </c>
      <c r="D72" s="758">
        <f>SUMIFS(INDEX(Table91517[],,MATCH(D$6,Table91517[#Headers],0)),Table91517[MainSpaceHeatingFuel],$B72,Table91517[EnergyRating (group)],$A72)</f>
        <v>66963</v>
      </c>
      <c r="E72" s="758">
        <f>SUMIFS(INDEX(Table91517[],,MATCH(E$6,Table91517[#Headers],0)),Table91517[MainSpaceHeatingFuel],$B72,Table91517[EnergyRating (group)],$A72)</f>
        <v>11858</v>
      </c>
      <c r="F72" s="758">
        <f>SUMIFS(INDEX(Table91517[],,MATCH(F$6,Table91517[#Headers],0)),Table91517[MainSpaceHeatingFuel],$B72,Table91517[EnergyRating (group)],$A72)</f>
        <v>10780</v>
      </c>
      <c r="G72" s="758">
        <f>SUMIFS(INDEX(Table91517[],,MATCH(G$6,Table91517[#Headers],0)),Table91517[MainSpaceHeatingFuel],$B72,Table91517[EnergyRating (group)],$A72)</f>
        <v>4</v>
      </c>
      <c r="H72" s="758">
        <f>SUMIFS(INDEX(Table91517[],,MATCH(H$6,Table91517[#Headers],0)),Table91517[MainSpaceHeatingFuel],$B72,Table91517[EnergyRating (group)],$A72)</f>
        <v>622</v>
      </c>
      <c r="I72" s="911">
        <f>AVERAGEIFS(INDEX(Table91517[],,MATCH(I$6,Table91517[#Headers],0)),Table91517[MainSpaceHeatingFuel],$B72,Table91517[EnergyRating (group)],$A72)</f>
        <v>83.5</v>
      </c>
      <c r="J72" s="849">
        <f>SUMIFS(INDEX(Table91517[],,MATCH(J$6,Table91517[#Headers],0)),Table91517[MainSpaceHeatingFuel],$B72,Table91517[EnergyRating (group)],$A72)</f>
        <v>128090</v>
      </c>
      <c r="K72" s="849">
        <f>SUMIFS(INDEX(Table91517[],,MATCH(K$6,Table91517[#Headers],0)),Table91517[MainSpaceHeatingFuel],$B72,Table91517[EnergyRating (group)],$A72)</f>
        <v>105141</v>
      </c>
      <c r="M72" s="840"/>
      <c r="N72" s="933" t="str">
        <f>RSD_Commodities!$M$31&amp;"_"&amp;RIGHT(P72,LEN(P72)-3)&amp;"_"&amp;SETUP!$B$68</f>
        <v>SH_Det-C_COAHAR_X1</v>
      </c>
      <c r="O72" s="933" t="str">
        <f>RSD_Commodities!$N$31&amp;"_"&amp;RSD_Commodities!D7&amp;"_"&amp;SETUP!$C$68</f>
        <v>Residential Space Heating Detached-C_Anthracite + Manufactured Ovoids to Residential_Existing 01</v>
      </c>
      <c r="P72" s="935" t="str">
        <f>RSD_Commodities!$C$7</f>
        <v>RSDCOAHAR</v>
      </c>
      <c r="Q72" s="935" t="str">
        <f>RSD_Commodities!$M$13</f>
        <v>SH_Apt-C</v>
      </c>
      <c r="R72" s="1001">
        <f t="shared" si="44"/>
        <v>4.0896032062489134E-5</v>
      </c>
      <c r="S72" s="937">
        <f>R72*DwellingStocks!$I$66/1000</f>
        <v>2.9103406565189104E-3</v>
      </c>
      <c r="T72" s="933">
        <v>1</v>
      </c>
      <c r="U72" s="933">
        <f t="shared" ref="U72" si="45">I72/100</f>
        <v>0.83499999999999996</v>
      </c>
      <c r="V72" s="935">
        <v>20</v>
      </c>
      <c r="W72" s="935">
        <v>1</v>
      </c>
      <c r="X72" s="840"/>
      <c r="Y72" s="928">
        <f t="shared" ref="Y72" si="46">ABS((D72+F72)*S72*1000*$B$2)</f>
        <v>9.2982991914965625E-8</v>
      </c>
      <c r="Z72" s="929">
        <f t="shared" ref="Z72" si="47">ABS((C72+E72)*S72*1000*$B$2)</f>
        <v>1.0228093229734015E-7</v>
      </c>
      <c r="AA72" s="840"/>
      <c r="AB72" s="933" t="s">
        <v>393</v>
      </c>
      <c r="AC72" s="933" t="str">
        <f t="shared" ref="AC72" si="48">N72</f>
        <v>SH_Det-C_COAHAR_X1</v>
      </c>
      <c r="AD72" s="933" t="str">
        <f t="shared" ref="AD72" si="49">O72</f>
        <v>Residential Space Heating Detached-C_Anthracite + Manufactured Ovoids to Residential_Existing 01</v>
      </c>
      <c r="AE72" s="933" t="s">
        <v>53</v>
      </c>
      <c r="AF72" s="933" t="s">
        <v>406</v>
      </c>
      <c r="AG72" s="933"/>
      <c r="AH72" s="933"/>
      <c r="AI72" s="840"/>
      <c r="AJ72" s="840"/>
      <c r="AK72" s="840"/>
      <c r="AL72" s="840"/>
      <c r="AM72" s="840"/>
      <c r="AN72" s="840"/>
    </row>
    <row r="73" spans="1:40" ht="15.75" thickBot="1">
      <c r="A73" s="756" t="s">
        <v>118</v>
      </c>
      <c r="B73" s="1048"/>
      <c r="C73" s="1049"/>
      <c r="D73" s="1049"/>
      <c r="E73" s="1049"/>
      <c r="F73" s="1049"/>
      <c r="G73" s="1049"/>
      <c r="H73" s="1049"/>
      <c r="I73" s="1053"/>
      <c r="J73" s="736" t="s">
        <v>565</v>
      </c>
      <c r="K73" s="737" t="s">
        <v>565</v>
      </c>
      <c r="M73" s="840"/>
      <c r="N73" s="76" t="str">
        <f>AB73</f>
        <v>*D Rating</v>
      </c>
      <c r="O73" s="76"/>
      <c r="P73" s="76"/>
      <c r="Q73" s="76"/>
      <c r="R73" s="949">
        <f>SUM(R74:R88)</f>
        <v>0.99998378097833174</v>
      </c>
      <c r="S73" s="76"/>
      <c r="T73" s="97"/>
      <c r="U73" s="76"/>
      <c r="V73" s="76"/>
      <c r="W73" s="76"/>
      <c r="X73" s="840"/>
      <c r="Y73" s="76"/>
      <c r="Z73" s="76"/>
      <c r="AA73" s="840"/>
      <c r="AB73" s="140" t="str">
        <f>"*"&amp; A74 &amp; " Rating"</f>
        <v>*D Rating</v>
      </c>
      <c r="AC73" s="141"/>
      <c r="AD73" s="141"/>
      <c r="AE73" s="141"/>
      <c r="AF73" s="141"/>
      <c r="AG73" s="141"/>
      <c r="AH73" s="141"/>
      <c r="AI73" s="840"/>
      <c r="AJ73" s="840"/>
      <c r="AK73" s="840"/>
      <c r="AL73" s="840"/>
      <c r="AM73" s="840"/>
      <c r="AN73" s="840"/>
    </row>
    <row r="74" spans="1:40">
      <c r="A74" s="757" t="s">
        <v>118</v>
      </c>
      <c r="B74" s="757" t="s">
        <v>582</v>
      </c>
      <c r="C74" s="757">
        <f>SUMIFS(INDEX(Table91517[],,MATCH(C$6,Table91517[#Headers],0)),Table91517[MainSpaceHeatingFuel],$B74,Table91517[EnergyRating (group)],$A74)</f>
        <v>22562110</v>
      </c>
      <c r="D74" s="757">
        <f>SUMIFS(INDEX(Table91517[],,MATCH(D$6,Table91517[#Headers],0)),Table91517[MainSpaceHeatingFuel],$B74,Table91517[EnergyRating (group)],$A74)</f>
        <v>20511007</v>
      </c>
      <c r="E74" s="757">
        <f>SUMIFS(INDEX(Table91517[],,MATCH(E$6,Table91517[#Headers],0)),Table91517[MainSpaceHeatingFuel],$B74,Table91517[EnergyRating (group)],$A74)</f>
        <v>4920520</v>
      </c>
      <c r="F74" s="757">
        <f>SUMIFS(INDEX(Table91517[],,MATCH(F$6,Table91517[#Headers],0)),Table91517[MainSpaceHeatingFuel],$B74,Table91517[EnergyRating (group)],$A74)</f>
        <v>4359788</v>
      </c>
      <c r="G74" s="757">
        <f>SUMIFS(INDEX(Table91517[],,MATCH(G$6,Table91517[#Headers],0)),Table91517[MainSpaceHeatingFuel],$B74,Table91517[EnergyRating (group)],$A74)</f>
        <v>1003</v>
      </c>
      <c r="H74" s="757">
        <f>SUMIFS(INDEX(Table91517[],,MATCH(H$6,Table91517[#Headers],0)),Table91517[MainSpaceHeatingFuel],$B74,Table91517[EnergyRating (group)],$A74)</f>
        <v>140393</v>
      </c>
      <c r="I74" s="912">
        <f>AVERAGEIFS(INDEX(Table91517[],,MATCH(I$6,Table91517[#Headers],0)),Table91517[MainSpaceHeatingFuel],$B74,Table91517[EnergyRating (group)],$A74)</f>
        <v>80.549019607843135</v>
      </c>
      <c r="J74" s="847">
        <f>SUMIFS(INDEX(Table91517[],,MATCH(J$6,Table91517[#Headers],0)),Table91517[MainSpaceHeatingFuel],$B74,Table91517[EnergyRating (group)],$A74)</f>
        <v>37389085</v>
      </c>
      <c r="K74" s="847">
        <f>SUMIFS(INDEX(Table91517[],,MATCH(K$6,Table91517[#Headers],0)),Table91517[MainSpaceHeatingFuel],$B74,Table91517[EnergyRating (group)],$A74)</f>
        <v>31351706</v>
      </c>
      <c r="M74" s="840"/>
      <c r="N74" s="914" t="str">
        <f>RSD_Commodities!$M$32&amp;"_"&amp;RIGHT(P74,LEN(P74)-3)&amp;"_"&amp;SETUP!$B$67</f>
        <v>SH_Det-D_OILLPG_X0</v>
      </c>
      <c r="O74" s="914" t="str">
        <f>RSD_Commodities!$N$32&amp;"_"&amp;RSD_Commodities!D11&amp;"_"&amp;SETUP!$C$67</f>
        <v>Residential Space Heating Detached-D_LPG to Residential_Existing 00</v>
      </c>
      <c r="P74" s="915" t="str">
        <f>RSD_Commodities!$C$11</f>
        <v>RSDOILLPG</v>
      </c>
      <c r="Q74" s="930" t="str">
        <f>RSD_Commodities!$M$32</f>
        <v>SH_Det-D</v>
      </c>
      <c r="R74" s="1000">
        <f>G74/SUM($G$74:$G$89)</f>
        <v>1.6267678733618788E-2</v>
      </c>
      <c r="S74" s="932">
        <f>R74*DwellingStocks!$I$67/1000</f>
        <v>0.7725346501810455</v>
      </c>
      <c r="T74" s="914">
        <v>1</v>
      </c>
      <c r="U74" s="914">
        <f t="shared" si="31"/>
        <v>0.80549019607843131</v>
      </c>
      <c r="V74" s="930">
        <v>20</v>
      </c>
      <c r="W74" s="930">
        <v>1</v>
      </c>
      <c r="X74" s="840"/>
      <c r="Y74" s="926">
        <f t="shared" ref="Y74:Y88" si="50">ABS((D74+F74)*S74*1000*$B$2)</f>
        <v>7.8959798281025336E-3</v>
      </c>
      <c r="Z74" s="927">
        <f t="shared" ref="Z74:Z88" si="51">ABS((C74+E74)*S74*1000*$B$2)</f>
        <v>8.7251851862075788E-3</v>
      </c>
      <c r="AA74" s="840"/>
      <c r="AB74" s="914" t="s">
        <v>393</v>
      </c>
      <c r="AC74" s="914" t="str">
        <f t="shared" ref="AC74:AD89" si="52">N74</f>
        <v>SH_Det-D_OILLPG_X0</v>
      </c>
      <c r="AD74" s="914" t="str">
        <f t="shared" si="52"/>
        <v>Residential Space Heating Detached-D_LPG to Residential_Existing 00</v>
      </c>
      <c r="AE74" s="914" t="s">
        <v>53</v>
      </c>
      <c r="AF74" s="914" t="s">
        <v>406</v>
      </c>
      <c r="AG74" s="914"/>
      <c r="AH74" s="914"/>
      <c r="AI74" s="840"/>
      <c r="AJ74" s="840"/>
      <c r="AK74" s="840"/>
      <c r="AL74" s="840"/>
      <c r="AM74" s="840"/>
      <c r="AN74" s="840"/>
    </row>
    <row r="75" spans="1:40">
      <c r="A75" s="758" t="s">
        <v>118</v>
      </c>
      <c r="B75" s="758" t="s">
        <v>228</v>
      </c>
      <c r="C75" s="758">
        <f>SUMIFS(INDEX(Table91517[],,MATCH(C$6,Table91517[#Headers],0)),Table91517[MainSpaceHeatingFuel],$B75,Table91517[EnergyRating (group)],$A75)</f>
        <v>37398663</v>
      </c>
      <c r="D75" s="758">
        <f>SUMIFS(INDEX(Table91517[],,MATCH(D$6,Table91517[#Headers],0)),Table91517[MainSpaceHeatingFuel],$B75,Table91517[EnergyRating (group)],$A75)</f>
        <v>13851357</v>
      </c>
      <c r="E75" s="759">
        <f>SUMIFS(INDEX(Table91517[],,MATCH(E$6,Table91517[#Headers],0)),Table91517[MainSpaceHeatingFuel],$B75,Table91517[EnergyRating (group)],$A75)</f>
        <v>5817724</v>
      </c>
      <c r="F75" s="759">
        <f>SUMIFS(INDEX(Table91517[],,MATCH(F$6,Table91517[#Headers],0)),Table91517[MainSpaceHeatingFuel],$B75,Table91517[EnergyRating (group)],$A75)</f>
        <v>5327232</v>
      </c>
      <c r="G75" s="758">
        <f>SUMIFS(INDEX(Table91517[],,MATCH(G$6,Table91517[#Headers],0)),Table91517[MainSpaceHeatingFuel],$B75,Table91517[EnergyRating (group)],$A75)</f>
        <v>1487</v>
      </c>
      <c r="H75" s="758">
        <f>SUMIFS(INDEX(Table91517[],,MATCH(H$6,Table91517[#Headers],0)),Table91517[MainSpaceHeatingFuel],$B75,Table91517[EnergyRating (group)],$A75)</f>
        <v>216778</v>
      </c>
      <c r="I75" s="911">
        <f>AVERAGEIFS(INDEX(Table91517[],,MATCH(I$6,Table91517[#Headers],0)),Table91517[MainSpaceHeatingFuel],$B75,Table91517[EnergyRating (group)],$A75)</f>
        <v>116.8</v>
      </c>
      <c r="J75" s="849">
        <f>SUMIFS(INDEX(Table91517[],,MATCH(J$6,Table91517[#Headers],0)),Table91517[MainSpaceHeatingFuel],$B75,Table91517[EnergyRating (group)],$A75)</f>
        <v>61073066</v>
      </c>
      <c r="K75" s="849">
        <f>SUMIFS(INDEX(Table91517[],,MATCH(K$6,Table91517[#Headers],0)),Table91517[MainSpaceHeatingFuel],$B75,Table91517[EnergyRating (group)],$A75)</f>
        <v>25861092</v>
      </c>
      <c r="M75" s="840"/>
      <c r="N75" s="933" t="str">
        <f>RSD_Commodities!$M$32&amp;"_"&amp;RIGHT(P75,LEN(P75)-3)&amp;"_"&amp;SETUP!$B$67</f>
        <v>SH_Det-D_ELCD_X0</v>
      </c>
      <c r="O75" s="933" t="str">
        <f>RSD_Commodities!$N$32&amp;"_"&amp;RSD_Commodities!D27&amp;"_"&amp;SETUP!$C$67</f>
        <v>Residential Space Heating Detached-D_Electricity to Residential_Existing 00</v>
      </c>
      <c r="P75" s="934" t="str">
        <f>RSD_Commodities!$C$27</f>
        <v>RSDELCD</v>
      </c>
      <c r="Q75" s="935" t="str">
        <f>RSD_Commodities!$M$32</f>
        <v>SH_Det-D</v>
      </c>
      <c r="R75" s="1001">
        <f t="shared" ref="R75:R89" si="53">G75/SUM($G$74:$G$89)</f>
        <v>2.4117685221227456E-2</v>
      </c>
      <c r="S75" s="937">
        <f>R75*DwellingStocks!$I$67/1000</f>
        <v>1.145323055652258</v>
      </c>
      <c r="T75" s="933">
        <v>1</v>
      </c>
      <c r="U75" s="954">
        <f t="shared" si="31"/>
        <v>1.1679999999999999</v>
      </c>
      <c r="V75" s="935">
        <v>20</v>
      </c>
      <c r="W75" s="935">
        <v>1</v>
      </c>
      <c r="X75" s="840"/>
      <c r="Y75" s="928">
        <f t="shared" si="50"/>
        <v>9.0269918451693631E-3</v>
      </c>
      <c r="Z75" s="929">
        <f t="shared" si="51"/>
        <v>2.0341119621818025E-2</v>
      </c>
      <c r="AA75" s="840"/>
      <c r="AB75" s="933" t="s">
        <v>393</v>
      </c>
      <c r="AC75" s="933" t="str">
        <f t="shared" si="52"/>
        <v>SH_Det-D_ELCD_X0</v>
      </c>
      <c r="AD75" s="933" t="str">
        <f t="shared" si="52"/>
        <v>Residential Space Heating Detached-D_Electricity to Residential_Existing 00</v>
      </c>
      <c r="AE75" s="933" t="s">
        <v>53</v>
      </c>
      <c r="AF75" s="933" t="s">
        <v>406</v>
      </c>
      <c r="AG75" s="933"/>
      <c r="AH75" s="933"/>
      <c r="AI75" s="840"/>
      <c r="AJ75" s="840"/>
      <c r="AK75" s="840"/>
      <c r="AL75" s="840"/>
      <c r="AM75" s="840"/>
      <c r="AN75" s="840"/>
    </row>
    <row r="76" spans="1:40">
      <c r="A76" s="757" t="s">
        <v>118</v>
      </c>
      <c r="B76" s="757" t="s">
        <v>583</v>
      </c>
      <c r="C76" s="757">
        <f>SUMIFS(INDEX(Table91517[],,MATCH(C$6,Table91517[#Headers],0)),Table91517[MainSpaceHeatingFuel],$B76,Table91517[EnergyRating (group)],$A76)</f>
        <v>1005180096</v>
      </c>
      <c r="D76" s="757">
        <f>SUMIFS(INDEX(Table91517[],,MATCH(D$6,Table91517[#Headers],0)),Table91517[MainSpaceHeatingFuel],$B76,Table91517[EnergyRating (group)],$A76)</f>
        <v>913800084</v>
      </c>
      <c r="E76" s="760">
        <f>SUMIFS(INDEX(Table91517[],,MATCH(E$6,Table91517[#Headers],0)),Table91517[MainSpaceHeatingFuel],$B76,Table91517[EnergyRating (group)],$A76)</f>
        <v>209765728</v>
      </c>
      <c r="F76" s="760">
        <f>SUMIFS(INDEX(Table91517[],,MATCH(F$6,Table91517[#Headers],0)),Table91517[MainSpaceHeatingFuel],$B76,Table91517[EnergyRating (group)],$A76)</f>
        <v>187434973</v>
      </c>
      <c r="G76" s="757">
        <f>SUMIFS(INDEX(Table91517[],,MATCH(G$6,Table91517[#Headers],0)),Table91517[MainSpaceHeatingFuel],$B76,Table91517[EnergyRating (group)],$A76)</f>
        <v>49014</v>
      </c>
      <c r="H76" s="757">
        <f>SUMIFS(INDEX(Table91517[],,MATCH(H$6,Table91517[#Headers],0)),Table91517[MainSpaceHeatingFuel],$B76,Table91517[EnergyRating (group)],$A76)</f>
        <v>6475685</v>
      </c>
      <c r="I76" s="912">
        <f>AVERAGEIFS(INDEX(Table91517[],,MATCH(I$6,Table91517[#Headers],0)),Table91517[MainSpaceHeatingFuel],$B76,Table91517[EnergyRating (group)],$A76)</f>
        <v>79.419117647058826</v>
      </c>
      <c r="J76" s="847">
        <f>SUMIFS(INDEX(Table91517[],,MATCH(J$6,Table91517[#Headers],0)),Table91517[MainSpaceHeatingFuel],$B76,Table91517[EnergyRating (group)],$A76)</f>
        <v>1722059991</v>
      </c>
      <c r="K76" s="847">
        <f>SUMIFS(INDEX(Table91517[],,MATCH(K$6,Table91517[#Headers],0)),Table91517[MainSpaceHeatingFuel],$B76,Table91517[EnergyRating (group)],$A76)</f>
        <v>1428791250</v>
      </c>
      <c r="M76" s="840"/>
      <c r="N76" s="914" t="str">
        <f>RSD_Commodities!$M$32&amp;"_"&amp;RIGHT(P76,LEN(P76)-3)&amp;"_"&amp;SETUP!$B$67</f>
        <v>SH_Det-D_OILKER_X0</v>
      </c>
      <c r="O76" s="914" t="str">
        <f>RSD_Commodities!$N$32&amp;"_"&amp;RSD_Commodities!D13&amp;"_"&amp;SETUP!$C$67</f>
        <v>Residential Space Heating Detached-D_Kerosene to Residential_Existing 00</v>
      </c>
      <c r="P76" s="915" t="str">
        <f>RSD_Commodities!$C$13</f>
        <v>RSDOILKER</v>
      </c>
      <c r="Q76" s="930" t="str">
        <f>RSD_Commodities!$M$32</f>
        <v>SH_Det-D</v>
      </c>
      <c r="R76" s="1000">
        <f t="shared" si="53"/>
        <v>0.79495912806539515</v>
      </c>
      <c r="S76" s="932">
        <f>R76*DwellingStocks!$I$67/1000</f>
        <v>37.75175806976447</v>
      </c>
      <c r="T76" s="914">
        <v>1</v>
      </c>
      <c r="U76" s="914">
        <f t="shared" si="31"/>
        <v>0.79419117647058823</v>
      </c>
      <c r="V76" s="930">
        <v>20</v>
      </c>
      <c r="W76" s="930">
        <v>1</v>
      </c>
      <c r="X76" s="840"/>
      <c r="Y76" s="926">
        <f t="shared" si="50"/>
        <v>17.085024431427655</v>
      </c>
      <c r="Z76" s="927">
        <f>ABS((C76+E76)*S76*1000*$B$2)</f>
        <v>18.849181157062461</v>
      </c>
      <c r="AA76" s="840"/>
      <c r="AB76" s="914" t="s">
        <v>393</v>
      </c>
      <c r="AC76" s="914" t="str">
        <f t="shared" si="52"/>
        <v>SH_Det-D_OILKER_X0</v>
      </c>
      <c r="AD76" s="914" t="str">
        <f t="shared" si="52"/>
        <v>Residential Space Heating Detached-D_Kerosene to Residential_Existing 00</v>
      </c>
      <c r="AE76" s="914" t="s">
        <v>53</v>
      </c>
      <c r="AF76" s="914" t="s">
        <v>406</v>
      </c>
      <c r="AG76" s="914"/>
      <c r="AH76" s="914"/>
      <c r="AI76" s="840"/>
      <c r="AJ76" s="840"/>
      <c r="AK76" s="840"/>
      <c r="AL76" s="840"/>
      <c r="AM76" s="840"/>
      <c r="AN76" s="840"/>
    </row>
    <row r="77" spans="1:40">
      <c r="A77" s="758" t="s">
        <v>118</v>
      </c>
      <c r="B77" s="758" t="s">
        <v>584</v>
      </c>
      <c r="C77" s="758">
        <f>SUMIFS(INDEX(Table91517[],,MATCH(C$6,Table91517[#Headers],0)),Table91517[MainSpaceHeatingFuel],$B77,Table91517[EnergyRating (group)],$A77)</f>
        <v>164482064</v>
      </c>
      <c r="D77" s="758">
        <f>SUMIFS(INDEX(Table91517[],,MATCH(D$6,Table91517[#Headers],0)),Table91517[MainSpaceHeatingFuel],$B77,Table91517[EnergyRating (group)],$A77)</f>
        <v>149529151</v>
      </c>
      <c r="E77" s="758">
        <f>SUMIFS(INDEX(Table91517[],,MATCH(E$6,Table91517[#Headers],0)),Table91517[MainSpaceHeatingFuel],$B77,Table91517[EnergyRating (group)],$A77)</f>
        <v>45389808</v>
      </c>
      <c r="F77" s="758">
        <f>SUMIFS(INDEX(Table91517[],,MATCH(F$6,Table91517[#Headers],0)),Table91517[MainSpaceHeatingFuel],$B77,Table91517[EnergyRating (group)],$A77)</f>
        <v>39622292</v>
      </c>
      <c r="G77" s="758">
        <f>SUMIFS(INDEX(Table91517[],,MATCH(G$6,Table91517[#Headers],0)),Table91517[MainSpaceHeatingFuel],$B77,Table91517[EnergyRating (group)],$A77)</f>
        <v>8294</v>
      </c>
      <c r="H77" s="758">
        <f>SUMIFS(INDEX(Table91517[],,MATCH(H$6,Table91517[#Headers],0)),Table91517[MainSpaceHeatingFuel],$B77,Table91517[EnergyRating (group)],$A77)</f>
        <v>1101528</v>
      </c>
      <c r="I77" s="911">
        <f>AVERAGEIFS(INDEX(Table91517[],,MATCH(I$6,Table91517[#Headers],0)),Table91517[MainSpaceHeatingFuel],$B77,Table91517[EnergyRating (group)],$A77)</f>
        <v>78.531914893617028</v>
      </c>
      <c r="J77" s="849">
        <f>SUMIFS(INDEX(Table91517[],,MATCH(J$6,Table91517[#Headers],0)),Table91517[MainSpaceHeatingFuel],$B77,Table91517[EnergyRating (group)],$A77)</f>
        <v>291368738</v>
      </c>
      <c r="K77" s="849">
        <f>SUMIFS(INDEX(Table91517[],,MATCH(K$6,Table91517[#Headers],0)),Table91517[MainSpaceHeatingFuel],$B77,Table91517[EnergyRating (group)],$A77)</f>
        <v>243114028</v>
      </c>
      <c r="M77" s="840"/>
      <c r="N77" s="933" t="str">
        <f>RSD_Commodities!$M$32&amp;"_"&amp;RIGHT(P77,LEN(P77)-3)&amp;"_"&amp;SETUP!$B$67</f>
        <v>SH_Det-D_GASNAT_X0</v>
      </c>
      <c r="O77" s="933" t="str">
        <f>RSD_Commodities!$N$32&amp;"_"&amp;RSD_Commodities!D17&amp;"_"&amp;SETUP!$C$67</f>
        <v>Residential Space Heating Detached-D_Natural Gas to Residential_Existing 00</v>
      </c>
      <c r="P77" s="934" t="str">
        <f>RSD_Commodities!$C$17</f>
        <v>RSDGASNAT</v>
      </c>
      <c r="Q77" s="935" t="str">
        <f>RSD_Commodities!$M$32</f>
        <v>SH_Det-D</v>
      </c>
      <c r="R77" s="1001">
        <f t="shared" si="53"/>
        <v>0.13452056571947579</v>
      </c>
      <c r="S77" s="937">
        <f>R77*DwellingStocks!$I$67/1000</f>
        <v>6.3882376755748664</v>
      </c>
      <c r="T77" s="933">
        <v>1</v>
      </c>
      <c r="U77" s="933">
        <f t="shared" si="31"/>
        <v>0.78531914893617027</v>
      </c>
      <c r="V77" s="935">
        <v>20</v>
      </c>
      <c r="W77" s="935">
        <v>1</v>
      </c>
      <c r="X77" s="840"/>
      <c r="Y77" s="928">
        <f t="shared" si="50"/>
        <v>0.49657987995696662</v>
      </c>
      <c r="Z77" s="929">
        <f t="shared" si="51"/>
        <v>0.55097728757006559</v>
      </c>
      <c r="AA77" s="840"/>
      <c r="AB77" s="933" t="s">
        <v>393</v>
      </c>
      <c r="AC77" s="933" t="str">
        <f t="shared" si="52"/>
        <v>SH_Det-D_GASNAT_X0</v>
      </c>
      <c r="AD77" s="933" t="str">
        <f t="shared" si="52"/>
        <v>Residential Space Heating Detached-D_Natural Gas to Residential_Existing 00</v>
      </c>
      <c r="AE77" s="933" t="s">
        <v>53</v>
      </c>
      <c r="AF77" s="933" t="s">
        <v>406</v>
      </c>
      <c r="AG77" s="933"/>
      <c r="AH77" s="933"/>
      <c r="AI77" s="840"/>
      <c r="AJ77" s="840"/>
      <c r="AK77" s="840"/>
      <c r="AL77" s="840"/>
      <c r="AM77" s="840"/>
      <c r="AN77" s="840"/>
    </row>
    <row r="78" spans="1:40">
      <c r="A78" s="757" t="s">
        <v>118</v>
      </c>
      <c r="B78" s="757" t="s">
        <v>585</v>
      </c>
      <c r="C78" s="757">
        <f>SUMIFS(INDEX(Table91517[],,MATCH(C$6,Table91517[#Headers],0)),Table91517[MainSpaceHeatingFuel],$B78,Table91517[EnergyRating (group)],$A78)</f>
        <v>2618959</v>
      </c>
      <c r="D78" s="757">
        <f>SUMIFS(INDEX(Table91517[],,MATCH(D$6,Table91517[#Headers],0)),Table91517[MainSpaceHeatingFuel],$B78,Table91517[EnergyRating (group)],$A78)</f>
        <v>2380873</v>
      </c>
      <c r="E78" s="757">
        <f>SUMIFS(INDEX(Table91517[],,MATCH(E$6,Table91517[#Headers],0)),Table91517[MainSpaceHeatingFuel],$B78,Table91517[EnergyRating (group)],$A78)</f>
        <v>413046</v>
      </c>
      <c r="F78" s="757">
        <f>SUMIFS(INDEX(Table91517[],,MATCH(F$6,Table91517[#Headers],0)),Table91517[MainSpaceHeatingFuel],$B78,Table91517[EnergyRating (group)],$A78)</f>
        <v>357009</v>
      </c>
      <c r="G78" s="757">
        <f>SUMIFS(INDEX(Table91517[],,MATCH(G$6,Table91517[#Headers],0)),Table91517[MainSpaceHeatingFuel],$B78,Table91517[EnergyRating (group)],$A78)</f>
        <v>100</v>
      </c>
      <c r="H78" s="757">
        <f>SUMIFS(INDEX(Table91517[],,MATCH(H$6,Table91517[#Headers],0)),Table91517[MainSpaceHeatingFuel],$B78,Table91517[EnergyRating (group)],$A78)</f>
        <v>15319</v>
      </c>
      <c r="I78" s="912">
        <f>AVERAGEIFS(INDEX(Table91517[],,MATCH(I$6,Table91517[#Headers],0)),Table91517[MainSpaceHeatingFuel],$B78,Table91517[EnergyRating (group)],$A78)</f>
        <v>68.285714285714292</v>
      </c>
      <c r="J78" s="847">
        <f>SUMIFS(INDEX(Table91517[],,MATCH(J$6,Table91517[#Headers],0)),Table91517[MainSpaceHeatingFuel],$B78,Table91517[EnergyRating (group)],$A78)</f>
        <v>4087982</v>
      </c>
      <c r="K78" s="847">
        <f>SUMIFS(INDEX(Table91517[],,MATCH(K$6,Table91517[#Headers],0)),Table91517[MainSpaceHeatingFuel],$B78,Table91517[EnergyRating (group)],$A78)</f>
        <v>3439739</v>
      </c>
      <c r="M78" s="840"/>
      <c r="N78" s="914" t="str">
        <f>RSD_Commodities!$M$32&amp;"_"&amp;RIGHT(P78,LEN(P78)-3)&amp;"_"&amp;SETUP!$B$67</f>
        <v>SH_Det-D_BIOWOO_X0</v>
      </c>
      <c r="O78" s="914" t="str">
        <f>RSD_Commodities!$N$32&amp;"_"&amp;RSD_Commodities!D19&amp;"_"&amp;SETUP!$C$67</f>
        <v>Residential Space Heating Detached-D_Biomass &amp; Renewable Waste to Residential_Existing 00</v>
      </c>
      <c r="P78" s="915" t="str">
        <f>RSD_Commodities!$C$19</f>
        <v>RSDBIOWOO</v>
      </c>
      <c r="Q78" s="930" t="str">
        <f>RSD_Commodities!$M$32</f>
        <v>SH_Det-D</v>
      </c>
      <c r="R78" s="1000">
        <f t="shared" si="53"/>
        <v>1.6219021668612949E-3</v>
      </c>
      <c r="S78" s="932">
        <f>R78*DwellingStocks!$I$67/1000</f>
        <v>7.7022397824630662E-2</v>
      </c>
      <c r="T78" s="914">
        <v>1</v>
      </c>
      <c r="U78" s="914">
        <f t="shared" si="31"/>
        <v>0.68285714285714294</v>
      </c>
      <c r="V78" s="930">
        <v>20</v>
      </c>
      <c r="W78" s="930">
        <v>1</v>
      </c>
      <c r="X78" s="840"/>
      <c r="Y78" s="926">
        <f t="shared" si="50"/>
        <v>8.6662289014066631E-5</v>
      </c>
      <c r="Z78" s="927">
        <f t="shared" si="51"/>
        <v>9.5972176157370966E-5</v>
      </c>
      <c r="AA78" s="840"/>
      <c r="AB78" s="914" t="s">
        <v>393</v>
      </c>
      <c r="AC78" s="914" t="str">
        <f t="shared" si="52"/>
        <v>SH_Det-D_BIOWOO_X0</v>
      </c>
      <c r="AD78" s="914" t="str">
        <f t="shared" si="52"/>
        <v>Residential Space Heating Detached-D_Biomass &amp; Renewable Waste to Residential_Existing 00</v>
      </c>
      <c r="AE78" s="914" t="s">
        <v>53</v>
      </c>
      <c r="AF78" s="914" t="s">
        <v>406</v>
      </c>
      <c r="AG78" s="914"/>
      <c r="AH78" s="914"/>
      <c r="AI78" s="840"/>
      <c r="AJ78" s="840"/>
      <c r="AK78" s="840"/>
      <c r="AL78" s="840"/>
      <c r="AM78" s="840"/>
      <c r="AN78" s="840"/>
    </row>
    <row r="79" spans="1:40">
      <c r="A79" s="758" t="s">
        <v>118</v>
      </c>
      <c r="B79" s="758" t="s">
        <v>587</v>
      </c>
      <c r="C79" s="758">
        <f>SUMIFS(INDEX(Table91517[],,MATCH(C$6,Table91517[#Headers],0)),Table91517[MainSpaceHeatingFuel],$B79,Table91517[EnergyRating (group)],$A79)</f>
        <v>0</v>
      </c>
      <c r="D79" s="758">
        <f>SUMIFS(INDEX(Table91517[],,MATCH(D$6,Table91517[#Headers],0)),Table91517[MainSpaceHeatingFuel],$B79,Table91517[EnergyRating (group)],$A79)</f>
        <v>0</v>
      </c>
      <c r="E79" s="759">
        <f>SUMIFS(INDEX(Table91517[],,MATCH(E$6,Table91517[#Headers],0)),Table91517[MainSpaceHeatingFuel],$B79,Table91517[EnergyRating (group)],$A79)</f>
        <v>0</v>
      </c>
      <c r="F79" s="759">
        <f>SUMIFS(INDEX(Table91517[],,MATCH(F$6,Table91517[#Headers],0)),Table91517[MainSpaceHeatingFuel],$B79,Table91517[EnergyRating (group)],$A79)</f>
        <v>0</v>
      </c>
      <c r="G79" s="758">
        <f>SUMIFS(INDEX(Table91517[],,MATCH(G$6,Table91517[#Headers],0)),Table91517[MainSpaceHeatingFuel],"",Table91517[EnergyRating (group)],$A79)</f>
        <v>35</v>
      </c>
      <c r="H79" s="758">
        <f>SUMIFS(INDEX(Table91517[],,MATCH(H$6,Table91517[#Headers],0)),Table91517[MainSpaceHeatingFuel],"",Table91517[EnergyRating (group)],$A79)</f>
        <v>5870</v>
      </c>
      <c r="I79" s="944">
        <f>SUMIFS(INDEX(Table91517[],,MATCH(I$6,Table91517[#Headers],0)),Table91517[MainSpaceHeatingFuel],"",Table91517[EnergyRating (group)],$A79)</f>
        <v>0</v>
      </c>
      <c r="J79" s="849">
        <f>SUMIFS(INDEX(Table91517[],,MATCH(J$6,Table91517[#Headers],0)),Table91517[MainSpaceHeatingFuel],"",Table91517[EnergyRating (group)],$A79)</f>
        <v>153619</v>
      </c>
      <c r="K79" s="849">
        <f>SUMIFS(INDEX(Table91517[],,MATCH(K$6,Table91517[#Headers],0)),Table91517[MainSpaceHeatingFuel],"",Table91517[EnergyRating (group)],$A79)</f>
        <v>56897</v>
      </c>
      <c r="M79" s="840"/>
      <c r="N79" s="933" t="str">
        <f>RSD_Commodities!$M$32&amp;"_"&amp;RIGHT(P79,LEN(P79)-3)&amp;"_"&amp;SETUP!$B$67</f>
        <v>SH_Det-D_HET_X0</v>
      </c>
      <c r="O79" s="933" t="str">
        <f>RSD_Commodities!$N$32&amp;"_"&amp;RSD_Commodities!D28&amp;"_"&amp;SETUP!$C$67</f>
        <v>Residential Space Heating Detached-D_Heat to Residential_Existing 00</v>
      </c>
      <c r="P79" s="934" t="str">
        <f>RSD_Commodities!$C$28</f>
        <v>RSDHET</v>
      </c>
      <c r="Q79" s="935" t="str">
        <f>RSD_Commodities!$M$32</f>
        <v>SH_Det-D</v>
      </c>
      <c r="R79" s="1001">
        <f t="shared" si="53"/>
        <v>5.6766575840145326E-4</v>
      </c>
      <c r="S79" s="937">
        <f>R79*DwellingStocks!$I$67/1000</f>
        <v>2.6957839238620732E-2</v>
      </c>
      <c r="T79" s="933">
        <v>1</v>
      </c>
      <c r="U79" s="917">
        <f>IF(I79=0, 1, I79)</f>
        <v>1</v>
      </c>
      <c r="V79" s="935">
        <v>20</v>
      </c>
      <c r="W79" s="935">
        <v>1</v>
      </c>
      <c r="X79" s="840"/>
      <c r="Y79" s="928">
        <f t="shared" si="50"/>
        <v>0</v>
      </c>
      <c r="Z79" s="929">
        <f t="shared" si="51"/>
        <v>0</v>
      </c>
      <c r="AA79" s="840"/>
      <c r="AB79" s="933" t="s">
        <v>393</v>
      </c>
      <c r="AC79" s="933" t="str">
        <f t="shared" si="52"/>
        <v>SH_Det-D_HET_X0</v>
      </c>
      <c r="AD79" s="933" t="str">
        <f t="shared" si="52"/>
        <v>Residential Space Heating Detached-D_Heat to Residential_Existing 00</v>
      </c>
      <c r="AE79" s="933" t="s">
        <v>53</v>
      </c>
      <c r="AF79" s="933" t="s">
        <v>406</v>
      </c>
      <c r="AG79" s="933"/>
      <c r="AH79" s="933"/>
      <c r="AI79" s="840"/>
      <c r="AJ79" s="840"/>
      <c r="AK79" s="840"/>
      <c r="AL79" s="840"/>
      <c r="AM79" s="840"/>
      <c r="AN79" s="840"/>
    </row>
    <row r="80" spans="1:40">
      <c r="A80" s="757" t="s">
        <v>118</v>
      </c>
      <c r="B80" s="757" t="s">
        <v>664</v>
      </c>
      <c r="C80" s="757">
        <f>SUMIFS(INDEX(Table91517[],,MATCH(C$6,Table91517[#Headers],0)),Table91517[MainSpaceHeatingFuel],$B80,Table91517[EnergyRating (group)],$A80)</f>
        <v>2545173</v>
      </c>
      <c r="D80" s="757">
        <f>SUMIFS(INDEX(Table91517[],,MATCH(D$6,Table91517[#Headers],0)),Table91517[MainSpaceHeatingFuel],$B80,Table91517[EnergyRating (group)],$A80)</f>
        <v>2313795</v>
      </c>
      <c r="E80" s="757">
        <f>SUMIFS(INDEX(Table91517[],,MATCH(E$6,Table91517[#Headers],0)),Table91517[MainSpaceHeatingFuel],$B80,Table91517[EnergyRating (group)],$A80)</f>
        <v>573563</v>
      </c>
      <c r="F80" s="757">
        <f>SUMIFS(INDEX(Table91517[],,MATCH(F$6,Table91517[#Headers],0)),Table91517[MainSpaceHeatingFuel],$B80,Table91517[EnergyRating (group)],$A80)</f>
        <v>511028</v>
      </c>
      <c r="G80" s="757">
        <f>SUMIFS(INDEX(Table91517[],,MATCH(G$6,Table91517[#Headers],0)),Table91517[MainSpaceHeatingFuel],$B80,Table91517[EnergyRating (group)],$A80)</f>
        <v>119</v>
      </c>
      <c r="H80" s="757">
        <f>SUMIFS(INDEX(Table91517[],,MATCH(H$6,Table91517[#Headers],0)),Table91517[MainSpaceHeatingFuel],$B80,Table91517[EnergyRating (group)],$A80)</f>
        <v>16061</v>
      </c>
      <c r="I80" s="912">
        <f>AVERAGEIFS(INDEX(Table91517[],,MATCH(I$6,Table91517[#Headers],0)),Table91517[MainSpaceHeatingFuel],$B80,Table91517[EnergyRating (group)],$A80)</f>
        <v>78.86363636363636</v>
      </c>
      <c r="J80" s="847">
        <f>SUMIFS(INDEX(Table91517[],,MATCH(J$6,Table91517[#Headers],0)),Table91517[MainSpaceHeatingFuel],$B80,Table91517[EnergyRating (group)],$A80)</f>
        <v>4299641</v>
      </c>
      <c r="K80" s="847">
        <f>SUMIFS(INDEX(Table91517[],,MATCH(K$6,Table91517[#Headers],0)),Table91517[MainSpaceHeatingFuel],$B80,Table91517[EnergyRating (group)],$A80)</f>
        <v>3610460</v>
      </c>
      <c r="M80" s="840"/>
      <c r="N80" s="914" t="str">
        <f>RSD_Commodities!$M$32&amp;"_"&amp;RIGHT(P80,LEN(P80)-3)&amp;"_"&amp;SETUP!$B$68</f>
        <v>SH_Det-D_OILLPG_X1</v>
      </c>
      <c r="O80" s="914" t="str">
        <f>RSD_Commodities!$N$32&amp;"_"&amp;RSD_Commodities!D11&amp;"_"&amp;SETUP!$C$68</f>
        <v>Residential Space Heating Detached-D_LPG to Residential_Existing 01</v>
      </c>
      <c r="P80" s="915" t="str">
        <f>RSD_Commodities!$C$11</f>
        <v>RSDOILLPG</v>
      </c>
      <c r="Q80" s="930" t="str">
        <f>RSD_Commodities!$M$32</f>
        <v>SH_Det-D</v>
      </c>
      <c r="R80" s="1000">
        <f t="shared" si="53"/>
        <v>1.9300635785649411E-3</v>
      </c>
      <c r="S80" s="932">
        <f>R80*DwellingStocks!$I$67/1000</f>
        <v>9.165665341131049E-2</v>
      </c>
      <c r="T80" s="914">
        <v>1</v>
      </c>
      <c r="U80" s="916">
        <f t="shared" si="31"/>
        <v>0.78863636363636358</v>
      </c>
      <c r="V80" s="930">
        <v>20</v>
      </c>
      <c r="W80" s="930">
        <v>1</v>
      </c>
      <c r="X80" s="840"/>
      <c r="Y80" s="926">
        <f t="shared" si="50"/>
        <v>1.0640294081888974E-4</v>
      </c>
      <c r="Z80" s="927">
        <f t="shared" si="51"/>
        <v>1.174737964246754E-4</v>
      </c>
      <c r="AA80" s="840"/>
      <c r="AB80" s="914" t="s">
        <v>393</v>
      </c>
      <c r="AC80" s="914" t="str">
        <f t="shared" si="52"/>
        <v>SH_Det-D_OILLPG_X1</v>
      </c>
      <c r="AD80" s="914" t="str">
        <f t="shared" si="52"/>
        <v>Residential Space Heating Detached-D_LPG to Residential_Existing 01</v>
      </c>
      <c r="AE80" s="914" t="s">
        <v>53</v>
      </c>
      <c r="AF80" s="914" t="s">
        <v>406</v>
      </c>
      <c r="AG80" s="914"/>
      <c r="AH80" s="914"/>
      <c r="AI80" s="840"/>
      <c r="AJ80" s="840"/>
      <c r="AK80" s="840"/>
      <c r="AL80" s="840"/>
      <c r="AM80" s="840"/>
      <c r="AN80" s="840"/>
    </row>
    <row r="81" spans="1:40">
      <c r="A81" s="758" t="s">
        <v>118</v>
      </c>
      <c r="B81" s="758" t="s">
        <v>665</v>
      </c>
      <c r="C81" s="758">
        <f>SUMIFS(INDEX(Table91517[],,MATCH(C$6,Table91517[#Headers],0)),Table91517[MainSpaceHeatingFuel],$B81,Table91517[EnergyRating (group)],$A81)</f>
        <v>28714931</v>
      </c>
      <c r="D81" s="758">
        <f>SUMIFS(INDEX(Table91517[],,MATCH(D$6,Table91517[#Headers],0)),Table91517[MainSpaceHeatingFuel],$B81,Table91517[EnergyRating (group)],$A81)</f>
        <v>26104479</v>
      </c>
      <c r="E81" s="759">
        <f>SUMIFS(INDEX(Table91517[],,MATCH(E$6,Table91517[#Headers],0)),Table91517[MainSpaceHeatingFuel],$B81,Table91517[EnergyRating (group)],$A81)</f>
        <v>3752882</v>
      </c>
      <c r="F81" s="759">
        <f>SUMIFS(INDEX(Table91517[],,MATCH(F$6,Table91517[#Headers],0)),Table91517[MainSpaceHeatingFuel],$B81,Table91517[EnergyRating (group)],$A81)</f>
        <v>3152725</v>
      </c>
      <c r="G81" s="758">
        <f>SUMIFS(INDEX(Table91517[],,MATCH(G$6,Table91517[#Headers],0)),Table91517[MainSpaceHeatingFuel],$B81,Table91517[EnergyRating (group)],$A81)</f>
        <v>1299</v>
      </c>
      <c r="H81" s="758">
        <f>SUMIFS(INDEX(Table91517[],,MATCH(H$6,Table91517[#Headers],0)),Table91517[MainSpaceHeatingFuel],$B81,Table91517[EnergyRating (group)],$A81)</f>
        <v>165556</v>
      </c>
      <c r="I81" s="911">
        <f>AVERAGEIFS(INDEX(Table91517[],,MATCH(I$6,Table91517[#Headers],0)),Table91517[MainSpaceHeatingFuel],$B81,Table91517[EnergyRating (group)],$A81)</f>
        <v>62.065217391304351</v>
      </c>
      <c r="J81" s="849">
        <f>SUMIFS(INDEX(Table91517[],,MATCH(J$6,Table91517[#Headers],0)),Table91517[MainSpaceHeatingFuel],$B81,Table91517[EnergyRating (group)],$A81)</f>
        <v>46455055</v>
      </c>
      <c r="K81" s="849">
        <f>SUMIFS(INDEX(Table91517[],,MATCH(K$6,Table91517[#Headers],0)),Table91517[MainSpaceHeatingFuel],$B81,Table91517[EnergyRating (group)],$A81)</f>
        <v>38167240</v>
      </c>
      <c r="M81" s="840"/>
      <c r="N81" s="935" t="str">
        <f>RSD_Commodities!$M$32&amp;"_"&amp;RSD_Commodities!$C$26&amp;"_"&amp;SETUP!$B$67</f>
        <v>SH_Det-D_RSDSMF_X0</v>
      </c>
      <c r="O81" s="935" t="str">
        <f>RSD_Commodities!$N$32&amp;"_"&amp;RSD_Commodities!$D$26&amp;"_"&amp;SETUP!$C$67</f>
        <v>Residential Space Heating Detached-D_Solid Multi-Fuel_Existing 00</v>
      </c>
      <c r="P81" s="935" t="str">
        <f>RSD_Commodities!$C$6&amp;","&amp;RSD_Commodities!$C$7&amp;","&amp;RSD_Commodities!$C$9&amp;","&amp;RSD_Commodities!$C$10&amp;","&amp;RSD_Commodities!$C$19</f>
        <v>RSDCOABIT,RSDCOAHAR,RSDCOALIG,RSDPEA,RSDBIOWOO</v>
      </c>
      <c r="Q81" s="935" t="str">
        <f>RSD_Commodities!$M$32</f>
        <v>SH_Det-D</v>
      </c>
      <c r="R81" s="1001">
        <f t="shared" si="53"/>
        <v>2.1068509147528221E-2</v>
      </c>
      <c r="S81" s="937">
        <f>R81*DwellingStocks!$I$67/1000</f>
        <v>1.0005209477419523</v>
      </c>
      <c r="T81" s="933">
        <v>1</v>
      </c>
      <c r="U81" s="933">
        <f t="shared" si="31"/>
        <v>0.6206521739130435</v>
      </c>
      <c r="V81" s="935">
        <v>20</v>
      </c>
      <c r="W81" s="935">
        <v>1</v>
      </c>
      <c r="X81" s="840"/>
      <c r="Y81" s="928">
        <f t="shared" si="50"/>
        <v>1.2029772112750537E-2</v>
      </c>
      <c r="Z81" s="929">
        <f t="shared" si="51"/>
        <v>1.3349887822137734E-2</v>
      </c>
      <c r="AA81" s="840"/>
      <c r="AB81" s="933" t="s">
        <v>393</v>
      </c>
      <c r="AC81" s="933" t="str">
        <f t="shared" si="52"/>
        <v>SH_Det-D_RSDSMF_X0</v>
      </c>
      <c r="AD81" s="933" t="str">
        <f t="shared" si="52"/>
        <v>Residential Space Heating Detached-D_Solid Multi-Fuel_Existing 00</v>
      </c>
      <c r="AE81" s="933" t="s">
        <v>53</v>
      </c>
      <c r="AF81" s="933" t="s">
        <v>406</v>
      </c>
      <c r="AG81" s="933"/>
      <c r="AH81" s="933"/>
      <c r="AI81" s="840"/>
      <c r="AJ81" s="840"/>
      <c r="AK81" s="840"/>
      <c r="AL81" s="840"/>
      <c r="AM81" s="840"/>
      <c r="AN81" s="840"/>
    </row>
    <row r="82" spans="1:40">
      <c r="A82" s="757" t="s">
        <v>118</v>
      </c>
      <c r="B82" s="757" t="s">
        <v>669</v>
      </c>
      <c r="C82" s="757">
        <f>SUMIFS(INDEX(Table91517[],,MATCH(C$6,Table91517[#Headers],0)),Table91517[MainSpaceHeatingFuel],$B82,Table91517[EnergyRating (group)],$A82)</f>
        <v>1303074</v>
      </c>
      <c r="D82" s="757">
        <f>SUMIFS(INDEX(Table91517[],,MATCH(D$6,Table91517[#Headers],0)),Table91517[MainSpaceHeatingFuel],$B82,Table91517[EnergyRating (group)],$A82)</f>
        <v>1085892</v>
      </c>
      <c r="E82" s="760">
        <f>SUMIFS(INDEX(Table91517[],,MATCH(E$6,Table91517[#Headers],0)),Table91517[MainSpaceHeatingFuel],$B82,Table91517[EnergyRating (group)],$A82)</f>
        <v>152638</v>
      </c>
      <c r="F82" s="760">
        <f>SUMIFS(INDEX(Table91517[],,MATCH(F$6,Table91517[#Headers],0)),Table91517[MainSpaceHeatingFuel],$B82,Table91517[EnergyRating (group)],$A82)</f>
        <v>124442</v>
      </c>
      <c r="G82" s="757">
        <f>SUMIFS(INDEX(Table91517[],,MATCH(G$6,Table91517[#Headers],0)),Table91517[MainSpaceHeatingFuel],$B82,Table91517[EnergyRating (group)],$A82)</f>
        <v>60</v>
      </c>
      <c r="H82" s="757">
        <f>SUMIFS(INDEX(Table91517[],,MATCH(H$6,Table91517[#Headers],0)),Table91517[MainSpaceHeatingFuel],$B82,Table91517[EnergyRating (group)],$A82)</f>
        <v>7530</v>
      </c>
      <c r="I82" s="912">
        <f>AVERAGEIFS(INDEX(Table91517[],,MATCH(I$6,Table91517[#Headers],0)),Table91517[MainSpaceHeatingFuel],$B82,Table91517[EnergyRating (group)],$A82)</f>
        <v>66</v>
      </c>
      <c r="J82" s="847">
        <f>SUMIFS(INDEX(Table91517[],,MATCH(J$6,Table91517[#Headers],0)),Table91517[MainSpaceHeatingFuel],$B82,Table91517[EnergyRating (group)],$A82)</f>
        <v>2108395</v>
      </c>
      <c r="K82" s="847">
        <f>SUMIFS(INDEX(Table91517[],,MATCH(K$6,Table91517[#Headers],0)),Table91517[MainSpaceHeatingFuel],$B82,Table91517[EnergyRating (group)],$A82)</f>
        <v>1610768</v>
      </c>
      <c r="M82" s="840"/>
      <c r="N82" s="914" t="str">
        <f>RSD_Commodities!$M$32&amp;"_"&amp;RIGHT(P82,LEN(P82)-3)&amp;"_"&amp;SETUP!$B$67</f>
        <v>SH_Det-D_COAHAR_X0</v>
      </c>
      <c r="O82" s="914" t="str">
        <f>RSD_Commodities!$N$32&amp;"_"&amp;RSD_Commodities!D7&amp;"_"&amp;SETUP!$C$67</f>
        <v>Residential Space Heating Detached-D_Anthracite + Manufactured Ovoids to Residential_Existing 00</v>
      </c>
      <c r="P82" s="930" t="str">
        <f>RSD_Commodities!$C$7</f>
        <v>RSDCOAHAR</v>
      </c>
      <c r="Q82" s="930" t="str">
        <f>RSD_Commodities!$M$32</f>
        <v>SH_Det-D</v>
      </c>
      <c r="R82" s="1000">
        <f t="shared" si="53"/>
        <v>9.7314130011677698E-4</v>
      </c>
      <c r="S82" s="932">
        <f>R82*DwellingStocks!$I$67/1000</f>
        <v>4.6213438694778397E-2</v>
      </c>
      <c r="T82" s="914">
        <v>1</v>
      </c>
      <c r="U82" s="914">
        <f t="shared" si="31"/>
        <v>0.66</v>
      </c>
      <c r="V82" s="930">
        <v>20</v>
      </c>
      <c r="W82" s="930">
        <v>1</v>
      </c>
      <c r="X82" s="840"/>
      <c r="Y82" s="926">
        <f t="shared" si="50"/>
        <v>2.2986450455838052E-5</v>
      </c>
      <c r="Z82" s="927">
        <f t="shared" si="51"/>
        <v>2.7646626275035588E-5</v>
      </c>
      <c r="AA82" s="840"/>
      <c r="AB82" s="914" t="s">
        <v>393</v>
      </c>
      <c r="AC82" s="914" t="str">
        <f t="shared" si="52"/>
        <v>SH_Det-D_COAHAR_X0</v>
      </c>
      <c r="AD82" s="914" t="str">
        <f t="shared" si="52"/>
        <v>Residential Space Heating Detached-D_Anthracite + Manufactured Ovoids to Residential_Existing 00</v>
      </c>
      <c r="AE82" s="914" t="s">
        <v>53</v>
      </c>
      <c r="AF82" s="914" t="s">
        <v>406</v>
      </c>
      <c r="AG82" s="914"/>
      <c r="AH82" s="914"/>
      <c r="AI82" s="840"/>
      <c r="AJ82" s="840"/>
      <c r="AK82" s="840"/>
      <c r="AL82" s="840"/>
      <c r="AM82" s="840"/>
      <c r="AN82" s="840"/>
    </row>
    <row r="83" spans="1:40">
      <c r="A83" s="758" t="s">
        <v>118</v>
      </c>
      <c r="B83" s="758" t="s">
        <v>666</v>
      </c>
      <c r="C83" s="758">
        <f>SUMIFS(INDEX(Table91517[],,MATCH(C$6,Table91517[#Headers],0)),Table91517[MainSpaceHeatingFuel],$B83,Table91517[EnergyRating (group)],$A83)</f>
        <v>1807694</v>
      </c>
      <c r="D83" s="758">
        <f>SUMIFS(INDEX(Table91517[],,MATCH(D$6,Table91517[#Headers],0)),Table91517[MainSpaceHeatingFuel],$B83,Table91517[EnergyRating (group)],$A83)</f>
        <v>1643357</v>
      </c>
      <c r="E83" s="758">
        <f>SUMIFS(INDEX(Table91517[],,MATCH(E$6,Table91517[#Headers],0)),Table91517[MainSpaceHeatingFuel],$B83,Table91517[EnergyRating (group)],$A83)</f>
        <v>271862</v>
      </c>
      <c r="F83" s="758">
        <f>SUMIFS(INDEX(Table91517[],,MATCH(F$6,Table91517[#Headers],0)),Table91517[MainSpaceHeatingFuel],$B83,Table91517[EnergyRating (group)],$A83)</f>
        <v>216111</v>
      </c>
      <c r="G83" s="758">
        <f>SUMIFS(INDEX(Table91517[],,MATCH(G$6,Table91517[#Headers],0)),Table91517[MainSpaceHeatingFuel],$B83,Table91517[EnergyRating (group)],$A83)</f>
        <v>79</v>
      </c>
      <c r="H83" s="758">
        <f>SUMIFS(INDEX(Table91517[],,MATCH(H$6,Table91517[#Headers],0)),Table91517[MainSpaceHeatingFuel],$B83,Table91517[EnergyRating (group)],$A83)</f>
        <v>10306</v>
      </c>
      <c r="I83" s="911">
        <f>AVERAGEIFS(INDEX(Table91517[],,MATCH(I$6,Table91517[#Headers],0)),Table91517[MainSpaceHeatingFuel],$B83,Table91517[EnergyRating (group)],$A83)</f>
        <v>63.696969696969695</v>
      </c>
      <c r="J83" s="849">
        <f>SUMIFS(INDEX(Table91517[],,MATCH(J$6,Table91517[#Headers],0)),Table91517[MainSpaceHeatingFuel],$B83,Table91517[EnergyRating (group)],$A83)</f>
        <v>2938187</v>
      </c>
      <c r="K83" s="849">
        <f>SUMIFS(INDEX(Table91517[],,MATCH(K$6,Table91517[#Headers],0)),Table91517[MainSpaceHeatingFuel],$B83,Table91517[EnergyRating (group)],$A83)</f>
        <v>2413746</v>
      </c>
      <c r="M83" s="840"/>
      <c r="N83" s="933" t="str">
        <f>RSD_Commodities!$M$32&amp;"_"&amp;RIGHT(P83,LEN(P83)-3)&amp;"_"&amp;SETUP!$B$67</f>
        <v>SH_Det-D_COABIT_X0</v>
      </c>
      <c r="O83" s="933" t="str">
        <f>RSD_Commodities!$N$32&amp;"_"&amp;RSD_Commodities!D22&amp;"_"&amp;SETUP!$C$67</f>
        <v>Residential Space Heating Detached-D_Geothermal to Residential_Existing 00</v>
      </c>
      <c r="P83" s="935" t="str">
        <f>RSD_Commodities!$C$6</f>
        <v>RSDCOABIT</v>
      </c>
      <c r="Q83" s="935" t="str">
        <f>RSD_Commodities!$M$32</f>
        <v>SH_Det-D</v>
      </c>
      <c r="R83" s="1001">
        <f t="shared" si="53"/>
        <v>1.2813027118204229E-3</v>
      </c>
      <c r="S83" s="937">
        <f>R83*DwellingStocks!$I$67/1000</f>
        <v>6.0847694281458219E-2</v>
      </c>
      <c r="T83" s="933">
        <v>1</v>
      </c>
      <c r="U83" s="933">
        <f t="shared" si="31"/>
        <v>0.63696969696969696</v>
      </c>
      <c r="V83" s="935">
        <v>20</v>
      </c>
      <c r="W83" s="935">
        <v>1</v>
      </c>
      <c r="X83" s="840"/>
      <c r="Y83" s="928">
        <f t="shared" si="50"/>
        <v>4.6497674132940238E-5</v>
      </c>
      <c r="Z83" s="929">
        <f t="shared" si="51"/>
        <v>5.2001173039385811E-5</v>
      </c>
      <c r="AA83" s="840"/>
      <c r="AB83" s="933" t="s">
        <v>393</v>
      </c>
      <c r="AC83" s="933" t="str">
        <f t="shared" si="52"/>
        <v>SH_Det-D_COABIT_X0</v>
      </c>
      <c r="AD83" s="933" t="str">
        <f t="shared" si="52"/>
        <v>Residential Space Heating Detached-D_Geothermal to Residential_Existing 00</v>
      </c>
      <c r="AE83" s="933" t="s">
        <v>53</v>
      </c>
      <c r="AF83" s="933" t="s">
        <v>406</v>
      </c>
      <c r="AG83" s="933"/>
      <c r="AH83" s="933"/>
      <c r="AI83" s="840"/>
      <c r="AJ83" s="840"/>
      <c r="AK83" s="840"/>
      <c r="AL83" s="840"/>
      <c r="AM83" s="840"/>
      <c r="AN83" s="840"/>
    </row>
    <row r="84" spans="1:40">
      <c r="A84" s="757" t="s">
        <v>118</v>
      </c>
      <c r="B84" s="757" t="s">
        <v>667</v>
      </c>
      <c r="C84" s="757">
        <f>SUMIFS(INDEX(Table91517[],,MATCH(C$6,Table91517[#Headers],0)),Table91517[MainSpaceHeatingFuel],$B84,Table91517[EnergyRating (group)],$A84)</f>
        <v>277698</v>
      </c>
      <c r="D84" s="757">
        <f>SUMIFS(INDEX(Table91517[],,MATCH(D$6,Table91517[#Headers],0)),Table91517[MainSpaceHeatingFuel],$B84,Table91517[EnergyRating (group)],$A84)</f>
        <v>252454</v>
      </c>
      <c r="E84" s="757">
        <f>SUMIFS(INDEX(Table91517[],,MATCH(E$6,Table91517[#Headers],0)),Table91517[MainSpaceHeatingFuel],$B84,Table91517[EnergyRating (group)],$A84)</f>
        <v>35580</v>
      </c>
      <c r="F84" s="757">
        <f>SUMIFS(INDEX(Table91517[],,MATCH(F$6,Table91517[#Headers],0)),Table91517[MainSpaceHeatingFuel],$B84,Table91517[EnergyRating (group)],$A84)</f>
        <v>32345</v>
      </c>
      <c r="G84" s="757">
        <f>SUMIFS(INDEX(Table91517[],,MATCH(G$6,Table91517[#Headers],0)),Table91517[MainSpaceHeatingFuel],$B84,Table91517[EnergyRating (group)],$A84)</f>
        <v>13</v>
      </c>
      <c r="H84" s="757">
        <f>SUMIFS(INDEX(Table91517[],,MATCH(H$6,Table91517[#Headers],0)),Table91517[MainSpaceHeatingFuel],$B84,Table91517[EnergyRating (group)],$A84)</f>
        <v>1660</v>
      </c>
      <c r="I84" s="912">
        <f>AVERAGEIFS(INDEX(Table91517[],,MATCH(I$6,Table91517[#Headers],0)),Table91517[MainSpaceHeatingFuel],$B84,Table91517[EnergyRating (group)],$A84)</f>
        <v>65.777777777777771</v>
      </c>
      <c r="J84" s="847">
        <f>SUMIFS(INDEX(Table91517[],,MATCH(J$6,Table91517[#Headers],0)),Table91517[MainSpaceHeatingFuel],$B84,Table91517[EnergyRating (group)],$A84)</f>
        <v>457580</v>
      </c>
      <c r="K84" s="847">
        <f>SUMIFS(INDEX(Table91517[],,MATCH(K$6,Table91517[#Headers],0)),Table91517[MainSpaceHeatingFuel],$B84,Table91517[EnergyRating (group)],$A84)</f>
        <v>379853</v>
      </c>
      <c r="M84" s="840"/>
      <c r="N84" s="914" t="str">
        <f>RSD_Commodities!$M$32&amp;"_"&amp;RIGHT(P84,LEN(P84)-3)&amp;"_"&amp;SETUP!$B$68</f>
        <v>SH_Det-D_PEA_X1</v>
      </c>
      <c r="O84" s="914" t="str">
        <f>RSD_Commodities!$N$32&amp;"_"&amp;RSD_Commodities!D26&amp;"_"&amp;SETUP!$C$68</f>
        <v>Residential Space Heating Detached-D_Solid Multi-Fuel_Existing 01</v>
      </c>
      <c r="P84" s="930" t="str">
        <f>RSD_Commodities!$C$10</f>
        <v>RSDPEA</v>
      </c>
      <c r="Q84" s="930" t="str">
        <f>RSD_Commodities!$M$32</f>
        <v>SH_Det-D</v>
      </c>
      <c r="R84" s="1000">
        <f t="shared" si="53"/>
        <v>2.1084728169196834E-4</v>
      </c>
      <c r="S84" s="932">
        <f>R84*DwellingStocks!$I$67/1000</f>
        <v>1.0012911717201986E-2</v>
      </c>
      <c r="T84" s="914">
        <v>1</v>
      </c>
      <c r="U84" s="914">
        <f t="shared" si="31"/>
        <v>0.65777777777777768</v>
      </c>
      <c r="V84" s="930">
        <v>20</v>
      </c>
      <c r="W84" s="930">
        <v>1</v>
      </c>
      <c r="X84" s="840"/>
      <c r="Y84" s="926">
        <f t="shared" si="50"/>
        <v>1.171918045540031E-6</v>
      </c>
      <c r="Z84" s="927">
        <f t="shared" si="51"/>
        <v>1.2891061466883304E-6</v>
      </c>
      <c r="AA84" s="840"/>
      <c r="AB84" s="914" t="s">
        <v>393</v>
      </c>
      <c r="AC84" s="914" t="str">
        <f t="shared" si="52"/>
        <v>SH_Det-D_PEA_X1</v>
      </c>
      <c r="AD84" s="914" t="str">
        <f t="shared" si="52"/>
        <v>Residential Space Heating Detached-D_Solid Multi-Fuel_Existing 01</v>
      </c>
      <c r="AE84" s="914" t="s">
        <v>53</v>
      </c>
      <c r="AF84" s="914" t="s">
        <v>406</v>
      </c>
      <c r="AG84" s="914"/>
      <c r="AH84" s="914"/>
      <c r="AI84" s="840"/>
      <c r="AJ84" s="840"/>
      <c r="AK84" s="840"/>
      <c r="AL84" s="840"/>
      <c r="AM84" s="840"/>
      <c r="AN84" s="840"/>
    </row>
    <row r="85" spans="1:40">
      <c r="A85" s="758" t="s">
        <v>118</v>
      </c>
      <c r="B85" s="758" t="s">
        <v>671</v>
      </c>
      <c r="C85" s="758">
        <f>SUMIFS(INDEX(Table91517[],,MATCH(C$6,Table91517[#Headers],0)),Table91517[MainSpaceHeatingFuel],$B85,Table91517[EnergyRating (group)],$A85)</f>
        <v>1325011</v>
      </c>
      <c r="D85" s="758">
        <f>SUMIFS(INDEX(Table91517[],,MATCH(D$6,Table91517[#Headers],0)),Table91517[MainSpaceHeatingFuel],$B85,Table91517[EnergyRating (group)],$A85)</f>
        <v>1204554</v>
      </c>
      <c r="E85" s="759">
        <f>SUMIFS(INDEX(Table91517[],,MATCH(E$6,Table91517[#Headers],0)),Table91517[MainSpaceHeatingFuel],$B85,Table91517[EnergyRating (group)],$A85)</f>
        <v>167878</v>
      </c>
      <c r="F85" s="759">
        <f>SUMIFS(INDEX(Table91517[],,MATCH(F$6,Table91517[#Headers],0)),Table91517[MainSpaceHeatingFuel],$B85,Table91517[EnergyRating (group)],$A85)</f>
        <v>148801</v>
      </c>
      <c r="G85" s="758">
        <f>SUMIFS(INDEX(Table91517[],,MATCH(G$6,Table91517[#Headers],0)),Table91517[MainSpaceHeatingFuel],$B85,Table91517[EnergyRating (group)],$A85)</f>
        <v>48</v>
      </c>
      <c r="H85" s="758">
        <f>SUMIFS(INDEX(Table91517[],,MATCH(H$6,Table91517[#Headers],0)),Table91517[MainSpaceHeatingFuel],$B85,Table91517[EnergyRating (group)],$A85)</f>
        <v>7092</v>
      </c>
      <c r="I85" s="911">
        <f>AVERAGEIFS(INDEX(Table91517[],,MATCH(I$6,Table91517[#Headers],0)),Table91517[MainSpaceHeatingFuel],$B85,Table91517[EnergyRating (group)],$A85)</f>
        <v>61.421052631578945</v>
      </c>
      <c r="J85" s="849">
        <f>SUMIFS(INDEX(Table91517[],,MATCH(J$6,Table91517[#Headers],0)),Table91517[MainSpaceHeatingFuel],$B85,Table91517[EnergyRating (group)],$A85)</f>
        <v>2093153</v>
      </c>
      <c r="K85" s="849">
        <f>SUMIFS(INDEX(Table91517[],,MATCH(K$6,Table91517[#Headers],0)),Table91517[MainSpaceHeatingFuel],$B85,Table91517[EnergyRating (group)],$A85)</f>
        <v>1752822</v>
      </c>
      <c r="M85" s="840"/>
      <c r="N85" s="840" t="str">
        <f>RSD_Commodities!$M$32&amp;"_"&amp;RIGHT(P85,LEN(P85)-3)&amp;"_"&amp;SETUP!$B$67</f>
        <v>SH_Det-D_PEA_X0</v>
      </c>
      <c r="O85" s="840" t="str">
        <f>RSD_Commodities!$N$32&amp;"_"&amp;RSD_Commodities!D26&amp;"_"&amp;SETUP!$C$67</f>
        <v>Residential Space Heating Detached-D_Solid Multi-Fuel_Existing 00</v>
      </c>
      <c r="P85" s="935" t="str">
        <f>RSD_Commodities!$C$10</f>
        <v>RSDPEA</v>
      </c>
      <c r="Q85" s="935" t="str">
        <f>RSD_Commodities!$M$32</f>
        <v>SH_Det-D</v>
      </c>
      <c r="R85" s="1001">
        <f t="shared" si="53"/>
        <v>7.7851304009342152E-4</v>
      </c>
      <c r="S85" s="937">
        <f>R85*DwellingStocks!$I$67/1000</f>
        <v>3.6970750955822716E-2</v>
      </c>
      <c r="T85" s="933">
        <v>1</v>
      </c>
      <c r="U85" s="933">
        <f t="shared" si="31"/>
        <v>0.61421052631578943</v>
      </c>
      <c r="V85" s="935">
        <v>20</v>
      </c>
      <c r="W85" s="935">
        <v>1</v>
      </c>
      <c r="X85" s="840"/>
      <c r="Y85" s="928">
        <f t="shared" si="50"/>
        <v>2.0562144106774301E-5</v>
      </c>
      <c r="Z85" s="929">
        <f t="shared" si="51"/>
        <v>2.2682148256309821E-5</v>
      </c>
      <c r="AA85" s="840"/>
      <c r="AB85" s="933" t="s">
        <v>393</v>
      </c>
      <c r="AC85" s="933" t="str">
        <f t="shared" si="52"/>
        <v>SH_Det-D_PEA_X0</v>
      </c>
      <c r="AD85" s="933" t="str">
        <f t="shared" si="52"/>
        <v>Residential Space Heating Detached-D_Solid Multi-Fuel_Existing 00</v>
      </c>
      <c r="AE85" s="933" t="s">
        <v>53</v>
      </c>
      <c r="AF85" s="933" t="s">
        <v>406</v>
      </c>
      <c r="AG85" s="933"/>
      <c r="AH85" s="933"/>
      <c r="AI85" s="840"/>
      <c r="AJ85" s="840"/>
      <c r="AK85" s="840"/>
      <c r="AL85" s="840"/>
      <c r="AM85" s="840"/>
      <c r="AN85" s="840"/>
    </row>
    <row r="86" spans="1:40">
      <c r="A86" s="757" t="s">
        <v>118</v>
      </c>
      <c r="B86" s="757" t="s">
        <v>668</v>
      </c>
      <c r="C86" s="757">
        <f>SUMIFS(INDEX(Table91517[],,MATCH(C$6,Table91517[#Headers],0)),Table91517[MainSpaceHeatingFuel],$B86,Table91517[EnergyRating (group)],$A86)</f>
        <v>552751</v>
      </c>
      <c r="D86" s="757">
        <f>SUMIFS(INDEX(Table91517[],,MATCH(D$6,Table91517[#Headers],0)),Table91517[MainSpaceHeatingFuel],$B86,Table91517[EnergyRating (group)],$A86)</f>
        <v>502501</v>
      </c>
      <c r="E86" s="760">
        <f>SUMIFS(INDEX(Table91517[],,MATCH(E$6,Table91517[#Headers],0)),Table91517[MainSpaceHeatingFuel],$B86,Table91517[EnergyRating (group)],$A86)</f>
        <v>83447</v>
      </c>
      <c r="F86" s="760">
        <f>SUMIFS(INDEX(Table91517[],,MATCH(F$6,Table91517[#Headers],0)),Table91517[MainSpaceHeatingFuel],$B86,Table91517[EnergyRating (group)],$A86)</f>
        <v>72412</v>
      </c>
      <c r="G86" s="757">
        <f>SUMIFS(INDEX(Table91517[],,MATCH(G$6,Table91517[#Headers],0)),Table91517[MainSpaceHeatingFuel],$B86,Table91517[EnergyRating (group)],$A86)</f>
        <v>26</v>
      </c>
      <c r="H86" s="757">
        <f>SUMIFS(INDEX(Table91517[],,MATCH(H$6,Table91517[#Headers],0)),Table91517[MainSpaceHeatingFuel],$B86,Table91517[EnergyRating (group)],$A86)</f>
        <v>3495</v>
      </c>
      <c r="I86" s="912">
        <f>AVERAGEIFS(INDEX(Table91517[],,MATCH(I$6,Table91517[#Headers],0)),Table91517[MainSpaceHeatingFuel],$B86,Table91517[EnergyRating (group)],$A86)</f>
        <v>73.13333333333334</v>
      </c>
      <c r="J86" s="847">
        <f>SUMIFS(INDEX(Table91517[],,MATCH(J$6,Table91517[#Headers],0)),Table91517[MainSpaceHeatingFuel],$B86,Table91517[EnergyRating (group)],$A86)</f>
        <v>881863</v>
      </c>
      <c r="K86" s="847">
        <f>SUMIFS(INDEX(Table91517[],,MATCH(K$6,Table91517[#Headers],0)),Table91517[MainSpaceHeatingFuel],$B86,Table91517[EnergyRating (group)],$A86)</f>
        <v>737499</v>
      </c>
      <c r="M86" s="840"/>
      <c r="N86" s="914" t="str">
        <f>RSD_Commodities!$M$32&amp;"_"&amp;RIGHT(P86,LEN(P86)-3)&amp;"_"&amp;SETUP!$B$69</f>
        <v>SH_Det-D_BIOWOO_X2</v>
      </c>
      <c r="O86" s="914" t="str">
        <f>RSD_Commodities!$N$32&amp;"_"&amp;RSD_Commodities!D35&amp;"_"&amp;SETUP!$C$69</f>
        <v>Residential Space Heating Detached-D_Residential Refrigeration_Existing 02</v>
      </c>
      <c r="P86" s="930" t="str">
        <f>RSD_Commodities!$C$19</f>
        <v>RSDBIOWOO</v>
      </c>
      <c r="Q86" s="930" t="str">
        <f>RSD_Commodities!$M$32</f>
        <v>SH_Det-D</v>
      </c>
      <c r="R86" s="1000">
        <f t="shared" si="53"/>
        <v>4.2169456338393669E-4</v>
      </c>
      <c r="S86" s="932">
        <f>R86*DwellingStocks!$I$67/1000</f>
        <v>2.0025823434403973E-2</v>
      </c>
      <c r="T86" s="914">
        <v>1</v>
      </c>
      <c r="U86" s="914">
        <f t="shared" si="31"/>
        <v>0.73133333333333339</v>
      </c>
      <c r="V86" s="930">
        <v>20</v>
      </c>
      <c r="W86" s="930">
        <v>1</v>
      </c>
      <c r="X86" s="840"/>
      <c r="Y86" s="926">
        <f t="shared" si="50"/>
        <v>4.7314135184151336E-6</v>
      </c>
      <c r="Z86" s="927">
        <f t="shared" si="51"/>
        <v>5.2357762262962767E-6</v>
      </c>
      <c r="AA86" s="840"/>
      <c r="AB86" s="914" t="s">
        <v>393</v>
      </c>
      <c r="AC86" s="914" t="str">
        <f t="shared" si="52"/>
        <v>SH_Det-D_BIOWOO_X2</v>
      </c>
      <c r="AD86" s="914" t="str">
        <f t="shared" si="52"/>
        <v>Residential Space Heating Detached-D_Residential Refrigeration_Existing 02</v>
      </c>
      <c r="AE86" s="914" t="s">
        <v>53</v>
      </c>
      <c r="AF86" s="914" t="s">
        <v>406</v>
      </c>
      <c r="AG86" s="914"/>
      <c r="AH86" s="914"/>
      <c r="AI86" s="840"/>
      <c r="AJ86" s="840"/>
      <c r="AK86" s="840"/>
      <c r="AL86" s="840"/>
      <c r="AM86" s="840"/>
      <c r="AN86" s="840"/>
    </row>
    <row r="87" spans="1:40">
      <c r="A87" s="758" t="s">
        <v>118</v>
      </c>
      <c r="B87" s="758" t="s">
        <v>722</v>
      </c>
      <c r="C87" s="758">
        <f>SUMIFS(INDEX(Table91517[],,MATCH(C$6,Table91517[#Headers],0)),Table91517[MainSpaceHeatingFuel],$B87,Table91517[EnergyRating (group)],$A87)</f>
        <v>144582</v>
      </c>
      <c r="D87" s="758">
        <f>SUMIFS(INDEX(Table91517[],,MATCH(D$6,Table91517[#Headers],0)),Table91517[MainSpaceHeatingFuel],$B87,Table91517[EnergyRating (group)],$A87)</f>
        <v>131440</v>
      </c>
      <c r="E87" s="758">
        <f>SUMIFS(INDEX(Table91517[],,MATCH(E$6,Table91517[#Headers],0)),Table91517[MainSpaceHeatingFuel],$B87,Table91517[EnergyRating (group)],$A87)</f>
        <v>22036</v>
      </c>
      <c r="F87" s="758">
        <f>SUMIFS(INDEX(Table91517[],,MATCH(F$6,Table91517[#Headers],0)),Table91517[MainSpaceHeatingFuel],$B87,Table91517[EnergyRating (group)],$A87)</f>
        <v>20033</v>
      </c>
      <c r="G87" s="758">
        <f>SUMIFS(INDEX(Table91517[],,MATCH(G$6,Table91517[#Headers],0)),Table91517[MainSpaceHeatingFuel],$B87,Table91517[EnergyRating (group)],$A87)</f>
        <v>4</v>
      </c>
      <c r="H87" s="758">
        <f>SUMIFS(INDEX(Table91517[],,MATCH(H$6,Table91517[#Headers],0)),Table91517[MainSpaceHeatingFuel],$B87,Table91517[EnergyRating (group)],$A87)</f>
        <v>783</v>
      </c>
      <c r="I87" s="911">
        <f>AVERAGEIFS(INDEX(Table91517[],,MATCH(I$6,Table91517[#Headers],0)),Table91517[MainSpaceHeatingFuel],$B87,Table91517[EnergyRating (group)],$A87)</f>
        <v>69.5</v>
      </c>
      <c r="J87" s="849">
        <f>SUMIFS(INDEX(Table91517[],,MATCH(J$6,Table91517[#Headers],0)),Table91517[MainSpaceHeatingFuel],$B87,Table91517[EnergyRating (group)],$A87)</f>
        <v>217490</v>
      </c>
      <c r="K87" s="849">
        <f>SUMIFS(INDEX(Table91517[],,MATCH(K$6,Table91517[#Headers],0)),Table91517[MainSpaceHeatingFuel],$B87,Table91517[EnergyRating (group)],$A87)</f>
        <v>185154</v>
      </c>
      <c r="M87" s="840"/>
      <c r="N87" s="933" t="str">
        <f>RSD_Commodities!$M$32&amp;"_"&amp;RIGHT(P87,LEN(P87)-3)&amp;"_"&amp;SETUP!$B$68</f>
        <v>SH_Det-D_BIOWOO_X1</v>
      </c>
      <c r="O87" s="933" t="str">
        <f>RSD_Commodities!$N$32&amp;"_"&amp;RSD_Commodities!D35&amp;"_"&amp;SETUP!$C$68</f>
        <v>Residential Space Heating Detached-D_Residential Refrigeration_Existing 01</v>
      </c>
      <c r="P87" s="935" t="str">
        <f>RSD_Commodities!$C$19</f>
        <v>RSDBIOWOO</v>
      </c>
      <c r="Q87" s="935" t="str">
        <f>RSD_Commodities!$M$32</f>
        <v>SH_Det-D</v>
      </c>
      <c r="R87" s="1001">
        <f t="shared" si="53"/>
        <v>6.4876086674451802E-5</v>
      </c>
      <c r="S87" s="937">
        <f>R87*DwellingStocks!$I$67/1000</f>
        <v>3.0808959129852271E-3</v>
      </c>
      <c r="T87" s="933">
        <v>1</v>
      </c>
      <c r="U87" s="933">
        <f t="shared" si="31"/>
        <v>0.69499999999999995</v>
      </c>
      <c r="V87" s="935">
        <v>20</v>
      </c>
      <c r="W87" s="935">
        <v>1</v>
      </c>
      <c r="X87" s="840"/>
      <c r="Y87" s="928">
        <f t="shared" si="50"/>
        <v>1.9178323834011428E-7</v>
      </c>
      <c r="Z87" s="929">
        <f t="shared" si="51"/>
        <v>2.1095865009442713E-7</v>
      </c>
      <c r="AA87" s="840"/>
      <c r="AB87" s="933" t="s">
        <v>393</v>
      </c>
      <c r="AC87" s="933" t="str">
        <f t="shared" si="52"/>
        <v>SH_Det-D_BIOWOO_X1</v>
      </c>
      <c r="AD87" s="933" t="str">
        <f t="shared" si="52"/>
        <v>Residential Space Heating Detached-D_Residential Refrigeration_Existing 01</v>
      </c>
      <c r="AE87" s="933" t="s">
        <v>53</v>
      </c>
      <c r="AF87" s="933" t="s">
        <v>406</v>
      </c>
      <c r="AG87" s="933"/>
      <c r="AH87" s="933"/>
      <c r="AI87" s="840"/>
      <c r="AJ87" s="840"/>
      <c r="AK87" s="840"/>
      <c r="AL87" s="840"/>
      <c r="AM87" s="840"/>
      <c r="AN87" s="840"/>
    </row>
    <row r="88" spans="1:40">
      <c r="A88" s="757" t="s">
        <v>118</v>
      </c>
      <c r="B88" s="757" t="s">
        <v>673</v>
      </c>
      <c r="C88" s="757">
        <f>SUMIFS(INDEX(Table91517[],,MATCH(C$6,Table91517[#Headers],0)),Table91517[MainSpaceHeatingFuel],$B88,Table91517[EnergyRating (group)],$A88)</f>
        <v>1878616</v>
      </c>
      <c r="D88" s="757">
        <f>SUMIFS(INDEX(Table91517[],,MATCH(D$6,Table91517[#Headers],0)),Table91517[MainSpaceHeatingFuel],$B88,Table91517[EnergyRating (group)],$A88)</f>
        <v>1707832</v>
      </c>
      <c r="E88" s="757">
        <f>SUMIFS(INDEX(Table91517[],,MATCH(E$6,Table91517[#Headers],0)),Table91517[MainSpaceHeatingFuel],$B88,Table91517[EnergyRating (group)],$A88)</f>
        <v>260070</v>
      </c>
      <c r="F88" s="757">
        <f>SUMIFS(INDEX(Table91517[],,MATCH(F$6,Table91517[#Headers],0)),Table91517[MainSpaceHeatingFuel],$B88,Table91517[EnergyRating (group)],$A88)</f>
        <v>213748</v>
      </c>
      <c r="G88" s="757">
        <f>SUMIFS(INDEX(Table91517[],,MATCH(G$6,Table91517[#Headers],0)),Table91517[MainSpaceHeatingFuel],$B88,Table91517[EnergyRating (group)],$A88)</f>
        <v>74</v>
      </c>
      <c r="H88" s="757">
        <f>SUMIFS(INDEX(Table91517[],,MATCH(H$6,Table91517[#Headers],0)),Table91517[MainSpaceHeatingFuel],$B88,Table91517[EnergyRating (group)],$A88)</f>
        <v>10491</v>
      </c>
      <c r="I88" s="912">
        <f>AVERAGEIFS(INDEX(Table91517[],,MATCH(I$6,Table91517[#Headers],0)),Table91517[MainSpaceHeatingFuel],$B88,Table91517[EnergyRating (group)],$A88)</f>
        <v>64.25</v>
      </c>
      <c r="J88" s="847">
        <f>SUMIFS(INDEX(Table91517[],,MATCH(J$6,Table91517[#Headers],0)),Table91517[MainSpaceHeatingFuel],$B88,Table91517[EnergyRating (group)],$A88)</f>
        <v>2869964</v>
      </c>
      <c r="K88" s="847">
        <f>SUMIFS(INDEX(Table91517[],,MATCH(K$6,Table91517[#Headers],0)),Table91517[MainSpaceHeatingFuel],$B88,Table91517[EnergyRating (group)],$A88)</f>
        <v>2394513</v>
      </c>
      <c r="M88" s="840"/>
      <c r="N88" s="914" t="str">
        <f>RSD_Commodities!$M$32&amp;"_"&amp;RIGHT(P88,LEN(P88)-3)&amp;"_"&amp;SETUP!$B$68</f>
        <v>SH_Det-D_BIOWOO_X1</v>
      </c>
      <c r="O88" s="914" t="str">
        <f>RSD_Commodities!$N$32&amp;"_"&amp;RSD_Commodities!D35&amp;"_"&amp;SETUP!$C$68</f>
        <v>Residential Space Heating Detached-D_Residential Refrigeration_Existing 01</v>
      </c>
      <c r="P88" s="930" t="str">
        <f>RSD_Commodities!$C$19</f>
        <v>RSDBIOWOO</v>
      </c>
      <c r="Q88" s="930" t="str">
        <f>RSD_Commodities!$M$32</f>
        <v>SH_Det-D</v>
      </c>
      <c r="R88" s="1000">
        <f t="shared" si="53"/>
        <v>1.2002076034773582E-3</v>
      </c>
      <c r="S88" s="932">
        <f>R88*DwellingStocks!$I$67/1000</f>
        <v>5.6996574390226686E-2</v>
      </c>
      <c r="T88" s="914">
        <v>1</v>
      </c>
      <c r="U88" s="914">
        <f t="shared" si="31"/>
        <v>0.64249999999999996</v>
      </c>
      <c r="V88" s="930">
        <v>20</v>
      </c>
      <c r="W88" s="930">
        <v>1</v>
      </c>
      <c r="X88" s="840"/>
      <c r="Y88" s="926">
        <f t="shared" si="50"/>
        <v>4.5009648253467869E-5</v>
      </c>
      <c r="Z88" s="927">
        <f t="shared" si="51"/>
        <v>5.0094976313562891E-5</v>
      </c>
      <c r="AA88" s="840"/>
      <c r="AB88" s="914" t="s">
        <v>393</v>
      </c>
      <c r="AC88" s="914" t="str">
        <f t="shared" si="52"/>
        <v>SH_Det-D_BIOWOO_X1</v>
      </c>
      <c r="AD88" s="914" t="str">
        <f t="shared" si="52"/>
        <v>Residential Space Heating Detached-D_Residential Refrigeration_Existing 01</v>
      </c>
      <c r="AE88" s="914" t="s">
        <v>53</v>
      </c>
      <c r="AF88" s="914" t="s">
        <v>406</v>
      </c>
      <c r="AG88" s="914"/>
      <c r="AH88" s="914"/>
      <c r="AI88" s="840"/>
      <c r="AJ88" s="840"/>
      <c r="AK88" s="840"/>
      <c r="AL88" s="840"/>
      <c r="AM88" s="840"/>
      <c r="AN88" s="840"/>
    </row>
    <row r="89" spans="1:40" ht="15.75" thickBot="1">
      <c r="A89" s="758" t="s">
        <v>118</v>
      </c>
      <c r="B89" s="758" t="s">
        <v>674</v>
      </c>
      <c r="C89" s="758">
        <f>SUMIFS(INDEX(Table91517[],,MATCH(C$6,Table91517[#Headers],0)),Table91517[MainSpaceHeatingFuel],$B89,Table91517[EnergyRating (group)],$A89)</f>
        <v>22183</v>
      </c>
      <c r="D89" s="758">
        <f>SUMIFS(INDEX(Table91517[],,MATCH(D$6,Table91517[#Headers],0)),Table91517[MainSpaceHeatingFuel],$B89,Table91517[EnergyRating (group)],$A89)</f>
        <v>20166</v>
      </c>
      <c r="E89" s="759">
        <f>SUMIFS(INDEX(Table91517[],,MATCH(E$6,Table91517[#Headers],0)),Table91517[MainSpaceHeatingFuel],$B89,Table91517[EnergyRating (group)],$A89)</f>
        <v>5866</v>
      </c>
      <c r="F89" s="759">
        <f>SUMIFS(INDEX(Table91517[],,MATCH(F$6,Table91517[#Headers],0)),Table91517[MainSpaceHeatingFuel],$B89,Table91517[EnergyRating (group)],$A89)</f>
        <v>5333</v>
      </c>
      <c r="G89" s="758">
        <f>SUMIFS(INDEX(Table91517[],,MATCH(G$6,Table91517[#Headers],0)),Table91517[MainSpaceHeatingFuel],$B89,Table91517[EnergyRating (group)],$A89)</f>
        <v>1</v>
      </c>
      <c r="H89" s="758">
        <f>SUMIFS(INDEX(Table91517[],,MATCH(H$6,Table91517[#Headers],0)),Table91517[MainSpaceHeatingFuel],$B89,Table91517[EnergyRating (group)],$A89)</f>
        <v>161</v>
      </c>
      <c r="I89" s="911">
        <f>AVERAGEIFS(INDEX(Table91517[],,MATCH(I$6,Table91517[#Headers],0)),Table91517[MainSpaceHeatingFuel],$B89,Table91517[EnergyRating (group)],$A89)</f>
        <v>71</v>
      </c>
      <c r="J89" s="849">
        <f>SUMIFS(INDEX(Table91517[],,MATCH(J$6,Table91517[#Headers],0)),Table91517[MainSpaceHeatingFuel],$B89,Table91517[EnergyRating (group)],$A89)</f>
        <v>42470</v>
      </c>
      <c r="K89" s="849">
        <f>SUMIFS(INDEX(Table91517[],,MATCH(K$6,Table91517[#Headers],0)),Table91517[MainSpaceHeatingFuel],$B89,Table91517[EnergyRating (group)],$A89)</f>
        <v>34199</v>
      </c>
      <c r="M89" s="840"/>
      <c r="N89" s="933" t="str">
        <f>RSD_Commodities!$M$32&amp;"_"&amp;RIGHT(P89,LEN(P89)-3)&amp;"_"&amp;SETUP!$B$68</f>
        <v>SH_Det-D_COAHAR_X1</v>
      </c>
      <c r="O89" s="933" t="str">
        <f>RSD_Commodities!$N$32&amp;"_"&amp;RSD_Commodities!D7&amp;"_"&amp;SETUP!$C$68</f>
        <v>Residential Space Heating Detached-D_Anthracite + Manufactured Ovoids to Residential_Existing 01</v>
      </c>
      <c r="P89" s="935" t="str">
        <f>RSD_Commodities!$C$7</f>
        <v>RSDCOAHAR</v>
      </c>
      <c r="Q89" s="935" t="str">
        <f>RSD_Commodities!$M$32</f>
        <v>SH_Det-D</v>
      </c>
      <c r="R89" s="1001">
        <f t="shared" si="53"/>
        <v>1.6219021668612951E-5</v>
      </c>
      <c r="S89" s="937">
        <f>R89*DwellingStocks!$I$67/1000</f>
        <v>7.7022397824630677E-4</v>
      </c>
      <c r="T89" s="933">
        <v>1</v>
      </c>
      <c r="U89" s="933">
        <f t="shared" si="31"/>
        <v>0.71</v>
      </c>
      <c r="V89" s="935">
        <v>20</v>
      </c>
      <c r="W89" s="935">
        <v>1</v>
      </c>
      <c r="X89" s="840"/>
      <c r="Y89" s="928">
        <f t="shared" ref="Y89" si="54">ABS((D89+F89)*S89*1000*$B$2)</f>
        <v>8.0712087210832509E-9</v>
      </c>
      <c r="Z89" s="929">
        <f t="shared" ref="Z89" si="55">ABS((C89+E89)*S89*1000*$B$2)</f>
        <v>8.8783612462317791E-9</v>
      </c>
      <c r="AA89" s="840"/>
      <c r="AB89" s="933" t="s">
        <v>393</v>
      </c>
      <c r="AC89" s="933" t="str">
        <f t="shared" si="52"/>
        <v>SH_Det-D_COAHAR_X1</v>
      </c>
      <c r="AD89" s="933" t="str">
        <f t="shared" si="52"/>
        <v>Residential Space Heating Detached-D_Anthracite + Manufactured Ovoids to Residential_Existing 01</v>
      </c>
      <c r="AE89" s="933" t="s">
        <v>53</v>
      </c>
      <c r="AF89" s="933" t="s">
        <v>406</v>
      </c>
      <c r="AG89" s="933"/>
      <c r="AH89" s="933"/>
      <c r="AI89" s="840"/>
      <c r="AJ89" s="840"/>
      <c r="AK89" s="840"/>
      <c r="AL89" s="840"/>
      <c r="AM89" s="840"/>
      <c r="AN89" s="840"/>
    </row>
    <row r="90" spans="1:40" ht="15.75" thickBot="1">
      <c r="A90" s="756" t="s">
        <v>120</v>
      </c>
      <c r="B90" s="1048"/>
      <c r="C90" s="1049"/>
      <c r="D90" s="1049"/>
      <c r="E90" s="1049"/>
      <c r="F90" s="1049"/>
      <c r="G90" s="1049"/>
      <c r="H90" s="1049"/>
      <c r="I90" s="1053"/>
      <c r="J90" s="736" t="s">
        <v>565</v>
      </c>
      <c r="K90" s="737" t="s">
        <v>565</v>
      </c>
      <c r="M90" s="840"/>
      <c r="N90" s="76" t="str">
        <f>"*"&amp;AB90</f>
        <v>*E Rating</v>
      </c>
      <c r="O90" s="76"/>
      <c r="P90" s="76"/>
      <c r="Q90" s="76"/>
      <c r="R90" s="949">
        <f>SUM(R91:R105)</f>
        <v>1</v>
      </c>
      <c r="S90" s="76"/>
      <c r="T90" s="97"/>
      <c r="U90" s="76"/>
      <c r="V90" s="76"/>
      <c r="W90" s="76"/>
      <c r="X90" s="840"/>
      <c r="Y90" s="76"/>
      <c r="Z90" s="76"/>
      <c r="AA90" s="840"/>
      <c r="AB90" s="140" t="str">
        <f>A91 &amp; " Rating"</f>
        <v>E Rating</v>
      </c>
      <c r="AC90" s="141"/>
      <c r="AD90" s="141"/>
      <c r="AE90" s="141"/>
      <c r="AF90" s="141"/>
      <c r="AG90" s="141"/>
      <c r="AH90" s="141"/>
      <c r="AI90" s="840"/>
      <c r="AJ90" s="840"/>
      <c r="AK90" s="840"/>
      <c r="AL90" s="840"/>
      <c r="AM90" s="840"/>
      <c r="AN90" s="840"/>
    </row>
    <row r="91" spans="1:40">
      <c r="A91" s="758" t="s">
        <v>120</v>
      </c>
      <c r="B91" s="758" t="s">
        <v>582</v>
      </c>
      <c r="C91" s="758">
        <f>SUMIFS(INDEX(Table91517[],,MATCH(C$6,Table91517[#Headers],0)),Table91517[MainSpaceHeatingFuel],$B91,Table91517[EnergyRating (group)],$A91)</f>
        <v>10445289</v>
      </c>
      <c r="D91" s="758">
        <f>SUMIFS(INDEX(Table91517[],,MATCH(D$6,Table91517[#Headers],0)),Table91517[MainSpaceHeatingFuel],$B91,Table91517[EnergyRating (group)],$A91)</f>
        <v>9495715</v>
      </c>
      <c r="E91" s="759">
        <f>SUMIFS(INDEX(Table91517[],,MATCH(E$6,Table91517[#Headers],0)),Table91517[MainSpaceHeatingFuel],$B91,Table91517[EnergyRating (group)],$A91)</f>
        <v>2172804</v>
      </c>
      <c r="F91" s="759">
        <f>SUMIFS(INDEX(Table91517[],,MATCH(F$6,Table91517[#Headers],0)),Table91517[MainSpaceHeatingFuel],$B91,Table91517[EnergyRating (group)],$A91)</f>
        <v>1914420</v>
      </c>
      <c r="G91" s="758">
        <f>SUMIFS(INDEX(Table91517[],,MATCH(G$6,Table91517[#Headers],0)),Table91517[MainSpaceHeatingFuel],$B91,Table91517[EnergyRating (group)],$A91)</f>
        <v>374</v>
      </c>
      <c r="H91" s="758">
        <f>SUMIFS(INDEX(Table91517[],,MATCH(H$6,Table91517[#Headers],0)),Table91517[MainSpaceHeatingFuel],$B91,Table91517[EnergyRating (group)],$A91)</f>
        <v>47479</v>
      </c>
      <c r="I91" s="911">
        <f>AVERAGEIFS(INDEX(Table91517[],,MATCH(I$6,Table91517[#Headers],0)),Table91517[MainSpaceHeatingFuel],$B91,Table91517[EnergyRating (group)],$A91)</f>
        <v>78.3</v>
      </c>
      <c r="J91" s="849">
        <f>SUMIFS(INDEX(Table91517[],,MATCH(J$6,Table91517[#Headers],0)),Table91517[MainSpaceHeatingFuel],$B91,Table91517[EnergyRating (group)],$A91)</f>
        <v>16216798</v>
      </c>
      <c r="K91" s="849">
        <f>SUMIFS(INDEX(Table91517[],,MATCH(K$6,Table91517[#Headers],0)),Table91517[MainSpaceHeatingFuel],$B91,Table91517[EnergyRating (group)],$A91)</f>
        <v>13777318</v>
      </c>
      <c r="M91" s="840"/>
      <c r="N91" s="914" t="str">
        <f>RSD_Commodities!$M$33&amp;"_"&amp;RIGHT(P91,LEN(P91)-3)&amp;"_"&amp;SETUP!$B$67</f>
        <v>SH_Det-E_OILLPG_X0</v>
      </c>
      <c r="O91" s="914" t="str">
        <f>RSD_Commodities!$N$33&amp;"_"&amp;RSD_Commodities!D11&amp;"_"&amp;SETUP!$C$67</f>
        <v>Residential Space Heating Detached-E_LPG to Residential_Existing 00</v>
      </c>
      <c r="P91" s="915" t="str">
        <f>RSD_Commodities!$C$11</f>
        <v>RSDOILLPG</v>
      </c>
      <c r="Q91" s="930" t="str">
        <f>RSD_Commodities!$M$33</f>
        <v>SH_Det-E</v>
      </c>
      <c r="R91" s="1000">
        <f>G91/SUM($G$91:$G$105)</f>
        <v>1.3518398033687559E-2</v>
      </c>
      <c r="S91" s="932">
        <f>R91*DwellingStocks!$I$68/1000</f>
        <v>0.32159848707030075</v>
      </c>
      <c r="T91" s="914">
        <v>1</v>
      </c>
      <c r="U91" s="914">
        <f t="shared" si="31"/>
        <v>0.78299999999999992</v>
      </c>
      <c r="V91" s="930">
        <v>20</v>
      </c>
      <c r="W91" s="930">
        <v>1</v>
      </c>
      <c r="X91" s="840"/>
      <c r="Y91" s="928">
        <f>ABS((D91+F91)*S91*1000*$B$2)</f>
        <v>1.5080063643566658E-3</v>
      </c>
      <c r="Z91" s="929">
        <f>ABS((C91+E91)*S91*1000*$B$2)</f>
        <v>1.6676546377448027E-3</v>
      </c>
      <c r="AA91" s="840"/>
      <c r="AB91" s="933" t="s">
        <v>393</v>
      </c>
      <c r="AC91" s="933" t="str">
        <f>N91</f>
        <v>SH_Det-E_OILLPG_X0</v>
      </c>
      <c r="AD91" s="933" t="str">
        <f>O91</f>
        <v>Residential Space Heating Detached-E_LPG to Residential_Existing 00</v>
      </c>
      <c r="AE91" s="933" t="s">
        <v>53</v>
      </c>
      <c r="AF91" s="933" t="s">
        <v>406</v>
      </c>
      <c r="AG91" s="933"/>
      <c r="AH91" s="933"/>
      <c r="AI91" s="840"/>
      <c r="AJ91" s="840"/>
      <c r="AK91" s="840"/>
      <c r="AL91" s="840"/>
      <c r="AM91" s="840"/>
      <c r="AN91" s="840"/>
    </row>
    <row r="92" spans="1:40">
      <c r="A92" s="757" t="s">
        <v>120</v>
      </c>
      <c r="B92" s="757" t="s">
        <v>228</v>
      </c>
      <c r="C92" s="757">
        <f>SUMIFS(INDEX(Table91517[],,MATCH(C$6,Table91517[#Headers],0)),Table91517[MainSpaceHeatingFuel],$B92,Table91517[EnergyRating (group)],$A92)</f>
        <v>42973910</v>
      </c>
      <c r="D92" s="757">
        <f>SUMIFS(INDEX(Table91517[],,MATCH(D$6,Table91517[#Headers],0)),Table91517[MainSpaceHeatingFuel],$B92,Table91517[EnergyRating (group)],$A92)</f>
        <v>15916263</v>
      </c>
      <c r="E92" s="757">
        <f>SUMIFS(INDEX(Table91517[],,MATCH(E$6,Table91517[#Headers],0)),Table91517[MainSpaceHeatingFuel],$B92,Table91517[EnergyRating (group)],$A92)</f>
        <v>6761679</v>
      </c>
      <c r="F92" s="757">
        <f>SUMIFS(INDEX(Table91517[],,MATCH(F$6,Table91517[#Headers],0)),Table91517[MainSpaceHeatingFuel],$B92,Table91517[EnergyRating (group)],$A92)</f>
        <v>5277087</v>
      </c>
      <c r="G92" s="757">
        <f>SUMIFS(INDEX(Table91517[],,MATCH(G$6,Table91517[#Headers],0)),Table91517[MainSpaceHeatingFuel],$B92,Table91517[EnergyRating (group)],$A92)</f>
        <v>1714</v>
      </c>
      <c r="H92" s="757">
        <f>SUMIFS(INDEX(Table91517[],,MATCH(H$6,Table91517[#Headers],0)),Table91517[MainSpaceHeatingFuel],$B92,Table91517[EnergyRating (group)],$A92)</f>
        <v>190128</v>
      </c>
      <c r="I92" s="912">
        <f>AVERAGEIFS(INDEX(Table91517[],,MATCH(I$6,Table91517[#Headers],0)),Table91517[MainSpaceHeatingFuel],$B92,Table91517[EnergyRating (group)],$A92)</f>
        <v>100.49152542372882</v>
      </c>
      <c r="J92" s="847">
        <f>SUMIFS(INDEX(Table91517[],,MATCH(J$6,Table91517[#Headers],0)),Table91517[MainSpaceHeatingFuel],$B92,Table91517[EnergyRating (group)],$A92)</f>
        <v>67641333</v>
      </c>
      <c r="K92" s="847">
        <f>SUMIFS(INDEX(Table91517[],,MATCH(K$6,Table91517[#Headers],0)),Table91517[MainSpaceHeatingFuel],$B92,Table91517[EnergyRating (group)],$A92)</f>
        <v>28027209</v>
      </c>
      <c r="M92" s="840"/>
      <c r="N92" s="933" t="str">
        <f>RSD_Commodities!$M$33&amp;"_"&amp;RIGHT(P92,LEN(P92)-3)&amp;"_"&amp;SETUP!$B$67</f>
        <v>SH_Det-E_ELCD_X0</v>
      </c>
      <c r="O92" s="933" t="str">
        <f>RSD_Commodities!$N$33&amp;"_"&amp;RSD_Commodities!D27&amp;"_"&amp;SETUP!$C$67</f>
        <v>Residential Space Heating Detached-E_Electricity to Residential_Existing 00</v>
      </c>
      <c r="P92" s="934" t="str">
        <f>RSD_Commodities!$C$27</f>
        <v>RSDELCD</v>
      </c>
      <c r="Q92" s="935" t="str">
        <f>RSD_Commodities!$M$33</f>
        <v>SH_Det-E</v>
      </c>
      <c r="R92" s="1001">
        <f>G92/SUM($G$91:$G$105)</f>
        <v>6.1953300079519991E-2</v>
      </c>
      <c r="S92" s="937">
        <f>R92*DwellingStocks!$I$68/1000</f>
        <v>1.4738497509050681</v>
      </c>
      <c r="T92" s="933">
        <v>1</v>
      </c>
      <c r="U92" s="954">
        <f t="shared" si="31"/>
        <v>1.0049152542372881</v>
      </c>
      <c r="V92" s="935">
        <v>20</v>
      </c>
      <c r="W92" s="935">
        <v>1</v>
      </c>
      <c r="X92" s="840"/>
      <c r="Y92" s="926">
        <f t="shared" ref="Y92:Y93" si="56">ABS((D92+F92)*S92*1000*$B$2)</f>
        <v>1.2836635733565997E-2</v>
      </c>
      <c r="Z92" s="927">
        <f t="shared" ref="Z92:Z93" si="57">ABS((C92+E92)*S92*1000*$B$2)</f>
        <v>3.0124432380315147E-2</v>
      </c>
      <c r="AA92" s="840"/>
      <c r="AB92" s="914" t="s">
        <v>393</v>
      </c>
      <c r="AC92" s="914" t="str">
        <f t="shared" ref="AC92:AD93" si="58">N92</f>
        <v>SH_Det-E_ELCD_X0</v>
      </c>
      <c r="AD92" s="914" t="str">
        <f t="shared" si="58"/>
        <v>Residential Space Heating Detached-E_Electricity to Residential_Existing 00</v>
      </c>
      <c r="AE92" s="914" t="s">
        <v>53</v>
      </c>
      <c r="AF92" s="914" t="s">
        <v>406</v>
      </c>
      <c r="AG92" s="914"/>
      <c r="AH92" s="914"/>
      <c r="AI92" s="840"/>
      <c r="AJ92" s="840"/>
      <c r="AK92" s="840"/>
      <c r="AL92" s="840"/>
      <c r="AM92" s="840"/>
      <c r="AN92" s="840"/>
    </row>
    <row r="93" spans="1:40">
      <c r="A93" s="758" t="s">
        <v>120</v>
      </c>
      <c r="B93" s="758" t="s">
        <v>583</v>
      </c>
      <c r="C93" s="758">
        <f>SUMIFS(INDEX(Table91517[],,MATCH(C$6,Table91517[#Headers],0)),Table91517[MainSpaceHeatingFuel],$B93,Table91517[EnergyRating (group)],$A93)</f>
        <v>529817798</v>
      </c>
      <c r="D93" s="758">
        <f>SUMIFS(INDEX(Table91517[],,MATCH(D$6,Table91517[#Headers],0)),Table91517[MainSpaceHeatingFuel],$B93,Table91517[EnergyRating (group)],$A93)</f>
        <v>481652539</v>
      </c>
      <c r="E93" s="759">
        <f>SUMIFS(INDEX(Table91517[],,MATCH(E$6,Table91517[#Headers],0)),Table91517[MainSpaceHeatingFuel],$B93,Table91517[EnergyRating (group)],$A93)</f>
        <v>105576070</v>
      </c>
      <c r="F93" s="759">
        <f>SUMIFS(INDEX(Table91517[],,MATCH(F$6,Table91517[#Headers],0)),Table91517[MainSpaceHeatingFuel],$B93,Table91517[EnergyRating (group)],$A93)</f>
        <v>93175805</v>
      </c>
      <c r="G93" s="758">
        <f>SUMIFS(INDEX(Table91517[],,MATCH(G$6,Table91517[#Headers],0)),Table91517[MainSpaceHeatingFuel],$B93,Table91517[EnergyRating (group)],$A93)</f>
        <v>20084</v>
      </c>
      <c r="H93" s="758">
        <f>SUMIFS(INDEX(Table91517[],,MATCH(H$6,Table91517[#Headers],0)),Table91517[MainSpaceHeatingFuel],$B93,Table91517[EnergyRating (group)],$A93)</f>
        <v>2464222</v>
      </c>
      <c r="I93" s="911">
        <f>AVERAGEIFS(INDEX(Table91517[],,MATCH(I$6,Table91517[#Headers],0)),Table91517[MainSpaceHeatingFuel],$B93,Table91517[EnergyRating (group)],$A93)</f>
        <v>76.476635514018696</v>
      </c>
      <c r="J93" s="849">
        <f>SUMIFS(INDEX(Table91517[],,MATCH(J$6,Table91517[#Headers],0)),Table91517[MainSpaceHeatingFuel],$B93,Table91517[EnergyRating (group)],$A93)</f>
        <v>843653486</v>
      </c>
      <c r="K93" s="849">
        <f>SUMIFS(INDEX(Table91517[],,MATCH(K$6,Table91517[#Headers],0)),Table91517[MainSpaceHeatingFuel],$B93,Table91517[EnergyRating (group)],$A93)</f>
        <v>709616500</v>
      </c>
      <c r="M93" s="840"/>
      <c r="N93" s="914" t="str">
        <f>RSD_Commodities!$M$33&amp;"_"&amp;RIGHT(P93,LEN(P93)-3)&amp;"_"&amp;SETUP!$B$67</f>
        <v>SH_Det-E_OILKER_X0</v>
      </c>
      <c r="O93" s="914" t="str">
        <f>RSD_Commodities!$N$33&amp;"_"&amp;RSD_Commodities!D13&amp;"_"&amp;SETUP!$C$67</f>
        <v>Residential Space Heating Detached-E_Kerosene to Residential_Existing 00</v>
      </c>
      <c r="P93" s="915" t="str">
        <f>RSD_Commodities!$C$13</f>
        <v>RSDOILKER</v>
      </c>
      <c r="Q93" s="930" t="str">
        <f>RSD_Commodities!$M$33</f>
        <v>SH_Det-E</v>
      </c>
      <c r="R93" s="1000">
        <f>G93/SUM($G$91:$G$105)</f>
        <v>0.72594520349887948</v>
      </c>
      <c r="S93" s="932">
        <f>R93*DwellingStocks!$I$68/1000</f>
        <v>17.270010733475718</v>
      </c>
      <c r="T93" s="914">
        <v>1</v>
      </c>
      <c r="U93" s="914">
        <f t="shared" si="31"/>
        <v>0.76476635514018698</v>
      </c>
      <c r="V93" s="930">
        <v>20</v>
      </c>
      <c r="W93" s="930">
        <v>1</v>
      </c>
      <c r="X93" s="840"/>
      <c r="Y93" s="928">
        <f t="shared" si="56"/>
        <v>4.0797089058024962</v>
      </c>
      <c r="Z93" s="929">
        <f t="shared" si="57"/>
        <v>4.5095584604156125</v>
      </c>
      <c r="AA93" s="840"/>
      <c r="AB93" s="933" t="s">
        <v>393</v>
      </c>
      <c r="AC93" s="933" t="str">
        <f t="shared" si="58"/>
        <v>SH_Det-E_OILKER_X0</v>
      </c>
      <c r="AD93" s="933" t="str">
        <f t="shared" si="58"/>
        <v>Residential Space Heating Detached-E_Kerosene to Residential_Existing 00</v>
      </c>
      <c r="AE93" s="933" t="s">
        <v>53</v>
      </c>
      <c r="AF93" s="933" t="s">
        <v>406</v>
      </c>
      <c r="AG93" s="933"/>
      <c r="AH93" s="933"/>
      <c r="AI93" s="840"/>
      <c r="AJ93" s="840"/>
      <c r="AK93" s="840"/>
      <c r="AL93" s="840"/>
      <c r="AM93" s="840"/>
      <c r="AN93" s="840"/>
    </row>
    <row r="94" spans="1:40">
      <c r="A94" s="757" t="s">
        <v>120</v>
      </c>
      <c r="B94" s="757" t="s">
        <v>584</v>
      </c>
      <c r="C94" s="757">
        <f>SUMIFS(INDEX(Table91517[],,MATCH(C$6,Table91517[#Headers],0)),Table91517[MainSpaceHeatingFuel],$B94,Table91517[EnergyRating (group)],$A94)</f>
        <v>77789082</v>
      </c>
      <c r="D94" s="757">
        <f>SUMIFS(INDEX(Table91517[],,MATCH(D$6,Table91517[#Headers],0)),Table91517[MainSpaceHeatingFuel],$B94,Table91517[EnergyRating (group)],$A94)</f>
        <v>70717347</v>
      </c>
      <c r="E94" s="760">
        <f>SUMIFS(INDEX(Table91517[],,MATCH(E$6,Table91517[#Headers],0)),Table91517[MainSpaceHeatingFuel],$B94,Table91517[EnergyRating (group)],$A94)</f>
        <v>21194691</v>
      </c>
      <c r="F94" s="760">
        <f>SUMIFS(INDEX(Table91517[],,MATCH(F$6,Table91517[#Headers],0)),Table91517[MainSpaceHeatingFuel],$B94,Table91517[EnergyRating (group)],$A94)</f>
        <v>18492837</v>
      </c>
      <c r="G94" s="757">
        <f>SUMIFS(INDEX(Table91517[],,MATCH(G$6,Table91517[#Headers],0)),Table91517[MainSpaceHeatingFuel],$B94,Table91517[EnergyRating (group)],$A94)</f>
        <v>2765</v>
      </c>
      <c r="H94" s="757">
        <f>SUMIFS(INDEX(Table91517[],,MATCH(H$6,Table91517[#Headers],0)),Table91517[MainSpaceHeatingFuel],$B94,Table91517[EnergyRating (group)],$A94)</f>
        <v>367375</v>
      </c>
      <c r="I94" s="912">
        <f>AVERAGEIFS(INDEX(Table91517[],,MATCH(I$6,Table91517[#Headers],0)),Table91517[MainSpaceHeatingFuel],$B94,Table91517[EnergyRating (group)],$A94)</f>
        <v>78.241379310344826</v>
      </c>
      <c r="J94" s="847">
        <f>SUMIFS(INDEX(Table91517[],,MATCH(J$6,Table91517[#Headers],0)),Table91517[MainSpaceHeatingFuel],$B94,Table91517[EnergyRating (group)],$A94)</f>
        <v>126936177</v>
      </c>
      <c r="K94" s="847">
        <f>SUMIFS(INDEX(Table91517[],,MATCH(K$6,Table91517[#Headers],0)),Table91517[MainSpaceHeatingFuel],$B94,Table91517[EnergyRating (group)],$A94)</f>
        <v>107533803</v>
      </c>
      <c r="M94" s="840"/>
      <c r="N94" s="933" t="str">
        <f>RSD_Commodities!$M$33&amp;"_"&amp;RIGHT(P94,LEN(P94)-3)&amp;"_"&amp;SETUP!$B$67</f>
        <v>SH_Det-E_GASNAT_X0</v>
      </c>
      <c r="O94" s="933" t="str">
        <f>RSD_Commodities!$N$33&amp;"_"&amp;RSD_Commodities!D17&amp;"_"&amp;SETUP!$C$67</f>
        <v>Residential Space Heating Detached-E_Natural Gas to Residential_Existing 00</v>
      </c>
      <c r="P94" s="934" t="str">
        <f>RSD_Commodities!$C$17</f>
        <v>RSDGASNAT</v>
      </c>
      <c r="Q94" s="935" t="str">
        <f>RSD_Commodities!$M$33</f>
        <v>SH_Det-E</v>
      </c>
      <c r="R94" s="1001">
        <f>G94/SUM($G$91:$G$105)</f>
        <v>9.9942167281139305E-2</v>
      </c>
      <c r="S94" s="937">
        <f>R94*DwellingStocks!$I$68/1000</f>
        <v>2.3775930929127851</v>
      </c>
      <c r="T94" s="933">
        <v>1</v>
      </c>
      <c r="U94" s="933">
        <f t="shared" si="31"/>
        <v>0.78241379310344827</v>
      </c>
      <c r="V94" s="935">
        <v>20</v>
      </c>
      <c r="W94" s="935">
        <v>1</v>
      </c>
      <c r="X94" s="840"/>
      <c r="Y94" s="926">
        <f t="shared" ref="Y94:Y105" si="59">ABS((D94+F94)*S94*1000*$B$2)</f>
        <v>8.7166650943511795E-2</v>
      </c>
      <c r="Z94" s="927">
        <f t="shared" ref="Z94:Z105" si="60">ABS((C94+E94)*S94*1000*$B$2)</f>
        <v>9.6716356847361809E-2</v>
      </c>
      <c r="AA94" s="840"/>
      <c r="AB94" s="914" t="s">
        <v>393</v>
      </c>
      <c r="AC94" s="914" t="str">
        <f t="shared" ref="AC94:AC105" si="61">N94</f>
        <v>SH_Det-E_GASNAT_X0</v>
      </c>
      <c r="AD94" s="914" t="str">
        <f t="shared" ref="AD94:AD105" si="62">O94</f>
        <v>Residential Space Heating Detached-E_Natural Gas to Residential_Existing 00</v>
      </c>
      <c r="AE94" s="914" t="s">
        <v>53</v>
      </c>
      <c r="AF94" s="914" t="s">
        <v>406</v>
      </c>
      <c r="AG94" s="914"/>
      <c r="AH94" s="914"/>
      <c r="AI94" s="840"/>
      <c r="AJ94" s="840"/>
      <c r="AK94" s="840"/>
      <c r="AL94" s="840"/>
      <c r="AM94" s="840"/>
      <c r="AN94" s="840"/>
    </row>
    <row r="95" spans="1:40">
      <c r="A95" s="758" t="s">
        <v>120</v>
      </c>
      <c r="B95" s="758" t="s">
        <v>585</v>
      </c>
      <c r="C95" s="758">
        <f>SUMIFS(INDEX(Table91517[],,MATCH(C$6,Table91517[#Headers],0)),Table91517[MainSpaceHeatingFuel],$B95,Table91517[EnergyRating (group)],$A95)</f>
        <v>1318839</v>
      </c>
      <c r="D95" s="758">
        <f>SUMIFS(INDEX(Table91517[],,MATCH(D$6,Table91517[#Headers],0)),Table91517[MainSpaceHeatingFuel],$B95,Table91517[EnergyRating (group)],$A95)</f>
        <v>1198949</v>
      </c>
      <c r="E95" s="759">
        <f>SUMIFS(INDEX(Table91517[],,MATCH(E$6,Table91517[#Headers],0)),Table91517[MainSpaceHeatingFuel],$B95,Table91517[EnergyRating (group)],$A95)</f>
        <v>175267</v>
      </c>
      <c r="F95" s="759">
        <f>SUMIFS(INDEX(Table91517[],,MATCH(F$6,Table91517[#Headers],0)),Table91517[MainSpaceHeatingFuel],$B95,Table91517[EnergyRating (group)],$A95)</f>
        <v>154609</v>
      </c>
      <c r="G95" s="758">
        <f>SUMIFS(INDEX(Table91517[],,MATCH(G$6,Table91517[#Headers],0)),Table91517[MainSpaceHeatingFuel],$B95,Table91517[EnergyRating (group)],$A95)</f>
        <v>38</v>
      </c>
      <c r="H95" s="758">
        <f>SUMIFS(INDEX(Table91517[],,MATCH(H$6,Table91517[#Headers],0)),Table91517[MainSpaceHeatingFuel],$B95,Table91517[EnergyRating (group)],$A95)</f>
        <v>5365</v>
      </c>
      <c r="I95" s="911">
        <f>AVERAGEIFS(INDEX(Table91517[],,MATCH(I$6,Table91517[#Headers],0)),Table91517[MainSpaceHeatingFuel],$B95,Table91517[EnergyRating (group)],$A95)</f>
        <v>71.090909090909093</v>
      </c>
      <c r="J95" s="849">
        <f>SUMIFS(INDEX(Table91517[],,MATCH(J$6,Table91517[#Headers],0)),Table91517[MainSpaceHeatingFuel],$B95,Table91517[EnergyRating (group)],$A95)</f>
        <v>1848124</v>
      </c>
      <c r="K95" s="849">
        <f>SUMIFS(INDEX(Table91517[],,MATCH(K$6,Table91517[#Headers],0)),Table91517[MainSpaceHeatingFuel],$B95,Table91517[EnergyRating (group)],$A95)</f>
        <v>1579737</v>
      </c>
      <c r="M95" s="840"/>
      <c r="N95" s="914" t="str">
        <f>RSD_Commodities!$M$33&amp;"_"&amp;RIGHT(P95,LEN(P95)-3)&amp;"_"&amp;SETUP!$B$67</f>
        <v>SH_Det-E_BIOWOO_X0</v>
      </c>
      <c r="O95" s="914" t="str">
        <f>RSD_Commodities!$N$33&amp;"_"&amp;RSD_Commodities!D19&amp;"_"&amp;SETUP!$C$67</f>
        <v>Residential Space Heating Detached-E_Biomass &amp; Renewable Waste to Residential_Existing 00</v>
      </c>
      <c r="P95" s="915" t="str">
        <f>RSD_Commodities!$C$19</f>
        <v>RSDBIOWOO</v>
      </c>
      <c r="Q95" s="930" t="str">
        <f>RSD_Commodities!$M$33</f>
        <v>SH_Det-E</v>
      </c>
      <c r="R95" s="1000">
        <f>G95/SUM($G$91:$G$105)</f>
        <v>1.3735270729415166E-3</v>
      </c>
      <c r="S95" s="932">
        <f>R95*DwellingStocks!$I$68/1000</f>
        <v>3.267578210874713E-2</v>
      </c>
      <c r="T95" s="914">
        <v>1</v>
      </c>
      <c r="U95" s="914">
        <f t="shared" si="31"/>
        <v>0.71090909090909093</v>
      </c>
      <c r="V95" s="930">
        <v>20</v>
      </c>
      <c r="W95" s="930">
        <v>1</v>
      </c>
      <c r="X95" s="840"/>
      <c r="Y95" s="928">
        <f t="shared" si="59"/>
        <v>1.817612312858283E-5</v>
      </c>
      <c r="Z95" s="929">
        <f t="shared" si="60"/>
        <v>2.0063458398645923E-5</v>
      </c>
      <c r="AA95" s="840"/>
      <c r="AB95" s="933" t="s">
        <v>393</v>
      </c>
      <c r="AC95" s="933" t="str">
        <f t="shared" si="61"/>
        <v>SH_Det-E_BIOWOO_X0</v>
      </c>
      <c r="AD95" s="933" t="str">
        <f t="shared" si="62"/>
        <v>Residential Space Heating Detached-E_Biomass &amp; Renewable Waste to Residential_Existing 00</v>
      </c>
      <c r="AE95" s="933" t="s">
        <v>53</v>
      </c>
      <c r="AF95" s="933" t="s">
        <v>406</v>
      </c>
      <c r="AG95" s="933"/>
      <c r="AH95" s="933"/>
      <c r="AI95" s="840"/>
      <c r="AJ95" s="840"/>
      <c r="AK95" s="840"/>
      <c r="AL95" s="840"/>
      <c r="AM95" s="840"/>
      <c r="AN95" s="840"/>
    </row>
    <row r="96" spans="1:40">
      <c r="A96" s="757" t="s">
        <v>120</v>
      </c>
      <c r="B96" s="757" t="s">
        <v>587</v>
      </c>
      <c r="C96" s="757">
        <f>SUMIFS(INDEX(Table91517[],,MATCH(C$6,Table91517[#Headers],0)),Table91517[MainSpaceHeatingFuel],$B96,Table91517[EnergyRating (group)],$A96)</f>
        <v>0</v>
      </c>
      <c r="D96" s="757">
        <f>SUMIFS(INDEX(Table91517[],,MATCH(D$6,Table91517[#Headers],0)),Table91517[MainSpaceHeatingFuel],$B96,Table91517[EnergyRating (group)],$A96)</f>
        <v>0</v>
      </c>
      <c r="E96" s="757">
        <f>SUMIFS(INDEX(Table91517[],,MATCH(E$6,Table91517[#Headers],0)),Table91517[MainSpaceHeatingFuel],$B96,Table91517[EnergyRating (group)],$A96)</f>
        <v>0</v>
      </c>
      <c r="F96" s="757">
        <f>SUMIFS(INDEX(Table91517[],,MATCH(F$6,Table91517[#Headers],0)),Table91517[MainSpaceHeatingFuel],$B96,Table91517[EnergyRating (group)],$A96)</f>
        <v>0</v>
      </c>
      <c r="G96" s="757">
        <f>SUMIFS(INDEX(Table91517[],,MATCH(G$6,Table91517[#Headers],0)),Table91517[MainSpaceHeatingFuel],"",Table91517[EnergyRating (group)],$A96)</f>
        <v>17</v>
      </c>
      <c r="H96" s="757">
        <f>SUMIFS(INDEX(Table91517[],,MATCH(H$6,Table91517[#Headers],0)),Table91517[MainSpaceHeatingFuel],"",Table91517[EnergyRating (group)],$A96)</f>
        <v>2469</v>
      </c>
      <c r="I96" s="912">
        <f>SUMIFS(INDEX(Table91517[],,MATCH(I$6,Table91517[#Headers],0)),Table91517[MainSpaceHeatingFuel],"",Table91517[EnergyRating (group)],$A96)</f>
        <v>0</v>
      </c>
      <c r="J96" s="847">
        <f>SUMIFS(INDEX(Table91517[],,MATCH(J$6,Table91517[#Headers],0)),Table91517[MainSpaceHeatingFuel],"",Table91517[EnergyRating (group)],$A96)</f>
        <v>74963</v>
      </c>
      <c r="K96" s="847">
        <f>SUMIFS(INDEX(Table91517[],,MATCH(K$6,Table91517[#Headers],0)),Table91517[MainSpaceHeatingFuel],"",Table91517[EnergyRating (group)],$A96)</f>
        <v>27764</v>
      </c>
      <c r="M96" s="840"/>
      <c r="N96" s="933" t="str">
        <f>RSD_Commodities!$M$33&amp;"_"&amp;RIGHT(P96,LEN(P96)-3)&amp;"_"&amp;SETUP!$B$67</f>
        <v>SH_Det-E_HET_X0</v>
      </c>
      <c r="O96" s="933" t="str">
        <f>RSD_Commodities!$N$33&amp;"_"&amp;RSD_Commodities!D28&amp;"_"&amp;SETUP!$C$67</f>
        <v>Residential Space Heating Detached-E_Heat to Residential_Existing 00</v>
      </c>
      <c r="P96" s="934" t="str">
        <f>RSD_Commodities!$C$28</f>
        <v>RSDHET</v>
      </c>
      <c r="Q96" s="935" t="str">
        <f>RSD_Commodities!$M$33</f>
        <v>SH_Det-E</v>
      </c>
      <c r="R96" s="1001">
        <f>G96/SUM($G$91:$G$105)</f>
        <v>6.1447263789488906E-4</v>
      </c>
      <c r="S96" s="937">
        <f>R96*DwellingStocks!$I$68/1000</f>
        <v>1.4618113048650034E-2</v>
      </c>
      <c r="T96" s="933">
        <v>1</v>
      </c>
      <c r="U96" s="917">
        <f>IF(I96=0, 1, I96)</f>
        <v>1</v>
      </c>
      <c r="V96" s="935">
        <v>20</v>
      </c>
      <c r="W96" s="935">
        <v>1</v>
      </c>
      <c r="X96" s="840"/>
      <c r="Y96" s="926">
        <f t="shared" si="59"/>
        <v>0</v>
      </c>
      <c r="Z96" s="927">
        <f t="shared" si="60"/>
        <v>0</v>
      </c>
      <c r="AA96" s="840"/>
      <c r="AB96" s="914" t="s">
        <v>393</v>
      </c>
      <c r="AC96" s="914" t="str">
        <f t="shared" si="61"/>
        <v>SH_Det-E_HET_X0</v>
      </c>
      <c r="AD96" s="914" t="str">
        <f t="shared" si="62"/>
        <v>Residential Space Heating Detached-E_Heat to Residential_Existing 00</v>
      </c>
      <c r="AE96" s="914" t="s">
        <v>53</v>
      </c>
      <c r="AF96" s="914" t="s">
        <v>406</v>
      </c>
      <c r="AG96" s="914"/>
      <c r="AH96" s="914"/>
      <c r="AI96" s="840"/>
      <c r="AJ96" s="840"/>
      <c r="AK96" s="840"/>
      <c r="AL96" s="840"/>
      <c r="AM96" s="840"/>
      <c r="AN96" s="840"/>
    </row>
    <row r="97" spans="1:40">
      <c r="A97" s="758" t="s">
        <v>120</v>
      </c>
      <c r="B97" s="758" t="s">
        <v>664</v>
      </c>
      <c r="C97" s="758">
        <f>SUMIFS(INDEX(Table91517[],,MATCH(C$6,Table91517[#Headers],0)),Table91517[MainSpaceHeatingFuel],$B97,Table91517[EnergyRating (group)],$A97)</f>
        <v>1432575</v>
      </c>
      <c r="D97" s="758">
        <f>SUMIFS(INDEX(Table91517[],,MATCH(D$6,Table91517[#Headers],0)),Table91517[MainSpaceHeatingFuel],$B97,Table91517[EnergyRating (group)],$A97)</f>
        <v>1302342</v>
      </c>
      <c r="E97" s="759">
        <f>SUMIFS(INDEX(Table91517[],,MATCH(E$6,Table91517[#Headers],0)),Table91517[MainSpaceHeatingFuel],$B97,Table91517[EnergyRating (group)],$A97)</f>
        <v>251189</v>
      </c>
      <c r="F97" s="759">
        <f>SUMIFS(INDEX(Table91517[],,MATCH(F$6,Table91517[#Headers],0)),Table91517[MainSpaceHeatingFuel],$B97,Table91517[EnergyRating (group)],$A97)</f>
        <v>220615</v>
      </c>
      <c r="G97" s="758">
        <f>SUMIFS(INDEX(Table91517[],,MATCH(G$6,Table91517[#Headers],0)),Table91517[MainSpaceHeatingFuel],$B97,Table91517[EnergyRating (group)],$A97)</f>
        <v>51</v>
      </c>
      <c r="H97" s="758">
        <f>SUMIFS(INDEX(Table91517[],,MATCH(H$6,Table91517[#Headers],0)),Table91517[MainSpaceHeatingFuel],$B97,Table91517[EnergyRating (group)],$A97)</f>
        <v>6283</v>
      </c>
      <c r="I97" s="911">
        <f>AVERAGEIFS(INDEX(Table91517[],,MATCH(I$6,Table91517[#Headers],0)),Table91517[MainSpaceHeatingFuel],$B97,Table91517[EnergyRating (group)],$A97)</f>
        <v>76</v>
      </c>
      <c r="J97" s="849">
        <f>SUMIFS(INDEX(Table91517[],,MATCH(J$6,Table91517[#Headers],0)),Table91517[MainSpaceHeatingFuel],$B97,Table91517[EnergyRating (group)],$A97)</f>
        <v>2182931</v>
      </c>
      <c r="K97" s="849">
        <f>SUMIFS(INDEX(Table91517[],,MATCH(K$6,Table91517[#Headers],0)),Table91517[MainSpaceHeatingFuel],$B97,Table91517[EnergyRating (group)],$A97)</f>
        <v>1844433</v>
      </c>
      <c r="M97" s="840"/>
      <c r="N97" s="914" t="str">
        <f>RSD_Commodities!$M$33&amp;"_"&amp;RIGHT(P97,LEN(P97)-3)&amp;"_"&amp;SETUP!$B$68</f>
        <v>SH_Det-E_OILLPG_X1</v>
      </c>
      <c r="O97" s="914" t="str">
        <f>RSD_Commodities!$N$33&amp;"_"&amp;RSD_Commodities!D11&amp;"_"&amp;SETUP!$C$68</f>
        <v>Residential Space Heating Detached-E_LPG to Residential_Existing 01</v>
      </c>
      <c r="P97" s="915" t="str">
        <f>RSD_Commodities!$C$11</f>
        <v>RSDOILLPG</v>
      </c>
      <c r="Q97" s="930" t="str">
        <f>RSD_Commodities!$M$33</f>
        <v>SH_Det-E</v>
      </c>
      <c r="R97" s="1000">
        <f>G97/SUM($G$91:$G$105)</f>
        <v>1.8434179136846672E-3</v>
      </c>
      <c r="S97" s="932">
        <f>R97*DwellingStocks!$I$68/1000</f>
        <v>4.3854339145950098E-2</v>
      </c>
      <c r="T97" s="914">
        <v>1</v>
      </c>
      <c r="U97" s="916">
        <f t="shared" si="31"/>
        <v>0.76</v>
      </c>
      <c r="V97" s="930">
        <v>20</v>
      </c>
      <c r="W97" s="930">
        <v>1</v>
      </c>
      <c r="X97" s="840"/>
      <c r="Y97" s="928">
        <f t="shared" si="59"/>
        <v>2.7447235390150168E-5</v>
      </c>
      <c r="Z97" s="929">
        <f t="shared" si="60"/>
        <v>3.0345352396332135E-5</v>
      </c>
      <c r="AA97" s="840"/>
      <c r="AB97" s="933" t="s">
        <v>393</v>
      </c>
      <c r="AC97" s="933" t="str">
        <f t="shared" si="61"/>
        <v>SH_Det-E_OILLPG_X1</v>
      </c>
      <c r="AD97" s="933" t="str">
        <f t="shared" si="62"/>
        <v>Residential Space Heating Detached-E_LPG to Residential_Existing 01</v>
      </c>
      <c r="AE97" s="933" t="s">
        <v>53</v>
      </c>
      <c r="AF97" s="933" t="s">
        <v>406</v>
      </c>
      <c r="AG97" s="933"/>
      <c r="AH97" s="933"/>
      <c r="AI97" s="840"/>
      <c r="AJ97" s="840"/>
      <c r="AK97" s="840"/>
      <c r="AL97" s="840"/>
      <c r="AM97" s="840"/>
      <c r="AN97" s="840"/>
    </row>
    <row r="98" spans="1:40">
      <c r="A98" s="757" t="s">
        <v>120</v>
      </c>
      <c r="B98" s="757" t="s">
        <v>665</v>
      </c>
      <c r="C98" s="757">
        <f>SUMIFS(INDEX(Table91517[],,MATCH(C$6,Table91517[#Headers],0)),Table91517[MainSpaceHeatingFuel],$B98,Table91517[EnergyRating (group)],$A98)</f>
        <v>49147763</v>
      </c>
      <c r="D98" s="757">
        <f>SUMIFS(INDEX(Table91517[],,MATCH(D$6,Table91517[#Headers],0)),Table91517[MainSpaceHeatingFuel],$B98,Table91517[EnergyRating (group)],$A98)</f>
        <v>44679782</v>
      </c>
      <c r="E98" s="760">
        <f>SUMIFS(INDEX(Table91517[],,MATCH(E$6,Table91517[#Headers],0)),Table91517[MainSpaceHeatingFuel],$B98,Table91517[EnergyRating (group)],$A98)</f>
        <v>6895348</v>
      </c>
      <c r="F98" s="760">
        <f>SUMIFS(INDEX(Table91517[],,MATCH(F$6,Table91517[#Headers],0)),Table91517[MainSpaceHeatingFuel],$B98,Table91517[EnergyRating (group)],$A98)</f>
        <v>5834422</v>
      </c>
      <c r="G98" s="757">
        <f>SUMIFS(INDEX(Table91517[],,MATCH(G$6,Table91517[#Headers],0)),Table91517[MainSpaceHeatingFuel],$B98,Table91517[EnergyRating (group)],$A98)</f>
        <v>2141</v>
      </c>
      <c r="H98" s="757">
        <f>SUMIFS(INDEX(Table91517[],,MATCH(H$6,Table91517[#Headers],0)),Table91517[MainSpaceHeatingFuel],$B98,Table91517[EnergyRating (group)],$A98)</f>
        <v>224872</v>
      </c>
      <c r="I98" s="912">
        <f>AVERAGEIFS(INDEX(Table91517[],,MATCH(I$6,Table91517[#Headers],0)),Table91517[MainSpaceHeatingFuel],$B98,Table91517[EnergyRating (group)],$A98)</f>
        <v>58.472727272727276</v>
      </c>
      <c r="J98" s="847">
        <f>SUMIFS(INDEX(Table91517[],,MATCH(J$6,Table91517[#Headers],0)),Table91517[MainSpaceHeatingFuel],$B98,Table91517[EnergyRating (group)],$A98)</f>
        <v>78265535</v>
      </c>
      <c r="K98" s="847">
        <f>SUMIFS(INDEX(Table91517[],,MATCH(K$6,Table91517[#Headers],0)),Table91517[MainSpaceHeatingFuel],$B98,Table91517[EnergyRating (group)],$A98)</f>
        <v>65022605</v>
      </c>
      <c r="M98" s="840"/>
      <c r="N98" s="935" t="str">
        <f>RSD_Commodities!$M$33&amp;"_"&amp;RSD_Commodities!$C$26&amp;"_"&amp;SETUP!$B$67</f>
        <v>SH_Det-E_RSDSMF_X0</v>
      </c>
      <c r="O98" s="935" t="str">
        <f>RSD_Commodities!$N$33&amp;"_"&amp;RSD_Commodities!$D$26&amp;"_"&amp;SETUP!$C$67</f>
        <v>Residential Space Heating Detached-E_Solid Multi-Fuel_Existing 00</v>
      </c>
      <c r="P98" s="935" t="str">
        <f>RSD_Commodities!$C$6&amp;","&amp;RSD_Commodities!$C$7&amp;","&amp;RSD_Commodities!$C$9&amp;","&amp;RSD_Commodities!$C$10&amp;","&amp;RSD_Commodities!$C$19</f>
        <v>RSDCOABIT,RSDCOAHAR,RSDCOALIG,RSDPEA,RSDBIOWOO</v>
      </c>
      <c r="Q98" s="935" t="str">
        <f>RSD_Commodities!$M$33</f>
        <v>SH_Det-E</v>
      </c>
      <c r="R98" s="1001">
        <f>G98/SUM($G$91:$G$105)</f>
        <v>7.7387406925468083E-2</v>
      </c>
      <c r="S98" s="937">
        <f>R98*DwellingStocks!$I$68/1000</f>
        <v>1.8410223551270424</v>
      </c>
      <c r="T98" s="933">
        <v>1</v>
      </c>
      <c r="U98" s="933">
        <f t="shared" si="31"/>
        <v>0.58472727272727276</v>
      </c>
      <c r="V98" s="935">
        <v>20</v>
      </c>
      <c r="W98" s="935">
        <v>1</v>
      </c>
      <c r="X98" s="840"/>
      <c r="Y98" s="926">
        <f t="shared" si="59"/>
        <v>3.8218265266622413E-2</v>
      </c>
      <c r="Z98" s="927">
        <f t="shared" si="60"/>
        <v>4.2401350767890249E-2</v>
      </c>
      <c r="AA98" s="840"/>
      <c r="AB98" s="914" t="s">
        <v>393</v>
      </c>
      <c r="AC98" s="914" t="str">
        <f t="shared" si="61"/>
        <v>SH_Det-E_RSDSMF_X0</v>
      </c>
      <c r="AD98" s="914" t="str">
        <f t="shared" si="62"/>
        <v>Residential Space Heating Detached-E_Solid Multi-Fuel_Existing 00</v>
      </c>
      <c r="AE98" s="914" t="s">
        <v>53</v>
      </c>
      <c r="AF98" s="914" t="s">
        <v>406</v>
      </c>
      <c r="AG98" s="914"/>
      <c r="AH98" s="914"/>
      <c r="AI98" s="840"/>
      <c r="AJ98" s="840"/>
      <c r="AK98" s="840"/>
      <c r="AL98" s="840"/>
      <c r="AM98" s="840"/>
      <c r="AN98" s="840"/>
    </row>
    <row r="99" spans="1:40">
      <c r="A99" s="758" t="s">
        <v>120</v>
      </c>
      <c r="B99" s="758" t="s">
        <v>669</v>
      </c>
      <c r="C99" s="758">
        <f>SUMIFS(INDEX(Table91517[],,MATCH(C$6,Table91517[#Headers],0)),Table91517[MainSpaceHeatingFuel],$B99,Table91517[EnergyRating (group)],$A99)</f>
        <v>2728106</v>
      </c>
      <c r="D99" s="758">
        <f>SUMIFS(INDEX(Table91517[],,MATCH(D$6,Table91517[#Headers],0)),Table91517[MainSpaceHeatingFuel],$B99,Table91517[EnergyRating (group)],$A99)</f>
        <v>2273422</v>
      </c>
      <c r="E99" s="759">
        <f>SUMIFS(INDEX(Table91517[],,MATCH(E$6,Table91517[#Headers],0)),Table91517[MainSpaceHeatingFuel],$B99,Table91517[EnergyRating (group)],$A99)</f>
        <v>318002</v>
      </c>
      <c r="F99" s="759">
        <f>SUMIFS(INDEX(Table91517[],,MATCH(F$6,Table91517[#Headers],0)),Table91517[MainSpaceHeatingFuel],$B99,Table91517[EnergyRating (group)],$A99)</f>
        <v>244693</v>
      </c>
      <c r="G99" s="758">
        <f>SUMIFS(INDEX(Table91517[],,MATCH(G$6,Table91517[#Headers],0)),Table91517[MainSpaceHeatingFuel],$B99,Table91517[EnergyRating (group)],$A99)</f>
        <v>112</v>
      </c>
      <c r="H99" s="758">
        <f>SUMIFS(INDEX(Table91517[],,MATCH(H$6,Table91517[#Headers],0)),Table91517[MainSpaceHeatingFuel],$B99,Table91517[EnergyRating (group)],$A99)</f>
        <v>12268</v>
      </c>
      <c r="I99" s="911">
        <f>AVERAGEIFS(INDEX(Table91517[],,MATCH(I$6,Table91517[#Headers],0)),Table91517[MainSpaceHeatingFuel],$B99,Table91517[EnergyRating (group)],$A99)</f>
        <v>60.884615384615387</v>
      </c>
      <c r="J99" s="849">
        <f>SUMIFS(INDEX(Table91517[],,MATCH(J$6,Table91517[#Headers],0)),Table91517[MainSpaceHeatingFuel],$B99,Table91517[EnergyRating (group)],$A99)</f>
        <v>4269509</v>
      </c>
      <c r="K99" s="849">
        <f>SUMIFS(INDEX(Table91517[],,MATCH(K$6,Table91517[#Headers],0)),Table91517[MainSpaceHeatingFuel],$B99,Table91517[EnergyRating (group)],$A99)</f>
        <v>3246863</v>
      </c>
      <c r="M99" s="840"/>
      <c r="N99" s="914" t="str">
        <f>RSD_Commodities!$M$33&amp;"_"&amp;RIGHT(P99,LEN(P99)-3)&amp;"_"&amp;SETUP!$B$67</f>
        <v>SH_Det-E_COAHAR_X0</v>
      </c>
      <c r="O99" s="914" t="str">
        <f>RSD_Commodities!$N$33&amp;"_"&amp;RSD_Commodities!D7&amp;"_"&amp;SETUP!$C$67</f>
        <v>Residential Space Heating Detached-E_Anthracite + Manufactured Ovoids to Residential_Existing 00</v>
      </c>
      <c r="P99" s="930" t="str">
        <f>RSD_Commodities!$C$7</f>
        <v>RSDCOAHAR</v>
      </c>
      <c r="Q99" s="930" t="str">
        <f>RSD_Commodities!$M$33</f>
        <v>SH_Det-E</v>
      </c>
      <c r="R99" s="1000">
        <f>G99/SUM($G$91:$G$105)</f>
        <v>4.0482903202486804E-3</v>
      </c>
      <c r="S99" s="932">
        <f>R99*DwellingStocks!$I$68/1000</f>
        <v>9.6307568320517858E-2</v>
      </c>
      <c r="T99" s="914">
        <v>1</v>
      </c>
      <c r="U99" s="914">
        <f t="shared" si="31"/>
        <v>0.60884615384615381</v>
      </c>
      <c r="V99" s="930">
        <v>20</v>
      </c>
      <c r="W99" s="930">
        <v>1</v>
      </c>
      <c r="X99" s="840"/>
      <c r="Y99" s="928">
        <f t="shared" si="59"/>
        <v>9.9663095507433218E-5</v>
      </c>
      <c r="Z99" s="929">
        <f t="shared" si="60"/>
        <v>1.2056024150205865E-4</v>
      </c>
      <c r="AA99" s="840"/>
      <c r="AB99" s="933" t="s">
        <v>393</v>
      </c>
      <c r="AC99" s="933" t="str">
        <f t="shared" si="61"/>
        <v>SH_Det-E_COAHAR_X0</v>
      </c>
      <c r="AD99" s="933" t="str">
        <f t="shared" si="62"/>
        <v>Residential Space Heating Detached-E_Anthracite + Manufactured Ovoids to Residential_Existing 00</v>
      </c>
      <c r="AE99" s="933" t="s">
        <v>53</v>
      </c>
      <c r="AF99" s="933" t="s">
        <v>406</v>
      </c>
      <c r="AG99" s="933"/>
      <c r="AH99" s="933"/>
      <c r="AI99" s="840"/>
      <c r="AJ99" s="840"/>
      <c r="AK99" s="840"/>
      <c r="AL99" s="840"/>
      <c r="AM99" s="840"/>
      <c r="AN99" s="840"/>
    </row>
    <row r="100" spans="1:40">
      <c r="A100" s="757" t="s">
        <v>120</v>
      </c>
      <c r="B100" s="757" t="s">
        <v>666</v>
      </c>
      <c r="C100" s="757">
        <f>SUMIFS(INDEX(Table91517[],,MATCH(C$6,Table91517[#Headers],0)),Table91517[MainSpaceHeatingFuel],$B100,Table91517[EnergyRating (group)],$A100)</f>
        <v>3564626</v>
      </c>
      <c r="D100" s="757">
        <f>SUMIFS(INDEX(Table91517[],,MATCH(D$6,Table91517[#Headers],0)),Table91517[MainSpaceHeatingFuel],$B100,Table91517[EnergyRating (group)],$A100)</f>
        <v>3240569</v>
      </c>
      <c r="E100" s="757">
        <f>SUMIFS(INDEX(Table91517[],,MATCH(E$6,Table91517[#Headers],0)),Table91517[MainSpaceHeatingFuel],$B100,Table91517[EnergyRating (group)],$A100)</f>
        <v>544404</v>
      </c>
      <c r="F100" s="757">
        <f>SUMIFS(INDEX(Table91517[],,MATCH(F$6,Table91517[#Headers],0)),Table91517[MainSpaceHeatingFuel],$B100,Table91517[EnergyRating (group)],$A100)</f>
        <v>429070</v>
      </c>
      <c r="G100" s="757">
        <f>SUMIFS(INDEX(Table91517[],,MATCH(G$6,Table91517[#Headers],0)),Table91517[MainSpaceHeatingFuel],$B100,Table91517[EnergyRating (group)],$A100)</f>
        <v>159</v>
      </c>
      <c r="H100" s="757">
        <f>SUMIFS(INDEX(Table91517[],,MATCH(H$6,Table91517[#Headers],0)),Table91517[MainSpaceHeatingFuel],$B100,Table91517[EnergyRating (group)],$A100)</f>
        <v>16441</v>
      </c>
      <c r="I100" s="912">
        <f>AVERAGEIFS(INDEX(Table91517[],,MATCH(I$6,Table91517[#Headers],0)),Table91517[MainSpaceHeatingFuel],$B100,Table91517[EnergyRating (group)],$A100)</f>
        <v>59.5</v>
      </c>
      <c r="J100" s="847">
        <f>SUMIFS(INDEX(Table91517[],,MATCH(J$6,Table91517[#Headers],0)),Table91517[MainSpaceHeatingFuel],$B100,Table91517[EnergyRating (group)],$A100)</f>
        <v>5733789</v>
      </c>
      <c r="K100" s="847">
        <f>SUMIFS(INDEX(Table91517[],,MATCH(K$6,Table91517[#Headers],0)),Table91517[MainSpaceHeatingFuel],$B100,Table91517[EnergyRating (group)],$A100)</f>
        <v>4723417</v>
      </c>
      <c r="M100" s="840"/>
      <c r="N100" s="933" t="str">
        <f>RSD_Commodities!$M$33&amp;"_"&amp;RIGHT(P100,LEN(P100)-3)&amp;"_"&amp;SETUP!$B$67</f>
        <v>SH_Det-E_COABIT_X0</v>
      </c>
      <c r="O100" s="933" t="str">
        <f>RSD_Commodities!$N$33&amp;"_"&amp;RSD_Commodities!D6&amp;"_"&amp;SETUP!$C$67</f>
        <v>Residential Space Heating Detached-E_Bituminous Coal to Residential_Existing 00</v>
      </c>
      <c r="P100" s="935" t="str">
        <f>RSD_Commodities!$C$6</f>
        <v>RSDCOABIT</v>
      </c>
      <c r="Q100" s="935" t="str">
        <f>RSD_Commodities!$M$33</f>
        <v>SH_Det-E</v>
      </c>
      <c r="R100" s="1001">
        <f>G100/SUM($G$91:$G$105)</f>
        <v>5.7471264367816091E-3</v>
      </c>
      <c r="S100" s="937">
        <f>R100*DwellingStocks!$I$68/1000</f>
        <v>0.13672235145502087</v>
      </c>
      <c r="T100" s="933">
        <v>1</v>
      </c>
      <c r="U100" s="933">
        <f t="shared" si="31"/>
        <v>0.59499999999999997</v>
      </c>
      <c r="V100" s="935">
        <v>20</v>
      </c>
      <c r="W100" s="935">
        <v>1</v>
      </c>
      <c r="X100" s="840"/>
      <c r="Y100" s="926">
        <f t="shared" si="59"/>
        <v>2.061869889333088E-4</v>
      </c>
      <c r="Z100" s="927">
        <f t="shared" si="60"/>
        <v>2.3087516868461279E-4</v>
      </c>
      <c r="AA100" s="840"/>
      <c r="AB100" s="914" t="s">
        <v>393</v>
      </c>
      <c r="AC100" s="914" t="str">
        <f t="shared" si="61"/>
        <v>SH_Det-E_COABIT_X0</v>
      </c>
      <c r="AD100" s="914" t="str">
        <f t="shared" si="62"/>
        <v>Residential Space Heating Detached-E_Bituminous Coal to Residential_Existing 00</v>
      </c>
      <c r="AE100" s="914" t="s">
        <v>53</v>
      </c>
      <c r="AF100" s="914" t="s">
        <v>406</v>
      </c>
      <c r="AG100" s="914"/>
      <c r="AH100" s="914"/>
      <c r="AI100" s="840"/>
      <c r="AJ100" s="840"/>
      <c r="AK100" s="840"/>
      <c r="AL100" s="840"/>
      <c r="AM100" s="840"/>
      <c r="AN100" s="840"/>
    </row>
    <row r="101" spans="1:40">
      <c r="A101" s="758" t="s">
        <v>120</v>
      </c>
      <c r="B101" s="758" t="s">
        <v>667</v>
      </c>
      <c r="C101" s="758">
        <f>SUMIFS(INDEX(Table91517[],,MATCH(C$6,Table91517[#Headers],0)),Table91517[MainSpaceHeatingFuel],$B101,Table91517[EnergyRating (group)],$A101)</f>
        <v>312086</v>
      </c>
      <c r="D101" s="758">
        <f>SUMIFS(INDEX(Table91517[],,MATCH(D$6,Table91517[#Headers],0)),Table91517[MainSpaceHeatingFuel],$B101,Table91517[EnergyRating (group)],$A101)</f>
        <v>283714</v>
      </c>
      <c r="E101" s="759">
        <f>SUMIFS(INDEX(Table91517[],,MATCH(E$6,Table91517[#Headers],0)),Table91517[MainSpaceHeatingFuel],$B101,Table91517[EnergyRating (group)],$A101)</f>
        <v>64238</v>
      </c>
      <c r="F101" s="759">
        <f>SUMIFS(INDEX(Table91517[],,MATCH(F$6,Table91517[#Headers],0)),Table91517[MainSpaceHeatingFuel],$B101,Table91517[EnergyRating (group)],$A101)</f>
        <v>53531</v>
      </c>
      <c r="G101" s="758">
        <f>SUMIFS(INDEX(Table91517[],,MATCH(G$6,Table91517[#Headers],0)),Table91517[MainSpaceHeatingFuel],$B101,Table91517[EnergyRating (group)],$A101)</f>
        <v>15</v>
      </c>
      <c r="H101" s="758">
        <f>SUMIFS(INDEX(Table91517[],,MATCH(H$6,Table91517[#Headers],0)),Table91517[MainSpaceHeatingFuel],$B101,Table91517[EnergyRating (group)],$A101)</f>
        <v>1540</v>
      </c>
      <c r="I101" s="911">
        <f>AVERAGEIFS(INDEX(Table91517[],,MATCH(I$6,Table91517[#Headers],0)),Table91517[MainSpaceHeatingFuel],$B101,Table91517[EnergyRating (group)],$A101)</f>
        <v>59.857142857142854</v>
      </c>
      <c r="J101" s="849">
        <f>SUMIFS(INDEX(Table91517[],,MATCH(J$6,Table91517[#Headers],0)),Table91517[MainSpaceHeatingFuel],$B101,Table91517[EnergyRating (group)],$A101)</f>
        <v>532416</v>
      </c>
      <c r="K101" s="849">
        <f>SUMIFS(INDEX(Table91517[],,MATCH(K$6,Table91517[#Headers],0)),Table91517[MainSpaceHeatingFuel],$B101,Table91517[EnergyRating (group)],$A101)</f>
        <v>440612</v>
      </c>
      <c r="M101" s="840"/>
      <c r="N101" s="914" t="str">
        <f>RSD_Commodities!$M$33&amp;"_"&amp;RIGHT(P101,LEN(P101)-3)&amp;"_"&amp;SETUP!$B$68</f>
        <v>SH_Det-E_PEA_X1</v>
      </c>
      <c r="O101" s="914" t="str">
        <f>RSD_Commodities!$N$33&amp;"_"&amp;RSD_Commodities!D10&amp;"_"&amp;SETUP!$C$68</f>
        <v>Residential Space Heating Detached-E_Peat to Residential_Existing 01</v>
      </c>
      <c r="P101" s="930" t="str">
        <f>RSD_Commodities!$C$10</f>
        <v>RSDPEA</v>
      </c>
      <c r="Q101" s="930" t="str">
        <f>RSD_Commodities!$M$33</f>
        <v>SH_Det-E</v>
      </c>
      <c r="R101" s="1000">
        <f>G101/SUM($G$91:$G$105)</f>
        <v>5.4218173931901972E-4</v>
      </c>
      <c r="S101" s="932">
        <f>R101*DwellingStocks!$I$68/1000</f>
        <v>1.28983350429265E-2</v>
      </c>
      <c r="T101" s="914">
        <v>1</v>
      </c>
      <c r="U101" s="914">
        <f t="shared" si="31"/>
        <v>0.59857142857142853</v>
      </c>
      <c r="V101" s="930">
        <v>20</v>
      </c>
      <c r="W101" s="930">
        <v>1</v>
      </c>
      <c r="X101" s="840"/>
      <c r="Y101" s="928">
        <f t="shared" si="59"/>
        <v>1.787629726665102E-6</v>
      </c>
      <c r="Z101" s="929">
        <f t="shared" si="60"/>
        <v>1.9947752205592898E-6</v>
      </c>
      <c r="AA101" s="840"/>
      <c r="AB101" s="933" t="s">
        <v>393</v>
      </c>
      <c r="AC101" s="933" t="str">
        <f t="shared" si="61"/>
        <v>SH_Det-E_PEA_X1</v>
      </c>
      <c r="AD101" s="933" t="str">
        <f t="shared" si="62"/>
        <v>Residential Space Heating Detached-E_Peat to Residential_Existing 01</v>
      </c>
      <c r="AE101" s="933" t="s">
        <v>53</v>
      </c>
      <c r="AF101" s="933" t="s">
        <v>406</v>
      </c>
      <c r="AG101" s="933"/>
      <c r="AH101" s="933"/>
      <c r="AI101" s="840"/>
      <c r="AJ101" s="840"/>
      <c r="AK101" s="840"/>
      <c r="AL101" s="840"/>
      <c r="AM101" s="840"/>
      <c r="AN101" s="840"/>
    </row>
    <row r="102" spans="1:40">
      <c r="A102" s="757" t="s">
        <v>120</v>
      </c>
      <c r="B102" s="757" t="s">
        <v>671</v>
      </c>
      <c r="C102" s="757">
        <f>SUMIFS(INDEX(Table91517[],,MATCH(C$6,Table91517[#Headers],0)),Table91517[MainSpaceHeatingFuel],$B102,Table91517[EnergyRating (group)],$A102)</f>
        <v>2957078</v>
      </c>
      <c r="D102" s="757">
        <f>SUMIFS(INDEX(Table91517[],,MATCH(D$6,Table91517[#Headers],0)),Table91517[MainSpaceHeatingFuel],$B102,Table91517[EnergyRating (group)],$A102)</f>
        <v>2688252</v>
      </c>
      <c r="E102" s="760">
        <f>SUMIFS(INDEX(Table91517[],,MATCH(E$6,Table91517[#Headers],0)),Table91517[MainSpaceHeatingFuel],$B102,Table91517[EnergyRating (group)],$A102)</f>
        <v>441007</v>
      </c>
      <c r="F102" s="760">
        <f>SUMIFS(INDEX(Table91517[],,MATCH(F$6,Table91517[#Headers],0)),Table91517[MainSpaceHeatingFuel],$B102,Table91517[EnergyRating (group)],$A102)</f>
        <v>378195</v>
      </c>
      <c r="G102" s="757">
        <f>SUMIFS(INDEX(Table91517[],,MATCH(G$6,Table91517[#Headers],0)),Table91517[MainSpaceHeatingFuel],$B102,Table91517[EnergyRating (group)],$A102)</f>
        <v>115</v>
      </c>
      <c r="H102" s="757">
        <f>SUMIFS(INDEX(Table91517[],,MATCH(H$6,Table91517[#Headers],0)),Table91517[MainSpaceHeatingFuel],$B102,Table91517[EnergyRating (group)],$A102)</f>
        <v>13223</v>
      </c>
      <c r="I102" s="912">
        <f>AVERAGEIFS(INDEX(Table91517[],,MATCH(I$6,Table91517[#Headers],0)),Table91517[MainSpaceHeatingFuel],$B102,Table91517[EnergyRating (group)],$A102)</f>
        <v>56.19047619047619</v>
      </c>
      <c r="J102" s="847">
        <f>SUMIFS(INDEX(Table91517[],,MATCH(J$6,Table91517[#Headers],0)),Table91517[MainSpaceHeatingFuel],$B102,Table91517[EnergyRating (group)],$A102)</f>
        <v>4647023</v>
      </c>
      <c r="K102" s="847">
        <f>SUMIFS(INDEX(Table91517[],,MATCH(K$6,Table91517[#Headers],0)),Table91517[MainSpaceHeatingFuel],$B102,Table91517[EnergyRating (group)],$A102)</f>
        <v>3896520</v>
      </c>
      <c r="M102" s="840"/>
      <c r="N102" s="840" t="str">
        <f>RSD_Commodities!$M$33&amp;"_"&amp;RIGHT(P102,LEN(P102)-3)&amp;"_"&amp;SETUP!$B$67</f>
        <v>SH_Det-E_PEA_X0</v>
      </c>
      <c r="O102" s="840" t="str">
        <f>RSD_Commodities!$N$33&amp;"_"&amp;RSD_Commodities!D10&amp;"_"&amp;SETUP!$C$67</f>
        <v>Residential Space Heating Detached-E_Peat to Residential_Existing 00</v>
      </c>
      <c r="P102" s="935" t="str">
        <f>RSD_Commodities!$C$10</f>
        <v>RSDPEA</v>
      </c>
      <c r="Q102" s="935" t="str">
        <f>RSD_Commodities!$M$33</f>
        <v>SH_Det-E</v>
      </c>
      <c r="R102" s="1001">
        <f>G102/SUM($G$91:$G$105)</f>
        <v>4.156726668112485E-3</v>
      </c>
      <c r="S102" s="937">
        <f>R102*DwellingStocks!$I$68/1000</f>
        <v>9.8887235329103179E-2</v>
      </c>
      <c r="T102" s="933">
        <v>1</v>
      </c>
      <c r="U102" s="933">
        <f t="shared" si="31"/>
        <v>0.56190476190476191</v>
      </c>
      <c r="V102" s="935">
        <v>20</v>
      </c>
      <c r="W102" s="935">
        <v>1</v>
      </c>
      <c r="X102" s="840"/>
      <c r="Y102" s="926">
        <f t="shared" si="59"/>
        <v>1.2461608196433801E-4</v>
      </c>
      <c r="Z102" s="927">
        <f t="shared" si="60"/>
        <v>1.3809338262875162E-4</v>
      </c>
      <c r="AA102" s="840"/>
      <c r="AB102" s="914" t="s">
        <v>393</v>
      </c>
      <c r="AC102" s="914" t="str">
        <f t="shared" si="61"/>
        <v>SH_Det-E_PEA_X0</v>
      </c>
      <c r="AD102" s="914" t="str">
        <f t="shared" si="62"/>
        <v>Residential Space Heating Detached-E_Peat to Residential_Existing 00</v>
      </c>
      <c r="AE102" s="914" t="s">
        <v>53</v>
      </c>
      <c r="AF102" s="914" t="s">
        <v>406</v>
      </c>
      <c r="AG102" s="914"/>
      <c r="AH102" s="914"/>
      <c r="AI102" s="840"/>
      <c r="AJ102" s="840"/>
      <c r="AK102" s="840"/>
      <c r="AL102" s="840"/>
      <c r="AM102" s="840"/>
      <c r="AN102" s="840"/>
    </row>
    <row r="103" spans="1:40">
      <c r="A103" s="758" t="s">
        <v>120</v>
      </c>
      <c r="B103" s="758" t="s">
        <v>668</v>
      </c>
      <c r="C103" s="758">
        <f>SUMIFS(INDEX(Table91517[],,MATCH(C$6,Table91517[#Headers],0)),Table91517[MainSpaceHeatingFuel],$B103,Table91517[EnergyRating (group)],$A103)</f>
        <v>242560</v>
      </c>
      <c r="D103" s="758">
        <f>SUMIFS(INDEX(Table91517[],,MATCH(D$6,Table91517[#Headers],0)),Table91517[MainSpaceHeatingFuel],$B103,Table91517[EnergyRating (group)],$A103)</f>
        <v>220509</v>
      </c>
      <c r="E103" s="759">
        <f>SUMIFS(INDEX(Table91517[],,MATCH(E$6,Table91517[#Headers],0)),Table91517[MainSpaceHeatingFuel],$B103,Table91517[EnergyRating (group)],$A103)</f>
        <v>45505</v>
      </c>
      <c r="F103" s="759">
        <f>SUMIFS(INDEX(Table91517[],,MATCH(F$6,Table91517[#Headers],0)),Table91517[MainSpaceHeatingFuel],$B103,Table91517[EnergyRating (group)],$A103)</f>
        <v>41101</v>
      </c>
      <c r="G103" s="758">
        <f>SUMIFS(INDEX(Table91517[],,MATCH(G$6,Table91517[#Headers],0)),Table91517[MainSpaceHeatingFuel],$B103,Table91517[EnergyRating (group)],$A103)</f>
        <v>8</v>
      </c>
      <c r="H103" s="758">
        <f>SUMIFS(INDEX(Table91517[],,MATCH(H$6,Table91517[#Headers],0)),Table91517[MainSpaceHeatingFuel],$B103,Table91517[EnergyRating (group)],$A103)</f>
        <v>1088</v>
      </c>
      <c r="I103" s="911">
        <f>AVERAGEIFS(INDEX(Table91517[],,MATCH(I$6,Table91517[#Headers],0)),Table91517[MainSpaceHeatingFuel],$B103,Table91517[EnergyRating (group)],$A103)</f>
        <v>71.400000000000006</v>
      </c>
      <c r="J103" s="849">
        <f>SUMIFS(INDEX(Table91517[],,MATCH(J$6,Table91517[#Headers],0)),Table91517[MainSpaceHeatingFuel],$B103,Table91517[EnergyRating (group)],$A103)</f>
        <v>367388</v>
      </c>
      <c r="K103" s="849">
        <f>SUMIFS(INDEX(Table91517[],,MATCH(K$6,Table91517[#Headers],0)),Table91517[MainSpaceHeatingFuel],$B103,Table91517[EnergyRating (group)],$A103)</f>
        <v>315434</v>
      </c>
      <c r="M103" s="840"/>
      <c r="N103" s="914" t="str">
        <f>RSD_Commodities!$M$33&amp;"_"&amp;RIGHT(P103,LEN(P103)-3)&amp;"_"&amp;SETUP!$B$69</f>
        <v>SH_Det-E_BIOWOO_X2</v>
      </c>
      <c r="O103" s="914" t="str">
        <f>RSD_Commodities!$N$33&amp;"_"&amp;RSD_Commodities!D19&amp;"_"&amp;SETUP!$C$69</f>
        <v>Residential Space Heating Detached-E_Biomass &amp; Renewable Waste to Residential_Existing 02</v>
      </c>
      <c r="P103" s="930" t="str">
        <f>RSD_Commodities!$C$19</f>
        <v>RSDBIOWOO</v>
      </c>
      <c r="Q103" s="930" t="str">
        <f>RSD_Commodities!$M$33</f>
        <v>SH_Det-E</v>
      </c>
      <c r="R103" s="1000">
        <f>G103/SUM($G$91:$G$105)</f>
        <v>2.8916359430347719E-4</v>
      </c>
      <c r="S103" s="932">
        <f>R103*DwellingStocks!$I$68/1000</f>
        <v>6.8791120228941325E-3</v>
      </c>
      <c r="T103" s="914">
        <v>1</v>
      </c>
      <c r="U103" s="914">
        <f t="shared" si="31"/>
        <v>0.71400000000000008</v>
      </c>
      <c r="V103" s="930">
        <v>20</v>
      </c>
      <c r="W103" s="930">
        <v>1</v>
      </c>
      <c r="X103" s="840"/>
      <c r="Y103" s="928">
        <f t="shared" si="59"/>
        <v>7.3957992999013738E-7</v>
      </c>
      <c r="Z103" s="929">
        <f t="shared" si="60"/>
        <v>8.1436907049657467E-7</v>
      </c>
      <c r="AA103" s="840"/>
      <c r="AB103" s="933" t="s">
        <v>393</v>
      </c>
      <c r="AC103" s="933" t="str">
        <f t="shared" si="61"/>
        <v>SH_Det-E_BIOWOO_X2</v>
      </c>
      <c r="AD103" s="933" t="str">
        <f t="shared" si="62"/>
        <v>Residential Space Heating Detached-E_Biomass &amp; Renewable Waste to Residential_Existing 02</v>
      </c>
      <c r="AE103" s="933" t="s">
        <v>53</v>
      </c>
      <c r="AF103" s="933" t="s">
        <v>406</v>
      </c>
      <c r="AG103" s="933"/>
      <c r="AH103" s="933"/>
      <c r="AI103" s="840"/>
      <c r="AJ103" s="840"/>
      <c r="AK103" s="840"/>
      <c r="AL103" s="840"/>
      <c r="AM103" s="840"/>
      <c r="AN103" s="840"/>
    </row>
    <row r="104" spans="1:40">
      <c r="A104" s="757" t="s">
        <v>120</v>
      </c>
      <c r="B104" s="757" t="s">
        <v>673</v>
      </c>
      <c r="C104" s="757">
        <f>SUMIFS(INDEX(Table91517[],,MATCH(C$6,Table91517[#Headers],0)),Table91517[MainSpaceHeatingFuel],$B104,Table91517[EnergyRating (group)],$A104)</f>
        <v>1832137</v>
      </c>
      <c r="D104" s="757">
        <f>SUMIFS(INDEX(Table91517[],,MATCH(D$6,Table91517[#Headers],0)),Table91517[MainSpaceHeatingFuel],$B104,Table91517[EnergyRating (group)],$A104)</f>
        <v>1665582</v>
      </c>
      <c r="E104" s="757">
        <f>SUMIFS(INDEX(Table91517[],,MATCH(E$6,Table91517[#Headers],0)),Table91517[MainSpaceHeatingFuel],$B104,Table91517[EnergyRating (group)],$A104)</f>
        <v>236686</v>
      </c>
      <c r="F104" s="757">
        <f>SUMIFS(INDEX(Table91517[],,MATCH(F$6,Table91517[#Headers],0)),Table91517[MainSpaceHeatingFuel],$B104,Table91517[EnergyRating (group)],$A104)</f>
        <v>207889</v>
      </c>
      <c r="G104" s="757">
        <f>SUMIFS(INDEX(Table91517[],,MATCH(G$6,Table91517[#Headers],0)),Table91517[MainSpaceHeatingFuel],$B104,Table91517[EnergyRating (group)],$A104)</f>
        <v>66</v>
      </c>
      <c r="H104" s="757">
        <f>SUMIFS(INDEX(Table91517[],,MATCH(H$6,Table91517[#Headers],0)),Table91517[MainSpaceHeatingFuel],$B104,Table91517[EnergyRating (group)],$A104)</f>
        <v>7884</v>
      </c>
      <c r="I104" s="912">
        <f>AVERAGEIFS(INDEX(Table91517[],,MATCH(I$6,Table91517[#Headers],0)),Table91517[MainSpaceHeatingFuel],$B104,Table91517[EnergyRating (group)],$A104)</f>
        <v>61.96</v>
      </c>
      <c r="J104" s="847">
        <f>SUMIFS(INDEX(Table91517[],,MATCH(J$6,Table91517[#Headers],0)),Table91517[MainSpaceHeatingFuel],$B104,Table91517[EnergyRating (group)],$A104)</f>
        <v>2741413</v>
      </c>
      <c r="K104" s="847">
        <f>SUMIFS(INDEX(Table91517[],,MATCH(K$6,Table91517[#Headers],0)),Table91517[MainSpaceHeatingFuel],$B104,Table91517[EnergyRating (group)],$A104)</f>
        <v>2309038</v>
      </c>
      <c r="M104" s="840"/>
      <c r="N104" s="933" t="str">
        <f>RSD_Commodities!$M$33&amp;"_"&amp;RIGHT(P104,LEN(P104)-3)&amp;"_"&amp;SETUP!$B$68</f>
        <v>SH_Det-E_BIOWOO_X1</v>
      </c>
      <c r="O104" s="933" t="str">
        <f>RSD_Commodities!$N$33&amp;"_"&amp;RSD_Commodities!D19&amp;"_"&amp;SETUP!$C$68</f>
        <v>Residential Space Heating Detached-E_Biomass &amp; Renewable Waste to Residential_Existing 01</v>
      </c>
      <c r="P104" s="935" t="str">
        <f>RSD_Commodities!$C$19</f>
        <v>RSDBIOWOO</v>
      </c>
      <c r="Q104" s="935" t="str">
        <f>RSD_Commodities!$M$33</f>
        <v>SH_Det-E</v>
      </c>
      <c r="R104" s="1001">
        <f>G104/SUM($G$91:$G$105)</f>
        <v>2.3855996530036867E-3</v>
      </c>
      <c r="S104" s="937">
        <f>R104*DwellingStocks!$I$68/1000</f>
        <v>5.6752674188876598E-2</v>
      </c>
      <c r="T104" s="933">
        <v>1</v>
      </c>
      <c r="U104" s="933">
        <f t="shared" si="31"/>
        <v>0.61960000000000004</v>
      </c>
      <c r="V104" s="935">
        <v>20</v>
      </c>
      <c r="W104" s="935">
        <v>1</v>
      </c>
      <c r="X104" s="840"/>
      <c r="Y104" s="926">
        <f t="shared" si="59"/>
        <v>4.3694995588483086E-5</v>
      </c>
      <c r="Z104" s="927">
        <f t="shared" si="60"/>
        <v>4.8251193564433263E-5</v>
      </c>
      <c r="AA104" s="840"/>
      <c r="AB104" s="914" t="s">
        <v>393</v>
      </c>
      <c r="AC104" s="914" t="str">
        <f t="shared" si="61"/>
        <v>SH_Det-E_BIOWOO_X1</v>
      </c>
      <c r="AD104" s="914" t="str">
        <f t="shared" si="62"/>
        <v>Residential Space Heating Detached-E_Biomass &amp; Renewable Waste to Residential_Existing 01</v>
      </c>
      <c r="AE104" s="914" t="s">
        <v>53</v>
      </c>
      <c r="AF104" s="914" t="s">
        <v>406</v>
      </c>
      <c r="AG104" s="914"/>
      <c r="AH104" s="914"/>
      <c r="AI104" s="840"/>
      <c r="AJ104" s="840"/>
      <c r="AK104" s="840"/>
      <c r="AL104" s="840"/>
      <c r="AM104" s="840"/>
      <c r="AN104" s="840"/>
    </row>
    <row r="105" spans="1:40" ht="15.75" thickBot="1">
      <c r="A105" s="758" t="s">
        <v>120</v>
      </c>
      <c r="B105" s="758" t="s">
        <v>674</v>
      </c>
      <c r="C105" s="758">
        <f>SUMIFS(INDEX(Table91517[],,MATCH(C$6,Table91517[#Headers],0)),Table91517[MainSpaceHeatingFuel],$B105,Table91517[EnergyRating (group)],$A105)</f>
        <v>140269</v>
      </c>
      <c r="D105" s="758">
        <f>SUMIFS(INDEX(Table91517[],,MATCH(D$6,Table91517[#Headers],0)),Table91517[MainSpaceHeatingFuel],$B105,Table91517[EnergyRating (group)],$A105)</f>
        <v>127517</v>
      </c>
      <c r="E105" s="759">
        <f>SUMIFS(INDEX(Table91517[],,MATCH(E$6,Table91517[#Headers],0)),Table91517[MainSpaceHeatingFuel],$B105,Table91517[EnergyRating (group)],$A105)</f>
        <v>20212</v>
      </c>
      <c r="F105" s="759">
        <f>SUMIFS(INDEX(Table91517[],,MATCH(F$6,Table91517[#Headers],0)),Table91517[MainSpaceHeatingFuel],$B105,Table91517[EnergyRating (group)],$A105)</f>
        <v>21859</v>
      </c>
      <c r="G105" s="758">
        <f>SUMIFS(INDEX(Table91517[],,MATCH(G$6,Table91517[#Headers],0)),Table91517[MainSpaceHeatingFuel],$B105,Table91517[EnergyRating (group)],$A105)</f>
        <v>7</v>
      </c>
      <c r="H105" s="758">
        <f>SUMIFS(INDEX(Table91517[],,MATCH(H$6,Table91517[#Headers],0)),Table91517[MainSpaceHeatingFuel],$B105,Table91517[EnergyRating (group)],$A105)</f>
        <v>655</v>
      </c>
      <c r="I105" s="911">
        <f>AVERAGEIFS(INDEX(Table91517[],,MATCH(I$6,Table91517[#Headers],0)),Table91517[MainSpaceHeatingFuel],$B105,Table91517[EnergyRating (group)],$A105)</f>
        <v>60.333333333333336</v>
      </c>
      <c r="J105" s="849">
        <f>SUMIFS(INDEX(Table91517[],,MATCH(J$6,Table91517[#Headers],0)),Table91517[MainSpaceHeatingFuel],$B105,Table91517[EnergyRating (group)],$A105)</f>
        <v>234755</v>
      </c>
      <c r="K105" s="849">
        <f>SUMIFS(INDEX(Table91517[],,MATCH(K$6,Table91517[#Headers],0)),Table91517[MainSpaceHeatingFuel],$B105,Table91517[EnergyRating (group)],$A105)</f>
        <v>198030</v>
      </c>
      <c r="M105" s="840"/>
      <c r="N105" s="914" t="str">
        <f>RSD_Commodities!$M$33&amp;"_"&amp;RIGHT(P105,LEN(P105)-3)&amp;"_"&amp;SETUP!$B$68</f>
        <v>SH_Det-E_COAHAR_X1</v>
      </c>
      <c r="O105" s="914" t="str">
        <f>RSD_Commodities!$N$33&amp;"_"&amp;RSD_Commodities!D7&amp;"_"&amp;SETUP!$C$68</f>
        <v>Residential Space Heating Detached-E_Anthracite + Manufactured Ovoids to Residential_Existing 01</v>
      </c>
      <c r="P105" s="930" t="str">
        <f>RSD_Commodities!$C$7</f>
        <v>RSDCOAHAR</v>
      </c>
      <c r="Q105" s="930" t="str">
        <f>RSD_Commodities!$M$33</f>
        <v>SH_Det-E</v>
      </c>
      <c r="R105" s="1000">
        <f>G105/SUM($G$91:$G$105)</f>
        <v>2.5301814501554253E-4</v>
      </c>
      <c r="S105" s="932">
        <f>R105*DwellingStocks!$I$68/1000</f>
        <v>6.0192230200323662E-3</v>
      </c>
      <c r="T105" s="914">
        <v>1</v>
      </c>
      <c r="U105" s="914">
        <f t="shared" si="31"/>
        <v>0.60333333333333339</v>
      </c>
      <c r="V105" s="930">
        <v>20</v>
      </c>
      <c r="W105" s="930">
        <v>1</v>
      </c>
      <c r="X105" s="840"/>
      <c r="Y105" s="928">
        <f t="shared" si="59"/>
        <v>3.69504434728913E-7</v>
      </c>
      <c r="Z105" s="929">
        <f t="shared" si="60"/>
        <v>3.9697435457992365E-7</v>
      </c>
      <c r="AA105" s="840"/>
      <c r="AB105" s="933" t="s">
        <v>393</v>
      </c>
      <c r="AC105" s="933" t="str">
        <f t="shared" si="61"/>
        <v>SH_Det-E_COAHAR_X1</v>
      </c>
      <c r="AD105" s="933" t="str">
        <f t="shared" si="62"/>
        <v>Residential Space Heating Detached-E_Anthracite + Manufactured Ovoids to Residential_Existing 01</v>
      </c>
      <c r="AE105" s="933" t="s">
        <v>53</v>
      </c>
      <c r="AF105" s="933" t="s">
        <v>406</v>
      </c>
      <c r="AG105" s="933"/>
      <c r="AH105" s="933"/>
      <c r="AI105" s="840"/>
      <c r="AJ105" s="840"/>
      <c r="AK105" s="840"/>
      <c r="AL105" s="840"/>
      <c r="AM105" s="840"/>
      <c r="AN105" s="840"/>
    </row>
    <row r="106" spans="1:40" ht="15.75" thickBot="1">
      <c r="A106" s="756" t="s">
        <v>122</v>
      </c>
      <c r="B106" s="1048"/>
      <c r="C106" s="1049"/>
      <c r="D106" s="1049"/>
      <c r="E106" s="1049"/>
      <c r="F106" s="1049"/>
      <c r="G106" s="1049"/>
      <c r="H106" s="1049"/>
      <c r="I106" s="1053"/>
      <c r="J106" s="736" t="s">
        <v>565</v>
      </c>
      <c r="K106" s="737" t="s">
        <v>565</v>
      </c>
      <c r="M106" s="840"/>
      <c r="N106" s="76" t="str">
        <f>AB106</f>
        <v>*F Rating</v>
      </c>
      <c r="O106" s="76"/>
      <c r="P106" s="76"/>
      <c r="Q106" s="76"/>
      <c r="R106" s="949">
        <f>SUM(R107:R121)</f>
        <v>1</v>
      </c>
      <c r="S106" s="76"/>
      <c r="T106" s="97"/>
      <c r="U106" s="76"/>
      <c r="V106" s="76"/>
      <c r="W106" s="76"/>
      <c r="X106" s="840"/>
      <c r="Y106" s="76"/>
      <c r="Z106" s="76"/>
      <c r="AA106" s="840"/>
      <c r="AB106" s="140" t="str">
        <f>"*"&amp; A107 &amp; " Rating"</f>
        <v>*F Rating</v>
      </c>
      <c r="AC106" s="141"/>
      <c r="AD106" s="141"/>
      <c r="AE106" s="141"/>
      <c r="AF106" s="141"/>
      <c r="AG106" s="141"/>
      <c r="AH106" s="141"/>
      <c r="AI106" s="840"/>
      <c r="AJ106" s="840"/>
      <c r="AK106" s="840"/>
      <c r="AL106" s="840"/>
      <c r="AM106" s="840"/>
      <c r="AN106" s="840"/>
    </row>
    <row r="107" spans="1:40">
      <c r="A107" s="757" t="s">
        <v>122</v>
      </c>
      <c r="B107" s="757" t="s">
        <v>582</v>
      </c>
      <c r="C107" s="757">
        <f>SUMIFS(INDEX(Table91517[],,MATCH(C$6,Table91517[#Headers],0)),Table91517[MainSpaceHeatingFuel],$B107,Table91517[EnergyRating (group)],$A107)</f>
        <v>4596564</v>
      </c>
      <c r="D107" s="757">
        <f>SUMIFS(INDEX(Table91517[],,MATCH(D$6,Table91517[#Headers],0)),Table91517[MainSpaceHeatingFuel],$B107,Table91517[EnergyRating (group)],$A107)</f>
        <v>4178698</v>
      </c>
      <c r="E107" s="757">
        <f>SUMIFS(INDEX(Table91517[],,MATCH(E$6,Table91517[#Headers],0)),Table91517[MainSpaceHeatingFuel],$B107,Table91517[EnergyRating (group)],$A107)</f>
        <v>991357</v>
      </c>
      <c r="F107" s="757">
        <f>SUMIFS(INDEX(Table91517[],,MATCH(F$6,Table91517[#Headers],0)),Table91517[MainSpaceHeatingFuel],$B107,Table91517[EnergyRating (group)],$A107)</f>
        <v>860502</v>
      </c>
      <c r="G107" s="757">
        <f>SUMIFS(INDEX(Table91517[],,MATCH(G$6,Table91517[#Headers],0)),Table91517[MainSpaceHeatingFuel],$B107,Table91517[EnergyRating (group)],$A107)</f>
        <v>128</v>
      </c>
      <c r="H107" s="757">
        <f>SUMIFS(INDEX(Table91517[],,MATCH(H$6,Table91517[#Headers],0)),Table91517[MainSpaceHeatingFuel],$B107,Table91517[EnergyRating (group)],$A107)</f>
        <v>16313</v>
      </c>
      <c r="I107" s="912">
        <f>AVERAGEIFS(INDEX(Table91517[],,MATCH(I$6,Table91517[#Headers],0)),Table91517[MainSpaceHeatingFuel],$B107,Table91517[EnergyRating (group)],$A107)</f>
        <v>77.033333333333331</v>
      </c>
      <c r="J107" s="847">
        <f>SUMIFS(INDEX(Table91517[],,MATCH(J$6,Table91517[#Headers],0)),Table91517[MainSpaceHeatingFuel],$B107,Table91517[EnergyRating (group)],$A107)</f>
        <v>6845484</v>
      </c>
      <c r="K107" s="847">
        <f>SUMIFS(INDEX(Table91517[],,MATCH(K$6,Table91517[#Headers],0)),Table91517[MainSpaceHeatingFuel],$B107,Table91517[EnergyRating (group)],$A107)</f>
        <v>5850766</v>
      </c>
      <c r="M107" s="840"/>
      <c r="N107" s="933" t="str">
        <f>RSD_Commodities!$M$34&amp;"_"&amp;RIGHT(P107,LEN(P107)-3)&amp;"_"&amp;SETUP!$B$67</f>
        <v>SH_Det-F_OILLPG_X0</v>
      </c>
      <c r="O107" s="933" t="str">
        <f>RSD_Commodities!$N$34&amp;"_"&amp;RSD_Commodities!D11&amp;"_"&amp;SETUP!$C$67</f>
        <v>Residential Space Heating Detached-F_LPG to Residential_Existing 00</v>
      </c>
      <c r="P107" s="934" t="str">
        <f>RSD_Commodities!$C$11</f>
        <v>RSDOILLPG</v>
      </c>
      <c r="Q107" s="935" t="str">
        <f>RSD_Commodities!$M$34</f>
        <v>SH_Det-F</v>
      </c>
      <c r="R107" s="1001">
        <f>G107/SUM($G$107:$G$121)</f>
        <v>9.2841082178864148E-3</v>
      </c>
      <c r="S107" s="937">
        <f>R107*DwellingStocks!$I$69/1000</f>
        <v>7.4369567488380778E-2</v>
      </c>
      <c r="T107" s="933">
        <v>1</v>
      </c>
      <c r="U107" s="954">
        <f t="shared" si="31"/>
        <v>0.77033333333333331</v>
      </c>
      <c r="V107" s="935">
        <v>20</v>
      </c>
      <c r="W107" s="935">
        <v>1</v>
      </c>
      <c r="X107" s="840"/>
      <c r="Y107" s="926">
        <f>ABS((D107+F107)*S107*1000*$B$2)</f>
        <v>1.5401224294004734E-4</v>
      </c>
      <c r="Z107" s="927">
        <f>ABS((C107+E107)*S107*1000*$B$2)</f>
        <v>1.7078271284763297E-4</v>
      </c>
      <c r="AA107" s="840"/>
      <c r="AB107" s="933" t="s">
        <v>393</v>
      </c>
      <c r="AC107" s="933" t="str">
        <f>N107</f>
        <v>SH_Det-F_OILLPG_X0</v>
      </c>
      <c r="AD107" s="933" t="str">
        <f>O107</f>
        <v>Residential Space Heating Detached-F_LPG to Residential_Existing 00</v>
      </c>
      <c r="AE107" s="933" t="s">
        <v>53</v>
      </c>
      <c r="AF107" s="933" t="s">
        <v>406</v>
      </c>
      <c r="AG107" s="933"/>
      <c r="AH107" s="933"/>
      <c r="AI107" s="840"/>
      <c r="AJ107" s="840"/>
      <c r="AK107" s="840"/>
      <c r="AL107" s="840"/>
      <c r="AM107" s="840"/>
      <c r="AN107" s="840"/>
    </row>
    <row r="108" spans="1:40">
      <c r="A108" s="758" t="s">
        <v>122</v>
      </c>
      <c r="B108" s="758" t="s">
        <v>228</v>
      </c>
      <c r="C108" s="758">
        <f>SUMIFS(INDEX(Table91517[],,MATCH(C$6,Table91517[#Headers],0)),Table91517[MainSpaceHeatingFuel],$B108,Table91517[EnergyRating (group)],$A108)</f>
        <v>27291713</v>
      </c>
      <c r="D108" s="758">
        <f>SUMIFS(INDEX(Table91517[],,MATCH(D$6,Table91517[#Headers],0)),Table91517[MainSpaceHeatingFuel],$B108,Table91517[EnergyRating (group)],$A108)</f>
        <v>10108044</v>
      </c>
      <c r="E108" s="759">
        <f>SUMIFS(INDEX(Table91517[],,MATCH(E$6,Table91517[#Headers],0)),Table91517[MainSpaceHeatingFuel],$B108,Table91517[EnergyRating (group)],$A108)</f>
        <v>4247815</v>
      </c>
      <c r="F108" s="759">
        <f>SUMIFS(INDEX(Table91517[],,MATCH(F$6,Table91517[#Headers],0)),Table91517[MainSpaceHeatingFuel],$B108,Table91517[EnergyRating (group)],$A108)</f>
        <v>3320470</v>
      </c>
      <c r="G108" s="758">
        <f>SUMIFS(INDEX(Table91517[],,MATCH(G$6,Table91517[#Headers],0)),Table91517[MainSpaceHeatingFuel],$B108,Table91517[EnergyRating (group)],$A108)</f>
        <v>971</v>
      </c>
      <c r="H108" s="758">
        <f>SUMIFS(INDEX(Table91517[],,MATCH(H$6,Table91517[#Headers],0)),Table91517[MainSpaceHeatingFuel],$B108,Table91517[EnergyRating (group)],$A108)</f>
        <v>95858</v>
      </c>
      <c r="I108" s="911">
        <f>AVERAGEIFS(INDEX(Table91517[],,MATCH(I$6,Table91517[#Headers],0)),Table91517[MainSpaceHeatingFuel],$B108,Table91517[EnergyRating (group)],$A108)</f>
        <v>100.54098360655738</v>
      </c>
      <c r="J108" s="849">
        <f>SUMIFS(INDEX(Table91517[],,MATCH(J$6,Table91517[#Headers],0)),Table91517[MainSpaceHeatingFuel],$B108,Table91517[EnergyRating (group)],$A108)</f>
        <v>41101214</v>
      </c>
      <c r="K108" s="849">
        <f>SUMIFS(INDEX(Table91517[],,MATCH(K$6,Table91517[#Headers],0)),Table91517[MainSpaceHeatingFuel],$B108,Table91517[EnergyRating (group)],$A108)</f>
        <v>17224779</v>
      </c>
      <c r="M108" s="840"/>
      <c r="N108" s="914" t="str">
        <f>RSD_Commodities!$M$34&amp;"_"&amp;RIGHT(P108,LEN(P108)-3)&amp;"_"&amp;SETUP!$B$67</f>
        <v>SH_Det-F_ELCD_X0</v>
      </c>
      <c r="O108" s="914" t="str">
        <f>RSD_Commodities!$N$34&amp;"_"&amp;RSD_Commodities!D27&amp;"_"&amp;SETUP!$C$67</f>
        <v>Residential Space Heating Detached-F_Electricity to Residential_Existing 00</v>
      </c>
      <c r="P108" s="915" t="str">
        <f>RSD_Commodities!$C$27</f>
        <v>RSDELCD</v>
      </c>
      <c r="Q108" s="930" t="str">
        <f>RSD_Commodities!$M$34</f>
        <v>SH_Det-F</v>
      </c>
      <c r="R108" s="1000">
        <f>G108/SUM($G$107:$G$121)</f>
        <v>7.0428664684122719E-2</v>
      </c>
      <c r="S108" s="932">
        <f>R108*DwellingStocks!$I$69/1000</f>
        <v>0.5641628908688886</v>
      </c>
      <c r="T108" s="914">
        <v>1</v>
      </c>
      <c r="U108" s="914">
        <f t="shared" si="31"/>
        <v>1.0054098360655737</v>
      </c>
      <c r="V108" s="930">
        <v>20</v>
      </c>
      <c r="W108" s="930">
        <v>1</v>
      </c>
      <c r="X108" s="840"/>
      <c r="Y108" s="928">
        <f t="shared" ref="Y108:Y121" si="63">ABS((D108+F108)*S108*1000*$B$2)</f>
        <v>3.1133709362931548E-3</v>
      </c>
      <c r="Z108" s="929">
        <f t="shared" ref="Z108:Z121" si="64">ABS((C108+E108)*S108*1000*$B$2)</f>
        <v>7.3123690245699702E-3</v>
      </c>
      <c r="AA108" s="840"/>
      <c r="AB108" s="914" t="s">
        <v>393</v>
      </c>
      <c r="AC108" s="914" t="str">
        <f t="shared" ref="AC108:AD121" si="65">N108</f>
        <v>SH_Det-F_ELCD_X0</v>
      </c>
      <c r="AD108" s="914" t="str">
        <f t="shared" si="65"/>
        <v>Residential Space Heating Detached-F_Electricity to Residential_Existing 00</v>
      </c>
      <c r="AE108" s="914" t="s">
        <v>53</v>
      </c>
      <c r="AF108" s="914" t="s">
        <v>406</v>
      </c>
      <c r="AG108" s="914"/>
      <c r="AH108" s="914"/>
      <c r="AI108" s="840"/>
      <c r="AJ108" s="840"/>
      <c r="AK108" s="840"/>
      <c r="AL108" s="840"/>
      <c r="AM108" s="840"/>
      <c r="AN108" s="840"/>
    </row>
    <row r="109" spans="1:40">
      <c r="A109" s="757" t="s">
        <v>122</v>
      </c>
      <c r="B109" s="757" t="s">
        <v>583</v>
      </c>
      <c r="C109" s="757">
        <f>SUMIFS(INDEX(Table91517[],,MATCH(C$6,Table91517[#Headers],0)),Table91517[MainSpaceHeatingFuel],$B109,Table91517[EnergyRating (group)],$A109)</f>
        <v>304188751</v>
      </c>
      <c r="D109" s="757">
        <f>SUMIFS(INDEX(Table91517[],,MATCH(D$6,Table91517[#Headers],0)),Table91517[MainSpaceHeatingFuel],$B109,Table91517[EnergyRating (group)],$A109)</f>
        <v>276535225</v>
      </c>
      <c r="E109" s="760">
        <f>SUMIFS(INDEX(Table91517[],,MATCH(E$6,Table91517[#Headers],0)),Table91517[MainSpaceHeatingFuel],$B109,Table91517[EnergyRating (group)],$A109)</f>
        <v>61164827</v>
      </c>
      <c r="F109" s="760">
        <f>SUMIFS(INDEX(Table91517[],,MATCH(F$6,Table91517[#Headers],0)),Table91517[MainSpaceHeatingFuel],$B109,Table91517[EnergyRating (group)],$A109)</f>
        <v>54244120</v>
      </c>
      <c r="G109" s="757">
        <f>SUMIFS(INDEX(Table91517[],,MATCH(G$6,Table91517[#Headers],0)),Table91517[MainSpaceHeatingFuel],$B109,Table91517[EnergyRating (group)],$A109)</f>
        <v>9268</v>
      </c>
      <c r="H109" s="757">
        <f>SUMIFS(INDEX(Table91517[],,MATCH(H$6,Table91517[#Headers],0)),Table91517[MainSpaceHeatingFuel],$B109,Table91517[EnergyRating (group)],$A109)</f>
        <v>1094077</v>
      </c>
      <c r="I109" s="912">
        <f>AVERAGEIFS(INDEX(Table91517[],,MATCH(I$6,Table91517[#Headers],0)),Table91517[MainSpaceHeatingFuel],$B109,Table91517[EnergyRating (group)],$A109)</f>
        <v>74.819277108433738</v>
      </c>
      <c r="J109" s="847">
        <f>SUMIFS(INDEX(Table91517[],,MATCH(J$6,Table91517[#Headers],0)),Table91517[MainSpaceHeatingFuel],$B109,Table91517[EnergyRating (group)],$A109)</f>
        <v>460222032</v>
      </c>
      <c r="K109" s="847">
        <f>SUMIFS(INDEX(Table91517[],,MATCH(K$6,Table91517[#Headers],0)),Table91517[MainSpaceHeatingFuel],$B109,Table91517[EnergyRating (group)],$A109)</f>
        <v>391819621</v>
      </c>
      <c r="M109" s="840"/>
      <c r="N109" s="933" t="str">
        <f>RSD_Commodities!$M$34&amp;"_"&amp;RIGHT(P109,LEN(P109)-3)&amp;"_"&amp;SETUP!$B$67</f>
        <v>SH_Det-F_OILKER_X0</v>
      </c>
      <c r="O109" s="933" t="str">
        <f>RSD_Commodities!$N$34&amp;"_"&amp;RSD_Commodities!D13&amp;"_"&amp;SETUP!$C$67</f>
        <v>Residential Space Heating Detached-F_Kerosene to Residential_Existing 00</v>
      </c>
      <c r="P109" s="934" t="str">
        <f>RSD_Commodities!$C$13</f>
        <v>RSDOILKER</v>
      </c>
      <c r="Q109" s="935" t="str">
        <f>RSD_Commodities!$M$34</f>
        <v>SH_Det-F</v>
      </c>
      <c r="R109" s="1001">
        <f>G109/SUM($G$107:$G$121)</f>
        <v>0.6722274606513382</v>
      </c>
      <c r="S109" s="937">
        <f>R109*DwellingStocks!$I$69/1000</f>
        <v>5.3848214959555705</v>
      </c>
      <c r="T109" s="933">
        <v>1</v>
      </c>
      <c r="U109" s="933">
        <f t="shared" si="31"/>
        <v>0.74819277108433735</v>
      </c>
      <c r="V109" s="935">
        <v>20</v>
      </c>
      <c r="W109" s="935">
        <v>1</v>
      </c>
      <c r="X109" s="840"/>
      <c r="Y109" s="926">
        <f t="shared" si="63"/>
        <v>0.73199495645511126</v>
      </c>
      <c r="Z109" s="927">
        <f t="shared" si="64"/>
        <v>0.80850567141315632</v>
      </c>
      <c r="AA109" s="840"/>
      <c r="AB109" s="933" t="s">
        <v>393</v>
      </c>
      <c r="AC109" s="933" t="str">
        <f t="shared" si="65"/>
        <v>SH_Det-F_OILKER_X0</v>
      </c>
      <c r="AD109" s="933" t="str">
        <f t="shared" si="65"/>
        <v>Residential Space Heating Detached-F_Kerosene to Residential_Existing 00</v>
      </c>
      <c r="AE109" s="933" t="s">
        <v>53</v>
      </c>
      <c r="AF109" s="933" t="s">
        <v>406</v>
      </c>
      <c r="AG109" s="933"/>
      <c r="AH109" s="933"/>
      <c r="AI109" s="840"/>
      <c r="AJ109" s="840"/>
      <c r="AK109" s="840"/>
      <c r="AL109" s="840"/>
      <c r="AM109" s="840"/>
      <c r="AN109" s="840"/>
    </row>
    <row r="110" spans="1:40">
      <c r="A110" s="758" t="s">
        <v>122</v>
      </c>
      <c r="B110" s="758" t="s">
        <v>584</v>
      </c>
      <c r="C110" s="758">
        <f>SUMIFS(INDEX(Table91517[],,MATCH(C$6,Table91517[#Headers],0)),Table91517[MainSpaceHeatingFuel],$B110,Table91517[EnergyRating (group)],$A110)</f>
        <v>37921740</v>
      </c>
      <c r="D110" s="758">
        <f>SUMIFS(INDEX(Table91517[],,MATCH(D$6,Table91517[#Headers],0)),Table91517[MainSpaceHeatingFuel],$B110,Table91517[EnergyRating (group)],$A110)</f>
        <v>34474308</v>
      </c>
      <c r="E110" s="759">
        <f>SUMIFS(INDEX(Table91517[],,MATCH(E$6,Table91517[#Headers],0)),Table91517[MainSpaceHeatingFuel],$B110,Table91517[EnergyRating (group)],$A110)</f>
        <v>9843628</v>
      </c>
      <c r="F110" s="759">
        <f>SUMIFS(INDEX(Table91517[],,MATCH(F$6,Table91517[#Headers],0)),Table91517[MainSpaceHeatingFuel],$B110,Table91517[EnergyRating (group)],$A110)</f>
        <v>8455177</v>
      </c>
      <c r="G110" s="758">
        <f>SUMIFS(INDEX(Table91517[],,MATCH(G$6,Table91517[#Headers],0)),Table91517[MainSpaceHeatingFuel],$B110,Table91517[EnergyRating (group)],$A110)</f>
        <v>1065</v>
      </c>
      <c r="H110" s="758">
        <f>SUMIFS(INDEX(Table91517[],,MATCH(H$6,Table91517[#Headers],0)),Table91517[MainSpaceHeatingFuel],$B110,Table91517[EnergyRating (group)],$A110)</f>
        <v>139815</v>
      </c>
      <c r="I110" s="911">
        <f>AVERAGEIFS(INDEX(Table91517[],,MATCH(I$6,Table91517[#Headers],0)),Table91517[MainSpaceHeatingFuel],$B110,Table91517[EnergyRating (group)],$A110)</f>
        <v>77.428571428571431</v>
      </c>
      <c r="J110" s="849">
        <f>SUMIFS(INDEX(Table91517[],,MATCH(J$6,Table91517[#Headers],0)),Table91517[MainSpaceHeatingFuel],$B110,Table91517[EnergyRating (group)],$A110)</f>
        <v>58974798</v>
      </c>
      <c r="K110" s="849">
        <f>SUMIFS(INDEX(Table91517[],,MATCH(K$6,Table91517[#Headers],0)),Table91517[MainSpaceHeatingFuel],$B110,Table91517[EnergyRating (group)],$A110)</f>
        <v>50259839</v>
      </c>
      <c r="M110" s="840"/>
      <c r="N110" s="914" t="str">
        <f>RSD_Commodities!$M$34&amp;"_"&amp;RIGHT(P110,LEN(P110)-3)&amp;"_"&amp;SETUP!$B$67</f>
        <v>SH_Det-F_GASNAT_X0</v>
      </c>
      <c r="O110" s="914" t="str">
        <f>RSD_Commodities!$N$34&amp;"_"&amp;RSD_Commodities!D17&amp;"_"&amp;SETUP!$C$67</f>
        <v>Residential Space Heating Detached-F_Natural Gas to Residential_Existing 00</v>
      </c>
      <c r="P110" s="915" t="str">
        <f>RSD_Commodities!$C$17</f>
        <v>RSDGASNAT</v>
      </c>
      <c r="Q110" s="930" t="str">
        <f>RSD_Commodities!$M$34</f>
        <v>SH_Det-F</v>
      </c>
      <c r="R110" s="1000">
        <f>G110/SUM($G$107:$G$121)</f>
        <v>7.7246681656633065E-2</v>
      </c>
      <c r="S110" s="932">
        <f>R110*DwellingStocks!$I$69/1000</f>
        <v>0.61877804199316822</v>
      </c>
      <c r="T110" s="914">
        <v>1</v>
      </c>
      <c r="U110" s="914">
        <f t="shared" si="31"/>
        <v>0.77428571428571435</v>
      </c>
      <c r="V110" s="930">
        <v>20</v>
      </c>
      <c r="W110" s="930">
        <v>1</v>
      </c>
      <c r="X110" s="840"/>
      <c r="Y110" s="928">
        <f t="shared" si="63"/>
        <v>1.0916639454277434E-2</v>
      </c>
      <c r="Z110" s="929">
        <f t="shared" si="64"/>
        <v>1.2146367487447863E-2</v>
      </c>
      <c r="AA110" s="840"/>
      <c r="AB110" s="914" t="s">
        <v>393</v>
      </c>
      <c r="AC110" s="914" t="str">
        <f t="shared" si="65"/>
        <v>SH_Det-F_GASNAT_X0</v>
      </c>
      <c r="AD110" s="914" t="str">
        <f t="shared" si="65"/>
        <v>Residential Space Heating Detached-F_Natural Gas to Residential_Existing 00</v>
      </c>
      <c r="AE110" s="914" t="s">
        <v>53</v>
      </c>
      <c r="AF110" s="914" t="s">
        <v>406</v>
      </c>
      <c r="AG110" s="914"/>
      <c r="AH110" s="914"/>
      <c r="AI110" s="840"/>
      <c r="AJ110" s="840"/>
      <c r="AK110" s="840"/>
      <c r="AL110" s="840"/>
      <c r="AM110" s="840"/>
      <c r="AN110" s="840"/>
    </row>
    <row r="111" spans="1:40">
      <c r="A111" s="757" t="s">
        <v>122</v>
      </c>
      <c r="B111" s="757" t="s">
        <v>585</v>
      </c>
      <c r="C111" s="757">
        <f>SUMIFS(INDEX(Table91517[],,MATCH(C$6,Table91517[#Headers],0)),Table91517[MainSpaceHeatingFuel],$B111,Table91517[EnergyRating (group)],$A111)</f>
        <v>650084</v>
      </c>
      <c r="D111" s="757">
        <f>SUMIFS(INDEX(Table91517[],,MATCH(D$6,Table91517[#Headers],0)),Table91517[MainSpaceHeatingFuel],$B111,Table91517[EnergyRating (group)],$A111)</f>
        <v>590985</v>
      </c>
      <c r="E111" s="757">
        <f>SUMIFS(INDEX(Table91517[],,MATCH(E$6,Table91517[#Headers],0)),Table91517[MainSpaceHeatingFuel],$B111,Table91517[EnergyRating (group)],$A111)</f>
        <v>128788</v>
      </c>
      <c r="F111" s="757">
        <f>SUMIFS(INDEX(Table91517[],,MATCH(F$6,Table91517[#Headers],0)),Table91517[MainSpaceHeatingFuel],$B111,Table91517[EnergyRating (group)],$A111)</f>
        <v>112041</v>
      </c>
      <c r="G111" s="757">
        <f>SUMIFS(INDEX(Table91517[],,MATCH(G$6,Table91517[#Headers],0)),Table91517[MainSpaceHeatingFuel],$B111,Table91517[EnergyRating (group)],$A111)</f>
        <v>16</v>
      </c>
      <c r="H111" s="757">
        <f>SUMIFS(INDEX(Table91517[],,MATCH(H$6,Table91517[#Headers],0)),Table91517[MainSpaceHeatingFuel],$B111,Table91517[EnergyRating (group)],$A111)</f>
        <v>2247</v>
      </c>
      <c r="I111" s="912">
        <f>AVERAGEIFS(INDEX(Table91517[],,MATCH(I$6,Table91517[#Headers],0)),Table91517[MainSpaceHeatingFuel],$B111,Table91517[EnergyRating (group)],$A111)</f>
        <v>69.307692307692307</v>
      </c>
      <c r="J111" s="847">
        <f>SUMIFS(INDEX(Table91517[],,MATCH(J$6,Table91517[#Headers],0)),Table91517[MainSpaceHeatingFuel],$B111,Table91517[EnergyRating (group)],$A111)</f>
        <v>935395</v>
      </c>
      <c r="K111" s="847">
        <f>SUMIFS(INDEX(Table91517[],,MATCH(K$6,Table91517[#Headers],0)),Table91517[MainSpaceHeatingFuel],$B111,Table91517[EnergyRating (group)],$A111)</f>
        <v>807256</v>
      </c>
      <c r="M111" s="840"/>
      <c r="N111" s="933" t="str">
        <f>RSD_Commodities!$M$34&amp;"_"&amp;RIGHT(P111,LEN(P111)-3)&amp;"_"&amp;SETUP!$B$67</f>
        <v>SH_Det-F_BIOWOO_X0</v>
      </c>
      <c r="O111" s="933" t="str">
        <f>RSD_Commodities!$N$34&amp;"_"&amp;RSD_Commodities!D19&amp;"_"&amp;SETUP!$C$67</f>
        <v>Residential Space Heating Detached-F_Biomass &amp; Renewable Waste to Residential_Existing 00</v>
      </c>
      <c r="P111" s="934" t="str">
        <f>RSD_Commodities!$C$19</f>
        <v>RSDBIOWOO</v>
      </c>
      <c r="Q111" s="935" t="str">
        <f>RSD_Commodities!$M$34</f>
        <v>SH_Det-F</v>
      </c>
      <c r="R111" s="1001">
        <f>G111/SUM($G$107:$G$121)</f>
        <v>1.1605135272358018E-3</v>
      </c>
      <c r="S111" s="937">
        <f>R111*DwellingStocks!$I$69/1000</f>
        <v>9.2961959360475972E-3</v>
      </c>
      <c r="T111" s="933">
        <v>1</v>
      </c>
      <c r="U111" s="933">
        <f t="shared" si="31"/>
        <v>0.69307692307692303</v>
      </c>
      <c r="V111" s="935">
        <v>20</v>
      </c>
      <c r="W111" s="935">
        <v>1</v>
      </c>
      <c r="X111" s="840"/>
      <c r="Y111" s="926">
        <f t="shared" si="63"/>
        <v>2.6858085386859447E-6</v>
      </c>
      <c r="Z111" s="927">
        <f t="shared" si="64"/>
        <v>2.975567145658054E-6</v>
      </c>
      <c r="AA111" s="840"/>
      <c r="AB111" s="933" t="s">
        <v>393</v>
      </c>
      <c r="AC111" s="933" t="str">
        <f t="shared" si="65"/>
        <v>SH_Det-F_BIOWOO_X0</v>
      </c>
      <c r="AD111" s="933" t="str">
        <f t="shared" si="65"/>
        <v>Residential Space Heating Detached-F_Biomass &amp; Renewable Waste to Residential_Existing 00</v>
      </c>
      <c r="AE111" s="933" t="s">
        <v>53</v>
      </c>
      <c r="AF111" s="933" t="s">
        <v>406</v>
      </c>
      <c r="AG111" s="933"/>
      <c r="AH111" s="933"/>
      <c r="AI111" s="840"/>
      <c r="AJ111" s="840"/>
      <c r="AK111" s="840"/>
      <c r="AL111" s="840"/>
      <c r="AM111" s="840"/>
      <c r="AN111" s="840"/>
    </row>
    <row r="112" spans="1:40">
      <c r="A112" s="758" t="s">
        <v>122</v>
      </c>
      <c r="B112" s="758" t="s">
        <v>587</v>
      </c>
      <c r="C112" s="758">
        <f>SUMIFS(INDEX(Table91517[],,MATCH(C$6,Table91517[#Headers],0)),Table91517[MainSpaceHeatingFuel],$B112,Table91517[EnergyRating (group)],$A112)</f>
        <v>0</v>
      </c>
      <c r="D112" s="758">
        <f>SUMIFS(INDEX(Table91517[],,MATCH(D$6,Table91517[#Headers],0)),Table91517[MainSpaceHeatingFuel],$B112,Table91517[EnergyRating (group)],$A112)</f>
        <v>0</v>
      </c>
      <c r="E112" s="759">
        <f>SUMIFS(INDEX(Table91517[],,MATCH(E$6,Table91517[#Headers],0)),Table91517[MainSpaceHeatingFuel],$B112,Table91517[EnergyRating (group)],$A112)</f>
        <v>0</v>
      </c>
      <c r="F112" s="759">
        <f>SUMIFS(INDEX(Table91517[],,MATCH(F$6,Table91517[#Headers],0)),Table91517[MainSpaceHeatingFuel],$B112,Table91517[EnergyRating (group)],$A112)</f>
        <v>0</v>
      </c>
      <c r="G112" s="758">
        <f>SUMIFS(INDEX(Table91517[],,MATCH(G$6,Table91517[#Headers],0)),Table91517[MainSpaceHeatingFuel],"",Table91517[EnergyRating (group)],$A112)</f>
        <v>11</v>
      </c>
      <c r="H112" s="758">
        <f>SUMIFS(INDEX(Table91517[],,MATCH(H$6,Table91517[#Headers],0)),Table91517[MainSpaceHeatingFuel],"",Table91517[EnergyRating (group)],$A112)</f>
        <v>1852</v>
      </c>
      <c r="I112" s="944">
        <f>SUMIFS(INDEX(Table91517[],,MATCH(I$6,Table91517[#Headers],0)),Table91517[MainSpaceHeatingFuel],"",Table91517[EnergyRating (group)],$A112)</f>
        <v>0</v>
      </c>
      <c r="J112" s="849">
        <f>SUMIFS(INDEX(Table91517[],,MATCH(J$6,Table91517[#Headers],0)),Table91517[MainSpaceHeatingFuel],"",Table91517[EnergyRating (group)],$A112)</f>
        <v>53075</v>
      </c>
      <c r="K112" s="849">
        <f>SUMIFS(INDEX(Table91517[],,MATCH(K$6,Table91517[#Headers],0)),Table91517[MainSpaceHeatingFuel],"",Table91517[EnergyRating (group)],$A112)</f>
        <v>19658</v>
      </c>
      <c r="M112" s="840"/>
      <c r="N112" s="914" t="str">
        <f>RSD_Commodities!$M$34&amp;"_"&amp;RIGHT(P112,LEN(P112)-3)&amp;"_"&amp;SETUP!$B$67</f>
        <v>SH_Det-F_HET_X0</v>
      </c>
      <c r="O112" s="914" t="str">
        <f>RSD_Commodities!$N$34&amp;"_"&amp;RSD_Commodities!D28&amp;"_"&amp;SETUP!$C$67</f>
        <v>Residential Space Heating Detached-F_Heat to Residential_Existing 00</v>
      </c>
      <c r="P112" s="915" t="str">
        <f>RSD_Commodities!$C$28</f>
        <v>RSDHET</v>
      </c>
      <c r="Q112" s="930" t="str">
        <f>RSD_Commodities!$M$34</f>
        <v>SH_Det-F</v>
      </c>
      <c r="R112" s="1000">
        <f>G112/SUM($G$107:$G$121)</f>
        <v>7.9785304997461381E-4</v>
      </c>
      <c r="S112" s="932">
        <f>R112*DwellingStocks!$I$69/1000</f>
        <v>6.3911347060327242E-3</v>
      </c>
      <c r="T112" s="914">
        <v>1</v>
      </c>
      <c r="U112" s="917">
        <f>IF(I112=0, 1, I112)</f>
        <v>1</v>
      </c>
      <c r="V112" s="930">
        <v>20</v>
      </c>
      <c r="W112" s="930">
        <v>1</v>
      </c>
      <c r="X112" s="840"/>
      <c r="Y112" s="928">
        <f t="shared" si="63"/>
        <v>0</v>
      </c>
      <c r="Z112" s="929">
        <f t="shared" si="64"/>
        <v>0</v>
      </c>
      <c r="AA112" s="840"/>
      <c r="AB112" s="914" t="s">
        <v>393</v>
      </c>
      <c r="AC112" s="914" t="str">
        <f t="shared" si="65"/>
        <v>SH_Det-F_HET_X0</v>
      </c>
      <c r="AD112" s="914" t="str">
        <f t="shared" si="65"/>
        <v>Residential Space Heating Detached-F_Heat to Residential_Existing 00</v>
      </c>
      <c r="AE112" s="914" t="s">
        <v>53</v>
      </c>
      <c r="AF112" s="914" t="s">
        <v>406</v>
      </c>
      <c r="AG112" s="914"/>
      <c r="AH112" s="914"/>
      <c r="AI112" s="840"/>
      <c r="AJ112" s="840"/>
      <c r="AK112" s="840"/>
      <c r="AL112" s="840"/>
      <c r="AM112" s="840"/>
      <c r="AN112" s="840"/>
    </row>
    <row r="113" spans="1:40">
      <c r="A113" s="757" t="s">
        <v>122</v>
      </c>
      <c r="B113" s="757" t="s">
        <v>664</v>
      </c>
      <c r="C113" s="757">
        <f>SUMIFS(INDEX(Table91517[],,MATCH(C$6,Table91517[#Headers],0)),Table91517[MainSpaceHeatingFuel],$B113,Table91517[EnergyRating (group)],$A113)</f>
        <v>823579</v>
      </c>
      <c r="D113" s="757">
        <f>SUMIFS(INDEX(Table91517[],,MATCH(D$6,Table91517[#Headers],0)),Table91517[MainSpaceHeatingFuel],$B113,Table91517[EnergyRating (group)],$A113)</f>
        <v>748708</v>
      </c>
      <c r="E113" s="760">
        <f>SUMIFS(INDEX(Table91517[],,MATCH(E$6,Table91517[#Headers],0)),Table91517[MainSpaceHeatingFuel],$B113,Table91517[EnergyRating (group)],$A113)</f>
        <v>143088</v>
      </c>
      <c r="F113" s="760">
        <f>SUMIFS(INDEX(Table91517[],,MATCH(F$6,Table91517[#Headers],0)),Table91517[MainSpaceHeatingFuel],$B113,Table91517[EnergyRating (group)],$A113)</f>
        <v>135967</v>
      </c>
      <c r="G113" s="757">
        <f>SUMIFS(INDEX(Table91517[],,MATCH(G$6,Table91517[#Headers],0)),Table91517[MainSpaceHeatingFuel],$B113,Table91517[EnergyRating (group)],$A113)</f>
        <v>28</v>
      </c>
      <c r="H113" s="757">
        <f>SUMIFS(INDEX(Table91517[],,MATCH(H$6,Table91517[#Headers],0)),Table91517[MainSpaceHeatingFuel],$B113,Table91517[EnergyRating (group)],$A113)</f>
        <v>2892</v>
      </c>
      <c r="I113" s="912">
        <f>AVERAGEIFS(INDEX(Table91517[],,MATCH(I$6,Table91517[#Headers],0)),Table91517[MainSpaceHeatingFuel],$B113,Table91517[EnergyRating (group)],$A113)</f>
        <v>75.764705882352942</v>
      </c>
      <c r="J113" s="847">
        <f>SUMIFS(INDEX(Table91517[],,MATCH(J$6,Table91517[#Headers],0)),Table91517[MainSpaceHeatingFuel],$B113,Table91517[EnergyRating (group)],$A113)</f>
        <v>1228634</v>
      </c>
      <c r="K113" s="847">
        <f>SUMIFS(INDEX(Table91517[],,MATCH(K$6,Table91517[#Headers],0)),Table91517[MainSpaceHeatingFuel],$B113,Table91517[EnergyRating (group)],$A113)</f>
        <v>1063671</v>
      </c>
      <c r="M113" s="840"/>
      <c r="N113" s="935" t="str">
        <f>RSD_Commodities!$M$34&amp;"_"&amp;RIGHT(P113,LEN(P113)-3)&amp;"_"&amp;SETUP!$B$68</f>
        <v>SH_Det-F_OILLPG_X1</v>
      </c>
      <c r="O113" s="935" t="str">
        <f>RSD_Commodities!$N$34&amp;"_"&amp;RSD_Commodities!D11&amp;"_"&amp;SETUP!$C$68</f>
        <v>Residential Space Heating Detached-F_LPG to Residential_Existing 01</v>
      </c>
      <c r="P113" s="935" t="str">
        <f>RSD_Commodities!$C$11</f>
        <v>RSDOILLPG</v>
      </c>
      <c r="Q113" s="935" t="str">
        <f>RSD_Commodities!$M$34</f>
        <v>SH_Det-F</v>
      </c>
      <c r="R113" s="1001">
        <f>G113/SUM($G$107:$G$121)</f>
        <v>2.0308986726626532E-3</v>
      </c>
      <c r="S113" s="937">
        <f>R113*DwellingStocks!$I$69/1000</f>
        <v>1.6268342888083296E-2</v>
      </c>
      <c r="T113" s="933">
        <v>1</v>
      </c>
      <c r="U113" s="933">
        <f t="shared" si="31"/>
        <v>0.75764705882352945</v>
      </c>
      <c r="V113" s="935">
        <v>20</v>
      </c>
      <c r="W113" s="935">
        <v>1</v>
      </c>
      <c r="X113" s="840"/>
      <c r="Y113" s="926">
        <f t="shared" si="63"/>
        <v>5.9146011963760646E-6</v>
      </c>
      <c r="Z113" s="927">
        <f t="shared" si="64"/>
        <v>6.4627685813403366E-6</v>
      </c>
      <c r="AA113" s="840"/>
      <c r="AB113" s="933" t="s">
        <v>393</v>
      </c>
      <c r="AC113" s="933" t="str">
        <f t="shared" si="65"/>
        <v>SH_Det-F_OILLPG_X1</v>
      </c>
      <c r="AD113" s="933" t="str">
        <f t="shared" si="65"/>
        <v>Residential Space Heating Detached-F_LPG to Residential_Existing 01</v>
      </c>
      <c r="AE113" s="933" t="s">
        <v>53</v>
      </c>
      <c r="AF113" s="933" t="s">
        <v>406</v>
      </c>
      <c r="AG113" s="933"/>
      <c r="AH113" s="933"/>
      <c r="AI113" s="840"/>
      <c r="AJ113" s="840"/>
      <c r="AK113" s="840"/>
      <c r="AL113" s="840"/>
      <c r="AM113" s="840"/>
      <c r="AN113" s="840"/>
    </row>
    <row r="114" spans="1:40">
      <c r="A114" s="758" t="s">
        <v>122</v>
      </c>
      <c r="B114" s="758" t="s">
        <v>665</v>
      </c>
      <c r="C114" s="758">
        <f>SUMIFS(INDEX(Table91517[],,MATCH(C$6,Table91517[#Headers],0)),Table91517[MainSpaceHeatingFuel],$B114,Table91517[EnergyRating (group)],$A114)</f>
        <v>48859224</v>
      </c>
      <c r="D114" s="758">
        <f>SUMIFS(INDEX(Table91517[],,MATCH(D$6,Table91517[#Headers],0)),Table91517[MainSpaceHeatingFuel],$B114,Table91517[EnergyRating (group)],$A114)</f>
        <v>44417478</v>
      </c>
      <c r="E114" s="759">
        <f>SUMIFS(INDEX(Table91517[],,MATCH(E$6,Table91517[#Headers],0)),Table91517[MainSpaceHeatingFuel],$B114,Table91517[EnergyRating (group)],$A114)</f>
        <v>6906481</v>
      </c>
      <c r="F114" s="759">
        <f>SUMIFS(INDEX(Table91517[],,MATCH(F$6,Table91517[#Headers],0)),Table91517[MainSpaceHeatingFuel],$B114,Table91517[EnergyRating (group)],$A114)</f>
        <v>5801498</v>
      </c>
      <c r="G114" s="758">
        <f>SUMIFS(INDEX(Table91517[],,MATCH(G$6,Table91517[#Headers],0)),Table91517[MainSpaceHeatingFuel],$B114,Table91517[EnergyRating (group)],$A114)</f>
        <v>1838</v>
      </c>
      <c r="H114" s="758">
        <f>SUMIFS(INDEX(Table91517[],,MATCH(H$6,Table91517[#Headers],0)),Table91517[MainSpaceHeatingFuel],$B114,Table91517[EnergyRating (group)],$A114)</f>
        <v>179761</v>
      </c>
      <c r="I114" s="911">
        <f>AVERAGEIFS(INDEX(Table91517[],,MATCH(I$6,Table91517[#Headers],0)),Table91517[MainSpaceHeatingFuel],$B114,Table91517[EnergyRating (group)],$A114)</f>
        <v>54.113207547169814</v>
      </c>
      <c r="J114" s="849">
        <f>SUMIFS(INDEX(Table91517[],,MATCH(J$6,Table91517[#Headers],0)),Table91517[MainSpaceHeatingFuel],$B114,Table91517[EnergyRating (group)],$A114)</f>
        <v>75486337</v>
      </c>
      <c r="K114" s="849">
        <f>SUMIFS(INDEX(Table91517[],,MATCH(K$6,Table91517[#Headers],0)),Table91517[MainSpaceHeatingFuel],$B114,Table91517[EnergyRating (group)],$A114)</f>
        <v>63395425</v>
      </c>
      <c r="M114" s="840"/>
      <c r="N114" s="914" t="str">
        <f>RSD_Commodities!$M$34&amp;"_"&amp;RSD_Commodities!$C$26&amp;"_"&amp;SETUP!$B$67</f>
        <v>SH_Det-F_RSDSMF_X0</v>
      </c>
      <c r="O114" s="914" t="str">
        <f>RSD_Commodities!$N$34&amp;"_"&amp;RSD_Commodities!$D$26&amp;"_"&amp;SETUP!$C$67</f>
        <v>Residential Space Heating Detached-F_Solid Multi-Fuel_Existing 00</v>
      </c>
      <c r="P114" s="930" t="str">
        <f>RSD_Commodities!$C$6&amp;","&amp;RSD_Commodities!$C$7&amp;","&amp;RSD_Commodities!$C$9&amp;","&amp;RSD_Commodities!$C$10&amp;","&amp;RSD_Commodities!$C$19</f>
        <v>RSDCOABIT,RSDCOAHAR,RSDCOALIG,RSDPEA,RSDBIOWOO</v>
      </c>
      <c r="Q114" s="930" t="str">
        <f>RSD_Commodities!$M$34</f>
        <v>SH_Det-F</v>
      </c>
      <c r="R114" s="1000">
        <f>G114/SUM($G$107:$G$121)</f>
        <v>0.13331399144121273</v>
      </c>
      <c r="S114" s="932">
        <f>R114*DwellingStocks!$I$69/1000</f>
        <v>1.0679005081534676</v>
      </c>
      <c r="T114" s="914">
        <v>1</v>
      </c>
      <c r="U114" s="914">
        <f t="shared" si="31"/>
        <v>0.54113207547169817</v>
      </c>
      <c r="V114" s="930">
        <v>20</v>
      </c>
      <c r="W114" s="930">
        <v>1</v>
      </c>
      <c r="X114" s="840"/>
      <c r="Y114" s="928">
        <f t="shared" si="63"/>
        <v>2.2039261639457589E-2</v>
      </c>
      <c r="Z114" s="929">
        <f t="shared" si="64"/>
        <v>2.4473517002891663E-2</v>
      </c>
      <c r="AA114" s="840"/>
      <c r="AB114" s="914" t="s">
        <v>393</v>
      </c>
      <c r="AC114" s="914" t="str">
        <f t="shared" si="65"/>
        <v>SH_Det-F_RSDSMF_X0</v>
      </c>
      <c r="AD114" s="914" t="str">
        <f t="shared" si="65"/>
        <v>Residential Space Heating Detached-F_Solid Multi-Fuel_Existing 00</v>
      </c>
      <c r="AE114" s="914" t="s">
        <v>53</v>
      </c>
      <c r="AF114" s="914" t="s">
        <v>406</v>
      </c>
      <c r="AG114" s="914"/>
      <c r="AH114" s="914"/>
      <c r="AI114" s="840"/>
      <c r="AJ114" s="840"/>
      <c r="AK114" s="840"/>
      <c r="AL114" s="840"/>
      <c r="AM114" s="840"/>
      <c r="AN114" s="840"/>
    </row>
    <row r="115" spans="1:40">
      <c r="A115" s="757" t="s">
        <v>122</v>
      </c>
      <c r="B115" s="757" t="s">
        <v>669</v>
      </c>
      <c r="C115" s="757">
        <f>SUMIFS(INDEX(Table91517[],,MATCH(C$6,Table91517[#Headers],0)),Table91517[MainSpaceHeatingFuel],$B115,Table91517[EnergyRating (group)],$A115)</f>
        <v>3020097</v>
      </c>
      <c r="D115" s="757">
        <f>SUMIFS(INDEX(Table91517[],,MATCH(D$6,Table91517[#Headers],0)),Table91517[MainSpaceHeatingFuel],$B115,Table91517[EnergyRating (group)],$A115)</f>
        <v>2516747</v>
      </c>
      <c r="E115" s="757">
        <f>SUMIFS(INDEX(Table91517[],,MATCH(E$6,Table91517[#Headers],0)),Table91517[MainSpaceHeatingFuel],$B115,Table91517[EnergyRating (group)],$A115)</f>
        <v>314109</v>
      </c>
      <c r="F115" s="757">
        <f>SUMIFS(INDEX(Table91517[],,MATCH(F$6,Table91517[#Headers],0)),Table91517[MainSpaceHeatingFuel],$B115,Table91517[EnergyRating (group)],$A115)</f>
        <v>254630</v>
      </c>
      <c r="G115" s="757">
        <f>SUMIFS(INDEX(Table91517[],,MATCH(G$6,Table91517[#Headers],0)),Table91517[MainSpaceHeatingFuel],$B115,Table91517[EnergyRating (group)],$A115)</f>
        <v>116</v>
      </c>
      <c r="H115" s="757">
        <f>SUMIFS(INDEX(Table91517[],,MATCH(H$6,Table91517[#Headers],0)),Table91517[MainSpaceHeatingFuel],$B115,Table91517[EnergyRating (group)],$A115)</f>
        <v>10895</v>
      </c>
      <c r="I115" s="912">
        <f>AVERAGEIFS(INDEX(Table91517[],,MATCH(I$6,Table91517[#Headers],0)),Table91517[MainSpaceHeatingFuel],$B115,Table91517[EnergyRating (group)],$A115)</f>
        <v>56.28</v>
      </c>
      <c r="J115" s="847">
        <f>SUMIFS(INDEX(Table91517[],,MATCH(J$6,Table91517[#Headers],0)),Table91517[MainSpaceHeatingFuel],$B115,Table91517[EnergyRating (group)],$A115)</f>
        <v>4523604</v>
      </c>
      <c r="K115" s="847">
        <f>SUMIFS(INDEX(Table91517[],,MATCH(K$6,Table91517[#Headers],0)),Table91517[MainSpaceHeatingFuel],$B115,Table91517[EnergyRating (group)],$A115)</f>
        <v>3526060</v>
      </c>
      <c r="M115" s="840"/>
      <c r="N115" s="933" t="str">
        <f>RSD_Commodities!$M$34&amp;"_"&amp;RIGHT(P115,LEN(P115)-3)&amp;"_"&amp;SETUP!$B$67</f>
        <v>SH_Det-F_COAHAR_X0</v>
      </c>
      <c r="O115" s="933" t="str">
        <f>RSD_Commodities!$N$34&amp;"_"&amp;RSD_Commodities!D7&amp;"_"&amp;SETUP!$C$67</f>
        <v>Residential Space Heating Detached-F_Anthracite + Manufactured Ovoids to Residential_Existing 00</v>
      </c>
      <c r="P115" s="935" t="str">
        <f>RSD_Commodities!$C$7</f>
        <v>RSDCOAHAR</v>
      </c>
      <c r="Q115" s="935" t="str">
        <f>RSD_Commodities!$M$34</f>
        <v>SH_Det-F</v>
      </c>
      <c r="R115" s="1001">
        <f>G115/SUM($G$107:$G$121)</f>
        <v>8.4137230724595641E-3</v>
      </c>
      <c r="S115" s="937">
        <f>R115*DwellingStocks!$I$69/1000</f>
        <v>6.7397420536345093E-2</v>
      </c>
      <c r="T115" s="933">
        <v>1</v>
      </c>
      <c r="U115" s="933">
        <f t="shared" si="31"/>
        <v>0.56279999999999997</v>
      </c>
      <c r="V115" s="935">
        <v>20</v>
      </c>
      <c r="W115" s="935">
        <v>1</v>
      </c>
      <c r="X115" s="840"/>
      <c r="Y115" s="926">
        <f t="shared" si="63"/>
        <v>7.6760408685104574E-5</v>
      </c>
      <c r="Z115" s="927">
        <f t="shared" si="64"/>
        <v>9.2349404357591132E-5</v>
      </c>
      <c r="AA115" s="840"/>
      <c r="AB115" s="933" t="s">
        <v>393</v>
      </c>
      <c r="AC115" s="933" t="str">
        <f t="shared" si="65"/>
        <v>SH_Det-F_COAHAR_X0</v>
      </c>
      <c r="AD115" s="933" t="str">
        <f t="shared" si="65"/>
        <v>Residential Space Heating Detached-F_Anthracite + Manufactured Ovoids to Residential_Existing 00</v>
      </c>
      <c r="AE115" s="933" t="s">
        <v>53</v>
      </c>
      <c r="AF115" s="933" t="s">
        <v>406</v>
      </c>
      <c r="AG115" s="933"/>
      <c r="AH115" s="933"/>
      <c r="AI115" s="840"/>
      <c r="AJ115" s="840"/>
      <c r="AK115" s="840"/>
      <c r="AL115" s="840"/>
      <c r="AM115" s="840"/>
      <c r="AN115" s="840"/>
    </row>
    <row r="116" spans="1:40">
      <c r="A116" s="758" t="s">
        <v>122</v>
      </c>
      <c r="B116" s="758" t="s">
        <v>666</v>
      </c>
      <c r="C116" s="758">
        <f>SUMIFS(INDEX(Table91517[],,MATCH(C$6,Table91517[#Headers],0)),Table91517[MainSpaceHeatingFuel],$B116,Table91517[EnergyRating (group)],$A116)</f>
        <v>4208351</v>
      </c>
      <c r="D116" s="758">
        <f>SUMIFS(INDEX(Table91517[],,MATCH(D$6,Table91517[#Headers],0)),Table91517[MainSpaceHeatingFuel],$B116,Table91517[EnergyRating (group)],$A116)</f>
        <v>3825775</v>
      </c>
      <c r="E116" s="759">
        <f>SUMIFS(INDEX(Table91517[],,MATCH(E$6,Table91517[#Headers],0)),Table91517[MainSpaceHeatingFuel],$B116,Table91517[EnergyRating (group)],$A116)</f>
        <v>571784</v>
      </c>
      <c r="F116" s="759">
        <f>SUMIFS(INDEX(Table91517[],,MATCH(F$6,Table91517[#Headers],0)),Table91517[MainSpaceHeatingFuel],$B116,Table91517[EnergyRating (group)],$A116)</f>
        <v>486460</v>
      </c>
      <c r="G116" s="758">
        <f>SUMIFS(INDEX(Table91517[],,MATCH(G$6,Table91517[#Headers],0)),Table91517[MainSpaceHeatingFuel],$B116,Table91517[EnergyRating (group)],$A116)</f>
        <v>159</v>
      </c>
      <c r="H116" s="758">
        <f>SUMIFS(INDEX(Table91517[],,MATCH(H$6,Table91517[#Headers],0)),Table91517[MainSpaceHeatingFuel],$B116,Table91517[EnergyRating (group)],$A116)</f>
        <v>15094</v>
      </c>
      <c r="I116" s="911">
        <f>AVERAGEIFS(INDEX(Table91517[],,MATCH(I$6,Table91517[#Headers],0)),Table91517[MainSpaceHeatingFuel],$B116,Table91517[EnergyRating (group)],$A116)</f>
        <v>57.722222222222221</v>
      </c>
      <c r="J116" s="849">
        <f>SUMIFS(INDEX(Table91517[],,MATCH(J$6,Table91517[#Headers],0)),Table91517[MainSpaceHeatingFuel],$B116,Table91517[EnergyRating (group)],$A116)</f>
        <v>6462047</v>
      </c>
      <c r="K116" s="849">
        <f>SUMIFS(INDEX(Table91517[],,MATCH(K$6,Table91517[#Headers],0)),Table91517[MainSpaceHeatingFuel],$B116,Table91517[EnergyRating (group)],$A116)</f>
        <v>5422348</v>
      </c>
      <c r="M116" s="840"/>
      <c r="N116" s="914" t="str">
        <f>RSD_Commodities!$M$34&amp;"_"&amp;RIGHT(P116,LEN(P116)-3)&amp;"_"&amp;SETUP!$B$67</f>
        <v>SH_Det-F_COABIT_X0</v>
      </c>
      <c r="O116" s="914" t="str">
        <f>RSD_Commodities!$N$34&amp;"_"&amp;RSD_Commodities!D6&amp;"_"&amp;SETUP!$C$67</f>
        <v>Residential Space Heating Detached-F_Bituminous Coal to Residential_Existing 00</v>
      </c>
      <c r="P116" s="930" t="str">
        <f>RSD_Commodities!$C$6</f>
        <v>RSDCOABIT</v>
      </c>
      <c r="Q116" s="930" t="str">
        <f>RSD_Commodities!$M$34</f>
        <v>SH_Det-F</v>
      </c>
      <c r="R116" s="1000">
        <f>G116/SUM($G$107:$G$121)</f>
        <v>1.1532603176905781E-2</v>
      </c>
      <c r="S116" s="932">
        <f>R116*DwellingStocks!$I$69/1000</f>
        <v>9.2380947114473005E-2</v>
      </c>
      <c r="T116" s="914">
        <v>1</v>
      </c>
      <c r="U116" s="914">
        <f t="shared" si="31"/>
        <v>0.57722222222222219</v>
      </c>
      <c r="V116" s="930">
        <v>20</v>
      </c>
      <c r="W116" s="930">
        <v>1</v>
      </c>
      <c r="X116" s="840"/>
      <c r="Y116" s="928">
        <f t="shared" si="63"/>
        <v>1.6371302197815599E-4</v>
      </c>
      <c r="Z116" s="929">
        <f t="shared" si="64"/>
        <v>1.8147673916508555E-4</v>
      </c>
      <c r="AA116" s="840"/>
      <c r="AB116" s="914" t="s">
        <v>393</v>
      </c>
      <c r="AC116" s="914" t="str">
        <f t="shared" si="65"/>
        <v>SH_Det-F_COABIT_X0</v>
      </c>
      <c r="AD116" s="914" t="str">
        <f t="shared" si="65"/>
        <v>Residential Space Heating Detached-F_Bituminous Coal to Residential_Existing 00</v>
      </c>
      <c r="AE116" s="914" t="s">
        <v>53</v>
      </c>
      <c r="AF116" s="914" t="s">
        <v>406</v>
      </c>
      <c r="AG116" s="914"/>
      <c r="AH116" s="914"/>
      <c r="AI116" s="840"/>
      <c r="AJ116" s="840"/>
      <c r="AK116" s="840"/>
      <c r="AL116" s="840"/>
      <c r="AM116" s="840"/>
      <c r="AN116" s="840"/>
    </row>
    <row r="117" spans="1:40">
      <c r="A117" s="757" t="s">
        <v>122</v>
      </c>
      <c r="B117" s="757" t="s">
        <v>667</v>
      </c>
      <c r="C117" s="757">
        <f>SUMIFS(INDEX(Table91517[],,MATCH(C$6,Table91517[#Headers],0)),Table91517[MainSpaceHeatingFuel],$B117,Table91517[EnergyRating (group)],$A117)</f>
        <v>665229</v>
      </c>
      <c r="D117" s="757">
        <f>SUMIFS(INDEX(Table91517[],,MATCH(D$6,Table91517[#Headers],0)),Table91517[MainSpaceHeatingFuel],$B117,Table91517[EnergyRating (group)],$A117)</f>
        <v>604755</v>
      </c>
      <c r="E117" s="760">
        <f>SUMIFS(INDEX(Table91517[],,MATCH(E$6,Table91517[#Headers],0)),Table91517[MainSpaceHeatingFuel],$B117,Table91517[EnergyRating (group)],$A117)</f>
        <v>101289</v>
      </c>
      <c r="F117" s="760">
        <f>SUMIFS(INDEX(Table91517[],,MATCH(F$6,Table91517[#Headers],0)),Table91517[MainSpaceHeatingFuel],$B117,Table91517[EnergyRating (group)],$A117)</f>
        <v>91566</v>
      </c>
      <c r="G117" s="757">
        <f>SUMIFS(INDEX(Table91517[],,MATCH(G$6,Table91517[#Headers],0)),Table91517[MainSpaceHeatingFuel],$B117,Table91517[EnergyRating (group)],$A117)</f>
        <v>21</v>
      </c>
      <c r="H117" s="757">
        <f>SUMIFS(INDEX(Table91517[],,MATCH(H$6,Table91517[#Headers],0)),Table91517[MainSpaceHeatingFuel],$B117,Table91517[EnergyRating (group)],$A117)</f>
        <v>2297</v>
      </c>
      <c r="I117" s="912">
        <f>AVERAGEIFS(INDEX(Table91517[],,MATCH(I$6,Table91517[#Headers],0)),Table91517[MainSpaceHeatingFuel],$B117,Table91517[EnergyRating (group)],$A117)</f>
        <v>56.692307692307693</v>
      </c>
      <c r="J117" s="847">
        <f>SUMIFS(INDEX(Table91517[],,MATCH(J$6,Table91517[#Headers],0)),Table91517[MainSpaceHeatingFuel],$B117,Table91517[EnergyRating (group)],$A117)</f>
        <v>1003060</v>
      </c>
      <c r="K117" s="847">
        <f>SUMIFS(INDEX(Table91517[],,MATCH(K$6,Table91517[#Headers],0)),Table91517[MainSpaceHeatingFuel],$B117,Table91517[EnergyRating (group)],$A117)</f>
        <v>860806</v>
      </c>
      <c r="M117" s="840"/>
      <c r="N117" s="840" t="str">
        <f>RSD_Commodities!$M$34&amp;"_"&amp;RIGHT(P117,LEN(P117)-3)&amp;"_"&amp;SETUP!$B$68</f>
        <v>SH_Det-F_PEA_X1</v>
      </c>
      <c r="O117" s="840" t="str">
        <f>RSD_Commodities!$N$34&amp;"_"&amp;RSD_Commodities!D10&amp;"_"&amp;SETUP!$C$68</f>
        <v>Residential Space Heating Detached-F_Peat to Residential_Existing 01</v>
      </c>
      <c r="P117" s="935" t="str">
        <f>RSD_Commodities!$C$10</f>
        <v>RSDPEA</v>
      </c>
      <c r="Q117" s="935" t="str">
        <f>RSD_Commodities!$M$34</f>
        <v>SH_Det-F</v>
      </c>
      <c r="R117" s="1001">
        <f>G117/SUM($G$107:$G$121)</f>
        <v>1.52317400449699E-3</v>
      </c>
      <c r="S117" s="937">
        <f>R117*DwellingStocks!$I$69/1000</f>
        <v>1.2201257166062473E-2</v>
      </c>
      <c r="T117" s="933">
        <v>1</v>
      </c>
      <c r="U117" s="933">
        <f t="shared" si="31"/>
        <v>0.56692307692307697</v>
      </c>
      <c r="V117" s="935">
        <v>20</v>
      </c>
      <c r="W117" s="935">
        <v>1</v>
      </c>
      <c r="X117" s="840"/>
      <c r="Y117" s="926">
        <f t="shared" si="63"/>
        <v>3.4915033936149818E-6</v>
      </c>
      <c r="Z117" s="927">
        <f t="shared" si="64"/>
        <v>3.843486263184607E-6</v>
      </c>
      <c r="AA117" s="840"/>
      <c r="AB117" s="933" t="s">
        <v>393</v>
      </c>
      <c r="AC117" s="933" t="str">
        <f t="shared" si="65"/>
        <v>SH_Det-F_PEA_X1</v>
      </c>
      <c r="AD117" s="933" t="str">
        <f t="shared" si="65"/>
        <v>Residential Space Heating Detached-F_Peat to Residential_Existing 01</v>
      </c>
      <c r="AE117" s="933" t="s">
        <v>53</v>
      </c>
      <c r="AF117" s="933" t="s">
        <v>406</v>
      </c>
      <c r="AG117" s="933"/>
      <c r="AH117" s="933"/>
      <c r="AI117" s="840"/>
      <c r="AJ117" s="840"/>
      <c r="AK117" s="840"/>
      <c r="AL117" s="840"/>
      <c r="AM117" s="840"/>
      <c r="AN117" s="840"/>
    </row>
    <row r="118" spans="1:40">
      <c r="A118" s="758" t="s">
        <v>122</v>
      </c>
      <c r="B118" s="758" t="s">
        <v>671</v>
      </c>
      <c r="C118" s="758">
        <f>SUMIFS(INDEX(Table91517[],,MATCH(C$6,Table91517[#Headers],0)),Table91517[MainSpaceHeatingFuel],$B118,Table91517[EnergyRating (group)],$A118)</f>
        <v>3266127</v>
      </c>
      <c r="D118" s="758">
        <f>SUMIFS(INDEX(Table91517[],,MATCH(D$6,Table91517[#Headers],0)),Table91517[MainSpaceHeatingFuel],$B118,Table91517[EnergyRating (group)],$A118)</f>
        <v>2969205</v>
      </c>
      <c r="E118" s="759">
        <f>SUMIFS(INDEX(Table91517[],,MATCH(E$6,Table91517[#Headers],0)),Table91517[MainSpaceHeatingFuel],$B118,Table91517[EnergyRating (group)],$A118)</f>
        <v>471550</v>
      </c>
      <c r="F118" s="759">
        <f>SUMIFS(INDEX(Table91517[],,MATCH(F$6,Table91517[#Headers],0)),Table91517[MainSpaceHeatingFuel],$B118,Table91517[EnergyRating (group)],$A118)</f>
        <v>413917</v>
      </c>
      <c r="G118" s="758">
        <f>SUMIFS(INDEX(Table91517[],,MATCH(G$6,Table91517[#Headers],0)),Table91517[MainSpaceHeatingFuel],$B118,Table91517[EnergyRating (group)],$A118)</f>
        <v>115</v>
      </c>
      <c r="H118" s="758">
        <f>SUMIFS(INDEX(Table91517[],,MATCH(H$6,Table91517[#Headers],0)),Table91517[MainSpaceHeatingFuel],$B118,Table91517[EnergyRating (group)],$A118)</f>
        <v>11939</v>
      </c>
      <c r="I118" s="911">
        <f>AVERAGEIFS(INDEX(Table91517[],,MATCH(I$6,Table91517[#Headers],0)),Table91517[MainSpaceHeatingFuel],$B118,Table91517[EnergyRating (group)],$A118)</f>
        <v>50.238095238095241</v>
      </c>
      <c r="J118" s="849">
        <f>SUMIFS(INDEX(Table91517[],,MATCH(J$6,Table91517[#Headers],0)),Table91517[MainSpaceHeatingFuel],$B118,Table91517[EnergyRating (group)],$A118)</f>
        <v>4995134</v>
      </c>
      <c r="K118" s="849">
        <f>SUMIFS(INDEX(Table91517[],,MATCH(K$6,Table91517[#Headers],0)),Table91517[MainSpaceHeatingFuel],$B118,Table91517[EnergyRating (group)],$A118)</f>
        <v>4240335</v>
      </c>
      <c r="M118" s="840"/>
      <c r="N118" s="914" t="str">
        <f>RSD_Commodities!$M$34&amp;"_"&amp;RIGHT(P118,LEN(P118)-3)&amp;"_"&amp;SETUP!$B$67</f>
        <v>SH_Det-F_PEA_X0</v>
      </c>
      <c r="O118" s="914" t="str">
        <f>RSD_Commodities!$N$34&amp;"_"&amp;RSD_Commodities!D10&amp;"_"&amp;SETUP!$C$67</f>
        <v>Residential Space Heating Detached-F_Peat to Residential_Existing 00</v>
      </c>
      <c r="P118" s="930" t="str">
        <f>RSD_Commodities!$C$10</f>
        <v>RSDPEA</v>
      </c>
      <c r="Q118" s="930" t="str">
        <f>RSD_Commodities!$M$34</f>
        <v>SH_Det-F</v>
      </c>
      <c r="R118" s="1000">
        <f>G118/SUM($G$107:$G$121)</f>
        <v>8.3411909770073258E-3</v>
      </c>
      <c r="S118" s="932">
        <f>R118*DwellingStocks!$I$69/1000</f>
        <v>6.6816408290342105E-2</v>
      </c>
      <c r="T118" s="914">
        <v>1</v>
      </c>
      <c r="U118" s="914">
        <f t="shared" si="31"/>
        <v>0.50238095238095237</v>
      </c>
      <c r="V118" s="930">
        <v>20</v>
      </c>
      <c r="W118" s="930">
        <v>1</v>
      </c>
      <c r="X118" s="840"/>
      <c r="Y118" s="928">
        <f t="shared" si="63"/>
        <v>9.289646336220772E-5</v>
      </c>
      <c r="Z118" s="929">
        <f t="shared" si="64"/>
        <v>1.0263211746140591E-4</v>
      </c>
      <c r="AA118" s="840"/>
      <c r="AB118" s="914" t="s">
        <v>393</v>
      </c>
      <c r="AC118" s="914" t="str">
        <f t="shared" si="65"/>
        <v>SH_Det-F_PEA_X0</v>
      </c>
      <c r="AD118" s="914" t="str">
        <f t="shared" si="65"/>
        <v>Residential Space Heating Detached-F_Peat to Residential_Existing 00</v>
      </c>
      <c r="AE118" s="914" t="s">
        <v>53</v>
      </c>
      <c r="AF118" s="914" t="s">
        <v>406</v>
      </c>
      <c r="AG118" s="914"/>
      <c r="AH118" s="914"/>
      <c r="AI118" s="840"/>
      <c r="AJ118" s="840"/>
      <c r="AK118" s="840"/>
      <c r="AL118" s="840"/>
      <c r="AM118" s="840"/>
      <c r="AN118" s="840"/>
    </row>
    <row r="119" spans="1:40">
      <c r="A119" s="757" t="s">
        <v>122</v>
      </c>
      <c r="B119" s="757" t="s">
        <v>668</v>
      </c>
      <c r="C119" s="757">
        <f>SUMIFS(INDEX(Table91517[],,MATCH(C$6,Table91517[#Headers],0)),Table91517[MainSpaceHeatingFuel],$B119,Table91517[EnergyRating (group)],$A119)</f>
        <v>119548</v>
      </c>
      <c r="D119" s="757">
        <f>SUMIFS(INDEX(Table91517[],,MATCH(D$6,Table91517[#Headers],0)),Table91517[MainSpaceHeatingFuel],$B119,Table91517[EnergyRating (group)],$A119)</f>
        <v>108682</v>
      </c>
      <c r="E119" s="757">
        <f>SUMIFS(INDEX(Table91517[],,MATCH(E$6,Table91517[#Headers],0)),Table91517[MainSpaceHeatingFuel],$B119,Table91517[EnergyRating (group)],$A119)</f>
        <v>21322</v>
      </c>
      <c r="F119" s="757">
        <f>SUMIFS(INDEX(Table91517[],,MATCH(F$6,Table91517[#Headers],0)),Table91517[MainSpaceHeatingFuel],$B119,Table91517[EnergyRating (group)],$A119)</f>
        <v>19385</v>
      </c>
      <c r="G119" s="757">
        <f>SUMIFS(INDEX(Table91517[],,MATCH(G$6,Table91517[#Headers],0)),Table91517[MainSpaceHeatingFuel],$B119,Table91517[EnergyRating (group)],$A119)</f>
        <v>4</v>
      </c>
      <c r="H119" s="757">
        <f>SUMIFS(INDEX(Table91517[],,MATCH(H$6,Table91517[#Headers],0)),Table91517[MainSpaceHeatingFuel],$B119,Table91517[EnergyRating (group)],$A119)</f>
        <v>445</v>
      </c>
      <c r="I119" s="912">
        <f>AVERAGEIFS(INDEX(Table91517[],,MATCH(I$6,Table91517[#Headers],0)),Table91517[MainSpaceHeatingFuel],$B119,Table91517[EnergyRating (group)],$A119)</f>
        <v>78.25</v>
      </c>
      <c r="J119" s="847">
        <f>SUMIFS(INDEX(Table91517[],,MATCH(J$6,Table91517[#Headers],0)),Table91517[MainSpaceHeatingFuel],$B119,Table91517[EnergyRating (group)],$A119)</f>
        <v>172586</v>
      </c>
      <c r="K119" s="847">
        <f>SUMIFS(INDEX(Table91517[],,MATCH(K$6,Table91517[#Headers],0)),Table91517[MainSpaceHeatingFuel],$B119,Table91517[EnergyRating (group)],$A119)</f>
        <v>151293</v>
      </c>
      <c r="M119" s="840"/>
      <c r="N119" s="933" t="str">
        <f>RSD_Commodities!$M$34&amp;"_"&amp;RIGHT(P119,LEN(P119)-3)&amp;"_"&amp;SETUP!$B$69</f>
        <v>SH_Det-F_BIOWOO_X2</v>
      </c>
      <c r="O119" s="933" t="str">
        <f>RSD_Commodities!$N$34&amp;"_"&amp;RSD_Commodities!D19&amp;"_"&amp;SETUP!$C$69</f>
        <v>Residential Space Heating Detached-F_Biomass &amp; Renewable Waste to Residential_Existing 02</v>
      </c>
      <c r="P119" s="935" t="str">
        <f>RSD_Commodities!$C$19</f>
        <v>RSDBIOWOO</v>
      </c>
      <c r="Q119" s="935" t="str">
        <f>RSD_Commodities!$M$34</f>
        <v>SH_Det-F</v>
      </c>
      <c r="R119" s="1001">
        <f>G119/SUM($G$107:$G$121)</f>
        <v>2.9012838180895046E-4</v>
      </c>
      <c r="S119" s="937">
        <f>R119*DwellingStocks!$I$69/1000</f>
        <v>2.3240489840118993E-3</v>
      </c>
      <c r="T119" s="933">
        <v>1</v>
      </c>
      <c r="U119" s="933">
        <f t="shared" si="31"/>
        <v>0.78249999999999997</v>
      </c>
      <c r="V119" s="935">
        <v>20</v>
      </c>
      <c r="W119" s="935">
        <v>1</v>
      </c>
      <c r="X119" s="840"/>
      <c r="Y119" s="926">
        <f t="shared" si="63"/>
        <v>1.2231533475429535E-7</v>
      </c>
      <c r="Z119" s="927">
        <f t="shared" si="64"/>
        <v>1.3454333440181764E-7</v>
      </c>
      <c r="AA119" s="840"/>
      <c r="AB119" s="933" t="s">
        <v>393</v>
      </c>
      <c r="AC119" s="933" t="str">
        <f t="shared" si="65"/>
        <v>SH_Det-F_BIOWOO_X2</v>
      </c>
      <c r="AD119" s="933" t="str">
        <f t="shared" si="65"/>
        <v>Residential Space Heating Detached-F_Biomass &amp; Renewable Waste to Residential_Existing 02</v>
      </c>
      <c r="AE119" s="933" t="s">
        <v>53</v>
      </c>
      <c r="AF119" s="933" t="s">
        <v>406</v>
      </c>
      <c r="AG119" s="933"/>
      <c r="AH119" s="933"/>
      <c r="AI119" s="840"/>
      <c r="AJ119" s="840"/>
      <c r="AK119" s="840"/>
      <c r="AL119" s="840"/>
      <c r="AM119" s="840"/>
      <c r="AN119" s="840"/>
    </row>
    <row r="120" spans="1:40">
      <c r="A120" s="758" t="s">
        <v>122</v>
      </c>
      <c r="B120" s="758" t="s">
        <v>673</v>
      </c>
      <c r="C120" s="758">
        <f>SUMIFS(INDEX(Table91517[],,MATCH(C$6,Table91517[#Headers],0)),Table91517[MainSpaceHeatingFuel],$B120,Table91517[EnergyRating (group)],$A120)</f>
        <v>1231250</v>
      </c>
      <c r="D120" s="758">
        <f>SUMIFS(INDEX(Table91517[],,MATCH(D$6,Table91517[#Headers],0)),Table91517[MainSpaceHeatingFuel],$B120,Table91517[EnergyRating (group)],$A120)</f>
        <v>1119321</v>
      </c>
      <c r="E120" s="759">
        <f>SUMIFS(INDEX(Table91517[],,MATCH(E$6,Table91517[#Headers],0)),Table91517[MainSpaceHeatingFuel],$B120,Table91517[EnergyRating (group)],$A120)</f>
        <v>175637</v>
      </c>
      <c r="F120" s="759">
        <f>SUMIFS(INDEX(Table91517[],,MATCH(F$6,Table91517[#Headers],0)),Table91517[MainSpaceHeatingFuel],$B120,Table91517[EnergyRating (group)],$A120)</f>
        <v>140063</v>
      </c>
      <c r="G120" s="758">
        <f>SUMIFS(INDEX(Table91517[],,MATCH(G$6,Table91517[#Headers],0)),Table91517[MainSpaceHeatingFuel],$B120,Table91517[EnergyRating (group)],$A120)</f>
        <v>44</v>
      </c>
      <c r="H120" s="758">
        <f>SUMIFS(INDEX(Table91517[],,MATCH(H$6,Table91517[#Headers],0)),Table91517[MainSpaceHeatingFuel],$B120,Table91517[EnergyRating (group)],$A120)</f>
        <v>4372</v>
      </c>
      <c r="I120" s="911">
        <f>AVERAGEIFS(INDEX(Table91517[],,MATCH(I$6,Table91517[#Headers],0)),Table91517[MainSpaceHeatingFuel],$B120,Table91517[EnergyRating (group)],$A120)</f>
        <v>58</v>
      </c>
      <c r="J120" s="849">
        <f>SUMIFS(INDEX(Table91517[],,MATCH(J$6,Table91517[#Headers],0)),Table91517[MainSpaceHeatingFuel],$B120,Table91517[EnergyRating (group)],$A120)</f>
        <v>1839105</v>
      </c>
      <c r="K120" s="849">
        <f>SUMIFS(INDEX(Table91517[],,MATCH(K$6,Table91517[#Headers],0)),Table91517[MainSpaceHeatingFuel],$B120,Table91517[EnergyRating (group)],$A120)</f>
        <v>1543158</v>
      </c>
      <c r="L120" s="840"/>
      <c r="M120" s="840"/>
      <c r="N120" s="914" t="str">
        <f>RSD_Commodities!$M$34&amp;"_"&amp;RIGHT(P120,LEN(P120)-3)&amp;"_"&amp;SETUP!$B$68</f>
        <v>SH_Det-F_BIOWOO_X1</v>
      </c>
      <c r="O120" s="914" t="str">
        <f>RSD_Commodities!$N$34&amp;"_"&amp;RSD_Commodities!D19&amp;"_"&amp;SETUP!$C$68</f>
        <v>Residential Space Heating Detached-F_Biomass &amp; Renewable Waste to Residential_Existing 01</v>
      </c>
      <c r="P120" s="930" t="str">
        <f>RSD_Commodities!$C$19</f>
        <v>RSDBIOWOO</v>
      </c>
      <c r="Q120" s="930" t="str">
        <f>RSD_Commodities!$M$34</f>
        <v>SH_Det-F</v>
      </c>
      <c r="R120" s="1000">
        <f>G120/SUM($G$107:$G$121)</f>
        <v>3.1914121998984552E-3</v>
      </c>
      <c r="S120" s="932">
        <f>R120*DwellingStocks!$I$69/1000</f>
        <v>2.5564538824130897E-2</v>
      </c>
      <c r="T120" s="914">
        <v>1</v>
      </c>
      <c r="U120" s="914">
        <f t="shared" si="31"/>
        <v>0.57999999999999996</v>
      </c>
      <c r="V120" s="930">
        <v>20</v>
      </c>
      <c r="W120" s="930">
        <v>1</v>
      </c>
      <c r="X120" s="840"/>
      <c r="Y120" s="928">
        <f t="shared" si="63"/>
        <v>1.3231056642118878E-5</v>
      </c>
      <c r="Z120" s="929">
        <f t="shared" si="64"/>
        <v>1.4780719451780156E-5</v>
      </c>
      <c r="AA120" s="840"/>
      <c r="AB120" s="914" t="s">
        <v>393</v>
      </c>
      <c r="AC120" s="914" t="str">
        <f t="shared" si="65"/>
        <v>SH_Det-F_BIOWOO_X1</v>
      </c>
      <c r="AD120" s="914" t="str">
        <f t="shared" si="65"/>
        <v>Residential Space Heating Detached-F_Biomass &amp; Renewable Waste to Residential_Existing 01</v>
      </c>
      <c r="AE120" s="914" t="s">
        <v>53</v>
      </c>
      <c r="AF120" s="914" t="s">
        <v>406</v>
      </c>
      <c r="AG120" s="914"/>
      <c r="AH120" s="914"/>
      <c r="AI120" s="840"/>
      <c r="AJ120" s="840"/>
      <c r="AK120" s="840"/>
      <c r="AL120" s="840"/>
      <c r="AM120" s="840"/>
      <c r="AN120" s="840"/>
    </row>
    <row r="121" spans="1:40" ht="15.75" thickBot="1">
      <c r="A121" s="757" t="s">
        <v>122</v>
      </c>
      <c r="B121" s="757" t="s">
        <v>674</v>
      </c>
      <c r="C121" s="757">
        <f>SUMIFS(INDEX(Table91517[],,MATCH(C$6,Table91517[#Headers],0)),Table91517[MainSpaceHeatingFuel],$B121,Table91517[EnergyRating (group)],$A121)</f>
        <v>63873</v>
      </c>
      <c r="D121" s="757">
        <f>SUMIFS(INDEX(Table91517[],,MATCH(D$6,Table91517[#Headers],0)),Table91517[MainSpaceHeatingFuel],$B121,Table91517[EnergyRating (group)],$A121)</f>
        <v>58067</v>
      </c>
      <c r="E121" s="760">
        <f>SUMIFS(INDEX(Table91517[],,MATCH(E$6,Table91517[#Headers],0)),Table91517[MainSpaceHeatingFuel],$B121,Table91517[EnergyRating (group)],$A121)</f>
        <v>6926</v>
      </c>
      <c r="F121" s="760">
        <f>SUMIFS(INDEX(Table91517[],,MATCH(F$6,Table91517[#Headers],0)),Table91517[MainSpaceHeatingFuel],$B121,Table91517[EnergyRating (group)],$A121)</f>
        <v>5959</v>
      </c>
      <c r="G121" s="757">
        <f>SUMIFS(INDEX(Table91517[],,MATCH(G$6,Table91517[#Headers],0)),Table91517[MainSpaceHeatingFuel],$B121,Table91517[EnergyRating (group)],$A121)</f>
        <v>3</v>
      </c>
      <c r="H121" s="757">
        <f>SUMIFS(INDEX(Table91517[],,MATCH(H$6,Table91517[#Headers],0)),Table91517[MainSpaceHeatingFuel],$B121,Table91517[EnergyRating (group)],$A121)</f>
        <v>235</v>
      </c>
      <c r="I121" s="912">
        <f>AVERAGEIFS(INDEX(Table91517[],,MATCH(I$6,Table91517[#Headers],0)),Table91517[MainSpaceHeatingFuel],$B121,Table91517[EnergyRating (group)],$A121)</f>
        <v>55</v>
      </c>
      <c r="J121" s="847">
        <f>SUMIFS(INDEX(Table91517[],,MATCH(J$6,Table91517[#Headers],0)),Table91517[MainSpaceHeatingFuel],$B121,Table91517[EnergyRating (group)],$A121)</f>
        <v>97741</v>
      </c>
      <c r="K121" s="847">
        <f>SUMIFS(INDEX(Table91517[],,MATCH(K$6,Table91517[#Headers],0)),Table91517[MainSpaceHeatingFuel],$B121,Table91517[EnergyRating (group)],$A121)</f>
        <v>81725</v>
      </c>
      <c r="L121" s="840"/>
      <c r="M121" s="840"/>
      <c r="N121" s="933" t="str">
        <f>RSD_Commodities!$M$34&amp;"_"&amp;RIGHT(P121,LEN(P121)-3)&amp;"_"&amp;SETUP!$B$68</f>
        <v>SH_Det-F_COAHAR_X1</v>
      </c>
      <c r="O121" s="933" t="str">
        <f>RSD_Commodities!$N$34&amp;"_"&amp;RSD_Commodities!D7&amp;"_"&amp;SETUP!$C$68</f>
        <v>Residential Space Heating Detached-F_Anthracite + Manufactured Ovoids to Residential_Existing 01</v>
      </c>
      <c r="P121" s="935" t="str">
        <f>RSD_Commodities!$C$7</f>
        <v>RSDCOAHAR</v>
      </c>
      <c r="Q121" s="935" t="str">
        <f>RSD_Commodities!$M$34</f>
        <v>SH_Det-F</v>
      </c>
      <c r="R121" s="1001">
        <f>G121/SUM($G$107:$G$121)</f>
        <v>2.1759628635671283E-4</v>
      </c>
      <c r="S121" s="937">
        <f>R121*DwellingStocks!$I$69/1000</f>
        <v>1.7430367380089245E-3</v>
      </c>
      <c r="T121" s="933">
        <v>1</v>
      </c>
      <c r="U121" s="933">
        <f t="shared" si="31"/>
        <v>0.55000000000000004</v>
      </c>
      <c r="V121" s="935">
        <v>20</v>
      </c>
      <c r="W121" s="935">
        <v>1</v>
      </c>
      <c r="X121" s="840"/>
      <c r="Y121" s="926">
        <f t="shared" si="63"/>
        <v>4.5862878159353188E-8</v>
      </c>
      <c r="Z121" s="927">
        <f t="shared" si="64"/>
        <v>5.0714489594915292E-8</v>
      </c>
      <c r="AA121" s="840"/>
      <c r="AB121" s="933" t="s">
        <v>393</v>
      </c>
      <c r="AC121" s="933" t="str">
        <f t="shared" si="65"/>
        <v>SH_Det-F_COAHAR_X1</v>
      </c>
      <c r="AD121" s="933" t="str">
        <f t="shared" si="65"/>
        <v>Residential Space Heating Detached-F_Anthracite + Manufactured Ovoids to Residential_Existing 01</v>
      </c>
      <c r="AE121" s="933" t="s">
        <v>53</v>
      </c>
      <c r="AF121" s="933" t="s">
        <v>406</v>
      </c>
      <c r="AG121" s="933"/>
      <c r="AH121" s="933"/>
      <c r="AI121" s="840"/>
      <c r="AJ121" s="840"/>
      <c r="AK121" s="840"/>
      <c r="AL121" s="840"/>
      <c r="AM121" s="840"/>
      <c r="AN121" s="840"/>
    </row>
    <row r="122" spans="1:40" ht="15.75" thickBot="1">
      <c r="A122" s="756" t="s">
        <v>124</v>
      </c>
      <c r="B122" s="1048"/>
      <c r="C122" s="1049"/>
      <c r="D122" s="1049"/>
      <c r="E122" s="1049"/>
      <c r="F122" s="1049"/>
      <c r="G122" s="1049"/>
      <c r="H122" s="1049"/>
      <c r="I122" s="1053"/>
      <c r="J122" s="736" t="s">
        <v>565</v>
      </c>
      <c r="K122" s="737" t="s">
        <v>565</v>
      </c>
      <c r="L122" s="840"/>
      <c r="M122" s="840"/>
      <c r="N122" s="76" t="str">
        <f>AB122</f>
        <v>*G Rating</v>
      </c>
      <c r="O122" s="76"/>
      <c r="P122" s="76"/>
      <c r="Q122" s="76"/>
      <c r="R122" s="949">
        <f>SUM(R123:R138)</f>
        <v>1.0000000000000002</v>
      </c>
      <c r="S122" s="76"/>
      <c r="T122" s="97"/>
      <c r="U122" s="76"/>
      <c r="V122" s="76"/>
      <c r="W122" s="76"/>
      <c r="X122" s="840"/>
      <c r="Y122" s="76"/>
      <c r="Z122" s="76"/>
      <c r="AA122" s="840"/>
      <c r="AB122" s="140" t="str">
        <f>"*"&amp; A123 &amp; " Rating"</f>
        <v>*G Rating</v>
      </c>
      <c r="AC122" s="141"/>
      <c r="AD122" s="141"/>
      <c r="AE122" s="141"/>
      <c r="AF122" s="141"/>
      <c r="AG122" s="141"/>
      <c r="AH122" s="141"/>
      <c r="AI122" s="840"/>
      <c r="AJ122" s="840"/>
      <c r="AK122" s="840"/>
      <c r="AL122" s="840"/>
      <c r="AM122" s="840"/>
      <c r="AN122" s="840"/>
    </row>
    <row r="123" spans="1:40">
      <c r="A123" s="758" t="s">
        <v>124</v>
      </c>
      <c r="B123" s="758" t="s">
        <v>582</v>
      </c>
      <c r="C123" s="758">
        <f>SUMIFS(INDEX(Table91517[],,MATCH(C$6,Table91517[#Headers],0)),Table91517[MainSpaceHeatingFuel],$B123,Table91517[EnergyRating (group)],$A123)</f>
        <v>4308506</v>
      </c>
      <c r="D123" s="758">
        <f>SUMIFS(INDEX(Table91517[],,MATCH(D$6,Table91517[#Headers],0)),Table91517[MainSpaceHeatingFuel],$B123,Table91517[EnergyRating (group)],$A123)</f>
        <v>3916823</v>
      </c>
      <c r="E123" s="759">
        <f>SUMIFS(INDEX(Table91517[],,MATCH(E$6,Table91517[#Headers],0)),Table91517[MainSpaceHeatingFuel],$B123,Table91517[EnergyRating (group)],$A123)</f>
        <v>899289</v>
      </c>
      <c r="F123" s="759">
        <f>SUMIFS(INDEX(Table91517[],,MATCH(F$6,Table91517[#Headers],0)),Table91517[MainSpaceHeatingFuel],$B123,Table91517[EnergyRating (group)],$A123)</f>
        <v>768821</v>
      </c>
      <c r="G123" s="758">
        <f>SUMIFS(INDEX(Table91517[],,MATCH(G$6,Table91517[#Headers],0)),Table91517[MainSpaceHeatingFuel],$B123,Table91517[EnergyRating (group)],$A123)</f>
        <v>112</v>
      </c>
      <c r="H123" s="758">
        <f>SUMIFS(INDEX(Table91517[],,MATCH(H$6,Table91517[#Headers],0)),Table91517[MainSpaceHeatingFuel],$B123,Table91517[EnergyRating (group)],$A123)</f>
        <v>11546</v>
      </c>
      <c r="I123" s="911">
        <f>AVERAGEIFS(INDEX(Table91517[],,MATCH(I$6,Table91517[#Headers],0)),Table91517[MainSpaceHeatingFuel],$B123,Table91517[EnergyRating (group)],$A123)</f>
        <v>70.379310344827587</v>
      </c>
      <c r="J123" s="849">
        <f>SUMIFS(INDEX(Table91517[],,MATCH(J$6,Table91517[#Headers],0)),Table91517[MainSpaceHeatingFuel],$B123,Table91517[EnergyRating (group)],$A123)</f>
        <v>6250037</v>
      </c>
      <c r="K123" s="849">
        <f>SUMIFS(INDEX(Table91517[],,MATCH(K$6,Table91517[#Headers],0)),Table91517[MainSpaceHeatingFuel],$B123,Table91517[EnergyRating (group)],$A123)</f>
        <v>5352672</v>
      </c>
      <c r="L123" s="840"/>
      <c r="M123" s="840"/>
      <c r="N123" s="933" t="str">
        <f>RSD_Commodities!$M$35&amp;"_"&amp;RIGHT(P123,LEN(P123)-3)&amp;"_"&amp;SETUP!$B$67</f>
        <v>SH_Det-G_OILLPG_X0</v>
      </c>
      <c r="O123" s="933" t="str">
        <f>RSD_Commodities!$N$35&amp;"_"&amp;RSD_Commodities!D11&amp;"_"&amp;SETUP!$C$67</f>
        <v>Residential Space Heating Detached-G_LPG to Residential_Existing 00</v>
      </c>
      <c r="P123" s="934" t="str">
        <f>RSD_Commodities!$C$11</f>
        <v>RSDOILLPG</v>
      </c>
      <c r="Q123" s="935" t="str">
        <f>RSD_Commodities!$M$35</f>
        <v>SH_Det-G</v>
      </c>
      <c r="R123" s="1001">
        <f>G123/SUM($G$123:$G$138)</f>
        <v>4.5834015387133734E-3</v>
      </c>
      <c r="S123" s="937">
        <f>R123*DwellingStocks!$I$70/1000</f>
        <v>3.9681674771225084E-2</v>
      </c>
      <c r="T123" s="935">
        <v>1</v>
      </c>
      <c r="U123" s="954">
        <f t="shared" si="31"/>
        <v>0.70379310344827584</v>
      </c>
      <c r="V123" s="935">
        <v>20</v>
      </c>
      <c r="W123" s="935">
        <v>1</v>
      </c>
      <c r="X123" s="840"/>
      <c r="Y123" s="924">
        <f>ABS((D123+F123)*S123*1000*$B$2)</f>
        <v>7.6411315603455707E-5</v>
      </c>
      <c r="Z123" s="925">
        <f>ABS((C123+E123)*S123*1000*$B$2)</f>
        <v>8.4926312656936507E-5</v>
      </c>
      <c r="AA123" s="840"/>
      <c r="AB123" s="933" t="s">
        <v>393</v>
      </c>
      <c r="AC123" s="933" t="str">
        <f>N123</f>
        <v>SH_Det-G_OILLPG_X0</v>
      </c>
      <c r="AD123" s="933" t="str">
        <f>O123</f>
        <v>Residential Space Heating Detached-G_LPG to Residential_Existing 00</v>
      </c>
      <c r="AE123" s="933" t="s">
        <v>53</v>
      </c>
      <c r="AF123" s="933" t="s">
        <v>406</v>
      </c>
      <c r="AG123" s="933"/>
      <c r="AH123" s="933"/>
      <c r="AI123" s="840"/>
      <c r="AJ123" s="840"/>
      <c r="AK123" s="840"/>
      <c r="AL123" s="840"/>
      <c r="AM123" s="840"/>
      <c r="AN123" s="840"/>
    </row>
    <row r="124" spans="1:40">
      <c r="A124" s="757" t="s">
        <v>124</v>
      </c>
      <c r="B124" s="757" t="s">
        <v>228</v>
      </c>
      <c r="C124" s="757">
        <f>SUMIFS(INDEX(Table91517[],,MATCH(C$6,Table91517[#Headers],0)),Table91517[MainSpaceHeatingFuel],$B124,Table91517[EnergyRating (group)],$A124)</f>
        <v>229360126</v>
      </c>
      <c r="D124" s="757">
        <f>SUMIFS(INDEX(Table91517[],,MATCH(D$6,Table91517[#Headers],0)),Table91517[MainSpaceHeatingFuel],$B124,Table91517[EnergyRating (group)],$A124)</f>
        <v>84948198</v>
      </c>
      <c r="E124" s="757">
        <f>SUMIFS(INDEX(Table91517[],,MATCH(E$6,Table91517[#Headers],0)),Table91517[MainSpaceHeatingFuel],$B124,Table91517[EnergyRating (group)],$A124)</f>
        <v>37731838</v>
      </c>
      <c r="F124" s="757">
        <f>SUMIFS(INDEX(Table91517[],,MATCH(F$6,Table91517[#Headers],0)),Table91517[MainSpaceHeatingFuel],$B124,Table91517[EnergyRating (group)],$A124)</f>
        <v>33088032</v>
      </c>
      <c r="G124" s="757">
        <f>SUMIFS(INDEX(Table91517[],,MATCH(G$6,Table91517[#Headers],0)),Table91517[MainSpaceHeatingFuel],$B124,Table91517[EnergyRating (group)],$A124)</f>
        <v>4676</v>
      </c>
      <c r="H124" s="757">
        <f>SUMIFS(INDEX(Table91517[],,MATCH(H$6,Table91517[#Headers],0)),Table91517[MainSpaceHeatingFuel],$B124,Table91517[EnergyRating (group)],$A124)</f>
        <v>429692</v>
      </c>
      <c r="I124" s="912">
        <f>AVERAGEIFS(INDEX(Table91517[],,MATCH(I$6,Table91517[#Headers],0)),Table91517[MainSpaceHeatingFuel],$B124,Table91517[EnergyRating (group)],$A124)</f>
        <v>99.862903225806448</v>
      </c>
      <c r="J124" s="847">
        <f>SUMIFS(INDEX(Table91517[],,MATCH(J$6,Table91517[#Headers],0)),Table91517[MainSpaceHeatingFuel],$B124,Table91517[EnergyRating (group)],$A124)</f>
        <v>310035801</v>
      </c>
      <c r="K124" s="847">
        <f>SUMIFS(INDEX(Table91517[],,MATCH(K$6,Table91517[#Headers],0)),Table91517[MainSpaceHeatingFuel],$B124,Table91517[EnergyRating (group)],$A124)</f>
        <v>135681582</v>
      </c>
      <c r="L124" s="840"/>
      <c r="M124" s="840"/>
      <c r="N124" s="914" t="str">
        <f>RSD_Commodities!$M$35&amp;"_"&amp;RIGHT(P124,LEN(P124)-3)&amp;"_"&amp;SETUP!$B$67</f>
        <v>SH_Det-G_ELCD_X0</v>
      </c>
      <c r="O124" s="914" t="str">
        <f>RSD_Commodities!$N$35&amp;"_"&amp;RSD_Commodities!D27&amp;"_"&amp;SETUP!$C$67</f>
        <v>Residential Space Heating Detached-G_Electricity to Residential_Existing 00</v>
      </c>
      <c r="P124" s="930" t="str">
        <f>RSD_Commodities!$C$27</f>
        <v>RSDELCD</v>
      </c>
      <c r="Q124" s="930" t="str">
        <f>RSD_Commodities!$M$35</f>
        <v>SH_Det-G</v>
      </c>
      <c r="R124" s="1000">
        <f t="shared" ref="R124:R138" si="66">G124/SUM($G$123:$G$138)</f>
        <v>0.19135701424128335</v>
      </c>
      <c r="S124" s="932">
        <f>R124*DwellingStocks!$I$70/1000</f>
        <v>1.6567099216986474</v>
      </c>
      <c r="T124" s="930">
        <v>1</v>
      </c>
      <c r="U124" s="916">
        <f t="shared" si="31"/>
        <v>0.99862903225806443</v>
      </c>
      <c r="V124" s="930">
        <v>20</v>
      </c>
      <c r="W124" s="930">
        <v>1</v>
      </c>
      <c r="X124" s="840"/>
      <c r="Y124" s="926">
        <f t="shared" ref="Y124:Y125" si="67">ABS((D124+F124)*S124*1000*$B$2)</f>
        <v>8.036375069626174E-2</v>
      </c>
      <c r="Z124" s="927">
        <f t="shared" ref="Z124:Z125" si="68">ABS((C124+E124)*S124*1000*$B$2)</f>
        <v>0.18184681099922384</v>
      </c>
      <c r="AA124" s="840"/>
      <c r="AB124" s="914" t="s">
        <v>393</v>
      </c>
      <c r="AC124" s="914" t="str">
        <f t="shared" ref="AC124:AD125" si="69">N124</f>
        <v>SH_Det-G_ELCD_X0</v>
      </c>
      <c r="AD124" s="914" t="str">
        <f t="shared" si="69"/>
        <v>Residential Space Heating Detached-G_Electricity to Residential_Existing 00</v>
      </c>
      <c r="AE124" s="914" t="s">
        <v>53</v>
      </c>
      <c r="AF124" s="914" t="s">
        <v>406</v>
      </c>
      <c r="AG124" s="914"/>
      <c r="AH124" s="914"/>
      <c r="AI124" s="840"/>
      <c r="AJ124" s="840"/>
      <c r="AK124" s="840"/>
      <c r="AL124" s="840"/>
      <c r="AM124" s="840"/>
      <c r="AN124" s="840"/>
    </row>
    <row r="125" spans="1:40">
      <c r="A125" s="758" t="s">
        <v>124</v>
      </c>
      <c r="B125" s="758" t="s">
        <v>583</v>
      </c>
      <c r="C125" s="758">
        <f>SUMIFS(INDEX(Table91517[],,MATCH(C$6,Table91517[#Headers],0)),Table91517[MainSpaceHeatingFuel],$B125,Table91517[EnergyRating (group)],$A125)</f>
        <v>441680866</v>
      </c>
      <c r="D125" s="758">
        <f>SUMIFS(INDEX(Table91517[],,MATCH(D$6,Table91517[#Headers],0)),Table91517[MainSpaceHeatingFuel],$B125,Table91517[EnergyRating (group)],$A125)</f>
        <v>401528054</v>
      </c>
      <c r="E125" s="759">
        <f>SUMIFS(INDEX(Table91517[],,MATCH(E$6,Table91517[#Headers],0)),Table91517[MainSpaceHeatingFuel],$B125,Table91517[EnergyRating (group)],$A125)</f>
        <v>101004077</v>
      </c>
      <c r="F125" s="759">
        <f>SUMIFS(INDEX(Table91517[],,MATCH(F$6,Table91517[#Headers],0)),Table91517[MainSpaceHeatingFuel],$B125,Table91517[EnergyRating (group)],$A125)</f>
        <v>88180921</v>
      </c>
      <c r="G125" s="758">
        <f>SUMIFS(INDEX(Table91517[],,MATCH(G$6,Table91517[#Headers],0)),Table91517[MainSpaceHeatingFuel],$B125,Table91517[EnergyRating (group)],$A125)</f>
        <v>11227</v>
      </c>
      <c r="H125" s="758">
        <f>SUMIFS(INDEX(Table91517[],,MATCH(H$6,Table91517[#Headers],0)),Table91517[MainSpaceHeatingFuel],$B125,Table91517[EnergyRating (group)],$A125)</f>
        <v>1162886</v>
      </c>
      <c r="I125" s="911">
        <f>AVERAGEIFS(INDEX(Table91517[],,MATCH(I$6,Table91517[#Headers],0)),Table91517[MainSpaceHeatingFuel],$B125,Table91517[EnergyRating (group)],$A125)</f>
        <v>71.642105263157902</v>
      </c>
      <c r="J125" s="849">
        <f>SUMIFS(INDEX(Table91517[],,MATCH(J$6,Table91517[#Headers],0)),Table91517[MainSpaceHeatingFuel],$B125,Table91517[EnergyRating (group)],$A125)</f>
        <v>654035668</v>
      </c>
      <c r="K125" s="849">
        <f>SUMIFS(INDEX(Table91517[],,MATCH(K$6,Table91517[#Headers],0)),Table91517[MainSpaceHeatingFuel],$B125,Table91517[EnergyRating (group)],$A125)</f>
        <v>561664171</v>
      </c>
      <c r="L125" s="840"/>
      <c r="M125" s="840"/>
      <c r="N125" s="933" t="str">
        <f>RSD_Commodities!$M$35&amp;"_"&amp;RIGHT(P125,LEN(P125)-3)&amp;"_"&amp;SETUP!$B$67</f>
        <v>SH_Det-G_OILKER_X0</v>
      </c>
      <c r="O125" s="933" t="str">
        <f>RSD_Commodities!$N$35&amp;"_"&amp;RSD_Commodities!D13&amp;"_"&amp;SETUP!$C$67</f>
        <v>Residential Space Heating Detached-G_Kerosene to Residential_Existing 00</v>
      </c>
      <c r="P125" s="935" t="str">
        <f>RSD_Commodities!$C$13</f>
        <v>RSDOILKER</v>
      </c>
      <c r="Q125" s="935" t="str">
        <f>RSD_Commodities!$M$35</f>
        <v>SH_Det-G</v>
      </c>
      <c r="R125" s="1001">
        <f t="shared" si="66"/>
        <v>0.45944508102799148</v>
      </c>
      <c r="S125" s="937">
        <f>R125*DwellingStocks!$I$70/1000</f>
        <v>3.9777335951477149</v>
      </c>
      <c r="T125" s="935">
        <v>1</v>
      </c>
      <c r="U125" s="954">
        <f t="shared" si="31"/>
        <v>0.71642105263157907</v>
      </c>
      <c r="V125" s="935">
        <v>20</v>
      </c>
      <c r="W125" s="935">
        <v>1</v>
      </c>
      <c r="X125" s="840"/>
      <c r="Y125" s="928">
        <f t="shared" si="67"/>
        <v>0.80051993494637785</v>
      </c>
      <c r="Z125" s="929">
        <f t="shared" si="68"/>
        <v>0.88711895726791357</v>
      </c>
      <c r="AA125" s="840"/>
      <c r="AB125" s="933" t="s">
        <v>393</v>
      </c>
      <c r="AC125" s="933" t="str">
        <f t="shared" si="69"/>
        <v>SH_Det-G_OILKER_X0</v>
      </c>
      <c r="AD125" s="933" t="str">
        <f t="shared" si="69"/>
        <v>Residential Space Heating Detached-G_Kerosene to Residential_Existing 00</v>
      </c>
      <c r="AE125" s="933" t="s">
        <v>53</v>
      </c>
      <c r="AF125" s="933" t="s">
        <v>406</v>
      </c>
      <c r="AG125" s="933"/>
      <c r="AH125" s="933"/>
      <c r="AI125" s="840"/>
      <c r="AJ125" s="840"/>
      <c r="AK125" s="840"/>
      <c r="AL125" s="840"/>
      <c r="AM125" s="840"/>
      <c r="AN125" s="840"/>
    </row>
    <row r="126" spans="1:40">
      <c r="A126" s="757" t="s">
        <v>124</v>
      </c>
      <c r="B126" s="757" t="s">
        <v>584</v>
      </c>
      <c r="C126" s="757">
        <f>SUMIFS(INDEX(Table91517[],,MATCH(C$6,Table91517[#Headers],0)),Table91517[MainSpaceHeatingFuel],$B126,Table91517[EnergyRating (group)],$A126)</f>
        <v>35438751</v>
      </c>
      <c r="D126" s="757">
        <f>SUMIFS(INDEX(Table91517[],,MATCH(D$6,Table91517[#Headers],0)),Table91517[MainSpaceHeatingFuel],$B126,Table91517[EnergyRating (group)],$A126)</f>
        <v>32217045</v>
      </c>
      <c r="E126" s="760">
        <f>SUMIFS(INDEX(Table91517[],,MATCH(E$6,Table91517[#Headers],0)),Table91517[MainSpaceHeatingFuel],$B126,Table91517[EnergyRating (group)],$A126)</f>
        <v>10040881</v>
      </c>
      <c r="F126" s="760">
        <f>SUMIFS(INDEX(Table91517[],,MATCH(F$6,Table91517[#Headers],0)),Table91517[MainSpaceHeatingFuel],$B126,Table91517[EnergyRating (group)],$A126)</f>
        <v>11667083</v>
      </c>
      <c r="G126" s="757">
        <f>SUMIFS(INDEX(Table91517[],,MATCH(G$6,Table91517[#Headers],0)),Table91517[MainSpaceHeatingFuel],$B126,Table91517[EnergyRating (group)],$A126)</f>
        <v>864</v>
      </c>
      <c r="H126" s="757">
        <f>SUMIFS(INDEX(Table91517[],,MATCH(H$6,Table91517[#Headers],0)),Table91517[MainSpaceHeatingFuel],$B126,Table91517[EnergyRating (group)],$A126)</f>
        <v>99158</v>
      </c>
      <c r="I126" s="912">
        <f>AVERAGEIFS(INDEX(Table91517[],,MATCH(I$6,Table91517[#Headers],0)),Table91517[MainSpaceHeatingFuel],$B126,Table91517[EnergyRating (group)],$A126)</f>
        <v>72.357142857142861</v>
      </c>
      <c r="J126" s="847">
        <f>SUMIFS(INDEX(Table91517[],,MATCH(J$6,Table91517[#Headers],0)),Table91517[MainSpaceHeatingFuel],$B126,Table91517[EnergyRating (group)],$A126)</f>
        <v>54448566</v>
      </c>
      <c r="K126" s="847">
        <f>SUMIFS(INDEX(Table91517[],,MATCH(K$6,Table91517[#Headers],0)),Table91517[MainSpaceHeatingFuel],$B126,Table91517[EnergyRating (group)],$A126)</f>
        <v>49691136</v>
      </c>
      <c r="L126" s="840"/>
      <c r="M126" s="840"/>
      <c r="N126" s="914" t="str">
        <f>RSD_Commodities!$M$35&amp;"_"&amp;RIGHT(P126,LEN(P126)-3)&amp;"_"&amp;SETUP!$B$67</f>
        <v>SH_Det-G_GASNAT_X0</v>
      </c>
      <c r="O126" s="914" t="str">
        <f>RSD_Commodities!$N$35&amp;"_"&amp;RSD_Commodities!D17&amp;"_"&amp;SETUP!$C$67</f>
        <v>Residential Space Heating Detached-G_Natural Gas to Residential_Existing 00</v>
      </c>
      <c r="P126" s="930" t="str">
        <f>RSD_Commodities!$C$17</f>
        <v>RSDGASNAT</v>
      </c>
      <c r="Q126" s="930" t="str">
        <f>RSD_Commodities!$M$35</f>
        <v>SH_Det-G</v>
      </c>
      <c r="R126" s="1000">
        <f t="shared" si="66"/>
        <v>3.535766901293174E-2</v>
      </c>
      <c r="S126" s="932">
        <f>R126*DwellingStocks!$I$70/1000</f>
        <v>0.30611577680659352</v>
      </c>
      <c r="T126" s="930">
        <v>1</v>
      </c>
      <c r="U126" s="916">
        <f t="shared" si="31"/>
        <v>0.72357142857142864</v>
      </c>
      <c r="V126" s="930">
        <v>20</v>
      </c>
      <c r="W126" s="930">
        <v>1</v>
      </c>
      <c r="X126" s="840"/>
      <c r="Y126" s="926">
        <f t="shared" ref="Y126:Y138" si="70">ABS((D126+F126)*S126*1000*$B$2)</f>
        <v>5.520667369397254E-3</v>
      </c>
      <c r="Z126" s="927">
        <f t="shared" ref="Z126:Z138" si="71">ABS((C126+E126)*S126*1000*$B$2)</f>
        <v>5.7213833747498674E-3</v>
      </c>
      <c r="AA126" s="840"/>
      <c r="AB126" s="914" t="s">
        <v>393</v>
      </c>
      <c r="AC126" s="914" t="str">
        <f t="shared" ref="AC126:AC138" si="72">N126</f>
        <v>SH_Det-G_GASNAT_X0</v>
      </c>
      <c r="AD126" s="914" t="str">
        <f t="shared" ref="AD126:AD138" si="73">O126</f>
        <v>Residential Space Heating Detached-G_Natural Gas to Residential_Existing 00</v>
      </c>
      <c r="AE126" s="914" t="s">
        <v>53</v>
      </c>
      <c r="AF126" s="914" t="s">
        <v>406</v>
      </c>
      <c r="AG126" s="914"/>
      <c r="AH126" s="914"/>
      <c r="AI126" s="840"/>
      <c r="AJ126" s="840"/>
      <c r="AK126" s="840"/>
      <c r="AL126" s="840"/>
      <c r="AM126" s="840"/>
      <c r="AN126" s="840"/>
    </row>
    <row r="127" spans="1:40">
      <c r="A127" s="758" t="s">
        <v>124</v>
      </c>
      <c r="B127" s="758" t="s">
        <v>585</v>
      </c>
      <c r="C127" s="758">
        <f>SUMIFS(INDEX(Table91517[],,MATCH(C$6,Table91517[#Headers],0)),Table91517[MainSpaceHeatingFuel],$B127,Table91517[EnergyRating (group)],$A127)</f>
        <v>684660</v>
      </c>
      <c r="D127" s="758">
        <f>SUMIFS(INDEX(Table91517[],,MATCH(D$6,Table91517[#Headers],0)),Table91517[MainSpaceHeatingFuel],$B127,Table91517[EnergyRating (group)],$A127)</f>
        <v>622419</v>
      </c>
      <c r="E127" s="758">
        <f>SUMIFS(INDEX(Table91517[],,MATCH(E$6,Table91517[#Headers],0)),Table91517[MainSpaceHeatingFuel],$B127,Table91517[EnergyRating (group)],$A127)</f>
        <v>134578</v>
      </c>
      <c r="F127" s="758">
        <f>SUMIFS(INDEX(Table91517[],,MATCH(F$6,Table91517[#Headers],0)),Table91517[MainSpaceHeatingFuel],$B127,Table91517[EnergyRating (group)],$A127)</f>
        <v>117776</v>
      </c>
      <c r="G127" s="758">
        <f>SUMIFS(INDEX(Table91517[],,MATCH(G$6,Table91517[#Headers],0)),Table91517[MainSpaceHeatingFuel],$B127,Table91517[EnergyRating (group)],$A127)</f>
        <v>16</v>
      </c>
      <c r="H127" s="758">
        <f>SUMIFS(INDEX(Table91517[],,MATCH(H$6,Table91517[#Headers],0)),Table91517[MainSpaceHeatingFuel],$B127,Table91517[EnergyRating (group)],$A127)</f>
        <v>1687</v>
      </c>
      <c r="I127" s="950">
        <f>AVERAGEIFS(INDEX(Table91517[],,MATCH(I$6,Table91517[#Headers],0)),Table91517[MainSpaceHeatingFuel],$B127,Table91517[EnergyRating (group)],$A127)</f>
        <v>66.083333333333329</v>
      </c>
      <c r="J127" s="849">
        <f>SUMIFS(INDEX(Table91517[],,MATCH(J$6,Table91517[#Headers],0)),Table91517[MainSpaceHeatingFuel],$B127,Table91517[EnergyRating (group)],$A127)</f>
        <v>970526</v>
      </c>
      <c r="K127" s="849">
        <f>SUMIFS(INDEX(Table91517[],,MATCH(K$6,Table91517[#Headers],0)),Table91517[MainSpaceHeatingFuel],$B127,Table91517[EnergyRating (group)],$A127)</f>
        <v>831129</v>
      </c>
      <c r="L127" s="840"/>
      <c r="M127" s="840"/>
      <c r="N127" s="933" t="str">
        <f>RSD_Commodities!$M$35&amp;"_"&amp;RIGHT(P127,LEN(P127)-3)&amp;"_"&amp;SETUP!$B$67</f>
        <v>SH_Det-G_BIOWOO_X0</v>
      </c>
      <c r="O127" s="933" t="str">
        <f>RSD_Commodities!$N$35&amp;"_"&amp;RSD_Commodities!D19&amp;"_"&amp;SETUP!$C$67</f>
        <v>Residential Space Heating Detached-G_Biomass &amp; Renewable Waste to Residential_Existing 00</v>
      </c>
      <c r="P127" s="935" t="str">
        <f>RSD_Commodities!$C$19</f>
        <v>RSDBIOWOO</v>
      </c>
      <c r="Q127" s="935" t="str">
        <f>RSD_Commodities!$M$35</f>
        <v>SH_Det-G</v>
      </c>
      <c r="R127" s="1001">
        <f t="shared" si="66"/>
        <v>6.547716483876248E-4</v>
      </c>
      <c r="S127" s="937">
        <f>R127*DwellingStocks!$I$70/1000</f>
        <v>5.6688106816035842E-3</v>
      </c>
      <c r="T127" s="935">
        <v>1</v>
      </c>
      <c r="U127" s="954">
        <f t="shared" si="31"/>
        <v>0.66083333333333327</v>
      </c>
      <c r="V127" s="935">
        <v>20</v>
      </c>
      <c r="W127" s="935">
        <v>1</v>
      </c>
      <c r="X127" s="840"/>
      <c r="Y127" s="928">
        <f t="shared" si="70"/>
        <v>1.7243939681381776E-6</v>
      </c>
      <c r="Z127" s="929">
        <f t="shared" si="71"/>
        <v>1.9085363528118732E-6</v>
      </c>
      <c r="AA127" s="840"/>
      <c r="AB127" s="933" t="s">
        <v>393</v>
      </c>
      <c r="AC127" s="933" t="str">
        <f t="shared" si="72"/>
        <v>SH_Det-G_BIOWOO_X0</v>
      </c>
      <c r="AD127" s="933" t="str">
        <f t="shared" si="73"/>
        <v>Residential Space Heating Detached-G_Biomass &amp; Renewable Waste to Residential_Existing 00</v>
      </c>
      <c r="AE127" s="933" t="s">
        <v>53</v>
      </c>
      <c r="AF127" s="933" t="s">
        <v>406</v>
      </c>
      <c r="AG127" s="933"/>
      <c r="AH127" s="933"/>
      <c r="AI127" s="840"/>
      <c r="AJ127" s="840"/>
      <c r="AK127" s="840"/>
      <c r="AL127" s="840"/>
      <c r="AM127" s="840"/>
      <c r="AN127" s="840"/>
    </row>
    <row r="128" spans="1:40">
      <c r="A128" s="757" t="s">
        <v>124</v>
      </c>
      <c r="B128" s="757" t="s">
        <v>587</v>
      </c>
      <c r="C128" s="757">
        <f>SUMIFS(INDEX(Table91517[],,MATCH(C$6,Table91517[#Headers],0)),Table91517[MainSpaceHeatingFuel],$B128,Table91517[EnergyRating (group)],$A128)</f>
        <v>0</v>
      </c>
      <c r="D128" s="757">
        <f>SUMIFS(INDEX(Table91517[],,MATCH(D$6,Table91517[#Headers],0)),Table91517[MainSpaceHeatingFuel],$B128,Table91517[EnergyRating (group)],$A128)</f>
        <v>0</v>
      </c>
      <c r="E128" s="757">
        <f>SUMIFS(INDEX(Table91517[],,MATCH(E$6,Table91517[#Headers],0)),Table91517[MainSpaceHeatingFuel],$B128,Table91517[EnergyRating (group)],$A128)</f>
        <v>0</v>
      </c>
      <c r="F128" s="757">
        <f>SUMIFS(INDEX(Table91517[],,MATCH(F$6,Table91517[#Headers],0)),Table91517[MainSpaceHeatingFuel],$B128,Table91517[EnergyRating (group)],$A128)</f>
        <v>0</v>
      </c>
      <c r="G128" s="757">
        <f>SUMIFS(INDEX(Table91517[],,MATCH(G$6,Table91517[#Headers],0)),Table91517[MainSpaceHeatingFuel],"",Table91517[EnergyRating (group)],$A128)</f>
        <v>21</v>
      </c>
      <c r="H128" s="757">
        <f>SUMIFS(INDEX(Table91517[],,MATCH(H$6,Table91517[#Headers],0)),Table91517[MainSpaceHeatingFuel],"",Table91517[EnergyRating (group)],$A128)</f>
        <v>2758</v>
      </c>
      <c r="I128" s="913">
        <f>SUMIFS(INDEX(Table91517[],,MATCH(I$6,Table91517[#Headers],0)),Table91517[MainSpaceHeatingFuel],"",Table91517[EnergyRating (group)],$A128)</f>
        <v>0</v>
      </c>
      <c r="J128" s="847">
        <f>SUMIFS(INDEX(Table91517[],,MATCH(J$6,Table91517[#Headers],0)),Table91517[MainSpaceHeatingFuel],"",Table91517[EnergyRating (group)],$A128)</f>
        <v>88999</v>
      </c>
      <c r="K128" s="847">
        <f>SUMIFS(INDEX(Table91517[],,MATCH(K$6,Table91517[#Headers],0)),Table91517[MainSpaceHeatingFuel],"",Table91517[EnergyRating (group)],$A128)</f>
        <v>32962</v>
      </c>
      <c r="L128" s="840"/>
      <c r="M128" s="840"/>
      <c r="N128" s="914" t="str">
        <f>RSD_Commodities!$M$35&amp;"_"&amp;RIGHT(P128,LEN(P128)-3)&amp;"_"&amp;SETUP!$B$67</f>
        <v>SH_Det-G_HET_X0</v>
      </c>
      <c r="O128" s="914" t="str">
        <f>RSD_Commodities!$N$35&amp;"_"&amp;RSD_Commodities!D28&amp;"_"&amp;SETUP!$C$67</f>
        <v>Residential Space Heating Detached-G_Heat to Residential_Existing 00</v>
      </c>
      <c r="P128" s="915" t="str">
        <f>RSD_Commodities!$C$28</f>
        <v>RSDHET</v>
      </c>
      <c r="Q128" s="930" t="str">
        <f>RSD_Commodities!$M$35</f>
        <v>SH_Det-G</v>
      </c>
      <c r="R128" s="1000">
        <f t="shared" si="66"/>
        <v>8.5938778850875761E-4</v>
      </c>
      <c r="S128" s="932">
        <f>R128*DwellingStocks!$I$70/1000</f>
        <v>7.4403140196047041E-3</v>
      </c>
      <c r="T128" s="930">
        <v>1</v>
      </c>
      <c r="U128" s="917">
        <f>IF(I128=0, 1, I128)</f>
        <v>1</v>
      </c>
      <c r="V128" s="930">
        <v>20</v>
      </c>
      <c r="W128" s="930">
        <v>1</v>
      </c>
      <c r="X128" s="840"/>
      <c r="Y128" s="926">
        <f t="shared" si="70"/>
        <v>0</v>
      </c>
      <c r="Z128" s="927">
        <f t="shared" si="71"/>
        <v>0</v>
      </c>
      <c r="AA128" s="840"/>
      <c r="AB128" s="914" t="s">
        <v>393</v>
      </c>
      <c r="AC128" s="914" t="str">
        <f t="shared" si="72"/>
        <v>SH_Det-G_HET_X0</v>
      </c>
      <c r="AD128" s="914" t="str">
        <f t="shared" si="73"/>
        <v>Residential Space Heating Detached-G_Heat to Residential_Existing 00</v>
      </c>
      <c r="AE128" s="914" t="s">
        <v>53</v>
      </c>
      <c r="AF128" s="914" t="s">
        <v>406</v>
      </c>
      <c r="AG128" s="914"/>
      <c r="AH128" s="914"/>
      <c r="AI128" s="840"/>
      <c r="AJ128" s="840"/>
      <c r="AK128" s="840"/>
      <c r="AL128" s="840"/>
      <c r="AM128" s="840"/>
      <c r="AN128" s="840"/>
    </row>
    <row r="129" spans="1:41">
      <c r="A129" s="758" t="s">
        <v>124</v>
      </c>
      <c r="B129" s="758" t="s">
        <v>664</v>
      </c>
      <c r="C129" s="758">
        <f>SUMIFS(INDEX(Table91517[],,MATCH(C$6,Table91517[#Headers],0)),Table91517[MainSpaceHeatingFuel],$B129,Table91517[EnergyRating (group)],$A129)</f>
        <v>2266925</v>
      </c>
      <c r="D129" s="758">
        <f>SUMIFS(INDEX(Table91517[],,MATCH(D$6,Table91517[#Headers],0)),Table91517[MainSpaceHeatingFuel],$B129,Table91517[EnergyRating (group)],$A129)</f>
        <v>2060839</v>
      </c>
      <c r="E129" s="759">
        <f>SUMIFS(INDEX(Table91517[],,MATCH(E$6,Table91517[#Headers],0)),Table91517[MainSpaceHeatingFuel],$B129,Table91517[EnergyRating (group)],$A129)</f>
        <v>418131</v>
      </c>
      <c r="F129" s="759">
        <f>SUMIFS(INDEX(Table91517[],,MATCH(F$6,Table91517[#Headers],0)),Table91517[MainSpaceHeatingFuel],$B129,Table91517[EnergyRating (group)],$A129)</f>
        <v>360969</v>
      </c>
      <c r="G129" s="758">
        <f>SUMIFS(INDEX(Table91517[],,MATCH(G$6,Table91517[#Headers],0)),Table91517[MainSpaceHeatingFuel],$B129,Table91517[EnergyRating (group)],$A129)</f>
        <v>55</v>
      </c>
      <c r="H129" s="758">
        <f>SUMIFS(INDEX(Table91517[],,MATCH(H$6,Table91517[#Headers],0)),Table91517[MainSpaceHeatingFuel],$B129,Table91517[EnergyRating (group)],$A129)</f>
        <v>5899</v>
      </c>
      <c r="I129" s="950">
        <f>AVERAGEIFS(INDEX(Table91517[],,MATCH(I$6,Table91517[#Headers],0)),Table91517[MainSpaceHeatingFuel],$B129,Table91517[EnergyRating (group)],$A129)</f>
        <v>71.645161290322577</v>
      </c>
      <c r="J129" s="849">
        <f>SUMIFS(INDEX(Table91517[],,MATCH(J$6,Table91517[#Headers],0)),Table91517[MainSpaceHeatingFuel],$B129,Table91517[EnergyRating (group)],$A129)</f>
        <v>3256947</v>
      </c>
      <c r="K129" s="849">
        <f>SUMIFS(INDEX(Table91517[],,MATCH(K$6,Table91517[#Headers],0)),Table91517[MainSpaceHeatingFuel],$B129,Table91517[EnergyRating (group)],$A129)</f>
        <v>2755450</v>
      </c>
      <c r="L129" s="840"/>
      <c r="M129" s="840"/>
      <c r="N129" s="933" t="str">
        <f>RSD_Commodities!$M$35&amp;"_"&amp;RIGHT(P129,LEN(P129)-3)&amp;"_"&amp;SETUP!$B$68</f>
        <v>SH_Det-G_OILLPG_X1</v>
      </c>
      <c r="O129" s="933" t="str">
        <f>RSD_Commodities!$N$35&amp;"_"&amp;RSD_Commodities!D11&amp;"_"&amp;SETUP!$C$68</f>
        <v>Residential Space Heating Detached-G_LPG to Residential_Existing 01</v>
      </c>
      <c r="P129" s="935" t="str">
        <f>RSD_Commodities!$C$11</f>
        <v>RSDOILLPG</v>
      </c>
      <c r="Q129" s="935" t="str">
        <f>RSD_Commodities!$M$35</f>
        <v>SH_Det-G</v>
      </c>
      <c r="R129" s="1001">
        <f t="shared" si="66"/>
        <v>2.2507775413324604E-3</v>
      </c>
      <c r="S129" s="937">
        <f>R129*DwellingStocks!$I$70/1000</f>
        <v>1.9486536718012322E-2</v>
      </c>
      <c r="T129" s="935">
        <v>1</v>
      </c>
      <c r="U129" s="954">
        <f t="shared" si="31"/>
        <v>0.71645161290322579</v>
      </c>
      <c r="V129" s="935">
        <v>20</v>
      </c>
      <c r="W129" s="935">
        <v>1</v>
      </c>
      <c r="X129" s="840"/>
      <c r="Y129" s="928">
        <f t="shared" si="70"/>
        <v>1.9394239938072324E-5</v>
      </c>
      <c r="Z129" s="929">
        <f t="shared" si="71"/>
        <v>2.1502373561884644E-5</v>
      </c>
      <c r="AA129" s="840"/>
      <c r="AB129" s="933" t="s">
        <v>393</v>
      </c>
      <c r="AC129" s="933" t="str">
        <f t="shared" si="72"/>
        <v>SH_Det-G_OILLPG_X1</v>
      </c>
      <c r="AD129" s="933" t="str">
        <f t="shared" si="73"/>
        <v>Residential Space Heating Detached-G_LPG to Residential_Existing 01</v>
      </c>
      <c r="AE129" s="933" t="s">
        <v>53</v>
      </c>
      <c r="AF129" s="933" t="s">
        <v>406</v>
      </c>
      <c r="AG129" s="933"/>
      <c r="AH129" s="933"/>
      <c r="AI129" s="840"/>
      <c r="AJ129" s="840"/>
      <c r="AK129" s="840"/>
      <c r="AL129" s="840"/>
      <c r="AM129" s="840"/>
      <c r="AN129" s="840"/>
    </row>
    <row r="130" spans="1:41">
      <c r="A130" s="757" t="s">
        <v>124</v>
      </c>
      <c r="B130" s="757" t="s">
        <v>665</v>
      </c>
      <c r="C130" s="757">
        <f>SUMIFS(INDEX(Table91517[],,MATCH(C$6,Table91517[#Headers],0)),Table91517[MainSpaceHeatingFuel],$B130,Table91517[EnergyRating (group)],$A130)</f>
        <v>324367071</v>
      </c>
      <c r="D130" s="757">
        <f>SUMIFS(INDEX(Table91517[],,MATCH(D$6,Table91517[#Headers],0)),Table91517[MainSpaceHeatingFuel],$B130,Table91517[EnergyRating (group)],$A130)</f>
        <v>294879148</v>
      </c>
      <c r="E130" s="760">
        <f>SUMIFS(INDEX(Table91517[],,MATCH(E$6,Table91517[#Headers],0)),Table91517[MainSpaceHeatingFuel],$B130,Table91517[EnergyRating (group)],$A130)</f>
        <v>43095533</v>
      </c>
      <c r="F130" s="760">
        <f>SUMIFS(INDEX(Table91517[],,MATCH(F$6,Table91517[#Headers],0)),Table91517[MainSpaceHeatingFuel],$B130,Table91517[EnergyRating (group)],$A130)</f>
        <v>37234908</v>
      </c>
      <c r="G130" s="757">
        <f>SUMIFS(INDEX(Table91517[],,MATCH(G$6,Table91517[#Headers],0)),Table91517[MainSpaceHeatingFuel],$B130,Table91517[EnergyRating (group)],$A130)</f>
        <v>6065</v>
      </c>
      <c r="H130" s="757">
        <f>SUMIFS(INDEX(Table91517[],,MATCH(H$6,Table91517[#Headers],0)),Table91517[MainSpaceHeatingFuel],$B130,Table91517[EnergyRating (group)],$A130)</f>
        <v>539443</v>
      </c>
      <c r="I130" s="912">
        <f>AVERAGEIFS(INDEX(Table91517[],,MATCH(I$6,Table91517[#Headers],0)),Table91517[MainSpaceHeatingFuel],$B130,Table91517[EnergyRating (group)],$A130)</f>
        <v>45.783783783783782</v>
      </c>
      <c r="J130" s="847">
        <f>SUMIFS(INDEX(Table91517[],,MATCH(J$6,Table91517[#Headers],0)),Table91517[MainSpaceHeatingFuel],$B130,Table91517[EnergyRating (group)],$A130)</f>
        <v>427636470</v>
      </c>
      <c r="K130" s="847">
        <f>SUMIFS(INDEX(Table91517[],,MATCH(K$6,Table91517[#Headers],0)),Table91517[MainSpaceHeatingFuel],$B130,Table91517[EnergyRating (group)],$A130)</f>
        <v>369601837</v>
      </c>
      <c r="L130" s="840"/>
      <c r="M130" s="840"/>
      <c r="N130" s="914" t="str">
        <f>RSD_Commodities!$M$35&amp;"_"&amp;RSD_Commodities!$C$26&amp;"_"&amp;SETUP!$B$67</f>
        <v>SH_Det-G_RSDSMF_X0</v>
      </c>
      <c r="O130" s="914" t="str">
        <f>RSD_Commodities!$N$35&amp;"_"&amp;RSD_Commodities!$D$26&amp;"_"&amp;SETUP!$C$67</f>
        <v>Residential Space Heating Detached-G_Solid Multi-Fuel_Existing 00</v>
      </c>
      <c r="P130" s="930" t="str">
        <f>RSD_Commodities!$C$6&amp;","&amp;RSD_Commodities!$C$7&amp;","&amp;RSD_Commodities!$C$9&amp;","&amp;RSD_Commodities!$C$10&amp;","&amp;RSD_Commodities!$C$19</f>
        <v>RSDCOABIT,RSDCOAHAR,RSDCOALIG,RSDPEA,RSDBIOWOO</v>
      </c>
      <c r="Q130" s="930" t="str">
        <f>RSD_Commodities!$M$35</f>
        <v>SH_Det-G</v>
      </c>
      <c r="R130" s="1000">
        <f t="shared" si="66"/>
        <v>0.24819937796693403</v>
      </c>
      <c r="S130" s="932">
        <f>R130*DwellingStocks!$I$70/1000</f>
        <v>2.1488335489953583</v>
      </c>
      <c r="T130" s="930">
        <v>1</v>
      </c>
      <c r="U130" s="916">
        <f t="shared" si="31"/>
        <v>0.45783783783783782</v>
      </c>
      <c r="V130" s="930">
        <v>20</v>
      </c>
      <c r="W130" s="930">
        <v>1</v>
      </c>
      <c r="X130" s="840"/>
      <c r="Y130" s="926">
        <f t="shared" si="70"/>
        <v>0.29328403792837943</v>
      </c>
      <c r="Z130" s="927">
        <f t="shared" si="71"/>
        <v>0.32449971430536828</v>
      </c>
      <c r="AA130" s="840"/>
      <c r="AB130" s="914" t="s">
        <v>393</v>
      </c>
      <c r="AC130" s="914" t="str">
        <f t="shared" si="72"/>
        <v>SH_Det-G_RSDSMF_X0</v>
      </c>
      <c r="AD130" s="914" t="str">
        <f t="shared" si="73"/>
        <v>Residential Space Heating Detached-G_Solid Multi-Fuel_Existing 00</v>
      </c>
      <c r="AE130" s="914" t="s">
        <v>53</v>
      </c>
      <c r="AF130" s="914" t="s">
        <v>406</v>
      </c>
      <c r="AG130" s="914"/>
      <c r="AH130" s="914"/>
      <c r="AI130" s="840"/>
      <c r="AJ130" s="840"/>
      <c r="AK130" s="840"/>
      <c r="AL130" s="840"/>
      <c r="AM130" s="840"/>
      <c r="AN130" s="840"/>
    </row>
    <row r="131" spans="1:41">
      <c r="A131" s="758" t="s">
        <v>124</v>
      </c>
      <c r="B131" s="758" t="s">
        <v>669</v>
      </c>
      <c r="C131" s="758">
        <f>SUMIFS(INDEX(Table91517[],,MATCH(C$6,Table91517[#Headers],0)),Table91517[MainSpaceHeatingFuel],$B131,Table91517[EnergyRating (group)],$A131)</f>
        <v>24272307</v>
      </c>
      <c r="D131" s="758">
        <f>SUMIFS(INDEX(Table91517[],,MATCH(D$6,Table91517[#Headers],0)),Table91517[MainSpaceHeatingFuel],$B131,Table91517[EnergyRating (group)],$A131)</f>
        <v>20226920</v>
      </c>
      <c r="E131" s="758">
        <f>SUMIFS(INDEX(Table91517[],,MATCH(E$6,Table91517[#Headers],0)),Table91517[MainSpaceHeatingFuel],$B131,Table91517[EnergyRating (group)],$A131)</f>
        <v>2431824</v>
      </c>
      <c r="F131" s="758">
        <f>SUMIFS(INDEX(Table91517[],,MATCH(F$6,Table91517[#Headers],0)),Table91517[MainSpaceHeatingFuel],$B131,Table91517[EnergyRating (group)],$A131)</f>
        <v>1692396</v>
      </c>
      <c r="G131" s="758">
        <f>SUMIFS(INDEX(Table91517[],,MATCH(G$6,Table91517[#Headers],0)),Table91517[MainSpaceHeatingFuel],$B131,Table91517[EnergyRating (group)],$A131)</f>
        <v>344</v>
      </c>
      <c r="H131" s="758">
        <f>SUMIFS(INDEX(Table91517[],,MATCH(H$6,Table91517[#Headers],0)),Table91517[MainSpaceHeatingFuel],$B131,Table91517[EnergyRating (group)],$A131)</f>
        <v>34299</v>
      </c>
      <c r="I131" s="911">
        <f>AVERAGEIFS(INDEX(Table91517[],,MATCH(I$6,Table91517[#Headers],0)),Table91517[MainSpaceHeatingFuel],$B131,Table91517[EnergyRating (group)],$A131)</f>
        <v>48.209302325581397</v>
      </c>
      <c r="J131" s="849">
        <f>SUMIFS(INDEX(Table91517[],,MATCH(J$6,Table91517[#Headers],0)),Table91517[MainSpaceHeatingFuel],$B131,Table91517[EnergyRating (group)],$A131)</f>
        <v>30352421</v>
      </c>
      <c r="K131" s="849">
        <f>SUMIFS(INDEX(Table91517[],,MATCH(K$6,Table91517[#Headers],0)),Table91517[MainSpaceHeatingFuel],$B131,Table91517[EnergyRating (group)],$A131)</f>
        <v>24010331</v>
      </c>
      <c r="L131" s="840"/>
      <c r="M131" s="840"/>
      <c r="N131" s="933" t="str">
        <f>RSD_Commodities!$M$35&amp;"_"&amp;RIGHT(P131,LEN(P131)-3)&amp;"_"&amp;SETUP!$B$67</f>
        <v>SH_Det-G_COAHAR_X0</v>
      </c>
      <c r="O131" s="933" t="str">
        <f>RSD_Commodities!$N$35&amp;"_"&amp;RSD_Commodities!$D$7&amp;"_"&amp;SETUP!$C$67</f>
        <v>Residential Space Heating Detached-G_Anthracite + Manufactured Ovoids to Residential_Existing 00</v>
      </c>
      <c r="P131" s="934" t="str">
        <f>RSD_Commodities!$C$7</f>
        <v>RSDCOAHAR</v>
      </c>
      <c r="Q131" s="935" t="str">
        <f>RSD_Commodities!$M$35</f>
        <v>SH_Det-G</v>
      </c>
      <c r="R131" s="1001">
        <f t="shared" si="66"/>
        <v>1.4077590440333933E-2</v>
      </c>
      <c r="S131" s="937">
        <f>R131*DwellingStocks!$I$70/1000</f>
        <v>0.12187942965447705</v>
      </c>
      <c r="T131" s="935">
        <v>1</v>
      </c>
      <c r="U131" s="954">
        <f t="shared" si="31"/>
        <v>0.48209302325581399</v>
      </c>
      <c r="V131" s="935">
        <v>20</v>
      </c>
      <c r="W131" s="935">
        <v>1</v>
      </c>
      <c r="X131" s="840"/>
      <c r="Y131" s="928">
        <f t="shared" si="70"/>
        <v>1.097882355820378E-3</v>
      </c>
      <c r="Z131" s="929">
        <f t="shared" si="71"/>
        <v>1.3375414749445646E-3</v>
      </c>
      <c r="AA131" s="840"/>
      <c r="AB131" s="933" t="s">
        <v>393</v>
      </c>
      <c r="AC131" s="933" t="str">
        <f t="shared" si="72"/>
        <v>SH_Det-G_COAHAR_X0</v>
      </c>
      <c r="AD131" s="933" t="str">
        <f t="shared" si="73"/>
        <v>Residential Space Heating Detached-G_Anthracite + Manufactured Ovoids to Residential_Existing 00</v>
      </c>
      <c r="AE131" s="933" t="s">
        <v>53</v>
      </c>
      <c r="AF131" s="933" t="s">
        <v>406</v>
      </c>
      <c r="AG131" s="933"/>
      <c r="AH131" s="933"/>
      <c r="AI131" s="840"/>
      <c r="AJ131" s="840"/>
      <c r="AK131" s="840"/>
      <c r="AL131" s="840"/>
      <c r="AM131" s="840"/>
      <c r="AN131" s="840"/>
    </row>
    <row r="132" spans="1:41">
      <c r="A132" s="757" t="s">
        <v>124</v>
      </c>
      <c r="B132" s="757" t="s">
        <v>671</v>
      </c>
      <c r="C132" s="757">
        <f>SUMIFS(INDEX(Table91517[],,MATCH(C$6,Table91517[#Headers],0)),Table91517[MainSpaceHeatingFuel],$B132,Table91517[EnergyRating (group)],$A132)</f>
        <v>18415345</v>
      </c>
      <c r="D132" s="757">
        <f>SUMIFS(INDEX(Table91517[],,MATCH(D$6,Table91517[#Headers],0)),Table91517[MainSpaceHeatingFuel],$B132,Table91517[EnergyRating (group)],$A132)</f>
        <v>16741218</v>
      </c>
      <c r="E132" s="757">
        <f>SUMIFS(INDEX(Table91517[],,MATCH(E$6,Table91517[#Headers],0)),Table91517[MainSpaceHeatingFuel],$B132,Table91517[EnergyRating (group)],$A132)</f>
        <v>2439622</v>
      </c>
      <c r="F132" s="757">
        <f>SUMIFS(INDEX(Table91517[],,MATCH(F$6,Table91517[#Headers],0)),Table91517[MainSpaceHeatingFuel],$B132,Table91517[EnergyRating (group)],$A132)</f>
        <v>2006052</v>
      </c>
      <c r="G132" s="757">
        <f>SUMIFS(INDEX(Table91517[],,MATCH(G$6,Table91517[#Headers],0)),Table91517[MainSpaceHeatingFuel],$B132,Table91517[EnergyRating (group)],$A132)</f>
        <v>377</v>
      </c>
      <c r="H132" s="757">
        <f>SUMIFS(INDEX(Table91517[],,MATCH(H$6,Table91517[#Headers],0)),Table91517[MainSpaceHeatingFuel],$B132,Table91517[EnergyRating (group)],$A132)</f>
        <v>34088</v>
      </c>
      <c r="I132" s="912">
        <f>AVERAGEIFS(INDEX(Table91517[],,MATCH(I$6,Table91517[#Headers],0)),Table91517[MainSpaceHeatingFuel],$B132,Table91517[EnergyRating (group)],$A132)</f>
        <v>45</v>
      </c>
      <c r="J132" s="847">
        <f>SUMIFS(INDEX(Table91517[],,MATCH(J$6,Table91517[#Headers],0)),Table91517[MainSpaceHeatingFuel],$B132,Table91517[EnergyRating (group)],$A132)</f>
        <v>24936335</v>
      </c>
      <c r="K132" s="847">
        <f>SUMIFS(INDEX(Table91517[],,MATCH(K$6,Table91517[#Headers],0)),Table91517[MainSpaceHeatingFuel],$B132,Table91517[EnergyRating (group)],$A132)</f>
        <v>21535552</v>
      </c>
      <c r="L132" s="840"/>
      <c r="M132" s="840"/>
      <c r="N132" s="914" t="str">
        <f>RSD_Commodities!$M$35&amp;"_"&amp;RIGHT(P132,LEN(P132)-3)&amp;"_"&amp;SETUP!$B$67</f>
        <v>SH_Det-G_PEA_X0</v>
      </c>
      <c r="O132" s="914" t="str">
        <f>RSD_Commodities!$N$35&amp;"_"&amp;RSD_Commodities!D10&amp;"_"&amp;SETUP!$C$67</f>
        <v>Residential Space Heating Detached-G_Peat to Residential_Existing 00</v>
      </c>
      <c r="P132" s="930" t="str">
        <f>RSD_Commodities!$C$10</f>
        <v>RSDPEA</v>
      </c>
      <c r="Q132" s="930" t="str">
        <f>RSD_Commodities!$M$35</f>
        <v>SH_Det-G</v>
      </c>
      <c r="R132" s="1000">
        <f t="shared" si="66"/>
        <v>1.542805696513341E-2</v>
      </c>
      <c r="S132" s="932">
        <f>R132*DwellingStocks!$I$70/1000</f>
        <v>0.13357135168528445</v>
      </c>
      <c r="T132" s="930">
        <v>1</v>
      </c>
      <c r="U132" s="916">
        <f t="shared" ref="U132:U138" si="74">I132/100</f>
        <v>0.45</v>
      </c>
      <c r="V132" s="930">
        <v>20</v>
      </c>
      <c r="W132" s="930">
        <v>1</v>
      </c>
      <c r="X132" s="840"/>
      <c r="Y132" s="926">
        <f t="shared" si="70"/>
        <v>1.0290814497160205E-3</v>
      </c>
      <c r="Z132" s="927">
        <f t="shared" si="71"/>
        <v>1.144777862277535E-3</v>
      </c>
      <c r="AA132" s="840"/>
      <c r="AB132" s="914" t="s">
        <v>393</v>
      </c>
      <c r="AC132" s="914" t="str">
        <f t="shared" si="72"/>
        <v>SH_Det-G_PEA_X0</v>
      </c>
      <c r="AD132" s="914" t="str">
        <f t="shared" si="73"/>
        <v>Residential Space Heating Detached-G_Peat to Residential_Existing 00</v>
      </c>
      <c r="AE132" s="914" t="s">
        <v>53</v>
      </c>
      <c r="AF132" s="914" t="s">
        <v>406</v>
      </c>
      <c r="AG132" s="914"/>
      <c r="AH132" s="914"/>
      <c r="AI132" s="840"/>
      <c r="AJ132" s="840"/>
      <c r="AK132" s="840"/>
      <c r="AL132" s="840"/>
      <c r="AM132" s="840"/>
      <c r="AN132" s="840"/>
    </row>
    <row r="133" spans="1:41">
      <c r="A133" s="758" t="s">
        <v>124</v>
      </c>
      <c r="B133" s="758" t="s">
        <v>666</v>
      </c>
      <c r="C133" s="758">
        <f>SUMIFS(INDEX(Table91517[],,MATCH(C$6,Table91517[#Headers],0)),Table91517[MainSpaceHeatingFuel],$B133,Table91517[EnergyRating (group)],$A133)</f>
        <v>25997524</v>
      </c>
      <c r="D133" s="758">
        <f>SUMIFS(INDEX(Table91517[],,MATCH(D$6,Table91517[#Headers],0)),Table91517[MainSpaceHeatingFuel],$B133,Table91517[EnergyRating (group)],$A133)</f>
        <v>23634112</v>
      </c>
      <c r="E133" s="759">
        <f>SUMIFS(INDEX(Table91517[],,MATCH(E$6,Table91517[#Headers],0)),Table91517[MainSpaceHeatingFuel],$B133,Table91517[EnergyRating (group)],$A133)</f>
        <v>3311468</v>
      </c>
      <c r="F133" s="759">
        <f>SUMIFS(INDEX(Table91517[],,MATCH(F$6,Table91517[#Headers],0)),Table91517[MainSpaceHeatingFuel],$B133,Table91517[EnergyRating (group)],$A133)</f>
        <v>2465703</v>
      </c>
      <c r="G133" s="758">
        <f>SUMIFS(INDEX(Table91517[],,MATCH(G$6,Table91517[#Headers],0)),Table91517[MainSpaceHeatingFuel],$B133,Table91517[EnergyRating (group)],$A133)</f>
        <v>488</v>
      </c>
      <c r="H133" s="758">
        <f>SUMIFS(INDEX(Table91517[],,MATCH(H$6,Table91517[#Headers],0)),Table91517[MainSpaceHeatingFuel],$B133,Table91517[EnergyRating (group)],$A133)</f>
        <v>42285</v>
      </c>
      <c r="I133" s="911">
        <f>AVERAGEIFS(INDEX(Table91517[],,MATCH(I$6,Table91517[#Headers],0)),Table91517[MainSpaceHeatingFuel],$B133,Table91517[EnergyRating (group)],$A133)</f>
        <v>46.542372881355931</v>
      </c>
      <c r="J133" s="849">
        <f>SUMIFS(INDEX(Table91517[],,MATCH(J$6,Table91517[#Headers],0)),Table91517[MainSpaceHeatingFuel],$B133,Table91517[EnergyRating (group)],$A133)</f>
        <v>34287610</v>
      </c>
      <c r="K133" s="849">
        <f>SUMIFS(INDEX(Table91517[],,MATCH(K$6,Table91517[#Headers],0)),Table91517[MainSpaceHeatingFuel],$B133,Table91517[EnergyRating (group)],$A133)</f>
        <v>29111253</v>
      </c>
      <c r="L133" s="840"/>
      <c r="M133" s="840"/>
      <c r="N133" s="933" t="str">
        <f>RSD_Commodities!$M$35&amp;"_"&amp;RIGHT(P133,LEN(P133)-3)&amp;"_"&amp;SETUP!$B$67</f>
        <v>SH_Det-G_COABIT_X0</v>
      </c>
      <c r="O133" s="933" t="str">
        <f>RSD_Commodities!$N$35&amp;"_"&amp;RSD_Commodities!$D$6&amp;"_"&amp;SETUP!$C$67</f>
        <v>Residential Space Heating Detached-G_Bituminous Coal to Residential_Existing 00</v>
      </c>
      <c r="P133" s="935" t="str">
        <f>RSD_Commodities!$C$6</f>
        <v>RSDCOABIT</v>
      </c>
      <c r="Q133" s="935" t="str">
        <f>RSD_Commodities!$M$35</f>
        <v>SH_Det-G</v>
      </c>
      <c r="R133" s="1001">
        <f t="shared" si="66"/>
        <v>1.9970535275822557E-2</v>
      </c>
      <c r="S133" s="937">
        <f>R133*DwellingStocks!$I$70/1000</f>
        <v>0.1728987257889093</v>
      </c>
      <c r="T133" s="935">
        <v>1</v>
      </c>
      <c r="U133" s="954">
        <f t="shared" si="74"/>
        <v>0.46542372881355931</v>
      </c>
      <c r="V133" s="935">
        <v>20</v>
      </c>
      <c r="W133" s="935">
        <v>1</v>
      </c>
      <c r="X133" s="840"/>
      <c r="Y133" s="928">
        <f t="shared" si="70"/>
        <v>1.8545033247231214E-3</v>
      </c>
      <c r="Z133" s="929">
        <f t="shared" si="71"/>
        <v>2.0825290565578097E-3</v>
      </c>
      <c r="AA133" s="840"/>
      <c r="AB133" s="933" t="s">
        <v>393</v>
      </c>
      <c r="AC133" s="933" t="str">
        <f t="shared" si="72"/>
        <v>SH_Det-G_COABIT_X0</v>
      </c>
      <c r="AD133" s="933" t="str">
        <f t="shared" si="73"/>
        <v>Residential Space Heating Detached-G_Bituminous Coal to Residential_Existing 00</v>
      </c>
      <c r="AE133" s="933" t="s">
        <v>53</v>
      </c>
      <c r="AF133" s="933" t="s">
        <v>406</v>
      </c>
      <c r="AG133" s="933"/>
      <c r="AH133" s="933"/>
      <c r="AI133" s="840"/>
      <c r="AJ133" s="840"/>
      <c r="AK133" s="840"/>
      <c r="AL133" s="840"/>
      <c r="AM133" s="840"/>
      <c r="AN133" s="840"/>
    </row>
    <row r="134" spans="1:41">
      <c r="A134" s="757" t="s">
        <v>124</v>
      </c>
      <c r="B134" s="757" t="s">
        <v>667</v>
      </c>
      <c r="C134" s="757">
        <f>SUMIFS(INDEX(Table91517[],,MATCH(C$6,Table91517[#Headers],0)),Table91517[MainSpaceHeatingFuel],$B134,Table91517[EnergyRating (group)],$A134)</f>
        <v>2399032</v>
      </c>
      <c r="D134" s="757">
        <f>SUMIFS(INDEX(Table91517[],,MATCH(D$6,Table91517[#Headers],0)),Table91517[MainSpaceHeatingFuel],$B134,Table91517[EnergyRating (group)],$A134)</f>
        <v>2180938</v>
      </c>
      <c r="E134" s="757">
        <f>SUMIFS(INDEX(Table91517[],,MATCH(E$6,Table91517[#Headers],0)),Table91517[MainSpaceHeatingFuel],$B134,Table91517[EnergyRating (group)],$A134)</f>
        <v>310393</v>
      </c>
      <c r="F134" s="757">
        <f>SUMIFS(INDEX(Table91517[],,MATCH(F$6,Table91517[#Headers],0)),Table91517[MainSpaceHeatingFuel],$B134,Table91517[EnergyRating (group)],$A134)</f>
        <v>236076</v>
      </c>
      <c r="G134" s="757">
        <f>SUMIFS(INDEX(Table91517[],,MATCH(G$6,Table91517[#Headers],0)),Table91517[MainSpaceHeatingFuel],$B134,Table91517[EnergyRating (group)],$A134)</f>
        <v>51</v>
      </c>
      <c r="H134" s="757">
        <f>SUMIFS(INDEX(Table91517[],,MATCH(H$6,Table91517[#Headers],0)),Table91517[MainSpaceHeatingFuel],$B134,Table91517[EnergyRating (group)],$A134)</f>
        <v>4594</v>
      </c>
      <c r="I134" s="912">
        <f>AVERAGEIFS(INDEX(Table91517[],,MATCH(I$6,Table91517[#Headers],0)),Table91517[MainSpaceHeatingFuel],$B134,Table91517[EnergyRating (group)],$A134)</f>
        <v>51.217391304347828</v>
      </c>
      <c r="J134" s="847">
        <f>SUMIFS(INDEX(Table91517[],,MATCH(J$6,Table91517[#Headers],0)),Table91517[MainSpaceHeatingFuel],$B134,Table91517[EnergyRating (group)],$A134)</f>
        <v>3255213</v>
      </c>
      <c r="K134" s="847">
        <f>SUMIFS(INDEX(Table91517[],,MATCH(K$6,Table91517[#Headers],0)),Table91517[MainSpaceHeatingFuel],$B134,Table91517[EnergyRating (group)],$A134)</f>
        <v>2785870</v>
      </c>
      <c r="L134" s="840"/>
      <c r="M134" s="840"/>
      <c r="N134" s="914" t="str">
        <f>RSD_Commodities!$M$35&amp;"_"&amp;RIGHT(P134,LEN(P134)-3)&amp;"_"&amp;SETUP!$B$68</f>
        <v>SH_Det-G_PEA_X1</v>
      </c>
      <c r="O134" s="914" t="str">
        <f>RSD_Commodities!$N$35&amp;"_"&amp;RSD_Commodities!D10&amp;"_"&amp;SETUP!$C$68</f>
        <v>Residential Space Heating Detached-G_Peat to Residential_Existing 01</v>
      </c>
      <c r="P134" s="930" t="str">
        <f>RSD_Commodities!$C$10</f>
        <v>RSDPEA</v>
      </c>
      <c r="Q134" s="930" t="str">
        <f>RSD_Commodities!$M$35</f>
        <v>SH_Det-G</v>
      </c>
      <c r="R134" s="1000">
        <f t="shared" si="66"/>
        <v>2.0870846292355542E-3</v>
      </c>
      <c r="S134" s="932">
        <f>R134*DwellingStocks!$I$70/1000</f>
        <v>1.8069334047611425E-2</v>
      </c>
      <c r="T134" s="930">
        <v>1</v>
      </c>
      <c r="U134" s="916">
        <f t="shared" si="74"/>
        <v>0.51217391304347826</v>
      </c>
      <c r="V134" s="930">
        <v>20</v>
      </c>
      <c r="W134" s="930">
        <v>1</v>
      </c>
      <c r="X134" s="840"/>
      <c r="Y134" s="926">
        <f t="shared" si="70"/>
        <v>1.7948150697432941E-5</v>
      </c>
      <c r="Z134" s="927">
        <f t="shared" si="71"/>
        <v>2.0119522767924491E-5</v>
      </c>
      <c r="AA134" s="840"/>
      <c r="AB134" s="914" t="s">
        <v>393</v>
      </c>
      <c r="AC134" s="914" t="str">
        <f t="shared" si="72"/>
        <v>SH_Det-G_PEA_X1</v>
      </c>
      <c r="AD134" s="914" t="str">
        <f t="shared" si="73"/>
        <v>Residential Space Heating Detached-G_Peat to Residential_Existing 01</v>
      </c>
      <c r="AE134" s="914" t="s">
        <v>53</v>
      </c>
      <c r="AF134" s="914" t="s">
        <v>406</v>
      </c>
      <c r="AG134" s="914"/>
      <c r="AH134" s="914"/>
      <c r="AI134" s="840"/>
      <c r="AJ134" s="840"/>
      <c r="AK134" s="840"/>
      <c r="AL134" s="840"/>
      <c r="AM134" s="840"/>
      <c r="AN134" s="840"/>
    </row>
    <row r="135" spans="1:41">
      <c r="A135" s="758" t="s">
        <v>124</v>
      </c>
      <c r="B135" s="758" t="s">
        <v>668</v>
      </c>
      <c r="C135" s="758">
        <f>SUMIFS(INDEX(Table91517[],,MATCH(C$6,Table91517[#Headers],0)),Table91517[MainSpaceHeatingFuel],$B135,Table91517[EnergyRating (group)],$A135)</f>
        <v>74940</v>
      </c>
      <c r="D135" s="758">
        <f>SUMIFS(INDEX(Table91517[],,MATCH(D$6,Table91517[#Headers],0)),Table91517[MainSpaceHeatingFuel],$B135,Table91517[EnergyRating (group)],$A135)</f>
        <v>68127</v>
      </c>
      <c r="E135" s="759">
        <f>SUMIFS(INDEX(Table91517[],,MATCH(E$6,Table91517[#Headers],0)),Table91517[MainSpaceHeatingFuel],$B135,Table91517[EnergyRating (group)],$A135)</f>
        <v>14206</v>
      </c>
      <c r="F135" s="759">
        <f>SUMIFS(INDEX(Table91517[],,MATCH(F$6,Table91517[#Headers],0)),Table91517[MainSpaceHeatingFuel],$B135,Table91517[EnergyRating (group)],$A135)</f>
        <v>12914</v>
      </c>
      <c r="G135" s="758">
        <f>SUMIFS(INDEX(Table91517[],,MATCH(G$6,Table91517[#Headers],0)),Table91517[MainSpaceHeatingFuel],$B135,Table91517[EnergyRating (group)],$A135)</f>
        <v>2</v>
      </c>
      <c r="H135" s="758">
        <f>SUMIFS(INDEX(Table91517[],,MATCH(H$6,Table91517[#Headers],0)),Table91517[MainSpaceHeatingFuel],$B135,Table91517[EnergyRating (group)],$A135)</f>
        <v>189</v>
      </c>
      <c r="I135" s="911">
        <f>AVERAGEIFS(INDEX(Table91517[],,MATCH(I$6,Table91517[#Headers],0)),Table91517[MainSpaceHeatingFuel],$B135,Table91517[EnergyRating (group)],$A135)</f>
        <v>65</v>
      </c>
      <c r="J135" s="849">
        <f>SUMIFS(INDEX(Table91517[],,MATCH(J$6,Table91517[#Headers],0)),Table91517[MainSpaceHeatingFuel],$B135,Table91517[EnergyRating (group)],$A135)</f>
        <v>107544</v>
      </c>
      <c r="K135" s="849">
        <f>SUMIFS(INDEX(Table91517[],,MATCH(K$6,Table91517[#Headers],0)),Table91517[MainSpaceHeatingFuel],$B135,Table91517[EnergyRating (group)],$A135)</f>
        <v>92635</v>
      </c>
      <c r="L135" s="840"/>
      <c r="M135" s="840"/>
      <c r="N135" s="933" t="str">
        <f>RSD_Commodities!$M$35&amp;"_"&amp;RIGHT(P135,LEN(P135)-3)&amp;"_"&amp;SETUP!$B$69</f>
        <v>SH_Det-G_BIOWOO_X2</v>
      </c>
      <c r="O135" s="933" t="str">
        <f>RSD_Commodities!$N$35&amp;"_"&amp;RSD_Commodities!D19&amp;"_"&amp;SETUP!$C$69</f>
        <v>Residential Space Heating Detached-G_Biomass &amp; Renewable Waste to Residential_Existing 02</v>
      </c>
      <c r="P135" s="935" t="str">
        <f>RSD_Commodities!$C$19</f>
        <v>RSDBIOWOO</v>
      </c>
      <c r="Q135" s="935" t="str">
        <f>RSD_Commodities!$M$35</f>
        <v>SH_Det-G</v>
      </c>
      <c r="R135" s="1001">
        <f t="shared" si="66"/>
        <v>8.18464560484531E-5</v>
      </c>
      <c r="S135" s="937">
        <f>R135*DwellingStocks!$I$70/1000</f>
        <v>7.0860133520044802E-4</v>
      </c>
      <c r="T135" s="935">
        <v>1</v>
      </c>
      <c r="U135" s="954">
        <f t="shared" si="74"/>
        <v>0.65</v>
      </c>
      <c r="V135" s="935">
        <v>20</v>
      </c>
      <c r="W135" s="935">
        <v>1</v>
      </c>
      <c r="X135" s="840"/>
      <c r="Y135" s="928">
        <f t="shared" si="70"/>
        <v>2.3599627728484734E-8</v>
      </c>
      <c r="Z135" s="929">
        <f t="shared" si="71"/>
        <v>2.5959852586758554E-8</v>
      </c>
      <c r="AA135" s="840"/>
      <c r="AB135" s="933" t="s">
        <v>393</v>
      </c>
      <c r="AC135" s="933" t="str">
        <f t="shared" si="72"/>
        <v>SH_Det-G_BIOWOO_X2</v>
      </c>
      <c r="AD135" s="933" t="str">
        <f t="shared" si="73"/>
        <v>Residential Space Heating Detached-G_Biomass &amp; Renewable Waste to Residential_Existing 02</v>
      </c>
      <c r="AE135" s="933" t="s">
        <v>53</v>
      </c>
      <c r="AF135" s="933" t="s">
        <v>406</v>
      </c>
      <c r="AG135" s="933"/>
      <c r="AH135" s="933"/>
      <c r="AI135" s="840"/>
      <c r="AJ135" s="840"/>
      <c r="AK135" s="840"/>
      <c r="AL135" s="840"/>
      <c r="AM135" s="840"/>
      <c r="AN135" s="840"/>
    </row>
    <row r="136" spans="1:41">
      <c r="A136" s="757" t="s">
        <v>124</v>
      </c>
      <c r="B136" s="757" t="s">
        <v>673</v>
      </c>
      <c r="C136" s="757">
        <f>SUMIFS(INDEX(Table91517[],,MATCH(C$6,Table91517[#Headers],0)),Table91517[MainSpaceHeatingFuel],$B136,Table91517[EnergyRating (group)],$A136)</f>
        <v>6069927</v>
      </c>
      <c r="D136" s="757">
        <f>SUMIFS(INDEX(Table91517[],,MATCH(D$6,Table91517[#Headers],0)),Table91517[MainSpaceHeatingFuel],$B136,Table91517[EnergyRating (group)],$A136)</f>
        <v>5518115</v>
      </c>
      <c r="E136" s="760">
        <f>SUMIFS(INDEX(Table91517[],,MATCH(E$6,Table91517[#Headers],0)),Table91517[MainSpaceHeatingFuel],$B136,Table91517[EnergyRating (group)],$A136)</f>
        <v>761657</v>
      </c>
      <c r="F136" s="760">
        <f>SUMIFS(INDEX(Table91517[],,MATCH(F$6,Table91517[#Headers],0)),Table91517[MainSpaceHeatingFuel],$B136,Table91517[EnergyRating (group)],$A136)</f>
        <v>599896</v>
      </c>
      <c r="G136" s="757">
        <f>SUMIFS(INDEX(Table91517[],,MATCH(G$6,Table91517[#Headers],0)),Table91517[MainSpaceHeatingFuel],$B136,Table91517[EnergyRating (group)],$A136)</f>
        <v>121</v>
      </c>
      <c r="H136" s="757">
        <f>SUMIFS(INDEX(Table91517[],,MATCH(H$6,Table91517[#Headers],0)),Table91517[MainSpaceHeatingFuel],$B136,Table91517[EnergyRating (group)],$A136)</f>
        <v>11403</v>
      </c>
      <c r="I136" s="912">
        <f>AVERAGEIFS(INDEX(Table91517[],,MATCH(I$6,Table91517[#Headers],0)),Table91517[MainSpaceHeatingFuel],$B136,Table91517[EnergyRating (group)],$A136)</f>
        <v>48.666666666666664</v>
      </c>
      <c r="J136" s="847">
        <f>SUMIFS(INDEX(Table91517[],,MATCH(J$6,Table91517[#Headers],0)),Table91517[MainSpaceHeatingFuel],$B136,Table91517[EnergyRating (group)],$A136)</f>
        <v>8109269</v>
      </c>
      <c r="K136" s="847">
        <f>SUMIFS(INDEX(Table91517[],,MATCH(K$6,Table91517[#Headers],0)),Table91517[MainSpaceHeatingFuel],$B136,Table91517[EnergyRating (group)],$A136)</f>
        <v>6935967</v>
      </c>
      <c r="L136" s="840"/>
      <c r="M136" s="840"/>
      <c r="N136" s="914" t="str">
        <f>RSD_Commodities!$M26&amp;"_"&amp;RIGHT(P136,LEN(P136)-3)&amp;"_"&amp;SETUP!$B$68</f>
        <v>SH_Att-G_BIOWOO_X1</v>
      </c>
      <c r="O136" s="914" t="str">
        <f>RSD_Commodities!$N$35&amp;"_"&amp;RSD_Commodities!D19&amp;"_"&amp;SETUP!$C$68</f>
        <v>Residential Space Heating Detached-G_Biomass &amp; Renewable Waste to Residential_Existing 01</v>
      </c>
      <c r="P136" s="915" t="str">
        <f>RSD_Commodities!$C$19</f>
        <v>RSDBIOWOO</v>
      </c>
      <c r="Q136" s="930" t="str">
        <f>RSD_Commodities!$M$35</f>
        <v>SH_Det-G</v>
      </c>
      <c r="R136" s="1000">
        <f t="shared" si="66"/>
        <v>4.951710590931413E-3</v>
      </c>
      <c r="S136" s="932">
        <f>R136*DwellingStocks!$I$70/1000</f>
        <v>4.2870380779627106E-2</v>
      </c>
      <c r="T136" s="930">
        <v>1</v>
      </c>
      <c r="U136" s="916">
        <f t="shared" si="74"/>
        <v>0.48666666666666664</v>
      </c>
      <c r="V136" s="930">
        <v>20</v>
      </c>
      <c r="W136" s="930">
        <v>1</v>
      </c>
      <c r="X136" s="840"/>
      <c r="Y136" s="926">
        <f t="shared" si="70"/>
        <v>1.0778690185641668E-4</v>
      </c>
      <c r="Z136" s="927">
        <f t="shared" si="71"/>
        <v>1.2035860578411294E-4</v>
      </c>
      <c r="AA136" s="840"/>
      <c r="AB136" s="914" t="s">
        <v>393</v>
      </c>
      <c r="AC136" s="914" t="str">
        <f t="shared" si="72"/>
        <v>SH_Att-G_BIOWOO_X1</v>
      </c>
      <c r="AD136" s="914" t="str">
        <f t="shared" si="73"/>
        <v>Residential Space Heating Detached-G_Biomass &amp; Renewable Waste to Residential_Existing 01</v>
      </c>
      <c r="AE136" s="914" t="s">
        <v>53</v>
      </c>
      <c r="AF136" s="914" t="s">
        <v>406</v>
      </c>
      <c r="AG136" s="914"/>
      <c r="AH136" s="914"/>
      <c r="AI136" s="840"/>
      <c r="AJ136" s="840"/>
      <c r="AK136" s="840"/>
      <c r="AL136" s="840"/>
      <c r="AM136" s="840"/>
      <c r="AN136" s="840"/>
    </row>
    <row r="137" spans="1:41">
      <c r="A137" s="758" t="s">
        <v>124</v>
      </c>
      <c r="B137" s="758" t="s">
        <v>722</v>
      </c>
      <c r="C137" s="758">
        <f>SUMIFS(INDEX(Table91517[],,MATCH(C$6,Table91517[#Headers],0)),Table91517[MainSpaceHeatingFuel],$B137,Table91517[EnergyRating (group)],$A137)</f>
        <v>258091</v>
      </c>
      <c r="D137" s="758">
        <f>SUMIFS(INDEX(Table91517[],,MATCH(D$6,Table91517[#Headers],0)),Table91517[MainSpaceHeatingFuel],$B137,Table91517[EnergyRating (group)],$A137)</f>
        <v>234627</v>
      </c>
      <c r="E137" s="758">
        <f>SUMIFS(INDEX(Table91517[],,MATCH(E$6,Table91517[#Headers],0)),Table91517[MainSpaceHeatingFuel],$B137,Table91517[EnergyRating (group)],$A137)</f>
        <v>36873</v>
      </c>
      <c r="F137" s="758">
        <f>SUMIFS(INDEX(Table91517[],,MATCH(F$6,Table91517[#Headers],0)),Table91517[MainSpaceHeatingFuel],$B137,Table91517[EnergyRating (group)],$A137)</f>
        <v>22413</v>
      </c>
      <c r="G137" s="758">
        <f>SUMIFS(INDEX(Table91517[],,MATCH(G$6,Table91517[#Headers],0)),Table91517[MainSpaceHeatingFuel],$B137,Table91517[EnergyRating (group)],$A137)</f>
        <v>4</v>
      </c>
      <c r="H137" s="758">
        <f>SUMIFS(INDEX(Table91517[],,MATCH(H$6,Table91517[#Headers],0)),Table91517[MainSpaceHeatingFuel],$B137,Table91517[EnergyRating (group)],$A137)</f>
        <v>434</v>
      </c>
      <c r="I137" s="950">
        <f>AVERAGEIFS(INDEX(Table91517[],,MATCH(I$6,Table91517[#Headers],0)),Table91517[MainSpaceHeatingFuel],$B137,Table91517[EnergyRating (group)],$A137)</f>
        <v>46.25</v>
      </c>
      <c r="J137" s="849">
        <f>SUMIFS(INDEX(Table91517[],,MATCH(J$6,Table91517[#Headers],0)),Table91517[MainSpaceHeatingFuel],$B137,Table91517[EnergyRating (group)],$A137)</f>
        <v>330680</v>
      </c>
      <c r="K137" s="849">
        <f>SUMIFS(INDEX(Table91517[],,MATCH(K$6,Table91517[#Headers],0)),Table91517[MainSpaceHeatingFuel],$B137,Table91517[EnergyRating (group)],$A137)</f>
        <v>276139</v>
      </c>
      <c r="L137" s="840"/>
      <c r="M137" s="840"/>
      <c r="N137" s="933" t="str">
        <f>RSD_Commodities!$M$35&amp;"_"&amp;RIGHT(P137,LEN(P137)-3)&amp;"_"&amp;SETUP!$B$68</f>
        <v>SH_Det-G_BIOWOO_X1</v>
      </c>
      <c r="O137" s="933" t="str">
        <f>RSD_Commodities!$N$35&amp;"_"&amp;RSD_Commodities!D19&amp;"_"&amp;SETUP!$C$68</f>
        <v>Residential Space Heating Detached-G_Biomass &amp; Renewable Waste to Residential_Existing 01</v>
      </c>
      <c r="P137" s="935" t="str">
        <f>RSD_Commodities!$C$19</f>
        <v>RSDBIOWOO</v>
      </c>
      <c r="Q137" s="935" t="str">
        <f>RSD_Commodities!$M$35</f>
        <v>SH_Det-G</v>
      </c>
      <c r="R137" s="1001">
        <f t="shared" si="66"/>
        <v>1.636929120969062E-4</v>
      </c>
      <c r="S137" s="937">
        <f>R137*DwellingStocks!$I$70/1000</f>
        <v>1.417202670400896E-3</v>
      </c>
      <c r="T137" s="935">
        <v>1</v>
      </c>
      <c r="U137" s="954">
        <f t="shared" si="74"/>
        <v>0.46250000000000002</v>
      </c>
      <c r="V137" s="935">
        <v>20</v>
      </c>
      <c r="W137" s="935">
        <v>1</v>
      </c>
      <c r="X137" s="840"/>
      <c r="Y137" s="928">
        <f t="shared" si="70"/>
        <v>1.4970319495884097E-7</v>
      </c>
      <c r="Z137" s="929">
        <f t="shared" si="71"/>
        <v>1.7179058978306713E-7</v>
      </c>
      <c r="AA137" s="840"/>
      <c r="AB137" s="933" t="s">
        <v>393</v>
      </c>
      <c r="AC137" s="933" t="str">
        <f t="shared" si="72"/>
        <v>SH_Det-G_BIOWOO_X1</v>
      </c>
      <c r="AD137" s="933" t="str">
        <f t="shared" si="73"/>
        <v>Residential Space Heating Detached-G_Biomass &amp; Renewable Waste to Residential_Existing 01</v>
      </c>
      <c r="AE137" s="933" t="s">
        <v>53</v>
      </c>
      <c r="AF137" s="933" t="s">
        <v>406</v>
      </c>
      <c r="AG137" s="933"/>
      <c r="AH137" s="933"/>
      <c r="AI137" s="840"/>
      <c r="AJ137" s="840"/>
      <c r="AK137" s="840"/>
      <c r="AL137" s="840"/>
      <c r="AM137" s="840"/>
      <c r="AN137" s="840"/>
    </row>
    <row r="138" spans="1:41">
      <c r="A138" s="757" t="s">
        <v>124</v>
      </c>
      <c r="B138" s="757" t="s">
        <v>674</v>
      </c>
      <c r="C138" s="757">
        <f>SUMIFS(INDEX(Table91517[],,MATCH(C$6,Table91517[#Headers],0)),Table91517[MainSpaceHeatingFuel],$B138,Table91517[EnergyRating (group)],$A138)</f>
        <v>698932</v>
      </c>
      <c r="D138" s="757">
        <f>SUMIFS(INDEX(Table91517[],,MATCH(D$6,Table91517[#Headers],0)),Table91517[MainSpaceHeatingFuel],$B138,Table91517[EnergyRating (group)],$A138)</f>
        <v>635395</v>
      </c>
      <c r="E138" s="757">
        <f>SUMIFS(INDEX(Table91517[],,MATCH(E$6,Table91517[#Headers],0)),Table91517[MainSpaceHeatingFuel],$B138,Table91517[EnergyRating (group)],$A138)</f>
        <v>95545</v>
      </c>
      <c r="F138" s="757">
        <f>SUMIFS(INDEX(Table91517[],,MATCH(F$6,Table91517[#Headers],0)),Table91517[MainSpaceHeatingFuel],$B138,Table91517[EnergyRating (group)],$A138)</f>
        <v>102654</v>
      </c>
      <c r="G138" s="757">
        <f>SUMIFS(INDEX(Table91517[],,MATCH(G$6,Table91517[#Headers],0)),Table91517[MainSpaceHeatingFuel],$B138,Table91517[EnergyRating (group)],$A138)</f>
        <v>13</v>
      </c>
      <c r="H138" s="757">
        <f>SUMIFS(INDEX(Table91517[],,MATCH(H$6,Table91517[#Headers],0)),Table91517[MainSpaceHeatingFuel],$B138,Table91517[EnergyRating (group)],$A138)</f>
        <v>1432</v>
      </c>
      <c r="I138" s="913">
        <f>AVERAGEIFS(INDEX(Table91517[],,MATCH(I$6,Table91517[#Headers],0)),Table91517[MainSpaceHeatingFuel],$B138,Table91517[EnergyRating (group)],$A138)</f>
        <v>53.3</v>
      </c>
      <c r="J138" s="847">
        <f>SUMIFS(INDEX(Table91517[],,MATCH(J$6,Table91517[#Headers],0)),Table91517[MainSpaceHeatingFuel],"",Table91517[EnergyRating (group)],$A138)</f>
        <v>88999</v>
      </c>
      <c r="K138" s="847">
        <f>SUMIFS(INDEX(Table91517[],,MATCH(K$6,Table91517[#Headers],0)),Table91517[MainSpaceHeatingFuel],"",Table91517[EnergyRating (group)],$A138)</f>
        <v>32962</v>
      </c>
      <c r="L138" s="840"/>
      <c r="M138" s="840"/>
      <c r="N138" s="914" t="str">
        <f>RSD_Commodities!$M$35&amp;"_"&amp;RIGHT(P138,LEN(P138)-3)&amp;"_"&amp;SETUP!$B$68</f>
        <v>SH_Det-G_COAHAR_X1</v>
      </c>
      <c r="O138" s="914" t="str">
        <f>RSD_Commodities!$N$35&amp;"_"&amp;RSD_Commodities!D7&amp;"_"&amp;SETUP!$C$68</f>
        <v>Residential Space Heating Detached-G_Anthracite + Manufactured Ovoids to Residential_Existing 01</v>
      </c>
      <c r="P138" s="930" t="str">
        <f>RSD_Commodities!$C$7</f>
        <v>RSDCOAHAR</v>
      </c>
      <c r="Q138" s="930" t="str">
        <f>RSD_Commodities!$M$35</f>
        <v>SH_Det-G</v>
      </c>
      <c r="R138" s="1000">
        <f t="shared" si="66"/>
        <v>5.3200196431494521E-4</v>
      </c>
      <c r="S138" s="932">
        <f>R138*DwellingStocks!$I$70/1000</f>
        <v>4.605908678802912E-3</v>
      </c>
      <c r="T138" s="930">
        <v>1</v>
      </c>
      <c r="U138" s="916">
        <f t="shared" si="74"/>
        <v>0.53299999999999992</v>
      </c>
      <c r="V138" s="930">
        <v>20</v>
      </c>
      <c r="W138" s="930">
        <v>1</v>
      </c>
      <c r="X138" s="840"/>
      <c r="Y138" s="926">
        <f t="shared" si="70"/>
        <v>1.3970080662254018E-6</v>
      </c>
      <c r="Z138" s="927">
        <f t="shared" si="71"/>
        <v>1.5038171956476585E-6</v>
      </c>
      <c r="AA138" s="840"/>
      <c r="AB138" s="914" t="s">
        <v>393</v>
      </c>
      <c r="AC138" s="914" t="str">
        <f t="shared" si="72"/>
        <v>SH_Det-G_COAHAR_X1</v>
      </c>
      <c r="AD138" s="914" t="str">
        <f t="shared" si="73"/>
        <v>Residential Space Heating Detached-G_Anthracite + Manufactured Ovoids to Residential_Existing 01</v>
      </c>
      <c r="AE138" s="914" t="s">
        <v>53</v>
      </c>
      <c r="AF138" s="914" t="s">
        <v>406</v>
      </c>
      <c r="AG138" s="914"/>
      <c r="AH138" s="914"/>
      <c r="AI138" s="840"/>
      <c r="AJ138" s="840"/>
      <c r="AK138" s="840"/>
      <c r="AL138" s="840"/>
      <c r="AM138" s="840"/>
      <c r="AN138" s="840"/>
    </row>
    <row r="139" spans="1:41">
      <c r="A139" s="840"/>
      <c r="B139" s="840"/>
      <c r="C139" s="840"/>
      <c r="D139" s="840"/>
      <c r="E139" s="840"/>
      <c r="F139" s="840"/>
      <c r="G139" s="840"/>
      <c r="H139" s="840"/>
      <c r="I139" s="840"/>
      <c r="J139" s="840"/>
      <c r="K139" s="840"/>
      <c r="L139" s="840"/>
      <c r="M139" s="840"/>
      <c r="N139" s="840"/>
      <c r="O139" s="840"/>
      <c r="P139" s="840"/>
      <c r="Q139" s="840"/>
      <c r="R139" s="840"/>
      <c r="S139" s="840"/>
      <c r="T139" s="840"/>
      <c r="U139" s="840"/>
      <c r="V139" s="840"/>
      <c r="W139" s="840"/>
      <c r="X139" s="840"/>
      <c r="Y139" s="840"/>
      <c r="Z139" s="840"/>
      <c r="AA139" s="840"/>
      <c r="AB139" s="840"/>
      <c r="AC139" s="840"/>
      <c r="AD139" s="840"/>
      <c r="AE139" s="840"/>
      <c r="AF139" s="840"/>
      <c r="AG139" s="840"/>
      <c r="AH139" s="840"/>
      <c r="AI139" s="840"/>
      <c r="AJ139" s="840"/>
      <c r="AK139" s="840"/>
      <c r="AL139" s="840"/>
      <c r="AM139" s="840"/>
      <c r="AN139" s="840"/>
      <c r="AO139" s="840"/>
    </row>
    <row r="140" spans="1:41">
      <c r="A140" s="840"/>
      <c r="B140" s="840"/>
      <c r="C140" s="840"/>
      <c r="D140" s="840"/>
      <c r="E140" s="840"/>
      <c r="F140" s="840"/>
      <c r="G140" s="840"/>
      <c r="H140" s="840"/>
      <c r="I140" s="840"/>
      <c r="J140" s="840"/>
      <c r="K140" s="840"/>
      <c r="L140" s="840"/>
      <c r="M140" s="840"/>
      <c r="N140" s="840"/>
      <c r="O140" s="840"/>
      <c r="P140" s="840"/>
      <c r="Q140" s="840"/>
      <c r="R140" s="840"/>
      <c r="S140" s="840"/>
      <c r="T140" s="840"/>
      <c r="U140" s="840"/>
      <c r="V140" s="840"/>
      <c r="W140" s="840"/>
      <c r="X140" s="840"/>
      <c r="Y140" s="840"/>
      <c r="Z140" s="840"/>
      <c r="AA140" s="840"/>
      <c r="AB140" s="840"/>
      <c r="AC140" s="840"/>
      <c r="AD140" s="840"/>
      <c r="AE140" s="840"/>
      <c r="AF140" s="840"/>
      <c r="AG140" s="840"/>
      <c r="AH140" s="840"/>
      <c r="AI140" s="840"/>
      <c r="AJ140" s="840"/>
      <c r="AK140" s="840"/>
      <c r="AL140" s="840"/>
      <c r="AM140" s="840"/>
      <c r="AN140" s="840"/>
      <c r="AO140" s="840"/>
    </row>
    <row r="141" spans="1:41" ht="21">
      <c r="A141" s="840"/>
      <c r="B141" s="840"/>
      <c r="C141" s="840"/>
      <c r="D141" s="840"/>
      <c r="E141" s="840"/>
      <c r="F141" s="840"/>
      <c r="G141" s="840"/>
      <c r="H141" s="840"/>
      <c r="I141" s="840"/>
      <c r="J141" s="840"/>
      <c r="K141" s="840"/>
      <c r="L141" s="840"/>
      <c r="M141" s="840"/>
      <c r="N141" s="138" t="s">
        <v>844</v>
      </c>
      <c r="O141" s="138"/>
      <c r="P141" s="138"/>
      <c r="Q141" s="142" t="s">
        <v>372</v>
      </c>
      <c r="R141" s="85"/>
      <c r="S141" s="85"/>
      <c r="T141" s="85"/>
      <c r="U141" s="85"/>
      <c r="V141" s="85"/>
      <c r="W141" s="85"/>
      <c r="X141" s="90"/>
      <c r="Y141" s="96" t="s">
        <v>561</v>
      </c>
      <c r="Z141" s="866"/>
      <c r="AA141" s="840"/>
      <c r="AB141" s="68" t="s">
        <v>373</v>
      </c>
      <c r="AC141" s="68"/>
      <c r="AD141" s="839"/>
      <c r="AE141" s="839"/>
      <c r="AF141" s="839"/>
      <c r="AG141" s="839"/>
      <c r="AH141" s="839"/>
      <c r="AI141" s="840"/>
      <c r="AJ141" s="840"/>
      <c r="AK141" s="840"/>
      <c r="AL141" s="840"/>
      <c r="AM141" s="840"/>
      <c r="AN141" s="840"/>
      <c r="AO141" s="840"/>
    </row>
    <row r="142" spans="1:41" ht="21.75" thickBot="1">
      <c r="A142" s="139" t="s">
        <v>843</v>
      </c>
      <c r="B142" s="139"/>
      <c r="C142" s="139"/>
      <c r="D142" s="139"/>
      <c r="E142" s="139"/>
      <c r="F142" s="139"/>
      <c r="G142" s="139"/>
      <c r="H142" s="139"/>
      <c r="I142" s="139"/>
      <c r="J142" s="139"/>
      <c r="K142" s="139"/>
      <c r="L142" s="840"/>
      <c r="M142" s="840"/>
      <c r="N142" s="73" t="s">
        <v>374</v>
      </c>
      <c r="O142" s="73" t="s">
        <v>397</v>
      </c>
      <c r="P142" s="73" t="s">
        <v>376</v>
      </c>
      <c r="Q142" s="73" t="s">
        <v>377</v>
      </c>
      <c r="R142" s="73" t="s">
        <v>562</v>
      </c>
      <c r="S142" s="86" t="s">
        <v>398</v>
      </c>
      <c r="T142" s="73" t="s">
        <v>811</v>
      </c>
      <c r="U142" s="86" t="s">
        <v>378</v>
      </c>
      <c r="V142" s="86" t="s">
        <v>380</v>
      </c>
      <c r="W142" s="86" t="s">
        <v>400</v>
      </c>
      <c r="X142" s="91"/>
      <c r="Y142" s="94" t="s">
        <v>563</v>
      </c>
      <c r="Z142" s="95" t="s">
        <v>564</v>
      </c>
      <c r="AA142" s="840"/>
      <c r="AB142" s="73" t="s">
        <v>385</v>
      </c>
      <c r="AC142" s="73" t="s">
        <v>374</v>
      </c>
      <c r="AD142" s="73" t="s">
        <v>375</v>
      </c>
      <c r="AE142" s="73" t="s">
        <v>386</v>
      </c>
      <c r="AF142" s="73" t="s">
        <v>387</v>
      </c>
      <c r="AG142" s="73" t="s">
        <v>388</v>
      </c>
      <c r="AH142" s="73" t="s">
        <v>389</v>
      </c>
      <c r="AI142" s="840"/>
      <c r="AJ142" s="840"/>
      <c r="AK142" s="840"/>
      <c r="AL142" s="840"/>
      <c r="AM142" s="840"/>
      <c r="AN142" s="840"/>
      <c r="AO142" s="840"/>
    </row>
    <row r="143" spans="1:41" ht="26.25" customHeight="1" thickBot="1">
      <c r="A143" s="756" t="s">
        <v>108</v>
      </c>
      <c r="B143" s="756"/>
      <c r="C143" s="756" t="s">
        <v>565</v>
      </c>
      <c r="D143" s="756" t="s">
        <v>565</v>
      </c>
      <c r="E143" s="756" t="s">
        <v>565</v>
      </c>
      <c r="F143" s="756" t="s">
        <v>565</v>
      </c>
      <c r="G143" s="756" t="s">
        <v>825</v>
      </c>
      <c r="H143" s="756" t="s">
        <v>567</v>
      </c>
      <c r="I143" s="1004" t="s">
        <v>826</v>
      </c>
      <c r="J143" s="756" t="s">
        <v>565</v>
      </c>
      <c r="K143" s="962" t="s">
        <v>565</v>
      </c>
      <c r="L143" s="135"/>
      <c r="M143" s="840"/>
      <c r="N143" s="74" t="s">
        <v>402</v>
      </c>
      <c r="O143" s="74" t="s">
        <v>403</v>
      </c>
      <c r="P143" s="74" t="s">
        <v>404</v>
      </c>
      <c r="Q143" s="74" t="s">
        <v>405</v>
      </c>
      <c r="R143" s="74"/>
      <c r="S143" s="89" t="s">
        <v>406</v>
      </c>
      <c r="T143" s="74"/>
      <c r="U143" s="87" t="s">
        <v>568</v>
      </c>
      <c r="V143" s="87"/>
      <c r="W143" s="87"/>
      <c r="X143" s="92"/>
      <c r="Y143" s="732" t="s">
        <v>53</v>
      </c>
      <c r="Z143" s="733" t="s">
        <v>53</v>
      </c>
      <c r="AA143" s="92"/>
      <c r="AB143" s="75" t="s">
        <v>370</v>
      </c>
      <c r="AC143" s="75"/>
      <c r="AD143" s="74"/>
      <c r="AE143" s="75"/>
      <c r="AF143" s="75"/>
      <c r="AG143" s="75"/>
      <c r="AH143" s="75"/>
      <c r="AI143" s="840"/>
      <c r="AJ143" s="840"/>
      <c r="AK143" s="840"/>
      <c r="AL143" s="840"/>
      <c r="AM143" s="840"/>
      <c r="AN143" s="840"/>
      <c r="AO143" s="840"/>
    </row>
    <row r="144" spans="1:41" ht="26.25" customHeight="1" thickBot="1">
      <c r="A144" s="945" t="s">
        <v>569</v>
      </c>
      <c r="B144" s="946" t="s">
        <v>589</v>
      </c>
      <c r="C144" s="946" t="s">
        <v>659</v>
      </c>
      <c r="D144" s="946" t="s">
        <v>660</v>
      </c>
      <c r="E144" s="946" t="s">
        <v>661</v>
      </c>
      <c r="F144" s="946" t="s">
        <v>662</v>
      </c>
      <c r="G144" s="946" t="s">
        <v>575</v>
      </c>
      <c r="H144" s="946" t="s">
        <v>576</v>
      </c>
      <c r="I144" s="958" t="s">
        <v>827</v>
      </c>
      <c r="J144" s="945" t="s">
        <v>829</v>
      </c>
      <c r="K144" s="963" t="s">
        <v>828</v>
      </c>
      <c r="L144" s="135"/>
      <c r="M144" s="840"/>
      <c r="N144" s="76" t="str">
        <f>AB144</f>
        <v>*A Rating</v>
      </c>
      <c r="O144" s="76"/>
      <c r="P144" s="76"/>
      <c r="Q144" s="76"/>
      <c r="R144" s="949">
        <f>SUM(R145:R154)</f>
        <v>1</v>
      </c>
      <c r="S144" s="76"/>
      <c r="T144" s="97"/>
      <c r="U144" s="76"/>
      <c r="V144" s="76"/>
      <c r="W144" s="76"/>
      <c r="X144" s="93"/>
      <c r="Y144" s="76"/>
      <c r="Z144" s="76"/>
      <c r="AA144" s="93"/>
      <c r="AB144" s="140" t="str">
        <f>"*"&amp;A143&amp;" Rating"</f>
        <v>*A Rating</v>
      </c>
      <c r="AC144" s="141"/>
      <c r="AD144" s="141"/>
      <c r="AE144" s="141"/>
      <c r="AF144" s="141"/>
      <c r="AG144" s="141"/>
      <c r="AH144" s="141"/>
      <c r="AI144" s="840"/>
      <c r="AJ144" s="840"/>
      <c r="AK144" s="840"/>
      <c r="AL144" s="840"/>
      <c r="AM144" s="840"/>
      <c r="AN144" s="840"/>
      <c r="AO144" s="840"/>
    </row>
    <row r="145" spans="1:41">
      <c r="A145" s="757" t="s">
        <v>108</v>
      </c>
      <c r="B145" s="757" t="s">
        <v>582</v>
      </c>
      <c r="C145" s="757">
        <f>SUMIFS(INDEX(Table91517[],,MATCH(C$144,Table91517[#Headers],0)),Table91517[MainWaterHeatingFuel],$B145,Table91517[EnergyRating (group)],$A145)</f>
        <v>216487</v>
      </c>
      <c r="D145" s="757">
        <f>SUMIFS(INDEX(Table91517[],,MATCH(D$144,Table91517[#Headers],0)),Table91517[MainWaterHeatingFuel],$B145,Table91517[EnergyRating (group)],$A145)</f>
        <v>196808</v>
      </c>
      <c r="E145" s="760">
        <f>SUMIFS(INDEX(Table91517[],,MATCH(E$144,Table91517[#Headers],0)),Table91517[MainWaterHeatingFuel],$B145,Table91517[EnergyRating (group)],$A145)</f>
        <v>357</v>
      </c>
      <c r="F145" s="760">
        <f>SUMIFS(INDEX(Table91517[],,MATCH(F$144,Table91517[#Headers],0)),Table91517[MainWaterHeatingFuel],$B145,Table91517[EnergyRating (group)],$A145)</f>
        <v>132</v>
      </c>
      <c r="G145" s="757">
        <f>SUMIFS(INDEX(Table91517[],,MATCH(G$144,Table91517[#Headers],0)),Table91517[MainWaterHeatingFuel],$B145,Table91517[EnergyRating (group)],$A145)</f>
        <v>60</v>
      </c>
      <c r="H145" s="757">
        <f>SUMIFS(INDEX(Table91517[],,MATCH(H$144,Table91517[#Headers],0)),Table91517[MainWaterHeatingFuel],$B145,Table91517[EnergyRating (group)],$A145)</f>
        <v>12355</v>
      </c>
      <c r="I145" s="959"/>
      <c r="J145" s="968">
        <f t="shared" ref="J145:K164" si="75">C145+E145</f>
        <v>216844</v>
      </c>
      <c r="K145" s="965">
        <f t="shared" si="75"/>
        <v>196940</v>
      </c>
      <c r="L145" s="840"/>
      <c r="M145" s="840"/>
      <c r="N145" s="914" t="str">
        <f>RSD_Commodities!$M$81&amp;"_"&amp;RIGHT(P145,LEN(P145)-3)&amp;"_"&amp;SETUP!$B$67</f>
        <v>WH_Det-A_OILLPG_X0</v>
      </c>
      <c r="O145" s="914" t="str">
        <f>RSD_Commodities!$N$81&amp;"_"&amp;RSD_Commodities!D11&amp;"_"&amp;SETUP!$C$67</f>
        <v>Residential Water Heating Detached-A_LPG to Residential_Existing 00</v>
      </c>
      <c r="P145" s="915" t="str">
        <f>RSD_Commodities!$C$11</f>
        <v>RSDOILLPG</v>
      </c>
      <c r="Q145" s="930" t="str">
        <f>RSD_Commodities!$M$81</f>
        <v>WH_Det-A</v>
      </c>
      <c r="R145" s="1000">
        <f>G145/SUM($G$145:$G$154)</f>
        <v>6.0777957860615886E-3</v>
      </c>
      <c r="S145" s="932">
        <f>R145*DwellingStocks!$I$62/1000</f>
        <v>6.4096533404633602E-2</v>
      </c>
      <c r="T145" s="914">
        <v>1</v>
      </c>
      <c r="U145" s="914">
        <f>K145/J145</f>
        <v>0.90821051078194459</v>
      </c>
      <c r="V145" s="930">
        <v>20</v>
      </c>
      <c r="W145" s="930">
        <v>1</v>
      </c>
      <c r="X145" s="866"/>
      <c r="Y145" s="924">
        <f>ABS((K145)*S145*1000*$B$2)</f>
        <v>5.1876046391952916E-6</v>
      </c>
      <c r="Z145" s="925">
        <f>ABS((J145)*S145*1000*$B$2)</f>
        <v>5.7118967217511105E-6</v>
      </c>
      <c r="AA145" s="866"/>
      <c r="AB145" s="914" t="s">
        <v>393</v>
      </c>
      <c r="AC145" s="914" t="str">
        <f t="shared" ref="AC145:AD146" si="76">N145</f>
        <v>WH_Det-A_OILLPG_X0</v>
      </c>
      <c r="AD145" s="915" t="str">
        <f t="shared" si="76"/>
        <v>Residential Water Heating Detached-A_LPG to Residential_Existing 00</v>
      </c>
      <c r="AE145" s="914" t="s">
        <v>53</v>
      </c>
      <c r="AF145" s="916" t="s">
        <v>406</v>
      </c>
      <c r="AG145" s="914"/>
      <c r="AH145" s="914"/>
      <c r="AI145" s="840"/>
      <c r="AJ145" s="840"/>
      <c r="AK145" s="840"/>
      <c r="AL145" s="840"/>
      <c r="AM145" s="840"/>
      <c r="AN145" s="840"/>
      <c r="AO145" s="840"/>
    </row>
    <row r="146" spans="1:41" ht="15.75" thickBot="1">
      <c r="A146" s="758" t="s">
        <v>108</v>
      </c>
      <c r="B146" s="758" t="s">
        <v>228</v>
      </c>
      <c r="C146" s="758">
        <f>SUMIFS(INDEX(Table91517[],,MATCH(C$144,Table91517[#Headers],0)),Table91517[MainWaterHeatingFuel],$B146,Table91517[EnergyRating (group)],$A146)</f>
        <v>33026220</v>
      </c>
      <c r="D146" s="758">
        <f>SUMIFS(INDEX(Table91517[],,MATCH(D$144,Table91517[#Headers],0)),Table91517[MainWaterHeatingFuel],$B146,Table91517[EnergyRating (group)],$A146)</f>
        <v>12231929</v>
      </c>
      <c r="E146" s="758">
        <f>SUMIFS(INDEX(Table91517[],,MATCH(E$144,Table91517[#Headers],0)),Table91517[MainWaterHeatingFuel],$B146,Table91517[EnergyRating (group)],$A146)</f>
        <v>34059</v>
      </c>
      <c r="F146" s="758">
        <f>SUMIFS(INDEX(Table91517[],,MATCH(F$144,Table91517[#Headers],0)),Table91517[MainWaterHeatingFuel],$B146,Table91517[EnergyRating (group)],$A146)</f>
        <v>12612</v>
      </c>
      <c r="G146" s="758">
        <f>SUMIFS(INDEX(Table91517[],,MATCH(G$144,Table91517[#Headers],0)),Table91517[MainWaterHeatingFuel],$B146,Table91517[EnergyRating (group)],$A146)</f>
        <v>6172</v>
      </c>
      <c r="H146" s="758">
        <f>SUMIFS(INDEX(Table91517[],,MATCH(H$144,Table91517[#Headers],0)),Table91517[MainWaterHeatingFuel],$B146,Table91517[EnergyRating (group)],$A146)</f>
        <v>1325862</v>
      </c>
      <c r="I146" s="960"/>
      <c r="J146" s="969">
        <f t="shared" si="75"/>
        <v>33060279</v>
      </c>
      <c r="K146" s="967">
        <f t="shared" si="75"/>
        <v>12244541</v>
      </c>
      <c r="L146" s="840"/>
      <c r="M146" s="840"/>
      <c r="N146" s="933" t="str">
        <f>RSD_Commodities!$M$81&amp;"_"&amp;RIGHT(P146,LEN(P146)-3)&amp;"_"&amp;SETUP!$B$67</f>
        <v>WH_Det-A_ELCD_X0</v>
      </c>
      <c r="O146" s="933" t="str">
        <f>RSD_Commodities!$N$81&amp;"_"&amp;RSD_Commodities!D27&amp;"_"&amp;SETUP!$C$67</f>
        <v>Residential Water Heating Detached-A_Electricity to Residential_Existing 00</v>
      </c>
      <c r="P146" s="934" t="str">
        <f>RSD_Commodities!$C$27</f>
        <v>RSDELCD</v>
      </c>
      <c r="Q146" s="935" t="str">
        <f>RSD_Commodities!$M$81</f>
        <v>WH_Det-A</v>
      </c>
      <c r="R146" s="1001">
        <f t="shared" ref="R146:R154" si="77">G146/SUM($G$145:$G$154)</f>
        <v>0.62520259319286875</v>
      </c>
      <c r="S146" s="937">
        <f>R146*DwellingStocks!$I$62/1000</f>
        <v>6.5933967362233101</v>
      </c>
      <c r="T146" s="933">
        <v>1</v>
      </c>
      <c r="U146" s="954">
        <f t="shared" ref="U146:U147" si="78">K146/J146</f>
        <v>0.37037016535764866</v>
      </c>
      <c r="V146" s="935">
        <v>20</v>
      </c>
      <c r="W146" s="935">
        <v>1</v>
      </c>
      <c r="X146" s="866"/>
      <c r="Y146" s="926">
        <f t="shared" ref="Y146:Y147" si="79">ABS((K146)*S146*1000*$B$2)</f>
        <v>3.3177993150391445E-2</v>
      </c>
      <c r="Z146" s="927">
        <f t="shared" ref="Z146:Z147" si="80">ABS((J146)*S146*1000*$B$2)</f>
        <v>8.9580631092013183E-2</v>
      </c>
      <c r="AA146" s="866"/>
      <c r="AB146" s="66" t="s">
        <v>393</v>
      </c>
      <c r="AC146" s="66" t="str">
        <f t="shared" si="76"/>
        <v>WH_Det-A_ELCD_X0</v>
      </c>
      <c r="AD146" s="83" t="str">
        <f t="shared" si="76"/>
        <v>Residential Water Heating Detached-A_Electricity to Residential_Existing 00</v>
      </c>
      <c r="AE146" s="66" t="s">
        <v>53</v>
      </c>
      <c r="AF146" s="88" t="s">
        <v>406</v>
      </c>
      <c r="AG146" s="66"/>
      <c r="AH146" s="66"/>
      <c r="AI146" s="840"/>
      <c r="AJ146" s="840"/>
      <c r="AK146" s="840"/>
      <c r="AL146" s="840"/>
      <c r="AM146" s="840"/>
      <c r="AN146" s="840"/>
      <c r="AO146" s="840"/>
    </row>
    <row r="147" spans="1:41">
      <c r="A147" s="757" t="s">
        <v>108</v>
      </c>
      <c r="B147" s="757" t="s">
        <v>583</v>
      </c>
      <c r="C147" s="757">
        <f>SUMIFS(INDEX(Table91517[],,MATCH(C$144,Table91517[#Headers],0)),Table91517[MainWaterHeatingFuel],$B147,Table91517[EnergyRating (group)],$A147)</f>
        <v>4591260</v>
      </c>
      <c r="D147" s="757">
        <f>SUMIFS(INDEX(Table91517[],,MATCH(D$144,Table91517[#Headers],0)),Table91517[MainWaterHeatingFuel],$B147,Table91517[EnergyRating (group)],$A147)</f>
        <v>4173875</v>
      </c>
      <c r="E147" s="760">
        <f>SUMIFS(INDEX(Table91517[],,MATCH(E$144,Table91517[#Headers],0)),Table91517[MainWaterHeatingFuel],$B147,Table91517[EnergyRating (group)],$A147)</f>
        <v>32030</v>
      </c>
      <c r="F147" s="760">
        <f>SUMIFS(INDEX(Table91517[],,MATCH(F$144,Table91517[#Headers],0)),Table91517[MainWaterHeatingFuel],$B147,Table91517[EnergyRating (group)],$A147)</f>
        <v>11863</v>
      </c>
      <c r="G147" s="757">
        <f>SUMIFS(INDEX(Table91517[],,MATCH(G$144,Table91517[#Headers],0)),Table91517[MainWaterHeatingFuel],$B147,Table91517[EnergyRating (group)],$A147)</f>
        <v>1232</v>
      </c>
      <c r="H147" s="757">
        <f>SUMIFS(INDEX(Table91517[],,MATCH(H$144,Table91517[#Headers],0)),Table91517[MainWaterHeatingFuel],$B147,Table91517[EnergyRating (group)],$A147)</f>
        <v>251983</v>
      </c>
      <c r="I147" s="959"/>
      <c r="J147" s="968">
        <f t="shared" si="75"/>
        <v>4623290</v>
      </c>
      <c r="K147" s="965">
        <f t="shared" si="75"/>
        <v>4185738</v>
      </c>
      <c r="L147" s="840"/>
      <c r="M147" s="840"/>
      <c r="N147" s="914" t="str">
        <f>RSD_Commodities!$M$81&amp;"_"&amp;RIGHT(P147,LEN(P147)-3)&amp;"_"&amp;SETUP!$B$67</f>
        <v>WH_Det-A_OILKER_X0</v>
      </c>
      <c r="O147" s="914" t="str">
        <f>RSD_Commodities!$N$81&amp;"_"&amp;RSD_Commodities!D13&amp;"_"&amp;SETUP!$C$67</f>
        <v>Residential Water Heating Detached-A_Kerosene to Residential_Existing 00</v>
      </c>
      <c r="P147" s="915" t="str">
        <f>RSD_Commodities!$C$13</f>
        <v>RSDOILKER</v>
      </c>
      <c r="Q147" s="930" t="str">
        <f>RSD_Commodities!$M$81</f>
        <v>WH_Det-A</v>
      </c>
      <c r="R147" s="1000">
        <f t="shared" si="77"/>
        <v>0.12479740680713128</v>
      </c>
      <c r="S147" s="932">
        <f>R147*DwellingStocks!$I$62/1000</f>
        <v>1.3161154859084765</v>
      </c>
      <c r="T147" s="914">
        <v>1</v>
      </c>
      <c r="U147" s="914">
        <f t="shared" si="78"/>
        <v>0.90535917063389926</v>
      </c>
      <c r="V147" s="930">
        <v>20</v>
      </c>
      <c r="W147" s="930">
        <v>1</v>
      </c>
      <c r="X147" s="866"/>
      <c r="Y147" s="924">
        <f t="shared" si="79"/>
        <v>2.2639375075707842E-3</v>
      </c>
      <c r="Z147" s="925">
        <f t="shared" si="80"/>
        <v>2.5005959855530693E-3</v>
      </c>
      <c r="AA147" s="866"/>
      <c r="AB147" s="914" t="s">
        <v>393</v>
      </c>
      <c r="AC147" s="914" t="str">
        <f t="shared" ref="AC147:AC154" si="81">N147</f>
        <v>WH_Det-A_OILKER_X0</v>
      </c>
      <c r="AD147" s="915" t="str">
        <f t="shared" ref="AD147:AD154" si="82">O147</f>
        <v>Residential Water Heating Detached-A_Kerosene to Residential_Existing 00</v>
      </c>
      <c r="AE147" s="914" t="s">
        <v>53</v>
      </c>
      <c r="AF147" s="916" t="s">
        <v>406</v>
      </c>
      <c r="AG147" s="914"/>
      <c r="AH147" s="914"/>
      <c r="AI147" s="840"/>
      <c r="AJ147" s="840"/>
      <c r="AK147" s="840"/>
      <c r="AL147" s="840"/>
      <c r="AM147" s="840"/>
      <c r="AN147" s="840"/>
      <c r="AO147" s="840"/>
    </row>
    <row r="148" spans="1:41" ht="15.75" thickBot="1">
      <c r="A148" s="758" t="s">
        <v>108</v>
      </c>
      <c r="B148" s="758" t="s">
        <v>584</v>
      </c>
      <c r="C148" s="758">
        <f>SUMIFS(INDEX(Table91517[],,MATCH(C$144,Table91517[#Headers],0)),Table91517[MainWaterHeatingFuel],$B148,Table91517[EnergyRating (group)],$A148)</f>
        <v>8570834</v>
      </c>
      <c r="D148" s="758">
        <f>SUMIFS(INDEX(Table91517[],,MATCH(D$144,Table91517[#Headers],0)),Table91517[MainWaterHeatingFuel],$B148,Table91517[EnergyRating (group)],$A148)</f>
        <v>7791666</v>
      </c>
      <c r="E148" s="758">
        <f>SUMIFS(INDEX(Table91517[],,MATCH(E$144,Table91517[#Headers],0)),Table91517[MainWaterHeatingFuel],$B148,Table91517[EnergyRating (group)],$A148)</f>
        <v>5715</v>
      </c>
      <c r="F148" s="758">
        <f>SUMIFS(INDEX(Table91517[],,MATCH(F$144,Table91517[#Headers],0)),Table91517[MainWaterHeatingFuel],$B148,Table91517[EnergyRating (group)],$A148)</f>
        <v>2117</v>
      </c>
      <c r="G148" s="758">
        <f>SUMIFS(INDEX(Table91517[],,MATCH(G$144,Table91517[#Headers],0)),Table91517[MainWaterHeatingFuel],$B148,Table91517[EnergyRating (group)],$A148)</f>
        <v>2316</v>
      </c>
      <c r="H148" s="758">
        <f>SUMIFS(INDEX(Table91517[],,MATCH(H$144,Table91517[#Headers],0)),Table91517[MainWaterHeatingFuel],$B148,Table91517[EnergyRating (group)],$A148)</f>
        <v>381436</v>
      </c>
      <c r="I148" s="960"/>
      <c r="J148" s="969">
        <f>C148+E148</f>
        <v>8576549</v>
      </c>
      <c r="K148" s="967">
        <f t="shared" si="75"/>
        <v>7793783</v>
      </c>
      <c r="L148" s="840"/>
      <c r="M148" s="840"/>
      <c r="N148" s="933" t="str">
        <f>RSD_Commodities!$M$81&amp;"_"&amp;RIGHT(P148,LEN(P148)-3)&amp;"_"&amp;SETUP!$B$67</f>
        <v>WH_Det-A_GASNAT_X0</v>
      </c>
      <c r="O148" s="933" t="str">
        <f>RSD_Commodities!$N$81&amp;"_"&amp;RSD_Commodities!D17&amp;"_"&amp;SETUP!$C$67</f>
        <v>Residential Water Heating Detached-A_Natural Gas to Residential_Existing 00</v>
      </c>
      <c r="P148" s="934" t="str">
        <f>RSD_Commodities!$C$17</f>
        <v>RSDGASNAT</v>
      </c>
      <c r="Q148" s="935" t="str">
        <f>RSD_Commodities!$M$81</f>
        <v>WH_Det-A</v>
      </c>
      <c r="R148" s="1001">
        <f t="shared" si="77"/>
        <v>0.2346029173419773</v>
      </c>
      <c r="S148" s="937">
        <f>R148*DwellingStocks!$I$62/1000</f>
        <v>2.4741261894188566</v>
      </c>
      <c r="T148" s="933">
        <v>1</v>
      </c>
      <c r="U148" s="954">
        <f t="shared" ref="U148:U154" si="83">K148/J148</f>
        <v>0.90873182208834813</v>
      </c>
      <c r="V148" s="935">
        <v>20</v>
      </c>
      <c r="W148" s="935">
        <v>1</v>
      </c>
      <c r="X148" s="866"/>
      <c r="Y148" s="926">
        <f t="shared" ref="Y148:Y154" si="84">ABS((K148)*S148*1000*$B$2)</f>
        <v>7.9244394390195066E-3</v>
      </c>
      <c r="Z148" s="927">
        <f t="shared" ref="Z148:Z154" si="85">ABS((J148)*S148*1000*$B$2)</f>
        <v>8.7203278749592231E-3</v>
      </c>
      <c r="AA148" s="866"/>
      <c r="AB148" s="66" t="s">
        <v>393</v>
      </c>
      <c r="AC148" s="66" t="str">
        <f t="shared" si="81"/>
        <v>WH_Det-A_GASNAT_X0</v>
      </c>
      <c r="AD148" s="83" t="str">
        <f t="shared" si="82"/>
        <v>Residential Water Heating Detached-A_Natural Gas to Residential_Existing 00</v>
      </c>
      <c r="AE148" s="66" t="s">
        <v>53</v>
      </c>
      <c r="AF148" s="88" t="s">
        <v>406</v>
      </c>
      <c r="AG148" s="66"/>
      <c r="AH148" s="66"/>
      <c r="AI148" s="840"/>
      <c r="AJ148" s="840"/>
      <c r="AK148" s="840"/>
      <c r="AL148" s="840"/>
      <c r="AM148" s="840"/>
      <c r="AN148" s="840"/>
      <c r="AO148" s="840"/>
    </row>
    <row r="149" spans="1:41">
      <c r="A149" s="757" t="s">
        <v>108</v>
      </c>
      <c r="B149" s="757" t="s">
        <v>585</v>
      </c>
      <c r="C149" s="757">
        <f>SUMIFS(INDEX(Table91517[],,MATCH(C$144,Table91517[#Headers],0)),Table91517[MainWaterHeatingFuel],$B149,Table91517[EnergyRating (group)],$A149)</f>
        <v>101798</v>
      </c>
      <c r="D149" s="757">
        <f>SUMIFS(INDEX(Table91517[],,MATCH(D$144,Table91517[#Headers],0)),Table91517[MainWaterHeatingFuel],$B149,Table91517[EnergyRating (group)],$A149)</f>
        <v>92544</v>
      </c>
      <c r="E149" s="760">
        <f>SUMIFS(INDEX(Table91517[],,MATCH(E$144,Table91517[#Headers],0)),Table91517[MainWaterHeatingFuel],$B149,Table91517[EnergyRating (group)],$A149)</f>
        <v>0</v>
      </c>
      <c r="F149" s="760">
        <f>SUMIFS(INDEX(Table91517[],,MATCH(F$144,Table91517[#Headers],0)),Table91517[MainWaterHeatingFuel],$B149,Table91517[EnergyRating (group)],$A149)</f>
        <v>0</v>
      </c>
      <c r="G149" s="757">
        <f>SUMIFS(INDEX(Table91517[],,MATCH(G$144,Table91517[#Headers],0)),Table91517[MainWaterHeatingFuel],$B149,Table91517[EnergyRating (group)],$A149)</f>
        <v>30</v>
      </c>
      <c r="H149" s="757">
        <f>SUMIFS(INDEX(Table91517[],,MATCH(H$144,Table91517[#Headers],0)),Table91517[MainWaterHeatingFuel],$B149,Table91517[EnergyRating (group)],$A149)</f>
        <v>6304</v>
      </c>
      <c r="I149" s="959"/>
      <c r="J149" s="968">
        <f t="shared" ref="J149:J154" si="86">C149+E149</f>
        <v>101798</v>
      </c>
      <c r="K149" s="965">
        <f t="shared" ref="K149:K154" si="87">D149+F149</f>
        <v>92544</v>
      </c>
      <c r="L149" s="840"/>
      <c r="M149" s="840"/>
      <c r="N149" s="914" t="str">
        <f>RSD_Commodities!$M$81&amp;"_"&amp;RIGHT(P149,LEN(P149)-3)&amp;"_"&amp;SETUP!$B$67</f>
        <v>WH_Det-A_BIOWOO_X0</v>
      </c>
      <c r="O149" s="914" t="str">
        <f>RSD_Commodities!$N$81&amp;"_"&amp;RSD_Commodities!D19&amp;"_"&amp;SETUP!$C$67</f>
        <v>Residential Water Heating Detached-A_Biomass &amp; Renewable Waste to Residential_Existing 00</v>
      </c>
      <c r="P149" s="915" t="str">
        <f>RSD_Commodities!$C$19</f>
        <v>RSDBIOWOO</v>
      </c>
      <c r="Q149" s="930" t="str">
        <f>RSD_Commodities!$M$81</f>
        <v>WH_Det-A</v>
      </c>
      <c r="R149" s="1000">
        <f t="shared" si="77"/>
        <v>3.0388978930307943E-3</v>
      </c>
      <c r="S149" s="932">
        <f>R149*DwellingStocks!$I$62/1000</f>
        <v>3.2048266702316801E-2</v>
      </c>
      <c r="T149" s="914">
        <v>1</v>
      </c>
      <c r="U149" s="914">
        <f t="shared" si="83"/>
        <v>0.90909448122752901</v>
      </c>
      <c r="V149" s="930">
        <v>20</v>
      </c>
      <c r="W149" s="930">
        <v>1</v>
      </c>
      <c r="X149" s="866"/>
      <c r="Y149" s="924">
        <f t="shared" si="84"/>
        <v>1.2188526549448793E-6</v>
      </c>
      <c r="Z149" s="925">
        <f t="shared" si="85"/>
        <v>1.3407326522311422E-6</v>
      </c>
      <c r="AA149" s="866"/>
      <c r="AB149" s="914" t="s">
        <v>393</v>
      </c>
      <c r="AC149" s="914" t="str">
        <f t="shared" si="81"/>
        <v>WH_Det-A_BIOWOO_X0</v>
      </c>
      <c r="AD149" s="915" t="str">
        <f t="shared" si="82"/>
        <v>Residential Water Heating Detached-A_Biomass &amp; Renewable Waste to Residential_Existing 00</v>
      </c>
      <c r="AE149" s="914" t="s">
        <v>53</v>
      </c>
      <c r="AF149" s="916" t="s">
        <v>406</v>
      </c>
      <c r="AG149" s="914"/>
      <c r="AH149" s="914"/>
      <c r="AI149" s="840"/>
      <c r="AJ149" s="840"/>
      <c r="AK149" s="840"/>
      <c r="AL149" s="840"/>
      <c r="AM149" s="840"/>
      <c r="AN149" s="840"/>
      <c r="AO149" s="840"/>
    </row>
    <row r="150" spans="1:41" ht="15.75" thickBot="1">
      <c r="A150" s="758" t="s">
        <v>108</v>
      </c>
      <c r="B150" s="758" t="s">
        <v>587</v>
      </c>
      <c r="C150" s="758">
        <f>SUMIFS(INDEX(Table91517[],,MATCH(C$144,Table91517[#Headers],0)),Table91517[MainWaterHeatingFuel],"",Table91517[EnergyRating (group)],$A150)</f>
        <v>0</v>
      </c>
      <c r="D150" s="758">
        <f>SUMIFS(INDEX(Table91517[],,MATCH(D$144,Table91517[#Headers],0)),Table91517[MainWaterHeatingFuel],"",Table91517[EnergyRating (group)],$A150)</f>
        <v>0</v>
      </c>
      <c r="E150" s="758">
        <f>SUMIFS(INDEX(Table91517[],,MATCH(E144,Table91517[#Headers],0)),Table91517[MainWaterHeatingFuel],"",Table91517[EnergyRating (group)],$A150)</f>
        <v>0</v>
      </c>
      <c r="F150" s="758">
        <f>SUMIFS(INDEX(Table91517[],,MATCH(F$144,Table91517[#Headers],0)),Table91517[MainWaterHeatingFuel],"",Table91517[EnergyRating (group)],A150)</f>
        <v>0</v>
      </c>
      <c r="G150" s="758">
        <f>SUMIFS(INDEX(Table91517[],,MATCH(G$144,Table91517[#Headers],0)),Table91517[MainWaterHeatingFuel],"",Table91517[EnergyRating (group)],$A150)</f>
        <v>32</v>
      </c>
      <c r="H150" s="758">
        <f>SUMIFS(INDEX(Table91517[],,MATCH(H$144,Table91517[#Headers],0)),Table91517[MainWaterHeatingFuel],"",Table91517[EnergyRating (group)],$A150)</f>
        <v>5530</v>
      </c>
      <c r="I150" s="960"/>
      <c r="J150" s="1061">
        <f t="shared" si="86"/>
        <v>0</v>
      </c>
      <c r="K150" s="1062">
        <f t="shared" si="87"/>
        <v>0</v>
      </c>
      <c r="L150" s="840"/>
      <c r="M150" s="840"/>
      <c r="N150" s="933" t="str">
        <f>RSD_Commodities!$M$81&amp;"_"&amp;RIGHT(P150,LEN(P150)-3)&amp;"_"&amp;SETUP!$B$67</f>
        <v>WH_Det-A_HET_X0</v>
      </c>
      <c r="O150" s="933" t="str">
        <f>RSD_Commodities!$N$81&amp;"_"&amp;RSD_Commodities!D28&amp;"_"&amp;SETUP!$C$67</f>
        <v>Residential Water Heating Detached-A_Heat to Residential_Existing 00</v>
      </c>
      <c r="P150" s="934" t="str">
        <f>RSD_Commodities!$C$28</f>
        <v>RSDHET</v>
      </c>
      <c r="Q150" s="935" t="str">
        <f>RSD_Commodities!$M$81</f>
        <v>WH_Det-A</v>
      </c>
      <c r="R150" s="1001">
        <f t="shared" si="77"/>
        <v>3.2414910858995136E-3</v>
      </c>
      <c r="S150" s="937">
        <f>R150*DwellingStocks!$I$62/1000</f>
        <v>3.4184817815804583E-2</v>
      </c>
      <c r="T150" s="933">
        <v>1</v>
      </c>
      <c r="U150" s="917">
        <v>1</v>
      </c>
      <c r="V150" s="935">
        <v>20</v>
      </c>
      <c r="W150" s="935">
        <v>1</v>
      </c>
      <c r="X150" s="866"/>
      <c r="Y150" s="926">
        <f t="shared" si="84"/>
        <v>0</v>
      </c>
      <c r="Z150" s="927">
        <f t="shared" si="85"/>
        <v>0</v>
      </c>
      <c r="AA150" s="866"/>
      <c r="AB150" s="66" t="s">
        <v>393</v>
      </c>
      <c r="AC150" s="66" t="str">
        <f t="shared" si="81"/>
        <v>WH_Det-A_HET_X0</v>
      </c>
      <c r="AD150" s="83" t="str">
        <f t="shared" si="82"/>
        <v>Residential Water Heating Detached-A_Heat to Residential_Existing 00</v>
      </c>
      <c r="AE150" s="66" t="s">
        <v>53</v>
      </c>
      <c r="AF150" s="88" t="s">
        <v>406</v>
      </c>
      <c r="AG150" s="66"/>
      <c r="AH150" s="66"/>
      <c r="AI150" s="840"/>
      <c r="AJ150" s="840"/>
      <c r="AK150" s="840"/>
      <c r="AL150" s="840"/>
      <c r="AM150" s="840"/>
      <c r="AN150" s="840"/>
      <c r="AO150" s="840"/>
    </row>
    <row r="151" spans="1:41">
      <c r="A151" s="757" t="s">
        <v>108</v>
      </c>
      <c r="B151" s="757" t="s">
        <v>664</v>
      </c>
      <c r="C151" s="757">
        <f>SUMIFS(INDEX(Table91517[],,MATCH(C$144,Table91517[#Headers],0)),Table91517[MainWaterHeatingFuel],$B151,Table91517[EnergyRating (group)],$A151)</f>
        <v>23832</v>
      </c>
      <c r="D151" s="757">
        <f>SUMIFS(INDEX(Table91517[],,MATCH(D$144,Table91517[#Headers],0)),Table91517[MainWaterHeatingFuel],$B151,Table91517[EnergyRating (group)],$A151)</f>
        <v>21664</v>
      </c>
      <c r="E151" s="760">
        <f>SUMIFS(INDEX(Table91517[],,MATCH(E$144,Table91517[#Headers],0)),Table91517[MainWaterHeatingFuel],$B151,Table91517[EnergyRating (group)],$A151)</f>
        <v>0</v>
      </c>
      <c r="F151" s="760">
        <f>SUMIFS(INDEX(Table91517[],,MATCH(F$144,Table91517[#Headers],0)),Table91517[MainWaterHeatingFuel],$B151,Table91517[EnergyRating (group)],$A151)</f>
        <v>0</v>
      </c>
      <c r="G151" s="757">
        <f>SUMIFS(INDEX(Table91517[],,MATCH(G$144,Table91517[#Headers],0)),Table91517[MainWaterHeatingFuel],$B151,Table91517[EnergyRating (group)],$A151)</f>
        <v>6</v>
      </c>
      <c r="H151" s="757">
        <f>SUMIFS(INDEX(Table91517[],,MATCH(H$144,Table91517[#Headers],0)),Table91517[MainWaterHeatingFuel],$B151,Table91517[EnergyRating (group)],$A151)</f>
        <v>1217</v>
      </c>
      <c r="I151" s="959"/>
      <c r="J151" s="968">
        <f t="shared" si="86"/>
        <v>23832</v>
      </c>
      <c r="K151" s="965">
        <f t="shared" si="87"/>
        <v>21664</v>
      </c>
      <c r="L151" s="840"/>
      <c r="M151" s="840"/>
      <c r="N151" s="914" t="str">
        <f>RSD_Commodities!$M$81&amp;"_"&amp;RIGHT(P151,LEN(P151)-3)&amp;"_"&amp;SETUP!$B$68</f>
        <v>WH_Det-A_OILLPG_X1</v>
      </c>
      <c r="O151" s="914" t="str">
        <f>RSD_Commodities!$N$81&amp;"_"&amp;RSD_Commodities!D11&amp;"_"&amp;SETUP!$C$68</f>
        <v>Residential Water Heating Detached-A_LPG to Residential_Existing 01</v>
      </c>
      <c r="P151" s="915" t="str">
        <f>RSD_Commodities!$C$11</f>
        <v>RSDOILLPG</v>
      </c>
      <c r="Q151" s="930" t="str">
        <f>RSD_Commodities!$M$81</f>
        <v>WH_Det-A</v>
      </c>
      <c r="R151" s="1000">
        <f t="shared" si="77"/>
        <v>6.0777957860615889E-4</v>
      </c>
      <c r="S151" s="932">
        <f>R151*DwellingStocks!$I$62/1000</f>
        <v>6.4096533404633602E-3</v>
      </c>
      <c r="T151" s="914">
        <v>1</v>
      </c>
      <c r="U151" s="914">
        <f t="shared" si="83"/>
        <v>0.90902987579724737</v>
      </c>
      <c r="V151" s="930">
        <v>20</v>
      </c>
      <c r="W151" s="930">
        <v>1</v>
      </c>
      <c r="X151" s="866"/>
      <c r="Y151" s="924">
        <f t="shared" si="84"/>
        <v>5.7065231493615729E-8</v>
      </c>
      <c r="Z151" s="925">
        <f t="shared" si="85"/>
        <v>6.2775969209557327E-8</v>
      </c>
      <c r="AA151" s="866"/>
      <c r="AB151" s="914" t="s">
        <v>393</v>
      </c>
      <c r="AC151" s="914" t="str">
        <f t="shared" si="81"/>
        <v>WH_Det-A_OILLPG_X1</v>
      </c>
      <c r="AD151" s="915" t="str">
        <f t="shared" si="82"/>
        <v>Residential Water Heating Detached-A_LPG to Residential_Existing 01</v>
      </c>
      <c r="AE151" s="914" t="s">
        <v>53</v>
      </c>
      <c r="AF151" s="916" t="s">
        <v>406</v>
      </c>
      <c r="AG151" s="914"/>
      <c r="AH151" s="914"/>
      <c r="AI151" s="840"/>
      <c r="AJ151" s="840"/>
      <c r="AK151" s="840"/>
      <c r="AL151" s="840"/>
      <c r="AM151" s="840"/>
      <c r="AN151" s="840"/>
      <c r="AO151" s="840"/>
    </row>
    <row r="152" spans="1:41" ht="15.75" thickBot="1">
      <c r="A152" s="758" t="s">
        <v>108</v>
      </c>
      <c r="B152" s="758" t="s">
        <v>665</v>
      </c>
      <c r="C152" s="758">
        <f>SUMIFS(INDEX(Table91517[],,MATCH(C$144,Table91517[#Headers],0)),Table91517[MainWaterHeatingFuel],$B152,Table91517[EnergyRating (group)],$A152)</f>
        <v>12345</v>
      </c>
      <c r="D152" s="758">
        <f>SUMIFS(INDEX(Table91517[],,MATCH(D$144,Table91517[#Headers],0)),Table91517[MainWaterHeatingFuel],$B152,Table91517[EnergyRating (group)],$A152)</f>
        <v>11222</v>
      </c>
      <c r="E152" s="758">
        <f>SUMIFS(INDEX(Table91517[],,MATCH(E$144,Table91517[#Headers],0)),Table91517[MainWaterHeatingFuel],$B152,Table91517[EnergyRating (group)],$A152)</f>
        <v>0</v>
      </c>
      <c r="F152" s="758">
        <f>SUMIFS(INDEX(Table91517[],,MATCH(F$144,Table91517[#Headers],0)),Table91517[MainWaterHeatingFuel],$B152,Table91517[EnergyRating (group)],$A152)</f>
        <v>0</v>
      </c>
      <c r="G152" s="758">
        <f>SUMIFS(INDEX(Table91517[],,MATCH(G$144,Table91517[#Headers],0)),Table91517[MainWaterHeatingFuel],$B152,Table91517[EnergyRating (group)],$A152)</f>
        <v>5</v>
      </c>
      <c r="H152" s="758">
        <f>SUMIFS(INDEX(Table91517[],,MATCH(H$144,Table91517[#Headers],0)),Table91517[MainWaterHeatingFuel],$B152,Table91517[EnergyRating (group)],$A152)</f>
        <v>983</v>
      </c>
      <c r="I152" s="960"/>
      <c r="J152" s="969">
        <f t="shared" si="86"/>
        <v>12345</v>
      </c>
      <c r="K152" s="967">
        <f t="shared" si="87"/>
        <v>11222</v>
      </c>
      <c r="L152" s="840"/>
      <c r="M152" s="840"/>
      <c r="N152" s="933" t="str">
        <f>RSD_Commodities!$M$81&amp;"_"&amp;RSD_Commodities!$C$26&amp;"_"&amp;SETUP!$B$67</f>
        <v>WH_Det-A_RSDSMF_X0</v>
      </c>
      <c r="O152" s="933" t="str">
        <f>RSD_Commodities!$N$81&amp;"_"&amp;RSD_Commodities!$D$26&amp;"_"&amp;SETUP!$C$67</f>
        <v>Residential Water Heating Detached-A_Solid Multi-Fuel_Existing 00</v>
      </c>
      <c r="P152" s="934" t="str">
        <f>RSD_Commodities!$C$6&amp;","&amp;RSD_Commodities!$C$7&amp;","&amp;RSD_Commodities!$C$9&amp;","&amp;RSD_Commodities!$C$10&amp;","&amp;RSD_Commodities!$C$19</f>
        <v>RSDCOABIT,RSDCOAHAR,RSDCOALIG,RSDPEA,RSDBIOWOO</v>
      </c>
      <c r="Q152" s="935" t="str">
        <f>RSD_Commodities!$M$81</f>
        <v>WH_Det-A</v>
      </c>
      <c r="R152" s="1001">
        <f t="shared" si="77"/>
        <v>5.0648298217179902E-4</v>
      </c>
      <c r="S152" s="937">
        <f>R152*DwellingStocks!$I$62/1000</f>
        <v>5.3413777837194656E-3</v>
      </c>
      <c r="T152" s="933">
        <v>1</v>
      </c>
      <c r="U152" s="954">
        <f t="shared" si="83"/>
        <v>0.90903199675982183</v>
      </c>
      <c r="V152" s="935">
        <v>20</v>
      </c>
      <c r="W152" s="935">
        <v>1</v>
      </c>
      <c r="X152" s="866"/>
      <c r="Y152" s="926">
        <f t="shared" si="84"/>
        <v>2.4633263625575281E-8</v>
      </c>
      <c r="Z152" s="927">
        <f t="shared" si="85"/>
        <v>2.7098346057541155E-8</v>
      </c>
      <c r="AA152" s="866"/>
      <c r="AB152" s="66" t="s">
        <v>393</v>
      </c>
      <c r="AC152" s="66" t="str">
        <f t="shared" si="81"/>
        <v>WH_Det-A_RSDSMF_X0</v>
      </c>
      <c r="AD152" s="83" t="str">
        <f t="shared" si="82"/>
        <v>Residential Water Heating Detached-A_Solid Multi-Fuel_Existing 00</v>
      </c>
      <c r="AE152" s="66" t="s">
        <v>53</v>
      </c>
      <c r="AF152" s="88" t="s">
        <v>406</v>
      </c>
      <c r="AG152" s="66"/>
      <c r="AH152" s="66"/>
      <c r="AI152" s="840"/>
      <c r="AJ152" s="840"/>
      <c r="AK152" s="840"/>
      <c r="AL152" s="840"/>
      <c r="AM152" s="840"/>
      <c r="AN152" s="840"/>
      <c r="AO152" s="840"/>
    </row>
    <row r="153" spans="1:41">
      <c r="A153" s="757" t="s">
        <v>108</v>
      </c>
      <c r="B153" s="757" t="s">
        <v>668</v>
      </c>
      <c r="C153" s="757">
        <f>SUMIFS(INDEX(Table91517[],,MATCH(C$144,Table91517[#Headers],0)),Table91517[MainWaterHeatingFuel],$B153,Table91517[EnergyRating (group)],$A153)</f>
        <v>7864</v>
      </c>
      <c r="D153" s="757">
        <f>SUMIFS(INDEX(Table91517[],,MATCH(D$144,Table91517[#Headers],0)),Table91517[MainWaterHeatingFuel],$B153,Table91517[EnergyRating (group)],$A153)</f>
        <v>7149</v>
      </c>
      <c r="E153" s="760">
        <f>SUMIFS(INDEX(Table91517[],,MATCH(E$144,Table91517[#Headers],0)),Table91517[MainWaterHeatingFuel],$B153,Table91517[EnergyRating (group)],$A153)</f>
        <v>0</v>
      </c>
      <c r="F153" s="760">
        <f>SUMIFS(INDEX(Table91517[],,MATCH(F$144,Table91517[#Headers],0)),Table91517[MainWaterHeatingFuel],$B153,Table91517[EnergyRating (group)],$A153)</f>
        <v>0</v>
      </c>
      <c r="G153" s="757">
        <f>SUMIFS(INDEX(Table91517[],,MATCH(G$144,Table91517[#Headers],0)),Table91517[MainWaterHeatingFuel],$B153,Table91517[EnergyRating (group)],$A153)</f>
        <v>2</v>
      </c>
      <c r="H153" s="757">
        <f>SUMIFS(INDEX(Table91517[],,MATCH(H$144,Table91517[#Headers],0)),Table91517[MainWaterHeatingFuel],$B153,Table91517[EnergyRating (group)],$A153)</f>
        <v>371</v>
      </c>
      <c r="I153" s="959"/>
      <c r="J153" s="968">
        <f t="shared" si="86"/>
        <v>7864</v>
      </c>
      <c r="K153" s="965">
        <f t="shared" si="87"/>
        <v>7149</v>
      </c>
      <c r="L153" s="840"/>
      <c r="M153" s="840"/>
      <c r="N153" s="914" t="str">
        <f>RSD_Commodities!$M$81&amp;"_"&amp;RIGHT(P153,LEN(P153)-3)&amp;"_"&amp;SETUP!$B$69</f>
        <v>WH_Det-A_BIOWOO_X2</v>
      </c>
      <c r="O153" s="914" t="str">
        <f>RSD_Commodities!$N$81&amp;"_"&amp;RSD_Commodities!D19&amp;"_"&amp;SETUP!$C$69</f>
        <v>Residential Water Heating Detached-A_Biomass &amp; Renewable Waste to Residential_Existing 02</v>
      </c>
      <c r="P153" s="915" t="str">
        <f>RSD_Commodities!$C$19</f>
        <v>RSDBIOWOO</v>
      </c>
      <c r="Q153" s="930" t="str">
        <f>RSD_Commodities!$M$81</f>
        <v>WH_Det-A</v>
      </c>
      <c r="R153" s="1000">
        <f t="shared" si="77"/>
        <v>2.025931928687196E-4</v>
      </c>
      <c r="S153" s="932">
        <f>R153*DwellingStocks!$I$62/1000</f>
        <v>2.1365511134877864E-3</v>
      </c>
      <c r="T153" s="914">
        <v>1</v>
      </c>
      <c r="U153" s="914">
        <f t="shared" si="83"/>
        <v>0.90907934893184128</v>
      </c>
      <c r="V153" s="930">
        <v>20</v>
      </c>
      <c r="W153" s="930">
        <v>1</v>
      </c>
      <c r="X153" s="866"/>
      <c r="Y153" s="924">
        <f t="shared" si="84"/>
        <v>6.2770701001332279E-9</v>
      </c>
      <c r="Z153" s="925">
        <f t="shared" si="85"/>
        <v>6.9048649136169682E-9</v>
      </c>
      <c r="AA153" s="866"/>
      <c r="AB153" s="914" t="s">
        <v>393</v>
      </c>
      <c r="AC153" s="914" t="str">
        <f t="shared" si="81"/>
        <v>WH_Det-A_BIOWOO_X2</v>
      </c>
      <c r="AD153" s="915" t="str">
        <f t="shared" si="82"/>
        <v>Residential Water Heating Detached-A_Biomass &amp; Renewable Waste to Residential_Existing 02</v>
      </c>
      <c r="AE153" s="914" t="s">
        <v>53</v>
      </c>
      <c r="AF153" s="916" t="s">
        <v>406</v>
      </c>
      <c r="AG153" s="914"/>
      <c r="AH153" s="914"/>
      <c r="AI153" s="840"/>
      <c r="AJ153" s="840"/>
      <c r="AK153" s="840"/>
      <c r="AL153" s="840"/>
      <c r="AM153" s="840"/>
      <c r="AN153" s="840"/>
      <c r="AO153" s="840"/>
    </row>
    <row r="154" spans="1:41" ht="15.75" thickBot="1">
      <c r="A154" s="758" t="s">
        <v>108</v>
      </c>
      <c r="B154" s="758" t="s">
        <v>673</v>
      </c>
      <c r="C154" s="758">
        <f>SUMIFS(INDEX(Table91517[],,MATCH(C$144,Table91517[#Headers],0)),Table91517[MainWaterHeatingFuel],$B154,Table91517[EnergyRating (group)],$A154)</f>
        <v>75934</v>
      </c>
      <c r="D154" s="758">
        <f>SUMIFS(INDEX(Table91517[],,MATCH(D$144,Table91517[#Headers],0)),Table91517[MainWaterHeatingFuel],$B154,Table91517[EnergyRating (group)],$A154)</f>
        <v>69030</v>
      </c>
      <c r="E154" s="758">
        <f>SUMIFS(INDEX(Table91517[],,MATCH(E$144,Table91517[#Headers],0)),Table91517[MainWaterHeatingFuel],$B154,Table91517[EnergyRating (group)],$A154)</f>
        <v>858</v>
      </c>
      <c r="F154" s="758">
        <f>SUMIFS(INDEX(Table91517[],,MATCH(F$144,Table91517[#Headers],0)),Table91517[MainWaterHeatingFuel],$B154,Table91517[EnergyRating (group)],$A154)</f>
        <v>318</v>
      </c>
      <c r="G154" s="758">
        <f>SUMIFS(INDEX(Table91517[],,MATCH(G$144,Table91517[#Headers],0)),Table91517[MainWaterHeatingFuel],$B154,Table91517[EnergyRating (group)],$A154)</f>
        <v>17</v>
      </c>
      <c r="H154" s="758">
        <f>SUMIFS(INDEX(Table91517[],,MATCH(H$144,Table91517[#Headers],0)),Table91517[MainWaterHeatingFuel],$B154,Table91517[EnergyRating (group)],$A154)</f>
        <v>4214</v>
      </c>
      <c r="I154" s="960"/>
      <c r="J154" s="969">
        <f t="shared" si="86"/>
        <v>76792</v>
      </c>
      <c r="K154" s="967">
        <f t="shared" si="87"/>
        <v>69348</v>
      </c>
      <c r="L154" s="840"/>
      <c r="M154" s="840"/>
      <c r="N154" s="933" t="str">
        <f>RSD_Commodities!$M$81&amp;"_"&amp;RIGHT(P154,LEN(P154)-3)&amp;"_"&amp;SETUP!$B$68</f>
        <v>WH_Det-A_BIOWOO_X1</v>
      </c>
      <c r="O154" s="933" t="str">
        <f>RSD_Commodities!$N$81&amp;"_"&amp;RSD_Commodities!D19&amp;"_"&amp;SETUP!$C$68</f>
        <v>Residential Water Heating Detached-A_Biomass &amp; Renewable Waste to Residential_Existing 01</v>
      </c>
      <c r="P154" s="934" t="str">
        <f>RSD_Commodities!$C$19</f>
        <v>RSDBIOWOO</v>
      </c>
      <c r="Q154" s="935" t="str">
        <f>RSD_Commodities!$M$81</f>
        <v>WH_Det-A</v>
      </c>
      <c r="R154" s="1001">
        <f t="shared" si="77"/>
        <v>1.7220421393841167E-3</v>
      </c>
      <c r="S154" s="937">
        <f>R154*DwellingStocks!$I$62/1000</f>
        <v>1.8160684464646186E-2</v>
      </c>
      <c r="T154" s="933">
        <v>1</v>
      </c>
      <c r="U154" s="954">
        <f t="shared" si="83"/>
        <v>0.90306281904365038</v>
      </c>
      <c r="V154" s="935">
        <v>20</v>
      </c>
      <c r="W154" s="935">
        <v>1</v>
      </c>
      <c r="X154" s="866"/>
      <c r="Y154" s="926">
        <f t="shared" si="84"/>
        <v>5.1756458065244553E-7</v>
      </c>
      <c r="Z154" s="927">
        <f t="shared" si="85"/>
        <v>5.731213485242918E-7</v>
      </c>
      <c r="AA154" s="866"/>
      <c r="AB154" s="66" t="s">
        <v>393</v>
      </c>
      <c r="AC154" s="66" t="str">
        <f t="shared" si="81"/>
        <v>WH_Det-A_BIOWOO_X1</v>
      </c>
      <c r="AD154" s="83" t="str">
        <f t="shared" si="82"/>
        <v>Residential Water Heating Detached-A_Biomass &amp; Renewable Waste to Residential_Existing 01</v>
      </c>
      <c r="AE154" s="66" t="s">
        <v>53</v>
      </c>
      <c r="AF154" s="88" t="s">
        <v>406</v>
      </c>
      <c r="AG154" s="66"/>
      <c r="AH154" s="66"/>
      <c r="AI154" s="840"/>
      <c r="AJ154" s="840"/>
      <c r="AK154" s="840"/>
      <c r="AL154" s="840"/>
      <c r="AM154" s="840"/>
      <c r="AN154" s="840"/>
      <c r="AO154" s="840"/>
    </row>
    <row r="155" spans="1:41" ht="15.75" thickBot="1">
      <c r="A155" s="756" t="s">
        <v>110</v>
      </c>
      <c r="B155" s="1048"/>
      <c r="C155" s="1049"/>
      <c r="D155" s="1049"/>
      <c r="E155" s="1049"/>
      <c r="F155" s="1049"/>
      <c r="G155" s="1049"/>
      <c r="H155" s="1049"/>
      <c r="I155" s="1049"/>
      <c r="J155" s="1049"/>
      <c r="K155" s="1052"/>
      <c r="L155" s="840"/>
      <c r="M155" s="840"/>
      <c r="N155" s="76" t="str">
        <f>AB155</f>
        <v>*B1 Rating</v>
      </c>
      <c r="O155" s="76"/>
      <c r="P155" s="76"/>
      <c r="Q155" s="76"/>
      <c r="R155" s="949">
        <f>SUM(R156:R166)</f>
        <v>0.9996702934388394</v>
      </c>
      <c r="S155" s="76"/>
      <c r="T155" s="97"/>
      <c r="U155" s="76"/>
      <c r="V155" s="76"/>
      <c r="W155" s="76"/>
      <c r="X155" s="840"/>
      <c r="Y155" s="76"/>
      <c r="Z155" s="76"/>
      <c r="AA155" s="840"/>
      <c r="AB155" s="140" t="str">
        <f>"*"&amp; A156 &amp; " Rating"</f>
        <v>*B1 Rating</v>
      </c>
      <c r="AC155" s="141"/>
      <c r="AD155" s="141"/>
      <c r="AE155" s="141"/>
      <c r="AF155" s="141"/>
      <c r="AG155" s="141"/>
      <c r="AH155" s="141"/>
      <c r="AI155" s="840"/>
      <c r="AJ155" s="840"/>
      <c r="AK155" s="840"/>
      <c r="AL155" s="840"/>
      <c r="AM155" s="840"/>
      <c r="AN155" s="840"/>
      <c r="AO155" s="840"/>
    </row>
    <row r="156" spans="1:41">
      <c r="A156" s="757" t="s">
        <v>110</v>
      </c>
      <c r="B156" s="757" t="s">
        <v>582</v>
      </c>
      <c r="C156" s="757">
        <f>SUMIFS(INDEX(Table91517[],,MATCH(C$144,Table91517[#Headers],0)),Table91517[MainWaterHeatingFuel],$B156,Table91517[EnergyRating (group)],$A156)</f>
        <v>368360</v>
      </c>
      <c r="D156" s="757">
        <f>SUMIFS(INDEX(Table91517[],,MATCH(D$144,Table91517[#Headers],0)),Table91517[MainWaterHeatingFuel],$B156,Table91517[EnergyRating (group)],$A156)</f>
        <v>334874</v>
      </c>
      <c r="E156" s="760">
        <f>SUMIFS(INDEX(Table91517[],,MATCH(E$144,Table91517[#Headers],0)),Table91517[MainWaterHeatingFuel],$B156,Table91517[EnergyRating (group)],$A156)</f>
        <v>1375</v>
      </c>
      <c r="F156" s="760">
        <f>SUMIFS(INDEX(Table91517[],,MATCH(F$144,Table91517[#Headers],0)),Table91517[MainWaterHeatingFuel],$B156,Table91517[EnergyRating (group)],$A156)</f>
        <v>509</v>
      </c>
      <c r="G156" s="757">
        <f>SUMIFS(INDEX(Table91517[],,MATCH(G$144,Table91517[#Headers],0)),Table91517[MainWaterHeatingFuel],$B156,Table91517[EnergyRating (group)],$A156)</f>
        <v>79</v>
      </c>
      <c r="H156" s="757">
        <f>SUMIFS(INDEX(Table91517[],,MATCH(H$144,Table91517[#Headers],0)),Table91517[MainWaterHeatingFuel],$B156,Table91517[EnergyRating (group)],$A156)</f>
        <v>20154</v>
      </c>
      <c r="I156" s="959"/>
      <c r="J156" s="968">
        <f t="shared" si="75"/>
        <v>369735</v>
      </c>
      <c r="K156" s="965">
        <f t="shared" si="75"/>
        <v>335383</v>
      </c>
      <c r="L156" s="840"/>
      <c r="M156" s="840"/>
      <c r="N156" s="914" t="str">
        <f>RSD_Commodities!$M$82&amp;"_"&amp;RIGHT(P156,LEN(P156)-3)&amp;"_"&amp;SETUP!$B$67</f>
        <v>WH_Det-B1_OILLPG_X0</v>
      </c>
      <c r="O156" s="914" t="str">
        <f>RSD_Commodities!$N$82&amp;"_"&amp;RSD_Commodities!D11&amp;"_"&amp;SETUP!$C$67</f>
        <v>Residential Water Heating Detached-B1_LPG to Residential_Existing 00</v>
      </c>
      <c r="P156" s="915" t="str">
        <f>RSD_Commodities!$C$11</f>
        <v>RSDOILLPG</v>
      </c>
      <c r="Q156" s="930" t="str">
        <f>RSD_Commodities!$M$82</f>
        <v>WH_Det-B1</v>
      </c>
      <c r="R156" s="1000">
        <f>G156/SUM($G$156:$G$167)</f>
        <v>2.6046818331684801E-2</v>
      </c>
      <c r="S156" s="932">
        <f>R156*DwellingStocks!$I$63/1000</f>
        <v>0.13537994305095061</v>
      </c>
      <c r="T156" s="914">
        <v>1</v>
      </c>
      <c r="U156" s="914">
        <f>K156/J156</f>
        <v>0.90709021326084893</v>
      </c>
      <c r="V156" s="930">
        <v>20</v>
      </c>
      <c r="W156" s="930">
        <v>1</v>
      </c>
      <c r="X156" s="866"/>
      <c r="Y156" s="924">
        <f>ABS((K156)*S156*1000*$B$2)</f>
        <v>1.8659232098735744E-5</v>
      </c>
      <c r="Z156" s="925">
        <f>ABS((J156)*S156*1000*$B$2)</f>
        <v>2.0570425990661601E-5</v>
      </c>
      <c r="AA156" s="866"/>
      <c r="AB156" s="914" t="s">
        <v>393</v>
      </c>
      <c r="AC156" s="914" t="str">
        <f t="shared" ref="AC156:AD160" si="88">N156</f>
        <v>WH_Det-B1_OILLPG_X0</v>
      </c>
      <c r="AD156" s="915" t="str">
        <f t="shared" si="88"/>
        <v>Residential Water Heating Detached-B1_LPG to Residential_Existing 00</v>
      </c>
      <c r="AE156" s="914" t="s">
        <v>53</v>
      </c>
      <c r="AF156" s="916" t="s">
        <v>406</v>
      </c>
      <c r="AG156" s="914"/>
      <c r="AH156" s="914"/>
      <c r="AI156" s="840"/>
      <c r="AJ156" s="840"/>
      <c r="AK156" s="840"/>
      <c r="AL156" s="840"/>
      <c r="AM156" s="840"/>
      <c r="AN156" s="840"/>
      <c r="AO156" s="840"/>
    </row>
    <row r="157" spans="1:41">
      <c r="A157" s="758" t="s">
        <v>110</v>
      </c>
      <c r="B157" s="758" t="s">
        <v>228</v>
      </c>
      <c r="C157" s="758">
        <f>SUMIFS(INDEX(Table91517[],,MATCH(C$144,Table91517[#Headers],0)),Table91517[MainWaterHeatingFuel],$B157,Table91517[EnergyRating (group)],$A157)</f>
        <v>5900887</v>
      </c>
      <c r="D157" s="758">
        <f>SUMIFS(INDEX(Table91517[],,MATCH(D$144,Table91517[#Headers],0)),Table91517[MainWaterHeatingFuel],$B157,Table91517[EnergyRating (group)],$A157)</f>
        <v>2185513</v>
      </c>
      <c r="E157" s="758">
        <f>SUMIFS(INDEX(Table91517[],,MATCH(E$144,Table91517[#Headers],0)),Table91517[MainWaterHeatingFuel],$B157,Table91517[EnergyRating (group)],$A157)</f>
        <v>35978</v>
      </c>
      <c r="F157" s="758">
        <f>SUMIFS(INDEX(Table91517[],,MATCH(F$144,Table91517[#Headers],0)),Table91517[MainWaterHeatingFuel],$B157,Table91517[EnergyRating (group)],$A157)</f>
        <v>13327</v>
      </c>
      <c r="G157" s="758">
        <f>SUMIFS(INDEX(Table91517[],,MATCH(G$144,Table91517[#Headers],0)),Table91517[MainWaterHeatingFuel],$B157,Table91517[EnergyRating (group)],$A157)</f>
        <v>962</v>
      </c>
      <c r="H157" s="758">
        <f>SUMIFS(INDEX(Table91517[],,MATCH(H$144,Table91517[#Headers],0)),Table91517[MainWaterHeatingFuel],$B157,Table91517[EnergyRating (group)],$A157)</f>
        <v>231702</v>
      </c>
      <c r="I157" s="960"/>
      <c r="J157" s="969">
        <f t="shared" si="75"/>
        <v>5936865</v>
      </c>
      <c r="K157" s="967">
        <f t="shared" si="75"/>
        <v>2198840</v>
      </c>
      <c r="L157" s="840"/>
      <c r="M157" s="840"/>
      <c r="N157" s="933" t="str">
        <f>RSD_Commodities!$M$82&amp;"_"&amp;RIGHT(P157,LEN(P157)-3)&amp;"_"&amp;SETUP!$B$67</f>
        <v>WH_Det-B1_ELCD_X0</v>
      </c>
      <c r="O157" s="933" t="str">
        <f>RSD_Commodities!$N$82&amp;"_"&amp;RSD_Commodities!D27&amp;"_"&amp;SETUP!$C$67</f>
        <v>Residential Water Heating Detached-B1_Electricity to Residential_Existing 00</v>
      </c>
      <c r="P157" s="934" t="str">
        <f>RSD_Commodities!$C$27</f>
        <v>RSDELCD</v>
      </c>
      <c r="Q157" s="935" t="str">
        <f>RSD_Commodities!$M$82</f>
        <v>WH_Det-B1</v>
      </c>
      <c r="R157" s="1001">
        <f>G157/SUM($G$156:$G$167)</f>
        <v>0.31717771183646554</v>
      </c>
      <c r="S157" s="937">
        <f>R157*DwellingStocks!$I$63/1000</f>
        <v>1.6485506989242338</v>
      </c>
      <c r="T157" s="933">
        <v>1</v>
      </c>
      <c r="U157" s="954">
        <f t="shared" ref="U157:U158" si="89">K157/J157</f>
        <v>0.37037055752488895</v>
      </c>
      <c r="V157" s="935">
        <v>20</v>
      </c>
      <c r="W157" s="935">
        <v>1</v>
      </c>
      <c r="X157" s="866"/>
      <c r="Y157" s="926">
        <f t="shared" ref="Y157:Y158" si="90">ABS((K157)*S157*1000*$B$2)</f>
        <v>1.4896846104750258E-3</v>
      </c>
      <c r="Z157" s="927">
        <f t="shared" ref="Z157:Z158" si="91">ABS((J157)*S157*1000*$B$2)</f>
        <v>4.022146415822804E-3</v>
      </c>
      <c r="AA157" s="866"/>
      <c r="AB157" s="66" t="s">
        <v>393</v>
      </c>
      <c r="AC157" s="66" t="str">
        <f t="shared" si="88"/>
        <v>WH_Det-B1_ELCD_X0</v>
      </c>
      <c r="AD157" s="83" t="str">
        <f t="shared" si="88"/>
        <v>Residential Water Heating Detached-B1_Electricity to Residential_Existing 00</v>
      </c>
      <c r="AE157" s="66" t="s">
        <v>53</v>
      </c>
      <c r="AF157" s="88" t="s">
        <v>406</v>
      </c>
      <c r="AG157" s="66"/>
      <c r="AH157" s="66"/>
      <c r="AI157" s="840"/>
      <c r="AJ157" s="840"/>
      <c r="AK157" s="840"/>
      <c r="AL157" s="840"/>
      <c r="AM157" s="840"/>
      <c r="AN157" s="840"/>
      <c r="AO157" s="840"/>
    </row>
    <row r="158" spans="1:41">
      <c r="A158" s="757" t="s">
        <v>110</v>
      </c>
      <c r="B158" s="757" t="s">
        <v>583</v>
      </c>
      <c r="C158" s="757">
        <f>SUMIFS(INDEX(Table91517[],,MATCH(C$144,Table91517[#Headers],0)),Table91517[MainWaterHeatingFuel],$B158,Table91517[EnergyRating (group)],$A158)</f>
        <v>5755589</v>
      </c>
      <c r="D158" s="757">
        <f>SUMIFS(INDEX(Table91517[],,MATCH(D$144,Table91517[#Headers],0)),Table91517[MainWaterHeatingFuel],$B158,Table91517[EnergyRating (group)],$A158)</f>
        <v>5232351</v>
      </c>
      <c r="E158" s="760">
        <f>SUMIFS(INDEX(Table91517[],,MATCH(E$144,Table91517[#Headers],0)),Table91517[MainWaterHeatingFuel],$B158,Table91517[EnergyRating (group)],$A158)</f>
        <v>82690</v>
      </c>
      <c r="F158" s="760">
        <f>SUMIFS(INDEX(Table91517[],,MATCH(F$144,Table91517[#Headers],0)),Table91517[MainWaterHeatingFuel],$B158,Table91517[EnergyRating (group)],$A158)</f>
        <v>30626</v>
      </c>
      <c r="G158" s="757">
        <f>SUMIFS(INDEX(Table91517[],,MATCH(G$144,Table91517[#Headers],0)),Table91517[MainWaterHeatingFuel],$B158,Table91517[EnergyRating (group)],$A158)</f>
        <v>1330</v>
      </c>
      <c r="H158" s="757">
        <f>SUMIFS(INDEX(Table91517[],,MATCH(H$144,Table91517[#Headers],0)),Table91517[MainWaterHeatingFuel],$B158,Table91517[EnergyRating (group)],$A158)</f>
        <v>307882</v>
      </c>
      <c r="I158" s="959"/>
      <c r="J158" s="968">
        <f t="shared" si="75"/>
        <v>5838279</v>
      </c>
      <c r="K158" s="965">
        <f t="shared" si="75"/>
        <v>5262977</v>
      </c>
      <c r="L158" s="840"/>
      <c r="M158" s="840"/>
      <c r="N158" s="914" t="str">
        <f>RSD_Commodities!$M$82&amp;"_"&amp;RIGHT(P158,LEN(P158)-3)&amp;"_"&amp;SETUP!$B$67</f>
        <v>WH_Det-B1_OILKER_X0</v>
      </c>
      <c r="O158" s="914" t="str">
        <f>RSD_Commodities!$N$82&amp;"_"&amp;RSD_Commodities!D13&amp;"_"&amp;SETUP!$C$67</f>
        <v>Residential Water Heating Detached-B1_Kerosene to Residential_Existing 00</v>
      </c>
      <c r="P158" s="915" t="str">
        <f>RSD_Commodities!$C$13</f>
        <v>RSDOILKER</v>
      </c>
      <c r="Q158" s="930" t="str">
        <f>RSD_Commodities!$M$82</f>
        <v>WH_Det-B1</v>
      </c>
      <c r="R158" s="1000">
        <f t="shared" ref="R158:R167" si="92">G158/SUM($G$156:$G$167)</f>
        <v>0.43850972634355423</v>
      </c>
      <c r="S158" s="932">
        <f>R158*DwellingStocks!$I$63/1000</f>
        <v>2.2791813197185351</v>
      </c>
      <c r="T158" s="914">
        <v>1</v>
      </c>
      <c r="U158" s="914">
        <f t="shared" si="89"/>
        <v>0.90146034473515224</v>
      </c>
      <c r="V158" s="930">
        <v>20</v>
      </c>
      <c r="W158" s="930">
        <v>1</v>
      </c>
      <c r="X158" s="866"/>
      <c r="Y158" s="928">
        <f t="shared" si="90"/>
        <v>4.9295666566472459E-3</v>
      </c>
      <c r="Z158" s="929">
        <f t="shared" si="91"/>
        <v>5.4684231929198676E-3</v>
      </c>
      <c r="AA158" s="866"/>
      <c r="AB158" s="914" t="s">
        <v>393</v>
      </c>
      <c r="AC158" s="914" t="str">
        <f t="shared" si="88"/>
        <v>WH_Det-B1_OILKER_X0</v>
      </c>
      <c r="AD158" s="915" t="str">
        <f t="shared" si="88"/>
        <v>Residential Water Heating Detached-B1_Kerosene to Residential_Existing 00</v>
      </c>
      <c r="AE158" s="914" t="s">
        <v>53</v>
      </c>
      <c r="AF158" s="916" t="s">
        <v>406</v>
      </c>
      <c r="AG158" s="914"/>
      <c r="AH158" s="914"/>
      <c r="AI158" s="840"/>
      <c r="AJ158" s="840"/>
      <c r="AK158" s="840"/>
      <c r="AL158" s="840"/>
      <c r="AM158" s="840"/>
      <c r="AN158" s="840"/>
      <c r="AO158" s="840"/>
    </row>
    <row r="159" spans="1:41">
      <c r="A159" s="758" t="s">
        <v>110</v>
      </c>
      <c r="B159" s="758" t="s">
        <v>584</v>
      </c>
      <c r="C159" s="758">
        <f>SUMIFS(INDEX(Table91517[],,MATCH(C$144,Table91517[#Headers],0)),Table91517[MainWaterHeatingFuel],$B159,Table91517[EnergyRating (group)],$A159)</f>
        <v>2273376</v>
      </c>
      <c r="D159" s="758">
        <f>SUMIFS(INDEX(Table91517[],,MATCH(D$144,Table91517[#Headers],0)),Table91517[MainWaterHeatingFuel],$B159,Table91517[EnergyRating (group)],$A159)</f>
        <v>2066705</v>
      </c>
      <c r="E159" s="758">
        <f>SUMIFS(INDEX(Table91517[],,MATCH(E$144,Table91517[#Headers],0)),Table91517[MainWaterHeatingFuel],$B159,Table91517[EnergyRating (group)],$A159)</f>
        <v>31588</v>
      </c>
      <c r="F159" s="758">
        <f>SUMIFS(INDEX(Table91517[],,MATCH(F$144,Table91517[#Headers],0)),Table91517[MainWaterHeatingFuel],$B159,Table91517[EnergyRating (group)],$A159)</f>
        <v>11700</v>
      </c>
      <c r="G159" s="758">
        <f>SUMIFS(INDEX(Table91517[],,MATCH(G$144,Table91517[#Headers],0)),Table91517[MainWaterHeatingFuel],$B159,Table91517[EnergyRating (group)],$A159)</f>
        <v>582</v>
      </c>
      <c r="H159" s="758">
        <f>SUMIFS(INDEX(Table91517[],,MATCH(H$144,Table91517[#Headers],0)),Table91517[MainWaterHeatingFuel],$B159,Table91517[EnergyRating (group)],$A159)</f>
        <v>113950</v>
      </c>
      <c r="I159" s="960"/>
      <c r="J159" s="969">
        <f t="shared" si="75"/>
        <v>2304964</v>
      </c>
      <c r="K159" s="967">
        <f t="shared" si="75"/>
        <v>2078405</v>
      </c>
      <c r="L159" s="840"/>
      <c r="M159" s="840"/>
      <c r="N159" s="933" t="str">
        <f>RSD_Commodities!$M$82&amp;"_"&amp;RIGHT(P159,LEN(P159)-3)&amp;"_"&amp;SETUP!$B$67</f>
        <v>WH_Det-B1_GASNAT_X0</v>
      </c>
      <c r="O159" s="933" t="str">
        <f>RSD_Commodities!$N$82&amp;"_"&amp;RSD_Commodities!D17&amp;"_"&amp;SETUP!$C$67</f>
        <v>Residential Water Heating Detached-B1_Natural Gas to Residential_Existing 00</v>
      </c>
      <c r="P159" s="934" t="str">
        <f>RSD_Commodities!$C$17</f>
        <v>RSDGASNAT</v>
      </c>
      <c r="Q159" s="935" t="str">
        <f>RSD_Commodities!$M$82</f>
        <v>WH_Det-B1</v>
      </c>
      <c r="R159" s="1001">
        <f t="shared" si="92"/>
        <v>0.19188921859545005</v>
      </c>
      <c r="S159" s="937">
        <f>R159*DwellingStocks!$I$63/1000</f>
        <v>0.99735603614750945</v>
      </c>
      <c r="T159" s="933">
        <v>1</v>
      </c>
      <c r="U159" s="954">
        <f t="shared" ref="U159:U167" si="93">K159/J159</f>
        <v>0.90170822624561597</v>
      </c>
      <c r="V159" s="935">
        <v>20</v>
      </c>
      <c r="W159" s="935">
        <v>1</v>
      </c>
      <c r="X159" s="866"/>
      <c r="Y159" s="926">
        <f t="shared" ref="Y159:Y167" si="94">ABS((K159)*S159*1000*$B$2)</f>
        <v>8.5188072834623202E-4</v>
      </c>
      <c r="Z159" s="927">
        <f t="shared" ref="Z159:Z167" si="95">ABS((J159)*S159*1000*$B$2)</f>
        <v>9.4474099664494866E-4</v>
      </c>
      <c r="AA159" s="866"/>
      <c r="AB159" s="66" t="s">
        <v>393</v>
      </c>
      <c r="AC159" s="66" t="str">
        <f t="shared" si="88"/>
        <v>WH_Det-B1_GASNAT_X0</v>
      </c>
      <c r="AD159" s="83" t="str">
        <f t="shared" si="88"/>
        <v>Residential Water Heating Detached-B1_Natural Gas to Residential_Existing 00</v>
      </c>
      <c r="AE159" s="66" t="s">
        <v>53</v>
      </c>
      <c r="AF159" s="88" t="s">
        <v>406</v>
      </c>
      <c r="AG159" s="66"/>
      <c r="AH159" s="66"/>
      <c r="AI159" s="840"/>
      <c r="AJ159" s="840"/>
      <c r="AK159" s="840"/>
      <c r="AL159" s="840"/>
      <c r="AM159" s="840"/>
      <c r="AN159" s="840"/>
      <c r="AO159" s="840"/>
    </row>
    <row r="160" spans="1:41">
      <c r="A160" s="757" t="s">
        <v>110</v>
      </c>
      <c r="B160" s="757" t="s">
        <v>585</v>
      </c>
      <c r="C160" s="757">
        <f>SUMIFS(INDEX(Table91517[],,MATCH(C$144,Table91517[#Headers],0)),Table91517[MainWaterHeatingFuel],$B160,Table91517[EnergyRating (group)],$A160)</f>
        <v>124384</v>
      </c>
      <c r="D160" s="757">
        <f>SUMIFS(INDEX(Table91517[],,MATCH(D$144,Table91517[#Headers],0)),Table91517[MainWaterHeatingFuel],$B160,Table91517[EnergyRating (group)],$A160)</f>
        <v>113077</v>
      </c>
      <c r="E160" s="760">
        <f>SUMIFS(INDEX(Table91517[],,MATCH(E$144,Table91517[#Headers],0)),Table91517[MainWaterHeatingFuel],$B160,Table91517[EnergyRating (group)],$A160)</f>
        <v>685</v>
      </c>
      <c r="F160" s="760">
        <f>SUMIFS(INDEX(Table91517[],,MATCH(F$144,Table91517[#Headers],0)),Table91517[MainWaterHeatingFuel],$B160,Table91517[EnergyRating (group)],$A160)</f>
        <v>254</v>
      </c>
      <c r="G160" s="757">
        <f>SUMIFS(INDEX(Table91517[],,MATCH(G$144,Table91517[#Headers],0)),Table91517[MainWaterHeatingFuel],$B160,Table91517[EnergyRating (group)],$A160)</f>
        <v>35</v>
      </c>
      <c r="H160" s="757">
        <f>SUMIFS(INDEX(Table91517[],,MATCH(H$144,Table91517[#Headers],0)),Table91517[MainWaterHeatingFuel],$B160,Table91517[EnergyRating (group)],$A160)</f>
        <v>8015</v>
      </c>
      <c r="I160" s="959"/>
      <c r="J160" s="968">
        <f t="shared" si="75"/>
        <v>125069</v>
      </c>
      <c r="K160" s="965">
        <f t="shared" si="75"/>
        <v>113331</v>
      </c>
      <c r="L160" s="840"/>
      <c r="M160" s="840"/>
      <c r="N160" s="914" t="str">
        <f>RSD_Commodities!$M$82&amp;"_"&amp;RIGHT(P160,LEN(P160)-3)&amp;"_"&amp;SETUP!$B$67</f>
        <v>WH_Det-B1_BIOWOO_X0</v>
      </c>
      <c r="O160" s="914" t="str">
        <f>RSD_Commodities!$N$82&amp;"_"&amp;RSD_Commodities!D19&amp;"_"&amp;SETUP!$C$67</f>
        <v>Residential Water Heating Detached-B1_Biomass &amp; Renewable Waste to Residential_Existing 00</v>
      </c>
      <c r="P160" s="915" t="str">
        <f>RSD_Commodities!$C$19</f>
        <v>RSDBIOWOO</v>
      </c>
      <c r="Q160" s="930" t="str">
        <f>RSD_Commodities!$M$82</f>
        <v>WH_Det-B1</v>
      </c>
      <c r="R160" s="1000">
        <f t="shared" si="92"/>
        <v>1.1539729640619849E-2</v>
      </c>
      <c r="S160" s="932">
        <f>R160*DwellingStocks!$I$63/1000</f>
        <v>5.9978455782066724E-2</v>
      </c>
      <c r="T160" s="914">
        <v>1</v>
      </c>
      <c r="U160" s="914">
        <f t="shared" si="93"/>
        <v>0.90614780641086123</v>
      </c>
      <c r="V160" s="930">
        <v>20</v>
      </c>
      <c r="W160" s="930">
        <v>1</v>
      </c>
      <c r="X160" s="866"/>
      <c r="Y160" s="928">
        <f t="shared" si="94"/>
        <v>2.7934596050290705E-6</v>
      </c>
      <c r="Z160" s="929">
        <f t="shared" si="95"/>
        <v>3.0827858162495771E-6</v>
      </c>
      <c r="AA160" s="866"/>
      <c r="AB160" s="914" t="s">
        <v>393</v>
      </c>
      <c r="AC160" s="914" t="str">
        <f t="shared" si="88"/>
        <v>WH_Det-B1_BIOWOO_X0</v>
      </c>
      <c r="AD160" s="915" t="str">
        <f t="shared" si="88"/>
        <v>Residential Water Heating Detached-B1_Biomass &amp; Renewable Waste to Residential_Existing 00</v>
      </c>
      <c r="AE160" s="914" t="s">
        <v>53</v>
      </c>
      <c r="AF160" s="916" t="s">
        <v>406</v>
      </c>
      <c r="AG160" s="914"/>
      <c r="AH160" s="914"/>
      <c r="AI160" s="840"/>
      <c r="AJ160" s="840"/>
      <c r="AK160" s="840"/>
      <c r="AL160" s="840"/>
      <c r="AM160" s="840"/>
      <c r="AN160" s="840"/>
      <c r="AO160" s="840"/>
    </row>
    <row r="161" spans="1:41">
      <c r="A161" s="758" t="s">
        <v>110</v>
      </c>
      <c r="B161" s="758" t="s">
        <v>587</v>
      </c>
      <c r="C161" s="758">
        <f>SUMIFS(INDEX(Table91517[],,MATCH(C$144,Table91517[#Headers],0)),Table91517[MainWaterHeatingFuel],$B161,Table91517[EnergyRating (group)],$A161)</f>
        <v>0</v>
      </c>
      <c r="D161" s="758">
        <f>SUMIFS(INDEX(Table91517[],,MATCH(D$144,Table91517[#Headers],0)),Table91517[MainWaterHeatingFuel],"",Table91517[EnergyRating (group)],$A161)</f>
        <v>0</v>
      </c>
      <c r="E161" s="758">
        <f>SUMIFS(INDEX(Table91517[],,MATCH(E$144,Table91517[#Headers],0)),Table91517[MainWaterHeatingFuel],"",Table91517[EnergyRating (group)],$A161)</f>
        <v>0</v>
      </c>
      <c r="F161" s="758">
        <f>SUMIFS(INDEX(Table91517[],,MATCH(F$144,Table91517[#Headers],0)),Table91517[MainWaterHeatingFuel],"",Table91517[EnergyRating (group)],A161)</f>
        <v>0</v>
      </c>
      <c r="G161" s="758">
        <f>SUMIFS(INDEX(Table91517[],,MATCH(G$144,Table91517[#Headers],0)),Table91517[MainWaterHeatingFuel],"",Table91517[EnergyRating (group)],A161)</f>
        <v>22</v>
      </c>
      <c r="H161" s="758">
        <f>SUMIFS(INDEX(Table91517[],,MATCH(H$144,Table91517[#Headers],0)),Table91517[MainWaterHeatingFuel],"",Table91517[EnergyRating (group)],A161)</f>
        <v>3676</v>
      </c>
      <c r="I161" s="960"/>
      <c r="J161" s="1061">
        <f t="shared" si="75"/>
        <v>0</v>
      </c>
      <c r="K161" s="1062">
        <f t="shared" si="75"/>
        <v>0</v>
      </c>
      <c r="L161" s="840"/>
      <c r="M161" s="840"/>
      <c r="N161" s="933" t="str">
        <f>RSD_Commodities!$M$82&amp;"_"&amp;RIGHT(P161,LEN(P161)-3)&amp;"_"&amp;SETUP!$B$67</f>
        <v>WH_Det-B1_HET_X0</v>
      </c>
      <c r="O161" s="933" t="str">
        <f>RSD_Commodities!$N$82&amp;"_"&amp;RSD_Commodities!D28&amp;"_"&amp;SETUP!$C$67</f>
        <v>Residential Water Heating Detached-B1_Heat to Residential_Existing 00</v>
      </c>
      <c r="P161" s="934" t="str">
        <f>RSD_Commodities!$C$28</f>
        <v>RSDHET</v>
      </c>
      <c r="Q161" s="935" t="str">
        <f>RSD_Commodities!$M$82</f>
        <v>WH_Det-B1</v>
      </c>
      <c r="R161" s="1001">
        <f t="shared" si="92"/>
        <v>7.2535443455324757E-3</v>
      </c>
      <c r="S161" s="937">
        <f>R161*DwellingStocks!$I$63/1000</f>
        <v>3.7700743634441931E-2</v>
      </c>
      <c r="T161" s="933">
        <v>1</v>
      </c>
      <c r="U161" s="917">
        <v>1</v>
      </c>
      <c r="V161" s="935">
        <v>20</v>
      </c>
      <c r="W161" s="935">
        <v>1</v>
      </c>
      <c r="X161" s="866"/>
      <c r="Y161" s="926">
        <f t="shared" si="94"/>
        <v>0</v>
      </c>
      <c r="Z161" s="927">
        <f t="shared" si="95"/>
        <v>0</v>
      </c>
      <c r="AA161" s="866"/>
      <c r="AB161" s="66" t="s">
        <v>393</v>
      </c>
      <c r="AC161" s="66" t="str">
        <f t="shared" ref="AC161:AC167" si="96">N161</f>
        <v>WH_Det-B1_HET_X0</v>
      </c>
      <c r="AD161" s="83" t="str">
        <f t="shared" ref="AD161:AD167" si="97">O161</f>
        <v>Residential Water Heating Detached-B1_Heat to Residential_Existing 00</v>
      </c>
      <c r="AE161" s="66" t="s">
        <v>53</v>
      </c>
      <c r="AF161" s="88" t="s">
        <v>406</v>
      </c>
      <c r="AG161" s="66"/>
      <c r="AH161" s="66"/>
      <c r="AI161" s="840"/>
      <c r="AJ161" s="840"/>
      <c r="AK161" s="840"/>
      <c r="AL161" s="840"/>
      <c r="AM161" s="840"/>
      <c r="AN161" s="840"/>
      <c r="AO161" s="840"/>
    </row>
    <row r="162" spans="1:41">
      <c r="A162" s="757" t="s">
        <v>110</v>
      </c>
      <c r="B162" s="757" t="s">
        <v>664</v>
      </c>
      <c r="C162" s="757">
        <f>SUMIFS(INDEX(Table91517[],,MATCH(C$144,Table91517[#Headers],0)),Table91517[MainWaterHeatingFuel],$B162,Table91517[EnergyRating (group)],$A162)</f>
        <v>21149</v>
      </c>
      <c r="D162" s="757">
        <f>SUMIFS(INDEX(Table91517[],,MATCH(D$144,Table91517[#Headers],0)),Table91517[MainWaterHeatingFuel],$B162,Table91517[EnergyRating (group)],$A162)</f>
        <v>19227</v>
      </c>
      <c r="E162" s="760">
        <f>SUMIFS(INDEX(Table91517[],,MATCH(E$144,Table91517[#Headers],0)),Table91517[MainWaterHeatingFuel],$B162,Table91517[EnergyRating (group)],$A162)</f>
        <v>0</v>
      </c>
      <c r="F162" s="760">
        <f>SUMIFS(INDEX(Table91517[],,MATCH(F$144,Table91517[#Headers],0)),Table91517[MainWaterHeatingFuel],$B162,Table91517[EnergyRating (group)],$A162)</f>
        <v>0</v>
      </c>
      <c r="G162" s="757">
        <f>SUMIFS(INDEX(Table91517[],,MATCH(G$144,Table91517[#Headers],0)),Table91517[MainWaterHeatingFuel],$B162,Table91517[EnergyRating (group)],$A162)</f>
        <v>5</v>
      </c>
      <c r="H162" s="757">
        <f>SUMIFS(INDEX(Table91517[],,MATCH(H$144,Table91517[#Headers],0)),Table91517[MainWaterHeatingFuel],$B162,Table91517[EnergyRating (group)],$A162)</f>
        <v>1404</v>
      </c>
      <c r="I162" s="959"/>
      <c r="J162" s="968">
        <f t="shared" ref="J162" si="98">C162+E162</f>
        <v>21149</v>
      </c>
      <c r="K162" s="965">
        <f t="shared" ref="K162" si="99">D162+F162</f>
        <v>19227</v>
      </c>
      <c r="L162" s="840"/>
      <c r="M162" s="840"/>
      <c r="N162" s="914" t="str">
        <f>RSD_Commodities!$M$82&amp;"_"&amp;RIGHT(P162,LEN(P162)-3)&amp;"_"&amp;SETUP!$B$68</f>
        <v>WH_Det-B1_OILLPG_X1</v>
      </c>
      <c r="O162" s="914" t="str">
        <f>RSD_Commodities!$N$82&amp;"_"&amp;RSD_Commodities!D11&amp;"_"&amp;SETUP!$C$68</f>
        <v>Residential Water Heating Detached-B1_LPG to Residential_Existing 01</v>
      </c>
      <c r="P162" s="915" t="str">
        <f>RSD_Commodities!$C$11</f>
        <v>RSDOILLPG</v>
      </c>
      <c r="Q162" s="930" t="str">
        <f>RSD_Commodities!$M$82</f>
        <v>WH_Det-B1</v>
      </c>
      <c r="R162" s="1000">
        <f t="shared" si="92"/>
        <v>1.6485328058028356E-3</v>
      </c>
      <c r="S162" s="932">
        <f>R162*DwellingStocks!$I$63/1000</f>
        <v>8.5683508260095322E-3</v>
      </c>
      <c r="T162" s="914">
        <v>1</v>
      </c>
      <c r="U162" s="914">
        <f t="shared" si="93"/>
        <v>0.90912099862877682</v>
      </c>
      <c r="V162" s="930">
        <v>20</v>
      </c>
      <c r="W162" s="930">
        <v>1</v>
      </c>
      <c r="X162" s="866"/>
      <c r="Y162" s="928">
        <f t="shared" si="94"/>
        <v>6.7702882739048756E-8</v>
      </c>
      <c r="Z162" s="929">
        <f t="shared" si="95"/>
        <v>7.4470706144907787E-8</v>
      </c>
      <c r="AA162" s="866"/>
      <c r="AB162" s="914" t="s">
        <v>393</v>
      </c>
      <c r="AC162" s="914" t="str">
        <f t="shared" si="96"/>
        <v>WH_Det-B1_OILLPG_X1</v>
      </c>
      <c r="AD162" s="915" t="str">
        <f t="shared" si="97"/>
        <v>Residential Water Heating Detached-B1_LPG to Residential_Existing 01</v>
      </c>
      <c r="AE162" s="914" t="s">
        <v>53</v>
      </c>
      <c r="AF162" s="916" t="s">
        <v>406</v>
      </c>
      <c r="AG162" s="914"/>
      <c r="AH162" s="914"/>
      <c r="AI162" s="840"/>
      <c r="AJ162" s="840"/>
      <c r="AK162" s="840"/>
      <c r="AL162" s="840"/>
      <c r="AM162" s="840"/>
      <c r="AN162" s="840"/>
      <c r="AO162" s="840"/>
    </row>
    <row r="163" spans="1:41">
      <c r="A163" s="758" t="s">
        <v>110</v>
      </c>
      <c r="B163" s="758" t="s">
        <v>665</v>
      </c>
      <c r="C163" s="758">
        <f>SUMIFS(INDEX(Table91517[],,MATCH(C$144,Table91517[#Headers],0)),Table91517[MainWaterHeatingFuel],$B163,Table91517[EnergyRating (group)],$A163)</f>
        <v>14798</v>
      </c>
      <c r="D163" s="758">
        <f>SUMIFS(INDEX(Table91517[],,MATCH(D$144,Table91517[#Headers],0)),Table91517[MainWaterHeatingFuel],$B163,Table91517[EnergyRating (group)],$A163)</f>
        <v>13452</v>
      </c>
      <c r="E163" s="758">
        <f>SUMIFS(INDEX(Table91517[],,MATCH(E$144,Table91517[#Headers],0)),Table91517[MainWaterHeatingFuel],$B163,Table91517[EnergyRating (group)],$A163)</f>
        <v>4547</v>
      </c>
      <c r="F163" s="758">
        <f>SUMIFS(INDEX(Table91517[],,MATCH(F$144,Table91517[#Headers],0)),Table91517[MainWaterHeatingFuel],$B163,Table91517[EnergyRating (group)],$A163)</f>
        <v>1684</v>
      </c>
      <c r="G163" s="758">
        <f>SUMIFS(INDEX(Table91517[],,MATCH(G$144,Table91517[#Headers],0)),Table91517[MainWaterHeatingFuel],$B163,Table91517[EnergyRating (group)],$A163)</f>
        <v>3</v>
      </c>
      <c r="H163" s="758">
        <f>SUMIFS(INDEX(Table91517[],,MATCH(H$144,Table91517[#Headers],0)),Table91517[MainWaterHeatingFuel],$B163,Table91517[EnergyRating (group)],$A163)</f>
        <v>780</v>
      </c>
      <c r="I163" s="960"/>
      <c r="J163" s="969">
        <f t="shared" si="75"/>
        <v>19345</v>
      </c>
      <c r="K163" s="967">
        <f t="shared" si="75"/>
        <v>15136</v>
      </c>
      <c r="L163" s="840"/>
      <c r="M163" s="840"/>
      <c r="N163" s="933" t="str">
        <f>RSD_Commodities!$M$82&amp;"_"&amp;RSD_Commodities!$C$26&amp;"_"&amp;SETUP!$B$67</f>
        <v>WH_Det-B1_RSDSMF_X0</v>
      </c>
      <c r="O163" s="933" t="str">
        <f>RSD_Commodities!$N$82&amp;"_"&amp;RSD_Commodities!$D$26&amp;"_"&amp;SETUP!$C$67</f>
        <v>Residential Water Heating Detached-B1_Solid Multi-Fuel_Existing 00</v>
      </c>
      <c r="P163" s="934" t="str">
        <f>RSD_Commodities!$C$6&amp;","&amp;RSD_Commodities!$C$7&amp;","&amp;RSD_Commodities!$C$9&amp;","&amp;RSD_Commodities!$C$10&amp;","&amp;RSD_Commodities!$C$19</f>
        <v>RSDCOABIT,RSDCOAHAR,RSDCOALIG,RSDPEA,RSDBIOWOO</v>
      </c>
      <c r="Q163" s="935" t="str">
        <f>RSD_Commodities!$M$82</f>
        <v>WH_Det-B1</v>
      </c>
      <c r="R163" s="1001">
        <f t="shared" si="92"/>
        <v>9.8911968348170125E-4</v>
      </c>
      <c r="S163" s="937">
        <f>R163*DwellingStocks!$I$63/1000</f>
        <v>5.1410104956057185E-3</v>
      </c>
      <c r="T163" s="933">
        <v>1</v>
      </c>
      <c r="U163" s="954">
        <f t="shared" si="93"/>
        <v>0.78242439906952699</v>
      </c>
      <c r="V163" s="935">
        <v>20</v>
      </c>
      <c r="W163" s="935">
        <v>1</v>
      </c>
      <c r="X163" s="866"/>
      <c r="Y163" s="926">
        <f t="shared" si="94"/>
        <v>3.1978493778693765E-8</v>
      </c>
      <c r="Z163" s="927">
        <f t="shared" si="95"/>
        <v>4.0871033440065469E-8</v>
      </c>
      <c r="AA163" s="866"/>
      <c r="AB163" s="66" t="s">
        <v>393</v>
      </c>
      <c r="AC163" s="66" t="str">
        <f t="shared" si="96"/>
        <v>WH_Det-B1_RSDSMF_X0</v>
      </c>
      <c r="AD163" s="83" t="str">
        <f t="shared" si="97"/>
        <v>Residential Water Heating Detached-B1_Solid Multi-Fuel_Existing 00</v>
      </c>
      <c r="AE163" s="66" t="s">
        <v>53</v>
      </c>
      <c r="AF163" s="88" t="s">
        <v>406</v>
      </c>
      <c r="AG163" s="66"/>
      <c r="AH163" s="66"/>
      <c r="AI163" s="840"/>
      <c r="AJ163" s="840"/>
      <c r="AK163" s="840"/>
      <c r="AL163" s="840"/>
      <c r="AM163" s="840"/>
      <c r="AN163" s="840"/>
      <c r="AO163" s="840"/>
    </row>
    <row r="164" spans="1:41">
      <c r="A164" s="757" t="s">
        <v>110</v>
      </c>
      <c r="B164" s="757" t="s">
        <v>668</v>
      </c>
      <c r="C164" s="757">
        <f>SUMIFS(INDEX(Table91517[],,MATCH(C$144,Table91517[#Headers],0)),Table91517[MainWaterHeatingFuel],$B164,Table91517[EnergyRating (group)],$A164)</f>
        <v>7186</v>
      </c>
      <c r="D164" s="757">
        <f>SUMIFS(INDEX(Table91517[],,MATCH(D$144,Table91517[#Headers],0)),Table91517[MainWaterHeatingFuel],$B164,Table91517[EnergyRating (group)],$A164)</f>
        <v>6533</v>
      </c>
      <c r="E164" s="760">
        <f>SUMIFS(INDEX(Table91517[],,MATCH(E$144,Table91517[#Headers],0)),Table91517[MainWaterHeatingFuel],$B164,Table91517[EnergyRating (group)],$A164)</f>
        <v>0</v>
      </c>
      <c r="F164" s="760">
        <f>SUMIFS(INDEX(Table91517[],,MATCH(F$144,Table91517[#Headers],0)),Table91517[MainWaterHeatingFuel],$B164,Table91517[EnergyRating (group)],$A164)</f>
        <v>0</v>
      </c>
      <c r="G164" s="757">
        <f>SUMIFS(INDEX(Table91517[],,MATCH(G$144,Table91517[#Headers],0)),Table91517[MainWaterHeatingFuel],$B164,Table91517[EnergyRating (group)],$A164)</f>
        <v>2</v>
      </c>
      <c r="H164" s="757">
        <f>SUMIFS(INDEX(Table91517[],,MATCH(H$144,Table91517[#Headers],0)),Table91517[MainWaterHeatingFuel],$B164,Table91517[EnergyRating (group)],$A164)</f>
        <v>318</v>
      </c>
      <c r="I164" s="959"/>
      <c r="J164" s="968">
        <f t="shared" si="75"/>
        <v>7186</v>
      </c>
      <c r="K164" s="965">
        <f t="shared" si="75"/>
        <v>6533</v>
      </c>
      <c r="L164" s="840"/>
      <c r="M164" s="840"/>
      <c r="N164" s="914" t="str">
        <f>RSD_Commodities!$M$82&amp;"_"&amp;RIGHT(P164,LEN(P164)-3)&amp;"_"&amp;SETUP!$B$69</f>
        <v>WH_Det-B1_BIOWOO_X2</v>
      </c>
      <c r="O164" s="914" t="str">
        <f>RSD_Commodities!$N$82&amp;"_"&amp;RSD_Commodities!D19&amp;"_"&amp;SETUP!$C$69</f>
        <v>Residential Water Heating Detached-B1_Biomass &amp; Renewable Waste to Residential_Existing 02</v>
      </c>
      <c r="P164" s="915" t="str">
        <f>RSD_Commodities!$C$19</f>
        <v>RSDBIOWOO</v>
      </c>
      <c r="Q164" s="930" t="str">
        <f>RSD_Commodities!$M$82</f>
        <v>WH_Det-B1</v>
      </c>
      <c r="R164" s="1000">
        <f t="shared" si="92"/>
        <v>6.594131223211342E-4</v>
      </c>
      <c r="S164" s="932">
        <f>R164*DwellingStocks!$I$63/1000</f>
        <v>3.4273403304038129E-3</v>
      </c>
      <c r="T164" s="914">
        <v>1</v>
      </c>
      <c r="U164" s="914">
        <f t="shared" si="93"/>
        <v>0.90912886167548013</v>
      </c>
      <c r="V164" s="930">
        <v>20</v>
      </c>
      <c r="W164" s="930">
        <v>1</v>
      </c>
      <c r="X164" s="866"/>
      <c r="Y164" s="928">
        <f t="shared" si="94"/>
        <v>9.2017045391211418E-9</v>
      </c>
      <c r="Z164" s="929">
        <f t="shared" si="95"/>
        <v>1.0121452444225397E-8</v>
      </c>
      <c r="AA164" s="866"/>
      <c r="AB164" s="914" t="s">
        <v>393</v>
      </c>
      <c r="AC164" s="914" t="str">
        <f t="shared" si="96"/>
        <v>WH_Det-B1_BIOWOO_X2</v>
      </c>
      <c r="AD164" s="915" t="str">
        <f t="shared" si="97"/>
        <v>Residential Water Heating Detached-B1_Biomass &amp; Renewable Waste to Residential_Existing 02</v>
      </c>
      <c r="AE164" s="914" t="s">
        <v>53</v>
      </c>
      <c r="AF164" s="916" t="s">
        <v>406</v>
      </c>
      <c r="AG164" s="914"/>
      <c r="AH164" s="914"/>
      <c r="AI164" s="840"/>
      <c r="AJ164" s="840"/>
      <c r="AK164" s="840"/>
      <c r="AL164" s="840"/>
      <c r="AM164" s="840"/>
      <c r="AN164" s="840"/>
      <c r="AO164" s="840"/>
    </row>
    <row r="165" spans="1:41">
      <c r="A165" s="758" t="s">
        <v>110</v>
      </c>
      <c r="B165" s="758" t="s">
        <v>673</v>
      </c>
      <c r="C165" s="758">
        <f>SUMIFS(INDEX(Table91517[],,MATCH(C$144,Table91517[#Headers],0)),Table91517[MainWaterHeatingFuel],$B165,Table91517[EnergyRating (group)],$A165)</f>
        <v>43961</v>
      </c>
      <c r="D165" s="758">
        <f>SUMIFS(INDEX(Table91517[],,MATCH(D$144,Table91517[#Headers],0)),Table91517[MainWaterHeatingFuel],$B165,Table91517[EnergyRating (group)],$A165)</f>
        <v>39964</v>
      </c>
      <c r="E165" s="758">
        <f>SUMIFS(INDEX(Table91517[],,MATCH(E$144,Table91517[#Headers],0)),Table91517[MainWaterHeatingFuel],$B165,Table91517[EnergyRating (group)],$A165)</f>
        <v>5139</v>
      </c>
      <c r="F165" s="758">
        <f>SUMIFS(INDEX(Table91517[],,MATCH(F$144,Table91517[#Headers],0)),Table91517[MainWaterHeatingFuel],$B165,Table91517[EnergyRating (group)],$A165)</f>
        <v>1903</v>
      </c>
      <c r="G165" s="758">
        <f>SUMIFS(INDEX(Table91517[],,MATCH(G$144,Table91517[#Headers],0)),Table91517[MainWaterHeatingFuel],$B165,Table91517[EnergyRating (group)],$A165)</f>
        <v>9</v>
      </c>
      <c r="H165" s="758">
        <f>SUMIFS(INDEX(Table91517[],,MATCH(H$144,Table91517[#Headers],0)),Table91517[MainWaterHeatingFuel],$B165,Table91517[EnergyRating (group)],$A165)</f>
        <v>2228</v>
      </c>
      <c r="I165" s="960"/>
      <c r="J165" s="969">
        <f t="shared" ref="J165:J167" si="100">C165+E165</f>
        <v>49100</v>
      </c>
      <c r="K165" s="967">
        <f t="shared" ref="K165:K167" si="101">D165+F165</f>
        <v>41867</v>
      </c>
      <c r="L165" s="840"/>
      <c r="M165" s="840"/>
      <c r="N165" s="933" t="str">
        <f>RSD_Commodities!$M$82&amp;"_"&amp;RIGHT(P166,LEN(P166)-3)&amp;"_"&amp;SETUP!$B$68</f>
        <v>WH_Det-B1_BIOWOO_X1</v>
      </c>
      <c r="O165" s="933" t="str">
        <f>RSD_Commodities!$N$82&amp;"_"&amp;RSD_Commodities!D19&amp;"_"&amp;SETUP!$C$68</f>
        <v>Residential Water Heating Detached-B1_Biomass &amp; Renewable Waste to Residential_Existing 01</v>
      </c>
      <c r="P165" s="934" t="str">
        <f>RSD_Commodities!$C$19</f>
        <v>RSDBIOWOO</v>
      </c>
      <c r="Q165" s="935" t="str">
        <f>RSD_Commodities!$M$82</f>
        <v>WH_Det-B1</v>
      </c>
      <c r="R165" s="1001">
        <f t="shared" si="92"/>
        <v>2.967359050445104E-3</v>
      </c>
      <c r="S165" s="937">
        <f>R165*DwellingStocks!$I$63/1000</f>
        <v>1.5423031486817158E-2</v>
      </c>
      <c r="T165" s="933">
        <v>1</v>
      </c>
      <c r="U165" s="954">
        <f t="shared" si="93"/>
        <v>0.85268839103869654</v>
      </c>
      <c r="V165" s="935">
        <v>20</v>
      </c>
      <c r="W165" s="935">
        <v>1</v>
      </c>
      <c r="X165" s="866"/>
      <c r="Y165" s="926">
        <f t="shared" si="94"/>
        <v>2.6536276407886603E-7</v>
      </c>
      <c r="Z165" s="927">
        <f t="shared" si="95"/>
        <v>3.1120719698742028E-7</v>
      </c>
      <c r="AA165" s="866"/>
      <c r="AB165" s="66" t="s">
        <v>393</v>
      </c>
      <c r="AC165" s="66" t="str">
        <f t="shared" si="96"/>
        <v>WH_Det-B1_BIOWOO_X1</v>
      </c>
      <c r="AD165" s="83" t="str">
        <f t="shared" si="97"/>
        <v>Residential Water Heating Detached-B1_Biomass &amp; Renewable Waste to Residential_Existing 01</v>
      </c>
      <c r="AE165" s="66" t="s">
        <v>53</v>
      </c>
      <c r="AF165" s="88" t="s">
        <v>406</v>
      </c>
      <c r="AG165" s="66"/>
      <c r="AH165" s="66"/>
      <c r="AI165" s="840"/>
      <c r="AJ165" s="840"/>
      <c r="AK165" s="840"/>
      <c r="AL165" s="840"/>
      <c r="AM165" s="840"/>
      <c r="AN165" s="840"/>
      <c r="AO165" s="840"/>
    </row>
    <row r="166" spans="1:41">
      <c r="A166" s="757" t="s">
        <v>110</v>
      </c>
      <c r="B166" s="757" t="s">
        <v>722</v>
      </c>
      <c r="C166" s="757">
        <f>SUMIFS(INDEX(Table91517[],,MATCH(C$144,Table91517[#Headers],0)),Table91517[MainWaterHeatingFuel],$B166,Table91517[EnergyRating (group)],$A166)</f>
        <v>19395</v>
      </c>
      <c r="D166" s="757">
        <f>SUMIFS(INDEX(Table91517[],,MATCH(D$144,Table91517[#Headers],0)),Table91517[MainWaterHeatingFuel],$B166,Table91517[EnergyRating (group)],$A166)</f>
        <v>17633</v>
      </c>
      <c r="E166" s="760">
        <f>SUMIFS(INDEX(Table91517[],,MATCH(E$144,Table91517[#Headers],0)),Table91517[MainWaterHeatingFuel],$B166,Table91517[EnergyRating (group)],$A166)</f>
        <v>0</v>
      </c>
      <c r="F166" s="760">
        <f>SUMIFS(INDEX(Table91517[],,MATCH(F$144,Table91517[#Headers],0)),Table91517[MainWaterHeatingFuel],$B166,Table91517[EnergyRating (group)],$A166)</f>
        <v>0</v>
      </c>
      <c r="G166" s="757">
        <f>SUMIFS(INDEX(Table91517[],,MATCH(G$144,Table91517[#Headers],0)),Table91517[MainWaterHeatingFuel],$B166,Table91517[EnergyRating (group)],$A166)</f>
        <v>3</v>
      </c>
      <c r="H166" s="757">
        <f>SUMIFS(INDEX(Table91517[],,MATCH(H$144,Table91517[#Headers],0)),Table91517[MainWaterHeatingFuel],$B166,Table91517[EnergyRating (group)],$A166)</f>
        <v>1004</v>
      </c>
      <c r="I166" s="959"/>
      <c r="J166" s="968">
        <f t="shared" si="100"/>
        <v>19395</v>
      </c>
      <c r="K166" s="965">
        <f t="shared" si="101"/>
        <v>17633</v>
      </c>
      <c r="L166" s="840"/>
      <c r="M166" s="840"/>
      <c r="N166" s="914" t="str">
        <f>RSD_Commodities!$M$82&amp;"_"&amp;RIGHT(P166,LEN(P166)-3)&amp;"_"&amp;SETUP!$B$68</f>
        <v>WH_Det-B1_BIOWOO_X1</v>
      </c>
      <c r="O166" s="914" t="str">
        <f>RSD_Commodities!$N$82&amp;"_"&amp;RSD_Commodities!D19&amp;"_"&amp;SETUP!$C$68</f>
        <v>Residential Water Heating Detached-B1_Biomass &amp; Renewable Waste to Residential_Existing 01</v>
      </c>
      <c r="P166" s="915" t="str">
        <f>RSD_Commodities!$C$19</f>
        <v>RSDBIOWOO</v>
      </c>
      <c r="Q166" s="930" t="str">
        <f>RSD_Commodities!$M$82</f>
        <v>WH_Det-B1</v>
      </c>
      <c r="R166" s="1000">
        <f t="shared" si="92"/>
        <v>9.8911968348170125E-4</v>
      </c>
      <c r="S166" s="932">
        <f>R166*DwellingStocks!$I$63/1000</f>
        <v>5.1410104956057185E-3</v>
      </c>
      <c r="T166" s="914">
        <v>1</v>
      </c>
      <c r="U166" s="914">
        <f t="shared" si="93"/>
        <v>0.90915184325857179</v>
      </c>
      <c r="V166" s="930">
        <v>20</v>
      </c>
      <c r="W166" s="930">
        <v>1</v>
      </c>
      <c r="X166" s="866"/>
      <c r="Y166" s="928">
        <f t="shared" si="94"/>
        <v>3.7254015644800951E-8</v>
      </c>
      <c r="Z166" s="929">
        <f t="shared" si="95"/>
        <v>4.0976670642029968E-8</v>
      </c>
      <c r="AA166" s="866"/>
      <c r="AB166" s="914" t="s">
        <v>393</v>
      </c>
      <c r="AC166" s="914" t="str">
        <f t="shared" si="96"/>
        <v>WH_Det-B1_BIOWOO_X1</v>
      </c>
      <c r="AD166" s="915" t="str">
        <f t="shared" si="97"/>
        <v>Residential Water Heating Detached-B1_Biomass &amp; Renewable Waste to Residential_Existing 01</v>
      </c>
      <c r="AE166" s="914" t="s">
        <v>53</v>
      </c>
      <c r="AF166" s="916" t="s">
        <v>406</v>
      </c>
      <c r="AG166" s="914"/>
      <c r="AH166" s="914"/>
      <c r="AI166" s="840"/>
      <c r="AJ166" s="840"/>
      <c r="AK166" s="840"/>
      <c r="AL166" s="840"/>
      <c r="AM166" s="840"/>
      <c r="AN166" s="840"/>
      <c r="AO166" s="840"/>
    </row>
    <row r="167" spans="1:41" ht="15.75" thickBot="1">
      <c r="A167" s="758" t="s">
        <v>110</v>
      </c>
      <c r="B167" s="758" t="s">
        <v>666</v>
      </c>
      <c r="C167" s="758">
        <f>SUMIFS(INDEX(Table91517[],,MATCH(C$144,Table91517[#Headers],0)),Table91517[MainWaterHeatingFuel],$B167,Table91517[EnergyRating (group)],$A167)</f>
        <v>2168</v>
      </c>
      <c r="D167" s="758">
        <f>SUMIFS(INDEX(Table91517[],,MATCH(D$144,Table91517[#Headers],0)),Table91517[MainWaterHeatingFuel],$B167,Table91517[EnergyRating (group)],$A167)</f>
        <v>1971</v>
      </c>
      <c r="E167" s="758">
        <f>SUMIFS(INDEX(Table91517[],,MATCH(E$144,Table91517[#Headers],0)),Table91517[MainWaterHeatingFuel],$B167,Table91517[EnergyRating (group)],$A167)</f>
        <v>0</v>
      </c>
      <c r="F167" s="758">
        <f>SUMIFS(INDEX(Table91517[],,MATCH(F$144,Table91517[#Headers],0)),Table91517[MainWaterHeatingFuel],$B167,Table91517[EnergyRating (group)],$A167)</f>
        <v>0</v>
      </c>
      <c r="G167" s="758">
        <f>SUMIFS(INDEX(Table91517[],,MATCH(G$144,Table91517[#Headers],0)),Table91517[MainWaterHeatingFuel],$B167,Table91517[EnergyRating (group)],$A167)</f>
        <v>1</v>
      </c>
      <c r="H167" s="758">
        <f>SUMIFS(INDEX(Table91517[],,MATCH(H$144,Table91517[#Headers],0)),Table91517[MainWaterHeatingFuel],$B167,Table91517[EnergyRating (group)],$A167)</f>
        <v>138</v>
      </c>
      <c r="I167" s="960"/>
      <c r="J167" s="969">
        <f t="shared" si="100"/>
        <v>2168</v>
      </c>
      <c r="K167" s="967">
        <f t="shared" si="101"/>
        <v>1971</v>
      </c>
      <c r="L167" s="840"/>
      <c r="M167" s="840"/>
      <c r="N167" s="933" t="str">
        <f>RSD_Commodities!$M$82&amp;"_"&amp;RIGHT(P167,LEN(P167)-3)&amp;"_"&amp;SETUP!$B$67</f>
        <v>WH_Det-B1_COABIT_X0</v>
      </c>
      <c r="O167" s="933" t="str">
        <f>RSD_Commodities!$N$82&amp;"_"&amp;RSD_Commodities!D6&amp;"_"&amp;SETUP!$C$67</f>
        <v>Residential Water Heating Detached-B1_Bituminous Coal to Residential_Existing 00</v>
      </c>
      <c r="P167" s="934" t="str">
        <f>RSD_Commodities!$C$6</f>
        <v>RSDCOABIT</v>
      </c>
      <c r="Q167" s="935" t="str">
        <f>RSD_Commodities!$M$82</f>
        <v>WH_Det-B1</v>
      </c>
      <c r="R167" s="1001">
        <f t="shared" si="92"/>
        <v>3.297065611605671E-4</v>
      </c>
      <c r="S167" s="937">
        <f>R167*DwellingStocks!$I$63/1000</f>
        <v>1.7136701652019064E-3</v>
      </c>
      <c r="T167" s="933">
        <v>1</v>
      </c>
      <c r="U167" s="954">
        <f t="shared" si="93"/>
        <v>0.90913284132841332</v>
      </c>
      <c r="V167" s="935">
        <v>20</v>
      </c>
      <c r="W167" s="935">
        <v>1</v>
      </c>
      <c r="X167" s="866"/>
      <c r="Y167" s="926">
        <f t="shared" si="94"/>
        <v>1.3880728338135445E-9</v>
      </c>
      <c r="Z167" s="927">
        <f t="shared" si="95"/>
        <v>1.5268096923935893E-9</v>
      </c>
      <c r="AA167" s="866"/>
      <c r="AB167" s="66" t="s">
        <v>393</v>
      </c>
      <c r="AC167" s="66" t="str">
        <f t="shared" si="96"/>
        <v>WH_Det-B1_COABIT_X0</v>
      </c>
      <c r="AD167" s="83" t="str">
        <f t="shared" si="97"/>
        <v>Residential Water Heating Detached-B1_Bituminous Coal to Residential_Existing 00</v>
      </c>
      <c r="AE167" s="66" t="s">
        <v>53</v>
      </c>
      <c r="AF167" s="88" t="s">
        <v>406</v>
      </c>
      <c r="AG167" s="66"/>
      <c r="AH167" s="66"/>
      <c r="AI167" s="840"/>
      <c r="AJ167" s="840"/>
      <c r="AK167" s="840"/>
      <c r="AL167" s="840"/>
      <c r="AM167" s="840"/>
      <c r="AN167" s="840"/>
      <c r="AO167" s="840"/>
    </row>
    <row r="168" spans="1:41" ht="15.75" thickBot="1">
      <c r="A168" s="756" t="s">
        <v>112</v>
      </c>
      <c r="B168" s="1048"/>
      <c r="C168" s="1049"/>
      <c r="D168" s="1049"/>
      <c r="E168" s="1049"/>
      <c r="F168" s="1049"/>
      <c r="G168" s="1049"/>
      <c r="H168" s="1049"/>
      <c r="I168" s="1049"/>
      <c r="J168" s="1049"/>
      <c r="K168" s="1052"/>
      <c r="L168" s="840"/>
      <c r="M168" s="840"/>
      <c r="N168" s="76" t="str">
        <f>AB168</f>
        <v>*B2 Rating</v>
      </c>
      <c r="O168" s="76"/>
      <c r="P168" s="76"/>
      <c r="Q168" s="76"/>
      <c r="R168" s="949">
        <f>SUM(R169:R178)</f>
        <v>0.99996320475136014</v>
      </c>
      <c r="S168" s="76"/>
      <c r="T168" s="97"/>
      <c r="U168" s="76"/>
      <c r="V168" s="76"/>
      <c r="W168" s="76"/>
      <c r="X168" s="840"/>
      <c r="Y168" s="76"/>
      <c r="Z168" s="76"/>
      <c r="AA168" s="840"/>
      <c r="AB168" s="140" t="str">
        <f>"*"&amp; A169 &amp; " Rating"</f>
        <v>*B2 Rating</v>
      </c>
      <c r="AC168" s="141"/>
      <c r="AD168" s="141"/>
      <c r="AE168" s="141"/>
      <c r="AF168" s="141"/>
      <c r="AG168" s="141"/>
      <c r="AH168" s="141"/>
      <c r="AI168" s="840"/>
      <c r="AJ168" s="840"/>
      <c r="AK168" s="840"/>
      <c r="AL168" s="840"/>
      <c r="AM168" s="840"/>
      <c r="AN168" s="840"/>
      <c r="AO168" s="840"/>
    </row>
    <row r="169" spans="1:41">
      <c r="A169" s="972" t="s">
        <v>112</v>
      </c>
      <c r="B169" s="757" t="s">
        <v>582</v>
      </c>
      <c r="C169" s="757">
        <f>SUMIFS(INDEX(Table91517[],,MATCH(C$144,Table91517[#Headers],0)),Table91517[MainWaterHeatingFuel],$B169,Table91517[EnergyRating (group)],$A169)</f>
        <v>1339296</v>
      </c>
      <c r="D169" s="757">
        <f>SUMIFS(INDEX(Table91517[],,MATCH(D$144,Table91517[#Headers],0)),Table91517[MainWaterHeatingFuel],$B169,Table91517[EnergyRating (group)],$A169)</f>
        <v>1217541</v>
      </c>
      <c r="E169" s="760">
        <f>SUMIFS(INDEX(Table91517[],,MATCH(E$144,Table91517[#Headers],0)),Table91517[MainWaterHeatingFuel],$B169,Table91517[EnergyRating (group)],$A169)</f>
        <v>12750</v>
      </c>
      <c r="F169" s="760">
        <f>SUMIFS(INDEX(Table91517[],,MATCH(F$144,Table91517[#Headers],0)),Table91517[MainWaterHeatingFuel],$B169,Table91517[EnergyRating (group)],$A169)</f>
        <v>4721</v>
      </c>
      <c r="G169" s="757">
        <f>SUMIFS(INDEX(Table91517[],,MATCH(G$144,Table91517[#Headers],0)),Table91517[MainWaterHeatingFuel],$B169,Table91517[EnergyRating (group)],$A169)</f>
        <v>261</v>
      </c>
      <c r="H169" s="757">
        <f>SUMIFS(INDEX(Table91517[],,MATCH(H$144,Table91517[#Headers],0)),Table91517[MainWaterHeatingFuel],$B169,Table91517[EnergyRating (group)],$A169)</f>
        <v>60972</v>
      </c>
      <c r="I169" s="959"/>
      <c r="J169" s="974">
        <f t="shared" ref="J169:K172" si="102">C169+E169</f>
        <v>1352046</v>
      </c>
      <c r="K169" s="975">
        <f t="shared" si="102"/>
        <v>1222262</v>
      </c>
      <c r="L169" s="840"/>
      <c r="M169" s="840"/>
      <c r="N169" s="914" t="str">
        <f>RSD_Commodities!$M$83&amp;"_"&amp;RIGHT(P169,LEN(P169)-3)&amp;"_"&amp;SETUP!$B$67</f>
        <v>WH_Det-B2_OILLPG_X0</v>
      </c>
      <c r="O169" s="914" t="str">
        <f>RSD_Commodities!$N$83&amp;"_"&amp;RSD_Commodities!D11&amp;"_"&amp;SETUP!$C$67</f>
        <v>Residential Water Heating Detached-B2_LPG to Residential_Existing 00</v>
      </c>
      <c r="P169" s="915" t="str">
        <f>RSD_Commodities!$C$11</f>
        <v>RSDOILLPG</v>
      </c>
      <c r="Q169" s="930" t="str">
        <f>RSD_Commodities!$M$83</f>
        <v>WH_Det-B2</v>
      </c>
      <c r="R169" s="1000">
        <f>G169/SUM($G$169:$G$179)</f>
        <v>3.7021276595744682E-2</v>
      </c>
      <c r="S169" s="932">
        <f>R169*DwellingStocks!$I$64/1000</f>
        <v>0.51753375783452271</v>
      </c>
      <c r="T169" s="914">
        <v>1</v>
      </c>
      <c r="U169" s="914">
        <f>K169/J169</f>
        <v>0.90400918311950929</v>
      </c>
      <c r="V169" s="930">
        <v>20</v>
      </c>
      <c r="W169" s="930">
        <v>1</v>
      </c>
      <c r="X169" s="866"/>
      <c r="Y169" s="924">
        <f>ABS((K169)*S169*1000*$B$2)</f>
        <v>2.5995692298013957E-4</v>
      </c>
      <c r="Z169" s="925">
        <f>ABS((J169)*S169*1000*$B$2)</f>
        <v>2.8756004677197341E-4</v>
      </c>
      <c r="AA169" s="866"/>
      <c r="AB169" s="914" t="s">
        <v>393</v>
      </c>
      <c r="AC169" s="914" t="str">
        <f t="shared" ref="AC169:AD172" si="103">N169</f>
        <v>WH_Det-B2_OILLPG_X0</v>
      </c>
      <c r="AD169" s="915" t="str">
        <f t="shared" si="103"/>
        <v>Residential Water Heating Detached-B2_LPG to Residential_Existing 00</v>
      </c>
      <c r="AE169" s="914" t="s">
        <v>53</v>
      </c>
      <c r="AF169" s="916" t="s">
        <v>406</v>
      </c>
      <c r="AG169" s="914"/>
      <c r="AH169" s="914"/>
      <c r="AI169" s="840"/>
      <c r="AJ169" s="840"/>
      <c r="AK169" s="840"/>
      <c r="AL169" s="840"/>
      <c r="AM169" s="840"/>
      <c r="AN169" s="840"/>
      <c r="AO169" s="840"/>
    </row>
    <row r="170" spans="1:41">
      <c r="A170" s="973" t="s">
        <v>112</v>
      </c>
      <c r="B170" s="758" t="s">
        <v>228</v>
      </c>
      <c r="C170" s="758">
        <f>SUMIFS(INDEX(Table91517[],,MATCH(C$144,Table91517[#Headers],0)),Table91517[MainWaterHeatingFuel],$B170,Table91517[EnergyRating (group)],$A170)</f>
        <v>5704312</v>
      </c>
      <c r="D170" s="758">
        <f>SUMIFS(INDEX(Table91517[],,MATCH(D$144,Table91517[#Headers],0)),Table91517[MainWaterHeatingFuel],$B170,Table91517[EnergyRating (group)],$A170)</f>
        <v>2112706</v>
      </c>
      <c r="E170" s="758">
        <f>SUMIFS(INDEX(Table91517[],,MATCH(E$144,Table91517[#Headers],0)),Table91517[MainWaterHeatingFuel],$B170,Table91517[EnergyRating (group)],$A170)</f>
        <v>72319</v>
      </c>
      <c r="F170" s="758">
        <f>SUMIFS(INDEX(Table91517[],,MATCH(F$144,Table91517[#Headers],0)),Table91517[MainWaterHeatingFuel],$B170,Table91517[EnergyRating (group)],$A170)</f>
        <v>26785</v>
      </c>
      <c r="G170" s="758">
        <f>SUMIFS(INDEX(Table91517[],,MATCH(G$144,Table91517[#Headers],0)),Table91517[MainWaterHeatingFuel],$B170,Table91517[EnergyRating (group)],$A170)</f>
        <v>807</v>
      </c>
      <c r="H170" s="758">
        <f>SUMIFS(INDEX(Table91517[],,MATCH(H$144,Table91517[#Headers],0)),Table91517[MainWaterHeatingFuel],$B170,Table91517[EnergyRating (group)],$A170)</f>
        <v>198077</v>
      </c>
      <c r="I170" s="960"/>
      <c r="J170" s="976">
        <f t="shared" si="102"/>
        <v>5776631</v>
      </c>
      <c r="K170" s="977">
        <f t="shared" si="102"/>
        <v>2139491</v>
      </c>
      <c r="L170" s="840"/>
      <c r="M170" s="840"/>
      <c r="N170" s="933" t="str">
        <f>RSD_Commodities!$M$83&amp;"_"&amp;RIGHT(P170,LEN(P170)-3)&amp;"_"&amp;SETUP!$B$67</f>
        <v>WH_Det-B2_ELCD_X0</v>
      </c>
      <c r="O170" s="933" t="str">
        <f>RSD_Commodities!$N$83&amp;"_"&amp;RSD_Commodities!D27&amp;"_"&amp;SETUP!$C$67</f>
        <v>Residential Water Heating Detached-B2_Electricity to Residential_Existing 00</v>
      </c>
      <c r="P170" s="934" t="str">
        <f>RSD_Commodities!$C$27</f>
        <v>RSDELCD</v>
      </c>
      <c r="Q170" s="935" t="str">
        <f>RSD_Commodities!$M$83</f>
        <v>WH_Det-B2</v>
      </c>
      <c r="R170" s="1001">
        <f>G170/SUM($G$169:$G$178)</f>
        <v>0.11458185432344171</v>
      </c>
      <c r="S170" s="937">
        <f>R170*DwellingStocks!$I$64/1000</f>
        <v>1.6017810054252621</v>
      </c>
      <c r="T170" s="933">
        <v>1</v>
      </c>
      <c r="U170" s="954">
        <f t="shared" ref="U170:U178" si="104">K170/J170</f>
        <v>0.37037003055933465</v>
      </c>
      <c r="V170" s="935">
        <v>20</v>
      </c>
      <c r="W170" s="935">
        <v>1</v>
      </c>
      <c r="X170" s="866"/>
      <c r="Y170" s="926">
        <f t="shared" ref="Y170:Y171" si="105">ABS((K170)*S170*1000*$B$2)</f>
        <v>1.408354539073274E-3</v>
      </c>
      <c r="Z170" s="927">
        <f t="shared" ref="Z170:Z171" si="106">ABS((J170)*S170*1000*$B$2)</f>
        <v>3.8025607443085228E-3</v>
      </c>
      <c r="AA170" s="866"/>
      <c r="AB170" s="66" t="s">
        <v>393</v>
      </c>
      <c r="AC170" s="66" t="str">
        <f t="shared" si="103"/>
        <v>WH_Det-B2_ELCD_X0</v>
      </c>
      <c r="AD170" s="83" t="str">
        <f t="shared" si="103"/>
        <v>Residential Water Heating Detached-B2_Electricity to Residential_Existing 00</v>
      </c>
      <c r="AE170" s="66" t="s">
        <v>53</v>
      </c>
      <c r="AF170" s="88" t="s">
        <v>406</v>
      </c>
      <c r="AG170" s="66"/>
      <c r="AH170" s="66"/>
      <c r="AI170" s="840"/>
      <c r="AJ170" s="840"/>
      <c r="AK170" s="840"/>
      <c r="AL170" s="840"/>
      <c r="AM170" s="840"/>
      <c r="AN170" s="840"/>
      <c r="AO170" s="840"/>
    </row>
    <row r="171" spans="1:41">
      <c r="A171" s="972" t="s">
        <v>112</v>
      </c>
      <c r="B171" s="757" t="s">
        <v>583</v>
      </c>
      <c r="C171" s="757">
        <f>SUMIFS(INDEX(Table91517[],,MATCH(C$144,Table91517[#Headers],0)),Table91517[MainWaterHeatingFuel],$B171,Table91517[EnergyRating (group)],$A171)</f>
        <v>21639954</v>
      </c>
      <c r="D171" s="757">
        <f>SUMIFS(INDEX(Table91517[],,MATCH(D$144,Table91517[#Headers],0)),Table91517[MainWaterHeatingFuel],$B171,Table91517[EnergyRating (group)],$A171)</f>
        <v>19672686</v>
      </c>
      <c r="E171" s="757">
        <f>SUMIFS(INDEX(Table91517[],,MATCH(E$144,Table91517[#Headers],0)),Table91517[MainWaterHeatingFuel],$B171,Table91517[EnergyRating (group)],$A171)</f>
        <v>707723</v>
      </c>
      <c r="F171" s="757">
        <f>SUMIFS(INDEX(Table91517[],,MATCH(F$144,Table91517[#Headers],0)),Table91517[MainWaterHeatingFuel],$B171,Table91517[EnergyRating (group)],$A171)</f>
        <v>262120</v>
      </c>
      <c r="G171" s="757">
        <f>SUMIFS(INDEX(Table91517[],,MATCH(G$144,Table91517[#Headers],0)),Table91517[MainWaterHeatingFuel],$B171,Table91517[EnergyRating (group)],$A171)</f>
        <v>4251</v>
      </c>
      <c r="H171" s="757">
        <f>SUMIFS(INDEX(Table91517[],,MATCH(H$144,Table91517[#Headers],0)),Table91517[MainWaterHeatingFuel],$B171,Table91517[EnergyRating (group)],$A171)</f>
        <v>968583</v>
      </c>
      <c r="I171" s="961"/>
      <c r="J171" s="978">
        <f t="shared" si="102"/>
        <v>22347677</v>
      </c>
      <c r="K171" s="979">
        <f t="shared" si="102"/>
        <v>19934806</v>
      </c>
      <c r="L171" s="840"/>
      <c r="M171" s="840"/>
      <c r="N171" s="914" t="str">
        <f>RSD_Commodities!$M$83&amp;"_"&amp;RIGHT(P171,LEN(P171)-3)&amp;"_"&amp;SETUP!$B$67</f>
        <v>WH_Det-B2_OILKER_X0</v>
      </c>
      <c r="O171" s="914" t="str">
        <f>RSD_Commodities!$N$83&amp;"_"&amp;RSD_Commodities!D13&amp;"_"&amp;SETUP!$C$67</f>
        <v>Residential Water Heating Detached-B2_Kerosene to Residential_Existing 00</v>
      </c>
      <c r="P171" s="915" t="str">
        <f>RSD_Commodities!$C$13</f>
        <v>RSDOILKER</v>
      </c>
      <c r="Q171" s="930" t="str">
        <f>RSD_Commodities!$M$83</f>
        <v>WH_Det-B2</v>
      </c>
      <c r="R171" s="1000">
        <f>G171/SUM($G$169:$G$178)</f>
        <v>0.6035780207298026</v>
      </c>
      <c r="S171" s="932">
        <f>R171*DwellingStocks!$I$64/1000</f>
        <v>8.4376345155672716</v>
      </c>
      <c r="T171" s="914">
        <v>1</v>
      </c>
      <c r="U171" s="914">
        <f t="shared" si="104"/>
        <v>0.89203034391449276</v>
      </c>
      <c r="V171" s="930">
        <v>20</v>
      </c>
      <c r="W171" s="930">
        <v>1</v>
      </c>
      <c r="X171" s="866"/>
      <c r="Y171" s="928">
        <f t="shared" si="105"/>
        <v>6.9124359109618172E-2</v>
      </c>
      <c r="Z171" s="929">
        <f t="shared" si="106"/>
        <v>7.749104005395159E-2</v>
      </c>
      <c r="AA171" s="866"/>
      <c r="AB171" s="914" t="s">
        <v>393</v>
      </c>
      <c r="AC171" s="914" t="str">
        <f t="shared" si="103"/>
        <v>WH_Det-B2_OILKER_X0</v>
      </c>
      <c r="AD171" s="915" t="str">
        <f t="shared" si="103"/>
        <v>Residential Water Heating Detached-B2_Kerosene to Residential_Existing 00</v>
      </c>
      <c r="AE171" s="914" t="s">
        <v>53</v>
      </c>
      <c r="AF171" s="916" t="s">
        <v>406</v>
      </c>
      <c r="AG171" s="914"/>
      <c r="AH171" s="914"/>
      <c r="AI171" s="840"/>
      <c r="AJ171" s="840"/>
      <c r="AK171" s="840"/>
      <c r="AL171" s="840"/>
      <c r="AM171" s="840"/>
      <c r="AN171" s="840"/>
      <c r="AO171" s="840"/>
    </row>
    <row r="172" spans="1:41">
      <c r="A172" s="973" t="s">
        <v>112</v>
      </c>
      <c r="B172" s="758" t="s">
        <v>584</v>
      </c>
      <c r="C172" s="758">
        <f>SUMIFS(INDEX(Table91517[],,MATCH(C$144,Table91517[#Headers],0)),Table91517[MainWaterHeatingFuel],$B172,Table91517[EnergyRating (group)],$A172)</f>
        <v>7797018</v>
      </c>
      <c r="D172" s="758">
        <f>SUMIFS(INDEX(Table91517[],,MATCH(D$144,Table91517[#Headers],0)),Table91517[MainWaterHeatingFuel],$B172,Table91517[EnergyRating (group)],$A172)</f>
        <v>7088199</v>
      </c>
      <c r="E172" s="759">
        <f>SUMIFS(INDEX(Table91517[],,MATCH(E$144,Table91517[#Headers],0)),Table91517[MainWaterHeatingFuel],$B172,Table91517[EnergyRating (group)],$A172)</f>
        <v>100439</v>
      </c>
      <c r="F172" s="759">
        <f>SUMIFS(INDEX(Table91517[],,MATCH(F$144,Table91517[#Headers],0)),Table91517[MainWaterHeatingFuel],$B172,Table91517[EnergyRating (group)],$A172)</f>
        <v>37199</v>
      </c>
      <c r="G172" s="758">
        <f>SUMIFS(INDEX(Table91517[],,MATCH(G$144,Table91517[#Headers],0)),Table91517[MainWaterHeatingFuel],$B172,Table91517[EnergyRating (group)],$A172)</f>
        <v>1609</v>
      </c>
      <c r="H172" s="758">
        <f>SUMIFS(INDEX(Table91517[],,MATCH(H$144,Table91517[#Headers],0)),Table91517[MainWaterHeatingFuel],$B172,Table91517[EnergyRating (group)],$A172)</f>
        <v>317356</v>
      </c>
      <c r="I172" s="960"/>
      <c r="J172" s="980">
        <f t="shared" si="102"/>
        <v>7897457</v>
      </c>
      <c r="K172" s="981">
        <f t="shared" si="102"/>
        <v>7125398</v>
      </c>
      <c r="L172" s="840"/>
      <c r="M172" s="840"/>
      <c r="N172" s="933" t="str">
        <f>RSD_Commodities!$M$83&amp;"_"&amp;RIGHT(P172,LEN(P172)-3)&amp;"_"&amp;SETUP!$B$67</f>
        <v>WH_Det-B2_GASNAT_X0</v>
      </c>
      <c r="O172" s="933" t="str">
        <f>RSD_Commodities!$N$83&amp;"_"&amp;RSD_Commodities!D17&amp;"_"&amp;SETUP!$C$67</f>
        <v>Residential Water Heating Detached-B2_Natural Gas to Residential_Existing 00</v>
      </c>
      <c r="P172" s="934" t="str">
        <f>RSD_Commodities!$C$17</f>
        <v>RSDGASNAT</v>
      </c>
      <c r="Q172" s="935" t="str">
        <f>RSD_Commodities!$M$83</f>
        <v>WH_Det-B2</v>
      </c>
      <c r="R172" s="1001">
        <f>G172/SUM($G$169:$G$178)</f>
        <v>0.22845378389890672</v>
      </c>
      <c r="S172" s="937">
        <f>R172*DwellingStocks!$I$64/1000</f>
        <v>3.193637717136613</v>
      </c>
      <c r="T172" s="933">
        <v>1</v>
      </c>
      <c r="U172" s="933">
        <f t="shared" si="104"/>
        <v>0.90223954369108939</v>
      </c>
      <c r="V172" s="935">
        <v>20</v>
      </c>
      <c r="W172" s="935">
        <v>1</v>
      </c>
      <c r="X172" s="866"/>
      <c r="Y172" s="926">
        <f t="shared" ref="Y172:Y179" si="107">ABS((K172)*S172*1000*$B$2)</f>
        <v>9.3517560831821046E-3</v>
      </c>
      <c r="Z172" s="927">
        <f t="shared" ref="Z172:Z179" si="108">ABS((J172)*S172*1000*$B$2)</f>
        <v>1.0365047895067632E-2</v>
      </c>
      <c r="AA172" s="866"/>
      <c r="AB172" s="66" t="s">
        <v>393</v>
      </c>
      <c r="AC172" s="66" t="str">
        <f t="shared" si="103"/>
        <v>WH_Det-B2_GASNAT_X0</v>
      </c>
      <c r="AD172" s="83" t="str">
        <f t="shared" si="103"/>
        <v>Residential Water Heating Detached-B2_Natural Gas to Residential_Existing 00</v>
      </c>
      <c r="AE172" s="66" t="s">
        <v>53</v>
      </c>
      <c r="AF172" s="88" t="s">
        <v>406</v>
      </c>
      <c r="AG172" s="66"/>
      <c r="AH172" s="66"/>
      <c r="AI172" s="840"/>
      <c r="AJ172" s="840"/>
      <c r="AK172" s="840"/>
      <c r="AL172" s="840"/>
      <c r="AM172" s="840"/>
      <c r="AN172" s="840"/>
      <c r="AO172" s="840"/>
    </row>
    <row r="173" spans="1:41">
      <c r="A173" s="972" t="s">
        <v>112</v>
      </c>
      <c r="B173" s="757" t="s">
        <v>585</v>
      </c>
      <c r="C173" s="757">
        <f>SUMIFS(INDEX(Table91517[],,MATCH(C$144,Table91517[#Headers],0)),Table91517[MainWaterHeatingFuel],$B173,Table91517[EnergyRating (group)],$A173)</f>
        <v>269232</v>
      </c>
      <c r="D173" s="757">
        <f>SUMIFS(INDEX(Table91517[],,MATCH(D$144,Table91517[#Headers],0)),Table91517[MainWaterHeatingFuel],$B173,Table91517[EnergyRating (group)],$A173)</f>
        <v>244758</v>
      </c>
      <c r="E173" s="760">
        <f>SUMIFS(INDEX(Table91517[],,MATCH(E$144,Table91517[#Headers],0)),Table91517[MainWaterHeatingFuel],$B173,Table91517[EnergyRating (group)],$A173)</f>
        <v>3520</v>
      </c>
      <c r="F173" s="760">
        <f>SUMIFS(INDEX(Table91517[],,MATCH(F$144,Table91517[#Headers],0)),Table91517[MainWaterHeatingFuel],$B173,Table91517[EnergyRating (group)],$A173)</f>
        <v>1304</v>
      </c>
      <c r="G173" s="757">
        <f>SUMIFS(INDEX(Table91517[],,MATCH(G$144,Table91517[#Headers],0)),Table91517[MainWaterHeatingFuel],$B173,Table91517[EnergyRating (group)],$A173)</f>
        <v>66</v>
      </c>
      <c r="H173" s="757">
        <f>SUMIFS(INDEX(Table91517[],,MATCH(H$144,Table91517[#Headers],0)),Table91517[MainWaterHeatingFuel],$B173,Table91517[EnergyRating (group)],$A173)</f>
        <v>13804</v>
      </c>
      <c r="I173" s="959"/>
      <c r="J173" s="978">
        <f t="shared" ref="J173:J179" si="109">C173+E173</f>
        <v>272752</v>
      </c>
      <c r="K173" s="979">
        <f t="shared" ref="K173:K179" si="110">D173+F173</f>
        <v>246062</v>
      </c>
      <c r="L173" s="840"/>
      <c r="M173" s="840"/>
      <c r="N173" s="914" t="str">
        <f>RSD_Commodities!$M$83&amp;"_"&amp;RIGHT(P173,LEN(P173)-3)&amp;"_"&amp;SETUP!$B$67</f>
        <v>WH_Det-B2_BIOWOO_X0</v>
      </c>
      <c r="O173" s="914" t="str">
        <f>RSD_Commodities!$N$83&amp;"_"&amp;RSD_Commodities!D19&amp;"_"&amp;SETUP!$C$67</f>
        <v>Residential Water Heating Detached-B2_Biomass &amp; Renewable Waste to Residential_Existing 00</v>
      </c>
      <c r="P173" s="915" t="str">
        <f>RSD_Commodities!$C$19</f>
        <v>RSDBIOWOO</v>
      </c>
      <c r="Q173" s="930" t="str">
        <f>RSD_Commodities!$M$83</f>
        <v>WH_Det-B2</v>
      </c>
      <c r="R173" s="1000">
        <f>G173/SUM($G$169:$G$178)</f>
        <v>9.3710066732926312E-3</v>
      </c>
      <c r="S173" s="932">
        <f>R173*DwellingStocks!$I$64/1000</f>
        <v>0.13100067702362739</v>
      </c>
      <c r="T173" s="914">
        <v>1</v>
      </c>
      <c r="U173" s="914">
        <f t="shared" si="104"/>
        <v>0.90214553880448167</v>
      </c>
      <c r="V173" s="930">
        <v>20</v>
      </c>
      <c r="W173" s="930">
        <v>1</v>
      </c>
      <c r="X173" s="866"/>
      <c r="Y173" s="928">
        <f t="shared" si="107"/>
        <v>1.3246967913611426E-5</v>
      </c>
      <c r="Z173" s="929">
        <f t="shared" si="108"/>
        <v>1.4683847942280174E-5</v>
      </c>
      <c r="AA173" s="866"/>
      <c r="AB173" s="914" t="s">
        <v>393</v>
      </c>
      <c r="AC173" s="914" t="str">
        <f t="shared" ref="AC173:AC179" si="111">N173</f>
        <v>WH_Det-B2_BIOWOO_X0</v>
      </c>
      <c r="AD173" s="915" t="str">
        <f t="shared" ref="AD173:AD179" si="112">O173</f>
        <v>Residential Water Heating Detached-B2_Biomass &amp; Renewable Waste to Residential_Existing 00</v>
      </c>
      <c r="AE173" s="914" t="s">
        <v>53</v>
      </c>
      <c r="AF173" s="916" t="s">
        <v>406</v>
      </c>
      <c r="AG173" s="914"/>
      <c r="AH173" s="914"/>
      <c r="AI173" s="840"/>
      <c r="AJ173" s="840"/>
      <c r="AK173" s="840"/>
      <c r="AL173" s="840"/>
      <c r="AM173" s="840"/>
      <c r="AN173" s="840"/>
      <c r="AO173" s="840"/>
    </row>
    <row r="174" spans="1:41">
      <c r="A174" s="973" t="s">
        <v>112</v>
      </c>
      <c r="B174" s="758" t="s">
        <v>587</v>
      </c>
      <c r="C174" s="758">
        <f>SUMIFS(INDEX(Table91517[],,MATCH(C$144,Table91517[#Headers],0)),Table91517[MainWaterHeatingFuel],$B174,Table91517[EnergyRating (group)],$A174)</f>
        <v>0</v>
      </c>
      <c r="D174" s="758">
        <f>SUMIFS(INDEX(Table91517[],,MATCH(D$144,Table91517[#Headers],0)),Table91517[MainWaterHeatingFuel],"",Table91517[EnergyRating (group)],$A174)</f>
        <v>0</v>
      </c>
      <c r="E174" s="758">
        <f>SUMIFS(INDEX(Table91517[],,MATCH(E$144,Table91517[#Headers],0)),Table91517[MainWaterHeatingFuel],"",Table91517[EnergyRating (group)],$A174)</f>
        <v>0</v>
      </c>
      <c r="F174" s="758">
        <f>SUMIFS(INDEX(Table91517[],,MATCH(F$144,Table91517[#Headers],0)),Table91517[MainWaterHeatingFuel],"",Table91517[EnergyRating (group)],A174)</f>
        <v>0</v>
      </c>
      <c r="G174" s="758">
        <f>SUMIFS(INDEX(Table91517[],,MATCH(G$144,Table91517[#Headers],0)),Table91517[MainWaterHeatingFuel],"",Table91517[EnergyRating (group)],A174)</f>
        <v>4</v>
      </c>
      <c r="H174" s="758">
        <f>SUMIFS(INDEX(Table91517[],,MATCH(H$144,Table91517[#Headers],0)),Table91517[MainWaterHeatingFuel],"",Table91517[EnergyRating (group)],A174)</f>
        <v>479</v>
      </c>
      <c r="I174" s="960"/>
      <c r="J174" s="1009">
        <f t="shared" si="109"/>
        <v>0</v>
      </c>
      <c r="K174" s="1010">
        <f t="shared" si="110"/>
        <v>0</v>
      </c>
      <c r="L174" s="840"/>
      <c r="M174" s="840"/>
      <c r="N174" s="933" t="str">
        <f>RSD_Commodities!$M$83&amp;"_"&amp;RIGHT(P174,LEN(P174)-3)&amp;"_"&amp;SETUP!$B$67</f>
        <v>WH_Det-B2_HET_X0</v>
      </c>
      <c r="O174" s="933" t="str">
        <f>RSD_Commodities!$N$83&amp;"_"&amp;RSD_Commodities!D28&amp;"_"&amp;SETUP!$C$67</f>
        <v>Residential Water Heating Detached-B2_Heat to Residential_Existing 00</v>
      </c>
      <c r="P174" s="934" t="str">
        <f>RSD_Commodities!$C$28</f>
        <v>RSDHET</v>
      </c>
      <c r="Q174" s="935" t="str">
        <f>RSD_Commodities!$M$83</f>
        <v>WH_Det-B2</v>
      </c>
      <c r="R174" s="1001">
        <f>G174/SUM($G$169:$G$178)</f>
        <v>5.6793979838137159E-4</v>
      </c>
      <c r="S174" s="937">
        <f>R174*DwellingStocks!$I$64/1000</f>
        <v>7.9394349711289329E-3</v>
      </c>
      <c r="T174" s="933">
        <v>1</v>
      </c>
      <c r="U174" s="917">
        <v>1</v>
      </c>
      <c r="V174" s="935">
        <v>20</v>
      </c>
      <c r="W174" s="935">
        <v>1</v>
      </c>
      <c r="X174" s="866"/>
      <c r="Y174" s="926">
        <f t="shared" si="107"/>
        <v>0</v>
      </c>
      <c r="Z174" s="927">
        <f t="shared" si="108"/>
        <v>0</v>
      </c>
      <c r="AA174" s="866"/>
      <c r="AB174" s="66" t="s">
        <v>393</v>
      </c>
      <c r="AC174" s="66" t="str">
        <f t="shared" si="111"/>
        <v>WH_Det-B2_HET_X0</v>
      </c>
      <c r="AD174" s="83" t="str">
        <f t="shared" si="112"/>
        <v>Residential Water Heating Detached-B2_Heat to Residential_Existing 00</v>
      </c>
      <c r="AE174" s="66" t="s">
        <v>53</v>
      </c>
      <c r="AF174" s="88" t="s">
        <v>406</v>
      </c>
      <c r="AG174" s="66"/>
      <c r="AH174" s="66"/>
      <c r="AI174" s="840"/>
      <c r="AJ174" s="840"/>
      <c r="AK174" s="840"/>
      <c r="AL174" s="840"/>
      <c r="AM174" s="840"/>
      <c r="AN174" s="840"/>
      <c r="AO174" s="840"/>
    </row>
    <row r="175" spans="1:41">
      <c r="A175" s="972" t="s">
        <v>112</v>
      </c>
      <c r="B175" s="757" t="s">
        <v>664</v>
      </c>
      <c r="C175" s="757">
        <f>SUMIFS(INDEX(Table91517[],,MATCH(C$144,Table91517[#Headers],0)),Table91517[MainWaterHeatingFuel],$B175,Table91517[EnergyRating (group)],$A175)</f>
        <v>90178</v>
      </c>
      <c r="D175" s="757">
        <f>SUMIFS(INDEX(Table91517[],,MATCH(D$144,Table91517[#Headers],0)),Table91517[MainWaterHeatingFuel],$B175,Table91517[EnergyRating (group)],$A175)</f>
        <v>81979</v>
      </c>
      <c r="E175" s="757">
        <f>SUMIFS(INDEX(Table91517[],,MATCH(E$144,Table91517[#Headers],0)),Table91517[MainWaterHeatingFuel],$B175,Table91517[EnergyRating (group)],$A175)</f>
        <v>0</v>
      </c>
      <c r="F175" s="757">
        <f>SUMIFS(INDEX(Table91517[],,MATCH(F$144,Table91517[#Headers],0)),Table91517[MainWaterHeatingFuel],$B175,Table91517[EnergyRating (group)],$A175)</f>
        <v>0</v>
      </c>
      <c r="G175" s="757">
        <f>SUMIFS(INDEX(Table91517[],,MATCH(G$144,Table91517[#Headers],0)),Table91517[MainWaterHeatingFuel],$B175,Table91517[EnergyRating (group)],$A175)</f>
        <v>18</v>
      </c>
      <c r="H175" s="757">
        <f>SUMIFS(INDEX(Table91517[],,MATCH(H$144,Table91517[#Headers],0)),Table91517[MainWaterHeatingFuel],$B175,Table91517[EnergyRating (group)],$A175)</f>
        <v>4115</v>
      </c>
      <c r="I175" s="961"/>
      <c r="J175" s="978">
        <f t="shared" si="109"/>
        <v>90178</v>
      </c>
      <c r="K175" s="979">
        <f t="shared" si="110"/>
        <v>81979</v>
      </c>
      <c r="L175" s="840"/>
      <c r="M175" s="840"/>
      <c r="N175" s="914" t="str">
        <f>RSD_Commodities!$M$83&amp;"_"&amp;RIGHT(P175,LEN(P175)-3)&amp;"_"&amp;SETUP!$B$68</f>
        <v>WH_Det-B2_OILLPG_X1</v>
      </c>
      <c r="O175" s="914" t="str">
        <f>RSD_Commodities!$N$83&amp;"_"&amp;RSD_Commodities!D11&amp;"_"&amp;SETUP!$C$68</f>
        <v>Residential Water Heating Detached-B2_LPG to Residential_Existing 01</v>
      </c>
      <c r="P175" s="915" t="str">
        <f>RSD_Commodities!$C$11</f>
        <v>RSDOILLPG</v>
      </c>
      <c r="Q175" s="930" t="str">
        <f>RSD_Commodities!$M$83</f>
        <v>WH_Det-B2</v>
      </c>
      <c r="R175" s="1000">
        <f>G175/SUM($G$169:$G$178)</f>
        <v>2.5557290927161721E-3</v>
      </c>
      <c r="S175" s="932">
        <f>R175*DwellingStocks!$I$64/1000</f>
        <v>3.5727457370080193E-2</v>
      </c>
      <c r="T175" s="914">
        <v>1</v>
      </c>
      <c r="U175" s="914">
        <f t="shared" si="104"/>
        <v>0.90907981991173015</v>
      </c>
      <c r="V175" s="930">
        <v>20</v>
      </c>
      <c r="W175" s="930">
        <v>1</v>
      </c>
      <c r="X175" s="866"/>
      <c r="Y175" s="928">
        <f t="shared" si="107"/>
        <v>1.2036580387980019E-6</v>
      </c>
      <c r="Z175" s="929">
        <f t="shared" si="108"/>
        <v>1.3240399934462022E-6</v>
      </c>
      <c r="AA175" s="866"/>
      <c r="AB175" s="914" t="s">
        <v>393</v>
      </c>
      <c r="AC175" s="914" t="str">
        <f t="shared" si="111"/>
        <v>WH_Det-B2_OILLPG_X1</v>
      </c>
      <c r="AD175" s="915" t="str">
        <f t="shared" si="112"/>
        <v>Residential Water Heating Detached-B2_LPG to Residential_Existing 01</v>
      </c>
      <c r="AE175" s="914" t="s">
        <v>53</v>
      </c>
      <c r="AF175" s="916" t="s">
        <v>406</v>
      </c>
      <c r="AG175" s="914"/>
      <c r="AH175" s="914"/>
      <c r="AI175" s="840"/>
      <c r="AJ175" s="840"/>
      <c r="AK175" s="840"/>
      <c r="AL175" s="840"/>
      <c r="AM175" s="840"/>
      <c r="AN175" s="840"/>
      <c r="AO175" s="840"/>
    </row>
    <row r="176" spans="1:41">
      <c r="A176" s="973" t="s">
        <v>112</v>
      </c>
      <c r="B176" s="758" t="s">
        <v>665</v>
      </c>
      <c r="C176" s="758">
        <f>SUMIFS(INDEX(Table91517[],,MATCH(C$144,Table91517[#Headers],0)),Table91517[MainWaterHeatingFuel],$B176,Table91517[EnergyRating (group)],$A176)</f>
        <v>75980</v>
      </c>
      <c r="D176" s="758">
        <f>SUMIFS(INDEX(Table91517[],,MATCH(D$144,Table91517[#Headers],0)),Table91517[MainWaterHeatingFuel],$B176,Table91517[EnergyRating (group)],$A176)</f>
        <v>69072</v>
      </c>
      <c r="E176" s="759">
        <f>SUMIFS(INDEX(Table91517[],,MATCH(E$144,Table91517[#Headers],0)),Table91517[MainWaterHeatingFuel],$B176,Table91517[EnergyRating (group)],$A176)</f>
        <v>1350</v>
      </c>
      <c r="F176" s="759">
        <f>SUMIFS(INDEX(Table91517[],,MATCH(F$144,Table91517[#Headers],0)),Table91517[MainWaterHeatingFuel],$B176,Table91517[EnergyRating (group)],$A176)</f>
        <v>500</v>
      </c>
      <c r="G176" s="758">
        <f>SUMIFS(INDEX(Table91517[],,MATCH(G$144,Table91517[#Headers],0)),Table91517[MainWaterHeatingFuel],$B176,Table91517[EnergyRating (group)],$A176)</f>
        <v>14</v>
      </c>
      <c r="H176" s="758">
        <f>SUMIFS(INDEX(Table91517[],,MATCH(H$144,Table91517[#Headers],0)),Table91517[MainWaterHeatingFuel],$B176,Table91517[EnergyRating (group)],$A176)</f>
        <v>2851</v>
      </c>
      <c r="I176" s="960"/>
      <c r="J176" s="980">
        <f t="shared" si="109"/>
        <v>77330</v>
      </c>
      <c r="K176" s="981">
        <f t="shared" si="110"/>
        <v>69572</v>
      </c>
      <c r="L176" s="840"/>
      <c r="M176" s="840"/>
      <c r="N176" s="933" t="str">
        <f>RSD_Commodities!$M$83&amp;"_"&amp;RSD_Commodities!$C$26&amp;"_"&amp;SETUP!$B$67</f>
        <v>WH_Det-B2_RSDSMF_X0</v>
      </c>
      <c r="O176" s="933" t="str">
        <f>RSD_Commodities!$N$83&amp;"_"&amp;RSD_Commodities!$D$26&amp;"_"&amp;SETUP!$C$67</f>
        <v>Residential Water Heating Detached-B2_Solid Multi-Fuel_Existing 00</v>
      </c>
      <c r="P176" s="934" t="str">
        <f>RSD_Commodities!$C$6&amp;","&amp;RSD_Commodities!$C$7&amp;","&amp;RSD_Commodities!$C$9&amp;","&amp;RSD_Commodities!$C$10&amp;","&amp;RSD_Commodities!$C$19</f>
        <v>RSDCOABIT,RSDCOAHAR,RSDCOALIG,RSDPEA,RSDBIOWOO</v>
      </c>
      <c r="Q176" s="935" t="str">
        <f>RSD_Commodities!$M$83</f>
        <v>WH_Det-B2</v>
      </c>
      <c r="R176" s="1001">
        <f>G176/SUM($G$169:$G$178)</f>
        <v>1.9877892943348007E-3</v>
      </c>
      <c r="S176" s="937">
        <f>R176*DwellingStocks!$I$64/1000</f>
        <v>2.7788022398951267E-2</v>
      </c>
      <c r="T176" s="933">
        <v>1</v>
      </c>
      <c r="U176" s="954">
        <f t="shared" si="104"/>
        <v>0.89967671020302598</v>
      </c>
      <c r="V176" s="935">
        <v>20</v>
      </c>
      <c r="W176" s="935">
        <v>1</v>
      </c>
      <c r="X176" s="866"/>
      <c r="Y176" s="926">
        <f t="shared" si="107"/>
        <v>7.9449381959171413E-7</v>
      </c>
      <c r="Z176" s="927">
        <f t="shared" si="108"/>
        <v>8.8308812552502827E-7</v>
      </c>
      <c r="AA176" s="866"/>
      <c r="AB176" s="66" t="s">
        <v>393</v>
      </c>
      <c r="AC176" s="66" t="str">
        <f t="shared" si="111"/>
        <v>WH_Det-B2_RSDSMF_X0</v>
      </c>
      <c r="AD176" s="83" t="str">
        <f t="shared" si="112"/>
        <v>Residential Water Heating Detached-B2_Solid Multi-Fuel_Existing 00</v>
      </c>
      <c r="AE176" s="66" t="s">
        <v>53</v>
      </c>
      <c r="AF176" s="88" t="s">
        <v>406</v>
      </c>
      <c r="AG176" s="66"/>
      <c r="AH176" s="66"/>
      <c r="AI176" s="840"/>
      <c r="AJ176" s="840"/>
      <c r="AK176" s="840"/>
      <c r="AL176" s="840"/>
      <c r="AM176" s="840"/>
      <c r="AN176" s="840"/>
      <c r="AO176" s="840"/>
    </row>
    <row r="177" spans="1:41">
      <c r="A177" s="757" t="s">
        <v>112</v>
      </c>
      <c r="B177" s="757" t="s">
        <v>668</v>
      </c>
      <c r="C177" s="757">
        <f>SUMIFS(INDEX(Table91517[],,MATCH(C$144,Table91517[#Headers],0)),Table91517[MainWaterHeatingFuel],$B177,Table91517[EnergyRating (group)],$A177)</f>
        <v>25471</v>
      </c>
      <c r="D177" s="757">
        <f>SUMIFS(INDEX(Table91517[],,MATCH(D$144,Table91517[#Headers],0)),Table91517[MainWaterHeatingFuel],$B177,Table91517[EnergyRating (group)],$A177)</f>
        <v>23155</v>
      </c>
      <c r="E177" s="760">
        <f>SUMIFS(INDEX(Table91517[],,MATCH(E$144,Table91517[#Headers],0)),Table91517[MainWaterHeatingFuel],$B177,Table91517[EnergyRating (group)],$A177)</f>
        <v>0</v>
      </c>
      <c r="F177" s="760">
        <f>SUMIFS(INDEX(Table91517[],,MATCH(F$144,Table91517[#Headers],0)),Table91517[MainWaterHeatingFuel],$B177,Table91517[EnergyRating (group)],$A177)</f>
        <v>0</v>
      </c>
      <c r="G177" s="757">
        <f>SUMIFS(INDEX(Table91517[],,MATCH(G$144,Table91517[#Headers],0)),Table91517[MainWaterHeatingFuel],$B177,Table91517[EnergyRating (group)],$A177)</f>
        <v>5</v>
      </c>
      <c r="H177" s="757">
        <f>SUMIFS(INDEX(Table91517[],,MATCH(H$144,Table91517[#Headers],0)),Table91517[MainWaterHeatingFuel],$B177,Table91517[EnergyRating (group)],$A177)</f>
        <v>945</v>
      </c>
      <c r="I177" s="959"/>
      <c r="J177" s="978">
        <f t="shared" si="109"/>
        <v>25471</v>
      </c>
      <c r="K177" s="979">
        <f t="shared" si="110"/>
        <v>23155</v>
      </c>
      <c r="L177" s="840"/>
      <c r="M177" s="840"/>
      <c r="N177" s="933" t="str">
        <f>RSD_Commodities!$M$83&amp;"_"&amp;RIGHT(P177,LEN(P177)-3)&amp;"_"&amp;SETUP!$B$69</f>
        <v>WH_Det-B2_BIOWOO_X2</v>
      </c>
      <c r="O177" s="933" t="str">
        <f>RSD_Commodities!$N$83&amp;"_"&amp;RSD_Commodities!D19&amp;"_"&amp;SETUP!$C$69</f>
        <v>Residential Water Heating Detached-B2_Biomass &amp; Renewable Waste to Residential_Existing 02</v>
      </c>
      <c r="P177" s="934" t="str">
        <f>RSD_Commodities!$C$19</f>
        <v>RSDBIOWOO</v>
      </c>
      <c r="Q177" s="935" t="str">
        <f>RSD_Commodities!$M$83</f>
        <v>WH_Det-B2</v>
      </c>
      <c r="R177" s="1001">
        <f>G177/SUM($G$169:$G$178)</f>
        <v>7.0992474797671444E-4</v>
      </c>
      <c r="S177" s="937">
        <f>R177*DwellingStocks!$I$64/1000</f>
        <v>9.9242937139111653E-3</v>
      </c>
      <c r="T177" s="933">
        <v>1</v>
      </c>
      <c r="U177" s="933">
        <f t="shared" si="104"/>
        <v>0.90907306348396211</v>
      </c>
      <c r="V177" s="935">
        <v>20</v>
      </c>
      <c r="W177" s="935">
        <v>1</v>
      </c>
      <c r="X177" s="866"/>
      <c r="Y177" s="928">
        <f t="shared" si="107"/>
        <v>9.4437131895457423E-8</v>
      </c>
      <c r="Z177" s="929">
        <f t="shared" si="108"/>
        <v>1.0388288432343753E-7</v>
      </c>
      <c r="AA177" s="866"/>
      <c r="AB177" s="914" t="s">
        <v>393</v>
      </c>
      <c r="AC177" s="914" t="str">
        <f t="shared" si="111"/>
        <v>WH_Det-B2_BIOWOO_X2</v>
      </c>
      <c r="AD177" s="915" t="str">
        <f t="shared" si="112"/>
        <v>Residential Water Heating Detached-B2_Biomass &amp; Renewable Waste to Residential_Existing 02</v>
      </c>
      <c r="AE177" s="914" t="s">
        <v>53</v>
      </c>
      <c r="AF177" s="916" t="s">
        <v>406</v>
      </c>
      <c r="AG177" s="914"/>
      <c r="AH177" s="914"/>
      <c r="AI177" s="840"/>
      <c r="AJ177" s="840"/>
      <c r="AK177" s="840"/>
      <c r="AL177" s="840"/>
      <c r="AM177" s="840"/>
      <c r="AN177" s="840"/>
      <c r="AO177" s="840"/>
    </row>
    <row r="178" spans="1:41">
      <c r="A178" s="973" t="s">
        <v>112</v>
      </c>
      <c r="B178" s="758" t="s">
        <v>673</v>
      </c>
      <c r="C178" s="758">
        <f>SUMIFS(INDEX(Table91517[],,MATCH(C$144,Table91517[#Headers],0)),Table91517[MainWaterHeatingFuel],$B178,Table91517[EnergyRating (group)],$A178)</f>
        <v>41213</v>
      </c>
      <c r="D178" s="758">
        <f>SUMIFS(INDEX(Table91517[],,MATCH(D$144,Table91517[#Headers],0)),Table91517[MainWaterHeatingFuel],$B178,Table91517[EnergyRating (group)],$A178)</f>
        <v>37468</v>
      </c>
      <c r="E178" s="758">
        <f>SUMIFS(INDEX(Table91517[],,MATCH(E$144,Table91517[#Headers],0)),Table91517[MainWaterHeatingFuel],$B178,Table91517[EnergyRating (group)],$A178)</f>
        <v>3721</v>
      </c>
      <c r="F178" s="758">
        <f>SUMIFS(INDEX(Table91517[],,MATCH(F$144,Table91517[#Headers],0)),Table91517[MainWaterHeatingFuel],$B178,Table91517[EnergyRating (group)],$A178)</f>
        <v>1378</v>
      </c>
      <c r="G178" s="758">
        <f>SUMIFS(INDEX(Table91517[],,MATCH(G$144,Table91517[#Headers],0)),Table91517[MainWaterHeatingFuel],$B178,Table91517[EnergyRating (group)],$A178)</f>
        <v>8</v>
      </c>
      <c r="H178" s="758">
        <f>SUMIFS(INDEX(Table91517[],,MATCH(H$144,Table91517[#Headers],0)),Table91517[MainWaterHeatingFuel],$B178,Table91517[EnergyRating (group)],$A178)</f>
        <v>2009</v>
      </c>
      <c r="I178" s="960"/>
      <c r="J178" s="1007">
        <f t="shared" si="109"/>
        <v>44934</v>
      </c>
      <c r="K178" s="1008">
        <f t="shared" si="110"/>
        <v>38846</v>
      </c>
      <c r="L178" s="840"/>
      <c r="M178" s="840"/>
      <c r="N178" s="914" t="str">
        <f>RSD_Commodities!$M$83&amp;"_"&amp;RIGHT(P178,LEN(P178)-3)&amp;"_"&amp;SETUP!$B$68</f>
        <v>WH_Det-B2_BIOWOO_X1</v>
      </c>
      <c r="O178" s="914" t="str">
        <f>RSD_Commodities!$N$83&amp;"_"&amp;RSD_Commodities!D19&amp;"_"&amp;SETUP!$C$68</f>
        <v>Residential Water Heating Detached-B2_Biomass &amp; Renewable Waste to Residential_Existing 01</v>
      </c>
      <c r="P178" s="915" t="str">
        <f>RSD_Commodities!$C$19</f>
        <v>RSDBIOWOO</v>
      </c>
      <c r="Q178" s="930" t="str">
        <f>RSD_Commodities!$M$83</f>
        <v>WH_Det-B2</v>
      </c>
      <c r="R178" s="1000">
        <f>G178/SUM($G$169:$G$178)</f>
        <v>1.1358795967627432E-3</v>
      </c>
      <c r="S178" s="932">
        <f>R178*DwellingStocks!$I$64/1000</f>
        <v>1.5878869942257866E-2</v>
      </c>
      <c r="T178" s="914">
        <v>1</v>
      </c>
      <c r="U178" s="914">
        <f t="shared" si="104"/>
        <v>0.86451239595851692</v>
      </c>
      <c r="V178" s="930">
        <v>20</v>
      </c>
      <c r="W178" s="930">
        <v>1</v>
      </c>
      <c r="X178" s="866"/>
      <c r="Y178" s="926">
        <f t="shared" si="107"/>
        <v>2.5349201990833531E-7</v>
      </c>
      <c r="Z178" s="927">
        <f t="shared" si="108"/>
        <v>2.9321964739126651E-7</v>
      </c>
      <c r="AA178" s="866"/>
      <c r="AB178" s="66" t="s">
        <v>393</v>
      </c>
      <c r="AC178" s="66" t="str">
        <f t="shared" si="111"/>
        <v>WH_Det-B2_BIOWOO_X1</v>
      </c>
      <c r="AD178" s="83" t="str">
        <f t="shared" si="112"/>
        <v>Residential Water Heating Detached-B2_Biomass &amp; Renewable Waste to Residential_Existing 01</v>
      </c>
      <c r="AE178" s="66" t="s">
        <v>53</v>
      </c>
      <c r="AF178" s="88" t="s">
        <v>406</v>
      </c>
      <c r="AG178" s="66"/>
      <c r="AH178" s="66"/>
      <c r="AI178" s="840"/>
      <c r="AJ178" s="840"/>
      <c r="AK178" s="840"/>
      <c r="AL178" s="840"/>
      <c r="AM178" s="840"/>
      <c r="AN178" s="840"/>
      <c r="AO178" s="840"/>
    </row>
    <row r="179" spans="1:41" ht="15.75" thickBot="1">
      <c r="A179" s="972" t="s">
        <v>112</v>
      </c>
      <c r="B179" s="757" t="s">
        <v>666</v>
      </c>
      <c r="C179" s="757">
        <f>SUMIFS(INDEX(Table91517[],,MATCH(C$144,Table91517[#Headers],0)),Table91517[MainWaterHeatingFuel],$B179,Table91517[EnergyRating (group)],$A179)</f>
        <v>35024</v>
      </c>
      <c r="D179" s="757">
        <f>SUMIFS(INDEX(Table91517[],,MATCH(D$144,Table91517[#Headers],0)),Table91517[MainWaterHeatingFuel],$B179,Table91517[EnergyRating (group)],$A179)</f>
        <v>31840</v>
      </c>
      <c r="E179" s="757">
        <f>SUMIFS(INDEX(Table91517[],,MATCH(E$144,Table91517[#Headers],0)),Table91517[MainWaterHeatingFuel],$B179,Table91517[EnergyRating (group)],$A179)</f>
        <v>4180</v>
      </c>
      <c r="F179" s="757">
        <f>SUMIFS(INDEX(Table91517[],,MATCH(F$144,Table91517[#Headers],0)),Table91517[MainWaterHeatingFuel],$B179,Table91517[EnergyRating (group)],$A179)</f>
        <v>1548</v>
      </c>
      <c r="G179" s="757">
        <f>SUMIFS(INDEX(Table91517[],,MATCH(G$144,Table91517[#Headers],0)),Table91517[MainWaterHeatingFuel],$B179,Table91517[EnergyRating (group)],$A179)</f>
        <v>7</v>
      </c>
      <c r="H179" s="757">
        <f>SUMIFS(INDEX(Table91517[],,MATCH(H$144,Table91517[#Headers],0)),Table91517[MainWaterHeatingFuel],$B179,Table91517[EnergyRating (group)],$A179)</f>
        <v>1620</v>
      </c>
      <c r="I179" s="961"/>
      <c r="J179" s="1063">
        <f t="shared" si="109"/>
        <v>39204</v>
      </c>
      <c r="K179" s="1064">
        <f t="shared" si="110"/>
        <v>33388</v>
      </c>
      <c r="L179" s="840"/>
      <c r="M179" s="840"/>
      <c r="N179" s="933" t="str">
        <f>RSD_Commodities!$M$83&amp;"_"&amp;RIGHT(P179,LEN(P179)-3)&amp;"_"&amp;SETUP!$B$67</f>
        <v>WH_Det-B2_COABIT_X0</v>
      </c>
      <c r="O179" s="933" t="str">
        <f>RSD_Commodities!$N$83&amp;"_"&amp;RSD_Commodities!D19&amp;"_"&amp;SETUP!$C$67</f>
        <v>Residential Water Heating Detached-B2_Biomass &amp; Renewable Waste to Residential_Existing 00</v>
      </c>
      <c r="P179" s="934" t="str">
        <f>RSD_Commodities!$C$6</f>
        <v>RSDCOABIT</v>
      </c>
      <c r="Q179" s="935" t="str">
        <f>RSD_Commodities!$M$83</f>
        <v>WH_Det-B2</v>
      </c>
      <c r="R179" s="1001">
        <f>G179/SUM($G$169:$G$178)</f>
        <v>9.9389464716740034E-4</v>
      </c>
      <c r="S179" s="937">
        <f>R179*DwellingStocks!$I$64/1000</f>
        <v>1.3894011199475633E-2</v>
      </c>
      <c r="T179" s="933">
        <v>1</v>
      </c>
      <c r="U179" s="933">
        <f t="shared" ref="U179" si="113">K179/J179</f>
        <v>0.85164779104173038</v>
      </c>
      <c r="V179" s="935">
        <v>20</v>
      </c>
      <c r="W179" s="935">
        <v>1</v>
      </c>
      <c r="X179" s="866"/>
      <c r="Y179" s="928">
        <f t="shared" si="107"/>
        <v>1.9064105997044898E-7</v>
      </c>
      <c r="Z179" s="929">
        <f t="shared" si="108"/>
        <v>2.2384965002640118E-7</v>
      </c>
      <c r="AA179" s="866"/>
      <c r="AB179" s="914" t="s">
        <v>393</v>
      </c>
      <c r="AC179" s="914" t="str">
        <f t="shared" si="111"/>
        <v>WH_Det-B2_COABIT_X0</v>
      </c>
      <c r="AD179" s="915" t="str">
        <f t="shared" si="112"/>
        <v>Residential Water Heating Detached-B2_Biomass &amp; Renewable Waste to Residential_Existing 00</v>
      </c>
      <c r="AE179" s="914" t="s">
        <v>53</v>
      </c>
      <c r="AF179" s="916" t="s">
        <v>406</v>
      </c>
      <c r="AG179" s="914"/>
      <c r="AH179" s="914"/>
      <c r="AI179" s="840"/>
      <c r="AJ179" s="840"/>
      <c r="AK179" s="840"/>
      <c r="AL179" s="840"/>
      <c r="AM179" s="840"/>
      <c r="AN179" s="840"/>
      <c r="AO179" s="840"/>
    </row>
    <row r="180" spans="1:41" ht="15.75" thickBot="1">
      <c r="A180" s="756" t="s">
        <v>114</v>
      </c>
      <c r="B180" s="1048"/>
      <c r="C180" s="1049"/>
      <c r="D180" s="1049"/>
      <c r="E180" s="1049"/>
      <c r="F180" s="1049"/>
      <c r="G180" s="1049"/>
      <c r="H180" s="1049"/>
      <c r="I180" s="1049"/>
      <c r="J180" s="1049"/>
      <c r="K180" s="1052"/>
      <c r="L180" s="840"/>
      <c r="M180" s="840"/>
      <c r="N180" s="76" t="str">
        <f>AB180</f>
        <v>*B3 Rating</v>
      </c>
      <c r="O180" s="76"/>
      <c r="P180" s="76"/>
      <c r="Q180" s="76"/>
      <c r="R180" s="949">
        <f>SUM(R181:R188)</f>
        <v>0.99766957556525182</v>
      </c>
      <c r="S180" s="76"/>
      <c r="T180" s="97"/>
      <c r="U180" s="76"/>
      <c r="V180" s="76"/>
      <c r="W180" s="76"/>
      <c r="X180" s="840"/>
      <c r="Y180" s="76"/>
      <c r="Z180" s="76"/>
      <c r="AA180" s="840"/>
      <c r="AB180" s="140" t="str">
        <f>"*"&amp; A181 &amp; " Rating"</f>
        <v>*B3 Rating</v>
      </c>
      <c r="AC180" s="141"/>
      <c r="AD180" s="141"/>
      <c r="AE180" s="141"/>
      <c r="AF180" s="141"/>
      <c r="AG180" s="141"/>
      <c r="AH180" s="141"/>
      <c r="AI180" s="840"/>
      <c r="AJ180" s="840"/>
      <c r="AK180" s="840"/>
      <c r="AL180" s="840"/>
      <c r="AM180" s="840"/>
      <c r="AN180" s="840"/>
      <c r="AO180" s="840"/>
    </row>
    <row r="181" spans="1:41">
      <c r="A181" s="973" t="s">
        <v>114</v>
      </c>
      <c r="B181" s="758" t="s">
        <v>582</v>
      </c>
      <c r="C181" s="758">
        <f>SUMIFS(INDEX(Table91517[],,MATCH(C$144,Table91517[#Headers],0)),Table91517[MainWaterHeatingFuel],$B181,Table91517[EnergyRating (group)],$A181)</f>
        <v>4008971</v>
      </c>
      <c r="D181" s="758">
        <f>SUMIFS(INDEX(Table91517[],,MATCH(D$144,Table91517[#Headers],0)),Table91517[MainWaterHeatingFuel],$B181,Table91517[EnergyRating (group)],$A181)</f>
        <v>3644520</v>
      </c>
      <c r="E181" s="758">
        <f>SUMIFS(INDEX(Table91517[],,MATCH(E$144,Table91517[#Headers],0)),Table91517[MainWaterHeatingFuel],$B181,Table91517[EnergyRating (group)],$A181)</f>
        <v>142257</v>
      </c>
      <c r="F181" s="758">
        <f>SUMIFS(INDEX(Table91517[],,MATCH(F$144,Table91517[#Headers],0)),Table91517[MainWaterHeatingFuel],$B181,Table91517[EnergyRating (group)],$A181)</f>
        <v>52688</v>
      </c>
      <c r="G181" s="758">
        <f>SUMIFS(INDEX(Table91517[],,MATCH(G$144,Table91517[#Headers],0)),Table91517[MainWaterHeatingFuel],$B181,Table91517[EnergyRating (group)],$A181)</f>
        <v>773</v>
      </c>
      <c r="H181" s="758">
        <f>SUMIFS(INDEX(Table91517[],,MATCH(H$144,Table91517[#Headers],0)),Table91517[MainWaterHeatingFuel],$B181,Table91517[EnergyRating (group)],$A181)</f>
        <v>149949</v>
      </c>
      <c r="I181" s="960"/>
      <c r="J181" s="969">
        <f t="shared" ref="J181:K194" si="114">C181+E181</f>
        <v>4151228</v>
      </c>
      <c r="K181" s="967">
        <f t="shared" si="114"/>
        <v>3697208</v>
      </c>
      <c r="L181" s="840"/>
      <c r="M181" s="840"/>
      <c r="N181" s="914" t="str">
        <f>RSD_Commodities!$M$84&amp;"_"&amp;RIGHT(P181,LEN(P181)-3)&amp;"_"&amp;SETUP!$B$67</f>
        <v>WH_Det-B3_OILLPG_X0</v>
      </c>
      <c r="O181" s="914" t="str">
        <f>RSD_Commodities!$N$84&amp;"_"&amp;RSD_Commodities!D11&amp;"_"&amp;SETUP!$C$67</f>
        <v>Residential Water Heating Detached-B3_LPG to Residential_Existing 00</v>
      </c>
      <c r="P181" s="915" t="str">
        <f>RSD_Commodities!$C$11</f>
        <v>RSDOILLPG</v>
      </c>
      <c r="Q181" s="914" t="str">
        <f>RSD_Commodities!$M$84</f>
        <v>WH_Det-B3</v>
      </c>
      <c r="R181" s="984">
        <f>G181/SUM($G$181:$G$194)</f>
        <v>3.8328044426814756E-2</v>
      </c>
      <c r="S181" s="914">
        <f>R181*DwellingStocks!$I$65/1000</f>
        <v>0.83208070538193601</v>
      </c>
      <c r="T181" s="915">
        <v>1</v>
      </c>
      <c r="U181" s="986">
        <f>K181/J181</f>
        <v>0.89062995335356188</v>
      </c>
      <c r="V181" s="915">
        <v>20</v>
      </c>
      <c r="W181" s="914">
        <v>1</v>
      </c>
      <c r="X181" s="866"/>
      <c r="Y181" s="924">
        <f>ABS((K181)*S181*1000*$B$2)</f>
        <v>1.264263879691947E-3</v>
      </c>
      <c r="Z181" s="925">
        <f>ABS((J181)*S181*1000*$B$2)</f>
        <v>1.4195164612772237E-3</v>
      </c>
      <c r="AA181" s="866"/>
      <c r="AB181" s="914" t="s">
        <v>393</v>
      </c>
      <c r="AC181" s="914" t="str">
        <f t="shared" ref="AC181:AD194" si="115">N181</f>
        <v>WH_Det-B3_OILLPG_X0</v>
      </c>
      <c r="AD181" s="915" t="str">
        <f t="shared" si="115"/>
        <v>Residential Water Heating Detached-B3_LPG to Residential_Existing 00</v>
      </c>
      <c r="AE181" s="914" t="s">
        <v>53</v>
      </c>
      <c r="AF181" s="916" t="s">
        <v>406</v>
      </c>
      <c r="AG181" s="914"/>
      <c r="AH181" s="914"/>
      <c r="AI181" s="840"/>
      <c r="AJ181" s="840"/>
      <c r="AK181" s="840"/>
      <c r="AL181" s="840"/>
      <c r="AM181" s="840"/>
      <c r="AN181" s="840"/>
      <c r="AO181" s="840"/>
    </row>
    <row r="182" spans="1:41">
      <c r="A182" s="972" t="s">
        <v>114</v>
      </c>
      <c r="B182" s="757" t="s">
        <v>228</v>
      </c>
      <c r="C182" s="757">
        <f>SUMIFS(INDEX(Table91517[],,MATCH(C$144,Table91517[#Headers],0)),Table91517[MainWaterHeatingFuel],$B182,Table91517[EnergyRating (group)],$A182)</f>
        <v>4934284</v>
      </c>
      <c r="D182" s="757">
        <f>SUMIFS(INDEX(Table91517[],,MATCH(D$144,Table91517[#Headers],0)),Table91517[MainWaterHeatingFuel],$B182,Table91517[EnergyRating (group)],$A182)</f>
        <v>1827515</v>
      </c>
      <c r="E182" s="757">
        <f>SUMIFS(INDEX(Table91517[],,MATCH(E$144,Table91517[#Headers],0)),Table91517[MainWaterHeatingFuel],$B182,Table91517[EnergyRating (group)],$A182)</f>
        <v>27827</v>
      </c>
      <c r="F182" s="757">
        <f>SUMIFS(INDEX(Table91517[],,MATCH(F$144,Table91517[#Headers],0)),Table91517[MainWaterHeatingFuel],$B182,Table91517[EnergyRating (group)],$A182)</f>
        <v>10307</v>
      </c>
      <c r="G182" s="757">
        <f>SUMIFS(INDEX(Table91517[],,MATCH(G$144,Table91517[#Headers],0)),Table91517[MainWaterHeatingFuel],$B182,Table91517[EnergyRating (group)],$A182)</f>
        <v>650</v>
      </c>
      <c r="H182" s="757">
        <f>SUMIFS(INDEX(Table91517[],,MATCH(H$144,Table91517[#Headers],0)),Table91517[MainWaterHeatingFuel],$B182,Table91517[EnergyRating (group)],$A182)</f>
        <v>143362</v>
      </c>
      <c r="I182" s="961"/>
      <c r="J182" s="964">
        <f t="shared" si="114"/>
        <v>4962111</v>
      </c>
      <c r="K182" s="965">
        <f t="shared" si="114"/>
        <v>1837822</v>
      </c>
      <c r="L182" s="840"/>
      <c r="M182" s="840"/>
      <c r="N182" s="66" t="str">
        <f>RSD_Commodities!$M$84&amp;"_"&amp;RIGHT(P182,LEN(P182)-3)&amp;"_"&amp;SETUP!$B$67</f>
        <v>WH_Det-B3_ELCD_X0</v>
      </c>
      <c r="O182" s="66" t="str">
        <f>RSD_Commodities!$N$84&amp;"_"&amp;RSD_Commodities!D27&amp;"_"&amp;SETUP!$C$67</f>
        <v>Residential Water Heating Detached-B3_Electricity to Residential_Existing 00</v>
      </c>
      <c r="P182" s="83" t="str">
        <f>RSD_Commodities!$C$27</f>
        <v>RSDELCD</v>
      </c>
      <c r="Q182" s="66" t="str">
        <f>RSD_Commodities!$M$84</f>
        <v>WH_Det-B3</v>
      </c>
      <c r="R182" s="985">
        <f t="shared" ref="R182:R194" si="116">G182/SUM($G$181:$G$194)</f>
        <v>3.2229274097580328E-2</v>
      </c>
      <c r="S182" s="66">
        <f>R182*DwellingStocks!$I$65/1000</f>
        <v>0.69967976519826458</v>
      </c>
      <c r="T182" s="83">
        <v>1</v>
      </c>
      <c r="U182" s="987">
        <f t="shared" ref="U182:U194" si="117">K182/J182</f>
        <v>0.37037099734367085</v>
      </c>
      <c r="V182" s="83">
        <v>20</v>
      </c>
      <c r="W182" s="66">
        <v>1</v>
      </c>
      <c r="X182" s="866"/>
      <c r="Y182" s="926">
        <f t="shared" ref="Y182:Y194" si="118">ABS((K182)*S182*1000*$B$2)</f>
        <v>5.2844665702857739E-4</v>
      </c>
      <c r="Z182" s="927">
        <f t="shared" ref="Z182:Z194" si="119">ABS((J182)*S182*1000*$B$2)</f>
        <v>1.4268035586442712E-3</v>
      </c>
      <c r="AA182" s="866"/>
      <c r="AB182" s="66" t="s">
        <v>393</v>
      </c>
      <c r="AC182" s="66" t="str">
        <f t="shared" si="115"/>
        <v>WH_Det-B3_ELCD_X0</v>
      </c>
      <c r="AD182" s="83" t="str">
        <f t="shared" si="115"/>
        <v>Residential Water Heating Detached-B3_Electricity to Residential_Existing 00</v>
      </c>
      <c r="AE182" s="66" t="s">
        <v>53</v>
      </c>
      <c r="AF182" s="88" t="s">
        <v>406</v>
      </c>
      <c r="AG182" s="66"/>
      <c r="AH182" s="66"/>
      <c r="AI182" s="840"/>
      <c r="AJ182" s="840"/>
      <c r="AK182" s="840"/>
      <c r="AL182" s="840"/>
      <c r="AM182" s="840"/>
      <c r="AN182" s="840"/>
      <c r="AO182" s="840"/>
    </row>
    <row r="183" spans="1:41">
      <c r="A183" s="973" t="s">
        <v>114</v>
      </c>
      <c r="B183" s="758" t="s">
        <v>583</v>
      </c>
      <c r="C183" s="758">
        <f>SUMIFS(INDEX(Table91517[],,MATCH(C$144,Table91517[#Headers],0)),Table91517[MainWaterHeatingFuel],$B183,Table91517[EnergyRating (group)],$A183)</f>
        <v>75315446</v>
      </c>
      <c r="D183" s="758">
        <f>SUMIFS(INDEX(Table91517[],,MATCH(D$144,Table91517[#Headers],0)),Table91517[MainWaterHeatingFuel],$B183,Table91517[EnergyRating (group)],$A183)</f>
        <v>68468591</v>
      </c>
      <c r="E183" s="759">
        <f>SUMIFS(INDEX(Table91517[],,MATCH(E$144,Table91517[#Headers],0)),Table91517[MainWaterHeatingFuel],$B183,Table91517[EnergyRating (group)],$A183)</f>
        <v>4922936</v>
      </c>
      <c r="F183" s="759">
        <f>SUMIFS(INDEX(Table91517[],,MATCH(F$144,Table91517[#Headers],0)),Table91517[MainWaterHeatingFuel],$B183,Table91517[EnergyRating (group)],$A183)</f>
        <v>1823311</v>
      </c>
      <c r="G183" s="758">
        <f>SUMIFS(INDEX(Table91517[],,MATCH(G$144,Table91517[#Headers],0)),Table91517[MainWaterHeatingFuel],$B183,Table91517[EnergyRating (group)],$A183)</f>
        <v>13720</v>
      </c>
      <c r="H183" s="758">
        <f>SUMIFS(INDEX(Table91517[],,MATCH(H$144,Table91517[#Headers],0)),Table91517[MainWaterHeatingFuel],$B183,Table91517[EnergyRating (group)],$A183)</f>
        <v>2814756</v>
      </c>
      <c r="I183" s="960"/>
      <c r="J183" s="976">
        <f t="shared" si="114"/>
        <v>80238382</v>
      </c>
      <c r="K183" s="977">
        <f t="shared" si="114"/>
        <v>70291902</v>
      </c>
      <c r="L183" s="840"/>
      <c r="M183" s="840"/>
      <c r="N183" s="914" t="str">
        <f>RSD_Commodities!$M$84&amp;"_"&amp;RIGHT(P183,LEN(P183)-3)&amp;"_"&amp;SETUP!$B$67</f>
        <v>WH_Det-B3_OILKER_X0</v>
      </c>
      <c r="O183" s="914" t="str">
        <f>RSD_Commodities!$N$84&amp;"_"&amp;RSD_Commodities!D13&amp;"_"&amp;SETUP!$C$67</f>
        <v>Residential Water Heating Detached-B3_Kerosene to Residential_Existing 00</v>
      </c>
      <c r="P183" s="915" t="str">
        <f>RSD_Commodities!$C$13</f>
        <v>RSDOILKER</v>
      </c>
      <c r="Q183" s="914" t="str">
        <f>RSD_Commodities!$M$84</f>
        <v>WH_Det-B3</v>
      </c>
      <c r="R183" s="984">
        <f t="shared" si="116"/>
        <v>0.68028560095200319</v>
      </c>
      <c r="S183" s="914">
        <f>R183*DwellingStocks!$I$65/1000</f>
        <v>14.768625197723368</v>
      </c>
      <c r="T183" s="915">
        <v>1</v>
      </c>
      <c r="U183" s="986">
        <f t="shared" si="117"/>
        <v>0.87603837774296101</v>
      </c>
      <c r="V183" s="915">
        <v>20</v>
      </c>
      <c r="W183" s="914">
        <v>1</v>
      </c>
      <c r="X183" s="866"/>
      <c r="Y183" s="928">
        <f t="shared" si="118"/>
        <v>0.42662250208483637</v>
      </c>
      <c r="Z183" s="929">
        <f t="shared" si="119"/>
        <v>0.48699065351907672</v>
      </c>
      <c r="AA183" s="866"/>
      <c r="AB183" s="914" t="s">
        <v>393</v>
      </c>
      <c r="AC183" s="914" t="str">
        <f t="shared" si="115"/>
        <v>WH_Det-B3_OILKER_X0</v>
      </c>
      <c r="AD183" s="915" t="str">
        <f t="shared" si="115"/>
        <v>Residential Water Heating Detached-B3_Kerosene to Residential_Existing 00</v>
      </c>
      <c r="AE183" s="914" t="s">
        <v>53</v>
      </c>
      <c r="AF183" s="916" t="s">
        <v>406</v>
      </c>
      <c r="AG183" s="914"/>
      <c r="AH183" s="914"/>
      <c r="AI183" s="840"/>
      <c r="AJ183" s="840"/>
      <c r="AK183" s="840"/>
      <c r="AL183" s="840"/>
      <c r="AM183" s="840"/>
      <c r="AN183" s="840"/>
      <c r="AO183" s="840"/>
    </row>
    <row r="184" spans="1:41">
      <c r="A184" s="972" t="s">
        <v>114</v>
      </c>
      <c r="B184" s="757" t="s">
        <v>584</v>
      </c>
      <c r="C184" s="757">
        <f>SUMIFS(INDEX(Table91517[],,MATCH(C$144,Table91517[#Headers],0)),Table91517[MainWaterHeatingFuel],$B184,Table91517[EnergyRating (group)],$A184)</f>
        <v>24783855</v>
      </c>
      <c r="D184" s="757">
        <f>SUMIFS(INDEX(Table91517[],,MATCH(D$144,Table91517[#Headers],0)),Table91517[MainWaterHeatingFuel],$B184,Table91517[EnergyRating (group)],$A184)</f>
        <v>22530780</v>
      </c>
      <c r="E184" s="760">
        <f>SUMIFS(INDEX(Table91517[],,MATCH(E$144,Table91517[#Headers],0)),Table91517[MainWaterHeatingFuel],$B184,Table91517[EnergyRating (group)],$A184)</f>
        <v>793727</v>
      </c>
      <c r="F184" s="760">
        <f>SUMIFS(INDEX(Table91517[],,MATCH(F$144,Table91517[#Headers],0)),Table91517[MainWaterHeatingFuel],$B184,Table91517[EnergyRating (group)],$A184)</f>
        <v>293974</v>
      </c>
      <c r="G184" s="757">
        <f>SUMIFS(INDEX(Table91517[],,MATCH(G$144,Table91517[#Headers],0)),Table91517[MainWaterHeatingFuel],$B184,Table91517[EnergyRating (group)],$A184)</f>
        <v>4745</v>
      </c>
      <c r="H184" s="757">
        <f>SUMIFS(INDEX(Table91517[],,MATCH(H$144,Table91517[#Headers],0)),Table91517[MainWaterHeatingFuel],$B184,Table91517[EnergyRating (group)],$A184)</f>
        <v>861314</v>
      </c>
      <c r="I184" s="959"/>
      <c r="J184" s="978">
        <f t="shared" si="114"/>
        <v>25577582</v>
      </c>
      <c r="K184" s="979">
        <f t="shared" si="114"/>
        <v>22824754</v>
      </c>
      <c r="L184" s="840"/>
      <c r="M184" s="840"/>
      <c r="N184" s="66" t="str">
        <f>RSD_Commodities!$M$84&amp;"_"&amp;RIGHT(P184,LEN(P184)-3)&amp;"_"&amp;SETUP!$B$67</f>
        <v>WH_Det-B3_GASNAT_X0</v>
      </c>
      <c r="O184" s="66" t="str">
        <f>RSD_Commodities!$N$84&amp;"_"&amp;RSD_Commodities!D17&amp;"_"&amp;SETUP!$C$67</f>
        <v>Residential Water Heating Detached-B3_Natural Gas to Residential_Existing 00</v>
      </c>
      <c r="P184" s="83" t="str">
        <f>RSD_Commodities!$C$17</f>
        <v>RSDGASNAT</v>
      </c>
      <c r="Q184" s="66" t="str">
        <f>RSD_Commodities!$M$84</f>
        <v>WH_Det-B3</v>
      </c>
      <c r="R184" s="985">
        <f t="shared" si="116"/>
        <v>0.23527370091233638</v>
      </c>
      <c r="S184" s="66">
        <f>R184*DwellingStocks!$I$65/1000</f>
        <v>5.1076622859473311</v>
      </c>
      <c r="T184" s="83">
        <v>1</v>
      </c>
      <c r="U184" s="987">
        <f t="shared" si="117"/>
        <v>0.8923734073064451</v>
      </c>
      <c r="V184" s="83">
        <v>20</v>
      </c>
      <c r="W184" s="66">
        <v>1</v>
      </c>
      <c r="X184" s="866"/>
      <c r="Y184" s="926">
        <f t="shared" si="118"/>
        <v>4.791005555828446E-2</v>
      </c>
      <c r="Z184" s="927">
        <f t="shared" si="119"/>
        <v>5.3688349704298081E-2</v>
      </c>
      <c r="AA184" s="866"/>
      <c r="AB184" s="66" t="s">
        <v>393</v>
      </c>
      <c r="AC184" s="66" t="str">
        <f t="shared" si="115"/>
        <v>WH_Det-B3_GASNAT_X0</v>
      </c>
      <c r="AD184" s="83" t="str">
        <f t="shared" si="115"/>
        <v>Residential Water Heating Detached-B3_Natural Gas to Residential_Existing 00</v>
      </c>
      <c r="AE184" s="66" t="s">
        <v>53</v>
      </c>
      <c r="AF184" s="88" t="s">
        <v>406</v>
      </c>
      <c r="AG184" s="66"/>
      <c r="AH184" s="66"/>
      <c r="AI184" s="840"/>
      <c r="AJ184" s="840"/>
      <c r="AK184" s="840"/>
      <c r="AL184" s="840"/>
      <c r="AM184" s="840"/>
      <c r="AN184" s="840"/>
      <c r="AO184" s="840"/>
    </row>
    <row r="185" spans="1:41">
      <c r="A185" s="973" t="s">
        <v>114</v>
      </c>
      <c r="B185" s="758" t="s">
        <v>585</v>
      </c>
      <c r="C185" s="758">
        <f>SUMIFS(INDEX(Table91517[],,MATCH(C$144,Table91517[#Headers],0)),Table91517[MainWaterHeatingFuel],$B185,Table91517[EnergyRating (group)],$A185)</f>
        <v>794014</v>
      </c>
      <c r="D185" s="758">
        <f>SUMIFS(INDEX(Table91517[],,MATCH(D$144,Table91517[#Headers],0)),Table91517[MainWaterHeatingFuel],$B185,Table91517[EnergyRating (group)],$A185)</f>
        <v>721830</v>
      </c>
      <c r="E185" s="758">
        <f>SUMIFS(INDEX(Table91517[],,MATCH(E$144,Table91517[#Headers],0)),Table91517[MainWaterHeatingFuel],$B185,Table91517[EnergyRating (group)],$A185)</f>
        <v>33160</v>
      </c>
      <c r="F185" s="758">
        <f>SUMIFS(INDEX(Table91517[],,MATCH(F$144,Table91517[#Headers],0)),Table91517[MainWaterHeatingFuel],$B185,Table91517[EnergyRating (group)],$A185)</f>
        <v>12281</v>
      </c>
      <c r="G185" s="758">
        <f>SUMIFS(INDEX(Table91517[],,MATCH(G$144,Table91517[#Headers],0)),Table91517[MainWaterHeatingFuel],$B185,Table91517[EnergyRating (group)],$A185)</f>
        <v>148</v>
      </c>
      <c r="H185" s="758">
        <f>SUMIFS(INDEX(Table91517[],,MATCH(H$144,Table91517[#Headers],0)),Table91517[MainWaterHeatingFuel],$B185,Table91517[EnergyRating (group)],$A185)</f>
        <v>35181</v>
      </c>
      <c r="I185" s="960"/>
      <c r="J185" s="980">
        <f t="shared" si="114"/>
        <v>827174</v>
      </c>
      <c r="K185" s="981">
        <f t="shared" si="114"/>
        <v>734111</v>
      </c>
      <c r="L185" s="840"/>
      <c r="M185" s="840"/>
      <c r="N185" s="914" t="str">
        <f>RSD_Commodities!$M$84&amp;"_"&amp;RIGHT(P185,LEN(P185)-3)&amp;"_"&amp;SETUP!$B$67</f>
        <v>WH_Det-B3_BIOWOO_X0</v>
      </c>
      <c r="O185" s="914" t="str">
        <f>RSD_Commodities!$N$84&amp;"_"&amp;RSD_Commodities!D19&amp;"_"&amp;SETUP!$C$67</f>
        <v>Residential Water Heating Detached-B3_Biomass &amp; Renewable Waste to Residential_Existing 00</v>
      </c>
      <c r="P185" s="915" t="str">
        <f>RSD_Commodities!$C$19</f>
        <v>RSDBIOWOO</v>
      </c>
      <c r="Q185" s="914" t="str">
        <f>RSD_Commodities!$M$84</f>
        <v>WH_Det-B3</v>
      </c>
      <c r="R185" s="984">
        <f t="shared" si="116"/>
        <v>7.3383577945259817E-3</v>
      </c>
      <c r="S185" s="914">
        <f>R185*DwellingStocks!$I$65/1000</f>
        <v>0.15931170038360484</v>
      </c>
      <c r="T185" s="915">
        <v>1</v>
      </c>
      <c r="U185" s="986">
        <f t="shared" si="117"/>
        <v>0.88749283705725757</v>
      </c>
      <c r="V185" s="915">
        <v>20</v>
      </c>
      <c r="W185" s="914">
        <v>1</v>
      </c>
      <c r="X185" s="866"/>
      <c r="Y185" s="928">
        <f t="shared" si="118"/>
        <v>4.8062659594647349E-5</v>
      </c>
      <c r="Z185" s="929">
        <f t="shared" si="119"/>
        <v>5.4155546487578618E-5</v>
      </c>
      <c r="AA185" s="866"/>
      <c r="AB185" s="914" t="s">
        <v>393</v>
      </c>
      <c r="AC185" s="914" t="str">
        <f t="shared" si="115"/>
        <v>WH_Det-B3_BIOWOO_X0</v>
      </c>
      <c r="AD185" s="915" t="str">
        <f t="shared" si="115"/>
        <v>Residential Water Heating Detached-B3_Biomass &amp; Renewable Waste to Residential_Existing 00</v>
      </c>
      <c r="AE185" s="914" t="s">
        <v>53</v>
      </c>
      <c r="AF185" s="916" t="s">
        <v>406</v>
      </c>
      <c r="AG185" s="914"/>
      <c r="AH185" s="914"/>
      <c r="AI185" s="840"/>
      <c r="AJ185" s="840"/>
      <c r="AK185" s="840"/>
      <c r="AL185" s="840"/>
      <c r="AM185" s="840"/>
      <c r="AN185" s="840"/>
      <c r="AO185" s="840"/>
    </row>
    <row r="186" spans="1:41">
      <c r="A186" s="972" t="s">
        <v>114</v>
      </c>
      <c r="B186" s="757" t="s">
        <v>587</v>
      </c>
      <c r="C186" s="757">
        <f>SUMIFS(INDEX(Table91517[],,MATCH(C144,Table91517[#Headers],0)),Table91517[MainWaterHeatingFuel],"",Table91517[EnergyRating (group)],$A186)</f>
        <v>0</v>
      </c>
      <c r="D186" s="757">
        <f>SUMIFS(INDEX(Table91517[],,MATCH(D144,Table91517[#Headers],0)),Table91517[MainWaterHeatingFuel],"",Table91517[EnergyRating (group)],$A186)</f>
        <v>0</v>
      </c>
      <c r="E186" s="757">
        <f>SUMIFS(INDEX(Table91517[],,MATCH(E144,Table91517[#Headers],0)),Table91517[MainWaterHeatingFuel],"",Table91517[EnergyRating (group)],$A186)</f>
        <v>0</v>
      </c>
      <c r="F186" s="757">
        <f>SUMIFS(INDEX(Table91517[],,MATCH(F144,Table91517[#Headers],0)),Table91517[MainWaterHeatingFuel],"",Table91517[EnergyRating (group)],$A186)</f>
        <v>0</v>
      </c>
      <c r="G186" s="757">
        <f>SUMIFS(INDEX(Table91517[],,MATCH(G144,Table91517[#Headers],0)),Table91517[MainWaterHeatingFuel],"",Table91517[EnergyRating (group)],$A186)</f>
        <v>14</v>
      </c>
      <c r="H186" s="757">
        <f>SUMIFS(INDEX(Table91517[],,MATCH(H144,Table91517[#Headers],0)),Table91517[MainWaterHeatingFuel],"",Table91517[EnergyRating (group)],$A186)</f>
        <v>2402</v>
      </c>
      <c r="I186" s="961"/>
      <c r="J186" s="978">
        <f t="shared" si="114"/>
        <v>0</v>
      </c>
      <c r="K186" s="979">
        <f t="shared" si="114"/>
        <v>0</v>
      </c>
      <c r="L186" s="840"/>
      <c r="M186" s="840"/>
      <c r="N186" s="66" t="str">
        <f>RSD_Commodities!$M$84&amp;"_"&amp;RIGHT(P186,LEN(P186)-3)&amp;"_"&amp;SETUP!$B$67</f>
        <v>WH_Det-B3_HET_X0</v>
      </c>
      <c r="O186" s="66" t="str">
        <f>RSD_Commodities!$N$84&amp;"_"&amp;RSD_Commodities!D28&amp;"_"&amp;SETUP!$C$67</f>
        <v>Residential Water Heating Detached-B3_Heat to Residential_Existing 00</v>
      </c>
      <c r="P186" s="83" t="str">
        <f>RSD_Commodities!$C$28</f>
        <v>RSDHET</v>
      </c>
      <c r="Q186" s="66" t="str">
        <f>RSD_Commodities!$M$84</f>
        <v>WH_Det-B3</v>
      </c>
      <c r="R186" s="985">
        <f t="shared" si="116"/>
        <v>6.9416898056326849E-4</v>
      </c>
      <c r="S186" s="66">
        <f>R186*DwellingStocks!$I$65/1000</f>
        <v>1.5070025711962618E-2</v>
      </c>
      <c r="T186" s="83">
        <v>1</v>
      </c>
      <c r="U186" s="917">
        <v>1</v>
      </c>
      <c r="V186" s="83">
        <v>20</v>
      </c>
      <c r="W186" s="66">
        <v>1</v>
      </c>
      <c r="X186" s="866"/>
      <c r="Y186" s="926">
        <f t="shared" si="118"/>
        <v>0</v>
      </c>
      <c r="Z186" s="927">
        <f t="shared" si="119"/>
        <v>0</v>
      </c>
      <c r="AA186" s="866"/>
      <c r="AB186" s="66" t="s">
        <v>393</v>
      </c>
      <c r="AC186" s="66" t="str">
        <f t="shared" si="115"/>
        <v>WH_Det-B3_HET_X0</v>
      </c>
      <c r="AD186" s="83" t="str">
        <f t="shared" si="115"/>
        <v>Residential Water Heating Detached-B3_Heat to Residential_Existing 00</v>
      </c>
      <c r="AE186" s="66" t="s">
        <v>53</v>
      </c>
      <c r="AF186" s="88" t="s">
        <v>406</v>
      </c>
      <c r="AG186" s="66"/>
      <c r="AH186" s="66"/>
      <c r="AI186" s="840"/>
      <c r="AJ186" s="840"/>
      <c r="AK186" s="840"/>
      <c r="AL186" s="840"/>
      <c r="AM186" s="840"/>
      <c r="AN186" s="840"/>
      <c r="AO186" s="840"/>
    </row>
    <row r="187" spans="1:41">
      <c r="A187" s="973" t="s">
        <v>114</v>
      </c>
      <c r="B187" s="758" t="s">
        <v>664</v>
      </c>
      <c r="C187" s="758">
        <f>SUMIFS(INDEX(Table91517[],,MATCH(C$144,Table91517[#Headers],0)),Table91517[MainWaterHeatingFuel],$B187,Table91517[EnergyRating (group)],$A187)</f>
        <v>288187</v>
      </c>
      <c r="D187" s="758">
        <f>SUMIFS(INDEX(Table91517[],,MATCH(D$144,Table91517[#Headers],0)),Table91517[MainWaterHeatingFuel],$B187,Table91517[EnergyRating (group)],$A187)</f>
        <v>261990</v>
      </c>
      <c r="E187" s="759">
        <f>SUMIFS(INDEX(Table91517[],,MATCH(E$144,Table91517[#Headers],0)),Table91517[MainWaterHeatingFuel],$B187,Table91517[EnergyRating (group)],$A187)</f>
        <v>6693</v>
      </c>
      <c r="F187" s="759">
        <f>SUMIFS(INDEX(Table91517[],,MATCH(F$144,Table91517[#Headers],0)),Table91517[MainWaterHeatingFuel],$B187,Table91517[EnergyRating (group)],$A187)</f>
        <v>2479</v>
      </c>
      <c r="G187" s="758">
        <f>SUMIFS(INDEX(Table91517[],,MATCH(G$144,Table91517[#Headers],0)),Table91517[MainWaterHeatingFuel],$B187,Table91517[EnergyRating (group)],$A187)</f>
        <v>49</v>
      </c>
      <c r="H187" s="758">
        <f>SUMIFS(INDEX(Table91517[],,MATCH(H$144,Table91517[#Headers],0)),Table91517[MainWaterHeatingFuel],$B187,Table91517[EnergyRating (group)],$A187)</f>
        <v>11863</v>
      </c>
      <c r="I187" s="960"/>
      <c r="J187" s="980">
        <f>C187+E187</f>
        <v>294880</v>
      </c>
      <c r="K187" s="981">
        <f>D187+F187</f>
        <v>264469</v>
      </c>
      <c r="L187" s="840"/>
      <c r="M187" s="840"/>
      <c r="N187" s="914" t="str">
        <f>RSD_Commodities!$M$84&amp;"_"&amp;RIGHT(P187,LEN(P187)-3)&amp;"_"&amp;SETUP!$B$68</f>
        <v>WH_Det-B3_OILLPG_X1</v>
      </c>
      <c r="O187" s="914" t="str">
        <f>RSD_Commodities!$N$84&amp;"_"&amp;RSD_Commodities!D11&amp;"_"&amp;SETUP!$C$68</f>
        <v>Residential Water Heating Detached-B3_LPG to Residential_Existing 01</v>
      </c>
      <c r="P187" s="915" t="str">
        <f>RSD_Commodities!$C$11</f>
        <v>RSDOILLPG</v>
      </c>
      <c r="Q187" s="914" t="str">
        <f>RSD_Commodities!$M$84</f>
        <v>WH_Det-B3</v>
      </c>
      <c r="R187" s="984">
        <f t="shared" si="116"/>
        <v>2.42959143197144E-3</v>
      </c>
      <c r="S187" s="914">
        <f>R187*DwellingStocks!$I$65/1000</f>
        <v>5.2745089991869172E-2</v>
      </c>
      <c r="T187" s="915">
        <v>1</v>
      </c>
      <c r="U187" s="986">
        <f t="shared" si="117"/>
        <v>0.8968699131850244</v>
      </c>
      <c r="V187" s="915">
        <v>20</v>
      </c>
      <c r="W187" s="914">
        <v>1</v>
      </c>
      <c r="X187" s="866"/>
      <c r="Y187" s="928">
        <f t="shared" si="118"/>
        <v>5.7326470705724586E-6</v>
      </c>
      <c r="Z187" s="929">
        <f t="shared" si="119"/>
        <v>6.3918378644393362E-6</v>
      </c>
      <c r="AA187" s="866"/>
      <c r="AB187" s="914" t="s">
        <v>393</v>
      </c>
      <c r="AC187" s="914" t="str">
        <f t="shared" si="115"/>
        <v>WH_Det-B3_OILLPG_X1</v>
      </c>
      <c r="AD187" s="915" t="str">
        <f t="shared" si="115"/>
        <v>Residential Water Heating Detached-B3_LPG to Residential_Existing 01</v>
      </c>
      <c r="AE187" s="914" t="s">
        <v>53</v>
      </c>
      <c r="AF187" s="916" t="s">
        <v>406</v>
      </c>
      <c r="AG187" s="914"/>
      <c r="AH187" s="914"/>
      <c r="AI187" s="840"/>
      <c r="AJ187" s="840"/>
      <c r="AK187" s="840"/>
      <c r="AL187" s="840"/>
      <c r="AM187" s="840"/>
      <c r="AN187" s="840"/>
      <c r="AO187" s="840"/>
    </row>
    <row r="188" spans="1:41">
      <c r="A188" s="972" t="s">
        <v>114</v>
      </c>
      <c r="B188" s="757" t="s">
        <v>665</v>
      </c>
      <c r="C188" s="757">
        <f>SUMIFS(INDEX(Table91517[],,MATCH(C$144,Table91517[#Headers],0)),Table91517[MainWaterHeatingFuel],$B188,Table91517[EnergyRating (group)],$A188)</f>
        <v>108315</v>
      </c>
      <c r="D188" s="757">
        <f>SUMIFS(INDEX(Table91517[],,MATCH(D$144,Table91517[#Headers],0)),Table91517[MainWaterHeatingFuel],$B188,Table91517[EnergyRating (group)],$A188)</f>
        <v>98467</v>
      </c>
      <c r="E188" s="760">
        <f>SUMIFS(INDEX(Table91517[],,MATCH(E$144,Table91517[#Headers],0)),Table91517[MainWaterHeatingFuel],$B188,Table91517[EnergyRating (group)],$A188)</f>
        <v>32916</v>
      </c>
      <c r="F188" s="760">
        <f>SUMIFS(INDEX(Table91517[],,MATCH(F$144,Table91517[#Headers],0)),Table91517[MainWaterHeatingFuel],$B188,Table91517[EnergyRating (group)],$A188)</f>
        <v>12191</v>
      </c>
      <c r="G188" s="757">
        <f>SUMIFS(INDEX(Table91517[],,MATCH(G$144,Table91517[#Headers],0)),Table91517[MainWaterHeatingFuel],$B188,Table91517[EnergyRating (group)],$A188)</f>
        <v>22</v>
      </c>
      <c r="H188" s="757">
        <f>SUMIFS(INDEX(Table91517[],,MATCH(H$144,Table91517[#Headers],0)),Table91517[MainWaterHeatingFuel],$B188,Table91517[EnergyRating (group)],$A188)</f>
        <v>5219</v>
      </c>
      <c r="I188" s="959"/>
      <c r="J188" s="978">
        <f t="shared" si="114"/>
        <v>141231</v>
      </c>
      <c r="K188" s="979">
        <f t="shared" si="114"/>
        <v>110658</v>
      </c>
      <c r="L188" s="840"/>
      <c r="M188" s="840"/>
      <c r="N188" s="66" t="str">
        <f>RSD_Commodities!$M$84&amp;"_"&amp;RSD_Commodities!$C$26&amp;"_"&amp;SETUP!$B$67</f>
        <v>WH_Det-B3_RSDSMF_X0</v>
      </c>
      <c r="O188" s="66" t="str">
        <f>RSD_Commodities!$N$84&amp;"_"&amp;RSD_Commodities!$D$26&amp;"_"&amp;SETUP!$C$67</f>
        <v>Residential Water Heating Detached-B3_Solid Multi-Fuel_Existing 00</v>
      </c>
      <c r="P188" s="83" t="str">
        <f>RSD_Commodities!$C$6&amp;","&amp;RSD_Commodities!$C$7&amp;","&amp;RSD_Commodities!$C$9&amp;","&amp;RSD_Commodities!$C$10&amp;","&amp;RSD_Commodities!$C$19</f>
        <v>RSDCOABIT,RSDCOAHAR,RSDCOALIG,RSDPEA,RSDBIOWOO</v>
      </c>
      <c r="Q188" s="66" t="str">
        <f>RSD_Commodities!$M$84</f>
        <v>WH_Det-B3</v>
      </c>
      <c r="R188" s="985">
        <f t="shared" si="116"/>
        <v>1.0908369694565649E-3</v>
      </c>
      <c r="S188" s="66">
        <f>R188*DwellingStocks!$I$65/1000</f>
        <v>2.3681468975941262E-2</v>
      </c>
      <c r="T188" s="83">
        <v>1</v>
      </c>
      <c r="U188" s="987">
        <f t="shared" si="117"/>
        <v>0.78352486352146489</v>
      </c>
      <c r="V188" s="83">
        <v>20</v>
      </c>
      <c r="W188" s="66">
        <v>1</v>
      </c>
      <c r="X188" s="866"/>
      <c r="Y188" s="926">
        <f t="shared" si="118"/>
        <v>1.0769358879204282E-6</v>
      </c>
      <c r="Z188" s="927">
        <f t="shared" si="119"/>
        <v>1.3744757034004772E-6</v>
      </c>
      <c r="AA188" s="866"/>
      <c r="AB188" s="66" t="s">
        <v>393</v>
      </c>
      <c r="AC188" s="66" t="str">
        <f t="shared" si="115"/>
        <v>WH_Det-B3_RSDSMF_X0</v>
      </c>
      <c r="AD188" s="83" t="str">
        <f t="shared" si="115"/>
        <v>Residential Water Heating Detached-B3_Solid Multi-Fuel_Existing 00</v>
      </c>
      <c r="AE188" s="66" t="s">
        <v>53</v>
      </c>
      <c r="AF188" s="88" t="s">
        <v>406</v>
      </c>
      <c r="AG188" s="66"/>
      <c r="AH188" s="66"/>
      <c r="AI188" s="840"/>
      <c r="AJ188" s="840"/>
      <c r="AK188" s="840"/>
      <c r="AL188" s="840"/>
      <c r="AM188" s="840"/>
      <c r="AN188" s="840"/>
      <c r="AO188" s="840"/>
    </row>
    <row r="189" spans="1:41">
      <c r="A189" s="973" t="s">
        <v>114</v>
      </c>
      <c r="B189" s="758" t="s">
        <v>669</v>
      </c>
      <c r="C189" s="758">
        <f>SUMIFS(INDEX(Table91517[],,MATCH(C$144,Table91517[#Headers],0)),Table91517[MainWaterHeatingFuel],$B189,Table91517[EnergyRating (group)],$A189)</f>
        <v>16435</v>
      </c>
      <c r="D189" s="758">
        <f>SUMIFS(INDEX(Table91517[],,MATCH(D$144,Table91517[#Headers],0)),Table91517[MainWaterHeatingFuel],$B189,Table91517[EnergyRating (group)],$A189)</f>
        <v>13697</v>
      </c>
      <c r="E189" s="758">
        <f>SUMIFS(INDEX(Table91517[],,MATCH(E$144,Table91517[#Headers],0)),Table91517[MainWaterHeatingFuel],$B189,Table91517[EnergyRating (group)],$A189)</f>
        <v>2042</v>
      </c>
      <c r="F189" s="758">
        <f>SUMIFS(INDEX(Table91517[],,MATCH(F$144,Table91517[#Headers],0)),Table91517[MainWaterHeatingFuel],$B189,Table91517[EnergyRating (group)],$A189)</f>
        <v>756</v>
      </c>
      <c r="G189" s="758">
        <f>SUMIFS(INDEX(Table91517[],,MATCH(G$144,Table91517[#Headers],0)),Table91517[MainWaterHeatingFuel],$B189,Table91517[EnergyRating (group)],$A189)</f>
        <v>3</v>
      </c>
      <c r="H189" s="758">
        <f>SUMIFS(INDEX(Table91517[],,MATCH(H$144,Table91517[#Headers],0)),Table91517[MainWaterHeatingFuel],$B189,Table91517[EnergyRating (group)],$A189)</f>
        <v>777</v>
      </c>
      <c r="I189" s="960"/>
      <c r="J189" s="980">
        <f t="shared" si="114"/>
        <v>18477</v>
      </c>
      <c r="K189" s="981">
        <f t="shared" si="114"/>
        <v>14453</v>
      </c>
      <c r="L189" s="840"/>
      <c r="M189" s="840"/>
      <c r="N189" s="914" t="str">
        <f>RSD_Commodities!$M$84&amp;"_"&amp;RIGHT(P189,LEN(P189)-3)&amp;"_"&amp;SETUP!$B$67</f>
        <v>WH_Det-B3_COAHAR_X0</v>
      </c>
      <c r="O189" s="914" t="str">
        <f>RSD_Commodities!$N$84&amp;"_"&amp;RSD_Commodities!D7&amp;"_"&amp;SETUP!$C$67</f>
        <v>Residential Water Heating Detached-B3_Anthracite + Manufactured Ovoids to Residential_Existing 00</v>
      </c>
      <c r="P189" s="915" t="str">
        <f>RSD_Commodities!$C$7</f>
        <v>RSDCOAHAR</v>
      </c>
      <c r="Q189" s="914" t="str">
        <f>RSD_Commodities!$M$84</f>
        <v>WH_Det-B3</v>
      </c>
      <c r="R189" s="984">
        <f t="shared" si="116"/>
        <v>1.4875049583498612E-4</v>
      </c>
      <c r="S189" s="914">
        <f>R189*DwellingStocks!$I$65/1000</f>
        <v>3.2292912239919899E-3</v>
      </c>
      <c r="T189" s="915">
        <v>1</v>
      </c>
      <c r="U189" s="986">
        <f t="shared" si="117"/>
        <v>0.78221572766141689</v>
      </c>
      <c r="V189" s="915">
        <v>20</v>
      </c>
      <c r="W189" s="914">
        <v>1</v>
      </c>
      <c r="X189" s="866"/>
      <c r="Y189" s="928">
        <f t="shared" si="118"/>
        <v>1.9180662764529963E-8</v>
      </c>
      <c r="Z189" s="929">
        <f t="shared" si="119"/>
        <v>2.4520937237958906E-8</v>
      </c>
      <c r="AA189" s="866"/>
      <c r="AB189" s="914" t="s">
        <v>393</v>
      </c>
      <c r="AC189" s="914" t="str">
        <f t="shared" si="115"/>
        <v>WH_Det-B3_COAHAR_X0</v>
      </c>
      <c r="AD189" s="915" t="str">
        <f t="shared" si="115"/>
        <v>Residential Water Heating Detached-B3_Anthracite + Manufactured Ovoids to Residential_Existing 00</v>
      </c>
      <c r="AE189" s="914" t="s">
        <v>53</v>
      </c>
      <c r="AF189" s="916" t="s">
        <v>406</v>
      </c>
      <c r="AG189" s="914"/>
      <c r="AH189" s="914"/>
      <c r="AI189" s="840"/>
      <c r="AJ189" s="840"/>
      <c r="AK189" s="840"/>
      <c r="AL189" s="840"/>
      <c r="AM189" s="840"/>
      <c r="AN189" s="840"/>
      <c r="AO189" s="840"/>
    </row>
    <row r="190" spans="1:41">
      <c r="A190" s="972" t="s">
        <v>114</v>
      </c>
      <c r="B190" s="757" t="s">
        <v>668</v>
      </c>
      <c r="C190" s="757">
        <f>SUMIFS(INDEX(Table91517[],,MATCH(C$144,Table91517[#Headers],0)),Table91517[MainWaterHeatingFuel],$B190,Table91517[EnergyRating (group)],$A190)</f>
        <v>44685</v>
      </c>
      <c r="D190" s="757">
        <f>SUMIFS(INDEX(Table91517[],,MATCH(D$144,Table91517[#Headers],0)),Table91517[MainWaterHeatingFuel],$B190,Table91517[EnergyRating (group)],$A190)</f>
        <v>40623</v>
      </c>
      <c r="E190" s="760">
        <f>SUMIFS(INDEX(Table91517[],,MATCH(E$144,Table91517[#Headers],0)),Table91517[MainWaterHeatingFuel],$B190,Table91517[EnergyRating (group)],$A190)</f>
        <v>0</v>
      </c>
      <c r="F190" s="760">
        <f>SUMIFS(INDEX(Table91517[],,MATCH(F$144,Table91517[#Headers],0)),Table91517[MainWaterHeatingFuel],$B190,Table91517[EnergyRating (group)],$A190)</f>
        <v>0</v>
      </c>
      <c r="G190" s="757">
        <f>SUMIFS(INDEX(Table91517[],,MATCH(G$144,Table91517[#Headers],0)),Table91517[MainWaterHeatingFuel],$B190,Table91517[EnergyRating (group)],$A190)</f>
        <v>6</v>
      </c>
      <c r="H190" s="757">
        <f>SUMIFS(INDEX(Table91517[],,MATCH(H$144,Table91517[#Headers],0)),Table91517[MainWaterHeatingFuel],$B190,Table91517[EnergyRating (group)],$A190)</f>
        <v>1110</v>
      </c>
      <c r="I190" s="959"/>
      <c r="J190" s="978">
        <f t="shared" si="114"/>
        <v>44685</v>
      </c>
      <c r="K190" s="979">
        <f t="shared" si="114"/>
        <v>40623</v>
      </c>
      <c r="L190" s="840"/>
      <c r="M190" s="840"/>
      <c r="N190" s="66" t="str">
        <f>RSD_Commodities!$M$84&amp;"_"&amp;RIGHT(P190,LEN(P190)-3)&amp;"_"&amp;SETUP!$B$69</f>
        <v>WH_Det-B3_BIOWOO_X2</v>
      </c>
      <c r="O190" s="66" t="str">
        <f>RSD_Commodities!$N$84&amp;"_"&amp;RSD_Commodities!D19&amp;"_"&amp;SETUP!$C$69</f>
        <v>Residential Water Heating Detached-B3_Biomass &amp; Renewable Waste to Residential_Existing 02</v>
      </c>
      <c r="P190" s="83" t="str">
        <f>RSD_Commodities!$C$19</f>
        <v>RSDBIOWOO</v>
      </c>
      <c r="Q190" s="66" t="str">
        <f>RSD_Commodities!$M$84</f>
        <v>WH_Det-B3</v>
      </c>
      <c r="R190" s="985">
        <f t="shared" si="116"/>
        <v>2.9750099166997223E-4</v>
      </c>
      <c r="S190" s="66">
        <f>R190*DwellingStocks!$I$65/1000</f>
        <v>6.4585824479839798E-3</v>
      </c>
      <c r="T190" s="83">
        <v>1</v>
      </c>
      <c r="U190" s="987">
        <f t="shared" si="117"/>
        <v>0.9090970124202753</v>
      </c>
      <c r="V190" s="83">
        <v>20</v>
      </c>
      <c r="W190" s="66">
        <v>1</v>
      </c>
      <c r="X190" s="866"/>
      <c r="Y190" s="926">
        <f t="shared" si="118"/>
        <v>1.0782205265114516E-7</v>
      </c>
      <c r="Z190" s="927">
        <f t="shared" si="119"/>
        <v>1.1860346165267021E-7</v>
      </c>
      <c r="AA190" s="866"/>
      <c r="AB190" s="66" t="s">
        <v>393</v>
      </c>
      <c r="AC190" s="66" t="str">
        <f t="shared" si="115"/>
        <v>WH_Det-B3_BIOWOO_X2</v>
      </c>
      <c r="AD190" s="83" t="str">
        <f t="shared" si="115"/>
        <v>Residential Water Heating Detached-B3_Biomass &amp; Renewable Waste to Residential_Existing 02</v>
      </c>
      <c r="AE190" s="66" t="s">
        <v>53</v>
      </c>
      <c r="AF190" s="88" t="s">
        <v>406</v>
      </c>
      <c r="AG190" s="66"/>
      <c r="AH190" s="66"/>
      <c r="AI190" s="840"/>
      <c r="AJ190" s="840"/>
      <c r="AK190" s="840"/>
      <c r="AL190" s="840"/>
      <c r="AM190" s="840"/>
      <c r="AN190" s="840"/>
      <c r="AO190" s="840"/>
    </row>
    <row r="191" spans="1:41">
      <c r="A191" s="973" t="s">
        <v>114</v>
      </c>
      <c r="B191" s="758" t="s">
        <v>673</v>
      </c>
      <c r="C191" s="758">
        <f>SUMIFS(INDEX(Table91517[],,MATCH(C$144,Table91517[#Headers],0)),Table91517[MainWaterHeatingFuel],$B191,Table91517[EnergyRating (group)],$A191)</f>
        <v>53420</v>
      </c>
      <c r="D191" s="758">
        <f>SUMIFS(INDEX(Table91517[],,MATCH(D$144,Table91517[#Headers],0)),Table91517[MainWaterHeatingFuel],$B191,Table91517[EnergyRating (group)],$A191)</f>
        <v>48564</v>
      </c>
      <c r="E191" s="758">
        <f>SUMIFS(INDEX(Table91517[],,MATCH(E$144,Table91517[#Headers],0)),Table91517[MainWaterHeatingFuel],$B191,Table91517[EnergyRating (group)],$A191)</f>
        <v>9595</v>
      </c>
      <c r="F191" s="758">
        <f>SUMIFS(INDEX(Table91517[],,MATCH(F$144,Table91517[#Headers],0)),Table91517[MainWaterHeatingFuel],$B191,Table91517[EnergyRating (group)],$A191)</f>
        <v>3553</v>
      </c>
      <c r="G191" s="758">
        <f>SUMIFS(INDEX(Table91517[],,MATCH(G$144,Table91517[#Headers],0)),Table91517[MainWaterHeatingFuel],$B191,Table91517[EnergyRating (group)],$A191)</f>
        <v>13</v>
      </c>
      <c r="H191" s="758">
        <f>SUMIFS(INDEX(Table91517[],,MATCH(H$144,Table91517[#Headers],0)),Table91517[MainWaterHeatingFuel],$B191,Table91517[EnergyRating (group)],$A191)</f>
        <v>2963</v>
      </c>
      <c r="I191" s="960"/>
      <c r="J191" s="1007">
        <f t="shared" si="114"/>
        <v>63015</v>
      </c>
      <c r="K191" s="1008">
        <f t="shared" si="114"/>
        <v>52117</v>
      </c>
      <c r="L191" s="840"/>
      <c r="M191" s="840"/>
      <c r="N191" s="914" t="str">
        <f>RSD_Commodities!$M$84&amp;"_"&amp;RIGHT(P191,LEN(P191)-3)&amp;"_"&amp;SETUP!$B$68</f>
        <v>WH_Det-B3_BIOWOO_X1</v>
      </c>
      <c r="O191" s="914" t="str">
        <f>RSD_Commodities!$N$84&amp;"_"&amp;RSD_Commodities!D19&amp;"_"&amp;SETUP!$C$68</f>
        <v>Residential Water Heating Detached-B3_Biomass &amp; Renewable Waste to Residential_Existing 01</v>
      </c>
      <c r="P191" s="915" t="str">
        <f>RSD_Commodities!$C$19</f>
        <v>RSDBIOWOO</v>
      </c>
      <c r="Q191" s="914" t="str">
        <f>RSD_Commodities!$M$84</f>
        <v>WH_Det-B3</v>
      </c>
      <c r="R191" s="984">
        <f t="shared" si="116"/>
        <v>6.4458548195160648E-4</v>
      </c>
      <c r="S191" s="914">
        <f>R191*DwellingStocks!$I$65/1000</f>
        <v>1.399359530396529E-2</v>
      </c>
      <c r="T191" s="915">
        <v>1</v>
      </c>
      <c r="U191" s="986">
        <f t="shared" si="117"/>
        <v>0.82705704990875184</v>
      </c>
      <c r="V191" s="915">
        <v>20</v>
      </c>
      <c r="W191" s="914">
        <v>1</v>
      </c>
      <c r="X191" s="840"/>
      <c r="Y191" s="928">
        <f t="shared" si="118"/>
        <v>2.9971405744798321E-7</v>
      </c>
      <c r="Z191" s="929">
        <f t="shared" si="119"/>
        <v>3.6238619510111214E-7</v>
      </c>
      <c r="AA191" s="840"/>
      <c r="AB191" s="914" t="s">
        <v>393</v>
      </c>
      <c r="AC191" s="914" t="str">
        <f t="shared" si="115"/>
        <v>WH_Det-B3_BIOWOO_X1</v>
      </c>
      <c r="AD191" s="915" t="str">
        <f t="shared" si="115"/>
        <v>Residential Water Heating Detached-B3_Biomass &amp; Renewable Waste to Residential_Existing 01</v>
      </c>
      <c r="AE191" s="914" t="s">
        <v>53</v>
      </c>
      <c r="AF191" s="916" t="s">
        <v>406</v>
      </c>
      <c r="AG191" s="914"/>
      <c r="AH191" s="914"/>
      <c r="AI191" s="840"/>
      <c r="AJ191" s="840"/>
      <c r="AK191" s="840"/>
      <c r="AL191" s="840"/>
      <c r="AM191" s="840"/>
      <c r="AN191" s="840"/>
      <c r="AO191" s="840"/>
    </row>
    <row r="192" spans="1:41">
      <c r="A192" s="972" t="s">
        <v>114</v>
      </c>
      <c r="B192" s="1057" t="s">
        <v>722</v>
      </c>
      <c r="C192" s="757">
        <f>SUMIFS(INDEX(Table91517[],,MATCH(C$144,Table91517[#Headers],0)),Table91517[MainWaterHeatingFuel],$B192,Table91517[EnergyRating (group)],$A192)</f>
        <v>43779</v>
      </c>
      <c r="D192" s="757">
        <f>SUMIFS(INDEX(Table91517[],,MATCH(D$144,Table91517[#Headers],0)),Table91517[MainWaterHeatingFuel],$B192,Table91517[EnergyRating (group)],$A192)</f>
        <v>39800</v>
      </c>
      <c r="E192" s="757">
        <f>SUMIFS(INDEX(Table91517[],,MATCH(E$144,Table91517[#Headers],0)),Table91517[MainWaterHeatingFuel],$B192,Table91517[EnergyRating (group)],$A192)</f>
        <v>0</v>
      </c>
      <c r="F192" s="757">
        <f>SUMIFS(INDEX(Table91517[],,MATCH(F$144,Table91517[#Headers],0)),Table91517[MainWaterHeatingFuel],$B192,Table91517[EnergyRating (group)],$A192)</f>
        <v>0</v>
      </c>
      <c r="G192" s="757">
        <f>SUMIFS(INDEX(Table91517[],,MATCH(G$144,Table91517[#Headers],0)),Table91517[MainWaterHeatingFuel],$B192,Table91517[EnergyRating (group)],$A192)</f>
        <v>7</v>
      </c>
      <c r="H192" s="757">
        <f>SUMIFS(INDEX(Table91517[],,MATCH(H$144,Table91517[#Headers],0)),Table91517[MainWaterHeatingFuel],$B192,Table91517[EnergyRating (group)],$A192)</f>
        <v>1994</v>
      </c>
      <c r="I192" s="961"/>
      <c r="J192" s="964">
        <f t="shared" si="114"/>
        <v>43779</v>
      </c>
      <c r="K192" s="965">
        <f t="shared" si="114"/>
        <v>39800</v>
      </c>
      <c r="L192" s="840"/>
      <c r="M192" s="840"/>
      <c r="N192" s="66" t="str">
        <f>RSD_Commodities!$M$84&amp;"_"&amp;RIGHT(P192,LEN(P192)-3)&amp;"_"&amp;SETUP!$B$68</f>
        <v>WH_Det-B3_BIOWOO_X1</v>
      </c>
      <c r="O192" s="66" t="str">
        <f>RSD_Commodities!$N$84&amp;"_"&amp;RSD_Commodities!D20&amp;"_"&amp;SETUP!$C$68</f>
        <v>Residential Water Heating Detached-B3_Biogas to Residential_Existing 01</v>
      </c>
      <c r="P192" s="83" t="str">
        <f>RSD_Commodities!$C$19</f>
        <v>RSDBIOWOO</v>
      </c>
      <c r="Q192" s="66" t="str">
        <f>RSD_Commodities!$M$84</f>
        <v>WH_Det-B3</v>
      </c>
      <c r="R192" s="985">
        <f t="shared" si="116"/>
        <v>3.4708449028163425E-4</v>
      </c>
      <c r="S192" s="66">
        <f>R192*DwellingStocks!$I$65/1000</f>
        <v>7.5350128559813091E-3</v>
      </c>
      <c r="T192" s="83">
        <v>1</v>
      </c>
      <c r="U192" s="987">
        <f t="shared" si="117"/>
        <v>0.90911167454715736</v>
      </c>
      <c r="V192" s="83">
        <v>20</v>
      </c>
      <c r="W192" s="66">
        <v>1</v>
      </c>
      <c r="X192" s="840"/>
      <c r="Y192" s="926">
        <f t="shared" si="118"/>
        <v>1.2324390890468061E-7</v>
      </c>
      <c r="Z192" s="927">
        <f t="shared" si="119"/>
        <v>1.3556520321452293E-7</v>
      </c>
      <c r="AA192" s="840"/>
      <c r="AB192" s="66" t="s">
        <v>393</v>
      </c>
      <c r="AC192" s="66" t="str">
        <f t="shared" si="115"/>
        <v>WH_Det-B3_BIOWOO_X1</v>
      </c>
      <c r="AD192" s="83" t="str">
        <f t="shared" si="115"/>
        <v>Residential Water Heating Detached-B3_Biogas to Residential_Existing 01</v>
      </c>
      <c r="AE192" s="66" t="s">
        <v>53</v>
      </c>
      <c r="AF192" s="88" t="s">
        <v>406</v>
      </c>
      <c r="AG192" s="66"/>
      <c r="AH192" s="66"/>
      <c r="AI192" s="840"/>
      <c r="AJ192" s="840"/>
      <c r="AK192" s="840"/>
      <c r="AL192" s="840"/>
      <c r="AM192" s="840"/>
      <c r="AN192" s="840"/>
      <c r="AO192" s="840"/>
    </row>
    <row r="193" spans="1:41">
      <c r="A193" s="973" t="s">
        <v>114</v>
      </c>
      <c r="B193" s="758" t="s">
        <v>671</v>
      </c>
      <c r="C193" s="758">
        <f>SUMIFS(INDEX(Table91517[],,MATCH(C$144,Table91517[#Headers],0)),Table91517[MainWaterHeatingFuel],$B193,Table91517[EnergyRating (group)],$A193)</f>
        <v>6686</v>
      </c>
      <c r="D193" s="758">
        <f>SUMIFS(INDEX(Table91517[],,MATCH(D$144,Table91517[#Headers],0)),Table91517[MainWaterHeatingFuel],$B193,Table91517[EnergyRating (group)],$A193)</f>
        <v>6079</v>
      </c>
      <c r="E193" s="759">
        <f>SUMIFS(INDEX(Table91517[],,MATCH(E$144,Table91517[#Headers],0)),Table91517[MainWaterHeatingFuel],$B193,Table91517[EnergyRating (group)],$A193)</f>
        <v>0</v>
      </c>
      <c r="F193" s="759">
        <f>SUMIFS(INDEX(Table91517[],,MATCH(F$144,Table91517[#Headers],0)),Table91517[MainWaterHeatingFuel],$B193,Table91517[EnergyRating (group)],$A193)</f>
        <v>0</v>
      </c>
      <c r="G193" s="758">
        <f>SUMIFS(INDEX(Table91517[],,MATCH(G$144,Table91517[#Headers],0)),Table91517[MainWaterHeatingFuel],$B193,Table91517[EnergyRating (group)],$A193)</f>
        <v>1</v>
      </c>
      <c r="H193" s="758">
        <f>SUMIFS(INDEX(Table91517[],,MATCH(H$144,Table91517[#Headers],0)),Table91517[MainWaterHeatingFuel],$B193,Table91517[EnergyRating (group)],$A193)</f>
        <v>151</v>
      </c>
      <c r="I193" s="960"/>
      <c r="J193" s="976">
        <f t="shared" si="114"/>
        <v>6686</v>
      </c>
      <c r="K193" s="977">
        <f t="shared" si="114"/>
        <v>6079</v>
      </c>
      <c r="L193" s="840"/>
      <c r="M193" s="840"/>
      <c r="N193" s="914" t="str">
        <f>RSD_Commodities!$M$84&amp;"_"&amp;RIGHT(P193,LEN(P193)-3)&amp;"_"&amp;SETUP!$B$67</f>
        <v>WH_Det-B3_PEA_X0</v>
      </c>
      <c r="O193" s="914" t="str">
        <f>RSD_Commodities!$N$84&amp;"_"&amp;RSD_Commodities!$D$10&amp;"_"&amp;SETUP!$C$67</f>
        <v>Residential Water Heating Detached-B3_Peat to Residential_Existing 00</v>
      </c>
      <c r="P193" s="915" t="str">
        <f>RSD_Commodities!$C$10</f>
        <v>RSDPEA</v>
      </c>
      <c r="Q193" s="914" t="str">
        <f>RSD_Commodities!$M$84</f>
        <v>WH_Det-B3</v>
      </c>
      <c r="R193" s="984">
        <f t="shared" si="116"/>
        <v>4.9583498611662039E-5</v>
      </c>
      <c r="S193" s="914">
        <f>R193*DwellingStocks!$I$65/1000</f>
        <v>1.0764304079973299E-3</v>
      </c>
      <c r="T193" s="915">
        <v>1</v>
      </c>
      <c r="U193" s="986">
        <f t="shared" si="117"/>
        <v>0.90921328148369729</v>
      </c>
      <c r="V193" s="915">
        <v>20</v>
      </c>
      <c r="W193" s="914">
        <v>1</v>
      </c>
      <c r="X193" s="840"/>
      <c r="Y193" s="928">
        <f t="shared" si="118"/>
        <v>2.6891590891297685E-9</v>
      </c>
      <c r="Z193" s="929">
        <f t="shared" si="119"/>
        <v>2.9576768662480063E-9</v>
      </c>
      <c r="AA193" s="840"/>
      <c r="AB193" s="914" t="s">
        <v>393</v>
      </c>
      <c r="AC193" s="914" t="str">
        <f t="shared" si="115"/>
        <v>WH_Det-B3_PEA_X0</v>
      </c>
      <c r="AD193" s="915" t="str">
        <f t="shared" si="115"/>
        <v>Residential Water Heating Detached-B3_Peat to Residential_Existing 00</v>
      </c>
      <c r="AE193" s="914" t="s">
        <v>53</v>
      </c>
      <c r="AF193" s="916" t="s">
        <v>406</v>
      </c>
      <c r="AG193" s="914"/>
      <c r="AH193" s="914"/>
      <c r="AI193" s="840"/>
      <c r="AJ193" s="840"/>
      <c r="AK193" s="840"/>
      <c r="AL193" s="840"/>
      <c r="AM193" s="840"/>
      <c r="AN193" s="840"/>
      <c r="AO193" s="840"/>
    </row>
    <row r="194" spans="1:41" ht="15.75" thickBot="1">
      <c r="A194" s="972" t="s">
        <v>114</v>
      </c>
      <c r="B194" s="757" t="s">
        <v>666</v>
      </c>
      <c r="C194" s="757">
        <f>SUMIFS(INDEX(Table91517[],,MATCH(C$144,Table91517[#Headers],0)),Table91517[MainWaterHeatingFuel],$B194,Table91517[EnergyRating (group)],$A194)</f>
        <v>83590</v>
      </c>
      <c r="D194" s="757">
        <f>SUMIFS(INDEX(Table91517[],,MATCH(D$144,Table91517[#Headers],0)),Table91517[MainWaterHeatingFuel],$B194,Table91517[EnergyRating (group)],$A194)</f>
        <v>75994</v>
      </c>
      <c r="E194" s="760">
        <f>SUMIFS(INDEX(Table91517[],,MATCH(E$144,Table91517[#Headers],0)),Table91517[MainWaterHeatingFuel],$B194,Table91517[EnergyRating (group)],$A194)</f>
        <v>5325</v>
      </c>
      <c r="F194" s="760">
        <f>SUMIFS(INDEX(Table91517[],,MATCH(F$144,Table91517[#Headers],0)),Table91517[MainWaterHeatingFuel],$B194,Table91517[EnergyRating (group)],$A194)</f>
        <v>1973</v>
      </c>
      <c r="G194" s="757">
        <f>SUMIFS(INDEX(Table91517[],,MATCH(G$144,Table91517[#Headers],0)),Table91517[MainWaterHeatingFuel],$B194,Table91517[EnergyRating (group)],$A194)</f>
        <v>17</v>
      </c>
      <c r="H194" s="757">
        <f>SUMIFS(INDEX(Table91517[],,MATCH(H$144,Table91517[#Headers],0)),Table91517[MainWaterHeatingFuel],$B194,Table91517[EnergyRating (group)],$A194)</f>
        <v>3795</v>
      </c>
      <c r="I194" s="959"/>
      <c r="J194" s="991">
        <f t="shared" si="114"/>
        <v>88915</v>
      </c>
      <c r="K194" s="992">
        <f t="shared" si="114"/>
        <v>77967</v>
      </c>
      <c r="L194" s="840"/>
      <c r="M194" s="840"/>
      <c r="N194" s="66" t="str">
        <f>RSD_Commodities!$M$84&amp;"_"&amp;RIGHT(P194,LEN(P194)-3)&amp;"_"&amp;SETUP!$B$67</f>
        <v>WH_Det-B3_COABIT_X0</v>
      </c>
      <c r="O194" s="66" t="str">
        <f>RSD_Commodities!$N$84&amp;"_"&amp;RSD_Commodities!D6&amp;"_"&amp;SETUP!$C$67</f>
        <v>Residential Water Heating Detached-B3_Bituminous Coal to Residential_Existing 00</v>
      </c>
      <c r="P194" s="83" t="str">
        <f>RSD_Commodities!$C$6</f>
        <v>RSDCOABIT</v>
      </c>
      <c r="Q194" s="66" t="str">
        <f>RSD_Commodities!$M$84</f>
        <v>WH_Det-B3</v>
      </c>
      <c r="R194" s="985">
        <f t="shared" si="116"/>
        <v>8.4291947639825464E-4</v>
      </c>
      <c r="S194" s="66">
        <f>R194*DwellingStocks!$I$65/1000</f>
        <v>1.8299316935954608E-2</v>
      </c>
      <c r="T194" s="83">
        <v>1</v>
      </c>
      <c r="U194" s="987">
        <f t="shared" si="117"/>
        <v>0.87687116909407858</v>
      </c>
      <c r="V194" s="83">
        <v>20</v>
      </c>
      <c r="W194" s="66">
        <v>1</v>
      </c>
      <c r="X194" s="840"/>
      <c r="Y194" s="926">
        <f t="shared" si="118"/>
        <v>5.8633267542968758E-7</v>
      </c>
      <c r="Z194" s="927">
        <f t="shared" si="119"/>
        <v>6.6866456110701545E-7</v>
      </c>
      <c r="AA194" s="840"/>
      <c r="AB194" s="66" t="s">
        <v>393</v>
      </c>
      <c r="AC194" s="66" t="str">
        <f t="shared" si="115"/>
        <v>WH_Det-B3_COABIT_X0</v>
      </c>
      <c r="AD194" s="83" t="str">
        <f t="shared" si="115"/>
        <v>Residential Water Heating Detached-B3_Bituminous Coal to Residential_Existing 00</v>
      </c>
      <c r="AE194" s="66" t="s">
        <v>53</v>
      </c>
      <c r="AF194" s="88" t="s">
        <v>406</v>
      </c>
      <c r="AG194" s="66"/>
      <c r="AH194" s="66"/>
      <c r="AI194" s="840"/>
      <c r="AJ194" s="840"/>
      <c r="AK194" s="840"/>
      <c r="AL194" s="840"/>
      <c r="AM194" s="840"/>
      <c r="AN194" s="840"/>
      <c r="AO194" s="840"/>
    </row>
    <row r="195" spans="1:41" ht="15.75" thickBot="1">
      <c r="A195" s="756" t="s">
        <v>116</v>
      </c>
      <c r="B195" s="1048"/>
      <c r="C195" s="1049"/>
      <c r="D195" s="1049"/>
      <c r="E195" s="1049"/>
      <c r="F195" s="1049"/>
      <c r="G195" s="1049"/>
      <c r="H195" s="1049"/>
      <c r="I195" s="1049"/>
      <c r="J195" s="1050"/>
      <c r="K195" s="1051"/>
      <c r="L195" s="840"/>
      <c r="M195" s="840"/>
      <c r="N195" s="76" t="str">
        <f>AB195</f>
        <v>*C Rating</v>
      </c>
      <c r="O195" s="76"/>
      <c r="P195" s="76"/>
      <c r="Q195" s="76"/>
      <c r="R195" s="949">
        <f>SUM(R196:R212)</f>
        <v>0.99999999999999989</v>
      </c>
      <c r="S195" s="76"/>
      <c r="T195" s="97"/>
      <c r="U195" s="76"/>
      <c r="V195" s="76"/>
      <c r="W195" s="76"/>
      <c r="X195" s="840"/>
      <c r="Y195" s="76"/>
      <c r="Z195" s="76"/>
      <c r="AA195" s="840"/>
      <c r="AB195" s="140" t="str">
        <f>"*"&amp; A196 &amp; " Rating"</f>
        <v>*C Rating</v>
      </c>
      <c r="AC195" s="141"/>
      <c r="AD195" s="141"/>
      <c r="AE195" s="141"/>
      <c r="AF195" s="141"/>
      <c r="AG195" s="141"/>
      <c r="AH195" s="141"/>
      <c r="AI195" s="840"/>
      <c r="AJ195" s="840"/>
      <c r="AK195" s="840"/>
      <c r="AL195" s="840"/>
      <c r="AM195" s="840"/>
      <c r="AN195" s="840"/>
      <c r="AO195" s="840"/>
    </row>
    <row r="196" spans="1:41">
      <c r="A196" s="972" t="s">
        <v>116</v>
      </c>
      <c r="B196" s="757" t="s">
        <v>581</v>
      </c>
      <c r="C196" s="757">
        <f>SUMIFS(INDEX(Table91517[],,MATCH(C$144,Table91517[#Headers],0)),Table91517[MainWaterHeatingFuel],$B196,Table91517[EnergyRating (group)],$A196)</f>
        <v>16856</v>
      </c>
      <c r="D196" s="757">
        <f>SUMIFS(INDEX(Table91517[],,MATCH(D$144,Table91517[#Headers],0)),Table91517[MainWaterHeatingFuel],$B196,Table91517[EnergyRating (group)],$A196)</f>
        <v>6243</v>
      </c>
      <c r="E196" s="760">
        <f>SUMIFS(INDEX(Table91517[],,MATCH(E$144,Table91517[#Headers],0)),Table91517[MainWaterHeatingFuel],$B196,Table91517[EnergyRating (group)],$A196)</f>
        <v>0</v>
      </c>
      <c r="F196" s="760">
        <f>SUMIFS(INDEX(Table91517[],,MATCH(F$144,Table91517[#Headers],0)),Table91517[MainWaterHeatingFuel],$B196,Table91517[EnergyRating (group)],$A196)</f>
        <v>0</v>
      </c>
      <c r="G196" s="757">
        <f>SUMIFS(INDEX(Table91517[],,MATCH(G$144,Table91517[#Headers],0)),Table91517[MainWaterHeatingFuel],$B196,Table91517[EnergyRating (group)],$A196)</f>
        <v>1</v>
      </c>
      <c r="H196" s="757">
        <f>SUMIFS(INDEX(Table91517[],,MATCH(H$144,Table91517[#Headers],0)),Table91517[MainWaterHeatingFuel],$B196,Table91517[EnergyRating (group)],$A196)</f>
        <v>196</v>
      </c>
      <c r="I196" s="959"/>
      <c r="J196" s="989">
        <f t="shared" ref="J196:K202" si="120">C196+E196</f>
        <v>16856</v>
      </c>
      <c r="K196" s="990">
        <f t="shared" si="120"/>
        <v>6243</v>
      </c>
      <c r="L196" s="840"/>
      <c r="M196" s="840"/>
      <c r="N196" s="66" t="str">
        <f>RSD_Commodities!$M$85&amp;"_"&amp;RIGHT(P196,LEN(P196)-3)&amp;"_"&amp;SETUP!$B$67</f>
        <v>WH_Det-C_BIOETH_X0</v>
      </c>
      <c r="O196" s="66" t="str">
        <f>RSD_Commodities!$N$85&amp;"_"&amp;RSD_Commodities!D23&amp;"_"&amp;SETUP!$C$67</f>
        <v>Residential Water Heating Detached-C_Ethanol to Residential_Existing 00</v>
      </c>
      <c r="P196" s="83" t="str">
        <f>RSD_Commodities!$C$23</f>
        <v>RSDBIOETH</v>
      </c>
      <c r="Q196" s="66" t="str">
        <f>RSD_Commodities!$M$85</f>
        <v>WH_Det-C</v>
      </c>
      <c r="R196" s="985">
        <f>G196/SUM($G$196:$G$212)</f>
        <v>1.0224008015622284E-5</v>
      </c>
      <c r="S196" s="66">
        <f>R196*DwellingStocks!$I$66/1000</f>
        <v>7.275851641297276E-4</v>
      </c>
      <c r="T196" s="83">
        <v>1</v>
      </c>
      <c r="U196" s="987">
        <f>K196/J196</f>
        <v>0.37037256763170384</v>
      </c>
      <c r="V196" s="83">
        <v>20</v>
      </c>
      <c r="W196" s="66">
        <v>1</v>
      </c>
      <c r="X196" s="866"/>
      <c r="Y196" s="924">
        <f>ABS((K196)*S196*1000*$B$2)</f>
        <v>1.8667044573952974E-9</v>
      </c>
      <c r="Z196" s="925">
        <f>ABS((J196)*S196*1000*$B$2)</f>
        <v>5.0400721342071334E-9</v>
      </c>
      <c r="AA196" s="866"/>
      <c r="AB196" s="914" t="s">
        <v>393</v>
      </c>
      <c r="AC196" s="914" t="str">
        <f t="shared" ref="AC196:AD211" si="121">N196</f>
        <v>WH_Det-C_BIOETH_X0</v>
      </c>
      <c r="AD196" s="915" t="str">
        <f t="shared" si="121"/>
        <v>Residential Water Heating Detached-C_Ethanol to Residential_Existing 00</v>
      </c>
      <c r="AE196" s="914" t="s">
        <v>53</v>
      </c>
      <c r="AF196" s="916" t="s">
        <v>406</v>
      </c>
      <c r="AG196" s="914"/>
      <c r="AH196" s="914"/>
      <c r="AI196" s="840"/>
      <c r="AJ196" s="840"/>
      <c r="AK196" s="840"/>
      <c r="AL196" s="840"/>
      <c r="AM196" s="840"/>
      <c r="AN196" s="840"/>
      <c r="AO196" s="840"/>
    </row>
    <row r="197" spans="1:41">
      <c r="A197" s="973" t="s">
        <v>116</v>
      </c>
      <c r="B197" s="758" t="s">
        <v>582</v>
      </c>
      <c r="C197" s="758">
        <f>SUMIFS(INDEX(Table91517[],,MATCH(C$144,Table91517[#Headers],0)),Table91517[MainWaterHeatingFuel],$B197,Table91517[EnergyRating (group)],$A197)</f>
        <v>13126666</v>
      </c>
      <c r="D197" s="758">
        <f>SUMIFS(INDEX(Table91517[],,MATCH(D$144,Table91517[#Headers],0)),Table91517[MainWaterHeatingFuel],$B197,Table91517[EnergyRating (group)],$A197)</f>
        <v>11933329</v>
      </c>
      <c r="E197" s="758">
        <f>SUMIFS(INDEX(Table91517[],,MATCH(E$144,Table91517[#Headers],0)),Table91517[MainWaterHeatingFuel],$B197,Table91517[EnergyRating (group)],$A197)</f>
        <v>1168794</v>
      </c>
      <c r="F197" s="758">
        <f>SUMIFS(INDEX(Table91517[],,MATCH(F$144,Table91517[#Headers],0)),Table91517[MainWaterHeatingFuel],$B197,Table91517[EnergyRating (group)],$A197)</f>
        <v>432887</v>
      </c>
      <c r="G197" s="758">
        <f>SUMIFS(INDEX(Table91517[],,MATCH(G$144,Table91517[#Headers],0)),Table91517[MainWaterHeatingFuel],$B197,Table91517[EnergyRating (group)],$A197)</f>
        <v>2506</v>
      </c>
      <c r="H197" s="758">
        <f>SUMIFS(INDEX(Table91517[],,MATCH(H$144,Table91517[#Headers],0)),Table91517[MainWaterHeatingFuel],$B197,Table91517[EnergyRating (group)],$A197)</f>
        <v>405444</v>
      </c>
      <c r="I197" s="960"/>
      <c r="J197" s="980">
        <f t="shared" si="120"/>
        <v>14295460</v>
      </c>
      <c r="K197" s="981">
        <f t="shared" si="120"/>
        <v>12366216</v>
      </c>
      <c r="L197" s="840"/>
      <c r="M197" s="840"/>
      <c r="N197" s="914" t="str">
        <f>RSD_Commodities!$M$85&amp;"_"&amp;RIGHT(P197,LEN(P197)-3)&amp;"_"&amp;SETUP!$B$67</f>
        <v>WH_Det-C_OILLPG_X0</v>
      </c>
      <c r="O197" s="914" t="str">
        <f>RSD_Commodities!$N$85&amp;"_"&amp;RSD_Commodities!D11&amp;"_"&amp;SETUP!$C$67</f>
        <v>Residential Water Heating Detached-C_LPG to Residential_Existing 00</v>
      </c>
      <c r="P197" s="915" t="str">
        <f>RSD_Commodities!$C$11</f>
        <v>RSDOILLPG</v>
      </c>
      <c r="Q197" s="914" t="str">
        <f>RSD_Commodities!$M$85</f>
        <v>WH_Det-C</v>
      </c>
      <c r="R197" s="984">
        <f t="shared" ref="R197:R212" si="122">G197/SUM($G$196:$G$212)</f>
        <v>2.5621364087149445E-2</v>
      </c>
      <c r="S197" s="914">
        <f>R197*DwellingStocks!$I$66/1000</f>
        <v>1.8233284213090977</v>
      </c>
      <c r="T197" s="915">
        <v>1</v>
      </c>
      <c r="U197" s="986">
        <f t="shared" ref="U197:U212" si="123">K197/J197</f>
        <v>0.8650449863103391</v>
      </c>
      <c r="V197" s="915">
        <v>20</v>
      </c>
      <c r="W197" s="914">
        <v>1</v>
      </c>
      <c r="X197" s="866"/>
      <c r="Y197" s="926">
        <f t="shared" ref="Y197:Y212" si="124">ABS((K197)*S197*1000*$B$2)</f>
        <v>9.2661670261016318E-3</v>
      </c>
      <c r="Z197" s="927">
        <f t="shared" ref="Z197:Z212" si="125">ABS((J197)*S197*1000*$B$2)</f>
        <v>1.071177473165234E-2</v>
      </c>
      <c r="AA197" s="866"/>
      <c r="AB197" s="66" t="s">
        <v>393</v>
      </c>
      <c r="AC197" s="66" t="str">
        <f t="shared" si="121"/>
        <v>WH_Det-C_OILLPG_X0</v>
      </c>
      <c r="AD197" s="83" t="str">
        <f t="shared" si="121"/>
        <v>Residential Water Heating Detached-C_LPG to Residential_Existing 00</v>
      </c>
      <c r="AE197" s="66" t="s">
        <v>53</v>
      </c>
      <c r="AF197" s="88" t="s">
        <v>406</v>
      </c>
      <c r="AG197" s="66"/>
      <c r="AH197" s="66"/>
      <c r="AI197" s="840"/>
      <c r="AJ197" s="840"/>
      <c r="AK197" s="840"/>
      <c r="AL197" s="840"/>
      <c r="AM197" s="840"/>
      <c r="AN197" s="840"/>
      <c r="AO197" s="840"/>
    </row>
    <row r="198" spans="1:41">
      <c r="A198" s="972" t="s">
        <v>116</v>
      </c>
      <c r="B198" s="757" t="s">
        <v>228</v>
      </c>
      <c r="C198" s="757">
        <f>SUMIFS(INDEX(Table91517[],,MATCH(C$144,Table91517[#Headers],0)),Table91517[MainWaterHeatingFuel],$B198,Table91517[EnergyRating (group)],$A198)</f>
        <v>7200767</v>
      </c>
      <c r="D198" s="757">
        <f>SUMIFS(INDEX(Table91517[],,MATCH(D$144,Table91517[#Headers],0)),Table91517[MainWaterHeatingFuel],$B198,Table91517[EnergyRating (group)],$A198)</f>
        <v>2666949</v>
      </c>
      <c r="E198" s="757">
        <f>SUMIFS(INDEX(Table91517[],,MATCH(E$144,Table91517[#Headers],0)),Table91517[MainWaterHeatingFuel],$B198,Table91517[EnergyRating (group)],$A198)</f>
        <v>28886</v>
      </c>
      <c r="F198" s="757">
        <f>SUMIFS(INDEX(Table91517[],,MATCH(F$144,Table91517[#Headers],0)),Table91517[MainWaterHeatingFuel],$B198,Table91517[EnergyRating (group)],$A198)</f>
        <v>10698</v>
      </c>
      <c r="G198" s="757">
        <f>SUMIFS(INDEX(Table91517[],,MATCH(G$144,Table91517[#Headers],0)),Table91517[MainWaterHeatingFuel],$B198,Table91517[EnergyRating (group)],$A198)</f>
        <v>910</v>
      </c>
      <c r="H198" s="757">
        <f>SUMIFS(INDEX(Table91517[],,MATCH(H$144,Table91517[#Headers],0)),Table91517[MainWaterHeatingFuel],$B198,Table91517[EnergyRating (group)],$A198)</f>
        <v>171709</v>
      </c>
      <c r="I198" s="961"/>
      <c r="J198" s="978">
        <f t="shared" si="120"/>
        <v>7229653</v>
      </c>
      <c r="K198" s="979">
        <f t="shared" si="120"/>
        <v>2677647</v>
      </c>
      <c r="L198" s="840"/>
      <c r="M198" s="840"/>
      <c r="N198" s="66" t="str">
        <f>RSD_Commodities!$M$85&amp;"_"&amp;RIGHT(P198,LEN(P198)-3)&amp;"_"&amp;SETUP!$B$67</f>
        <v>WH_Det-C_ELCD_X0</v>
      </c>
      <c r="O198" s="66" t="str">
        <f>RSD_Commodities!$N76&amp;"_"&amp;RSD_Commodities!D27&amp;"_"&amp;SETUP!$C$67</f>
        <v>Residential Water Heating Attached-C_Electricity to Residential_Existing 00</v>
      </c>
      <c r="P198" s="83" t="str">
        <f>RSD_Commodities!$C$27</f>
        <v>RSDELCD</v>
      </c>
      <c r="Q198" s="66" t="str">
        <f>RSD_Commodities!$M$85</f>
        <v>WH_Det-C</v>
      </c>
      <c r="R198" s="985">
        <f t="shared" si="122"/>
        <v>9.3038472942162786E-3</v>
      </c>
      <c r="S198" s="66">
        <f>R198*DwellingStocks!$I$66/1000</f>
        <v>0.66210249935805221</v>
      </c>
      <c r="T198" s="83">
        <v>1</v>
      </c>
      <c r="U198" s="987">
        <f t="shared" si="123"/>
        <v>0.37037005787138055</v>
      </c>
      <c r="V198" s="83">
        <v>20</v>
      </c>
      <c r="W198" s="66">
        <v>1</v>
      </c>
      <c r="X198" s="866"/>
      <c r="Y198" s="928">
        <f t="shared" si="124"/>
        <v>7.2857949497202358E-4</v>
      </c>
      <c r="Z198" s="929">
        <f t="shared" si="125"/>
        <v>1.9671662962156607E-3</v>
      </c>
      <c r="AA198" s="866"/>
      <c r="AB198" s="914" t="s">
        <v>393</v>
      </c>
      <c r="AC198" s="914" t="str">
        <f t="shared" si="121"/>
        <v>WH_Det-C_ELCD_X0</v>
      </c>
      <c r="AD198" s="915" t="str">
        <f t="shared" si="121"/>
        <v>Residential Water Heating Attached-C_Electricity to Residential_Existing 00</v>
      </c>
      <c r="AE198" s="914" t="s">
        <v>53</v>
      </c>
      <c r="AF198" s="916" t="s">
        <v>406</v>
      </c>
      <c r="AG198" s="914"/>
      <c r="AH198" s="914"/>
      <c r="AI198" s="840"/>
      <c r="AJ198" s="840"/>
      <c r="AK198" s="840"/>
      <c r="AL198" s="840"/>
      <c r="AM198" s="840"/>
      <c r="AN198" s="840"/>
      <c r="AO198" s="840"/>
    </row>
    <row r="199" spans="1:41">
      <c r="A199" s="973" t="s">
        <v>116</v>
      </c>
      <c r="B199" s="758" t="s">
        <v>583</v>
      </c>
      <c r="C199" s="758">
        <f>SUMIFS(INDEX(Table91517[],,MATCH(C$144,Table91517[#Headers],0)),Table91517[MainWaterHeatingFuel],$B199,Table91517[EnergyRating (group)],$A199)</f>
        <v>404619972</v>
      </c>
      <c r="D199" s="758">
        <f>SUMIFS(INDEX(Table91517[],,MATCH(D$144,Table91517[#Headers],0)),Table91517[MainWaterHeatingFuel],$B199,Table91517[EnergyRating (group)],$A199)</f>
        <v>367836333</v>
      </c>
      <c r="E199" s="759">
        <f>SUMIFS(INDEX(Table91517[],,MATCH(E$144,Table91517[#Headers],0)),Table91517[MainWaterHeatingFuel],$B199,Table91517[EnergyRating (group)],$A199)</f>
        <v>80218989</v>
      </c>
      <c r="F199" s="759">
        <f>SUMIFS(INDEX(Table91517[],,MATCH(F$144,Table91517[#Headers],0)),Table91517[MainWaterHeatingFuel],$B199,Table91517[EnergyRating (group)],$A199)</f>
        <v>29710739</v>
      </c>
      <c r="G199" s="758">
        <f>SUMIFS(INDEX(Table91517[],,MATCH(G$144,Table91517[#Headers],0)),Table91517[MainWaterHeatingFuel],$B199,Table91517[EnergyRating (group)],$A199)</f>
        <v>73926</v>
      </c>
      <c r="H199" s="758">
        <f>SUMIFS(INDEX(Table91517[],,MATCH(H$144,Table91517[#Headers],0)),Table91517[MainWaterHeatingFuel],$B199,Table91517[EnergyRating (group)],$A199)</f>
        <v>12208701</v>
      </c>
      <c r="I199" s="960"/>
      <c r="J199" s="980">
        <f t="shared" si="120"/>
        <v>484838961</v>
      </c>
      <c r="K199" s="981">
        <f t="shared" si="120"/>
        <v>397547072</v>
      </c>
      <c r="L199" s="840"/>
      <c r="M199" s="840"/>
      <c r="N199" s="914" t="str">
        <f>RSD_Commodities!$M$85&amp;"_"&amp;RIGHT(P199,LEN(P199)-3)&amp;"_"&amp;SETUP!$B$67</f>
        <v>WH_Det-C_OILKER_X0</v>
      </c>
      <c r="O199" s="914" t="str">
        <f>RSD_Commodities!$N$85&amp;"_"&amp;RSD_Commodities!D13&amp;"_"&amp;SETUP!$C$67</f>
        <v>Residential Water Heating Detached-C_Kerosene to Residential_Existing 00</v>
      </c>
      <c r="P199" s="915" t="str">
        <f>RSD_Commodities!$C$13</f>
        <v>RSDOILKER</v>
      </c>
      <c r="Q199" s="914" t="str">
        <f>RSD_Commodities!$M$85</f>
        <v>WH_Det-C</v>
      </c>
      <c r="R199" s="984">
        <f t="shared" si="122"/>
        <v>0.75582001656289299</v>
      </c>
      <c r="S199" s="914">
        <f>R199*DwellingStocks!$I$66/1000</f>
        <v>53.787460843454255</v>
      </c>
      <c r="T199" s="915">
        <v>1</v>
      </c>
      <c r="U199" s="986">
        <f t="shared" si="123"/>
        <v>0.81995694236297156</v>
      </c>
      <c r="V199" s="915">
        <v>20</v>
      </c>
      <c r="W199" s="914">
        <v>1</v>
      </c>
      <c r="X199" s="866"/>
      <c r="Y199" s="926">
        <f t="shared" si="124"/>
        <v>8.7875537953273533</v>
      </c>
      <c r="Z199" s="927">
        <f t="shared" si="125"/>
        <v>10.717091765822691</v>
      </c>
      <c r="AA199" s="866"/>
      <c r="AB199" s="66" t="s">
        <v>393</v>
      </c>
      <c r="AC199" s="66" t="str">
        <f t="shared" si="121"/>
        <v>WH_Det-C_OILKER_X0</v>
      </c>
      <c r="AD199" s="83" t="str">
        <f t="shared" si="121"/>
        <v>Residential Water Heating Detached-C_Kerosene to Residential_Existing 00</v>
      </c>
      <c r="AE199" s="66" t="s">
        <v>53</v>
      </c>
      <c r="AF199" s="88" t="s">
        <v>406</v>
      </c>
      <c r="AG199" s="66"/>
      <c r="AH199" s="66"/>
      <c r="AI199" s="840"/>
      <c r="AJ199" s="840"/>
      <c r="AK199" s="840"/>
      <c r="AL199" s="840"/>
      <c r="AM199" s="840"/>
      <c r="AN199" s="840"/>
      <c r="AO199" s="840"/>
    </row>
    <row r="200" spans="1:41">
      <c r="A200" s="972" t="s">
        <v>116</v>
      </c>
      <c r="B200" s="757" t="s">
        <v>584</v>
      </c>
      <c r="C200" s="757">
        <f>SUMIFS(INDEX(Table91517[],,MATCH(C$144,Table91517[#Headers],0)),Table91517[MainWaterHeatingFuel],$B200,Table91517[EnergyRating (group)],$A200)</f>
        <v>103915020</v>
      </c>
      <c r="D200" s="757">
        <f>SUMIFS(INDEX(Table91517[],,MATCH(D$144,Table91517[#Headers],0)),Table91517[MainWaterHeatingFuel],$B200,Table91517[EnergyRating (group)],$A200)</f>
        <v>94468200</v>
      </c>
      <c r="E200" s="760">
        <f>SUMIFS(INDEX(Table91517[],,MATCH(E$144,Table91517[#Headers],0)),Table91517[MainWaterHeatingFuel],$B200,Table91517[EnergyRating (group)],$A200)</f>
        <v>10548609</v>
      </c>
      <c r="F200" s="760">
        <f>SUMIFS(INDEX(Table91517[],,MATCH(F$144,Table91517[#Headers],0)),Table91517[MainWaterHeatingFuel],$B200,Table91517[EnergyRating (group)],$A200)</f>
        <v>3906893</v>
      </c>
      <c r="G200" s="757">
        <f>SUMIFS(INDEX(Table91517[],,MATCH(G$144,Table91517[#Headers],0)),Table91517[MainWaterHeatingFuel],$B200,Table91517[EnergyRating (group)],$A200)</f>
        <v>19350</v>
      </c>
      <c r="H200" s="757">
        <f>SUMIFS(INDEX(Table91517[],,MATCH(H$144,Table91517[#Headers],0)),Table91517[MainWaterHeatingFuel],$B200,Table91517[EnergyRating (group)],$A200)</f>
        <v>2971938</v>
      </c>
      <c r="I200" s="959"/>
      <c r="J200" s="978">
        <f t="shared" si="120"/>
        <v>114463629</v>
      </c>
      <c r="K200" s="979">
        <f t="shared" si="120"/>
        <v>98375093</v>
      </c>
      <c r="L200" s="840"/>
      <c r="M200" s="840"/>
      <c r="N200" s="66" t="str">
        <f>RSD_Commodities!$M$85&amp;"_"&amp;RIGHT(P200,LEN(P200)-3)&amp;"_"&amp;SETUP!$B$67</f>
        <v>WH_Det-C_GASNAT_X0</v>
      </c>
      <c r="O200" s="66" t="str">
        <f>RSD_Commodities!$N$85&amp;"_"&amp;RSD_Commodities!D17&amp;"_"&amp;SETUP!$C$67</f>
        <v>Residential Water Heating Detached-C_Natural Gas to Residential_Existing 00</v>
      </c>
      <c r="P200" s="83" t="str">
        <f>RSD_Commodities!$C$17</f>
        <v>RSDGASNAT</v>
      </c>
      <c r="Q200" s="66" t="str">
        <f>RSD_Commodities!$M$85</f>
        <v>WH_Det-C</v>
      </c>
      <c r="R200" s="985">
        <f t="shared" si="122"/>
        <v>0.1978345551022912</v>
      </c>
      <c r="S200" s="66">
        <f>R200*DwellingStocks!$I$66/1000</f>
        <v>14.078772925910231</v>
      </c>
      <c r="T200" s="83">
        <v>1</v>
      </c>
      <c r="U200" s="987">
        <f t="shared" si="123"/>
        <v>0.85944412089188615</v>
      </c>
      <c r="V200" s="83">
        <v>20</v>
      </c>
      <c r="W200" s="66">
        <v>1</v>
      </c>
      <c r="X200" s="866"/>
      <c r="Y200" s="928">
        <f t="shared" si="124"/>
        <v>0.56917832708724714</v>
      </c>
      <c r="Z200" s="929">
        <f t="shared" si="125"/>
        <v>0.66226333190409592</v>
      </c>
      <c r="AA200" s="866"/>
      <c r="AB200" s="914" t="s">
        <v>393</v>
      </c>
      <c r="AC200" s="914" t="str">
        <f t="shared" si="121"/>
        <v>WH_Det-C_GASNAT_X0</v>
      </c>
      <c r="AD200" s="915" t="str">
        <f t="shared" si="121"/>
        <v>Residential Water Heating Detached-C_Natural Gas to Residential_Existing 00</v>
      </c>
      <c r="AE200" s="914" t="s">
        <v>53</v>
      </c>
      <c r="AF200" s="916" t="s">
        <v>406</v>
      </c>
      <c r="AG200" s="914"/>
      <c r="AH200" s="914"/>
      <c r="AI200" s="840"/>
      <c r="AJ200" s="840"/>
      <c r="AK200" s="840"/>
      <c r="AL200" s="840"/>
      <c r="AM200" s="840"/>
      <c r="AN200" s="840"/>
      <c r="AO200" s="840"/>
    </row>
    <row r="201" spans="1:41">
      <c r="A201" s="973" t="s">
        <v>116</v>
      </c>
      <c r="B201" s="994" t="s">
        <v>585</v>
      </c>
      <c r="C201" s="758">
        <f>SUMIFS(INDEX(Table91517[],,MATCH(C$144,Table91517[#Headers],0)),Table91517[MainWaterHeatingFuel],$B201,Table91517[EnergyRating (group)],$A201)</f>
        <v>2149687</v>
      </c>
      <c r="D201" s="758">
        <f>SUMIFS(INDEX(Table91517[],,MATCH(D$144,Table91517[#Headers],0)),Table91517[MainWaterHeatingFuel],$B201,Table91517[EnergyRating (group)],$A201)</f>
        <v>1954262</v>
      </c>
      <c r="E201" s="758">
        <f>SUMIFS(INDEX(Table91517[],,MATCH(E$144,Table91517[#Headers],0)),Table91517[MainWaterHeatingFuel],$B201,Table91517[EnergyRating (group)],$A201)</f>
        <v>200729</v>
      </c>
      <c r="F201" s="758">
        <f>SUMIFS(INDEX(Table91517[],,MATCH(F$144,Table91517[#Headers],0)),Table91517[MainWaterHeatingFuel],$B201,Table91517[EnergyRating (group)],$A201)</f>
        <v>74344</v>
      </c>
      <c r="G201" s="758">
        <f>SUMIFS(INDEX(Table91517[],,MATCH(G$144,Table91517[#Headers],0)),Table91517[MainWaterHeatingFuel],$B201,Table91517[EnergyRating (group)],$A201)</f>
        <v>347</v>
      </c>
      <c r="H201" s="758">
        <f>SUMIFS(INDEX(Table91517[],,MATCH(H$144,Table91517[#Headers],0)),Table91517[MainWaterHeatingFuel],$B201,Table91517[EnergyRating (group)],$A201)</f>
        <v>72214</v>
      </c>
      <c r="I201" s="960"/>
      <c r="J201" s="980">
        <f t="shared" si="120"/>
        <v>2350416</v>
      </c>
      <c r="K201" s="981">
        <f t="shared" si="120"/>
        <v>2028606</v>
      </c>
      <c r="L201" s="840"/>
      <c r="M201" s="840"/>
      <c r="N201" s="914" t="str">
        <f>RSD_Commodities!$M$85&amp;"_"&amp;RIGHT(P201,LEN(P201)-3)&amp;"_"&amp;SETUP!$B$67</f>
        <v>WH_Det-C_BIOWOO_X0</v>
      </c>
      <c r="O201" s="914" t="str">
        <f>RSD_Commodities!$N$85&amp;"_"&amp;RSD_Commodities!D19&amp;"_"&amp;SETUP!$C$67</f>
        <v>Residential Water Heating Detached-C_Biomass &amp; Renewable Waste to Residential_Existing 00</v>
      </c>
      <c r="P201" s="915" t="str">
        <f>RSD_Commodities!$C$19</f>
        <v>RSDBIOWOO</v>
      </c>
      <c r="Q201" s="914" t="str">
        <f>RSD_Commodities!$M$85</f>
        <v>WH_Det-C</v>
      </c>
      <c r="R201" s="984">
        <f t="shared" si="122"/>
        <v>3.5477307814209325E-3</v>
      </c>
      <c r="S201" s="914">
        <f>R201*DwellingStocks!$I$66/1000</f>
        <v>0.25247205195301553</v>
      </c>
      <c r="T201" s="915">
        <v>1</v>
      </c>
      <c r="U201" s="986">
        <f t="shared" si="123"/>
        <v>0.86308381154655178</v>
      </c>
      <c r="V201" s="915">
        <v>20</v>
      </c>
      <c r="W201" s="914">
        <v>1</v>
      </c>
      <c r="X201" s="866"/>
      <c r="Y201" s="926">
        <f t="shared" si="124"/>
        <v>2.1047930935241057E-4</v>
      </c>
      <c r="Z201" s="927">
        <f t="shared" si="125"/>
        <v>2.4386891114925991E-4</v>
      </c>
      <c r="AA201" s="866"/>
      <c r="AB201" s="66" t="s">
        <v>393</v>
      </c>
      <c r="AC201" s="66" t="str">
        <f t="shared" si="121"/>
        <v>WH_Det-C_BIOWOO_X0</v>
      </c>
      <c r="AD201" s="83" t="str">
        <f t="shared" si="121"/>
        <v>Residential Water Heating Detached-C_Biomass &amp; Renewable Waste to Residential_Existing 00</v>
      </c>
      <c r="AE201" s="66" t="s">
        <v>53</v>
      </c>
      <c r="AF201" s="88" t="s">
        <v>406</v>
      </c>
      <c r="AG201" s="66"/>
      <c r="AH201" s="66"/>
      <c r="AI201" s="840"/>
      <c r="AJ201" s="840"/>
      <c r="AK201" s="840"/>
      <c r="AL201" s="840"/>
      <c r="AM201" s="840"/>
      <c r="AN201" s="840"/>
      <c r="AO201" s="840"/>
    </row>
    <row r="202" spans="1:41">
      <c r="A202" s="972" t="s">
        <v>116</v>
      </c>
      <c r="B202" s="757" t="s">
        <v>587</v>
      </c>
      <c r="C202" s="757">
        <f>SUMIFS(INDEX(Table91517[],,MATCH(C144,Table91517[#Headers],0)),Table91517[MainWaterHeatingFuel],"",Table91517[EnergyRating (group)],$A202)</f>
        <v>0</v>
      </c>
      <c r="D202" s="757">
        <f>SUMIFS(INDEX(Table91517[],,MATCH(D144,Table91517[#Headers],0)),Table91517[MainWaterHeatingFuel],"",Table91517[EnergyRating (group)],$A202)</f>
        <v>0</v>
      </c>
      <c r="E202" s="760">
        <f>SUMIFS(INDEX(Table91517[],,MATCH(E144,Table91517[#Headers],0)),Table91517[MainWaterHeatingFuel],"",Table91517[EnergyRating (group)],$A202)</f>
        <v>20421</v>
      </c>
      <c r="F202" s="760">
        <f>SUMIFS(INDEX(Table91517[],,MATCH(F144,Table91517[#Headers],0)),Table91517[MainWaterHeatingFuel],"",Table91517[EnergyRating (group)],$A202)</f>
        <v>7563</v>
      </c>
      <c r="G202" s="757">
        <f>SUMIFS(INDEX(Table91517[],,MATCH(G144,Table91517[#Headers],0)),Table91517[MainWaterHeatingFuel],"",Table91517[EnergyRating (group)],$A202)</f>
        <v>34</v>
      </c>
      <c r="H202" s="757">
        <f>SUMIFS(INDEX(Table91517[],,MATCH(H144,Table91517[#Headers],0)),Table91517[MainWaterHeatingFuel],"",Table91517[EnergyRating (group)],$A202)</f>
        <v>7145</v>
      </c>
      <c r="I202" s="959"/>
      <c r="J202" s="998">
        <f>C202+E202</f>
        <v>20421</v>
      </c>
      <c r="K202" s="979">
        <f t="shared" si="120"/>
        <v>7563</v>
      </c>
      <c r="L202" s="840"/>
      <c r="M202" s="840"/>
      <c r="N202" s="66" t="str">
        <f>RSD_Commodities!$M$85&amp;"_"&amp;RIGHT(P202,LEN(P202)-3)&amp;"_"&amp;SETUP!$B$68</f>
        <v>WH_Det-C_HET_X1</v>
      </c>
      <c r="O202" s="66" t="str">
        <f>RSD_Commodities!$N$85&amp;"_"&amp;RSD_Commodities!D28&amp;"_"&amp;SETUP!$C$67</f>
        <v>Residential Water Heating Detached-C_Heat to Residential_Existing 00</v>
      </c>
      <c r="P202" s="83" t="str">
        <f>RSD_Commodities!$C$28</f>
        <v>RSDHET</v>
      </c>
      <c r="Q202" s="66" t="str">
        <f>RSD_Commodities!$M$85</f>
        <v>WH_Det-C</v>
      </c>
      <c r="R202" s="985">
        <f t="shared" si="122"/>
        <v>3.4761627253115766E-4</v>
      </c>
      <c r="S202" s="66">
        <f>R202*DwellingStocks!$I$66/1000</f>
        <v>2.4737895580410743E-2</v>
      </c>
      <c r="T202" s="83">
        <v>1</v>
      </c>
      <c r="U202" s="917">
        <v>1</v>
      </c>
      <c r="V202" s="83">
        <v>20</v>
      </c>
      <c r="W202" s="66">
        <v>1</v>
      </c>
      <c r="X202" s="866"/>
      <c r="Y202" s="928">
        <f t="shared" si="124"/>
        <v>7.688741271560814E-8</v>
      </c>
      <c r="Z202" s="929">
        <f t="shared" si="125"/>
        <v>2.0760516396475392E-7</v>
      </c>
      <c r="AA202" s="866"/>
      <c r="AB202" s="914" t="s">
        <v>393</v>
      </c>
      <c r="AC202" s="914" t="str">
        <f t="shared" si="121"/>
        <v>WH_Det-C_HET_X1</v>
      </c>
      <c r="AD202" s="915" t="str">
        <f t="shared" si="121"/>
        <v>Residential Water Heating Detached-C_Heat to Residential_Existing 00</v>
      </c>
      <c r="AE202" s="914" t="s">
        <v>53</v>
      </c>
      <c r="AF202" s="916" t="s">
        <v>406</v>
      </c>
      <c r="AG202" s="914"/>
      <c r="AH202" s="914"/>
      <c r="AI202" s="840"/>
      <c r="AJ202" s="840"/>
      <c r="AK202" s="840"/>
      <c r="AL202" s="840"/>
      <c r="AM202" s="840"/>
      <c r="AN202" s="840"/>
      <c r="AO202" s="840"/>
    </row>
    <row r="203" spans="1:41">
      <c r="A203" s="973" t="s">
        <v>116</v>
      </c>
      <c r="B203" s="758" t="s">
        <v>664</v>
      </c>
      <c r="C203" s="758">
        <f>SUMIFS(INDEX(Table91517[],,MATCH(C$144,Table91517[#Headers],0)),Table91517[MainWaterHeatingFuel],$B203,Table91517[EnergyRating (group)],$A203)</f>
        <v>1287640</v>
      </c>
      <c r="D203" s="758">
        <f>SUMIFS(INDEX(Table91517[],,MATCH(D$144,Table91517[#Headers],0)),Table91517[MainWaterHeatingFuel],$B203,Table91517[EnergyRating (group)],$A203)</f>
        <v>1170580</v>
      </c>
      <c r="E203" s="758">
        <f>SUMIFS(INDEX(Table91517[],,MATCH(E$144,Table91517[#Headers],0)),Table91517[MainWaterHeatingFuel],$B203,Table91517[EnergyRating (group)],$A203)</f>
        <v>140388</v>
      </c>
      <c r="F203" s="758">
        <f>SUMIFS(INDEX(Table91517[],,MATCH(F$144,Table91517[#Headers],0)),Table91517[MainWaterHeatingFuel],$B203,Table91517[EnergyRating (group)],$A203)</f>
        <v>51995</v>
      </c>
      <c r="G203" s="758">
        <f>SUMIFS(INDEX(Table91517[],,MATCH(G$144,Table91517[#Headers],0)),Table91517[MainWaterHeatingFuel],$B203,Table91517[EnergyRating (group)],$A203)</f>
        <v>232</v>
      </c>
      <c r="H203" s="758">
        <f>SUMIFS(INDEX(Table91517[],,MATCH(H$144,Table91517[#Headers],0)),Table91517[MainWaterHeatingFuel],$B203,Table91517[EnergyRating (group)],$A203)</f>
        <v>37338</v>
      </c>
      <c r="I203" s="960"/>
      <c r="J203" s="980">
        <f>C203+E203</f>
        <v>1428028</v>
      </c>
      <c r="K203" s="981">
        <f>D203+F203</f>
        <v>1222575</v>
      </c>
      <c r="L203" s="840"/>
      <c r="M203" s="840"/>
      <c r="N203" s="914" t="str">
        <f>RSD_Commodities!$M$85&amp;"_"&amp;RIGHT(P203,LEN(P203)-3)&amp;"_"&amp;SETUP!$B$68</f>
        <v>WH_Det-C_OILLPG_X1</v>
      </c>
      <c r="O203" s="914" t="str">
        <f>RSD_Commodities!$N$85&amp;"_"&amp;RSD_Commodities!D11&amp;"_"&amp;SETUP!$C$68</f>
        <v>Residential Water Heating Detached-C_LPG to Residential_Existing 01</v>
      </c>
      <c r="P203" s="915" t="str">
        <f>RSD_Commodities!$C$11</f>
        <v>RSDOILLPG</v>
      </c>
      <c r="Q203" s="914" t="str">
        <f>RSD_Commodities!$M$85</f>
        <v>WH_Det-C</v>
      </c>
      <c r="R203" s="984">
        <f t="shared" si="122"/>
        <v>2.3719698596243698E-3</v>
      </c>
      <c r="S203" s="914">
        <f>R203*DwellingStocks!$I$66/1000</f>
        <v>0.16879975807809683</v>
      </c>
      <c r="T203" s="915">
        <v>1</v>
      </c>
      <c r="U203" s="986">
        <f t="shared" si="123"/>
        <v>0.8561281711563079</v>
      </c>
      <c r="V203" s="915">
        <v>20</v>
      </c>
      <c r="W203" s="914">
        <v>1</v>
      </c>
      <c r="X203" s="866"/>
      <c r="Y203" s="926">
        <f t="shared" si="124"/>
        <v>8.4809738725614772E-5</v>
      </c>
      <c r="Z203" s="927">
        <f t="shared" si="125"/>
        <v>9.9061964765239112E-5</v>
      </c>
      <c r="AA203" s="866"/>
      <c r="AB203" s="66" t="s">
        <v>393</v>
      </c>
      <c r="AC203" s="66" t="str">
        <f t="shared" si="121"/>
        <v>WH_Det-C_OILLPG_X1</v>
      </c>
      <c r="AD203" s="83" t="str">
        <f t="shared" si="121"/>
        <v>Residential Water Heating Detached-C_LPG to Residential_Existing 01</v>
      </c>
      <c r="AE203" s="66" t="s">
        <v>53</v>
      </c>
      <c r="AF203" s="88" t="s">
        <v>406</v>
      </c>
      <c r="AG203" s="66"/>
      <c r="AH203" s="66"/>
      <c r="AI203" s="840"/>
      <c r="AJ203" s="840"/>
      <c r="AK203" s="840"/>
      <c r="AL203" s="840"/>
      <c r="AM203" s="840"/>
      <c r="AN203" s="840"/>
      <c r="AO203" s="840"/>
    </row>
    <row r="204" spans="1:41">
      <c r="A204" s="972" t="s">
        <v>116</v>
      </c>
      <c r="B204" s="757" t="s">
        <v>665</v>
      </c>
      <c r="C204" s="757">
        <f>SUMIFS(INDEX(Table91517[],,MATCH(C$144,Table91517[#Headers],0)),Table91517[MainWaterHeatingFuel],$B204,Table91517[EnergyRating (group)],$A204)</f>
        <v>1842429</v>
      </c>
      <c r="D204" s="757">
        <f>SUMIFS(INDEX(Table91517[],,MATCH(D$144,Table91517[#Headers],0)),Table91517[MainWaterHeatingFuel],$B204,Table91517[EnergyRating (group)],$A204)</f>
        <v>1674937</v>
      </c>
      <c r="E204" s="757">
        <f>SUMIFS(INDEX(Table91517[],,MATCH(E$144,Table91517[#Headers],0)),Table91517[MainWaterHeatingFuel],$B204,Table91517[EnergyRating (group)],$A204)</f>
        <v>594563</v>
      </c>
      <c r="F204" s="757">
        <f>SUMIFS(INDEX(Table91517[],,MATCH(F$144,Table91517[#Headers],0)),Table91517[MainWaterHeatingFuel],$B204,Table91517[EnergyRating (group)],$A204)</f>
        <v>220211</v>
      </c>
      <c r="G204" s="757">
        <f>SUMIFS(INDEX(Table91517[],,MATCH(G$144,Table91517[#Headers],0)),Table91517[MainWaterHeatingFuel],$B204,Table91517[EnergyRating (group)],$A204)</f>
        <v>313</v>
      </c>
      <c r="H204" s="757">
        <f>SUMIFS(INDEX(Table91517[],,MATCH(H$144,Table91517[#Headers],0)),Table91517[MainWaterHeatingFuel],$B204,Table91517[EnergyRating (group)],$A204)</f>
        <v>54757</v>
      </c>
      <c r="I204" s="961"/>
      <c r="J204" s="978">
        <f t="shared" ref="J204:K212" si="126">C204+E204</f>
        <v>2436992</v>
      </c>
      <c r="K204" s="979">
        <f t="shared" si="126"/>
        <v>1895148</v>
      </c>
      <c r="L204" s="840"/>
      <c r="M204" s="840"/>
      <c r="N204" s="66" t="str">
        <f>RSD_Commodities!$M$85&amp;"_"&amp;RSD_Commodities!$C$26&amp;"_"&amp;SETUP!$B$67</f>
        <v>WH_Det-C_RSDSMF_X0</v>
      </c>
      <c r="O204" s="66" t="str">
        <f>RSD_Commodities!$N$85&amp;"_"&amp;RSD_Commodities!$D$26&amp;"_"&amp;SETUP!$C$67</f>
        <v>Residential Water Heating Detached-C_Solid Multi-Fuel_Existing 00</v>
      </c>
      <c r="P204" s="83" t="str">
        <f>RSD_Commodities!$C$6&amp;","&amp;RSD_Commodities!$C$7&amp;","&amp;RSD_Commodities!$C$9&amp;","&amp;RSD_Commodities!$C$10&amp;","&amp;RSD_Commodities!$C$19</f>
        <v>RSDCOABIT,RSDCOAHAR,RSDCOALIG,RSDPEA,RSDBIOWOO</v>
      </c>
      <c r="Q204" s="66" t="str">
        <f>RSD_Commodities!$M$85</f>
        <v>WH_Det-C</v>
      </c>
      <c r="R204" s="985">
        <f t="shared" si="122"/>
        <v>3.2001145088897749E-3</v>
      </c>
      <c r="S204" s="66">
        <f>R204*DwellingStocks!$I$66/1000</f>
        <v>0.22773415637260477</v>
      </c>
      <c r="T204" s="83">
        <v>1</v>
      </c>
      <c r="U204" s="987">
        <f t="shared" si="123"/>
        <v>0.77765868743106259</v>
      </c>
      <c r="V204" s="83">
        <v>20</v>
      </c>
      <c r="W204" s="66">
        <v>1</v>
      </c>
      <c r="X204" s="840"/>
      <c r="Y204" s="928">
        <f t="shared" si="124"/>
        <v>1.7736572506077915E-4</v>
      </c>
      <c r="Z204" s="929">
        <f t="shared" si="125"/>
        <v>2.2807656871511793E-4</v>
      </c>
      <c r="AA204" s="840"/>
      <c r="AB204" s="914" t="s">
        <v>393</v>
      </c>
      <c r="AC204" s="914" t="str">
        <f t="shared" si="121"/>
        <v>WH_Det-C_RSDSMF_X0</v>
      </c>
      <c r="AD204" s="915" t="str">
        <f t="shared" si="121"/>
        <v>Residential Water Heating Detached-C_Solid Multi-Fuel_Existing 00</v>
      </c>
      <c r="AE204" s="914" t="s">
        <v>53</v>
      </c>
      <c r="AF204" s="916" t="s">
        <v>406</v>
      </c>
      <c r="AG204" s="914"/>
      <c r="AH204" s="914"/>
      <c r="AI204" s="840"/>
      <c r="AJ204" s="840"/>
      <c r="AK204" s="840"/>
      <c r="AL204" s="840"/>
      <c r="AM204" s="840"/>
      <c r="AN204" s="840"/>
      <c r="AO204" s="840"/>
    </row>
    <row r="205" spans="1:41">
      <c r="A205" s="973" t="s">
        <v>116</v>
      </c>
      <c r="B205" s="758" t="s">
        <v>669</v>
      </c>
      <c r="C205" s="758">
        <f>SUMIFS(INDEX(Table91517[],,MATCH(C$144,Table91517[#Headers],0)),Table91517[MainWaterHeatingFuel],$B205,Table91517[EnergyRating (group)],$A205)</f>
        <v>103560</v>
      </c>
      <c r="D205" s="758">
        <f>SUMIFS(INDEX(Table91517[],,MATCH(D$144,Table91517[#Headers],0)),Table91517[MainWaterHeatingFuel],$B205,Table91517[EnergyRating (group)],$A205)</f>
        <v>86300</v>
      </c>
      <c r="E205" s="759">
        <f>SUMIFS(INDEX(Table91517[],,MATCH(E$144,Table91517[#Headers],0)),Table91517[MainWaterHeatingFuel],$B205,Table91517[EnergyRating (group)],$A205)</f>
        <v>31077</v>
      </c>
      <c r="F205" s="759">
        <f>SUMIFS(INDEX(Table91517[],,MATCH(F$144,Table91517[#Headers],0)),Table91517[MainWaterHeatingFuel],$B205,Table91517[EnergyRating (group)],$A205)</f>
        <v>11509</v>
      </c>
      <c r="G205" s="758">
        <f>SUMIFS(INDEX(Table91517[],,MATCH(G$144,Table91517[#Headers],0)),Table91517[MainWaterHeatingFuel],$B205,Table91517[EnergyRating (group)],$A205)</f>
        <v>16</v>
      </c>
      <c r="H205" s="758">
        <f>SUMIFS(INDEX(Table91517[],,MATCH(H$144,Table91517[#Headers],0)),Table91517[MainWaterHeatingFuel],$B205,Table91517[EnergyRating (group)],$A205)</f>
        <v>3357</v>
      </c>
      <c r="I205" s="960"/>
      <c r="J205" s="980">
        <f t="shared" si="126"/>
        <v>134637</v>
      </c>
      <c r="K205" s="981">
        <f t="shared" si="126"/>
        <v>97809</v>
      </c>
      <c r="L205" s="840"/>
      <c r="M205" s="840"/>
      <c r="N205" s="914" t="str">
        <f>RSD_Commodities!$M$85&amp;"_"&amp;RIGHT(P205,LEN(P205)-3)&amp;"_"&amp;SETUP!$B$67</f>
        <v>WH_Det-C_COAHAR_X0</v>
      </c>
      <c r="O205" s="914" t="str">
        <f>RSD_Commodities!$N$85&amp;"_"&amp;RSD_Commodities!D7&amp;"_"&amp;SETUP!$C$67</f>
        <v>Residential Water Heating Detached-C_Anthracite + Manufactured Ovoids to Residential_Existing 00</v>
      </c>
      <c r="P205" s="915" t="str">
        <f>RSD_Commodities!$C$7</f>
        <v>RSDCOAHAR</v>
      </c>
      <c r="Q205" s="914" t="str">
        <f>RSD_Commodities!$M$85</f>
        <v>WH_Det-C</v>
      </c>
      <c r="R205" s="984">
        <f t="shared" si="122"/>
        <v>1.6358412824995654E-4</v>
      </c>
      <c r="S205" s="914">
        <f>R205*DwellingStocks!$I$66/1000</f>
        <v>1.1641362626075642E-2</v>
      </c>
      <c r="T205" s="915">
        <v>1</v>
      </c>
      <c r="U205" s="986">
        <f t="shared" si="123"/>
        <v>0.72646449341562869</v>
      </c>
      <c r="V205" s="915">
        <v>20</v>
      </c>
      <c r="W205" s="914">
        <v>1</v>
      </c>
      <c r="X205" s="866"/>
      <c r="Y205" s="926">
        <f t="shared" si="124"/>
        <v>4.6793015223034214E-7</v>
      </c>
      <c r="Z205" s="927">
        <f t="shared" si="125"/>
        <v>6.4411978351518342E-7</v>
      </c>
      <c r="AA205" s="866"/>
      <c r="AB205" s="66" t="s">
        <v>393</v>
      </c>
      <c r="AC205" s="66" t="str">
        <f t="shared" si="121"/>
        <v>WH_Det-C_COAHAR_X0</v>
      </c>
      <c r="AD205" s="83" t="str">
        <f t="shared" si="121"/>
        <v>Residential Water Heating Detached-C_Anthracite + Manufactured Ovoids to Residential_Existing 00</v>
      </c>
      <c r="AE205" s="66" t="s">
        <v>53</v>
      </c>
      <c r="AF205" s="88" t="s">
        <v>406</v>
      </c>
      <c r="AG205" s="66"/>
      <c r="AH205" s="66"/>
      <c r="AI205" s="840"/>
      <c r="AJ205" s="840"/>
      <c r="AK205" s="840"/>
      <c r="AL205" s="840"/>
      <c r="AM205" s="840"/>
      <c r="AN205" s="840"/>
      <c r="AO205" s="840"/>
    </row>
    <row r="206" spans="1:41">
      <c r="A206" s="972" t="s">
        <v>116</v>
      </c>
      <c r="B206" s="757" t="s">
        <v>668</v>
      </c>
      <c r="C206" s="757">
        <f>SUMIFS(INDEX(Table91517[],,MATCH(C$144,Table91517[#Headers],0)),Table91517[MainWaterHeatingFuel],$B206,Table91517[EnergyRating (group)],$A206)</f>
        <v>178305</v>
      </c>
      <c r="D206" s="757">
        <f>SUMIFS(INDEX(Table91517[],,MATCH(D$144,Table91517[#Headers],0)),Table91517[MainWaterHeatingFuel],$B206,Table91517[EnergyRating (group)],$A206)</f>
        <v>162101</v>
      </c>
      <c r="E206" s="760">
        <f>SUMIFS(INDEX(Table91517[],,MATCH(E$144,Table91517[#Headers],0)),Table91517[MainWaterHeatingFuel],$B206,Table91517[EnergyRating (group)],$A206)</f>
        <v>21920</v>
      </c>
      <c r="F206" s="760">
        <f>SUMIFS(INDEX(Table91517[],,MATCH(F$144,Table91517[#Headers],0)),Table91517[MainWaterHeatingFuel],$B206,Table91517[EnergyRating (group)],$A206)</f>
        <v>8119</v>
      </c>
      <c r="G206" s="757">
        <f>SUMIFS(INDEX(Table91517[],,MATCH(G$144,Table91517[#Headers],0)),Table91517[MainWaterHeatingFuel],$B206,Table91517[EnergyRating (group)],$A206)</f>
        <v>33</v>
      </c>
      <c r="H206" s="757">
        <f>SUMIFS(INDEX(Table91517[],,MATCH(H$144,Table91517[#Headers],0)),Table91517[MainWaterHeatingFuel],$B206,Table91517[EnergyRating (group)],$A206)</f>
        <v>5209</v>
      </c>
      <c r="I206" s="959"/>
      <c r="J206" s="978">
        <f t="shared" si="126"/>
        <v>200225</v>
      </c>
      <c r="K206" s="979">
        <f t="shared" si="126"/>
        <v>170220</v>
      </c>
      <c r="L206" s="840"/>
      <c r="M206" s="840"/>
      <c r="N206" s="933" t="str">
        <f>RSD_Commodities!$M$85&amp;"_"&amp;RIGHT(P206,LEN(P206)-3)&amp;"_"&amp;SETUP!$B$69</f>
        <v>WH_Det-C_BIOWOO_X2</v>
      </c>
      <c r="O206" s="933" t="str">
        <f>RSD_Commodities!$N$85&amp;"_"&amp;RSD_Commodities!D19&amp;"_"&amp;SETUP!$C$69</f>
        <v>Residential Water Heating Detached-C_Biomass &amp; Renewable Waste to Residential_Existing 02</v>
      </c>
      <c r="P206" s="934" t="str">
        <f>RSD_Commodities!$C$19</f>
        <v>RSDBIOWOO</v>
      </c>
      <c r="Q206" s="66" t="str">
        <f>RSD_Commodities!$M$85</f>
        <v>WH_Det-C</v>
      </c>
      <c r="R206" s="985">
        <f t="shared" si="122"/>
        <v>3.373922645155354E-4</v>
      </c>
      <c r="S206" s="66">
        <f>R206*DwellingStocks!$I$66/1000</f>
        <v>2.4010310416281017E-2</v>
      </c>
      <c r="T206" s="83">
        <v>1</v>
      </c>
      <c r="U206" s="987">
        <f t="shared" si="123"/>
        <v>0.85014358846297911</v>
      </c>
      <c r="V206" s="83">
        <v>20</v>
      </c>
      <c r="W206" s="66">
        <v>1</v>
      </c>
      <c r="X206" s="866"/>
      <c r="Y206" s="928">
        <f t="shared" si="124"/>
        <v>1.6796034407093242E-6</v>
      </c>
      <c r="Z206" s="929">
        <f t="shared" si="125"/>
        <v>1.9756703026437807E-6</v>
      </c>
      <c r="AA206" s="866"/>
      <c r="AB206" s="914" t="s">
        <v>393</v>
      </c>
      <c r="AC206" s="914" t="str">
        <f t="shared" si="121"/>
        <v>WH_Det-C_BIOWOO_X2</v>
      </c>
      <c r="AD206" s="915" t="str">
        <f t="shared" si="121"/>
        <v>Residential Water Heating Detached-C_Biomass &amp; Renewable Waste to Residential_Existing 02</v>
      </c>
      <c r="AE206" s="914" t="s">
        <v>53</v>
      </c>
      <c r="AF206" s="916" t="s">
        <v>406</v>
      </c>
      <c r="AG206" s="914"/>
      <c r="AH206" s="914"/>
      <c r="AI206" s="840"/>
      <c r="AJ206" s="840"/>
      <c r="AK206" s="840"/>
      <c r="AL206" s="840"/>
      <c r="AM206" s="840"/>
      <c r="AN206" s="840"/>
      <c r="AO206" s="840"/>
    </row>
    <row r="207" spans="1:41">
      <c r="A207" s="973" t="s">
        <v>116</v>
      </c>
      <c r="B207" s="994" t="s">
        <v>671</v>
      </c>
      <c r="C207" s="758">
        <f>SUMIFS(INDEX(Table91517[],,MATCH(C$144,Table91517[#Headers],0)),Table91517[MainWaterHeatingFuel],$B207,Table91517[EnergyRating (group)],$A207)</f>
        <v>137241</v>
      </c>
      <c r="D207" s="758">
        <f>SUMIFS(INDEX(Table91517[],,MATCH(D$144,Table91517[#Headers],0)),Table91517[MainWaterHeatingFuel],$B207,Table91517[EnergyRating (group)],$A207)</f>
        <v>124765</v>
      </c>
      <c r="E207" s="758">
        <f>SUMIFS(INDEX(Table91517[],,MATCH(E$144,Table91517[#Headers],0)),Table91517[MainWaterHeatingFuel],$B207,Table91517[EnergyRating (group)],$A207)</f>
        <v>36254</v>
      </c>
      <c r="F207" s="758">
        <f>SUMIFS(INDEX(Table91517[],,MATCH(F$144,Table91517[#Headers],0)),Table91517[MainWaterHeatingFuel],$B207,Table91517[EnergyRating (group)],$A207)</f>
        <v>13427</v>
      </c>
      <c r="G207" s="758">
        <f>SUMIFS(INDEX(Table91517[],,MATCH(G$144,Table91517[#Headers],0)),Table91517[MainWaterHeatingFuel],$B207,Table91517[EnergyRating (group)],$A207)</f>
        <v>19</v>
      </c>
      <c r="H207" s="758">
        <f>SUMIFS(INDEX(Table91517[],,MATCH(H$144,Table91517[#Headers],0)),Table91517[MainWaterHeatingFuel],$B207,Table91517[EnergyRating (group)],$A207)</f>
        <v>4150</v>
      </c>
      <c r="I207" s="960"/>
      <c r="J207" s="980">
        <f t="shared" si="126"/>
        <v>173495</v>
      </c>
      <c r="K207" s="981">
        <f t="shared" si="126"/>
        <v>138192</v>
      </c>
      <c r="L207" s="840"/>
      <c r="M207" s="840"/>
      <c r="N207" s="914" t="str">
        <f>RSD_Commodities!$M$85&amp;"_"&amp;RIGHT(P207,LEN(P207)-3)&amp;"_"&amp;SETUP!$B$67</f>
        <v>WH_Det-C_PEA_X0</v>
      </c>
      <c r="O207" s="914" t="str">
        <f>RSD_Commodities!$N$85&amp;"_"&amp;RSD_Commodities!$D$10&amp;"_"&amp;SETUP!$C$67</f>
        <v>Residential Water Heating Detached-C_Peat to Residential_Existing 00</v>
      </c>
      <c r="P207" s="915" t="str">
        <f>RSD_Commodities!$C$10</f>
        <v>RSDPEA</v>
      </c>
      <c r="Q207" s="914" t="str">
        <f>RSD_Commodities!$M$85</f>
        <v>WH_Det-C</v>
      </c>
      <c r="R207" s="984">
        <f t="shared" si="122"/>
        <v>1.9425615229682339E-4</v>
      </c>
      <c r="S207" s="914">
        <f>R207*DwellingStocks!$I$66/1000</f>
        <v>1.3824118118464826E-2</v>
      </c>
      <c r="T207" s="915">
        <v>1</v>
      </c>
      <c r="U207" s="986">
        <f t="shared" si="123"/>
        <v>0.79651863166085479</v>
      </c>
      <c r="V207" s="915">
        <v>20</v>
      </c>
      <c r="W207" s="914">
        <v>1</v>
      </c>
      <c r="X207" s="866"/>
      <c r="Y207" s="926">
        <f t="shared" si="124"/>
        <v>7.8508871138091435E-7</v>
      </c>
      <c r="Z207" s="927">
        <f t="shared" si="125"/>
        <v>9.8565015327248845E-7</v>
      </c>
      <c r="AA207" s="866"/>
      <c r="AB207" s="66" t="s">
        <v>393</v>
      </c>
      <c r="AC207" s="66" t="str">
        <f t="shared" si="121"/>
        <v>WH_Det-C_PEA_X0</v>
      </c>
      <c r="AD207" s="83" t="str">
        <f t="shared" si="121"/>
        <v>Residential Water Heating Detached-C_Peat to Residential_Existing 00</v>
      </c>
      <c r="AE207" s="66" t="s">
        <v>53</v>
      </c>
      <c r="AF207" s="88" t="s">
        <v>406</v>
      </c>
      <c r="AG207" s="66"/>
      <c r="AH207" s="66"/>
      <c r="AI207" s="840"/>
      <c r="AJ207" s="840"/>
      <c r="AK207" s="840"/>
      <c r="AL207" s="840"/>
      <c r="AM207" s="840"/>
      <c r="AN207" s="840"/>
      <c r="AO207" s="840"/>
    </row>
    <row r="208" spans="1:41">
      <c r="A208" s="972" t="s">
        <v>116</v>
      </c>
      <c r="B208" s="757" t="s">
        <v>667</v>
      </c>
      <c r="C208" s="757">
        <f>SUMIFS(INDEX(Table91517[],,MATCH(C$144,Table91517[#Headers],0)),Table91517[MainWaterHeatingFuel],$B208,Table91517[EnergyRating (group)],$A208)</f>
        <v>23025</v>
      </c>
      <c r="D208" s="757">
        <f>SUMIFS(INDEX(Table91517[],,MATCH(D$144,Table91517[#Headers],0)),Table91517[MainWaterHeatingFuel],$B208,Table91517[EnergyRating (group)],$A208)</f>
        <v>20932</v>
      </c>
      <c r="E208" s="760">
        <f>SUMIFS(INDEX(Table91517[],,MATCH(E$144,Table91517[#Headers],0)),Table91517[MainWaterHeatingFuel],$B208,Table91517[EnergyRating (group)],$A208)</f>
        <v>11897</v>
      </c>
      <c r="F208" s="760">
        <f>SUMIFS(INDEX(Table91517[],,MATCH(F$144,Table91517[#Headers],0)),Table91517[MainWaterHeatingFuel],$B208,Table91517[EnergyRating (group)],$A208)</f>
        <v>4406</v>
      </c>
      <c r="G208" s="757">
        <f>SUMIFS(INDEX(Table91517[],,MATCH(G$144,Table91517[#Headers],0)),Table91517[MainWaterHeatingFuel],$B208,Table91517[EnergyRating (group)],$A208)</f>
        <v>5</v>
      </c>
      <c r="H208" s="757">
        <f>SUMIFS(INDEX(Table91517[],,MATCH(H$144,Table91517[#Headers],0)),Table91517[MainWaterHeatingFuel],$B208,Table91517[EnergyRating (group)],$A208)</f>
        <v>849</v>
      </c>
      <c r="I208" s="959"/>
      <c r="J208" s="978">
        <f t="shared" si="126"/>
        <v>34922</v>
      </c>
      <c r="K208" s="979">
        <f t="shared" si="126"/>
        <v>25338</v>
      </c>
      <c r="L208" s="840"/>
      <c r="M208" s="840"/>
      <c r="N208" s="66" t="str">
        <f>RSD_Commodities!$M$85&amp;"_"&amp;RIGHT(P208,LEN(P208)-3)&amp;"_"&amp;SETUP!$B$68</f>
        <v>WH_Det-C_PEA_X1</v>
      </c>
      <c r="O208" s="66" t="str">
        <f>RSD_Commodities!$N$85&amp;"_"&amp;RSD_Commodities!$D$10&amp;"_"&amp;SETUP!$C$68</f>
        <v>Residential Water Heating Detached-C_Peat to Residential_Existing 01</v>
      </c>
      <c r="P208" s="83" t="str">
        <f>RSD_Commodities!$C$10</f>
        <v>RSDPEA</v>
      </c>
      <c r="Q208" s="66" t="str">
        <f>RSD_Commodities!$M$85</f>
        <v>WH_Det-C</v>
      </c>
      <c r="R208" s="985">
        <f t="shared" si="122"/>
        <v>5.1120040078111421E-5</v>
      </c>
      <c r="S208" s="66">
        <f>R208*DwellingStocks!$I$66/1000</f>
        <v>3.6379258206486386E-3</v>
      </c>
      <c r="T208" s="83">
        <v>1</v>
      </c>
      <c r="U208" s="987">
        <f t="shared" si="123"/>
        <v>0.72555981902525624</v>
      </c>
      <c r="V208" s="83">
        <v>20</v>
      </c>
      <c r="W208" s="66">
        <v>1</v>
      </c>
      <c r="X208" s="866"/>
      <c r="Y208" s="928">
        <f t="shared" si="124"/>
        <v>3.7881273059011738E-8</v>
      </c>
      <c r="Z208" s="929">
        <f t="shared" si="125"/>
        <v>5.2209717332339089E-8</v>
      </c>
      <c r="AA208" s="866"/>
      <c r="AB208" s="914" t="s">
        <v>393</v>
      </c>
      <c r="AC208" s="914" t="str">
        <f t="shared" si="121"/>
        <v>WH_Det-C_PEA_X1</v>
      </c>
      <c r="AD208" s="915" t="str">
        <f t="shared" si="121"/>
        <v>Residential Water Heating Detached-C_Peat to Residential_Existing 01</v>
      </c>
      <c r="AE208" s="914" t="s">
        <v>53</v>
      </c>
      <c r="AF208" s="916" t="s">
        <v>406</v>
      </c>
      <c r="AG208" s="914"/>
      <c r="AH208" s="914"/>
      <c r="AI208" s="840"/>
      <c r="AJ208" s="840"/>
      <c r="AK208" s="840"/>
      <c r="AL208" s="840"/>
      <c r="AM208" s="840"/>
      <c r="AN208" s="840"/>
      <c r="AO208" s="840"/>
    </row>
    <row r="209" spans="1:41">
      <c r="A209" s="973" t="s">
        <v>116</v>
      </c>
      <c r="B209" s="758" t="s">
        <v>666</v>
      </c>
      <c r="C209" s="758">
        <f>SUMIFS(INDEX(Table91517[],,MATCH(C$144,Table91517[#Headers],0)),Table91517[MainWaterHeatingFuel],$B209,Table91517[EnergyRating (group)],$A209)</f>
        <v>320726</v>
      </c>
      <c r="D209" s="758">
        <f>SUMIFS(INDEX(Table91517[],,MATCH(D$144,Table91517[#Headers],0)),Table91517[MainWaterHeatingFuel],$B209,Table91517[EnergyRating (group)],$A209)</f>
        <v>291568</v>
      </c>
      <c r="E209" s="758">
        <f>SUMIFS(INDEX(Table91517[],,MATCH(E$144,Table91517[#Headers],0)),Table91517[MainWaterHeatingFuel],$B209,Table91517[EnergyRating (group)],$A209)</f>
        <v>56670</v>
      </c>
      <c r="F209" s="758">
        <f>SUMIFS(INDEX(Table91517[],,MATCH(F$144,Table91517[#Headers],0)),Table91517[MainWaterHeatingFuel],$B209,Table91517[EnergyRating (group)],$A209)</f>
        <v>20991</v>
      </c>
      <c r="G209" s="758">
        <f>SUMIFS(INDEX(Table91517[],,MATCH(G$144,Table91517[#Headers],0)),Table91517[MainWaterHeatingFuel],$B209,Table91517[EnergyRating (group)],$A209)</f>
        <v>57</v>
      </c>
      <c r="H209" s="758">
        <f>SUMIFS(INDEX(Table91517[],,MATCH(H$144,Table91517[#Headers],0)),Table91517[MainWaterHeatingFuel],$B209,Table91517[EnergyRating (group)],$A209)</f>
        <v>9510</v>
      </c>
      <c r="I209" s="960"/>
      <c r="J209" s="980">
        <f t="shared" si="126"/>
        <v>377396</v>
      </c>
      <c r="K209" s="981">
        <f t="shared" si="126"/>
        <v>312559</v>
      </c>
      <c r="L209" s="840"/>
      <c r="M209" s="840"/>
      <c r="N209" s="914" t="str">
        <f>RSD_Commodities!$M$85&amp;"_"&amp;RIGHT(P209,LEN(P209)-3)&amp;"_"&amp;SETUP!$B$67</f>
        <v>WH_Det-C_COABIT_X0</v>
      </c>
      <c r="O209" s="914" t="str">
        <f>RSD_Commodities!$N$85&amp;"_"&amp;RSD_Commodities!D6&amp;"_"&amp;SETUP!$C$67</f>
        <v>Residential Water Heating Detached-C_Bituminous Coal to Residential_Existing 00</v>
      </c>
      <c r="P209" s="915" t="str">
        <f>RSD_Commodities!$C$6</f>
        <v>RSDCOABIT</v>
      </c>
      <c r="Q209" s="914" t="str">
        <f>RSD_Commodities!$M$85</f>
        <v>WH_Det-C</v>
      </c>
      <c r="R209" s="984">
        <f t="shared" si="122"/>
        <v>5.8276845689047023E-4</v>
      </c>
      <c r="S209" s="914">
        <f>R209*DwellingStocks!$I$66/1000</f>
        <v>4.1472354355394481E-2</v>
      </c>
      <c r="T209" s="915">
        <v>1</v>
      </c>
      <c r="U209" s="986">
        <f t="shared" si="123"/>
        <v>0.82819902701671455</v>
      </c>
      <c r="V209" s="915">
        <v>20</v>
      </c>
      <c r="W209" s="914">
        <v>1</v>
      </c>
      <c r="X209" s="866"/>
      <c r="Y209" s="926">
        <f t="shared" si="124"/>
        <v>5.3270784677949634E-6</v>
      </c>
      <c r="Z209" s="927">
        <f t="shared" si="125"/>
        <v>6.4321235524555306E-6</v>
      </c>
      <c r="AA209" s="866"/>
      <c r="AB209" s="66" t="s">
        <v>393</v>
      </c>
      <c r="AC209" s="66" t="str">
        <f t="shared" si="121"/>
        <v>WH_Det-C_COABIT_X0</v>
      </c>
      <c r="AD209" s="83" t="str">
        <f t="shared" si="121"/>
        <v>Residential Water Heating Detached-C_Bituminous Coal to Residential_Existing 00</v>
      </c>
      <c r="AE209" s="66" t="s">
        <v>53</v>
      </c>
      <c r="AF209" s="88" t="s">
        <v>406</v>
      </c>
      <c r="AG209" s="66"/>
      <c r="AH209" s="66"/>
      <c r="AI209" s="840"/>
      <c r="AJ209" s="840"/>
      <c r="AK209" s="840"/>
      <c r="AL209" s="840"/>
      <c r="AM209" s="840"/>
      <c r="AN209" s="840"/>
      <c r="AO209" s="840"/>
    </row>
    <row r="210" spans="1:41">
      <c r="A210" s="972" t="s">
        <v>116</v>
      </c>
      <c r="B210" s="757" t="s">
        <v>673</v>
      </c>
      <c r="C210" s="757">
        <f>SUMIFS(INDEX(Table91517[],,MATCH(C$144,Table91517[#Headers],0)),Table91517[MainWaterHeatingFuel],$B210,Table91517[EnergyRating (group)],$A210)</f>
        <v>259055</v>
      </c>
      <c r="D210" s="757">
        <f>SUMIFS(INDEX(Table91517[],,MATCH(D$144,Table91517[#Headers],0)),Table91517[MainWaterHeatingFuel],$B210,Table91517[EnergyRating (group)],$A210)</f>
        <v>235506</v>
      </c>
      <c r="E210" s="757">
        <f>SUMIFS(INDEX(Table91517[],,MATCH(E$144,Table91517[#Headers],0)),Table91517[MainWaterHeatingFuel],$B210,Table91517[EnergyRating (group)],$A210)</f>
        <v>45986</v>
      </c>
      <c r="F210" s="757">
        <f>SUMIFS(INDEX(Table91517[],,MATCH(F$144,Table91517[#Headers],0)),Table91517[MainWaterHeatingFuel],$B210,Table91517[EnergyRating (group)],$A210)</f>
        <v>17033</v>
      </c>
      <c r="G210" s="757">
        <f>SUMIFS(INDEX(Table91517[],,MATCH(G$144,Table91517[#Headers],0)),Table91517[MainWaterHeatingFuel],$B210,Table91517[EnergyRating (group)],$A210)</f>
        <v>43</v>
      </c>
      <c r="H210" s="757">
        <f>SUMIFS(INDEX(Table91517[],,MATCH(H$144,Table91517[#Headers],0)),Table91517[MainWaterHeatingFuel],$B210,Table91517[EnergyRating (group)],$A210)</f>
        <v>7836</v>
      </c>
      <c r="I210" s="961"/>
      <c r="J210" s="978">
        <f t="shared" si="126"/>
        <v>305041</v>
      </c>
      <c r="K210" s="979">
        <f t="shared" si="126"/>
        <v>252539</v>
      </c>
      <c r="L210" s="840"/>
      <c r="M210" s="840"/>
      <c r="N210" s="66" t="str">
        <f>RSD_Commodities!$M$85&amp;"_"&amp;RIGHT(P210,LEN(P210)-3)&amp;"_"&amp;SETUP!$B$68</f>
        <v>WH_Det-C_BIOWOO_X1</v>
      </c>
      <c r="O210" s="66" t="str">
        <f>RSD_Commodities!$N$85&amp;"_"&amp;RSD_Commodities!D19&amp;"_"&amp;SETUP!$C$68</f>
        <v>Residential Water Heating Detached-C_Biomass &amp; Renewable Waste to Residential_Existing 01</v>
      </c>
      <c r="P210" s="83" t="str">
        <f>RSD_Commodities!$C$19</f>
        <v>RSDBIOWOO</v>
      </c>
      <c r="Q210" s="66" t="str">
        <f>RSD_Commodities!$M$85</f>
        <v>WH_Det-C</v>
      </c>
      <c r="R210" s="985">
        <f t="shared" si="122"/>
        <v>4.3963234467175822E-4</v>
      </c>
      <c r="S210" s="66">
        <f>R210*DwellingStocks!$I$66/1000</f>
        <v>3.1286162057578289E-2</v>
      </c>
      <c r="T210" s="83">
        <v>1</v>
      </c>
      <c r="U210" s="987">
        <f t="shared" si="123"/>
        <v>0.82788543179441454</v>
      </c>
      <c r="V210" s="83">
        <v>20</v>
      </c>
      <c r="W210" s="66">
        <v>1</v>
      </c>
      <c r="X210" s="866"/>
      <c r="Y210" s="928">
        <f t="shared" si="124"/>
        <v>3.2469764711748347E-6</v>
      </c>
      <c r="Z210" s="929">
        <f t="shared" si="125"/>
        <v>3.9220118466598936E-6</v>
      </c>
      <c r="AA210" s="866"/>
      <c r="AB210" s="914" t="s">
        <v>393</v>
      </c>
      <c r="AC210" s="914" t="str">
        <f t="shared" si="121"/>
        <v>WH_Det-C_BIOWOO_X1</v>
      </c>
      <c r="AD210" s="915" t="str">
        <f t="shared" si="121"/>
        <v>Residential Water Heating Detached-C_Biomass &amp; Renewable Waste to Residential_Existing 01</v>
      </c>
      <c r="AE210" s="914" t="s">
        <v>53</v>
      </c>
      <c r="AF210" s="916" t="s">
        <v>406</v>
      </c>
      <c r="AG210" s="914"/>
      <c r="AH210" s="914"/>
      <c r="AI210" s="840"/>
      <c r="AJ210" s="840"/>
      <c r="AK210" s="840"/>
      <c r="AL210" s="840"/>
      <c r="AM210" s="840"/>
      <c r="AN210" s="840"/>
      <c r="AO210" s="840"/>
    </row>
    <row r="211" spans="1:41">
      <c r="A211" s="973" t="s">
        <v>116</v>
      </c>
      <c r="B211" s="758" t="s">
        <v>722</v>
      </c>
      <c r="C211" s="758">
        <f>SUMIFS(INDEX(Table91517[],,MATCH(C$144,Table91517[#Headers],0)),Table91517[MainWaterHeatingFuel],$B211,Table91517[EnergyRating (group)],$A211)</f>
        <v>54005</v>
      </c>
      <c r="D211" s="758">
        <f>SUMIFS(INDEX(Table91517[],,MATCH(D$144,Table91517[#Headers],0)),Table91517[MainWaterHeatingFuel],$B211,Table91517[EnergyRating (group)],$A211)</f>
        <v>49093</v>
      </c>
      <c r="E211" s="759">
        <f>SUMIFS(INDEX(Table91517[],,MATCH(E$144,Table91517[#Headers],0)),Table91517[MainWaterHeatingFuel],$B211,Table91517[EnergyRating (group)],$A211)</f>
        <v>3333</v>
      </c>
      <c r="F211" s="759">
        <f>SUMIFS(INDEX(Table91517[],,MATCH(F$144,Table91517[#Headers],0)),Table91517[MainWaterHeatingFuel],$B211,Table91517[EnergyRating (group)],$A211)</f>
        <v>1234</v>
      </c>
      <c r="G211" s="758">
        <f>SUMIFS(INDEX(Table91517[],,MATCH(G$144,Table91517[#Headers],0)),Table91517[MainWaterHeatingFuel],$B211,Table91517[EnergyRating (group)],$A211)</f>
        <v>8</v>
      </c>
      <c r="H211" s="758">
        <f>SUMIFS(INDEX(Table91517[],,MATCH(H$144,Table91517[#Headers],0)),Table91517[MainWaterHeatingFuel],$B211,Table91517[EnergyRating (group)],$A211)</f>
        <v>1907</v>
      </c>
      <c r="I211" s="960"/>
      <c r="J211" s="980">
        <f t="shared" si="126"/>
        <v>57338</v>
      </c>
      <c r="K211" s="981">
        <f t="shared" si="126"/>
        <v>50327</v>
      </c>
      <c r="L211" s="840"/>
      <c r="M211" s="840"/>
      <c r="N211" s="914" t="str">
        <f>RSD_Commodities!$M$85&amp;"_"&amp;RIGHT(P211,LEN(P211)-3)&amp;"_"&amp;SETUP!$B$68</f>
        <v>WH_Det-C_BIOWOO_X1</v>
      </c>
      <c r="O211" s="914" t="str">
        <f>RSD_Commodities!$N$85&amp;"_"&amp;RSD_Commodities!D19&amp;"_"&amp;SETUP!$C$68</f>
        <v>Residential Water Heating Detached-C_Biomass &amp; Renewable Waste to Residential_Existing 01</v>
      </c>
      <c r="P211" s="915" t="str">
        <f>RSD_Commodities!$C$19</f>
        <v>RSDBIOWOO</v>
      </c>
      <c r="Q211" s="914" t="str">
        <f>RSD_Commodities!$M$85</f>
        <v>WH_Det-C</v>
      </c>
      <c r="R211" s="984">
        <f t="shared" si="122"/>
        <v>8.1792064124978269E-5</v>
      </c>
      <c r="S211" s="914">
        <f>R211*DwellingStocks!$I$66/1000</f>
        <v>5.8206813130378208E-3</v>
      </c>
      <c r="T211" s="915">
        <v>1</v>
      </c>
      <c r="U211" s="986">
        <f t="shared" si="123"/>
        <v>0.87772506888974156</v>
      </c>
      <c r="V211" s="915">
        <v>20</v>
      </c>
      <c r="W211" s="914">
        <v>1</v>
      </c>
      <c r="X211" s="866"/>
      <c r="Y211" s="926">
        <f t="shared" si="124"/>
        <v>1.2038524456489907E-7</v>
      </c>
      <c r="Z211" s="927">
        <f t="shared" si="125"/>
        <v>1.3715598292888873E-7</v>
      </c>
      <c r="AA211" s="866"/>
      <c r="AB211" s="66" t="s">
        <v>393</v>
      </c>
      <c r="AC211" s="66" t="str">
        <f t="shared" si="121"/>
        <v>WH_Det-C_BIOWOO_X1</v>
      </c>
      <c r="AD211" s="83" t="str">
        <f t="shared" si="121"/>
        <v>Residential Water Heating Detached-C_Biomass &amp; Renewable Waste to Residential_Existing 01</v>
      </c>
      <c r="AE211" s="66" t="s">
        <v>53</v>
      </c>
      <c r="AF211" s="88" t="s">
        <v>406</v>
      </c>
      <c r="AG211" s="66"/>
      <c r="AH211" s="66"/>
      <c r="AI211" s="840"/>
      <c r="AJ211" s="840"/>
      <c r="AK211" s="840"/>
      <c r="AL211" s="840"/>
      <c r="AM211" s="840"/>
      <c r="AN211" s="840"/>
      <c r="AO211" s="840"/>
    </row>
    <row r="212" spans="1:41" ht="15.75" thickBot="1">
      <c r="A212" s="972" t="s">
        <v>116</v>
      </c>
      <c r="B212" s="757" t="s">
        <v>674</v>
      </c>
      <c r="C212" s="757">
        <f>SUMIFS(INDEX(Table91517[],,MATCH(C$144,Table91517[#Headers],0)),Table91517[MainWaterHeatingFuel],$B212,Table91517[EnergyRating (group)],$A212)</f>
        <v>53580</v>
      </c>
      <c r="D212" s="757">
        <f>SUMIFS(INDEX(Table91517[],,MATCH(D$144,Table91517[#Headers],0)),Table91517[MainWaterHeatingFuel],$B212,Table91517[EnergyRating (group)],$A212)</f>
        <v>48709</v>
      </c>
      <c r="E212" s="760">
        <f>SUMIFS(INDEX(Table91517[],,MATCH(E$144,Table91517[#Headers],0)),Table91517[MainWaterHeatingFuel],$B212,Table91517[EnergyRating (group)],$A212)</f>
        <v>7109</v>
      </c>
      <c r="F212" s="760">
        <f>SUMIFS(INDEX(Table91517[],,MATCH(F$144,Table91517[#Headers],0)),Table91517[MainWaterHeatingFuel],$B212,Table91517[EnergyRating (group)],$A212)</f>
        <v>2633</v>
      </c>
      <c r="G212" s="757">
        <f>SUMIFS(INDEX(Table91517[],,MATCH(G$144,Table91517[#Headers],0)),Table91517[MainWaterHeatingFuel],$B212,Table91517[EnergyRating (group)],$A212)</f>
        <v>9</v>
      </c>
      <c r="H212" s="757">
        <f>SUMIFS(INDEX(Table91517[],,MATCH(H$144,Table91517[#Headers],0)),Table91517[MainWaterHeatingFuel],$B212,Table91517[EnergyRating (group)],$A212)</f>
        <v>1447</v>
      </c>
      <c r="I212" s="959"/>
      <c r="J212" s="991">
        <f t="shared" si="126"/>
        <v>60689</v>
      </c>
      <c r="K212" s="992">
        <f t="shared" si="126"/>
        <v>51342</v>
      </c>
      <c r="L212" s="840"/>
      <c r="M212" s="840"/>
      <c r="N212" s="66" t="str">
        <f>RSD_Commodities!$M$85&amp;"_"&amp;RIGHT(P212,LEN(P212)-3)&amp;"_"&amp;SETUP!$B$68</f>
        <v>WH_Det-C_COAHAR_X1</v>
      </c>
      <c r="O212" s="66" t="str">
        <f>RSD_Commodities!$N$85&amp;"_"&amp;RSD_Commodities!D7&amp;"_"&amp;SETUP!$C$68</f>
        <v>Residential Water Heating Detached-C_Anthracite + Manufactured Ovoids to Residential_Existing 01</v>
      </c>
      <c r="P212" s="83" t="str">
        <f>RSD_Commodities!$C$7</f>
        <v>RSDCOAHAR</v>
      </c>
      <c r="Q212" s="66" t="str">
        <f>RSD_Commodities!$M$85</f>
        <v>WH_Det-C</v>
      </c>
      <c r="R212" s="985">
        <f t="shared" si="122"/>
        <v>9.2016072140600562E-5</v>
      </c>
      <c r="S212" s="66">
        <f>R212*DwellingStocks!$I$66/1000</f>
        <v>6.5482664771675499E-3</v>
      </c>
      <c r="T212" s="83">
        <v>1</v>
      </c>
      <c r="U212" s="987">
        <f t="shared" si="123"/>
        <v>0.84598526915915573</v>
      </c>
      <c r="V212" s="83">
        <v>20</v>
      </c>
      <c r="W212" s="66">
        <v>1</v>
      </c>
      <c r="X212" s="866"/>
      <c r="Y212" s="928">
        <f t="shared" si="124"/>
        <v>1.3816483457701494E-7</v>
      </c>
      <c r="Z212" s="929">
        <f t="shared" si="125"/>
        <v>1.6331825105458417E-7</v>
      </c>
      <c r="AA212" s="866"/>
      <c r="AB212" s="914" t="s">
        <v>393</v>
      </c>
      <c r="AC212" s="914" t="str">
        <f t="shared" ref="AC212:AD212" si="127">N212</f>
        <v>WH_Det-C_COAHAR_X1</v>
      </c>
      <c r="AD212" s="915" t="str">
        <f t="shared" si="127"/>
        <v>Residential Water Heating Detached-C_Anthracite + Manufactured Ovoids to Residential_Existing 01</v>
      </c>
      <c r="AE212" s="914" t="s">
        <v>53</v>
      </c>
      <c r="AF212" s="916" t="s">
        <v>406</v>
      </c>
      <c r="AG212" s="914"/>
      <c r="AH212" s="914"/>
      <c r="AI212" s="840"/>
      <c r="AJ212" s="840"/>
      <c r="AK212" s="840"/>
      <c r="AL212" s="840"/>
      <c r="AM212" s="840"/>
      <c r="AN212" s="840"/>
      <c r="AO212" s="840"/>
    </row>
    <row r="213" spans="1:41" ht="15.75" thickBot="1">
      <c r="A213" s="756" t="s">
        <v>118</v>
      </c>
      <c r="B213" s="1048"/>
      <c r="C213" s="1049"/>
      <c r="D213" s="1049"/>
      <c r="E213" s="1049"/>
      <c r="F213" s="1049"/>
      <c r="G213" s="1049"/>
      <c r="H213" s="1049"/>
      <c r="I213" s="1049"/>
      <c r="J213" s="1050"/>
      <c r="K213" s="1051"/>
      <c r="L213" s="840"/>
      <c r="M213" s="840"/>
      <c r="N213" s="76" t="str">
        <f>AB213</f>
        <v>*D Rating</v>
      </c>
      <c r="O213" s="76"/>
      <c r="P213" s="76"/>
      <c r="Q213" s="76"/>
      <c r="R213" s="949">
        <f>SUM(R214:R229)</f>
        <v>1.0000000000000002</v>
      </c>
      <c r="S213" s="76"/>
      <c r="T213" s="97"/>
      <c r="U213" s="76"/>
      <c r="V213" s="76"/>
      <c r="W213" s="76"/>
      <c r="X213" s="840"/>
      <c r="Y213" s="76"/>
      <c r="Z213" s="76"/>
      <c r="AA213" s="840"/>
      <c r="AB213" s="140" t="str">
        <f>"*"&amp; A214 &amp; " Rating"</f>
        <v>*D Rating</v>
      </c>
      <c r="AC213" s="141"/>
      <c r="AD213" s="141"/>
      <c r="AE213" s="141"/>
      <c r="AF213" s="141"/>
      <c r="AG213" s="141"/>
      <c r="AH213" s="141"/>
      <c r="AI213" s="840"/>
      <c r="AJ213" s="840"/>
      <c r="AK213" s="840"/>
      <c r="AL213" s="840"/>
      <c r="AM213" s="840"/>
      <c r="AN213" s="840"/>
      <c r="AO213" s="840"/>
    </row>
    <row r="214" spans="1:41">
      <c r="A214" s="972" t="s">
        <v>118</v>
      </c>
      <c r="B214" s="757" t="s">
        <v>582</v>
      </c>
      <c r="C214" s="757">
        <f>SUMIFS(INDEX(Table91517[],,MATCH(C$144,Table91517[#Headers],0)),Table91517[MainWaterHeatingFuel],$B214,Table91517[EnergyRating (group)],$A214)</f>
        <v>5191970</v>
      </c>
      <c r="D214" s="757">
        <f>SUMIFS(INDEX(Table91517[],,MATCH(D$144,Table91517[#Headers],0)),Table91517[MainWaterHeatingFuel],$B214,Table91517[EnergyRating (group)],$A214)</f>
        <v>4719976</v>
      </c>
      <c r="E214" s="760">
        <f>SUMIFS(INDEX(Table91517[],,MATCH(E$144,Table91517[#Headers],0)),Table91517[MainWaterHeatingFuel],$B214,Table91517[EnergyRating (group)],$A214)</f>
        <v>1003361</v>
      </c>
      <c r="F214" s="760">
        <f>SUMIFS(INDEX(Table91517[],,MATCH(F$144,Table91517[#Headers],0)),Table91517[MainWaterHeatingFuel],$B214,Table91517[EnergyRating (group)],$A214)</f>
        <v>371612</v>
      </c>
      <c r="G214" s="757">
        <f>SUMIFS(INDEX(Table91517[],,MATCH(G$144,Table91517[#Headers],0)),Table91517[MainWaterHeatingFuel],$B214,Table91517[EnergyRating (group)],$A214)</f>
        <v>980</v>
      </c>
      <c r="H214" s="757">
        <f>SUMIFS(INDEX(Table91517[],,MATCH(H$144,Table91517[#Headers],0)),Table91517[MainWaterHeatingFuel],$B214,Table91517[EnergyRating (group)],$A214)</f>
        <v>137430</v>
      </c>
      <c r="I214" s="959"/>
      <c r="J214" s="989">
        <f t="shared" ref="J214:K219" si="128">C214+E214</f>
        <v>6195331</v>
      </c>
      <c r="K214" s="990">
        <f t="shared" si="128"/>
        <v>5091588</v>
      </c>
      <c r="L214" s="840"/>
      <c r="M214" s="840"/>
      <c r="N214" s="914" t="str">
        <f>RSD_Commodities!$M$86&amp;"_"&amp;RIGHT(P214,LEN(P214)-3)&amp;"_"&amp;SETUP!$B$67</f>
        <v>WH_Det-D_OILLPG_X0</v>
      </c>
      <c r="O214" s="914" t="str">
        <f>RSD_Commodities!$N$86&amp;"_"&amp;RSD_Commodities!D11&amp;"_"&amp;SETUP!$C$67</f>
        <v>Residential Water Heating Detached-D_LPG to Residential_Existing 00</v>
      </c>
      <c r="P214" s="915" t="str">
        <f>RSD_Commodities!$C$11</f>
        <v>RSDOILLPG</v>
      </c>
      <c r="Q214" s="914" t="str">
        <f>RSD_Commodities!$M$86</f>
        <v>WH_Det-D</v>
      </c>
      <c r="R214" s="984">
        <f>G214/SUM($G$214:$G$229)</f>
        <v>1.5894641235240689E-2</v>
      </c>
      <c r="S214" s="914">
        <f>R214*DwellingStocks!$I$67/1000</f>
        <v>0.75481949868138043</v>
      </c>
      <c r="T214" s="915">
        <v>1</v>
      </c>
      <c r="U214" s="986">
        <f t="shared" ref="U214:U229" si="129">K214/J214</f>
        <v>0.82184277159686869</v>
      </c>
      <c r="V214" s="915">
        <v>20</v>
      </c>
      <c r="W214" s="914">
        <v>1</v>
      </c>
      <c r="X214" s="866"/>
      <c r="Y214" s="928">
        <f t="shared" ref="Y214:Y229" si="130">ABS((K214)*S214*1000*$B$2)</f>
        <v>1.5794095486241643E-3</v>
      </c>
      <c r="Z214" s="928">
        <f t="shared" ref="Z214:Z229" si="131">ABS((J214)*S214*1000*$B$2)</f>
        <v>1.921790399829541E-3</v>
      </c>
      <c r="AA214" s="866"/>
      <c r="AB214" s="914" t="s">
        <v>393</v>
      </c>
      <c r="AC214" s="914" t="str">
        <f t="shared" ref="AC214:AD229" si="132">N214</f>
        <v>WH_Det-D_OILLPG_X0</v>
      </c>
      <c r="AD214" s="915" t="str">
        <f t="shared" si="132"/>
        <v>Residential Water Heating Detached-D_LPG to Residential_Existing 00</v>
      </c>
      <c r="AE214" s="914" t="s">
        <v>53</v>
      </c>
      <c r="AF214" s="916" t="s">
        <v>406</v>
      </c>
      <c r="AG214" s="914"/>
      <c r="AH214" s="914"/>
      <c r="AI214" s="840"/>
      <c r="AJ214" s="840"/>
      <c r="AK214" s="840"/>
      <c r="AL214" s="840"/>
      <c r="AM214" s="840"/>
      <c r="AN214" s="840"/>
      <c r="AO214" s="840"/>
    </row>
    <row r="215" spans="1:41">
      <c r="A215" s="973" t="s">
        <v>118</v>
      </c>
      <c r="B215" s="758" t="s">
        <v>228</v>
      </c>
      <c r="C215" s="758">
        <f>SUMIFS(INDEX(Table91517[],,MATCH(C$144,Table91517[#Headers],0)),Table91517[MainWaterHeatingFuel],$B215,Table91517[EnergyRating (group)],$A215)</f>
        <v>14623244</v>
      </c>
      <c r="D215" s="758">
        <f>SUMIFS(INDEX(Table91517[],,MATCH(D$144,Table91517[#Headers],0)),Table91517[MainWaterHeatingFuel],$B215,Table91517[EnergyRating (group)],$A215)</f>
        <v>5416019</v>
      </c>
      <c r="E215" s="758">
        <f>SUMIFS(INDEX(Table91517[],,MATCH(E$144,Table91517[#Headers],0)),Table91517[MainWaterHeatingFuel],$B215,Table91517[EnergyRating (group)],$A215)</f>
        <v>74648</v>
      </c>
      <c r="F215" s="758">
        <f>SUMIFS(INDEX(Table91517[],,MATCH(F$144,Table91517[#Headers],0)),Table91517[MainWaterHeatingFuel],$B215,Table91517[EnergyRating (group)],$A215)</f>
        <v>27647</v>
      </c>
      <c r="G215" s="758">
        <f>SUMIFS(INDEX(Table91517[],,MATCH(G$144,Table91517[#Headers],0)),Table91517[MainWaterHeatingFuel],$B215,Table91517[EnergyRating (group)],$A215)</f>
        <v>1721</v>
      </c>
      <c r="H215" s="758">
        <f>SUMIFS(INDEX(Table91517[],,MATCH(H$144,Table91517[#Headers],0)),Table91517[MainWaterHeatingFuel],$B215,Table91517[EnergyRating (group)],$A215)</f>
        <v>248074</v>
      </c>
      <c r="I215" s="960"/>
      <c r="J215" s="980">
        <f t="shared" si="128"/>
        <v>14697892</v>
      </c>
      <c r="K215" s="981">
        <f t="shared" si="128"/>
        <v>5443666</v>
      </c>
      <c r="L215" s="840"/>
      <c r="M215" s="840"/>
      <c r="N215" s="66" t="str">
        <f>RSD_Commodities!$M$86&amp;"_"&amp;RIGHT(P215,LEN(P215)-3)&amp;"_"&amp;SETUP!$B$67</f>
        <v>WH_Det-D_ELCD_X0</v>
      </c>
      <c r="O215" s="66" t="str">
        <f>RSD_Commodities!$N$86&amp;"_"&amp;RSD_Commodities!D27&amp;"_"&amp;SETUP!$C$67</f>
        <v>Residential Water Heating Detached-D_Electricity to Residential_Existing 00</v>
      </c>
      <c r="P215" s="83" t="str">
        <f>RSD_Commodities!$C$27</f>
        <v>RSDELCD</v>
      </c>
      <c r="Q215" s="66" t="str">
        <f>RSD_Commodities!$M$86</f>
        <v>WH_Det-D</v>
      </c>
      <c r="R215" s="985">
        <f t="shared" ref="R215:R229" si="133">G215/SUM($G$214:$G$229)</f>
        <v>2.7912936291682885E-2</v>
      </c>
      <c r="S215" s="66">
        <f>R215*DwellingStocks!$I$67/1000</f>
        <v>1.3255554665618936</v>
      </c>
      <c r="T215" s="83">
        <v>1</v>
      </c>
      <c r="U215" s="987">
        <f t="shared" si="129"/>
        <v>0.3703705266034068</v>
      </c>
      <c r="V215" s="83">
        <v>20</v>
      </c>
      <c r="W215" s="66">
        <v>1</v>
      </c>
      <c r="X215" s="866"/>
      <c r="Y215" s="926">
        <f t="shared" si="130"/>
        <v>2.9654306401796374E-3</v>
      </c>
      <c r="Z215" s="926">
        <f t="shared" si="131"/>
        <v>8.0066593510423265E-3</v>
      </c>
      <c r="AA215" s="866"/>
      <c r="AB215" s="66" t="s">
        <v>393</v>
      </c>
      <c r="AC215" s="66" t="str">
        <f t="shared" si="132"/>
        <v>WH_Det-D_ELCD_X0</v>
      </c>
      <c r="AD215" s="83" t="str">
        <f t="shared" si="132"/>
        <v>Residential Water Heating Detached-D_Electricity to Residential_Existing 00</v>
      </c>
      <c r="AE215" s="66" t="s">
        <v>53</v>
      </c>
      <c r="AF215" s="88" t="s">
        <v>406</v>
      </c>
      <c r="AG215" s="66"/>
      <c r="AH215" s="66"/>
      <c r="AI215" s="840"/>
      <c r="AJ215" s="840"/>
      <c r="AK215" s="840"/>
      <c r="AL215" s="840"/>
      <c r="AM215" s="840"/>
      <c r="AN215" s="840"/>
      <c r="AO215" s="840"/>
    </row>
    <row r="216" spans="1:41">
      <c r="A216" s="972" t="s">
        <v>118</v>
      </c>
      <c r="B216" s="757" t="s">
        <v>583</v>
      </c>
      <c r="C216" s="757">
        <f>SUMIFS(INDEX(Table91517[],,MATCH(C$144,Table91517[#Headers],0)),Table91517[MainWaterHeatingFuel],$B216,Table91517[EnergyRating (group)],$A216)</f>
        <v>258642583</v>
      </c>
      <c r="D216" s="757">
        <f>SUMIFS(INDEX(Table91517[],,MATCH(D$144,Table91517[#Headers],0)),Table91517[MainWaterHeatingFuel],$B216,Table91517[EnergyRating (group)],$A216)</f>
        <v>235129621</v>
      </c>
      <c r="E216" s="757">
        <f>SUMIFS(INDEX(Table91517[],,MATCH(E$144,Table91517[#Headers],0)),Table91517[MainWaterHeatingFuel],$B216,Table91517[EnergyRating (group)],$A216)</f>
        <v>78691870</v>
      </c>
      <c r="F216" s="757">
        <f>SUMIFS(INDEX(Table91517[],,MATCH(F$144,Table91517[#Headers],0)),Table91517[MainWaterHeatingFuel],$B216,Table91517[EnergyRating (group)],$A216)</f>
        <v>29145135</v>
      </c>
      <c r="G216" s="757">
        <f>SUMIFS(INDEX(Table91517[],,MATCH(G$144,Table91517[#Headers],0)),Table91517[MainWaterHeatingFuel],$B216,Table91517[EnergyRating (group)],$A216)</f>
        <v>48719</v>
      </c>
      <c r="H216" s="757">
        <f>SUMIFS(INDEX(Table91517[],,MATCH(H$144,Table91517[#Headers],0)),Table91517[MainWaterHeatingFuel],$B216,Table91517[EnergyRating (group)],$A216)</f>
        <v>6433852</v>
      </c>
      <c r="I216" s="961"/>
      <c r="J216" s="978">
        <f t="shared" si="128"/>
        <v>337334453</v>
      </c>
      <c r="K216" s="979">
        <f t="shared" si="128"/>
        <v>264274756</v>
      </c>
      <c r="L216" s="840"/>
      <c r="M216" s="840"/>
      <c r="N216" s="914" t="str">
        <f>RSD_Commodities!$M$86&amp;"_"&amp;RIGHT(P216,LEN(P216)-3)&amp;"_"&amp;SETUP!$B$67</f>
        <v>WH_Det-D_OILKER_X0</v>
      </c>
      <c r="O216" s="914" t="str">
        <f>RSD_Commodities!$N$86&amp;"_"&amp;RSD_Commodities!D13&amp;"_"&amp;SETUP!$C$67</f>
        <v>Residential Water Heating Detached-D_Kerosene to Residential_Existing 00</v>
      </c>
      <c r="P216" s="915" t="str">
        <f>RSD_Commodities!$C$13</f>
        <v>RSDOILKER</v>
      </c>
      <c r="Q216" s="914" t="str">
        <f>RSD_Commodities!$M$86</f>
        <v>WH_Det-D</v>
      </c>
      <c r="R216" s="984">
        <f t="shared" si="133"/>
        <v>0.7901745166731543</v>
      </c>
      <c r="S216" s="914">
        <f>R216*DwellingStocks!$I$67/1000</f>
        <v>37.52454199618181</v>
      </c>
      <c r="T216" s="915">
        <v>1</v>
      </c>
      <c r="U216" s="986">
        <f t="shared" si="129"/>
        <v>0.78342058941723336</v>
      </c>
      <c r="V216" s="915">
        <v>20</v>
      </c>
      <c r="W216" s="914">
        <v>1</v>
      </c>
      <c r="X216" s="866"/>
      <c r="Y216" s="928">
        <f t="shared" si="130"/>
        <v>4.0753928137202884</v>
      </c>
      <c r="Z216" s="928">
        <f t="shared" si="131"/>
        <v>5.2020496637085705</v>
      </c>
      <c r="AA216" s="866"/>
      <c r="AB216" s="914" t="s">
        <v>393</v>
      </c>
      <c r="AC216" s="914" t="str">
        <f t="shared" si="132"/>
        <v>WH_Det-D_OILKER_X0</v>
      </c>
      <c r="AD216" s="915" t="str">
        <f t="shared" si="132"/>
        <v>Residential Water Heating Detached-D_Kerosene to Residential_Existing 00</v>
      </c>
      <c r="AE216" s="914" t="s">
        <v>53</v>
      </c>
      <c r="AF216" s="916" t="s">
        <v>406</v>
      </c>
      <c r="AG216" s="914"/>
      <c r="AH216" s="914"/>
      <c r="AI216" s="840"/>
      <c r="AJ216" s="840"/>
      <c r="AK216" s="840"/>
      <c r="AL216" s="840"/>
      <c r="AM216" s="840"/>
      <c r="AN216" s="840"/>
      <c r="AO216" s="840"/>
    </row>
    <row r="217" spans="1:41">
      <c r="A217" s="973" t="s">
        <v>118</v>
      </c>
      <c r="B217" s="758" t="s">
        <v>584</v>
      </c>
      <c r="C217" s="758">
        <f>SUMIFS(INDEX(Table91517[],,MATCH(C$144,Table91517[#Headers],0)),Table91517[MainWaterHeatingFuel],$B217,Table91517[EnergyRating (group)],$A217)</f>
        <v>44170775</v>
      </c>
      <c r="D217" s="758">
        <f>SUMIFS(INDEX(Table91517[],,MATCH(D$144,Table91517[#Headers],0)),Table91517[MainWaterHeatingFuel],$B217,Table91517[EnergyRating (group)],$A217)</f>
        <v>40155249</v>
      </c>
      <c r="E217" s="759">
        <f>SUMIFS(INDEX(Table91517[],,MATCH(E$144,Table91517[#Headers],0)),Table91517[MainWaterHeatingFuel],$B217,Table91517[EnergyRating (group)],$A217)</f>
        <v>9905828</v>
      </c>
      <c r="F217" s="759">
        <f>SUMIFS(INDEX(Table91517[],,MATCH(F$144,Table91517[#Headers],0)),Table91517[MainWaterHeatingFuel],$B217,Table91517[EnergyRating (group)],$A217)</f>
        <v>3668824</v>
      </c>
      <c r="G217" s="758">
        <f>SUMIFS(INDEX(Table91517[],,MATCH(G$144,Table91517[#Headers],0)),Table91517[MainWaterHeatingFuel],$B217,Table91517[EnergyRating (group)],$A217)</f>
        <v>8279</v>
      </c>
      <c r="H217" s="758">
        <f>SUMIFS(INDEX(Table91517[],,MATCH(H$144,Table91517[#Headers],0)),Table91517[MainWaterHeatingFuel],$B217,Table91517[EnergyRating (group)],$A217)</f>
        <v>1100216</v>
      </c>
      <c r="I217" s="960"/>
      <c r="J217" s="980">
        <f t="shared" si="128"/>
        <v>54076603</v>
      </c>
      <c r="K217" s="981">
        <f t="shared" si="128"/>
        <v>43824073</v>
      </c>
      <c r="L217" s="840"/>
      <c r="M217" s="840"/>
      <c r="N217" s="66" t="str">
        <f>RSD_Commodities!$M$86&amp;"_"&amp;RIGHT(P217,LEN(P217)-3)&amp;"_"&amp;SETUP!$B$67</f>
        <v>WH_Det-D_GASNAT_X0</v>
      </c>
      <c r="O217" s="66" t="str">
        <f>RSD_Commodities!$N$86&amp;"_"&amp;RSD_Commodities!D17&amp;"_"&amp;SETUP!$C$67</f>
        <v>Residential Water Heating Detached-D_Natural Gas to Residential_Existing 00</v>
      </c>
      <c r="P217" s="83" t="str">
        <f>RSD_Commodities!$C$17</f>
        <v>RSDGASNAT</v>
      </c>
      <c r="Q217" s="66" t="str">
        <f>RSD_Commodities!$M$86</f>
        <v>WH_Det-D</v>
      </c>
      <c r="R217" s="985">
        <f t="shared" si="133"/>
        <v>0.13427728039444661</v>
      </c>
      <c r="S217" s="66">
        <f>R217*DwellingStocks!$I$67/1000</f>
        <v>6.3766843159011719</v>
      </c>
      <c r="T217" s="83">
        <v>1</v>
      </c>
      <c r="U217" s="987">
        <f t="shared" si="129"/>
        <v>0.81040728464397072</v>
      </c>
      <c r="V217" s="83">
        <v>20</v>
      </c>
      <c r="W217" s="66">
        <v>1</v>
      </c>
      <c r="X217" s="866"/>
      <c r="Y217" s="926">
        <f t="shared" si="130"/>
        <v>0.11484340231151015</v>
      </c>
      <c r="Z217" s="926">
        <f t="shared" si="131"/>
        <v>0.14171072309889629</v>
      </c>
      <c r="AA217" s="866"/>
      <c r="AB217" s="66" t="s">
        <v>393</v>
      </c>
      <c r="AC217" s="66" t="str">
        <f t="shared" si="132"/>
        <v>WH_Det-D_GASNAT_X0</v>
      </c>
      <c r="AD217" s="83" t="str">
        <f t="shared" si="132"/>
        <v>Residential Water Heating Detached-D_Natural Gas to Residential_Existing 00</v>
      </c>
      <c r="AE217" s="66" t="s">
        <v>53</v>
      </c>
      <c r="AF217" s="88" t="s">
        <v>406</v>
      </c>
      <c r="AG217" s="66"/>
      <c r="AH217" s="66"/>
      <c r="AI217" s="840"/>
      <c r="AJ217" s="840"/>
      <c r="AK217" s="840"/>
      <c r="AL217" s="840"/>
      <c r="AM217" s="840"/>
      <c r="AN217" s="840"/>
      <c r="AO217" s="840"/>
    </row>
    <row r="218" spans="1:41">
      <c r="A218" s="972" t="s">
        <v>118</v>
      </c>
      <c r="B218" s="757" t="s">
        <v>585</v>
      </c>
      <c r="C218" s="757">
        <f>SUMIFS(INDEX(Table91517[],,MATCH(C$144,Table91517[#Headers],0)),Table91517[MainWaterHeatingFuel],$B218,Table91517[EnergyRating (group)],$A218)</f>
        <v>558755</v>
      </c>
      <c r="D218" s="757">
        <f>SUMIFS(INDEX(Table91517[],,MATCH(D$144,Table91517[#Headers],0)),Table91517[MainWaterHeatingFuel],$B218,Table91517[EnergyRating (group)],$A218)</f>
        <v>507960</v>
      </c>
      <c r="E218" s="760">
        <f>SUMIFS(INDEX(Table91517[],,MATCH(E$144,Table91517[#Headers],0)),Table91517[MainWaterHeatingFuel],$B218,Table91517[EnergyRating (group)],$A218)</f>
        <v>119712</v>
      </c>
      <c r="F218" s="760">
        <f>SUMIFS(INDEX(Table91517[],,MATCH(F$144,Table91517[#Headers],0)),Table91517[MainWaterHeatingFuel],$B218,Table91517[EnergyRating (group)],$A218)</f>
        <v>44340</v>
      </c>
      <c r="G218" s="757">
        <f>SUMIFS(INDEX(Table91517[],,MATCH(G$144,Table91517[#Headers],0)),Table91517[MainWaterHeatingFuel],$B218,Table91517[EnergyRating (group)],$A218)</f>
        <v>96</v>
      </c>
      <c r="H218" s="757">
        <f>SUMIFS(INDEX(Table91517[],,MATCH(H$144,Table91517[#Headers],0)),Table91517[MainWaterHeatingFuel],$B218,Table91517[EnergyRating (group)],$A218)</f>
        <v>14854</v>
      </c>
      <c r="I218" s="959"/>
      <c r="J218" s="978">
        <f t="shared" si="128"/>
        <v>678467</v>
      </c>
      <c r="K218" s="979">
        <f t="shared" si="128"/>
        <v>552300</v>
      </c>
      <c r="L218" s="840"/>
      <c r="M218" s="840"/>
      <c r="N218" s="914" t="str">
        <f>RSD_Commodities!$M$86&amp;"_"&amp;RIGHT(P218,LEN(P218)-3)&amp;"_"&amp;SETUP!$B$67</f>
        <v>WH_Det-D_BIOWOO_X0</v>
      </c>
      <c r="O218" s="914" t="str">
        <f>RSD_Commodities!$N$86&amp;"_"&amp;RSD_Commodities!D19&amp;"_"&amp;SETUP!$C$67</f>
        <v>Residential Water Heating Detached-D_Biomass &amp; Renewable Waste to Residential_Existing 00</v>
      </c>
      <c r="P218" s="915" t="str">
        <f>RSD_Commodities!$C$19</f>
        <v>RSDBIOWOO</v>
      </c>
      <c r="Q218" s="914" t="str">
        <f>RSD_Commodities!$M$86</f>
        <v>WH_Det-D</v>
      </c>
      <c r="R218" s="984">
        <f t="shared" si="133"/>
        <v>1.557026080186843E-3</v>
      </c>
      <c r="S218" s="914">
        <f>R218*DwellingStocks!$I$67/1000</f>
        <v>7.3941501911645433E-2</v>
      </c>
      <c r="T218" s="915">
        <v>1</v>
      </c>
      <c r="U218" s="986">
        <f t="shared" si="129"/>
        <v>0.8140410661093318</v>
      </c>
      <c r="V218" s="915">
        <v>20</v>
      </c>
      <c r="W218" s="914">
        <v>1</v>
      </c>
      <c r="X218" s="866"/>
      <c r="Y218" s="928">
        <f t="shared" si="130"/>
        <v>1.6782695139370595E-5</v>
      </c>
      <c r="Z218" s="928">
        <f t="shared" si="131"/>
        <v>2.061652149759795E-5</v>
      </c>
      <c r="AA218" s="866"/>
      <c r="AB218" s="914" t="s">
        <v>393</v>
      </c>
      <c r="AC218" s="914" t="str">
        <f t="shared" si="132"/>
        <v>WH_Det-D_BIOWOO_X0</v>
      </c>
      <c r="AD218" s="915" t="str">
        <f t="shared" si="132"/>
        <v>Residential Water Heating Detached-D_Biomass &amp; Renewable Waste to Residential_Existing 00</v>
      </c>
      <c r="AE218" s="914" t="s">
        <v>53</v>
      </c>
      <c r="AF218" s="916" t="s">
        <v>406</v>
      </c>
      <c r="AG218" s="914"/>
      <c r="AH218" s="914"/>
      <c r="AI218" s="840"/>
      <c r="AJ218" s="840"/>
      <c r="AK218" s="840"/>
      <c r="AL218" s="840"/>
      <c r="AM218" s="840"/>
      <c r="AN218" s="840"/>
      <c r="AO218" s="840"/>
    </row>
    <row r="219" spans="1:41">
      <c r="A219" s="973" t="s">
        <v>118</v>
      </c>
      <c r="B219" s="994" t="s">
        <v>587</v>
      </c>
      <c r="C219" s="758">
        <f>SUMIFS(INDEX(Table91517[],,MATCH(C144,Table91517[#Headers],0)),Table91517[MainWaterHeatingFuel],"",Table91517[EnergyRating (group)],$A219)</f>
        <v>0</v>
      </c>
      <c r="D219" s="758">
        <f>SUMIFS(INDEX(Table91517[],,MATCH(D144,Table91517[#Headers],0)),Table91517[MainWaterHeatingFuel],"",Table91517[EnergyRating (group)],$A219)</f>
        <v>0</v>
      </c>
      <c r="E219" s="758">
        <f>SUMIFS(INDEX(Table91517[],,MATCH(E144,Table91517[#Headers],0)),Table91517[MainWaterHeatingFuel],"",Table91517[EnergyRating (group)],$A219)</f>
        <v>24874</v>
      </c>
      <c r="F219" s="758">
        <f>SUMIFS(INDEX(Table91517[],,MATCH(F144,Table91517[#Headers],0)),Table91517[MainWaterHeatingFuel],"",Table91517[EnergyRating (group)],$A219)</f>
        <v>9213</v>
      </c>
      <c r="G219" s="758">
        <f>SUMIFS(INDEX(Table91517[],,MATCH(G144,Table91517[#Headers],0)),Table91517[MainWaterHeatingFuel],"",Table91517[EnergyRating (group)],$A219)</f>
        <v>35</v>
      </c>
      <c r="H219" s="758">
        <f>SUMIFS(INDEX(Table91517[],,MATCH(H144,Table91517[#Headers],0)),Table91517[MainWaterHeatingFuel],"",Table91517[EnergyRating (group)],$A219)</f>
        <v>5870</v>
      </c>
      <c r="I219" s="960"/>
      <c r="J219" s="980">
        <f>C219+E219</f>
        <v>24874</v>
      </c>
      <c r="K219" s="981">
        <f t="shared" si="128"/>
        <v>9213</v>
      </c>
      <c r="L219" s="840"/>
      <c r="M219" s="840"/>
      <c r="N219" s="66" t="str">
        <f>RSD_Commodities!$M$86&amp;"_"&amp;RIGHT(P219,LEN(P219)-3)&amp;"_"&amp;SETUP!$B$67</f>
        <v>WH_Det-D_HET_X0</v>
      </c>
      <c r="O219" s="66" t="str">
        <f>RSD_Commodities!$N$86&amp;"_"&amp;RSD_Commodities!D28&amp;"_"&amp;SETUP!$C$67</f>
        <v>Residential Water Heating Detached-D_Heat to Residential_Existing 00</v>
      </c>
      <c r="P219" s="83" t="str">
        <f>RSD_Commodities!$C$28</f>
        <v>RSDHET</v>
      </c>
      <c r="Q219" s="66" t="str">
        <f>RSD_Commodities!$M$86</f>
        <v>WH_Det-D</v>
      </c>
      <c r="R219" s="985">
        <f t="shared" si="133"/>
        <v>5.6766575840145326E-4</v>
      </c>
      <c r="S219" s="66">
        <f>R219*DwellingStocks!$I$67/1000</f>
        <v>2.6957839238620732E-2</v>
      </c>
      <c r="T219" s="83">
        <v>1</v>
      </c>
      <c r="U219" s="917">
        <v>1</v>
      </c>
      <c r="V219" s="83">
        <v>20</v>
      </c>
      <c r="W219" s="66">
        <v>1</v>
      </c>
      <c r="X219" s="866"/>
      <c r="Y219" s="926">
        <f t="shared" si="130"/>
        <v>1.0206681078304638E-7</v>
      </c>
      <c r="Z219" s="926">
        <f t="shared" si="131"/>
        <v>2.7556820269374753E-7</v>
      </c>
      <c r="AA219" s="866"/>
      <c r="AB219" s="66" t="s">
        <v>393</v>
      </c>
      <c r="AC219" s="66" t="str">
        <f t="shared" si="132"/>
        <v>WH_Det-D_HET_X0</v>
      </c>
      <c r="AD219" s="83" t="str">
        <f t="shared" si="132"/>
        <v>Residential Water Heating Detached-D_Heat to Residential_Existing 00</v>
      </c>
      <c r="AE219" s="66" t="s">
        <v>53</v>
      </c>
      <c r="AF219" s="88" t="s">
        <v>406</v>
      </c>
      <c r="AG219" s="66"/>
      <c r="AH219" s="66"/>
      <c r="AI219" s="840"/>
      <c r="AJ219" s="840"/>
      <c r="AK219" s="840"/>
      <c r="AL219" s="840"/>
      <c r="AM219" s="840"/>
      <c r="AN219" s="840"/>
      <c r="AO219" s="840"/>
    </row>
    <row r="220" spans="1:41">
      <c r="A220" s="972" t="s">
        <v>118</v>
      </c>
      <c r="B220" s="757" t="s">
        <v>664</v>
      </c>
      <c r="C220" s="757">
        <f>SUMIFS(INDEX(Table91517[],,MATCH(C$144,Table91517[#Headers],0)),Table91517[MainWaterHeatingFuel],$B220,Table91517[EnergyRating (group)],$A220)</f>
        <v>702213</v>
      </c>
      <c r="D220" s="757">
        <f>SUMIFS(INDEX(Table91517[],,MATCH(D$144,Table91517[#Headers],0)),Table91517[MainWaterHeatingFuel],$B220,Table91517[EnergyRating (group)],$A220)</f>
        <v>638378</v>
      </c>
      <c r="E220" s="760">
        <f>SUMIFS(INDEX(Table91517[],,MATCH(E$144,Table91517[#Headers],0)),Table91517[MainWaterHeatingFuel],$B220,Table91517[EnergyRating (group)],$A220)</f>
        <v>127859</v>
      </c>
      <c r="F220" s="760">
        <f>SUMIFS(INDEX(Table91517[],,MATCH(F$144,Table91517[#Headers],0)),Table91517[MainWaterHeatingFuel],$B220,Table91517[EnergyRating (group)],$A220)</f>
        <v>47355</v>
      </c>
      <c r="G220" s="757">
        <f>SUMIFS(INDEX(Table91517[],,MATCH(G$144,Table91517[#Headers],0)),Table91517[MainWaterHeatingFuel],$B220,Table91517[EnergyRating (group)],$A220)</f>
        <v>126</v>
      </c>
      <c r="H220" s="757">
        <f>SUMIFS(INDEX(Table91517[],,MATCH(H$144,Table91517[#Headers],0)),Table91517[MainWaterHeatingFuel],$B220,Table91517[EnergyRating (group)],$A220)</f>
        <v>17604</v>
      </c>
      <c r="I220" s="959"/>
      <c r="J220" s="978">
        <f>C220+E220</f>
        <v>830072</v>
      </c>
      <c r="K220" s="979">
        <f>D220+F220</f>
        <v>685733</v>
      </c>
      <c r="L220" s="840"/>
      <c r="M220" s="840"/>
      <c r="N220" s="914" t="str">
        <f>RSD_Commodities!$M$86&amp;"_"&amp;RIGHT(P220,LEN(P220)-3)&amp;"_"&amp;SETUP!$B$68</f>
        <v>WH_Det-D_OILLPG_X1</v>
      </c>
      <c r="O220" s="914" t="str">
        <f>RSD_Commodities!$N$86&amp;"_"&amp;RSD_Commodities!D11&amp;"_"&amp;SETUP!$C$68</f>
        <v>Residential Water Heating Detached-D_LPG to Residential_Existing 01</v>
      </c>
      <c r="P220" s="930" t="str">
        <f>RSD_Commodities!$C$11</f>
        <v>RSDOILLPG</v>
      </c>
      <c r="Q220" s="914" t="str">
        <f>RSD_Commodities!$M$86</f>
        <v>WH_Det-D</v>
      </c>
      <c r="R220" s="984">
        <f t="shared" si="133"/>
        <v>2.0435967302452314E-3</v>
      </c>
      <c r="S220" s="914">
        <f>R220*DwellingStocks!$I$67/1000</f>
        <v>9.7048221259034617E-2</v>
      </c>
      <c r="T220" s="915">
        <v>1</v>
      </c>
      <c r="U220" s="986">
        <f t="shared" si="129"/>
        <v>0.82611267456317039</v>
      </c>
      <c r="V220" s="930">
        <v>20</v>
      </c>
      <c r="W220" s="914">
        <v>1</v>
      </c>
      <c r="X220" s="866"/>
      <c r="Y220" s="928">
        <f t="shared" si="130"/>
        <v>2.7348973113132165E-5</v>
      </c>
      <c r="Z220" s="928">
        <f t="shared" si="131"/>
        <v>3.3105621006957286E-5</v>
      </c>
      <c r="AA220" s="866"/>
      <c r="AB220" s="914" t="s">
        <v>393</v>
      </c>
      <c r="AC220" s="914" t="str">
        <f t="shared" si="132"/>
        <v>WH_Det-D_OILLPG_X1</v>
      </c>
      <c r="AD220" s="915" t="str">
        <f t="shared" si="132"/>
        <v>Residential Water Heating Detached-D_LPG to Residential_Existing 01</v>
      </c>
      <c r="AE220" s="914" t="s">
        <v>53</v>
      </c>
      <c r="AF220" s="916" t="s">
        <v>406</v>
      </c>
      <c r="AG220" s="914"/>
      <c r="AH220" s="914"/>
      <c r="AI220" s="840"/>
      <c r="AJ220" s="840"/>
      <c r="AK220" s="840"/>
      <c r="AL220" s="840"/>
      <c r="AM220" s="840"/>
      <c r="AN220" s="840"/>
      <c r="AO220" s="840"/>
    </row>
    <row r="221" spans="1:41">
      <c r="A221" s="973" t="s">
        <v>118</v>
      </c>
      <c r="B221" s="758" t="s">
        <v>665</v>
      </c>
      <c r="C221" s="758">
        <f>SUMIFS(INDEX(Table91517[],,MATCH(C$144,Table91517[#Headers],0)),Table91517[MainWaterHeatingFuel],$B221,Table91517[EnergyRating (group)],$A221)</f>
        <v>7316103</v>
      </c>
      <c r="D221" s="758">
        <f>SUMIFS(INDEX(Table91517[],,MATCH(D$144,Table91517[#Headers],0)),Table91517[MainWaterHeatingFuel],$B221,Table91517[EnergyRating (group)],$A221)</f>
        <v>6651000</v>
      </c>
      <c r="E221" s="758">
        <f>SUMIFS(INDEX(Table91517[],,MATCH(E$144,Table91517[#Headers],0)),Table91517[MainWaterHeatingFuel],$B221,Table91517[EnergyRating (group)],$A221)</f>
        <v>3069231</v>
      </c>
      <c r="F221" s="758">
        <f>SUMIFS(INDEX(Table91517[],,MATCH(F$144,Table91517[#Headers],0)),Table91517[MainWaterHeatingFuel],$B221,Table91517[EnergyRating (group)],$A221)</f>
        <v>1136753</v>
      </c>
      <c r="G221" s="758">
        <f>SUMIFS(INDEX(Table91517[],,MATCH(G$144,Table91517[#Headers],0)),Table91517[MainWaterHeatingFuel],$B221,Table91517[EnergyRating (group)],$A221)</f>
        <v>1337</v>
      </c>
      <c r="H221" s="758">
        <f>SUMIFS(INDEX(Table91517[],,MATCH(H$144,Table91517[#Headers],0)),Table91517[MainWaterHeatingFuel],$B221,Table91517[EnergyRating (group)],$A221)</f>
        <v>171259</v>
      </c>
      <c r="I221" s="960"/>
      <c r="J221" s="980">
        <f t="shared" ref="J221:K229" si="134">C221+E221</f>
        <v>10385334</v>
      </c>
      <c r="K221" s="981">
        <f t="shared" si="134"/>
        <v>7787753</v>
      </c>
      <c r="L221" s="840"/>
      <c r="M221" s="840"/>
      <c r="N221" s="66" t="str">
        <f>RSD_Commodities!$M$86&amp;"_"&amp;RSD_Commodities!$C$26&amp;"_"&amp;SETUP!$B$67</f>
        <v>WH_Det-D_RSDSMF_X0</v>
      </c>
      <c r="O221" s="66" t="str">
        <f>RSD_Commodities!$N$86&amp;"_"&amp;RSD_Commodities!$D$26&amp;"_"&amp;SETUP!$C$67</f>
        <v>Residential Water Heating Detached-D_Solid Multi-Fuel_Existing 00</v>
      </c>
      <c r="P221" s="83" t="str">
        <f>RSD_Commodities!$C$6&amp;","&amp;RSD_Commodities!$C$7&amp;","&amp;RSD_Commodities!$C$9&amp;","&amp;RSD_Commodities!$C$10&amp;","&amp;RSD_Commodities!$C$19</f>
        <v>RSDCOABIT,RSDCOAHAR,RSDCOALIG,RSDPEA,RSDBIOWOO</v>
      </c>
      <c r="Q221" s="66" t="str">
        <f>RSD_Commodities!$M$86</f>
        <v>WH_Det-D</v>
      </c>
      <c r="R221" s="985">
        <f t="shared" si="133"/>
        <v>2.1684831970935514E-2</v>
      </c>
      <c r="S221" s="66">
        <f>R221*DwellingStocks!$I$67/1000</f>
        <v>1.029789458915312</v>
      </c>
      <c r="T221" s="83">
        <v>1</v>
      </c>
      <c r="U221" s="987">
        <f t="shared" si="129"/>
        <v>0.74987987868276551</v>
      </c>
      <c r="V221" s="83">
        <v>20</v>
      </c>
      <c r="W221" s="66">
        <v>1</v>
      </c>
      <c r="X221" s="840"/>
      <c r="Y221" s="926">
        <f t="shared" si="130"/>
        <v>3.2957860060422325E-3</v>
      </c>
      <c r="Z221" s="926">
        <f t="shared" si="131"/>
        <v>4.3950852659649844E-3</v>
      </c>
      <c r="AA221" s="840"/>
      <c r="AB221" s="66" t="s">
        <v>393</v>
      </c>
      <c r="AC221" s="66" t="str">
        <f t="shared" si="132"/>
        <v>WH_Det-D_RSDSMF_X0</v>
      </c>
      <c r="AD221" s="83" t="str">
        <f t="shared" si="132"/>
        <v>Residential Water Heating Detached-D_Solid Multi-Fuel_Existing 00</v>
      </c>
      <c r="AE221" s="66" t="s">
        <v>53</v>
      </c>
      <c r="AF221" s="88" t="s">
        <v>406</v>
      </c>
      <c r="AG221" s="66"/>
      <c r="AH221" s="66"/>
      <c r="AI221" s="840"/>
      <c r="AJ221" s="840"/>
      <c r="AK221" s="840"/>
      <c r="AL221" s="840"/>
      <c r="AM221" s="840"/>
      <c r="AN221" s="840"/>
      <c r="AO221" s="840"/>
    </row>
    <row r="222" spans="1:41">
      <c r="A222" s="972" t="s">
        <v>118</v>
      </c>
      <c r="B222" s="757" t="s">
        <v>669</v>
      </c>
      <c r="C222" s="757">
        <f>SUMIFS(INDEX(Table91517[],,MATCH(C$144,Table91517[#Headers],0)),Table91517[MainWaterHeatingFuel],$B222,Table91517[EnergyRating (group)],$A222)</f>
        <v>378856</v>
      </c>
      <c r="D222" s="757">
        <f>SUMIFS(INDEX(Table91517[],,MATCH(D$144,Table91517[#Headers],0)),Table91517[MainWaterHeatingFuel],$B222,Table91517[EnergyRating (group)],$A222)</f>
        <v>315717</v>
      </c>
      <c r="E222" s="757">
        <f>SUMIFS(INDEX(Table91517[],,MATCH(E$144,Table91517[#Headers],0)),Table91517[MainWaterHeatingFuel],$B222,Table91517[EnergyRating (group)],$A222)</f>
        <v>140092</v>
      </c>
      <c r="F222" s="757">
        <f>SUMIFS(INDEX(Table91517[],,MATCH(F$144,Table91517[#Headers],0)),Table91517[MainWaterHeatingFuel],$B222,Table91517[EnergyRating (group)],$A222)</f>
        <v>51884</v>
      </c>
      <c r="G222" s="757">
        <f>SUMIFS(INDEX(Table91517[],,MATCH(G$144,Table91517[#Headers],0)),Table91517[MainWaterHeatingFuel],$B222,Table91517[EnergyRating (group)],$A222)</f>
        <v>65</v>
      </c>
      <c r="H222" s="757">
        <f>SUMIFS(INDEX(Table91517[],,MATCH(H$144,Table91517[#Headers],0)),Table91517[MainWaterHeatingFuel],$B222,Table91517[EnergyRating (group)],$A222)</f>
        <v>8253</v>
      </c>
      <c r="I222" s="961"/>
      <c r="J222" s="978">
        <f t="shared" si="134"/>
        <v>518948</v>
      </c>
      <c r="K222" s="979">
        <f t="shared" si="134"/>
        <v>367601</v>
      </c>
      <c r="L222" s="840"/>
      <c r="M222" s="840"/>
      <c r="N222" s="914" t="str">
        <f>RSD_Commodities!$M$86&amp;"_"&amp;RIGHT(P222,LEN(P222)-3)&amp;"_"&amp;SETUP!$B$67</f>
        <v>WH_Det-D_COAHAR_X0</v>
      </c>
      <c r="O222" s="914" t="str">
        <f>RSD_Commodities!$N$86&amp;"_"&amp;RSD_Commodities!D7&amp;"_"&amp;SETUP!$C$67</f>
        <v>Residential Water Heating Detached-D_Anthracite + Manufactured Ovoids to Residential_Existing 00</v>
      </c>
      <c r="P222" s="915" t="str">
        <f>RSD_Commodities!$C$7</f>
        <v>RSDCOAHAR</v>
      </c>
      <c r="Q222" s="914" t="str">
        <f>RSD_Commodities!$M$86</f>
        <v>WH_Det-D</v>
      </c>
      <c r="R222" s="984">
        <f t="shared" si="133"/>
        <v>1.0542364084598417E-3</v>
      </c>
      <c r="S222" s="914">
        <f>R222*DwellingStocks!$I$67/1000</f>
        <v>5.006455858600993E-2</v>
      </c>
      <c r="T222" s="915">
        <v>1</v>
      </c>
      <c r="U222" s="986">
        <f t="shared" si="129"/>
        <v>0.70835806285022773</v>
      </c>
      <c r="V222" s="915">
        <v>20</v>
      </c>
      <c r="W222" s="914">
        <v>1</v>
      </c>
      <c r="X222" s="866"/>
      <c r="Y222" s="928">
        <f t="shared" si="130"/>
        <v>7.5631980003188387E-6</v>
      </c>
      <c r="Z222" s="928">
        <f t="shared" si="131"/>
        <v>1.0677083239353157E-5</v>
      </c>
      <c r="AA222" s="866"/>
      <c r="AB222" s="914" t="s">
        <v>393</v>
      </c>
      <c r="AC222" s="914" t="str">
        <f t="shared" si="132"/>
        <v>WH_Det-D_COAHAR_X0</v>
      </c>
      <c r="AD222" s="915" t="str">
        <f t="shared" si="132"/>
        <v>Residential Water Heating Detached-D_Anthracite + Manufactured Ovoids to Residential_Existing 00</v>
      </c>
      <c r="AE222" s="914" t="s">
        <v>53</v>
      </c>
      <c r="AF222" s="916" t="s">
        <v>406</v>
      </c>
      <c r="AG222" s="914"/>
      <c r="AH222" s="914"/>
      <c r="AI222" s="840"/>
      <c r="AJ222" s="840"/>
      <c r="AK222" s="840"/>
      <c r="AL222" s="840"/>
      <c r="AM222" s="840"/>
      <c r="AN222" s="840"/>
      <c r="AO222" s="840"/>
    </row>
    <row r="223" spans="1:41">
      <c r="A223" s="973" t="s">
        <v>118</v>
      </c>
      <c r="B223" s="758" t="s">
        <v>668</v>
      </c>
      <c r="C223" s="758">
        <f>SUMIFS(INDEX(Table91517[],,MATCH(C$144,Table91517[#Headers],0)),Table91517[MainWaterHeatingFuel],$B223,Table91517[EnergyRating (group)],$A223)</f>
        <v>150981</v>
      </c>
      <c r="D223" s="758">
        <f>SUMIFS(INDEX(Table91517[],,MATCH(D$144,Table91517[#Headers],0)),Table91517[MainWaterHeatingFuel],$B223,Table91517[EnergyRating (group)],$A223)</f>
        <v>137255</v>
      </c>
      <c r="E223" s="759">
        <f>SUMIFS(INDEX(Table91517[],,MATCH(E$144,Table91517[#Headers],0)),Table91517[MainWaterHeatingFuel],$B223,Table91517[EnergyRating (group)],$A223)</f>
        <v>34901</v>
      </c>
      <c r="F223" s="759">
        <f>SUMIFS(INDEX(Table91517[],,MATCH(F$144,Table91517[#Headers],0)),Table91517[MainWaterHeatingFuel],$B223,Table91517[EnergyRating (group)],$A223)</f>
        <v>12927</v>
      </c>
      <c r="G223" s="758">
        <f>SUMIFS(INDEX(Table91517[],,MATCH(G$144,Table91517[#Headers],0)),Table91517[MainWaterHeatingFuel],$B223,Table91517[EnergyRating (group)],$A223)</f>
        <v>29</v>
      </c>
      <c r="H223" s="758">
        <f>SUMIFS(INDEX(Table91517[],,MATCH(H$144,Table91517[#Headers],0)),Table91517[MainWaterHeatingFuel],$B223,Table91517[EnergyRating (group)],$A223)</f>
        <v>3875</v>
      </c>
      <c r="I223" s="960"/>
      <c r="J223" s="980">
        <f t="shared" si="134"/>
        <v>185882</v>
      </c>
      <c r="K223" s="981">
        <f t="shared" si="134"/>
        <v>150182</v>
      </c>
      <c r="L223" s="840"/>
      <c r="M223" s="840"/>
      <c r="N223" s="933" t="str">
        <f>RSD_Commodities!$M$86&amp;"_"&amp;RIGHT(P223,LEN(P223)-3)&amp;"_"&amp;SETUP!$B$69</f>
        <v>WH_Det-D_BIOWOO_X2</v>
      </c>
      <c r="O223" s="933" t="str">
        <f>RSD_Commodities!$N$86&amp;"_"&amp;RSD_Commodities!D36&amp;"_"&amp;SETUP!$C$69</f>
        <v>Residential Water Heating Detached-D_Residential Cooking_Existing 02</v>
      </c>
      <c r="P223" s="934" t="str">
        <f>RSD_Commodities!$C$19</f>
        <v>RSDBIOWOO</v>
      </c>
      <c r="Q223" s="66" t="str">
        <f>RSD_Commodities!$M$86</f>
        <v>WH_Det-D</v>
      </c>
      <c r="R223" s="985">
        <f t="shared" si="133"/>
        <v>4.7035162838977553E-4</v>
      </c>
      <c r="S223" s="66">
        <f>R223*DwellingStocks!$I$67/1000</f>
        <v>2.2336495369142891E-2</v>
      </c>
      <c r="T223" s="83">
        <v>1</v>
      </c>
      <c r="U223" s="987">
        <f t="shared" si="129"/>
        <v>0.80794267330887337</v>
      </c>
      <c r="V223" s="83">
        <v>20</v>
      </c>
      <c r="W223" s="66">
        <v>1</v>
      </c>
      <c r="X223" s="866"/>
      <c r="Y223" s="926">
        <f t="shared" si="130"/>
        <v>1.3785778962446376E-6</v>
      </c>
      <c r="Z223" s="926">
        <f t="shared" si="131"/>
        <v>1.7062818214549396E-6</v>
      </c>
      <c r="AA223" s="866"/>
      <c r="AB223" s="66" t="s">
        <v>393</v>
      </c>
      <c r="AC223" s="66" t="str">
        <f t="shared" si="132"/>
        <v>WH_Det-D_BIOWOO_X2</v>
      </c>
      <c r="AD223" s="83" t="str">
        <f t="shared" si="132"/>
        <v>Residential Water Heating Detached-D_Residential Cooking_Existing 02</v>
      </c>
      <c r="AE223" s="66" t="s">
        <v>53</v>
      </c>
      <c r="AF223" s="88" t="s">
        <v>406</v>
      </c>
      <c r="AG223" s="66"/>
      <c r="AH223" s="66"/>
      <c r="AI223" s="840"/>
      <c r="AJ223" s="840"/>
      <c r="AK223" s="840"/>
      <c r="AL223" s="840"/>
      <c r="AM223" s="840"/>
      <c r="AN223" s="840"/>
      <c r="AO223" s="840"/>
    </row>
    <row r="224" spans="1:41">
      <c r="A224" s="972" t="s">
        <v>118</v>
      </c>
      <c r="B224" s="757" t="s">
        <v>671</v>
      </c>
      <c r="C224" s="757">
        <f>SUMIFS(INDEX(Table91517[],,MATCH(C$144,Table91517[#Headers],0)),Table91517[MainWaterHeatingFuel],$B224,Table91517[EnergyRating (group)],$A224)</f>
        <v>425323</v>
      </c>
      <c r="D224" s="757">
        <f>SUMIFS(INDEX(Table91517[],,MATCH(D$144,Table91517[#Headers],0)),Table91517[MainWaterHeatingFuel],$B224,Table91517[EnergyRating (group)],$A224)</f>
        <v>386660</v>
      </c>
      <c r="E224" s="760">
        <f>SUMIFS(INDEX(Table91517[],,MATCH(E$144,Table91517[#Headers],0)),Table91517[MainWaterHeatingFuel],$B224,Table91517[EnergyRating (group)],$A224)</f>
        <v>114288</v>
      </c>
      <c r="F224" s="760">
        <f>SUMIFS(INDEX(Table91517[],,MATCH(F$144,Table91517[#Headers],0)),Table91517[MainWaterHeatingFuel],$B224,Table91517[EnergyRating (group)],$A224)</f>
        <v>42328</v>
      </c>
      <c r="G224" s="757">
        <f>SUMIFS(INDEX(Table91517[],,MATCH(G$144,Table91517[#Headers],0)),Table91517[MainWaterHeatingFuel],$B224,Table91517[EnergyRating (group)],$A224)</f>
        <v>60</v>
      </c>
      <c r="H224" s="757">
        <f>SUMIFS(INDEX(Table91517[],,MATCH(H$144,Table91517[#Headers],0)),Table91517[MainWaterHeatingFuel],$B224,Table91517[EnergyRating (group)],$A224)</f>
        <v>8648</v>
      </c>
      <c r="I224" s="959"/>
      <c r="J224" s="978">
        <f t="shared" si="134"/>
        <v>539611</v>
      </c>
      <c r="K224" s="979">
        <f t="shared" si="134"/>
        <v>428988</v>
      </c>
      <c r="L224" s="840"/>
      <c r="M224" s="840"/>
      <c r="N224" s="914" t="str">
        <f>RSD_Commodities!$M$86&amp;"_"&amp;RIGHT(P224,LEN(P224)-3)&amp;"_"&amp;SETUP!$B$67</f>
        <v>WH_Det-D_PEA_X0</v>
      </c>
      <c r="O224" s="914" t="str">
        <f>RSD_Commodities!$N$86&amp;"_"&amp;RSD_Commodities!$D$10&amp;"_"&amp;SETUP!$C$67</f>
        <v>Residential Water Heating Detached-D_Peat to Residential_Existing 00</v>
      </c>
      <c r="P224" s="915" t="str">
        <f>RSD_Commodities!$C$10</f>
        <v>RSDPEA</v>
      </c>
      <c r="Q224" s="914" t="str">
        <f>RSD_Commodities!$M$86</f>
        <v>WH_Det-D</v>
      </c>
      <c r="R224" s="984">
        <f t="shared" si="133"/>
        <v>9.7314130011677698E-4</v>
      </c>
      <c r="S224" s="914">
        <f>R224*DwellingStocks!$I$67/1000</f>
        <v>4.6213438694778397E-2</v>
      </c>
      <c r="T224" s="915">
        <v>1</v>
      </c>
      <c r="U224" s="986">
        <f t="shared" si="129"/>
        <v>0.79499491300214409</v>
      </c>
      <c r="V224" s="915">
        <v>20</v>
      </c>
      <c r="W224" s="914">
        <v>1</v>
      </c>
      <c r="X224" s="840"/>
      <c r="Y224" s="928">
        <f t="shared" si="130"/>
        <v>8.1472646460803832E-6</v>
      </c>
      <c r="Z224" s="928">
        <f t="shared" si="131"/>
        <v>1.0248197205833453E-5</v>
      </c>
      <c r="AA224" s="840"/>
      <c r="AB224" s="914" t="s">
        <v>393</v>
      </c>
      <c r="AC224" s="914" t="str">
        <f t="shared" si="132"/>
        <v>WH_Det-D_PEA_X0</v>
      </c>
      <c r="AD224" s="915" t="str">
        <f t="shared" si="132"/>
        <v>Residential Water Heating Detached-D_Peat to Residential_Existing 00</v>
      </c>
      <c r="AE224" s="914" t="s">
        <v>53</v>
      </c>
      <c r="AF224" s="916" t="s">
        <v>406</v>
      </c>
      <c r="AG224" s="914"/>
      <c r="AH224" s="914"/>
      <c r="AI224" s="840"/>
      <c r="AJ224" s="840"/>
      <c r="AK224" s="840"/>
      <c r="AL224" s="840"/>
      <c r="AM224" s="840"/>
      <c r="AN224" s="840"/>
      <c r="AO224" s="840"/>
    </row>
    <row r="225" spans="1:41">
      <c r="A225" s="973" t="s">
        <v>118</v>
      </c>
      <c r="B225" s="994" t="s">
        <v>667</v>
      </c>
      <c r="C225" s="758">
        <f>SUMIFS(INDEX(Table91517[],,MATCH(C$144,Table91517[#Headers],0)),Table91517[MainWaterHeatingFuel],$B225,Table91517[EnergyRating (group)],$A225)</f>
        <v>102177</v>
      </c>
      <c r="D225" s="758">
        <f>SUMIFS(INDEX(Table91517[],,MATCH(D$144,Table91517[#Headers],0)),Table91517[MainWaterHeatingFuel],$B225,Table91517[EnergyRating (group)],$A225)</f>
        <v>92888</v>
      </c>
      <c r="E225" s="758">
        <f>SUMIFS(INDEX(Table91517[],,MATCH(E$144,Table91517[#Headers],0)),Table91517[MainWaterHeatingFuel],$B225,Table91517[EnergyRating (group)],$A225)</f>
        <v>30466</v>
      </c>
      <c r="F225" s="758">
        <f>SUMIFS(INDEX(Table91517[],,MATCH(F$144,Table91517[#Headers],0)),Table91517[MainWaterHeatingFuel],$B225,Table91517[EnergyRating (group)],$A225)</f>
        <v>11285</v>
      </c>
      <c r="G225" s="758">
        <f>SUMIFS(INDEX(Table91517[],,MATCH(G$144,Table91517[#Headers],0)),Table91517[MainWaterHeatingFuel],$B225,Table91517[EnergyRating (group)],$A225)</f>
        <v>16</v>
      </c>
      <c r="H225" s="758">
        <f>SUMIFS(INDEX(Table91517[],,MATCH(H$144,Table91517[#Headers],0)),Table91517[MainWaterHeatingFuel],$B225,Table91517[EnergyRating (group)],$A225)</f>
        <v>2295</v>
      </c>
      <c r="I225" s="960"/>
      <c r="J225" s="980">
        <f t="shared" si="134"/>
        <v>132643</v>
      </c>
      <c r="K225" s="981">
        <f t="shared" si="134"/>
        <v>104173</v>
      </c>
      <c r="L225" s="840"/>
      <c r="M225" s="840"/>
      <c r="N225" s="66" t="str">
        <f>RSD_Commodities!$M$86&amp;"_"&amp;RIGHT(P225,LEN(P225)-3)&amp;"_"&amp;SETUP!$B$68</f>
        <v>WH_Det-D_PEA_X1</v>
      </c>
      <c r="O225" s="66" t="str">
        <f>RSD_Commodities!$N$86&amp;"_"&amp;RSD_Commodities!$D$10&amp;"_"&amp;SETUP!$C$68</f>
        <v>Residential Water Heating Detached-D_Peat to Residential_Existing 01</v>
      </c>
      <c r="P225" s="83" t="str">
        <f>RSD_Commodities!$C$10</f>
        <v>RSDPEA</v>
      </c>
      <c r="Q225" s="66" t="str">
        <f>RSD_Commodities!$M$86</f>
        <v>WH_Det-D</v>
      </c>
      <c r="R225" s="985">
        <f t="shared" si="133"/>
        <v>2.5950434669780721E-4</v>
      </c>
      <c r="S225" s="66">
        <f>R225*DwellingStocks!$I$67/1000</f>
        <v>1.2323583651940908E-2</v>
      </c>
      <c r="T225" s="83">
        <v>1</v>
      </c>
      <c r="U225" s="987">
        <f t="shared" si="129"/>
        <v>0.7853637206637365</v>
      </c>
      <c r="V225" s="83">
        <v>20</v>
      </c>
      <c r="W225" s="66">
        <v>1</v>
      </c>
      <c r="X225" s="840"/>
      <c r="Y225" s="926">
        <f t="shared" si="130"/>
        <v>5.2758274511245497E-7</v>
      </c>
      <c r="Z225" s="926">
        <f t="shared" si="131"/>
        <v>6.7176867384016366E-7</v>
      </c>
      <c r="AA225" s="840"/>
      <c r="AB225" s="66" t="s">
        <v>393</v>
      </c>
      <c r="AC225" s="66" t="str">
        <f t="shared" si="132"/>
        <v>WH_Det-D_PEA_X1</v>
      </c>
      <c r="AD225" s="83" t="str">
        <f t="shared" si="132"/>
        <v>Residential Water Heating Detached-D_Peat to Residential_Existing 01</v>
      </c>
      <c r="AE225" s="66" t="s">
        <v>53</v>
      </c>
      <c r="AF225" s="88" t="s">
        <v>406</v>
      </c>
      <c r="AG225" s="66"/>
      <c r="AH225" s="66"/>
      <c r="AI225" s="840"/>
      <c r="AJ225" s="840"/>
      <c r="AK225" s="840"/>
      <c r="AL225" s="840"/>
      <c r="AM225" s="840"/>
      <c r="AN225" s="840"/>
      <c r="AO225" s="840"/>
    </row>
    <row r="226" spans="1:41">
      <c r="A226" s="972" t="s">
        <v>118</v>
      </c>
      <c r="B226" s="757" t="s">
        <v>666</v>
      </c>
      <c r="C226" s="757">
        <f>SUMIFS(INDEX(Table91517[],,MATCH(C$144,Table91517[#Headers],0)),Table91517[MainWaterHeatingFuel],$B226,Table91517[EnergyRating (group)],$A226)</f>
        <v>656416</v>
      </c>
      <c r="D226" s="757">
        <f>SUMIFS(INDEX(Table91517[],,MATCH(D$144,Table91517[#Headers],0)),Table91517[MainWaterHeatingFuel],$B226,Table91517[EnergyRating (group)],$A226)</f>
        <v>596747</v>
      </c>
      <c r="E226" s="760">
        <f>SUMIFS(INDEX(Table91517[],,MATCH(E$144,Table91517[#Headers],0)),Table91517[MainWaterHeatingFuel],$B226,Table91517[EnergyRating (group)],$A226)</f>
        <v>174926</v>
      </c>
      <c r="F226" s="760">
        <f>SUMIFS(INDEX(Table91517[],,MATCH(F$144,Table91517[#Headers],0)),Table91517[MainWaterHeatingFuel],$B226,Table91517[EnergyRating (group)],$A226)</f>
        <v>64790</v>
      </c>
      <c r="G226" s="757">
        <f>SUMIFS(INDEX(Table91517[],,MATCH(G$144,Table91517[#Headers],0)),Table91517[MainWaterHeatingFuel],$B226,Table91517[EnergyRating (group)],$A226)</f>
        <v>111</v>
      </c>
      <c r="H226" s="757">
        <f>SUMIFS(INDEX(Table91517[],,MATCH(H$144,Table91517[#Headers],0)),Table91517[MainWaterHeatingFuel],$B226,Table91517[EnergyRating (group)],$A226)</f>
        <v>14378</v>
      </c>
      <c r="I226" s="959"/>
      <c r="J226" s="978">
        <f t="shared" si="134"/>
        <v>831342</v>
      </c>
      <c r="K226" s="979">
        <f t="shared" si="134"/>
        <v>661537</v>
      </c>
      <c r="L226" s="840"/>
      <c r="M226" s="840"/>
      <c r="N226" s="914" t="str">
        <f>RSD_Commodities!$M$86&amp;"_"&amp;RIGHT(P226,LEN(P226)-3)&amp;"_"&amp;SETUP!$B$67</f>
        <v>WH_Det-D_COABIT_X0</v>
      </c>
      <c r="O226" s="914" t="str">
        <f>RSD_Commodities!$N$86&amp;"_"&amp;RSD_Commodities!D23&amp;"_"&amp;SETUP!$C$67</f>
        <v>Residential Water Heating Detached-D_Ethanol to Residential_Existing 00</v>
      </c>
      <c r="P226" s="915" t="str">
        <f>RSD_Commodities!$C$6</f>
        <v>RSDCOABIT</v>
      </c>
      <c r="Q226" s="914" t="str">
        <f>RSD_Commodities!$M$86</f>
        <v>WH_Det-D</v>
      </c>
      <c r="R226" s="984">
        <f t="shared" si="133"/>
        <v>1.8003114052160373E-3</v>
      </c>
      <c r="S226" s="914">
        <f>R226*DwellingStocks!$I$67/1000</f>
        <v>8.5494861585340032E-2</v>
      </c>
      <c r="T226" s="915">
        <v>1</v>
      </c>
      <c r="U226" s="986">
        <f t="shared" si="129"/>
        <v>0.79574591443713893</v>
      </c>
      <c r="V226" s="915">
        <v>20</v>
      </c>
      <c r="W226" s="914">
        <v>1</v>
      </c>
      <c r="X226" s="840"/>
      <c r="Y226" s="928">
        <f t="shared" si="130"/>
        <v>2.3243019554211411E-5</v>
      </c>
      <c r="Z226" s="928">
        <f t="shared" si="131"/>
        <v>2.9209096939758813E-5</v>
      </c>
      <c r="AA226" s="840"/>
      <c r="AB226" s="914" t="s">
        <v>393</v>
      </c>
      <c r="AC226" s="914" t="str">
        <f t="shared" si="132"/>
        <v>WH_Det-D_COABIT_X0</v>
      </c>
      <c r="AD226" s="915" t="str">
        <f t="shared" si="132"/>
        <v>Residential Water Heating Detached-D_Ethanol to Residential_Existing 00</v>
      </c>
      <c r="AE226" s="914" t="s">
        <v>53</v>
      </c>
      <c r="AF226" s="916" t="s">
        <v>406</v>
      </c>
      <c r="AG226" s="914"/>
      <c r="AH226" s="914"/>
      <c r="AI226" s="840"/>
      <c r="AJ226" s="840"/>
      <c r="AK226" s="840"/>
      <c r="AL226" s="840"/>
      <c r="AM226" s="840"/>
      <c r="AN226" s="840"/>
      <c r="AO226" s="840"/>
    </row>
    <row r="227" spans="1:41">
      <c r="A227" s="973" t="s">
        <v>118</v>
      </c>
      <c r="B227" s="758" t="s">
        <v>673</v>
      </c>
      <c r="C227" s="758">
        <f>SUMIFS(INDEX(Table91517[],,MATCH(C$144,Table91517[#Headers],0)),Table91517[MainWaterHeatingFuel],$B227,Table91517[EnergyRating (group)],$A227)</f>
        <v>392430</v>
      </c>
      <c r="D227" s="758">
        <f>SUMIFS(INDEX(Table91517[],,MATCH(D$144,Table91517[#Headers],0)),Table91517[MainWaterHeatingFuel],$B227,Table91517[EnergyRating (group)],$A227)</f>
        <v>356757</v>
      </c>
      <c r="E227" s="758">
        <f>SUMIFS(INDEX(Table91517[],,MATCH(E$144,Table91517[#Headers],0)),Table91517[MainWaterHeatingFuel],$B227,Table91517[EnergyRating (group)],$A227)</f>
        <v>81084</v>
      </c>
      <c r="F227" s="758">
        <f>SUMIFS(INDEX(Table91517[],,MATCH(F$144,Table91517[#Headers],0)),Table91517[MainWaterHeatingFuel],$B227,Table91517[EnergyRating (group)],$A227)</f>
        <v>30031</v>
      </c>
      <c r="G227" s="758">
        <f>SUMIFS(INDEX(Table91517[],,MATCH(G$144,Table91517[#Headers],0)),Table91517[MainWaterHeatingFuel],$B227,Table91517[EnergyRating (group)],$A227)</f>
        <v>72</v>
      </c>
      <c r="H227" s="758">
        <f>SUMIFS(INDEX(Table91517[],,MATCH(H$144,Table91517[#Headers],0)),Table91517[MainWaterHeatingFuel],$B227,Table91517[EnergyRating (group)],$A227)</f>
        <v>10553</v>
      </c>
      <c r="I227" s="960"/>
      <c r="J227" s="980">
        <f t="shared" si="134"/>
        <v>473514</v>
      </c>
      <c r="K227" s="981">
        <f t="shared" si="134"/>
        <v>386788</v>
      </c>
      <c r="L227" s="840"/>
      <c r="M227" s="840"/>
      <c r="N227" s="66" t="str">
        <f>RSD_Commodities!$M$86&amp;"_"&amp;RIGHT(P227,LEN(P227)-3)&amp;"_"&amp;SETUP!$B$68</f>
        <v>WH_Det-D_BIOWOO_X1</v>
      </c>
      <c r="O227" s="66" t="str">
        <f>RSD_Commodities!$N$86&amp;"_"&amp;RSD_Commodities!D19&amp;"_"&amp;SETUP!$C$68</f>
        <v>Residential Water Heating Detached-D_Biomass &amp; Renewable Waste to Residential_Existing 01</v>
      </c>
      <c r="P227" s="83" t="str">
        <f>RSD_Commodities!$C$19</f>
        <v>RSDBIOWOO</v>
      </c>
      <c r="Q227" s="66" t="str">
        <f>RSD_Commodities!$M$86</f>
        <v>WH_Det-D</v>
      </c>
      <c r="R227" s="985">
        <f t="shared" si="133"/>
        <v>1.1677695601401323E-3</v>
      </c>
      <c r="S227" s="66">
        <f>R227*DwellingStocks!$I$67/1000</f>
        <v>5.5456126433734078E-2</v>
      </c>
      <c r="T227" s="83">
        <v>1</v>
      </c>
      <c r="U227" s="987">
        <f t="shared" si="129"/>
        <v>0.81684596442766211</v>
      </c>
      <c r="V227" s="83">
        <v>20</v>
      </c>
      <c r="W227" s="66">
        <v>1</v>
      </c>
      <c r="X227" s="840"/>
      <c r="Y227" s="926">
        <f t="shared" si="130"/>
        <v>8.8149716018018388E-6</v>
      </c>
      <c r="Z227" s="926">
        <f t="shared" si="131"/>
        <v>1.0791473528278011E-5</v>
      </c>
      <c r="AA227" s="840"/>
      <c r="AB227" s="66" t="s">
        <v>393</v>
      </c>
      <c r="AC227" s="66" t="str">
        <f t="shared" si="132"/>
        <v>WH_Det-D_BIOWOO_X1</v>
      </c>
      <c r="AD227" s="83" t="str">
        <f t="shared" si="132"/>
        <v>Residential Water Heating Detached-D_Biomass &amp; Renewable Waste to Residential_Existing 01</v>
      </c>
      <c r="AE227" s="66" t="s">
        <v>53</v>
      </c>
      <c r="AF227" s="88" t="s">
        <v>406</v>
      </c>
      <c r="AG227" s="66"/>
      <c r="AH227" s="66"/>
      <c r="AI227" s="840"/>
      <c r="AJ227" s="840"/>
      <c r="AK227" s="840"/>
      <c r="AL227" s="840"/>
      <c r="AM227" s="840"/>
      <c r="AN227" s="840"/>
      <c r="AO227" s="840"/>
    </row>
    <row r="228" spans="1:41">
      <c r="A228" s="972" t="s">
        <v>118</v>
      </c>
      <c r="B228" s="757" t="s">
        <v>722</v>
      </c>
      <c r="C228" s="757">
        <f>SUMIFS(INDEX(Table91517[],,MATCH(C$144,Table91517[#Headers],0)),Table91517[MainWaterHeatingFuel],$B228,Table91517[EnergyRating (group)],$A228)</f>
        <v>38086</v>
      </c>
      <c r="D228" s="757">
        <f>SUMIFS(INDEX(Table91517[],,MATCH(D$144,Table91517[#Headers],0)),Table91517[MainWaterHeatingFuel],$B228,Table91517[EnergyRating (group)],$A228)</f>
        <v>34623</v>
      </c>
      <c r="E228" s="757">
        <f>SUMIFS(INDEX(Table91517[],,MATCH(E$144,Table91517[#Headers],0)),Table91517[MainWaterHeatingFuel],$B228,Table91517[EnergyRating (group)],$A228)</f>
        <v>9460</v>
      </c>
      <c r="F228" s="757">
        <f>SUMIFS(INDEX(Table91517[],,MATCH(F$144,Table91517[#Headers],0)),Table91517[MainWaterHeatingFuel],$B228,Table91517[EnergyRating (group)],$A228)</f>
        <v>3503</v>
      </c>
      <c r="G228" s="757">
        <f>SUMIFS(INDEX(Table91517[],,MATCH(G$144,Table91517[#Headers],0)),Table91517[MainWaterHeatingFuel],$B228,Table91517[EnergyRating (group)],$A228)</f>
        <v>6</v>
      </c>
      <c r="H228" s="757">
        <f>SUMIFS(INDEX(Table91517[],,MATCH(H$144,Table91517[#Headers],0)),Table91517[MainWaterHeatingFuel],$B228,Table91517[EnergyRating (group)],$A228)</f>
        <v>1079</v>
      </c>
      <c r="I228" s="961"/>
      <c r="J228" s="978">
        <f t="shared" si="134"/>
        <v>47546</v>
      </c>
      <c r="K228" s="979">
        <f t="shared" si="134"/>
        <v>38126</v>
      </c>
      <c r="L228" s="840"/>
      <c r="M228" s="840"/>
      <c r="N228" s="914" t="str">
        <f>RSD_Commodities!$M$86&amp;"_"&amp;RIGHT(P228,LEN(P228)-3)&amp;"_"&amp;SETUP!$B$68</f>
        <v>WH_Det-D_BIOWOO_X1</v>
      </c>
      <c r="O228" s="914" t="str">
        <f>RSD_Commodities!$N$86&amp;"_"&amp;RSD_Commodities!D19&amp;"_"&amp;SETUP!$C$68</f>
        <v>Residential Water Heating Detached-D_Biomass &amp; Renewable Waste to Residential_Existing 01</v>
      </c>
      <c r="P228" s="915" t="str">
        <f>RSD_Commodities!$C$19</f>
        <v>RSDBIOWOO</v>
      </c>
      <c r="Q228" s="914" t="str">
        <f>RSD_Commodities!$M$86</f>
        <v>WH_Det-D</v>
      </c>
      <c r="R228" s="984">
        <f t="shared" si="133"/>
        <v>9.731413001167769E-5</v>
      </c>
      <c r="S228" s="914">
        <f>R228*DwellingStocks!$I$67/1000</f>
        <v>4.6213438694778395E-3</v>
      </c>
      <c r="T228" s="915">
        <v>1</v>
      </c>
      <c r="U228" s="986">
        <f t="shared" si="129"/>
        <v>0.80187607790350401</v>
      </c>
      <c r="V228" s="915">
        <v>20</v>
      </c>
      <c r="W228" s="914">
        <v>1</v>
      </c>
      <c r="X228" s="840"/>
      <c r="Y228" s="928">
        <f t="shared" si="130"/>
        <v>7.2408228644265266E-8</v>
      </c>
      <c r="Z228" s="928">
        <f t="shared" si="131"/>
        <v>9.029852696638085E-8</v>
      </c>
      <c r="AA228" s="840"/>
      <c r="AB228" s="914" t="s">
        <v>393</v>
      </c>
      <c r="AC228" s="914" t="str">
        <f t="shared" si="132"/>
        <v>WH_Det-D_BIOWOO_X1</v>
      </c>
      <c r="AD228" s="915" t="str">
        <f t="shared" si="132"/>
        <v>Residential Water Heating Detached-D_Biomass &amp; Renewable Waste to Residential_Existing 01</v>
      </c>
      <c r="AE228" s="914" t="s">
        <v>53</v>
      </c>
      <c r="AF228" s="916" t="s">
        <v>406</v>
      </c>
      <c r="AG228" s="914"/>
      <c r="AH228" s="914"/>
      <c r="AI228" s="840"/>
      <c r="AJ228" s="840"/>
      <c r="AK228" s="840"/>
      <c r="AL228" s="840"/>
      <c r="AM228" s="840"/>
      <c r="AN228" s="840"/>
      <c r="AO228" s="840"/>
    </row>
    <row r="229" spans="1:41" ht="15.75" thickBot="1">
      <c r="A229" s="973" t="s">
        <v>118</v>
      </c>
      <c r="B229" s="758" t="s">
        <v>674</v>
      </c>
      <c r="C229" s="758">
        <f>SUMIFS(INDEX(Table91517[],,MATCH(C$144,Table91517[#Headers],0)),Table91517[MainWaterHeatingFuel],$B229,Table91517[EnergyRating (group)],$A229)</f>
        <v>25577</v>
      </c>
      <c r="D229" s="758">
        <f>SUMIFS(INDEX(Table91517[],,MATCH(D$144,Table91517[#Headers],0)),Table91517[MainWaterHeatingFuel],$B229,Table91517[EnergyRating (group)],$A229)</f>
        <v>23252</v>
      </c>
      <c r="E229" s="759">
        <f>SUMIFS(INDEX(Table91517[],,MATCH(E$144,Table91517[#Headers],0)),Table91517[MainWaterHeatingFuel],$B229,Table91517[EnergyRating (group)],$A229)</f>
        <v>6780</v>
      </c>
      <c r="F229" s="759">
        <f>SUMIFS(INDEX(Table91517[],,MATCH(F$144,Table91517[#Headers],0)),Table91517[MainWaterHeatingFuel],$B229,Table91517[EnergyRating (group)],$A229)</f>
        <v>2511</v>
      </c>
      <c r="G229" s="758">
        <f>SUMIFS(INDEX(Table91517[],,MATCH(G$144,Table91517[#Headers],0)),Table91517[MainWaterHeatingFuel],$B229,Table91517[EnergyRating (group)],$A229)</f>
        <v>4</v>
      </c>
      <c r="H229" s="758">
        <f>SUMIFS(INDEX(Table91517[],,MATCH(H$144,Table91517[#Headers],0)),Table91517[MainWaterHeatingFuel],$B229,Table91517[EnergyRating (group)],$A229)</f>
        <v>468</v>
      </c>
      <c r="I229" s="960"/>
      <c r="J229" s="980">
        <f t="shared" si="134"/>
        <v>32357</v>
      </c>
      <c r="K229" s="981">
        <f t="shared" si="134"/>
        <v>25763</v>
      </c>
      <c r="L229" s="840"/>
      <c r="M229" s="840"/>
      <c r="N229" s="66" t="str">
        <f>RSD_Commodities!$M$86&amp;"_"&amp;RIGHT(P229,LEN(P229)-3)&amp;"_"&amp;SETUP!$B$68</f>
        <v>WH_Det-D_COAHAR_X1</v>
      </c>
      <c r="O229" s="66" t="str">
        <f>RSD_Commodities!$N$86&amp;"_"&amp;RSD_Commodities!D24&amp;"_"&amp;SETUP!$C$68</f>
        <v>Residential Water Heating Detached-D_Biodiesel to Residential_Existing 01</v>
      </c>
      <c r="P229" s="83" t="str">
        <f>RSD_Commodities!$C$7</f>
        <v>RSDCOAHAR</v>
      </c>
      <c r="Q229" s="66" t="str">
        <f>RSD_Commodities!$M$86</f>
        <v>WH_Det-D</v>
      </c>
      <c r="R229" s="985">
        <f t="shared" si="133"/>
        <v>6.4876086674451802E-5</v>
      </c>
      <c r="S229" s="66">
        <f>R229*DwellingStocks!$I$67/1000</f>
        <v>3.0808959129852271E-3</v>
      </c>
      <c r="T229" s="83">
        <v>1</v>
      </c>
      <c r="U229" s="987">
        <f t="shared" si="129"/>
        <v>0.7962110207992088</v>
      </c>
      <c r="V229" s="83">
        <v>20</v>
      </c>
      <c r="W229" s="66">
        <v>1</v>
      </c>
      <c r="X229" s="840"/>
      <c r="Y229" s="926">
        <f t="shared" si="130"/>
        <v>3.2619090988865105E-8</v>
      </c>
      <c r="Z229" s="926">
        <f t="shared" si="131"/>
        <v>4.0967896872519044E-8</v>
      </c>
      <c r="AA229" s="840"/>
      <c r="AB229" s="66" t="s">
        <v>393</v>
      </c>
      <c r="AC229" s="66" t="str">
        <f t="shared" si="132"/>
        <v>WH_Det-D_COAHAR_X1</v>
      </c>
      <c r="AD229" s="83" t="str">
        <f t="shared" si="132"/>
        <v>Residential Water Heating Detached-D_Biodiesel to Residential_Existing 01</v>
      </c>
      <c r="AE229" s="66" t="s">
        <v>53</v>
      </c>
      <c r="AF229" s="88" t="s">
        <v>406</v>
      </c>
      <c r="AG229" s="66"/>
      <c r="AH229" s="66"/>
      <c r="AI229" s="840"/>
      <c r="AJ229" s="840"/>
      <c r="AK229" s="840"/>
      <c r="AL229" s="840"/>
      <c r="AM229" s="840"/>
      <c r="AN229" s="840"/>
      <c r="AO229" s="840"/>
    </row>
    <row r="230" spans="1:41" ht="15.75" thickBot="1">
      <c r="A230" s="756" t="s">
        <v>120</v>
      </c>
      <c r="B230" s="1048"/>
      <c r="C230" s="1049"/>
      <c r="D230" s="1049"/>
      <c r="E230" s="1049"/>
      <c r="F230" s="1049"/>
      <c r="G230" s="1049"/>
      <c r="H230" s="1049"/>
      <c r="I230" s="1049"/>
      <c r="J230" s="1054"/>
      <c r="K230" s="1055"/>
      <c r="L230" s="840"/>
      <c r="M230" s="840"/>
      <c r="N230" s="76" t="str">
        <f>AB230</f>
        <v>*E Rating</v>
      </c>
      <c r="O230" s="76"/>
      <c r="P230" s="76"/>
      <c r="Q230" s="76"/>
      <c r="R230" s="949">
        <f>SUM(R231:R246)</f>
        <v>1.0000000000000002</v>
      </c>
      <c r="S230" s="76"/>
      <c r="T230" s="97"/>
      <c r="U230" s="76"/>
      <c r="V230" s="76"/>
      <c r="W230" s="76"/>
      <c r="X230" s="840"/>
      <c r="Y230" s="76"/>
      <c r="Z230" s="76"/>
      <c r="AA230" s="840"/>
      <c r="AB230" s="140" t="str">
        <f>"*"&amp; A231 &amp; " Rating"</f>
        <v>*E Rating</v>
      </c>
      <c r="AC230" s="141"/>
      <c r="AD230" s="141"/>
      <c r="AE230" s="141"/>
      <c r="AF230" s="141"/>
      <c r="AG230" s="141"/>
      <c r="AH230" s="141"/>
      <c r="AI230" s="840"/>
      <c r="AJ230" s="840"/>
      <c r="AK230" s="840"/>
      <c r="AL230" s="840"/>
      <c r="AM230" s="840"/>
      <c r="AN230" s="840"/>
      <c r="AO230" s="840"/>
    </row>
    <row r="231" spans="1:41">
      <c r="A231" s="972" t="s">
        <v>120</v>
      </c>
      <c r="B231" s="757" t="s">
        <v>582</v>
      </c>
      <c r="C231" s="757">
        <f>SUMIFS(INDEX(Table91517[],,MATCH(C$144,Table91517[#Headers],0)),Table91517[MainWaterHeatingFuel],$B231,Table91517[EnergyRating (group)],$A231)</f>
        <v>1897141</v>
      </c>
      <c r="D231" s="757">
        <f>SUMIFS(INDEX(Table91517[],,MATCH(D$144,Table91517[#Headers],0)),Table91517[MainWaterHeatingFuel],$B231,Table91517[EnergyRating (group)],$A231)</f>
        <v>1724674</v>
      </c>
      <c r="E231" s="760">
        <f>SUMIFS(INDEX(Table91517[],,MATCH(E$144,Table91517[#Headers],0)),Table91517[MainWaterHeatingFuel],$B231,Table91517[EnergyRating (group)],$A231)</f>
        <v>424768</v>
      </c>
      <c r="F231" s="760">
        <f>SUMIFS(INDEX(Table91517[],,MATCH(F$144,Table91517[#Headers],0)),Table91517[MainWaterHeatingFuel],$B231,Table91517[EnergyRating (group)],$A231)</f>
        <v>157320</v>
      </c>
      <c r="G231" s="757">
        <f>SUMIFS(INDEX(Table91517[],,MATCH(G$144,Table91517[#Headers],0)),Table91517[MainWaterHeatingFuel],$B231,Table91517[EnergyRating (group)],$A231)</f>
        <v>362</v>
      </c>
      <c r="H231" s="757">
        <f>SUMIFS(INDEX(Table91517[],,MATCH(H$144,Table91517[#Headers],0)),Table91517[MainWaterHeatingFuel],$B231,Table91517[EnergyRating (group)],$A231)</f>
        <v>46324</v>
      </c>
      <c r="I231" s="959"/>
      <c r="J231" s="989">
        <f t="shared" ref="J231:K246" si="135">C231+E231</f>
        <v>2321909</v>
      </c>
      <c r="K231" s="990">
        <f t="shared" si="135"/>
        <v>1881994</v>
      </c>
      <c r="L231" s="840"/>
      <c r="M231" s="840"/>
      <c r="N231" s="914" t="str">
        <f>RSD_Commodities!$M$87&amp;"_"&amp;RIGHT(P231,LEN(P231)-3)&amp;"_"&amp;SETUP!$B$67</f>
        <v>WH_Det-E_OILLPG_X0</v>
      </c>
      <c r="O231" s="914" t="str">
        <f>RSD_Commodities!$N$87&amp;"_"&amp;RSD_Commodities!D11&amp;"_"&amp;SETUP!$C$67</f>
        <v>Residential Water Heating Detached-E_LPG to Residential_Existing 00</v>
      </c>
      <c r="P231" s="915" t="str">
        <f>RSD_Commodities!$C$11</f>
        <v>RSDOILLPG</v>
      </c>
      <c r="Q231" s="914" t="str">
        <f>RSD_Commodities!$M$87</f>
        <v>WH_Det-E</v>
      </c>
      <c r="R231" s="984">
        <f>G231/SUM($G$231:$G$246)</f>
        <v>1.3084652642232342E-2</v>
      </c>
      <c r="S231" s="914">
        <f>R231*DwellingStocks!$I$68/1000</f>
        <v>0.31127981903595953</v>
      </c>
      <c r="T231" s="915">
        <v>1</v>
      </c>
      <c r="U231" s="986">
        <f>K231/J231</f>
        <v>0.81053736386740394</v>
      </c>
      <c r="V231" s="915">
        <v>20</v>
      </c>
      <c r="W231" s="914">
        <v>1</v>
      </c>
      <c r="X231" s="866"/>
      <c r="Y231" s="928">
        <f>ABS((K231)*S231*1000*$B$2)</f>
        <v>2.4075071989592943E-4</v>
      </c>
      <c r="Z231" s="928">
        <f>ABS((J231)*S231*1000*$B$2)</f>
        <v>2.970260602758764E-4</v>
      </c>
      <c r="AA231" s="866"/>
      <c r="AB231" s="914" t="s">
        <v>393</v>
      </c>
      <c r="AC231" s="914" t="str">
        <f t="shared" ref="AC231:AD246" si="136">N231</f>
        <v>WH_Det-E_OILLPG_X0</v>
      </c>
      <c r="AD231" s="915" t="str">
        <f t="shared" si="136"/>
        <v>Residential Water Heating Detached-E_LPG to Residential_Existing 00</v>
      </c>
      <c r="AE231" s="914" t="s">
        <v>53</v>
      </c>
      <c r="AF231" s="916" t="s">
        <v>406</v>
      </c>
      <c r="AG231" s="914"/>
      <c r="AH231" s="914"/>
      <c r="AI231" s="840"/>
      <c r="AJ231" s="840"/>
      <c r="AK231" s="840"/>
      <c r="AL231" s="840"/>
      <c r="AM231" s="840"/>
      <c r="AN231" s="840"/>
      <c r="AO231" s="840"/>
    </row>
    <row r="232" spans="1:41">
      <c r="A232" s="973" t="s">
        <v>120</v>
      </c>
      <c r="B232" s="758" t="s">
        <v>228</v>
      </c>
      <c r="C232" s="758">
        <f>SUMIFS(INDEX(Table91517[],,MATCH(C$144,Table91517[#Headers],0)),Table91517[MainWaterHeatingFuel],$B232,Table91517[EnergyRating (group)],$A232)</f>
        <v>15411045</v>
      </c>
      <c r="D232" s="758">
        <f>SUMIFS(INDEX(Table91517[],,MATCH(D$144,Table91517[#Headers],0)),Table91517[MainWaterHeatingFuel],$B232,Table91517[EnergyRating (group)],$A232)</f>
        <v>5707796</v>
      </c>
      <c r="E232" s="758">
        <f>SUMIFS(INDEX(Table91517[],,MATCH(E$144,Table91517[#Headers],0)),Table91517[MainWaterHeatingFuel],$B232,Table91517[EnergyRating (group)],$A232)</f>
        <v>54992</v>
      </c>
      <c r="F232" s="758">
        <f>SUMIFS(INDEX(Table91517[],,MATCH(F$144,Table91517[#Headers],0)),Table91517[MainWaterHeatingFuel],$B232,Table91517[EnergyRating (group)],$A232)</f>
        <v>20367</v>
      </c>
      <c r="G232" s="758">
        <f>SUMIFS(INDEX(Table91517[],,MATCH(G$144,Table91517[#Headers],0)),Table91517[MainWaterHeatingFuel],$B232,Table91517[EnergyRating (group)],$A232)</f>
        <v>1933</v>
      </c>
      <c r="H232" s="758">
        <f>SUMIFS(INDEX(Table91517[],,MATCH(H$144,Table91517[#Headers],0)),Table91517[MainWaterHeatingFuel],$B232,Table91517[EnergyRating (group)],$A232)</f>
        <v>216427</v>
      </c>
      <c r="I232" s="960"/>
      <c r="J232" s="980">
        <f t="shared" si="135"/>
        <v>15466037</v>
      </c>
      <c r="K232" s="981">
        <f t="shared" si="135"/>
        <v>5728163</v>
      </c>
      <c r="L232" s="840"/>
      <c r="M232" s="840"/>
      <c r="N232" s="66" t="str">
        <f>RSD_Commodities!$M$87&amp;"_"&amp;RIGHT(P232,LEN(P232)-3)&amp;"_"&amp;SETUP!$B$67</f>
        <v>WH_Det-E_ELCD_X0</v>
      </c>
      <c r="O232" s="66" t="str">
        <f>RSD_Commodities!$N$87&amp;"_"&amp;RSD_Commodities!D27&amp;"_"&amp;SETUP!$C$67</f>
        <v>Residential Water Heating Detached-E_Electricity to Residential_Existing 00</v>
      </c>
      <c r="P232" s="83" t="str">
        <f>RSD_Commodities!$C$27</f>
        <v>RSDELCD</v>
      </c>
      <c r="Q232" s="66" t="str">
        <f>RSD_Commodities!$M$87</f>
        <v>WH_Det-E</v>
      </c>
      <c r="R232" s="985">
        <f t="shared" ref="R232:R246" si="137">G232/SUM($G$231:$G$246)</f>
        <v>6.986915347357768E-2</v>
      </c>
      <c r="S232" s="66">
        <f>R232*DwellingStocks!$I$68/1000</f>
        <v>1.6621654425317949</v>
      </c>
      <c r="T232" s="83">
        <v>1</v>
      </c>
      <c r="U232" s="987">
        <f t="shared" ref="U232:U246" si="138">K232/J232</f>
        <v>0.37037044460710911</v>
      </c>
      <c r="V232" s="83">
        <v>20</v>
      </c>
      <c r="W232" s="66">
        <v>1</v>
      </c>
      <c r="X232" s="866"/>
      <c r="Y232" s="926">
        <f t="shared" ref="Y232:Y246" si="139">ABS((K232)*S232*1000*$B$2)</f>
        <v>3.9128032552558593E-3</v>
      </c>
      <c r="Z232" s="926">
        <f t="shared" ref="Z232:Z246" si="140">ABS((J232)*S232*1000*$B$2)</f>
        <v>1.0564566671637583E-2</v>
      </c>
      <c r="AA232" s="866"/>
      <c r="AB232" s="66" t="s">
        <v>393</v>
      </c>
      <c r="AC232" s="66" t="str">
        <f t="shared" si="136"/>
        <v>WH_Det-E_ELCD_X0</v>
      </c>
      <c r="AD232" s="83" t="str">
        <f t="shared" si="136"/>
        <v>Residential Water Heating Detached-E_Electricity to Residential_Existing 00</v>
      </c>
      <c r="AE232" s="66" t="s">
        <v>53</v>
      </c>
      <c r="AF232" s="88" t="s">
        <v>406</v>
      </c>
      <c r="AG232" s="66"/>
      <c r="AH232" s="66"/>
      <c r="AI232" s="840"/>
      <c r="AJ232" s="840"/>
      <c r="AK232" s="840"/>
      <c r="AL232" s="840"/>
      <c r="AM232" s="840"/>
      <c r="AN232" s="840"/>
      <c r="AO232" s="840"/>
    </row>
    <row r="233" spans="1:41">
      <c r="A233" s="972" t="s">
        <v>120</v>
      </c>
      <c r="B233" s="757" t="s">
        <v>583</v>
      </c>
      <c r="C233" s="757">
        <f>SUMIFS(INDEX(Table91517[],,MATCH(C$144,Table91517[#Headers],0)),Table91517[MainWaterHeatingFuel],$B233,Table91517[EnergyRating (group)],$A233)</f>
        <v>106636374</v>
      </c>
      <c r="D233" s="757">
        <f>SUMIFS(INDEX(Table91517[],,MATCH(D$144,Table91517[#Headers],0)),Table91517[MainWaterHeatingFuel],$B233,Table91517[EnergyRating (group)],$A233)</f>
        <v>96942156</v>
      </c>
      <c r="E233" s="757">
        <f>SUMIFS(INDEX(Table91517[],,MATCH(E$144,Table91517[#Headers],0)),Table91517[MainWaterHeatingFuel],$B233,Table91517[EnergyRating (group)],$A233)</f>
        <v>34637403</v>
      </c>
      <c r="F233" s="757">
        <f>SUMIFS(INDEX(Table91517[],,MATCH(F$144,Table91517[#Headers],0)),Table91517[MainWaterHeatingFuel],$B233,Table91517[EnergyRating (group)],$A233)</f>
        <v>12828667</v>
      </c>
      <c r="G233" s="757">
        <f>SUMIFS(INDEX(Table91517[],,MATCH(G$144,Table91517[#Headers],0)),Table91517[MainWaterHeatingFuel],$B233,Table91517[EnergyRating (group)],$A233)</f>
        <v>19864</v>
      </c>
      <c r="H233" s="757">
        <f>SUMIFS(INDEX(Table91517[],,MATCH(H$144,Table91517[#Headers],0)),Table91517[MainWaterHeatingFuel],$B233,Table91517[EnergyRating (group)],$A233)</f>
        <v>2436947</v>
      </c>
      <c r="I233" s="961"/>
      <c r="J233" s="978">
        <f t="shared" si="135"/>
        <v>141273777</v>
      </c>
      <c r="K233" s="979">
        <f t="shared" si="135"/>
        <v>109770823</v>
      </c>
      <c r="L233" s="840"/>
      <c r="M233" s="840"/>
      <c r="N233" s="914" t="str">
        <f>RSD_Commodities!$M$87&amp;"_"&amp;RIGHT(P233,LEN(P233)-3)&amp;"_"&amp;SETUP!$B$67</f>
        <v>WH_Det-E_OILKER_X0</v>
      </c>
      <c r="O233" s="914" t="str">
        <f>RSD_Commodities!$N$87&amp;"_"&amp;RSD_Commodities!D13&amp;"_"&amp;SETUP!$C$67</f>
        <v>Residential Water Heating Detached-E_Kerosene to Residential_Existing 00</v>
      </c>
      <c r="P233" s="915" t="str">
        <f>RSD_Commodities!$C$13</f>
        <v>RSDOILKER</v>
      </c>
      <c r="Q233" s="914" t="str">
        <f>RSD_Commodities!$M$87</f>
        <v>WH_Det-E</v>
      </c>
      <c r="R233" s="984">
        <f t="shared" si="137"/>
        <v>0.71799320465553385</v>
      </c>
      <c r="S233" s="914">
        <f>R233*DwellingStocks!$I$68/1000</f>
        <v>17.080835152846131</v>
      </c>
      <c r="T233" s="915">
        <v>1</v>
      </c>
      <c r="U233" s="986">
        <f t="shared" si="138"/>
        <v>0.77700777406128241</v>
      </c>
      <c r="V233" s="915">
        <v>20</v>
      </c>
      <c r="W233" s="914">
        <v>1</v>
      </c>
      <c r="X233" s="866"/>
      <c r="Y233" s="928">
        <f t="shared" si="139"/>
        <v>0.77053862969393883</v>
      </c>
      <c r="Z233" s="928">
        <f t="shared" si="140"/>
        <v>0.99167428617408704</v>
      </c>
      <c r="AA233" s="866"/>
      <c r="AB233" s="914" t="s">
        <v>393</v>
      </c>
      <c r="AC233" s="914" t="str">
        <f t="shared" si="136"/>
        <v>WH_Det-E_OILKER_X0</v>
      </c>
      <c r="AD233" s="915" t="str">
        <f t="shared" si="136"/>
        <v>Residential Water Heating Detached-E_Kerosene to Residential_Existing 00</v>
      </c>
      <c r="AE233" s="914" t="s">
        <v>53</v>
      </c>
      <c r="AF233" s="916" t="s">
        <v>406</v>
      </c>
      <c r="AG233" s="914"/>
      <c r="AH233" s="914"/>
      <c r="AI233" s="840"/>
      <c r="AJ233" s="840"/>
      <c r="AK233" s="840"/>
      <c r="AL233" s="840"/>
      <c r="AM233" s="840"/>
      <c r="AN233" s="840"/>
      <c r="AO233" s="840"/>
    </row>
    <row r="234" spans="1:41">
      <c r="A234" s="973" t="s">
        <v>120</v>
      </c>
      <c r="B234" s="758" t="s">
        <v>584</v>
      </c>
      <c r="C234" s="758">
        <f>SUMIFS(INDEX(Table91517[],,MATCH(C$144,Table91517[#Headers],0)),Table91517[MainWaterHeatingFuel],$B234,Table91517[EnergyRating (group)],$A234)</f>
        <v>14809292</v>
      </c>
      <c r="D234" s="758">
        <f>SUMIFS(INDEX(Table91517[],,MATCH(D$144,Table91517[#Headers],0)),Table91517[MainWaterHeatingFuel],$B234,Table91517[EnergyRating (group)],$A234)</f>
        <v>13462995</v>
      </c>
      <c r="E234" s="759">
        <f>SUMIFS(INDEX(Table91517[],,MATCH(E$144,Table91517[#Headers],0)),Table91517[MainWaterHeatingFuel],$B234,Table91517[EnergyRating (group)],$A234)</f>
        <v>3812580</v>
      </c>
      <c r="F234" s="759">
        <f>SUMIFS(INDEX(Table91517[],,MATCH(F$144,Table91517[#Headers],0)),Table91517[MainWaterHeatingFuel],$B234,Table91517[EnergyRating (group)],$A234)</f>
        <v>1412068</v>
      </c>
      <c r="G234" s="758">
        <f>SUMIFS(INDEX(Table91517[],,MATCH(G$144,Table91517[#Headers],0)),Table91517[MainWaterHeatingFuel],$B234,Table91517[EnergyRating (group)],$A234)</f>
        <v>2760</v>
      </c>
      <c r="H234" s="758">
        <f>SUMIFS(INDEX(Table91517[],,MATCH(H$144,Table91517[#Headers],0)),Table91517[MainWaterHeatingFuel],$B234,Table91517[EnergyRating (group)],$A234)</f>
        <v>366628</v>
      </c>
      <c r="I234" s="960"/>
      <c r="J234" s="980">
        <f t="shared" si="135"/>
        <v>18621872</v>
      </c>
      <c r="K234" s="981">
        <f t="shared" si="135"/>
        <v>14875063</v>
      </c>
      <c r="L234" s="840"/>
      <c r="N234" s="66" t="str">
        <f>RSD_Commodities!$M$87&amp;"_"&amp;RIGHT(P234,LEN(P234)-3)&amp;"_"&amp;SETUP!$B$67</f>
        <v>WH_Det-E_GASNAT_X0</v>
      </c>
      <c r="O234" s="66" t="str">
        <f>RSD_Commodities!$N$87&amp;"_"&amp;RSD_Commodities!D17&amp;"_"&amp;SETUP!$C$67</f>
        <v>Residential Water Heating Detached-E_Natural Gas to Residential_Existing 00</v>
      </c>
      <c r="P234" s="83" t="str">
        <f>RSD_Commodities!$C$17</f>
        <v>RSDGASNAT</v>
      </c>
      <c r="Q234" s="66" t="str">
        <f>RSD_Commodities!$M$87</f>
        <v>WH_Det-E</v>
      </c>
      <c r="R234" s="985">
        <f t="shared" si="137"/>
        <v>9.9761440034699625E-2</v>
      </c>
      <c r="S234" s="66">
        <f>R234*DwellingStocks!$I$68/1000</f>
        <v>2.3732936478984756</v>
      </c>
      <c r="T234" s="83">
        <v>1</v>
      </c>
      <c r="U234" s="987">
        <f t="shared" si="138"/>
        <v>0.79879525538570983</v>
      </c>
      <c r="V234" s="83">
        <v>20</v>
      </c>
      <c r="W234" s="66">
        <v>1</v>
      </c>
      <c r="X234" s="866"/>
      <c r="Y234" s="926">
        <f t="shared" si="139"/>
        <v>1.4508038026023145E-2</v>
      </c>
      <c r="Z234" s="926">
        <f t="shared" si="140"/>
        <v>1.8162398847771981E-2</v>
      </c>
      <c r="AA234" s="866"/>
      <c r="AB234" s="66" t="s">
        <v>393</v>
      </c>
      <c r="AC234" s="66" t="str">
        <f t="shared" si="136"/>
        <v>WH_Det-E_GASNAT_X0</v>
      </c>
      <c r="AD234" s="83" t="str">
        <f t="shared" si="136"/>
        <v>Residential Water Heating Detached-E_Natural Gas to Residential_Existing 00</v>
      </c>
      <c r="AE234" s="66" t="s">
        <v>53</v>
      </c>
      <c r="AF234" s="88" t="s">
        <v>406</v>
      </c>
      <c r="AG234" s="66"/>
      <c r="AH234" s="66"/>
      <c r="AI234" s="840"/>
      <c r="AJ234" s="840"/>
      <c r="AK234" s="840"/>
      <c r="AL234" s="840"/>
      <c r="AM234" s="840"/>
      <c r="AN234" s="840"/>
      <c r="AO234" s="840"/>
    </row>
    <row r="235" spans="1:41">
      <c r="A235" s="972" t="s">
        <v>120</v>
      </c>
      <c r="B235" s="757" t="s">
        <v>585</v>
      </c>
      <c r="C235" s="757">
        <f>SUMIFS(INDEX(Table91517[],,MATCH(C$144,Table91517[#Headers],0)),Table91517[MainWaterHeatingFuel],$B235,Table91517[EnergyRating (group)],$A235)</f>
        <v>171529</v>
      </c>
      <c r="D235" s="757">
        <f>SUMIFS(INDEX(Table91517[],,MATCH(D$144,Table91517[#Headers],0)),Table91517[MainWaterHeatingFuel],$B235,Table91517[EnergyRating (group)],$A235)</f>
        <v>155936</v>
      </c>
      <c r="E235" s="760">
        <f>SUMIFS(INDEX(Table91517[],,MATCH(E$144,Table91517[#Headers],0)),Table91517[MainWaterHeatingFuel],$B235,Table91517[EnergyRating (group)],$A235)</f>
        <v>37095</v>
      </c>
      <c r="F235" s="760">
        <f>SUMIFS(INDEX(Table91517[],,MATCH(F$144,Table91517[#Headers],0)),Table91517[MainWaterHeatingFuel],$B235,Table91517[EnergyRating (group)],$A235)</f>
        <v>13739</v>
      </c>
      <c r="G235" s="757">
        <f>SUMIFS(INDEX(Table91517[],,MATCH(G$144,Table91517[#Headers],0)),Table91517[MainWaterHeatingFuel],$B235,Table91517[EnergyRating (group)],$A235)</f>
        <v>34</v>
      </c>
      <c r="H235" s="757">
        <f>SUMIFS(INDEX(Table91517[],,MATCH(H$144,Table91517[#Headers],0)),Table91517[MainWaterHeatingFuel],$B235,Table91517[EnergyRating (group)],$A235)</f>
        <v>4926</v>
      </c>
      <c r="I235" s="959"/>
      <c r="J235" s="978">
        <f t="shared" si="135"/>
        <v>208624</v>
      </c>
      <c r="K235" s="979">
        <f t="shared" si="135"/>
        <v>169675</v>
      </c>
      <c r="L235" s="840"/>
      <c r="N235" s="914" t="str">
        <f>RSD_Commodities!$M$87&amp;"_"&amp;RIGHT(P235,LEN(P235)-3)&amp;"_"&amp;SETUP!$B$67</f>
        <v>WH_Det-E_BIOWOO_X0</v>
      </c>
      <c r="O235" s="914" t="str">
        <f>RSD_Commodities!$N$87&amp;"_"&amp;RSD_Commodities!D19&amp;"_"&amp;SETUP!$C$67</f>
        <v>Residential Water Heating Detached-E_Biomass &amp; Renewable Waste to Residential_Existing 00</v>
      </c>
      <c r="P235" s="915" t="str">
        <f>RSD_Commodities!$C$19</f>
        <v>RSDBIOWOO</v>
      </c>
      <c r="Q235" s="914" t="str">
        <f>RSD_Commodities!$M$87</f>
        <v>WH_Det-E</v>
      </c>
      <c r="R235" s="984">
        <f t="shared" si="137"/>
        <v>1.2289452757897781E-3</v>
      </c>
      <c r="S235" s="914">
        <f>R235*DwellingStocks!$I$68/1000</f>
        <v>2.9236226097300068E-2</v>
      </c>
      <c r="T235" s="915">
        <v>1</v>
      </c>
      <c r="U235" s="986">
        <f t="shared" si="138"/>
        <v>0.81330527647825757</v>
      </c>
      <c r="V235" s="915">
        <v>20</v>
      </c>
      <c r="W235" s="914">
        <v>1</v>
      </c>
      <c r="X235" s="866"/>
      <c r="Y235" s="928">
        <f t="shared" si="139"/>
        <v>2.0386260259148177E-6</v>
      </c>
      <c r="Z235" s="928">
        <f t="shared" si="140"/>
        <v>2.5065938767081361E-6</v>
      </c>
      <c r="AA235" s="866"/>
      <c r="AB235" s="914" t="s">
        <v>393</v>
      </c>
      <c r="AC235" s="914" t="str">
        <f t="shared" si="136"/>
        <v>WH_Det-E_BIOWOO_X0</v>
      </c>
      <c r="AD235" s="915" t="str">
        <f t="shared" si="136"/>
        <v>Residential Water Heating Detached-E_Biomass &amp; Renewable Waste to Residential_Existing 00</v>
      </c>
      <c r="AE235" s="914" t="s">
        <v>53</v>
      </c>
      <c r="AF235" s="916" t="s">
        <v>406</v>
      </c>
      <c r="AG235" s="914"/>
      <c r="AH235" s="914"/>
      <c r="AI235" s="840"/>
      <c r="AJ235" s="840"/>
      <c r="AK235" s="840"/>
      <c r="AL235" s="840"/>
      <c r="AM235" s="840"/>
      <c r="AN235" s="840"/>
      <c r="AO235" s="840"/>
    </row>
    <row r="236" spans="1:41">
      <c r="A236" s="973" t="s">
        <v>120</v>
      </c>
      <c r="B236" s="994" t="s">
        <v>587</v>
      </c>
      <c r="C236" s="758">
        <f>SUMIFS(INDEX(Table91517[],,MATCH(C144,Table91517[#Headers],0)),Table91517[MainWaterHeatingFuel],"",Table91517[EnergyRating (group)],$A236)</f>
        <v>0</v>
      </c>
      <c r="D236" s="758">
        <f>SUMIFS(INDEX(Table91517[],,MATCH(D144,Table91517[#Headers],0)),Table91517[MainWaterHeatingFuel],"",Table91517[EnergyRating (group)],$A236)</f>
        <v>0</v>
      </c>
      <c r="E236" s="758">
        <f>SUMIFS(INDEX(Table91517[],,MATCH(E144,Table91517[#Headers],0)),Table91517[MainWaterHeatingFuel],"",Table91517[EnergyRating (group)],$A236)</f>
        <v>11538</v>
      </c>
      <c r="F236" s="758">
        <f>SUMIFS(INDEX(Table91517[],,MATCH(F144,Table91517[#Headers],0)),Table91517[MainWaterHeatingFuel],"",Table91517[EnergyRating (group)],$A236)</f>
        <v>4273</v>
      </c>
      <c r="G236" s="758">
        <f>SUMIFS(INDEX(Table91517[],,MATCH(G144,Table91517[#Headers],0)),Table91517[MainWaterHeatingFuel],"",Table91517[EnergyRating (group)],$A236)</f>
        <v>17</v>
      </c>
      <c r="H236" s="758">
        <f>SUMIFS(INDEX(Table91517[],,MATCH(H144,Table91517[#Headers],0)),Table91517[MainWaterHeatingFuel],"",Table91517[EnergyRating (group)],$A236)</f>
        <v>2469</v>
      </c>
      <c r="I236" s="960"/>
      <c r="J236" s="980">
        <f t="shared" si="135"/>
        <v>11538</v>
      </c>
      <c r="K236" s="981">
        <f t="shared" si="135"/>
        <v>4273</v>
      </c>
      <c r="L236" s="840"/>
      <c r="M236" s="840"/>
      <c r="N236" s="66" t="str">
        <f>RSD_Commodities!$M$87&amp;"_"&amp;RIGHT(P236,LEN(P236)-3)&amp;"_"&amp;SETUP!$B$67</f>
        <v>WH_Det-E_HET_X0</v>
      </c>
      <c r="O236" s="66" t="str">
        <f>RSD_Commodities!$N$87&amp;"_"&amp;RSD_Commodities!D28&amp;"_"&amp;SETUP!$C$67</f>
        <v>Residential Water Heating Detached-E_Heat to Residential_Existing 00</v>
      </c>
      <c r="P236" s="83" t="str">
        <f>RSD_Commodities!$C$28</f>
        <v>RSDHET</v>
      </c>
      <c r="Q236" s="66" t="str">
        <f>RSD_Commodities!$M$87</f>
        <v>WH_Det-E</v>
      </c>
      <c r="R236" s="985">
        <f t="shared" si="137"/>
        <v>6.1447263789488906E-4</v>
      </c>
      <c r="S236" s="66">
        <f>R236*DwellingStocks!$I$68/1000</f>
        <v>1.4618113048650034E-2</v>
      </c>
      <c r="T236" s="83">
        <v>1</v>
      </c>
      <c r="U236" s="917">
        <v>1</v>
      </c>
      <c r="V236" s="83">
        <v>20</v>
      </c>
      <c r="W236" s="66">
        <v>1</v>
      </c>
      <c r="X236" s="866"/>
      <c r="Y236" s="926">
        <f t="shared" si="139"/>
        <v>2.5669807009677374E-8</v>
      </c>
      <c r="Z236" s="926">
        <f t="shared" si="140"/>
        <v>6.9313885625475665E-8</v>
      </c>
      <c r="AA236" s="866"/>
      <c r="AB236" s="66" t="s">
        <v>393</v>
      </c>
      <c r="AC236" s="66" t="str">
        <f t="shared" si="136"/>
        <v>WH_Det-E_HET_X0</v>
      </c>
      <c r="AD236" s="83" t="str">
        <f t="shared" si="136"/>
        <v>Residential Water Heating Detached-E_Heat to Residential_Existing 00</v>
      </c>
      <c r="AE236" s="66" t="s">
        <v>53</v>
      </c>
      <c r="AF236" s="88" t="s">
        <v>406</v>
      </c>
      <c r="AG236" s="66"/>
      <c r="AH236" s="66"/>
      <c r="AI236" s="840"/>
      <c r="AJ236" s="840"/>
      <c r="AK236" s="840"/>
      <c r="AL236" s="840"/>
      <c r="AM236" s="840"/>
      <c r="AN236" s="840"/>
      <c r="AO236" s="840"/>
    </row>
    <row r="237" spans="1:41">
      <c r="A237" s="972" t="s">
        <v>120</v>
      </c>
      <c r="B237" s="757" t="s">
        <v>664</v>
      </c>
      <c r="C237" s="757">
        <f>SUMIFS(INDEX(Table91517[],,MATCH(C$144,Table91517[#Headers],0)),Table91517[MainWaterHeatingFuel],$B237,Table91517[EnergyRating (group)],$A237)</f>
        <v>346512</v>
      </c>
      <c r="D237" s="757">
        <f>SUMIFS(INDEX(Table91517[],,MATCH(D$144,Table91517[#Headers],0)),Table91517[MainWaterHeatingFuel],$B237,Table91517[EnergyRating (group)],$A237)</f>
        <v>315010</v>
      </c>
      <c r="E237" s="760">
        <f>SUMIFS(INDEX(Table91517[],,MATCH(E$144,Table91517[#Headers],0)),Table91517[MainWaterHeatingFuel],$B237,Table91517[EnergyRating (group)],$A237)</f>
        <v>74447</v>
      </c>
      <c r="F237" s="760">
        <f>SUMIFS(INDEX(Table91517[],,MATCH(F$144,Table91517[#Headers],0)),Table91517[MainWaterHeatingFuel],$B237,Table91517[EnergyRating (group)],$A237)</f>
        <v>27573</v>
      </c>
      <c r="G237" s="757">
        <f>SUMIFS(INDEX(Table91517[],,MATCH(G$144,Table91517[#Headers],0)),Table91517[MainWaterHeatingFuel],$B237,Table91517[EnergyRating (group)],$A237)</f>
        <v>64</v>
      </c>
      <c r="H237" s="757">
        <f>SUMIFS(INDEX(Table91517[],,MATCH(H$144,Table91517[#Headers],0)),Table91517[MainWaterHeatingFuel],$B237,Table91517[EnergyRating (group)],$A237)</f>
        <v>8148</v>
      </c>
      <c r="I237" s="959"/>
      <c r="J237" s="978">
        <f t="shared" si="135"/>
        <v>420959</v>
      </c>
      <c r="K237" s="979">
        <f t="shared" si="135"/>
        <v>342583</v>
      </c>
      <c r="L237" s="840"/>
      <c r="M237" s="840"/>
      <c r="N237" s="914" t="str">
        <f>RSD_Commodities!$M$87&amp;"_"&amp;RIGHT(P237,LEN(P237)-3)&amp;"_"&amp;SETUP!$B$68</f>
        <v>WH_Det-E_OILLPG_X1</v>
      </c>
      <c r="O237" s="914" t="str">
        <f>RSD_Commodities!$N$87&amp;"_"&amp;RSD_Commodities!D11&amp;"_"&amp;SETUP!$C$68</f>
        <v>Residential Water Heating Detached-E_LPG to Residential_Existing 01</v>
      </c>
      <c r="P237" s="930" t="str">
        <f>RSD_Commodities!$C$11</f>
        <v>RSDOILLPG</v>
      </c>
      <c r="Q237" s="914" t="str">
        <f>RSD_Commodities!$M$87</f>
        <v>WH_Det-E</v>
      </c>
      <c r="R237" s="984">
        <f t="shared" si="137"/>
        <v>2.3133087544278176E-3</v>
      </c>
      <c r="S237" s="914">
        <f>R237*DwellingStocks!$I$68/1000</f>
        <v>5.503289618315306E-2</v>
      </c>
      <c r="T237" s="915">
        <v>1</v>
      </c>
      <c r="U237" s="986">
        <f t="shared" si="138"/>
        <v>0.81381559724343699</v>
      </c>
      <c r="V237" s="930">
        <v>20</v>
      </c>
      <c r="W237" s="914">
        <v>1</v>
      </c>
      <c r="X237" s="866"/>
      <c r="Y237" s="928">
        <f t="shared" si="139"/>
        <v>7.7479457560738879E-6</v>
      </c>
      <c r="Z237" s="928">
        <f t="shared" si="140"/>
        <v>9.5205176483687399E-6</v>
      </c>
      <c r="AA237" s="866"/>
      <c r="AB237" s="914" t="s">
        <v>393</v>
      </c>
      <c r="AC237" s="914" t="str">
        <f t="shared" si="136"/>
        <v>WH_Det-E_OILLPG_X1</v>
      </c>
      <c r="AD237" s="915" t="str">
        <f t="shared" si="136"/>
        <v>Residential Water Heating Detached-E_LPG to Residential_Existing 01</v>
      </c>
      <c r="AE237" s="914" t="s">
        <v>53</v>
      </c>
      <c r="AF237" s="916" t="s">
        <v>406</v>
      </c>
      <c r="AG237" s="914"/>
      <c r="AH237" s="914"/>
      <c r="AI237" s="840"/>
      <c r="AJ237" s="840"/>
      <c r="AK237" s="840"/>
      <c r="AL237" s="840"/>
      <c r="AM237" s="840"/>
      <c r="AN237" s="840"/>
      <c r="AO237" s="840"/>
    </row>
    <row r="238" spans="1:41">
      <c r="A238" s="973" t="s">
        <v>120</v>
      </c>
      <c r="B238" s="758" t="s">
        <v>665</v>
      </c>
      <c r="C238" s="758">
        <f>SUMIFS(INDEX(Table91517[],,MATCH(C$144,Table91517[#Headers],0)),Table91517[MainWaterHeatingFuel],$B238,Table91517[EnergyRating (group)],$A238)</f>
        <v>12046356</v>
      </c>
      <c r="D238" s="758">
        <f>SUMIFS(INDEX(Table91517[],,MATCH(D$144,Table91517[#Headers],0)),Table91517[MainWaterHeatingFuel],$B238,Table91517[EnergyRating (group)],$A238)</f>
        <v>10951232</v>
      </c>
      <c r="E238" s="758">
        <f>SUMIFS(INDEX(Table91517[],,MATCH(E$144,Table91517[#Headers],0)),Table91517[MainWaterHeatingFuel],$B238,Table91517[EnergyRating (group)],$A238)</f>
        <v>4778264</v>
      </c>
      <c r="F238" s="758">
        <f>SUMIFS(INDEX(Table91517[],,MATCH(F$144,Table91517[#Headers],0)),Table91517[MainWaterHeatingFuel],$B238,Table91517[EnergyRating (group)],$A238)</f>
        <v>1769728</v>
      </c>
      <c r="G238" s="758">
        <f>SUMIFS(INDEX(Table91517[],,MATCH(G$144,Table91517[#Headers],0)),Table91517[MainWaterHeatingFuel],$B238,Table91517[EnergyRating (group)],$A238)</f>
        <v>2135</v>
      </c>
      <c r="H238" s="758">
        <f>SUMIFS(INDEX(Table91517[],,MATCH(H$144,Table91517[#Headers],0)),Table91517[MainWaterHeatingFuel],$B238,Table91517[EnergyRating (group)],$A238)</f>
        <v>224138</v>
      </c>
      <c r="I238" s="960"/>
      <c r="J238" s="980">
        <f t="shared" si="135"/>
        <v>16824620</v>
      </c>
      <c r="K238" s="981">
        <f t="shared" si="135"/>
        <v>12720960</v>
      </c>
      <c r="L238" s="840"/>
      <c r="M238" s="840"/>
      <c r="N238" s="66" t="str">
        <f>RSD_Commodities!$M$87&amp;"_"&amp;RSD_Commodities!$C$26&amp;"_"&amp;SETUP!$B$67</f>
        <v>WH_Det-E_RSDSMF_X0</v>
      </c>
      <c r="O238" s="66" t="str">
        <f>RSD_Commodities!$N$87&amp;"_"&amp;RSD_Commodities!$D$26&amp;"_"&amp;SETUP!$C$67</f>
        <v>Residential Water Heating Detached-E_Solid Multi-Fuel_Existing 00</v>
      </c>
      <c r="P238" s="83" t="str">
        <f>RSD_Commodities!$C$6&amp;","&amp;RSD_Commodities!$C$7&amp;","&amp;RSD_Commodities!$C$9&amp;","&amp;RSD_Commodities!$C$10&amp;","&amp;RSD_Commodities!$C$19</f>
        <v>RSDCOABIT,RSDCOAHAR,RSDCOALIG,RSDPEA,RSDBIOWOO</v>
      </c>
      <c r="Q238" s="66" t="str">
        <f>RSD_Commodities!$M$87</f>
        <v>WH_Det-E</v>
      </c>
      <c r="R238" s="985">
        <f t="shared" si="137"/>
        <v>7.7170534229740476E-2</v>
      </c>
      <c r="S238" s="66">
        <f>R238*DwellingStocks!$I$68/1000</f>
        <v>1.8358630211098719</v>
      </c>
      <c r="T238" s="83">
        <v>1</v>
      </c>
      <c r="U238" s="987">
        <f t="shared" si="138"/>
        <v>0.75609196522714928</v>
      </c>
      <c r="V238" s="83">
        <v>20</v>
      </c>
      <c r="W238" s="66">
        <v>1</v>
      </c>
      <c r="X238" s="866"/>
      <c r="Y238" s="926">
        <f t="shared" si="139"/>
        <v>9.597509612473085E-3</v>
      </c>
      <c r="Z238" s="926">
        <f t="shared" si="140"/>
        <v>1.2693574398174895E-2</v>
      </c>
      <c r="AA238" s="866"/>
      <c r="AB238" s="66" t="s">
        <v>393</v>
      </c>
      <c r="AC238" s="66" t="str">
        <f t="shared" si="136"/>
        <v>WH_Det-E_RSDSMF_X0</v>
      </c>
      <c r="AD238" s="83" t="str">
        <f t="shared" si="136"/>
        <v>Residential Water Heating Detached-E_Solid Multi-Fuel_Existing 00</v>
      </c>
      <c r="AE238" s="66" t="s">
        <v>53</v>
      </c>
      <c r="AF238" s="88" t="s">
        <v>406</v>
      </c>
      <c r="AG238" s="66"/>
      <c r="AH238" s="66"/>
      <c r="AI238" s="840"/>
      <c r="AJ238" s="840"/>
      <c r="AK238" s="840"/>
      <c r="AL238" s="840"/>
      <c r="AM238" s="840"/>
      <c r="AN238" s="840"/>
      <c r="AO238" s="840"/>
    </row>
    <row r="239" spans="1:41">
      <c r="A239" s="972" t="s">
        <v>120</v>
      </c>
      <c r="B239" s="757" t="s">
        <v>669</v>
      </c>
      <c r="C239" s="757">
        <f>SUMIFS(INDEX(Table91517[],,MATCH(C$144,Table91517[#Headers],0)),Table91517[MainWaterHeatingFuel],$B239,Table91517[EnergyRating (group)],$A239)</f>
        <v>630538</v>
      </c>
      <c r="D239" s="757">
        <f>SUMIFS(INDEX(Table91517[],,MATCH(D$144,Table91517[#Headers],0)),Table91517[MainWaterHeatingFuel],$B239,Table91517[EnergyRating (group)],$A239)</f>
        <v>525447</v>
      </c>
      <c r="E239" s="757">
        <f>SUMIFS(INDEX(Table91517[],,MATCH(E$144,Table91517[#Headers],0)),Table91517[MainWaterHeatingFuel],$B239,Table91517[EnergyRating (group)],$A239)</f>
        <v>277692</v>
      </c>
      <c r="F239" s="757">
        <f>SUMIFS(INDEX(Table91517[],,MATCH(F$144,Table91517[#Headers],0)),Table91517[MainWaterHeatingFuel],$B239,Table91517[EnergyRating (group)],$A239)</f>
        <v>102849</v>
      </c>
      <c r="G239" s="757">
        <f>SUMIFS(INDEX(Table91517[],,MATCH(G$144,Table91517[#Headers],0)),Table91517[MainWaterHeatingFuel],$B239,Table91517[EnergyRating (group)],$A239)</f>
        <v>111</v>
      </c>
      <c r="H239" s="757">
        <f>SUMIFS(INDEX(Table91517[],,MATCH(H$144,Table91517[#Headers],0)),Table91517[MainWaterHeatingFuel],$B239,Table91517[EnergyRating (group)],$A239)</f>
        <v>12362</v>
      </c>
      <c r="I239" s="961"/>
      <c r="J239" s="978">
        <f t="shared" si="135"/>
        <v>908230</v>
      </c>
      <c r="K239" s="979">
        <f t="shared" si="135"/>
        <v>628296</v>
      </c>
      <c r="L239" s="840"/>
      <c r="M239" s="840"/>
      <c r="N239" s="914" t="str">
        <f>RSD_Commodities!$M$87&amp;"_"&amp;RIGHT(P239,LEN(P239)-3)&amp;"_"&amp;SETUP!$B$67</f>
        <v>WH_Det-E_COAHAR_X0</v>
      </c>
      <c r="O239" s="914" t="str">
        <f>RSD_Commodities!$N$87&amp;"_"&amp;RSD_Commodities!$D$7&amp;"_"&amp;SETUP!$C$67</f>
        <v>Residential Water Heating Detached-E_Anthracite + Manufactured Ovoids to Residential_Existing 00</v>
      </c>
      <c r="P239" s="915" t="str">
        <f>RSD_Commodities!$C$7</f>
        <v>RSDCOAHAR</v>
      </c>
      <c r="Q239" s="914" t="str">
        <f>RSD_Commodities!$M$87</f>
        <v>WH_Det-E</v>
      </c>
      <c r="R239" s="984">
        <f t="shared" si="137"/>
        <v>4.0121448709607458E-3</v>
      </c>
      <c r="S239" s="914">
        <f>R239*DwellingStocks!$I$68/1000</f>
        <v>9.5447679317656089E-2</v>
      </c>
      <c r="T239" s="915">
        <v>1</v>
      </c>
      <c r="U239" s="986">
        <f t="shared" si="138"/>
        <v>0.69178071633837246</v>
      </c>
      <c r="V239" s="915">
        <v>20</v>
      </c>
      <c r="W239" s="914">
        <v>1</v>
      </c>
      <c r="X239" s="840"/>
      <c r="Y239" s="928">
        <f t="shared" si="139"/>
        <v>2.46449569005066E-5</v>
      </c>
      <c r="Z239" s="928">
        <f t="shared" si="140"/>
        <v>3.5625388679455393E-5</v>
      </c>
      <c r="AA239" s="840"/>
      <c r="AB239" s="914" t="s">
        <v>393</v>
      </c>
      <c r="AC239" s="914" t="str">
        <f t="shared" si="136"/>
        <v>WH_Det-E_COAHAR_X0</v>
      </c>
      <c r="AD239" s="915" t="str">
        <f t="shared" si="136"/>
        <v>Residential Water Heating Detached-E_Anthracite + Manufactured Ovoids to Residential_Existing 00</v>
      </c>
      <c r="AE239" s="914" t="s">
        <v>53</v>
      </c>
      <c r="AF239" s="916" t="s">
        <v>406</v>
      </c>
      <c r="AG239" s="914"/>
      <c r="AH239" s="914"/>
      <c r="AI239" s="840"/>
      <c r="AJ239" s="840"/>
      <c r="AK239" s="840"/>
      <c r="AL239" s="840"/>
      <c r="AM239" s="840"/>
      <c r="AN239" s="840"/>
      <c r="AO239" s="840"/>
    </row>
    <row r="240" spans="1:41">
      <c r="A240" s="973" t="s">
        <v>120</v>
      </c>
      <c r="B240" s="758" t="s">
        <v>668</v>
      </c>
      <c r="C240" s="758">
        <f>SUMIFS(INDEX(Table91517[],,MATCH(C$144,Table91517[#Headers],0)),Table91517[MainWaterHeatingFuel],$B240,Table91517[EnergyRating (group)],$A240)</f>
        <v>54962</v>
      </c>
      <c r="D240" s="758">
        <f>SUMIFS(INDEX(Table91517[],,MATCH(D$144,Table91517[#Headers],0)),Table91517[MainWaterHeatingFuel],$B240,Table91517[EnergyRating (group)],$A240)</f>
        <v>49966</v>
      </c>
      <c r="E240" s="759">
        <f>SUMIFS(INDEX(Table91517[],,MATCH(E$144,Table91517[#Headers],0)),Table91517[MainWaterHeatingFuel],$B240,Table91517[EnergyRating (group)],$A240)</f>
        <v>13833</v>
      </c>
      <c r="F240" s="759">
        <f>SUMIFS(INDEX(Table91517[],,MATCH(F$144,Table91517[#Headers],0)),Table91517[MainWaterHeatingFuel],$B240,Table91517[EnergyRating (group)],$A240)</f>
        <v>5123</v>
      </c>
      <c r="G240" s="758">
        <f>SUMIFS(INDEX(Table91517[],,MATCH(G$144,Table91517[#Headers],0)),Table91517[MainWaterHeatingFuel],$B240,Table91517[EnergyRating (group)],$A240)</f>
        <v>10</v>
      </c>
      <c r="H240" s="758">
        <f>SUMIFS(INDEX(Table91517[],,MATCH(H$144,Table91517[#Headers],0)),Table91517[MainWaterHeatingFuel],$B240,Table91517[EnergyRating (group)],$A240)</f>
        <v>1349</v>
      </c>
      <c r="I240" s="960"/>
      <c r="J240" s="980">
        <f t="shared" si="135"/>
        <v>68795</v>
      </c>
      <c r="K240" s="981">
        <f t="shared" si="135"/>
        <v>55089</v>
      </c>
      <c r="L240" s="840"/>
      <c r="M240" s="840"/>
      <c r="N240" s="933" t="str">
        <f>RSD_Commodities!$M$87&amp;"_"&amp;RIGHT(P240,LEN(P240)-3)&amp;"_"&amp;SETUP!$B$69</f>
        <v>WH_Det-E_BIOWOO_X2</v>
      </c>
      <c r="O240" s="933" t="str">
        <f>RSD_Commodities!$N$87&amp;"_"&amp;RSD_Commodities!D19&amp;"_"&amp;SETUP!$C$69</f>
        <v>Residential Water Heating Detached-E_Biomass &amp; Renewable Waste to Residential_Existing 02</v>
      </c>
      <c r="P240" s="934" t="str">
        <f>RSD_Commodities!$C$19</f>
        <v>RSDBIOWOO</v>
      </c>
      <c r="Q240" s="66" t="str">
        <f>RSD_Commodities!$M$87</f>
        <v>WH_Det-E</v>
      </c>
      <c r="R240" s="985">
        <f t="shared" si="137"/>
        <v>3.6145449287934648E-4</v>
      </c>
      <c r="S240" s="66">
        <f>R240*DwellingStocks!$I$68/1000</f>
        <v>8.5988900286176652E-3</v>
      </c>
      <c r="T240" s="83">
        <v>1</v>
      </c>
      <c r="U240" s="987">
        <f t="shared" si="138"/>
        <v>0.80077040482593209</v>
      </c>
      <c r="V240" s="83">
        <v>20</v>
      </c>
      <c r="W240" s="66">
        <v>1</v>
      </c>
      <c r="X240" s="866"/>
      <c r="Y240" s="926">
        <f t="shared" si="139"/>
        <v>1.9467298059719943E-7</v>
      </c>
      <c r="Z240" s="926">
        <f t="shared" si="140"/>
        <v>2.4310711213099409E-7</v>
      </c>
      <c r="AA240" s="866"/>
      <c r="AB240" s="66" t="s">
        <v>393</v>
      </c>
      <c r="AC240" s="66" t="str">
        <f t="shared" si="136"/>
        <v>WH_Det-E_BIOWOO_X2</v>
      </c>
      <c r="AD240" s="83" t="str">
        <f t="shared" si="136"/>
        <v>Residential Water Heating Detached-E_Biomass &amp; Renewable Waste to Residential_Existing 02</v>
      </c>
      <c r="AE240" s="66" t="s">
        <v>53</v>
      </c>
      <c r="AF240" s="88" t="s">
        <v>406</v>
      </c>
      <c r="AG240" s="66"/>
      <c r="AH240" s="66"/>
      <c r="AI240" s="840"/>
      <c r="AJ240" s="840"/>
      <c r="AK240" s="840"/>
      <c r="AL240" s="840"/>
      <c r="AM240" s="840"/>
      <c r="AN240" s="840"/>
      <c r="AO240" s="840"/>
    </row>
    <row r="241" spans="1:41">
      <c r="A241" s="972" t="s">
        <v>120</v>
      </c>
      <c r="B241" s="757" t="s">
        <v>671</v>
      </c>
      <c r="C241" s="757">
        <f>SUMIFS(INDEX(Table91517[],,MATCH(C$144,Table91517[#Headers],0)),Table91517[MainWaterHeatingFuel],$B241,Table91517[EnergyRating (group)],$A241)</f>
        <v>755527</v>
      </c>
      <c r="D241" s="757">
        <f>SUMIFS(INDEX(Table91517[],,MATCH(D$144,Table91517[#Headers],0)),Table91517[MainWaterHeatingFuel],$B241,Table91517[EnergyRating (group)],$A241)</f>
        <v>686846</v>
      </c>
      <c r="E241" s="760">
        <f>SUMIFS(INDEX(Table91517[],,MATCH(E$144,Table91517[#Headers],0)),Table91517[MainWaterHeatingFuel],$B241,Table91517[EnergyRating (group)],$A241)</f>
        <v>243300</v>
      </c>
      <c r="F241" s="760">
        <f>SUMIFS(INDEX(Table91517[],,MATCH(F$144,Table91517[#Headers],0)),Table91517[MainWaterHeatingFuel],$B241,Table91517[EnergyRating (group)],$A241)</f>
        <v>90108</v>
      </c>
      <c r="G241" s="757">
        <f>SUMIFS(INDEX(Table91517[],,MATCH(G$144,Table91517[#Headers],0)),Table91517[MainWaterHeatingFuel],$B241,Table91517[EnergyRating (group)],$A241)</f>
        <v>122</v>
      </c>
      <c r="H241" s="757">
        <f>SUMIFS(INDEX(Table91517[],,MATCH(H$144,Table91517[#Headers],0)),Table91517[MainWaterHeatingFuel],$B241,Table91517[EnergyRating (group)],$A241)</f>
        <v>13712</v>
      </c>
      <c r="I241" s="959"/>
      <c r="J241" s="978">
        <f t="shared" si="135"/>
        <v>998827</v>
      </c>
      <c r="K241" s="979">
        <f t="shared" si="135"/>
        <v>776954</v>
      </c>
      <c r="L241" s="840"/>
      <c r="M241" s="840"/>
      <c r="N241" s="914" t="str">
        <f>RSD_Commodities!$M$87&amp;"_"&amp;RIGHT(P241,LEN(P241)-3)&amp;"_"&amp;SETUP!$B$67</f>
        <v>WH_Det-E_PEA_X0</v>
      </c>
      <c r="O241" s="914" t="str">
        <f>RSD_Commodities!$N$87&amp;"_"&amp;RSD_Commodities!$D$10&amp;"_"&amp;SETUP!$C$67</f>
        <v>Residential Water Heating Detached-E_Peat to Residential_Existing 00</v>
      </c>
      <c r="P241" s="915" t="str">
        <f>RSD_Commodities!$C$10</f>
        <v>RSDPEA</v>
      </c>
      <c r="Q241" s="914" t="str">
        <f>RSD_Commodities!$M$87</f>
        <v>WH_Det-E</v>
      </c>
      <c r="R241" s="984">
        <f t="shared" si="137"/>
        <v>4.4097448131280269E-3</v>
      </c>
      <c r="S241" s="914">
        <f>R241*DwellingStocks!$I$68/1000</f>
        <v>0.10490645834913552</v>
      </c>
      <c r="T241" s="915">
        <v>1</v>
      </c>
      <c r="U241" s="986">
        <f t="shared" si="138"/>
        <v>0.77786643733098926</v>
      </c>
      <c r="V241" s="915">
        <v>20</v>
      </c>
      <c r="W241" s="914">
        <v>1</v>
      </c>
      <c r="X241" s="866"/>
      <c r="Y241" s="928">
        <f t="shared" si="139"/>
        <v>3.3496229769942845E-5</v>
      </c>
      <c r="Z241" s="928">
        <f t="shared" si="140"/>
        <v>4.306167249595561E-5</v>
      </c>
      <c r="AA241" s="866"/>
      <c r="AB241" s="914" t="s">
        <v>393</v>
      </c>
      <c r="AC241" s="914" t="str">
        <f t="shared" si="136"/>
        <v>WH_Det-E_PEA_X0</v>
      </c>
      <c r="AD241" s="915" t="str">
        <f t="shared" si="136"/>
        <v>Residential Water Heating Detached-E_Peat to Residential_Existing 00</v>
      </c>
      <c r="AE241" s="914" t="s">
        <v>53</v>
      </c>
      <c r="AF241" s="916" t="s">
        <v>406</v>
      </c>
      <c r="AG241" s="914"/>
      <c r="AH241" s="914"/>
      <c r="AI241" s="840"/>
      <c r="AJ241" s="840"/>
      <c r="AK241" s="840"/>
      <c r="AL241" s="840"/>
      <c r="AM241" s="840"/>
      <c r="AN241" s="840"/>
      <c r="AO241" s="840"/>
    </row>
    <row r="242" spans="1:41">
      <c r="A242" s="973" t="s">
        <v>120</v>
      </c>
      <c r="B242" s="994" t="s">
        <v>667</v>
      </c>
      <c r="C242" s="758">
        <f>SUMIFS(INDEX(Table91517[],,MATCH(C$144,Table91517[#Headers],0)),Table91517[MainWaterHeatingFuel],$B242,Table91517[EnergyRating (group)],$A242)</f>
        <v>93112</v>
      </c>
      <c r="D242" s="758">
        <f>SUMIFS(INDEX(Table91517[],,MATCH(D$144,Table91517[#Headers],0)),Table91517[MainWaterHeatingFuel],$B242,Table91517[EnergyRating (group)],$A242)</f>
        <v>84648</v>
      </c>
      <c r="E242" s="758">
        <f>SUMIFS(INDEX(Table91517[],,MATCH(E$144,Table91517[#Headers],0)),Table91517[MainWaterHeatingFuel],$B242,Table91517[EnergyRating (group)],$A242)</f>
        <v>36568</v>
      </c>
      <c r="F242" s="758">
        <f>SUMIFS(INDEX(Table91517[],,MATCH(F$144,Table91517[#Headers],0)),Table91517[MainWaterHeatingFuel],$B242,Table91517[EnergyRating (group)],$A242)</f>
        <v>13544</v>
      </c>
      <c r="G242" s="758">
        <f>SUMIFS(INDEX(Table91517[],,MATCH(G$144,Table91517[#Headers],0)),Table91517[MainWaterHeatingFuel],$B242,Table91517[EnergyRating (group)],$A242)</f>
        <v>16</v>
      </c>
      <c r="H242" s="758">
        <f>SUMIFS(INDEX(Table91517[],,MATCH(H$144,Table91517[#Headers],0)),Table91517[MainWaterHeatingFuel],$B242,Table91517[EnergyRating (group)],$A242)</f>
        <v>1670</v>
      </c>
      <c r="I242" s="960"/>
      <c r="J242" s="980">
        <f t="shared" si="135"/>
        <v>129680</v>
      </c>
      <c r="K242" s="981">
        <f t="shared" si="135"/>
        <v>98192</v>
      </c>
      <c r="L242" s="840"/>
      <c r="M242" s="840"/>
      <c r="N242" s="66" t="str">
        <f>RSD_Commodities!$M$87&amp;"_"&amp;RIGHT(P242,LEN(P242)-3)&amp;"_"&amp;SETUP!$B$68</f>
        <v>WH_Det-E_PEA_X1</v>
      </c>
      <c r="O242" s="66" t="str">
        <f>RSD_Commodities!$N$87&amp;"_"&amp;RSD_Commodities!$D$10&amp;"_"&amp;SETUP!$C$68</f>
        <v>Residential Water Heating Detached-E_Peat to Residential_Existing 01</v>
      </c>
      <c r="P242" s="83" t="str">
        <f>RSD_Commodities!$C$10</f>
        <v>RSDPEA</v>
      </c>
      <c r="Q242" s="66" t="str">
        <f>RSD_Commodities!$M$87</f>
        <v>WH_Det-E</v>
      </c>
      <c r="R242" s="985">
        <f t="shared" si="137"/>
        <v>5.7832718860695439E-4</v>
      </c>
      <c r="S242" s="66">
        <f>R242*DwellingStocks!$I$68/1000</f>
        <v>1.3758224045788265E-2</v>
      </c>
      <c r="T242" s="83">
        <v>1</v>
      </c>
      <c r="U242" s="987">
        <f t="shared" si="138"/>
        <v>0.75718692165330048</v>
      </c>
      <c r="V242" s="83">
        <v>20</v>
      </c>
      <c r="W242" s="66">
        <v>1</v>
      </c>
      <c r="X242" s="866"/>
      <c r="Y242" s="926">
        <f t="shared" si="139"/>
        <v>5.5518391870029105E-7</v>
      </c>
      <c r="Z242" s="926">
        <f t="shared" si="140"/>
        <v>7.3321910722924215E-7</v>
      </c>
      <c r="AA242" s="866"/>
      <c r="AB242" s="66" t="s">
        <v>393</v>
      </c>
      <c r="AC242" s="66" t="str">
        <f t="shared" si="136"/>
        <v>WH_Det-E_PEA_X1</v>
      </c>
      <c r="AD242" s="83" t="str">
        <f t="shared" si="136"/>
        <v>Residential Water Heating Detached-E_Peat to Residential_Existing 01</v>
      </c>
      <c r="AE242" s="66" t="s">
        <v>53</v>
      </c>
      <c r="AF242" s="88" t="s">
        <v>406</v>
      </c>
      <c r="AG242" s="66"/>
      <c r="AH242" s="66"/>
      <c r="AI242" s="840"/>
      <c r="AJ242" s="840"/>
      <c r="AK242" s="840"/>
      <c r="AL242" s="840"/>
      <c r="AM242" s="840"/>
      <c r="AN242" s="840"/>
      <c r="AO242" s="840"/>
    </row>
    <row r="243" spans="1:41">
      <c r="A243" s="972" t="s">
        <v>120</v>
      </c>
      <c r="B243" s="757" t="s">
        <v>666</v>
      </c>
      <c r="C243" s="757">
        <f>SUMIFS(INDEX(Table91517[],,MATCH(C$144,Table91517[#Headers],0)),Table91517[MainWaterHeatingFuel],$B243,Table91517[EnergyRating (group)],$A243)</f>
        <v>941166</v>
      </c>
      <c r="D243" s="757">
        <f>SUMIFS(INDEX(Table91517[],,MATCH(D$144,Table91517[#Headers],0)),Table91517[MainWaterHeatingFuel],$B243,Table91517[EnergyRating (group)],$A243)</f>
        <v>855609</v>
      </c>
      <c r="E243" s="760">
        <f>SUMIFS(INDEX(Table91517[],,MATCH(E$144,Table91517[#Headers],0)),Table91517[MainWaterHeatingFuel],$B243,Table91517[EnergyRating (group)],$A243)</f>
        <v>340647</v>
      </c>
      <c r="F243" s="760">
        <f>SUMIFS(INDEX(Table91517[],,MATCH(F$144,Table91517[#Headers],0)),Table91517[MainWaterHeatingFuel],$B243,Table91517[EnergyRating (group)],$A243)</f>
        <v>126164</v>
      </c>
      <c r="G243" s="757">
        <f>SUMIFS(INDEX(Table91517[],,MATCH(G$144,Table91517[#Headers],0)),Table91517[MainWaterHeatingFuel],$B243,Table91517[EnergyRating (group)],$A243)</f>
        <v>163</v>
      </c>
      <c r="H243" s="757">
        <f>SUMIFS(INDEX(Table91517[],,MATCH(H$144,Table91517[#Headers],0)),Table91517[MainWaterHeatingFuel],$B243,Table91517[EnergyRating (group)],$A243)</f>
        <v>17191</v>
      </c>
      <c r="I243" s="959"/>
      <c r="J243" s="978">
        <f t="shared" si="135"/>
        <v>1281813</v>
      </c>
      <c r="K243" s="979">
        <f t="shared" si="135"/>
        <v>981773</v>
      </c>
      <c r="L243" s="840"/>
      <c r="M243" s="840"/>
      <c r="N243" s="914" t="str">
        <f>RSD_Commodities!$M$87&amp;"_"&amp;RIGHT(P243,LEN(P243)-3)&amp;"_"&amp;SETUP!$B$67</f>
        <v>WH_Det-E_COABIT_X0</v>
      </c>
      <c r="O243" s="914" t="str">
        <f>RSD_Commodities!$N$87&amp;"_"&amp;RSD_Commodities!D6&amp;"_"&amp;SETUP!$C$67</f>
        <v>Residential Water Heating Detached-E_Bituminous Coal to Residential_Existing 00</v>
      </c>
      <c r="P243" s="915" t="str">
        <f>RSD_Commodities!$C$6</f>
        <v>RSDCOABIT</v>
      </c>
      <c r="Q243" s="914" t="str">
        <f>RSD_Commodities!$M$87</f>
        <v>WH_Det-E</v>
      </c>
      <c r="R243" s="984">
        <f t="shared" si="137"/>
        <v>5.8917082339333474E-3</v>
      </c>
      <c r="S243" s="914">
        <f>R243*DwellingStocks!$I$68/1000</f>
        <v>0.14016190746646798</v>
      </c>
      <c r="T243" s="915">
        <v>1</v>
      </c>
      <c r="U243" s="986">
        <f t="shared" si="138"/>
        <v>0.76592529487530547</v>
      </c>
      <c r="V243" s="915">
        <v>20</v>
      </c>
      <c r="W243" s="914">
        <v>1</v>
      </c>
      <c r="X243" s="866"/>
      <c r="Y243" s="928">
        <f t="shared" si="139"/>
        <v>5.6550894402360279E-5</v>
      </c>
      <c r="Z243" s="928">
        <f t="shared" si="140"/>
        <v>7.3833433600814687E-5</v>
      </c>
      <c r="AA243" s="866"/>
      <c r="AB243" s="914" t="s">
        <v>393</v>
      </c>
      <c r="AC243" s="914" t="str">
        <f t="shared" si="136"/>
        <v>WH_Det-E_COABIT_X0</v>
      </c>
      <c r="AD243" s="915" t="str">
        <f t="shared" si="136"/>
        <v>Residential Water Heating Detached-E_Bituminous Coal to Residential_Existing 00</v>
      </c>
      <c r="AE243" s="914" t="s">
        <v>53</v>
      </c>
      <c r="AF243" s="916" t="s">
        <v>406</v>
      </c>
      <c r="AG243" s="914"/>
      <c r="AH243" s="914"/>
      <c r="AI243" s="840"/>
      <c r="AJ243" s="840"/>
      <c r="AK243" s="840"/>
      <c r="AL243" s="840"/>
      <c r="AM243" s="840"/>
      <c r="AN243" s="840"/>
      <c r="AO243" s="840"/>
    </row>
    <row r="244" spans="1:41">
      <c r="A244" s="973" t="s">
        <v>120</v>
      </c>
      <c r="B244" s="758" t="s">
        <v>673</v>
      </c>
      <c r="C244" s="758">
        <f>SUMIFS(INDEX(Table91517[],,MATCH(C$144,Table91517[#Headers],0)),Table91517[MainWaterHeatingFuel],$B244,Table91517[EnergyRating (group)],$A244)</f>
        <v>384651</v>
      </c>
      <c r="D244" s="758">
        <f>SUMIFS(INDEX(Table91517[],,MATCH(D$144,Table91517[#Headers],0)),Table91517[MainWaterHeatingFuel],$B244,Table91517[EnergyRating (group)],$A244)</f>
        <v>349680</v>
      </c>
      <c r="E244" s="758">
        <f>SUMIFS(INDEX(Table91517[],,MATCH(E$144,Table91517[#Headers],0)),Table91517[MainWaterHeatingFuel],$B244,Table91517[EnergyRating (group)],$A244)</f>
        <v>114297</v>
      </c>
      <c r="F244" s="758">
        <f>SUMIFS(INDEX(Table91517[],,MATCH(F$144,Table91517[#Headers],0)),Table91517[MainWaterHeatingFuel],$B244,Table91517[EnergyRating (group)],$A244)</f>
        <v>42333</v>
      </c>
      <c r="G244" s="758">
        <f>SUMIFS(INDEX(Table91517[],,MATCH(G$144,Table91517[#Headers],0)),Table91517[MainWaterHeatingFuel],$B244,Table91517[EnergyRating (group)],$A244)</f>
        <v>63</v>
      </c>
      <c r="H244" s="758">
        <f>SUMIFS(INDEX(Table91517[],,MATCH(H$144,Table91517[#Headers],0)),Table91517[MainWaterHeatingFuel],$B244,Table91517[EnergyRating (group)],$A244)</f>
        <v>7785</v>
      </c>
      <c r="I244" s="960"/>
      <c r="J244" s="980">
        <f t="shared" si="135"/>
        <v>498948</v>
      </c>
      <c r="K244" s="981">
        <f t="shared" si="135"/>
        <v>392013</v>
      </c>
      <c r="L244" s="840"/>
      <c r="M244" s="840"/>
      <c r="N244" s="66" t="str">
        <f>RSD_Commodities!$M$87&amp;"_"&amp;RIGHT(P244,LEN(P244)-3)&amp;"_"&amp;SETUP!$B$68</f>
        <v>WH_Det-E_BIOWOO_X1</v>
      </c>
      <c r="O244" s="66" t="str">
        <f>RSD_Commodities!$N$87&amp;"_"&amp;RSD_Commodities!D19&amp;"_"&amp;SETUP!$C$68</f>
        <v>Residential Water Heating Detached-E_Biomass &amp; Renewable Waste to Residential_Existing 01</v>
      </c>
      <c r="P244" s="83" t="str">
        <f>RSD_Commodities!$C$19</f>
        <v>RSDBIOWOO</v>
      </c>
      <c r="Q244" s="66" t="str">
        <f>RSD_Commodities!$M$87</f>
        <v>WH_Det-E</v>
      </c>
      <c r="R244" s="985">
        <f t="shared" si="137"/>
        <v>2.277163305139883E-3</v>
      </c>
      <c r="S244" s="66">
        <f>R244*DwellingStocks!$I$68/1000</f>
        <v>5.4173007180291298E-2</v>
      </c>
      <c r="T244" s="83">
        <v>1</v>
      </c>
      <c r="U244" s="987">
        <f t="shared" si="138"/>
        <v>0.78567906876067251</v>
      </c>
      <c r="V244" s="83">
        <v>20</v>
      </c>
      <c r="W244" s="66">
        <v>1</v>
      </c>
      <c r="X244" s="866"/>
      <c r="Y244" s="926">
        <f t="shared" si="139"/>
        <v>8.7273382453839194E-6</v>
      </c>
      <c r="Z244" s="926">
        <f t="shared" si="140"/>
        <v>1.1108019282161091E-5</v>
      </c>
      <c r="AA244" s="866"/>
      <c r="AB244" s="66" t="s">
        <v>393</v>
      </c>
      <c r="AC244" s="66" t="str">
        <f t="shared" si="136"/>
        <v>WH_Det-E_BIOWOO_X1</v>
      </c>
      <c r="AD244" s="83" t="str">
        <f t="shared" si="136"/>
        <v>Residential Water Heating Detached-E_Biomass &amp; Renewable Waste to Residential_Existing 01</v>
      </c>
      <c r="AE244" s="66" t="s">
        <v>53</v>
      </c>
      <c r="AF244" s="88" t="s">
        <v>406</v>
      </c>
      <c r="AG244" s="66"/>
      <c r="AH244" s="66"/>
      <c r="AI244" s="840"/>
      <c r="AJ244" s="840"/>
      <c r="AK244" s="840"/>
      <c r="AL244" s="840"/>
      <c r="AM244" s="840"/>
      <c r="AN244" s="840"/>
      <c r="AO244" s="840"/>
    </row>
    <row r="245" spans="1:41">
      <c r="A245" s="972" t="s">
        <v>120</v>
      </c>
      <c r="B245" s="757" t="s">
        <v>722</v>
      </c>
      <c r="C245" s="757">
        <f>SUMIFS(INDEX(Table91517[],,MATCH(C$144,Table91517[#Headers],0)),Table91517[MainWaterHeatingFuel],$B245,Table91517[EnergyRating (group)],$A245)</f>
        <v>11835</v>
      </c>
      <c r="D245" s="757">
        <f>SUMIFS(INDEX(Table91517[],,MATCH(D$144,Table91517[#Headers],0)),Table91517[MainWaterHeatingFuel],$B245,Table91517[EnergyRating (group)],$A245)</f>
        <v>10759</v>
      </c>
      <c r="E245" s="760">
        <f>SUMIFS(INDEX(Table91517[],,MATCH(E$144,Table91517[#Headers],0)),Table91517[MainWaterHeatingFuel],$B245,Table91517[EnergyRating (group)],$A245)</f>
        <v>3459</v>
      </c>
      <c r="F245" s="760">
        <f>SUMIFS(INDEX(Table91517[],,MATCH(F$144,Table91517[#Headers],0)),Table91517[MainWaterHeatingFuel],$B245,Table91517[EnergyRating (group)],$A245)</f>
        <v>1281</v>
      </c>
      <c r="G245" s="757">
        <f>SUMIFS(INDEX(Table91517[],,MATCH(G$144,Table91517[#Headers],0)),Table91517[MainWaterHeatingFuel],$B245,Table91517[EnergyRating (group)],$A245)</f>
        <v>2</v>
      </c>
      <c r="H245" s="757">
        <f>SUMIFS(INDEX(Table91517[],,MATCH(H$144,Table91517[#Headers],0)),Table91517[MainWaterHeatingFuel],$B245,Table91517[EnergyRating (group)],$A245)</f>
        <v>235</v>
      </c>
      <c r="I245" s="959"/>
      <c r="J245" s="978">
        <f t="shared" si="135"/>
        <v>15294</v>
      </c>
      <c r="K245" s="979">
        <f t="shared" si="135"/>
        <v>12040</v>
      </c>
      <c r="L245" s="840"/>
      <c r="M245" s="840"/>
      <c r="N245" s="914" t="str">
        <f>RSD_Commodities!$M$87&amp;"_"&amp;RIGHT(P245,LEN(P245)-3)&amp;"_"&amp;SETUP!$B$68</f>
        <v>WH_Det-E_BIOWOO_X1</v>
      </c>
      <c r="O245" s="914" t="str">
        <f>RSD_Commodities!$N$87&amp;"_"&amp;RSD_Commodities!D19&amp;"_"&amp;SETUP!$C$68</f>
        <v>Residential Water Heating Detached-E_Biomass &amp; Renewable Waste to Residential_Existing 01</v>
      </c>
      <c r="P245" s="915" t="str">
        <f>RSD_Commodities!$C$19</f>
        <v>RSDBIOWOO</v>
      </c>
      <c r="Q245" s="914" t="str">
        <f>RSD_Commodities!$M$87</f>
        <v>WH_Det-E</v>
      </c>
      <c r="R245" s="984">
        <f t="shared" si="137"/>
        <v>7.2290898575869299E-5</v>
      </c>
      <c r="S245" s="914">
        <f>R245*DwellingStocks!$I$68/1000</f>
        <v>1.7197780057235331E-3</v>
      </c>
      <c r="T245" s="915">
        <v>1</v>
      </c>
      <c r="U245" s="986">
        <f t="shared" si="138"/>
        <v>0.7872368248986531</v>
      </c>
      <c r="V245" s="915">
        <v>20</v>
      </c>
      <c r="W245" s="914">
        <v>1</v>
      </c>
      <c r="X245" s="866"/>
      <c r="Y245" s="928">
        <f t="shared" si="139"/>
        <v>8.5093673379087709E-9</v>
      </c>
      <c r="Z245" s="928">
        <f t="shared" si="140"/>
        <v>1.0809158145014679E-8</v>
      </c>
      <c r="AA245" s="866"/>
      <c r="AB245" s="914" t="s">
        <v>393</v>
      </c>
      <c r="AC245" s="914" t="str">
        <f t="shared" si="136"/>
        <v>WH_Det-E_BIOWOO_X1</v>
      </c>
      <c r="AD245" s="915" t="str">
        <f t="shared" si="136"/>
        <v>Residential Water Heating Detached-E_Biomass &amp; Renewable Waste to Residential_Existing 01</v>
      </c>
      <c r="AE245" s="914" t="s">
        <v>53</v>
      </c>
      <c r="AF245" s="916" t="s">
        <v>406</v>
      </c>
      <c r="AG245" s="914"/>
      <c r="AH245" s="914"/>
      <c r="AI245" s="840"/>
      <c r="AJ245" s="840"/>
      <c r="AK245" s="840"/>
      <c r="AL245" s="840"/>
      <c r="AM245" s="840"/>
      <c r="AN245" s="840"/>
      <c r="AO245" s="840"/>
    </row>
    <row r="246" spans="1:41" ht="15.75" thickBot="1">
      <c r="A246" s="973" t="s">
        <v>120</v>
      </c>
      <c r="B246" s="758" t="s">
        <v>674</v>
      </c>
      <c r="C246" s="758">
        <f>SUMIFS(INDEX(Table91517[],,MATCH(C$144,Table91517[#Headers],0)),Table91517[MainWaterHeatingFuel],$B246,Table91517[EnergyRating (group)],$A246)</f>
        <v>54292</v>
      </c>
      <c r="D246" s="758">
        <f>SUMIFS(INDEX(Table91517[],,MATCH(D$144,Table91517[#Headers],0)),Table91517[MainWaterHeatingFuel],$B246,Table91517[EnergyRating (group)],$A246)</f>
        <v>49359</v>
      </c>
      <c r="E246" s="758">
        <f>SUMIFS(INDEX(Table91517[],,MATCH(E$144,Table91517[#Headers],0)),Table91517[MainWaterHeatingFuel],$B246,Table91517[EnergyRating (group)],$A246)</f>
        <v>24930</v>
      </c>
      <c r="F246" s="758">
        <f>SUMIFS(INDEX(Table91517[],,MATCH(F$144,Table91517[#Headers],0)),Table91517[MainWaterHeatingFuel],$B246,Table91517[EnergyRating (group)],$A246)</f>
        <v>9232</v>
      </c>
      <c r="G246" s="758">
        <f>SUMIFS(INDEX(Table91517[],,MATCH(G$144,Table91517[#Headers],0)),Table91517[MainWaterHeatingFuel],$B246,Table91517[EnergyRating (group)],$A246)</f>
        <v>10</v>
      </c>
      <c r="H246" s="758">
        <f>SUMIFS(INDEX(Table91517[],,MATCH(H$144,Table91517[#Headers],0)),Table91517[MainWaterHeatingFuel],$B246,Table91517[EnergyRating (group)],$A246)</f>
        <v>981</v>
      </c>
      <c r="I246" s="960"/>
      <c r="J246" s="980">
        <f t="shared" si="135"/>
        <v>79222</v>
      </c>
      <c r="K246" s="981">
        <f t="shared" si="135"/>
        <v>58591</v>
      </c>
      <c r="L246" s="840"/>
      <c r="M246" s="840"/>
      <c r="N246" s="66" t="str">
        <f>RSD_Commodities!$M$87&amp;"_"&amp;RIGHT(P246,LEN(P246)-3)&amp;"_"&amp;SETUP!$B$68</f>
        <v>WH_Det-E_COAHAR_X1</v>
      </c>
      <c r="O246" s="66" t="str">
        <f>RSD_Commodities!$N$87&amp;"_"&amp;RSD_Commodities!D7&amp;"_"&amp;SETUP!$C$68</f>
        <v>Residential Water Heating Detached-E_Anthracite + Manufactured Ovoids to Residential_Existing 01</v>
      </c>
      <c r="P246" s="83" t="str">
        <f>RSD_Commodities!$C$7</f>
        <v>RSDCOAHAR</v>
      </c>
      <c r="Q246" s="66" t="str">
        <f>RSD_Commodities!$M$87</f>
        <v>WH_Det-E</v>
      </c>
      <c r="R246" s="985">
        <f t="shared" si="137"/>
        <v>3.6145449287934648E-4</v>
      </c>
      <c r="S246" s="66">
        <f>R246*DwellingStocks!$I$68/1000</f>
        <v>8.5988900286176652E-3</v>
      </c>
      <c r="T246" s="83">
        <v>1</v>
      </c>
      <c r="U246" s="987">
        <f t="shared" si="138"/>
        <v>0.73957991467016737</v>
      </c>
      <c r="V246" s="83">
        <v>20</v>
      </c>
      <c r="W246" s="66">
        <v>1</v>
      </c>
      <c r="X246" s="866"/>
      <c r="Y246" s="926">
        <f t="shared" si="139"/>
        <v>2.0704831465756345E-7</v>
      </c>
      <c r="Z246" s="926">
        <f t="shared" si="140"/>
        <v>2.7995394486869124E-7</v>
      </c>
      <c r="AA246" s="866"/>
      <c r="AB246" s="66" t="s">
        <v>393</v>
      </c>
      <c r="AC246" s="66" t="str">
        <f t="shared" si="136"/>
        <v>WH_Det-E_COAHAR_X1</v>
      </c>
      <c r="AD246" s="83" t="str">
        <f t="shared" si="136"/>
        <v>Residential Water Heating Detached-E_Anthracite + Manufactured Ovoids to Residential_Existing 01</v>
      </c>
      <c r="AE246" s="66" t="s">
        <v>53</v>
      </c>
      <c r="AF246" s="88" t="s">
        <v>406</v>
      </c>
      <c r="AG246" s="66"/>
      <c r="AH246" s="66"/>
      <c r="AI246" s="840"/>
      <c r="AJ246" s="840"/>
      <c r="AK246" s="840"/>
      <c r="AL246" s="840"/>
      <c r="AM246" s="840"/>
      <c r="AN246" s="840"/>
      <c r="AO246" s="840"/>
    </row>
    <row r="247" spans="1:41" ht="15.75" thickBot="1">
      <c r="A247" s="756" t="s">
        <v>122</v>
      </c>
      <c r="B247" s="1048"/>
      <c r="C247" s="1049"/>
      <c r="D247" s="1049"/>
      <c r="E247" s="1049"/>
      <c r="F247" s="1049"/>
      <c r="G247" s="1049"/>
      <c r="H247" s="1049"/>
      <c r="I247" s="1049"/>
      <c r="J247" s="1050"/>
      <c r="K247" s="1051"/>
      <c r="L247" s="840"/>
      <c r="M247" s="840"/>
      <c r="N247" s="76" t="str">
        <f>AB247</f>
        <v>*F Rating</v>
      </c>
      <c r="O247" s="76"/>
      <c r="P247" s="76"/>
      <c r="Q247" s="76"/>
      <c r="R247" s="949">
        <f>SUM(R248:R263)</f>
        <v>1</v>
      </c>
      <c r="S247" s="76"/>
      <c r="T247" s="97"/>
      <c r="U247" s="76"/>
      <c r="V247" s="76"/>
      <c r="W247" s="76"/>
      <c r="X247" s="840"/>
      <c r="Y247" s="76"/>
      <c r="Z247" s="76"/>
      <c r="AA247" s="840"/>
      <c r="AB247" s="140" t="str">
        <f>"*"&amp; A248 &amp; " Rating"</f>
        <v>*F Rating</v>
      </c>
      <c r="AC247" s="141"/>
      <c r="AD247" s="141"/>
      <c r="AE247" s="141"/>
      <c r="AF247" s="141"/>
      <c r="AG247" s="141"/>
      <c r="AH247" s="141"/>
      <c r="AI247" s="840"/>
      <c r="AJ247" s="840"/>
      <c r="AK247" s="840"/>
      <c r="AL247" s="840"/>
      <c r="AM247" s="840"/>
      <c r="AN247" s="840"/>
      <c r="AO247" s="840"/>
    </row>
    <row r="248" spans="1:41">
      <c r="A248" s="973" t="s">
        <v>122</v>
      </c>
      <c r="B248" s="758" t="s">
        <v>582</v>
      </c>
      <c r="C248" s="758">
        <f>SUMIFS(INDEX(Table91517[],,MATCH(C$144,Table91517[#Headers],0)),Table91517[MainWaterHeatingFuel],$B248,Table91517[EnergyRating (group)],$A248)</f>
        <v>633886</v>
      </c>
      <c r="D248" s="758">
        <f>SUMIFS(INDEX(Table91517[],,MATCH(D$144,Table91517[#Headers],0)),Table91517[MainWaterHeatingFuel],$B248,Table91517[EnergyRating (group)],$A248)</f>
        <v>576257</v>
      </c>
      <c r="E248" s="758">
        <f>SUMIFS(INDEX(Table91517[],,MATCH(E$144,Table91517[#Headers],0)),Table91517[MainWaterHeatingFuel],$B248,Table91517[EnergyRating (group)],$A248)</f>
        <v>163808</v>
      </c>
      <c r="F248" s="758">
        <f>SUMIFS(INDEX(Table91517[],,MATCH(F$144,Table91517[#Headers],0)),Table91517[MainWaterHeatingFuel],$B248,Table91517[EnergyRating (group)],$A248)</f>
        <v>60671</v>
      </c>
      <c r="G248" s="758">
        <f>SUMIFS(INDEX(Table91517[],,MATCH(G$144,Table91517[#Headers],0)),Table91517[MainWaterHeatingFuel],$B248,Table91517[EnergyRating (group)],$A248)</f>
        <v>124</v>
      </c>
      <c r="H248" s="758">
        <f>SUMIFS(INDEX(Table91517[],,MATCH(H$144,Table91517[#Headers],0)),Table91517[MainWaterHeatingFuel],$B248,Table91517[EnergyRating (group)],$A248)</f>
        <v>15795</v>
      </c>
      <c r="I248" s="960"/>
      <c r="J248" s="980">
        <f t="shared" ref="J248:K262" si="141">C248+E248</f>
        <v>797694</v>
      </c>
      <c r="K248" s="981">
        <f t="shared" si="141"/>
        <v>636928</v>
      </c>
      <c r="L248" s="840"/>
      <c r="M248" s="840"/>
      <c r="N248" s="66" t="str">
        <f>RSD_Commodities!$M$88&amp;"_"&amp;RIGHT(P248,LEN(P248)-3)&amp;"_"&amp;SETUP!$B$67</f>
        <v>WH_Det-F_OILLPG_X0</v>
      </c>
      <c r="O248" s="66" t="str">
        <f>RSD_Commodities!$N$88&amp;"_"&amp;RSD_Commodities!D11&amp;"_"&amp;SETUP!$C$67</f>
        <v>Residential Water Heating Detached-F_LPG to Residential_Existing 00</v>
      </c>
      <c r="P248" s="83" t="str">
        <f>RSD_Commodities!$C$11</f>
        <v>RSDOILLPG</v>
      </c>
      <c r="Q248" s="66" t="str">
        <f>RSD_Commodities!$M$88</f>
        <v>WH_Det-F</v>
      </c>
      <c r="R248" s="985">
        <f t="shared" ref="R248:R263" si="142">G248/SUM($G$248:$G$263)</f>
        <v>8.9939798360774651E-3</v>
      </c>
      <c r="S248" s="66">
        <f>R248*DwellingStocks!$I$69/1000</f>
        <v>7.2045518504368883E-2</v>
      </c>
      <c r="T248" s="83">
        <v>1</v>
      </c>
      <c r="U248" s="987">
        <f>K248/J248</f>
        <v>0.79846156546244551</v>
      </c>
      <c r="V248" s="83">
        <v>20</v>
      </c>
      <c r="W248" s="66">
        <v>1</v>
      </c>
      <c r="X248" s="866"/>
      <c r="Y248" s="926">
        <f>ABS((K248)*S248*1000*$B$2)</f>
        <v>1.8858003291760549E-5</v>
      </c>
      <c r="Z248" s="926">
        <f>ABS((J248)*S248*1000*$B$2)</f>
        <v>2.361792239910577E-5</v>
      </c>
      <c r="AA248" s="866"/>
      <c r="AB248" s="914" t="s">
        <v>393</v>
      </c>
      <c r="AC248" s="914" t="str">
        <f t="shared" ref="AC248:AD262" si="143">N248</f>
        <v>WH_Det-F_OILLPG_X0</v>
      </c>
      <c r="AD248" s="915" t="str">
        <f t="shared" si="143"/>
        <v>Residential Water Heating Detached-F_LPG to Residential_Existing 00</v>
      </c>
      <c r="AE248" s="914" t="s">
        <v>53</v>
      </c>
      <c r="AF248" s="916" t="s">
        <v>406</v>
      </c>
      <c r="AG248" s="914"/>
      <c r="AH248" s="914"/>
      <c r="AI248" s="840"/>
      <c r="AJ248" s="840"/>
      <c r="AK248" s="840"/>
      <c r="AL248" s="840"/>
      <c r="AM248" s="840"/>
      <c r="AN248" s="840"/>
      <c r="AO248" s="840"/>
    </row>
    <row r="249" spans="1:41">
      <c r="A249" s="972" t="s">
        <v>122</v>
      </c>
      <c r="B249" s="757" t="s">
        <v>228</v>
      </c>
      <c r="C249" s="757">
        <f>SUMIFS(INDEX(Table91517[],,MATCH(C$144,Table91517[#Headers],0)),Table91517[MainWaterHeatingFuel],$B249,Table91517[EnergyRating (group)],$A249)</f>
        <v>8285261</v>
      </c>
      <c r="D249" s="757">
        <f>SUMIFS(INDEX(Table91517[],,MATCH(D$144,Table91517[#Headers],0)),Table91517[MainWaterHeatingFuel],$B249,Table91517[EnergyRating (group)],$A249)</f>
        <v>3068611</v>
      </c>
      <c r="E249" s="757">
        <f>SUMIFS(INDEX(Table91517[],,MATCH(E$144,Table91517[#Headers],0)),Table91517[MainWaterHeatingFuel],$B249,Table91517[EnergyRating (group)],$A249)</f>
        <v>37689</v>
      </c>
      <c r="F249" s="757">
        <f>SUMIFS(INDEX(Table91517[],,MATCH(F$144,Table91517[#Headers],0)),Table91517[MainWaterHeatingFuel],$B249,Table91517[EnergyRating (group)],$A249)</f>
        <v>13958</v>
      </c>
      <c r="G249" s="757">
        <f>SUMIFS(INDEX(Table91517[],,MATCH(G$144,Table91517[#Headers],0)),Table91517[MainWaterHeatingFuel],$B249,Table91517[EnergyRating (group)],$A249)</f>
        <v>1089</v>
      </c>
      <c r="H249" s="757">
        <f>SUMIFS(INDEX(Table91517[],,MATCH(H$144,Table91517[#Headers],0)),Table91517[MainWaterHeatingFuel],$B249,Table91517[EnergyRating (group)],$A249)</f>
        <v>110263</v>
      </c>
      <c r="I249" s="961"/>
      <c r="J249" s="978">
        <f t="shared" si="141"/>
        <v>8322950</v>
      </c>
      <c r="K249" s="979">
        <f t="shared" si="141"/>
        <v>3082569</v>
      </c>
      <c r="L249" s="840"/>
      <c r="M249" s="840"/>
      <c r="N249" s="914" t="str">
        <f>RSD_Commodities!$M$88&amp;"_"&amp;RIGHT(P249,LEN(P249)-3)&amp;"_"&amp;SETUP!$B$67</f>
        <v>WH_Det-F_ELCD_X0</v>
      </c>
      <c r="O249" s="914" t="str">
        <f>RSD_Commodities!$N$88&amp;"_"&amp;RSD_Commodities!D27&amp;"_"&amp;SETUP!$C$67</f>
        <v>Residential Water Heating Detached-F_Electricity to Residential_Existing 00</v>
      </c>
      <c r="P249" s="915" t="str">
        <f>RSD_Commodities!$C$27</f>
        <v>RSDELCD</v>
      </c>
      <c r="Q249" s="914" t="str">
        <f>RSD_Commodities!$M$88</f>
        <v>WH_Det-F</v>
      </c>
      <c r="R249" s="984">
        <f t="shared" si="142"/>
        <v>7.898745194748677E-2</v>
      </c>
      <c r="S249" s="914">
        <f>R249*DwellingStocks!$I$69/1000</f>
        <v>0.6327223358972397</v>
      </c>
      <c r="T249" s="915">
        <v>1</v>
      </c>
      <c r="U249" s="986">
        <f t="shared" ref="U249:U263" si="144">K249/J249</f>
        <v>0.37036976072185945</v>
      </c>
      <c r="V249" s="915">
        <v>20</v>
      </c>
      <c r="W249" s="914">
        <v>1</v>
      </c>
      <c r="X249" s="866"/>
      <c r="Y249" s="928">
        <f t="shared" ref="Y249:Y263" si="145">ABS((K249)*S249*1000*$B$2)</f>
        <v>8.0153846229222682E-4</v>
      </c>
      <c r="Z249" s="928">
        <f t="shared" ref="Z249:Z263" si="146">ABS((J249)*S249*1000*$B$2)</f>
        <v>2.1641574105024379E-3</v>
      </c>
      <c r="AA249" s="866"/>
      <c r="AB249" s="66" t="s">
        <v>393</v>
      </c>
      <c r="AC249" s="66" t="str">
        <f t="shared" si="143"/>
        <v>WH_Det-F_ELCD_X0</v>
      </c>
      <c r="AD249" s="83" t="str">
        <f t="shared" si="143"/>
        <v>Residential Water Heating Detached-F_Electricity to Residential_Existing 00</v>
      </c>
      <c r="AE249" s="66" t="s">
        <v>53</v>
      </c>
      <c r="AF249" s="88" t="s">
        <v>406</v>
      </c>
      <c r="AG249" s="66"/>
      <c r="AH249" s="66"/>
      <c r="AI249" s="840"/>
      <c r="AJ249" s="840"/>
      <c r="AK249" s="840"/>
      <c r="AL249" s="840"/>
      <c r="AM249" s="840"/>
      <c r="AN249" s="840"/>
      <c r="AO249" s="840"/>
    </row>
    <row r="250" spans="1:41">
      <c r="A250" s="973" t="s">
        <v>122</v>
      </c>
      <c r="B250" s="758" t="s">
        <v>583</v>
      </c>
      <c r="C250" s="758">
        <f>SUMIFS(INDEX(Table91517[],,MATCH(C$144,Table91517[#Headers],0)),Table91517[MainWaterHeatingFuel],$B250,Table91517[EnergyRating (group)],$A250)</f>
        <v>47926107</v>
      </c>
      <c r="D250" s="758">
        <f>SUMIFS(INDEX(Table91517[],,MATCH(D$144,Table91517[#Headers],0)),Table91517[MainWaterHeatingFuel],$B250,Table91517[EnergyRating (group)],$A250)</f>
        <v>43569187</v>
      </c>
      <c r="E250" s="759">
        <f>SUMIFS(INDEX(Table91517[],,MATCH(E$144,Table91517[#Headers],0)),Table91517[MainWaterHeatingFuel],$B250,Table91517[EnergyRating (group)],$A250)</f>
        <v>16582711</v>
      </c>
      <c r="F250" s="759">
        <f>SUMIFS(INDEX(Table91517[],,MATCH(F$144,Table91517[#Headers],0)),Table91517[MainWaterHeatingFuel],$B250,Table91517[EnergyRating (group)],$A250)</f>
        <v>6141746</v>
      </c>
      <c r="G250" s="758">
        <f>SUMIFS(INDEX(Table91517[],,MATCH(G$144,Table91517[#Headers],0)),Table91517[MainWaterHeatingFuel],$B250,Table91517[EnergyRating (group)],$A250)</f>
        <v>9146</v>
      </c>
      <c r="H250" s="758">
        <f>SUMIFS(INDEX(Table91517[],,MATCH(H$144,Table91517[#Headers],0)),Table91517[MainWaterHeatingFuel],$B250,Table91517[EnergyRating (group)],$A250)</f>
        <v>1079621</v>
      </c>
      <c r="I250" s="960"/>
      <c r="J250" s="980">
        <f t="shared" si="141"/>
        <v>64508818</v>
      </c>
      <c r="K250" s="981">
        <f t="shared" si="141"/>
        <v>49710933</v>
      </c>
      <c r="L250" s="840"/>
      <c r="M250" s="840"/>
      <c r="N250" s="66" t="str">
        <f>RSD_Commodities!$M$88&amp;"_"&amp;RIGHT(P250,LEN(P250)-3)&amp;"_"&amp;SETUP!$B$67</f>
        <v>WH_Det-F_OILKER_X0</v>
      </c>
      <c r="O250" s="66" t="str">
        <f>RSD_Commodities!$N$88&amp;"_"&amp;RSD_Commodities!D13&amp;"_"&amp;SETUP!$C$67</f>
        <v>Residential Water Heating Detached-F_Kerosene to Residential_Existing 00</v>
      </c>
      <c r="P250" s="83" t="str">
        <f>RSD_Commodities!$C$13</f>
        <v>RSDOILKER</v>
      </c>
      <c r="Q250" s="66" t="str">
        <f>RSD_Commodities!$M$88</f>
        <v>WH_Det-F</v>
      </c>
      <c r="R250" s="985">
        <f t="shared" si="142"/>
        <v>0.66337854500616522</v>
      </c>
      <c r="S250" s="66">
        <f>R250*DwellingStocks!$I$69/1000</f>
        <v>5.3139380019432085</v>
      </c>
      <c r="T250" s="83">
        <v>1</v>
      </c>
      <c r="U250" s="987">
        <f t="shared" si="144"/>
        <v>0.77060678743175859</v>
      </c>
      <c r="V250" s="83">
        <v>20</v>
      </c>
      <c r="W250" s="66">
        <v>1</v>
      </c>
      <c r="X250" s="866"/>
      <c r="Y250" s="926">
        <f t="shared" si="145"/>
        <v>0.10855923944414497</v>
      </c>
      <c r="Z250" s="926">
        <f t="shared" si="146"/>
        <v>0.14087501072491979</v>
      </c>
      <c r="AA250" s="866"/>
      <c r="AB250" s="914" t="s">
        <v>393</v>
      </c>
      <c r="AC250" s="914" t="str">
        <f t="shared" si="143"/>
        <v>WH_Det-F_OILKER_X0</v>
      </c>
      <c r="AD250" s="915" t="str">
        <f t="shared" si="143"/>
        <v>Residential Water Heating Detached-F_Kerosene to Residential_Existing 00</v>
      </c>
      <c r="AE250" s="914" t="s">
        <v>53</v>
      </c>
      <c r="AF250" s="916" t="s">
        <v>406</v>
      </c>
      <c r="AG250" s="914"/>
      <c r="AH250" s="914"/>
      <c r="AI250" s="840"/>
      <c r="AJ250" s="840"/>
      <c r="AK250" s="840"/>
      <c r="AL250" s="840"/>
      <c r="AM250" s="840"/>
      <c r="AN250" s="840"/>
      <c r="AO250" s="840"/>
    </row>
    <row r="251" spans="1:41">
      <c r="A251" s="972" t="s">
        <v>122</v>
      </c>
      <c r="B251" s="757" t="s">
        <v>584</v>
      </c>
      <c r="C251" s="757">
        <f>SUMIFS(INDEX(Table91517[],,MATCH(C$144,Table91517[#Headers],0)),Table91517[MainWaterHeatingFuel],$B251,Table91517[EnergyRating (group)],$A251)</f>
        <v>5933317</v>
      </c>
      <c r="D251" s="757">
        <f>SUMIFS(INDEX(Table91517[],,MATCH(D$144,Table91517[#Headers],0)),Table91517[MainWaterHeatingFuel],$B251,Table91517[EnergyRating (group)],$A251)</f>
        <v>5393928</v>
      </c>
      <c r="E251" s="760">
        <f>SUMIFS(INDEX(Table91517[],,MATCH(E$144,Table91517[#Headers],0)),Table91517[MainWaterHeatingFuel],$B251,Table91517[EnergyRating (group)],$A251)</f>
        <v>1607496</v>
      </c>
      <c r="F251" s="760">
        <f>SUMIFS(INDEX(Table91517[],,MATCH(F$144,Table91517[#Headers],0)),Table91517[MainWaterHeatingFuel],$B251,Table91517[EnergyRating (group)],$A251)</f>
        <v>595368</v>
      </c>
      <c r="G251" s="757">
        <f>SUMIFS(INDEX(Table91517[],,MATCH(G$144,Table91517[#Headers],0)),Table91517[MainWaterHeatingFuel],$B251,Table91517[EnergyRating (group)],$A251)</f>
        <v>1055</v>
      </c>
      <c r="H251" s="757">
        <f>SUMIFS(INDEX(Table91517[],,MATCH(H$144,Table91517[#Headers],0)),Table91517[MainWaterHeatingFuel],$B251,Table91517[EnergyRating (group)],$A251)</f>
        <v>139317</v>
      </c>
      <c r="I251" s="959"/>
      <c r="J251" s="978">
        <f t="shared" si="141"/>
        <v>7540813</v>
      </c>
      <c r="K251" s="979">
        <f t="shared" si="141"/>
        <v>5989296</v>
      </c>
      <c r="L251" s="840"/>
      <c r="M251" s="840"/>
      <c r="N251" s="914" t="str">
        <f>RSD_Commodities!$M$88&amp;"_"&amp;RIGHT(P251,LEN(P251)-3)&amp;"_"&amp;SETUP!$B$67</f>
        <v>WH_Det-F_GASNAT_X0</v>
      </c>
      <c r="O251" s="914" t="str">
        <f>RSD_Commodities!$N$88&amp;"_"&amp;RSD_Commodities!D17&amp;"_"&amp;SETUP!$C$67</f>
        <v>Residential Water Heating Detached-F_Natural Gas to Residential_Existing 00</v>
      </c>
      <c r="P251" s="915" t="str">
        <f>RSD_Commodities!$C$17</f>
        <v>RSDGASNAT</v>
      </c>
      <c r="Q251" s="914" t="str">
        <f>RSD_Commodities!$M$88</f>
        <v>WH_Det-F</v>
      </c>
      <c r="R251" s="984">
        <f t="shared" si="142"/>
        <v>7.6521360702110686E-2</v>
      </c>
      <c r="S251" s="914">
        <f>R251*DwellingStocks!$I$69/1000</f>
        <v>0.61296791953313845</v>
      </c>
      <c r="T251" s="915">
        <v>1</v>
      </c>
      <c r="U251" s="986">
        <f t="shared" si="144"/>
        <v>0.79425069949354266</v>
      </c>
      <c r="V251" s="915">
        <v>20</v>
      </c>
      <c r="W251" s="914">
        <v>1</v>
      </c>
      <c r="X251" s="866"/>
      <c r="Y251" s="928">
        <f t="shared" si="145"/>
        <v>1.5087313596937597E-3</v>
      </c>
      <c r="Z251" s="928">
        <f t="shared" si="146"/>
        <v>1.8995656669308679E-3</v>
      </c>
      <c r="AA251" s="866"/>
      <c r="AB251" s="66" t="s">
        <v>393</v>
      </c>
      <c r="AC251" s="66" t="str">
        <f t="shared" si="143"/>
        <v>WH_Det-F_GASNAT_X0</v>
      </c>
      <c r="AD251" s="83" t="str">
        <f t="shared" si="143"/>
        <v>Residential Water Heating Detached-F_Natural Gas to Residential_Existing 00</v>
      </c>
      <c r="AE251" s="66" t="s">
        <v>53</v>
      </c>
      <c r="AF251" s="88" t="s">
        <v>406</v>
      </c>
      <c r="AG251" s="66"/>
      <c r="AH251" s="66"/>
      <c r="AI251" s="840"/>
      <c r="AJ251" s="840"/>
      <c r="AK251" s="840"/>
      <c r="AL251" s="840"/>
      <c r="AM251" s="840"/>
      <c r="AN251" s="840"/>
      <c r="AO251" s="840"/>
    </row>
    <row r="252" spans="1:41">
      <c r="A252" s="973" t="s">
        <v>122</v>
      </c>
      <c r="B252" s="994" t="s">
        <v>585</v>
      </c>
      <c r="C252" s="758">
        <f>SUMIFS(INDEX(Table91517[],,MATCH(C$144,Table91517[#Headers],0)),Table91517[MainWaterHeatingFuel],$B252,Table91517[EnergyRating (group)],$A252)</f>
        <v>90860</v>
      </c>
      <c r="D252" s="758">
        <f>SUMIFS(INDEX(Table91517[],,MATCH(D$144,Table91517[#Headers],0)),Table91517[MainWaterHeatingFuel],$B252,Table91517[EnergyRating (group)],$A252)</f>
        <v>82602</v>
      </c>
      <c r="E252" s="758">
        <f>SUMIFS(INDEX(Table91517[],,MATCH(E$144,Table91517[#Headers],0)),Table91517[MainWaterHeatingFuel],$B252,Table91517[EnergyRating (group)],$A252)</f>
        <v>15524</v>
      </c>
      <c r="F252" s="758">
        <f>SUMIFS(INDEX(Table91517[],,MATCH(F$144,Table91517[#Headers],0)),Table91517[MainWaterHeatingFuel],$B252,Table91517[EnergyRating (group)],$A252)</f>
        <v>5749</v>
      </c>
      <c r="G252" s="758">
        <f>SUMIFS(INDEX(Table91517[],,MATCH(G$144,Table91517[#Headers],0)),Table91517[MainWaterHeatingFuel],$B252,Table91517[EnergyRating (group)],$A252)</f>
        <v>16</v>
      </c>
      <c r="H252" s="758">
        <f>SUMIFS(INDEX(Table91517[],,MATCH(H$144,Table91517[#Headers],0)),Table91517[MainWaterHeatingFuel],$B252,Table91517[EnergyRating (group)],$A252)</f>
        <v>2244</v>
      </c>
      <c r="I252" s="960"/>
      <c r="J252" s="980">
        <f t="shared" si="141"/>
        <v>106384</v>
      </c>
      <c r="K252" s="981">
        <f t="shared" si="141"/>
        <v>88351</v>
      </c>
      <c r="L252" s="840"/>
      <c r="M252" s="840"/>
      <c r="N252" s="66" t="str">
        <f>RSD_Commodities!$M$88&amp;"_"&amp;RIGHT(P252,LEN(P252)-3)&amp;"_"&amp;SETUP!$B$67</f>
        <v>WH_Det-F_BIOWOO_X0</v>
      </c>
      <c r="O252" s="66" t="str">
        <f>RSD_Commodities!$N$88&amp;"_"&amp;RSD_Commodities!D19&amp;"_"&amp;SETUP!$C$67</f>
        <v>Residential Water Heating Detached-F_Biomass &amp; Renewable Waste to Residential_Existing 00</v>
      </c>
      <c r="P252" s="83" t="str">
        <f>RSD_Commodities!$C$19</f>
        <v>RSDBIOWOO</v>
      </c>
      <c r="Q252" s="66" t="str">
        <f>RSD_Commodities!$M$88</f>
        <v>WH_Det-F</v>
      </c>
      <c r="R252" s="985">
        <f t="shared" si="142"/>
        <v>1.1605135272358018E-3</v>
      </c>
      <c r="S252" s="66">
        <f>R252*DwellingStocks!$I$69/1000</f>
        <v>9.2961959360475972E-3</v>
      </c>
      <c r="T252" s="83">
        <v>1</v>
      </c>
      <c r="U252" s="987">
        <f t="shared" si="144"/>
        <v>0.83049142728229808</v>
      </c>
      <c r="V252" s="83">
        <v>20</v>
      </c>
      <c r="W252" s="66">
        <v>1</v>
      </c>
      <c r="X252" s="866"/>
      <c r="Y252" s="926">
        <f t="shared" si="145"/>
        <v>3.3753213992290747E-7</v>
      </c>
      <c r="Z252" s="926">
        <f t="shared" si="146"/>
        <v>4.0642459251800865E-7</v>
      </c>
      <c r="AA252" s="866"/>
      <c r="AB252" s="914" t="s">
        <v>393</v>
      </c>
      <c r="AC252" s="914" t="str">
        <f t="shared" si="143"/>
        <v>WH_Det-F_BIOWOO_X0</v>
      </c>
      <c r="AD252" s="915" t="str">
        <f t="shared" si="143"/>
        <v>Residential Water Heating Detached-F_Biomass &amp; Renewable Waste to Residential_Existing 00</v>
      </c>
      <c r="AE252" s="914" t="s">
        <v>53</v>
      </c>
      <c r="AF252" s="916" t="s">
        <v>406</v>
      </c>
      <c r="AG252" s="914"/>
      <c r="AH252" s="914"/>
      <c r="AI252" s="840"/>
      <c r="AJ252" s="840"/>
      <c r="AK252" s="840"/>
      <c r="AL252" s="840"/>
      <c r="AM252" s="840"/>
      <c r="AN252" s="840"/>
      <c r="AO252" s="840"/>
    </row>
    <row r="253" spans="1:41">
      <c r="A253" s="972" t="s">
        <v>122</v>
      </c>
      <c r="B253" s="757" t="s">
        <v>587</v>
      </c>
      <c r="C253" s="757">
        <f>SUMIFS(INDEX(Table91517[],,MATCH(C144,Table91517[#Headers],0)),Table91517[MainWaterHeatingFuel],"",Table91517[EnergyRating (group)],$A253)</f>
        <v>0</v>
      </c>
      <c r="D253" s="757">
        <f>SUMIFS(INDEX(Table91517[],,MATCH(D144,Table91517[#Headers],0)),Table91517[MainWaterHeatingFuel],"",Table91517[EnergyRating (group)],$A253)</f>
        <v>0</v>
      </c>
      <c r="E253" s="760">
        <f>SUMIFS(INDEX(Table91517[],,MATCH(E144,Table91517[#Headers],0)),Table91517[MainWaterHeatingFuel],"",Table91517[EnergyRating (group)],$A253)</f>
        <v>8420</v>
      </c>
      <c r="F253" s="760">
        <f>SUMIFS(INDEX(Table91517[],,MATCH(F144,Table91517[#Headers],0)),Table91517[MainWaterHeatingFuel],"",Table91517[EnergyRating (group)],$A253)</f>
        <v>3118</v>
      </c>
      <c r="G253" s="757">
        <f>SUMIFS(INDEX(Table91517[],,MATCH(G144,Table91517[#Headers],0)),Table91517[MainWaterHeatingFuel],"",Table91517[EnergyRating (group)],$A253)</f>
        <v>11</v>
      </c>
      <c r="H253" s="757">
        <f>SUMIFS(INDEX(Table91517[],,MATCH(H144,Table91517[#Headers],0)),Table91517[MainWaterHeatingFuel],"",Table91517[EnergyRating (group)],$A253)</f>
        <v>1852</v>
      </c>
      <c r="I253" s="959"/>
      <c r="J253" s="978">
        <f t="shared" si="141"/>
        <v>8420</v>
      </c>
      <c r="K253" s="979">
        <f t="shared" si="141"/>
        <v>3118</v>
      </c>
      <c r="L253" s="840"/>
      <c r="M253" s="840"/>
      <c r="N253" s="914" t="str">
        <f>RSD_Commodities!$M$88&amp;"_"&amp;RIGHT(P253,LEN(P253)-3)&amp;"_"&amp;SETUP!$B$67</f>
        <v>WH_Det-F_HET_X0</v>
      </c>
      <c r="O253" s="914" t="str">
        <f>RSD_Commodities!$N$88&amp;"_"&amp;RSD_Commodities!D28&amp;"_"&amp;SETUP!$C$67</f>
        <v>Residential Water Heating Detached-F_Heat to Residential_Existing 00</v>
      </c>
      <c r="P253" s="915" t="str">
        <f>RSD_Commodities!$C$28</f>
        <v>RSDHET</v>
      </c>
      <c r="Q253" s="914" t="str">
        <f>RSD_Commodities!$M$88</f>
        <v>WH_Det-F</v>
      </c>
      <c r="R253" s="984">
        <f t="shared" si="142"/>
        <v>7.9785304997461381E-4</v>
      </c>
      <c r="S253" s="914">
        <f>R253*DwellingStocks!$I$69/1000</f>
        <v>6.3911347060327242E-3</v>
      </c>
      <c r="T253" s="915">
        <v>1</v>
      </c>
      <c r="U253" s="917">
        <v>1</v>
      </c>
      <c r="V253" s="915">
        <v>20</v>
      </c>
      <c r="W253" s="914">
        <v>1</v>
      </c>
      <c r="X253" s="866"/>
      <c r="Y253" s="928">
        <f t="shared" si="145"/>
        <v>8.1894074027712492E-9</v>
      </c>
      <c r="Z253" s="928">
        <f t="shared" si="146"/>
        <v>2.2115077078683102E-8</v>
      </c>
      <c r="AA253" s="866"/>
      <c r="AB253" s="66" t="s">
        <v>393</v>
      </c>
      <c r="AC253" s="66" t="str">
        <f t="shared" si="143"/>
        <v>WH_Det-F_HET_X0</v>
      </c>
      <c r="AD253" s="83" t="str">
        <f t="shared" si="143"/>
        <v>Residential Water Heating Detached-F_Heat to Residential_Existing 00</v>
      </c>
      <c r="AE253" s="66" t="s">
        <v>53</v>
      </c>
      <c r="AF253" s="88" t="s">
        <v>406</v>
      </c>
      <c r="AG253" s="66"/>
      <c r="AH253" s="66"/>
      <c r="AI253" s="840"/>
      <c r="AJ253" s="840"/>
      <c r="AK253" s="840"/>
      <c r="AL253" s="840"/>
      <c r="AM253" s="840"/>
      <c r="AN253" s="840"/>
      <c r="AO253" s="840"/>
    </row>
    <row r="254" spans="1:41">
      <c r="A254" s="973" t="s">
        <v>122</v>
      </c>
      <c r="B254" s="758" t="s">
        <v>664</v>
      </c>
      <c r="C254" s="758">
        <f>SUMIFS(INDEX(Table91517[],,MATCH(C$144,Table91517[#Headers],0)),Table91517[MainWaterHeatingFuel],$B254,Table91517[EnergyRating (group)],$A254)</f>
        <v>163205</v>
      </c>
      <c r="D254" s="758">
        <f>SUMIFS(INDEX(Table91517[],,MATCH(D$144,Table91517[#Headers],0)),Table91517[MainWaterHeatingFuel],$B254,Table91517[EnergyRating (group)],$A254)</f>
        <v>148366</v>
      </c>
      <c r="E254" s="758">
        <f>SUMIFS(INDEX(Table91517[],,MATCH(E$144,Table91517[#Headers],0)),Table91517[MainWaterHeatingFuel],$B254,Table91517[EnergyRating (group)],$A254)</f>
        <v>38670</v>
      </c>
      <c r="F254" s="758">
        <f>SUMIFS(INDEX(Table91517[],,MATCH(F$144,Table91517[#Headers],0)),Table91517[MainWaterHeatingFuel],$B254,Table91517[EnergyRating (group)],$A254)</f>
        <v>14323</v>
      </c>
      <c r="G254" s="758">
        <f>SUMIFS(INDEX(Table91517[],,MATCH(G$144,Table91517[#Headers],0)),Table91517[MainWaterHeatingFuel],$B254,Table91517[EnergyRating (group)],$A254)</f>
        <v>31</v>
      </c>
      <c r="H254" s="758">
        <f>SUMIFS(INDEX(Table91517[],,MATCH(H$144,Table91517[#Headers],0)),Table91517[MainWaterHeatingFuel],$B254,Table91517[EnergyRating (group)],$A254)</f>
        <v>3366</v>
      </c>
      <c r="I254" s="960"/>
      <c r="J254" s="980">
        <f t="shared" si="141"/>
        <v>201875</v>
      </c>
      <c r="K254" s="981">
        <f t="shared" si="141"/>
        <v>162689</v>
      </c>
      <c r="L254" s="840"/>
      <c r="M254" s="840"/>
      <c r="N254" s="66" t="str">
        <f>RSD_Commodities!$M$88&amp;"_"&amp;RIGHT(P254,LEN(P254)-3)&amp;"_"&amp;SETUP!$B$68</f>
        <v>WH_Det-F_OILLPG_X1</v>
      </c>
      <c r="O254" s="66" t="str">
        <f>RSD_Commodities!$N$88&amp;"_"&amp;RSD_Commodities!D11&amp;"_"&amp;SETUP!$C$68</f>
        <v>Residential Water Heating Detached-F_LPG to Residential_Existing 01</v>
      </c>
      <c r="P254" s="83" t="str">
        <f>RSD_Commodities!$C$11</f>
        <v>RSDOILLPG</v>
      </c>
      <c r="Q254" s="66" t="str">
        <f>RSD_Commodities!$M$88</f>
        <v>WH_Det-F</v>
      </c>
      <c r="R254" s="985">
        <f t="shared" si="142"/>
        <v>2.2484949590193663E-3</v>
      </c>
      <c r="S254" s="66">
        <f>R254*DwellingStocks!$I$69/1000</f>
        <v>1.8011379626092221E-2</v>
      </c>
      <c r="T254" s="83">
        <v>1</v>
      </c>
      <c r="U254" s="987">
        <f t="shared" si="144"/>
        <v>0.80588978328173377</v>
      </c>
      <c r="V254" s="83">
        <v>20</v>
      </c>
      <c r="W254" s="66">
        <v>1</v>
      </c>
      <c r="X254" s="866"/>
      <c r="Y254" s="926">
        <f t="shared" si="145"/>
        <v>1.204213701365473E-6</v>
      </c>
      <c r="Z254" s="926">
        <f t="shared" si="146"/>
        <v>1.4942659980893291E-6</v>
      </c>
      <c r="AA254" s="866"/>
      <c r="AB254" s="914" t="s">
        <v>393</v>
      </c>
      <c r="AC254" s="914" t="str">
        <f t="shared" si="143"/>
        <v>WH_Det-F_OILLPG_X1</v>
      </c>
      <c r="AD254" s="915" t="str">
        <f t="shared" si="143"/>
        <v>Residential Water Heating Detached-F_LPG to Residential_Existing 01</v>
      </c>
      <c r="AE254" s="914" t="s">
        <v>53</v>
      </c>
      <c r="AF254" s="916" t="s">
        <v>406</v>
      </c>
      <c r="AG254" s="914"/>
      <c r="AH254" s="914"/>
      <c r="AI254" s="840"/>
      <c r="AJ254" s="840"/>
      <c r="AK254" s="840"/>
      <c r="AL254" s="840"/>
      <c r="AM254" s="840"/>
      <c r="AN254" s="840"/>
      <c r="AO254" s="840"/>
    </row>
    <row r="255" spans="1:41">
      <c r="A255" s="972" t="s">
        <v>122</v>
      </c>
      <c r="B255" s="757" t="s">
        <v>665</v>
      </c>
      <c r="C255" s="757">
        <f>SUMIFS(INDEX(Table91517[],,MATCH(C$144,Table91517[#Headers],0)),Table91517[MainWaterHeatingFuel],$B255,Table91517[EnergyRating (group)],$A255)</f>
        <v>11329877</v>
      </c>
      <c r="D255" s="757">
        <f>SUMIFS(INDEX(Table91517[],,MATCH(D$144,Table91517[#Headers],0)),Table91517[MainWaterHeatingFuel],$B255,Table91517[EnergyRating (group)],$A255)</f>
        <v>10299889</v>
      </c>
      <c r="E255" s="757">
        <f>SUMIFS(INDEX(Table91517[],,MATCH(E$144,Table91517[#Headers],0)),Table91517[MainWaterHeatingFuel],$B255,Table91517[EnergyRating (group)],$A255)</f>
        <v>4132506</v>
      </c>
      <c r="F255" s="757">
        <f>SUMIFS(INDEX(Table91517[],,MATCH(F$144,Table91517[#Headers],0)),Table91517[MainWaterHeatingFuel],$B255,Table91517[EnergyRating (group)],$A255)</f>
        <v>1530558</v>
      </c>
      <c r="G255" s="757">
        <f>SUMIFS(INDEX(Table91517[],,MATCH(G$144,Table91517[#Headers],0)),Table91517[MainWaterHeatingFuel],$B255,Table91517[EnergyRating (group)],$A255)</f>
        <v>1852</v>
      </c>
      <c r="H255" s="757">
        <f>SUMIFS(INDEX(Table91517[],,MATCH(H$144,Table91517[#Headers],0)),Table91517[MainWaterHeatingFuel],$B255,Table91517[EnergyRating (group)],$A255)</f>
        <v>180278</v>
      </c>
      <c r="I255" s="961"/>
      <c r="J255" s="978">
        <f t="shared" si="141"/>
        <v>15462383</v>
      </c>
      <c r="K255" s="979">
        <f t="shared" si="141"/>
        <v>11830447</v>
      </c>
      <c r="L255" s="840"/>
      <c r="M255" s="840"/>
      <c r="N255" s="914" t="str">
        <f>RSD_Commodities!$M$88&amp;"_"&amp;RSD_Commodities!$C$26&amp;"_"&amp;SETUP!$B$67</f>
        <v>WH_Det-F_RSDSMF_X0</v>
      </c>
      <c r="O255" s="914" t="str">
        <f>RSD_Commodities!$N$88&amp;"_"&amp;RSD_Commodities!$D$26&amp;"_"&amp;SETUP!$C$67</f>
        <v>Residential Water Heating Detached-F_Solid Multi-Fuel_Existing 00</v>
      </c>
      <c r="P255" s="915" t="str">
        <f>RSD_Commodities!$C$6&amp;","&amp;RSD_Commodities!$C$7&amp;","&amp;RSD_Commodities!$C$9&amp;","&amp;RSD_Commodities!$C$10&amp;","&amp;RSD_Commodities!$C$19</f>
        <v>RSDCOABIT,RSDCOAHAR,RSDCOALIG,RSDPEA,RSDBIOWOO</v>
      </c>
      <c r="Q255" s="914" t="str">
        <f>RSD_Commodities!$M$88</f>
        <v>WH_Det-F</v>
      </c>
      <c r="R255" s="984">
        <f t="shared" si="142"/>
        <v>0.13432944077754405</v>
      </c>
      <c r="S255" s="914">
        <f>R255*DwellingStocks!$I$69/1000</f>
        <v>1.0760346795975093</v>
      </c>
      <c r="T255" s="915">
        <v>1</v>
      </c>
      <c r="U255" s="986">
        <f t="shared" si="144"/>
        <v>0.7651114967207836</v>
      </c>
      <c r="V255" s="915">
        <v>20</v>
      </c>
      <c r="W255" s="914">
        <v>1</v>
      </c>
      <c r="X255" s="866"/>
      <c r="Y255" s="928">
        <f t="shared" si="145"/>
        <v>5.2314950330713626E-3</v>
      </c>
      <c r="Z255" s="928">
        <f t="shared" si="146"/>
        <v>6.8375590426927304E-3</v>
      </c>
      <c r="AA255" s="866"/>
      <c r="AB255" s="66" t="s">
        <v>393</v>
      </c>
      <c r="AC255" s="66" t="str">
        <f t="shared" si="143"/>
        <v>WH_Det-F_RSDSMF_X0</v>
      </c>
      <c r="AD255" s="83" t="str">
        <f t="shared" si="143"/>
        <v>Residential Water Heating Detached-F_Solid Multi-Fuel_Existing 00</v>
      </c>
      <c r="AE255" s="66" t="s">
        <v>53</v>
      </c>
      <c r="AF255" s="88" t="s">
        <v>406</v>
      </c>
      <c r="AG255" s="66"/>
      <c r="AH255" s="66"/>
      <c r="AI255" s="840"/>
      <c r="AJ255" s="840"/>
      <c r="AK255" s="840"/>
      <c r="AL255" s="840"/>
      <c r="AM255" s="840"/>
      <c r="AN255" s="840"/>
      <c r="AO255" s="840"/>
    </row>
    <row r="256" spans="1:41">
      <c r="A256" s="973" t="s">
        <v>122</v>
      </c>
      <c r="B256" s="758" t="s">
        <v>669</v>
      </c>
      <c r="C256" s="758">
        <f>SUMIFS(INDEX(Table91517[],,MATCH(C$144,Table91517[#Headers],0)),Table91517[MainWaterHeatingFuel],$B256,Table91517[EnergyRating (group)],$A256)</f>
        <v>705119</v>
      </c>
      <c r="D256" s="758">
        <f>SUMIFS(INDEX(Table91517[],,MATCH(D$144,Table91517[#Headers],0)),Table91517[MainWaterHeatingFuel],$B256,Table91517[EnergyRating (group)],$A256)</f>
        <v>587602</v>
      </c>
      <c r="E256" s="759">
        <f>SUMIFS(INDEX(Table91517[],,MATCH(E$144,Table91517[#Headers],0)),Table91517[MainWaterHeatingFuel],$B256,Table91517[EnergyRating (group)],$A256)</f>
        <v>243513</v>
      </c>
      <c r="F256" s="759">
        <f>SUMIFS(INDEX(Table91517[],,MATCH(F$144,Table91517[#Headers],0)),Table91517[MainWaterHeatingFuel],$B256,Table91517[EnergyRating (group)],$A256)</f>
        <v>90187</v>
      </c>
      <c r="G256" s="758">
        <f>SUMIFS(INDEX(Table91517[],,MATCH(G$144,Table91517[#Headers],0)),Table91517[MainWaterHeatingFuel],$B256,Table91517[EnergyRating (group)],$A256)</f>
        <v>119</v>
      </c>
      <c r="H256" s="758">
        <f>SUMIFS(INDEX(Table91517[],,MATCH(H$144,Table91517[#Headers],0)),Table91517[MainWaterHeatingFuel],$B256,Table91517[EnergyRating (group)],$A256)</f>
        <v>11235</v>
      </c>
      <c r="I256" s="960"/>
      <c r="J256" s="980">
        <f t="shared" si="141"/>
        <v>948632</v>
      </c>
      <c r="K256" s="981">
        <f t="shared" si="141"/>
        <v>677789</v>
      </c>
      <c r="L256" s="840"/>
      <c r="M256" s="840"/>
      <c r="N256" s="66" t="str">
        <f>RSD_Commodities!$M$88&amp;"_"&amp;RIGHT(P256,LEN(P256)-3)&amp;"_"&amp;SETUP!$B$67</f>
        <v>WH_Det-F_COAHAR_X0</v>
      </c>
      <c r="O256" s="66" t="str">
        <f>RSD_Commodities!$N$88&amp;"_"&amp;RSD_Commodities!$D$7&amp;"_"&amp;SETUP!$C$67</f>
        <v>Residential Water Heating Detached-F_Anthracite + Manufactured Ovoids to Residential_Existing 00</v>
      </c>
      <c r="P256" s="83" t="str">
        <f>RSD_Commodities!$C$7</f>
        <v>RSDCOAHAR</v>
      </c>
      <c r="Q256" s="66" t="str">
        <f>RSD_Commodities!$M$88</f>
        <v>WH_Det-F</v>
      </c>
      <c r="R256" s="985">
        <f t="shared" si="142"/>
        <v>8.6313193588162754E-3</v>
      </c>
      <c r="S256" s="66">
        <f>R256*DwellingStocks!$I$69/1000</f>
        <v>6.9140457274354E-2</v>
      </c>
      <c r="T256" s="83">
        <v>1</v>
      </c>
      <c r="U256" s="987">
        <f t="shared" si="144"/>
        <v>0.71449097226321689</v>
      </c>
      <c r="V256" s="83">
        <v>20</v>
      </c>
      <c r="W256" s="66">
        <v>1</v>
      </c>
      <c r="X256" s="840"/>
      <c r="Y256" s="926">
        <f t="shared" si="145"/>
        <v>1.9258619751586491E-5</v>
      </c>
      <c r="Z256" s="926">
        <f t="shared" si="146"/>
        <v>2.6954322026747258E-5</v>
      </c>
      <c r="AA256" s="840"/>
      <c r="AB256" s="914" t="s">
        <v>393</v>
      </c>
      <c r="AC256" s="914" t="str">
        <f t="shared" si="143"/>
        <v>WH_Det-F_COAHAR_X0</v>
      </c>
      <c r="AD256" s="915" t="str">
        <f t="shared" si="143"/>
        <v>Residential Water Heating Detached-F_Anthracite + Manufactured Ovoids to Residential_Existing 00</v>
      </c>
      <c r="AE256" s="914" t="s">
        <v>53</v>
      </c>
      <c r="AF256" s="916" t="s">
        <v>406</v>
      </c>
      <c r="AG256" s="914"/>
      <c r="AH256" s="914"/>
      <c r="AI256" s="840"/>
      <c r="AJ256" s="840"/>
      <c r="AK256" s="840"/>
      <c r="AL256" s="840"/>
      <c r="AM256" s="840"/>
      <c r="AN256" s="840"/>
      <c r="AO256" s="840"/>
    </row>
    <row r="257" spans="1:41">
      <c r="A257" s="972" t="s">
        <v>122</v>
      </c>
      <c r="B257" s="757" t="s">
        <v>668</v>
      </c>
      <c r="C257" s="757">
        <f>SUMIFS(INDEX(Table91517[],,MATCH(C$144,Table91517[#Headers],0)),Table91517[MainWaterHeatingFuel],$B257,Table91517[EnergyRating (group)],$A257)</f>
        <v>16317</v>
      </c>
      <c r="D257" s="757">
        <f>SUMIFS(INDEX(Table91517[],,MATCH(D$144,Table91517[#Headers],0)),Table91517[MainWaterHeatingFuel],$B257,Table91517[EnergyRating (group)],$A257)</f>
        <v>14833</v>
      </c>
      <c r="E257" s="760">
        <f>SUMIFS(INDEX(Table91517[],,MATCH(E$144,Table91517[#Headers],0)),Table91517[MainWaterHeatingFuel],$B257,Table91517[EnergyRating (group)],$A257)</f>
        <v>0</v>
      </c>
      <c r="F257" s="760">
        <f>SUMIFS(INDEX(Table91517[],,MATCH(F$144,Table91517[#Headers],0)),Table91517[MainWaterHeatingFuel],$B257,Table91517[EnergyRating (group)],$A257)</f>
        <v>0</v>
      </c>
      <c r="G257" s="757">
        <f>SUMIFS(INDEX(Table91517[],,MATCH(G$144,Table91517[#Headers],0)),Table91517[MainWaterHeatingFuel],$B257,Table91517[EnergyRating (group)],$A257)</f>
        <v>3</v>
      </c>
      <c r="H257" s="757">
        <f>SUMIFS(INDEX(Table91517[],,MATCH(H$144,Table91517[#Headers],0)),Table91517[MainWaterHeatingFuel],$B257,Table91517[EnergyRating (group)],$A257)</f>
        <v>326</v>
      </c>
      <c r="I257" s="959"/>
      <c r="J257" s="978">
        <f t="shared" si="141"/>
        <v>16317</v>
      </c>
      <c r="K257" s="979">
        <f t="shared" si="141"/>
        <v>14833</v>
      </c>
      <c r="L257" s="840"/>
      <c r="M257" s="840"/>
      <c r="N257" s="914" t="str">
        <f>RSD_Commodities!$M$88&amp;"_"&amp;RIGHT(P257,LEN(P257)-3)&amp;"_"&amp;SETUP!$B$69</f>
        <v>WH_Det-F_BIOWOO_X2</v>
      </c>
      <c r="O257" s="914" t="str">
        <f>RSD_Commodities!$N$88&amp;"_"&amp;RSD_Commodities!D19&amp;"_"&amp;SETUP!$C$69</f>
        <v>Residential Water Heating Detached-F_Biomass &amp; Renewable Waste to Residential_Existing 02</v>
      </c>
      <c r="P257" s="915" t="str">
        <f>RSD_Commodities!$C$19</f>
        <v>RSDBIOWOO</v>
      </c>
      <c r="Q257" s="914" t="str">
        <f>RSD_Commodities!$M$88</f>
        <v>WH_Det-F</v>
      </c>
      <c r="R257" s="984">
        <f t="shared" si="142"/>
        <v>2.1759628635671283E-4</v>
      </c>
      <c r="S257" s="914">
        <f>R257*DwellingStocks!$I$69/1000</f>
        <v>1.7430367380089245E-3</v>
      </c>
      <c r="T257" s="915">
        <v>1</v>
      </c>
      <c r="U257" s="986">
        <f t="shared" si="144"/>
        <v>0.90905190905190902</v>
      </c>
      <c r="V257" s="915">
        <v>20</v>
      </c>
      <c r="W257" s="914">
        <v>1</v>
      </c>
      <c r="X257" s="866"/>
      <c r="Y257" s="928">
        <f t="shared" si="145"/>
        <v>1.0625122165021799E-8</v>
      </c>
      <c r="Z257" s="928">
        <f t="shared" si="146"/>
        <v>1.1688135803051352E-8</v>
      </c>
      <c r="AA257" s="866"/>
      <c r="AB257" s="66" t="s">
        <v>393</v>
      </c>
      <c r="AC257" s="66" t="str">
        <f t="shared" si="143"/>
        <v>WH_Det-F_BIOWOO_X2</v>
      </c>
      <c r="AD257" s="83" t="str">
        <f t="shared" si="143"/>
        <v>Residential Water Heating Detached-F_Biomass &amp; Renewable Waste to Residential_Existing 02</v>
      </c>
      <c r="AE257" s="66" t="s">
        <v>53</v>
      </c>
      <c r="AF257" s="88" t="s">
        <v>406</v>
      </c>
      <c r="AG257" s="66"/>
      <c r="AH257" s="66"/>
      <c r="AI257" s="840"/>
      <c r="AJ257" s="840"/>
      <c r="AK257" s="840"/>
      <c r="AL257" s="840"/>
      <c r="AM257" s="840"/>
      <c r="AN257" s="840"/>
      <c r="AO257" s="840"/>
    </row>
    <row r="258" spans="1:41">
      <c r="A258" s="973" t="s">
        <v>122</v>
      </c>
      <c r="B258" s="758" t="s">
        <v>671</v>
      </c>
      <c r="C258" s="758">
        <f>SUMIFS(INDEX(Table91517[],,MATCH(C$144,Table91517[#Headers],0)),Table91517[MainWaterHeatingFuel],$B258,Table91517[EnergyRating (group)],$A258)</f>
        <v>796151</v>
      </c>
      <c r="D258" s="758">
        <f>SUMIFS(INDEX(Table91517[],,MATCH(D$144,Table91517[#Headers],0)),Table91517[MainWaterHeatingFuel],$B258,Table91517[EnergyRating (group)],$A258)</f>
        <v>723775</v>
      </c>
      <c r="E258" s="758">
        <f>SUMIFS(INDEX(Table91517[],,MATCH(E$144,Table91517[#Headers],0)),Table91517[MainWaterHeatingFuel],$B258,Table91517[EnergyRating (group)],$A258)</f>
        <v>238671</v>
      </c>
      <c r="F258" s="758">
        <f>SUMIFS(INDEX(Table91517[],,MATCH(F$144,Table91517[#Headers],0)),Table91517[MainWaterHeatingFuel],$B258,Table91517[EnergyRating (group)],$A258)</f>
        <v>88397</v>
      </c>
      <c r="G258" s="758">
        <f>SUMIFS(INDEX(Table91517[],,MATCH(G$144,Table91517[#Headers],0)),Table91517[MainWaterHeatingFuel],$B258,Table91517[EnergyRating (group)],$A258)</f>
        <v>120</v>
      </c>
      <c r="H258" s="758">
        <f>SUMIFS(INDEX(Table91517[],,MATCH(H$144,Table91517[#Headers],0)),Table91517[MainWaterHeatingFuel],$B258,Table91517[EnergyRating (group)],$A258)</f>
        <v>12346</v>
      </c>
      <c r="I258" s="960"/>
      <c r="J258" s="980">
        <f t="shared" si="141"/>
        <v>1034822</v>
      </c>
      <c r="K258" s="981">
        <f t="shared" si="141"/>
        <v>812172</v>
      </c>
      <c r="L258" s="840"/>
      <c r="M258" s="840"/>
      <c r="N258" s="66" t="str">
        <f>RSD_Commodities!$M$88&amp;"_"&amp;RIGHT(P258,LEN(P258)-3)&amp;"_"&amp;SETUP!$B$67</f>
        <v>WH_Det-F_PEA_X0</v>
      </c>
      <c r="O258" s="66" t="str">
        <f>RSD_Commodities!$N$88&amp;"_"&amp;RSD_Commodities!$D$10&amp;"_"&amp;SETUP!$C$67</f>
        <v>Residential Water Heating Detached-F_Peat to Residential_Existing 00</v>
      </c>
      <c r="P258" s="83" t="str">
        <f>RSD_Commodities!$C$10</f>
        <v>RSDPEA</v>
      </c>
      <c r="Q258" s="66" t="str">
        <f>RSD_Commodities!$M$88</f>
        <v>WH_Det-F</v>
      </c>
      <c r="R258" s="985">
        <f t="shared" si="142"/>
        <v>8.7038514542685137E-3</v>
      </c>
      <c r="S258" s="66">
        <f>R258*DwellingStocks!$I$69/1000</f>
        <v>6.9721469520356974E-2</v>
      </c>
      <c r="T258" s="83">
        <v>1</v>
      </c>
      <c r="U258" s="987">
        <f t="shared" si="144"/>
        <v>0.78484222407331894</v>
      </c>
      <c r="V258" s="83">
        <v>20</v>
      </c>
      <c r="W258" s="66">
        <v>1</v>
      </c>
      <c r="X258" s="866"/>
      <c r="Y258" s="926">
        <f t="shared" si="145"/>
        <v>2.3270887127378372E-5</v>
      </c>
      <c r="Z258" s="926">
        <f t="shared" si="146"/>
        <v>2.9650401588491037E-5</v>
      </c>
      <c r="AA258" s="866"/>
      <c r="AB258" s="914" t="s">
        <v>393</v>
      </c>
      <c r="AC258" s="914" t="str">
        <f t="shared" si="143"/>
        <v>WH_Det-F_PEA_X0</v>
      </c>
      <c r="AD258" s="915" t="str">
        <f t="shared" si="143"/>
        <v>Residential Water Heating Detached-F_Peat to Residential_Existing 00</v>
      </c>
      <c r="AE258" s="914" t="s">
        <v>53</v>
      </c>
      <c r="AF258" s="916" t="s">
        <v>406</v>
      </c>
      <c r="AG258" s="914"/>
      <c r="AH258" s="914"/>
      <c r="AI258" s="840"/>
      <c r="AJ258" s="840"/>
      <c r="AK258" s="840"/>
      <c r="AL258" s="840"/>
      <c r="AM258" s="840"/>
      <c r="AN258" s="840"/>
      <c r="AO258" s="840"/>
    </row>
    <row r="259" spans="1:41">
      <c r="A259" s="972" t="s">
        <v>122</v>
      </c>
      <c r="B259" s="757" t="s">
        <v>667</v>
      </c>
      <c r="C259" s="757">
        <f>SUMIFS(INDEX(Table91517[],,MATCH(C$144,Table91517[#Headers],0)),Table91517[MainWaterHeatingFuel],$B259,Table91517[EnergyRating (group)],$A259)</f>
        <v>142704</v>
      </c>
      <c r="D259" s="757">
        <f>SUMIFS(INDEX(Table91517[],,MATCH(D$144,Table91517[#Headers],0)),Table91517[MainWaterHeatingFuel],$B259,Table91517[EnergyRating (group)],$A259)</f>
        <v>129731</v>
      </c>
      <c r="E259" s="757">
        <f>SUMIFS(INDEX(Table91517[],,MATCH(E$144,Table91517[#Headers],0)),Table91517[MainWaterHeatingFuel],$B259,Table91517[EnergyRating (group)],$A259)</f>
        <v>29672</v>
      </c>
      <c r="F259" s="757">
        <f>SUMIFS(INDEX(Table91517[],,MATCH(F$144,Table91517[#Headers],0)),Table91517[MainWaterHeatingFuel],$B259,Table91517[EnergyRating (group)],$A259)</f>
        <v>10989</v>
      </c>
      <c r="G259" s="757">
        <f>SUMIFS(INDEX(Table91517[],,MATCH(G$144,Table91517[#Headers],0)),Table91517[MainWaterHeatingFuel],$B259,Table91517[EnergyRating (group)],$A259)</f>
        <v>20</v>
      </c>
      <c r="H259" s="757">
        <f>SUMIFS(INDEX(Table91517[],,MATCH(H$144,Table91517[#Headers],0)),Table91517[MainWaterHeatingFuel],$B259,Table91517[EnergyRating (group)],$A259)</f>
        <v>2177</v>
      </c>
      <c r="I259" s="961"/>
      <c r="J259" s="978">
        <f t="shared" si="141"/>
        <v>172376</v>
      </c>
      <c r="K259" s="979">
        <f t="shared" si="141"/>
        <v>140720</v>
      </c>
      <c r="L259" s="840"/>
      <c r="M259" s="840"/>
      <c r="N259" s="914" t="str">
        <f>RSD_Commodities!$M$88&amp;"_"&amp;RIGHT(P259,LEN(P259)-3)&amp;"_"&amp;SETUP!$B$68</f>
        <v>WH_Det-F_PEA_X1</v>
      </c>
      <c r="O259" s="914" t="str">
        <f>RSD_Commodities!$N$88&amp;"_"&amp;RSD_Commodities!$D$10&amp;"_"&amp;SETUP!$C$68</f>
        <v>Residential Water Heating Detached-F_Peat to Residential_Existing 01</v>
      </c>
      <c r="P259" s="915" t="str">
        <f>RSD_Commodities!$C$10</f>
        <v>RSDPEA</v>
      </c>
      <c r="Q259" s="914" t="str">
        <f>RSD_Commodities!$M$88</f>
        <v>WH_Det-F</v>
      </c>
      <c r="R259" s="984">
        <f t="shared" si="142"/>
        <v>1.4506419090447524E-3</v>
      </c>
      <c r="S259" s="914">
        <f>R259*DwellingStocks!$I$69/1000</f>
        <v>1.1620244920059499E-2</v>
      </c>
      <c r="T259" s="915">
        <v>1</v>
      </c>
      <c r="U259" s="986">
        <f t="shared" si="144"/>
        <v>0.8163549450039449</v>
      </c>
      <c r="V259" s="915">
        <v>20</v>
      </c>
      <c r="W259" s="914">
        <v>1</v>
      </c>
      <c r="X259" s="866"/>
      <c r="Y259" s="928">
        <f t="shared" si="145"/>
        <v>6.7200035554141351E-7</v>
      </c>
      <c r="Z259" s="928">
        <f t="shared" si="146"/>
        <v>8.2317178287952464E-7</v>
      </c>
      <c r="AA259" s="866"/>
      <c r="AB259" s="66" t="s">
        <v>393</v>
      </c>
      <c r="AC259" s="66" t="str">
        <f t="shared" si="143"/>
        <v>WH_Det-F_PEA_X1</v>
      </c>
      <c r="AD259" s="83" t="str">
        <f t="shared" si="143"/>
        <v>Residential Water Heating Detached-F_Peat to Residential_Existing 01</v>
      </c>
      <c r="AE259" s="66" t="s">
        <v>53</v>
      </c>
      <c r="AF259" s="88" t="s">
        <v>406</v>
      </c>
      <c r="AG259" s="66"/>
      <c r="AH259" s="66"/>
      <c r="AI259" s="840"/>
      <c r="AJ259" s="840"/>
      <c r="AK259" s="840"/>
      <c r="AL259" s="840"/>
      <c r="AM259" s="840"/>
      <c r="AN259" s="840"/>
      <c r="AO259" s="840"/>
    </row>
    <row r="260" spans="1:41">
      <c r="A260" s="973" t="s">
        <v>122</v>
      </c>
      <c r="B260" s="758" t="s">
        <v>666</v>
      </c>
      <c r="C260" s="758">
        <f>SUMIFS(INDEX(Table91517[],,MATCH(C$144,Table91517[#Headers],0)),Table91517[MainWaterHeatingFuel],$B260,Table91517[EnergyRating (group)],$A260)</f>
        <v>948959</v>
      </c>
      <c r="D260" s="758">
        <f>SUMIFS(INDEX(Table91517[],,MATCH(D$144,Table91517[#Headers],0)),Table91517[MainWaterHeatingFuel],$B260,Table91517[EnergyRating (group)],$A260)</f>
        <v>862690</v>
      </c>
      <c r="E260" s="759">
        <f>SUMIFS(INDEX(Table91517[],,MATCH(E$144,Table91517[#Headers],0)),Table91517[MainWaterHeatingFuel],$B260,Table91517[EnergyRating (group)],$A260)</f>
        <v>320768</v>
      </c>
      <c r="F260" s="759">
        <f>SUMIFS(INDEX(Table91517[],,MATCH(F$144,Table91517[#Headers],0)),Table91517[MainWaterHeatingFuel],$B260,Table91517[EnergyRating (group)],$A260)</f>
        <v>118803</v>
      </c>
      <c r="G260" s="758">
        <f>SUMIFS(INDEX(Table91517[],,MATCH(G$144,Table91517[#Headers],0)),Table91517[MainWaterHeatingFuel],$B260,Table91517[EnergyRating (group)],$A260)</f>
        <v>155</v>
      </c>
      <c r="H260" s="758">
        <f>SUMIFS(INDEX(Table91517[],,MATCH(H$144,Table91517[#Headers],0)),Table91517[MainWaterHeatingFuel],$B260,Table91517[EnergyRating (group)],$A260)</f>
        <v>14624</v>
      </c>
      <c r="I260" s="960"/>
      <c r="J260" s="980">
        <f t="shared" si="141"/>
        <v>1269727</v>
      </c>
      <c r="K260" s="981">
        <f t="shared" si="141"/>
        <v>981493</v>
      </c>
      <c r="L260" s="840"/>
      <c r="M260" s="840"/>
      <c r="N260" s="66" t="str">
        <f>RSD_Commodities!$M$88&amp;"_"&amp;RIGHT(P260,LEN(P260)-3)&amp;"_"&amp;SETUP!$B$67</f>
        <v>WH_Det-F_COABIT_X0</v>
      </c>
      <c r="O260" s="66" t="str">
        <f>RSD_Commodities!$N$88&amp;"_"&amp;RSD_Commodities!D6&amp;"_"&amp;SETUP!$C$67</f>
        <v>Residential Water Heating Detached-F_Bituminous Coal to Residential_Existing 00</v>
      </c>
      <c r="P260" s="83" t="str">
        <f>RSD_Commodities!$C$6</f>
        <v>RSDCOABIT</v>
      </c>
      <c r="Q260" s="66" t="str">
        <f>RSD_Commodities!$M$88</f>
        <v>WH_Det-F</v>
      </c>
      <c r="R260" s="985">
        <f t="shared" si="142"/>
        <v>1.1242474795096831E-2</v>
      </c>
      <c r="S260" s="66">
        <f>R260*DwellingStocks!$I$69/1000</f>
        <v>9.005689813046111E-2</v>
      </c>
      <c r="T260" s="83">
        <v>1</v>
      </c>
      <c r="U260" s="987">
        <f t="shared" si="144"/>
        <v>0.77299529741432604</v>
      </c>
      <c r="V260" s="83">
        <v>20</v>
      </c>
      <c r="W260" s="66">
        <v>1</v>
      </c>
      <c r="X260" s="866"/>
      <c r="Y260" s="926">
        <f t="shared" si="145"/>
        <v>3.63247459383948E-5</v>
      </c>
      <c r="Z260" s="926">
        <f t="shared" si="146"/>
        <v>4.6992195243491513E-5</v>
      </c>
      <c r="AA260" s="866"/>
      <c r="AB260" s="914" t="s">
        <v>393</v>
      </c>
      <c r="AC260" s="914" t="str">
        <f t="shared" si="143"/>
        <v>WH_Det-F_COABIT_X0</v>
      </c>
      <c r="AD260" s="915" t="str">
        <f t="shared" si="143"/>
        <v>Residential Water Heating Detached-F_Bituminous Coal to Residential_Existing 00</v>
      </c>
      <c r="AE260" s="914" t="s">
        <v>53</v>
      </c>
      <c r="AF260" s="916" t="s">
        <v>406</v>
      </c>
      <c r="AG260" s="914"/>
      <c r="AH260" s="914"/>
      <c r="AI260" s="840"/>
      <c r="AJ260" s="840"/>
      <c r="AK260" s="840"/>
      <c r="AL260" s="840"/>
      <c r="AM260" s="840"/>
      <c r="AN260" s="840"/>
      <c r="AO260" s="840"/>
    </row>
    <row r="261" spans="1:41">
      <c r="A261" s="972" t="s">
        <v>122</v>
      </c>
      <c r="B261" s="757" t="s">
        <v>673</v>
      </c>
      <c r="C261" s="757">
        <f>SUMIFS(INDEX(Table91517[],,MATCH(C$144,Table91517[#Headers],0)),Table91517[MainWaterHeatingFuel],$B261,Table91517[EnergyRating (group)],$A261)</f>
        <v>228190</v>
      </c>
      <c r="D261" s="757">
        <f>SUMIFS(INDEX(Table91517[],,MATCH(D$144,Table91517[#Headers],0)),Table91517[MainWaterHeatingFuel],$B261,Table91517[EnergyRating (group)],$A261)</f>
        <v>207446</v>
      </c>
      <c r="E261" s="760">
        <f>SUMIFS(INDEX(Table91517[],,MATCH(E$144,Table91517[#Headers],0)),Table91517[MainWaterHeatingFuel],$B261,Table91517[EnergyRating (group)],$A261)</f>
        <v>74798</v>
      </c>
      <c r="F261" s="760">
        <f>SUMIFS(INDEX(Table91517[],,MATCH(F$144,Table91517[#Headers],0)),Table91517[MainWaterHeatingFuel],$B261,Table91517[EnergyRating (group)],$A261)</f>
        <v>27703</v>
      </c>
      <c r="G261" s="757">
        <f>SUMIFS(INDEX(Table91517[],,MATCH(G$144,Table91517[#Headers],0)),Table91517[MainWaterHeatingFuel],$B261,Table91517[EnergyRating (group)],$A261)</f>
        <v>39</v>
      </c>
      <c r="H261" s="757">
        <f>SUMIFS(INDEX(Table91517[],,MATCH(H$144,Table91517[#Headers],0)),Table91517[MainWaterHeatingFuel],$B261,Table91517[EnergyRating (group)],$A261)</f>
        <v>3944</v>
      </c>
      <c r="I261" s="959"/>
      <c r="J261" s="978">
        <f t="shared" si="141"/>
        <v>302988</v>
      </c>
      <c r="K261" s="979">
        <f t="shared" si="141"/>
        <v>235149</v>
      </c>
      <c r="L261" s="840"/>
      <c r="M261" s="840"/>
      <c r="N261" s="914" t="str">
        <f>RSD_Commodities!$M$88&amp;"_"&amp;RIGHT(P261,LEN(P261)-3)&amp;"_"&amp;SETUP!$B$68</f>
        <v>WH_Det-F_BIOWOO_X1</v>
      </c>
      <c r="O261" s="914" t="str">
        <f>RSD_Commodities!$N$88&amp;"_"&amp;RSD_Commodities!D19&amp;"_"&amp;SETUP!$C$68</f>
        <v>Residential Water Heating Detached-F_Biomass &amp; Renewable Waste to Residential_Existing 01</v>
      </c>
      <c r="P261" s="915" t="str">
        <f>RSD_Commodities!$C$19</f>
        <v>RSDBIOWOO</v>
      </c>
      <c r="Q261" s="914" t="str">
        <f>RSD_Commodities!$M$88</f>
        <v>WH_Det-F</v>
      </c>
      <c r="R261" s="984">
        <f t="shared" si="142"/>
        <v>2.8287517226372669E-3</v>
      </c>
      <c r="S261" s="914">
        <f>R261*DwellingStocks!$I$69/1000</f>
        <v>2.2659477594116021E-2</v>
      </c>
      <c r="T261" s="915">
        <v>1</v>
      </c>
      <c r="U261" s="986">
        <f t="shared" si="144"/>
        <v>0.77610004356608187</v>
      </c>
      <c r="V261" s="915">
        <v>20</v>
      </c>
      <c r="W261" s="914">
        <v>1</v>
      </c>
      <c r="X261" s="866"/>
      <c r="Y261" s="928">
        <f t="shared" si="145"/>
        <v>2.1897343137447078E-6</v>
      </c>
      <c r="Z261" s="928">
        <f t="shared" si="146"/>
        <v>2.8214588208024766E-6</v>
      </c>
      <c r="AA261" s="866"/>
      <c r="AB261" s="66" t="s">
        <v>393</v>
      </c>
      <c r="AC261" s="66" t="str">
        <f t="shared" si="143"/>
        <v>WH_Det-F_BIOWOO_X1</v>
      </c>
      <c r="AD261" s="83" t="str">
        <f t="shared" si="143"/>
        <v>Residential Water Heating Detached-F_Biomass &amp; Renewable Waste to Residential_Existing 01</v>
      </c>
      <c r="AE261" s="66" t="s">
        <v>53</v>
      </c>
      <c r="AF261" s="88" t="s">
        <v>406</v>
      </c>
      <c r="AG261" s="66"/>
      <c r="AH261" s="66"/>
      <c r="AI261" s="840"/>
      <c r="AJ261" s="840"/>
      <c r="AK261" s="840"/>
      <c r="AL261" s="840"/>
      <c r="AM261" s="840"/>
      <c r="AN261" s="840"/>
      <c r="AO261" s="840"/>
    </row>
    <row r="262" spans="1:41">
      <c r="A262" s="973" t="s">
        <v>122</v>
      </c>
      <c r="B262" s="994" t="s">
        <v>722</v>
      </c>
      <c r="C262" s="758">
        <f>SUMIFS(INDEX(Table91517[],,MATCH(C$144,Table91517[#Headers],0)),Table91517[MainWaterHeatingFuel],$B262,Table91517[EnergyRating (group)],$A262)</f>
        <v>9602</v>
      </c>
      <c r="D262" s="758">
        <f>SUMIFS(INDEX(Table91517[],,MATCH(D$144,Table91517[#Headers],0)),Table91517[MainWaterHeatingFuel],$B262,Table91517[EnergyRating (group)],$A262)</f>
        <v>8729</v>
      </c>
      <c r="E262" s="758">
        <f>SUMIFS(INDEX(Table91517[],,MATCH(E$144,Table91517[#Headers],0)),Table91517[MainWaterHeatingFuel],$B262,Table91517[EnergyRating (group)],$A262)</f>
        <v>6137</v>
      </c>
      <c r="F262" s="758">
        <f>SUMIFS(INDEX(Table91517[],,MATCH(F$144,Table91517[#Headers],0)),Table91517[MainWaterHeatingFuel],$B262,Table91517[EnergyRating (group)],$A262)</f>
        <v>2273</v>
      </c>
      <c r="G262" s="758">
        <f>SUMIFS(INDEX(Table91517[],,MATCH(G$144,Table91517[#Headers],0)),Table91517[MainWaterHeatingFuel],$B262,Table91517[EnergyRating (group)],$A262)</f>
        <v>2</v>
      </c>
      <c r="H262" s="758">
        <f>SUMIFS(INDEX(Table91517[],,MATCH(H$144,Table91517[#Headers],0)),Table91517[MainWaterHeatingFuel],$B262,Table91517[EnergyRating (group)],$A262)</f>
        <v>163</v>
      </c>
      <c r="I262" s="960"/>
      <c r="J262" s="980">
        <f t="shared" si="141"/>
        <v>15739</v>
      </c>
      <c r="K262" s="981">
        <f t="shared" si="141"/>
        <v>11002</v>
      </c>
      <c r="L262" s="840"/>
      <c r="M262" s="840"/>
      <c r="N262" s="66" t="str">
        <f>RSD_Commodities!$M$88&amp;"_"&amp;RIGHT(P262,LEN(P262)-3)&amp;"_"&amp;SETUP!$B$68</f>
        <v>WH_Det-F_BIOWOO_X1</v>
      </c>
      <c r="O262" s="66" t="str">
        <f>RSD_Commodities!$N$88&amp;"_"&amp;RSD_Commodities!D19&amp;"_"&amp;SETUP!$C$68</f>
        <v>Residential Water Heating Detached-F_Biomass &amp; Renewable Waste to Residential_Existing 01</v>
      </c>
      <c r="P262" s="83" t="str">
        <f>RSD_Commodities!$C$19</f>
        <v>RSDBIOWOO</v>
      </c>
      <c r="Q262" s="66" t="str">
        <f>RSD_Commodities!$M$88</f>
        <v>WH_Det-F</v>
      </c>
      <c r="R262" s="985">
        <f t="shared" si="142"/>
        <v>1.4506419090447523E-4</v>
      </c>
      <c r="S262" s="66">
        <f>R262*DwellingStocks!$I$69/1000</f>
        <v>1.1620244920059497E-3</v>
      </c>
      <c r="T262" s="83">
        <v>1</v>
      </c>
      <c r="U262" s="987">
        <f t="shared" si="144"/>
        <v>0.69902789249634667</v>
      </c>
      <c r="V262" s="83">
        <v>20</v>
      </c>
      <c r="W262" s="66">
        <v>1</v>
      </c>
      <c r="X262" s="866"/>
      <c r="Y262" s="926">
        <f t="shared" si="145"/>
        <v>5.2539425182395039E-9</v>
      </c>
      <c r="Z262" s="926">
        <f t="shared" si="146"/>
        <v>7.5160699231568402E-9</v>
      </c>
      <c r="AA262" s="866"/>
      <c r="AB262" s="914" t="s">
        <v>393</v>
      </c>
      <c r="AC262" s="914" t="str">
        <f t="shared" si="143"/>
        <v>WH_Det-F_BIOWOO_X1</v>
      </c>
      <c r="AD262" s="915" t="str">
        <f t="shared" si="143"/>
        <v>Residential Water Heating Detached-F_Biomass &amp; Renewable Waste to Residential_Existing 01</v>
      </c>
      <c r="AE262" s="914" t="s">
        <v>53</v>
      </c>
      <c r="AF262" s="916" t="s">
        <v>406</v>
      </c>
      <c r="AG262" s="914"/>
      <c r="AH262" s="914"/>
      <c r="AI262" s="840"/>
      <c r="AJ262" s="840"/>
      <c r="AK262" s="840"/>
      <c r="AL262" s="840"/>
      <c r="AM262" s="840"/>
      <c r="AN262" s="840"/>
      <c r="AO262" s="840"/>
    </row>
    <row r="263" spans="1:41" ht="15.75" thickBot="1">
      <c r="A263" s="972" t="s">
        <v>122</v>
      </c>
      <c r="B263" s="757" t="s">
        <v>674</v>
      </c>
      <c r="C263" s="757">
        <f>SUMIFS(INDEX(Table91517[],,MATCH(C$144,Table91517[#Headers],0)),Table91517[MainWaterHeatingFuel],$B263,Table91517[EnergyRating (group)],$A263)</f>
        <v>35408</v>
      </c>
      <c r="D263" s="757">
        <f>SUMIFS(INDEX(Table91517[],,MATCH(D$144,Table91517[#Headers],0)),Table91517[MainWaterHeatingFuel],$B263,Table91517[EnergyRating (group)],$A263)</f>
        <v>32188</v>
      </c>
      <c r="E263" s="760">
        <f>SUMIFS(INDEX(Table91517[],,MATCH(E$144,Table91517[#Headers],0)),Table91517[MainWaterHeatingFuel],$B263,Table91517[EnergyRating (group)],$A263)</f>
        <v>7269</v>
      </c>
      <c r="F263" s="760">
        <f>SUMIFS(INDEX(Table91517[],,MATCH(F$144,Table91517[#Headers],0)),Table91517[MainWaterHeatingFuel],$B263,Table91517[EnergyRating (group)],$A263)</f>
        <v>2692</v>
      </c>
      <c r="G263" s="757">
        <f>SUMIFS(INDEX(Table91517[],,MATCH(G$144,Table91517[#Headers],0)),Table91517[MainWaterHeatingFuel],$B263,Table91517[EnergyRating (group)],$A263)</f>
        <v>5</v>
      </c>
      <c r="H263" s="757">
        <f>SUMIFS(INDEX(Table91517[],,MATCH(H$144,Table91517[#Headers],0)),Table91517[MainWaterHeatingFuel],$B263,Table91517[EnergyRating (group)],$A263)</f>
        <v>541</v>
      </c>
      <c r="I263" s="959"/>
      <c r="J263" s="991">
        <f t="shared" ref="J263:K263" si="147">C263+E263</f>
        <v>42677</v>
      </c>
      <c r="K263" s="992">
        <f t="shared" si="147"/>
        <v>34880</v>
      </c>
      <c r="L263" s="840"/>
      <c r="M263" s="840"/>
      <c r="N263" s="914" t="str">
        <f>RSD_Commodities!$M$88&amp;"_"&amp;RIGHT(P263,LEN(P263)-3)&amp;"_"&amp;SETUP!$B$68</f>
        <v>WH_Det-F_COAHAR_X1</v>
      </c>
      <c r="O263" s="914" t="str">
        <f>RSD_Commodities!$N$88&amp;"_"&amp;RSD_Commodities!D7&amp;"_"&amp;SETUP!$C$68</f>
        <v>Residential Water Heating Detached-F_Anthracite + Manufactured Ovoids to Residential_Existing 01</v>
      </c>
      <c r="P263" s="915" t="str">
        <f>RSD_Commodities!$C$7</f>
        <v>RSDCOAHAR</v>
      </c>
      <c r="Q263" s="914" t="str">
        <f>RSD_Commodities!$M$88</f>
        <v>WH_Det-F</v>
      </c>
      <c r="R263" s="984">
        <f t="shared" si="142"/>
        <v>3.6266047726118809E-4</v>
      </c>
      <c r="S263" s="914">
        <f>R263*DwellingStocks!$I$69/1000</f>
        <v>2.9050612300148748E-3</v>
      </c>
      <c r="T263" s="915">
        <v>1</v>
      </c>
      <c r="U263" s="986">
        <f t="shared" si="144"/>
        <v>0.81730205965742675</v>
      </c>
      <c r="V263" s="915">
        <v>20</v>
      </c>
      <c r="W263" s="914">
        <v>1</v>
      </c>
      <c r="X263" s="866"/>
      <c r="Y263" s="928">
        <f t="shared" si="145"/>
        <v>4.1641863987500897E-8</v>
      </c>
      <c r="Z263" s="928">
        <f t="shared" si="146"/>
        <v>5.0950396484936232E-8</v>
      </c>
      <c r="AA263" s="866"/>
      <c r="AB263" s="66" t="s">
        <v>393</v>
      </c>
      <c r="AC263" s="66" t="str">
        <f t="shared" ref="AC263:AD263" si="148">N263</f>
        <v>WH_Det-F_COAHAR_X1</v>
      </c>
      <c r="AD263" s="83" t="str">
        <f t="shared" si="148"/>
        <v>Residential Water Heating Detached-F_Anthracite + Manufactured Ovoids to Residential_Existing 01</v>
      </c>
      <c r="AE263" s="66" t="s">
        <v>53</v>
      </c>
      <c r="AF263" s="88" t="s">
        <v>406</v>
      </c>
      <c r="AG263" s="66"/>
      <c r="AH263" s="66"/>
      <c r="AI263" s="840"/>
      <c r="AJ263" s="840"/>
      <c r="AK263" s="840"/>
      <c r="AL263" s="840"/>
      <c r="AM263" s="840"/>
      <c r="AN263" s="840"/>
      <c r="AO263" s="840"/>
    </row>
    <row r="264" spans="1:41" ht="15.75" thickBot="1">
      <c r="A264" s="756" t="s">
        <v>124</v>
      </c>
      <c r="B264" s="1048"/>
      <c r="C264" s="1049"/>
      <c r="D264" s="1049"/>
      <c r="E264" s="1049"/>
      <c r="F264" s="1049"/>
      <c r="G264" s="1049"/>
      <c r="H264" s="1049"/>
      <c r="I264" s="1049"/>
      <c r="J264" s="1050"/>
      <c r="K264" s="1051"/>
      <c r="L264" s="840"/>
      <c r="M264" s="840"/>
      <c r="N264" s="76" t="str">
        <f>AB264</f>
        <v>*G Rating</v>
      </c>
      <c r="O264" s="76"/>
      <c r="P264" s="76"/>
      <c r="Q264" s="76"/>
      <c r="R264" s="949">
        <f>SUM(R265:R281)</f>
        <v>1.0000000000000002</v>
      </c>
      <c r="S264" s="76"/>
      <c r="T264" s="97"/>
      <c r="U264" s="76"/>
      <c r="V264" s="76"/>
      <c r="W264" s="76"/>
      <c r="X264" s="840"/>
      <c r="Y264" s="76"/>
      <c r="Z264" s="76"/>
      <c r="AA264" s="840"/>
      <c r="AB264" s="140" t="str">
        <f>"*"&amp; A267 &amp; " Rating"</f>
        <v>*G Rating</v>
      </c>
      <c r="AC264" s="141"/>
      <c r="AD264" s="141"/>
      <c r="AE264" s="141"/>
      <c r="AF264" s="141"/>
      <c r="AG264" s="141"/>
      <c r="AH264" s="141"/>
      <c r="AI264" s="840"/>
      <c r="AJ264" s="840"/>
      <c r="AK264" s="840"/>
      <c r="AL264" s="840"/>
      <c r="AM264" s="840"/>
      <c r="AN264" s="840"/>
      <c r="AO264" s="840"/>
    </row>
    <row r="265" spans="1:41">
      <c r="A265" s="972" t="s">
        <v>124</v>
      </c>
      <c r="B265" s="757" t="s">
        <v>581</v>
      </c>
      <c r="C265" s="757">
        <f>SUMIFS(INDEX(Table91517[],,MATCH(C$144,Table91517[#Headers],0)),Table91517[MainWaterHeatingFuel],$B265,Table91517[EnergyRating (group)],$A265)</f>
        <v>3305</v>
      </c>
      <c r="D265" s="757">
        <f>SUMIFS(INDEX(Table91517[],,MATCH(D$144,Table91517[#Headers],0)),Table91517[MainWaterHeatingFuel],$B265,Table91517[EnergyRating (group)],$A265)</f>
        <v>1224</v>
      </c>
      <c r="E265" s="760">
        <f>SUMIFS(INDEX(Table91517[],,MATCH(E$144,Table91517[#Headers],0)),Table91517[MainWaterHeatingFuel],$B265,Table91517[EnergyRating (group)],$A265)</f>
        <v>1628</v>
      </c>
      <c r="F265" s="760">
        <f>SUMIFS(INDEX(Table91517[],,MATCH(F$144,Table91517[#Headers],0)),Table91517[MainWaterHeatingFuel],$B265,Table91517[EnergyRating (group)],$A265)</f>
        <v>603</v>
      </c>
      <c r="G265" s="757">
        <f>SUMIFS(INDEX(Table91517[],,MATCH(G$144,Table91517[#Headers],0)),Table91517[MainWaterHeatingFuel],$B265,Table91517[EnergyRating (group)],$A265)</f>
        <v>1</v>
      </c>
      <c r="H265" s="757">
        <f>SUMIFS(INDEX(Table91517[],,MATCH(H$144,Table91517[#Headers],0)),Table91517[MainWaterHeatingFuel],$B265,Table91517[EnergyRating (group)],$A265)</f>
        <v>73</v>
      </c>
      <c r="I265" s="959"/>
      <c r="J265" s="989">
        <f t="shared" ref="J265:J266" si="149">C265+E265</f>
        <v>4933</v>
      </c>
      <c r="K265" s="990">
        <f t="shared" ref="K265:K266" si="150">D265+F265</f>
        <v>1827</v>
      </c>
      <c r="L265" s="840"/>
      <c r="M265" s="840"/>
      <c r="N265" s="914" t="str">
        <f>RSD_Commodities!$M$89&amp;"_"&amp;RIGHT(P265,LEN(P265)-3)&amp;"_"&amp;SETUP!$B$67</f>
        <v>WH_Det-G_BIOETH_X0</v>
      </c>
      <c r="O265" s="914" t="str">
        <f>RSD_Commodities!$N$89&amp;"_"&amp;RSD_Commodities!D23&amp;"_"&amp;SETUP!$C$67</f>
        <v>Residential Water Heating Detached-G_Ethanol to Residential_Existing 00</v>
      </c>
      <c r="P265" s="915" t="str">
        <f>RSD_Commodities!$C$23</f>
        <v>RSDBIOETH</v>
      </c>
      <c r="Q265" s="914" t="str">
        <f>RSD_Commodities!$M$89</f>
        <v>WH_Det-G</v>
      </c>
      <c r="R265" s="984">
        <f>G265/SUM($G$265:$G$281)</f>
        <v>4.092657771957109E-5</v>
      </c>
      <c r="S265" s="914">
        <f>R265*DwellingStocks!$I$70/1000</f>
        <v>3.5432966822784129E-4</v>
      </c>
      <c r="T265" s="915">
        <v>1</v>
      </c>
      <c r="U265" s="986">
        <f>K265/J265</f>
        <v>0.37036286235556459</v>
      </c>
      <c r="V265" s="915">
        <v>20</v>
      </c>
      <c r="W265" s="914">
        <v>1</v>
      </c>
      <c r="X265" s="840"/>
      <c r="Y265" s="928">
        <f>ABS((K265)*S265*1000*$B$2)</f>
        <v>2.6603848103517786E-10</v>
      </c>
      <c r="Z265" s="928">
        <f>ABS((J265)*S265*1000*$B$2)</f>
        <v>7.1831846028819513E-10</v>
      </c>
      <c r="AA265" s="840"/>
      <c r="AB265" s="66" t="s">
        <v>393</v>
      </c>
      <c r="AC265" s="66" t="str">
        <f t="shared" ref="AC265:AC269" si="151">N265</f>
        <v>WH_Det-G_BIOETH_X0</v>
      </c>
      <c r="AD265" s="83" t="str">
        <f t="shared" ref="AD265:AD269" si="152">O265</f>
        <v>Residential Water Heating Detached-G_Ethanol to Residential_Existing 00</v>
      </c>
      <c r="AE265" s="66" t="s">
        <v>53</v>
      </c>
      <c r="AF265" s="88" t="s">
        <v>406</v>
      </c>
      <c r="AG265" s="66"/>
      <c r="AH265" s="66"/>
      <c r="AI265" s="840"/>
      <c r="AJ265" s="840"/>
      <c r="AK265" s="840"/>
      <c r="AL265" s="840"/>
      <c r="AM265" s="840"/>
      <c r="AN265" s="840"/>
      <c r="AO265" s="840"/>
    </row>
    <row r="266" spans="1:41" ht="15.75" thickBot="1">
      <c r="A266" s="973" t="s">
        <v>124</v>
      </c>
      <c r="B266" s="758" t="s">
        <v>580</v>
      </c>
      <c r="C266" s="758">
        <f>SUMIFS(INDEX(Table91517[],,MATCH(C$144,Table91517[#Headers],0)),Table91517[MainWaterHeatingFuel],$B266,Table91517[EnergyRating (group)],$A266)</f>
        <v>17798</v>
      </c>
      <c r="D266" s="758">
        <f>SUMIFS(INDEX(Table91517[],,MATCH(D$144,Table91517[#Headers],0)),Table91517[MainWaterHeatingFuel],$B266,Table91517[EnergyRating (group)],$A266)</f>
        <v>6591</v>
      </c>
      <c r="E266" s="758">
        <f>SUMIFS(INDEX(Table91517[],,MATCH(E$144,Table91517[#Headers],0)),Table91517[MainWaterHeatingFuel],$B266,Table91517[EnergyRating (group)],$A266)</f>
        <v>0</v>
      </c>
      <c r="F266" s="758">
        <f>SUMIFS(INDEX(Table91517[],,MATCH(F$144,Table91517[#Headers],0)),Table91517[MainWaterHeatingFuel],$B266,Table91517[EnergyRating (group)],$A266)</f>
        <v>0</v>
      </c>
      <c r="G266" s="758">
        <f>SUMIFS(INDEX(Table91517[],,MATCH(G$144,Table91517[#Headers],0)),Table91517[MainWaterHeatingFuel],$B266,Table91517[EnergyRating (group)],$A266)</f>
        <v>2</v>
      </c>
      <c r="H266" s="758">
        <f>SUMIFS(INDEX(Table91517[],,MATCH(H$144,Table91517[#Headers],0)),Table91517[MainWaterHeatingFuel],$B266,Table91517[EnergyRating (group)],$A266)</f>
        <v>270</v>
      </c>
      <c r="I266" s="960"/>
      <c r="J266" s="980">
        <f t="shared" si="149"/>
        <v>17798</v>
      </c>
      <c r="K266" s="981">
        <f t="shared" si="150"/>
        <v>6591</v>
      </c>
      <c r="L266" s="840"/>
      <c r="M266" s="840"/>
      <c r="N266" s="66" t="str">
        <f>RSD_Commodities!$M$89&amp;"_"&amp;RIGHT(P266,LEN(P266)-3)&amp;"_"&amp;SETUP!$B$67</f>
        <v>WH_Det-G_BIODST_X0</v>
      </c>
      <c r="O266" s="66" t="str">
        <f>RSD_Commodities!$N$89&amp;"_"&amp;RSD_Commodities!D24&amp;"_"&amp;SETUP!$C$67</f>
        <v>Residential Water Heating Detached-G_Biodiesel to Residential_Existing 00</v>
      </c>
      <c r="P266" s="83" t="str">
        <f>RSD_Commodities!$C$24</f>
        <v>RSDBIODST</v>
      </c>
      <c r="Q266" s="66" t="str">
        <f>RSD_Commodities!$M$89</f>
        <v>WH_Det-G</v>
      </c>
      <c r="R266" s="985">
        <f>G266/SUM($G$265:$G$281)</f>
        <v>8.1853155439142179E-5</v>
      </c>
      <c r="S266" s="66">
        <f>R266*DwellingStocks!$I$70/1000</f>
        <v>7.0865933645568259E-4</v>
      </c>
      <c r="T266" s="83">
        <v>1</v>
      </c>
      <c r="U266" s="987">
        <f>K266/J266</f>
        <v>0.37032250814698281</v>
      </c>
      <c r="V266" s="83">
        <v>20</v>
      </c>
      <c r="W266" s="66">
        <v>1</v>
      </c>
      <c r="X266" s="840"/>
      <c r="Y266" s="926">
        <f>ABS((K266)*S266*1000*$B$2)</f>
        <v>1.9194960355805775E-9</v>
      </c>
      <c r="Z266" s="926">
        <f>ABS((J266)*S266*1000*$B$2)</f>
        <v>5.1833091247554404E-9</v>
      </c>
      <c r="AA266" s="840"/>
      <c r="AB266" s="914" t="s">
        <v>393</v>
      </c>
      <c r="AC266" s="914" t="str">
        <f t="shared" si="151"/>
        <v>WH_Det-G_BIODST_X0</v>
      </c>
      <c r="AD266" s="915" t="str">
        <f t="shared" si="152"/>
        <v>Residential Water Heating Detached-G_Biodiesel to Residential_Existing 00</v>
      </c>
      <c r="AE266" s="914" t="s">
        <v>53</v>
      </c>
      <c r="AF266" s="916" t="s">
        <v>406</v>
      </c>
      <c r="AG266" s="914"/>
      <c r="AH266" s="914"/>
      <c r="AI266" s="840"/>
      <c r="AJ266" s="840"/>
      <c r="AK266" s="840"/>
      <c r="AL266" s="840"/>
      <c r="AM266" s="840"/>
      <c r="AN266" s="840"/>
      <c r="AO266" s="840"/>
    </row>
    <row r="267" spans="1:41">
      <c r="A267" s="972" t="s">
        <v>124</v>
      </c>
      <c r="B267" s="757" t="s">
        <v>582</v>
      </c>
      <c r="C267" s="757">
        <f>SUMIFS(INDEX(Table91517[],,MATCH(C$144,Table91517[#Headers],0)),Table91517[MainWaterHeatingFuel],$B267,Table91517[EnergyRating (group)],$A267)</f>
        <v>565993</v>
      </c>
      <c r="D267" s="757">
        <f>SUMIFS(INDEX(Table91517[],,MATCH(D$144,Table91517[#Headers],0)),Table91517[MainWaterHeatingFuel],$B267,Table91517[EnergyRating (group)],$A267)</f>
        <v>514535</v>
      </c>
      <c r="E267" s="760">
        <f>SUMIFS(INDEX(Table91517[],,MATCH(E$144,Table91517[#Headers],0)),Table91517[MainWaterHeatingFuel],$B267,Table91517[EnergyRating (group)],$A267)</f>
        <v>117516</v>
      </c>
      <c r="F267" s="760">
        <f>SUMIFS(INDEX(Table91517[],,MATCH(F$144,Table91517[#Headers],0)),Table91517[MainWaterHeatingFuel],$B267,Table91517[EnergyRating (group)],$A267)</f>
        <v>43524</v>
      </c>
      <c r="G267" s="757">
        <f>SUMIFS(INDEX(Table91517[],,MATCH(G$144,Table91517[#Headers],0)),Table91517[MainWaterHeatingFuel],$B267,Table91517[EnergyRating (group)],$A267)</f>
        <v>106</v>
      </c>
      <c r="H267" s="757">
        <f>SUMIFS(INDEX(Table91517[],,MATCH(H$144,Table91517[#Headers],0)),Table91517[MainWaterHeatingFuel],$B267,Table91517[EnergyRating (group)],$A267)</f>
        <v>12621</v>
      </c>
      <c r="I267" s="959"/>
      <c r="J267" s="989">
        <f t="shared" ref="J267:K281" si="153">C267+E267</f>
        <v>683509</v>
      </c>
      <c r="K267" s="990">
        <f t="shared" si="153"/>
        <v>558059</v>
      </c>
      <c r="L267" s="840"/>
      <c r="M267" s="840"/>
      <c r="N267" s="914" t="str">
        <f>RSD_Commodities!$M$89&amp;"_"&amp;RIGHT(P267,LEN(P267)-3)&amp;"_"&amp;SETUP!$B$67</f>
        <v>WH_Det-G_OILLPG_X0</v>
      </c>
      <c r="O267" s="914" t="str">
        <f>RSD_Commodities!$N$89&amp;"_"&amp;RSD_Commodities!D11&amp;"_"&amp;SETUP!$C$67</f>
        <v>Residential Water Heating Detached-G_LPG to Residential_Existing 00</v>
      </c>
      <c r="P267" s="915" t="str">
        <f>RSD_Commodities!$C$11</f>
        <v>RSDOILLPG</v>
      </c>
      <c r="Q267" s="914" t="str">
        <f>RSD_Commodities!$M$89</f>
        <v>WH_Det-G</v>
      </c>
      <c r="R267" s="984">
        <f t="shared" ref="R267:R281" si="154">G267/SUM($G$265:$G$281)</f>
        <v>4.3382172382745356E-3</v>
      </c>
      <c r="S267" s="914">
        <f>R267*DwellingStocks!$I$70/1000</f>
        <v>3.7558944832151178E-2</v>
      </c>
      <c r="T267" s="915">
        <v>1</v>
      </c>
      <c r="U267" s="986">
        <f>K267/J267</f>
        <v>0.81646181688902408</v>
      </c>
      <c r="V267" s="915">
        <v>20</v>
      </c>
      <c r="W267" s="914">
        <v>1</v>
      </c>
      <c r="X267" s="866"/>
      <c r="Y267" s="928">
        <f>ABS((K267)*S267*1000*$B$2)</f>
        <v>8.6137426825008716E-6</v>
      </c>
      <c r="Z267" s="928">
        <f>ABS((J267)*S267*1000*$B$2)</f>
        <v>1.0550086365731025E-5</v>
      </c>
      <c r="AA267" s="866"/>
      <c r="AB267" s="66" t="s">
        <v>393</v>
      </c>
      <c r="AC267" s="66" t="str">
        <f t="shared" si="151"/>
        <v>WH_Det-G_OILLPG_X0</v>
      </c>
      <c r="AD267" s="83" t="str">
        <f t="shared" si="152"/>
        <v>Residential Water Heating Detached-G_LPG to Residential_Existing 00</v>
      </c>
      <c r="AE267" s="66" t="s">
        <v>53</v>
      </c>
      <c r="AF267" s="88" t="s">
        <v>406</v>
      </c>
      <c r="AG267" s="66"/>
      <c r="AH267" s="66"/>
      <c r="AI267" s="840"/>
      <c r="AJ267" s="840"/>
      <c r="AK267" s="840"/>
      <c r="AL267" s="840"/>
      <c r="AM267" s="840"/>
      <c r="AN267" s="840"/>
      <c r="AO267" s="840"/>
    </row>
    <row r="268" spans="1:41">
      <c r="A268" s="973" t="s">
        <v>124</v>
      </c>
      <c r="B268" s="758" t="s">
        <v>228</v>
      </c>
      <c r="C268" s="758">
        <f>SUMIFS(INDEX(Table91517[],,MATCH(C$144,Table91517[#Headers],0)),Table91517[MainWaterHeatingFuel],$B268,Table91517[EnergyRating (group)],$A268)</f>
        <v>42761169</v>
      </c>
      <c r="D268" s="758">
        <f>SUMIFS(INDEX(Table91517[],,MATCH(D$144,Table91517[#Headers],0)),Table91517[MainWaterHeatingFuel],$B268,Table91517[EnergyRating (group)],$A268)</f>
        <v>15837474</v>
      </c>
      <c r="E268" s="758">
        <f>SUMIFS(INDEX(Table91517[],,MATCH(E$144,Table91517[#Headers],0)),Table91517[MainWaterHeatingFuel],$B268,Table91517[EnergyRating (group)],$A268)</f>
        <v>241066</v>
      </c>
      <c r="F268" s="758">
        <f>SUMIFS(INDEX(Table91517[],,MATCH(F$144,Table91517[#Headers],0)),Table91517[MainWaterHeatingFuel],$B268,Table91517[EnergyRating (group)],$A268)</f>
        <v>89284</v>
      </c>
      <c r="G268" s="758">
        <f>SUMIFS(INDEX(Table91517[],,MATCH(G$144,Table91517[#Headers],0)),Table91517[MainWaterHeatingFuel],$B268,Table91517[EnergyRating (group)],$A268)</f>
        <v>6242</v>
      </c>
      <c r="H268" s="758">
        <f>SUMIFS(INDEX(Table91517[],,MATCH(H$144,Table91517[#Headers],0)),Table91517[MainWaterHeatingFuel],$B268,Table91517[EnergyRating (group)],$A268)</f>
        <v>562723</v>
      </c>
      <c r="I268" s="960"/>
      <c r="J268" s="980">
        <f t="shared" si="153"/>
        <v>43002235</v>
      </c>
      <c r="K268" s="981">
        <f t="shared" si="153"/>
        <v>15926758</v>
      </c>
      <c r="L268" s="840"/>
      <c r="M268" s="840"/>
      <c r="N268" s="66" t="str">
        <f>RSD_Commodities!$M$89&amp;"_"&amp;RIGHT(P268,LEN(P268)-3)&amp;"_"&amp;SETUP!$B$67</f>
        <v>WH_Det-G_ELCD_X0</v>
      </c>
      <c r="O268" s="66" t="str">
        <f>RSD_Commodities!$N$89&amp;"_"&amp;RSD_Commodities!D27&amp;"_"&amp;SETUP!$C$67</f>
        <v>Residential Water Heating Detached-G_Electricity to Residential_Existing 00</v>
      </c>
      <c r="P268" s="83" t="str">
        <f>RSD_Commodities!$C$27</f>
        <v>RSDELCD</v>
      </c>
      <c r="Q268" s="66" t="str">
        <f>RSD_Commodities!$M$89</f>
        <v>WH_Det-G</v>
      </c>
      <c r="R268" s="985">
        <f t="shared" si="154"/>
        <v>0.25546369812556274</v>
      </c>
      <c r="S268" s="66">
        <f>R268*DwellingStocks!$I$70/1000</f>
        <v>2.2117257890781854</v>
      </c>
      <c r="T268" s="83">
        <v>1</v>
      </c>
      <c r="U268" s="987">
        <f>K268/J268</f>
        <v>0.37037047027904479</v>
      </c>
      <c r="V268" s="83">
        <v>20</v>
      </c>
      <c r="W268" s="66">
        <v>1</v>
      </c>
      <c r="X268" s="866"/>
      <c r="Y268" s="926">
        <f>ABS((K268)*S268*1000*$B$2)</f>
        <v>1.4476282769181085E-2</v>
      </c>
      <c r="Z268" s="926">
        <f>ABS((J268)*S268*1000*$B$2)</f>
        <v>3.9085952933219419E-2</v>
      </c>
      <c r="AA268" s="866"/>
      <c r="AB268" s="914" t="s">
        <v>393</v>
      </c>
      <c r="AC268" s="914" t="str">
        <f t="shared" si="151"/>
        <v>WH_Det-G_ELCD_X0</v>
      </c>
      <c r="AD268" s="915" t="str">
        <f t="shared" si="152"/>
        <v>Residential Water Heating Detached-G_Electricity to Residential_Existing 00</v>
      </c>
      <c r="AE268" s="914" t="s">
        <v>53</v>
      </c>
      <c r="AF268" s="916" t="s">
        <v>406</v>
      </c>
      <c r="AG268" s="914"/>
      <c r="AH268" s="914"/>
      <c r="AI268" s="840"/>
      <c r="AJ268" s="840"/>
      <c r="AK268" s="840"/>
      <c r="AL268" s="840"/>
      <c r="AM268" s="840"/>
      <c r="AN268" s="840"/>
      <c r="AO268" s="840"/>
    </row>
    <row r="269" spans="1:41">
      <c r="A269" s="972" t="s">
        <v>124</v>
      </c>
      <c r="B269" s="757" t="s">
        <v>583</v>
      </c>
      <c r="C269" s="757">
        <f>SUMIFS(INDEX(Table91517[],,MATCH(C$144,Table91517[#Headers],0)),Table91517[MainWaterHeatingFuel],$B269,Table91517[EnergyRating (group)],$A269)</f>
        <v>57335502</v>
      </c>
      <c r="D269" s="757">
        <f>SUMIFS(INDEX(Table91517[],,MATCH(D$144,Table91517[#Headers],0)),Table91517[MainWaterHeatingFuel],$B269,Table91517[EnergyRating (group)],$A269)</f>
        <v>52123184</v>
      </c>
      <c r="E269" s="757">
        <f>SUMIFS(INDEX(Table91517[],,MATCH(E$144,Table91517[#Headers],0)),Table91517[MainWaterHeatingFuel],$B269,Table91517[EnergyRating (group)],$A269)</f>
        <v>19564041</v>
      </c>
      <c r="F269" s="757">
        <f>SUMIFS(INDEX(Table91517[],,MATCH(F$144,Table91517[#Headers],0)),Table91517[MainWaterHeatingFuel],$B269,Table91517[EnergyRating (group)],$A269)</f>
        <v>7245940</v>
      </c>
      <c r="G269" s="757">
        <f>SUMIFS(INDEX(Table91517[],,MATCH(G$144,Table91517[#Headers],0)),Table91517[MainWaterHeatingFuel],$B269,Table91517[EnergyRating (group)],$A269)</f>
        <v>10973</v>
      </c>
      <c r="H269" s="757">
        <f>SUMIFS(INDEX(Table91517[],,MATCH(H$144,Table91517[#Headers],0)),Table91517[MainWaterHeatingFuel],$B269,Table91517[EnergyRating (group)],$A269)</f>
        <v>1142082</v>
      </c>
      <c r="I269" s="961"/>
      <c r="J269" s="978">
        <f t="shared" si="153"/>
        <v>76899543</v>
      </c>
      <c r="K269" s="979">
        <f t="shared" si="153"/>
        <v>59369124</v>
      </c>
      <c r="L269" s="840"/>
      <c r="M269" s="840"/>
      <c r="N269" s="914" t="str">
        <f>RSD_Commodities!$M$89&amp;"_"&amp;RIGHT(P269,LEN(P269)-3)&amp;"_"&amp;SETUP!$B$67</f>
        <v>WH_Det-G_OILKER_X0</v>
      </c>
      <c r="O269" s="914" t="str">
        <f>RSD_Commodities!$N$89&amp;"_"&amp;RSD_Commodities!D13&amp;"_"&amp;SETUP!$C$67</f>
        <v>Residential Water Heating Detached-G_Kerosene to Residential_Existing 00</v>
      </c>
      <c r="P269" s="915" t="str">
        <f>RSD_Commodities!$C$13</f>
        <v>RSDOILKER</v>
      </c>
      <c r="Q269" s="914" t="str">
        <f>RSD_Commodities!$M$89</f>
        <v>WH_Det-G</v>
      </c>
      <c r="R269" s="984">
        <f t="shared" si="154"/>
        <v>0.44908733731685357</v>
      </c>
      <c r="S269" s="914">
        <f>R269*DwellingStocks!$I$70/1000</f>
        <v>3.8880594494641021</v>
      </c>
      <c r="T269" s="915">
        <v>1</v>
      </c>
      <c r="U269" s="986">
        <f t="shared" ref="U269" si="155">K269/J269</f>
        <v>0.77203480910153133</v>
      </c>
      <c r="V269" s="915">
        <v>20</v>
      </c>
      <c r="W269" s="914">
        <v>1</v>
      </c>
      <c r="X269" s="866"/>
      <c r="Y269" s="928">
        <f t="shared" ref="Y269:Y281" si="156">ABS((K269)*S269*1000*$B$2)</f>
        <v>9.4861924756687407E-2</v>
      </c>
      <c r="Z269" s="928">
        <f t="shared" ref="Z269:Z281" si="157">ABS((J269)*S269*1000*$B$2)</f>
        <v>0.12287260061121416</v>
      </c>
      <c r="AA269" s="866"/>
      <c r="AB269" s="66" t="s">
        <v>393</v>
      </c>
      <c r="AC269" s="66" t="str">
        <f t="shared" si="151"/>
        <v>WH_Det-G_OILKER_X0</v>
      </c>
      <c r="AD269" s="83" t="str">
        <f t="shared" si="152"/>
        <v>Residential Water Heating Detached-G_Kerosene to Residential_Existing 00</v>
      </c>
      <c r="AE269" s="66" t="s">
        <v>53</v>
      </c>
      <c r="AF269" s="88" t="s">
        <v>406</v>
      </c>
      <c r="AG269" s="66"/>
      <c r="AH269" s="66"/>
      <c r="AI269" s="840"/>
      <c r="AJ269" s="840"/>
      <c r="AK269" s="840"/>
      <c r="AL269" s="840"/>
      <c r="AM269" s="840"/>
      <c r="AN269" s="840"/>
      <c r="AO269" s="840"/>
    </row>
    <row r="270" spans="1:41">
      <c r="A270" s="973" t="s">
        <v>124</v>
      </c>
      <c r="B270" s="758" t="s">
        <v>584</v>
      </c>
      <c r="C270" s="758">
        <f>SUMIFS(INDEX(Table91517[],,MATCH(C$144,Table91517[#Headers],0)),Table91517[MainWaterHeatingFuel],$B270,Table91517[EnergyRating (group)],$A270)</f>
        <v>4631096</v>
      </c>
      <c r="D270" s="758">
        <f>SUMIFS(INDEX(Table91517[],,MATCH(D$144,Table91517[#Headers],0)),Table91517[MainWaterHeatingFuel],$B270,Table91517[EnergyRating (group)],$A270)</f>
        <v>4210086</v>
      </c>
      <c r="E270" s="759">
        <f>SUMIFS(INDEX(Table91517[],,MATCH(E$144,Table91517[#Headers],0)),Table91517[MainWaterHeatingFuel],$B270,Table91517[EnergyRating (group)],$A270)</f>
        <v>1534792</v>
      </c>
      <c r="F270" s="759">
        <f>SUMIFS(INDEX(Table91517[],,MATCH(F$144,Table91517[#Headers],0)),Table91517[MainWaterHeatingFuel],$B270,Table91517[EnergyRating (group)],$A270)</f>
        <v>568440</v>
      </c>
      <c r="G270" s="758">
        <f>SUMIFS(INDEX(Table91517[],,MATCH(G$144,Table91517[#Headers],0)),Table91517[MainWaterHeatingFuel],$B270,Table91517[EnergyRating (group)],$A270)</f>
        <v>844</v>
      </c>
      <c r="H270" s="758">
        <f>SUMIFS(INDEX(Table91517[],,MATCH(H$144,Table91517[#Headers],0)),Table91517[MainWaterHeatingFuel],$B270,Table91517[EnergyRating (group)],$A270)</f>
        <v>96826</v>
      </c>
      <c r="I270" s="960"/>
      <c r="J270" s="980">
        <f t="shared" si="153"/>
        <v>6165888</v>
      </c>
      <c r="K270" s="981">
        <f t="shared" si="153"/>
        <v>4778526</v>
      </c>
      <c r="L270" s="840"/>
      <c r="M270" s="840"/>
      <c r="N270" s="66" t="str">
        <f>RSD_Commodities!$M$89&amp;"_"&amp;RIGHT(P270,LEN(P270)-3)&amp;"_"&amp;SETUP!$B$67</f>
        <v>WH_Det-G_GASNAT_X0</v>
      </c>
      <c r="O270" s="66" t="str">
        <f>RSD_Commodities!$N$89&amp;"_"&amp;RSD_Commodities!D17&amp;"_"&amp;SETUP!$C$67</f>
        <v>Residential Water Heating Detached-G_Natural Gas to Residential_Existing 00</v>
      </c>
      <c r="P270" s="83" t="str">
        <f>RSD_Commodities!$C$17</f>
        <v>RSDGASNAT</v>
      </c>
      <c r="Q270" s="66" t="str">
        <f>RSD_Commodities!$M$89</f>
        <v>WH_Det-G</v>
      </c>
      <c r="R270" s="985">
        <f t="shared" si="154"/>
        <v>3.4542031595317997E-2</v>
      </c>
      <c r="S270" s="66">
        <f>R270*DwellingStocks!$I$70/1000</f>
        <v>0.29905423998429803</v>
      </c>
      <c r="T270" s="83">
        <v>1</v>
      </c>
      <c r="U270" s="987">
        <f>K270/J270</f>
        <v>0.7749939668057545</v>
      </c>
      <c r="V270" s="83">
        <v>20</v>
      </c>
      <c r="W270" s="66">
        <v>1</v>
      </c>
      <c r="X270" s="866"/>
      <c r="Y270" s="926">
        <f t="shared" si="156"/>
        <v>5.8727607993501701E-4</v>
      </c>
      <c r="Z270" s="926">
        <f t="shared" si="157"/>
        <v>7.5778148616505625E-4</v>
      </c>
      <c r="AA270" s="866"/>
      <c r="AB270" s="914" t="s">
        <v>393</v>
      </c>
      <c r="AC270" s="914" t="str">
        <f t="shared" ref="AC267:AD281" si="158">N270</f>
        <v>WH_Det-G_GASNAT_X0</v>
      </c>
      <c r="AD270" s="915" t="str">
        <f t="shared" si="158"/>
        <v>Residential Water Heating Detached-G_Natural Gas to Residential_Existing 00</v>
      </c>
      <c r="AE270" s="914" t="s">
        <v>53</v>
      </c>
      <c r="AF270" s="916" t="s">
        <v>406</v>
      </c>
      <c r="AG270" s="914"/>
      <c r="AH270" s="914"/>
      <c r="AI270" s="840"/>
      <c r="AJ270" s="840"/>
      <c r="AK270" s="840"/>
      <c r="AL270" s="840"/>
      <c r="AM270" s="840"/>
      <c r="AN270" s="840"/>
      <c r="AO270" s="840"/>
    </row>
    <row r="271" spans="1:41">
      <c r="A271" s="972" t="s">
        <v>124</v>
      </c>
      <c r="B271" s="757" t="s">
        <v>585</v>
      </c>
      <c r="C271" s="757">
        <f>SUMIFS(INDEX(Table91517[],,MATCH(C$144,Table91517[#Headers],0)),Table91517[MainWaterHeatingFuel],$B271,Table91517[EnergyRating (group)],$A271)</f>
        <v>61410</v>
      </c>
      <c r="D271" s="757">
        <f>SUMIFS(INDEX(Table91517[],,MATCH(D$144,Table91517[#Headers],0)),Table91517[MainWaterHeatingFuel],$B271,Table91517[EnergyRating (group)],$A271)</f>
        <v>55827</v>
      </c>
      <c r="E271" s="760">
        <f>SUMIFS(INDEX(Table91517[],,MATCH(E$144,Table91517[#Headers],0)),Table91517[MainWaterHeatingFuel],$B271,Table91517[EnergyRating (group)],$A271)</f>
        <v>27747</v>
      </c>
      <c r="F271" s="760">
        <f>SUMIFS(INDEX(Table91517[],,MATCH(F$144,Table91517[#Headers],0)),Table91517[MainWaterHeatingFuel],$B271,Table91517[EnergyRating (group)],$A271)</f>
        <v>10278</v>
      </c>
      <c r="G271" s="757">
        <f>SUMIFS(INDEX(Table91517[],,MATCH(G$144,Table91517[#Headers],0)),Table91517[MainWaterHeatingFuel],$B271,Table91517[EnergyRating (group)],$A271)</f>
        <v>12</v>
      </c>
      <c r="H271" s="757">
        <f>SUMIFS(INDEX(Table91517[],,MATCH(H$144,Table91517[#Headers],0)),Table91517[MainWaterHeatingFuel],$B271,Table91517[EnergyRating (group)],$A271)</f>
        <v>1451</v>
      </c>
      <c r="I271" s="959"/>
      <c r="J271" s="978">
        <f t="shared" si="153"/>
        <v>89157</v>
      </c>
      <c r="K271" s="979">
        <f t="shared" si="153"/>
        <v>66105</v>
      </c>
      <c r="L271" s="840"/>
      <c r="M271" s="840"/>
      <c r="N271" s="914" t="str">
        <f>RSD_Commodities!$M$89&amp;"_"&amp;RIGHT(P271,LEN(P271)-3)&amp;"_"&amp;SETUP!$B$67</f>
        <v>WH_Det-G_BIOWOO_X0</v>
      </c>
      <c r="O271" s="914" t="str">
        <f>RSD_Commodities!$N$89&amp;"_"&amp;RSD_Commodities!D19&amp;"_"&amp;SETUP!$C$67</f>
        <v>Residential Water Heating Detached-G_Biomass &amp; Renewable Waste to Residential_Existing 00</v>
      </c>
      <c r="P271" s="915" t="str">
        <f>RSD_Commodities!$C$19</f>
        <v>RSDBIOWOO</v>
      </c>
      <c r="Q271" s="914" t="str">
        <f>RSD_Commodities!$M$89</f>
        <v>WH_Det-G</v>
      </c>
      <c r="R271" s="984">
        <f t="shared" si="154"/>
        <v>4.9111893263485305E-4</v>
      </c>
      <c r="S271" s="914">
        <f>R271*DwellingStocks!$I$70/1000</f>
        <v>4.2519560187340953E-3</v>
      </c>
      <c r="T271" s="915">
        <v>1</v>
      </c>
      <c r="U271" s="986">
        <f t="shared" ref="U271:U281" si="159">K271/J271</f>
        <v>0.7414448669201521</v>
      </c>
      <c r="V271" s="915">
        <v>20</v>
      </c>
      <c r="W271" s="914">
        <v>1</v>
      </c>
      <c r="X271" s="866"/>
      <c r="Y271" s="928">
        <f t="shared" si="156"/>
        <v>1.1551050107606195E-7</v>
      </c>
      <c r="Z271" s="928">
        <f t="shared" si="157"/>
        <v>1.5579108606668869E-7</v>
      </c>
      <c r="AA271" s="866"/>
      <c r="AB271" s="66" t="s">
        <v>393</v>
      </c>
      <c r="AC271" s="66" t="str">
        <f t="shared" si="158"/>
        <v>WH_Det-G_BIOWOO_X0</v>
      </c>
      <c r="AD271" s="83" t="str">
        <f t="shared" si="158"/>
        <v>Residential Water Heating Detached-G_Biomass &amp; Renewable Waste to Residential_Existing 00</v>
      </c>
      <c r="AE271" s="66" t="s">
        <v>53</v>
      </c>
      <c r="AF271" s="88" t="s">
        <v>406</v>
      </c>
      <c r="AG271" s="66"/>
      <c r="AH271" s="66"/>
      <c r="AI271" s="840"/>
      <c r="AJ271" s="840"/>
      <c r="AK271" s="840"/>
      <c r="AL271" s="840"/>
      <c r="AM271" s="840"/>
      <c r="AN271" s="840"/>
      <c r="AO271" s="840"/>
    </row>
    <row r="272" spans="1:41">
      <c r="A272" s="973" t="s">
        <v>124</v>
      </c>
      <c r="B272" s="758" t="s">
        <v>587</v>
      </c>
      <c r="C272" s="758">
        <f>SUMIFS(INDEX(Table91517[],,MATCH(C144,Table91517[#Headers],0)),Table91517[MainWaterHeatingFuel],"",Table91517[EnergyRating (group)],$A253)</f>
        <v>0</v>
      </c>
      <c r="D272" s="758">
        <f>SUMIFS(INDEX(Table91517[],,MATCH(D144,Table91517[#Headers],0)),Table91517[MainWaterHeatingFuel],"",Table91517[EnergyRating (group)],$A272)</f>
        <v>0</v>
      </c>
      <c r="E272" s="758">
        <f>SUMIFS(INDEX(Table91517[],,MATCH(E144,Table91517[#Headers],0)),Table91517[MainWaterHeatingFuel],"",Table91517[EnergyRating (group)],$A272)</f>
        <v>17897</v>
      </c>
      <c r="F272" s="758">
        <f>SUMIFS(INDEX(Table91517[],,MATCH(F144,Table91517[#Headers],0)),Table91517[MainWaterHeatingFuel],"",Table91517[EnergyRating (group)],$A272)</f>
        <v>6629</v>
      </c>
      <c r="G272" s="758">
        <f>SUMIFS(INDEX(Table91517[],,MATCH(G144,Table91517[#Headers],0)),Table91517[MainWaterHeatingFuel],"",Table91517[EnergyRating (group)],$A272)</f>
        <v>21</v>
      </c>
      <c r="H272" s="758">
        <f>SUMIFS(INDEX(Table91517[],,MATCH(H144,Table91517[#Headers],0)),Table91517[MainWaterHeatingFuel],"",Table91517[EnergyRating (group)],$A272)</f>
        <v>2758</v>
      </c>
      <c r="I272" s="960"/>
      <c r="J272" s="980">
        <f t="shared" si="153"/>
        <v>17897</v>
      </c>
      <c r="K272" s="981">
        <f t="shared" si="153"/>
        <v>6629</v>
      </c>
      <c r="L272" s="840"/>
      <c r="M272" s="840"/>
      <c r="N272" s="66" t="str">
        <f>RSD_Commodities!$M$89&amp;"_"&amp;RIGHT(P272,LEN(P272)-3)&amp;"_"&amp;SETUP!$B$67</f>
        <v>WH_Det-G_HET_X0</v>
      </c>
      <c r="O272" s="66" t="str">
        <f>RSD_Commodities!$N$89&amp;"_"&amp;RSD_Commodities!D28&amp;"_"&amp;SETUP!$C$67</f>
        <v>Residential Water Heating Detached-G_Heat to Residential_Existing 00</v>
      </c>
      <c r="P272" s="83" t="str">
        <f>RSD_Commodities!$C$28</f>
        <v>RSDHET</v>
      </c>
      <c r="Q272" s="66" t="str">
        <f>RSD_Commodities!$M$89</f>
        <v>WH_Det-G</v>
      </c>
      <c r="R272" s="985">
        <f t="shared" si="154"/>
        <v>8.5945813211099284E-4</v>
      </c>
      <c r="S272" s="66">
        <f>R272*DwellingStocks!$I$70/1000</f>
        <v>7.4409230327846659E-3</v>
      </c>
      <c r="T272" s="83">
        <v>1</v>
      </c>
      <c r="U272" s="917">
        <v>1</v>
      </c>
      <c r="V272" s="83">
        <v>20</v>
      </c>
      <c r="W272" s="66">
        <v>1</v>
      </c>
      <c r="X272" s="866"/>
      <c r="Y272" s="926">
        <f t="shared" si="156"/>
        <v>2.0270909089450505E-8</v>
      </c>
      <c r="Z272" s="926">
        <f t="shared" si="157"/>
        <v>5.47274792538687E-8</v>
      </c>
      <c r="AA272" s="866"/>
      <c r="AB272" s="914" t="s">
        <v>393</v>
      </c>
      <c r="AC272" s="914" t="str">
        <f t="shared" si="158"/>
        <v>WH_Det-G_HET_X0</v>
      </c>
      <c r="AD272" s="915" t="str">
        <f t="shared" si="158"/>
        <v>Residential Water Heating Detached-G_Heat to Residential_Existing 00</v>
      </c>
      <c r="AE272" s="914" t="s">
        <v>53</v>
      </c>
      <c r="AF272" s="916" t="s">
        <v>406</v>
      </c>
      <c r="AG272" s="914"/>
      <c r="AH272" s="914"/>
      <c r="AI272" s="840"/>
      <c r="AJ272" s="840"/>
      <c r="AK272" s="840"/>
      <c r="AL272" s="840"/>
      <c r="AM272" s="840"/>
      <c r="AN272" s="840"/>
      <c r="AO272" s="840"/>
    </row>
    <row r="273" spans="1:42">
      <c r="A273" s="972" t="s">
        <v>124</v>
      </c>
      <c r="B273" s="757" t="s">
        <v>664</v>
      </c>
      <c r="C273" s="757">
        <f>SUMIFS(INDEX(Table91517[],,MATCH(C$144,Table91517[#Headers],0)),Table91517[MainWaterHeatingFuel],$B273,Table91517[EnergyRating (group)],$A273)</f>
        <v>246547</v>
      </c>
      <c r="D273" s="757">
        <f>SUMIFS(INDEX(Table91517[],,MATCH(D$144,Table91517[#Headers],0)),Table91517[MainWaterHeatingFuel],$B273,Table91517[EnergyRating (group)],$A273)</f>
        <v>224134</v>
      </c>
      <c r="E273" s="757">
        <f>SUMIFS(INDEX(Table91517[],,MATCH(E$144,Table91517[#Headers],0)),Table91517[MainWaterHeatingFuel],$B273,Table91517[EnergyRating (group)],$A273)</f>
        <v>55099</v>
      </c>
      <c r="F273" s="757">
        <f>SUMIFS(INDEX(Table91517[],,MATCH(F$144,Table91517[#Headers],0)),Table91517[MainWaterHeatingFuel],$B273,Table91517[EnergyRating (group)],$A273)</f>
        <v>20406</v>
      </c>
      <c r="G273" s="757">
        <f>SUMIFS(INDEX(Table91517[],,MATCH(G$144,Table91517[#Headers],0)),Table91517[MainWaterHeatingFuel],$B273,Table91517[EnergyRating (group)],$A273)</f>
        <v>53</v>
      </c>
      <c r="H273" s="757">
        <f>SUMIFS(INDEX(Table91517[],,MATCH(H$144,Table91517[#Headers],0)),Table91517[MainWaterHeatingFuel],$B273,Table91517[EnergyRating (group)],$A273)</f>
        <v>5782</v>
      </c>
      <c r="I273" s="961"/>
      <c r="J273" s="978">
        <f t="shared" si="153"/>
        <v>301646</v>
      </c>
      <c r="K273" s="979">
        <f t="shared" si="153"/>
        <v>244540</v>
      </c>
      <c r="L273" s="840"/>
      <c r="M273" s="840"/>
      <c r="N273" s="914" t="str">
        <f>RSD_Commodities!$M$89&amp;"_"&amp;RIGHT(P273,LEN(P273)-3)&amp;"_"&amp;SETUP!$B$68</f>
        <v>WH_Det-G_OILLPG_X1</v>
      </c>
      <c r="O273" s="914" t="str">
        <f>RSD_Commodities!$N$89&amp;"_"&amp;RSD_Commodities!D11&amp;"_"&amp;SETUP!$C$68</f>
        <v>Residential Water Heating Detached-G_LPG to Residential_Existing 01</v>
      </c>
      <c r="P273" s="915" t="str">
        <f>RSD_Commodities!$C$11</f>
        <v>RSDOILLPG</v>
      </c>
      <c r="Q273" s="914" t="str">
        <f>RSD_Commodities!$M$89</f>
        <v>WH_Det-G</v>
      </c>
      <c r="R273" s="984">
        <f t="shared" si="154"/>
        <v>2.1691086191372678E-3</v>
      </c>
      <c r="S273" s="914">
        <f>R273*DwellingStocks!$I$70/1000</f>
        <v>1.8779472416075589E-2</v>
      </c>
      <c r="T273" s="915">
        <v>1</v>
      </c>
      <c r="U273" s="986">
        <f t="shared" si="159"/>
        <v>0.81068537292057574</v>
      </c>
      <c r="V273" s="915">
        <v>20</v>
      </c>
      <c r="W273" s="914">
        <v>1</v>
      </c>
      <c r="X273" s="866"/>
      <c r="Y273" s="928">
        <f t="shared" si="156"/>
        <v>1.8872598019015585E-6</v>
      </c>
      <c r="Z273" s="928">
        <f t="shared" si="157"/>
        <v>2.327980576610769E-6</v>
      </c>
      <c r="AA273" s="866"/>
      <c r="AB273" s="66" t="s">
        <v>393</v>
      </c>
      <c r="AC273" s="66" t="str">
        <f t="shared" si="158"/>
        <v>WH_Det-G_OILLPG_X1</v>
      </c>
      <c r="AD273" s="83" t="str">
        <f t="shared" si="158"/>
        <v>Residential Water Heating Detached-G_LPG to Residential_Existing 01</v>
      </c>
      <c r="AE273" s="66" t="s">
        <v>53</v>
      </c>
      <c r="AF273" s="88" t="s">
        <v>406</v>
      </c>
      <c r="AG273" s="66"/>
      <c r="AH273" s="66"/>
      <c r="AI273" s="840"/>
      <c r="AJ273" s="840"/>
      <c r="AK273" s="840"/>
      <c r="AL273" s="840"/>
      <c r="AM273" s="840"/>
      <c r="AN273" s="840"/>
      <c r="AO273" s="840"/>
    </row>
    <row r="274" spans="1:42">
      <c r="A274" s="973" t="s">
        <v>124</v>
      </c>
      <c r="B274" s="758" t="s">
        <v>665</v>
      </c>
      <c r="C274" s="758">
        <f>SUMIFS(INDEX(Table91517[],,MATCH(C$144,Table91517[#Headers],0)),Table91517[MainWaterHeatingFuel],$B274,Table91517[EnergyRating (group)],$A274)</f>
        <v>30529197</v>
      </c>
      <c r="D274" s="758">
        <f>SUMIFS(INDEX(Table91517[],,MATCH(D$144,Table91517[#Headers],0)),Table91517[MainWaterHeatingFuel],$B274,Table91517[EnergyRating (group)],$A274)</f>
        <v>27753816</v>
      </c>
      <c r="E274" s="759">
        <f>SUMIFS(INDEX(Table91517[],,MATCH(E$144,Table91517[#Headers],0)),Table91517[MainWaterHeatingFuel],$B274,Table91517[EnergyRating (group)],$A274)</f>
        <v>10044455</v>
      </c>
      <c r="F274" s="759">
        <f>SUMIFS(INDEX(Table91517[],,MATCH(F$144,Table91517[#Headers],0)),Table91517[MainWaterHeatingFuel],$B274,Table91517[EnergyRating (group)],$A274)</f>
        <v>3720166</v>
      </c>
      <c r="G274" s="758">
        <f>SUMIFS(INDEX(Table91517[],,MATCH(G$144,Table91517[#Headers],0)),Table91517[MainWaterHeatingFuel],$B274,Table91517[EnergyRating (group)],$A274)</f>
        <v>5014</v>
      </c>
      <c r="H274" s="758">
        <f>SUMIFS(INDEX(Table91517[],,MATCH(H$144,Table91517[#Headers],0)),Table91517[MainWaterHeatingFuel],$B274,Table91517[EnergyRating (group)],$A274)</f>
        <v>450964</v>
      </c>
      <c r="I274" s="960"/>
      <c r="J274" s="980">
        <f t="shared" si="153"/>
        <v>40573652</v>
      </c>
      <c r="K274" s="981">
        <f t="shared" si="153"/>
        <v>31473982</v>
      </c>
      <c r="L274" s="840"/>
      <c r="M274" s="840"/>
      <c r="N274" s="66" t="str">
        <f>RSD_Commodities!$M$89&amp;"_"&amp;RSD_Commodities!$C$26&amp;"_"&amp;SETUP!$B$67</f>
        <v>WH_Det-G_RSDSMF_X0</v>
      </c>
      <c r="O274" s="66" t="str">
        <f>RSD_Commodities!$N$89&amp;"_"&amp;RSD_Commodities!$D$26&amp;"_"&amp;SETUP!$C$67</f>
        <v>Residential Water Heating Detached-G_Solid Multi-Fuel_Existing 00</v>
      </c>
      <c r="P274" s="83" t="str">
        <f>RSD_Commodities!$C$6&amp;","&amp;RSD_Commodities!$C$7&amp;","&amp;RSD_Commodities!$C$9&amp;","&amp;RSD_Commodities!$C$10&amp;","&amp;RSD_Commodities!$C$19</f>
        <v>RSDCOABIT,RSDCOAHAR,RSDCOALIG,RSDPEA,RSDBIOWOO</v>
      </c>
      <c r="Q274" s="66" t="str">
        <f>RSD_Commodities!$M$89</f>
        <v>WH_Det-G</v>
      </c>
      <c r="R274" s="985">
        <f t="shared" si="154"/>
        <v>0.20520586068592944</v>
      </c>
      <c r="S274" s="66">
        <f>R274*DwellingStocks!$I$70/1000</f>
        <v>1.7766089564943961</v>
      </c>
      <c r="T274" s="83">
        <v>1</v>
      </c>
      <c r="U274" s="987">
        <f t="shared" si="159"/>
        <v>0.77572465007586699</v>
      </c>
      <c r="V274" s="83">
        <v>20</v>
      </c>
      <c r="W274" s="66">
        <v>1</v>
      </c>
      <c r="X274" s="866"/>
      <c r="Y274" s="926">
        <f t="shared" si="156"/>
        <v>2.2979571911401403E-2</v>
      </c>
      <c r="Z274" s="926">
        <f t="shared" si="157"/>
        <v>2.9623361729131551E-2</v>
      </c>
      <c r="AA274" s="866"/>
      <c r="AB274" s="914" t="s">
        <v>393</v>
      </c>
      <c r="AC274" s="914" t="str">
        <f t="shared" si="158"/>
        <v>WH_Det-G_RSDSMF_X0</v>
      </c>
      <c r="AD274" s="915" t="str">
        <f t="shared" si="158"/>
        <v>Residential Water Heating Detached-G_Solid Multi-Fuel_Existing 00</v>
      </c>
      <c r="AE274" s="914" t="s">
        <v>53</v>
      </c>
      <c r="AF274" s="916" t="s">
        <v>406</v>
      </c>
      <c r="AG274" s="914"/>
      <c r="AH274" s="914"/>
      <c r="AI274" s="840"/>
      <c r="AJ274" s="840"/>
      <c r="AK274" s="840"/>
      <c r="AL274" s="840"/>
      <c r="AM274" s="840"/>
      <c r="AN274" s="840"/>
      <c r="AO274" s="840"/>
    </row>
    <row r="275" spans="1:42">
      <c r="A275" s="972" t="s">
        <v>124</v>
      </c>
      <c r="B275" s="757" t="s">
        <v>669</v>
      </c>
      <c r="C275" s="757">
        <f>SUMIFS(INDEX(Table91517[],,MATCH(C$144,Table91517[#Headers],0)),Table91517[MainWaterHeatingFuel],$B275,Table91517[EnergyRating (group)],$A275)</f>
        <v>1626841</v>
      </c>
      <c r="D275" s="757">
        <f>SUMIFS(INDEX(Table91517[],,MATCH(D$144,Table91517[#Headers],0)),Table91517[MainWaterHeatingFuel],$B275,Table91517[EnergyRating (group)],$A275)</f>
        <v>1355702</v>
      </c>
      <c r="E275" s="760">
        <f>SUMIFS(INDEX(Table91517[],,MATCH(E$144,Table91517[#Headers],0)),Table91517[MainWaterHeatingFuel],$B275,Table91517[EnergyRating (group)],$A275)</f>
        <v>484540</v>
      </c>
      <c r="F275" s="760">
        <f>SUMIFS(INDEX(Table91517[],,MATCH(F$144,Table91517[#Headers],0)),Table91517[MainWaterHeatingFuel],$B275,Table91517[EnergyRating (group)],$A275)</f>
        <v>179458</v>
      </c>
      <c r="G275" s="757">
        <f>SUMIFS(INDEX(Table91517[],,MATCH(G$144,Table91517[#Headers],0)),Table91517[MainWaterHeatingFuel],$B275,Table91517[EnergyRating (group)],$A275)</f>
        <v>256</v>
      </c>
      <c r="H275" s="757">
        <f>SUMIFS(INDEX(Table91517[],,MATCH(H$144,Table91517[#Headers],0)),Table91517[MainWaterHeatingFuel],$B275,Table91517[EnergyRating (group)],$A275)</f>
        <v>24137</v>
      </c>
      <c r="I275" s="959"/>
      <c r="J275" s="978">
        <f t="shared" si="153"/>
        <v>2111381</v>
      </c>
      <c r="K275" s="979">
        <f t="shared" si="153"/>
        <v>1535160</v>
      </c>
      <c r="L275" s="840"/>
      <c r="M275" s="840"/>
      <c r="N275" s="914" t="str">
        <f>RSD_Commodities!$M$89&amp;"_"&amp;RIGHT(P275,LEN(P275)-3)&amp;"_"&amp;SETUP!$B$67</f>
        <v>WH_Det-G_COAHAR_X0</v>
      </c>
      <c r="O275" s="914" t="str">
        <f>RSD_Commodities!$N$89&amp;"_"&amp;RSD_Commodities!$D$7&amp;"_"&amp;SETUP!$C$67</f>
        <v>Residential Water Heating Detached-G_Anthracite + Manufactured Ovoids to Residential_Existing 00</v>
      </c>
      <c r="P275" s="930" t="str">
        <f>RSD_Commodities!$C$7</f>
        <v>RSDCOAHAR</v>
      </c>
      <c r="Q275" s="914" t="str">
        <f>RSD_Commodities!$M$89</f>
        <v>WH_Det-G</v>
      </c>
      <c r="R275" s="984">
        <f t="shared" si="154"/>
        <v>1.0477203896210199E-2</v>
      </c>
      <c r="S275" s="914">
        <f>R275*DwellingStocks!$I$70/1000</f>
        <v>9.0708395066327371E-2</v>
      </c>
      <c r="T275" s="915">
        <v>1</v>
      </c>
      <c r="U275" s="986">
        <f t="shared" si="159"/>
        <v>0.72708810015814296</v>
      </c>
      <c r="V275" s="930">
        <v>20</v>
      </c>
      <c r="W275" s="914">
        <v>1</v>
      </c>
      <c r="X275" s="840"/>
      <c r="Y275" s="928">
        <f t="shared" si="156"/>
        <v>5.7226808124667049E-5</v>
      </c>
      <c r="Z275" s="928">
        <f t="shared" si="157"/>
        <v>7.8706841869946871E-5</v>
      </c>
      <c r="AA275" s="840"/>
      <c r="AB275" s="66" t="s">
        <v>393</v>
      </c>
      <c r="AC275" s="66" t="str">
        <f t="shared" si="158"/>
        <v>WH_Det-G_COAHAR_X0</v>
      </c>
      <c r="AD275" s="83" t="str">
        <f t="shared" si="158"/>
        <v>Residential Water Heating Detached-G_Anthracite + Manufactured Ovoids to Residential_Existing 00</v>
      </c>
      <c r="AE275" s="66" t="s">
        <v>53</v>
      </c>
      <c r="AF275" s="88" t="s">
        <v>406</v>
      </c>
      <c r="AG275" s="66"/>
      <c r="AH275" s="66"/>
      <c r="AI275" s="840"/>
      <c r="AJ275" s="840"/>
      <c r="AK275" s="840"/>
      <c r="AL275" s="840"/>
      <c r="AM275" s="840"/>
      <c r="AN275" s="840"/>
      <c r="AO275" s="840"/>
    </row>
    <row r="276" spans="1:42">
      <c r="A276" s="973" t="s">
        <v>124</v>
      </c>
      <c r="B276" s="758" t="s">
        <v>671</v>
      </c>
      <c r="C276" s="758">
        <f>SUMIFS(INDEX(Table91517[],,MATCH(C$144,Table91517[#Headers],0)),Table91517[MainWaterHeatingFuel],$B276,Table91517[EnergyRating (group)],$A276)</f>
        <v>2601517</v>
      </c>
      <c r="D276" s="758">
        <f>SUMIFS(INDEX(Table91517[],,MATCH(D$144,Table91517[#Headers],0)),Table91517[MainWaterHeatingFuel],$B276,Table91517[EnergyRating (group)],$A276)</f>
        <v>2365015</v>
      </c>
      <c r="E276" s="758">
        <f>SUMIFS(INDEX(Table91517[],,MATCH(E$144,Table91517[#Headers],0)),Table91517[MainWaterHeatingFuel],$B276,Table91517[EnergyRating (group)],$A276)</f>
        <v>668194</v>
      </c>
      <c r="F276" s="758">
        <f>SUMIFS(INDEX(Table91517[],,MATCH(F$144,Table91517[#Headers],0)),Table91517[MainWaterHeatingFuel],$B276,Table91517[EnergyRating (group)],$A276)</f>
        <v>247477</v>
      </c>
      <c r="G276" s="758">
        <f>SUMIFS(INDEX(Table91517[],,MATCH(G$144,Table91517[#Headers],0)),Table91517[MainWaterHeatingFuel],$B276,Table91517[EnergyRating (group)],$A276)</f>
        <v>366</v>
      </c>
      <c r="H276" s="758">
        <f>SUMIFS(INDEX(Table91517[],,MATCH(H$144,Table91517[#Headers],0)),Table91517[MainWaterHeatingFuel],$B276,Table91517[EnergyRating (group)],$A276)</f>
        <v>33553</v>
      </c>
      <c r="I276" s="960"/>
      <c r="J276" s="980">
        <f t="shared" si="153"/>
        <v>3269711</v>
      </c>
      <c r="K276" s="981">
        <f t="shared" si="153"/>
        <v>2612492</v>
      </c>
      <c r="L276" s="840"/>
      <c r="M276" s="840"/>
      <c r="N276" s="66" t="str">
        <f>RSD_Commodities!$M$89&amp;"_"&amp;RIGHT(P276,LEN(P276)-3)&amp;"_"&amp;SETUP!$B$67</f>
        <v>WH_Det-G_PEA_X0</v>
      </c>
      <c r="O276" s="66" t="str">
        <f>RSD_Commodities!$N$89&amp;"_"&amp;RSD_Commodities!$D$10&amp;"_"&amp;SETUP!$C$67</f>
        <v>Residential Water Heating Detached-G_Peat to Residential_Existing 00</v>
      </c>
      <c r="P276" s="83" t="str">
        <f>RSD_Commodities!$C$10</f>
        <v>RSDPEA</v>
      </c>
      <c r="Q276" s="66" t="str">
        <f>RSD_Commodities!$M$89</f>
        <v>WH_Det-G</v>
      </c>
      <c r="R276" s="985">
        <f t="shared" si="154"/>
        <v>1.4979127445363019E-2</v>
      </c>
      <c r="S276" s="66">
        <f>R276*DwellingStocks!$I$70/1000</f>
        <v>0.12968465857138992</v>
      </c>
      <c r="T276" s="83">
        <v>1</v>
      </c>
      <c r="U276" s="987">
        <f t="shared" si="159"/>
        <v>0.7989978319184784</v>
      </c>
      <c r="V276" s="83">
        <v>20</v>
      </c>
      <c r="W276" s="66">
        <v>1</v>
      </c>
      <c r="X276" s="866"/>
      <c r="Y276" s="926">
        <f t="shared" si="156"/>
        <v>1.3923293138650176E-4</v>
      </c>
      <c r="Z276" s="926">
        <f t="shared" si="157"/>
        <v>1.7425946082004847E-4</v>
      </c>
      <c r="AA276" s="866"/>
      <c r="AB276" s="914" t="s">
        <v>393</v>
      </c>
      <c r="AC276" s="914" t="str">
        <f t="shared" si="158"/>
        <v>WH_Det-G_PEA_X0</v>
      </c>
      <c r="AD276" s="915" t="str">
        <f t="shared" si="158"/>
        <v>Residential Water Heating Detached-G_Peat to Residential_Existing 00</v>
      </c>
      <c r="AE276" s="914" t="s">
        <v>53</v>
      </c>
      <c r="AF276" s="916" t="s">
        <v>406</v>
      </c>
      <c r="AG276" s="914"/>
      <c r="AH276" s="914"/>
      <c r="AI276" s="840"/>
      <c r="AJ276" s="840"/>
      <c r="AK276" s="840"/>
      <c r="AL276" s="840"/>
      <c r="AM276" s="840"/>
      <c r="AN276" s="840"/>
      <c r="AO276" s="840"/>
    </row>
    <row r="277" spans="1:42">
      <c r="A277" s="972" t="s">
        <v>124</v>
      </c>
      <c r="B277" s="757" t="s">
        <v>666</v>
      </c>
      <c r="C277" s="757">
        <f>SUMIFS(INDEX(Table91517[],,MATCH(C$144,Table91517[#Headers],0)),Table91517[MainWaterHeatingFuel],$B277,Table91517[EnergyRating (group)],$A277)</f>
        <v>2370786</v>
      </c>
      <c r="D277" s="757">
        <f>SUMIFS(INDEX(Table91517[],,MATCH(D$144,Table91517[#Headers],0)),Table91517[MainWaterHeatingFuel],$B277,Table91517[EnergyRating (group)],$A277)</f>
        <v>2155263</v>
      </c>
      <c r="E277" s="757">
        <f>SUMIFS(INDEX(Table91517[],,MATCH(E$144,Table91517[#Headers],0)),Table91517[MainWaterHeatingFuel],$B277,Table91517[EnergyRating (group)],$A277)</f>
        <v>630282</v>
      </c>
      <c r="F277" s="757">
        <f>SUMIFS(INDEX(Table91517[],,MATCH(F$144,Table91517[#Headers],0)),Table91517[MainWaterHeatingFuel],$B277,Table91517[EnergyRating (group)],$A277)</f>
        <v>233435</v>
      </c>
      <c r="G277" s="757">
        <f>SUMIFS(INDEX(Table91517[],,MATCH(G$144,Table91517[#Headers],0)),Table91517[MainWaterHeatingFuel],$B277,Table91517[EnergyRating (group)],$A277)</f>
        <v>375</v>
      </c>
      <c r="H277" s="757">
        <f>SUMIFS(INDEX(Table91517[],,MATCH(H$144,Table91517[#Headers],0)),Table91517[MainWaterHeatingFuel],$B277,Table91517[EnergyRating (group)],$A277)</f>
        <v>32416</v>
      </c>
      <c r="I277" s="961"/>
      <c r="J277" s="978">
        <f t="shared" si="153"/>
        <v>3001068</v>
      </c>
      <c r="K277" s="979">
        <f t="shared" si="153"/>
        <v>2388698</v>
      </c>
      <c r="L277" s="840"/>
      <c r="M277" s="840"/>
      <c r="N277" s="914" t="str">
        <f>RSD_Commodities!$M$89&amp;"_"&amp;RIGHT(P277,LEN(P277)-3)&amp;"_"&amp;SETUP!$B$67</f>
        <v>WH_Det-G_COABIT_X0</v>
      </c>
      <c r="O277" s="914" t="str">
        <f>RSD_Commodities!$N$89&amp;"_"&amp;RSD_Commodities!D6&amp;"_"&amp;SETUP!$C$67</f>
        <v>Residential Water Heating Detached-G_Bituminous Coal to Residential_Existing 00</v>
      </c>
      <c r="P277" s="915" t="str">
        <f>RSD_Commodities!$C$6</f>
        <v>RSDCOABIT</v>
      </c>
      <c r="Q277" s="914" t="str">
        <f>RSD_Commodities!$M$89</f>
        <v>WH_Det-G</v>
      </c>
      <c r="R277" s="984">
        <f t="shared" si="154"/>
        <v>1.5347466644839158E-2</v>
      </c>
      <c r="S277" s="914">
        <f>R277*DwellingStocks!$I$70/1000</f>
        <v>0.13287362558544047</v>
      </c>
      <c r="T277" s="915">
        <v>1</v>
      </c>
      <c r="U277" s="986">
        <f t="shared" si="159"/>
        <v>0.79594930871276492</v>
      </c>
      <c r="V277" s="915">
        <v>20</v>
      </c>
      <c r="W277" s="914">
        <v>1</v>
      </c>
      <c r="X277" s="866"/>
      <c r="Y277" s="928">
        <f t="shared" si="156"/>
        <v>1.3043628644740708E-4</v>
      </c>
      <c r="Z277" s="928">
        <f t="shared" si="157"/>
        <v>1.6387511744730688E-4</v>
      </c>
      <c r="AA277" s="866"/>
      <c r="AB277" s="66" t="s">
        <v>393</v>
      </c>
      <c r="AC277" s="66" t="str">
        <f t="shared" si="158"/>
        <v>WH_Det-G_COABIT_X0</v>
      </c>
      <c r="AD277" s="83" t="str">
        <f t="shared" si="158"/>
        <v>Residential Water Heating Detached-G_Bituminous Coal to Residential_Existing 00</v>
      </c>
      <c r="AE277" s="66" t="s">
        <v>53</v>
      </c>
      <c r="AF277" s="88" t="s">
        <v>406</v>
      </c>
      <c r="AG277" s="66"/>
      <c r="AH277" s="66"/>
      <c r="AI277" s="840"/>
      <c r="AJ277" s="840"/>
      <c r="AK277" s="840"/>
      <c r="AL277" s="840"/>
      <c r="AM277" s="840"/>
      <c r="AN277" s="840"/>
      <c r="AO277" s="840"/>
    </row>
    <row r="278" spans="1:42">
      <c r="A278" s="973" t="s">
        <v>124</v>
      </c>
      <c r="B278" s="758" t="s">
        <v>667</v>
      </c>
      <c r="C278" s="758">
        <f>SUMIFS(INDEX(Table91517[],,MATCH(C$144,Table91517[#Headers],0)),Table91517[MainWaterHeatingFuel],$B278,Table91517[EnergyRating (group)],$A278)</f>
        <v>317667</v>
      </c>
      <c r="D278" s="758">
        <f>SUMIFS(INDEX(Table91517[],,MATCH(D$144,Table91517[#Headers],0)),Table91517[MainWaterHeatingFuel],$B278,Table91517[EnergyRating (group)],$A278)</f>
        <v>288790</v>
      </c>
      <c r="E278" s="759">
        <f>SUMIFS(INDEX(Table91517[],,MATCH(E$144,Table91517[#Headers],0)),Table91517[MainWaterHeatingFuel],$B278,Table91517[EnergyRating (group)],$A278)</f>
        <v>81382</v>
      </c>
      <c r="F278" s="759">
        <f>SUMIFS(INDEX(Table91517[],,MATCH(F$144,Table91517[#Headers],0)),Table91517[MainWaterHeatingFuel],$B278,Table91517[EnergyRating (group)],$A278)</f>
        <v>30140</v>
      </c>
      <c r="G278" s="758">
        <f>SUMIFS(INDEX(Table91517[],,MATCH(G$144,Table91517[#Headers],0)),Table91517[MainWaterHeatingFuel],$B278,Table91517[EnergyRating (group)],$A278)</f>
        <v>47</v>
      </c>
      <c r="H278" s="758">
        <f>SUMIFS(INDEX(Table91517[],,MATCH(H$144,Table91517[#Headers],0)),Table91517[MainWaterHeatingFuel],$B278,Table91517[EnergyRating (group)],$A278)</f>
        <v>4337</v>
      </c>
      <c r="I278" s="960"/>
      <c r="J278" s="980">
        <f t="shared" si="153"/>
        <v>399049</v>
      </c>
      <c r="K278" s="981">
        <f t="shared" si="153"/>
        <v>318930</v>
      </c>
      <c r="L278" s="840"/>
      <c r="M278" s="840"/>
      <c r="N278" s="66" t="str">
        <f>RSD_Commodities!$M$89&amp;"_"&amp;RIGHT(P278,LEN(P278)-3)&amp;"_"&amp;SETUP!$B$68</f>
        <v>WH_Det-G_PEA_X1</v>
      </c>
      <c r="O278" s="66" t="str">
        <f>RSD_Commodities!$N$89&amp;"_"&amp;RSD_Commodities!$D$10&amp;"_"&amp;SETUP!$C$68</f>
        <v>Residential Water Heating Detached-G_Peat to Residential_Existing 01</v>
      </c>
      <c r="P278" s="83" t="str">
        <f>RSD_Commodities!$C$10</f>
        <v>RSDPEA</v>
      </c>
      <c r="Q278" s="66" t="str">
        <f>RSD_Commodities!$M$89</f>
        <v>WH_Det-G</v>
      </c>
      <c r="R278" s="985">
        <f t="shared" si="154"/>
        <v>1.9235491528198413E-3</v>
      </c>
      <c r="S278" s="66">
        <f>R278*DwellingStocks!$I$70/1000</f>
        <v>1.665349440670854E-2</v>
      </c>
      <c r="T278" s="83">
        <v>1</v>
      </c>
      <c r="U278" s="987">
        <f t="shared" si="159"/>
        <v>0.79922515781269965</v>
      </c>
      <c r="V278" s="83">
        <v>20</v>
      </c>
      <c r="W278" s="66">
        <v>1</v>
      </c>
      <c r="X278" s="866"/>
      <c r="Y278" s="926">
        <f t="shared" si="156"/>
        <v>2.1827256045746119E-6</v>
      </c>
      <c r="Z278" s="926">
        <f t="shared" si="157"/>
        <v>2.7310521737682068E-6</v>
      </c>
      <c r="AA278" s="866"/>
      <c r="AB278" s="914" t="s">
        <v>393</v>
      </c>
      <c r="AC278" s="914" t="str">
        <f t="shared" si="158"/>
        <v>WH_Det-G_PEA_X1</v>
      </c>
      <c r="AD278" s="915" t="str">
        <f t="shared" si="158"/>
        <v>Residential Water Heating Detached-G_Peat to Residential_Existing 01</v>
      </c>
      <c r="AE278" s="914" t="s">
        <v>53</v>
      </c>
      <c r="AF278" s="916" t="s">
        <v>406</v>
      </c>
      <c r="AG278" s="914"/>
      <c r="AH278" s="914"/>
      <c r="AI278" s="840"/>
      <c r="AJ278" s="840"/>
      <c r="AK278" s="840"/>
      <c r="AL278" s="840"/>
      <c r="AM278" s="840"/>
      <c r="AN278" s="840"/>
      <c r="AO278" s="840"/>
    </row>
    <row r="279" spans="1:42">
      <c r="A279" s="972" t="s">
        <v>124</v>
      </c>
      <c r="B279" s="757" t="s">
        <v>673</v>
      </c>
      <c r="C279" s="757">
        <f>SUMIFS(INDEX(Table91517[],,MATCH(C$144,Table91517[#Headers],0)),Table91517[MainWaterHeatingFuel],$B279,Table91517[EnergyRating (group)],$A279)</f>
        <v>645764</v>
      </c>
      <c r="D279" s="757">
        <f>SUMIFS(INDEX(Table91517[],,MATCH(D$144,Table91517[#Headers],0)),Table91517[MainWaterHeatingFuel],$B279,Table91517[EnergyRating (group)],$A279)</f>
        <v>587055</v>
      </c>
      <c r="E279" s="760">
        <f>SUMIFS(INDEX(Table91517[],,MATCH(E$144,Table91517[#Headers],0)),Table91517[MainWaterHeatingFuel],$B279,Table91517[EnergyRating (group)],$A279)</f>
        <v>189271</v>
      </c>
      <c r="F279" s="760">
        <f>SUMIFS(INDEX(Table91517[],,MATCH(F$144,Table91517[#Headers],0)),Table91517[MainWaterHeatingFuel],$B279,Table91517[EnergyRating (group)],$A279)</f>
        <v>70100</v>
      </c>
      <c r="G279" s="757">
        <f>SUMIFS(INDEX(Table91517[],,MATCH(G$144,Table91517[#Headers],0)),Table91517[MainWaterHeatingFuel],$B279,Table91517[EnergyRating (group)],$A279)</f>
        <v>101</v>
      </c>
      <c r="H279" s="757">
        <f>SUMIFS(INDEX(Table91517[],,MATCH(H$144,Table91517[#Headers],0)),Table91517[MainWaterHeatingFuel],$B279,Table91517[EnergyRating (group)],$A279)</f>
        <v>9533</v>
      </c>
      <c r="I279" s="959"/>
      <c r="J279" s="978">
        <f t="shared" si="153"/>
        <v>835035</v>
      </c>
      <c r="K279" s="979">
        <f t="shared" si="153"/>
        <v>657155</v>
      </c>
      <c r="L279" s="840"/>
      <c r="M279" s="840"/>
      <c r="N279" s="914" t="str">
        <f>RSD_Commodities!$M$89&amp;"_"&amp;RIGHT(P279,LEN(P279)-3)&amp;"_"&amp;SETUP!$B$68</f>
        <v>WH_Det-G_BIOWOO_X1</v>
      </c>
      <c r="O279" s="914" t="str">
        <f>RSD_Commodities!$N$89&amp;"_"&amp;RSD_Commodities!D19&amp;"_"&amp;SETUP!$C$68</f>
        <v>Residential Water Heating Detached-G_Biomass &amp; Renewable Waste to Residential_Existing 01</v>
      </c>
      <c r="P279" s="915" t="str">
        <f>RSD_Commodities!$C$19</f>
        <v>RSDBIOWOO</v>
      </c>
      <c r="Q279" s="914" t="str">
        <f>RSD_Commodities!$M$89</f>
        <v>WH_Det-G</v>
      </c>
      <c r="R279" s="984">
        <f t="shared" si="154"/>
        <v>4.13358434967668E-3</v>
      </c>
      <c r="S279" s="914">
        <f>R279*DwellingStocks!$I$70/1000</f>
        <v>3.5787296491011963E-2</v>
      </c>
      <c r="T279" s="915">
        <v>1</v>
      </c>
      <c r="U279" s="986">
        <f t="shared" si="159"/>
        <v>0.78697898890465667</v>
      </c>
      <c r="V279" s="915">
        <v>20</v>
      </c>
      <c r="W279" s="914">
        <v>1</v>
      </c>
      <c r="X279" s="866"/>
      <c r="Y279" s="928">
        <f t="shared" si="156"/>
        <v>9.6648496543360147E-6</v>
      </c>
      <c r="Z279" s="928">
        <f t="shared" si="157"/>
        <v>1.2280950051522813E-5</v>
      </c>
      <c r="AA279" s="866"/>
      <c r="AB279" s="66" t="s">
        <v>393</v>
      </c>
      <c r="AC279" s="66" t="str">
        <f t="shared" si="158"/>
        <v>WH_Det-G_BIOWOO_X1</v>
      </c>
      <c r="AD279" s="83" t="str">
        <f t="shared" si="158"/>
        <v>Residential Water Heating Detached-G_Biomass &amp; Renewable Waste to Residential_Existing 01</v>
      </c>
      <c r="AE279" s="66" t="s">
        <v>53</v>
      </c>
      <c r="AF279" s="88" t="s">
        <v>406</v>
      </c>
      <c r="AG279" s="66"/>
      <c r="AH279" s="66"/>
      <c r="AI279" s="840"/>
      <c r="AJ279" s="840"/>
      <c r="AK279" s="840"/>
      <c r="AL279" s="840"/>
      <c r="AM279" s="840"/>
      <c r="AN279" s="840"/>
      <c r="AO279" s="840"/>
    </row>
    <row r="280" spans="1:42">
      <c r="A280" s="973" t="s">
        <v>124</v>
      </c>
      <c r="B280" s="758" t="s">
        <v>722</v>
      </c>
      <c r="C280" s="758">
        <f>SUMIFS(INDEX(Table91517[],,MATCH(C$144,Table91517[#Headers],0)),Table91517[MainWaterHeatingFuel],$B280,Table91517[EnergyRating (group)],$A280)</f>
        <v>30215</v>
      </c>
      <c r="D280" s="758">
        <f>SUMIFS(INDEX(Table91517[],,MATCH(D$144,Table91517[#Headers],0)),Table91517[MainWaterHeatingFuel],$B280,Table91517[EnergyRating (group)],$A280)</f>
        <v>27468</v>
      </c>
      <c r="E280" s="758">
        <f>SUMIFS(INDEX(Table91517[],,MATCH(E$144,Table91517[#Headers],0)),Table91517[MainWaterHeatingFuel],$B280,Table91517[EnergyRating (group)],$A280)</f>
        <v>8632</v>
      </c>
      <c r="F280" s="758">
        <f>SUMIFS(INDEX(Table91517[],,MATCH(F$144,Table91517[#Headers],0)),Table91517[MainWaterHeatingFuel],$B280,Table91517[EnergyRating (group)],$A280)</f>
        <v>3197</v>
      </c>
      <c r="G280" s="758">
        <f>SUMIFS(INDEX(Table91517[],,MATCH(G$144,Table91517[#Headers],0)),Table91517[MainWaterHeatingFuel],$B280,Table91517[EnergyRating (group)],$A280)</f>
        <v>6</v>
      </c>
      <c r="H280" s="758">
        <f>SUMIFS(INDEX(Table91517[],,MATCH(H$144,Table91517[#Headers],0)),Table91517[MainWaterHeatingFuel],$B280,Table91517[EnergyRating (group)],$A280)</f>
        <v>526</v>
      </c>
      <c r="I280" s="960"/>
      <c r="J280" s="980">
        <f t="shared" si="153"/>
        <v>38847</v>
      </c>
      <c r="K280" s="981">
        <f t="shared" si="153"/>
        <v>30665</v>
      </c>
      <c r="L280" s="840"/>
      <c r="M280" s="840"/>
      <c r="N280" s="66" t="str">
        <f>RSD_Commodities!$M$89&amp;"_"&amp;RIGHT(P280,LEN(P280)-3)&amp;"_"&amp;SETUP!$B$68</f>
        <v>WH_Det-G_BIOWOO_X1</v>
      </c>
      <c r="O280" s="66" t="str">
        <f>RSD_Commodities!$N$89&amp;"_"&amp;RSD_Commodities!D19&amp;"_"&amp;SETUP!$C$68</f>
        <v>Residential Water Heating Detached-G_Biomass &amp; Renewable Waste to Residential_Existing 01</v>
      </c>
      <c r="P280" s="83" t="str">
        <f>RSD_Commodities!$C$19</f>
        <v>RSDBIOWOO</v>
      </c>
      <c r="Q280" s="66" t="str">
        <f>RSD_Commodities!$M$89</f>
        <v>WH_Det-G</v>
      </c>
      <c r="R280" s="985">
        <f t="shared" si="154"/>
        <v>2.4555946631742652E-4</v>
      </c>
      <c r="S280" s="66">
        <f>R280*DwellingStocks!$I$70/1000</f>
        <v>2.1259780093670477E-3</v>
      </c>
      <c r="T280" s="83">
        <v>1</v>
      </c>
      <c r="U280" s="987">
        <f t="shared" si="159"/>
        <v>0.78937884521327262</v>
      </c>
      <c r="V280" s="83">
        <v>20</v>
      </c>
      <c r="W280" s="66">
        <v>1</v>
      </c>
      <c r="X280" s="840"/>
      <c r="Y280" s="926">
        <f t="shared" si="156"/>
        <v>2.6791691365989255E-8</v>
      </c>
      <c r="Z280" s="926">
        <f t="shared" si="157"/>
        <v>3.3940219615019881E-8</v>
      </c>
      <c r="AA280" s="840"/>
      <c r="AB280" s="914" t="s">
        <v>393</v>
      </c>
      <c r="AC280" s="914" t="str">
        <f t="shared" si="158"/>
        <v>WH_Det-G_BIOWOO_X1</v>
      </c>
      <c r="AD280" s="915" t="str">
        <f t="shared" si="158"/>
        <v>Residential Water Heating Detached-G_Biomass &amp; Renewable Waste to Residential_Existing 01</v>
      </c>
      <c r="AE280" s="914" t="s">
        <v>53</v>
      </c>
      <c r="AF280" s="916" t="s">
        <v>406</v>
      </c>
      <c r="AG280" s="914"/>
      <c r="AH280" s="914"/>
      <c r="AI280" s="840"/>
      <c r="AJ280" s="840"/>
      <c r="AK280" s="840"/>
      <c r="AL280" s="840"/>
      <c r="AM280" s="840"/>
      <c r="AN280" s="840"/>
      <c r="AO280" s="840"/>
    </row>
    <row r="281" spans="1:42" ht="15.75" thickBot="1">
      <c r="A281" s="972" t="s">
        <v>124</v>
      </c>
      <c r="B281" s="757" t="s">
        <v>674</v>
      </c>
      <c r="C281" s="757">
        <f>SUMIFS(INDEX(Table91517[],,MATCH(C$144,Table91517[#Headers],0)),Table91517[MainWaterHeatingFuel],$B281,Table91517[EnergyRating (group)],$A281)</f>
        <v>110988</v>
      </c>
      <c r="D281" s="757">
        <f>SUMIFS(INDEX(Table91517[],,MATCH(D$144,Table91517[#Headers],0)),Table91517[MainWaterHeatingFuel],$B281,Table91517[EnergyRating (group)],$A281)</f>
        <v>100898</v>
      </c>
      <c r="E281" s="757">
        <f>SUMIFS(INDEX(Table91517[],,MATCH(E$144,Table91517[#Headers],0)),Table91517[MainWaterHeatingFuel],$B281,Table91517[EnergyRating (group)],$A281)</f>
        <v>15668</v>
      </c>
      <c r="F281" s="757">
        <f>SUMIFS(INDEX(Table91517[],,MATCH(F$144,Table91517[#Headers],0)),Table91517[MainWaterHeatingFuel],$B281,Table91517[EnergyRating (group)],$A281)</f>
        <v>5803</v>
      </c>
      <c r="G281" s="757">
        <f>SUMIFS(INDEX(Table91517[],,MATCH(G$144,Table91517[#Headers],0)),Table91517[MainWaterHeatingFuel],$B281,Table91517[EnergyRating (group)],$A281)</f>
        <v>15</v>
      </c>
      <c r="H281" s="757">
        <f>SUMIFS(INDEX(Table91517[],,MATCH(H$144,Table91517[#Headers],0)),Table91517[MainWaterHeatingFuel],$B281,Table91517[EnergyRating (group)],$A281)</f>
        <v>1552</v>
      </c>
      <c r="I281" s="961"/>
      <c r="J281" s="991">
        <f t="shared" si="153"/>
        <v>126656</v>
      </c>
      <c r="K281" s="992">
        <f t="shared" si="153"/>
        <v>106701</v>
      </c>
      <c r="L281" s="840"/>
      <c r="M281" s="840"/>
      <c r="N281" s="914" t="str">
        <f>RSD_Commodities!$M$89&amp;"_"&amp;RIGHT(P281,LEN(P281)-3)&amp;"_"&amp;SETUP!$B$68</f>
        <v>WH_Det-G_COAHAR_X1</v>
      </c>
      <c r="O281" s="914" t="str">
        <f>RSD_Commodities!$N$89&amp;"_"&amp;RSD_Commodities!D7&amp;"_"&amp;SETUP!$C$68</f>
        <v>Residential Water Heating Detached-G_Anthracite + Manufactured Ovoids to Residential_Existing 01</v>
      </c>
      <c r="P281" s="915" t="str">
        <f>RSD_Commodities!$C$7</f>
        <v>RSDCOAHAR</v>
      </c>
      <c r="Q281" s="914" t="str">
        <f>RSD_Commodities!$M$89</f>
        <v>WH_Det-G</v>
      </c>
      <c r="R281" s="984">
        <f t="shared" si="154"/>
        <v>6.1389866579356631E-4</v>
      </c>
      <c r="S281" s="914">
        <f>R281*DwellingStocks!$I$70/1000</f>
        <v>5.3149450234176191E-3</v>
      </c>
      <c r="T281" s="915">
        <v>1</v>
      </c>
      <c r="U281" s="986">
        <f t="shared" si="159"/>
        <v>0.84244725871652348</v>
      </c>
      <c r="V281" s="915">
        <v>20</v>
      </c>
      <c r="W281" s="914">
        <v>1</v>
      </c>
      <c r="X281" s="840"/>
      <c r="Y281" s="928">
        <f t="shared" si="156"/>
        <v>2.3305888312754116E-7</v>
      </c>
      <c r="Z281" s="928">
        <f t="shared" si="157"/>
        <v>2.7664507269286935E-7</v>
      </c>
      <c r="AA281" s="840"/>
      <c r="AB281" s="66" t="s">
        <v>393</v>
      </c>
      <c r="AC281" s="66" t="str">
        <f t="shared" si="158"/>
        <v>WH_Det-G_COAHAR_X1</v>
      </c>
      <c r="AD281" s="83" t="str">
        <f t="shared" si="158"/>
        <v>Residential Water Heating Detached-G_Anthracite + Manufactured Ovoids to Residential_Existing 01</v>
      </c>
      <c r="AE281" s="66" t="s">
        <v>53</v>
      </c>
      <c r="AF281" s="88" t="s">
        <v>406</v>
      </c>
      <c r="AG281" s="66"/>
      <c r="AH281" s="66"/>
      <c r="AI281" s="840"/>
      <c r="AJ281" s="840"/>
      <c r="AK281" s="840"/>
      <c r="AL281" s="840"/>
      <c r="AM281" s="840"/>
      <c r="AN281" s="840"/>
      <c r="AO281" s="840"/>
    </row>
    <row r="282" spans="1:42">
      <c r="A282" s="840"/>
      <c r="B282" s="840"/>
      <c r="C282" s="840"/>
      <c r="D282" s="840"/>
      <c r="E282" s="840"/>
      <c r="F282" s="840"/>
      <c r="G282" s="840"/>
      <c r="H282" s="840"/>
      <c r="I282" s="840"/>
      <c r="J282" s="840"/>
      <c r="K282" s="840"/>
      <c r="L282" s="840"/>
      <c r="M282" s="840"/>
      <c r="N282" s="840"/>
      <c r="O282" s="840"/>
      <c r="P282" s="840"/>
      <c r="Q282" s="840"/>
      <c r="R282" s="840"/>
      <c r="S282" s="840"/>
      <c r="T282" s="840"/>
      <c r="U282" s="840"/>
      <c r="V282" s="840"/>
      <c r="W282" s="840"/>
      <c r="X282" s="840"/>
      <c r="Y282" s="840"/>
      <c r="Z282" s="840"/>
      <c r="AA282" s="840"/>
      <c r="AB282" s="840"/>
      <c r="AC282" s="840"/>
      <c r="AD282" s="840"/>
      <c r="AE282" s="840"/>
      <c r="AF282" s="840"/>
      <c r="AG282" s="840"/>
      <c r="AH282" s="840"/>
      <c r="AI282" s="839"/>
      <c r="AJ282" s="840"/>
      <c r="AK282" s="840"/>
      <c r="AL282" s="840"/>
      <c r="AM282" s="840"/>
      <c r="AN282" s="840"/>
      <c r="AO282" s="840"/>
    </row>
    <row r="283" spans="1:42">
      <c r="A283" s="840"/>
      <c r="B283" s="840"/>
      <c r="C283" s="840"/>
      <c r="D283" s="840"/>
      <c r="E283" s="840"/>
      <c r="F283" s="840"/>
      <c r="G283" s="840"/>
      <c r="H283" s="840"/>
      <c r="I283" s="840"/>
      <c r="J283" s="840"/>
      <c r="K283" s="840"/>
      <c r="L283" s="840"/>
      <c r="M283" s="840"/>
      <c r="N283" s="840"/>
      <c r="O283" s="840"/>
      <c r="P283" s="840"/>
      <c r="Q283" s="840"/>
      <c r="R283" s="840"/>
      <c r="S283" s="840"/>
      <c r="T283" s="840"/>
      <c r="U283" s="840"/>
      <c r="V283" s="840"/>
      <c r="W283" s="840"/>
      <c r="X283" s="840"/>
      <c r="Y283" s="840"/>
      <c r="Z283" s="840"/>
      <c r="AA283" s="840"/>
      <c r="AB283" s="840"/>
      <c r="AC283" s="840"/>
      <c r="AD283" s="840"/>
      <c r="AE283" s="840"/>
      <c r="AF283" s="840"/>
      <c r="AG283" s="840"/>
      <c r="AH283" s="839"/>
      <c r="AI283" s="840"/>
      <c r="AJ283" s="840"/>
      <c r="AK283" s="840"/>
      <c r="AL283" s="840"/>
      <c r="AM283" s="840"/>
      <c r="AN283" s="840"/>
    </row>
    <row r="284" spans="1:42">
      <c r="A284" s="840"/>
      <c r="B284" s="840"/>
      <c r="C284" s="840"/>
      <c r="D284" s="840"/>
      <c r="E284" s="840"/>
      <c r="F284" s="840"/>
      <c r="G284" s="840"/>
      <c r="H284" s="840"/>
      <c r="I284" s="840"/>
      <c r="J284" s="840"/>
      <c r="K284" s="840"/>
      <c r="L284" s="840"/>
      <c r="M284" s="840"/>
      <c r="N284" s="840"/>
      <c r="O284" s="840"/>
      <c r="P284" s="840"/>
      <c r="Q284" s="840"/>
      <c r="R284" s="840"/>
      <c r="S284" s="840"/>
      <c r="T284" s="840"/>
      <c r="U284" s="840"/>
      <c r="V284" s="840"/>
      <c r="W284" s="840"/>
      <c r="X284" s="840"/>
      <c r="Y284" s="840"/>
      <c r="Z284" s="840"/>
      <c r="AA284" s="840"/>
      <c r="AB284" s="840"/>
      <c r="AC284" s="840"/>
      <c r="AD284" s="840"/>
      <c r="AE284" s="840"/>
      <c r="AF284" s="840"/>
      <c r="AG284" s="840"/>
      <c r="AH284" s="839"/>
      <c r="AI284" s="839"/>
      <c r="AJ284" s="839"/>
      <c r="AK284" s="839"/>
      <c r="AL284" s="839"/>
      <c r="AM284" s="839"/>
      <c r="AN284" s="839"/>
      <c r="AO284" s="839"/>
      <c r="AP284" s="839"/>
    </row>
    <row r="285" spans="1:42" ht="21.75" thickBot="1">
      <c r="A285" s="139" t="s">
        <v>838</v>
      </c>
      <c r="B285" s="139"/>
      <c r="C285" s="139"/>
      <c r="D285" s="139"/>
      <c r="E285" s="139"/>
      <c r="F285" s="139"/>
      <c r="G285" s="139"/>
      <c r="H285" s="840"/>
      <c r="K285" s="840"/>
      <c r="L285" s="840"/>
      <c r="M285" s="840"/>
      <c r="N285" s="138" t="s">
        <v>838</v>
      </c>
      <c r="O285" s="138"/>
      <c r="P285" s="142" t="s">
        <v>372</v>
      </c>
      <c r="Q285" s="85"/>
      <c r="R285" s="85"/>
      <c r="S285" s="85"/>
      <c r="T285" s="85"/>
      <c r="U285" s="85"/>
      <c r="V285" s="85"/>
      <c r="W285" s="90"/>
      <c r="X285" s="96" t="s">
        <v>561</v>
      </c>
      <c r="Y285" s="866"/>
      <c r="Z285" s="840"/>
      <c r="AA285" s="68" t="s">
        <v>373</v>
      </c>
      <c r="AB285" s="68"/>
      <c r="AC285" s="839"/>
      <c r="AD285" s="839"/>
      <c r="AE285" s="839"/>
      <c r="AF285" s="839"/>
      <c r="AG285" s="839"/>
      <c r="AH285" s="839"/>
      <c r="AI285" s="839"/>
      <c r="AJ285" s="839"/>
      <c r="AK285" s="839"/>
      <c r="AL285" s="839"/>
      <c r="AM285" s="839"/>
      <c r="AN285" s="839"/>
      <c r="AO285" s="839"/>
      <c r="AP285" s="839"/>
    </row>
    <row r="286" spans="1:42" ht="15.75" thickBot="1">
      <c r="A286" s="756" t="s">
        <v>108</v>
      </c>
      <c r="B286" s="756" t="s">
        <v>565</v>
      </c>
      <c r="C286" s="756" t="s">
        <v>565</v>
      </c>
      <c r="D286" s="756" t="s">
        <v>565</v>
      </c>
      <c r="E286" s="756" t="s">
        <v>565</v>
      </c>
      <c r="F286" s="756" t="s">
        <v>825</v>
      </c>
      <c r="G286" s="756" t="s">
        <v>567</v>
      </c>
      <c r="J286" s="135"/>
      <c r="K286" s="840"/>
      <c r="L286" s="840"/>
      <c r="M286" s="840"/>
      <c r="N286" s="73" t="s">
        <v>374</v>
      </c>
      <c r="O286" s="73" t="s">
        <v>397</v>
      </c>
      <c r="P286" s="73" t="s">
        <v>376</v>
      </c>
      <c r="Q286" s="73" t="s">
        <v>377</v>
      </c>
      <c r="R286" s="73" t="s">
        <v>562</v>
      </c>
      <c r="S286" s="86" t="s">
        <v>398</v>
      </c>
      <c r="T286" s="73" t="s">
        <v>811</v>
      </c>
      <c r="U286" s="86" t="s">
        <v>378</v>
      </c>
      <c r="V286" s="86" t="s">
        <v>380</v>
      </c>
      <c r="W286" s="86" t="s">
        <v>400</v>
      </c>
      <c r="X286" s="91"/>
      <c r="Y286" s="94" t="s">
        <v>563</v>
      </c>
      <c r="Z286" s="95" t="s">
        <v>564</v>
      </c>
      <c r="AA286" s="840"/>
      <c r="AB286" s="73" t="s">
        <v>385</v>
      </c>
      <c r="AC286" s="73" t="s">
        <v>374</v>
      </c>
      <c r="AD286" s="73" t="s">
        <v>375</v>
      </c>
      <c r="AE286" s="73" t="s">
        <v>386</v>
      </c>
      <c r="AF286" s="73" t="s">
        <v>387</v>
      </c>
      <c r="AG286" s="73" t="s">
        <v>388</v>
      </c>
      <c r="AH286" s="73" t="s">
        <v>389</v>
      </c>
      <c r="AI286" s="839"/>
      <c r="AJ286" s="839"/>
      <c r="AK286" s="839"/>
      <c r="AL286" s="839"/>
      <c r="AM286" s="839"/>
      <c r="AN286" s="839"/>
      <c r="AO286" s="839"/>
    </row>
    <row r="287" spans="1:42" ht="26.25" thickBot="1">
      <c r="A287" s="945" t="s">
        <v>569</v>
      </c>
      <c r="B287" s="988" t="s">
        <v>655</v>
      </c>
      <c r="C287" s="988" t="s">
        <v>656</v>
      </c>
      <c r="D287" s="988" t="s">
        <v>657</v>
      </c>
      <c r="E287" s="988" t="s">
        <v>658</v>
      </c>
      <c r="F287" s="946" t="s">
        <v>575</v>
      </c>
      <c r="G287" s="946" t="s">
        <v>576</v>
      </c>
      <c r="J287" s="135"/>
      <c r="K287" s="840"/>
      <c r="L287" s="840"/>
      <c r="M287" s="840"/>
      <c r="N287" s="74" t="s">
        <v>402</v>
      </c>
      <c r="O287" s="74" t="s">
        <v>403</v>
      </c>
      <c r="P287" s="74" t="s">
        <v>404</v>
      </c>
      <c r="Q287" s="74" t="s">
        <v>405</v>
      </c>
      <c r="R287" s="74"/>
      <c r="S287" s="89" t="s">
        <v>406</v>
      </c>
      <c r="T287" s="74"/>
      <c r="U287" s="87" t="s">
        <v>568</v>
      </c>
      <c r="V287" s="87"/>
      <c r="W287" s="87"/>
      <c r="X287" s="92"/>
      <c r="Y287" s="732" t="s">
        <v>53</v>
      </c>
      <c r="Z287" s="733" t="s">
        <v>53</v>
      </c>
      <c r="AA287" s="92"/>
      <c r="AB287" s="75" t="s">
        <v>370</v>
      </c>
      <c r="AC287" s="75"/>
      <c r="AD287" s="74"/>
      <c r="AE287" s="75"/>
      <c r="AF287" s="75"/>
      <c r="AG287" s="75"/>
      <c r="AH287" s="75"/>
      <c r="AI287" s="839"/>
      <c r="AJ287" s="839"/>
      <c r="AK287" s="839"/>
      <c r="AL287" s="839"/>
      <c r="AM287" s="839"/>
      <c r="AN287" s="839"/>
      <c r="AO287" s="839"/>
    </row>
    <row r="288" spans="1:42">
      <c r="A288" s="972" t="s">
        <v>108</v>
      </c>
      <c r="B288" s="757">
        <f>SUMIFS(INDEX(Table91517[],,MATCH(B$287,Table91517[#Headers],0)),Table91517[EnergyRating (group)],$A288)</f>
        <v>26124150</v>
      </c>
      <c r="C288" s="757">
        <f>SUMIFS(INDEX(Table91517[],,MATCH(C$287,Table91517[#Headers],0)),Table91517[EnergyRating (group)],$A288)</f>
        <v>9675616</v>
      </c>
      <c r="D288" s="760">
        <f>SUMIFS(INDEX(Table91517[],,MATCH(D$287,Table91517[#Headers],0)),Table91517[EnergyRating (group)],$A288)</f>
        <v>13633534</v>
      </c>
      <c r="E288" s="760">
        <f>SUMIFS(INDEX(Table91517[],,MATCH(E$287,Table91517[#Headers],0)),Table91517[EnergyRating (group)],$A288)</f>
        <v>5049454</v>
      </c>
      <c r="F288" s="757">
        <f>SUMIFS(INDEX(Table91517[],,MATCH(F$287,Table91517[#Headers],0)),Table91517[EnergyRating (group)],$A288)</f>
        <v>9878</v>
      </c>
      <c r="G288" s="757">
        <f>SUMIFS(INDEX(Table91517[],,MATCH(G$287,Table91517[#Headers],0)),Table91517[EnergyRating (group)],$A288)</f>
        <v>1991429</v>
      </c>
      <c r="L288" s="840"/>
      <c r="M288" s="840"/>
      <c r="N288" s="914" t="str">
        <f>RSD_Commodities!M108&amp;"_"&amp;SETUP!$B$67</f>
        <v>LT_Det-A_X0</v>
      </c>
      <c r="O288" s="914" t="str">
        <f>RSD_Commodities!N108&amp;"_"&amp;SETUP!$B$67</f>
        <v>Residential Lighting Detached-A_X0</v>
      </c>
      <c r="P288" s="930" t="str">
        <f>RSD_Commodities!$C$27</f>
        <v>RSDELCD</v>
      </c>
      <c r="Q288" s="914" t="str">
        <f>RSD_Commodities!M108</f>
        <v>LT_Det-A</v>
      </c>
      <c r="R288" s="984">
        <f>F288/SUM($F$288:$F$296)</f>
        <v>3.7206534308130972E-2</v>
      </c>
      <c r="S288" s="914">
        <f>R288*DwellingStocks!I62/1000</f>
        <v>0.39238071713777001</v>
      </c>
      <c r="T288" s="915">
        <v>1</v>
      </c>
      <c r="U288" s="986">
        <f>C288/B288</f>
        <v>0.3703705575109621</v>
      </c>
      <c r="V288" s="930">
        <v>20</v>
      </c>
      <c r="W288" s="914">
        <v>1</v>
      </c>
      <c r="Y288" s="928">
        <f>ABS((C288)*S288*1000*$B$2)</f>
        <v>1.560215812943705E-3</v>
      </c>
      <c r="Z288" s="928">
        <f>ABS((B288)*S288*1000*$B$2)</f>
        <v>4.2125805664169902E-3</v>
      </c>
      <c r="AB288" s="914" t="s">
        <v>393</v>
      </c>
      <c r="AC288" s="914" t="str">
        <f t="shared" ref="AC288:AD296" si="160">N288</f>
        <v>LT_Det-A_X0</v>
      </c>
      <c r="AD288" s="915" t="str">
        <f t="shared" si="160"/>
        <v>Residential Lighting Detached-A_X0</v>
      </c>
      <c r="AE288" s="914" t="s">
        <v>53</v>
      </c>
      <c r="AF288" s="916" t="s">
        <v>406</v>
      </c>
      <c r="AG288" s="914"/>
      <c r="AH288" s="914"/>
      <c r="AI288" s="839"/>
      <c r="AJ288" s="839"/>
      <c r="AK288" s="839"/>
      <c r="AL288" s="839"/>
      <c r="AM288" s="839"/>
      <c r="AN288" s="839"/>
      <c r="AO288" s="839"/>
    </row>
    <row r="289" spans="1:41">
      <c r="A289" s="973" t="s">
        <v>110</v>
      </c>
      <c r="B289" s="758">
        <f>SUMIFS(INDEX(Table91517[],,MATCH(B$287,Table91517[#Headers],0)),Table91517[EnergyRating (group)],$A289)</f>
        <v>10720629</v>
      </c>
      <c r="C289" s="758">
        <f>SUMIFS(INDEX(Table91517[],,MATCH(C$287,Table91517[#Headers],0)),Table91517[EnergyRating (group)],$A289)</f>
        <v>3970607</v>
      </c>
      <c r="D289" s="758">
        <f>SUMIFS(INDEX(Table91517[],,MATCH(D$287,Table91517[#Headers],0)),Table91517[EnergyRating (group)],$A289)</f>
        <v>3006734</v>
      </c>
      <c r="E289" s="758">
        <f>SUMIFS(INDEX(Table91517[],,MATCH(E$287,Table91517[#Headers],0)),Table91517[EnergyRating (group)],$A289)</f>
        <v>1113601</v>
      </c>
      <c r="F289" s="758">
        <f>SUMIFS(INDEX(Table91517[],,MATCH(F$287,Table91517[#Headers],0)),Table91517[EnergyRating (group)],$A289)</f>
        <v>3037</v>
      </c>
      <c r="G289" s="758">
        <f>SUMIFS(INDEX(Table91517[],,MATCH(G$287,Table91517[#Headers],0)),Table91517[EnergyRating (group)],$A289)</f>
        <v>692336</v>
      </c>
      <c r="L289" s="840"/>
      <c r="N289" s="66" t="str">
        <f>RSD_Commodities!M109&amp;"_"&amp;SETUP!$B$67</f>
        <v>LT_Det-B1_X0</v>
      </c>
      <c r="O289" s="66" t="str">
        <f>RSD_Commodities!N109&amp;"_"&amp;SETUP!$B$67</f>
        <v>Residential Lighting Detached-B1_X0</v>
      </c>
      <c r="P289" s="83" t="str">
        <f>RSD_Commodities!$C$27</f>
        <v>RSDELCD</v>
      </c>
      <c r="Q289" s="66" t="str">
        <f>RSD_Commodities!M109</f>
        <v>LT_Det-B1</v>
      </c>
      <c r="R289" s="985">
        <f t="shared" ref="R289:R296" si="161">F289/SUM($F$288:$F$296)</f>
        <v>1.1439182495828483E-2</v>
      </c>
      <c r="S289" s="66">
        <f>R289*DwellingStocks!I63/1000</f>
        <v>5.9455855802197699E-2</v>
      </c>
      <c r="T289" s="83">
        <v>1</v>
      </c>
      <c r="U289" s="987">
        <f t="shared" ref="U289:U296" si="162">C289/B289</f>
        <v>0.37037071239010322</v>
      </c>
      <c r="V289" s="83">
        <v>20</v>
      </c>
      <c r="W289" s="66">
        <v>1</v>
      </c>
      <c r="Y289" s="926">
        <f t="shared" ref="Y289:Y296" si="163">ABS((C289)*S289*1000*$B$2)</f>
        <v>9.7017467358574038E-5</v>
      </c>
      <c r="Z289" s="926">
        <f t="shared" ref="Z289:Z296" si="164">ABS((B289)*S289*1000*$B$2)</f>
        <v>2.6194691997240776E-4</v>
      </c>
      <c r="AB289" s="66" t="s">
        <v>393</v>
      </c>
      <c r="AC289" s="66" t="str">
        <f t="shared" si="160"/>
        <v>LT_Det-B1_X0</v>
      </c>
      <c r="AD289" s="83" t="str">
        <f t="shared" si="160"/>
        <v>Residential Lighting Detached-B1_X0</v>
      </c>
      <c r="AE289" s="66" t="s">
        <v>53</v>
      </c>
      <c r="AF289" s="88" t="s">
        <v>406</v>
      </c>
      <c r="AG289" s="66"/>
      <c r="AH289" s="66"/>
      <c r="AI289" s="839"/>
      <c r="AJ289" s="839"/>
      <c r="AK289" s="839"/>
      <c r="AL289" s="839"/>
      <c r="AM289" s="839"/>
      <c r="AN289" s="839"/>
      <c r="AO289" s="839"/>
    </row>
    <row r="290" spans="1:41">
      <c r="A290" s="972" t="s">
        <v>112</v>
      </c>
      <c r="B290" s="757">
        <f>SUMIFS(INDEX(Table91517[],,MATCH(B$287,Table91517[#Headers],0)),Table91517[EnergyRating (group)],$A290)</f>
        <v>28222290</v>
      </c>
      <c r="C290" s="757">
        <f>SUMIFS(INDEX(Table91517[],,MATCH(C$287,Table91517[#Headers],0)),Table91517[EnergyRating (group)],$A290)</f>
        <v>10452699</v>
      </c>
      <c r="D290" s="757">
        <f>SUMIFS(INDEX(Table91517[],,MATCH(D$287,Table91517[#Headers],0)),Table91517[EnergyRating (group)],$A290)</f>
        <v>5499091</v>
      </c>
      <c r="E290" s="757">
        <f>SUMIFS(INDEX(Table91517[],,MATCH(E$287,Table91517[#Headers],0)),Table91517[EnergyRating (group)],$A290)</f>
        <v>2036690</v>
      </c>
      <c r="F290" s="757">
        <f>SUMIFS(INDEX(Table91517[],,MATCH(F$287,Table91517[#Headers],0)),Table91517[EnergyRating (group)],$A290)</f>
        <v>7052</v>
      </c>
      <c r="G290" s="757">
        <f>SUMIFS(INDEX(Table91517[],,MATCH(G$287,Table91517[#Headers],0)),Table91517[EnergyRating (group)],$A290)</f>
        <v>1571667</v>
      </c>
      <c r="L290" s="840"/>
      <c r="N290" s="914" t="str">
        <f>RSD_Commodities!M110&amp;"_"&amp;SETUP!$B$67</f>
        <v>LT_Det-B2_X0</v>
      </c>
      <c r="O290" s="914" t="str">
        <f>RSD_Commodities!N110&amp;"_"&amp;SETUP!$B$67</f>
        <v>Residential Lighting Detached-B2_X0</v>
      </c>
      <c r="P290" s="915" t="str">
        <f>RSD_Commodities!$C$27</f>
        <v>RSDELCD</v>
      </c>
      <c r="Q290" s="914" t="str">
        <f>RSD_Commodities!M110</f>
        <v>LT_Det-B2</v>
      </c>
      <c r="R290" s="984">
        <f t="shared" si="161"/>
        <v>2.6562105683431831E-2</v>
      </c>
      <c r="S290" s="914">
        <f>R290*DwellingStocks!I64/1000</f>
        <v>0.37132124103803316</v>
      </c>
      <c r="T290" s="915">
        <v>1</v>
      </c>
      <c r="U290" s="986">
        <f t="shared" si="162"/>
        <v>0.37037033493738458</v>
      </c>
      <c r="V290" s="915">
        <v>20</v>
      </c>
      <c r="W290" s="914">
        <v>1</v>
      </c>
      <c r="Y290" s="928">
        <f t="shared" si="163"/>
        <v>1.5950585609083596E-3</v>
      </c>
      <c r="Z290" s="928">
        <f t="shared" si="164"/>
        <v>4.3066585264665514E-3</v>
      </c>
      <c r="AB290" s="914" t="s">
        <v>393</v>
      </c>
      <c r="AC290" s="914" t="str">
        <f t="shared" si="160"/>
        <v>LT_Det-B2_X0</v>
      </c>
      <c r="AD290" s="915" t="str">
        <f t="shared" si="160"/>
        <v>Residential Lighting Detached-B2_X0</v>
      </c>
      <c r="AE290" s="914" t="s">
        <v>53</v>
      </c>
      <c r="AF290" s="916" t="s">
        <v>406</v>
      </c>
      <c r="AG290" s="914"/>
      <c r="AH290" s="914"/>
    </row>
    <row r="291" spans="1:41">
      <c r="A291" s="973" t="s">
        <v>114</v>
      </c>
      <c r="B291" s="758">
        <f>SUMIFS(INDEX(Table91517[],,MATCH(B$287,Table91517[#Headers],0)),Table91517[EnergyRating (group)],$A291)</f>
        <v>78990456</v>
      </c>
      <c r="C291" s="758">
        <f>SUMIFS(INDEX(Table91517[],,MATCH(C$287,Table91517[#Headers],0)),Table91517[EnergyRating (group)],$A291)</f>
        <v>29255727</v>
      </c>
      <c r="D291" s="759">
        <f>SUMIFS(INDEX(Table91517[],,MATCH(D$287,Table91517[#Headers],0)),Table91517[EnergyRating (group)],$A291)</f>
        <v>13662987</v>
      </c>
      <c r="E291" s="759">
        <f>SUMIFS(INDEX(Table91517[],,MATCH(E$287,Table91517[#Headers],0)),Table91517[EnergyRating (group)],$A291)</f>
        <v>5060354</v>
      </c>
      <c r="F291" s="758">
        <f>SUMIFS(INDEX(Table91517[],,MATCH(F$287,Table91517[#Headers],0)),Table91517[EnergyRating (group)],$A291)</f>
        <v>20170</v>
      </c>
      <c r="G291" s="758">
        <f>SUMIFS(INDEX(Table91517[],,MATCH(G$287,Table91517[#Headers],0)),Table91517[EnergyRating (group)],$A291)</f>
        <v>4035096</v>
      </c>
      <c r="N291" s="66" t="str">
        <f>RSD_Commodities!M111&amp;"_"&amp;SETUP!$B$67</f>
        <v>LT_Det-B3_X0</v>
      </c>
      <c r="O291" s="66" t="str">
        <f>RSD_Commodities!N111&amp;"_"&amp;SETUP!$B$67</f>
        <v>Residential Lighting Detached-B3_X0</v>
      </c>
      <c r="P291" s="83" t="str">
        <f>RSD_Commodities!$C$27</f>
        <v>RSDELCD</v>
      </c>
      <c r="Q291" s="66" t="str">
        <f>RSD_Commodities!M111</f>
        <v>LT_Det-B3</v>
      </c>
      <c r="R291" s="985">
        <f t="shared" si="161"/>
        <v>7.5972443510326157E-2</v>
      </c>
      <c r="S291" s="66">
        <f>R291*DwellingStocks!I65/1000</f>
        <v>1.6493198474127047</v>
      </c>
      <c r="T291" s="83">
        <v>1</v>
      </c>
      <c r="U291" s="987">
        <f t="shared" si="162"/>
        <v>0.37037040272308341</v>
      </c>
      <c r="V291" s="83">
        <v>20</v>
      </c>
      <c r="W291" s="66">
        <v>1</v>
      </c>
      <c r="Y291" s="926">
        <f t="shared" si="163"/>
        <v>1.9829610078734693E-2</v>
      </c>
      <c r="Z291" s="926">
        <f t="shared" si="164"/>
        <v>5.3539942535745191E-2</v>
      </c>
      <c r="AB291" s="66" t="s">
        <v>393</v>
      </c>
      <c r="AC291" s="66" t="str">
        <f t="shared" si="160"/>
        <v>LT_Det-B3_X0</v>
      </c>
      <c r="AD291" s="83" t="str">
        <f t="shared" si="160"/>
        <v>Residential Lighting Detached-B3_X0</v>
      </c>
      <c r="AE291" s="66" t="s">
        <v>53</v>
      </c>
      <c r="AF291" s="88" t="s">
        <v>406</v>
      </c>
      <c r="AG291" s="66"/>
      <c r="AH291" s="66"/>
    </row>
    <row r="292" spans="1:41">
      <c r="A292" s="972" t="s">
        <v>116</v>
      </c>
      <c r="B292" s="757">
        <f>SUMIFS(INDEX(Table91517[],,MATCH(B$287,Table91517[#Headers],0)),Table91517[EnergyRating (group)],$A292)</f>
        <v>332616594</v>
      </c>
      <c r="C292" s="757">
        <f>SUMIFS(INDEX(Table91517[],,MATCH(C$287,Table91517[#Headers],0)),Table91517[EnergyRating (group)],$A292)</f>
        <v>123191324</v>
      </c>
      <c r="D292" s="760">
        <f>SUMIFS(INDEX(Table91517[],,MATCH(D$287,Table91517[#Headers],0)),Table91517[EnergyRating (group)],$A292)</f>
        <v>61366849</v>
      </c>
      <c r="E292" s="760">
        <f>SUMIFS(INDEX(Table91517[],,MATCH(E$287,Table91517[#Headers],0)),Table91517[EnergyRating (group)],$A292)</f>
        <v>22728445</v>
      </c>
      <c r="F292" s="757">
        <f>SUMIFS(INDEX(Table91517[],,MATCH(F$287,Table91517[#Headers],0)),Table91517[EnergyRating (group)],$A292)</f>
        <v>97809</v>
      </c>
      <c r="G292" s="757">
        <f>SUMIFS(INDEX(Table91517[],,MATCH(G$287,Table91517[#Headers],0)),Table91517[EnergyRating (group)],$A292)</f>
        <v>15963707</v>
      </c>
      <c r="N292" s="914" t="str">
        <f>RSD_Commodities!M112&amp;"_"&amp;SETUP!$B$67</f>
        <v>LT_Det-C_X0</v>
      </c>
      <c r="O292" s="914" t="str">
        <f>RSD_Commodities!N112&amp;"_"&amp;SETUP!$B$67</f>
        <v>Residential Lighting Detached-C_X0</v>
      </c>
      <c r="P292" s="915" t="str">
        <f>RSD_Commodities!$C$27</f>
        <v>RSDELCD</v>
      </c>
      <c r="Q292" s="914" t="str">
        <f>RSD_Commodities!M112</f>
        <v>LT_Det-C</v>
      </c>
      <c r="R292" s="984">
        <f t="shared" si="161"/>
        <v>0.36840796863170505</v>
      </c>
      <c r="S292" s="914">
        <f>R292*DwellingStocks!I66/1000</f>
        <v>26.217523686798863</v>
      </c>
      <c r="T292" s="915">
        <v>1</v>
      </c>
      <c r="U292" s="986">
        <f t="shared" si="162"/>
        <v>0.37037034899106686</v>
      </c>
      <c r="V292" s="915">
        <v>20</v>
      </c>
      <c r="W292" s="914">
        <v>1</v>
      </c>
      <c r="Y292" s="928">
        <f t="shared" si="163"/>
        <v>1.3273033376622385</v>
      </c>
      <c r="Z292" s="928">
        <f t="shared" si="164"/>
        <v>3.5837192185550801</v>
      </c>
      <c r="AB292" s="914" t="s">
        <v>393</v>
      </c>
      <c r="AC292" s="914" t="str">
        <f t="shared" si="160"/>
        <v>LT_Det-C_X0</v>
      </c>
      <c r="AD292" s="915" t="str">
        <f t="shared" si="160"/>
        <v>Residential Lighting Detached-C_X0</v>
      </c>
      <c r="AE292" s="914" t="s">
        <v>53</v>
      </c>
      <c r="AF292" s="916" t="s">
        <v>406</v>
      </c>
      <c r="AG292" s="914"/>
      <c r="AH292" s="914"/>
    </row>
    <row r="293" spans="1:41">
      <c r="A293" s="973" t="s">
        <v>118</v>
      </c>
      <c r="B293" s="758">
        <f>SUMIFS(INDEX(Table91517[],,MATCH(B$287,Table91517[#Headers],0)),Table91517[EnergyRating (group)],$A293)</f>
        <v>171476298</v>
      </c>
      <c r="C293" s="758">
        <f>SUMIFS(INDEX(Table91517[],,MATCH(C$287,Table91517[#Headers],0)),Table91517[EnergyRating (group)],$A293)</f>
        <v>63509730</v>
      </c>
      <c r="D293" s="758">
        <f>SUMIFS(INDEX(Table91517[],,MATCH(D$287,Table91517[#Headers],0)),Table91517[EnergyRating (group)],$A293)</f>
        <v>37577985</v>
      </c>
      <c r="E293" s="758">
        <f>SUMIFS(INDEX(Table91517[],,MATCH(E$287,Table91517[#Headers],0)),Table91517[EnergyRating (group)],$A293)</f>
        <v>13917754</v>
      </c>
      <c r="F293" s="758">
        <f>SUMIFS(INDEX(Table91517[],,MATCH(F$287,Table91517[#Headers],0)),Table91517[EnergyRating (group)],$A293)</f>
        <v>61656</v>
      </c>
      <c r="G293" s="758">
        <f>SUMIFS(INDEX(Table91517[],,MATCH(G$287,Table91517[#Headers],0)),Table91517[EnergyRating (group)],$A293)</f>
        <v>8178708</v>
      </c>
      <c r="N293" s="66" t="str">
        <f>RSD_Commodities!M113&amp;"_"&amp;SETUP!$B$67</f>
        <v>LT_Det-D_X0</v>
      </c>
      <c r="O293" s="66" t="str">
        <f>RSD_Commodities!N113&amp;"_"&amp;SETUP!$B$67</f>
        <v>Residential Lighting Detached-D_X0</v>
      </c>
      <c r="P293" s="83" t="str">
        <f>RSD_Commodities!$C$27</f>
        <v>RSDELCD</v>
      </c>
      <c r="Q293" s="66" t="str">
        <f>RSD_Commodities!M113</f>
        <v>LT_Det-D</v>
      </c>
      <c r="R293" s="985">
        <f t="shared" si="161"/>
        <v>0.23223386103483734</v>
      </c>
      <c r="S293" s="66">
        <f>R293*DwellingStocks!I67/1000</f>
        <v>11.02853747805921</v>
      </c>
      <c r="T293" s="83">
        <v>1</v>
      </c>
      <c r="U293" s="987">
        <f t="shared" si="162"/>
        <v>0.37037031205327281</v>
      </c>
      <c r="V293" s="83">
        <v>20</v>
      </c>
      <c r="W293" s="66">
        <v>1</v>
      </c>
      <c r="Y293" s="926">
        <f t="shared" si="163"/>
        <v>0.28784360446291291</v>
      </c>
      <c r="Z293" s="926">
        <f t="shared" si="164"/>
        <v>0.77717785442130816</v>
      </c>
      <c r="AB293" s="66" t="s">
        <v>393</v>
      </c>
      <c r="AC293" s="66" t="str">
        <f t="shared" si="160"/>
        <v>LT_Det-D_X0</v>
      </c>
      <c r="AD293" s="83" t="str">
        <f t="shared" si="160"/>
        <v>Residential Lighting Detached-D_X0</v>
      </c>
      <c r="AE293" s="66" t="s">
        <v>53</v>
      </c>
      <c r="AF293" s="88" t="s">
        <v>406</v>
      </c>
      <c r="AG293" s="66"/>
      <c r="AH293" s="66"/>
    </row>
    <row r="294" spans="1:41">
      <c r="A294" s="972" t="s">
        <v>120</v>
      </c>
      <c r="B294" s="757">
        <f>SUMIFS(INDEX(Table91517[],,MATCH(B$287,Table91517[#Headers],0)),Table91517[EnergyRating (group)],$A294)</f>
        <v>71059779</v>
      </c>
      <c r="C294" s="757">
        <f>SUMIFS(INDEX(Table91517[],,MATCH(C$287,Table91517[#Headers],0)),Table91517[EnergyRating (group)],$A294)</f>
        <v>26318435</v>
      </c>
      <c r="D294" s="760">
        <f>SUMIFS(INDEX(Table91517[],,MATCH(D$287,Table91517[#Headers],0)),Table91517[EnergyRating (group)],$A294)</f>
        <v>15755966</v>
      </c>
      <c r="E294" s="760">
        <f>SUMIFS(INDEX(Table91517[],,MATCH(E$287,Table91517[#Headers],0)),Table91517[EnergyRating (group)],$A294)</f>
        <v>5835535</v>
      </c>
      <c r="F294" s="757">
        <f>SUMIFS(INDEX(Table91517[],,MATCH(F$287,Table91517[#Headers],0)),Table91517[EnergyRating (group)],$A294)</f>
        <v>27666</v>
      </c>
      <c r="G294" s="757">
        <f>SUMIFS(INDEX(Table91517[],,MATCH(G$287,Table91517[#Headers],0)),Table91517[EnergyRating (group)],$A294)</f>
        <v>3361292</v>
      </c>
      <c r="N294" s="914" t="str">
        <f>RSD_Commodities!M114&amp;"_"&amp;SETUP!$B$67</f>
        <v>LT_Det-E_X0</v>
      </c>
      <c r="O294" s="914" t="str">
        <f>RSD_Commodities!N114&amp;"_"&amp;SETUP!$B$67</f>
        <v>Residential Lighting Detached-E_X0</v>
      </c>
      <c r="P294" s="930" t="str">
        <f>RSD_Commodities!$C$27</f>
        <v>RSDELCD</v>
      </c>
      <c r="Q294" s="914" t="str">
        <f>RSD_Commodities!M114</f>
        <v>LT_Det-E</v>
      </c>
      <c r="R294" s="984">
        <f t="shared" si="161"/>
        <v>0.10420692226855148</v>
      </c>
      <c r="S294" s="914">
        <f>R294*DwellingStocks!I68/1000</f>
        <v>2.4790502883777674</v>
      </c>
      <c r="T294" s="915">
        <v>1</v>
      </c>
      <c r="U294" s="986">
        <f t="shared" si="162"/>
        <v>0.37037034691593962</v>
      </c>
      <c r="V294" s="930">
        <v>20</v>
      </c>
      <c r="W294" s="914">
        <v>1</v>
      </c>
      <c r="Y294" s="928">
        <f t="shared" si="163"/>
        <v>2.6812900223178716E-2</v>
      </c>
      <c r="Z294" s="928">
        <f t="shared" si="164"/>
        <v>7.2394835187127582E-2</v>
      </c>
      <c r="AB294" s="914" t="s">
        <v>393</v>
      </c>
      <c r="AC294" s="914" t="str">
        <f t="shared" si="160"/>
        <v>LT_Det-E_X0</v>
      </c>
      <c r="AD294" s="915" t="str">
        <f t="shared" si="160"/>
        <v>Residential Lighting Detached-E_X0</v>
      </c>
      <c r="AE294" s="914" t="s">
        <v>53</v>
      </c>
      <c r="AF294" s="916" t="s">
        <v>406</v>
      </c>
      <c r="AG294" s="914"/>
      <c r="AH294" s="914"/>
    </row>
    <row r="295" spans="1:41">
      <c r="A295" s="973" t="s">
        <v>122</v>
      </c>
      <c r="B295" s="758">
        <f>SUMIFS(INDEX(Table91517[],,MATCH(B$287,Table91517[#Headers],0)),Table91517[EnergyRating (group)],$A295)</f>
        <v>33714689</v>
      </c>
      <c r="C295" s="758">
        <f>SUMIFS(INDEX(Table91517[],,MATCH(C$287,Table91517[#Headers],0)),Table91517[EnergyRating (group)],$A295)</f>
        <v>12486922</v>
      </c>
      <c r="D295" s="758">
        <f>SUMIFS(INDEX(Table91517[],,MATCH(D$287,Table91517[#Headers],0)),Table91517[EnergyRating (group)],$A295)</f>
        <v>7478211</v>
      </c>
      <c r="E295" s="758">
        <f>SUMIFS(INDEX(Table91517[],,MATCH(E$287,Table91517[#Headers],0)),Table91517[EnergyRating (group)],$A295)</f>
        <v>2769696</v>
      </c>
      <c r="F295" s="758">
        <f>SUMIFS(INDEX(Table91517[],,MATCH(F$287,Table91517[#Headers],0)),Table91517[EnergyRating (group)],$A295)</f>
        <v>13787</v>
      </c>
      <c r="G295" s="758">
        <f>SUMIFS(INDEX(Table91517[],,MATCH(G$287,Table91517[#Headers],0)),Table91517[EnergyRating (group)],$A295)</f>
        <v>1578092</v>
      </c>
      <c r="N295" s="66" t="str">
        <f>RSD_Commodities!M115&amp;"_"&amp;SETUP!$B$67</f>
        <v>LT_Det-F_X0</v>
      </c>
      <c r="O295" s="66" t="str">
        <f>RSD_Commodities!N115&amp;"_"&amp;SETUP!$B$67</f>
        <v>Residential Lighting Detached-F_X0</v>
      </c>
      <c r="P295" s="83" t="str">
        <f>RSD_Commodities!$C$27</f>
        <v>RSDELCD</v>
      </c>
      <c r="Q295" s="66" t="str">
        <f>RSD_Commodities!M115</f>
        <v>LT_Det-F</v>
      </c>
      <c r="R295" s="985">
        <f t="shared" si="161"/>
        <v>5.1930197257157494E-2</v>
      </c>
      <c r="S295" s="66">
        <f>R295*DwellingStocks!I69/1000</f>
        <v>0.41598247445679981</v>
      </c>
      <c r="T295" s="83">
        <v>1</v>
      </c>
      <c r="U295" s="987">
        <f t="shared" si="162"/>
        <v>0.37037037476454254</v>
      </c>
      <c r="V295" s="83">
        <v>20</v>
      </c>
      <c r="W295" s="66">
        <v>1</v>
      </c>
      <c r="Y295" s="926">
        <f t="shared" si="163"/>
        <v>2.1346605665379667E-3</v>
      </c>
      <c r="Z295" s="926">
        <f t="shared" si="164"/>
        <v>5.7635834612718298E-3</v>
      </c>
      <c r="AB295" s="66" t="s">
        <v>393</v>
      </c>
      <c r="AC295" s="66" t="str">
        <f t="shared" si="160"/>
        <v>LT_Det-F_X0</v>
      </c>
      <c r="AD295" s="83" t="str">
        <f t="shared" si="160"/>
        <v>Residential Lighting Detached-F_X0</v>
      </c>
      <c r="AE295" s="66" t="s">
        <v>53</v>
      </c>
      <c r="AF295" s="88" t="s">
        <v>406</v>
      </c>
      <c r="AG295" s="66"/>
      <c r="AH295" s="66"/>
    </row>
    <row r="296" spans="1:41">
      <c r="A296" s="972" t="s">
        <v>124</v>
      </c>
      <c r="B296" s="757">
        <f>SUMIFS(INDEX(Table91517[],,MATCH(B$287,Table91517[#Headers],0)),Table91517[EnergyRating (group)],$A296)</f>
        <v>52755414</v>
      </c>
      <c r="C296" s="757">
        <f>SUMIFS(INDEX(Table91517[],,MATCH(C$287,Table91517[#Headers],0)),Table91517[EnergyRating (group)],$A296)</f>
        <v>19539042</v>
      </c>
      <c r="D296" s="760">
        <f>SUMIFS(INDEX(Table91517[],,MATCH(D$287,Table91517[#Headers],0)),Table91517[EnergyRating (group)],$A296)</f>
        <v>9716242</v>
      </c>
      <c r="E296" s="760">
        <f>SUMIFS(INDEX(Table91517[],,MATCH(E$287,Table91517[#Headers],0)),Table91517[EnergyRating (group)],$A296)</f>
        <v>3598597</v>
      </c>
      <c r="F296" s="757">
        <f>SUMIFS(INDEX(Table91517[],,MATCH(F$287,Table91517[#Headers],0)),Table91517[EnergyRating (group)],$A296)</f>
        <v>24436</v>
      </c>
      <c r="G296" s="757">
        <f>SUMIFS(INDEX(Table91517[],,MATCH(G$287,Table91517[#Headers],0)),Table91517[EnergyRating (group)],$A296)</f>
        <v>2381793</v>
      </c>
      <c r="N296" s="914" t="str">
        <f>RSD_Commodities!M116&amp;"_"&amp;SETUP!$B$67</f>
        <v>LT_Det-G_X0</v>
      </c>
      <c r="O296" s="914" t="str">
        <f>RSD_Commodities!N116&amp;"_"&amp;SETUP!$B$67</f>
        <v>Residential Lighting Detached-G_X0</v>
      </c>
      <c r="P296" s="915" t="str">
        <f>RSD_Commodities!$C$27</f>
        <v>RSDELCD</v>
      </c>
      <c r="Q296" s="914" t="str">
        <f>RSD_Commodities!M116</f>
        <v>LT_Det-G</v>
      </c>
      <c r="R296" s="984">
        <f t="shared" si="161"/>
        <v>9.2040784810031223E-2</v>
      </c>
      <c r="S296" s="914">
        <f>R296*DwellingStocks!I70/1000</f>
        <v>0.79686068472744709</v>
      </c>
      <c r="T296" s="915">
        <v>1</v>
      </c>
      <c r="U296" s="986">
        <f t="shared" si="162"/>
        <v>0.37037036615805913</v>
      </c>
      <c r="V296" s="915">
        <v>20</v>
      </c>
      <c r="W296" s="914">
        <v>1</v>
      </c>
      <c r="Y296" s="928">
        <f t="shared" si="163"/>
        <v>6.3985867343993221E-3</v>
      </c>
      <c r="Z296" s="928">
        <f t="shared" si="164"/>
        <v>1.7276184379364366E-2</v>
      </c>
      <c r="AB296" s="914" t="s">
        <v>393</v>
      </c>
      <c r="AC296" s="914" t="str">
        <f t="shared" si="160"/>
        <v>LT_Det-G_X0</v>
      </c>
      <c r="AD296" s="915" t="str">
        <f t="shared" si="160"/>
        <v>Residential Lighting Detached-G_X0</v>
      </c>
      <c r="AE296" s="914" t="s">
        <v>53</v>
      </c>
      <c r="AF296" s="916" t="s">
        <v>406</v>
      </c>
      <c r="AG296" s="914"/>
      <c r="AH296" s="914"/>
    </row>
    <row r="297" spans="1:41">
      <c r="C297" s="137">
        <f>SUM(C288:C296)</f>
        <v>298400102</v>
      </c>
    </row>
    <row r="299" spans="1:41" ht="21.75" thickBot="1">
      <c r="A299" s="139" t="s">
        <v>833</v>
      </c>
      <c r="B299" s="139"/>
      <c r="C299" s="139"/>
      <c r="D299" s="139"/>
      <c r="E299" s="139"/>
      <c r="F299" s="139"/>
      <c r="G299" s="139"/>
      <c r="N299" s="138" t="s">
        <v>839</v>
      </c>
      <c r="O299" s="138"/>
      <c r="P299" s="142" t="s">
        <v>372</v>
      </c>
      <c r="Q299" s="85"/>
      <c r="R299" s="85"/>
      <c r="S299" s="85"/>
      <c r="T299" s="85"/>
      <c r="U299" s="85"/>
      <c r="V299" s="85"/>
      <c r="W299" s="90"/>
      <c r="X299" s="96" t="s">
        <v>561</v>
      </c>
      <c r="Y299" s="866"/>
      <c r="Z299" s="840"/>
      <c r="AA299" s="68" t="s">
        <v>373</v>
      </c>
      <c r="AB299" s="68"/>
      <c r="AC299" s="839"/>
      <c r="AD299" s="839"/>
      <c r="AE299" s="839"/>
      <c r="AF299" s="839"/>
      <c r="AG299" s="839"/>
      <c r="AH299" s="839"/>
    </row>
    <row r="300" spans="1:41" ht="15.75" thickBot="1">
      <c r="A300" s="756" t="s">
        <v>108</v>
      </c>
      <c r="B300" s="756" t="s">
        <v>565</v>
      </c>
      <c r="C300" s="756" t="s">
        <v>565</v>
      </c>
      <c r="D300" s="756" t="s">
        <v>565</v>
      </c>
      <c r="E300" s="756" t="s">
        <v>565</v>
      </c>
      <c r="F300" s="756" t="s">
        <v>825</v>
      </c>
      <c r="G300" s="756" t="s">
        <v>567</v>
      </c>
      <c r="N300" s="73" t="s">
        <v>374</v>
      </c>
      <c r="O300" s="73" t="s">
        <v>397</v>
      </c>
      <c r="P300" s="73" t="s">
        <v>376</v>
      </c>
      <c r="Q300" s="73" t="s">
        <v>377</v>
      </c>
      <c r="R300" s="73" t="s">
        <v>562</v>
      </c>
      <c r="S300" s="86" t="s">
        <v>398</v>
      </c>
      <c r="T300" s="73" t="s">
        <v>811</v>
      </c>
      <c r="U300" s="86" t="s">
        <v>378</v>
      </c>
      <c r="V300" s="86" t="s">
        <v>380</v>
      </c>
      <c r="W300" s="86" t="s">
        <v>400</v>
      </c>
      <c r="X300" s="91"/>
      <c r="Y300" s="94" t="s">
        <v>563</v>
      </c>
      <c r="Z300" s="95" t="s">
        <v>564</v>
      </c>
      <c r="AA300" s="840"/>
      <c r="AB300" s="73" t="s">
        <v>385</v>
      </c>
      <c r="AC300" s="73" t="s">
        <v>374</v>
      </c>
      <c r="AD300" s="73" t="s">
        <v>375</v>
      </c>
      <c r="AE300" s="73" t="s">
        <v>386</v>
      </c>
      <c r="AF300" s="73" t="s">
        <v>387</v>
      </c>
      <c r="AG300" s="73" t="s">
        <v>388</v>
      </c>
      <c r="AH300" s="73" t="s">
        <v>389</v>
      </c>
    </row>
    <row r="301" spans="1:41" ht="26.25" thickBot="1">
      <c r="A301" s="945" t="s">
        <v>569</v>
      </c>
      <c r="B301" s="988" t="s">
        <v>655</v>
      </c>
      <c r="C301" s="988" t="s">
        <v>656</v>
      </c>
      <c r="D301" s="988" t="s">
        <v>657</v>
      </c>
      <c r="E301" s="988" t="s">
        <v>658</v>
      </c>
      <c r="F301" s="946" t="s">
        <v>575</v>
      </c>
      <c r="G301" s="946" t="s">
        <v>576</v>
      </c>
      <c r="N301" s="74" t="s">
        <v>402</v>
      </c>
      <c r="O301" s="74" t="s">
        <v>403</v>
      </c>
      <c r="P301" s="74" t="s">
        <v>404</v>
      </c>
      <c r="Q301" s="74" t="s">
        <v>405</v>
      </c>
      <c r="R301" s="74"/>
      <c r="S301" s="89" t="s">
        <v>406</v>
      </c>
      <c r="T301" s="74"/>
      <c r="U301" s="87" t="s">
        <v>568</v>
      </c>
      <c r="V301" s="87"/>
      <c r="W301" s="87"/>
      <c r="X301" s="92"/>
      <c r="Y301" s="732" t="s">
        <v>53</v>
      </c>
      <c r="Z301" s="733" t="s">
        <v>53</v>
      </c>
      <c r="AA301" s="92"/>
      <c r="AB301" s="75" t="s">
        <v>370</v>
      </c>
      <c r="AC301" s="75"/>
      <c r="AD301" s="74"/>
      <c r="AE301" s="75"/>
      <c r="AF301" s="75"/>
      <c r="AG301" s="75"/>
      <c r="AH301" s="75"/>
    </row>
    <row r="302" spans="1:41">
      <c r="A302" s="972" t="s">
        <v>108</v>
      </c>
      <c r="B302" s="757">
        <f>SUMIFS(INDEX(Table91517[],,MATCH(B$287,Table91517[#Headers],0)),Table91517[EnergyRating (group)],$A302)</f>
        <v>26124150</v>
      </c>
      <c r="C302" s="757">
        <f>SUMIFS(INDEX(Table91517[],,MATCH(C$287,Table91517[#Headers],0)),Table91517[EnergyRating (group)],$A302)</f>
        <v>9675616</v>
      </c>
      <c r="D302" s="760">
        <f>SUMIFS(INDEX(Table91517[],,MATCH(D$287,Table91517[#Headers],0)),Table91517[EnergyRating (group)],$A302)</f>
        <v>13633534</v>
      </c>
      <c r="E302" s="760">
        <f>SUMIFS(INDEX(Table91517[],,MATCH(E$287,Table91517[#Headers],0)),Table91517[EnergyRating (group)],$A302)</f>
        <v>5049454</v>
      </c>
      <c r="F302" s="757">
        <f>SUMIFS(INDEX(Table91517[],,MATCH(F$287,Table91517[#Headers],0)),Table91517[EnergyRating (group)],$A302)</f>
        <v>9878</v>
      </c>
      <c r="G302" s="757">
        <f>SUMIFS(INDEX(Table91517[],,MATCH(G$287,Table91517[#Headers],0)),Table91517[EnergyRating (group)],$A302)</f>
        <v>1991429</v>
      </c>
      <c r="N302" s="914" t="str">
        <f>RSD_Commodities!M135&amp;"_"&amp;SETUP!$B$67</f>
        <v>PF_Det-A_X0</v>
      </c>
      <c r="O302" s="914" t="str">
        <f>RSD_Commodities!N135&amp;"_"&amp;SETUP!$B$67</f>
        <v>Residential Pumps &amp; Fans Detached-A_X0</v>
      </c>
      <c r="P302" s="915" t="str">
        <f>RSD_Commodities!$C$27</f>
        <v>RSDELCD</v>
      </c>
      <c r="Q302" s="914" t="str">
        <f>RSD_Commodities!M135</f>
        <v>PF_Det-A</v>
      </c>
      <c r="R302" s="915">
        <f>F302/SUM($F$302:$F$310)</f>
        <v>3.7206534308130972E-2</v>
      </c>
      <c r="S302" s="914">
        <f>R302*DwellingStocks!I62/1000</f>
        <v>0.39238071713777001</v>
      </c>
      <c r="T302" s="915">
        <v>1</v>
      </c>
      <c r="U302" s="986">
        <f>E302/D302</f>
        <v>0.37037014760809633</v>
      </c>
      <c r="V302" s="915">
        <v>20</v>
      </c>
      <c r="W302" s="914">
        <v>1</v>
      </c>
      <c r="Y302" s="928">
        <f>ABS((E302)*S302*1000*$B$2)</f>
        <v>8.1423632123596499E-4</v>
      </c>
      <c r="Z302" s="928">
        <f>ABS((D302)*S302*1000*$B$2)</f>
        <v>2.1984393896063719E-3</v>
      </c>
      <c r="AB302" s="914" t="s">
        <v>393</v>
      </c>
      <c r="AC302" s="914" t="str">
        <f t="shared" ref="AC302:AD310" si="165">N302</f>
        <v>PF_Det-A_X0</v>
      </c>
      <c r="AD302" s="915" t="str">
        <f t="shared" si="165"/>
        <v>Residential Pumps &amp; Fans Detached-A_X0</v>
      </c>
      <c r="AE302" s="914" t="s">
        <v>53</v>
      </c>
      <c r="AF302" s="916" t="s">
        <v>406</v>
      </c>
      <c r="AG302" s="914"/>
      <c r="AH302" s="914"/>
    </row>
    <row r="303" spans="1:41">
      <c r="A303" s="973" t="s">
        <v>110</v>
      </c>
      <c r="B303" s="758">
        <f>SUMIFS(INDEX(Table91517[],,MATCH(B$287,Table91517[#Headers],0)),Table91517[EnergyRating (group)],$A303)</f>
        <v>10720629</v>
      </c>
      <c r="C303" s="758">
        <f>SUMIFS(INDEX(Table91517[],,MATCH(C$287,Table91517[#Headers],0)),Table91517[EnergyRating (group)],$A303)</f>
        <v>3970607</v>
      </c>
      <c r="D303" s="758">
        <f>SUMIFS(INDEX(Table91517[],,MATCH(D$287,Table91517[#Headers],0)),Table91517[EnergyRating (group)],$A303)</f>
        <v>3006734</v>
      </c>
      <c r="E303" s="758">
        <f>SUMIFS(INDEX(Table91517[],,MATCH(E$287,Table91517[#Headers],0)),Table91517[EnergyRating (group)],$A303)</f>
        <v>1113601</v>
      </c>
      <c r="F303" s="758">
        <f>SUMIFS(INDEX(Table91517[],,MATCH(F$287,Table91517[#Headers],0)),Table91517[EnergyRating (group)],$A303)</f>
        <v>3037</v>
      </c>
      <c r="G303" s="758">
        <f>SUMIFS(INDEX(Table91517[],,MATCH(G$287,Table91517[#Headers],0)),Table91517[EnergyRating (group)],$A303)</f>
        <v>692336</v>
      </c>
      <c r="N303" s="66" t="str">
        <f>RSD_Commodities!M136&amp;"_"&amp;SETUP!$B$67</f>
        <v>PF_Det-B1_X0</v>
      </c>
      <c r="O303" s="66" t="str">
        <f>RSD_Commodities!N136&amp;"_"&amp;SETUP!$B$67</f>
        <v>Residential Pumps &amp; Fans Detached-B1_X0</v>
      </c>
      <c r="P303" s="83" t="str">
        <f>RSD_Commodities!$C$27</f>
        <v>RSDELCD</v>
      </c>
      <c r="Q303" s="66" t="str">
        <f>RSD_Commodities!M136</f>
        <v>PF_Det-B1</v>
      </c>
      <c r="R303" s="83">
        <f>F303/SUM($F$302:$F$310)</f>
        <v>1.1439182495828483E-2</v>
      </c>
      <c r="S303" s="66">
        <f>R303*DwellingStocks!I63/1000</f>
        <v>5.9455855802197699E-2</v>
      </c>
      <c r="T303" s="83">
        <v>1</v>
      </c>
      <c r="U303" s="987">
        <f t="shared" ref="U303:U310" si="166">E303/D303</f>
        <v>0.3703689784330772</v>
      </c>
      <c r="V303" s="83">
        <v>20</v>
      </c>
      <c r="W303" s="66">
        <v>1</v>
      </c>
      <c r="Y303" s="926">
        <f>ABS((E303)*S303*1000*$B$2)</f>
        <v>2.7209630333088974E-5</v>
      </c>
      <c r="Z303" s="926">
        <f>ABS((D303)*S303*1000*$B$2)</f>
        <v>7.3466278002560999E-5</v>
      </c>
      <c r="AB303" s="66" t="s">
        <v>393</v>
      </c>
      <c r="AC303" s="66" t="str">
        <f t="shared" si="165"/>
        <v>PF_Det-B1_X0</v>
      </c>
      <c r="AD303" s="83" t="str">
        <f t="shared" si="165"/>
        <v>Residential Pumps &amp; Fans Detached-B1_X0</v>
      </c>
      <c r="AE303" s="66" t="s">
        <v>53</v>
      </c>
      <c r="AF303" s="88" t="s">
        <v>406</v>
      </c>
      <c r="AG303" s="66"/>
      <c r="AH303" s="66"/>
    </row>
    <row r="304" spans="1:41">
      <c r="A304" s="972" t="s">
        <v>112</v>
      </c>
      <c r="B304" s="757">
        <f>SUMIFS(INDEX(Table91517[],,MATCH(B$287,Table91517[#Headers],0)),Table91517[EnergyRating (group)],$A304)</f>
        <v>28222290</v>
      </c>
      <c r="C304" s="757">
        <f>SUMIFS(INDEX(Table91517[],,MATCH(C$287,Table91517[#Headers],0)),Table91517[EnergyRating (group)],$A304)</f>
        <v>10452699</v>
      </c>
      <c r="D304" s="757">
        <f>SUMIFS(INDEX(Table91517[],,MATCH(D$287,Table91517[#Headers],0)),Table91517[EnergyRating (group)],$A304)</f>
        <v>5499091</v>
      </c>
      <c r="E304" s="757">
        <f>SUMIFS(INDEX(Table91517[],,MATCH(E$287,Table91517[#Headers],0)),Table91517[EnergyRating (group)],$A304)</f>
        <v>2036690</v>
      </c>
      <c r="F304" s="757">
        <f>SUMIFS(INDEX(Table91517[],,MATCH(F$287,Table91517[#Headers],0)),Table91517[EnergyRating (group)],$A304)</f>
        <v>7052</v>
      </c>
      <c r="G304" s="757">
        <f>SUMIFS(INDEX(Table91517[],,MATCH(G$287,Table91517[#Headers],0)),Table91517[EnergyRating (group)],$A304)</f>
        <v>1571667</v>
      </c>
      <c r="N304" s="914" t="str">
        <f>RSD_Commodities!M137&amp;"_"&amp;SETUP!$B$67</f>
        <v>PF_Det-B2_X0</v>
      </c>
      <c r="O304" s="914" t="str">
        <f>RSD_Commodities!N137&amp;"_"&amp;SETUP!$B$67</f>
        <v>Residential Pumps &amp; Fans Detached-B2_X0</v>
      </c>
      <c r="P304" s="915" t="str">
        <f>RSD_Commodities!$C$27</f>
        <v>RSDELCD</v>
      </c>
      <c r="Q304" s="914" t="str">
        <f>RSD_Commodities!M137</f>
        <v>PF_Det-B2</v>
      </c>
      <c r="R304" s="915">
        <f t="shared" ref="R304:R310" si="167">F304/SUM($F$302:$F$310)</f>
        <v>2.6562105683431831E-2</v>
      </c>
      <c r="S304" s="914">
        <f>R304*DwellingStocks!I64/1000</f>
        <v>0.37132124103803316</v>
      </c>
      <c r="T304" s="915">
        <v>1</v>
      </c>
      <c r="U304" s="986">
        <f t="shared" si="166"/>
        <v>0.37036848453680798</v>
      </c>
      <c r="V304" s="915">
        <v>20</v>
      </c>
      <c r="W304" s="914">
        <v>1</v>
      </c>
      <c r="Y304" s="928">
        <f t="shared" ref="Y304:Y310" si="168">ABS((E304)*S304*1000*$B$2)</f>
        <v>3.1079435277113086E-4</v>
      </c>
      <c r="Z304" s="928">
        <f t="shared" ref="Z304:Z310" si="169">ABS((D304)*S304*1000*$B$2)</f>
        <v>8.391490252196215E-4</v>
      </c>
      <c r="AB304" s="914" t="s">
        <v>393</v>
      </c>
      <c r="AC304" s="914" t="str">
        <f t="shared" si="165"/>
        <v>PF_Det-B2_X0</v>
      </c>
      <c r="AD304" s="915" t="str">
        <f t="shared" si="165"/>
        <v>Residential Pumps &amp; Fans Detached-B2_X0</v>
      </c>
      <c r="AE304" s="914" t="s">
        <v>53</v>
      </c>
      <c r="AF304" s="916" t="s">
        <v>406</v>
      </c>
      <c r="AG304" s="914"/>
      <c r="AH304" s="914"/>
    </row>
    <row r="305" spans="1:34">
      <c r="A305" s="973" t="s">
        <v>114</v>
      </c>
      <c r="B305" s="758">
        <f>SUMIFS(INDEX(Table91517[],,MATCH(B$287,Table91517[#Headers],0)),Table91517[EnergyRating (group)],$A305)</f>
        <v>78990456</v>
      </c>
      <c r="C305" s="758">
        <f>SUMIFS(INDEX(Table91517[],,MATCH(C$287,Table91517[#Headers],0)),Table91517[EnergyRating (group)],$A305)</f>
        <v>29255727</v>
      </c>
      <c r="D305" s="759">
        <f>SUMIFS(INDEX(Table91517[],,MATCH(D$287,Table91517[#Headers],0)),Table91517[EnergyRating (group)],$A305)</f>
        <v>13662987</v>
      </c>
      <c r="E305" s="759">
        <f>SUMIFS(INDEX(Table91517[],,MATCH(E$287,Table91517[#Headers],0)),Table91517[EnergyRating (group)],$A305)</f>
        <v>5060354</v>
      </c>
      <c r="F305" s="758">
        <f>SUMIFS(INDEX(Table91517[],,MATCH(F$287,Table91517[#Headers],0)),Table91517[EnergyRating (group)],$A305)</f>
        <v>20170</v>
      </c>
      <c r="G305" s="758">
        <f>SUMIFS(INDEX(Table91517[],,MATCH(G$287,Table91517[#Headers],0)),Table91517[EnergyRating (group)],$A305)</f>
        <v>4035096</v>
      </c>
      <c r="N305" s="66" t="str">
        <f>RSD_Commodities!M138&amp;"_"&amp;SETUP!$B$67</f>
        <v>PF_Det-B3_X0</v>
      </c>
      <c r="O305" s="66" t="str">
        <f>RSD_Commodities!N138&amp;"_"&amp;SETUP!$B$67</f>
        <v>Residential Pumps &amp; Fans Detached-B3_X0</v>
      </c>
      <c r="P305" s="83" t="str">
        <f>RSD_Commodities!$C$27</f>
        <v>RSDELCD</v>
      </c>
      <c r="Q305" s="66" t="str">
        <f>RSD_Commodities!M138</f>
        <v>PF_Det-B3</v>
      </c>
      <c r="R305" s="83">
        <f t="shared" si="167"/>
        <v>7.5972443510326157E-2</v>
      </c>
      <c r="S305" s="66">
        <f>R305*DwellingStocks!I65/1000</f>
        <v>1.6493198474127047</v>
      </c>
      <c r="T305" s="83">
        <v>1</v>
      </c>
      <c r="U305" s="987">
        <f t="shared" si="166"/>
        <v>0.37036952461420042</v>
      </c>
      <c r="V305" s="83">
        <v>20</v>
      </c>
      <c r="W305" s="66">
        <v>1</v>
      </c>
      <c r="Y305" s="926">
        <f t="shared" si="168"/>
        <v>3.4299214878633993E-3</v>
      </c>
      <c r="Z305" s="926">
        <f t="shared" si="169"/>
        <v>9.260809164674701E-3</v>
      </c>
      <c r="AB305" s="66" t="s">
        <v>393</v>
      </c>
      <c r="AC305" s="66" t="str">
        <f t="shared" si="165"/>
        <v>PF_Det-B3_X0</v>
      </c>
      <c r="AD305" s="83" t="str">
        <f t="shared" si="165"/>
        <v>Residential Pumps &amp; Fans Detached-B3_X0</v>
      </c>
      <c r="AE305" s="66" t="s">
        <v>53</v>
      </c>
      <c r="AF305" s="88" t="s">
        <v>406</v>
      </c>
      <c r="AG305" s="66"/>
      <c r="AH305" s="66"/>
    </row>
    <row r="306" spans="1:34">
      <c r="A306" s="972" t="s">
        <v>116</v>
      </c>
      <c r="B306" s="757">
        <f>SUMIFS(INDEX(Table91517[],,MATCH(B$287,Table91517[#Headers],0)),Table91517[EnergyRating (group)],$A306)</f>
        <v>332616594</v>
      </c>
      <c r="C306" s="757">
        <f>SUMIFS(INDEX(Table91517[],,MATCH(C$287,Table91517[#Headers],0)),Table91517[EnergyRating (group)],$A306)</f>
        <v>123191324</v>
      </c>
      <c r="D306" s="760">
        <f>SUMIFS(INDEX(Table91517[],,MATCH(D$287,Table91517[#Headers],0)),Table91517[EnergyRating (group)],$A306)</f>
        <v>61366849</v>
      </c>
      <c r="E306" s="760">
        <f>SUMIFS(INDEX(Table91517[],,MATCH(E$287,Table91517[#Headers],0)),Table91517[EnergyRating (group)],$A306)</f>
        <v>22728445</v>
      </c>
      <c r="F306" s="757">
        <f>SUMIFS(INDEX(Table91517[],,MATCH(F$287,Table91517[#Headers],0)),Table91517[EnergyRating (group)],$A306)</f>
        <v>97809</v>
      </c>
      <c r="G306" s="757">
        <f>SUMIFS(INDEX(Table91517[],,MATCH(G$287,Table91517[#Headers],0)),Table91517[EnergyRating (group)],$A306)</f>
        <v>15963707</v>
      </c>
      <c r="N306" s="914" t="str">
        <f>RSD_Commodities!M139&amp;"_"&amp;SETUP!$B$67</f>
        <v>PF_Det-C_X0</v>
      </c>
      <c r="O306" s="914" t="str">
        <f>RSD_Commodities!N139&amp;"_"&amp;SETUP!$B$67</f>
        <v>Residential Pumps &amp; Fans Detached-C_X0</v>
      </c>
      <c r="P306" s="915" t="str">
        <f>RSD_Commodities!$C$27</f>
        <v>RSDELCD</v>
      </c>
      <c r="Q306" s="914" t="str">
        <f>RSD_Commodities!M139</f>
        <v>PF_Det-C</v>
      </c>
      <c r="R306" s="915">
        <f t="shared" si="167"/>
        <v>0.36840796863170505</v>
      </c>
      <c r="S306" s="914">
        <f>R306*DwellingStocks!I66/1000</f>
        <v>26.217523686798863</v>
      </c>
      <c r="T306" s="915">
        <v>1</v>
      </c>
      <c r="U306" s="986">
        <f t="shared" si="166"/>
        <v>0.37037008369127766</v>
      </c>
      <c r="V306" s="915">
        <v>20</v>
      </c>
      <c r="W306" s="914">
        <v>1</v>
      </c>
      <c r="Y306" s="928">
        <f t="shared" si="168"/>
        <v>0.2448836486924405</v>
      </c>
      <c r="Z306" s="928">
        <f t="shared" si="169"/>
        <v>0.66118636325001756</v>
      </c>
      <c r="AB306" s="914" t="s">
        <v>393</v>
      </c>
      <c r="AC306" s="914" t="str">
        <f t="shared" si="165"/>
        <v>PF_Det-C_X0</v>
      </c>
      <c r="AD306" s="915" t="str">
        <f t="shared" si="165"/>
        <v>Residential Pumps &amp; Fans Detached-C_X0</v>
      </c>
      <c r="AE306" s="914" t="s">
        <v>53</v>
      </c>
      <c r="AF306" s="916" t="s">
        <v>406</v>
      </c>
      <c r="AG306" s="914"/>
      <c r="AH306" s="914"/>
    </row>
    <row r="307" spans="1:34">
      <c r="A307" s="973" t="s">
        <v>118</v>
      </c>
      <c r="B307" s="758">
        <f>SUMIFS(INDEX(Table91517[],,MATCH(B$287,Table91517[#Headers],0)),Table91517[EnergyRating (group)],$A307)</f>
        <v>171476298</v>
      </c>
      <c r="C307" s="758">
        <f>SUMIFS(INDEX(Table91517[],,MATCH(C$287,Table91517[#Headers],0)),Table91517[EnergyRating (group)],$A307)</f>
        <v>63509730</v>
      </c>
      <c r="D307" s="758">
        <f>SUMIFS(INDEX(Table91517[],,MATCH(D$287,Table91517[#Headers],0)),Table91517[EnergyRating (group)],$A307)</f>
        <v>37577985</v>
      </c>
      <c r="E307" s="758">
        <f>SUMIFS(INDEX(Table91517[],,MATCH(E$287,Table91517[#Headers],0)),Table91517[EnergyRating (group)],$A307)</f>
        <v>13917754</v>
      </c>
      <c r="F307" s="758">
        <f>SUMIFS(INDEX(Table91517[],,MATCH(F$287,Table91517[#Headers],0)),Table91517[EnergyRating (group)],$A307)</f>
        <v>61656</v>
      </c>
      <c r="G307" s="758">
        <f>SUMIFS(INDEX(Table91517[],,MATCH(G$287,Table91517[#Headers],0)),Table91517[EnergyRating (group)],$A307)</f>
        <v>8178708</v>
      </c>
      <c r="N307" s="66" t="str">
        <f>RSD_Commodities!M140&amp;"_"&amp;SETUP!$B$67</f>
        <v>PF_Det-D_X0</v>
      </c>
      <c r="O307" s="66" t="str">
        <f>RSD_Commodities!N140&amp;"_"&amp;SETUP!$B$67</f>
        <v>Residential Pumps &amp; Fans Detached-D_X0</v>
      </c>
      <c r="P307" s="83" t="str">
        <f>RSD_Commodities!$C$27</f>
        <v>RSDELCD</v>
      </c>
      <c r="Q307" s="66" t="str">
        <f>RSD_Commodities!M140</f>
        <v>PF_Det-D</v>
      </c>
      <c r="R307" s="83">
        <f t="shared" si="167"/>
        <v>0.23223386103483734</v>
      </c>
      <c r="S307" s="66">
        <f>R307*DwellingStocks!I67/1000</f>
        <v>11.02853747805921</v>
      </c>
      <c r="T307" s="83">
        <v>1</v>
      </c>
      <c r="U307" s="987">
        <f t="shared" si="166"/>
        <v>0.37036988545287886</v>
      </c>
      <c r="V307" s="83">
        <v>20</v>
      </c>
      <c r="W307" s="66">
        <v>1</v>
      </c>
      <c r="Y307" s="926">
        <f t="shared" si="168"/>
        <v>6.3079097917565136E-2</v>
      </c>
      <c r="Z307" s="926">
        <f t="shared" si="169"/>
        <v>0.17031378736538913</v>
      </c>
      <c r="AB307" s="66" t="s">
        <v>393</v>
      </c>
      <c r="AC307" s="66" t="str">
        <f t="shared" si="165"/>
        <v>PF_Det-D_X0</v>
      </c>
      <c r="AD307" s="83" t="str">
        <f t="shared" si="165"/>
        <v>Residential Pumps &amp; Fans Detached-D_X0</v>
      </c>
      <c r="AE307" s="66" t="s">
        <v>53</v>
      </c>
      <c r="AF307" s="88" t="s">
        <v>406</v>
      </c>
      <c r="AG307" s="66"/>
      <c r="AH307" s="66"/>
    </row>
    <row r="308" spans="1:34">
      <c r="A308" s="972" t="s">
        <v>120</v>
      </c>
      <c r="B308" s="757">
        <f>SUMIFS(INDEX(Table91517[],,MATCH(B$287,Table91517[#Headers],0)),Table91517[EnergyRating (group)],$A308)</f>
        <v>71059779</v>
      </c>
      <c r="C308" s="757">
        <f>SUMIFS(INDEX(Table91517[],,MATCH(C$287,Table91517[#Headers],0)),Table91517[EnergyRating (group)],$A308)</f>
        <v>26318435</v>
      </c>
      <c r="D308" s="760">
        <f>SUMIFS(INDEX(Table91517[],,MATCH(D$287,Table91517[#Headers],0)),Table91517[EnergyRating (group)],$A308)</f>
        <v>15755966</v>
      </c>
      <c r="E308" s="760">
        <f>SUMIFS(INDEX(Table91517[],,MATCH(E$287,Table91517[#Headers],0)),Table91517[EnergyRating (group)],$A308)</f>
        <v>5835535</v>
      </c>
      <c r="F308" s="757">
        <f>SUMIFS(INDEX(Table91517[],,MATCH(F$287,Table91517[#Headers],0)),Table91517[EnergyRating (group)],$A308)</f>
        <v>27666</v>
      </c>
      <c r="G308" s="757">
        <f>SUMIFS(INDEX(Table91517[],,MATCH(G$287,Table91517[#Headers],0)),Table91517[EnergyRating (group)],$A308)</f>
        <v>3361292</v>
      </c>
      <c r="N308" s="914" t="str">
        <f>RSD_Commodities!M141&amp;"_"&amp;SETUP!$B$67</f>
        <v>PF_Det-E_X0</v>
      </c>
      <c r="O308" s="914" t="str">
        <f>RSD_Commodities!N141&amp;"_"&amp;SETUP!$B$67</f>
        <v>Residential Pumps &amp; Fans Detached-E_X0</v>
      </c>
      <c r="P308" s="915" t="str">
        <f>RSD_Commodities!$C$27</f>
        <v>RSDELCD</v>
      </c>
      <c r="Q308" s="914" t="str">
        <f>RSD_Commodities!M141</f>
        <v>PF_Det-E</v>
      </c>
      <c r="R308" s="915">
        <f t="shared" si="167"/>
        <v>0.10420692226855148</v>
      </c>
      <c r="S308" s="914">
        <f>R308*DwellingStocks!I68/1000</f>
        <v>2.4790502883777674</v>
      </c>
      <c r="T308" s="915">
        <v>1</v>
      </c>
      <c r="U308" s="986">
        <f t="shared" si="166"/>
        <v>0.3703698649768602</v>
      </c>
      <c r="V308" s="915">
        <v>20</v>
      </c>
      <c r="W308" s="914">
        <v>1</v>
      </c>
      <c r="Y308" s="928">
        <f t="shared" si="168"/>
        <v>5.945171804625434E-3</v>
      </c>
      <c r="Z308" s="928">
        <f t="shared" si="169"/>
        <v>1.6051985776426154E-2</v>
      </c>
      <c r="AB308" s="914" t="s">
        <v>393</v>
      </c>
      <c r="AC308" s="914" t="str">
        <f t="shared" si="165"/>
        <v>PF_Det-E_X0</v>
      </c>
      <c r="AD308" s="915" t="str">
        <f t="shared" si="165"/>
        <v>Residential Pumps &amp; Fans Detached-E_X0</v>
      </c>
      <c r="AE308" s="914" t="s">
        <v>53</v>
      </c>
      <c r="AF308" s="916" t="s">
        <v>406</v>
      </c>
      <c r="AG308" s="914"/>
      <c r="AH308" s="914"/>
    </row>
    <row r="309" spans="1:34">
      <c r="A309" s="973" t="s">
        <v>122</v>
      </c>
      <c r="B309" s="758">
        <f>SUMIFS(INDEX(Table91517[],,MATCH(B$287,Table91517[#Headers],0)),Table91517[EnergyRating (group)],$A309)</f>
        <v>33714689</v>
      </c>
      <c r="C309" s="758">
        <f>SUMIFS(INDEX(Table91517[],,MATCH(C$287,Table91517[#Headers],0)),Table91517[EnergyRating (group)],$A309)</f>
        <v>12486922</v>
      </c>
      <c r="D309" s="758">
        <f>SUMIFS(INDEX(Table91517[],,MATCH(D$287,Table91517[#Headers],0)),Table91517[EnergyRating (group)],$A309)</f>
        <v>7478211</v>
      </c>
      <c r="E309" s="758">
        <f>SUMIFS(INDEX(Table91517[],,MATCH(E$287,Table91517[#Headers],0)),Table91517[EnergyRating (group)],$A309)</f>
        <v>2769696</v>
      </c>
      <c r="F309" s="758">
        <f>SUMIFS(INDEX(Table91517[],,MATCH(F$287,Table91517[#Headers],0)),Table91517[EnergyRating (group)],$A309)</f>
        <v>13787</v>
      </c>
      <c r="G309" s="758">
        <f>SUMIFS(INDEX(Table91517[],,MATCH(G$287,Table91517[#Headers],0)),Table91517[EnergyRating (group)],$A309)</f>
        <v>1578092</v>
      </c>
      <c r="N309" s="66" t="str">
        <f>RSD_Commodities!M142&amp;"_"&amp;SETUP!$B$67</f>
        <v>PF_Det-F_X0</v>
      </c>
      <c r="O309" s="66" t="str">
        <f>RSD_Commodities!N142&amp;"_"&amp;SETUP!$B$67</f>
        <v>Residential Pumps &amp; Fans Detached-F_X0</v>
      </c>
      <c r="P309" s="83" t="str">
        <f>RSD_Commodities!$C$27</f>
        <v>RSDELCD</v>
      </c>
      <c r="Q309" s="66" t="str">
        <f>RSD_Commodities!M142</f>
        <v>PF_Det-F</v>
      </c>
      <c r="R309" s="83">
        <f t="shared" si="167"/>
        <v>5.1930197257157494E-2</v>
      </c>
      <c r="S309" s="66">
        <f>R309*DwellingStocks!I69/1000</f>
        <v>0.41598247445679981</v>
      </c>
      <c r="T309" s="83">
        <v>1</v>
      </c>
      <c r="U309" s="987">
        <f t="shared" si="166"/>
        <v>0.37036879542446716</v>
      </c>
      <c r="V309" s="83">
        <v>20</v>
      </c>
      <c r="W309" s="66">
        <v>1</v>
      </c>
      <c r="Y309" s="926">
        <f t="shared" si="168"/>
        <v>4.734842447560688E-4</v>
      </c>
      <c r="Z309" s="926">
        <f t="shared" si="169"/>
        <v>1.2784128971055041E-3</v>
      </c>
      <c r="AB309" s="66" t="s">
        <v>393</v>
      </c>
      <c r="AC309" s="66" t="str">
        <f t="shared" si="165"/>
        <v>PF_Det-F_X0</v>
      </c>
      <c r="AD309" s="83" t="str">
        <f t="shared" si="165"/>
        <v>Residential Pumps &amp; Fans Detached-F_X0</v>
      </c>
      <c r="AE309" s="66" t="s">
        <v>53</v>
      </c>
      <c r="AF309" s="88" t="s">
        <v>406</v>
      </c>
      <c r="AG309" s="66"/>
      <c r="AH309" s="66"/>
    </row>
    <row r="310" spans="1:34">
      <c r="A310" s="972" t="s">
        <v>124</v>
      </c>
      <c r="B310" s="757">
        <f>SUMIFS(INDEX(Table91517[],,MATCH(B$287,Table91517[#Headers],0)),Table91517[EnergyRating (group)],$A310)</f>
        <v>52755414</v>
      </c>
      <c r="C310" s="757">
        <f>SUMIFS(INDEX(Table91517[],,MATCH(C$287,Table91517[#Headers],0)),Table91517[EnergyRating (group)],$A310)</f>
        <v>19539042</v>
      </c>
      <c r="D310" s="760">
        <f>SUMIFS(INDEX(Table91517[],,MATCH(D$287,Table91517[#Headers],0)),Table91517[EnergyRating (group)],$A310)</f>
        <v>9716242</v>
      </c>
      <c r="E310" s="760">
        <f>SUMIFS(INDEX(Table91517[],,MATCH(E$287,Table91517[#Headers],0)),Table91517[EnergyRating (group)],$A310)</f>
        <v>3598597</v>
      </c>
      <c r="F310" s="757">
        <f>SUMIFS(INDEX(Table91517[],,MATCH(F$287,Table91517[#Headers],0)),Table91517[EnergyRating (group)],$A310)</f>
        <v>24436</v>
      </c>
      <c r="G310" s="757">
        <f>SUMIFS(INDEX(Table91517[],,MATCH(G$287,Table91517[#Headers],0)),Table91517[EnergyRating (group)],$A310)</f>
        <v>2381793</v>
      </c>
      <c r="N310" s="914" t="str">
        <f>RSD_Commodities!M143&amp;"_"&amp;SETUP!$B$67</f>
        <v>PF_Det-G_X0</v>
      </c>
      <c r="O310" s="914" t="str">
        <f>RSD_Commodities!N143&amp;"_"&amp;SETUP!$B$67</f>
        <v>Residential Pumps &amp; Fans Detached-G_X0</v>
      </c>
      <c r="P310" s="930" t="str">
        <f>RSD_Commodities!$C$27</f>
        <v>RSDELCD</v>
      </c>
      <c r="Q310" s="914" t="str">
        <f>RSD_Commodities!M143</f>
        <v>PF_Det-G</v>
      </c>
      <c r="R310" s="930">
        <f t="shared" si="167"/>
        <v>9.2040784810031223E-2</v>
      </c>
      <c r="S310" s="914">
        <f>R310*DwellingStocks!I70/1000</f>
        <v>0.79686068472744709</v>
      </c>
      <c r="T310" s="915">
        <v>1</v>
      </c>
      <c r="U310" s="986">
        <f t="shared" si="166"/>
        <v>0.37036922299794511</v>
      </c>
      <c r="V310" s="930">
        <v>20</v>
      </c>
      <c r="W310" s="914">
        <v>1</v>
      </c>
      <c r="Y310" s="928">
        <f t="shared" si="168"/>
        <v>1.1784577271827961E-3</v>
      </c>
      <c r="Z310" s="928">
        <f t="shared" si="169"/>
        <v>3.1818457204510608E-3</v>
      </c>
      <c r="AB310" s="914" t="s">
        <v>393</v>
      </c>
      <c r="AC310" s="914" t="str">
        <f t="shared" si="165"/>
        <v>PF_Det-G_X0</v>
      </c>
      <c r="AD310" s="915" t="str">
        <f t="shared" si="165"/>
        <v>Residential Pumps &amp; Fans Detached-G_X0</v>
      </c>
      <c r="AE310" s="914" t="s">
        <v>53</v>
      </c>
      <c r="AF310" s="916" t="s">
        <v>406</v>
      </c>
      <c r="AG310" s="914"/>
      <c r="AH310" s="914"/>
    </row>
  </sheetData>
  <mergeCells count="16">
    <mergeCell ref="B213:K213"/>
    <mergeCell ref="B230:K230"/>
    <mergeCell ref="B247:K247"/>
    <mergeCell ref="B264:K264"/>
    <mergeCell ref="B106:I106"/>
    <mergeCell ref="B122:I122"/>
    <mergeCell ref="B155:K155"/>
    <mergeCell ref="B168:K168"/>
    <mergeCell ref="B180:K180"/>
    <mergeCell ref="B195:K195"/>
    <mergeCell ref="B90:I90"/>
    <mergeCell ref="B17:I17"/>
    <mergeCell ref="B30:I30"/>
    <mergeCell ref="B42:I42"/>
    <mergeCell ref="B56:I56"/>
    <mergeCell ref="B73:I73"/>
  </mergeCells>
  <phoneticPr fontId="23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>
    <tabColor theme="5" tint="0.39997558519241921"/>
  </sheetPr>
  <dimension ref="B2:V38"/>
  <sheetViews>
    <sheetView workbookViewId="0">
      <selection activeCell="D6" sqref="D6"/>
    </sheetView>
    <sheetView workbookViewId="1"/>
  </sheetViews>
  <sheetFormatPr defaultRowHeight="12.75"/>
  <cols>
    <col min="1" max="1" width="9.140625" style="78"/>
    <col min="2" max="2" width="20.28515625" style="78" bestFit="1" customWidth="1"/>
    <col min="3" max="3" width="10" style="78" bestFit="1" customWidth="1"/>
    <col min="4" max="4" width="11.28515625" style="78" bestFit="1" customWidth="1"/>
    <col min="5" max="7" width="9.140625" style="78"/>
    <col min="8" max="8" width="13.28515625" style="78" bestFit="1" customWidth="1"/>
    <col min="9" max="9" width="22.42578125" style="78" bestFit="1" customWidth="1"/>
    <col min="10" max="16384" width="9.140625" style="78"/>
  </cols>
  <sheetData>
    <row r="2" spans="2:14" ht="21">
      <c r="B2" s="138" t="s">
        <v>592</v>
      </c>
      <c r="C2" s="138"/>
      <c r="D2" s="142" t="s">
        <v>372</v>
      </c>
      <c r="E2" s="85"/>
      <c r="F2" s="90"/>
      <c r="G2" s="68" t="s">
        <v>373</v>
      </c>
      <c r="H2" s="68"/>
      <c r="I2" s="839"/>
      <c r="J2" s="839"/>
      <c r="K2" s="839"/>
      <c r="L2" s="839"/>
      <c r="M2" s="839"/>
      <c r="N2" s="839"/>
    </row>
    <row r="3" spans="2:14" ht="15">
      <c r="B3" s="73" t="s">
        <v>374</v>
      </c>
      <c r="C3" s="73" t="s">
        <v>376</v>
      </c>
      <c r="D3" s="73" t="s">
        <v>377</v>
      </c>
      <c r="E3" s="86" t="s">
        <v>378</v>
      </c>
      <c r="F3" s="91"/>
      <c r="G3" s="73" t="s">
        <v>385</v>
      </c>
      <c r="H3" s="73" t="s">
        <v>374</v>
      </c>
      <c r="I3" s="73" t="s">
        <v>375</v>
      </c>
      <c r="J3" s="73" t="s">
        <v>386</v>
      </c>
      <c r="K3" s="73" t="s">
        <v>387</v>
      </c>
      <c r="L3" s="73" t="s">
        <v>388</v>
      </c>
      <c r="M3" s="73" t="s">
        <v>389</v>
      </c>
      <c r="N3" s="73" t="s">
        <v>401</v>
      </c>
    </row>
    <row r="4" spans="2:14" ht="26.25" thickBot="1">
      <c r="B4" s="74" t="s">
        <v>402</v>
      </c>
      <c r="C4" s="74" t="s">
        <v>404</v>
      </c>
      <c r="D4" s="74" t="s">
        <v>405</v>
      </c>
      <c r="E4" s="87"/>
      <c r="F4" s="92"/>
      <c r="G4" s="75" t="s">
        <v>370</v>
      </c>
      <c r="H4" s="75"/>
      <c r="I4" s="74"/>
      <c r="J4" s="75"/>
      <c r="K4" s="75"/>
      <c r="L4" s="75"/>
      <c r="M4" s="75"/>
      <c r="N4" s="75"/>
    </row>
    <row r="5" spans="2:14">
      <c r="B5" s="212" t="str">
        <f>H5</f>
        <v>Adj-SH_Apt-A</v>
      </c>
      <c r="C5" s="212" t="str">
        <f>RSD_Commodities!M9</f>
        <v>SH_Apt-A</v>
      </c>
      <c r="D5" s="212" t="e">
        <f>RSD_Commodities!#REF!</f>
        <v>#REF!</v>
      </c>
      <c r="E5" s="245">
        <v>1.2</v>
      </c>
      <c r="F5" s="212"/>
      <c r="G5" s="212" t="s">
        <v>393</v>
      </c>
      <c r="H5" s="212" t="str">
        <f>"Adj-"&amp;RSD_Commodities!M9</f>
        <v>Adj-SH_Apt-A</v>
      </c>
      <c r="I5" s="212" t="str">
        <f>"Adjustment for "&amp;RSD_Commodities!M9</f>
        <v>Adjustment for SH_Apt-A</v>
      </c>
      <c r="J5" s="212" t="s">
        <v>53</v>
      </c>
      <c r="K5" s="212" t="s">
        <v>394</v>
      </c>
      <c r="L5" s="212"/>
      <c r="M5" s="212"/>
      <c r="N5" s="212"/>
    </row>
    <row r="6" spans="2:14">
      <c r="B6" s="212" t="str">
        <f t="shared" ref="B6:B16" si="0">H6</f>
        <v>Adj-SH_Apt-B3</v>
      </c>
      <c r="C6" s="212" t="str">
        <f>RSD_Commodities!M12</f>
        <v>SH_Apt-B3</v>
      </c>
      <c r="D6" s="212" t="e">
        <f>RSD_Commodities!#REF!</f>
        <v>#REF!</v>
      </c>
      <c r="E6" s="245">
        <f>$E$5</f>
        <v>1.2</v>
      </c>
      <c r="F6" s="212"/>
      <c r="G6" s="212"/>
      <c r="H6" s="212" t="str">
        <f>"Adj-"&amp;RSD_Commodities!M12</f>
        <v>Adj-SH_Apt-B3</v>
      </c>
      <c r="I6" s="212" t="str">
        <f>"Adjustment for "&amp;RSD_Commodities!M12</f>
        <v>Adjustment for SH_Apt-B3</v>
      </c>
      <c r="J6" s="212" t="s">
        <v>53</v>
      </c>
      <c r="K6" s="212" t="s">
        <v>394</v>
      </c>
      <c r="L6" s="212"/>
      <c r="M6" s="212"/>
      <c r="N6" s="212"/>
    </row>
    <row r="7" spans="2:14">
      <c r="B7" s="212" t="str">
        <f t="shared" si="0"/>
        <v>Adj-SH_Apt-C</v>
      </c>
      <c r="C7" s="212" t="str">
        <f>RSD_Commodities!M13</f>
        <v>SH_Apt-C</v>
      </c>
      <c r="D7" s="212">
        <f>RSD_Commodities!M144</f>
        <v>0</v>
      </c>
      <c r="E7" s="245">
        <f t="shared" ref="E7:E13" si="1">$E$5</f>
        <v>1.2</v>
      </c>
      <c r="F7" s="212"/>
      <c r="G7" s="212"/>
      <c r="H7" s="212" t="str">
        <f>"Adj-"&amp;RSD_Commodities!M13</f>
        <v>Adj-SH_Apt-C</v>
      </c>
      <c r="I7" s="212" t="str">
        <f>"Adjustment for "&amp;RSD_Commodities!M13</f>
        <v>Adjustment for SH_Apt-C</v>
      </c>
      <c r="J7" s="212" t="s">
        <v>53</v>
      </c>
      <c r="K7" s="212" t="s">
        <v>394</v>
      </c>
      <c r="L7" s="212"/>
      <c r="M7" s="212"/>
      <c r="N7" s="212"/>
    </row>
    <row r="8" spans="2:14">
      <c r="B8" s="212" t="str">
        <f t="shared" si="0"/>
        <v>Adj-SH_Apt-D</v>
      </c>
      <c r="C8" s="212" t="str">
        <f>RSD_Commodities!M14</f>
        <v>SH_Apt-D</v>
      </c>
      <c r="D8" s="212">
        <f>RSD_Commodities!M145</f>
        <v>0</v>
      </c>
      <c r="E8" s="245">
        <f t="shared" si="1"/>
        <v>1.2</v>
      </c>
      <c r="F8" s="212"/>
      <c r="G8" s="212"/>
      <c r="H8" s="212" t="str">
        <f>"Adj-"&amp;RSD_Commodities!M14</f>
        <v>Adj-SH_Apt-D</v>
      </c>
      <c r="I8" s="212" t="str">
        <f>"Adjustment for "&amp;RSD_Commodities!M14</f>
        <v>Adjustment for SH_Apt-D</v>
      </c>
      <c r="J8" s="212" t="s">
        <v>53</v>
      </c>
      <c r="K8" s="212" t="s">
        <v>394</v>
      </c>
      <c r="L8" s="212"/>
      <c r="M8" s="212"/>
      <c r="N8" s="212"/>
    </row>
    <row r="9" spans="2:14">
      <c r="B9" s="212" t="str">
        <f t="shared" si="0"/>
        <v>Adj-SH_Apt-E</v>
      </c>
      <c r="C9" s="212" t="str">
        <f>RSD_Commodities!M15</f>
        <v>SH_Apt-E</v>
      </c>
      <c r="D9" s="212">
        <f>RSD_Commodities!M146</f>
        <v>0</v>
      </c>
      <c r="E9" s="245">
        <f t="shared" si="1"/>
        <v>1.2</v>
      </c>
      <c r="F9" s="212"/>
      <c r="G9" s="212"/>
      <c r="H9" s="212" t="str">
        <f>"Adj-"&amp;RSD_Commodities!M15</f>
        <v>Adj-SH_Apt-E</v>
      </c>
      <c r="I9" s="212" t="str">
        <f>"Adjustment for "&amp;RSD_Commodities!M15</f>
        <v>Adjustment for SH_Apt-E</v>
      </c>
      <c r="J9" s="212" t="s">
        <v>53</v>
      </c>
      <c r="K9" s="212" t="s">
        <v>394</v>
      </c>
      <c r="L9" s="212"/>
      <c r="M9" s="212"/>
      <c r="N9" s="212"/>
    </row>
    <row r="10" spans="2:14">
      <c r="B10" s="212" t="str">
        <f t="shared" si="0"/>
        <v>Adj-SH_Att-A</v>
      </c>
      <c r="C10" s="212" t="str">
        <f>RSD_Commodities!M18</f>
        <v>SH_Att-A</v>
      </c>
      <c r="D10" s="212">
        <f>RSD_Commodities!M149</f>
        <v>0</v>
      </c>
      <c r="E10" s="245">
        <f>$E$9</f>
        <v>1.2</v>
      </c>
      <c r="F10" s="212"/>
      <c r="G10" s="212"/>
      <c r="H10" s="212" t="str">
        <f>"Adj-"&amp;RSD_Commodities!M18</f>
        <v>Adj-SH_Att-A</v>
      </c>
      <c r="I10" s="212" t="str">
        <f>"Adjustment for "&amp;RSD_Commodities!M18</f>
        <v>Adjustment for SH_Att-A</v>
      </c>
      <c r="J10" s="212" t="s">
        <v>53</v>
      </c>
      <c r="K10" s="212" t="s">
        <v>394</v>
      </c>
      <c r="L10" s="212"/>
      <c r="M10" s="212"/>
      <c r="N10" s="212"/>
    </row>
    <row r="11" spans="2:14">
      <c r="B11" s="212" t="str">
        <f t="shared" si="0"/>
        <v>Adj-SH_Det-A</v>
      </c>
      <c r="C11" s="212" t="str">
        <f>RSD_Commodities!M27</f>
        <v>SH_Det-A</v>
      </c>
      <c r="D11" s="212">
        <f>RSD_Commodities!M150</f>
        <v>0</v>
      </c>
      <c r="E11" s="245">
        <f>$E$9</f>
        <v>1.2</v>
      </c>
      <c r="F11" s="212"/>
      <c r="G11" s="212"/>
      <c r="H11" s="212" t="str">
        <f>"Adj-"&amp;RSD_Commodities!M27</f>
        <v>Adj-SH_Det-A</v>
      </c>
      <c r="I11" s="212" t="str">
        <f>"Adjustment for "&amp;RSD_Commodities!M27</f>
        <v>Adjustment for SH_Det-A</v>
      </c>
      <c r="J11" s="212" t="s">
        <v>53</v>
      </c>
      <c r="K11" s="212" t="s">
        <v>394</v>
      </c>
      <c r="L11" s="212"/>
      <c r="M11" s="212"/>
      <c r="N11" s="212"/>
    </row>
    <row r="12" spans="2:14">
      <c r="B12" s="212" t="str">
        <f t="shared" si="0"/>
        <v>Adj-SH_Det-B1</v>
      </c>
      <c r="C12" s="212" t="str">
        <f>RSD_Commodities!M28</f>
        <v>SH_Det-B1</v>
      </c>
      <c r="D12" s="212">
        <f>RSD_Commodities!M151</f>
        <v>0</v>
      </c>
      <c r="E12" s="245">
        <f>$E$9</f>
        <v>1.2</v>
      </c>
      <c r="F12" s="212"/>
      <c r="G12" s="212"/>
      <c r="H12" s="212" t="str">
        <f>"Adj-"&amp;RSD_Commodities!M28</f>
        <v>Adj-SH_Det-B1</v>
      </c>
      <c r="I12" s="212" t="str">
        <f>"Adjustment for "&amp;RSD_Commodities!M28</f>
        <v>Adjustment for SH_Det-B1</v>
      </c>
      <c r="J12" s="212" t="s">
        <v>53</v>
      </c>
      <c r="K12" s="212" t="s">
        <v>394</v>
      </c>
      <c r="L12" s="212"/>
      <c r="M12" s="212"/>
      <c r="N12" s="212"/>
    </row>
    <row r="13" spans="2:14">
      <c r="B13" s="212" t="str">
        <f t="shared" si="0"/>
        <v>Adj-SH_Det-B2</v>
      </c>
      <c r="C13" s="212" t="str">
        <f>RSD_Commodities!M29</f>
        <v>SH_Det-B2</v>
      </c>
      <c r="D13" s="212">
        <f>RSD_Commodities!M152</f>
        <v>0</v>
      </c>
      <c r="E13" s="245">
        <f t="shared" si="1"/>
        <v>1.2</v>
      </c>
      <c r="F13" s="212"/>
      <c r="G13" s="212"/>
      <c r="H13" s="212" t="str">
        <f>"Adj-"&amp;RSD_Commodities!M29</f>
        <v>Adj-SH_Det-B2</v>
      </c>
      <c r="I13" s="212" t="str">
        <f>"Adjustment for "&amp;RSD_Commodities!M29</f>
        <v>Adjustment for SH_Det-B2</v>
      </c>
      <c r="J13" s="212" t="s">
        <v>53</v>
      </c>
      <c r="K13" s="212" t="s">
        <v>394</v>
      </c>
      <c r="L13" s="212"/>
      <c r="M13" s="212"/>
      <c r="N13" s="212"/>
    </row>
    <row r="14" spans="2:14">
      <c r="B14" s="212" t="str">
        <f t="shared" si="0"/>
        <v>Adj-SH_Det-D</v>
      </c>
      <c r="C14" s="212" t="str">
        <f>RSD_Commodities!M32</f>
        <v>SH_Det-D</v>
      </c>
      <c r="D14" s="212">
        <f>RSD_Commodities!M155</f>
        <v>0</v>
      </c>
      <c r="E14" s="245">
        <f>$E$13</f>
        <v>1.2</v>
      </c>
      <c r="F14" s="212"/>
      <c r="G14" s="212"/>
      <c r="H14" s="212" t="str">
        <f>"Adj-"&amp;RSD_Commodities!M32</f>
        <v>Adj-SH_Det-D</v>
      </c>
      <c r="I14" s="212" t="str">
        <f>"Adjustment for "&amp;RSD_Commodities!M32</f>
        <v>Adjustment for SH_Det-D</v>
      </c>
      <c r="J14" s="212" t="s">
        <v>53</v>
      </c>
      <c r="K14" s="212" t="s">
        <v>394</v>
      </c>
      <c r="L14" s="212"/>
      <c r="M14" s="212"/>
      <c r="N14" s="212"/>
    </row>
    <row r="15" spans="2:14">
      <c r="B15" s="212" t="str">
        <f t="shared" si="0"/>
        <v>Adj-SH_Det-F</v>
      </c>
      <c r="C15" s="212" t="str">
        <f>RSD_Commodities!M34</f>
        <v>SH_Det-F</v>
      </c>
      <c r="D15" s="212">
        <f>RSD_Commodities!M156</f>
        <v>0</v>
      </c>
      <c r="E15" s="245">
        <f>$E$13</f>
        <v>1.2</v>
      </c>
      <c r="F15" s="212"/>
      <c r="G15" s="212"/>
      <c r="H15" s="212" t="str">
        <f>"Adj-"&amp;RSD_Commodities!M34</f>
        <v>Adj-SH_Det-F</v>
      </c>
      <c r="I15" s="212" t="str">
        <f>"Adjustment for "&amp;RSD_Commodities!M34</f>
        <v>Adjustment for SH_Det-F</v>
      </c>
      <c r="J15" s="212" t="s">
        <v>53</v>
      </c>
      <c r="K15" s="212" t="s">
        <v>394</v>
      </c>
      <c r="L15" s="212"/>
      <c r="M15" s="212"/>
      <c r="N15" s="212"/>
    </row>
    <row r="16" spans="2:14">
      <c r="B16" s="212" t="e">
        <f t="shared" si="0"/>
        <v>#REF!</v>
      </c>
      <c r="C16" s="212" t="e">
        <f>RSD_Commodities!#REF!</f>
        <v>#REF!</v>
      </c>
      <c r="D16" s="212">
        <f>RSD_Commodities!M157</f>
        <v>0</v>
      </c>
      <c r="E16" s="245">
        <f>$E$13</f>
        <v>1.2</v>
      </c>
      <c r="F16" s="212"/>
      <c r="G16" s="212"/>
      <c r="H16" s="212" t="e">
        <f>"Adj-"&amp;RSD_Commodities!#REF!</f>
        <v>#REF!</v>
      </c>
      <c r="I16" s="212" t="e">
        <f>"Adjustment for "&amp;RSD_Commodities!#REF!</f>
        <v>#REF!</v>
      </c>
      <c r="J16" s="212" t="s">
        <v>53</v>
      </c>
      <c r="K16" s="212" t="s">
        <v>394</v>
      </c>
      <c r="L16" s="212"/>
      <c r="M16" s="212"/>
      <c r="N16" s="212"/>
    </row>
    <row r="26" spans="2:22"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  <c r="R26" s="145"/>
      <c r="S26" s="145"/>
      <c r="T26" s="145"/>
      <c r="U26" s="145"/>
      <c r="V26" s="145"/>
    </row>
    <row r="27" spans="2:22"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  <c r="R27" s="145"/>
      <c r="S27" s="145"/>
      <c r="T27" s="145"/>
      <c r="U27" s="145"/>
      <c r="V27" s="145"/>
    </row>
    <row r="28" spans="2:22"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</row>
    <row r="29" spans="2:22"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</row>
    <row r="30" spans="2:22">
      <c r="B30" s="145"/>
      <c r="C30" s="145"/>
      <c r="D30" s="145"/>
      <c r="E30" s="145"/>
      <c r="F30" s="246"/>
      <c r="G30" s="246"/>
      <c r="H30" s="246"/>
      <c r="I30" s="246"/>
      <c r="J30" s="246"/>
      <c r="K30" s="246"/>
      <c r="L30" s="246"/>
      <c r="M30" s="246"/>
      <c r="N30" s="246"/>
      <c r="O30" s="246"/>
      <c r="P30" s="246"/>
      <c r="Q30" s="246"/>
      <c r="R30" s="246"/>
      <c r="S30" s="246"/>
      <c r="T30" s="246"/>
      <c r="U30" s="246"/>
      <c r="V30" s="145"/>
    </row>
    <row r="31" spans="2:22">
      <c r="B31" s="247"/>
      <c r="C31" s="247"/>
      <c r="D31" s="248"/>
      <c r="E31" s="248"/>
      <c r="F31" s="249"/>
      <c r="G31" s="249"/>
      <c r="H31" s="249"/>
      <c r="I31" s="249"/>
      <c r="J31" s="249"/>
      <c r="K31" s="249"/>
      <c r="L31" s="249"/>
      <c r="M31" s="249"/>
      <c r="N31" s="249"/>
      <c r="O31" s="249"/>
      <c r="P31" s="249"/>
      <c r="Q31" s="249"/>
      <c r="R31" s="249"/>
      <c r="S31" s="249"/>
      <c r="T31" s="249"/>
      <c r="U31" s="249"/>
      <c r="V31" s="145"/>
    </row>
    <row r="32" spans="2:22">
      <c r="B32" s="247"/>
      <c r="C32" s="247"/>
      <c r="D32" s="248"/>
      <c r="E32" s="248"/>
      <c r="F32" s="249"/>
      <c r="G32" s="249"/>
      <c r="H32" s="249"/>
      <c r="I32" s="249"/>
      <c r="J32" s="249"/>
      <c r="K32" s="249"/>
      <c r="L32" s="249"/>
      <c r="M32" s="249"/>
      <c r="N32" s="249"/>
      <c r="O32" s="249"/>
      <c r="P32" s="249"/>
      <c r="Q32" s="249"/>
      <c r="R32" s="249"/>
      <c r="S32" s="249"/>
      <c r="T32" s="249"/>
      <c r="U32" s="249"/>
      <c r="V32" s="145"/>
    </row>
    <row r="33" spans="2:22">
      <c r="B33" s="247"/>
      <c r="C33" s="247"/>
      <c r="D33" s="248"/>
      <c r="E33" s="248"/>
      <c r="F33" s="249"/>
      <c r="G33" s="249"/>
      <c r="H33" s="249"/>
      <c r="I33" s="249"/>
      <c r="J33" s="249"/>
      <c r="K33" s="249"/>
      <c r="L33" s="249"/>
      <c r="M33" s="249"/>
      <c r="N33" s="249"/>
      <c r="O33" s="249"/>
      <c r="P33" s="249"/>
      <c r="Q33" s="249"/>
      <c r="R33" s="249"/>
      <c r="S33" s="249"/>
      <c r="T33" s="249"/>
      <c r="U33" s="249"/>
      <c r="V33" s="145"/>
    </row>
    <row r="34" spans="2:22"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145"/>
      <c r="R34" s="145"/>
      <c r="S34" s="145"/>
      <c r="T34" s="145"/>
      <c r="U34" s="145"/>
      <c r="V34" s="145"/>
    </row>
    <row r="35" spans="2:22">
      <c r="B35" s="145"/>
      <c r="C35" s="145"/>
      <c r="D35" s="145"/>
      <c r="E35" s="145"/>
      <c r="F35" s="145"/>
      <c r="G35" s="145"/>
      <c r="H35" s="145"/>
      <c r="I35" s="145"/>
      <c r="J35" s="145"/>
      <c r="K35" s="145"/>
      <c r="L35" s="145"/>
      <c r="M35" s="145"/>
      <c r="N35" s="145"/>
      <c r="O35" s="145"/>
      <c r="P35" s="145"/>
      <c r="Q35" s="145"/>
      <c r="R35" s="145"/>
      <c r="S35" s="145"/>
      <c r="T35" s="145"/>
      <c r="U35" s="145"/>
      <c r="V35" s="145"/>
    </row>
    <row r="36" spans="2:22"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  <c r="R36" s="145"/>
      <c r="S36" s="145"/>
      <c r="T36" s="145"/>
      <c r="U36" s="145"/>
      <c r="V36" s="145"/>
    </row>
    <row r="37" spans="2:22">
      <c r="B37" s="145"/>
      <c r="C37" s="145"/>
      <c r="D37" s="145"/>
      <c r="E37" s="145"/>
      <c r="F37" s="145"/>
      <c r="G37" s="145"/>
      <c r="H37" s="145"/>
      <c r="I37" s="145"/>
      <c r="J37" s="145"/>
      <c r="K37" s="145"/>
      <c r="L37" s="145"/>
      <c r="M37" s="145"/>
      <c r="N37" s="145"/>
      <c r="O37" s="145"/>
      <c r="P37" s="145"/>
      <c r="Q37" s="145"/>
      <c r="R37" s="145"/>
      <c r="S37" s="145"/>
      <c r="T37" s="145"/>
      <c r="U37" s="145"/>
      <c r="V37" s="145"/>
    </row>
    <row r="38" spans="2:22"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  <c r="R38" s="145"/>
      <c r="S38" s="145"/>
      <c r="T38" s="145"/>
      <c r="U38" s="145"/>
      <c r="V38" s="145"/>
    </row>
  </sheetData>
  <pageMargins left="0.7" right="0.7" top="0.75" bottom="0.75" header="0.3" footer="0.3"/>
  <pageSetup paperSize="9" orientation="portrait" horizontalDpi="0" verticalDpi="0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5"/>
  <dimension ref="A1:AC135"/>
  <sheetViews>
    <sheetView workbookViewId="0"/>
    <sheetView topLeftCell="A4" workbookViewId="1"/>
  </sheetViews>
  <sheetFormatPr defaultRowHeight="12.75"/>
  <cols>
    <col min="1" max="1" width="16.5703125" style="78" customWidth="1"/>
    <col min="2" max="2" width="17.7109375" style="78" bestFit="1" customWidth="1"/>
    <col min="3" max="3" width="43.140625" style="78" bestFit="1" customWidth="1"/>
    <col min="4" max="22" width="9.140625" style="78"/>
    <col min="23" max="23" width="18.5703125" style="78" bestFit="1" customWidth="1"/>
    <col min="24" max="24" width="31.42578125" style="78" bestFit="1" customWidth="1"/>
    <col min="25" max="16384" width="9.140625" style="78"/>
  </cols>
  <sheetData>
    <row r="1" spans="1:29" ht="18.75">
      <c r="A1" s="112" t="s">
        <v>593</v>
      </c>
      <c r="B1" s="144"/>
      <c r="C1" s="144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212"/>
      <c r="V1" s="212"/>
      <c r="W1" s="212"/>
      <c r="X1" s="212"/>
      <c r="Y1" s="212"/>
      <c r="Z1" s="212"/>
      <c r="AA1" s="212"/>
      <c r="AB1" s="212"/>
      <c r="AC1" s="212"/>
    </row>
    <row r="2" spans="1:29">
      <c r="A2" s="104" t="s">
        <v>372</v>
      </c>
      <c r="B2" s="81"/>
      <c r="C2" s="81"/>
      <c r="D2" s="81"/>
      <c r="E2" s="239"/>
      <c r="F2" s="240" t="s">
        <v>594</v>
      </c>
      <c r="G2" s="239"/>
      <c r="H2" s="239"/>
      <c r="I2" s="239"/>
      <c r="J2" s="239"/>
      <c r="K2" s="239"/>
      <c r="L2" s="239"/>
      <c r="M2" s="239"/>
      <c r="N2" s="239"/>
      <c r="O2" s="239"/>
      <c r="P2" s="239"/>
      <c r="Q2" s="239"/>
      <c r="R2" s="239"/>
      <c r="S2" s="239"/>
      <c r="T2" s="239"/>
      <c r="U2" s="239"/>
      <c r="V2" s="239"/>
      <c r="W2" s="239"/>
      <c r="X2" s="239"/>
      <c r="Y2" s="212"/>
      <c r="Z2" s="212"/>
      <c r="AA2" s="212"/>
      <c r="AB2" s="212"/>
      <c r="AC2" s="212"/>
    </row>
    <row r="3" spans="1:29" ht="13.5" thickBot="1">
      <c r="A3" s="146" t="s">
        <v>344</v>
      </c>
      <c r="B3" s="146" t="s">
        <v>413</v>
      </c>
      <c r="C3" s="147" t="s">
        <v>595</v>
      </c>
      <c r="D3" s="212"/>
      <c r="E3" s="241" t="s">
        <v>344</v>
      </c>
      <c r="F3" s="242" t="s">
        <v>410</v>
      </c>
      <c r="G3" s="238" t="s">
        <v>596</v>
      </c>
      <c r="H3" s="238" t="s">
        <v>597</v>
      </c>
      <c r="I3" s="238" t="s">
        <v>598</v>
      </c>
      <c r="J3" s="238" t="s">
        <v>599</v>
      </c>
      <c r="K3" s="238" t="s">
        <v>600</v>
      </c>
      <c r="L3" s="238" t="s">
        <v>601</v>
      </c>
      <c r="M3" s="238" t="s">
        <v>602</v>
      </c>
      <c r="N3" s="238" t="s">
        <v>603</v>
      </c>
      <c r="O3" s="238" t="s">
        <v>604</v>
      </c>
      <c r="P3" s="238" t="s">
        <v>605</v>
      </c>
      <c r="Q3" s="238" t="s">
        <v>606</v>
      </c>
      <c r="R3" s="238" t="s">
        <v>607</v>
      </c>
      <c r="S3" s="238" t="s">
        <v>608</v>
      </c>
      <c r="T3" s="238" t="s">
        <v>609</v>
      </c>
      <c r="U3" s="238" t="s">
        <v>610</v>
      </c>
      <c r="V3" s="238" t="s">
        <v>611</v>
      </c>
      <c r="W3" s="241" t="s">
        <v>412</v>
      </c>
      <c r="X3" s="241" t="s">
        <v>612</v>
      </c>
      <c r="Y3" s="212"/>
      <c r="Z3" s="212"/>
      <c r="AA3" s="212"/>
      <c r="AB3" s="212"/>
      <c r="AC3" s="212"/>
    </row>
    <row r="4" spans="1:29">
      <c r="A4" s="111">
        <f>RSD_Balance!$B$138</f>
        <v>0</v>
      </c>
      <c r="B4" s="148" t="e">
        <f>I26*H18</f>
        <v>#REF!</v>
      </c>
      <c r="C4" s="111">
        <f>RSD_Balance!$A$138</f>
        <v>0</v>
      </c>
      <c r="D4" s="212"/>
      <c r="E4" s="243">
        <f>A4</f>
        <v>0</v>
      </c>
      <c r="F4" s="243" t="s">
        <v>613</v>
      </c>
      <c r="G4" s="244">
        <v>0.125</v>
      </c>
      <c r="H4" s="244">
        <v>2.5000000000000001E-2</v>
      </c>
      <c r="I4" s="244">
        <v>1.2500000000000001E-2</v>
      </c>
      <c r="J4" s="244">
        <v>8.7499999999999994E-2</v>
      </c>
      <c r="K4" s="244">
        <v>0.125</v>
      </c>
      <c r="L4" s="244">
        <v>2.5000000000000001E-2</v>
      </c>
      <c r="M4" s="244">
        <v>1.2500000000000001E-2</v>
      </c>
      <c r="N4" s="244">
        <v>8.7499999999999994E-2</v>
      </c>
      <c r="O4" s="244">
        <v>0.125</v>
      </c>
      <c r="P4" s="244">
        <v>2.5000000000000001E-2</v>
      </c>
      <c r="Q4" s="244">
        <v>1.2500000000000001E-2</v>
      </c>
      <c r="R4" s="244">
        <v>8.7499999999999994E-2</v>
      </c>
      <c r="S4" s="244">
        <v>0.125</v>
      </c>
      <c r="T4" s="244">
        <v>2.5000000000000001E-2</v>
      </c>
      <c r="U4" s="244">
        <v>1.2500000000000001E-2</v>
      </c>
      <c r="V4" s="244">
        <v>8.7499999999999994E-2</v>
      </c>
      <c r="W4" s="243" t="s">
        <v>614</v>
      </c>
      <c r="X4" s="243" t="s">
        <v>615</v>
      </c>
      <c r="Y4" s="212"/>
      <c r="Z4" s="212"/>
      <c r="AA4" s="212"/>
      <c r="AB4" s="212"/>
      <c r="AC4" s="212"/>
    </row>
    <row r="5" spans="1:29">
      <c r="A5" s="111">
        <f>RSD_Balance!$B$139</f>
        <v>0</v>
      </c>
      <c r="B5" s="148" t="e">
        <f>I38*H34</f>
        <v>#REF!</v>
      </c>
      <c r="C5" s="111">
        <f>RSD_Balance!$A$139</f>
        <v>0</v>
      </c>
      <c r="D5" s="212"/>
      <c r="E5" s="243">
        <f t="shared" ref="E5:E10" si="0">A5</f>
        <v>0</v>
      </c>
      <c r="F5" s="243" t="s">
        <v>613</v>
      </c>
      <c r="G5" s="244">
        <v>0.125</v>
      </c>
      <c r="H5" s="244">
        <v>3.5714285714285698E-2</v>
      </c>
      <c r="I5" s="244">
        <v>6.25E-2</v>
      </c>
      <c r="J5" s="244">
        <v>2.6785714285714302E-2</v>
      </c>
      <c r="K5" s="244">
        <v>0.125</v>
      </c>
      <c r="L5" s="244">
        <v>3.5714285714285698E-2</v>
      </c>
      <c r="M5" s="244">
        <v>6.25E-2</v>
      </c>
      <c r="N5" s="244">
        <v>2.6785714285714302E-2</v>
      </c>
      <c r="O5" s="244">
        <v>0.15</v>
      </c>
      <c r="P5" s="244">
        <v>4.2857142857142899E-2</v>
      </c>
      <c r="Q5" s="244">
        <v>7.4999999999999997E-2</v>
      </c>
      <c r="R5" s="244">
        <v>3.2142857142857098E-2</v>
      </c>
      <c r="S5" s="244">
        <v>0.1</v>
      </c>
      <c r="T5" s="244">
        <v>2.8571428571428598E-2</v>
      </c>
      <c r="U5" s="244">
        <v>0.05</v>
      </c>
      <c r="V5" s="244">
        <v>2.1428571428571401E-2</v>
      </c>
      <c r="W5" s="243" t="s">
        <v>614</v>
      </c>
      <c r="X5" s="243" t="s">
        <v>616</v>
      </c>
      <c r="Y5" s="212"/>
      <c r="Z5" s="212"/>
      <c r="AA5" s="212"/>
      <c r="AB5" s="212"/>
      <c r="AC5" s="212"/>
    </row>
    <row r="6" spans="1:29">
      <c r="A6" s="149">
        <f>RSD_Balance!$B$140</f>
        <v>0</v>
      </c>
      <c r="B6" s="148" t="e">
        <f>I50*H46</f>
        <v>#REF!</v>
      </c>
      <c r="C6" s="149">
        <f>RSD_Balance!$A$140</f>
        <v>0</v>
      </c>
      <c r="D6" s="212"/>
      <c r="E6" s="243">
        <f t="shared" si="0"/>
        <v>0</v>
      </c>
      <c r="F6" s="243" t="s">
        <v>613</v>
      </c>
      <c r="G6" s="244">
        <v>0.14705882352941199</v>
      </c>
      <c r="H6" s="244">
        <v>5.8823529411764698E-2</v>
      </c>
      <c r="I6" s="244">
        <v>0</v>
      </c>
      <c r="J6" s="244">
        <v>4.4117647058823498E-2</v>
      </c>
      <c r="K6" s="244">
        <v>0.14705882352941199</v>
      </c>
      <c r="L6" s="244">
        <v>5.8823529411764698E-2</v>
      </c>
      <c r="M6" s="244">
        <v>0</v>
      </c>
      <c r="N6" s="244">
        <v>4.4117647058823498E-2</v>
      </c>
      <c r="O6" s="244">
        <v>0.14705882352941199</v>
      </c>
      <c r="P6" s="244">
        <v>5.8823529411764698E-2</v>
      </c>
      <c r="Q6" s="244">
        <v>0</v>
      </c>
      <c r="R6" s="244">
        <v>4.4117647058823498E-2</v>
      </c>
      <c r="S6" s="244">
        <v>0.14705882352941199</v>
      </c>
      <c r="T6" s="244">
        <v>5.8823529411764698E-2</v>
      </c>
      <c r="U6" s="244">
        <v>0</v>
      </c>
      <c r="V6" s="244">
        <v>4.4117647058823498E-2</v>
      </c>
      <c r="W6" s="243" t="s">
        <v>614</v>
      </c>
      <c r="X6" s="243" t="s">
        <v>617</v>
      </c>
      <c r="Y6" s="212"/>
      <c r="Z6" s="212"/>
      <c r="AA6" s="212"/>
      <c r="AB6" s="212"/>
      <c r="AC6" s="212"/>
    </row>
    <row r="7" spans="1:29">
      <c r="A7" s="149">
        <f>RSD_Balance!$B$141</f>
        <v>0</v>
      </c>
      <c r="B7" s="148" t="e">
        <f>I60*H58</f>
        <v>#REF!</v>
      </c>
      <c r="C7" s="149">
        <f>RSD_Balance!$A$141</f>
        <v>0</v>
      </c>
      <c r="D7" s="212"/>
      <c r="E7" s="243">
        <f t="shared" si="0"/>
        <v>0</v>
      </c>
      <c r="F7" s="243" t="s">
        <v>613</v>
      </c>
      <c r="G7" s="244">
        <v>0.14705882352941199</v>
      </c>
      <c r="H7" s="244">
        <v>5.8823529411764698E-2</v>
      </c>
      <c r="I7" s="244">
        <v>0</v>
      </c>
      <c r="J7" s="244">
        <v>4.4117647058823498E-2</v>
      </c>
      <c r="K7" s="244">
        <v>0.14705882352941199</v>
      </c>
      <c r="L7" s="244">
        <v>5.8823529411764698E-2</v>
      </c>
      <c r="M7" s="244">
        <v>0</v>
      </c>
      <c r="N7" s="244">
        <v>4.4117647058823498E-2</v>
      </c>
      <c r="O7" s="244">
        <v>0.14705882352941199</v>
      </c>
      <c r="P7" s="244">
        <v>5.8823529411764698E-2</v>
      </c>
      <c r="Q7" s="244">
        <v>0</v>
      </c>
      <c r="R7" s="244">
        <v>4.4117647058823498E-2</v>
      </c>
      <c r="S7" s="244">
        <v>0.14705882352941199</v>
      </c>
      <c r="T7" s="244">
        <v>5.8823529411764698E-2</v>
      </c>
      <c r="U7" s="244">
        <v>0</v>
      </c>
      <c r="V7" s="244">
        <v>4.4117647058823498E-2</v>
      </c>
      <c r="W7" s="243" t="s">
        <v>614</v>
      </c>
      <c r="X7" s="243" t="s">
        <v>617</v>
      </c>
      <c r="Y7" s="212"/>
      <c r="Z7" s="212"/>
      <c r="AA7" s="212"/>
      <c r="AB7" s="212"/>
      <c r="AC7" s="212"/>
    </row>
    <row r="8" spans="1:29">
      <c r="A8" s="149">
        <f>RSD_Balance!$B$142</f>
        <v>0</v>
      </c>
      <c r="B8" s="148" t="e">
        <f>I70*H68</f>
        <v>#REF!</v>
      </c>
      <c r="C8" s="149">
        <f>RSD_Balance!$A$142</f>
        <v>0</v>
      </c>
      <c r="D8" s="212"/>
      <c r="E8" s="243">
        <f t="shared" si="0"/>
        <v>0</v>
      </c>
      <c r="F8" s="243" t="s">
        <v>613</v>
      </c>
      <c r="G8" s="244">
        <v>0.14705882352941199</v>
      </c>
      <c r="H8" s="244">
        <v>5.8823529411764698E-2</v>
      </c>
      <c r="I8" s="244">
        <v>0</v>
      </c>
      <c r="J8" s="244">
        <v>4.4117647058823498E-2</v>
      </c>
      <c r="K8" s="244">
        <v>0.14705882352941199</v>
      </c>
      <c r="L8" s="244">
        <v>5.8823529411764698E-2</v>
      </c>
      <c r="M8" s="244">
        <v>0</v>
      </c>
      <c r="N8" s="244">
        <v>4.4117647058823498E-2</v>
      </c>
      <c r="O8" s="244">
        <v>0.14705882352941199</v>
      </c>
      <c r="P8" s="244">
        <v>5.8823529411764698E-2</v>
      </c>
      <c r="Q8" s="244">
        <v>0</v>
      </c>
      <c r="R8" s="244">
        <v>4.4117647058823498E-2</v>
      </c>
      <c r="S8" s="244">
        <v>0.14705882352941199</v>
      </c>
      <c r="T8" s="244">
        <v>5.8823529411764698E-2</v>
      </c>
      <c r="U8" s="244">
        <v>0</v>
      </c>
      <c r="V8" s="244">
        <v>4.4117647058823498E-2</v>
      </c>
      <c r="W8" s="243" t="s">
        <v>614</v>
      </c>
      <c r="X8" s="243" t="s">
        <v>617</v>
      </c>
      <c r="Y8" s="212"/>
      <c r="Z8" s="212"/>
      <c r="AA8" s="212"/>
      <c r="AB8" s="212"/>
      <c r="AC8" s="212"/>
    </row>
    <row r="9" spans="1:29">
      <c r="A9" s="149">
        <f>RSD_Balance!$B$143</f>
        <v>0</v>
      </c>
      <c r="B9" s="148">
        <f>I80*H78</f>
        <v>0</v>
      </c>
      <c r="C9" s="149">
        <f>RSD_Balance!$A$143</f>
        <v>0</v>
      </c>
      <c r="D9" s="212"/>
      <c r="E9" s="243">
        <f t="shared" si="0"/>
        <v>0</v>
      </c>
      <c r="F9" s="243" t="s">
        <v>613</v>
      </c>
      <c r="G9" s="244">
        <v>0.125</v>
      </c>
      <c r="H9" s="244">
        <v>0.05</v>
      </c>
      <c r="I9" s="244">
        <v>3.125E-2</v>
      </c>
      <c r="J9" s="244">
        <v>4.3749999999999997E-2</v>
      </c>
      <c r="K9" s="244">
        <v>0.125</v>
      </c>
      <c r="L9" s="244">
        <v>0.05</v>
      </c>
      <c r="M9" s="244">
        <v>3.125E-2</v>
      </c>
      <c r="N9" s="244">
        <v>4.3749999999999997E-2</v>
      </c>
      <c r="O9" s="244">
        <v>0.125</v>
      </c>
      <c r="P9" s="244">
        <v>0.05</v>
      </c>
      <c r="Q9" s="244">
        <v>3.125E-2</v>
      </c>
      <c r="R9" s="244">
        <v>4.3749999999999997E-2</v>
      </c>
      <c r="S9" s="244">
        <v>0.125</v>
      </c>
      <c r="T9" s="244">
        <v>0.05</v>
      </c>
      <c r="U9" s="244">
        <v>3.125E-2</v>
      </c>
      <c r="V9" s="244">
        <v>4.3749999999999997E-2</v>
      </c>
      <c r="W9" s="243" t="s">
        <v>614</v>
      </c>
      <c r="X9" s="243" t="s">
        <v>618</v>
      </c>
      <c r="Y9" s="212"/>
      <c r="Z9" s="212"/>
      <c r="AA9" s="212"/>
      <c r="AB9" s="212"/>
      <c r="AC9" s="212"/>
    </row>
    <row r="10" spans="1:29">
      <c r="A10" s="149">
        <f>RSD_Balance!$B$144</f>
        <v>0</v>
      </c>
      <c r="B10" s="148">
        <f>H99</f>
        <v>0</v>
      </c>
      <c r="C10" s="149">
        <f>RSD_Balance!$A$144</f>
        <v>0</v>
      </c>
      <c r="D10" s="212"/>
      <c r="E10" s="243">
        <f t="shared" si="0"/>
        <v>0</v>
      </c>
      <c r="F10" s="243" t="s">
        <v>613</v>
      </c>
      <c r="G10" s="244">
        <v>0.12195121951219499</v>
      </c>
      <c r="H10" s="244">
        <v>4.8780487804878099E-2</v>
      </c>
      <c r="I10" s="244">
        <v>4.2682926829268303E-2</v>
      </c>
      <c r="J10" s="244">
        <v>3.65853658536585E-2</v>
      </c>
      <c r="K10" s="244">
        <v>0.12195121951219499</v>
      </c>
      <c r="L10" s="244">
        <v>4.8780487804878099E-2</v>
      </c>
      <c r="M10" s="244">
        <v>4.2682926829268303E-2</v>
      </c>
      <c r="N10" s="244">
        <v>3.65853658536585E-2</v>
      </c>
      <c r="O10" s="244">
        <v>0.12195121951219499</v>
      </c>
      <c r="P10" s="244">
        <v>4.8780487804878099E-2</v>
      </c>
      <c r="Q10" s="244">
        <v>4.2682926829268303E-2</v>
      </c>
      <c r="R10" s="244">
        <v>3.65853658536585E-2</v>
      </c>
      <c r="S10" s="244">
        <v>0.12195121951219499</v>
      </c>
      <c r="T10" s="244">
        <v>4.8780487804878099E-2</v>
      </c>
      <c r="U10" s="244">
        <v>4.2682926829268303E-2</v>
      </c>
      <c r="V10" s="244">
        <v>3.65853658536585E-2</v>
      </c>
      <c r="W10" s="243" t="s">
        <v>614</v>
      </c>
      <c r="X10" s="243" t="s">
        <v>619</v>
      </c>
      <c r="Y10" s="212"/>
      <c r="Z10" s="212"/>
      <c r="AA10" s="212"/>
      <c r="AB10" s="212"/>
      <c r="AC10" s="212"/>
    </row>
    <row r="11" spans="1:29">
      <c r="A11" s="81"/>
      <c r="B11" s="81"/>
      <c r="C11" s="81"/>
      <c r="D11" s="81"/>
      <c r="E11" s="81"/>
      <c r="F11" s="150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145"/>
      <c r="V11" s="145"/>
      <c r="W11" s="212"/>
      <c r="X11" s="212"/>
      <c r="Y11" s="212"/>
      <c r="Z11" s="212"/>
      <c r="AA11" s="212"/>
      <c r="AB11" s="212"/>
      <c r="AC11" s="212"/>
    </row>
    <row r="12" spans="1:29">
      <c r="A12" s="81"/>
      <c r="B12" s="81"/>
      <c r="C12" s="81"/>
      <c r="D12" s="81"/>
      <c r="E12" s="81"/>
      <c r="F12" s="104"/>
      <c r="G12" s="81"/>
      <c r="H12" s="104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145"/>
      <c r="V12" s="145"/>
      <c r="W12" s="212"/>
      <c r="X12" s="212"/>
      <c r="Y12" s="212"/>
      <c r="Z12" s="212"/>
      <c r="AA12" s="212"/>
      <c r="AB12" s="212"/>
      <c r="AC12" s="212"/>
    </row>
    <row r="13" spans="1:29">
      <c r="A13" s="81"/>
      <c r="B13" s="81"/>
      <c r="C13" s="81"/>
      <c r="D13" s="81"/>
      <c r="E13" s="81"/>
      <c r="F13" s="81"/>
      <c r="G13" s="81"/>
      <c r="H13" s="121"/>
      <c r="I13" s="81"/>
      <c r="J13" s="81"/>
      <c r="K13" s="81"/>
      <c r="L13" s="81"/>
      <c r="M13" s="81"/>
      <c r="N13" s="81"/>
      <c r="O13" s="81"/>
      <c r="P13" s="81"/>
      <c r="Q13" s="81"/>
      <c r="R13" s="121"/>
      <c r="S13" s="81"/>
      <c r="T13" s="81"/>
      <c r="U13" s="212"/>
      <c r="V13" s="212"/>
      <c r="W13" s="212"/>
      <c r="X13" s="212"/>
      <c r="Y13" s="212"/>
      <c r="Z13" s="212"/>
      <c r="AA13" s="212"/>
      <c r="AB13" s="212"/>
      <c r="AC13" s="212"/>
    </row>
    <row r="14" spans="1:29">
      <c r="A14" s="81"/>
      <c r="B14" s="81"/>
      <c r="C14" s="81"/>
      <c r="D14" s="81"/>
      <c r="E14" s="81"/>
      <c r="F14" s="81"/>
      <c r="G14" s="81"/>
      <c r="H14" s="121"/>
      <c r="I14" s="81"/>
      <c r="J14" s="81"/>
      <c r="K14" s="81"/>
      <c r="L14" s="81"/>
      <c r="M14" s="81"/>
      <c r="N14" s="81"/>
      <c r="O14" s="81"/>
      <c r="P14" s="81"/>
      <c r="Q14" s="81"/>
      <c r="R14" s="121"/>
      <c r="S14" s="81"/>
      <c r="T14" s="81"/>
      <c r="U14" s="212"/>
      <c r="V14" s="212"/>
      <c r="W14" s="212"/>
      <c r="X14" s="212"/>
      <c r="Y14" s="212"/>
      <c r="Z14" s="212"/>
      <c r="AA14" s="212"/>
      <c r="AB14" s="212"/>
      <c r="AC14" s="212"/>
    </row>
    <row r="15" spans="1:29" ht="18.75">
      <c r="A15" s="112" t="s">
        <v>620</v>
      </c>
      <c r="B15" s="144"/>
      <c r="C15" s="144"/>
      <c r="D15" s="144"/>
      <c r="E15" s="144"/>
      <c r="F15" s="104" t="s">
        <v>372</v>
      </c>
      <c r="G15" s="151"/>
      <c r="H15" s="121"/>
      <c r="I15" s="81"/>
      <c r="J15" s="81"/>
      <c r="K15" s="81"/>
      <c r="L15" s="81"/>
      <c r="M15" s="81"/>
      <c r="N15" s="81"/>
      <c r="O15" s="81"/>
      <c r="P15" s="81"/>
      <c r="Q15" s="81"/>
      <c r="R15" s="121"/>
      <c r="S15" s="81"/>
      <c r="T15" s="81"/>
      <c r="U15" s="212"/>
      <c r="V15" s="104" t="s">
        <v>373</v>
      </c>
      <c r="W15" s="104"/>
      <c r="X15" s="104"/>
      <c r="Y15" s="839"/>
      <c r="Z15" s="839"/>
      <c r="AA15" s="839"/>
      <c r="AB15" s="839"/>
      <c r="AC15" s="839"/>
    </row>
    <row r="16" spans="1:29" ht="38.25">
      <c r="A16" s="152" t="s">
        <v>621</v>
      </c>
      <c r="B16" s="152" t="s">
        <v>374</v>
      </c>
      <c r="C16" s="152" t="s">
        <v>375</v>
      </c>
      <c r="D16" s="153" t="s">
        <v>622</v>
      </c>
      <c r="E16" s="152" t="s">
        <v>376</v>
      </c>
      <c r="F16" s="152" t="s">
        <v>377</v>
      </c>
      <c r="G16" s="154" t="s">
        <v>378</v>
      </c>
      <c r="H16" s="154" t="s">
        <v>400</v>
      </c>
      <c r="I16" s="154" t="s">
        <v>398</v>
      </c>
      <c r="J16" s="154" t="s">
        <v>380</v>
      </c>
      <c r="K16" s="154" t="s">
        <v>383</v>
      </c>
      <c r="L16" s="154" t="s">
        <v>382</v>
      </c>
      <c r="M16" s="130"/>
      <c r="N16" s="154" t="s">
        <v>623</v>
      </c>
      <c r="O16" s="154" t="s">
        <v>624</v>
      </c>
      <c r="P16" s="81"/>
      <c r="Q16" s="155" t="s">
        <v>595</v>
      </c>
      <c r="R16" s="153" t="s">
        <v>625</v>
      </c>
      <c r="S16" s="153" t="s">
        <v>626</v>
      </c>
      <c r="T16" s="81"/>
      <c r="U16" s="212"/>
      <c r="V16" s="152" t="s">
        <v>385</v>
      </c>
      <c r="W16" s="152" t="s">
        <v>374</v>
      </c>
      <c r="X16" s="152" t="s">
        <v>375</v>
      </c>
      <c r="Y16" s="152" t="s">
        <v>386</v>
      </c>
      <c r="Z16" s="152" t="s">
        <v>387</v>
      </c>
      <c r="AA16" s="152" t="s">
        <v>388</v>
      </c>
      <c r="AB16" s="152" t="s">
        <v>389</v>
      </c>
      <c r="AC16" s="152" t="s">
        <v>401</v>
      </c>
    </row>
    <row r="17" spans="1:29" ht="39" thickBot="1">
      <c r="A17" s="156" t="s">
        <v>627</v>
      </c>
      <c r="B17" s="157"/>
      <c r="C17" s="157"/>
      <c r="D17" s="158" t="s">
        <v>628</v>
      </c>
      <c r="E17" s="157"/>
      <c r="F17" s="157"/>
      <c r="G17" s="159"/>
      <c r="H17" s="160" t="s">
        <v>629</v>
      </c>
      <c r="I17" s="161" t="s">
        <v>630</v>
      </c>
      <c r="J17" s="158" t="s">
        <v>631</v>
      </c>
      <c r="K17" s="158" t="s">
        <v>632</v>
      </c>
      <c r="L17" s="158"/>
      <c r="M17" s="130"/>
      <c r="N17" s="158" t="s">
        <v>53</v>
      </c>
      <c r="O17" s="158" t="s">
        <v>53</v>
      </c>
      <c r="P17" s="81"/>
      <c r="Q17" s="146"/>
      <c r="R17" s="160" t="s">
        <v>629</v>
      </c>
      <c r="S17" s="161" t="s">
        <v>630</v>
      </c>
      <c r="T17" s="81"/>
      <c r="U17" s="212"/>
      <c r="V17" s="157" t="s">
        <v>370</v>
      </c>
      <c r="W17" s="157"/>
      <c r="X17" s="157"/>
      <c r="Y17" s="157"/>
      <c r="Z17" s="157"/>
      <c r="AA17" s="157"/>
      <c r="AB17" s="157"/>
      <c r="AC17" s="157"/>
    </row>
    <row r="18" spans="1:29">
      <c r="A18" s="111">
        <f>RSD_Balance!$B$138</f>
        <v>0</v>
      </c>
      <c r="B18" s="111" t="e">
        <f t="shared" ref="B18:B24" si="1">LEFT(A18,5)&amp;RIGHT(E18,3)&amp;"_00"</f>
        <v>#REF!</v>
      </c>
      <c r="C18" s="162" t="e">
        <f>"Existing residential - Cooking "&amp;RIGHT(E18,3)</f>
        <v>#REF!</v>
      </c>
      <c r="D18" s="111"/>
      <c r="E18" s="111" t="e">
        <f>RSD_Balance!#REF!</f>
        <v>#REF!</v>
      </c>
      <c r="F18" s="111"/>
      <c r="G18" s="163">
        <v>0.3</v>
      </c>
      <c r="H18" s="164" t="e">
        <f>R18</f>
        <v>#REF!</v>
      </c>
      <c r="I18" s="164">
        <f>S18</f>
        <v>0</v>
      </c>
      <c r="J18" s="165">
        <v>15</v>
      </c>
      <c r="K18" s="166">
        <f>2*2/1000</f>
        <v>4.0000000000000001E-3</v>
      </c>
      <c r="L18" s="166"/>
      <c r="M18" s="81"/>
      <c r="N18" s="167" t="e">
        <f>IF(G18=0,0,I18*H18/G18)</f>
        <v>#REF!</v>
      </c>
      <c r="O18" s="167">
        <f>RSD_Balance!$C$138</f>
        <v>0</v>
      </c>
      <c r="P18" s="81"/>
      <c r="Q18" s="168">
        <f>G18</f>
        <v>0.3</v>
      </c>
      <c r="R18" s="191" t="e">
        <f>IF(S26=0,0,SUMPRODUCT(Q18:Q24,O18:O24)/S26)</f>
        <v>#REF!</v>
      </c>
      <c r="S18" s="168">
        <f>IF($O$26=0,0,Q18*O18/SUMPRODUCT($O$18:$O$24,$Q$18:$Q$24)*$S$26)</f>
        <v>0</v>
      </c>
      <c r="T18" s="81"/>
      <c r="U18" s="212"/>
      <c r="V18" s="212" t="s">
        <v>407</v>
      </c>
      <c r="W18" s="212" t="e">
        <f>B18</f>
        <v>#REF!</v>
      </c>
      <c r="X18" s="212" t="e">
        <f>C18</f>
        <v>#REF!</v>
      </c>
      <c r="Y18" s="212" t="s">
        <v>53</v>
      </c>
      <c r="Z18" s="212" t="s">
        <v>394</v>
      </c>
      <c r="AA18" s="212"/>
      <c r="AB18" s="212"/>
      <c r="AC18" s="212"/>
    </row>
    <row r="19" spans="1:29">
      <c r="A19" s="111">
        <f>RSD_Balance!$B$138</f>
        <v>0</v>
      </c>
      <c r="B19" s="111" t="e">
        <f t="shared" si="1"/>
        <v>#REF!</v>
      </c>
      <c r="C19" s="162" t="e">
        <f t="shared" ref="C19:C24" si="2">"Existing residential - Cooking "&amp;RIGHT(E19,3)</f>
        <v>#REF!</v>
      </c>
      <c r="D19" s="111"/>
      <c r="E19" s="111" t="e">
        <f>RSD_Balance!#REF!</f>
        <v>#REF!</v>
      </c>
      <c r="F19" s="111"/>
      <c r="G19" s="163">
        <v>0.4</v>
      </c>
      <c r="H19" s="169" t="e">
        <f t="shared" ref="H19:H24" si="3">$H$18</f>
        <v>#REF!</v>
      </c>
      <c r="I19" s="164">
        <f t="shared" ref="I19:I24" si="4">S19</f>
        <v>0</v>
      </c>
      <c r="J19" s="165">
        <v>15</v>
      </c>
      <c r="K19" s="166">
        <f>2.9*2/1000</f>
        <v>5.7999999999999996E-3</v>
      </c>
      <c r="L19" s="166"/>
      <c r="M19" s="81"/>
      <c r="N19" s="167" t="e">
        <f t="shared" ref="N19:N24" si="5">IF(G19=0,0,I19*H19/G19)</f>
        <v>#REF!</v>
      </c>
      <c r="O19" s="167">
        <f>RSD_Balance!$D$138</f>
        <v>0</v>
      </c>
      <c r="P19" s="81"/>
      <c r="Q19" s="168">
        <f t="shared" ref="Q19:Q24" si="6">G19</f>
        <v>0.4</v>
      </c>
      <c r="R19" s="191" t="e">
        <f t="shared" ref="R19:R24" si="7">$R$18</f>
        <v>#REF!</v>
      </c>
      <c r="S19" s="168">
        <f t="shared" ref="S19:S24" si="8">IF($O$26=0,0,Q19*O19/SUMPRODUCT($O$18:$O$24,$Q$18:$Q$24)*$S$26)</f>
        <v>0</v>
      </c>
      <c r="T19" s="81"/>
      <c r="U19" s="212"/>
      <c r="V19" s="212" t="s">
        <v>407</v>
      </c>
      <c r="W19" s="212" t="e">
        <f t="shared" ref="W19:W24" si="9">B19</f>
        <v>#REF!</v>
      </c>
      <c r="X19" s="212" t="e">
        <f t="shared" ref="X19:X24" si="10">C19</f>
        <v>#REF!</v>
      </c>
      <c r="Y19" s="212" t="s">
        <v>53</v>
      </c>
      <c r="Z19" s="212" t="s">
        <v>394</v>
      </c>
      <c r="AA19" s="212"/>
      <c r="AB19" s="212"/>
      <c r="AC19" s="212"/>
    </row>
    <row r="20" spans="1:29">
      <c r="A20" s="111">
        <f>RSD_Balance!$B$138</f>
        <v>0</v>
      </c>
      <c r="B20" s="111" t="e">
        <f t="shared" si="1"/>
        <v>#REF!</v>
      </c>
      <c r="C20" s="162" t="e">
        <f t="shared" si="2"/>
        <v>#REF!</v>
      </c>
      <c r="D20" s="111"/>
      <c r="E20" s="111" t="e">
        <f>RSD_Balance!#REF!</f>
        <v>#REF!</v>
      </c>
      <c r="F20" s="111"/>
      <c r="G20" s="163">
        <v>0.4</v>
      </c>
      <c r="H20" s="169" t="e">
        <f t="shared" si="3"/>
        <v>#REF!</v>
      </c>
      <c r="I20" s="164">
        <f t="shared" si="4"/>
        <v>0</v>
      </c>
      <c r="J20" s="165">
        <v>15</v>
      </c>
      <c r="K20" s="166">
        <f>2.9*2/1000</f>
        <v>5.7999999999999996E-3</v>
      </c>
      <c r="L20" s="166"/>
      <c r="M20" s="81"/>
      <c r="N20" s="167" t="e">
        <f t="shared" si="5"/>
        <v>#REF!</v>
      </c>
      <c r="O20" s="167">
        <f>RSD_Balance!$E$138</f>
        <v>0</v>
      </c>
      <c r="P20" s="81"/>
      <c r="Q20" s="168">
        <f t="shared" si="6"/>
        <v>0.4</v>
      </c>
      <c r="R20" s="191" t="e">
        <f t="shared" si="7"/>
        <v>#REF!</v>
      </c>
      <c r="S20" s="168">
        <f t="shared" si="8"/>
        <v>0</v>
      </c>
      <c r="T20" s="81"/>
      <c r="U20" s="212"/>
      <c r="V20" s="212" t="s">
        <v>407</v>
      </c>
      <c r="W20" s="212" t="e">
        <f t="shared" si="9"/>
        <v>#REF!</v>
      </c>
      <c r="X20" s="212" t="e">
        <f t="shared" si="10"/>
        <v>#REF!</v>
      </c>
      <c r="Y20" s="212" t="s">
        <v>53</v>
      </c>
      <c r="Z20" s="212" t="s">
        <v>394</v>
      </c>
      <c r="AA20" s="212"/>
      <c r="AB20" s="212"/>
      <c r="AC20" s="212"/>
    </row>
    <row r="21" spans="1:29">
      <c r="A21" s="111">
        <f>RSD_Balance!$B$138</f>
        <v>0</v>
      </c>
      <c r="B21" s="111" t="e">
        <f t="shared" si="1"/>
        <v>#REF!</v>
      </c>
      <c r="C21" s="162" t="e">
        <f t="shared" si="2"/>
        <v>#REF!</v>
      </c>
      <c r="D21" s="111"/>
      <c r="E21" s="111" t="e">
        <f>RSD_Balance!#REF!</f>
        <v>#REF!</v>
      </c>
      <c r="F21" s="111"/>
      <c r="G21" s="163">
        <v>0.9</v>
      </c>
      <c r="H21" s="169" t="e">
        <f t="shared" si="3"/>
        <v>#REF!</v>
      </c>
      <c r="I21" s="164">
        <f t="shared" si="4"/>
        <v>0</v>
      </c>
      <c r="J21" s="165">
        <v>15</v>
      </c>
      <c r="K21" s="166">
        <f>2.4*2/1000</f>
        <v>4.7999999999999996E-3</v>
      </c>
      <c r="L21" s="166"/>
      <c r="M21" s="81"/>
      <c r="N21" s="167" t="e">
        <f t="shared" si="5"/>
        <v>#REF!</v>
      </c>
      <c r="O21" s="167">
        <f>RSD_Balance!$F$138</f>
        <v>0</v>
      </c>
      <c r="P21" s="81"/>
      <c r="Q21" s="168">
        <f t="shared" si="6"/>
        <v>0.9</v>
      </c>
      <c r="R21" s="191" t="e">
        <f t="shared" si="7"/>
        <v>#REF!</v>
      </c>
      <c r="S21" s="168">
        <f t="shared" si="8"/>
        <v>0</v>
      </c>
      <c r="T21" s="81"/>
      <c r="U21" s="212"/>
      <c r="V21" s="212" t="s">
        <v>407</v>
      </c>
      <c r="W21" s="212" t="e">
        <f t="shared" si="9"/>
        <v>#REF!</v>
      </c>
      <c r="X21" s="212" t="e">
        <f t="shared" si="10"/>
        <v>#REF!</v>
      </c>
      <c r="Y21" s="212" t="s">
        <v>53</v>
      </c>
      <c r="Z21" s="212" t="s">
        <v>394</v>
      </c>
      <c r="AA21" s="212"/>
      <c r="AB21" s="212"/>
      <c r="AC21" s="212"/>
    </row>
    <row r="22" spans="1:29">
      <c r="A22" s="111">
        <f>RSD_Balance!$B$138</f>
        <v>0</v>
      </c>
      <c r="B22" s="111" t="e">
        <f t="shared" si="1"/>
        <v>#REF!</v>
      </c>
      <c r="C22" s="162" t="e">
        <f t="shared" si="2"/>
        <v>#REF!</v>
      </c>
      <c r="D22" s="111"/>
      <c r="E22" s="111" t="e">
        <f>RSD_Balance!#REF!</f>
        <v>#REF!</v>
      </c>
      <c r="F22" s="111"/>
      <c r="G22" s="163">
        <v>0.3</v>
      </c>
      <c r="H22" s="169" t="e">
        <f t="shared" si="3"/>
        <v>#REF!</v>
      </c>
      <c r="I22" s="164">
        <f t="shared" si="4"/>
        <v>0</v>
      </c>
      <c r="J22" s="165">
        <v>15</v>
      </c>
      <c r="K22" s="166">
        <f>4.9*2/1000</f>
        <v>9.8000000000000014E-3</v>
      </c>
      <c r="L22" s="166"/>
      <c r="M22" s="81"/>
      <c r="N22" s="167" t="e">
        <f t="shared" si="5"/>
        <v>#REF!</v>
      </c>
      <c r="O22" s="167">
        <f>RSD_Balance!$G$138</f>
        <v>0</v>
      </c>
      <c r="P22" s="81"/>
      <c r="Q22" s="168">
        <f t="shared" si="6"/>
        <v>0.3</v>
      </c>
      <c r="R22" s="191" t="e">
        <f t="shared" si="7"/>
        <v>#REF!</v>
      </c>
      <c r="S22" s="168">
        <f t="shared" si="8"/>
        <v>0</v>
      </c>
      <c r="T22" s="81"/>
      <c r="U22" s="212"/>
      <c r="V22" s="212" t="s">
        <v>407</v>
      </c>
      <c r="W22" s="212" t="e">
        <f t="shared" si="9"/>
        <v>#REF!</v>
      </c>
      <c r="X22" s="212" t="e">
        <f t="shared" si="10"/>
        <v>#REF!</v>
      </c>
      <c r="Y22" s="212" t="s">
        <v>53</v>
      </c>
      <c r="Z22" s="212" t="s">
        <v>394</v>
      </c>
      <c r="AA22" s="212"/>
      <c r="AB22" s="212"/>
      <c r="AC22" s="212"/>
    </row>
    <row r="23" spans="1:29">
      <c r="A23" s="111">
        <f>RSD_Balance!$B$138</f>
        <v>0</v>
      </c>
      <c r="B23" s="111" t="e">
        <f t="shared" si="1"/>
        <v>#REF!</v>
      </c>
      <c r="C23" s="162" t="e">
        <f t="shared" si="2"/>
        <v>#REF!</v>
      </c>
      <c r="D23" s="111"/>
      <c r="E23" s="111" t="e">
        <f>RSD_Balance!#REF!</f>
        <v>#REF!</v>
      </c>
      <c r="F23" s="111"/>
      <c r="G23" s="163">
        <v>0.2</v>
      </c>
      <c r="H23" s="169" t="e">
        <f t="shared" si="3"/>
        <v>#REF!</v>
      </c>
      <c r="I23" s="164">
        <f t="shared" si="4"/>
        <v>0</v>
      </c>
      <c r="J23" s="165">
        <v>15</v>
      </c>
      <c r="K23" s="166">
        <f>K21</f>
        <v>4.7999999999999996E-3</v>
      </c>
      <c r="L23" s="166"/>
      <c r="M23" s="81"/>
      <c r="N23" s="167" t="e">
        <f t="shared" si="5"/>
        <v>#REF!</v>
      </c>
      <c r="O23" s="167">
        <f>RSD_Balance!$H$138</f>
        <v>0</v>
      </c>
      <c r="P23" s="81"/>
      <c r="Q23" s="168">
        <f t="shared" si="6"/>
        <v>0.2</v>
      </c>
      <c r="R23" s="191" t="e">
        <f t="shared" si="7"/>
        <v>#REF!</v>
      </c>
      <c r="S23" s="168">
        <f t="shared" si="8"/>
        <v>0</v>
      </c>
      <c r="T23" s="81"/>
      <c r="U23" s="212"/>
      <c r="V23" s="212" t="s">
        <v>407</v>
      </c>
      <c r="W23" s="212" t="e">
        <f t="shared" si="9"/>
        <v>#REF!</v>
      </c>
      <c r="X23" s="212" t="e">
        <f t="shared" si="10"/>
        <v>#REF!</v>
      </c>
      <c r="Y23" s="212" t="s">
        <v>53</v>
      </c>
      <c r="Z23" s="212" t="s">
        <v>394</v>
      </c>
      <c r="AA23" s="212"/>
      <c r="AB23" s="212"/>
      <c r="AC23" s="212"/>
    </row>
    <row r="24" spans="1:29">
      <c r="A24" s="111">
        <f>RSD_Balance!$B$138</f>
        <v>0</v>
      </c>
      <c r="B24" s="111" t="e">
        <f t="shared" si="1"/>
        <v>#REF!</v>
      </c>
      <c r="C24" s="162" t="e">
        <f t="shared" si="2"/>
        <v>#REF!</v>
      </c>
      <c r="D24" s="111"/>
      <c r="E24" s="111" t="e">
        <f>RSD_Balance!#REF!</f>
        <v>#REF!</v>
      </c>
      <c r="F24" s="111"/>
      <c r="G24" s="163">
        <v>0.6</v>
      </c>
      <c r="H24" s="169" t="e">
        <f t="shared" si="3"/>
        <v>#REF!</v>
      </c>
      <c r="I24" s="164">
        <f t="shared" si="4"/>
        <v>0</v>
      </c>
      <c r="J24" s="165">
        <v>15</v>
      </c>
      <c r="K24" s="166">
        <f>2.4*2/1000</f>
        <v>4.7999999999999996E-3</v>
      </c>
      <c r="L24" s="166"/>
      <c r="M24" s="81"/>
      <c r="N24" s="167" t="e">
        <f t="shared" si="5"/>
        <v>#REF!</v>
      </c>
      <c r="O24" s="167">
        <f>RSD_Balance!$J$138</f>
        <v>0</v>
      </c>
      <c r="P24" s="81"/>
      <c r="Q24" s="168">
        <f t="shared" si="6"/>
        <v>0.6</v>
      </c>
      <c r="R24" s="191" t="e">
        <f t="shared" si="7"/>
        <v>#REF!</v>
      </c>
      <c r="S24" s="168">
        <f t="shared" si="8"/>
        <v>0</v>
      </c>
      <c r="T24" s="81"/>
      <c r="U24" s="212"/>
      <c r="V24" s="212" t="s">
        <v>407</v>
      </c>
      <c r="W24" s="212" t="e">
        <f t="shared" si="9"/>
        <v>#REF!</v>
      </c>
      <c r="X24" s="212" t="e">
        <f t="shared" si="10"/>
        <v>#REF!</v>
      </c>
      <c r="Y24" s="212" t="s">
        <v>53</v>
      </c>
      <c r="Z24" s="212" t="s">
        <v>394</v>
      </c>
      <c r="AA24" s="212"/>
      <c r="AB24" s="212"/>
      <c r="AC24" s="212"/>
    </row>
    <row r="25" spans="1:29">
      <c r="A25" s="170" t="s">
        <v>595</v>
      </c>
      <c r="B25" s="111"/>
      <c r="C25" s="111"/>
      <c r="D25" s="111"/>
      <c r="E25" s="111"/>
      <c r="F25" s="111"/>
      <c r="G25" s="111"/>
      <c r="H25" s="169"/>
      <c r="I25" s="111"/>
      <c r="J25" s="111"/>
      <c r="K25" s="111"/>
      <c r="L25" s="111"/>
      <c r="M25" s="81"/>
      <c r="N25" s="111"/>
      <c r="O25" s="111"/>
      <c r="P25" s="81"/>
      <c r="Q25" s="111"/>
      <c r="R25" s="169"/>
      <c r="S25" s="111"/>
      <c r="T25" s="81"/>
      <c r="U25" s="212"/>
      <c r="V25" s="212"/>
      <c r="W25" s="212"/>
      <c r="X25" s="212"/>
      <c r="Y25" s="212"/>
      <c r="Z25" s="212"/>
      <c r="AA25" s="212"/>
      <c r="AB25" s="212"/>
      <c r="AC25" s="212"/>
    </row>
    <row r="26" spans="1:29">
      <c r="A26" s="171" t="s">
        <v>633</v>
      </c>
      <c r="B26" s="111"/>
      <c r="C26" s="111"/>
      <c r="D26" s="111"/>
      <c r="E26" s="111"/>
      <c r="F26" s="111"/>
      <c r="G26" s="168"/>
      <c r="H26" s="169"/>
      <c r="I26" s="172">
        <f>SUM(I18:I24)</f>
        <v>0</v>
      </c>
      <c r="J26" s="111"/>
      <c r="K26" s="173"/>
      <c r="L26" s="173"/>
      <c r="M26" s="81"/>
      <c r="N26" s="168" t="e">
        <f>SUM(N18:N24)</f>
        <v>#REF!</v>
      </c>
      <c r="O26" s="168">
        <f>SUM(O18:O24)</f>
        <v>0</v>
      </c>
      <c r="P26" s="81"/>
      <c r="Q26" s="111"/>
      <c r="R26" s="169"/>
      <c r="S26" s="174" t="e">
        <f>SUM(DwellingStocks!#REF!)/1000</f>
        <v>#REF!</v>
      </c>
      <c r="T26" s="81"/>
      <c r="U26" s="212"/>
      <c r="V26" s="212"/>
      <c r="W26" s="212"/>
      <c r="X26" s="212"/>
      <c r="Y26" s="212"/>
      <c r="Z26" s="212"/>
      <c r="AA26" s="212"/>
      <c r="AB26" s="212"/>
      <c r="AC26" s="212"/>
    </row>
    <row r="27" spans="1:29">
      <c r="A27" s="81"/>
      <c r="B27" s="81"/>
      <c r="C27" s="81"/>
      <c r="D27" s="81"/>
      <c r="E27" s="81"/>
      <c r="F27" s="81"/>
      <c r="G27" s="81"/>
      <c r="H27" s="121"/>
      <c r="I27" s="81"/>
      <c r="J27" s="81"/>
      <c r="K27" s="81"/>
      <c r="L27" s="81"/>
      <c r="M27" s="81"/>
      <c r="N27" s="81"/>
      <c r="O27" s="81"/>
      <c r="P27" s="81"/>
      <c r="Q27" s="81"/>
      <c r="R27" s="121"/>
      <c r="S27" s="81"/>
      <c r="T27" s="81"/>
      <c r="U27" s="212"/>
      <c r="V27" s="212"/>
      <c r="W27" s="212"/>
      <c r="X27" s="212"/>
      <c r="Y27" s="212"/>
      <c r="Z27" s="212"/>
      <c r="AA27" s="212"/>
      <c r="AB27" s="212"/>
      <c r="AC27" s="212"/>
    </row>
    <row r="28" spans="1:29">
      <c r="A28" s="81"/>
      <c r="B28" s="81"/>
      <c r="C28" s="81"/>
      <c r="D28" s="81"/>
      <c r="E28" s="81"/>
      <c r="F28" s="81"/>
      <c r="G28" s="81"/>
      <c r="H28" s="121"/>
      <c r="I28" s="81"/>
      <c r="J28" s="81"/>
      <c r="K28" s="81"/>
      <c r="L28" s="81"/>
      <c r="M28" s="81"/>
      <c r="N28" s="81"/>
      <c r="O28" s="81"/>
      <c r="P28" s="81"/>
      <c r="Q28" s="81"/>
      <c r="R28" s="121"/>
      <c r="S28" s="81"/>
      <c r="T28" s="81"/>
      <c r="U28" s="212"/>
      <c r="V28" s="212"/>
      <c r="W28" s="212"/>
      <c r="X28" s="212"/>
      <c r="Y28" s="212"/>
      <c r="Z28" s="212"/>
      <c r="AA28" s="212"/>
      <c r="AB28" s="212"/>
      <c r="AC28" s="212"/>
    </row>
    <row r="29" spans="1:29">
      <c r="A29" s="81"/>
      <c r="B29" s="81"/>
      <c r="C29" s="81"/>
      <c r="D29" s="81"/>
      <c r="E29" s="81"/>
      <c r="F29" s="81"/>
      <c r="G29" s="81"/>
      <c r="H29" s="121"/>
      <c r="I29" s="81"/>
      <c r="J29" s="81"/>
      <c r="K29" s="81"/>
      <c r="L29" s="81"/>
      <c r="M29" s="81"/>
      <c r="N29" s="81"/>
      <c r="O29" s="81"/>
      <c r="P29" s="81"/>
      <c r="Q29" s="81"/>
      <c r="R29" s="121"/>
      <c r="S29" s="81"/>
      <c r="T29" s="81"/>
      <c r="U29" s="212"/>
      <c r="V29" s="212"/>
      <c r="W29" s="212"/>
      <c r="X29" s="212"/>
      <c r="Y29" s="212"/>
      <c r="Z29" s="212"/>
      <c r="AA29" s="212"/>
      <c r="AB29" s="212"/>
      <c r="AC29" s="212"/>
    </row>
    <row r="30" spans="1:29">
      <c r="A30" s="81"/>
      <c r="B30" s="81"/>
      <c r="C30" s="81"/>
      <c r="D30" s="81"/>
      <c r="E30" s="81"/>
      <c r="F30" s="81"/>
      <c r="G30" s="81"/>
      <c r="H30" s="121"/>
      <c r="I30" s="81"/>
      <c r="J30" s="81"/>
      <c r="K30" s="81"/>
      <c r="L30" s="81"/>
      <c r="M30" s="81"/>
      <c r="N30" s="81"/>
      <c r="O30" s="81"/>
      <c r="P30" s="81"/>
      <c r="Q30" s="81"/>
      <c r="R30" s="121"/>
      <c r="S30" s="81"/>
      <c r="T30" s="81"/>
      <c r="U30" s="212"/>
      <c r="V30" s="212"/>
      <c r="W30" s="212"/>
      <c r="X30" s="212"/>
      <c r="Y30" s="212"/>
      <c r="Z30" s="212"/>
      <c r="AA30" s="212"/>
      <c r="AB30" s="212"/>
      <c r="AC30" s="212"/>
    </row>
    <row r="31" spans="1:29" ht="18.75">
      <c r="A31" s="112" t="s">
        <v>634</v>
      </c>
      <c r="B31" s="144"/>
      <c r="C31" s="144"/>
      <c r="D31" s="144"/>
      <c r="E31" s="144"/>
      <c r="F31" s="104" t="s">
        <v>372</v>
      </c>
      <c r="G31" s="151"/>
      <c r="H31" s="121"/>
      <c r="I31" s="81"/>
      <c r="J31" s="81"/>
      <c r="K31" s="81"/>
      <c r="L31" s="81"/>
      <c r="M31" s="81"/>
      <c r="N31" s="81"/>
      <c r="O31" s="81"/>
      <c r="P31" s="81"/>
      <c r="Q31" s="81"/>
      <c r="R31" s="121"/>
      <c r="S31" s="81"/>
      <c r="T31" s="81"/>
      <c r="U31" s="212"/>
      <c r="V31" s="104" t="s">
        <v>373</v>
      </c>
      <c r="W31" s="104"/>
      <c r="X31" s="104"/>
      <c r="Y31" s="839"/>
      <c r="Z31" s="839"/>
      <c r="AA31" s="839"/>
      <c r="AB31" s="839"/>
      <c r="AC31" s="839"/>
    </row>
    <row r="32" spans="1:29" ht="38.25">
      <c r="A32" s="152" t="s">
        <v>621</v>
      </c>
      <c r="B32" s="152" t="s">
        <v>374</v>
      </c>
      <c r="C32" s="152" t="s">
        <v>375</v>
      </c>
      <c r="D32" s="153" t="s">
        <v>622</v>
      </c>
      <c r="E32" s="152" t="s">
        <v>376</v>
      </c>
      <c r="F32" s="152" t="s">
        <v>377</v>
      </c>
      <c r="G32" s="154" t="s">
        <v>378</v>
      </c>
      <c r="H32" s="154" t="s">
        <v>400</v>
      </c>
      <c r="I32" s="154" t="s">
        <v>398</v>
      </c>
      <c r="J32" s="154" t="s">
        <v>380</v>
      </c>
      <c r="K32" s="154" t="s">
        <v>383</v>
      </c>
      <c r="L32" s="154" t="s">
        <v>382</v>
      </c>
      <c r="M32" s="130"/>
      <c r="N32" s="154" t="s">
        <v>623</v>
      </c>
      <c r="O32" s="154" t="s">
        <v>624</v>
      </c>
      <c r="P32" s="81"/>
      <c r="Q32" s="155" t="s">
        <v>595</v>
      </c>
      <c r="R32" s="153" t="s">
        <v>625</v>
      </c>
      <c r="S32" s="153" t="s">
        <v>626</v>
      </c>
      <c r="T32" s="81"/>
      <c r="U32" s="212"/>
      <c r="V32" s="152" t="s">
        <v>385</v>
      </c>
      <c r="W32" s="152" t="s">
        <v>374</v>
      </c>
      <c r="X32" s="152" t="s">
        <v>375</v>
      </c>
      <c r="Y32" s="152" t="s">
        <v>386</v>
      </c>
      <c r="Z32" s="152" t="s">
        <v>387</v>
      </c>
      <c r="AA32" s="152" t="s">
        <v>388</v>
      </c>
      <c r="AB32" s="152" t="s">
        <v>389</v>
      </c>
      <c r="AC32" s="152" t="s">
        <v>401</v>
      </c>
    </row>
    <row r="33" spans="1:29" ht="39" thickBot="1">
      <c r="A33" s="156" t="s">
        <v>627</v>
      </c>
      <c r="B33" s="157"/>
      <c r="C33" s="157"/>
      <c r="D33" s="158" t="s">
        <v>628</v>
      </c>
      <c r="E33" s="157"/>
      <c r="F33" s="157"/>
      <c r="G33" s="159"/>
      <c r="H33" s="160" t="s">
        <v>629</v>
      </c>
      <c r="I33" s="161" t="s">
        <v>630</v>
      </c>
      <c r="J33" s="158" t="s">
        <v>631</v>
      </c>
      <c r="K33" s="158" t="s">
        <v>632</v>
      </c>
      <c r="L33" s="158"/>
      <c r="M33" s="130"/>
      <c r="N33" s="158" t="s">
        <v>53</v>
      </c>
      <c r="O33" s="158" t="s">
        <v>53</v>
      </c>
      <c r="P33" s="81"/>
      <c r="Q33" s="146"/>
      <c r="R33" s="160" t="s">
        <v>629</v>
      </c>
      <c r="S33" s="161" t="s">
        <v>630</v>
      </c>
      <c r="T33" s="81"/>
      <c r="U33" s="212"/>
      <c r="V33" s="157" t="s">
        <v>370</v>
      </c>
      <c r="W33" s="157"/>
      <c r="X33" s="157"/>
      <c r="Y33" s="157"/>
      <c r="Z33" s="157"/>
      <c r="AA33" s="157"/>
      <c r="AB33" s="157"/>
      <c r="AC33" s="157"/>
    </row>
    <row r="34" spans="1:29">
      <c r="A34" s="111">
        <f>RSD_Balance!$B$139</f>
        <v>0</v>
      </c>
      <c r="B34" s="111" t="e">
        <f>LEFT(A34,5)&amp;RIGHT(E34,3)&amp;"_00_Ref"</f>
        <v>#REF!</v>
      </c>
      <c r="C34" s="162" t="e">
        <f>"Existing residential - Refrigeration "&amp;RIGHT(E34,3)&amp;" Refrigerator"</f>
        <v>#REF!</v>
      </c>
      <c r="D34" s="175">
        <v>0.3</v>
      </c>
      <c r="E34" s="111" t="e">
        <f>RSD_Balance!#REF!</f>
        <v>#REF!</v>
      </c>
      <c r="F34" s="111"/>
      <c r="G34" s="176">
        <v>0.9</v>
      </c>
      <c r="H34" s="164" t="e">
        <f>R34</f>
        <v>#REF!</v>
      </c>
      <c r="I34" s="164">
        <f>S34</f>
        <v>0</v>
      </c>
      <c r="J34" s="165">
        <v>10</v>
      </c>
      <c r="K34" s="177">
        <f>3.9/0.95*2/1000</f>
        <v>8.2105263157894737E-3</v>
      </c>
      <c r="L34" s="166"/>
      <c r="M34" s="81"/>
      <c r="N34" s="167" t="e">
        <f>IF(G34=0,0,I34*H34/G34)</f>
        <v>#REF!</v>
      </c>
      <c r="O34" s="167">
        <f>RSD_Balance!$J$139*D34</f>
        <v>0</v>
      </c>
      <c r="P34" s="81"/>
      <c r="Q34" s="168">
        <f>G34</f>
        <v>0.9</v>
      </c>
      <c r="R34" s="169" t="e">
        <f>IF(S38=0,0,SUMPRODUCT(Q34:Q36,O34:O36)/S38)</f>
        <v>#REF!</v>
      </c>
      <c r="S34" s="168">
        <f>IF($O$38=0,0,Q34*O34/SUMPRODUCT($O$34:$O$36,$Q$34:$Q$36)*$S$38)</f>
        <v>0</v>
      </c>
      <c r="T34" s="81"/>
      <c r="U34" s="212"/>
      <c r="V34" s="212" t="s">
        <v>407</v>
      </c>
      <c r="W34" s="212" t="e">
        <f t="shared" ref="W34:W36" si="11">B34</f>
        <v>#REF!</v>
      </c>
      <c r="X34" s="212" t="e">
        <f t="shared" ref="X34:X36" si="12">C34</f>
        <v>#REF!</v>
      </c>
      <c r="Y34" s="212" t="s">
        <v>53</v>
      </c>
      <c r="Z34" s="212" t="s">
        <v>394</v>
      </c>
      <c r="AA34" s="212"/>
      <c r="AB34" s="212"/>
      <c r="AC34" s="212"/>
    </row>
    <row r="35" spans="1:29">
      <c r="A35" s="111">
        <f>RSD_Balance!$B$139</f>
        <v>0</v>
      </c>
      <c r="B35" s="111" t="e">
        <f>LEFT(A35,5)&amp;RIGHT(E35,3)&amp;"_00_Fre"</f>
        <v>#REF!</v>
      </c>
      <c r="C35" s="162" t="e">
        <f>"Existing residential - Refrigeration "&amp;RIGHT(E35,3)&amp;" Freezer"</f>
        <v>#REF!</v>
      </c>
      <c r="D35" s="178">
        <v>0.31</v>
      </c>
      <c r="E35" s="111" t="e">
        <f>RSD_Balance!#REF!</f>
        <v>#REF!</v>
      </c>
      <c r="F35" s="111"/>
      <c r="G35" s="176">
        <v>0.85</v>
      </c>
      <c r="H35" s="169" t="e">
        <f>$H$34</f>
        <v>#REF!</v>
      </c>
      <c r="I35" s="164">
        <f>S35</f>
        <v>0</v>
      </c>
      <c r="J35" s="165">
        <v>15</v>
      </c>
      <c r="K35" s="177">
        <f>3.9/1.25*2/1000</f>
        <v>6.2399999999999999E-3</v>
      </c>
      <c r="L35" s="166"/>
      <c r="M35" s="81"/>
      <c r="N35" s="167" t="e">
        <f>IF(G35=0,0,I35*H35/G35)</f>
        <v>#REF!</v>
      </c>
      <c r="O35" s="167">
        <f>RSD_Balance!$J$139*D35</f>
        <v>0</v>
      </c>
      <c r="P35" s="81"/>
      <c r="Q35" s="168">
        <f>G35</f>
        <v>0.85</v>
      </c>
      <c r="R35" s="169" t="e">
        <f>$R$34</f>
        <v>#REF!</v>
      </c>
      <c r="S35" s="168">
        <f>IF($O$38=0,0,Q35*O35/SUMPRODUCT($O$34:$O$36,$Q$34:$Q$36)*$S$38)</f>
        <v>0</v>
      </c>
      <c r="T35" s="81"/>
      <c r="U35" s="212"/>
      <c r="V35" s="212" t="s">
        <v>407</v>
      </c>
      <c r="W35" s="212" t="e">
        <f t="shared" si="11"/>
        <v>#REF!</v>
      </c>
      <c r="X35" s="212" t="e">
        <f t="shared" si="12"/>
        <v>#REF!</v>
      </c>
      <c r="Y35" s="212" t="s">
        <v>53</v>
      </c>
      <c r="Z35" s="212" t="s">
        <v>394</v>
      </c>
      <c r="AA35" s="212"/>
      <c r="AB35" s="212"/>
      <c r="AC35" s="212"/>
    </row>
    <row r="36" spans="1:29" ht="13.5" thickBot="1">
      <c r="A36" s="111">
        <f>RSD_Balance!$B$139</f>
        <v>0</v>
      </c>
      <c r="B36" s="111" t="e">
        <f>LEFT(A36,5)&amp;RIGHT(E36,3)&amp;"_00_RF"</f>
        <v>#REF!</v>
      </c>
      <c r="C36" s="162" t="e">
        <f>"Existing residential - Refrigeration "&amp;RIGHT(E36,3)&amp;" Refrigerator+Freezer"</f>
        <v>#REF!</v>
      </c>
      <c r="D36" s="179">
        <f>1-D35-D34</f>
        <v>0.38999999999999996</v>
      </c>
      <c r="E36" s="111" t="e">
        <f>RSD_Balance!#REF!</f>
        <v>#REF!</v>
      </c>
      <c r="F36" s="111"/>
      <c r="G36" s="176">
        <v>1</v>
      </c>
      <c r="H36" s="169" t="e">
        <f>$H$34</f>
        <v>#REF!</v>
      </c>
      <c r="I36" s="164">
        <f>S36</f>
        <v>0</v>
      </c>
      <c r="J36" s="165">
        <v>15</v>
      </c>
      <c r="K36" s="166">
        <f>3.3*2/1000</f>
        <v>6.6E-3</v>
      </c>
      <c r="L36" s="166"/>
      <c r="M36" s="81"/>
      <c r="N36" s="167" t="e">
        <f>IF(G36=0,0,I36*H36/G36)</f>
        <v>#REF!</v>
      </c>
      <c r="O36" s="167">
        <f>RSD_Balance!$J$139*D36</f>
        <v>0</v>
      </c>
      <c r="P36" s="81"/>
      <c r="Q36" s="168">
        <f>G36</f>
        <v>1</v>
      </c>
      <c r="R36" s="169" t="e">
        <f>$R$34</f>
        <v>#REF!</v>
      </c>
      <c r="S36" s="168">
        <f>IF($O$38=0,0,Q36*O36/SUMPRODUCT($O$34:$O$36,$Q$34:$Q$36)*$S$38)</f>
        <v>0</v>
      </c>
      <c r="T36" s="81"/>
      <c r="U36" s="212"/>
      <c r="V36" s="212" t="s">
        <v>407</v>
      </c>
      <c r="W36" s="212" t="e">
        <f t="shared" si="11"/>
        <v>#REF!</v>
      </c>
      <c r="X36" s="212" t="e">
        <f t="shared" si="12"/>
        <v>#REF!</v>
      </c>
      <c r="Y36" s="212" t="s">
        <v>53</v>
      </c>
      <c r="Z36" s="212" t="s">
        <v>394</v>
      </c>
      <c r="AA36" s="212"/>
      <c r="AB36" s="212"/>
      <c r="AC36" s="212"/>
    </row>
    <row r="37" spans="1:29">
      <c r="A37" s="170" t="s">
        <v>595</v>
      </c>
      <c r="B37" s="111"/>
      <c r="C37" s="111"/>
      <c r="D37" s="111"/>
      <c r="E37" s="111"/>
      <c r="F37" s="111"/>
      <c r="G37" s="111"/>
      <c r="H37" s="169"/>
      <c r="I37" s="111"/>
      <c r="J37" s="111"/>
      <c r="K37" s="111"/>
      <c r="L37" s="111"/>
      <c r="M37" s="81"/>
      <c r="N37" s="111"/>
      <c r="O37" s="111"/>
      <c r="P37" s="81"/>
      <c r="Q37" s="111"/>
      <c r="R37" s="169"/>
      <c r="S37" s="111"/>
      <c r="T37" s="81"/>
      <c r="U37" s="212"/>
      <c r="V37" s="212"/>
      <c r="W37" s="212"/>
      <c r="X37" s="212"/>
      <c r="Y37" s="212"/>
      <c r="Z37" s="212"/>
      <c r="AA37" s="212"/>
      <c r="AB37" s="212"/>
      <c r="AC37" s="212"/>
    </row>
    <row r="38" spans="1:29">
      <c r="A38" s="171" t="s">
        <v>633</v>
      </c>
      <c r="B38" s="111"/>
      <c r="C38" s="111"/>
      <c r="D38" s="111"/>
      <c r="E38" s="111"/>
      <c r="F38" s="111"/>
      <c r="G38" s="168"/>
      <c r="H38" s="169"/>
      <c r="I38" s="172">
        <f>SUM(I34:I37)</f>
        <v>0</v>
      </c>
      <c r="J38" s="111"/>
      <c r="K38" s="173"/>
      <c r="L38" s="173"/>
      <c r="M38" s="81"/>
      <c r="N38" s="168" t="e">
        <f>SUM(N34:N36)</f>
        <v>#REF!</v>
      </c>
      <c r="O38" s="168">
        <f>SUM(O34:O36)</f>
        <v>0</v>
      </c>
      <c r="P38" s="81"/>
      <c r="Q38" s="111"/>
      <c r="R38" s="169"/>
      <c r="S38" s="174" t="e">
        <f>SUM(DwellingStocks!#REF!)/1000</f>
        <v>#REF!</v>
      </c>
      <c r="T38" s="81"/>
      <c r="U38" s="212"/>
      <c r="V38" s="212"/>
      <c r="W38" s="212"/>
      <c r="X38" s="212"/>
      <c r="Y38" s="212"/>
      <c r="Z38" s="212"/>
      <c r="AA38" s="212"/>
      <c r="AB38" s="212"/>
      <c r="AC38" s="212"/>
    </row>
    <row r="39" spans="1:29">
      <c r="A39" s="81"/>
      <c r="B39" s="81"/>
      <c r="C39" s="81"/>
      <c r="D39" s="81"/>
      <c r="E39" s="81"/>
      <c r="F39" s="81"/>
      <c r="G39" s="81"/>
      <c r="H39" s="121"/>
      <c r="I39" s="81"/>
      <c r="J39" s="81"/>
      <c r="K39" s="81"/>
      <c r="L39" s="81"/>
      <c r="M39" s="81"/>
      <c r="N39" s="81"/>
      <c r="O39" s="81"/>
      <c r="P39" s="81"/>
      <c r="Q39" s="81"/>
      <c r="R39" s="121"/>
      <c r="S39" s="81"/>
      <c r="T39" s="81"/>
      <c r="U39" s="212"/>
      <c r="V39" s="212"/>
      <c r="W39" s="212"/>
      <c r="X39" s="212"/>
      <c r="Y39" s="212"/>
      <c r="Z39" s="212"/>
      <c r="AA39" s="212"/>
      <c r="AB39" s="212"/>
      <c r="AC39" s="212"/>
    </row>
    <row r="40" spans="1:29">
      <c r="A40" s="81"/>
      <c r="B40" s="81"/>
      <c r="C40" s="81"/>
      <c r="D40" s="81"/>
      <c r="E40" s="81"/>
      <c r="F40" s="81"/>
      <c r="G40" s="81"/>
      <c r="H40" s="121"/>
      <c r="I40" s="81"/>
      <c r="J40" s="81"/>
      <c r="K40" s="81"/>
      <c r="L40" s="81"/>
      <c r="M40" s="81"/>
      <c r="N40" s="81"/>
      <c r="O40" s="81"/>
      <c r="P40" s="81"/>
      <c r="Q40" s="81"/>
      <c r="R40" s="121"/>
      <c r="S40" s="81"/>
      <c r="T40" s="81"/>
      <c r="U40" s="212"/>
      <c r="V40" s="212"/>
      <c r="W40" s="212"/>
      <c r="X40" s="212"/>
      <c r="Y40" s="212"/>
      <c r="Z40" s="212"/>
      <c r="AA40" s="212"/>
      <c r="AB40" s="212"/>
      <c r="AC40" s="212"/>
    </row>
    <row r="41" spans="1:29">
      <c r="A41" s="81"/>
      <c r="B41" s="81"/>
      <c r="C41" s="81"/>
      <c r="D41" s="81"/>
      <c r="E41" s="81"/>
      <c r="F41" s="81"/>
      <c r="G41" s="81"/>
      <c r="H41" s="121"/>
      <c r="I41" s="81"/>
      <c r="J41" s="81"/>
      <c r="K41" s="81"/>
      <c r="L41" s="81"/>
      <c r="M41" s="81"/>
      <c r="N41" s="81"/>
      <c r="O41" s="81"/>
      <c r="P41" s="81"/>
      <c r="Q41" s="81"/>
      <c r="R41" s="121"/>
      <c r="S41" s="81"/>
      <c r="T41" s="81"/>
      <c r="U41" s="212"/>
      <c r="V41" s="212"/>
      <c r="W41" s="212"/>
      <c r="X41" s="212"/>
      <c r="Y41" s="212"/>
      <c r="Z41" s="212"/>
      <c r="AA41" s="212"/>
      <c r="AB41" s="212"/>
      <c r="AC41" s="212"/>
    </row>
    <row r="42" spans="1:29">
      <c r="A42" s="81"/>
      <c r="B42" s="81"/>
      <c r="C42" s="81"/>
      <c r="D42" s="81"/>
      <c r="E42" s="81"/>
      <c r="F42" s="81"/>
      <c r="G42" s="81"/>
      <c r="H42" s="121"/>
      <c r="I42" s="81"/>
      <c r="J42" s="81"/>
      <c r="K42" s="81"/>
      <c r="L42" s="81"/>
      <c r="M42" s="81"/>
      <c r="N42" s="81"/>
      <c r="O42" s="81"/>
      <c r="P42" s="81"/>
      <c r="Q42" s="81"/>
      <c r="R42" s="121"/>
      <c r="S42" s="81"/>
      <c r="T42" s="81"/>
      <c r="U42" s="212"/>
      <c r="V42" s="212"/>
      <c r="W42" s="212"/>
      <c r="X42" s="212"/>
      <c r="Y42" s="212"/>
      <c r="Z42" s="212"/>
      <c r="AA42" s="212"/>
      <c r="AB42" s="212"/>
      <c r="AC42" s="212"/>
    </row>
    <row r="43" spans="1:29" ht="18.75">
      <c r="A43" s="112" t="s">
        <v>635</v>
      </c>
      <c r="B43" s="144"/>
      <c r="C43" s="144"/>
      <c r="D43" s="144"/>
      <c r="E43" s="144"/>
      <c r="F43" s="104" t="s">
        <v>372</v>
      </c>
      <c r="G43" s="151"/>
      <c r="H43" s="121"/>
      <c r="I43" s="81"/>
      <c r="J43" s="81"/>
      <c r="K43" s="81"/>
      <c r="L43" s="81"/>
      <c r="M43" s="81"/>
      <c r="N43" s="81"/>
      <c r="O43" s="81"/>
      <c r="P43" s="81"/>
      <c r="Q43" s="81"/>
      <c r="R43" s="121"/>
      <c r="S43" s="81"/>
      <c r="T43" s="81"/>
      <c r="U43" s="212"/>
      <c r="V43" s="104" t="s">
        <v>373</v>
      </c>
      <c r="W43" s="104"/>
      <c r="X43" s="104"/>
      <c r="Y43" s="839"/>
      <c r="Z43" s="839"/>
      <c r="AA43" s="839"/>
      <c r="AB43" s="839"/>
      <c r="AC43" s="839"/>
    </row>
    <row r="44" spans="1:29" ht="38.25">
      <c r="A44" s="152" t="s">
        <v>621</v>
      </c>
      <c r="B44" s="152" t="s">
        <v>374</v>
      </c>
      <c r="C44" s="152" t="s">
        <v>375</v>
      </c>
      <c r="D44" s="153" t="s">
        <v>622</v>
      </c>
      <c r="E44" s="152" t="s">
        <v>376</v>
      </c>
      <c r="F44" s="152" t="s">
        <v>377</v>
      </c>
      <c r="G44" s="154" t="s">
        <v>378</v>
      </c>
      <c r="H44" s="154" t="s">
        <v>400</v>
      </c>
      <c r="I44" s="154" t="s">
        <v>398</v>
      </c>
      <c r="J44" s="154" t="s">
        <v>380</v>
      </c>
      <c r="K44" s="154" t="s">
        <v>383</v>
      </c>
      <c r="L44" s="154" t="s">
        <v>382</v>
      </c>
      <c r="M44" s="130"/>
      <c r="N44" s="154" t="s">
        <v>623</v>
      </c>
      <c r="O44" s="154" t="s">
        <v>624</v>
      </c>
      <c r="P44" s="81"/>
      <c r="Q44" s="155" t="s">
        <v>595</v>
      </c>
      <c r="R44" s="153" t="s">
        <v>625</v>
      </c>
      <c r="S44" s="153" t="s">
        <v>626</v>
      </c>
      <c r="T44" s="81"/>
      <c r="U44" s="212"/>
      <c r="V44" s="152" t="s">
        <v>385</v>
      </c>
      <c r="W44" s="152" t="s">
        <v>374</v>
      </c>
      <c r="X44" s="152" t="s">
        <v>375</v>
      </c>
      <c r="Y44" s="152" t="s">
        <v>386</v>
      </c>
      <c r="Z44" s="152" t="s">
        <v>387</v>
      </c>
      <c r="AA44" s="152" t="s">
        <v>388</v>
      </c>
      <c r="AB44" s="152" t="s">
        <v>389</v>
      </c>
      <c r="AC44" s="152" t="s">
        <v>401</v>
      </c>
    </row>
    <row r="45" spans="1:29" ht="39" thickBot="1">
      <c r="A45" s="156" t="s">
        <v>627</v>
      </c>
      <c r="B45" s="157"/>
      <c r="C45" s="157"/>
      <c r="D45" s="158" t="s">
        <v>628</v>
      </c>
      <c r="E45" s="157"/>
      <c r="F45" s="157"/>
      <c r="G45" s="159"/>
      <c r="H45" s="160" t="s">
        <v>629</v>
      </c>
      <c r="I45" s="161" t="s">
        <v>630</v>
      </c>
      <c r="J45" s="158" t="s">
        <v>631</v>
      </c>
      <c r="K45" s="158" t="s">
        <v>632</v>
      </c>
      <c r="L45" s="158"/>
      <c r="M45" s="130"/>
      <c r="N45" s="158" t="s">
        <v>53</v>
      </c>
      <c r="O45" s="158" t="s">
        <v>53</v>
      </c>
      <c r="P45" s="81"/>
      <c r="Q45" s="146"/>
      <c r="R45" s="160" t="s">
        <v>629</v>
      </c>
      <c r="S45" s="161" t="s">
        <v>630</v>
      </c>
      <c r="T45" s="81"/>
      <c r="U45" s="212"/>
      <c r="V45" s="157" t="s">
        <v>370</v>
      </c>
      <c r="W45" s="157"/>
      <c r="X45" s="157"/>
      <c r="Y45" s="157"/>
      <c r="Z45" s="157"/>
      <c r="AA45" s="157"/>
      <c r="AB45" s="157"/>
      <c r="AC45" s="157"/>
    </row>
    <row r="46" spans="1:29">
      <c r="A46" s="149">
        <f>RSD_Balance!$B$140</f>
        <v>0</v>
      </c>
      <c r="B46" s="149" t="e">
        <f>LEFT(A46,5)&amp;RIGHT(E46,3)&amp;"_00_W"</f>
        <v>#REF!</v>
      </c>
      <c r="C46" s="180" t="e">
        <f>"Existing residential - Cloth Washing "&amp;RIGHT(E46,3)&amp;" Cloth Washer"</f>
        <v>#REF!</v>
      </c>
      <c r="D46" s="175">
        <v>0.99</v>
      </c>
      <c r="E46" s="149" t="e">
        <f>RSD_Balance!#REF!</f>
        <v>#REF!</v>
      </c>
      <c r="F46" s="149"/>
      <c r="G46" s="163">
        <v>1</v>
      </c>
      <c r="H46" s="164" t="e">
        <f>R46</f>
        <v>#REF!</v>
      </c>
      <c r="I46" s="164">
        <f>S46</f>
        <v>0</v>
      </c>
      <c r="J46" s="165">
        <v>15</v>
      </c>
      <c r="K46" s="166">
        <f>7.3/1000</f>
        <v>7.3000000000000001E-3</v>
      </c>
      <c r="L46" s="166"/>
      <c r="M46" s="130"/>
      <c r="N46" s="167" t="e">
        <f>IF(G46=0,0,I46*H46/G46)</f>
        <v>#REF!</v>
      </c>
      <c r="O46" s="167">
        <f>RSD_Balance!$J$140*D46</f>
        <v>0</v>
      </c>
      <c r="P46" s="81"/>
      <c r="Q46" s="168">
        <f>G46</f>
        <v>1</v>
      </c>
      <c r="R46" s="169" t="e">
        <f>IF(S50=0,0,SUMPRODUCT(Q46:Q47,O46:O47)/S50)</f>
        <v>#REF!</v>
      </c>
      <c r="S46" s="168">
        <f>IF($O$50=0,0,Q46*O46/SUMPRODUCT($O$46:$O$47,$Q$46:$Q$47)*$S$50)</f>
        <v>0</v>
      </c>
      <c r="T46" s="81"/>
      <c r="U46" s="212"/>
      <c r="V46" s="212" t="s">
        <v>407</v>
      </c>
      <c r="W46" s="212" t="e">
        <f t="shared" ref="W46:W47" si="13">B46</f>
        <v>#REF!</v>
      </c>
      <c r="X46" s="212" t="e">
        <f t="shared" ref="X46:X47" si="14">C46</f>
        <v>#REF!</v>
      </c>
      <c r="Y46" s="212" t="s">
        <v>53</v>
      </c>
      <c r="Z46" s="212" t="s">
        <v>394</v>
      </c>
      <c r="AA46" s="212"/>
      <c r="AB46" s="212"/>
      <c r="AC46" s="212"/>
    </row>
    <row r="47" spans="1:29" ht="13.5" thickBot="1">
      <c r="A47" s="111">
        <f>RSD_Balance!$B$140</f>
        <v>0</v>
      </c>
      <c r="B47" s="111" t="e">
        <f>LEFT(A47,5)&amp;RIGHT(E47,3)&amp;"_00_WD"</f>
        <v>#REF!</v>
      </c>
      <c r="C47" s="180" t="e">
        <f>"Existing residential - Cloth Washing "&amp;RIGHT(E47,3)&amp;" Cloth Washer+Dryer"</f>
        <v>#REF!</v>
      </c>
      <c r="D47" s="179">
        <f>1-D46</f>
        <v>1.0000000000000009E-2</v>
      </c>
      <c r="E47" s="111" t="e">
        <f>RSD_Balance!#REF!</f>
        <v>#REF!</v>
      </c>
      <c r="F47" s="111">
        <f>RSD_Balance!B140</f>
        <v>0</v>
      </c>
      <c r="G47" s="163">
        <v>0.9</v>
      </c>
      <c r="H47" s="169" t="e">
        <f>$H$46</f>
        <v>#REF!</v>
      </c>
      <c r="I47" s="164">
        <f>S47</f>
        <v>0</v>
      </c>
      <c r="J47" s="165">
        <v>15</v>
      </c>
      <c r="K47" s="166">
        <f>7.3/1000</f>
        <v>7.3000000000000001E-3</v>
      </c>
      <c r="L47" s="166"/>
      <c r="M47" s="81"/>
      <c r="N47" s="167" t="e">
        <f>IF(G47=0,0,I47*H47/G47)</f>
        <v>#REF!</v>
      </c>
      <c r="O47" s="167">
        <f>RSD_Balance!$J$140*D47</f>
        <v>0</v>
      </c>
      <c r="P47" s="81"/>
      <c r="Q47" s="168">
        <f>G47</f>
        <v>0.9</v>
      </c>
      <c r="R47" s="169" t="e">
        <f>$R$46</f>
        <v>#REF!</v>
      </c>
      <c r="S47" s="168">
        <f>IF($O$50=0,0,Q47*O47/SUMPRODUCT($O$46:$O$47,$Q$46:$Q$47)*$S$50)</f>
        <v>0</v>
      </c>
      <c r="T47" s="81"/>
      <c r="U47" s="212"/>
      <c r="V47" s="212" t="s">
        <v>407</v>
      </c>
      <c r="W47" s="212" t="e">
        <f t="shared" si="13"/>
        <v>#REF!</v>
      </c>
      <c r="X47" s="212" t="e">
        <f t="shared" si="14"/>
        <v>#REF!</v>
      </c>
      <c r="Y47" s="212" t="s">
        <v>53</v>
      </c>
      <c r="Z47" s="212" t="s">
        <v>394</v>
      </c>
      <c r="AA47" s="212"/>
      <c r="AB47" s="212"/>
      <c r="AC47" s="212"/>
    </row>
    <row r="48" spans="1:29">
      <c r="A48" s="170"/>
      <c r="B48" s="111"/>
      <c r="C48" s="111"/>
      <c r="D48" s="111"/>
      <c r="E48" s="111"/>
      <c r="F48" s="111">
        <f>RSD_Balance!B141</f>
        <v>0</v>
      </c>
      <c r="G48" s="111"/>
      <c r="H48" s="169"/>
      <c r="I48" s="111"/>
      <c r="J48" s="111"/>
      <c r="K48" s="111"/>
      <c r="L48" s="111"/>
      <c r="M48" s="81"/>
      <c r="N48" s="111"/>
      <c r="O48" s="111"/>
      <c r="P48" s="81"/>
      <c r="Q48" s="111"/>
      <c r="R48" s="169"/>
      <c r="S48" s="111"/>
      <c r="T48" s="81"/>
      <c r="U48" s="212"/>
      <c r="V48" s="212"/>
      <c r="W48" s="212"/>
      <c r="X48" s="212"/>
      <c r="Y48" s="212"/>
      <c r="Z48" s="212"/>
      <c r="AA48" s="212"/>
      <c r="AB48" s="212"/>
      <c r="AC48" s="212"/>
    </row>
    <row r="49" spans="1:29">
      <c r="A49" s="170" t="s">
        <v>595</v>
      </c>
      <c r="B49" s="111"/>
      <c r="C49" s="111"/>
      <c r="D49" s="111"/>
      <c r="E49" s="111"/>
      <c r="F49" s="111"/>
      <c r="G49" s="111"/>
      <c r="H49" s="169"/>
      <c r="I49" s="111"/>
      <c r="J49" s="111"/>
      <c r="K49" s="111"/>
      <c r="L49" s="111"/>
      <c r="M49" s="81"/>
      <c r="N49" s="111"/>
      <c r="O49" s="111"/>
      <c r="P49" s="81"/>
      <c r="Q49" s="111"/>
      <c r="R49" s="169"/>
      <c r="S49" s="111"/>
      <c r="T49" s="81"/>
      <c r="U49" s="212"/>
      <c r="V49" s="212"/>
      <c r="W49" s="212"/>
      <c r="X49" s="212"/>
      <c r="Y49" s="212"/>
      <c r="Z49" s="212"/>
      <c r="AA49" s="212"/>
      <c r="AB49" s="212"/>
      <c r="AC49" s="212"/>
    </row>
    <row r="50" spans="1:29">
      <c r="A50" s="171" t="s">
        <v>633</v>
      </c>
      <c r="B50" s="111"/>
      <c r="C50" s="111"/>
      <c r="D50" s="111"/>
      <c r="E50" s="111"/>
      <c r="F50" s="111"/>
      <c r="G50" s="168"/>
      <c r="H50" s="169"/>
      <c r="I50" s="172">
        <f>SUM(I46:I48)</f>
        <v>0</v>
      </c>
      <c r="J50" s="111"/>
      <c r="K50" s="173"/>
      <c r="L50" s="173"/>
      <c r="M50" s="81"/>
      <c r="N50" s="168" t="e">
        <f>SUM(N46:N47)</f>
        <v>#REF!</v>
      </c>
      <c r="O50" s="168">
        <f>SUM(O46:O47)</f>
        <v>0</v>
      </c>
      <c r="P50" s="81"/>
      <c r="Q50" s="111"/>
      <c r="R50" s="169"/>
      <c r="S50" s="181" t="e">
        <f>SUM(DwellingStocks!#REF!)/1000*0.9</f>
        <v>#REF!</v>
      </c>
      <c r="T50" s="81"/>
      <c r="U50" s="212"/>
      <c r="V50" s="212"/>
      <c r="W50" s="212"/>
      <c r="X50" s="212"/>
      <c r="Y50" s="212"/>
      <c r="Z50" s="212"/>
      <c r="AA50" s="212"/>
      <c r="AB50" s="212"/>
      <c r="AC50" s="212"/>
    </row>
    <row r="51" spans="1:29">
      <c r="A51" s="81"/>
      <c r="B51" s="81"/>
      <c r="C51" s="81"/>
      <c r="D51" s="81"/>
      <c r="E51" s="81"/>
      <c r="F51" s="81"/>
      <c r="G51" s="81"/>
      <c r="H51" s="121"/>
      <c r="I51" s="81"/>
      <c r="J51" s="81"/>
      <c r="K51" s="81"/>
      <c r="L51" s="81"/>
      <c r="M51" s="81"/>
      <c r="N51" s="81"/>
      <c r="O51" s="81"/>
      <c r="P51" s="81"/>
      <c r="Q51" s="81"/>
      <c r="R51" s="121"/>
      <c r="S51" s="81"/>
      <c r="T51" s="81"/>
      <c r="U51" s="212"/>
      <c r="V51" s="212"/>
      <c r="W51" s="212"/>
      <c r="X51" s="212"/>
      <c r="Y51" s="212"/>
      <c r="Z51" s="212"/>
      <c r="AA51" s="212"/>
      <c r="AB51" s="212"/>
      <c r="AC51" s="212"/>
    </row>
    <row r="52" spans="1:29">
      <c r="A52" s="81"/>
      <c r="B52" s="81"/>
      <c r="C52" s="81"/>
      <c r="D52" s="81"/>
      <c r="E52" s="81"/>
      <c r="F52" s="81"/>
      <c r="G52" s="81"/>
      <c r="H52" s="121"/>
      <c r="I52" s="81"/>
      <c r="J52" s="81"/>
      <c r="K52" s="81"/>
      <c r="L52" s="81"/>
      <c r="M52" s="81"/>
      <c r="N52" s="81"/>
      <c r="O52" s="81"/>
      <c r="P52" s="81"/>
      <c r="Q52" s="81"/>
      <c r="R52" s="121"/>
      <c r="S52" s="81"/>
      <c r="T52" s="81"/>
      <c r="U52" s="212"/>
      <c r="V52" s="212"/>
      <c r="W52" s="212"/>
      <c r="X52" s="212"/>
      <c r="Y52" s="212"/>
      <c r="Z52" s="212"/>
      <c r="AA52" s="212"/>
      <c r="AB52" s="212"/>
      <c r="AC52" s="212"/>
    </row>
    <row r="53" spans="1:29">
      <c r="A53" s="81"/>
      <c r="B53" s="81"/>
      <c r="C53" s="81"/>
      <c r="D53" s="81"/>
      <c r="E53" s="81"/>
      <c r="F53" s="81"/>
      <c r="G53" s="81"/>
      <c r="H53" s="121"/>
      <c r="I53" s="81"/>
      <c r="J53" s="81"/>
      <c r="K53" s="81"/>
      <c r="L53" s="81"/>
      <c r="M53" s="81"/>
      <c r="N53" s="81"/>
      <c r="O53" s="81"/>
      <c r="P53" s="81"/>
      <c r="Q53" s="81"/>
      <c r="R53" s="121"/>
      <c r="S53" s="81"/>
      <c r="T53" s="81"/>
      <c r="U53" s="212"/>
      <c r="V53" s="212"/>
      <c r="W53" s="212"/>
      <c r="X53" s="212"/>
      <c r="Y53" s="212"/>
      <c r="Z53" s="212"/>
      <c r="AA53" s="212"/>
      <c r="AB53" s="212"/>
      <c r="AC53" s="212"/>
    </row>
    <row r="54" spans="1:29">
      <c r="A54" s="81"/>
      <c r="B54" s="81"/>
      <c r="C54" s="81"/>
      <c r="D54" s="81"/>
      <c r="E54" s="81"/>
      <c r="F54" s="81"/>
      <c r="G54" s="81"/>
      <c r="H54" s="121"/>
      <c r="I54" s="81"/>
      <c r="J54" s="81"/>
      <c r="K54" s="81"/>
      <c r="L54" s="81"/>
      <c r="M54" s="81"/>
      <c r="N54" s="81"/>
      <c r="O54" s="81"/>
      <c r="P54" s="81"/>
      <c r="Q54" s="81"/>
      <c r="R54" s="121"/>
      <c r="S54" s="81"/>
      <c r="T54" s="81"/>
      <c r="U54" s="212"/>
      <c r="V54" s="212"/>
      <c r="W54" s="212"/>
      <c r="X54" s="212"/>
      <c r="Y54" s="212"/>
      <c r="Z54" s="212"/>
      <c r="AA54" s="212"/>
      <c r="AB54" s="212"/>
      <c r="AC54" s="212"/>
    </row>
    <row r="55" spans="1:29" ht="18.75">
      <c r="A55" s="112" t="s">
        <v>636</v>
      </c>
      <c r="B55" s="144"/>
      <c r="C55" s="144"/>
      <c r="D55" s="144"/>
      <c r="E55" s="144"/>
      <c r="F55" s="104" t="s">
        <v>372</v>
      </c>
      <c r="G55" s="151"/>
      <c r="H55" s="121"/>
      <c r="I55" s="81"/>
      <c r="J55" s="81"/>
      <c r="K55" s="81"/>
      <c r="L55" s="81"/>
      <c r="M55" s="81"/>
      <c r="N55" s="81"/>
      <c r="O55" s="81"/>
      <c r="P55" s="81"/>
      <c r="Q55" s="81"/>
      <c r="R55" s="121"/>
      <c r="S55" s="81"/>
      <c r="T55" s="81"/>
      <c r="U55" s="212"/>
      <c r="V55" s="104" t="s">
        <v>373</v>
      </c>
      <c r="W55" s="104"/>
      <c r="X55" s="104"/>
      <c r="Y55" s="839"/>
      <c r="Z55" s="839"/>
      <c r="AA55" s="839"/>
      <c r="AB55" s="839"/>
      <c r="AC55" s="839"/>
    </row>
    <row r="56" spans="1:29" ht="38.25">
      <c r="A56" s="152" t="s">
        <v>621</v>
      </c>
      <c r="B56" s="152" t="s">
        <v>374</v>
      </c>
      <c r="C56" s="152" t="s">
        <v>375</v>
      </c>
      <c r="D56" s="153" t="s">
        <v>622</v>
      </c>
      <c r="E56" s="152" t="s">
        <v>376</v>
      </c>
      <c r="F56" s="152" t="s">
        <v>377</v>
      </c>
      <c r="G56" s="154" t="s">
        <v>378</v>
      </c>
      <c r="H56" s="154" t="s">
        <v>400</v>
      </c>
      <c r="I56" s="154" t="s">
        <v>398</v>
      </c>
      <c r="J56" s="154" t="s">
        <v>380</v>
      </c>
      <c r="K56" s="154" t="s">
        <v>383</v>
      </c>
      <c r="L56" s="154" t="s">
        <v>382</v>
      </c>
      <c r="M56" s="130"/>
      <c r="N56" s="154" t="s">
        <v>623</v>
      </c>
      <c r="O56" s="154" t="s">
        <v>624</v>
      </c>
      <c r="P56" s="81"/>
      <c r="Q56" s="155" t="s">
        <v>595</v>
      </c>
      <c r="R56" s="153" t="s">
        <v>625</v>
      </c>
      <c r="S56" s="153" t="s">
        <v>626</v>
      </c>
      <c r="T56" s="81"/>
      <c r="U56" s="212"/>
      <c r="V56" s="152" t="s">
        <v>385</v>
      </c>
      <c r="W56" s="152" t="s">
        <v>374</v>
      </c>
      <c r="X56" s="152" t="s">
        <v>375</v>
      </c>
      <c r="Y56" s="152" t="s">
        <v>386</v>
      </c>
      <c r="Z56" s="152" t="s">
        <v>387</v>
      </c>
      <c r="AA56" s="152" t="s">
        <v>388</v>
      </c>
      <c r="AB56" s="152" t="s">
        <v>389</v>
      </c>
      <c r="AC56" s="152" t="s">
        <v>401</v>
      </c>
    </row>
    <row r="57" spans="1:29" ht="39" thickBot="1">
      <c r="A57" s="156" t="s">
        <v>627</v>
      </c>
      <c r="B57" s="157"/>
      <c r="C57" s="157"/>
      <c r="D57" s="158" t="s">
        <v>628</v>
      </c>
      <c r="E57" s="157"/>
      <c r="F57" s="157"/>
      <c r="G57" s="159"/>
      <c r="H57" s="160" t="s">
        <v>629</v>
      </c>
      <c r="I57" s="161" t="s">
        <v>630</v>
      </c>
      <c r="J57" s="158" t="s">
        <v>631</v>
      </c>
      <c r="K57" s="158" t="s">
        <v>632</v>
      </c>
      <c r="L57" s="158"/>
      <c r="M57" s="130"/>
      <c r="N57" s="158" t="s">
        <v>53</v>
      </c>
      <c r="O57" s="158" t="s">
        <v>53</v>
      </c>
      <c r="P57" s="81"/>
      <c r="Q57" s="146"/>
      <c r="R57" s="160" t="s">
        <v>629</v>
      </c>
      <c r="S57" s="161" t="s">
        <v>630</v>
      </c>
      <c r="T57" s="81"/>
      <c r="U57" s="212"/>
      <c r="V57" s="157" t="s">
        <v>370</v>
      </c>
      <c r="W57" s="157"/>
      <c r="X57" s="157"/>
      <c r="Y57" s="157"/>
      <c r="Z57" s="157"/>
      <c r="AA57" s="157"/>
      <c r="AB57" s="157"/>
      <c r="AC57" s="157"/>
    </row>
    <row r="58" spans="1:29">
      <c r="A58" s="111">
        <f>RSD_Balance!$B$141</f>
        <v>0</v>
      </c>
      <c r="B58" s="111" t="e">
        <f>LEFT(A58,5)&amp;RIGHT(E58,3)&amp;"_00"</f>
        <v>#REF!</v>
      </c>
      <c r="C58" s="180" t="e">
        <f>"Existing residential - Cloth Drying "&amp;RIGHT(E58,3)&amp;" Cloth Dryer"</f>
        <v>#REF!</v>
      </c>
      <c r="D58" s="111"/>
      <c r="E58" s="111" t="e">
        <f>RSD_Balance!#REF!</f>
        <v>#REF!</v>
      </c>
      <c r="F58" s="111"/>
      <c r="G58" s="163">
        <v>1</v>
      </c>
      <c r="H58" s="164" t="e">
        <f>R58</f>
        <v>#REF!</v>
      </c>
      <c r="I58" s="164">
        <f>S58</f>
        <v>0</v>
      </c>
      <c r="J58" s="165">
        <v>15</v>
      </c>
      <c r="K58" s="166">
        <f>5*1.3/1000</f>
        <v>6.4999999999999997E-3</v>
      </c>
      <c r="L58" s="166"/>
      <c r="M58" s="81"/>
      <c r="N58" s="167" t="e">
        <f>IF(G58=0,0,I58*H58/G58)</f>
        <v>#REF!</v>
      </c>
      <c r="O58" s="167">
        <f>RSD_Balance!$J$141</f>
        <v>0</v>
      </c>
      <c r="P58" s="81"/>
      <c r="Q58" s="168">
        <f>G58</f>
        <v>1</v>
      </c>
      <c r="R58" s="182" t="e">
        <f>IF(S60*Q58=0,0,SUMPRODUCT(Q58,O58)/S60)</f>
        <v>#REF!</v>
      </c>
      <c r="S58" s="168">
        <f>IF($O$60*Q58=0,0,Q58*O58/SUMPRODUCT($O$58,$Q$58)*$S$60)</f>
        <v>0</v>
      </c>
      <c r="T58" s="81"/>
      <c r="U58" s="212"/>
      <c r="V58" s="212" t="s">
        <v>407</v>
      </c>
      <c r="W58" s="212" t="e">
        <f t="shared" ref="W58" si="15">B58</f>
        <v>#REF!</v>
      </c>
      <c r="X58" s="212" t="e">
        <f t="shared" ref="X58" si="16">C58</f>
        <v>#REF!</v>
      </c>
      <c r="Y58" s="212" t="s">
        <v>53</v>
      </c>
      <c r="Z58" s="212" t="s">
        <v>394</v>
      </c>
      <c r="AA58" s="212"/>
      <c r="AB58" s="212"/>
      <c r="AC58" s="212"/>
    </row>
    <row r="59" spans="1:29">
      <c r="A59" s="170" t="s">
        <v>595</v>
      </c>
      <c r="B59" s="111"/>
      <c r="C59" s="111"/>
      <c r="D59" s="111"/>
      <c r="E59" s="111"/>
      <c r="F59" s="111"/>
      <c r="G59" s="111"/>
      <c r="H59" s="169"/>
      <c r="I59" s="111"/>
      <c r="J59" s="111"/>
      <c r="K59" s="111"/>
      <c r="L59" s="111"/>
      <c r="M59" s="81"/>
      <c r="N59" s="111"/>
      <c r="O59" s="111"/>
      <c r="P59" s="81"/>
      <c r="Q59" s="111"/>
      <c r="R59" s="169"/>
      <c r="S59" s="111"/>
      <c r="T59" s="81"/>
      <c r="U59" s="212"/>
      <c r="V59" s="212"/>
      <c r="W59" s="212"/>
      <c r="X59" s="212"/>
      <c r="Y59" s="212"/>
      <c r="Z59" s="212"/>
      <c r="AA59" s="212"/>
      <c r="AB59" s="212"/>
      <c r="AC59" s="212"/>
    </row>
    <row r="60" spans="1:29" ht="15">
      <c r="A60" s="171" t="s">
        <v>633</v>
      </c>
      <c r="B60" s="111"/>
      <c r="C60" s="111"/>
      <c r="D60" s="111"/>
      <c r="E60" s="111"/>
      <c r="F60" s="111"/>
      <c r="G60" s="168"/>
      <c r="H60" s="169"/>
      <c r="I60" s="172">
        <f>SUM(I58:I59)</f>
        <v>0</v>
      </c>
      <c r="J60" s="111"/>
      <c r="K60" s="173"/>
      <c r="L60" s="173"/>
      <c r="M60" s="81"/>
      <c r="N60" s="168" t="e">
        <f>SUM(N58)</f>
        <v>#REF!</v>
      </c>
      <c r="O60" s="168">
        <f>SUM(O58)</f>
        <v>0</v>
      </c>
      <c r="P60" s="81"/>
      <c r="Q60" s="111"/>
      <c r="R60" s="169"/>
      <c r="S60" s="174" t="e">
        <f>SUM(DwellingStocks!#REF!)/1000*T60</f>
        <v>#REF!</v>
      </c>
      <c r="T60" s="183">
        <v>0.6</v>
      </c>
      <c r="U60" s="212" t="s">
        <v>637</v>
      </c>
      <c r="V60" s="212"/>
      <c r="W60" s="212"/>
      <c r="X60" s="212"/>
      <c r="Y60" s="212"/>
      <c r="Z60" s="212"/>
      <c r="AA60" s="212"/>
      <c r="AB60" s="212"/>
      <c r="AC60" s="212"/>
    </row>
    <row r="61" spans="1:29">
      <c r="A61" s="81"/>
      <c r="B61" s="81"/>
      <c r="C61" s="81"/>
      <c r="D61" s="81"/>
      <c r="E61" s="81"/>
      <c r="F61" s="81"/>
      <c r="G61" s="81"/>
      <c r="H61" s="121"/>
      <c r="I61" s="81"/>
      <c r="J61" s="81"/>
      <c r="K61" s="81"/>
      <c r="L61" s="81"/>
      <c r="M61" s="81"/>
      <c r="N61" s="81"/>
      <c r="O61" s="81"/>
      <c r="P61" s="81"/>
      <c r="Q61" s="81"/>
      <c r="R61" s="121"/>
      <c r="S61" s="81"/>
      <c r="T61" s="81"/>
      <c r="U61" s="212"/>
      <c r="V61" s="212"/>
      <c r="W61" s="212"/>
      <c r="X61" s="212"/>
      <c r="Y61" s="212"/>
      <c r="Z61" s="212"/>
      <c r="AA61" s="212"/>
      <c r="AB61" s="212"/>
      <c r="AC61" s="212"/>
    </row>
    <row r="62" spans="1:29">
      <c r="A62" s="81"/>
      <c r="B62" s="81"/>
      <c r="C62" s="81"/>
      <c r="D62" s="81"/>
      <c r="E62" s="81"/>
      <c r="F62" s="81"/>
      <c r="G62" s="81"/>
      <c r="H62" s="121"/>
      <c r="I62" s="81"/>
      <c r="J62" s="81"/>
      <c r="K62" s="81"/>
      <c r="L62" s="81"/>
      <c r="M62" s="81"/>
      <c r="N62" s="81"/>
      <c r="O62" s="81"/>
      <c r="P62" s="81"/>
      <c r="Q62" s="81"/>
      <c r="R62" s="121"/>
      <c r="S62" s="81"/>
      <c r="T62" s="81"/>
      <c r="U62" s="212"/>
      <c r="V62" s="212"/>
      <c r="W62" s="212"/>
      <c r="X62" s="212"/>
      <c r="Y62" s="212"/>
      <c r="Z62" s="212"/>
      <c r="AA62" s="212"/>
      <c r="AB62" s="212"/>
      <c r="AC62" s="212"/>
    </row>
    <row r="63" spans="1:29">
      <c r="A63" s="81"/>
      <c r="B63" s="81"/>
      <c r="C63" s="81"/>
      <c r="D63" s="81"/>
      <c r="E63" s="81"/>
      <c r="F63" s="81"/>
      <c r="G63" s="81"/>
      <c r="H63" s="121"/>
      <c r="I63" s="81"/>
      <c r="J63" s="81"/>
      <c r="K63" s="81"/>
      <c r="L63" s="81"/>
      <c r="M63" s="81"/>
      <c r="N63" s="81"/>
      <c r="O63" s="81"/>
      <c r="P63" s="81"/>
      <c r="Q63" s="81"/>
      <c r="R63" s="121"/>
      <c r="S63" s="81"/>
      <c r="T63" s="81"/>
      <c r="U63" s="212"/>
      <c r="V63" s="212"/>
      <c r="W63" s="212"/>
      <c r="X63" s="212"/>
      <c r="Y63" s="212"/>
      <c r="Z63" s="212"/>
      <c r="AA63" s="212"/>
      <c r="AB63" s="212"/>
      <c r="AC63" s="212"/>
    </row>
    <row r="64" spans="1:29">
      <c r="A64" s="81"/>
      <c r="B64" s="81"/>
      <c r="C64" s="81"/>
      <c r="D64" s="81"/>
      <c r="E64" s="81"/>
      <c r="F64" s="81"/>
      <c r="G64" s="81"/>
      <c r="H64" s="121"/>
      <c r="I64" s="81"/>
      <c r="J64" s="81"/>
      <c r="K64" s="81"/>
      <c r="L64" s="81"/>
      <c r="M64" s="81"/>
      <c r="N64" s="81"/>
      <c r="O64" s="81"/>
      <c r="P64" s="81"/>
      <c r="Q64" s="81"/>
      <c r="R64" s="121"/>
      <c r="S64" s="81"/>
      <c r="T64" s="81"/>
      <c r="U64" s="212"/>
      <c r="V64" s="212"/>
      <c r="W64" s="212"/>
      <c r="X64" s="212"/>
      <c r="Y64" s="212"/>
      <c r="Z64" s="212"/>
      <c r="AA64" s="212"/>
      <c r="AB64" s="212"/>
      <c r="AC64" s="212"/>
    </row>
    <row r="65" spans="1:29" ht="18.75">
      <c r="A65" s="112" t="s">
        <v>638</v>
      </c>
      <c r="B65" s="144"/>
      <c r="C65" s="144"/>
      <c r="D65" s="144"/>
      <c r="E65" s="144"/>
      <c r="F65" s="104" t="s">
        <v>372</v>
      </c>
      <c r="G65" s="151"/>
      <c r="H65" s="121"/>
      <c r="I65" s="81"/>
      <c r="J65" s="81"/>
      <c r="K65" s="81"/>
      <c r="L65" s="81"/>
      <c r="M65" s="81"/>
      <c r="N65" s="81"/>
      <c r="O65" s="81"/>
      <c r="P65" s="81"/>
      <c r="Q65" s="81"/>
      <c r="R65" s="121"/>
      <c r="S65" s="81"/>
      <c r="T65" s="81"/>
      <c r="U65" s="212"/>
      <c r="V65" s="104" t="s">
        <v>373</v>
      </c>
      <c r="W65" s="104"/>
      <c r="X65" s="104"/>
      <c r="Y65" s="839"/>
      <c r="Z65" s="839"/>
      <c r="AA65" s="839"/>
      <c r="AB65" s="839"/>
      <c r="AC65" s="839"/>
    </row>
    <row r="66" spans="1:29" ht="38.25">
      <c r="A66" s="152" t="s">
        <v>621</v>
      </c>
      <c r="B66" s="152" t="s">
        <v>374</v>
      </c>
      <c r="C66" s="152" t="s">
        <v>375</v>
      </c>
      <c r="D66" s="153" t="s">
        <v>622</v>
      </c>
      <c r="E66" s="152" t="s">
        <v>376</v>
      </c>
      <c r="F66" s="152" t="s">
        <v>377</v>
      </c>
      <c r="G66" s="154" t="s">
        <v>378</v>
      </c>
      <c r="H66" s="154" t="s">
        <v>400</v>
      </c>
      <c r="I66" s="154" t="s">
        <v>398</v>
      </c>
      <c r="J66" s="154" t="s">
        <v>380</v>
      </c>
      <c r="K66" s="154" t="s">
        <v>383</v>
      </c>
      <c r="L66" s="154" t="s">
        <v>382</v>
      </c>
      <c r="M66" s="130"/>
      <c r="N66" s="154" t="s">
        <v>623</v>
      </c>
      <c r="O66" s="154" t="s">
        <v>624</v>
      </c>
      <c r="P66" s="81"/>
      <c r="Q66" s="155" t="s">
        <v>595</v>
      </c>
      <c r="R66" s="153" t="s">
        <v>625</v>
      </c>
      <c r="S66" s="153" t="s">
        <v>626</v>
      </c>
      <c r="T66" s="81"/>
      <c r="U66" s="212"/>
      <c r="V66" s="152" t="s">
        <v>385</v>
      </c>
      <c r="W66" s="152" t="s">
        <v>374</v>
      </c>
      <c r="X66" s="152" t="s">
        <v>375</v>
      </c>
      <c r="Y66" s="152" t="s">
        <v>386</v>
      </c>
      <c r="Z66" s="152" t="s">
        <v>387</v>
      </c>
      <c r="AA66" s="152" t="s">
        <v>388</v>
      </c>
      <c r="AB66" s="152" t="s">
        <v>389</v>
      </c>
      <c r="AC66" s="152" t="s">
        <v>401</v>
      </c>
    </row>
    <row r="67" spans="1:29" ht="39" thickBot="1">
      <c r="A67" s="156" t="s">
        <v>627</v>
      </c>
      <c r="B67" s="157"/>
      <c r="C67" s="157"/>
      <c r="D67" s="158" t="s">
        <v>628</v>
      </c>
      <c r="E67" s="157"/>
      <c r="F67" s="157"/>
      <c r="G67" s="159"/>
      <c r="H67" s="160" t="s">
        <v>629</v>
      </c>
      <c r="I67" s="161" t="s">
        <v>630</v>
      </c>
      <c r="J67" s="158" t="s">
        <v>631</v>
      </c>
      <c r="K67" s="158" t="s">
        <v>632</v>
      </c>
      <c r="L67" s="158"/>
      <c r="M67" s="130"/>
      <c r="N67" s="158" t="s">
        <v>53</v>
      </c>
      <c r="O67" s="158" t="s">
        <v>53</v>
      </c>
      <c r="P67" s="81"/>
      <c r="Q67" s="146"/>
      <c r="R67" s="160" t="s">
        <v>629</v>
      </c>
      <c r="S67" s="161" t="s">
        <v>630</v>
      </c>
      <c r="T67" s="81"/>
      <c r="U67" s="212"/>
      <c r="V67" s="157" t="s">
        <v>370</v>
      </c>
      <c r="W67" s="157"/>
      <c r="X67" s="157"/>
      <c r="Y67" s="157"/>
      <c r="Z67" s="157"/>
      <c r="AA67" s="157"/>
      <c r="AB67" s="157"/>
      <c r="AC67" s="157"/>
    </row>
    <row r="68" spans="1:29">
      <c r="A68" s="111">
        <f>RSD_Balance!$B$142</f>
        <v>0</v>
      </c>
      <c r="B68" s="111" t="e">
        <f>LEFT(A68,5)&amp;RIGHT(E68,3)&amp;"_00"</f>
        <v>#REF!</v>
      </c>
      <c r="C68" s="180" t="e">
        <f>"Existing residential - Dish Washing "&amp;RIGHT(E68,3)&amp;" Dish Washer"</f>
        <v>#REF!</v>
      </c>
      <c r="D68" s="111"/>
      <c r="E68" s="111" t="e">
        <f>RSD_Balance!#REF!</f>
        <v>#REF!</v>
      </c>
      <c r="F68" s="111"/>
      <c r="G68" s="163">
        <v>1</v>
      </c>
      <c r="H68" s="164" t="e">
        <f>R68</f>
        <v>#REF!</v>
      </c>
      <c r="I68" s="164">
        <f>S68</f>
        <v>0</v>
      </c>
      <c r="J68" s="165">
        <v>10</v>
      </c>
      <c r="K68" s="166">
        <f>8*0.7/1000</f>
        <v>5.5999999999999999E-3</v>
      </c>
      <c r="L68" s="166"/>
      <c r="M68" s="81"/>
      <c r="N68" s="167" t="e">
        <f>IF(G68=0,0,I68*H68/G68)</f>
        <v>#REF!</v>
      </c>
      <c r="O68" s="167">
        <f>RSD_Balance!$J$142</f>
        <v>0</v>
      </c>
      <c r="P68" s="81"/>
      <c r="Q68" s="168">
        <f>G68</f>
        <v>1</v>
      </c>
      <c r="R68" s="182" t="e">
        <f>IF(S70=0,0,SUMPRODUCT(Q68,O68)/S70)</f>
        <v>#REF!</v>
      </c>
      <c r="S68" s="168">
        <f>IF($O$70*Q68=0,0,Q68*O68/SUMPRODUCT($O$68,$Q$68)*$S$70)</f>
        <v>0</v>
      </c>
      <c r="T68" s="81"/>
      <c r="U68" s="212"/>
      <c r="V68" s="212" t="s">
        <v>407</v>
      </c>
      <c r="W68" s="212" t="e">
        <f t="shared" ref="W68" si="17">B68</f>
        <v>#REF!</v>
      </c>
      <c r="X68" s="212" t="e">
        <f t="shared" ref="X68" si="18">C68</f>
        <v>#REF!</v>
      </c>
      <c r="Y68" s="212" t="s">
        <v>53</v>
      </c>
      <c r="Z68" s="212" t="s">
        <v>394</v>
      </c>
      <c r="AA68" s="212"/>
      <c r="AB68" s="212"/>
      <c r="AC68" s="212"/>
    </row>
    <row r="69" spans="1:29">
      <c r="A69" s="170" t="s">
        <v>595</v>
      </c>
      <c r="B69" s="111"/>
      <c r="C69" s="111"/>
      <c r="D69" s="111"/>
      <c r="E69" s="111"/>
      <c r="F69" s="111"/>
      <c r="G69" s="111"/>
      <c r="H69" s="169"/>
      <c r="I69" s="111"/>
      <c r="J69" s="111"/>
      <c r="K69" s="111"/>
      <c r="L69" s="111"/>
      <c r="M69" s="81"/>
      <c r="N69" s="111"/>
      <c r="O69" s="111"/>
      <c r="P69" s="81"/>
      <c r="Q69" s="111"/>
      <c r="R69" s="169"/>
      <c r="S69" s="111"/>
      <c r="T69" s="81"/>
      <c r="U69" s="212"/>
      <c r="V69" s="212"/>
      <c r="W69" s="212"/>
      <c r="X69" s="212"/>
      <c r="Y69" s="212"/>
      <c r="Z69" s="212"/>
      <c r="AA69" s="212"/>
      <c r="AB69" s="212"/>
      <c r="AC69" s="212"/>
    </row>
    <row r="70" spans="1:29" ht="15">
      <c r="A70" s="171" t="s">
        <v>633</v>
      </c>
      <c r="B70" s="111"/>
      <c r="C70" s="111"/>
      <c r="D70" s="111"/>
      <c r="E70" s="111"/>
      <c r="F70" s="111"/>
      <c r="G70" s="168"/>
      <c r="H70" s="169"/>
      <c r="I70" s="172">
        <f>SUM(I68:I69)</f>
        <v>0</v>
      </c>
      <c r="J70" s="111"/>
      <c r="K70" s="173"/>
      <c r="L70" s="173"/>
      <c r="M70" s="81"/>
      <c r="N70" s="168" t="e">
        <f>SUM(N68)</f>
        <v>#REF!</v>
      </c>
      <c r="O70" s="168">
        <f>SUM(O68)</f>
        <v>0</v>
      </c>
      <c r="P70" s="81"/>
      <c r="Q70" s="111"/>
      <c r="R70" s="169"/>
      <c r="S70" s="174" t="e">
        <f>SUM(DwellingStocks!#REF!)/1000*T70</f>
        <v>#REF!</v>
      </c>
      <c r="T70" s="183">
        <v>0.8</v>
      </c>
      <c r="U70" s="212" t="s">
        <v>639</v>
      </c>
      <c r="V70" s="212"/>
      <c r="W70" s="212"/>
      <c r="X70" s="212"/>
      <c r="Y70" s="212"/>
      <c r="Z70" s="212"/>
      <c r="AA70" s="212"/>
      <c r="AB70" s="212"/>
      <c r="AC70" s="212"/>
    </row>
    <row r="71" spans="1:29">
      <c r="A71" s="81"/>
      <c r="B71" s="81"/>
      <c r="C71" s="81"/>
      <c r="D71" s="81"/>
      <c r="E71" s="81"/>
      <c r="F71" s="81"/>
      <c r="G71" s="81"/>
      <c r="H71" s="121"/>
      <c r="I71" s="81"/>
      <c r="J71" s="81"/>
      <c r="K71" s="81"/>
      <c r="L71" s="81"/>
      <c r="M71" s="81"/>
      <c r="N71" s="81"/>
      <c r="O71" s="81"/>
      <c r="P71" s="81"/>
      <c r="Q71" s="81"/>
      <c r="R71" s="121"/>
      <c r="S71" s="81"/>
      <c r="T71" s="81"/>
      <c r="U71" s="212"/>
      <c r="V71" s="212"/>
      <c r="W71" s="212"/>
      <c r="X71" s="212"/>
      <c r="Y71" s="212"/>
      <c r="Z71" s="212"/>
      <c r="AA71" s="212"/>
      <c r="AB71" s="212"/>
      <c r="AC71" s="212"/>
    </row>
    <row r="72" spans="1:29">
      <c r="A72" s="81"/>
      <c r="B72" s="81"/>
      <c r="C72" s="81"/>
      <c r="D72" s="81"/>
      <c r="E72" s="81"/>
      <c r="F72" s="81"/>
      <c r="G72" s="81"/>
      <c r="H72" s="121"/>
      <c r="I72" s="81"/>
      <c r="J72" s="81"/>
      <c r="K72" s="81"/>
      <c r="L72" s="81"/>
      <c r="M72" s="81"/>
      <c r="N72" s="81"/>
      <c r="O72" s="81"/>
      <c r="P72" s="81"/>
      <c r="Q72" s="81"/>
      <c r="R72" s="121"/>
      <c r="S72" s="81"/>
      <c r="T72" s="81"/>
      <c r="U72" s="212"/>
      <c r="V72" s="212"/>
      <c r="W72" s="212"/>
      <c r="X72" s="212"/>
      <c r="Y72" s="212"/>
      <c r="Z72" s="212"/>
      <c r="AA72" s="212"/>
      <c r="AB72" s="212"/>
      <c r="AC72" s="212"/>
    </row>
    <row r="73" spans="1:29">
      <c r="A73" s="81"/>
      <c r="B73" s="81"/>
      <c r="C73" s="81"/>
      <c r="D73" s="81"/>
      <c r="E73" s="81"/>
      <c r="F73" s="81"/>
      <c r="G73" s="81"/>
      <c r="H73" s="121"/>
      <c r="I73" s="81"/>
      <c r="J73" s="81"/>
      <c r="K73" s="81"/>
      <c r="L73" s="81"/>
      <c r="M73" s="81"/>
      <c r="N73" s="81"/>
      <c r="O73" s="81"/>
      <c r="P73" s="81"/>
      <c r="Q73" s="81"/>
      <c r="R73" s="121"/>
      <c r="S73" s="81"/>
      <c r="T73" s="81"/>
      <c r="U73" s="212"/>
      <c r="V73" s="212"/>
      <c r="W73" s="212"/>
      <c r="X73" s="212"/>
      <c r="Y73" s="212"/>
      <c r="Z73" s="212"/>
      <c r="AA73" s="212"/>
      <c r="AB73" s="212"/>
      <c r="AC73" s="212"/>
    </row>
    <row r="74" spans="1:29">
      <c r="A74" s="81"/>
      <c r="B74" s="81"/>
      <c r="C74" s="81"/>
      <c r="D74" s="81"/>
      <c r="E74" s="81"/>
      <c r="F74" s="81"/>
      <c r="G74" s="81"/>
      <c r="H74" s="121"/>
      <c r="I74" s="81"/>
      <c r="J74" s="81"/>
      <c r="K74" s="81"/>
      <c r="L74" s="81"/>
      <c r="M74" s="81"/>
      <c r="N74" s="81"/>
      <c r="O74" s="81"/>
      <c r="P74" s="81"/>
      <c r="Q74" s="81"/>
      <c r="R74" s="121"/>
      <c r="S74" s="81"/>
      <c r="T74" s="81"/>
      <c r="U74" s="212"/>
      <c r="V74" s="212"/>
      <c r="W74" s="212"/>
      <c r="X74" s="212"/>
      <c r="Y74" s="212"/>
      <c r="Z74" s="212"/>
      <c r="AA74" s="212"/>
      <c r="AB74" s="212"/>
      <c r="AC74" s="212"/>
    </row>
    <row r="75" spans="1:29" ht="18.75">
      <c r="A75" s="112" t="s">
        <v>640</v>
      </c>
      <c r="B75" s="144"/>
      <c r="C75" s="144"/>
      <c r="D75" s="144"/>
      <c r="E75" s="144"/>
      <c r="F75" s="104" t="s">
        <v>372</v>
      </c>
      <c r="G75" s="151"/>
      <c r="H75" s="121"/>
      <c r="I75" s="81"/>
      <c r="J75" s="81"/>
      <c r="K75" s="81"/>
      <c r="L75" s="81"/>
      <c r="M75" s="81"/>
      <c r="N75" s="81"/>
      <c r="O75" s="81"/>
      <c r="P75" s="81"/>
      <c r="Q75" s="81"/>
      <c r="R75" s="121"/>
      <c r="S75" s="81"/>
      <c r="T75" s="81"/>
      <c r="U75" s="212"/>
      <c r="V75" s="104" t="s">
        <v>373</v>
      </c>
      <c r="W75" s="104"/>
      <c r="X75" s="104"/>
      <c r="Y75" s="839"/>
      <c r="Z75" s="839"/>
      <c r="AA75" s="839"/>
      <c r="AB75" s="839"/>
      <c r="AC75" s="839"/>
    </row>
    <row r="76" spans="1:29" ht="38.25">
      <c r="A76" s="152" t="s">
        <v>621</v>
      </c>
      <c r="B76" s="152" t="s">
        <v>374</v>
      </c>
      <c r="C76" s="152" t="s">
        <v>375</v>
      </c>
      <c r="D76" s="153" t="s">
        <v>622</v>
      </c>
      <c r="E76" s="152" t="s">
        <v>376</v>
      </c>
      <c r="F76" s="152" t="s">
        <v>377</v>
      </c>
      <c r="G76" s="154" t="s">
        <v>378</v>
      </c>
      <c r="H76" s="154" t="s">
        <v>400</v>
      </c>
      <c r="I76" s="154" t="s">
        <v>398</v>
      </c>
      <c r="J76" s="154" t="s">
        <v>380</v>
      </c>
      <c r="K76" s="154" t="s">
        <v>383</v>
      </c>
      <c r="L76" s="154" t="s">
        <v>382</v>
      </c>
      <c r="M76" s="130"/>
      <c r="N76" s="154" t="s">
        <v>623</v>
      </c>
      <c r="O76" s="154" t="s">
        <v>624</v>
      </c>
      <c r="P76" s="81"/>
      <c r="Q76" s="155" t="s">
        <v>595</v>
      </c>
      <c r="R76" s="153" t="s">
        <v>625</v>
      </c>
      <c r="S76" s="153" t="s">
        <v>626</v>
      </c>
      <c r="T76" s="81"/>
      <c r="U76" s="212"/>
      <c r="V76" s="152" t="s">
        <v>385</v>
      </c>
      <c r="W76" s="152" t="s">
        <v>374</v>
      </c>
      <c r="X76" s="152" t="s">
        <v>375</v>
      </c>
      <c r="Y76" s="152" t="s">
        <v>386</v>
      </c>
      <c r="Z76" s="152" t="s">
        <v>387</v>
      </c>
      <c r="AA76" s="152" t="s">
        <v>388</v>
      </c>
      <c r="AB76" s="152" t="s">
        <v>389</v>
      </c>
      <c r="AC76" s="152" t="s">
        <v>401</v>
      </c>
    </row>
    <row r="77" spans="1:29" ht="39" thickBot="1">
      <c r="A77" s="156" t="s">
        <v>627</v>
      </c>
      <c r="B77" s="157"/>
      <c r="C77" s="157"/>
      <c r="D77" s="158" t="s">
        <v>628</v>
      </c>
      <c r="E77" s="157"/>
      <c r="F77" s="157"/>
      <c r="G77" s="159"/>
      <c r="H77" s="160" t="s">
        <v>629</v>
      </c>
      <c r="I77" s="184" t="s">
        <v>53</v>
      </c>
      <c r="J77" s="158" t="s">
        <v>631</v>
      </c>
      <c r="K77" s="158" t="s">
        <v>632</v>
      </c>
      <c r="L77" s="158"/>
      <c r="M77" s="130"/>
      <c r="N77" s="158" t="s">
        <v>53</v>
      </c>
      <c r="O77" s="158" t="s">
        <v>53</v>
      </c>
      <c r="P77" s="81"/>
      <c r="Q77" s="146"/>
      <c r="R77" s="160" t="s">
        <v>629</v>
      </c>
      <c r="S77" s="161" t="s">
        <v>630</v>
      </c>
      <c r="T77" s="81"/>
      <c r="U77" s="212"/>
      <c r="V77" s="157" t="s">
        <v>370</v>
      </c>
      <c r="W77" s="157"/>
      <c r="X77" s="157"/>
      <c r="Y77" s="157"/>
      <c r="Z77" s="157"/>
      <c r="AA77" s="157"/>
      <c r="AB77" s="157"/>
      <c r="AC77" s="157"/>
    </row>
    <row r="78" spans="1:29">
      <c r="A78" s="111">
        <f>RSD_Balance!$B$143</f>
        <v>0</v>
      </c>
      <c r="B78" s="111" t="e">
        <f>LEFT(A78,5)&amp;RIGHT(E78,3)&amp;"_00"</f>
        <v>#REF!</v>
      </c>
      <c r="C78" s="180" t="e">
        <f>"Existing residential - Other appliances "&amp;RIGHT(E78,3)</f>
        <v>#REF!</v>
      </c>
      <c r="D78" s="111"/>
      <c r="E78" s="111" t="e">
        <f>RSD_Balance!#REF!</f>
        <v>#REF!</v>
      </c>
      <c r="F78" s="111"/>
      <c r="G78" s="185">
        <v>1</v>
      </c>
      <c r="H78" s="186">
        <v>1</v>
      </c>
      <c r="I78" s="186">
        <f>O78*G78</f>
        <v>0</v>
      </c>
      <c r="J78" s="165">
        <v>5</v>
      </c>
      <c r="K78" s="166">
        <v>0</v>
      </c>
      <c r="L78" s="166"/>
      <c r="M78" s="81"/>
      <c r="N78" s="167">
        <f>IF(G78=0,0,I78*H78/G78)</f>
        <v>0</v>
      </c>
      <c r="O78" s="167">
        <f>RSD_Balance!$J$143</f>
        <v>0</v>
      </c>
      <c r="P78" s="81"/>
      <c r="Q78" s="168">
        <f>G78</f>
        <v>1</v>
      </c>
      <c r="R78" s="169" t="e">
        <f>IF(S80=0,0,SUMPRODUCT(Q78,O78)/S80)</f>
        <v>#REF!</v>
      </c>
      <c r="S78" s="168">
        <f>IF($O$80*Q78=0,0,Q78*O78/SUMPRODUCT($O$78,$Q$78)*$S$80)</f>
        <v>0</v>
      </c>
      <c r="T78" s="81"/>
      <c r="U78" s="212"/>
      <c r="V78" s="212" t="s">
        <v>407</v>
      </c>
      <c r="W78" s="212" t="e">
        <f t="shared" ref="W78" si="19">B78</f>
        <v>#REF!</v>
      </c>
      <c r="X78" s="212" t="e">
        <f t="shared" ref="X78" si="20">C78</f>
        <v>#REF!</v>
      </c>
      <c r="Y78" s="212" t="s">
        <v>53</v>
      </c>
      <c r="Z78" s="212" t="s">
        <v>394</v>
      </c>
      <c r="AA78" s="212"/>
      <c r="AB78" s="212"/>
      <c r="AC78" s="212"/>
    </row>
    <row r="79" spans="1:29">
      <c r="A79" s="170" t="s">
        <v>595</v>
      </c>
      <c r="B79" s="111"/>
      <c r="C79" s="111"/>
      <c r="D79" s="111"/>
      <c r="E79" s="111"/>
      <c r="F79" s="111"/>
      <c r="G79" s="111"/>
      <c r="H79" s="169"/>
      <c r="I79" s="111"/>
      <c r="J79" s="111"/>
      <c r="K79" s="111"/>
      <c r="L79" s="111"/>
      <c r="M79" s="81"/>
      <c r="N79" s="111"/>
      <c r="O79" s="111"/>
      <c r="P79" s="81"/>
      <c r="Q79" s="111"/>
      <c r="R79" s="169"/>
      <c r="S79" s="111"/>
      <c r="T79" s="81"/>
      <c r="U79" s="212"/>
      <c r="V79" s="212"/>
      <c r="W79" s="212"/>
      <c r="X79" s="212"/>
      <c r="Y79" s="212"/>
      <c r="Z79" s="212"/>
      <c r="AA79" s="212"/>
      <c r="AB79" s="212"/>
      <c r="AC79" s="212"/>
    </row>
    <row r="80" spans="1:29">
      <c r="A80" s="171" t="s">
        <v>633</v>
      </c>
      <c r="B80" s="111"/>
      <c r="C80" s="111"/>
      <c r="D80" s="111"/>
      <c r="E80" s="111"/>
      <c r="F80" s="111"/>
      <c r="G80" s="168"/>
      <c r="H80" s="169"/>
      <c r="I80" s="172">
        <f>SUM(I78:I79)</f>
        <v>0</v>
      </c>
      <c r="J80" s="111"/>
      <c r="K80" s="173"/>
      <c r="L80" s="173"/>
      <c r="M80" s="81"/>
      <c r="N80" s="168">
        <f>SUM(N78)</f>
        <v>0</v>
      </c>
      <c r="O80" s="168">
        <f>SUM(O78)</f>
        <v>0</v>
      </c>
      <c r="P80" s="81"/>
      <c r="Q80" s="111"/>
      <c r="R80" s="169"/>
      <c r="S80" s="187" t="e">
        <f>SUM(DwellingStocks!#REF!)/1000*1.1</f>
        <v>#REF!</v>
      </c>
      <c r="T80" s="81"/>
      <c r="U80" s="212"/>
      <c r="V80" s="212"/>
      <c r="W80" s="212"/>
      <c r="X80" s="212"/>
      <c r="Y80" s="212"/>
      <c r="Z80" s="212"/>
      <c r="AA80" s="212"/>
      <c r="AB80" s="212"/>
      <c r="AC80" s="212"/>
    </row>
    <row r="81" spans="1:29">
      <c r="A81" s="81"/>
      <c r="B81" s="81"/>
      <c r="C81" s="81"/>
      <c r="D81" s="81"/>
      <c r="E81" s="81"/>
      <c r="F81" s="81"/>
      <c r="G81" s="81"/>
      <c r="H81" s="81"/>
      <c r="I81" s="121"/>
      <c r="J81" s="81"/>
      <c r="K81" s="81"/>
      <c r="L81" s="81"/>
      <c r="M81" s="81"/>
      <c r="N81" s="81"/>
      <c r="O81" s="81"/>
      <c r="P81" s="81"/>
      <c r="Q81" s="81"/>
      <c r="R81" s="81"/>
      <c r="S81" s="121"/>
      <c r="T81" s="81"/>
      <c r="U81" s="212"/>
      <c r="V81" s="212"/>
      <c r="W81" s="212"/>
      <c r="X81" s="212"/>
      <c r="Y81" s="212"/>
      <c r="Z81" s="212"/>
      <c r="AA81" s="212"/>
      <c r="AB81" s="212"/>
      <c r="AC81" s="212"/>
    </row>
    <row r="82" spans="1:29">
      <c r="A82" s="81"/>
      <c r="B82" s="81"/>
      <c r="C82" s="81"/>
      <c r="D82" s="81"/>
      <c r="E82" s="81"/>
      <c r="F82" s="81"/>
      <c r="G82" s="81"/>
      <c r="H82" s="12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121"/>
      <c r="T82" s="81"/>
      <c r="U82" s="212"/>
      <c r="V82" s="212"/>
      <c r="W82" s="212"/>
      <c r="X82" s="212"/>
      <c r="Y82" s="212"/>
      <c r="Z82" s="212"/>
      <c r="AA82" s="212"/>
      <c r="AB82" s="212"/>
      <c r="AC82" s="212"/>
    </row>
    <row r="83" spans="1:29">
      <c r="A83" s="81"/>
      <c r="B83" s="81"/>
      <c r="C83" s="81"/>
      <c r="D83" s="81"/>
      <c r="E83" s="81"/>
      <c r="F83" s="81"/>
      <c r="G83" s="81"/>
      <c r="H83" s="12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121"/>
      <c r="T83" s="81"/>
      <c r="U83" s="212"/>
      <c r="V83" s="212"/>
      <c r="W83" s="212"/>
      <c r="X83" s="212"/>
      <c r="Y83" s="212"/>
      <c r="Z83" s="212"/>
      <c r="AA83" s="212"/>
      <c r="AB83" s="212"/>
      <c r="AC83" s="212"/>
    </row>
    <row r="84" spans="1:29">
      <c r="A84" s="81"/>
      <c r="B84" s="81"/>
      <c r="C84" s="81"/>
      <c r="D84" s="81"/>
      <c r="E84" s="81"/>
      <c r="F84" s="81"/>
      <c r="G84" s="81"/>
      <c r="H84" s="12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121"/>
      <c r="T84" s="81"/>
      <c r="U84" s="212"/>
      <c r="V84" s="212"/>
      <c r="W84" s="212"/>
      <c r="X84" s="212"/>
      <c r="Y84" s="212"/>
      <c r="Z84" s="212"/>
      <c r="AA84" s="212"/>
      <c r="AB84" s="212"/>
      <c r="AC84" s="212"/>
    </row>
    <row r="85" spans="1:29" ht="18.75">
      <c r="A85" s="112" t="s">
        <v>641</v>
      </c>
      <c r="B85" s="144"/>
      <c r="C85" s="144"/>
      <c r="D85" s="104" t="s">
        <v>372</v>
      </c>
      <c r="E85" s="81"/>
      <c r="F85" s="151"/>
      <c r="G85" s="81"/>
      <c r="H85" s="12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121"/>
      <c r="T85" s="81"/>
      <c r="U85" s="212"/>
      <c r="V85" s="104" t="s">
        <v>373</v>
      </c>
      <c r="W85" s="104"/>
      <c r="X85" s="104"/>
      <c r="Y85" s="839"/>
      <c r="Z85" s="839"/>
      <c r="AA85" s="839"/>
      <c r="AB85" s="839"/>
      <c r="AC85" s="839"/>
    </row>
    <row r="86" spans="1:29" ht="25.5">
      <c r="A86" s="152" t="s">
        <v>621</v>
      </c>
      <c r="B86" s="152" t="s">
        <v>374</v>
      </c>
      <c r="C86" s="152" t="s">
        <v>375</v>
      </c>
      <c r="D86" s="152" t="s">
        <v>376</v>
      </c>
      <c r="E86" s="188" t="s">
        <v>590</v>
      </c>
      <c r="F86" s="188" t="s">
        <v>642</v>
      </c>
      <c r="G86" s="81"/>
      <c r="H86" s="154" t="s">
        <v>623</v>
      </c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121"/>
      <c r="T86" s="81"/>
      <c r="U86" s="212"/>
      <c r="V86" s="152" t="s">
        <v>385</v>
      </c>
      <c r="W86" s="152" t="s">
        <v>374</v>
      </c>
      <c r="X86" s="152" t="s">
        <v>375</v>
      </c>
      <c r="Y86" s="152" t="s">
        <v>386</v>
      </c>
      <c r="Z86" s="152" t="s">
        <v>387</v>
      </c>
      <c r="AA86" s="152" t="s">
        <v>388</v>
      </c>
      <c r="AB86" s="152" t="s">
        <v>389</v>
      </c>
      <c r="AC86" s="152" t="s">
        <v>401</v>
      </c>
    </row>
    <row r="87" spans="1:29" ht="13.5" thickBot="1">
      <c r="A87" s="156" t="s">
        <v>627</v>
      </c>
      <c r="B87" s="157"/>
      <c r="C87" s="157"/>
      <c r="D87" s="157"/>
      <c r="E87" s="159" t="s">
        <v>643</v>
      </c>
      <c r="F87" s="159" t="s">
        <v>643</v>
      </c>
      <c r="G87" s="81"/>
      <c r="H87" s="189" t="s">
        <v>53</v>
      </c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121"/>
      <c r="T87" s="81"/>
      <c r="U87" s="212"/>
      <c r="V87" s="157" t="s">
        <v>370</v>
      </c>
      <c r="W87" s="157"/>
      <c r="X87" s="157"/>
      <c r="Y87" s="157"/>
      <c r="Z87" s="157"/>
      <c r="AA87" s="157"/>
      <c r="AB87" s="157"/>
      <c r="AC87" s="157"/>
    </row>
    <row r="88" spans="1:29">
      <c r="A88" s="111">
        <f>RSD_Balance!$B$144</f>
        <v>0</v>
      </c>
      <c r="B88" s="111" t="s">
        <v>644</v>
      </c>
      <c r="C88" s="180" t="str">
        <f>"Existing residential - Other energy "</f>
        <v xml:space="preserve">Existing residential - Other energy </v>
      </c>
      <c r="D88" s="111" t="s">
        <v>591</v>
      </c>
      <c r="E88" s="214" t="str">
        <f>IF($H88=0,"",H88/$H$99)</f>
        <v/>
      </c>
      <c r="F88" s="215"/>
      <c r="G88" s="81"/>
      <c r="H88" s="119">
        <f>RSD_Balance!$C$144</f>
        <v>0</v>
      </c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121"/>
      <c r="T88" s="81"/>
      <c r="U88" s="212"/>
      <c r="V88" s="212" t="s">
        <v>407</v>
      </c>
      <c r="W88" s="212" t="str">
        <f>B88</f>
        <v>ROENGEN_00</v>
      </c>
      <c r="X88" s="212" t="str">
        <f t="shared" ref="X88" si="21">C88</f>
        <v xml:space="preserve">Existing residential - Other energy </v>
      </c>
      <c r="Y88" s="212" t="s">
        <v>53</v>
      </c>
      <c r="Z88" s="212" t="s">
        <v>394</v>
      </c>
      <c r="AA88" s="212"/>
      <c r="AB88" s="212"/>
      <c r="AC88" s="212"/>
    </row>
    <row r="89" spans="1:29">
      <c r="A89" s="111"/>
      <c r="B89" s="111"/>
      <c r="C89" s="111"/>
      <c r="D89" s="111" t="s">
        <v>645</v>
      </c>
      <c r="E89" s="214" t="str">
        <f t="shared" ref="E89:E97" si="22">IF($H89=0,"",H89/$H$99)</f>
        <v/>
      </c>
      <c r="F89" s="215"/>
      <c r="G89" s="81"/>
      <c r="H89" s="119">
        <f>RSD_Balance!$D$144</f>
        <v>0</v>
      </c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121"/>
      <c r="T89" s="81"/>
      <c r="U89" s="212"/>
      <c r="V89" s="212"/>
      <c r="W89" s="212"/>
      <c r="X89" s="212"/>
      <c r="Y89" s="212"/>
      <c r="Z89" s="212"/>
      <c r="AA89" s="212"/>
      <c r="AB89" s="212"/>
      <c r="AC89" s="212"/>
    </row>
    <row r="90" spans="1:29">
      <c r="A90" s="111"/>
      <c r="B90" s="111"/>
      <c r="C90" s="111"/>
      <c r="D90" s="111" t="s">
        <v>646</v>
      </c>
      <c r="E90" s="214" t="str">
        <f t="shared" si="22"/>
        <v/>
      </c>
      <c r="F90" s="215"/>
      <c r="G90" s="81"/>
      <c r="H90" s="119">
        <f>RSD_Balance!$E$144</f>
        <v>0</v>
      </c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121"/>
      <c r="T90" s="81"/>
      <c r="U90" s="212"/>
      <c r="V90" s="212"/>
      <c r="W90" s="212"/>
      <c r="X90" s="212"/>
      <c r="Y90" s="212"/>
      <c r="Z90" s="212"/>
      <c r="AA90" s="212"/>
      <c r="AB90" s="212"/>
      <c r="AC90" s="212"/>
    </row>
    <row r="91" spans="1:29">
      <c r="A91" s="111"/>
      <c r="B91" s="111"/>
      <c r="C91" s="111"/>
      <c r="D91" s="111" t="s">
        <v>647</v>
      </c>
      <c r="E91" s="214" t="str">
        <f t="shared" si="22"/>
        <v/>
      </c>
      <c r="F91" s="215"/>
      <c r="G91" s="81"/>
      <c r="H91" s="119">
        <f>RSD_Balance!$F$144</f>
        <v>0</v>
      </c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121"/>
      <c r="T91" s="81"/>
      <c r="U91" s="212"/>
      <c r="V91" s="212"/>
      <c r="W91" s="212"/>
      <c r="X91" s="212"/>
      <c r="Y91" s="212"/>
      <c r="Z91" s="212"/>
      <c r="AA91" s="212"/>
      <c r="AB91" s="212"/>
      <c r="AC91" s="212"/>
    </row>
    <row r="92" spans="1:29">
      <c r="A92" s="111"/>
      <c r="B92" s="111"/>
      <c r="C92" s="111"/>
      <c r="D92" s="111" t="s">
        <v>586</v>
      </c>
      <c r="E92" s="214" t="str">
        <f t="shared" si="22"/>
        <v/>
      </c>
      <c r="F92" s="215"/>
      <c r="G92" s="81"/>
      <c r="H92" s="119">
        <f>RSD_Balance!$G$144</f>
        <v>0</v>
      </c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121"/>
      <c r="T92" s="81"/>
      <c r="U92" s="212"/>
      <c r="V92" s="212"/>
      <c r="W92" s="212"/>
      <c r="X92" s="212"/>
      <c r="Y92" s="212"/>
      <c r="Z92" s="212"/>
      <c r="AA92" s="212"/>
      <c r="AB92" s="212"/>
      <c r="AC92" s="212"/>
    </row>
    <row r="93" spans="1:29">
      <c r="A93" s="111"/>
      <c r="B93" s="111"/>
      <c r="C93" s="111"/>
      <c r="D93" s="111" t="s">
        <v>648</v>
      </c>
      <c r="E93" s="214" t="str">
        <f t="shared" si="22"/>
        <v/>
      </c>
      <c r="F93" s="215"/>
      <c r="G93" s="81"/>
      <c r="H93" s="119">
        <f>RSD_Balance!$H$144</f>
        <v>0</v>
      </c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121"/>
      <c r="T93" s="81"/>
      <c r="U93" s="212"/>
      <c r="V93" s="212"/>
      <c r="W93" s="212"/>
      <c r="X93" s="212"/>
      <c r="Y93" s="212"/>
      <c r="Z93" s="212"/>
      <c r="AA93" s="212"/>
      <c r="AB93" s="212"/>
      <c r="AC93" s="212"/>
    </row>
    <row r="94" spans="1:29">
      <c r="A94" s="111"/>
      <c r="B94" s="111"/>
      <c r="C94" s="111"/>
      <c r="D94" s="111" t="s">
        <v>649</v>
      </c>
      <c r="E94" s="214" t="str">
        <f>IF($H94=0,"",H94/$H$99)</f>
        <v/>
      </c>
      <c r="F94" s="215"/>
      <c r="G94" s="81"/>
      <c r="H94" s="119">
        <f>RSD_Balance!$I$144</f>
        <v>0</v>
      </c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121"/>
      <c r="T94" s="81"/>
      <c r="U94" s="212"/>
      <c r="V94" s="212"/>
      <c r="W94" s="212"/>
      <c r="X94" s="212"/>
      <c r="Y94" s="212"/>
      <c r="Z94" s="212"/>
      <c r="AA94" s="212"/>
      <c r="AB94" s="212"/>
      <c r="AC94" s="212"/>
    </row>
    <row r="95" spans="1:29">
      <c r="A95" s="111"/>
      <c r="B95" s="111"/>
      <c r="C95" s="111"/>
      <c r="D95" s="111" t="s">
        <v>650</v>
      </c>
      <c r="E95" s="214" t="str">
        <f t="shared" si="22"/>
        <v/>
      </c>
      <c r="F95" s="215"/>
      <c r="G95" s="81"/>
      <c r="H95" s="119">
        <f>RSD_Balance!$J$144</f>
        <v>0</v>
      </c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121"/>
      <c r="T95" s="81"/>
      <c r="U95" s="212"/>
      <c r="V95" s="212"/>
      <c r="W95" s="212"/>
      <c r="X95" s="212"/>
      <c r="Y95" s="212"/>
      <c r="Z95" s="212"/>
      <c r="AA95" s="212"/>
      <c r="AB95" s="212"/>
      <c r="AC95" s="212"/>
    </row>
    <row r="96" spans="1:29" s="212" customFormat="1">
      <c r="A96" s="111"/>
      <c r="B96" s="111"/>
      <c r="C96" s="111"/>
      <c r="D96" s="111" t="s">
        <v>588</v>
      </c>
      <c r="E96" s="214" t="str">
        <f t="shared" si="22"/>
        <v/>
      </c>
      <c r="F96" s="215"/>
      <c r="G96" s="81"/>
      <c r="H96" s="119">
        <f>RSD_Balance!$K$144</f>
        <v>0</v>
      </c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121"/>
      <c r="T96" s="81"/>
    </row>
    <row r="97" spans="1:20" s="212" customFormat="1">
      <c r="A97" s="111"/>
      <c r="B97" s="111"/>
      <c r="C97" s="111"/>
      <c r="D97" s="111" t="s">
        <v>651</v>
      </c>
      <c r="E97" s="214" t="str">
        <f t="shared" si="22"/>
        <v/>
      </c>
      <c r="F97" s="215"/>
      <c r="G97" s="81"/>
      <c r="H97" s="119">
        <f>RSD_Balance!$L$144</f>
        <v>0</v>
      </c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121"/>
      <c r="T97" s="81"/>
    </row>
    <row r="98" spans="1:20">
      <c r="A98" s="170" t="s">
        <v>595</v>
      </c>
      <c r="B98" s="111"/>
      <c r="C98" s="111"/>
      <c r="D98" s="111"/>
      <c r="E98" s="111"/>
      <c r="F98" s="111"/>
      <c r="G98" s="81"/>
      <c r="H98" s="190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121"/>
      <c r="T98" s="81"/>
    </row>
    <row r="99" spans="1:20">
      <c r="A99" s="171" t="s">
        <v>633</v>
      </c>
      <c r="B99" s="111"/>
      <c r="C99" s="111"/>
      <c r="D99" s="111"/>
      <c r="E99" s="214">
        <f>SUM(E88:E97)</f>
        <v>0</v>
      </c>
      <c r="F99" s="214">
        <f>SUM(F88:F97)</f>
        <v>0</v>
      </c>
      <c r="G99" s="81"/>
      <c r="H99" s="169">
        <f>SUM(H88:H97)</f>
        <v>0</v>
      </c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121"/>
      <c r="T99" s="81"/>
    </row>
    <row r="100" spans="1:20">
      <c r="A100" s="81"/>
      <c r="B100" s="81"/>
      <c r="C100" s="81"/>
      <c r="D100" s="81"/>
      <c r="E100" s="81"/>
      <c r="F100" s="81"/>
      <c r="G100" s="81"/>
      <c r="H100" s="12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121"/>
      <c r="T100" s="81"/>
    </row>
    <row r="101" spans="1:20">
      <c r="A101" s="81"/>
      <c r="B101" s="81"/>
      <c r="C101" s="81"/>
      <c r="D101" s="81"/>
      <c r="E101" s="81"/>
      <c r="F101" s="81"/>
      <c r="G101" s="81"/>
      <c r="H101" s="12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121"/>
      <c r="T101" s="81"/>
    </row>
    <row r="102" spans="1:20">
      <c r="A102" s="81"/>
      <c r="B102" s="81"/>
      <c r="C102" s="81"/>
      <c r="D102" s="81"/>
      <c r="E102" s="81"/>
      <c r="F102" s="81"/>
      <c r="G102" s="81"/>
      <c r="H102" s="12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121"/>
      <c r="T102" s="81"/>
    </row>
    <row r="103" spans="1:20">
      <c r="A103" s="81"/>
      <c r="B103" s="81"/>
      <c r="C103" s="81"/>
      <c r="D103" s="81"/>
      <c r="E103" s="81"/>
      <c r="F103" s="81"/>
      <c r="G103" s="81"/>
      <c r="H103" s="12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121"/>
      <c r="T103" s="81"/>
    </row>
    <row r="104" spans="1:20">
      <c r="A104" s="81"/>
      <c r="B104" s="81"/>
      <c r="C104" s="81"/>
      <c r="D104" s="81"/>
      <c r="E104" s="81"/>
      <c r="F104" s="81"/>
      <c r="G104" s="81"/>
      <c r="H104" s="12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121"/>
      <c r="T104" s="81"/>
    </row>
    <row r="105" spans="1:20">
      <c r="A105" s="81"/>
      <c r="B105" s="81"/>
      <c r="C105" s="81"/>
      <c r="D105" s="81"/>
      <c r="E105" s="81"/>
      <c r="F105" s="81"/>
      <c r="G105" s="81"/>
      <c r="H105" s="12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121"/>
      <c r="T105" s="81"/>
    </row>
    <row r="106" spans="1:20">
      <c r="A106" s="81"/>
      <c r="B106" s="81"/>
      <c r="C106" s="81"/>
      <c r="D106" s="81"/>
      <c r="E106" s="81"/>
      <c r="F106" s="81"/>
      <c r="G106" s="81"/>
      <c r="H106" s="12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121"/>
      <c r="T106" s="81"/>
    </row>
    <row r="107" spans="1:20">
      <c r="A107" s="81"/>
      <c r="B107" s="81"/>
      <c r="C107" s="81"/>
      <c r="D107" s="81"/>
      <c r="E107" s="81"/>
      <c r="F107" s="81"/>
      <c r="G107" s="81"/>
      <c r="H107" s="12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121"/>
      <c r="T107" s="81"/>
    </row>
    <row r="108" spans="1:20">
      <c r="A108" s="81"/>
      <c r="B108" s="81"/>
      <c r="C108" s="81"/>
      <c r="D108" s="81"/>
      <c r="E108" s="81"/>
      <c r="F108" s="81"/>
      <c r="G108" s="81"/>
      <c r="H108" s="12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121"/>
      <c r="T108" s="81"/>
    </row>
    <row r="109" spans="1:20">
      <c r="A109" s="81"/>
      <c r="B109" s="81"/>
      <c r="C109" s="81"/>
      <c r="D109" s="81"/>
      <c r="E109" s="81"/>
      <c r="F109" s="81"/>
      <c r="G109" s="81"/>
      <c r="H109" s="12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121"/>
      <c r="T109" s="81"/>
    </row>
    <row r="110" spans="1:20">
      <c r="A110" s="81"/>
      <c r="B110" s="81"/>
      <c r="C110" s="81"/>
      <c r="D110" s="81"/>
      <c r="E110" s="81"/>
      <c r="F110" s="81"/>
      <c r="G110" s="81"/>
      <c r="H110" s="12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121"/>
      <c r="T110" s="81"/>
    </row>
    <row r="111" spans="1:20">
      <c r="A111" s="81"/>
      <c r="B111" s="81"/>
      <c r="C111" s="81"/>
      <c r="D111" s="81"/>
      <c r="E111" s="81"/>
      <c r="F111" s="81"/>
      <c r="G111" s="81"/>
      <c r="H111" s="12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121"/>
      <c r="T111" s="81"/>
    </row>
    <row r="112" spans="1:20">
      <c r="A112" s="81"/>
      <c r="B112" s="81"/>
      <c r="C112" s="81"/>
      <c r="D112" s="81"/>
      <c r="E112" s="81"/>
      <c r="F112" s="81"/>
      <c r="G112" s="81"/>
      <c r="H112" s="12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121"/>
      <c r="T112" s="81"/>
    </row>
    <row r="113" spans="1:20">
      <c r="A113" s="81"/>
      <c r="B113" s="81"/>
      <c r="C113" s="81"/>
      <c r="D113" s="81"/>
      <c r="E113" s="81"/>
      <c r="F113" s="81"/>
      <c r="G113" s="81"/>
      <c r="H113" s="12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121"/>
      <c r="T113" s="81"/>
    </row>
    <row r="114" spans="1:20">
      <c r="A114" s="81"/>
      <c r="B114" s="81"/>
      <c r="C114" s="81"/>
      <c r="D114" s="81"/>
      <c r="E114" s="81"/>
      <c r="F114" s="81"/>
      <c r="G114" s="81"/>
      <c r="H114" s="12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121"/>
      <c r="T114" s="81"/>
    </row>
    <row r="115" spans="1:20">
      <c r="A115" s="81"/>
      <c r="B115" s="81"/>
      <c r="C115" s="81"/>
      <c r="D115" s="81"/>
      <c r="E115" s="81"/>
      <c r="F115" s="81"/>
      <c r="G115" s="81"/>
      <c r="H115" s="12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121"/>
      <c r="T115" s="81"/>
    </row>
    <row r="116" spans="1:20">
      <c r="A116" s="81"/>
      <c r="B116" s="81"/>
      <c r="C116" s="81"/>
      <c r="D116" s="81"/>
      <c r="E116" s="81"/>
      <c r="F116" s="81"/>
      <c r="G116" s="81"/>
      <c r="H116" s="12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121"/>
      <c r="T116" s="81"/>
    </row>
    <row r="117" spans="1:20">
      <c r="A117" s="81"/>
      <c r="B117" s="81"/>
      <c r="C117" s="81"/>
      <c r="D117" s="81"/>
      <c r="E117" s="81"/>
      <c r="F117" s="81"/>
      <c r="G117" s="81"/>
      <c r="H117" s="12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121"/>
      <c r="T117" s="81"/>
    </row>
    <row r="118" spans="1:20">
      <c r="A118" s="81"/>
      <c r="B118" s="81"/>
      <c r="C118" s="81"/>
      <c r="D118" s="81"/>
      <c r="E118" s="81"/>
      <c r="F118" s="81"/>
      <c r="G118" s="81"/>
      <c r="H118" s="12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121"/>
      <c r="T118" s="81"/>
    </row>
    <row r="119" spans="1:20">
      <c r="A119" s="81"/>
      <c r="B119" s="81"/>
      <c r="C119" s="81"/>
      <c r="D119" s="81"/>
      <c r="E119" s="81"/>
      <c r="F119" s="81"/>
      <c r="G119" s="81"/>
      <c r="H119" s="12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121"/>
      <c r="T119" s="81"/>
    </row>
    <row r="120" spans="1:20">
      <c r="A120" s="81"/>
      <c r="B120" s="81"/>
      <c r="C120" s="81"/>
      <c r="D120" s="81"/>
      <c r="E120" s="81"/>
      <c r="F120" s="81"/>
      <c r="G120" s="81"/>
      <c r="H120" s="12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121"/>
      <c r="T120" s="81"/>
    </row>
    <row r="121" spans="1:20">
      <c r="A121" s="81"/>
      <c r="B121" s="81"/>
      <c r="C121" s="81"/>
      <c r="D121" s="81"/>
      <c r="E121" s="81"/>
      <c r="F121" s="81"/>
      <c r="G121" s="81"/>
      <c r="H121" s="12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121"/>
      <c r="T121" s="81"/>
    </row>
    <row r="122" spans="1:20">
      <c r="A122" s="81"/>
      <c r="B122" s="81"/>
      <c r="C122" s="81"/>
      <c r="D122" s="81"/>
      <c r="E122" s="81"/>
      <c r="F122" s="81"/>
      <c r="G122" s="81"/>
      <c r="H122" s="12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121"/>
      <c r="T122" s="81"/>
    </row>
    <row r="123" spans="1:20">
      <c r="A123" s="81"/>
      <c r="B123" s="81"/>
      <c r="C123" s="81"/>
      <c r="D123" s="81"/>
      <c r="E123" s="81"/>
      <c r="F123" s="81"/>
      <c r="G123" s="81"/>
      <c r="H123" s="12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121"/>
      <c r="T123" s="81"/>
    </row>
    <row r="124" spans="1:20">
      <c r="A124" s="81"/>
      <c r="B124" s="81"/>
      <c r="C124" s="81"/>
      <c r="D124" s="81"/>
      <c r="E124" s="81"/>
      <c r="F124" s="81"/>
      <c r="G124" s="81"/>
      <c r="H124" s="12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121"/>
      <c r="T124" s="81"/>
    </row>
    <row r="125" spans="1:20">
      <c r="A125" s="81"/>
      <c r="B125" s="81"/>
      <c r="C125" s="81"/>
      <c r="D125" s="81"/>
      <c r="E125" s="81"/>
      <c r="F125" s="81"/>
      <c r="G125" s="81"/>
      <c r="H125" s="12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121"/>
      <c r="T125" s="81"/>
    </row>
    <row r="126" spans="1:20">
      <c r="A126" s="81"/>
      <c r="B126" s="81"/>
      <c r="C126" s="81"/>
      <c r="D126" s="81"/>
      <c r="E126" s="81"/>
      <c r="F126" s="81"/>
      <c r="G126" s="81"/>
      <c r="H126" s="12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121"/>
      <c r="T126" s="81"/>
    </row>
    <row r="127" spans="1:20">
      <c r="A127" s="81"/>
      <c r="B127" s="81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121"/>
      <c r="T127" s="81"/>
    </row>
    <row r="128" spans="1:20">
      <c r="A128" s="81"/>
      <c r="B128" s="81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121"/>
      <c r="T128" s="81"/>
    </row>
    <row r="129" spans="1:20">
      <c r="A129" s="81"/>
      <c r="B129" s="81"/>
      <c r="C129" s="81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121"/>
      <c r="T129" s="81"/>
    </row>
    <row r="130" spans="1:20">
      <c r="A130" s="81"/>
      <c r="B130" s="81"/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121"/>
      <c r="T130" s="81"/>
    </row>
    <row r="131" spans="1:20">
      <c r="A131" s="81"/>
      <c r="B131" s="81"/>
      <c r="C131" s="81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121"/>
      <c r="T131" s="81"/>
    </row>
    <row r="132" spans="1:20">
      <c r="A132" s="81"/>
      <c r="B132" s="81"/>
      <c r="C132" s="81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121"/>
      <c r="T132" s="81"/>
    </row>
    <row r="133" spans="1:20">
      <c r="A133" s="81"/>
      <c r="B133" s="81"/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121"/>
      <c r="T133" s="81"/>
    </row>
    <row r="134" spans="1:20">
      <c r="A134" s="81"/>
      <c r="B134" s="81"/>
      <c r="C134" s="81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121"/>
      <c r="T134" s="81"/>
    </row>
    <row r="135" spans="1:20">
      <c r="A135" s="81"/>
      <c r="B135" s="81"/>
      <c r="C135" s="81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121"/>
      <c r="T135" s="81"/>
    </row>
  </sheetData>
  <phoneticPr fontId="0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>
    <tabColor rgb="FF92D050"/>
  </sheetPr>
  <dimension ref="A1:AV2253"/>
  <sheetViews>
    <sheetView topLeftCell="V1" zoomScale="70" zoomScaleNormal="70" workbookViewId="0">
      <selection activeCell="Y191" sqref="Y19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56" t="s">
        <v>652</v>
      </c>
      <c r="B1" s="1056"/>
      <c r="C1" s="1056"/>
      <c r="D1" s="1056"/>
      <c r="E1" s="1056"/>
      <c r="F1" s="1056"/>
      <c r="G1" s="1056"/>
      <c r="H1" s="1056"/>
      <c r="I1" s="1056"/>
    </row>
    <row r="2" spans="1:48">
      <c r="AI2" s="429"/>
    </row>
    <row r="3" spans="1:48">
      <c r="AI3" s="429"/>
    </row>
    <row r="4" spans="1:48"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  <c r="P4" s="239"/>
      <c r="Q4" s="239"/>
      <c r="R4" s="239"/>
      <c r="S4" s="239"/>
      <c r="T4" s="239"/>
      <c r="U4" s="239"/>
      <c r="V4" s="239"/>
      <c r="W4" s="239" t="s">
        <v>653</v>
      </c>
      <c r="X4" s="239" t="s">
        <v>653</v>
      </c>
      <c r="Y4" s="239"/>
      <c r="AC4" t="s">
        <v>525</v>
      </c>
      <c r="AD4" t="s">
        <v>525</v>
      </c>
      <c r="AE4" t="s">
        <v>525</v>
      </c>
      <c r="AF4" t="s">
        <v>525</v>
      </c>
      <c r="AG4" t="s">
        <v>525</v>
      </c>
      <c r="AH4" t="s">
        <v>525</v>
      </c>
      <c r="AI4" s="429" t="s">
        <v>525</v>
      </c>
      <c r="AU4" s="239" t="s">
        <v>653</v>
      </c>
      <c r="AV4" s="239" t="s">
        <v>653</v>
      </c>
    </row>
    <row r="5" spans="1:48">
      <c r="AC5" t="s">
        <v>429</v>
      </c>
      <c r="AD5" t="s">
        <v>429</v>
      </c>
      <c r="AE5" t="s">
        <v>429</v>
      </c>
      <c r="AF5" t="s">
        <v>429</v>
      </c>
      <c r="AG5" t="s">
        <v>429</v>
      </c>
      <c r="AH5" t="s">
        <v>429</v>
      </c>
      <c r="AI5" s="429" t="s">
        <v>429</v>
      </c>
    </row>
    <row r="6" spans="1:48">
      <c r="B6" t="s">
        <v>524</v>
      </c>
      <c r="C6" t="s">
        <v>420</v>
      </c>
      <c r="D6" t="s">
        <v>570</v>
      </c>
      <c r="E6" s="239" t="s">
        <v>589</v>
      </c>
      <c r="F6" t="s">
        <v>575</v>
      </c>
      <c r="G6" t="s">
        <v>576</v>
      </c>
      <c r="H6" t="s">
        <v>654</v>
      </c>
      <c r="I6" t="s">
        <v>571</v>
      </c>
      <c r="J6" t="s">
        <v>572</v>
      </c>
      <c r="K6" t="s">
        <v>577</v>
      </c>
      <c r="L6" s="239" t="s">
        <v>573</v>
      </c>
      <c r="M6" s="239" t="s">
        <v>574</v>
      </c>
      <c r="N6" t="s">
        <v>655</v>
      </c>
      <c r="O6" t="s">
        <v>656</v>
      </c>
      <c r="P6" t="s">
        <v>657</v>
      </c>
      <c r="Q6" t="s">
        <v>658</v>
      </c>
      <c r="R6" s="239" t="s">
        <v>659</v>
      </c>
      <c r="S6" t="s">
        <v>660</v>
      </c>
      <c r="T6" t="s">
        <v>661</v>
      </c>
      <c r="U6" t="s">
        <v>662</v>
      </c>
      <c r="V6" t="s">
        <v>663</v>
      </c>
      <c r="W6" s="731" t="s">
        <v>579</v>
      </c>
      <c r="X6" s="731" t="s">
        <v>578</v>
      </c>
      <c r="Y6" s="239"/>
      <c r="AA6" t="s">
        <v>420</v>
      </c>
      <c r="AB6" t="s">
        <v>570</v>
      </c>
      <c r="AC6" t="s">
        <v>589</v>
      </c>
      <c r="AD6" t="s">
        <v>575</v>
      </c>
      <c r="AE6" t="s">
        <v>576</v>
      </c>
      <c r="AF6" t="s">
        <v>654</v>
      </c>
      <c r="AG6" s="239" t="s">
        <v>571</v>
      </c>
      <c r="AH6" t="s">
        <v>572</v>
      </c>
      <c r="AI6" t="s">
        <v>577</v>
      </c>
      <c r="AJ6" t="s">
        <v>573</v>
      </c>
      <c r="AK6" t="s">
        <v>574</v>
      </c>
      <c r="AL6" t="s">
        <v>655</v>
      </c>
      <c r="AM6" t="s">
        <v>656</v>
      </c>
      <c r="AN6" t="s">
        <v>657</v>
      </c>
      <c r="AO6" t="s">
        <v>658</v>
      </c>
      <c r="AP6" t="s">
        <v>659</v>
      </c>
      <c r="AQ6" s="239" t="s">
        <v>660</v>
      </c>
      <c r="AR6" s="239" t="s">
        <v>661</v>
      </c>
      <c r="AS6" s="239" t="s">
        <v>662</v>
      </c>
      <c r="AT6" t="s">
        <v>663</v>
      </c>
      <c r="AU6" s="731" t="s">
        <v>579</v>
      </c>
      <c r="AV6" s="731" t="s">
        <v>578</v>
      </c>
    </row>
    <row r="7" spans="1:48">
      <c r="B7" t="s">
        <v>527</v>
      </c>
      <c r="C7" t="s">
        <v>108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705">
        <f t="shared" ref="W7:W70" si="0">SUM(ABS(J7),ABS(M7),ABS(O7),ABS(Q7),ABS(S7),ABS(U7))</f>
        <v>583</v>
      </c>
      <c r="X7" s="705">
        <f t="shared" ref="X7:X70" si="1">SUM(ABS(I7),ABS(N7),ABS(P7),ABS(R7),ABS(T7),ABS(L7))</f>
        <v>1575</v>
      </c>
      <c r="Y7" s="705"/>
      <c r="AA7" t="s">
        <v>108</v>
      </c>
      <c r="AD7" s="705">
        <v>3415</v>
      </c>
      <c r="AE7" s="705">
        <v>292431</v>
      </c>
      <c r="AF7" s="705">
        <v>169328</v>
      </c>
      <c r="AH7">
        <v>0</v>
      </c>
      <c r="AK7">
        <v>0</v>
      </c>
      <c r="AL7" s="705">
        <v>3695185</v>
      </c>
      <c r="AM7" s="705">
        <v>1368587</v>
      </c>
      <c r="AN7" s="705">
        <v>2623804</v>
      </c>
      <c r="AO7" s="705">
        <v>971779</v>
      </c>
      <c r="AQ7">
        <v>0</v>
      </c>
      <c r="AR7" s="705">
        <v>21237</v>
      </c>
      <c r="AS7" s="705">
        <v>7865</v>
      </c>
      <c r="AT7" s="705">
        <v>2348231</v>
      </c>
      <c r="AU7" s="705">
        <f>SUM(ABS(AH7), ABS(AK7),ABS(AM7),ABS(AO7),ABS(AQ7),ABS(AS7))</f>
        <v>2348231</v>
      </c>
      <c r="AV7" s="705">
        <f t="shared" ref="AV7:AV38" si="2">SUM(ABS(AG7),ABS(AJ7),ABS(AL7),ABS(AN7),ABS(AP7),ABS(AR7))</f>
        <v>6340226</v>
      </c>
    </row>
    <row r="8" spans="1:48">
      <c r="B8" t="s">
        <v>527</v>
      </c>
      <c r="C8" t="s">
        <v>108</v>
      </c>
      <c r="D8" t="s">
        <v>584</v>
      </c>
      <c r="E8" t="s">
        <v>584</v>
      </c>
      <c r="F8">
        <v>2</v>
      </c>
      <c r="G8">
        <v>190</v>
      </c>
      <c r="H8">
        <v>149</v>
      </c>
      <c r="I8" s="705">
        <v>1990</v>
      </c>
      <c r="J8" s="705">
        <v>1809</v>
      </c>
      <c r="K8">
        <v>90</v>
      </c>
      <c r="L8">
        <v>296</v>
      </c>
      <c r="M8">
        <v>270</v>
      </c>
      <c r="N8" s="705">
        <v>3174</v>
      </c>
      <c r="O8" s="705">
        <v>1176</v>
      </c>
      <c r="P8">
        <v>945</v>
      </c>
      <c r="Q8">
        <v>350</v>
      </c>
      <c r="R8" s="705">
        <v>7717</v>
      </c>
      <c r="S8" s="705">
        <v>7015</v>
      </c>
      <c r="T8">
        <v>0</v>
      </c>
      <c r="U8">
        <v>0</v>
      </c>
      <c r="V8" s="705">
        <v>10619</v>
      </c>
      <c r="W8" s="705">
        <f t="shared" si="0"/>
        <v>10620</v>
      </c>
      <c r="X8" s="705">
        <f t="shared" si="1"/>
        <v>14122</v>
      </c>
      <c r="Y8" s="705"/>
      <c r="AA8" t="s">
        <v>108</v>
      </c>
      <c r="AB8" t="s">
        <v>580</v>
      </c>
      <c r="AC8" t="s">
        <v>228</v>
      </c>
      <c r="AD8">
        <v>1</v>
      </c>
      <c r="AE8">
        <v>48</v>
      </c>
      <c r="AF8">
        <v>50</v>
      </c>
      <c r="AG8">
        <v>16</v>
      </c>
      <c r="AH8">
        <v>6</v>
      </c>
      <c r="AI8">
        <v>523</v>
      </c>
      <c r="AJ8">
        <v>0</v>
      </c>
      <c r="AK8">
        <v>0</v>
      </c>
      <c r="AL8">
        <v>586</v>
      </c>
      <c r="AM8">
        <v>217</v>
      </c>
      <c r="AN8">
        <v>351</v>
      </c>
      <c r="AO8">
        <v>130</v>
      </c>
      <c r="AP8" s="705">
        <v>1468</v>
      </c>
      <c r="AQ8">
        <v>544</v>
      </c>
      <c r="AR8">
        <v>0</v>
      </c>
      <c r="AS8">
        <v>0</v>
      </c>
      <c r="AT8">
        <v>897</v>
      </c>
      <c r="AU8" s="705">
        <f t="shared" ref="AU8:AU38" si="3">SUM(ABS(AH8), ABS(AK8),ABS(AM8),ABS(AO8),ABS(AQ8),ABS(AS8))</f>
        <v>897</v>
      </c>
      <c r="AV8" s="705">
        <f t="shared" si="2"/>
        <v>2421</v>
      </c>
    </row>
    <row r="9" spans="1:48">
      <c r="B9" t="s">
        <v>527</v>
      </c>
      <c r="C9" t="s">
        <v>110</v>
      </c>
      <c r="D9" t="s">
        <v>584</v>
      </c>
      <c r="E9" t="s">
        <v>584</v>
      </c>
      <c r="F9">
        <v>7</v>
      </c>
      <c r="G9">
        <v>701</v>
      </c>
      <c r="H9">
        <v>644</v>
      </c>
      <c r="I9" s="705">
        <v>17637</v>
      </c>
      <c r="J9" s="705">
        <v>16034</v>
      </c>
      <c r="K9">
        <v>90</v>
      </c>
      <c r="L9" s="705">
        <v>2392</v>
      </c>
      <c r="M9" s="705">
        <v>2174</v>
      </c>
      <c r="N9" s="705">
        <v>13268</v>
      </c>
      <c r="O9" s="705">
        <v>4914</v>
      </c>
      <c r="P9" s="705">
        <v>3308</v>
      </c>
      <c r="Q9" s="705">
        <v>1225</v>
      </c>
      <c r="R9" s="705">
        <v>27635</v>
      </c>
      <c r="S9" s="705">
        <v>25122</v>
      </c>
      <c r="T9">
        <v>0</v>
      </c>
      <c r="U9">
        <v>0</v>
      </c>
      <c r="V9" s="705">
        <v>49469</v>
      </c>
      <c r="W9" s="705">
        <f t="shared" si="0"/>
        <v>49469</v>
      </c>
      <c r="X9" s="705">
        <f t="shared" si="1"/>
        <v>64240</v>
      </c>
      <c r="Y9" s="705"/>
      <c r="AA9" t="s">
        <v>108</v>
      </c>
      <c r="AB9" t="s">
        <v>581</v>
      </c>
      <c r="AC9" t="s">
        <v>228</v>
      </c>
      <c r="AD9">
        <v>1</v>
      </c>
      <c r="AE9">
        <v>98</v>
      </c>
      <c r="AF9">
        <v>57</v>
      </c>
      <c r="AG9">
        <v>11</v>
      </c>
      <c r="AH9">
        <v>4</v>
      </c>
      <c r="AI9">
        <v>377</v>
      </c>
      <c r="AJ9">
        <v>0</v>
      </c>
      <c r="AK9">
        <v>0</v>
      </c>
      <c r="AL9" s="705">
        <v>1197</v>
      </c>
      <c r="AM9">
        <v>443</v>
      </c>
      <c r="AN9">
        <v>351</v>
      </c>
      <c r="AO9">
        <v>130</v>
      </c>
      <c r="AP9" s="705">
        <v>4034</v>
      </c>
      <c r="AQ9" s="705">
        <v>1494</v>
      </c>
      <c r="AR9">
        <v>0</v>
      </c>
      <c r="AS9">
        <v>0</v>
      </c>
      <c r="AT9" s="705">
        <v>2072</v>
      </c>
      <c r="AU9" s="705">
        <f t="shared" si="3"/>
        <v>2071</v>
      </c>
      <c r="AV9" s="705">
        <f t="shared" si="2"/>
        <v>5593</v>
      </c>
    </row>
    <row r="10" spans="1:48">
      <c r="B10" t="s">
        <v>527</v>
      </c>
      <c r="C10" t="s">
        <v>112</v>
      </c>
      <c r="D10" t="s">
        <v>582</v>
      </c>
      <c r="E10" t="s">
        <v>582</v>
      </c>
      <c r="F10">
        <v>1</v>
      </c>
      <c r="G10">
        <v>85</v>
      </c>
      <c r="H10">
        <v>111</v>
      </c>
      <c r="I10" s="705">
        <v>4552</v>
      </c>
      <c r="J10" s="705">
        <v>4138</v>
      </c>
      <c r="K10">
        <v>91</v>
      </c>
      <c r="L10">
        <v>0</v>
      </c>
      <c r="M10">
        <v>0</v>
      </c>
      <c r="N10" s="705">
        <v>1295</v>
      </c>
      <c r="O10">
        <v>480</v>
      </c>
      <c r="P10">
        <v>351</v>
      </c>
      <c r="Q10">
        <v>130</v>
      </c>
      <c r="R10" s="705">
        <v>3222</v>
      </c>
      <c r="S10" s="705">
        <v>2929</v>
      </c>
      <c r="T10">
        <v>0</v>
      </c>
      <c r="U10">
        <v>0</v>
      </c>
      <c r="V10" s="705">
        <v>7676</v>
      </c>
      <c r="W10" s="705">
        <f t="shared" si="0"/>
        <v>7677</v>
      </c>
      <c r="X10" s="705">
        <f t="shared" si="1"/>
        <v>9420</v>
      </c>
      <c r="Y10" s="705"/>
      <c r="AA10" t="s">
        <v>108</v>
      </c>
      <c r="AB10" t="s">
        <v>582</v>
      </c>
      <c r="AC10" t="s">
        <v>582</v>
      </c>
      <c r="AD10">
        <v>1</v>
      </c>
      <c r="AE10">
        <v>80</v>
      </c>
      <c r="AF10">
        <v>71</v>
      </c>
      <c r="AG10" s="705">
        <v>1196</v>
      </c>
      <c r="AH10" s="705">
        <v>1088</v>
      </c>
      <c r="AI10">
        <v>92</v>
      </c>
      <c r="AJ10">
        <v>0</v>
      </c>
      <c r="AK10">
        <v>0</v>
      </c>
      <c r="AL10">
        <v>975</v>
      </c>
      <c r="AM10">
        <v>361</v>
      </c>
      <c r="AN10">
        <v>351</v>
      </c>
      <c r="AO10">
        <v>130</v>
      </c>
      <c r="AP10" s="705">
        <v>3144</v>
      </c>
      <c r="AQ10" s="705">
        <v>2858</v>
      </c>
      <c r="AR10">
        <v>0</v>
      </c>
      <c r="AS10">
        <v>0</v>
      </c>
      <c r="AT10" s="705">
        <v>4437</v>
      </c>
      <c r="AU10" s="705">
        <f t="shared" si="3"/>
        <v>4437</v>
      </c>
      <c r="AV10" s="705">
        <f t="shared" si="2"/>
        <v>5666</v>
      </c>
    </row>
    <row r="11" spans="1:48">
      <c r="B11" t="s">
        <v>527</v>
      </c>
      <c r="C11" t="s">
        <v>112</v>
      </c>
      <c r="D11" t="s">
        <v>583</v>
      </c>
      <c r="E11" t="s">
        <v>583</v>
      </c>
      <c r="F11">
        <v>1</v>
      </c>
      <c r="G11">
        <v>326</v>
      </c>
      <c r="H11">
        <v>112</v>
      </c>
      <c r="I11" s="705">
        <v>18917</v>
      </c>
      <c r="J11" s="705">
        <v>17197</v>
      </c>
      <c r="K11">
        <v>97</v>
      </c>
      <c r="L11" s="705">
        <v>2581</v>
      </c>
      <c r="M11" s="705">
        <v>2347</v>
      </c>
      <c r="N11" s="705">
        <v>5949</v>
      </c>
      <c r="O11" s="705">
        <v>2203</v>
      </c>
      <c r="P11" s="705">
        <v>1323</v>
      </c>
      <c r="Q11">
        <v>490</v>
      </c>
      <c r="R11" s="705">
        <v>7571</v>
      </c>
      <c r="S11" s="705">
        <v>6883</v>
      </c>
      <c r="T11">
        <v>0</v>
      </c>
      <c r="U11">
        <v>0</v>
      </c>
      <c r="V11" s="705">
        <v>29120</v>
      </c>
      <c r="W11" s="705">
        <f t="shared" si="0"/>
        <v>29120</v>
      </c>
      <c r="X11" s="705">
        <f t="shared" si="1"/>
        <v>36341</v>
      </c>
      <c r="Y11" s="705"/>
      <c r="AA11" t="s">
        <v>108</v>
      </c>
      <c r="AB11" t="s">
        <v>228</v>
      </c>
      <c r="AC11" t="s">
        <v>228</v>
      </c>
      <c r="AD11" s="705">
        <v>1114</v>
      </c>
      <c r="AE11" s="705">
        <v>89787</v>
      </c>
      <c r="AF11" s="705">
        <v>61381</v>
      </c>
      <c r="AG11" s="705">
        <v>-380130</v>
      </c>
      <c r="AH11" s="705">
        <v>-140789</v>
      </c>
      <c r="AI11">
        <v>447</v>
      </c>
      <c r="AJ11" s="705">
        <v>9760</v>
      </c>
      <c r="AK11" s="705">
        <v>8349</v>
      </c>
      <c r="AL11" s="705">
        <v>1145358</v>
      </c>
      <c r="AM11" s="705">
        <v>424207</v>
      </c>
      <c r="AN11" s="705">
        <v>787175</v>
      </c>
      <c r="AO11" s="705">
        <v>291546</v>
      </c>
      <c r="AP11" s="705">
        <v>3304344</v>
      </c>
      <c r="AQ11" s="705">
        <v>1223831</v>
      </c>
      <c r="AR11">
        <v>0</v>
      </c>
      <c r="AS11">
        <v>0</v>
      </c>
      <c r="AT11" s="705">
        <v>1807144</v>
      </c>
      <c r="AU11" s="705">
        <f t="shared" si="3"/>
        <v>2088722</v>
      </c>
      <c r="AV11" s="705">
        <f t="shared" si="2"/>
        <v>5626767</v>
      </c>
    </row>
    <row r="12" spans="1:48">
      <c r="B12" t="s">
        <v>527</v>
      </c>
      <c r="C12" t="s">
        <v>112</v>
      </c>
      <c r="D12" t="s">
        <v>584</v>
      </c>
      <c r="E12" t="s">
        <v>584</v>
      </c>
      <c r="F12">
        <v>6</v>
      </c>
      <c r="G12">
        <v>540</v>
      </c>
      <c r="H12">
        <v>717</v>
      </c>
      <c r="I12" s="705">
        <v>27398</v>
      </c>
      <c r="J12" s="705">
        <v>24908</v>
      </c>
      <c r="K12">
        <v>85</v>
      </c>
      <c r="L12" s="705">
        <v>1424</v>
      </c>
      <c r="M12">
        <v>848</v>
      </c>
      <c r="N12" s="705">
        <v>11030</v>
      </c>
      <c r="O12" s="705">
        <v>4085</v>
      </c>
      <c r="P12" s="705">
        <v>2835</v>
      </c>
      <c r="Q12" s="705">
        <v>1050</v>
      </c>
      <c r="R12" s="705">
        <v>21879</v>
      </c>
      <c r="S12" s="705">
        <v>19890</v>
      </c>
      <c r="T12">
        <v>0</v>
      </c>
      <c r="U12">
        <v>0</v>
      </c>
      <c r="V12" s="705">
        <v>50780</v>
      </c>
      <c r="W12" s="705">
        <f t="shared" si="0"/>
        <v>50781</v>
      </c>
      <c r="X12" s="705">
        <f t="shared" si="1"/>
        <v>64566</v>
      </c>
      <c r="Y12" s="705"/>
      <c r="AA12" t="s">
        <v>108</v>
      </c>
      <c r="AB12" t="s">
        <v>228</v>
      </c>
      <c r="AC12" t="s">
        <v>584</v>
      </c>
      <c r="AD12">
        <v>11</v>
      </c>
      <c r="AE12">
        <v>566</v>
      </c>
      <c r="AF12">
        <v>393</v>
      </c>
      <c r="AG12" s="705">
        <v>-12625</v>
      </c>
      <c r="AH12" s="705">
        <v>-4676</v>
      </c>
      <c r="AI12">
        <v>437</v>
      </c>
      <c r="AJ12" s="705">
        <v>-1684</v>
      </c>
      <c r="AK12" s="705">
        <v>-1437</v>
      </c>
      <c r="AL12" s="705">
        <v>9369</v>
      </c>
      <c r="AM12" s="705">
        <v>3470</v>
      </c>
      <c r="AN12" s="705">
        <v>5180</v>
      </c>
      <c r="AO12" s="705">
        <v>1919</v>
      </c>
      <c r="AP12" s="705">
        <v>19824</v>
      </c>
      <c r="AQ12" s="705">
        <v>18021</v>
      </c>
      <c r="AR12">
        <v>0</v>
      </c>
      <c r="AS12">
        <v>0</v>
      </c>
      <c r="AT12" s="705">
        <v>17297</v>
      </c>
      <c r="AU12" s="705">
        <f t="shared" si="3"/>
        <v>29523</v>
      </c>
      <c r="AV12" s="705">
        <f t="shared" si="2"/>
        <v>48682</v>
      </c>
    </row>
    <row r="13" spans="1:48">
      <c r="B13" t="s">
        <v>527</v>
      </c>
      <c r="C13" t="s">
        <v>114</v>
      </c>
      <c r="F13">
        <v>1</v>
      </c>
      <c r="G13">
        <v>72</v>
      </c>
      <c r="H13">
        <v>139</v>
      </c>
      <c r="J13">
        <v>0</v>
      </c>
      <c r="M13">
        <v>0</v>
      </c>
      <c r="N13" s="705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705">
        <f t="shared" si="0"/>
        <v>747</v>
      </c>
      <c r="X13" s="705">
        <f t="shared" si="1"/>
        <v>2018</v>
      </c>
      <c r="Y13" s="705"/>
      <c r="AA13" t="s">
        <v>108</v>
      </c>
      <c r="AB13" t="s">
        <v>583</v>
      </c>
      <c r="AC13" t="s">
        <v>583</v>
      </c>
      <c r="AD13">
        <v>5</v>
      </c>
      <c r="AE13">
        <v>741</v>
      </c>
      <c r="AF13">
        <v>319</v>
      </c>
      <c r="AG13" s="705">
        <v>4716</v>
      </c>
      <c r="AH13" s="705">
        <v>4287</v>
      </c>
      <c r="AI13">
        <v>87</v>
      </c>
      <c r="AJ13" s="705">
        <v>1455</v>
      </c>
      <c r="AK13" s="705">
        <v>1323</v>
      </c>
      <c r="AL13" s="705">
        <v>15547</v>
      </c>
      <c r="AM13" s="705">
        <v>5758</v>
      </c>
      <c r="AN13" s="705">
        <v>5112</v>
      </c>
      <c r="AO13" s="705">
        <v>1893</v>
      </c>
      <c r="AP13" s="705">
        <v>22587</v>
      </c>
      <c r="AQ13" s="705">
        <v>20534</v>
      </c>
      <c r="AR13">
        <v>0</v>
      </c>
      <c r="AS13">
        <v>0</v>
      </c>
      <c r="AT13" s="705">
        <v>33795</v>
      </c>
      <c r="AU13" s="705">
        <f t="shared" si="3"/>
        <v>33795</v>
      </c>
      <c r="AV13" s="705">
        <f t="shared" si="2"/>
        <v>49417</v>
      </c>
    </row>
    <row r="14" spans="1:48">
      <c r="B14" t="s">
        <v>527</v>
      </c>
      <c r="C14" t="s">
        <v>114</v>
      </c>
      <c r="D14" t="s">
        <v>582</v>
      </c>
      <c r="E14" t="s">
        <v>582</v>
      </c>
      <c r="F14">
        <v>1</v>
      </c>
      <c r="G14">
        <v>80</v>
      </c>
      <c r="H14">
        <v>149</v>
      </c>
      <c r="I14" s="705">
        <v>4719</v>
      </c>
      <c r="J14" s="705">
        <v>4290</v>
      </c>
      <c r="K14">
        <v>91</v>
      </c>
      <c r="L14" s="705">
        <v>1107</v>
      </c>
      <c r="M14">
        <v>410</v>
      </c>
      <c r="N14" s="705">
        <v>1703</v>
      </c>
      <c r="O14">
        <v>631</v>
      </c>
      <c r="P14">
        <v>473</v>
      </c>
      <c r="Q14">
        <v>175</v>
      </c>
      <c r="R14" s="705">
        <v>3888</v>
      </c>
      <c r="S14" s="705">
        <v>3535</v>
      </c>
      <c r="T14">
        <v>0</v>
      </c>
      <c r="U14">
        <v>0</v>
      </c>
      <c r="V14" s="705">
        <v>9040</v>
      </c>
      <c r="W14" s="705">
        <f t="shared" si="0"/>
        <v>9041</v>
      </c>
      <c r="X14" s="705">
        <f t="shared" si="1"/>
        <v>11890</v>
      </c>
      <c r="Y14" s="705"/>
      <c r="AA14" t="s">
        <v>108</v>
      </c>
      <c r="AB14" t="s">
        <v>584</v>
      </c>
      <c r="AC14" t="s">
        <v>584</v>
      </c>
      <c r="AD14" s="705">
        <v>1868</v>
      </c>
      <c r="AE14" s="705">
        <v>151241</v>
      </c>
      <c r="AF14" s="705">
        <v>103149</v>
      </c>
      <c r="AG14" s="705">
        <v>-395216</v>
      </c>
      <c r="AH14" s="705">
        <v>-359287</v>
      </c>
      <c r="AI14">
        <v>91</v>
      </c>
      <c r="AJ14" s="705">
        <v>4592</v>
      </c>
      <c r="AK14" s="705">
        <v>3476</v>
      </c>
      <c r="AL14" s="705">
        <v>1904053</v>
      </c>
      <c r="AM14" s="705">
        <v>705205</v>
      </c>
      <c r="AN14" s="705">
        <v>1687739</v>
      </c>
      <c r="AO14" s="705">
        <v>625088</v>
      </c>
      <c r="AP14" s="705">
        <v>4966006</v>
      </c>
      <c r="AQ14" s="705">
        <v>4514550</v>
      </c>
      <c r="AR14" s="705">
        <v>64763</v>
      </c>
      <c r="AS14" s="705">
        <v>23986</v>
      </c>
      <c r="AT14" s="705">
        <v>5513018</v>
      </c>
      <c r="AU14" s="705">
        <f t="shared" si="3"/>
        <v>6231592</v>
      </c>
      <c r="AV14" s="705">
        <f t="shared" si="2"/>
        <v>9022369</v>
      </c>
    </row>
    <row r="15" spans="1:48">
      <c r="B15" t="s">
        <v>527</v>
      </c>
      <c r="C15" t="s">
        <v>114</v>
      </c>
      <c r="D15" t="s">
        <v>228</v>
      </c>
      <c r="E15" t="s">
        <v>228</v>
      </c>
      <c r="F15">
        <v>6</v>
      </c>
      <c r="G15">
        <v>446</v>
      </c>
      <c r="H15">
        <v>861</v>
      </c>
      <c r="I15" s="705">
        <v>12150</v>
      </c>
      <c r="J15" s="705">
        <v>4500</v>
      </c>
      <c r="K15">
        <v>200</v>
      </c>
      <c r="L15" s="705">
        <v>1599</v>
      </c>
      <c r="M15">
        <v>673</v>
      </c>
      <c r="N15" s="705">
        <v>7817</v>
      </c>
      <c r="O15" s="705">
        <v>2895</v>
      </c>
      <c r="P15">
        <v>702</v>
      </c>
      <c r="Q15">
        <v>260</v>
      </c>
      <c r="R15" s="705">
        <v>41615</v>
      </c>
      <c r="S15" s="705">
        <v>15413</v>
      </c>
      <c r="T15">
        <v>0</v>
      </c>
      <c r="U15">
        <v>0</v>
      </c>
      <c r="V15" s="705">
        <v>23740</v>
      </c>
      <c r="W15" s="705">
        <f t="shared" si="0"/>
        <v>23741</v>
      </c>
      <c r="X15" s="705">
        <f t="shared" si="1"/>
        <v>63883</v>
      </c>
      <c r="Y15" s="705"/>
      <c r="AA15" t="s">
        <v>108</v>
      </c>
      <c r="AB15" t="s">
        <v>585</v>
      </c>
      <c r="AC15" t="s">
        <v>585</v>
      </c>
      <c r="AD15">
        <v>3</v>
      </c>
      <c r="AE15">
        <v>144</v>
      </c>
      <c r="AF15">
        <v>195</v>
      </c>
      <c r="AG15" s="705">
        <v>-7017</v>
      </c>
      <c r="AH15" s="705">
        <v>-6379</v>
      </c>
      <c r="AI15">
        <v>65</v>
      </c>
      <c r="AJ15" s="705">
        <v>-1244</v>
      </c>
      <c r="AK15">
        <v>-461</v>
      </c>
      <c r="AL15" s="705">
        <v>3421</v>
      </c>
      <c r="AM15" s="705">
        <v>1267</v>
      </c>
      <c r="AN15" s="705">
        <v>1053</v>
      </c>
      <c r="AO15">
        <v>390</v>
      </c>
      <c r="AP15" s="705">
        <v>13139</v>
      </c>
      <c r="AQ15" s="705">
        <v>11945</v>
      </c>
      <c r="AR15">
        <v>0</v>
      </c>
      <c r="AS15">
        <v>0</v>
      </c>
      <c r="AT15" s="705">
        <v>6761</v>
      </c>
      <c r="AU15" s="705">
        <f t="shared" si="3"/>
        <v>20442</v>
      </c>
      <c r="AV15" s="705">
        <f t="shared" si="2"/>
        <v>25874</v>
      </c>
    </row>
    <row r="16" spans="1:48" hidden="1">
      <c r="B16" t="s">
        <v>527</v>
      </c>
      <c r="C16" t="s">
        <v>114</v>
      </c>
      <c r="D16" t="s">
        <v>583</v>
      </c>
      <c r="E16" t="s">
        <v>583</v>
      </c>
      <c r="F16">
        <v>6</v>
      </c>
      <c r="G16">
        <v>916</v>
      </c>
      <c r="H16">
        <v>830</v>
      </c>
      <c r="I16" s="705">
        <v>76646</v>
      </c>
      <c r="J16" s="705">
        <v>69678</v>
      </c>
      <c r="K16">
        <v>92</v>
      </c>
      <c r="L16" s="705">
        <v>8648</v>
      </c>
      <c r="M16" s="705">
        <v>7862</v>
      </c>
      <c r="N16" s="705">
        <v>14881</v>
      </c>
      <c r="O16" s="705">
        <v>5512</v>
      </c>
      <c r="P16" s="705">
        <v>5049</v>
      </c>
      <c r="Q16" s="705">
        <v>1870</v>
      </c>
      <c r="R16" s="705">
        <v>17240</v>
      </c>
      <c r="S16" s="705">
        <v>15673</v>
      </c>
      <c r="T16" s="705">
        <v>2485</v>
      </c>
      <c r="U16">
        <v>920</v>
      </c>
      <c r="V16" s="705">
        <v>101515</v>
      </c>
      <c r="W16" s="705">
        <f t="shared" si="0"/>
        <v>101515</v>
      </c>
      <c r="X16" s="705">
        <f t="shared" si="1"/>
        <v>124949</v>
      </c>
      <c r="Y16" s="705"/>
      <c r="AA16" t="s">
        <v>110</v>
      </c>
      <c r="AD16">
        <v>687</v>
      </c>
      <c r="AE16" s="705">
        <v>52639</v>
      </c>
      <c r="AF16" s="705">
        <v>61228</v>
      </c>
      <c r="AH16">
        <v>0</v>
      </c>
      <c r="AK16">
        <v>0</v>
      </c>
      <c r="AL16" s="705">
        <v>883828</v>
      </c>
      <c r="AM16" s="705">
        <v>327344</v>
      </c>
      <c r="AN16" s="705">
        <v>264335</v>
      </c>
      <c r="AO16" s="705">
        <v>97902</v>
      </c>
      <c r="AQ16">
        <v>0</v>
      </c>
      <c r="AR16" s="705">
        <v>71881</v>
      </c>
      <c r="AS16" s="705">
        <v>26623</v>
      </c>
      <c r="AT16" s="705">
        <v>451868</v>
      </c>
      <c r="AU16" s="705">
        <f t="shared" si="3"/>
        <v>451869</v>
      </c>
      <c r="AV16" s="705">
        <f t="shared" si="2"/>
        <v>1220044</v>
      </c>
    </row>
    <row r="17" spans="2:48" hidden="1">
      <c r="B17" t="s">
        <v>527</v>
      </c>
      <c r="C17" t="s">
        <v>114</v>
      </c>
      <c r="D17" t="s">
        <v>584</v>
      </c>
      <c r="E17" t="s">
        <v>584</v>
      </c>
      <c r="F17">
        <v>42</v>
      </c>
      <c r="G17" s="705">
        <v>3024</v>
      </c>
      <c r="H17" s="705">
        <v>5846</v>
      </c>
      <c r="I17" s="705">
        <v>181218</v>
      </c>
      <c r="J17" s="705">
        <v>164743</v>
      </c>
      <c r="K17">
        <v>85</v>
      </c>
      <c r="L17" s="705">
        <v>8272</v>
      </c>
      <c r="M17" s="705">
        <v>6351</v>
      </c>
      <c r="N17" s="705">
        <v>61727</v>
      </c>
      <c r="O17" s="705">
        <v>22862</v>
      </c>
      <c r="P17" s="705">
        <v>19845</v>
      </c>
      <c r="Q17" s="705">
        <v>7350</v>
      </c>
      <c r="R17" s="705">
        <v>146400</v>
      </c>
      <c r="S17" s="705">
        <v>133091</v>
      </c>
      <c r="T17" s="705">
        <v>4707</v>
      </c>
      <c r="U17" s="705">
        <v>1743</v>
      </c>
      <c r="V17" s="705">
        <v>336140</v>
      </c>
      <c r="W17" s="705">
        <f t="shared" si="0"/>
        <v>336140</v>
      </c>
      <c r="X17" s="705">
        <f t="shared" si="1"/>
        <v>422169</v>
      </c>
      <c r="Y17" s="705"/>
      <c r="AA17" t="s">
        <v>110</v>
      </c>
      <c r="AB17" t="s">
        <v>582</v>
      </c>
      <c r="AC17" t="s">
        <v>582</v>
      </c>
      <c r="AD17">
        <v>44</v>
      </c>
      <c r="AE17" s="705">
        <v>4215</v>
      </c>
      <c r="AF17" s="705">
        <v>3991</v>
      </c>
      <c r="AG17" s="705">
        <v>150332</v>
      </c>
      <c r="AH17" s="705">
        <v>136666</v>
      </c>
      <c r="AI17">
        <v>90</v>
      </c>
      <c r="AJ17" s="705">
        <v>6937</v>
      </c>
      <c r="AK17" s="705">
        <v>4567</v>
      </c>
      <c r="AL17" s="705">
        <v>67268</v>
      </c>
      <c r="AM17" s="705">
        <v>24914</v>
      </c>
      <c r="AN17" s="705">
        <v>19519</v>
      </c>
      <c r="AO17" s="705">
        <v>7229</v>
      </c>
      <c r="AP17" s="705">
        <v>138497</v>
      </c>
      <c r="AQ17" s="705">
        <v>125907</v>
      </c>
      <c r="AR17">
        <v>0</v>
      </c>
      <c r="AS17">
        <v>0</v>
      </c>
      <c r="AT17" s="705">
        <v>299283</v>
      </c>
      <c r="AU17" s="705">
        <f t="shared" si="3"/>
        <v>299283</v>
      </c>
      <c r="AV17" s="705">
        <f t="shared" si="2"/>
        <v>382553</v>
      </c>
    </row>
    <row r="18" spans="2:48" hidden="1">
      <c r="B18" t="s">
        <v>527</v>
      </c>
      <c r="C18" t="s">
        <v>141</v>
      </c>
      <c r="F18">
        <v>1</v>
      </c>
      <c r="G18">
        <v>79</v>
      </c>
      <c r="H18">
        <v>163</v>
      </c>
      <c r="J18">
        <v>0</v>
      </c>
      <c r="M18">
        <v>0</v>
      </c>
      <c r="N18" s="705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705">
        <f t="shared" si="0"/>
        <v>804</v>
      </c>
      <c r="X18" s="705">
        <f t="shared" si="1"/>
        <v>2171</v>
      </c>
      <c r="Y18" s="705"/>
      <c r="AA18" t="s">
        <v>110</v>
      </c>
      <c r="AB18" t="s">
        <v>228</v>
      </c>
      <c r="AC18" t="s">
        <v>228</v>
      </c>
      <c r="AD18">
        <v>155</v>
      </c>
      <c r="AE18" s="705">
        <v>11455</v>
      </c>
      <c r="AF18" s="705">
        <v>13450</v>
      </c>
      <c r="AG18" s="705">
        <v>272880</v>
      </c>
      <c r="AH18" s="705">
        <v>101067</v>
      </c>
      <c r="AI18">
        <v>361</v>
      </c>
      <c r="AJ18" s="705">
        <v>26010</v>
      </c>
      <c r="AK18" s="705">
        <v>23087</v>
      </c>
      <c r="AL18" s="705">
        <v>162997</v>
      </c>
      <c r="AM18" s="705">
        <v>60369</v>
      </c>
      <c r="AN18" s="705">
        <v>73336</v>
      </c>
      <c r="AO18" s="705">
        <v>27162</v>
      </c>
      <c r="AP18" s="705">
        <v>464629</v>
      </c>
      <c r="AQ18" s="705">
        <v>172085</v>
      </c>
      <c r="AR18">
        <v>0</v>
      </c>
      <c r="AS18">
        <v>0</v>
      </c>
      <c r="AT18" s="705">
        <v>383770</v>
      </c>
      <c r="AU18" s="705">
        <f t="shared" si="3"/>
        <v>383770</v>
      </c>
      <c r="AV18" s="705">
        <f t="shared" si="2"/>
        <v>999852</v>
      </c>
    </row>
    <row r="19" spans="2:48" hidden="1">
      <c r="B19" t="s">
        <v>527</v>
      </c>
      <c r="C19" t="s">
        <v>141</v>
      </c>
      <c r="D19" t="s">
        <v>664</v>
      </c>
      <c r="E19" t="s">
        <v>664</v>
      </c>
      <c r="F19">
        <v>3</v>
      </c>
      <c r="G19">
        <v>239</v>
      </c>
      <c r="H19">
        <v>623</v>
      </c>
      <c r="I19" s="705">
        <v>31532</v>
      </c>
      <c r="J19" s="705">
        <v>28665</v>
      </c>
      <c r="K19">
        <v>90</v>
      </c>
      <c r="L19" s="705">
        <v>4873</v>
      </c>
      <c r="M19" s="705">
        <v>4430</v>
      </c>
      <c r="N19" s="705">
        <v>4361</v>
      </c>
      <c r="O19" s="705">
        <v>1615</v>
      </c>
      <c r="P19" s="705">
        <v>1418</v>
      </c>
      <c r="Q19">
        <v>525</v>
      </c>
      <c r="R19" s="705">
        <v>5941</v>
      </c>
      <c r="S19" s="705">
        <v>5401</v>
      </c>
      <c r="T19">
        <v>0</v>
      </c>
      <c r="U19">
        <v>0</v>
      </c>
      <c r="V19" s="705">
        <v>40636</v>
      </c>
      <c r="W19" s="705">
        <f t="shared" si="0"/>
        <v>40636</v>
      </c>
      <c r="X19" s="705">
        <f t="shared" si="1"/>
        <v>48125</v>
      </c>
      <c r="Y19" s="705"/>
      <c r="AA19" t="s">
        <v>110</v>
      </c>
      <c r="AB19" t="s">
        <v>583</v>
      </c>
      <c r="AC19" t="s">
        <v>228</v>
      </c>
      <c r="AD19">
        <v>1</v>
      </c>
      <c r="AE19">
        <v>237</v>
      </c>
      <c r="AF19">
        <v>83</v>
      </c>
      <c r="AG19" s="705">
        <v>7700</v>
      </c>
      <c r="AH19" s="705">
        <v>7000</v>
      </c>
      <c r="AI19">
        <v>95</v>
      </c>
      <c r="AJ19" s="705">
        <v>1493</v>
      </c>
      <c r="AK19" s="705">
        <v>1245</v>
      </c>
      <c r="AL19" s="705">
        <v>2888</v>
      </c>
      <c r="AM19" s="705">
        <v>1069</v>
      </c>
      <c r="AN19" s="705">
        <v>2757</v>
      </c>
      <c r="AO19" s="705">
        <v>1021</v>
      </c>
      <c r="AP19" s="705">
        <v>4837</v>
      </c>
      <c r="AQ19" s="705">
        <v>1791</v>
      </c>
      <c r="AR19">
        <v>0</v>
      </c>
      <c r="AS19">
        <v>0</v>
      </c>
      <c r="AT19" s="705">
        <v>12127</v>
      </c>
      <c r="AU19" s="705">
        <f t="shared" si="3"/>
        <v>12126</v>
      </c>
      <c r="AV19" s="705">
        <f t="shared" si="2"/>
        <v>19675</v>
      </c>
    </row>
    <row r="20" spans="2:48" hidden="1">
      <c r="B20" t="s">
        <v>527</v>
      </c>
      <c r="C20" t="s">
        <v>141</v>
      </c>
      <c r="D20" t="s">
        <v>582</v>
      </c>
      <c r="E20" t="s">
        <v>582</v>
      </c>
      <c r="F20">
        <v>3</v>
      </c>
      <c r="G20">
        <v>251</v>
      </c>
      <c r="H20">
        <v>750</v>
      </c>
      <c r="I20" s="705">
        <v>34445</v>
      </c>
      <c r="J20" s="705">
        <v>31314</v>
      </c>
      <c r="K20">
        <v>79</v>
      </c>
      <c r="L20" s="705">
        <v>5859</v>
      </c>
      <c r="M20" s="705">
        <v>5327</v>
      </c>
      <c r="N20" s="705">
        <v>6012</v>
      </c>
      <c r="O20" s="705">
        <v>2227</v>
      </c>
      <c r="P20" s="705">
        <v>1175</v>
      </c>
      <c r="Q20">
        <v>435</v>
      </c>
      <c r="R20" s="705">
        <v>10642</v>
      </c>
      <c r="S20" s="705">
        <v>9674</v>
      </c>
      <c r="T20" s="705">
        <v>4392</v>
      </c>
      <c r="U20" s="705">
        <v>1627</v>
      </c>
      <c r="V20" s="705">
        <v>50603</v>
      </c>
      <c r="W20" s="705">
        <f t="shared" si="0"/>
        <v>50604</v>
      </c>
      <c r="X20" s="705">
        <f t="shared" si="1"/>
        <v>62525</v>
      </c>
      <c r="Y20" s="705"/>
      <c r="AA20" t="s">
        <v>110</v>
      </c>
      <c r="AB20" t="s">
        <v>583</v>
      </c>
      <c r="AC20" t="s">
        <v>583</v>
      </c>
      <c r="AD20">
        <v>24</v>
      </c>
      <c r="AE20" s="705">
        <v>3931</v>
      </c>
      <c r="AF20" s="705">
        <v>2261</v>
      </c>
      <c r="AG20" s="705">
        <v>180773</v>
      </c>
      <c r="AH20" s="705">
        <v>164339</v>
      </c>
      <c r="AI20">
        <v>92</v>
      </c>
      <c r="AJ20" s="705">
        <v>22410</v>
      </c>
      <c r="AK20" s="705">
        <v>19967</v>
      </c>
      <c r="AL20" s="705">
        <v>53143</v>
      </c>
      <c r="AM20" s="705">
        <v>19683</v>
      </c>
      <c r="AN20" s="705">
        <v>22473</v>
      </c>
      <c r="AO20" s="705">
        <v>8323</v>
      </c>
      <c r="AP20" s="705">
        <v>93623</v>
      </c>
      <c r="AQ20" s="705">
        <v>85112</v>
      </c>
      <c r="AR20">
        <v>0</v>
      </c>
      <c r="AS20">
        <v>0</v>
      </c>
      <c r="AT20" s="705">
        <v>297424</v>
      </c>
      <c r="AU20" s="705">
        <f t="shared" si="3"/>
        <v>297424</v>
      </c>
      <c r="AV20" s="705">
        <f t="shared" si="2"/>
        <v>372422</v>
      </c>
    </row>
    <row r="21" spans="2:48" hidden="1">
      <c r="B21" t="s">
        <v>527</v>
      </c>
      <c r="C21" t="s">
        <v>141</v>
      </c>
      <c r="D21" t="s">
        <v>228</v>
      </c>
      <c r="E21" t="s">
        <v>228</v>
      </c>
      <c r="F21">
        <v>321</v>
      </c>
      <c r="G21" s="705">
        <v>23242</v>
      </c>
      <c r="H21" s="705">
        <v>75596</v>
      </c>
      <c r="I21" s="705">
        <v>2555948</v>
      </c>
      <c r="J21" s="705">
        <v>946648</v>
      </c>
      <c r="K21">
        <v>101</v>
      </c>
      <c r="L21" s="705">
        <v>339499</v>
      </c>
      <c r="M21" s="705">
        <v>131715</v>
      </c>
      <c r="N21" s="705">
        <v>460260</v>
      </c>
      <c r="O21" s="705">
        <v>170467</v>
      </c>
      <c r="P21" s="705">
        <v>5638</v>
      </c>
      <c r="Q21" s="705">
        <v>2088</v>
      </c>
      <c r="R21" s="705">
        <v>2005345</v>
      </c>
      <c r="S21" s="705">
        <v>742720</v>
      </c>
      <c r="T21">
        <v>0</v>
      </c>
      <c r="U21">
        <v>0</v>
      </c>
      <c r="V21" s="705">
        <v>1993638</v>
      </c>
      <c r="W21" s="705">
        <f t="shared" si="0"/>
        <v>1993638</v>
      </c>
      <c r="X21" s="705">
        <f t="shared" si="1"/>
        <v>5366690</v>
      </c>
      <c r="Y21" s="705"/>
      <c r="AA21" t="s">
        <v>110</v>
      </c>
      <c r="AB21" t="s">
        <v>584</v>
      </c>
      <c r="AC21" t="s">
        <v>584</v>
      </c>
      <c r="AD21" s="705">
        <v>2296</v>
      </c>
      <c r="AE21" s="705">
        <v>191367</v>
      </c>
      <c r="AF21" s="705">
        <v>210226</v>
      </c>
      <c r="AG21" s="705">
        <v>5211775</v>
      </c>
      <c r="AH21" s="705">
        <v>4737977</v>
      </c>
      <c r="AI21">
        <v>88</v>
      </c>
      <c r="AJ21" s="705">
        <v>186179</v>
      </c>
      <c r="AK21" s="705">
        <v>108346</v>
      </c>
      <c r="AL21" s="705">
        <v>3402606</v>
      </c>
      <c r="AM21" s="705">
        <v>1260224</v>
      </c>
      <c r="AN21" s="705">
        <v>1341269</v>
      </c>
      <c r="AO21" s="705">
        <v>496766</v>
      </c>
      <c r="AP21" s="705">
        <v>7232539</v>
      </c>
      <c r="AQ21" s="705">
        <v>6575035</v>
      </c>
      <c r="AR21" s="705">
        <v>153109</v>
      </c>
      <c r="AS21" s="705">
        <v>56707</v>
      </c>
      <c r="AT21" s="705">
        <v>13235056</v>
      </c>
      <c r="AU21" s="705">
        <f t="shared" si="3"/>
        <v>13235055</v>
      </c>
      <c r="AV21" s="705">
        <f t="shared" si="2"/>
        <v>17527477</v>
      </c>
    </row>
    <row r="22" spans="2:48" hidden="1">
      <c r="B22" t="s">
        <v>527</v>
      </c>
      <c r="C22" t="s">
        <v>141</v>
      </c>
      <c r="D22" t="s">
        <v>583</v>
      </c>
      <c r="E22" t="s">
        <v>583</v>
      </c>
      <c r="F22">
        <v>42</v>
      </c>
      <c r="G22" s="705">
        <v>4187</v>
      </c>
      <c r="H22" s="705">
        <v>8574</v>
      </c>
      <c r="I22" s="705">
        <v>429372</v>
      </c>
      <c r="J22" s="705">
        <v>390338</v>
      </c>
      <c r="K22">
        <v>85</v>
      </c>
      <c r="L22" s="705">
        <v>77874</v>
      </c>
      <c r="M22" s="705">
        <v>62653</v>
      </c>
      <c r="N22" s="705">
        <v>83997</v>
      </c>
      <c r="O22" s="705">
        <v>31110</v>
      </c>
      <c r="P22" s="705">
        <v>28809</v>
      </c>
      <c r="Q22" s="705">
        <v>10670</v>
      </c>
      <c r="R22" s="705">
        <v>179473</v>
      </c>
      <c r="S22" s="705">
        <v>163157</v>
      </c>
      <c r="T22" s="705">
        <v>42502</v>
      </c>
      <c r="U22" s="705">
        <v>15742</v>
      </c>
      <c r="V22" s="705">
        <v>673669</v>
      </c>
      <c r="W22" s="705">
        <f t="shared" si="0"/>
        <v>673670</v>
      </c>
      <c r="X22" s="705">
        <f t="shared" si="1"/>
        <v>842027</v>
      </c>
      <c r="Y22" s="705"/>
      <c r="AA22" t="s">
        <v>110</v>
      </c>
      <c r="AB22" t="s">
        <v>585</v>
      </c>
      <c r="AC22" t="s">
        <v>585</v>
      </c>
      <c r="AD22">
        <v>2</v>
      </c>
      <c r="AE22">
        <v>168</v>
      </c>
      <c r="AF22">
        <v>173</v>
      </c>
      <c r="AG22" s="705">
        <v>2225</v>
      </c>
      <c r="AH22" s="705">
        <v>2022</v>
      </c>
      <c r="AI22">
        <v>70</v>
      </c>
      <c r="AJ22">
        <v>174</v>
      </c>
      <c r="AK22">
        <v>239</v>
      </c>
      <c r="AL22" s="705">
        <v>2333</v>
      </c>
      <c r="AM22">
        <v>864</v>
      </c>
      <c r="AN22">
        <v>702</v>
      </c>
      <c r="AO22">
        <v>260</v>
      </c>
      <c r="AP22" s="705">
        <v>9301</v>
      </c>
      <c r="AQ22" s="705">
        <v>8455</v>
      </c>
      <c r="AR22">
        <v>0</v>
      </c>
      <c r="AS22">
        <v>0</v>
      </c>
      <c r="AT22" s="705">
        <v>11840</v>
      </c>
      <c r="AU22" s="705">
        <f t="shared" si="3"/>
        <v>11840</v>
      </c>
      <c r="AV22" s="705">
        <f t="shared" si="2"/>
        <v>14735</v>
      </c>
    </row>
    <row r="23" spans="2:48" hidden="1">
      <c r="B23" t="s">
        <v>527</v>
      </c>
      <c r="C23" t="s">
        <v>108</v>
      </c>
      <c r="D23" s="705"/>
      <c r="E23" s="705"/>
      <c r="F23" s="705">
        <v>1</v>
      </c>
      <c r="G23" s="705">
        <v>72</v>
      </c>
      <c r="H23">
        <v>56</v>
      </c>
      <c r="J23" s="705">
        <v>0</v>
      </c>
      <c r="M23" s="705">
        <v>0</v>
      </c>
      <c r="N23" s="705">
        <v>873</v>
      </c>
      <c r="O23" s="705">
        <v>323</v>
      </c>
      <c r="P23" s="705">
        <v>702</v>
      </c>
      <c r="Q23">
        <v>260</v>
      </c>
      <c r="S23">
        <v>0</v>
      </c>
      <c r="T23">
        <v>0</v>
      </c>
      <c r="U23" s="705">
        <v>0</v>
      </c>
      <c r="V23">
        <v>583</v>
      </c>
      <c r="W23" s="705">
        <f>SUM(ABS(J23),ABS(M23),ABS(O23),ABS(Q23),ABS(S23),ABS(U23))</f>
        <v>583</v>
      </c>
      <c r="X23" s="705">
        <f t="shared" si="1"/>
        <v>1575</v>
      </c>
      <c r="Y23" s="705"/>
      <c r="AA23" t="s">
        <v>112</v>
      </c>
      <c r="AD23" s="705">
        <v>1018</v>
      </c>
      <c r="AE23" s="705">
        <v>78778</v>
      </c>
      <c r="AF23" s="705">
        <v>114934</v>
      </c>
      <c r="AH23">
        <v>0</v>
      </c>
      <c r="AK23">
        <v>0</v>
      </c>
      <c r="AL23" s="705">
        <v>1619080</v>
      </c>
      <c r="AM23" s="705">
        <v>599659</v>
      </c>
      <c r="AN23" s="705">
        <v>386228</v>
      </c>
      <c r="AO23" s="705">
        <v>143047</v>
      </c>
      <c r="AQ23">
        <v>0</v>
      </c>
      <c r="AR23" s="705">
        <v>73014</v>
      </c>
      <c r="AS23" s="705">
        <v>27042</v>
      </c>
      <c r="AT23" s="705">
        <v>769749</v>
      </c>
      <c r="AU23" s="705">
        <f t="shared" si="3"/>
        <v>769748</v>
      </c>
      <c r="AV23" s="705">
        <f t="shared" si="2"/>
        <v>2078322</v>
      </c>
    </row>
    <row r="24" spans="2:48" hidden="1">
      <c r="B24" t="s">
        <v>527</v>
      </c>
      <c r="C24" t="s">
        <v>108</v>
      </c>
      <c r="D24" t="s">
        <v>584</v>
      </c>
      <c r="E24" t="s">
        <v>584</v>
      </c>
      <c r="F24" s="705">
        <v>2</v>
      </c>
      <c r="G24">
        <v>190</v>
      </c>
      <c r="H24" s="705">
        <v>149</v>
      </c>
      <c r="I24" s="705">
        <v>1990</v>
      </c>
      <c r="J24" s="705">
        <v>1809</v>
      </c>
      <c r="K24" s="705">
        <v>90</v>
      </c>
      <c r="L24" s="705">
        <v>296</v>
      </c>
      <c r="M24" s="705">
        <v>270</v>
      </c>
      <c r="N24" s="705">
        <v>3174</v>
      </c>
      <c r="O24" s="705">
        <v>1176</v>
      </c>
      <c r="P24" s="705">
        <v>945</v>
      </c>
      <c r="Q24" s="705">
        <v>350</v>
      </c>
      <c r="R24" s="705">
        <v>7717</v>
      </c>
      <c r="S24" s="705">
        <v>7015</v>
      </c>
      <c r="T24">
        <v>0</v>
      </c>
      <c r="U24" s="705">
        <v>0</v>
      </c>
      <c r="V24" s="705">
        <v>10619</v>
      </c>
      <c r="W24" s="705">
        <f t="shared" si="0"/>
        <v>10620</v>
      </c>
      <c r="X24" s="705">
        <f t="shared" si="1"/>
        <v>14122</v>
      </c>
      <c r="Y24" s="705"/>
      <c r="AA24" t="s">
        <v>112</v>
      </c>
      <c r="AB24" s="239" t="s">
        <v>664</v>
      </c>
      <c r="AC24" t="s">
        <v>664</v>
      </c>
      <c r="AD24">
        <v>9</v>
      </c>
      <c r="AE24" s="705">
        <v>1024</v>
      </c>
      <c r="AF24" s="705">
        <v>1028</v>
      </c>
      <c r="AG24" s="705">
        <v>54100</v>
      </c>
      <c r="AH24" s="705">
        <v>49182</v>
      </c>
      <c r="AI24">
        <v>87</v>
      </c>
      <c r="AJ24">
        <v>0</v>
      </c>
      <c r="AK24" s="705">
        <v>5357</v>
      </c>
      <c r="AL24" s="705">
        <v>19236</v>
      </c>
      <c r="AM24" s="705">
        <v>7125</v>
      </c>
      <c r="AN24" s="705">
        <v>4253</v>
      </c>
      <c r="AO24" s="705">
        <v>1575</v>
      </c>
      <c r="AP24" s="705">
        <v>38767</v>
      </c>
      <c r="AQ24" s="705">
        <v>35242</v>
      </c>
      <c r="AR24">
        <v>0</v>
      </c>
      <c r="AS24">
        <v>0</v>
      </c>
      <c r="AT24" s="705">
        <v>98481</v>
      </c>
      <c r="AU24" s="705">
        <f t="shared" si="3"/>
        <v>98481</v>
      </c>
      <c r="AV24" s="705">
        <f t="shared" si="2"/>
        <v>116356</v>
      </c>
    </row>
    <row r="25" spans="2:48" hidden="1">
      <c r="B25" t="s">
        <v>527</v>
      </c>
      <c r="C25" t="s">
        <v>110</v>
      </c>
      <c r="D25" t="s">
        <v>584</v>
      </c>
      <c r="E25" t="s">
        <v>584</v>
      </c>
      <c r="F25" s="705">
        <v>7</v>
      </c>
      <c r="G25" s="705">
        <v>701</v>
      </c>
      <c r="H25" s="705">
        <v>644</v>
      </c>
      <c r="I25" s="705">
        <v>17637</v>
      </c>
      <c r="J25" s="705">
        <v>16034</v>
      </c>
      <c r="K25" s="705">
        <v>90</v>
      </c>
      <c r="L25" s="705">
        <v>2392</v>
      </c>
      <c r="M25" s="705">
        <v>2174</v>
      </c>
      <c r="N25" s="705">
        <v>13268</v>
      </c>
      <c r="O25" s="705">
        <v>4914</v>
      </c>
      <c r="P25" s="705">
        <v>3308</v>
      </c>
      <c r="Q25" s="705">
        <v>1225</v>
      </c>
      <c r="R25" s="705">
        <v>27635</v>
      </c>
      <c r="S25" s="705">
        <v>25122</v>
      </c>
      <c r="T25">
        <v>0</v>
      </c>
      <c r="U25" s="705">
        <v>0</v>
      </c>
      <c r="V25" s="705">
        <v>49469</v>
      </c>
      <c r="W25" s="705">
        <f t="shared" si="0"/>
        <v>49469</v>
      </c>
      <c r="X25" s="705">
        <f t="shared" si="1"/>
        <v>64240</v>
      </c>
      <c r="Y25" s="705"/>
      <c r="AA25" t="s">
        <v>112</v>
      </c>
      <c r="AB25" t="s">
        <v>664</v>
      </c>
      <c r="AC25" t="s">
        <v>584</v>
      </c>
      <c r="AD25">
        <v>2</v>
      </c>
      <c r="AE25">
        <v>146</v>
      </c>
      <c r="AF25">
        <v>205</v>
      </c>
      <c r="AG25" s="705">
        <v>3232</v>
      </c>
      <c r="AH25" s="705">
        <v>2938</v>
      </c>
      <c r="AI25">
        <v>82</v>
      </c>
      <c r="AJ25">
        <v>0</v>
      </c>
      <c r="AK25">
        <v>0</v>
      </c>
      <c r="AL25" s="705">
        <v>3562</v>
      </c>
      <c r="AM25" s="705">
        <v>1319</v>
      </c>
      <c r="AN25">
        <v>945</v>
      </c>
      <c r="AO25">
        <v>350</v>
      </c>
      <c r="AP25" s="705">
        <v>7235</v>
      </c>
      <c r="AQ25" s="705">
        <v>6578</v>
      </c>
      <c r="AR25">
        <v>0</v>
      </c>
      <c r="AS25">
        <v>0</v>
      </c>
      <c r="AT25" s="705">
        <v>11185</v>
      </c>
      <c r="AU25" s="705">
        <f t="shared" si="3"/>
        <v>11185</v>
      </c>
      <c r="AV25" s="705">
        <f t="shared" si="2"/>
        <v>14974</v>
      </c>
    </row>
    <row r="26" spans="2:48" hidden="1">
      <c r="B26" t="s">
        <v>527</v>
      </c>
      <c r="C26" t="s">
        <v>112</v>
      </c>
      <c r="D26" t="s">
        <v>582</v>
      </c>
      <c r="E26" t="s">
        <v>582</v>
      </c>
      <c r="F26" s="705">
        <v>1</v>
      </c>
      <c r="G26" s="705">
        <v>85</v>
      </c>
      <c r="H26" s="705">
        <v>111</v>
      </c>
      <c r="I26" s="705">
        <v>4552</v>
      </c>
      <c r="J26" s="705">
        <v>4138</v>
      </c>
      <c r="K26" s="705">
        <v>91</v>
      </c>
      <c r="L26" s="705">
        <v>0</v>
      </c>
      <c r="M26" s="705">
        <v>0</v>
      </c>
      <c r="N26" s="705">
        <v>1295</v>
      </c>
      <c r="O26" s="705">
        <v>480</v>
      </c>
      <c r="P26" s="705">
        <v>351</v>
      </c>
      <c r="Q26" s="705">
        <v>130</v>
      </c>
      <c r="R26" s="705">
        <v>3222</v>
      </c>
      <c r="S26" s="705">
        <v>2929</v>
      </c>
      <c r="T26">
        <v>0</v>
      </c>
      <c r="U26" s="705">
        <v>0</v>
      </c>
      <c r="V26" s="705">
        <v>7676</v>
      </c>
      <c r="W26" s="705">
        <f t="shared" si="0"/>
        <v>7677</v>
      </c>
      <c r="X26" s="705">
        <f t="shared" si="1"/>
        <v>9420</v>
      </c>
      <c r="Y26" s="705"/>
      <c r="AA26" t="s">
        <v>112</v>
      </c>
      <c r="AB26" t="s">
        <v>582</v>
      </c>
      <c r="AC26" t="s">
        <v>664</v>
      </c>
      <c r="AD26">
        <v>1</v>
      </c>
      <c r="AE26">
        <v>87</v>
      </c>
      <c r="AF26">
        <v>113</v>
      </c>
      <c r="AG26" s="705">
        <v>3356</v>
      </c>
      <c r="AH26" s="705">
        <v>3051</v>
      </c>
      <c r="AI26">
        <v>92</v>
      </c>
      <c r="AJ26">
        <v>843</v>
      </c>
      <c r="AK26">
        <v>312</v>
      </c>
      <c r="AL26" s="705">
        <v>1295</v>
      </c>
      <c r="AM26">
        <v>479</v>
      </c>
      <c r="AN26">
        <v>473</v>
      </c>
      <c r="AO26">
        <v>175</v>
      </c>
      <c r="AP26" s="705">
        <v>3890</v>
      </c>
      <c r="AQ26" s="705">
        <v>3536</v>
      </c>
      <c r="AR26">
        <v>0</v>
      </c>
      <c r="AS26">
        <v>0</v>
      </c>
      <c r="AT26" s="705">
        <v>7554</v>
      </c>
      <c r="AU26" s="705">
        <f t="shared" si="3"/>
        <v>7553</v>
      </c>
      <c r="AV26" s="705">
        <f t="shared" si="2"/>
        <v>9857</v>
      </c>
    </row>
    <row r="27" spans="2:48" hidden="1">
      <c r="B27" t="s">
        <v>527</v>
      </c>
      <c r="C27" t="s">
        <v>112</v>
      </c>
      <c r="D27" s="705" t="s">
        <v>583</v>
      </c>
      <c r="E27" s="705" t="s">
        <v>583</v>
      </c>
      <c r="F27" s="705">
        <v>1</v>
      </c>
      <c r="G27" s="705">
        <v>326</v>
      </c>
      <c r="H27" s="705">
        <v>112</v>
      </c>
      <c r="I27" s="705">
        <v>18917</v>
      </c>
      <c r="J27" s="705">
        <v>17197</v>
      </c>
      <c r="K27" s="705">
        <v>97</v>
      </c>
      <c r="L27" s="705">
        <v>2581</v>
      </c>
      <c r="M27" s="705">
        <v>2347</v>
      </c>
      <c r="N27" s="705">
        <v>5949</v>
      </c>
      <c r="O27" s="705">
        <v>2203</v>
      </c>
      <c r="P27" s="705">
        <v>1323</v>
      </c>
      <c r="Q27" s="705">
        <v>490</v>
      </c>
      <c r="R27" s="705">
        <v>7571</v>
      </c>
      <c r="S27" s="705">
        <v>6883</v>
      </c>
      <c r="T27">
        <v>0</v>
      </c>
      <c r="U27" s="705">
        <v>0</v>
      </c>
      <c r="V27" s="705">
        <v>29120</v>
      </c>
      <c r="W27" s="705">
        <f t="shared" si="0"/>
        <v>29120</v>
      </c>
      <c r="X27" s="705">
        <f t="shared" si="1"/>
        <v>36341</v>
      </c>
      <c r="Y27" s="705"/>
      <c r="AA27" t="s">
        <v>112</v>
      </c>
      <c r="AB27" t="s">
        <v>582</v>
      </c>
      <c r="AC27" t="s">
        <v>582</v>
      </c>
      <c r="AD27">
        <v>175</v>
      </c>
      <c r="AE27" s="705">
        <v>16285</v>
      </c>
      <c r="AF27" s="705">
        <v>20131</v>
      </c>
      <c r="AG27" s="705">
        <v>870233</v>
      </c>
      <c r="AH27" s="705">
        <v>791121</v>
      </c>
      <c r="AI27">
        <v>88</v>
      </c>
      <c r="AJ27" s="705">
        <v>52320</v>
      </c>
      <c r="AK27" s="705">
        <v>47276</v>
      </c>
      <c r="AL27" s="705">
        <v>327285</v>
      </c>
      <c r="AM27" s="705">
        <v>121217</v>
      </c>
      <c r="AN27" s="705">
        <v>81567</v>
      </c>
      <c r="AO27" s="705">
        <v>30210</v>
      </c>
      <c r="AP27" s="705">
        <v>557958</v>
      </c>
      <c r="AQ27" s="705">
        <v>507234</v>
      </c>
      <c r="AR27" s="705">
        <v>2509</v>
      </c>
      <c r="AS27">
        <v>929</v>
      </c>
      <c r="AT27" s="705">
        <v>1497987</v>
      </c>
      <c r="AU27" s="705">
        <f t="shared" si="3"/>
        <v>1497987</v>
      </c>
      <c r="AV27" s="705">
        <f t="shared" si="2"/>
        <v>1891872</v>
      </c>
    </row>
    <row r="28" spans="2:48" hidden="1">
      <c r="B28" t="s">
        <v>527</v>
      </c>
      <c r="C28" t="s">
        <v>112</v>
      </c>
      <c r="D28" t="s">
        <v>584</v>
      </c>
      <c r="E28" s="705" t="s">
        <v>584</v>
      </c>
      <c r="F28" s="705">
        <v>6</v>
      </c>
      <c r="G28" s="705">
        <v>540</v>
      </c>
      <c r="H28" s="705">
        <v>717</v>
      </c>
      <c r="I28" s="705">
        <v>27398</v>
      </c>
      <c r="J28" s="705">
        <v>24908</v>
      </c>
      <c r="K28" s="705">
        <v>85</v>
      </c>
      <c r="L28" s="705">
        <v>1424</v>
      </c>
      <c r="M28" s="705">
        <v>848</v>
      </c>
      <c r="N28" s="705">
        <v>11030</v>
      </c>
      <c r="O28" s="705">
        <v>4085</v>
      </c>
      <c r="P28" s="705">
        <v>2835</v>
      </c>
      <c r="Q28" s="705">
        <v>1050</v>
      </c>
      <c r="R28" s="705">
        <v>21879</v>
      </c>
      <c r="S28" s="705">
        <v>19890</v>
      </c>
      <c r="T28" s="705">
        <v>0</v>
      </c>
      <c r="U28" s="705">
        <v>0</v>
      </c>
      <c r="V28" s="705">
        <v>50780</v>
      </c>
      <c r="W28" s="705">
        <f t="shared" si="0"/>
        <v>50781</v>
      </c>
      <c r="X28" s="705">
        <f t="shared" si="1"/>
        <v>64566</v>
      </c>
      <c r="Y28" s="705"/>
      <c r="AA28" t="s">
        <v>112</v>
      </c>
      <c r="AB28" t="s">
        <v>582</v>
      </c>
      <c r="AC28" t="s">
        <v>584</v>
      </c>
      <c r="AD28">
        <v>1</v>
      </c>
      <c r="AE28">
        <v>72</v>
      </c>
      <c r="AF28">
        <v>120</v>
      </c>
      <c r="AG28" s="705">
        <v>2285</v>
      </c>
      <c r="AH28" s="705">
        <v>2077</v>
      </c>
      <c r="AI28">
        <v>79</v>
      </c>
      <c r="AJ28">
        <v>467</v>
      </c>
      <c r="AK28">
        <v>173</v>
      </c>
      <c r="AL28" s="705">
        <v>1093</v>
      </c>
      <c r="AM28">
        <v>405</v>
      </c>
      <c r="AN28">
        <v>473</v>
      </c>
      <c r="AO28">
        <v>175</v>
      </c>
      <c r="AP28" s="705">
        <v>4285</v>
      </c>
      <c r="AQ28" s="705">
        <v>3895</v>
      </c>
      <c r="AR28">
        <v>0</v>
      </c>
      <c r="AS28">
        <v>0</v>
      </c>
      <c r="AT28" s="705">
        <v>6725</v>
      </c>
      <c r="AU28" s="705">
        <f t="shared" si="3"/>
        <v>6725</v>
      </c>
      <c r="AV28" s="705">
        <f t="shared" si="2"/>
        <v>8603</v>
      </c>
    </row>
    <row r="29" spans="2:48" hidden="1">
      <c r="B29" t="s">
        <v>527</v>
      </c>
      <c r="C29" t="s">
        <v>114</v>
      </c>
      <c r="D29" s="705"/>
      <c r="E29" s="705"/>
      <c r="F29" s="705">
        <v>1</v>
      </c>
      <c r="G29" s="705">
        <v>72</v>
      </c>
      <c r="H29" s="705">
        <v>139</v>
      </c>
      <c r="I29" s="705"/>
      <c r="J29" s="705">
        <v>0</v>
      </c>
      <c r="K29" s="705"/>
      <c r="L29" s="705"/>
      <c r="M29" s="705">
        <v>0</v>
      </c>
      <c r="N29" s="705">
        <v>1667</v>
      </c>
      <c r="O29" s="705">
        <v>617</v>
      </c>
      <c r="P29" s="705">
        <v>351</v>
      </c>
      <c r="Q29" s="705">
        <v>130</v>
      </c>
      <c r="R29" s="705"/>
      <c r="S29">
        <v>0</v>
      </c>
      <c r="T29">
        <v>0</v>
      </c>
      <c r="U29" s="705">
        <v>0</v>
      </c>
      <c r="V29">
        <v>747</v>
      </c>
      <c r="W29" s="705">
        <f t="shared" si="0"/>
        <v>747</v>
      </c>
      <c r="X29" s="705">
        <f t="shared" si="1"/>
        <v>2018</v>
      </c>
      <c r="Y29" s="705"/>
      <c r="AA29" t="s">
        <v>112</v>
      </c>
      <c r="AB29" t="s">
        <v>228</v>
      </c>
      <c r="AC29" t="s">
        <v>228</v>
      </c>
      <c r="AD29">
        <v>358</v>
      </c>
      <c r="AE29" s="705">
        <v>25980</v>
      </c>
      <c r="AF29" s="705">
        <v>40625</v>
      </c>
      <c r="AG29" s="705">
        <v>527629</v>
      </c>
      <c r="AH29" s="705">
        <v>195418</v>
      </c>
      <c r="AI29">
        <v>246</v>
      </c>
      <c r="AJ29" s="705">
        <v>53411</v>
      </c>
      <c r="AK29" s="705">
        <v>36731</v>
      </c>
      <c r="AL29" s="705">
        <v>387066</v>
      </c>
      <c r="AM29" s="705">
        <v>143358</v>
      </c>
      <c r="AN29" s="705">
        <v>76866</v>
      </c>
      <c r="AO29" s="705">
        <v>28469</v>
      </c>
      <c r="AP29" s="705">
        <v>1903114</v>
      </c>
      <c r="AQ29" s="705">
        <v>704857</v>
      </c>
      <c r="AR29" s="705">
        <v>13371</v>
      </c>
      <c r="AS29" s="705">
        <v>4952</v>
      </c>
      <c r="AT29" s="705">
        <v>1113785</v>
      </c>
      <c r="AU29" s="705">
        <f t="shared" si="3"/>
        <v>1113785</v>
      </c>
      <c r="AV29" s="705">
        <f t="shared" si="2"/>
        <v>2961457</v>
      </c>
    </row>
    <row r="30" spans="2:48" hidden="1">
      <c r="B30" t="s">
        <v>527</v>
      </c>
      <c r="C30" t="s">
        <v>114</v>
      </c>
      <c r="D30" t="s">
        <v>582</v>
      </c>
      <c r="E30" t="s">
        <v>582</v>
      </c>
      <c r="F30" s="705">
        <v>1</v>
      </c>
      <c r="G30" s="705">
        <v>80</v>
      </c>
      <c r="H30" s="705">
        <v>149</v>
      </c>
      <c r="I30" s="705">
        <v>4719</v>
      </c>
      <c r="J30" s="705">
        <v>4290</v>
      </c>
      <c r="K30" s="705">
        <v>91</v>
      </c>
      <c r="L30" s="705">
        <v>1107</v>
      </c>
      <c r="M30" s="705">
        <v>410</v>
      </c>
      <c r="N30" s="705">
        <v>1703</v>
      </c>
      <c r="O30" s="705">
        <v>631</v>
      </c>
      <c r="P30" s="705">
        <v>473</v>
      </c>
      <c r="Q30" s="705">
        <v>175</v>
      </c>
      <c r="R30" s="705">
        <v>3888</v>
      </c>
      <c r="S30" s="705">
        <v>3535</v>
      </c>
      <c r="T30">
        <v>0</v>
      </c>
      <c r="U30" s="705">
        <v>0</v>
      </c>
      <c r="V30" s="705">
        <v>9040</v>
      </c>
      <c r="W30" s="705">
        <f t="shared" si="0"/>
        <v>9041</v>
      </c>
      <c r="X30" s="705">
        <f t="shared" si="1"/>
        <v>11890</v>
      </c>
      <c r="Y30" s="705"/>
      <c r="AA30" t="s">
        <v>112</v>
      </c>
      <c r="AB30" t="s">
        <v>228</v>
      </c>
      <c r="AC30" t="s">
        <v>665</v>
      </c>
      <c r="AD30">
        <v>1</v>
      </c>
      <c r="AE30">
        <v>69</v>
      </c>
      <c r="AF30">
        <v>107</v>
      </c>
      <c r="AG30" s="705">
        <v>3546</v>
      </c>
      <c r="AH30" s="705">
        <v>1313</v>
      </c>
      <c r="AI30">
        <v>100</v>
      </c>
      <c r="AJ30">
        <v>394</v>
      </c>
      <c r="AK30">
        <v>146</v>
      </c>
      <c r="AL30" s="705">
        <v>1013</v>
      </c>
      <c r="AM30">
        <v>375</v>
      </c>
      <c r="AN30">
        <v>0</v>
      </c>
      <c r="AO30">
        <v>0</v>
      </c>
      <c r="AP30" s="705">
        <v>2494</v>
      </c>
      <c r="AQ30" s="705">
        <v>2267</v>
      </c>
      <c r="AR30">
        <v>0</v>
      </c>
      <c r="AS30">
        <v>0</v>
      </c>
      <c r="AT30" s="705">
        <v>4102</v>
      </c>
      <c r="AU30" s="705">
        <f t="shared" si="3"/>
        <v>4101</v>
      </c>
      <c r="AV30" s="705">
        <f t="shared" si="2"/>
        <v>7447</v>
      </c>
    </row>
    <row r="31" spans="2:48" hidden="1">
      <c r="B31" t="s">
        <v>527</v>
      </c>
      <c r="C31" t="s">
        <v>114</v>
      </c>
      <c r="D31" t="s">
        <v>228</v>
      </c>
      <c r="E31" s="705" t="s">
        <v>228</v>
      </c>
      <c r="F31" s="705">
        <v>6</v>
      </c>
      <c r="G31">
        <v>446</v>
      </c>
      <c r="H31" s="705">
        <v>861</v>
      </c>
      <c r="I31" s="705">
        <v>12150</v>
      </c>
      <c r="J31" s="705">
        <v>4500</v>
      </c>
      <c r="K31" s="705">
        <v>200</v>
      </c>
      <c r="L31" s="705">
        <v>1599</v>
      </c>
      <c r="M31" s="705">
        <v>673</v>
      </c>
      <c r="N31" s="705">
        <v>7817</v>
      </c>
      <c r="O31" s="705">
        <v>2895</v>
      </c>
      <c r="P31" s="705">
        <v>702</v>
      </c>
      <c r="Q31" s="705">
        <v>260</v>
      </c>
      <c r="R31" s="705">
        <v>41615</v>
      </c>
      <c r="S31" s="705">
        <v>15413</v>
      </c>
      <c r="T31">
        <v>0</v>
      </c>
      <c r="U31" s="705">
        <v>0</v>
      </c>
      <c r="V31" s="705">
        <v>23740</v>
      </c>
      <c r="W31" s="705">
        <f t="shared" si="0"/>
        <v>23741</v>
      </c>
      <c r="X31" s="705">
        <f t="shared" si="1"/>
        <v>63883</v>
      </c>
      <c r="Y31" s="705"/>
      <c r="AA31" t="s">
        <v>112</v>
      </c>
      <c r="AB31" t="s">
        <v>583</v>
      </c>
      <c r="AC31" t="s">
        <v>583</v>
      </c>
      <c r="AD31">
        <v>64</v>
      </c>
      <c r="AE31" s="705">
        <v>10623</v>
      </c>
      <c r="AF31" s="705">
        <v>7380</v>
      </c>
      <c r="AG31" s="705">
        <v>706086</v>
      </c>
      <c r="AH31" s="705">
        <v>641897</v>
      </c>
      <c r="AI31">
        <v>93</v>
      </c>
      <c r="AJ31" s="705">
        <v>106591</v>
      </c>
      <c r="AK31" s="705">
        <v>95152</v>
      </c>
      <c r="AL31" s="705">
        <v>184817</v>
      </c>
      <c r="AM31" s="705">
        <v>68451</v>
      </c>
      <c r="AN31" s="705">
        <v>49834</v>
      </c>
      <c r="AO31" s="705">
        <v>18457</v>
      </c>
      <c r="AP31" s="705">
        <v>279185</v>
      </c>
      <c r="AQ31" s="705">
        <v>253805</v>
      </c>
      <c r="AR31" s="705">
        <v>4987</v>
      </c>
      <c r="AS31" s="705">
        <v>1847</v>
      </c>
      <c r="AT31" s="705">
        <v>1079608</v>
      </c>
      <c r="AU31" s="705">
        <f t="shared" si="3"/>
        <v>1079609</v>
      </c>
      <c r="AV31" s="705">
        <f t="shared" si="2"/>
        <v>1331500</v>
      </c>
    </row>
    <row r="32" spans="2:48" hidden="1">
      <c r="B32" t="s">
        <v>527</v>
      </c>
      <c r="C32" t="s">
        <v>114</v>
      </c>
      <c r="D32" t="s">
        <v>583</v>
      </c>
      <c r="E32" s="705" t="s">
        <v>583</v>
      </c>
      <c r="F32" s="705">
        <v>6</v>
      </c>
      <c r="G32" s="705">
        <v>916</v>
      </c>
      <c r="H32" s="705">
        <v>830</v>
      </c>
      <c r="I32" s="705">
        <v>76646</v>
      </c>
      <c r="J32" s="705">
        <v>69678</v>
      </c>
      <c r="K32" s="705">
        <v>92</v>
      </c>
      <c r="L32" s="705">
        <v>8648</v>
      </c>
      <c r="M32" s="705">
        <v>7862</v>
      </c>
      <c r="N32" s="705">
        <v>14881</v>
      </c>
      <c r="O32" s="705">
        <v>5512</v>
      </c>
      <c r="P32" s="705">
        <v>5049</v>
      </c>
      <c r="Q32" s="705">
        <v>1870</v>
      </c>
      <c r="R32" s="705">
        <v>17240</v>
      </c>
      <c r="S32" s="705">
        <v>15673</v>
      </c>
      <c r="T32" s="705">
        <v>2485</v>
      </c>
      <c r="U32" s="705">
        <v>920</v>
      </c>
      <c r="V32" s="705">
        <v>101515</v>
      </c>
      <c r="W32" s="705">
        <f t="shared" si="0"/>
        <v>101515</v>
      </c>
      <c r="X32" s="705">
        <f t="shared" si="1"/>
        <v>124949</v>
      </c>
      <c r="Y32" s="705"/>
      <c r="AA32" t="s">
        <v>112</v>
      </c>
      <c r="AB32" t="s">
        <v>584</v>
      </c>
      <c r="AC32" t="s">
        <v>582</v>
      </c>
      <c r="AD32">
        <v>1</v>
      </c>
      <c r="AE32">
        <v>86</v>
      </c>
      <c r="AF32">
        <v>123</v>
      </c>
      <c r="AG32" s="705">
        <v>5222</v>
      </c>
      <c r="AH32" s="705">
        <v>4747</v>
      </c>
      <c r="AI32">
        <v>78</v>
      </c>
      <c r="AJ32">
        <v>0</v>
      </c>
      <c r="AK32">
        <v>0</v>
      </c>
      <c r="AL32" s="705">
        <v>1137</v>
      </c>
      <c r="AM32">
        <v>421</v>
      </c>
      <c r="AN32">
        <v>473</v>
      </c>
      <c r="AO32">
        <v>175</v>
      </c>
      <c r="AP32" s="705">
        <v>3765</v>
      </c>
      <c r="AQ32" s="705">
        <v>3422</v>
      </c>
      <c r="AR32">
        <v>0</v>
      </c>
      <c r="AS32">
        <v>0</v>
      </c>
      <c r="AT32" s="705">
        <v>8765</v>
      </c>
      <c r="AU32" s="705">
        <f t="shared" si="3"/>
        <v>8765</v>
      </c>
      <c r="AV32" s="705">
        <f t="shared" si="2"/>
        <v>10597</v>
      </c>
    </row>
    <row r="33" spans="2:48" hidden="1">
      <c r="B33" t="s">
        <v>527</v>
      </c>
      <c r="C33" t="s">
        <v>114</v>
      </c>
      <c r="D33" t="s">
        <v>584</v>
      </c>
      <c r="E33" s="705" t="s">
        <v>584</v>
      </c>
      <c r="F33" s="705">
        <v>42</v>
      </c>
      <c r="G33" s="705">
        <v>3024</v>
      </c>
      <c r="H33" s="705">
        <v>5846</v>
      </c>
      <c r="I33" s="705">
        <v>181218</v>
      </c>
      <c r="J33" s="705">
        <v>164743</v>
      </c>
      <c r="K33" s="705">
        <v>85</v>
      </c>
      <c r="L33" s="705">
        <v>8272</v>
      </c>
      <c r="M33" s="705">
        <v>6351</v>
      </c>
      <c r="N33" s="705">
        <v>61727</v>
      </c>
      <c r="O33" s="705">
        <v>22862</v>
      </c>
      <c r="P33" s="705">
        <v>19845</v>
      </c>
      <c r="Q33" s="705">
        <v>7350</v>
      </c>
      <c r="R33" s="705">
        <v>146400</v>
      </c>
      <c r="S33" s="705">
        <v>133091</v>
      </c>
      <c r="T33" s="705">
        <v>4707</v>
      </c>
      <c r="U33" s="705">
        <v>1743</v>
      </c>
      <c r="V33" s="705">
        <v>336140</v>
      </c>
      <c r="W33" s="705">
        <f t="shared" si="0"/>
        <v>336140</v>
      </c>
      <c r="X33" s="705">
        <f t="shared" si="1"/>
        <v>422169</v>
      </c>
      <c r="Y33" s="705"/>
      <c r="AA33" t="s">
        <v>112</v>
      </c>
      <c r="AB33" t="s">
        <v>584</v>
      </c>
      <c r="AC33" t="s">
        <v>228</v>
      </c>
      <c r="AD33">
        <v>1</v>
      </c>
      <c r="AE33">
        <v>67</v>
      </c>
      <c r="AF33">
        <v>102</v>
      </c>
      <c r="AG33" s="705">
        <v>2793</v>
      </c>
      <c r="AH33" s="705">
        <v>2539</v>
      </c>
      <c r="AI33">
        <v>91</v>
      </c>
      <c r="AJ33">
        <v>313</v>
      </c>
      <c r="AK33">
        <v>284</v>
      </c>
      <c r="AL33">
        <v>817</v>
      </c>
      <c r="AM33">
        <v>303</v>
      </c>
      <c r="AN33">
        <v>473</v>
      </c>
      <c r="AO33">
        <v>175</v>
      </c>
      <c r="AP33" s="705">
        <v>2456</v>
      </c>
      <c r="AQ33">
        <v>910</v>
      </c>
      <c r="AR33">
        <v>0</v>
      </c>
      <c r="AS33">
        <v>0</v>
      </c>
      <c r="AT33" s="705">
        <v>4211</v>
      </c>
      <c r="AU33" s="705">
        <f t="shared" si="3"/>
        <v>4211</v>
      </c>
      <c r="AV33" s="705">
        <f t="shared" si="2"/>
        <v>6852</v>
      </c>
    </row>
    <row r="34" spans="2:48" hidden="1">
      <c r="B34" t="s">
        <v>527</v>
      </c>
      <c r="C34" t="s">
        <v>116</v>
      </c>
      <c r="E34" s="705"/>
      <c r="F34" s="705">
        <v>1</v>
      </c>
      <c r="G34" s="705">
        <v>79</v>
      </c>
      <c r="H34" s="705">
        <v>163</v>
      </c>
      <c r="I34" s="705"/>
      <c r="J34" s="705">
        <v>0</v>
      </c>
      <c r="K34" s="705"/>
      <c r="L34" s="705"/>
      <c r="M34" s="705">
        <v>0</v>
      </c>
      <c r="N34" s="705">
        <v>1820</v>
      </c>
      <c r="O34">
        <v>674</v>
      </c>
      <c r="P34">
        <v>351</v>
      </c>
      <c r="Q34" s="705">
        <v>130</v>
      </c>
      <c r="R34" s="705"/>
      <c r="S34">
        <v>0</v>
      </c>
      <c r="T34">
        <v>0</v>
      </c>
      <c r="U34" s="705">
        <v>0</v>
      </c>
      <c r="V34">
        <v>804</v>
      </c>
      <c r="W34" s="705">
        <f t="shared" si="0"/>
        <v>804</v>
      </c>
      <c r="X34" s="705">
        <f t="shared" si="1"/>
        <v>2171</v>
      </c>
      <c r="Y34" s="705"/>
      <c r="AA34" t="s">
        <v>112</v>
      </c>
      <c r="AB34" t="s">
        <v>584</v>
      </c>
      <c r="AC34" t="s">
        <v>584</v>
      </c>
      <c r="AD34" s="705">
        <v>6965</v>
      </c>
      <c r="AE34" s="705">
        <v>573598</v>
      </c>
      <c r="AF34" s="705">
        <v>796948</v>
      </c>
      <c r="AG34" s="705">
        <v>24796315</v>
      </c>
      <c r="AH34" s="705">
        <v>22542105</v>
      </c>
      <c r="AI34">
        <v>86</v>
      </c>
      <c r="AJ34" s="705">
        <v>1285948</v>
      </c>
      <c r="AK34" s="705">
        <v>895791</v>
      </c>
      <c r="AL34" s="705">
        <v>11071701</v>
      </c>
      <c r="AM34" s="705">
        <v>4100630</v>
      </c>
      <c r="AN34" s="705">
        <v>3664834</v>
      </c>
      <c r="AO34" s="705">
        <v>1357346</v>
      </c>
      <c r="AP34" s="705">
        <v>24263576</v>
      </c>
      <c r="AQ34" s="705">
        <v>22057796</v>
      </c>
      <c r="AR34" s="705">
        <v>639493</v>
      </c>
      <c r="AS34" s="705">
        <v>236849</v>
      </c>
      <c r="AT34" s="705">
        <v>51190517</v>
      </c>
      <c r="AU34" s="705">
        <f t="shared" si="3"/>
        <v>51190517</v>
      </c>
      <c r="AV34" s="705">
        <f t="shared" si="2"/>
        <v>65721867</v>
      </c>
    </row>
    <row r="35" spans="2:48" hidden="1">
      <c r="B35" t="s">
        <v>527</v>
      </c>
      <c r="C35" t="s">
        <v>116</v>
      </c>
      <c r="D35" s="705" t="s">
        <v>664</v>
      </c>
      <c r="E35" s="705" t="s">
        <v>664</v>
      </c>
      <c r="F35" s="705">
        <v>2</v>
      </c>
      <c r="G35" s="705">
        <v>165</v>
      </c>
      <c r="H35" s="705">
        <v>349</v>
      </c>
      <c r="I35" s="705">
        <v>17323</v>
      </c>
      <c r="J35" s="705">
        <v>15748</v>
      </c>
      <c r="K35">
        <v>90</v>
      </c>
      <c r="L35" s="705">
        <v>2677</v>
      </c>
      <c r="M35" s="705">
        <v>2434</v>
      </c>
      <c r="N35" s="705">
        <v>3015</v>
      </c>
      <c r="O35" s="705">
        <v>1117</v>
      </c>
      <c r="P35">
        <v>945</v>
      </c>
      <c r="Q35" s="705">
        <v>350</v>
      </c>
      <c r="R35" s="705">
        <v>4045</v>
      </c>
      <c r="S35" s="705">
        <v>3677</v>
      </c>
      <c r="T35">
        <v>0</v>
      </c>
      <c r="U35" s="705">
        <v>0</v>
      </c>
      <c r="V35" s="705">
        <v>23325</v>
      </c>
      <c r="W35" s="705">
        <f t="shared" si="0"/>
        <v>23326</v>
      </c>
      <c r="X35" s="705">
        <f t="shared" si="1"/>
        <v>28005</v>
      </c>
      <c r="Y35" s="705"/>
      <c r="AA35" t="s">
        <v>112</v>
      </c>
      <c r="AB35" t="s">
        <v>585</v>
      </c>
      <c r="AC35" t="s">
        <v>585</v>
      </c>
      <c r="AD35">
        <v>69</v>
      </c>
      <c r="AE35" s="705">
        <v>5408</v>
      </c>
      <c r="AF35" s="705">
        <v>7825</v>
      </c>
      <c r="AG35" s="705">
        <v>228057</v>
      </c>
      <c r="AH35" s="705">
        <v>207324</v>
      </c>
      <c r="AI35">
        <v>75</v>
      </c>
      <c r="AJ35" s="705">
        <v>24057</v>
      </c>
      <c r="AK35" s="705">
        <v>21870</v>
      </c>
      <c r="AL35" s="705">
        <v>65891</v>
      </c>
      <c r="AM35" s="705">
        <v>24404</v>
      </c>
      <c r="AN35" s="705">
        <v>24219</v>
      </c>
      <c r="AO35" s="705">
        <v>8970</v>
      </c>
      <c r="AP35" s="705">
        <v>269067</v>
      </c>
      <c r="AQ35" s="705">
        <v>244606</v>
      </c>
      <c r="AR35">
        <v>0</v>
      </c>
      <c r="AS35">
        <v>0</v>
      </c>
      <c r="AT35" s="705">
        <v>507174</v>
      </c>
      <c r="AU35" s="705">
        <f t="shared" si="3"/>
        <v>507174</v>
      </c>
      <c r="AV35" s="705">
        <f t="shared" si="2"/>
        <v>611291</v>
      </c>
    </row>
    <row r="36" spans="2:48" hidden="1">
      <c r="B36" t="s">
        <v>527</v>
      </c>
      <c r="C36" t="s">
        <v>116</v>
      </c>
      <c r="D36" t="s">
        <v>228</v>
      </c>
      <c r="E36" t="s">
        <v>228</v>
      </c>
      <c r="F36">
        <v>131</v>
      </c>
      <c r="G36" s="705">
        <v>10860</v>
      </c>
      <c r="H36" s="705">
        <v>25617</v>
      </c>
      <c r="I36" s="705">
        <v>895355</v>
      </c>
      <c r="J36" s="705">
        <v>331613</v>
      </c>
      <c r="K36" s="705">
        <v>102</v>
      </c>
      <c r="L36" s="705">
        <v>140725</v>
      </c>
      <c r="M36" s="705">
        <v>53055</v>
      </c>
      <c r="N36" s="705">
        <v>207513</v>
      </c>
      <c r="O36" s="705">
        <v>76857</v>
      </c>
      <c r="P36" s="705">
        <v>1404</v>
      </c>
      <c r="Q36" s="705">
        <v>520</v>
      </c>
      <c r="R36" s="705">
        <v>876847</v>
      </c>
      <c r="S36" s="705">
        <v>324758</v>
      </c>
      <c r="T36">
        <v>0</v>
      </c>
      <c r="U36" s="705">
        <v>0</v>
      </c>
      <c r="V36" s="705">
        <v>786803</v>
      </c>
      <c r="W36" s="705">
        <f t="shared" si="0"/>
        <v>786803</v>
      </c>
      <c r="X36" s="705">
        <f t="shared" si="1"/>
        <v>2121844</v>
      </c>
      <c r="Y36" s="705"/>
      <c r="AA36" t="s">
        <v>114</v>
      </c>
      <c r="AD36">
        <v>946</v>
      </c>
      <c r="AE36" s="705">
        <v>69256</v>
      </c>
      <c r="AF36" s="705">
        <v>129441</v>
      </c>
      <c r="AH36">
        <v>0</v>
      </c>
      <c r="AK36">
        <v>0</v>
      </c>
      <c r="AL36" s="705">
        <v>1468628</v>
      </c>
      <c r="AM36" s="705">
        <v>543936</v>
      </c>
      <c r="AN36" s="705">
        <v>296771</v>
      </c>
      <c r="AO36" s="705">
        <v>109915</v>
      </c>
      <c r="AQ36">
        <v>0</v>
      </c>
      <c r="AR36" s="705">
        <v>63252</v>
      </c>
      <c r="AS36" s="705">
        <v>23427</v>
      </c>
      <c r="AT36" s="705">
        <v>677278</v>
      </c>
      <c r="AU36" s="705">
        <f t="shared" si="3"/>
        <v>677278</v>
      </c>
      <c r="AV36" s="705">
        <f t="shared" si="2"/>
        <v>1828651</v>
      </c>
    </row>
    <row r="37" spans="2:48" hidden="1">
      <c r="B37" t="s">
        <v>527</v>
      </c>
      <c r="C37" t="s">
        <v>116</v>
      </c>
      <c r="D37" s="705" t="s">
        <v>583</v>
      </c>
      <c r="E37" s="705" t="s">
        <v>583</v>
      </c>
      <c r="F37" s="705">
        <v>31</v>
      </c>
      <c r="G37" s="705">
        <v>3357</v>
      </c>
      <c r="H37" s="705">
        <v>5823</v>
      </c>
      <c r="I37" s="705">
        <v>322289</v>
      </c>
      <c r="J37" s="705">
        <v>292990</v>
      </c>
      <c r="K37" s="705">
        <v>85</v>
      </c>
      <c r="L37" s="705">
        <v>61365</v>
      </c>
      <c r="M37" s="705">
        <v>50574</v>
      </c>
      <c r="N37" s="705">
        <v>67445</v>
      </c>
      <c r="O37" s="705">
        <v>24980</v>
      </c>
      <c r="P37" s="705">
        <v>21978</v>
      </c>
      <c r="Q37" s="705">
        <v>8140</v>
      </c>
      <c r="R37" s="705">
        <v>132689</v>
      </c>
      <c r="S37" s="705">
        <v>120626</v>
      </c>
      <c r="T37" s="705">
        <v>30686</v>
      </c>
      <c r="U37" s="705">
        <v>11365</v>
      </c>
      <c r="V37" s="705">
        <v>508675</v>
      </c>
      <c r="W37" s="705">
        <f t="shared" si="0"/>
        <v>508675</v>
      </c>
      <c r="X37" s="705">
        <f t="shared" si="1"/>
        <v>636452</v>
      </c>
      <c r="Y37" s="705"/>
      <c r="AA37" t="s">
        <v>114</v>
      </c>
      <c r="AB37" t="s">
        <v>664</v>
      </c>
      <c r="AC37" t="s">
        <v>664</v>
      </c>
      <c r="AD37">
        <v>6</v>
      </c>
      <c r="AE37">
        <v>517</v>
      </c>
      <c r="AF37">
        <v>816</v>
      </c>
      <c r="AG37" s="705">
        <v>40852</v>
      </c>
      <c r="AH37" s="705">
        <v>37138</v>
      </c>
      <c r="AI37">
        <v>89</v>
      </c>
      <c r="AJ37">
        <v>0</v>
      </c>
      <c r="AK37">
        <v>588</v>
      </c>
      <c r="AL37" s="705">
        <v>10720</v>
      </c>
      <c r="AM37" s="705">
        <v>3970</v>
      </c>
      <c r="AN37" s="705">
        <v>2714</v>
      </c>
      <c r="AO37" s="705">
        <v>1005</v>
      </c>
      <c r="AP37" s="705">
        <v>15418</v>
      </c>
      <c r="AQ37" s="705">
        <v>14016</v>
      </c>
      <c r="AR37">
        <v>0</v>
      </c>
      <c r="AS37">
        <v>0</v>
      </c>
      <c r="AT37" s="705">
        <v>56717</v>
      </c>
      <c r="AU37" s="705">
        <f t="shared" si="3"/>
        <v>56717</v>
      </c>
      <c r="AV37" s="705">
        <f t="shared" si="2"/>
        <v>69704</v>
      </c>
    </row>
    <row r="38" spans="2:48" hidden="1">
      <c r="B38" t="s">
        <v>527</v>
      </c>
      <c r="C38" t="s">
        <v>116</v>
      </c>
      <c r="D38" t="s">
        <v>584</v>
      </c>
      <c r="E38" s="705" t="s">
        <v>584</v>
      </c>
      <c r="F38" s="705">
        <v>201</v>
      </c>
      <c r="G38" s="705">
        <v>15376</v>
      </c>
      <c r="H38" s="705">
        <v>37341</v>
      </c>
      <c r="I38" s="705">
        <v>1377675</v>
      </c>
      <c r="J38" s="705">
        <v>1252432</v>
      </c>
      <c r="K38" s="705">
        <v>80</v>
      </c>
      <c r="L38" s="705">
        <v>112061</v>
      </c>
      <c r="M38" s="705">
        <v>92709</v>
      </c>
      <c r="N38" s="705">
        <v>313082</v>
      </c>
      <c r="O38" s="705">
        <v>115956</v>
      </c>
      <c r="P38" s="705">
        <v>90747</v>
      </c>
      <c r="Q38" s="705">
        <v>33610</v>
      </c>
      <c r="R38" s="705">
        <v>825723</v>
      </c>
      <c r="S38" s="705">
        <v>750657</v>
      </c>
      <c r="T38" s="705">
        <v>146491</v>
      </c>
      <c r="U38" s="705">
        <v>54256</v>
      </c>
      <c r="V38" s="705">
        <v>2299621</v>
      </c>
      <c r="W38" s="705">
        <f t="shared" si="0"/>
        <v>2299620</v>
      </c>
      <c r="X38" s="705">
        <f t="shared" si="1"/>
        <v>2865779</v>
      </c>
      <c r="Y38" s="705"/>
      <c r="AA38" t="s">
        <v>114</v>
      </c>
      <c r="AB38" t="s">
        <v>664</v>
      </c>
      <c r="AC38" t="s">
        <v>582</v>
      </c>
      <c r="AD38">
        <v>1</v>
      </c>
      <c r="AE38">
        <v>74</v>
      </c>
      <c r="AF38">
        <v>144</v>
      </c>
      <c r="AG38" s="705">
        <v>3830</v>
      </c>
      <c r="AH38" s="705">
        <v>3482</v>
      </c>
      <c r="AI38">
        <v>82</v>
      </c>
      <c r="AJ38">
        <v>856</v>
      </c>
      <c r="AK38">
        <v>317</v>
      </c>
      <c r="AL38" s="705">
        <v>1306</v>
      </c>
      <c r="AM38">
        <v>484</v>
      </c>
      <c r="AN38">
        <v>473</v>
      </c>
      <c r="AO38">
        <v>175</v>
      </c>
      <c r="AP38" s="705">
        <v>4161</v>
      </c>
      <c r="AQ38" s="705">
        <v>3783</v>
      </c>
      <c r="AR38">
        <v>0</v>
      </c>
      <c r="AS38">
        <v>0</v>
      </c>
      <c r="AT38" s="705">
        <v>8240</v>
      </c>
      <c r="AU38" s="705">
        <f t="shared" si="3"/>
        <v>8241</v>
      </c>
      <c r="AV38" s="705">
        <f t="shared" si="2"/>
        <v>10626</v>
      </c>
    </row>
    <row r="39" spans="2:48" hidden="1">
      <c r="B39" t="s">
        <v>527</v>
      </c>
      <c r="C39" t="s">
        <v>116</v>
      </c>
      <c r="D39" t="s">
        <v>665</v>
      </c>
      <c r="E39" s="705" t="s">
        <v>228</v>
      </c>
      <c r="F39" s="705">
        <v>1</v>
      </c>
      <c r="G39" s="705">
        <v>86</v>
      </c>
      <c r="H39" s="705">
        <v>216</v>
      </c>
      <c r="I39" s="705">
        <v>8039</v>
      </c>
      <c r="J39" s="705">
        <v>7308</v>
      </c>
      <c r="K39" s="705">
        <v>65</v>
      </c>
      <c r="L39" s="705">
        <v>1425</v>
      </c>
      <c r="M39" s="705">
        <v>528</v>
      </c>
      <c r="N39" s="705">
        <v>1921</v>
      </c>
      <c r="O39" s="705">
        <v>712</v>
      </c>
      <c r="P39" s="705">
        <v>351</v>
      </c>
      <c r="Q39" s="705">
        <v>130</v>
      </c>
      <c r="R39" s="705">
        <v>6794</v>
      </c>
      <c r="S39" s="705">
        <v>2516</v>
      </c>
      <c r="T39" s="705">
        <v>0</v>
      </c>
      <c r="U39" s="705">
        <v>0</v>
      </c>
      <c r="V39" s="705">
        <v>11194</v>
      </c>
      <c r="W39" s="705">
        <f t="shared" si="0"/>
        <v>11194</v>
      </c>
      <c r="X39" s="705">
        <f t="shared" si="1"/>
        <v>18530</v>
      </c>
      <c r="Y39" s="705"/>
      <c r="AA39" t="s">
        <v>114</v>
      </c>
      <c r="AB39" t="s">
        <v>664</v>
      </c>
      <c r="AC39" t="s">
        <v>584</v>
      </c>
      <c r="AD39">
        <v>1</v>
      </c>
      <c r="AE39">
        <v>49</v>
      </c>
      <c r="AF39">
        <v>126</v>
      </c>
      <c r="AG39" s="705">
        <v>2233</v>
      </c>
      <c r="AH39" s="705">
        <v>2030</v>
      </c>
      <c r="AI39">
        <v>91</v>
      </c>
      <c r="AJ39">
        <v>0</v>
      </c>
      <c r="AK39">
        <v>0</v>
      </c>
      <c r="AL39" s="705">
        <v>1201</v>
      </c>
      <c r="AM39">
        <v>445</v>
      </c>
      <c r="AN39">
        <v>473</v>
      </c>
      <c r="AO39">
        <v>175</v>
      </c>
      <c r="AP39" s="705">
        <v>2301</v>
      </c>
      <c r="AQ39" s="705">
        <v>2092</v>
      </c>
      <c r="AR39">
        <v>0</v>
      </c>
      <c r="AS39">
        <v>0</v>
      </c>
      <c r="AT39" s="705">
        <v>4742</v>
      </c>
      <c r="AU39" s="705">
        <f t="shared" ref="AU39:AU70" si="4">SUM(ABS(AH39), ABS(AK39),ABS(AM39),ABS(AO39),ABS(AQ39),ABS(AS39))</f>
        <v>4742</v>
      </c>
      <c r="AV39" s="705">
        <f t="shared" ref="AV39:AV70" si="5">SUM(ABS(AG39),ABS(AJ39),ABS(AL39),ABS(AN39),ABS(AP39),ABS(AR39))</f>
        <v>6208</v>
      </c>
    </row>
    <row r="40" spans="2:48" hidden="1">
      <c r="B40" t="s">
        <v>527</v>
      </c>
      <c r="C40" t="s">
        <v>116</v>
      </c>
      <c r="D40" t="s">
        <v>665</v>
      </c>
      <c r="E40" s="705" t="s">
        <v>665</v>
      </c>
      <c r="F40" s="705">
        <v>1</v>
      </c>
      <c r="G40" s="705">
        <v>115</v>
      </c>
      <c r="H40" s="705">
        <v>196</v>
      </c>
      <c r="I40" s="705">
        <v>11173</v>
      </c>
      <c r="J40" s="705">
        <v>10157</v>
      </c>
      <c r="K40" s="705">
        <v>65</v>
      </c>
      <c r="L40" s="705">
        <v>1981</v>
      </c>
      <c r="M40" s="705">
        <v>734</v>
      </c>
      <c r="N40" s="705">
        <v>1401</v>
      </c>
      <c r="O40" s="705">
        <v>519</v>
      </c>
      <c r="P40" s="705">
        <v>351</v>
      </c>
      <c r="Q40" s="705">
        <v>130</v>
      </c>
      <c r="R40" s="705">
        <v>4881</v>
      </c>
      <c r="S40" s="705">
        <v>4437</v>
      </c>
      <c r="T40" s="705">
        <v>2749</v>
      </c>
      <c r="U40" s="705">
        <v>1018</v>
      </c>
      <c r="V40" s="705">
        <v>16995</v>
      </c>
      <c r="W40" s="705">
        <f t="shared" si="0"/>
        <v>16995</v>
      </c>
      <c r="X40" s="705">
        <f t="shared" si="1"/>
        <v>22536</v>
      </c>
      <c r="Y40" s="705"/>
      <c r="AA40" t="s">
        <v>114</v>
      </c>
      <c r="AB40" t="s">
        <v>582</v>
      </c>
      <c r="AC40" t="s">
        <v>664</v>
      </c>
      <c r="AD40">
        <v>2</v>
      </c>
      <c r="AE40">
        <v>389</v>
      </c>
      <c r="AF40">
        <v>280</v>
      </c>
      <c r="AG40" s="705">
        <v>29741</v>
      </c>
      <c r="AH40" s="705">
        <v>27037</v>
      </c>
      <c r="AI40">
        <v>83</v>
      </c>
      <c r="AJ40" s="705">
        <v>4462</v>
      </c>
      <c r="AK40" s="705">
        <v>4057</v>
      </c>
      <c r="AL40" s="705">
        <v>7273</v>
      </c>
      <c r="AM40" s="705">
        <v>2694</v>
      </c>
      <c r="AN40">
        <v>945</v>
      </c>
      <c r="AO40">
        <v>350</v>
      </c>
      <c r="AP40" s="705">
        <v>12614</v>
      </c>
      <c r="AQ40" s="705">
        <v>11467</v>
      </c>
      <c r="AR40">
        <v>0</v>
      </c>
      <c r="AS40">
        <v>0</v>
      </c>
      <c r="AT40" s="705">
        <v>45605</v>
      </c>
      <c r="AU40" s="705">
        <f t="shared" si="4"/>
        <v>45605</v>
      </c>
      <c r="AV40" s="705">
        <f t="shared" si="5"/>
        <v>55035</v>
      </c>
    </row>
    <row r="41" spans="2:48" hidden="1">
      <c r="B41" t="s">
        <v>527</v>
      </c>
      <c r="C41" t="s">
        <v>118</v>
      </c>
      <c r="D41" t="s">
        <v>664</v>
      </c>
      <c r="E41" s="705" t="s">
        <v>664</v>
      </c>
      <c r="F41" s="705">
        <v>1</v>
      </c>
      <c r="G41" s="705">
        <v>74</v>
      </c>
      <c r="H41" s="705">
        <v>273</v>
      </c>
      <c r="I41" s="705">
        <v>14209</v>
      </c>
      <c r="J41" s="705">
        <v>12917</v>
      </c>
      <c r="K41" s="705">
        <v>90</v>
      </c>
      <c r="L41" s="705">
        <v>2196</v>
      </c>
      <c r="M41" s="705">
        <v>1996</v>
      </c>
      <c r="N41" s="705">
        <v>1345</v>
      </c>
      <c r="O41" s="705">
        <v>498</v>
      </c>
      <c r="P41" s="705">
        <v>473</v>
      </c>
      <c r="Q41" s="705">
        <v>175</v>
      </c>
      <c r="R41" s="705">
        <v>1896</v>
      </c>
      <c r="S41" s="705">
        <v>1724</v>
      </c>
      <c r="T41">
        <v>0</v>
      </c>
      <c r="U41" s="705">
        <v>0</v>
      </c>
      <c r="V41" s="705">
        <v>17311</v>
      </c>
      <c r="W41" s="705">
        <f t="shared" si="0"/>
        <v>17310</v>
      </c>
      <c r="X41" s="705">
        <f t="shared" si="1"/>
        <v>20119</v>
      </c>
      <c r="Y41" s="705"/>
      <c r="AA41" t="s">
        <v>114</v>
      </c>
      <c r="AB41" t="s">
        <v>582</v>
      </c>
      <c r="AC41" t="s">
        <v>582</v>
      </c>
      <c r="AD41">
        <v>322</v>
      </c>
      <c r="AE41" s="705">
        <v>26600</v>
      </c>
      <c r="AF41" s="705">
        <v>44483</v>
      </c>
      <c r="AG41" s="705">
        <v>1757526</v>
      </c>
      <c r="AH41" s="705">
        <v>1597751</v>
      </c>
      <c r="AI41">
        <v>86</v>
      </c>
      <c r="AJ41" s="705">
        <v>129387</v>
      </c>
      <c r="AK41" s="705">
        <v>99219</v>
      </c>
      <c r="AL41" s="705">
        <v>548386</v>
      </c>
      <c r="AM41" s="705">
        <v>203106</v>
      </c>
      <c r="AN41" s="705">
        <v>163647</v>
      </c>
      <c r="AO41" s="705">
        <v>60610</v>
      </c>
      <c r="AP41" s="705">
        <v>1093921</v>
      </c>
      <c r="AQ41" s="705">
        <v>994474</v>
      </c>
      <c r="AR41" s="705">
        <v>24666</v>
      </c>
      <c r="AS41" s="705">
        <v>9135</v>
      </c>
      <c r="AT41" s="705">
        <v>2964296</v>
      </c>
      <c r="AU41" s="705">
        <f t="shared" si="4"/>
        <v>2964295</v>
      </c>
      <c r="AV41" s="705">
        <f t="shared" si="5"/>
        <v>3717533</v>
      </c>
    </row>
    <row r="42" spans="2:48" hidden="1">
      <c r="B42" t="s">
        <v>527</v>
      </c>
      <c r="C42" t="s">
        <v>118</v>
      </c>
      <c r="D42" s="705" t="s">
        <v>582</v>
      </c>
      <c r="E42" s="705" t="s">
        <v>582</v>
      </c>
      <c r="F42" s="705">
        <v>3</v>
      </c>
      <c r="G42" s="705">
        <v>251</v>
      </c>
      <c r="H42" s="705">
        <v>750</v>
      </c>
      <c r="I42" s="705">
        <v>34445</v>
      </c>
      <c r="J42" s="705">
        <v>31314</v>
      </c>
      <c r="K42" s="705">
        <v>79</v>
      </c>
      <c r="L42" s="705">
        <v>5859</v>
      </c>
      <c r="M42" s="705">
        <v>5327</v>
      </c>
      <c r="N42" s="705">
        <v>6012</v>
      </c>
      <c r="O42" s="705">
        <v>2227</v>
      </c>
      <c r="P42" s="705">
        <v>1175</v>
      </c>
      <c r="Q42" s="705">
        <v>435</v>
      </c>
      <c r="R42" s="705">
        <v>10642</v>
      </c>
      <c r="S42" s="705">
        <v>9674</v>
      </c>
      <c r="T42" s="705">
        <v>4392</v>
      </c>
      <c r="U42" s="705">
        <v>1627</v>
      </c>
      <c r="V42" s="705">
        <v>50603</v>
      </c>
      <c r="W42" s="705">
        <f t="shared" si="0"/>
        <v>50604</v>
      </c>
      <c r="X42" s="705">
        <f t="shared" si="1"/>
        <v>62525</v>
      </c>
      <c r="Y42" s="705"/>
      <c r="AA42" t="s">
        <v>114</v>
      </c>
      <c r="AB42" t="s">
        <v>582</v>
      </c>
      <c r="AC42" t="s">
        <v>584</v>
      </c>
      <c r="AD42">
        <v>1</v>
      </c>
      <c r="AE42">
        <v>67</v>
      </c>
      <c r="AF42">
        <v>142</v>
      </c>
      <c r="AG42" s="705">
        <v>5333</v>
      </c>
      <c r="AH42" s="705">
        <v>4848</v>
      </c>
      <c r="AI42">
        <v>90</v>
      </c>
      <c r="AJ42">
        <v>0</v>
      </c>
      <c r="AK42">
        <v>0</v>
      </c>
      <c r="AL42" s="705">
        <v>1636</v>
      </c>
      <c r="AM42">
        <v>606</v>
      </c>
      <c r="AN42">
        <v>473</v>
      </c>
      <c r="AO42">
        <v>175</v>
      </c>
      <c r="AP42" s="705">
        <v>2116</v>
      </c>
      <c r="AQ42" s="705">
        <v>1924</v>
      </c>
      <c r="AR42">
        <v>0</v>
      </c>
      <c r="AS42">
        <v>0</v>
      </c>
      <c r="AT42" s="705">
        <v>7553</v>
      </c>
      <c r="AU42" s="705">
        <f t="shared" si="4"/>
        <v>7553</v>
      </c>
      <c r="AV42" s="705">
        <f t="shared" si="5"/>
        <v>9558</v>
      </c>
    </row>
    <row r="43" spans="2:48" hidden="1">
      <c r="B43" t="s">
        <v>527</v>
      </c>
      <c r="C43" t="s">
        <v>118</v>
      </c>
      <c r="D43" t="s">
        <v>228</v>
      </c>
      <c r="E43" s="705" t="s">
        <v>228</v>
      </c>
      <c r="F43" s="705">
        <v>190</v>
      </c>
      <c r="G43" s="705">
        <v>12382</v>
      </c>
      <c r="H43" s="705">
        <v>49979</v>
      </c>
      <c r="I43" s="705">
        <v>1660593</v>
      </c>
      <c r="J43" s="705">
        <v>615035</v>
      </c>
      <c r="K43" s="705">
        <v>100</v>
      </c>
      <c r="L43" s="705">
        <v>198773</v>
      </c>
      <c r="M43" s="705">
        <v>78660</v>
      </c>
      <c r="N43" s="705">
        <v>252747</v>
      </c>
      <c r="O43" s="705">
        <v>93610</v>
      </c>
      <c r="P43" s="705">
        <v>4234</v>
      </c>
      <c r="Q43" s="705">
        <v>1568</v>
      </c>
      <c r="R43" s="705">
        <v>1128498</v>
      </c>
      <c r="S43" s="705">
        <v>417962</v>
      </c>
      <c r="T43">
        <v>0</v>
      </c>
      <c r="U43" s="705">
        <v>0</v>
      </c>
      <c r="V43" s="705">
        <v>1206835</v>
      </c>
      <c r="W43" s="705">
        <f t="shared" si="0"/>
        <v>1206835</v>
      </c>
      <c r="X43" s="705">
        <f t="shared" si="1"/>
        <v>3244845</v>
      </c>
      <c r="Y43" s="705"/>
      <c r="AA43" t="s">
        <v>114</v>
      </c>
      <c r="AB43" t="s">
        <v>228</v>
      </c>
      <c r="AC43" t="s">
        <v>664</v>
      </c>
      <c r="AD43">
        <v>2</v>
      </c>
      <c r="AE43">
        <v>134</v>
      </c>
      <c r="AF43">
        <v>299</v>
      </c>
      <c r="AG43" s="705">
        <v>13817</v>
      </c>
      <c r="AH43" s="705">
        <v>5118</v>
      </c>
      <c r="AI43">
        <v>100</v>
      </c>
      <c r="AJ43">
        <v>0</v>
      </c>
      <c r="AK43">
        <v>0</v>
      </c>
      <c r="AL43" s="705">
        <v>1636</v>
      </c>
      <c r="AM43">
        <v>606</v>
      </c>
      <c r="AN43">
        <v>243</v>
      </c>
      <c r="AO43">
        <v>90</v>
      </c>
      <c r="AP43" s="705">
        <v>4403</v>
      </c>
      <c r="AQ43" s="705">
        <v>4003</v>
      </c>
      <c r="AR43">
        <v>0</v>
      </c>
      <c r="AS43">
        <v>0</v>
      </c>
      <c r="AT43" s="705">
        <v>9816</v>
      </c>
      <c r="AU43" s="705">
        <f t="shared" si="4"/>
        <v>9817</v>
      </c>
      <c r="AV43" s="705">
        <f t="shared" si="5"/>
        <v>20099</v>
      </c>
    </row>
    <row r="44" spans="2:48" hidden="1">
      <c r="B44" t="s">
        <v>527</v>
      </c>
      <c r="C44" t="s">
        <v>118</v>
      </c>
      <c r="D44" t="s">
        <v>583</v>
      </c>
      <c r="E44" s="705" t="s">
        <v>583</v>
      </c>
      <c r="F44" s="705">
        <v>11</v>
      </c>
      <c r="G44" s="705">
        <v>830</v>
      </c>
      <c r="H44" s="705">
        <v>2751</v>
      </c>
      <c r="I44" s="705">
        <v>107083</v>
      </c>
      <c r="J44" s="705">
        <v>97348</v>
      </c>
      <c r="K44" s="705">
        <v>84</v>
      </c>
      <c r="L44" s="705">
        <v>16509</v>
      </c>
      <c r="M44" s="705">
        <v>12078</v>
      </c>
      <c r="N44" s="705">
        <v>16552</v>
      </c>
      <c r="O44" s="705">
        <v>6130</v>
      </c>
      <c r="P44" s="705">
        <v>6831</v>
      </c>
      <c r="Q44" s="705">
        <v>2530</v>
      </c>
      <c r="R44" s="705">
        <v>46784</v>
      </c>
      <c r="S44" s="705">
        <v>42531</v>
      </c>
      <c r="T44" s="705">
        <v>11817</v>
      </c>
      <c r="U44" s="705">
        <v>4376</v>
      </c>
      <c r="V44" s="705">
        <v>164994</v>
      </c>
      <c r="W44" s="705">
        <f t="shared" si="0"/>
        <v>164993</v>
      </c>
      <c r="X44" s="705">
        <f t="shared" si="1"/>
        <v>205576</v>
      </c>
      <c r="Y44" s="705"/>
      <c r="AA44" t="s">
        <v>114</v>
      </c>
      <c r="AB44" t="s">
        <v>228</v>
      </c>
      <c r="AC44" t="s">
        <v>582</v>
      </c>
      <c r="AD44">
        <v>1</v>
      </c>
      <c r="AE44">
        <v>49</v>
      </c>
      <c r="AF44">
        <v>143</v>
      </c>
      <c r="AG44" s="705">
        <v>3331</v>
      </c>
      <c r="AH44" s="705">
        <v>1234</v>
      </c>
      <c r="AI44">
        <v>100</v>
      </c>
      <c r="AJ44">
        <v>0</v>
      </c>
      <c r="AK44">
        <v>0</v>
      </c>
      <c r="AL44">
        <v>592</v>
      </c>
      <c r="AM44">
        <v>219</v>
      </c>
      <c r="AN44">
        <v>0</v>
      </c>
      <c r="AO44">
        <v>0</v>
      </c>
      <c r="AP44" s="705">
        <v>3021</v>
      </c>
      <c r="AQ44" s="705">
        <v>2746</v>
      </c>
      <c r="AR44">
        <v>0</v>
      </c>
      <c r="AS44">
        <v>0</v>
      </c>
      <c r="AT44" s="705">
        <v>4199</v>
      </c>
      <c r="AU44" s="705">
        <f t="shared" si="4"/>
        <v>4199</v>
      </c>
      <c r="AV44" s="705">
        <f t="shared" si="5"/>
        <v>6944</v>
      </c>
    </row>
    <row r="45" spans="2:48" hidden="1">
      <c r="B45" t="s">
        <v>527</v>
      </c>
      <c r="C45" t="s">
        <v>118</v>
      </c>
      <c r="D45" t="s">
        <v>583</v>
      </c>
      <c r="E45" t="s">
        <v>666</v>
      </c>
      <c r="F45" s="705">
        <v>1</v>
      </c>
      <c r="G45" s="705">
        <v>114</v>
      </c>
      <c r="H45" s="705">
        <v>285</v>
      </c>
      <c r="I45" s="705">
        <v>20179</v>
      </c>
      <c r="J45" s="705">
        <v>18344</v>
      </c>
      <c r="K45" s="705">
        <v>70</v>
      </c>
      <c r="L45" s="705">
        <v>2485</v>
      </c>
      <c r="M45" s="705">
        <v>2259</v>
      </c>
      <c r="N45" s="705">
        <v>2768</v>
      </c>
      <c r="O45" s="705">
        <v>1025</v>
      </c>
      <c r="P45" s="705">
        <v>621</v>
      </c>
      <c r="Q45" s="705">
        <v>230</v>
      </c>
      <c r="R45" s="705">
        <v>3796</v>
      </c>
      <c r="S45" s="705">
        <v>3451</v>
      </c>
      <c r="T45" s="705">
        <v>2508</v>
      </c>
      <c r="U45" s="705">
        <v>929</v>
      </c>
      <c r="V45" s="705">
        <v>26238</v>
      </c>
      <c r="W45" s="705">
        <f t="shared" si="0"/>
        <v>26238</v>
      </c>
      <c r="X45" s="705">
        <f t="shared" si="1"/>
        <v>32357</v>
      </c>
      <c r="Y45" s="705"/>
      <c r="AA45" t="s">
        <v>114</v>
      </c>
      <c r="AB45" t="s">
        <v>228</v>
      </c>
      <c r="AC45" t="s">
        <v>228</v>
      </c>
      <c r="AD45" s="705">
        <v>1108</v>
      </c>
      <c r="AE45" s="705">
        <v>83604</v>
      </c>
      <c r="AF45" s="705">
        <v>155539</v>
      </c>
      <c r="AG45" s="705">
        <v>2942784</v>
      </c>
      <c r="AH45" s="705">
        <v>1089920</v>
      </c>
      <c r="AI45">
        <v>141</v>
      </c>
      <c r="AJ45" s="705">
        <v>411982</v>
      </c>
      <c r="AK45" s="705">
        <v>186404</v>
      </c>
      <c r="AL45" s="705">
        <v>1536153</v>
      </c>
      <c r="AM45" s="705">
        <v>568945</v>
      </c>
      <c r="AN45" s="705">
        <v>103215</v>
      </c>
      <c r="AO45" s="705">
        <v>38228</v>
      </c>
      <c r="AP45" s="705">
        <v>6725266</v>
      </c>
      <c r="AQ45" s="705">
        <v>2490839</v>
      </c>
      <c r="AR45" s="705">
        <v>31492</v>
      </c>
      <c r="AS45" s="705">
        <v>11664</v>
      </c>
      <c r="AT45" s="705">
        <v>4386000</v>
      </c>
      <c r="AU45" s="705">
        <f t="shared" si="4"/>
        <v>4386000</v>
      </c>
      <c r="AV45" s="705">
        <f t="shared" si="5"/>
        <v>11750892</v>
      </c>
    </row>
    <row r="46" spans="2:48" hidden="1">
      <c r="B46" t="s">
        <v>527</v>
      </c>
      <c r="C46" t="s">
        <v>118</v>
      </c>
      <c r="D46" t="s">
        <v>584</v>
      </c>
      <c r="E46" s="705" t="s">
        <v>584</v>
      </c>
      <c r="F46" s="705">
        <v>53</v>
      </c>
      <c r="G46" s="705">
        <v>3246</v>
      </c>
      <c r="H46" s="705">
        <v>13625</v>
      </c>
      <c r="I46" s="705">
        <v>439790</v>
      </c>
      <c r="J46" s="705">
        <v>399809</v>
      </c>
      <c r="K46" s="705">
        <v>78</v>
      </c>
      <c r="L46" s="705">
        <v>41789</v>
      </c>
      <c r="M46" s="705">
        <v>36691</v>
      </c>
      <c r="N46" s="705">
        <v>64974</v>
      </c>
      <c r="O46" s="705">
        <v>24065</v>
      </c>
      <c r="P46" s="705">
        <v>24921</v>
      </c>
      <c r="Q46" s="705">
        <v>9230</v>
      </c>
      <c r="R46" s="705">
        <v>215662</v>
      </c>
      <c r="S46" s="705">
        <v>196056</v>
      </c>
      <c r="T46" s="705">
        <v>41973</v>
      </c>
      <c r="U46" s="705">
        <v>15545</v>
      </c>
      <c r="V46" s="705">
        <v>681397</v>
      </c>
      <c r="W46" s="705">
        <f t="shared" si="0"/>
        <v>681396</v>
      </c>
      <c r="X46" s="705">
        <f t="shared" si="1"/>
        <v>829109</v>
      </c>
      <c r="Y46" s="705"/>
      <c r="AA46" t="s">
        <v>114</v>
      </c>
      <c r="AB46" t="s">
        <v>228</v>
      </c>
      <c r="AC46" t="s">
        <v>583</v>
      </c>
      <c r="AD46">
        <v>21</v>
      </c>
      <c r="AE46" s="705">
        <v>1751</v>
      </c>
      <c r="AF46" s="705">
        <v>2962</v>
      </c>
      <c r="AG46" s="705">
        <v>127549</v>
      </c>
      <c r="AH46" s="705">
        <v>47240</v>
      </c>
      <c r="AI46">
        <v>112</v>
      </c>
      <c r="AJ46" s="705">
        <v>2061</v>
      </c>
      <c r="AK46" s="705">
        <v>1874</v>
      </c>
      <c r="AL46" s="705">
        <v>39410</v>
      </c>
      <c r="AM46" s="705">
        <v>14596</v>
      </c>
      <c r="AN46">
        <v>972</v>
      </c>
      <c r="AO46">
        <v>360</v>
      </c>
      <c r="AP46" s="705">
        <v>76183</v>
      </c>
      <c r="AQ46" s="705">
        <v>69257</v>
      </c>
      <c r="AR46">
        <v>0</v>
      </c>
      <c r="AS46">
        <v>0</v>
      </c>
      <c r="AT46" s="705">
        <v>133328</v>
      </c>
      <c r="AU46" s="705">
        <f t="shared" si="4"/>
        <v>133327</v>
      </c>
      <c r="AV46" s="705">
        <f t="shared" si="5"/>
        <v>246175</v>
      </c>
    </row>
    <row r="47" spans="2:48" hidden="1">
      <c r="B47" t="s">
        <v>527</v>
      </c>
      <c r="C47" t="s">
        <v>118</v>
      </c>
      <c r="D47" s="705" t="s">
        <v>667</v>
      </c>
      <c r="E47" s="705" t="s">
        <v>228</v>
      </c>
      <c r="F47" s="705">
        <v>1</v>
      </c>
      <c r="G47" s="705">
        <v>46</v>
      </c>
      <c r="H47" s="705">
        <v>268</v>
      </c>
      <c r="I47" s="705">
        <v>6101</v>
      </c>
      <c r="J47" s="705">
        <v>5546</v>
      </c>
      <c r="K47" s="705">
        <v>60</v>
      </c>
      <c r="L47">
        <v>0</v>
      </c>
      <c r="M47" s="705">
        <v>0</v>
      </c>
      <c r="N47" s="705">
        <v>684</v>
      </c>
      <c r="O47" s="705">
        <v>253</v>
      </c>
      <c r="P47">
        <v>0</v>
      </c>
      <c r="Q47" s="705">
        <v>0</v>
      </c>
      <c r="R47" s="705">
        <v>5521</v>
      </c>
      <c r="S47" s="705">
        <v>2045</v>
      </c>
      <c r="T47">
        <v>0</v>
      </c>
      <c r="U47" s="705">
        <v>0</v>
      </c>
      <c r="V47" s="705">
        <v>7845</v>
      </c>
      <c r="W47" s="705">
        <f t="shared" si="0"/>
        <v>7844</v>
      </c>
      <c r="X47" s="705">
        <f t="shared" si="1"/>
        <v>12306</v>
      </c>
      <c r="Y47" s="705"/>
      <c r="AA47" t="s">
        <v>114</v>
      </c>
      <c r="AB47" t="s">
        <v>228</v>
      </c>
      <c r="AC47" t="s">
        <v>665</v>
      </c>
      <c r="AD47">
        <v>1</v>
      </c>
      <c r="AE47">
        <v>75</v>
      </c>
      <c r="AF47">
        <v>146</v>
      </c>
      <c r="AG47" s="705">
        <v>7208</v>
      </c>
      <c r="AH47" s="705">
        <v>2670</v>
      </c>
      <c r="AI47">
        <v>100</v>
      </c>
      <c r="AJ47">
        <v>0</v>
      </c>
      <c r="AK47">
        <v>0</v>
      </c>
      <c r="AL47" s="705">
        <v>1279</v>
      </c>
      <c r="AM47">
        <v>474</v>
      </c>
      <c r="AN47">
        <v>0</v>
      </c>
      <c r="AO47">
        <v>0</v>
      </c>
      <c r="AP47" s="705">
        <v>2450</v>
      </c>
      <c r="AQ47" s="705">
        <v>2227</v>
      </c>
      <c r="AR47">
        <v>0</v>
      </c>
      <c r="AS47">
        <v>0</v>
      </c>
      <c r="AT47" s="705">
        <v>5370</v>
      </c>
      <c r="AU47" s="705">
        <f t="shared" si="4"/>
        <v>5371</v>
      </c>
      <c r="AV47" s="705">
        <f t="shared" si="5"/>
        <v>10937</v>
      </c>
    </row>
    <row r="48" spans="2:48" hidden="1">
      <c r="B48" t="s">
        <v>527</v>
      </c>
      <c r="C48" t="s">
        <v>118</v>
      </c>
      <c r="D48" t="s">
        <v>665</v>
      </c>
      <c r="E48" s="705" t="s">
        <v>665</v>
      </c>
      <c r="F48" s="705">
        <v>1</v>
      </c>
      <c r="G48" s="705">
        <v>80</v>
      </c>
      <c r="H48" s="705">
        <v>277</v>
      </c>
      <c r="I48" s="705">
        <v>10621</v>
      </c>
      <c r="J48" s="705">
        <v>9656</v>
      </c>
      <c r="K48" s="705">
        <v>65</v>
      </c>
      <c r="L48" s="705">
        <v>2557</v>
      </c>
      <c r="M48" s="705">
        <v>2325</v>
      </c>
      <c r="N48" s="705">
        <v>1806</v>
      </c>
      <c r="O48" s="705">
        <v>669</v>
      </c>
      <c r="P48" s="705">
        <v>351</v>
      </c>
      <c r="Q48" s="705">
        <v>130</v>
      </c>
      <c r="R48" s="705">
        <v>4361</v>
      </c>
      <c r="S48" s="705">
        <v>3964</v>
      </c>
      <c r="T48" s="705">
        <v>2340</v>
      </c>
      <c r="U48" s="705">
        <v>867</v>
      </c>
      <c r="V48" s="705">
        <v>17610</v>
      </c>
      <c r="W48" s="705">
        <f t="shared" si="0"/>
        <v>17611</v>
      </c>
      <c r="X48" s="705">
        <f t="shared" si="1"/>
        <v>22036</v>
      </c>
      <c r="Y48" s="705"/>
      <c r="AA48" t="s">
        <v>114</v>
      </c>
      <c r="AB48" t="s">
        <v>583</v>
      </c>
      <c r="AC48" t="s">
        <v>228</v>
      </c>
      <c r="AD48">
        <v>1</v>
      </c>
      <c r="AE48">
        <v>167</v>
      </c>
      <c r="AF48">
        <v>145</v>
      </c>
      <c r="AG48" s="705">
        <v>9640</v>
      </c>
      <c r="AH48" s="705">
        <v>8763</v>
      </c>
      <c r="AI48">
        <v>85</v>
      </c>
      <c r="AJ48" s="705">
        <v>1401</v>
      </c>
      <c r="AK48" s="705">
        <v>1273</v>
      </c>
      <c r="AL48" s="705">
        <v>2029</v>
      </c>
      <c r="AM48">
        <v>751</v>
      </c>
      <c r="AN48">
        <v>0</v>
      </c>
      <c r="AO48">
        <v>0</v>
      </c>
      <c r="AP48" s="705">
        <v>11034</v>
      </c>
      <c r="AQ48" s="705">
        <v>4087</v>
      </c>
      <c r="AR48">
        <v>0</v>
      </c>
      <c r="AS48">
        <v>0</v>
      </c>
      <c r="AT48" s="705">
        <v>14875</v>
      </c>
      <c r="AU48" s="705">
        <f t="shared" si="4"/>
        <v>14874</v>
      </c>
      <c r="AV48" s="705">
        <f t="shared" si="5"/>
        <v>24104</v>
      </c>
    </row>
    <row r="49" spans="2:48" hidden="1">
      <c r="B49" t="s">
        <v>527</v>
      </c>
      <c r="C49" t="s">
        <v>120</v>
      </c>
      <c r="D49" s="705"/>
      <c r="E49" s="705"/>
      <c r="F49" s="705">
        <v>1</v>
      </c>
      <c r="G49" s="705">
        <v>32</v>
      </c>
      <c r="H49" s="705">
        <v>359</v>
      </c>
      <c r="I49" s="705"/>
      <c r="J49" s="705">
        <v>0</v>
      </c>
      <c r="K49" s="705"/>
      <c r="M49" s="705">
        <v>0</v>
      </c>
      <c r="N49" s="705">
        <v>642</v>
      </c>
      <c r="O49" s="705">
        <v>238</v>
      </c>
      <c r="P49" s="705">
        <v>0</v>
      </c>
      <c r="Q49" s="705">
        <v>0</v>
      </c>
      <c r="R49" s="705"/>
      <c r="S49">
        <v>0</v>
      </c>
      <c r="T49">
        <v>0</v>
      </c>
      <c r="U49" s="705">
        <v>0</v>
      </c>
      <c r="V49">
        <v>238</v>
      </c>
      <c r="W49" s="705">
        <f t="shared" si="0"/>
        <v>238</v>
      </c>
      <c r="X49" s="705">
        <f t="shared" si="1"/>
        <v>642</v>
      </c>
      <c r="Y49" s="705"/>
      <c r="AA49" t="s">
        <v>114</v>
      </c>
      <c r="AB49" t="s">
        <v>583</v>
      </c>
      <c r="AC49" t="s">
        <v>583</v>
      </c>
      <c r="AD49">
        <v>202</v>
      </c>
      <c r="AE49" s="705">
        <v>31520</v>
      </c>
      <c r="AF49" s="705">
        <v>28386</v>
      </c>
      <c r="AG49" s="705">
        <v>2412069</v>
      </c>
      <c r="AH49" s="705">
        <v>2192790</v>
      </c>
      <c r="AI49">
        <v>90</v>
      </c>
      <c r="AJ49" s="705">
        <v>440792</v>
      </c>
      <c r="AK49" s="705">
        <v>393358</v>
      </c>
      <c r="AL49" s="705">
        <v>599381</v>
      </c>
      <c r="AM49" s="705">
        <v>221993</v>
      </c>
      <c r="AN49" s="705">
        <v>136584</v>
      </c>
      <c r="AO49" s="705">
        <v>50587</v>
      </c>
      <c r="AP49" s="705">
        <v>947491</v>
      </c>
      <c r="AQ49" s="705">
        <v>861355</v>
      </c>
      <c r="AR49" s="705">
        <v>76475</v>
      </c>
      <c r="AS49" s="705">
        <v>28324</v>
      </c>
      <c r="AT49" s="705">
        <v>3748407</v>
      </c>
      <c r="AU49" s="705">
        <f t="shared" si="4"/>
        <v>3748407</v>
      </c>
      <c r="AV49" s="705">
        <f t="shared" si="5"/>
        <v>4612792</v>
      </c>
    </row>
    <row r="50" spans="2:48" hidden="1">
      <c r="B50" t="s">
        <v>527</v>
      </c>
      <c r="C50" t="s">
        <v>120</v>
      </c>
      <c r="D50" t="s">
        <v>228</v>
      </c>
      <c r="E50" t="s">
        <v>228</v>
      </c>
      <c r="F50" s="705">
        <v>110</v>
      </c>
      <c r="G50" s="705">
        <v>7113</v>
      </c>
      <c r="H50" s="705">
        <v>37609</v>
      </c>
      <c r="I50" s="705">
        <v>1391486</v>
      </c>
      <c r="J50" s="705">
        <v>515365</v>
      </c>
      <c r="K50" s="705">
        <v>100</v>
      </c>
      <c r="L50" s="705">
        <v>168813</v>
      </c>
      <c r="M50" s="705">
        <v>69985</v>
      </c>
      <c r="N50" s="705">
        <v>137101</v>
      </c>
      <c r="O50" s="705">
        <v>50778</v>
      </c>
      <c r="P50" s="705">
        <v>3572</v>
      </c>
      <c r="Q50" s="705">
        <v>1323</v>
      </c>
      <c r="R50" s="705">
        <v>730652</v>
      </c>
      <c r="S50" s="705">
        <v>270612</v>
      </c>
      <c r="T50">
        <v>0</v>
      </c>
      <c r="U50" s="705">
        <v>0</v>
      </c>
      <c r="V50" s="705">
        <v>908063</v>
      </c>
      <c r="W50" s="705">
        <f t="shared" si="0"/>
        <v>908063</v>
      </c>
      <c r="X50" s="705">
        <f t="shared" si="1"/>
        <v>2431624</v>
      </c>
      <c r="Y50" s="705"/>
      <c r="AA50" t="s">
        <v>114</v>
      </c>
      <c r="AB50" t="s">
        <v>583</v>
      </c>
      <c r="AC50" t="s">
        <v>665</v>
      </c>
      <c r="AD50">
        <v>1</v>
      </c>
      <c r="AE50">
        <v>270</v>
      </c>
      <c r="AF50">
        <v>139</v>
      </c>
      <c r="AG50" s="705">
        <v>18966</v>
      </c>
      <c r="AH50" s="705">
        <v>17242</v>
      </c>
      <c r="AI50">
        <v>79</v>
      </c>
      <c r="AJ50" s="705">
        <v>5268</v>
      </c>
      <c r="AK50" s="705">
        <v>4789</v>
      </c>
      <c r="AL50" s="705">
        <v>4276</v>
      </c>
      <c r="AM50" s="705">
        <v>1584</v>
      </c>
      <c r="AN50">
        <v>621</v>
      </c>
      <c r="AO50">
        <v>230</v>
      </c>
      <c r="AP50" s="705">
        <v>8423</v>
      </c>
      <c r="AQ50" s="705">
        <v>7658</v>
      </c>
      <c r="AR50">
        <v>0</v>
      </c>
      <c r="AS50">
        <v>0</v>
      </c>
      <c r="AT50" s="705">
        <v>31503</v>
      </c>
      <c r="AU50" s="705">
        <f t="shared" si="4"/>
        <v>31503</v>
      </c>
      <c r="AV50" s="705">
        <f t="shared" si="5"/>
        <v>37554</v>
      </c>
    </row>
    <row r="51" spans="2:48" hidden="1">
      <c r="B51" t="s">
        <v>527</v>
      </c>
      <c r="C51" t="s">
        <v>120</v>
      </c>
      <c r="D51" t="s">
        <v>583</v>
      </c>
      <c r="E51" s="705" t="s">
        <v>583</v>
      </c>
      <c r="F51" s="705">
        <v>1</v>
      </c>
      <c r="G51" s="705">
        <v>50</v>
      </c>
      <c r="H51" s="705">
        <v>368</v>
      </c>
      <c r="I51" s="705">
        <v>10141</v>
      </c>
      <c r="J51" s="705">
        <v>9219</v>
      </c>
      <c r="K51" s="705">
        <v>70</v>
      </c>
      <c r="L51" s="705">
        <v>0</v>
      </c>
      <c r="M51" s="705">
        <v>0</v>
      </c>
      <c r="N51" s="705">
        <v>603</v>
      </c>
      <c r="O51" s="705">
        <v>223</v>
      </c>
      <c r="P51" s="705">
        <v>621</v>
      </c>
      <c r="Q51" s="705">
        <v>230</v>
      </c>
      <c r="R51" s="705">
        <v>4403</v>
      </c>
      <c r="S51" s="705">
        <v>4002</v>
      </c>
      <c r="T51" s="705">
        <v>2453</v>
      </c>
      <c r="U51" s="705">
        <v>908</v>
      </c>
      <c r="V51" s="705">
        <v>14583</v>
      </c>
      <c r="W51" s="705">
        <f t="shared" si="0"/>
        <v>14582</v>
      </c>
      <c r="X51" s="705">
        <f t="shared" si="1"/>
        <v>18221</v>
      </c>
      <c r="Y51" s="705"/>
      <c r="AA51" t="s">
        <v>114</v>
      </c>
      <c r="AB51" t="s">
        <v>584</v>
      </c>
      <c r="AC51" t="s">
        <v>664</v>
      </c>
      <c r="AD51">
        <v>1</v>
      </c>
      <c r="AE51">
        <v>105</v>
      </c>
      <c r="AF51">
        <v>146</v>
      </c>
      <c r="AG51" s="705">
        <v>5011</v>
      </c>
      <c r="AH51" s="705">
        <v>4555</v>
      </c>
      <c r="AI51">
        <v>80</v>
      </c>
      <c r="AJ51" s="705">
        <v>1052</v>
      </c>
      <c r="AK51">
        <v>957</v>
      </c>
      <c r="AL51" s="705">
        <v>2382</v>
      </c>
      <c r="AM51">
        <v>882</v>
      </c>
      <c r="AN51">
        <v>473</v>
      </c>
      <c r="AO51">
        <v>175</v>
      </c>
      <c r="AP51" s="705">
        <v>3908</v>
      </c>
      <c r="AQ51" s="705">
        <v>3552</v>
      </c>
      <c r="AR51" s="705">
        <v>2485</v>
      </c>
      <c r="AS51">
        <v>920</v>
      </c>
      <c r="AT51" s="705">
        <v>11042</v>
      </c>
      <c r="AU51" s="705">
        <f t="shared" si="4"/>
        <v>11041</v>
      </c>
      <c r="AV51" s="705">
        <f t="shared" si="5"/>
        <v>15311</v>
      </c>
    </row>
    <row r="52" spans="2:48" hidden="1">
      <c r="B52" t="s">
        <v>527</v>
      </c>
      <c r="C52" t="s">
        <v>120</v>
      </c>
      <c r="D52" s="705" t="s">
        <v>584</v>
      </c>
      <c r="E52" s="705" t="s">
        <v>584</v>
      </c>
      <c r="F52" s="705">
        <v>23</v>
      </c>
      <c r="G52" s="705">
        <v>1372</v>
      </c>
      <c r="H52" s="705">
        <v>7849</v>
      </c>
      <c r="I52" s="705">
        <v>273947</v>
      </c>
      <c r="J52" s="705">
        <v>249042</v>
      </c>
      <c r="K52" s="705">
        <v>76</v>
      </c>
      <c r="L52" s="705">
        <v>30112</v>
      </c>
      <c r="M52" s="705">
        <v>22597</v>
      </c>
      <c r="N52" s="705">
        <v>26889</v>
      </c>
      <c r="O52" s="705">
        <v>9959</v>
      </c>
      <c r="P52" s="705">
        <v>10868</v>
      </c>
      <c r="Q52" s="705">
        <v>4025</v>
      </c>
      <c r="R52" s="705">
        <v>93772</v>
      </c>
      <c r="S52" s="705">
        <v>85247</v>
      </c>
      <c r="T52" s="705">
        <v>28271</v>
      </c>
      <c r="U52" s="705">
        <v>10471</v>
      </c>
      <c r="V52" s="705">
        <v>381342</v>
      </c>
      <c r="W52" s="705">
        <f t="shared" si="0"/>
        <v>381341</v>
      </c>
      <c r="X52" s="705">
        <f t="shared" si="1"/>
        <v>463859</v>
      </c>
      <c r="Y52" s="705"/>
      <c r="AA52" t="s">
        <v>114</v>
      </c>
      <c r="AB52" t="s">
        <v>584</v>
      </c>
      <c r="AC52" t="s">
        <v>582</v>
      </c>
      <c r="AD52">
        <v>1</v>
      </c>
      <c r="AE52">
        <v>86</v>
      </c>
      <c r="AF52">
        <v>130</v>
      </c>
      <c r="AG52" s="705">
        <v>4877</v>
      </c>
      <c r="AH52" s="705">
        <v>4433</v>
      </c>
      <c r="AI52">
        <v>91</v>
      </c>
      <c r="AJ52">
        <v>0</v>
      </c>
      <c r="AK52">
        <v>0</v>
      </c>
      <c r="AL52" s="705">
        <v>1163</v>
      </c>
      <c r="AM52">
        <v>431</v>
      </c>
      <c r="AN52">
        <v>473</v>
      </c>
      <c r="AO52">
        <v>175</v>
      </c>
      <c r="AP52" s="705">
        <v>4703</v>
      </c>
      <c r="AQ52" s="705">
        <v>4276</v>
      </c>
      <c r="AR52">
        <v>0</v>
      </c>
      <c r="AS52">
        <v>0</v>
      </c>
      <c r="AT52" s="705">
        <v>9315</v>
      </c>
      <c r="AU52" s="705">
        <f t="shared" si="4"/>
        <v>9315</v>
      </c>
      <c r="AV52" s="705">
        <f t="shared" si="5"/>
        <v>11216</v>
      </c>
    </row>
    <row r="53" spans="2:48" hidden="1">
      <c r="B53" t="s">
        <v>527</v>
      </c>
      <c r="C53" t="s">
        <v>122</v>
      </c>
      <c r="D53" t="s">
        <v>228</v>
      </c>
      <c r="E53" t="s">
        <v>228</v>
      </c>
      <c r="F53" s="705">
        <v>40</v>
      </c>
      <c r="G53" s="705">
        <v>2283</v>
      </c>
      <c r="H53" s="705">
        <v>16636</v>
      </c>
      <c r="I53" s="705">
        <v>609378</v>
      </c>
      <c r="J53" s="705">
        <v>225696</v>
      </c>
      <c r="K53" s="705">
        <v>100</v>
      </c>
      <c r="L53" s="705">
        <v>59067</v>
      </c>
      <c r="M53" s="705">
        <v>26467</v>
      </c>
      <c r="N53" s="705">
        <v>45223</v>
      </c>
      <c r="O53" s="705">
        <v>16749</v>
      </c>
      <c r="P53" s="705">
        <v>824</v>
      </c>
      <c r="Q53" s="705">
        <v>305</v>
      </c>
      <c r="R53" s="705">
        <v>235133</v>
      </c>
      <c r="S53" s="705">
        <v>87086</v>
      </c>
      <c r="T53">
        <v>0</v>
      </c>
      <c r="U53" s="705">
        <v>0</v>
      </c>
      <c r="V53" s="705">
        <v>356303</v>
      </c>
      <c r="W53" s="705">
        <f t="shared" si="0"/>
        <v>356303</v>
      </c>
      <c r="X53" s="705">
        <f t="shared" si="1"/>
        <v>949625</v>
      </c>
      <c r="Y53" s="705"/>
      <c r="AA53" t="s">
        <v>114</v>
      </c>
      <c r="AB53" t="s">
        <v>584</v>
      </c>
      <c r="AC53" t="s">
        <v>228</v>
      </c>
      <c r="AD53">
        <v>2</v>
      </c>
      <c r="AE53">
        <v>234</v>
      </c>
      <c r="AF53">
        <v>297</v>
      </c>
      <c r="AG53" s="705">
        <v>16148</v>
      </c>
      <c r="AH53" s="705">
        <v>14680</v>
      </c>
      <c r="AI53">
        <v>85</v>
      </c>
      <c r="AJ53">
        <v>0</v>
      </c>
      <c r="AK53">
        <v>0</v>
      </c>
      <c r="AL53" s="705">
        <v>3456</v>
      </c>
      <c r="AM53" s="705">
        <v>1280</v>
      </c>
      <c r="AN53" s="705">
        <v>2473</v>
      </c>
      <c r="AO53">
        <v>916</v>
      </c>
      <c r="AP53" s="705">
        <v>12699</v>
      </c>
      <c r="AQ53" s="705">
        <v>4703</v>
      </c>
      <c r="AR53">
        <v>0</v>
      </c>
      <c r="AS53">
        <v>0</v>
      </c>
      <c r="AT53" s="705">
        <v>21580</v>
      </c>
      <c r="AU53" s="705">
        <f t="shared" si="4"/>
        <v>21579</v>
      </c>
      <c r="AV53" s="705">
        <f t="shared" si="5"/>
        <v>34776</v>
      </c>
    </row>
    <row r="54" spans="2:48" hidden="1">
      <c r="B54" t="s">
        <v>527</v>
      </c>
      <c r="C54" t="s">
        <v>122</v>
      </c>
      <c r="D54" t="s">
        <v>583</v>
      </c>
      <c r="E54" s="705" t="s">
        <v>583</v>
      </c>
      <c r="F54" s="705">
        <v>6</v>
      </c>
      <c r="G54" s="705">
        <v>418</v>
      </c>
      <c r="H54" s="705">
        <v>2495</v>
      </c>
      <c r="I54" s="705">
        <v>104948</v>
      </c>
      <c r="J54" s="705">
        <v>95407</v>
      </c>
      <c r="K54" s="705">
        <v>84</v>
      </c>
      <c r="L54" s="705">
        <v>24830</v>
      </c>
      <c r="M54" s="705">
        <v>21129</v>
      </c>
      <c r="N54" s="705">
        <v>8941</v>
      </c>
      <c r="O54" s="705">
        <v>3311</v>
      </c>
      <c r="P54" s="705">
        <v>3726</v>
      </c>
      <c r="Q54" s="705">
        <v>1380</v>
      </c>
      <c r="R54" s="705">
        <v>21488</v>
      </c>
      <c r="S54" s="705">
        <v>19535</v>
      </c>
      <c r="T54" s="705">
        <v>8468</v>
      </c>
      <c r="U54" s="705">
        <v>3136</v>
      </c>
      <c r="V54" s="705">
        <v>143899</v>
      </c>
      <c r="W54" s="705">
        <f t="shared" si="0"/>
        <v>143898</v>
      </c>
      <c r="X54" s="705">
        <f t="shared" si="1"/>
        <v>172401</v>
      </c>
      <c r="Y54" s="705"/>
      <c r="AA54" t="s">
        <v>114</v>
      </c>
      <c r="AB54" t="s">
        <v>584</v>
      </c>
      <c r="AC54" t="s">
        <v>584</v>
      </c>
      <c r="AD54" s="705">
        <v>10881</v>
      </c>
      <c r="AE54" s="705">
        <v>854363</v>
      </c>
      <c r="AF54" s="705">
        <v>1506307</v>
      </c>
      <c r="AG54" s="705">
        <v>50126979</v>
      </c>
      <c r="AH54" s="705">
        <v>45569981</v>
      </c>
      <c r="AI54">
        <v>83</v>
      </c>
      <c r="AJ54" s="705">
        <v>3423969</v>
      </c>
      <c r="AK54" s="705">
        <v>2413352</v>
      </c>
      <c r="AL54" s="705">
        <v>17157944</v>
      </c>
      <c r="AM54" s="705">
        <v>6354794</v>
      </c>
      <c r="AN54" s="705">
        <v>5490650</v>
      </c>
      <c r="AO54" s="705">
        <v>2033574</v>
      </c>
      <c r="AP54" s="705">
        <v>40144385</v>
      </c>
      <c r="AQ54" s="705">
        <v>36494895</v>
      </c>
      <c r="AR54" s="705">
        <v>2222462</v>
      </c>
      <c r="AS54" s="705">
        <v>823134</v>
      </c>
      <c r="AT54" s="705">
        <v>93689729</v>
      </c>
      <c r="AU54" s="705">
        <f t="shared" si="4"/>
        <v>93689730</v>
      </c>
      <c r="AV54" s="705">
        <f t="shared" si="5"/>
        <v>118566389</v>
      </c>
    </row>
    <row r="55" spans="2:48" hidden="1">
      <c r="B55" t="s">
        <v>527</v>
      </c>
      <c r="C55" t="s">
        <v>122</v>
      </c>
      <c r="D55" s="705" t="s">
        <v>584</v>
      </c>
      <c r="E55" s="705" t="s">
        <v>584</v>
      </c>
      <c r="F55" s="705">
        <v>6</v>
      </c>
      <c r="G55" s="705">
        <v>293</v>
      </c>
      <c r="H55" s="705">
        <v>2573</v>
      </c>
      <c r="I55" s="705">
        <v>77834</v>
      </c>
      <c r="J55" s="705">
        <v>70759</v>
      </c>
      <c r="K55">
        <v>75</v>
      </c>
      <c r="L55" s="705">
        <v>12178</v>
      </c>
      <c r="M55" s="705">
        <v>9540</v>
      </c>
      <c r="N55" s="705">
        <v>5429</v>
      </c>
      <c r="O55" s="705">
        <v>2011</v>
      </c>
      <c r="P55" s="705">
        <v>2835</v>
      </c>
      <c r="Q55" s="705">
        <v>1050</v>
      </c>
      <c r="R55" s="705">
        <v>26087</v>
      </c>
      <c r="S55" s="705">
        <v>23715</v>
      </c>
      <c r="T55" s="705">
        <v>1877</v>
      </c>
      <c r="U55" s="705">
        <v>695</v>
      </c>
      <c r="V55" s="705">
        <v>107770</v>
      </c>
      <c r="W55" s="705">
        <f t="shared" si="0"/>
        <v>107770</v>
      </c>
      <c r="X55" s="705">
        <f t="shared" si="1"/>
        <v>126240</v>
      </c>
      <c r="Y55" s="705"/>
      <c r="AA55" t="s">
        <v>114</v>
      </c>
      <c r="AB55" t="s">
        <v>584</v>
      </c>
      <c r="AC55" t="s">
        <v>668</v>
      </c>
      <c r="AD55">
        <v>1</v>
      </c>
      <c r="AE55">
        <v>104</v>
      </c>
      <c r="AF55">
        <v>139</v>
      </c>
      <c r="AG55" s="705">
        <v>4449</v>
      </c>
      <c r="AH55" s="705">
        <v>4045</v>
      </c>
      <c r="AI55">
        <v>78</v>
      </c>
      <c r="AJ55" s="705">
        <v>1102</v>
      </c>
      <c r="AK55" s="705">
        <v>1002</v>
      </c>
      <c r="AL55" s="705">
        <v>2531</v>
      </c>
      <c r="AM55">
        <v>937</v>
      </c>
      <c r="AN55">
        <v>473</v>
      </c>
      <c r="AO55">
        <v>175</v>
      </c>
      <c r="AP55" s="705">
        <v>5908</v>
      </c>
      <c r="AQ55" s="705">
        <v>5371</v>
      </c>
      <c r="AR55">
        <v>0</v>
      </c>
      <c r="AS55">
        <v>0</v>
      </c>
      <c r="AT55" s="705">
        <v>11529</v>
      </c>
      <c r="AU55" s="705">
        <f t="shared" si="4"/>
        <v>11530</v>
      </c>
      <c r="AV55" s="705">
        <f t="shared" si="5"/>
        <v>14463</v>
      </c>
    </row>
    <row r="56" spans="2:48" hidden="1">
      <c r="B56" t="s">
        <v>527</v>
      </c>
      <c r="C56" t="s">
        <v>124</v>
      </c>
      <c r="D56" s="705"/>
      <c r="E56" s="705"/>
      <c r="F56" s="705">
        <v>1</v>
      </c>
      <c r="G56" s="705">
        <v>38</v>
      </c>
      <c r="H56" s="705">
        <v>510</v>
      </c>
      <c r="I56" s="705"/>
      <c r="J56" s="705">
        <v>0</v>
      </c>
      <c r="K56" s="705"/>
      <c r="L56" s="705"/>
      <c r="M56" s="705">
        <v>0</v>
      </c>
      <c r="N56" s="705">
        <v>843</v>
      </c>
      <c r="O56" s="705">
        <v>312</v>
      </c>
      <c r="P56">
        <v>0</v>
      </c>
      <c r="Q56" s="705">
        <v>0</v>
      </c>
      <c r="R56" s="705"/>
      <c r="S56">
        <v>0</v>
      </c>
      <c r="T56">
        <v>0</v>
      </c>
      <c r="U56" s="705">
        <v>0</v>
      </c>
      <c r="V56">
        <v>312</v>
      </c>
      <c r="W56" s="705">
        <f t="shared" si="0"/>
        <v>312</v>
      </c>
      <c r="X56" s="705">
        <f t="shared" si="1"/>
        <v>843</v>
      </c>
      <c r="Y56" s="705"/>
      <c r="AA56" t="s">
        <v>114</v>
      </c>
      <c r="AB56" s="239" t="s">
        <v>665</v>
      </c>
      <c r="AC56" t="s">
        <v>665</v>
      </c>
      <c r="AD56">
        <v>1</v>
      </c>
      <c r="AE56">
        <v>218</v>
      </c>
      <c r="AF56">
        <v>140</v>
      </c>
      <c r="AG56" s="705">
        <v>21019</v>
      </c>
      <c r="AH56" s="705">
        <v>19108</v>
      </c>
      <c r="AI56">
        <v>76</v>
      </c>
      <c r="AJ56">
        <v>0</v>
      </c>
      <c r="AK56" s="705">
        <v>2482</v>
      </c>
      <c r="AL56" s="705">
        <v>3187</v>
      </c>
      <c r="AM56" s="705">
        <v>1180</v>
      </c>
      <c r="AN56">
        <v>0</v>
      </c>
      <c r="AO56">
        <v>0</v>
      </c>
      <c r="AP56" s="705">
        <v>6358</v>
      </c>
      <c r="AQ56" s="705">
        <v>5780</v>
      </c>
      <c r="AR56">
        <v>0</v>
      </c>
      <c r="AS56">
        <v>0</v>
      </c>
      <c r="AT56" s="705">
        <v>28551</v>
      </c>
      <c r="AU56" s="705">
        <f t="shared" si="4"/>
        <v>28550</v>
      </c>
      <c r="AV56" s="705">
        <f t="shared" si="5"/>
        <v>30564</v>
      </c>
    </row>
    <row r="57" spans="2:48" hidden="1">
      <c r="B57" t="s">
        <v>527</v>
      </c>
      <c r="C57" t="s">
        <v>124</v>
      </c>
      <c r="D57" t="s">
        <v>228</v>
      </c>
      <c r="E57" t="s">
        <v>228</v>
      </c>
      <c r="F57" s="705">
        <v>45</v>
      </c>
      <c r="G57" s="705">
        <v>2633</v>
      </c>
      <c r="H57" s="705">
        <v>25059</v>
      </c>
      <c r="I57" s="705">
        <v>1044698</v>
      </c>
      <c r="J57" s="705">
        <v>386925</v>
      </c>
      <c r="K57" s="705">
        <v>100</v>
      </c>
      <c r="L57" s="705">
        <v>82416</v>
      </c>
      <c r="M57" s="705">
        <v>37180</v>
      </c>
      <c r="N57" s="705">
        <v>52382</v>
      </c>
      <c r="O57" s="705">
        <v>19401</v>
      </c>
      <c r="P57" s="705">
        <v>2822</v>
      </c>
      <c r="Q57" s="705">
        <v>1045</v>
      </c>
      <c r="R57" s="705">
        <v>291588</v>
      </c>
      <c r="S57" s="705">
        <v>107995</v>
      </c>
      <c r="T57" s="705">
        <v>0</v>
      </c>
      <c r="U57" s="705">
        <v>0</v>
      </c>
      <c r="V57" s="705">
        <v>552547</v>
      </c>
      <c r="W57" s="705">
        <f t="shared" si="0"/>
        <v>552546</v>
      </c>
      <c r="X57" s="705">
        <f t="shared" si="1"/>
        <v>1473906</v>
      </c>
      <c r="Y57" s="705"/>
      <c r="AA57" t="s">
        <v>114</v>
      </c>
      <c r="AB57" t="s">
        <v>585</v>
      </c>
      <c r="AC57" t="s">
        <v>584</v>
      </c>
      <c r="AD57">
        <v>1</v>
      </c>
      <c r="AE57">
        <v>73</v>
      </c>
      <c r="AF57">
        <v>131</v>
      </c>
      <c r="AG57" s="705">
        <v>4548</v>
      </c>
      <c r="AH57" s="705">
        <v>4135</v>
      </c>
      <c r="AI57">
        <v>75</v>
      </c>
      <c r="AJ57">
        <v>0</v>
      </c>
      <c r="AK57">
        <v>0</v>
      </c>
      <c r="AL57">
        <v>892</v>
      </c>
      <c r="AM57">
        <v>330</v>
      </c>
      <c r="AN57">
        <v>0</v>
      </c>
      <c r="AO57">
        <v>0</v>
      </c>
      <c r="AP57" s="705">
        <v>4135</v>
      </c>
      <c r="AQ57" s="705">
        <v>3759</v>
      </c>
      <c r="AR57">
        <v>0</v>
      </c>
      <c r="AS57">
        <v>0</v>
      </c>
      <c r="AT57" s="705">
        <v>8224</v>
      </c>
      <c r="AU57" s="705">
        <f t="shared" si="4"/>
        <v>8224</v>
      </c>
      <c r="AV57" s="705">
        <f t="shared" si="5"/>
        <v>9575</v>
      </c>
    </row>
    <row r="58" spans="2:48" hidden="1">
      <c r="B58" t="s">
        <v>527</v>
      </c>
      <c r="C58" t="s">
        <v>124</v>
      </c>
      <c r="D58" s="705" t="s">
        <v>583</v>
      </c>
      <c r="E58" s="705" t="s">
        <v>583</v>
      </c>
      <c r="F58" s="705">
        <v>5</v>
      </c>
      <c r="G58" s="705">
        <v>377</v>
      </c>
      <c r="H58" s="705">
        <v>3410</v>
      </c>
      <c r="I58" s="705">
        <v>182799</v>
      </c>
      <c r="J58" s="705">
        <v>166181</v>
      </c>
      <c r="K58" s="705">
        <v>64</v>
      </c>
      <c r="L58" s="705">
        <v>21167</v>
      </c>
      <c r="M58" s="705">
        <v>19242</v>
      </c>
      <c r="N58" s="705">
        <v>6675</v>
      </c>
      <c r="O58" s="705">
        <v>2472</v>
      </c>
      <c r="P58" s="705">
        <v>3105</v>
      </c>
      <c r="Q58" s="705">
        <v>1150</v>
      </c>
      <c r="R58" s="705">
        <v>23500</v>
      </c>
      <c r="S58" s="705">
        <v>21364</v>
      </c>
      <c r="T58" s="705">
        <v>10912</v>
      </c>
      <c r="U58" s="705">
        <v>4042</v>
      </c>
      <c r="V58" s="705">
        <v>214451</v>
      </c>
      <c r="W58" s="705">
        <f t="shared" si="0"/>
        <v>214451</v>
      </c>
      <c r="X58" s="705">
        <f t="shared" si="1"/>
        <v>248158</v>
      </c>
      <c r="Y58" s="705"/>
      <c r="AA58" t="s">
        <v>114</v>
      </c>
      <c r="AB58" t="s">
        <v>585</v>
      </c>
      <c r="AC58" s="239" t="s">
        <v>585</v>
      </c>
      <c r="AD58">
        <v>66</v>
      </c>
      <c r="AE58" s="705">
        <v>4124</v>
      </c>
      <c r="AF58" s="705">
        <v>8893</v>
      </c>
      <c r="AG58" s="705">
        <v>220671</v>
      </c>
      <c r="AH58" s="705">
        <v>200610</v>
      </c>
      <c r="AI58">
        <v>75</v>
      </c>
      <c r="AJ58" s="705">
        <v>22088</v>
      </c>
      <c r="AK58" s="705">
        <v>19427</v>
      </c>
      <c r="AL58" s="705">
        <v>54474</v>
      </c>
      <c r="AM58" s="705">
        <v>20175</v>
      </c>
      <c r="AN58" s="705">
        <v>23166</v>
      </c>
      <c r="AO58" s="705">
        <v>8580</v>
      </c>
      <c r="AP58" s="705">
        <v>234265</v>
      </c>
      <c r="AQ58" s="705">
        <v>212969</v>
      </c>
      <c r="AR58">
        <v>0</v>
      </c>
      <c r="AS58">
        <v>0</v>
      </c>
      <c r="AT58" s="705">
        <v>461761</v>
      </c>
      <c r="AU58" s="705">
        <f t="shared" si="4"/>
        <v>461761</v>
      </c>
      <c r="AV58" s="705">
        <f t="shared" si="5"/>
        <v>554664</v>
      </c>
    </row>
    <row r="59" spans="2:48" hidden="1">
      <c r="B59" t="s">
        <v>527</v>
      </c>
      <c r="C59" t="s">
        <v>124</v>
      </c>
      <c r="D59" s="705" t="s">
        <v>584</v>
      </c>
      <c r="E59" s="705" t="s">
        <v>228</v>
      </c>
      <c r="F59" s="705">
        <v>1</v>
      </c>
      <c r="G59" s="705">
        <v>36</v>
      </c>
      <c r="H59" s="705">
        <v>476</v>
      </c>
      <c r="I59" s="705">
        <v>5287</v>
      </c>
      <c r="J59" s="705">
        <v>4806</v>
      </c>
      <c r="K59" s="705">
        <v>79</v>
      </c>
      <c r="L59" s="705">
        <v>1472</v>
      </c>
      <c r="M59" s="705">
        <v>1339</v>
      </c>
      <c r="N59" s="705">
        <v>877</v>
      </c>
      <c r="O59" s="705">
        <v>325</v>
      </c>
      <c r="P59" s="705">
        <v>473</v>
      </c>
      <c r="Q59" s="705">
        <v>175</v>
      </c>
      <c r="R59" s="705">
        <v>9040</v>
      </c>
      <c r="S59" s="705">
        <v>3348</v>
      </c>
      <c r="T59">
        <v>0</v>
      </c>
      <c r="U59" s="705">
        <v>0</v>
      </c>
      <c r="V59" s="705">
        <v>9993</v>
      </c>
      <c r="W59" s="705">
        <f t="shared" si="0"/>
        <v>9993</v>
      </c>
      <c r="X59" s="705">
        <f t="shared" si="1"/>
        <v>17149</v>
      </c>
      <c r="Y59" s="705"/>
      <c r="AA59" t="s">
        <v>116</v>
      </c>
      <c r="AD59" s="705">
        <v>1474</v>
      </c>
      <c r="AE59" s="705">
        <v>89665</v>
      </c>
      <c r="AF59" s="705">
        <v>270301</v>
      </c>
      <c r="AH59">
        <v>0</v>
      </c>
      <c r="AK59">
        <v>0</v>
      </c>
      <c r="AL59" s="705">
        <v>1796467</v>
      </c>
      <c r="AM59" s="705">
        <v>665358</v>
      </c>
      <c r="AN59" s="705">
        <v>307789</v>
      </c>
      <c r="AO59" s="705">
        <v>113996</v>
      </c>
      <c r="AQ59">
        <v>0</v>
      </c>
      <c r="AR59" s="705">
        <v>191991</v>
      </c>
      <c r="AS59" s="705">
        <v>71108</v>
      </c>
      <c r="AT59" s="705">
        <v>850462</v>
      </c>
      <c r="AU59" s="705">
        <f t="shared" si="4"/>
        <v>850462</v>
      </c>
      <c r="AV59" s="705">
        <f t="shared" si="5"/>
        <v>2296247</v>
      </c>
    </row>
    <row r="60" spans="2:48" hidden="1">
      <c r="B60" t="s">
        <v>527</v>
      </c>
      <c r="C60" t="s">
        <v>124</v>
      </c>
      <c r="D60" t="s">
        <v>584</v>
      </c>
      <c r="E60" t="s">
        <v>584</v>
      </c>
      <c r="F60">
        <v>4</v>
      </c>
      <c r="G60" s="705">
        <v>146</v>
      </c>
      <c r="H60" s="705">
        <v>2254</v>
      </c>
      <c r="I60" s="705">
        <v>50841</v>
      </c>
      <c r="J60" s="705">
        <v>46219</v>
      </c>
      <c r="K60" s="705">
        <v>76</v>
      </c>
      <c r="L60" s="705">
        <v>9147</v>
      </c>
      <c r="M60" s="705">
        <v>5946</v>
      </c>
      <c r="N60" s="705">
        <v>3427</v>
      </c>
      <c r="O60" s="705">
        <v>1269</v>
      </c>
      <c r="P60" s="705">
        <v>1890</v>
      </c>
      <c r="Q60" s="705">
        <v>700</v>
      </c>
      <c r="R60" s="705">
        <v>15827</v>
      </c>
      <c r="S60" s="705">
        <v>14388</v>
      </c>
      <c r="T60" s="705">
        <v>1699</v>
      </c>
      <c r="U60" s="705">
        <v>629</v>
      </c>
      <c r="V60" s="705">
        <v>69151</v>
      </c>
      <c r="W60" s="705">
        <f t="shared" si="0"/>
        <v>69151</v>
      </c>
      <c r="X60" s="705">
        <f t="shared" si="1"/>
        <v>82831</v>
      </c>
      <c r="Y60" s="705"/>
      <c r="AA60" t="s">
        <v>116</v>
      </c>
      <c r="AB60" t="s">
        <v>580</v>
      </c>
      <c r="AC60" t="s">
        <v>228</v>
      </c>
      <c r="AD60">
        <v>1</v>
      </c>
      <c r="AE60">
        <v>73</v>
      </c>
      <c r="AF60">
        <v>199</v>
      </c>
      <c r="AG60" s="705">
        <v>5633</v>
      </c>
      <c r="AH60" s="705">
        <v>2086</v>
      </c>
      <c r="AI60">
        <v>100</v>
      </c>
      <c r="AJ60" s="705">
        <v>1408</v>
      </c>
      <c r="AK60">
        <v>522</v>
      </c>
      <c r="AL60" s="705">
        <v>1416</v>
      </c>
      <c r="AM60">
        <v>524</v>
      </c>
      <c r="AN60">
        <v>0</v>
      </c>
      <c r="AO60">
        <v>0</v>
      </c>
      <c r="AP60" s="705">
        <v>5990</v>
      </c>
      <c r="AQ60" s="705">
        <v>2219</v>
      </c>
      <c r="AR60">
        <v>0</v>
      </c>
      <c r="AS60">
        <v>0</v>
      </c>
      <c r="AT60" s="705">
        <v>5351</v>
      </c>
      <c r="AU60" s="705">
        <f t="shared" si="4"/>
        <v>5351</v>
      </c>
      <c r="AV60" s="705">
        <f t="shared" si="5"/>
        <v>14447</v>
      </c>
    </row>
    <row r="61" spans="2:48" hidden="1">
      <c r="B61" t="s">
        <v>527</v>
      </c>
      <c r="C61" t="s">
        <v>124</v>
      </c>
      <c r="D61" t="s">
        <v>669</v>
      </c>
      <c r="E61" t="s">
        <v>228</v>
      </c>
      <c r="F61">
        <v>2</v>
      </c>
      <c r="G61" s="705">
        <v>124</v>
      </c>
      <c r="H61" s="705">
        <v>2569</v>
      </c>
      <c r="I61" s="705">
        <v>148387</v>
      </c>
      <c r="J61" s="705">
        <v>123656</v>
      </c>
      <c r="K61" s="705">
        <v>30</v>
      </c>
      <c r="L61" s="705">
        <v>13203</v>
      </c>
      <c r="M61" s="705">
        <v>11002</v>
      </c>
      <c r="N61" s="705">
        <v>2567</v>
      </c>
      <c r="O61" s="705">
        <v>951</v>
      </c>
      <c r="P61" s="705">
        <v>0</v>
      </c>
      <c r="Q61" s="705">
        <v>0</v>
      </c>
      <c r="R61" s="705">
        <v>7960</v>
      </c>
      <c r="S61" s="705">
        <v>2948</v>
      </c>
      <c r="T61" s="705">
        <v>0</v>
      </c>
      <c r="U61" s="705">
        <v>0</v>
      </c>
      <c r="V61" s="705">
        <v>138557</v>
      </c>
      <c r="W61" s="705">
        <f t="shared" si="0"/>
        <v>138557</v>
      </c>
      <c r="X61" s="705">
        <f t="shared" si="1"/>
        <v>172117</v>
      </c>
      <c r="Y61" s="705"/>
      <c r="AA61" t="s">
        <v>116</v>
      </c>
      <c r="AB61" t="s">
        <v>664</v>
      </c>
      <c r="AC61" t="s">
        <v>664</v>
      </c>
      <c r="AD61">
        <v>27</v>
      </c>
      <c r="AE61" s="705">
        <v>2206</v>
      </c>
      <c r="AF61" s="705">
        <v>5058</v>
      </c>
      <c r="AG61" s="705">
        <v>214913</v>
      </c>
      <c r="AH61" s="705">
        <v>195376</v>
      </c>
      <c r="AI61">
        <v>86</v>
      </c>
      <c r="AJ61" s="705">
        <v>20896</v>
      </c>
      <c r="AK61" s="705">
        <v>17752</v>
      </c>
      <c r="AL61" s="705">
        <v>40684</v>
      </c>
      <c r="AM61" s="705">
        <v>15068</v>
      </c>
      <c r="AN61" s="705">
        <v>12987</v>
      </c>
      <c r="AO61" s="705">
        <v>4810</v>
      </c>
      <c r="AP61" s="705">
        <v>100767</v>
      </c>
      <c r="AQ61" s="705">
        <v>91606</v>
      </c>
      <c r="AR61" s="705">
        <v>19421</v>
      </c>
      <c r="AS61" s="705">
        <v>7193</v>
      </c>
      <c r="AT61" s="705">
        <v>331806</v>
      </c>
      <c r="AU61" s="705">
        <f t="shared" si="4"/>
        <v>331805</v>
      </c>
      <c r="AV61" s="705">
        <f t="shared" si="5"/>
        <v>409668</v>
      </c>
    </row>
    <row r="62" spans="2:48" hidden="1">
      <c r="B62" t="s">
        <v>527</v>
      </c>
      <c r="C62" t="s">
        <v>124</v>
      </c>
      <c r="D62" t="s">
        <v>665</v>
      </c>
      <c r="E62" s="705" t="s">
        <v>228</v>
      </c>
      <c r="F62" s="705">
        <v>1</v>
      </c>
      <c r="G62" s="705">
        <v>125</v>
      </c>
      <c r="H62" s="705">
        <v>1081</v>
      </c>
      <c r="I62" s="705">
        <v>112309</v>
      </c>
      <c r="J62" s="705">
        <v>102099</v>
      </c>
      <c r="K62" s="705">
        <v>30</v>
      </c>
      <c r="L62" s="705">
        <v>9189</v>
      </c>
      <c r="M62" s="705">
        <v>3403</v>
      </c>
      <c r="N62" s="705">
        <v>3043</v>
      </c>
      <c r="O62" s="705">
        <v>1127</v>
      </c>
      <c r="P62" s="705">
        <v>0</v>
      </c>
      <c r="Q62" s="705">
        <v>0</v>
      </c>
      <c r="R62" s="705">
        <v>10443</v>
      </c>
      <c r="S62" s="705">
        <v>3868</v>
      </c>
      <c r="T62">
        <v>0</v>
      </c>
      <c r="U62" s="705">
        <v>0</v>
      </c>
      <c r="V62" s="705">
        <v>110497</v>
      </c>
      <c r="W62" s="705">
        <f t="shared" si="0"/>
        <v>110497</v>
      </c>
      <c r="X62" s="705">
        <f t="shared" si="1"/>
        <v>134984</v>
      </c>
      <c r="Y62" s="705"/>
      <c r="AA62" t="s">
        <v>116</v>
      </c>
      <c r="AB62" t="s">
        <v>664</v>
      </c>
      <c r="AC62" t="s">
        <v>582</v>
      </c>
      <c r="AD62">
        <v>1</v>
      </c>
      <c r="AE62">
        <v>82</v>
      </c>
      <c r="AF62">
        <v>208</v>
      </c>
      <c r="AG62" s="705">
        <v>7532</v>
      </c>
      <c r="AH62" s="705">
        <v>6847</v>
      </c>
      <c r="AI62">
        <v>73</v>
      </c>
      <c r="AJ62" s="705">
        <v>1056</v>
      </c>
      <c r="AK62">
        <v>880</v>
      </c>
      <c r="AL62" s="705">
        <v>1602</v>
      </c>
      <c r="AM62">
        <v>593</v>
      </c>
      <c r="AN62">
        <v>473</v>
      </c>
      <c r="AO62">
        <v>175</v>
      </c>
      <c r="AP62" s="705">
        <v>4074</v>
      </c>
      <c r="AQ62" s="705">
        <v>3704</v>
      </c>
      <c r="AR62" s="705">
        <v>2329</v>
      </c>
      <c r="AS62">
        <v>863</v>
      </c>
      <c r="AT62" s="705">
        <v>13062</v>
      </c>
      <c r="AU62" s="705">
        <f t="shared" si="4"/>
        <v>13062</v>
      </c>
      <c r="AV62" s="705">
        <f t="shared" si="5"/>
        <v>17066</v>
      </c>
    </row>
    <row r="63" spans="2:48" hidden="1">
      <c r="B63" t="s">
        <v>531</v>
      </c>
      <c r="C63" t="s">
        <v>108</v>
      </c>
      <c r="E63" s="705"/>
      <c r="F63" s="705">
        <v>1</v>
      </c>
      <c r="G63" s="705">
        <v>66</v>
      </c>
      <c r="H63" s="705">
        <v>74</v>
      </c>
      <c r="I63" s="705"/>
      <c r="J63" s="705">
        <v>0</v>
      </c>
      <c r="K63" s="705"/>
      <c r="L63" s="705"/>
      <c r="M63" s="705">
        <v>0</v>
      </c>
      <c r="N63" s="705">
        <v>804</v>
      </c>
      <c r="O63" s="705">
        <v>298</v>
      </c>
      <c r="P63" s="705">
        <v>0</v>
      </c>
      <c r="Q63" s="705">
        <v>0</v>
      </c>
      <c r="R63" s="705"/>
      <c r="S63" s="705">
        <v>0</v>
      </c>
      <c r="T63" s="705">
        <v>0</v>
      </c>
      <c r="U63" s="705">
        <v>0</v>
      </c>
      <c r="V63">
        <v>298</v>
      </c>
      <c r="W63" s="705">
        <f t="shared" si="0"/>
        <v>298</v>
      </c>
      <c r="X63" s="705">
        <f t="shared" si="1"/>
        <v>804</v>
      </c>
      <c r="Y63" s="705"/>
      <c r="AA63" t="s">
        <v>116</v>
      </c>
      <c r="AB63" t="s">
        <v>664</v>
      </c>
      <c r="AC63" t="s">
        <v>584</v>
      </c>
      <c r="AD63">
        <v>3</v>
      </c>
      <c r="AE63">
        <v>130</v>
      </c>
      <c r="AF63">
        <v>486</v>
      </c>
      <c r="AG63" s="705">
        <v>9867</v>
      </c>
      <c r="AH63" s="705">
        <v>8970</v>
      </c>
      <c r="AI63">
        <v>91</v>
      </c>
      <c r="AJ63">
        <v>0</v>
      </c>
      <c r="AK63">
        <v>0</v>
      </c>
      <c r="AL63" s="705">
        <v>3156</v>
      </c>
      <c r="AM63" s="705">
        <v>1169</v>
      </c>
      <c r="AN63" s="705">
        <v>1418</v>
      </c>
      <c r="AO63">
        <v>525</v>
      </c>
      <c r="AP63" s="705">
        <v>6519</v>
      </c>
      <c r="AQ63" s="705">
        <v>5927</v>
      </c>
      <c r="AR63">
        <v>0</v>
      </c>
      <c r="AS63">
        <v>0</v>
      </c>
      <c r="AT63" s="705">
        <v>16590</v>
      </c>
      <c r="AU63" s="705">
        <f t="shared" si="4"/>
        <v>16591</v>
      </c>
      <c r="AV63" s="705">
        <f t="shared" si="5"/>
        <v>20960</v>
      </c>
    </row>
    <row r="64" spans="2:48" hidden="1">
      <c r="B64" t="s">
        <v>531</v>
      </c>
      <c r="C64" t="s">
        <v>108</v>
      </c>
      <c r="D64" t="s">
        <v>228</v>
      </c>
      <c r="E64" s="705" t="s">
        <v>228</v>
      </c>
      <c r="F64" s="705">
        <v>2</v>
      </c>
      <c r="G64">
        <v>142</v>
      </c>
      <c r="H64" s="705">
        <v>123</v>
      </c>
      <c r="I64" s="705">
        <v>973</v>
      </c>
      <c r="J64" s="705">
        <v>360</v>
      </c>
      <c r="K64" s="705">
        <v>488</v>
      </c>
      <c r="L64">
        <v>0</v>
      </c>
      <c r="M64" s="705">
        <v>0</v>
      </c>
      <c r="N64" s="705">
        <v>1735</v>
      </c>
      <c r="O64" s="705">
        <v>642</v>
      </c>
      <c r="P64">
        <v>702</v>
      </c>
      <c r="Q64" s="705">
        <v>260</v>
      </c>
      <c r="R64" s="705">
        <v>5370</v>
      </c>
      <c r="S64" s="705">
        <v>1989</v>
      </c>
      <c r="T64">
        <v>0</v>
      </c>
      <c r="U64" s="705">
        <v>0</v>
      </c>
      <c r="V64" s="705">
        <v>3252</v>
      </c>
      <c r="W64" s="705">
        <f t="shared" si="0"/>
        <v>3251</v>
      </c>
      <c r="X64" s="705">
        <f t="shared" si="1"/>
        <v>8780</v>
      </c>
      <c r="Y64" s="705"/>
      <c r="AA64" t="s">
        <v>116</v>
      </c>
      <c r="AB64" t="s">
        <v>582</v>
      </c>
      <c r="AC64" t="s">
        <v>664</v>
      </c>
      <c r="AD64">
        <v>3</v>
      </c>
      <c r="AE64">
        <v>249</v>
      </c>
      <c r="AF64">
        <v>600</v>
      </c>
      <c r="AG64" s="705">
        <v>26194</v>
      </c>
      <c r="AH64" s="705">
        <v>23812</v>
      </c>
      <c r="AI64">
        <v>80</v>
      </c>
      <c r="AJ64" s="705">
        <v>2308</v>
      </c>
      <c r="AK64" s="705">
        <v>2099</v>
      </c>
      <c r="AL64" s="705">
        <v>5433</v>
      </c>
      <c r="AM64" s="705">
        <v>2012</v>
      </c>
      <c r="AN64" s="705">
        <v>1418</v>
      </c>
      <c r="AO64">
        <v>525</v>
      </c>
      <c r="AP64" s="705">
        <v>15651</v>
      </c>
      <c r="AQ64" s="705">
        <v>14228</v>
      </c>
      <c r="AR64">
        <v>0</v>
      </c>
      <c r="AS64">
        <v>0</v>
      </c>
      <c r="AT64" s="705">
        <v>42676</v>
      </c>
      <c r="AU64" s="705">
        <f t="shared" si="4"/>
        <v>42676</v>
      </c>
      <c r="AV64" s="705">
        <f t="shared" si="5"/>
        <v>51004</v>
      </c>
    </row>
    <row r="65" spans="2:48" hidden="1">
      <c r="B65" t="s">
        <v>531</v>
      </c>
      <c r="C65" t="s">
        <v>110</v>
      </c>
      <c r="F65" s="705">
        <v>1</v>
      </c>
      <c r="G65" s="705">
        <v>66</v>
      </c>
      <c r="H65" s="705">
        <v>75</v>
      </c>
      <c r="I65" s="705"/>
      <c r="J65" s="705">
        <v>0</v>
      </c>
      <c r="K65" s="705"/>
      <c r="L65" s="705"/>
      <c r="M65" s="705">
        <v>0</v>
      </c>
      <c r="N65" s="705">
        <v>804</v>
      </c>
      <c r="O65">
        <v>298</v>
      </c>
      <c r="P65">
        <v>0</v>
      </c>
      <c r="Q65" s="705">
        <v>0</v>
      </c>
      <c r="R65" s="705"/>
      <c r="S65">
        <v>0</v>
      </c>
      <c r="T65">
        <v>0</v>
      </c>
      <c r="U65" s="705">
        <v>0</v>
      </c>
      <c r="V65">
        <v>298</v>
      </c>
      <c r="W65" s="705">
        <f t="shared" si="0"/>
        <v>298</v>
      </c>
      <c r="X65" s="705">
        <f t="shared" si="1"/>
        <v>804</v>
      </c>
      <c r="Y65" s="705"/>
      <c r="AA65" t="s">
        <v>116</v>
      </c>
      <c r="AB65" t="s">
        <v>582</v>
      </c>
      <c r="AC65" t="s">
        <v>582</v>
      </c>
      <c r="AD65">
        <v>988</v>
      </c>
      <c r="AE65" s="705">
        <v>71511</v>
      </c>
      <c r="AF65" s="705">
        <v>179491</v>
      </c>
      <c r="AG65" s="705">
        <v>6904367</v>
      </c>
      <c r="AH65" s="705">
        <v>6276698</v>
      </c>
      <c r="AI65">
        <v>82</v>
      </c>
      <c r="AJ65" s="705">
        <v>711895</v>
      </c>
      <c r="AK65" s="705">
        <v>531053</v>
      </c>
      <c r="AL65" s="705">
        <v>1420551</v>
      </c>
      <c r="AM65" s="705">
        <v>526130</v>
      </c>
      <c r="AN65" s="705">
        <v>457531</v>
      </c>
      <c r="AO65" s="705">
        <v>169456</v>
      </c>
      <c r="AP65" s="705">
        <v>3248176</v>
      </c>
      <c r="AQ65" s="705">
        <v>2952887</v>
      </c>
      <c r="AR65" s="705">
        <v>216292</v>
      </c>
      <c r="AS65" s="705">
        <v>80108</v>
      </c>
      <c r="AT65" s="705">
        <v>10536332</v>
      </c>
      <c r="AU65" s="705">
        <f t="shared" si="4"/>
        <v>10536332</v>
      </c>
      <c r="AV65" s="705">
        <f t="shared" si="5"/>
        <v>12958812</v>
      </c>
    </row>
    <row r="66" spans="2:48" hidden="1">
      <c r="B66" t="s">
        <v>531</v>
      </c>
      <c r="C66" t="s">
        <v>110</v>
      </c>
      <c r="D66" t="s">
        <v>583</v>
      </c>
      <c r="E66" s="705" t="s">
        <v>583</v>
      </c>
      <c r="F66" s="705">
        <v>1</v>
      </c>
      <c r="G66" s="705">
        <v>51</v>
      </c>
      <c r="H66" s="705">
        <v>99</v>
      </c>
      <c r="I66" s="705">
        <v>602</v>
      </c>
      <c r="J66" s="705">
        <v>547</v>
      </c>
      <c r="K66" s="705">
        <v>95</v>
      </c>
      <c r="L66" s="705">
        <v>106</v>
      </c>
      <c r="M66" s="705">
        <v>96</v>
      </c>
      <c r="N66">
        <v>692</v>
      </c>
      <c r="O66">
        <v>256</v>
      </c>
      <c r="P66">
        <v>621</v>
      </c>
      <c r="Q66" s="705">
        <v>230</v>
      </c>
      <c r="R66" s="705">
        <v>2990</v>
      </c>
      <c r="S66" s="705">
        <v>2718</v>
      </c>
      <c r="T66">
        <v>0</v>
      </c>
      <c r="U66" s="705">
        <v>0</v>
      </c>
      <c r="V66" s="705">
        <v>3847</v>
      </c>
      <c r="W66" s="705">
        <f t="shared" si="0"/>
        <v>3847</v>
      </c>
      <c r="X66" s="705">
        <f t="shared" si="1"/>
        <v>5011</v>
      </c>
      <c r="Y66" s="705"/>
      <c r="AA66" t="s">
        <v>116</v>
      </c>
      <c r="AB66" t="s">
        <v>582</v>
      </c>
      <c r="AC66" t="s">
        <v>228</v>
      </c>
      <c r="AD66">
        <v>10</v>
      </c>
      <c r="AE66">
        <v>919</v>
      </c>
      <c r="AF66" s="705">
        <v>1911</v>
      </c>
      <c r="AG66" s="705">
        <v>85203</v>
      </c>
      <c r="AH66" s="705">
        <v>77458</v>
      </c>
      <c r="AI66">
        <v>81</v>
      </c>
      <c r="AJ66" s="705">
        <v>2994</v>
      </c>
      <c r="AK66" s="705">
        <v>2548</v>
      </c>
      <c r="AL66" s="705">
        <v>21590</v>
      </c>
      <c r="AM66" s="705">
        <v>7996</v>
      </c>
      <c r="AN66" s="705">
        <v>4725</v>
      </c>
      <c r="AO66" s="705">
        <v>1750</v>
      </c>
      <c r="AP66" s="705">
        <v>59694</v>
      </c>
      <c r="AQ66" s="705">
        <v>22109</v>
      </c>
      <c r="AR66">
        <v>0</v>
      </c>
      <c r="AS66">
        <v>0</v>
      </c>
      <c r="AT66" s="705">
        <v>111861</v>
      </c>
      <c r="AU66" s="705">
        <f t="shared" si="4"/>
        <v>111861</v>
      </c>
      <c r="AV66" s="705">
        <f t="shared" si="5"/>
        <v>174206</v>
      </c>
    </row>
    <row r="67" spans="2:48" hidden="1">
      <c r="B67" t="s">
        <v>531</v>
      </c>
      <c r="C67" t="s">
        <v>112</v>
      </c>
      <c r="E67" s="705"/>
      <c r="F67" s="705">
        <v>24</v>
      </c>
      <c r="G67" s="705">
        <v>1594</v>
      </c>
      <c r="H67" s="705">
        <v>2636</v>
      </c>
      <c r="I67" s="705"/>
      <c r="J67" s="705">
        <v>0</v>
      </c>
      <c r="K67" s="705"/>
      <c r="L67" s="705"/>
      <c r="M67" s="705">
        <v>0</v>
      </c>
      <c r="N67" s="705">
        <v>36524</v>
      </c>
      <c r="O67" s="705">
        <v>13527</v>
      </c>
      <c r="P67" s="705">
        <v>7020</v>
      </c>
      <c r="Q67" s="705">
        <v>2600</v>
      </c>
      <c r="R67" s="705"/>
      <c r="S67">
        <v>0</v>
      </c>
      <c r="T67">
        <v>0</v>
      </c>
      <c r="U67" s="705">
        <v>0</v>
      </c>
      <c r="V67" s="705">
        <v>16127</v>
      </c>
      <c r="W67" s="705">
        <f t="shared" si="0"/>
        <v>16127</v>
      </c>
      <c r="X67" s="705">
        <f t="shared" si="1"/>
        <v>43544</v>
      </c>
      <c r="Y67" s="705"/>
      <c r="AA67" t="s">
        <v>116</v>
      </c>
      <c r="AB67" t="s">
        <v>228</v>
      </c>
      <c r="AC67" t="s">
        <v>580</v>
      </c>
      <c r="AD67">
        <v>2</v>
      </c>
      <c r="AE67">
        <v>126</v>
      </c>
      <c r="AF67">
        <v>383</v>
      </c>
      <c r="AG67" s="705">
        <v>8249</v>
      </c>
      <c r="AH67" s="705">
        <v>3055</v>
      </c>
      <c r="AI67">
        <v>100</v>
      </c>
      <c r="AJ67" s="705">
        <v>1495</v>
      </c>
      <c r="AK67">
        <v>554</v>
      </c>
      <c r="AL67" s="705">
        <v>2219</v>
      </c>
      <c r="AM67">
        <v>822</v>
      </c>
      <c r="AN67">
        <v>0</v>
      </c>
      <c r="AO67">
        <v>0</v>
      </c>
      <c r="AP67" s="705">
        <v>12097</v>
      </c>
      <c r="AQ67" s="705">
        <v>4480</v>
      </c>
      <c r="AR67">
        <v>0</v>
      </c>
      <c r="AS67">
        <v>0</v>
      </c>
      <c r="AT67" s="705">
        <v>8911</v>
      </c>
      <c r="AU67" s="705">
        <f t="shared" si="4"/>
        <v>8911</v>
      </c>
      <c r="AV67" s="705">
        <f t="shared" si="5"/>
        <v>24060</v>
      </c>
    </row>
    <row r="68" spans="2:48" hidden="1">
      <c r="B68" t="s">
        <v>531</v>
      </c>
      <c r="C68" t="s">
        <v>112</v>
      </c>
      <c r="D68" s="705" t="s">
        <v>664</v>
      </c>
      <c r="E68" s="705" t="s">
        <v>664</v>
      </c>
      <c r="F68" s="705">
        <v>1</v>
      </c>
      <c r="G68" s="705">
        <v>162</v>
      </c>
      <c r="H68" s="705">
        <v>115</v>
      </c>
      <c r="I68" s="705">
        <v>9947</v>
      </c>
      <c r="J68" s="705">
        <v>9043</v>
      </c>
      <c r="K68" s="705">
        <v>82</v>
      </c>
      <c r="L68" s="705">
        <v>0</v>
      </c>
      <c r="M68" s="705">
        <v>0</v>
      </c>
      <c r="N68" s="705">
        <v>3946</v>
      </c>
      <c r="O68" s="705">
        <v>1461</v>
      </c>
      <c r="P68" s="705">
        <v>473</v>
      </c>
      <c r="Q68" s="705">
        <v>175</v>
      </c>
      <c r="R68" s="705">
        <v>4267</v>
      </c>
      <c r="S68" s="705">
        <v>3879</v>
      </c>
      <c r="T68" s="705">
        <v>0</v>
      </c>
      <c r="U68" s="705">
        <v>0</v>
      </c>
      <c r="V68" s="705">
        <v>14559</v>
      </c>
      <c r="W68" s="705">
        <f t="shared" si="0"/>
        <v>14558</v>
      </c>
      <c r="X68" s="705">
        <f t="shared" si="1"/>
        <v>18633</v>
      </c>
      <c r="Y68" s="705"/>
      <c r="AA68" t="s">
        <v>116</v>
      </c>
      <c r="AB68" t="s">
        <v>228</v>
      </c>
      <c r="AC68" t="s">
        <v>664</v>
      </c>
      <c r="AD68">
        <v>4</v>
      </c>
      <c r="AE68">
        <v>291</v>
      </c>
      <c r="AF68">
        <v>674</v>
      </c>
      <c r="AG68" s="705">
        <v>36243</v>
      </c>
      <c r="AH68" s="705">
        <v>13423</v>
      </c>
      <c r="AI68">
        <v>100</v>
      </c>
      <c r="AJ68">
        <v>0</v>
      </c>
      <c r="AK68">
        <v>0</v>
      </c>
      <c r="AL68" s="705">
        <v>3547</v>
      </c>
      <c r="AM68" s="705">
        <v>1314</v>
      </c>
      <c r="AN68">
        <v>486</v>
      </c>
      <c r="AO68">
        <v>180</v>
      </c>
      <c r="AP68" s="705">
        <v>8785</v>
      </c>
      <c r="AQ68" s="705">
        <v>7986</v>
      </c>
      <c r="AR68">
        <v>0</v>
      </c>
      <c r="AS68">
        <v>0</v>
      </c>
      <c r="AT68" s="705">
        <v>22903</v>
      </c>
      <c r="AU68" s="705">
        <f t="shared" si="4"/>
        <v>22903</v>
      </c>
      <c r="AV68" s="705">
        <f t="shared" si="5"/>
        <v>49061</v>
      </c>
    </row>
    <row r="69" spans="2:48" hidden="1">
      <c r="B69" t="s">
        <v>531</v>
      </c>
      <c r="C69" t="s">
        <v>112</v>
      </c>
      <c r="D69" s="705" t="s">
        <v>583</v>
      </c>
      <c r="E69" s="705" t="s">
        <v>583</v>
      </c>
      <c r="F69" s="705">
        <v>3</v>
      </c>
      <c r="G69" s="705">
        <v>506</v>
      </c>
      <c r="H69" s="705">
        <v>338</v>
      </c>
      <c r="I69" s="705">
        <v>31391</v>
      </c>
      <c r="J69" s="705">
        <v>28537</v>
      </c>
      <c r="K69" s="705">
        <v>96</v>
      </c>
      <c r="L69" s="705">
        <v>5588</v>
      </c>
      <c r="M69" s="705">
        <v>5080</v>
      </c>
      <c r="N69" s="705">
        <v>7742</v>
      </c>
      <c r="O69" s="705">
        <v>2868</v>
      </c>
      <c r="P69" s="705">
        <v>1863</v>
      </c>
      <c r="Q69" s="705">
        <v>690</v>
      </c>
      <c r="R69" s="705">
        <v>12093</v>
      </c>
      <c r="S69" s="705">
        <v>10993</v>
      </c>
      <c r="T69">
        <v>0</v>
      </c>
      <c r="U69" s="705">
        <v>0</v>
      </c>
      <c r="V69" s="705">
        <v>48169</v>
      </c>
      <c r="W69" s="705">
        <f t="shared" si="0"/>
        <v>48168</v>
      </c>
      <c r="X69" s="705">
        <f t="shared" si="1"/>
        <v>58677</v>
      </c>
      <c r="Y69" s="705"/>
      <c r="AA69" t="s">
        <v>116</v>
      </c>
      <c r="AB69" t="s">
        <v>228</v>
      </c>
      <c r="AC69" t="s">
        <v>582</v>
      </c>
      <c r="AD69">
        <v>2</v>
      </c>
      <c r="AE69">
        <v>121</v>
      </c>
      <c r="AF69">
        <v>366</v>
      </c>
      <c r="AG69" s="705">
        <v>13450</v>
      </c>
      <c r="AH69" s="705">
        <v>4982</v>
      </c>
      <c r="AI69">
        <v>100</v>
      </c>
      <c r="AJ69">
        <v>379</v>
      </c>
      <c r="AK69">
        <v>141</v>
      </c>
      <c r="AL69" s="705">
        <v>2151</v>
      </c>
      <c r="AM69">
        <v>797</v>
      </c>
      <c r="AN69">
        <v>0</v>
      </c>
      <c r="AO69">
        <v>0</v>
      </c>
      <c r="AP69" s="705">
        <v>6896</v>
      </c>
      <c r="AQ69" s="705">
        <v>6269</v>
      </c>
      <c r="AR69">
        <v>0</v>
      </c>
      <c r="AS69">
        <v>0</v>
      </c>
      <c r="AT69" s="705">
        <v>12188</v>
      </c>
      <c r="AU69" s="705">
        <f t="shared" si="4"/>
        <v>12189</v>
      </c>
      <c r="AV69" s="705">
        <f t="shared" si="5"/>
        <v>22876</v>
      </c>
    </row>
    <row r="70" spans="2:48" hidden="1">
      <c r="B70" t="s">
        <v>531</v>
      </c>
      <c r="C70" t="s">
        <v>112</v>
      </c>
      <c r="D70" t="s">
        <v>584</v>
      </c>
      <c r="E70" t="s">
        <v>584</v>
      </c>
      <c r="F70" s="705">
        <v>2</v>
      </c>
      <c r="G70" s="705">
        <v>227</v>
      </c>
      <c r="H70" s="705">
        <v>244</v>
      </c>
      <c r="I70" s="705">
        <v>11175</v>
      </c>
      <c r="J70" s="705">
        <v>10159</v>
      </c>
      <c r="K70" s="705">
        <v>80</v>
      </c>
      <c r="L70">
        <v>0</v>
      </c>
      <c r="M70" s="705">
        <v>0</v>
      </c>
      <c r="N70" s="705">
        <v>4098</v>
      </c>
      <c r="O70" s="705">
        <v>1518</v>
      </c>
      <c r="P70" s="705">
        <v>945</v>
      </c>
      <c r="Q70" s="705">
        <v>350</v>
      </c>
      <c r="R70" s="705">
        <v>11710</v>
      </c>
      <c r="S70" s="705">
        <v>10646</v>
      </c>
      <c r="T70">
        <v>0</v>
      </c>
      <c r="U70" s="705">
        <v>0</v>
      </c>
      <c r="V70" s="705">
        <v>22673</v>
      </c>
      <c r="W70" s="705">
        <f t="shared" si="0"/>
        <v>22673</v>
      </c>
      <c r="X70" s="705">
        <f t="shared" si="1"/>
        <v>27928</v>
      </c>
      <c r="Y70" s="705"/>
      <c r="AA70" t="s">
        <v>116</v>
      </c>
      <c r="AB70" t="s">
        <v>228</v>
      </c>
      <c r="AC70" t="s">
        <v>228</v>
      </c>
      <c r="AD70" s="705">
        <v>17313</v>
      </c>
      <c r="AE70" s="705">
        <v>1223989</v>
      </c>
      <c r="AF70" s="705">
        <v>3378473</v>
      </c>
      <c r="AG70" s="705">
        <v>94306726</v>
      </c>
      <c r="AH70" s="705">
        <v>34928417</v>
      </c>
      <c r="AI70">
        <v>103</v>
      </c>
      <c r="AJ70" s="705">
        <v>11702108</v>
      </c>
      <c r="AK70" s="705">
        <v>4768159</v>
      </c>
      <c r="AL70" s="705">
        <v>24259806</v>
      </c>
      <c r="AM70" s="705">
        <v>8985113</v>
      </c>
      <c r="AN70" s="705">
        <v>576387</v>
      </c>
      <c r="AO70" s="705">
        <v>213477</v>
      </c>
      <c r="AP70" s="705">
        <v>107893507</v>
      </c>
      <c r="AQ70" s="705">
        <v>39960558</v>
      </c>
      <c r="AR70" s="705">
        <v>210433</v>
      </c>
      <c r="AS70" s="705">
        <v>77938</v>
      </c>
      <c r="AT70" s="705">
        <v>88933661</v>
      </c>
      <c r="AU70" s="705">
        <f t="shared" si="4"/>
        <v>88933662</v>
      </c>
      <c r="AV70" s="705">
        <f t="shared" si="5"/>
        <v>238948967</v>
      </c>
    </row>
    <row r="71" spans="2:48" hidden="1">
      <c r="B71" t="s">
        <v>531</v>
      </c>
      <c r="C71" t="s">
        <v>114</v>
      </c>
      <c r="D71" s="705"/>
      <c r="E71" s="705"/>
      <c r="F71" s="705">
        <v>32</v>
      </c>
      <c r="G71" s="705">
        <v>1882</v>
      </c>
      <c r="H71" s="705">
        <v>4259</v>
      </c>
      <c r="I71" s="705"/>
      <c r="J71" s="705">
        <v>0</v>
      </c>
      <c r="K71" s="705"/>
      <c r="M71" s="705">
        <v>0</v>
      </c>
      <c r="N71" s="705">
        <v>45424</v>
      </c>
      <c r="O71" s="705">
        <v>16824</v>
      </c>
      <c r="P71" s="705">
        <v>11232</v>
      </c>
      <c r="Q71" s="705">
        <v>4160</v>
      </c>
      <c r="R71" s="705"/>
      <c r="S71">
        <v>0</v>
      </c>
      <c r="T71">
        <v>0</v>
      </c>
      <c r="U71" s="705">
        <v>0</v>
      </c>
      <c r="V71" s="705">
        <v>20984</v>
      </c>
      <c r="W71" s="705">
        <f t="shared" ref="W71:W134" si="6">SUM(ABS(J71),ABS(M71),ABS(O71),ABS(Q71),ABS(S71),ABS(U71))</f>
        <v>20984</v>
      </c>
      <c r="X71" s="705">
        <f t="shared" ref="X71:X134" si="7">SUM(ABS(I71),ABS(N71),ABS(P71),ABS(R71),ABS(T71),ABS(L71))</f>
        <v>56656</v>
      </c>
      <c r="Y71" s="705"/>
      <c r="AA71" t="s">
        <v>116</v>
      </c>
      <c r="AB71" t="s">
        <v>228</v>
      </c>
      <c r="AC71" t="s">
        <v>583</v>
      </c>
      <c r="AD71">
        <v>53</v>
      </c>
      <c r="AE71" s="705">
        <v>4100</v>
      </c>
      <c r="AF71" s="705">
        <v>10116</v>
      </c>
      <c r="AG71" s="705">
        <v>494325</v>
      </c>
      <c r="AH71" s="705">
        <v>183083</v>
      </c>
      <c r="AI71">
        <v>100</v>
      </c>
      <c r="AJ71">
        <v>0</v>
      </c>
      <c r="AK71">
        <v>0</v>
      </c>
      <c r="AL71" s="705">
        <v>98594</v>
      </c>
      <c r="AM71" s="705">
        <v>36516</v>
      </c>
      <c r="AN71">
        <v>0</v>
      </c>
      <c r="AO71">
        <v>0</v>
      </c>
      <c r="AP71" s="705">
        <v>189706</v>
      </c>
      <c r="AQ71" s="705">
        <v>172460</v>
      </c>
      <c r="AR71">
        <v>0</v>
      </c>
      <c r="AS71">
        <v>0</v>
      </c>
      <c r="AT71" s="705">
        <v>392059</v>
      </c>
      <c r="AU71" s="705">
        <f t="shared" ref="AU71:AU102" si="8">SUM(ABS(AH71), ABS(AK71),ABS(AM71),ABS(AO71),ABS(AQ71),ABS(AS71))</f>
        <v>392059</v>
      </c>
      <c r="AV71" s="705">
        <f t="shared" ref="AV71:AV102" si="9">SUM(ABS(AG71),ABS(AJ71),ABS(AL71),ABS(AN71),ABS(AP71),ABS(AR71))</f>
        <v>782625</v>
      </c>
    </row>
    <row r="72" spans="2:48" hidden="1">
      <c r="B72" t="s">
        <v>531</v>
      </c>
      <c r="C72" t="s">
        <v>114</v>
      </c>
      <c r="D72" t="s">
        <v>664</v>
      </c>
      <c r="E72" s="705" t="s">
        <v>664</v>
      </c>
      <c r="F72" s="705">
        <v>1</v>
      </c>
      <c r="G72" s="705">
        <v>147</v>
      </c>
      <c r="H72" s="705">
        <v>129</v>
      </c>
      <c r="I72" s="705">
        <v>11271</v>
      </c>
      <c r="J72" s="705">
        <v>10247</v>
      </c>
      <c r="K72" s="705">
        <v>82</v>
      </c>
      <c r="L72" s="705">
        <v>0</v>
      </c>
      <c r="M72" s="705">
        <v>0</v>
      </c>
      <c r="N72" s="705">
        <v>3228</v>
      </c>
      <c r="O72" s="705">
        <v>1196</v>
      </c>
      <c r="P72" s="705">
        <v>473</v>
      </c>
      <c r="Q72" s="705">
        <v>175</v>
      </c>
      <c r="R72" s="705">
        <v>4016</v>
      </c>
      <c r="S72" s="705">
        <v>3651</v>
      </c>
      <c r="T72" s="705">
        <v>0</v>
      </c>
      <c r="U72" s="705">
        <v>0</v>
      </c>
      <c r="V72" s="705">
        <v>15268</v>
      </c>
      <c r="W72" s="705">
        <f t="shared" si="6"/>
        <v>15269</v>
      </c>
      <c r="X72" s="705">
        <f t="shared" si="7"/>
        <v>18988</v>
      </c>
      <c r="Y72" s="705"/>
      <c r="AA72" t="s">
        <v>116</v>
      </c>
      <c r="AB72" t="s">
        <v>228</v>
      </c>
      <c r="AC72" t="s">
        <v>584</v>
      </c>
      <c r="AD72">
        <v>16</v>
      </c>
      <c r="AE72" s="705">
        <v>1471</v>
      </c>
      <c r="AF72" s="705">
        <v>3175</v>
      </c>
      <c r="AG72" s="705">
        <v>170522</v>
      </c>
      <c r="AH72" s="705">
        <v>63156</v>
      </c>
      <c r="AI72">
        <v>109</v>
      </c>
      <c r="AJ72" s="705">
        <v>18981</v>
      </c>
      <c r="AK72" s="705">
        <v>7626</v>
      </c>
      <c r="AL72" s="705">
        <v>30807</v>
      </c>
      <c r="AM72" s="705">
        <v>11410</v>
      </c>
      <c r="AN72" s="705">
        <v>2404</v>
      </c>
      <c r="AO72">
        <v>890</v>
      </c>
      <c r="AP72" s="705">
        <v>63094</v>
      </c>
      <c r="AQ72" s="705">
        <v>57358</v>
      </c>
      <c r="AR72" s="705">
        <v>3582</v>
      </c>
      <c r="AS72" s="705">
        <v>1327</v>
      </c>
      <c r="AT72" s="705">
        <v>141767</v>
      </c>
      <c r="AU72" s="705">
        <f t="shared" si="8"/>
        <v>141767</v>
      </c>
      <c r="AV72" s="705">
        <f t="shared" si="9"/>
        <v>289390</v>
      </c>
    </row>
    <row r="73" spans="2:48" hidden="1">
      <c r="B73" t="s">
        <v>531</v>
      </c>
      <c r="C73" t="s">
        <v>114</v>
      </c>
      <c r="D73" t="s">
        <v>582</v>
      </c>
      <c r="E73" t="s">
        <v>582</v>
      </c>
      <c r="F73" s="705">
        <v>1</v>
      </c>
      <c r="G73" s="705">
        <v>116</v>
      </c>
      <c r="H73" s="705">
        <v>138</v>
      </c>
      <c r="I73" s="705">
        <v>6220</v>
      </c>
      <c r="J73" s="705">
        <v>5654</v>
      </c>
      <c r="K73" s="705">
        <v>79</v>
      </c>
      <c r="L73" s="705">
        <v>1338</v>
      </c>
      <c r="M73" s="705">
        <v>496</v>
      </c>
      <c r="N73" s="705">
        <v>2819</v>
      </c>
      <c r="O73" s="705">
        <v>1044</v>
      </c>
      <c r="P73" s="705">
        <v>473</v>
      </c>
      <c r="Q73" s="705">
        <v>175</v>
      </c>
      <c r="R73" s="705">
        <v>5164</v>
      </c>
      <c r="S73" s="705">
        <v>4694</v>
      </c>
      <c r="T73">
        <v>0</v>
      </c>
      <c r="U73" s="705">
        <v>0</v>
      </c>
      <c r="V73" s="705">
        <v>12064</v>
      </c>
      <c r="W73" s="705">
        <f t="shared" si="6"/>
        <v>12063</v>
      </c>
      <c r="X73" s="705">
        <f t="shared" si="7"/>
        <v>16014</v>
      </c>
      <c r="Y73" s="705"/>
      <c r="AA73" t="s">
        <v>116</v>
      </c>
      <c r="AB73" t="s">
        <v>228</v>
      </c>
      <c r="AC73" t="s">
        <v>669</v>
      </c>
      <c r="AD73">
        <v>1</v>
      </c>
      <c r="AE73">
        <v>41</v>
      </c>
      <c r="AF73">
        <v>197</v>
      </c>
      <c r="AG73" s="705">
        <v>1800</v>
      </c>
      <c r="AH73">
        <v>667</v>
      </c>
      <c r="AI73">
        <v>356</v>
      </c>
      <c r="AJ73">
        <v>487</v>
      </c>
      <c r="AK73">
        <v>406</v>
      </c>
      <c r="AL73">
        <v>493</v>
      </c>
      <c r="AM73">
        <v>183</v>
      </c>
      <c r="AN73">
        <v>164</v>
      </c>
      <c r="AO73">
        <v>61</v>
      </c>
      <c r="AP73" s="705">
        <v>3554</v>
      </c>
      <c r="AQ73" s="705">
        <v>2962</v>
      </c>
      <c r="AR73" s="705">
        <v>1473</v>
      </c>
      <c r="AS73">
        <v>546</v>
      </c>
      <c r="AT73" s="705">
        <v>4823</v>
      </c>
      <c r="AU73" s="705">
        <f t="shared" si="8"/>
        <v>4825</v>
      </c>
      <c r="AV73" s="705">
        <f t="shared" si="9"/>
        <v>7971</v>
      </c>
    </row>
    <row r="74" spans="2:48" hidden="1">
      <c r="B74" t="s">
        <v>531</v>
      </c>
      <c r="C74" t="s">
        <v>114</v>
      </c>
      <c r="D74" t="s">
        <v>228</v>
      </c>
      <c r="E74" s="705" t="s">
        <v>228</v>
      </c>
      <c r="F74" s="705">
        <v>12</v>
      </c>
      <c r="G74" s="705">
        <v>928</v>
      </c>
      <c r="H74" s="705">
        <v>1703</v>
      </c>
      <c r="I74" s="705">
        <v>42118</v>
      </c>
      <c r="J74" s="705">
        <v>15599</v>
      </c>
      <c r="K74" s="705">
        <v>155</v>
      </c>
      <c r="L74" s="705">
        <v>5343</v>
      </c>
      <c r="M74" s="705">
        <v>2403</v>
      </c>
      <c r="N74" s="705">
        <v>15781</v>
      </c>
      <c r="O74" s="705">
        <v>5845</v>
      </c>
      <c r="P74" s="705">
        <v>1053</v>
      </c>
      <c r="Q74" s="705">
        <v>390</v>
      </c>
      <c r="R74" s="705">
        <v>68028</v>
      </c>
      <c r="S74" s="705">
        <v>25196</v>
      </c>
      <c r="T74">
        <v>0</v>
      </c>
      <c r="U74" s="705">
        <v>0</v>
      </c>
      <c r="V74" s="705">
        <v>49432</v>
      </c>
      <c r="W74" s="705">
        <f t="shared" si="6"/>
        <v>49433</v>
      </c>
      <c r="X74" s="705">
        <f t="shared" si="7"/>
        <v>132323</v>
      </c>
      <c r="Y74" s="705"/>
      <c r="AA74" t="s">
        <v>116</v>
      </c>
      <c r="AB74" t="s">
        <v>228</v>
      </c>
      <c r="AC74" t="s">
        <v>665</v>
      </c>
      <c r="AD74">
        <v>4</v>
      </c>
      <c r="AE74">
        <v>239</v>
      </c>
      <c r="AF74">
        <v>759</v>
      </c>
      <c r="AG74" s="705">
        <v>27476</v>
      </c>
      <c r="AH74" s="705">
        <v>10176</v>
      </c>
      <c r="AI74">
        <v>100</v>
      </c>
      <c r="AJ74" s="705">
        <v>3533</v>
      </c>
      <c r="AK74" s="705">
        <v>1309</v>
      </c>
      <c r="AL74" s="705">
        <v>5360</v>
      </c>
      <c r="AM74" s="705">
        <v>1985</v>
      </c>
      <c r="AN74">
        <v>0</v>
      </c>
      <c r="AO74">
        <v>0</v>
      </c>
      <c r="AP74" s="705">
        <v>9068</v>
      </c>
      <c r="AQ74" s="705">
        <v>8244</v>
      </c>
      <c r="AR74">
        <v>0</v>
      </c>
      <c r="AS74">
        <v>0</v>
      </c>
      <c r="AT74" s="705">
        <v>21714</v>
      </c>
      <c r="AU74" s="705">
        <f t="shared" si="8"/>
        <v>21714</v>
      </c>
      <c r="AV74" s="705">
        <f t="shared" si="9"/>
        <v>45437</v>
      </c>
    </row>
    <row r="75" spans="2:48" hidden="1">
      <c r="B75" t="s">
        <v>531</v>
      </c>
      <c r="C75" t="s">
        <v>114</v>
      </c>
      <c r="D75" t="s">
        <v>583</v>
      </c>
      <c r="E75" t="s">
        <v>583</v>
      </c>
      <c r="F75" s="705">
        <v>10</v>
      </c>
      <c r="G75" s="705">
        <v>675</v>
      </c>
      <c r="H75" s="705">
        <v>1374</v>
      </c>
      <c r="I75" s="705">
        <v>34142</v>
      </c>
      <c r="J75" s="705">
        <v>31039</v>
      </c>
      <c r="K75" s="705">
        <v>93</v>
      </c>
      <c r="L75" s="705">
        <v>6126</v>
      </c>
      <c r="M75" s="705">
        <v>5569</v>
      </c>
      <c r="N75" s="705">
        <v>9763</v>
      </c>
      <c r="O75" s="705">
        <v>3616</v>
      </c>
      <c r="P75" s="705">
        <v>6210</v>
      </c>
      <c r="Q75" s="705">
        <v>2300</v>
      </c>
      <c r="R75" s="705">
        <v>35822</v>
      </c>
      <c r="S75" s="705">
        <v>32566</v>
      </c>
      <c r="T75" s="705">
        <v>0</v>
      </c>
      <c r="U75" s="705">
        <v>0</v>
      </c>
      <c r="V75" s="705">
        <v>75089</v>
      </c>
      <c r="W75" s="705">
        <f t="shared" si="6"/>
        <v>75090</v>
      </c>
      <c r="X75" s="705">
        <f t="shared" si="7"/>
        <v>92063</v>
      </c>
      <c r="Y75" s="705"/>
      <c r="AA75" t="s">
        <v>116</v>
      </c>
      <c r="AB75" t="s">
        <v>670</v>
      </c>
      <c r="AC75" t="s">
        <v>228</v>
      </c>
      <c r="AD75">
        <v>1</v>
      </c>
      <c r="AE75">
        <v>62</v>
      </c>
      <c r="AF75">
        <v>207</v>
      </c>
      <c r="AG75" s="705">
        <v>5372</v>
      </c>
      <c r="AH75" s="705">
        <v>1990</v>
      </c>
      <c r="AI75">
        <v>100</v>
      </c>
      <c r="AJ75">
        <v>948</v>
      </c>
      <c r="AK75">
        <v>351</v>
      </c>
      <c r="AL75">
        <v>863</v>
      </c>
      <c r="AM75">
        <v>319</v>
      </c>
      <c r="AN75">
        <v>0</v>
      </c>
      <c r="AO75">
        <v>0</v>
      </c>
      <c r="AP75" s="705">
        <v>5681</v>
      </c>
      <c r="AQ75" s="705">
        <v>2104</v>
      </c>
      <c r="AR75">
        <v>0</v>
      </c>
      <c r="AS75">
        <v>0</v>
      </c>
      <c r="AT75" s="705">
        <v>4764</v>
      </c>
      <c r="AU75" s="705">
        <f t="shared" si="8"/>
        <v>4764</v>
      </c>
      <c r="AV75" s="705">
        <f t="shared" si="9"/>
        <v>12864</v>
      </c>
    </row>
    <row r="76" spans="2:48" hidden="1">
      <c r="B76" t="s">
        <v>531</v>
      </c>
      <c r="C76" t="s">
        <v>114</v>
      </c>
      <c r="D76" t="s">
        <v>584</v>
      </c>
      <c r="E76" t="s">
        <v>584</v>
      </c>
      <c r="F76" s="705">
        <v>7</v>
      </c>
      <c r="G76" s="705">
        <v>554</v>
      </c>
      <c r="H76" s="705">
        <v>984</v>
      </c>
      <c r="I76" s="705">
        <v>29516</v>
      </c>
      <c r="J76" s="705">
        <v>26833</v>
      </c>
      <c r="K76" s="705">
        <v>80</v>
      </c>
      <c r="L76" s="705">
        <v>0</v>
      </c>
      <c r="M76" s="705">
        <v>0</v>
      </c>
      <c r="N76" s="705">
        <v>11038</v>
      </c>
      <c r="O76" s="705">
        <v>4088</v>
      </c>
      <c r="P76" s="705">
        <v>3308</v>
      </c>
      <c r="Q76" s="705">
        <v>1225</v>
      </c>
      <c r="R76" s="705">
        <v>31666</v>
      </c>
      <c r="S76" s="705">
        <v>28787</v>
      </c>
      <c r="T76" s="705">
        <v>2169</v>
      </c>
      <c r="U76" s="705">
        <v>803</v>
      </c>
      <c r="V76" s="705">
        <v>61736</v>
      </c>
      <c r="W76" s="705">
        <f t="shared" si="6"/>
        <v>61736</v>
      </c>
      <c r="X76" s="705">
        <f t="shared" si="7"/>
        <v>77697</v>
      </c>
      <c r="Y76" s="705"/>
      <c r="AA76" t="s">
        <v>116</v>
      </c>
      <c r="AB76" t="s">
        <v>583</v>
      </c>
      <c r="AC76" t="s">
        <v>228</v>
      </c>
      <c r="AD76">
        <v>24</v>
      </c>
      <c r="AE76" s="705">
        <v>1533</v>
      </c>
      <c r="AF76" s="705">
        <v>4803</v>
      </c>
      <c r="AG76" s="705">
        <v>133463</v>
      </c>
      <c r="AH76" s="705">
        <v>121330</v>
      </c>
      <c r="AI76">
        <v>85</v>
      </c>
      <c r="AJ76" s="705">
        <v>6128</v>
      </c>
      <c r="AK76" s="705">
        <v>3669</v>
      </c>
      <c r="AL76" s="705">
        <v>27445</v>
      </c>
      <c r="AM76" s="705">
        <v>10165</v>
      </c>
      <c r="AN76" s="705">
        <v>14283</v>
      </c>
      <c r="AO76" s="705">
        <v>5290</v>
      </c>
      <c r="AP76" s="705">
        <v>124018</v>
      </c>
      <c r="AQ76" s="705">
        <v>45933</v>
      </c>
      <c r="AR76">
        <v>0</v>
      </c>
      <c r="AS76">
        <v>0</v>
      </c>
      <c r="AT76" s="705">
        <v>186386</v>
      </c>
      <c r="AU76" s="705">
        <f t="shared" si="8"/>
        <v>186387</v>
      </c>
      <c r="AV76" s="705">
        <f t="shared" si="9"/>
        <v>305337</v>
      </c>
    </row>
    <row r="77" spans="2:48" hidden="1">
      <c r="B77" t="s">
        <v>531</v>
      </c>
      <c r="C77" t="s">
        <v>116</v>
      </c>
      <c r="E77" s="705"/>
      <c r="F77" s="705">
        <v>8</v>
      </c>
      <c r="G77" s="705">
        <v>357</v>
      </c>
      <c r="H77" s="705">
        <v>1276</v>
      </c>
      <c r="I77" s="705"/>
      <c r="J77" s="705">
        <v>0</v>
      </c>
      <c r="K77" s="705"/>
      <c r="M77" s="705">
        <v>0</v>
      </c>
      <c r="N77" s="705">
        <v>8690</v>
      </c>
      <c r="O77" s="705">
        <v>3219</v>
      </c>
      <c r="P77" s="705">
        <v>2808</v>
      </c>
      <c r="Q77" s="705">
        <v>1040</v>
      </c>
      <c r="R77" s="705"/>
      <c r="S77">
        <v>0</v>
      </c>
      <c r="T77">
        <v>0</v>
      </c>
      <c r="U77" s="705">
        <v>0</v>
      </c>
      <c r="V77" s="705">
        <v>4259</v>
      </c>
      <c r="W77" s="705">
        <f t="shared" si="6"/>
        <v>4259</v>
      </c>
      <c r="X77" s="705">
        <f t="shared" si="7"/>
        <v>11498</v>
      </c>
      <c r="Y77" s="705"/>
      <c r="AA77" t="s">
        <v>116</v>
      </c>
      <c r="AB77" t="s">
        <v>583</v>
      </c>
      <c r="AC77" t="s">
        <v>583</v>
      </c>
      <c r="AD77" s="705">
        <v>1449</v>
      </c>
      <c r="AE77" s="705">
        <v>166170</v>
      </c>
      <c r="AF77" s="705">
        <v>276912</v>
      </c>
      <c r="AG77" s="705">
        <v>16891450</v>
      </c>
      <c r="AH77" s="705">
        <v>15355864</v>
      </c>
      <c r="AI77">
        <v>86</v>
      </c>
      <c r="AJ77" s="705">
        <v>3436381</v>
      </c>
      <c r="AK77" s="705">
        <v>2963771</v>
      </c>
      <c r="AL77" s="705">
        <v>3322897</v>
      </c>
      <c r="AM77" s="705">
        <v>1230703</v>
      </c>
      <c r="AN77" s="705">
        <v>941319</v>
      </c>
      <c r="AO77" s="705">
        <v>348637</v>
      </c>
      <c r="AP77" s="705">
        <v>6550871</v>
      </c>
      <c r="AQ77" s="705">
        <v>5955337</v>
      </c>
      <c r="AR77" s="705">
        <v>1398517</v>
      </c>
      <c r="AS77" s="705">
        <v>517969</v>
      </c>
      <c r="AT77" s="705">
        <v>26372281</v>
      </c>
      <c r="AU77" s="705">
        <f t="shared" si="8"/>
        <v>26372281</v>
      </c>
      <c r="AV77" s="705">
        <f t="shared" si="9"/>
        <v>32541435</v>
      </c>
    </row>
    <row r="78" spans="2:48" hidden="1">
      <c r="B78" t="s">
        <v>531</v>
      </c>
      <c r="C78" t="s">
        <v>116</v>
      </c>
      <c r="D78" t="s">
        <v>664</v>
      </c>
      <c r="E78" t="s">
        <v>664</v>
      </c>
      <c r="F78" s="705">
        <v>3</v>
      </c>
      <c r="G78" s="705">
        <v>206</v>
      </c>
      <c r="H78" s="705">
        <v>618</v>
      </c>
      <c r="I78" s="705">
        <v>28725</v>
      </c>
      <c r="J78" s="705">
        <v>26114</v>
      </c>
      <c r="K78" s="705">
        <v>84</v>
      </c>
      <c r="L78">
        <v>0</v>
      </c>
      <c r="M78" s="705">
        <v>560</v>
      </c>
      <c r="N78" s="705">
        <v>4469</v>
      </c>
      <c r="O78" s="705">
        <v>1655</v>
      </c>
      <c r="P78" s="705">
        <v>1418</v>
      </c>
      <c r="Q78">
        <v>525</v>
      </c>
      <c r="R78" s="705">
        <v>7098</v>
      </c>
      <c r="S78" s="705">
        <v>6452</v>
      </c>
      <c r="T78">
        <v>0</v>
      </c>
      <c r="U78" s="705">
        <v>0</v>
      </c>
      <c r="V78" s="705">
        <v>35306</v>
      </c>
      <c r="W78" s="705">
        <f t="shared" si="6"/>
        <v>35306</v>
      </c>
      <c r="X78" s="705">
        <f t="shared" si="7"/>
        <v>41710</v>
      </c>
      <c r="Y78" s="705"/>
      <c r="AA78" t="s">
        <v>116</v>
      </c>
      <c r="AB78" t="s">
        <v>583</v>
      </c>
      <c r="AC78" t="s">
        <v>666</v>
      </c>
      <c r="AD78">
        <v>1</v>
      </c>
      <c r="AE78">
        <v>155</v>
      </c>
      <c r="AF78">
        <v>221</v>
      </c>
      <c r="AG78" s="705">
        <v>26450</v>
      </c>
      <c r="AH78" s="705">
        <v>24046</v>
      </c>
      <c r="AI78">
        <v>70</v>
      </c>
      <c r="AJ78" s="705">
        <v>6515</v>
      </c>
      <c r="AK78" s="705">
        <v>5922</v>
      </c>
      <c r="AL78" s="705">
        <v>4813</v>
      </c>
      <c r="AM78" s="705">
        <v>1782</v>
      </c>
      <c r="AN78">
        <v>351</v>
      </c>
      <c r="AO78">
        <v>130</v>
      </c>
      <c r="AP78" s="705">
        <v>8765</v>
      </c>
      <c r="AQ78" s="705">
        <v>7968</v>
      </c>
      <c r="AR78">
        <v>0</v>
      </c>
      <c r="AS78">
        <v>0</v>
      </c>
      <c r="AT78" s="705">
        <v>39848</v>
      </c>
      <c r="AU78" s="705">
        <f t="shared" si="8"/>
        <v>39848</v>
      </c>
      <c r="AV78" s="705">
        <f t="shared" si="9"/>
        <v>46894</v>
      </c>
    </row>
    <row r="79" spans="2:48" hidden="1">
      <c r="B79" t="s">
        <v>531</v>
      </c>
      <c r="C79" t="s">
        <v>116</v>
      </c>
      <c r="D79" t="s">
        <v>582</v>
      </c>
      <c r="E79" t="s">
        <v>582</v>
      </c>
      <c r="F79" s="705">
        <v>29</v>
      </c>
      <c r="G79" s="705">
        <v>2150</v>
      </c>
      <c r="H79" s="705">
        <v>5351</v>
      </c>
      <c r="I79" s="705">
        <v>206125</v>
      </c>
      <c r="J79" s="705">
        <v>187386</v>
      </c>
      <c r="K79" s="705">
        <v>80</v>
      </c>
      <c r="L79" s="705">
        <v>4219</v>
      </c>
      <c r="M79" s="705">
        <v>3075</v>
      </c>
      <c r="N79" s="705">
        <v>50968</v>
      </c>
      <c r="O79" s="705">
        <v>18877</v>
      </c>
      <c r="P79" s="705">
        <v>12609</v>
      </c>
      <c r="Q79" s="705">
        <v>4670</v>
      </c>
      <c r="R79" s="705">
        <v>118877</v>
      </c>
      <c r="S79" s="705">
        <v>108070</v>
      </c>
      <c r="T79" s="705">
        <v>2071</v>
      </c>
      <c r="U79" s="705">
        <v>767</v>
      </c>
      <c r="V79" s="705">
        <v>322846</v>
      </c>
      <c r="W79" s="705">
        <f t="shared" si="6"/>
        <v>322845</v>
      </c>
      <c r="X79" s="705">
        <f t="shared" si="7"/>
        <v>394869</v>
      </c>
      <c r="Y79" s="705"/>
      <c r="AA79" t="s">
        <v>116</v>
      </c>
      <c r="AB79" t="s">
        <v>583</v>
      </c>
      <c r="AC79" t="s">
        <v>584</v>
      </c>
      <c r="AD79">
        <v>1</v>
      </c>
      <c r="AE79">
        <v>116</v>
      </c>
      <c r="AF79">
        <v>207</v>
      </c>
      <c r="AG79" s="705">
        <v>10659</v>
      </c>
      <c r="AH79" s="705">
        <v>9690</v>
      </c>
      <c r="AI79">
        <v>86</v>
      </c>
      <c r="AJ79" s="705">
        <v>3206</v>
      </c>
      <c r="AK79" s="705">
        <v>2914</v>
      </c>
      <c r="AL79" s="705">
        <v>2535</v>
      </c>
      <c r="AM79">
        <v>939</v>
      </c>
      <c r="AN79">
        <v>621</v>
      </c>
      <c r="AO79">
        <v>230</v>
      </c>
      <c r="AP79" s="705">
        <v>4049</v>
      </c>
      <c r="AQ79" s="705">
        <v>3681</v>
      </c>
      <c r="AR79" s="705">
        <v>2889</v>
      </c>
      <c r="AS79" s="705">
        <v>1070</v>
      </c>
      <c r="AT79" s="705">
        <v>18525</v>
      </c>
      <c r="AU79" s="705">
        <f t="shared" si="8"/>
        <v>18524</v>
      </c>
      <c r="AV79" s="705">
        <f t="shared" si="9"/>
        <v>23959</v>
      </c>
    </row>
    <row r="80" spans="2:48" hidden="1">
      <c r="B80" t="s">
        <v>531</v>
      </c>
      <c r="C80" t="s">
        <v>116</v>
      </c>
      <c r="D80" t="s">
        <v>228</v>
      </c>
      <c r="E80" s="705" t="s">
        <v>228</v>
      </c>
      <c r="F80" s="705">
        <v>132</v>
      </c>
      <c r="G80" s="705">
        <v>9644</v>
      </c>
      <c r="H80" s="705">
        <v>26377</v>
      </c>
      <c r="I80" s="705">
        <v>804114</v>
      </c>
      <c r="J80" s="705">
        <v>297820</v>
      </c>
      <c r="K80" s="705">
        <v>100</v>
      </c>
      <c r="L80" s="705">
        <v>106976</v>
      </c>
      <c r="M80" s="705">
        <v>40549</v>
      </c>
      <c r="N80" s="705">
        <v>180068</v>
      </c>
      <c r="O80" s="705">
        <v>66692</v>
      </c>
      <c r="P80" s="705">
        <v>8775</v>
      </c>
      <c r="Q80" s="705">
        <v>3250</v>
      </c>
      <c r="R80" s="705">
        <v>827338</v>
      </c>
      <c r="S80" s="705">
        <v>306422</v>
      </c>
      <c r="T80" s="705">
        <v>0</v>
      </c>
      <c r="U80" s="705">
        <v>0</v>
      </c>
      <c r="V80" s="705">
        <v>714732</v>
      </c>
      <c r="W80" s="705">
        <f t="shared" si="6"/>
        <v>714733</v>
      </c>
      <c r="X80" s="705">
        <f t="shared" si="7"/>
        <v>1927271</v>
      </c>
      <c r="Y80" s="705"/>
      <c r="AA80" t="s">
        <v>116</v>
      </c>
      <c r="AB80" t="s">
        <v>583</v>
      </c>
      <c r="AC80" t="s">
        <v>669</v>
      </c>
      <c r="AD80">
        <v>1</v>
      </c>
      <c r="AE80">
        <v>94</v>
      </c>
      <c r="AF80">
        <v>159</v>
      </c>
      <c r="AG80" s="705">
        <v>7480</v>
      </c>
      <c r="AH80" s="705">
        <v>6800</v>
      </c>
      <c r="AI80">
        <v>85</v>
      </c>
      <c r="AJ80" s="705">
        <v>1032</v>
      </c>
      <c r="AK80">
        <v>938</v>
      </c>
      <c r="AL80" s="705">
        <v>1150</v>
      </c>
      <c r="AM80">
        <v>426</v>
      </c>
      <c r="AN80">
        <v>621</v>
      </c>
      <c r="AO80">
        <v>230</v>
      </c>
      <c r="AP80" s="705">
        <v>4687</v>
      </c>
      <c r="AQ80" s="705">
        <v>3906</v>
      </c>
      <c r="AR80">
        <v>0</v>
      </c>
      <c r="AS80">
        <v>0</v>
      </c>
      <c r="AT80" s="705">
        <v>12299</v>
      </c>
      <c r="AU80" s="705">
        <f t="shared" si="8"/>
        <v>12300</v>
      </c>
      <c r="AV80" s="705">
        <f t="shared" si="9"/>
        <v>14970</v>
      </c>
    </row>
    <row r="81" spans="2:48" hidden="1">
      <c r="B81" t="s">
        <v>531</v>
      </c>
      <c r="C81" t="s">
        <v>116</v>
      </c>
      <c r="D81" s="705" t="s">
        <v>583</v>
      </c>
      <c r="E81" s="705" t="s">
        <v>583</v>
      </c>
      <c r="F81" s="705">
        <v>44</v>
      </c>
      <c r="G81" s="705">
        <v>4510</v>
      </c>
      <c r="H81" s="705">
        <v>8013</v>
      </c>
      <c r="I81" s="705">
        <v>434559</v>
      </c>
      <c r="J81" s="705">
        <v>395054</v>
      </c>
      <c r="K81" s="705">
        <v>89</v>
      </c>
      <c r="L81" s="705">
        <v>88663</v>
      </c>
      <c r="M81" s="705">
        <v>78621</v>
      </c>
      <c r="N81" s="705">
        <v>85964</v>
      </c>
      <c r="O81" s="705">
        <v>31838</v>
      </c>
      <c r="P81" s="705">
        <v>28026</v>
      </c>
      <c r="Q81" s="705">
        <v>10380</v>
      </c>
      <c r="R81" s="705">
        <v>186520</v>
      </c>
      <c r="S81" s="705">
        <v>169563</v>
      </c>
      <c r="T81" s="705">
        <v>22900</v>
      </c>
      <c r="U81" s="705">
        <v>8481</v>
      </c>
      <c r="V81" s="705">
        <v>693938</v>
      </c>
      <c r="W81" s="705">
        <f t="shared" si="6"/>
        <v>693937</v>
      </c>
      <c r="X81" s="705">
        <f t="shared" si="7"/>
        <v>846632</v>
      </c>
      <c r="Y81" s="705"/>
      <c r="AA81" t="s">
        <v>116</v>
      </c>
      <c r="AB81" t="s">
        <v>583</v>
      </c>
      <c r="AC81" t="s">
        <v>665</v>
      </c>
      <c r="AD81">
        <v>1</v>
      </c>
      <c r="AE81">
        <v>259</v>
      </c>
      <c r="AF81">
        <v>215</v>
      </c>
      <c r="AG81" s="705">
        <v>30710</v>
      </c>
      <c r="AH81" s="705">
        <v>27918</v>
      </c>
      <c r="AI81">
        <v>86</v>
      </c>
      <c r="AJ81" s="705">
        <v>5555</v>
      </c>
      <c r="AK81" s="705">
        <v>5050</v>
      </c>
      <c r="AL81" s="705">
        <v>6323</v>
      </c>
      <c r="AM81" s="705">
        <v>2342</v>
      </c>
      <c r="AN81">
        <v>621</v>
      </c>
      <c r="AO81">
        <v>230</v>
      </c>
      <c r="AP81" s="705">
        <v>8388</v>
      </c>
      <c r="AQ81" s="705">
        <v>7626</v>
      </c>
      <c r="AR81" s="705">
        <v>4273</v>
      </c>
      <c r="AS81" s="705">
        <v>1583</v>
      </c>
      <c r="AT81" s="705">
        <v>44749</v>
      </c>
      <c r="AU81" s="705">
        <f t="shared" si="8"/>
        <v>44749</v>
      </c>
      <c r="AV81" s="705">
        <f t="shared" si="9"/>
        <v>55870</v>
      </c>
    </row>
    <row r="82" spans="2:48" hidden="1">
      <c r="B82" t="s">
        <v>531</v>
      </c>
      <c r="C82" t="s">
        <v>116</v>
      </c>
      <c r="D82" t="s">
        <v>584</v>
      </c>
      <c r="E82" s="705" t="s">
        <v>584</v>
      </c>
      <c r="F82" s="705">
        <v>44</v>
      </c>
      <c r="G82" s="705">
        <v>3076</v>
      </c>
      <c r="H82" s="705">
        <v>8290</v>
      </c>
      <c r="I82" s="705">
        <v>273092</v>
      </c>
      <c r="J82" s="705">
        <v>248265</v>
      </c>
      <c r="K82" s="705">
        <v>79</v>
      </c>
      <c r="L82" s="705">
        <v>13491</v>
      </c>
      <c r="M82" s="705">
        <v>10425</v>
      </c>
      <c r="N82" s="705">
        <v>65488</v>
      </c>
      <c r="O82" s="705">
        <v>24255</v>
      </c>
      <c r="P82" s="705">
        <v>20790</v>
      </c>
      <c r="Q82" s="705">
        <v>7700</v>
      </c>
      <c r="R82" s="705">
        <v>183910</v>
      </c>
      <c r="S82" s="705">
        <v>167191</v>
      </c>
      <c r="T82" s="705">
        <v>20069</v>
      </c>
      <c r="U82" s="705">
        <v>7433</v>
      </c>
      <c r="V82" s="705">
        <v>465269</v>
      </c>
      <c r="W82" s="705">
        <f t="shared" si="6"/>
        <v>465269</v>
      </c>
      <c r="X82" s="705">
        <f t="shared" si="7"/>
        <v>576840</v>
      </c>
      <c r="Y82" s="705"/>
      <c r="AA82" t="s">
        <v>116</v>
      </c>
      <c r="AB82" t="s">
        <v>584</v>
      </c>
      <c r="AC82" t="s">
        <v>664</v>
      </c>
      <c r="AD82">
        <v>1</v>
      </c>
      <c r="AE82">
        <v>64</v>
      </c>
      <c r="AF82">
        <v>183</v>
      </c>
      <c r="AG82" s="705">
        <v>6441</v>
      </c>
      <c r="AH82" s="705">
        <v>5856</v>
      </c>
      <c r="AI82">
        <v>91</v>
      </c>
      <c r="AJ82">
        <v>0</v>
      </c>
      <c r="AK82">
        <v>0</v>
      </c>
      <c r="AL82" s="705">
        <v>1553</v>
      </c>
      <c r="AM82">
        <v>575</v>
      </c>
      <c r="AN82">
        <v>473</v>
      </c>
      <c r="AO82">
        <v>175</v>
      </c>
      <c r="AP82" s="705">
        <v>3188</v>
      </c>
      <c r="AQ82" s="705">
        <v>2898</v>
      </c>
      <c r="AR82">
        <v>0</v>
      </c>
      <c r="AS82">
        <v>0</v>
      </c>
      <c r="AT82" s="705">
        <v>9504</v>
      </c>
      <c r="AU82" s="705">
        <f t="shared" si="8"/>
        <v>9504</v>
      </c>
      <c r="AV82" s="705">
        <f t="shared" si="9"/>
        <v>11655</v>
      </c>
    </row>
    <row r="83" spans="2:48" hidden="1">
      <c r="B83" t="s">
        <v>531</v>
      </c>
      <c r="C83" t="s">
        <v>116</v>
      </c>
      <c r="D83" t="s">
        <v>585</v>
      </c>
      <c r="E83" t="s">
        <v>228</v>
      </c>
      <c r="F83" s="705">
        <v>1</v>
      </c>
      <c r="G83" s="705">
        <v>85</v>
      </c>
      <c r="H83" s="705">
        <v>192</v>
      </c>
      <c r="I83" s="705">
        <v>6949</v>
      </c>
      <c r="J83" s="705">
        <v>6317</v>
      </c>
      <c r="K83" s="705">
        <v>65</v>
      </c>
      <c r="L83" s="705">
        <v>0</v>
      </c>
      <c r="M83" s="705">
        <v>0</v>
      </c>
      <c r="N83" s="705">
        <v>1414</v>
      </c>
      <c r="O83" s="705">
        <v>524</v>
      </c>
      <c r="P83">
        <v>351</v>
      </c>
      <c r="Q83" s="705">
        <v>130</v>
      </c>
      <c r="R83" s="705">
        <v>7536</v>
      </c>
      <c r="S83" s="705">
        <v>2791</v>
      </c>
      <c r="T83">
        <v>0</v>
      </c>
      <c r="U83" s="705">
        <v>0</v>
      </c>
      <c r="V83" s="705">
        <v>9762</v>
      </c>
      <c r="W83" s="705">
        <f t="shared" si="6"/>
        <v>9762</v>
      </c>
      <c r="X83" s="705">
        <f t="shared" si="7"/>
        <v>16250</v>
      </c>
      <c r="Y83" s="705"/>
      <c r="AA83" t="s">
        <v>116</v>
      </c>
      <c r="AB83" t="s">
        <v>584</v>
      </c>
      <c r="AC83" t="s">
        <v>582</v>
      </c>
      <c r="AD83">
        <v>7</v>
      </c>
      <c r="AE83">
        <v>498</v>
      </c>
      <c r="AF83" s="705">
        <v>1196</v>
      </c>
      <c r="AG83" s="705">
        <v>36280</v>
      </c>
      <c r="AH83" s="705">
        <v>32982</v>
      </c>
      <c r="AI83">
        <v>84</v>
      </c>
      <c r="AJ83" s="705">
        <v>5984</v>
      </c>
      <c r="AK83" s="705">
        <v>4701</v>
      </c>
      <c r="AL83" s="705">
        <v>11061</v>
      </c>
      <c r="AM83" s="705">
        <v>4097</v>
      </c>
      <c r="AN83" s="705">
        <v>3308</v>
      </c>
      <c r="AO83" s="705">
        <v>1225</v>
      </c>
      <c r="AP83" s="705">
        <v>22835</v>
      </c>
      <c r="AQ83" s="705">
        <v>20759</v>
      </c>
      <c r="AR83" s="705">
        <v>6622</v>
      </c>
      <c r="AS83" s="705">
        <v>2453</v>
      </c>
      <c r="AT83" s="705">
        <v>66216</v>
      </c>
      <c r="AU83" s="705">
        <f t="shared" si="8"/>
        <v>66217</v>
      </c>
      <c r="AV83" s="705">
        <f t="shared" si="9"/>
        <v>86090</v>
      </c>
    </row>
    <row r="84" spans="2:48" hidden="1">
      <c r="B84" t="s">
        <v>531</v>
      </c>
      <c r="C84" t="s">
        <v>118</v>
      </c>
      <c r="D84" s="705" t="s">
        <v>664</v>
      </c>
      <c r="E84" s="705" t="s">
        <v>664</v>
      </c>
      <c r="F84" s="705">
        <v>1</v>
      </c>
      <c r="G84" s="705">
        <v>65</v>
      </c>
      <c r="H84" s="705">
        <v>293</v>
      </c>
      <c r="I84" s="705">
        <v>15957</v>
      </c>
      <c r="J84" s="705">
        <v>14506</v>
      </c>
      <c r="K84" s="705">
        <v>91</v>
      </c>
      <c r="L84" s="705">
        <v>0</v>
      </c>
      <c r="M84" s="705">
        <v>1394</v>
      </c>
      <c r="N84" s="705">
        <v>794</v>
      </c>
      <c r="O84">
        <v>294</v>
      </c>
      <c r="P84">
        <v>473</v>
      </c>
      <c r="Q84" s="705">
        <v>175</v>
      </c>
      <c r="R84" s="705">
        <v>1840</v>
      </c>
      <c r="S84" s="705">
        <v>1672</v>
      </c>
      <c r="T84">
        <v>0</v>
      </c>
      <c r="U84" s="705">
        <v>0</v>
      </c>
      <c r="V84" s="705">
        <v>18042</v>
      </c>
      <c r="W84" s="705">
        <f t="shared" si="6"/>
        <v>18041</v>
      </c>
      <c r="X84" s="705">
        <f t="shared" si="7"/>
        <v>19064</v>
      </c>
      <c r="Y84" s="705"/>
      <c r="AA84" t="s">
        <v>116</v>
      </c>
      <c r="AB84" t="s">
        <v>584</v>
      </c>
      <c r="AC84" t="s">
        <v>228</v>
      </c>
      <c r="AD84">
        <v>128</v>
      </c>
      <c r="AE84" s="705">
        <v>8099</v>
      </c>
      <c r="AF84" s="705">
        <v>24955</v>
      </c>
      <c r="AG84" s="705">
        <v>544040</v>
      </c>
      <c r="AH84" s="705">
        <v>494582</v>
      </c>
      <c r="AI84">
        <v>81</v>
      </c>
      <c r="AJ84" s="705">
        <v>20347</v>
      </c>
      <c r="AK84" s="705">
        <v>14163</v>
      </c>
      <c r="AL84" s="705">
        <v>162796</v>
      </c>
      <c r="AM84" s="705">
        <v>60295</v>
      </c>
      <c r="AN84" s="705">
        <v>58577</v>
      </c>
      <c r="AO84" s="705">
        <v>21695</v>
      </c>
      <c r="AP84" s="705">
        <v>797863</v>
      </c>
      <c r="AQ84" s="705">
        <v>295505</v>
      </c>
      <c r="AR84">
        <v>0</v>
      </c>
      <c r="AS84">
        <v>0</v>
      </c>
      <c r="AT84" s="705">
        <v>886239</v>
      </c>
      <c r="AU84" s="705">
        <f t="shared" si="8"/>
        <v>886240</v>
      </c>
      <c r="AV84" s="705">
        <f t="shared" si="9"/>
        <v>1583623</v>
      </c>
    </row>
    <row r="85" spans="2:48" hidden="1">
      <c r="B85" t="s">
        <v>531</v>
      </c>
      <c r="C85" t="s">
        <v>118</v>
      </c>
      <c r="D85" t="s">
        <v>582</v>
      </c>
      <c r="E85" s="705" t="s">
        <v>582</v>
      </c>
      <c r="F85" s="705">
        <v>5</v>
      </c>
      <c r="G85" s="705">
        <v>365</v>
      </c>
      <c r="H85" s="705">
        <v>1229</v>
      </c>
      <c r="I85" s="705">
        <v>51997</v>
      </c>
      <c r="J85" s="705">
        <v>47270</v>
      </c>
      <c r="K85" s="705">
        <v>79</v>
      </c>
      <c r="L85" s="705">
        <v>3456</v>
      </c>
      <c r="M85" s="705">
        <v>3142</v>
      </c>
      <c r="N85" s="705">
        <v>8478</v>
      </c>
      <c r="O85" s="705">
        <v>3140</v>
      </c>
      <c r="P85" s="705">
        <v>1877</v>
      </c>
      <c r="Q85" s="705">
        <v>695</v>
      </c>
      <c r="R85" s="705">
        <v>21026</v>
      </c>
      <c r="S85" s="705">
        <v>19114</v>
      </c>
      <c r="T85" s="705">
        <v>2427</v>
      </c>
      <c r="U85" s="705">
        <v>899</v>
      </c>
      <c r="V85" s="705">
        <v>74260</v>
      </c>
      <c r="W85" s="705">
        <f t="shared" si="6"/>
        <v>74260</v>
      </c>
      <c r="X85" s="705">
        <f t="shared" si="7"/>
        <v>89261</v>
      </c>
      <c r="Y85" s="705"/>
      <c r="AA85" t="s">
        <v>116</v>
      </c>
      <c r="AB85" t="s">
        <v>584</v>
      </c>
      <c r="AC85" t="s">
        <v>584</v>
      </c>
      <c r="AD85" s="705">
        <v>23998</v>
      </c>
      <c r="AE85" s="705">
        <v>1732768</v>
      </c>
      <c r="AF85" s="705">
        <v>4369263</v>
      </c>
      <c r="AG85" s="705">
        <v>146499024</v>
      </c>
      <c r="AH85" s="705">
        <v>133180930</v>
      </c>
      <c r="AI85">
        <v>81</v>
      </c>
      <c r="AJ85" s="705">
        <v>15525411</v>
      </c>
      <c r="AK85" s="705">
        <v>11828687</v>
      </c>
      <c r="AL85" s="705">
        <v>35684436</v>
      </c>
      <c r="AM85" s="705">
        <v>13216457</v>
      </c>
      <c r="AN85" s="705">
        <v>11597330</v>
      </c>
      <c r="AO85" s="705">
        <v>4295308</v>
      </c>
      <c r="AP85" s="705">
        <v>94002747</v>
      </c>
      <c r="AQ85" s="705">
        <v>85457042</v>
      </c>
      <c r="AR85" s="705">
        <v>11764669</v>
      </c>
      <c r="AS85" s="705">
        <v>4357285</v>
      </c>
      <c r="AT85" s="705">
        <v>252335708</v>
      </c>
      <c r="AU85" s="705">
        <f t="shared" si="8"/>
        <v>252335709</v>
      </c>
      <c r="AV85" s="705">
        <f t="shared" si="9"/>
        <v>315073617</v>
      </c>
    </row>
    <row r="86" spans="2:48" hidden="1">
      <c r="B86" t="s">
        <v>531</v>
      </c>
      <c r="C86" t="s">
        <v>118</v>
      </c>
      <c r="D86" t="s">
        <v>228</v>
      </c>
      <c r="E86" t="s">
        <v>228</v>
      </c>
      <c r="F86" s="705">
        <v>218</v>
      </c>
      <c r="G86" s="705">
        <v>15166</v>
      </c>
      <c r="H86" s="705">
        <v>56622</v>
      </c>
      <c r="I86" s="705">
        <v>2005288</v>
      </c>
      <c r="J86" s="705">
        <v>742699</v>
      </c>
      <c r="K86" s="705">
        <v>101</v>
      </c>
      <c r="L86" s="705">
        <v>229263</v>
      </c>
      <c r="M86" s="705">
        <v>91906</v>
      </c>
      <c r="N86" s="705">
        <v>318944</v>
      </c>
      <c r="O86" s="705">
        <v>118127</v>
      </c>
      <c r="P86" s="705">
        <v>5886</v>
      </c>
      <c r="Q86" s="705">
        <v>2180</v>
      </c>
      <c r="R86" s="705">
        <v>1369666</v>
      </c>
      <c r="S86" s="705">
        <v>507284</v>
      </c>
      <c r="T86">
        <v>0</v>
      </c>
      <c r="U86" s="705">
        <v>0</v>
      </c>
      <c r="V86" s="705">
        <v>1462196</v>
      </c>
      <c r="W86" s="705">
        <f t="shared" si="6"/>
        <v>1462196</v>
      </c>
      <c r="X86" s="705">
        <f t="shared" si="7"/>
        <v>3929047</v>
      </c>
      <c r="Y86" s="705"/>
      <c r="AA86" t="s">
        <v>116</v>
      </c>
      <c r="AB86" t="s">
        <v>584</v>
      </c>
      <c r="AC86" t="s">
        <v>669</v>
      </c>
      <c r="AD86">
        <v>1</v>
      </c>
      <c r="AE86">
        <v>113</v>
      </c>
      <c r="AF86">
        <v>162</v>
      </c>
      <c r="AG86" s="705">
        <v>8806</v>
      </c>
      <c r="AH86" s="705">
        <v>8006</v>
      </c>
      <c r="AI86">
        <v>73</v>
      </c>
      <c r="AJ86" s="705">
        <v>2264</v>
      </c>
      <c r="AK86" s="705">
        <v>2058</v>
      </c>
      <c r="AL86" s="705">
        <v>2511</v>
      </c>
      <c r="AM86">
        <v>930</v>
      </c>
      <c r="AN86">
        <v>473</v>
      </c>
      <c r="AO86">
        <v>175</v>
      </c>
      <c r="AP86" s="705">
        <v>4156</v>
      </c>
      <c r="AQ86" s="705">
        <v>3463</v>
      </c>
      <c r="AR86">
        <v>0</v>
      </c>
      <c r="AS86">
        <v>0</v>
      </c>
      <c r="AT86" s="705">
        <v>14632</v>
      </c>
      <c r="AU86" s="705">
        <f t="shared" si="8"/>
        <v>14632</v>
      </c>
      <c r="AV86" s="705">
        <f t="shared" si="9"/>
        <v>18210</v>
      </c>
    </row>
    <row r="87" spans="2:48" hidden="1">
      <c r="B87" t="s">
        <v>531</v>
      </c>
      <c r="C87" t="s">
        <v>118</v>
      </c>
      <c r="D87" t="s">
        <v>583</v>
      </c>
      <c r="E87" t="s">
        <v>583</v>
      </c>
      <c r="F87" s="705">
        <v>20</v>
      </c>
      <c r="G87" s="705">
        <v>1409</v>
      </c>
      <c r="H87" s="705">
        <v>5165</v>
      </c>
      <c r="I87" s="705">
        <v>197165</v>
      </c>
      <c r="J87" s="705">
        <v>179241</v>
      </c>
      <c r="K87" s="705">
        <v>81</v>
      </c>
      <c r="L87" s="705">
        <v>31473</v>
      </c>
      <c r="M87" s="705">
        <v>27474</v>
      </c>
      <c r="N87" s="705">
        <v>28377</v>
      </c>
      <c r="O87" s="705">
        <v>10510</v>
      </c>
      <c r="P87" s="705">
        <v>12771</v>
      </c>
      <c r="Q87" s="705">
        <v>4730</v>
      </c>
      <c r="R87" s="705">
        <v>80573</v>
      </c>
      <c r="S87" s="705">
        <v>73248</v>
      </c>
      <c r="T87" s="705">
        <v>21438</v>
      </c>
      <c r="U87" s="705">
        <v>7940</v>
      </c>
      <c r="V87" s="705">
        <v>303143</v>
      </c>
      <c r="W87" s="705">
        <f t="shared" si="6"/>
        <v>303143</v>
      </c>
      <c r="X87" s="705">
        <f t="shared" si="7"/>
        <v>371797</v>
      </c>
      <c r="Y87" s="705"/>
      <c r="AA87" t="s">
        <v>116</v>
      </c>
      <c r="AB87" t="s">
        <v>584</v>
      </c>
      <c r="AC87" t="s">
        <v>665</v>
      </c>
      <c r="AD87">
        <v>1</v>
      </c>
      <c r="AE87">
        <v>67</v>
      </c>
      <c r="AF87">
        <v>157</v>
      </c>
      <c r="AG87" s="705">
        <v>3191</v>
      </c>
      <c r="AH87" s="705">
        <v>2901</v>
      </c>
      <c r="AI87">
        <v>69</v>
      </c>
      <c r="AJ87">
        <v>0</v>
      </c>
      <c r="AK87">
        <v>0</v>
      </c>
      <c r="AL87" s="705">
        <v>1141</v>
      </c>
      <c r="AM87">
        <v>423</v>
      </c>
      <c r="AN87">
        <v>473</v>
      </c>
      <c r="AO87">
        <v>175</v>
      </c>
      <c r="AP87" s="705">
        <v>5706</v>
      </c>
      <c r="AQ87" s="705">
        <v>5187</v>
      </c>
      <c r="AR87">
        <v>0</v>
      </c>
      <c r="AS87">
        <v>0</v>
      </c>
      <c r="AT87" s="705">
        <v>8685</v>
      </c>
      <c r="AU87" s="705">
        <f t="shared" si="8"/>
        <v>8686</v>
      </c>
      <c r="AV87" s="705">
        <f t="shared" si="9"/>
        <v>10511</v>
      </c>
    </row>
    <row r="88" spans="2:48" hidden="1">
      <c r="B88" t="s">
        <v>531</v>
      </c>
      <c r="C88" t="s">
        <v>118</v>
      </c>
      <c r="D88" t="s">
        <v>584</v>
      </c>
      <c r="E88" s="705" t="s">
        <v>584</v>
      </c>
      <c r="F88" s="705">
        <v>12</v>
      </c>
      <c r="G88" s="705">
        <v>731</v>
      </c>
      <c r="H88" s="705">
        <v>2980</v>
      </c>
      <c r="I88" s="705">
        <v>104873</v>
      </c>
      <c r="J88" s="705">
        <v>95339</v>
      </c>
      <c r="K88" s="705">
        <v>79</v>
      </c>
      <c r="L88" s="705">
        <v>2090</v>
      </c>
      <c r="M88" s="705">
        <v>1606</v>
      </c>
      <c r="N88" s="705">
        <v>16242</v>
      </c>
      <c r="O88" s="705">
        <v>6016</v>
      </c>
      <c r="P88" s="705">
        <v>5670</v>
      </c>
      <c r="Q88" s="705">
        <v>2100</v>
      </c>
      <c r="R88" s="705">
        <v>39517</v>
      </c>
      <c r="S88" s="705">
        <v>35925</v>
      </c>
      <c r="T88" s="705">
        <v>13313</v>
      </c>
      <c r="U88" s="705">
        <v>4931</v>
      </c>
      <c r="V88" s="705">
        <v>145916</v>
      </c>
      <c r="W88" s="705">
        <f t="shared" si="6"/>
        <v>145917</v>
      </c>
      <c r="X88" s="705">
        <f t="shared" si="7"/>
        <v>181705</v>
      </c>
      <c r="Y88" s="705"/>
      <c r="AA88" t="s">
        <v>116</v>
      </c>
      <c r="AB88" t="s">
        <v>669</v>
      </c>
      <c r="AC88" t="s">
        <v>669</v>
      </c>
      <c r="AD88">
        <v>1</v>
      </c>
      <c r="AE88">
        <v>74</v>
      </c>
      <c r="AF88">
        <v>215</v>
      </c>
      <c r="AG88" s="705">
        <v>8259</v>
      </c>
      <c r="AH88" s="705">
        <v>6882</v>
      </c>
      <c r="AI88">
        <v>65</v>
      </c>
      <c r="AJ88">
        <v>0</v>
      </c>
      <c r="AK88">
        <v>0</v>
      </c>
      <c r="AL88">
        <v>907</v>
      </c>
      <c r="AM88">
        <v>336</v>
      </c>
      <c r="AN88">
        <v>351</v>
      </c>
      <c r="AO88">
        <v>130</v>
      </c>
      <c r="AP88" s="705">
        <v>4411</v>
      </c>
      <c r="AQ88" s="705">
        <v>3675</v>
      </c>
      <c r="AR88" s="705">
        <v>2090</v>
      </c>
      <c r="AS88">
        <v>774</v>
      </c>
      <c r="AT88" s="705">
        <v>11798</v>
      </c>
      <c r="AU88" s="705">
        <f t="shared" si="8"/>
        <v>11797</v>
      </c>
      <c r="AV88" s="705">
        <f t="shared" si="9"/>
        <v>16018</v>
      </c>
    </row>
    <row r="89" spans="2:48" hidden="1">
      <c r="B89" t="s">
        <v>531</v>
      </c>
      <c r="C89" t="s">
        <v>118</v>
      </c>
      <c r="D89" t="s">
        <v>665</v>
      </c>
      <c r="E89" t="s">
        <v>665</v>
      </c>
      <c r="F89" s="705">
        <v>16</v>
      </c>
      <c r="G89" s="705">
        <v>779</v>
      </c>
      <c r="H89" s="705">
        <v>4290</v>
      </c>
      <c r="I89" s="705">
        <v>102128</v>
      </c>
      <c r="J89" s="705">
        <v>92843</v>
      </c>
      <c r="K89" s="705">
        <v>64</v>
      </c>
      <c r="L89" s="705">
        <v>3376</v>
      </c>
      <c r="M89" s="705">
        <v>2347</v>
      </c>
      <c r="N89" s="705">
        <v>17203</v>
      </c>
      <c r="O89" s="705">
        <v>6372</v>
      </c>
      <c r="P89" s="705">
        <v>5616</v>
      </c>
      <c r="Q89" s="705">
        <v>2080</v>
      </c>
      <c r="R89" s="705">
        <v>60996</v>
      </c>
      <c r="S89" s="705">
        <v>55451</v>
      </c>
      <c r="T89" s="705">
        <v>32824</v>
      </c>
      <c r="U89" s="705">
        <v>12157</v>
      </c>
      <c r="V89" s="705">
        <v>171251</v>
      </c>
      <c r="W89" s="705">
        <f t="shared" si="6"/>
        <v>171250</v>
      </c>
      <c r="X89" s="705">
        <f t="shared" si="7"/>
        <v>222143</v>
      </c>
      <c r="Y89" s="705"/>
      <c r="AA89" t="s">
        <v>116</v>
      </c>
      <c r="AB89" t="s">
        <v>671</v>
      </c>
      <c r="AC89" t="s">
        <v>671</v>
      </c>
      <c r="AD89">
        <v>1</v>
      </c>
      <c r="AE89">
        <v>69</v>
      </c>
      <c r="AF89">
        <v>194</v>
      </c>
      <c r="AG89" s="705">
        <v>5574</v>
      </c>
      <c r="AH89" s="705">
        <v>5067</v>
      </c>
      <c r="AI89">
        <v>65</v>
      </c>
      <c r="AJ89">
        <v>0</v>
      </c>
      <c r="AK89">
        <v>0</v>
      </c>
      <c r="AL89" s="705">
        <v>1616</v>
      </c>
      <c r="AM89">
        <v>599</v>
      </c>
      <c r="AN89">
        <v>351</v>
      </c>
      <c r="AO89">
        <v>130</v>
      </c>
      <c r="AP89" s="705">
        <v>3893</v>
      </c>
      <c r="AQ89" s="705">
        <v>3539</v>
      </c>
      <c r="AR89" s="705">
        <v>1973</v>
      </c>
      <c r="AS89">
        <v>731</v>
      </c>
      <c r="AT89" s="705">
        <v>10066</v>
      </c>
      <c r="AU89" s="705">
        <f t="shared" si="8"/>
        <v>10066</v>
      </c>
      <c r="AV89" s="705">
        <f t="shared" si="9"/>
        <v>13407</v>
      </c>
    </row>
    <row r="90" spans="2:48" hidden="1">
      <c r="B90" t="s">
        <v>531</v>
      </c>
      <c r="C90" t="s">
        <v>120</v>
      </c>
      <c r="D90" t="s">
        <v>228</v>
      </c>
      <c r="E90" s="705" t="s">
        <v>228</v>
      </c>
      <c r="F90" s="705">
        <v>114</v>
      </c>
      <c r="G90" s="705">
        <v>7055</v>
      </c>
      <c r="H90" s="705">
        <v>37853</v>
      </c>
      <c r="I90" s="705">
        <v>1346767</v>
      </c>
      <c r="J90" s="705">
        <v>498802</v>
      </c>
      <c r="K90" s="705">
        <v>101</v>
      </c>
      <c r="L90" s="705">
        <v>169343</v>
      </c>
      <c r="M90" s="705">
        <v>66751</v>
      </c>
      <c r="N90" s="705">
        <v>149667</v>
      </c>
      <c r="O90" s="705">
        <v>55432</v>
      </c>
      <c r="P90">
        <v>351</v>
      </c>
      <c r="Q90" s="705">
        <v>130</v>
      </c>
      <c r="R90" s="705">
        <v>666033</v>
      </c>
      <c r="S90" s="705">
        <v>246679</v>
      </c>
      <c r="T90">
        <v>0</v>
      </c>
      <c r="U90" s="705">
        <v>0</v>
      </c>
      <c r="V90" s="705">
        <v>867795</v>
      </c>
      <c r="W90" s="705">
        <f t="shared" si="6"/>
        <v>867794</v>
      </c>
      <c r="X90" s="705">
        <f t="shared" si="7"/>
        <v>2332161</v>
      </c>
      <c r="Y90" s="705"/>
      <c r="AA90" t="s">
        <v>116</v>
      </c>
      <c r="AB90" t="s">
        <v>665</v>
      </c>
      <c r="AC90" t="s">
        <v>228</v>
      </c>
      <c r="AD90">
        <v>3</v>
      </c>
      <c r="AE90">
        <v>191</v>
      </c>
      <c r="AF90">
        <v>586</v>
      </c>
      <c r="AG90" s="705">
        <v>14094</v>
      </c>
      <c r="AH90" s="705">
        <v>12812</v>
      </c>
      <c r="AI90">
        <v>75</v>
      </c>
      <c r="AJ90" s="705">
        <v>2013</v>
      </c>
      <c r="AK90">
        <v>746</v>
      </c>
      <c r="AL90" s="705">
        <v>4130</v>
      </c>
      <c r="AM90" s="705">
        <v>1529</v>
      </c>
      <c r="AN90">
        <v>351</v>
      </c>
      <c r="AO90">
        <v>130</v>
      </c>
      <c r="AP90" s="705">
        <v>17480</v>
      </c>
      <c r="AQ90" s="705">
        <v>6474</v>
      </c>
      <c r="AR90">
        <v>0</v>
      </c>
      <c r="AS90">
        <v>0</v>
      </c>
      <c r="AT90" s="705">
        <v>21691</v>
      </c>
      <c r="AU90" s="705">
        <f t="shared" si="8"/>
        <v>21691</v>
      </c>
      <c r="AV90" s="705">
        <f t="shared" si="9"/>
        <v>38068</v>
      </c>
    </row>
    <row r="91" spans="2:48" hidden="1">
      <c r="B91" t="s">
        <v>531</v>
      </c>
      <c r="C91" t="s">
        <v>120</v>
      </c>
      <c r="D91" t="s">
        <v>583</v>
      </c>
      <c r="E91" t="s">
        <v>583</v>
      </c>
      <c r="F91">
        <v>8</v>
      </c>
      <c r="G91" s="705">
        <v>956</v>
      </c>
      <c r="H91" s="705">
        <v>2671</v>
      </c>
      <c r="I91" s="705">
        <v>218184</v>
      </c>
      <c r="J91" s="705">
        <v>198350</v>
      </c>
      <c r="K91" s="705">
        <v>76</v>
      </c>
      <c r="L91" s="705">
        <v>33960</v>
      </c>
      <c r="M91" s="705">
        <v>27189</v>
      </c>
      <c r="N91" s="705">
        <v>21478</v>
      </c>
      <c r="O91" s="705">
        <v>7955</v>
      </c>
      <c r="P91" s="705">
        <v>5049</v>
      </c>
      <c r="Q91" s="705">
        <v>1870</v>
      </c>
      <c r="R91" s="705">
        <v>30344</v>
      </c>
      <c r="S91" s="705">
        <v>27585</v>
      </c>
      <c r="T91" s="705">
        <v>14806</v>
      </c>
      <c r="U91" s="705">
        <v>5484</v>
      </c>
      <c r="V91" s="705">
        <v>268432</v>
      </c>
      <c r="W91" s="705">
        <f t="shared" si="6"/>
        <v>268433</v>
      </c>
      <c r="X91" s="705">
        <f t="shared" si="7"/>
        <v>323821</v>
      </c>
      <c r="Y91" s="705"/>
      <c r="AA91" t="s">
        <v>116</v>
      </c>
      <c r="AB91" t="s">
        <v>665</v>
      </c>
      <c r="AC91" t="s">
        <v>665</v>
      </c>
      <c r="AD91">
        <v>12</v>
      </c>
      <c r="AE91" s="705">
        <v>1090</v>
      </c>
      <c r="AF91" s="705">
        <v>2530</v>
      </c>
      <c r="AG91" s="705">
        <v>117264</v>
      </c>
      <c r="AH91" s="705">
        <v>106603</v>
      </c>
      <c r="AI91">
        <v>65</v>
      </c>
      <c r="AJ91" s="705">
        <v>9735</v>
      </c>
      <c r="AK91" s="705">
        <v>4177</v>
      </c>
      <c r="AL91" s="705">
        <v>17942</v>
      </c>
      <c r="AM91" s="705">
        <v>6645</v>
      </c>
      <c r="AN91" s="705">
        <v>4895</v>
      </c>
      <c r="AO91" s="705">
        <v>1813</v>
      </c>
      <c r="AP91" s="705">
        <v>54212</v>
      </c>
      <c r="AQ91" s="705">
        <v>49284</v>
      </c>
      <c r="AR91" s="705">
        <v>24961</v>
      </c>
      <c r="AS91" s="705">
        <v>9245</v>
      </c>
      <c r="AT91" s="705">
        <v>177767</v>
      </c>
      <c r="AU91" s="705">
        <f t="shared" si="8"/>
        <v>177767</v>
      </c>
      <c r="AV91" s="705">
        <f t="shared" si="9"/>
        <v>229009</v>
      </c>
    </row>
    <row r="92" spans="2:48" hidden="1">
      <c r="B92" t="s">
        <v>531</v>
      </c>
      <c r="C92" t="s">
        <v>120</v>
      </c>
      <c r="D92" t="s">
        <v>583</v>
      </c>
      <c r="E92" t="s">
        <v>584</v>
      </c>
      <c r="F92" s="705">
        <v>1</v>
      </c>
      <c r="G92" s="705">
        <v>133</v>
      </c>
      <c r="H92" s="705">
        <v>337</v>
      </c>
      <c r="I92" s="705">
        <v>33636</v>
      </c>
      <c r="J92" s="705">
        <v>30578</v>
      </c>
      <c r="K92" s="705">
        <v>85</v>
      </c>
      <c r="L92" s="705">
        <v>0</v>
      </c>
      <c r="M92" s="705">
        <v>0</v>
      </c>
      <c r="N92" s="705">
        <v>2488</v>
      </c>
      <c r="O92" s="705">
        <v>921</v>
      </c>
      <c r="P92">
        <v>743</v>
      </c>
      <c r="Q92" s="705">
        <v>275</v>
      </c>
      <c r="R92" s="705">
        <v>5486</v>
      </c>
      <c r="S92" s="705">
        <v>4987</v>
      </c>
      <c r="T92" s="705">
        <v>2378</v>
      </c>
      <c r="U92" s="705">
        <v>881</v>
      </c>
      <c r="V92" s="705">
        <v>37643</v>
      </c>
      <c r="W92" s="705">
        <f t="shared" si="6"/>
        <v>37642</v>
      </c>
      <c r="X92" s="705">
        <f t="shared" si="7"/>
        <v>44731</v>
      </c>
      <c r="Y92" s="705"/>
      <c r="AA92" t="s">
        <v>116</v>
      </c>
      <c r="AB92" t="s">
        <v>585</v>
      </c>
      <c r="AC92" t="s">
        <v>228</v>
      </c>
      <c r="AD92">
        <v>3</v>
      </c>
      <c r="AE92">
        <v>217</v>
      </c>
      <c r="AF92">
        <v>578</v>
      </c>
      <c r="AG92" s="705">
        <v>18800</v>
      </c>
      <c r="AH92" s="705">
        <v>17091</v>
      </c>
      <c r="AI92">
        <v>80</v>
      </c>
      <c r="AJ92" s="705">
        <v>1703</v>
      </c>
      <c r="AK92" s="705">
        <v>1548</v>
      </c>
      <c r="AL92" s="705">
        <v>4167</v>
      </c>
      <c r="AM92" s="705">
        <v>1543</v>
      </c>
      <c r="AN92" s="705">
        <v>1053</v>
      </c>
      <c r="AO92">
        <v>390</v>
      </c>
      <c r="AP92" s="705">
        <v>16134</v>
      </c>
      <c r="AQ92" s="705">
        <v>5975</v>
      </c>
      <c r="AR92">
        <v>0</v>
      </c>
      <c r="AS92">
        <v>0</v>
      </c>
      <c r="AT92" s="705">
        <v>26548</v>
      </c>
      <c r="AU92" s="705">
        <f t="shared" si="8"/>
        <v>26547</v>
      </c>
      <c r="AV92" s="705">
        <f t="shared" si="9"/>
        <v>41857</v>
      </c>
    </row>
    <row r="93" spans="2:48" hidden="1">
      <c r="B93" t="s">
        <v>531</v>
      </c>
      <c r="C93" t="s">
        <v>120</v>
      </c>
      <c r="D93" s="705" t="s">
        <v>669</v>
      </c>
      <c r="E93" s="705" t="s">
        <v>669</v>
      </c>
      <c r="F93" s="705">
        <v>2</v>
      </c>
      <c r="G93" s="705">
        <v>83</v>
      </c>
      <c r="H93" s="705">
        <v>722</v>
      </c>
      <c r="I93" s="705">
        <v>12453</v>
      </c>
      <c r="J93" s="705">
        <v>10377</v>
      </c>
      <c r="K93" s="705">
        <v>55</v>
      </c>
      <c r="L93" s="705">
        <v>2537</v>
      </c>
      <c r="M93" s="705">
        <v>2114</v>
      </c>
      <c r="N93" s="705">
        <v>2013</v>
      </c>
      <c r="O93" s="705">
        <v>745</v>
      </c>
      <c r="P93">
        <v>0</v>
      </c>
      <c r="Q93" s="705">
        <v>0</v>
      </c>
      <c r="R93" s="705">
        <v>9317</v>
      </c>
      <c r="S93" s="705">
        <v>7764</v>
      </c>
      <c r="T93" s="705">
        <v>3505</v>
      </c>
      <c r="U93" s="705">
        <v>1298</v>
      </c>
      <c r="V93" s="705">
        <v>22299</v>
      </c>
      <c r="W93" s="705">
        <f t="shared" si="6"/>
        <v>22298</v>
      </c>
      <c r="X93" s="705">
        <f t="shared" si="7"/>
        <v>29825</v>
      </c>
      <c r="Y93" s="705"/>
      <c r="AA93" t="s">
        <v>116</v>
      </c>
      <c r="AB93" t="s">
        <v>585</v>
      </c>
      <c r="AC93" t="s">
        <v>585</v>
      </c>
      <c r="AD93">
        <v>30</v>
      </c>
      <c r="AE93" s="705">
        <v>1921</v>
      </c>
      <c r="AF93" s="705">
        <v>5099</v>
      </c>
      <c r="AG93" s="705">
        <v>167683</v>
      </c>
      <c r="AH93" s="705">
        <v>152439</v>
      </c>
      <c r="AI93">
        <v>76</v>
      </c>
      <c r="AJ93" s="705">
        <v>11110</v>
      </c>
      <c r="AK93" s="705">
        <v>9591</v>
      </c>
      <c r="AL93" s="705">
        <v>34385</v>
      </c>
      <c r="AM93" s="705">
        <v>12735</v>
      </c>
      <c r="AN93" s="705">
        <v>10530</v>
      </c>
      <c r="AO93" s="705">
        <v>3900</v>
      </c>
      <c r="AP93" s="705">
        <v>107169</v>
      </c>
      <c r="AQ93" s="705">
        <v>97426</v>
      </c>
      <c r="AR93" s="705">
        <v>2539</v>
      </c>
      <c r="AS93">
        <v>941</v>
      </c>
      <c r="AT93" s="705">
        <v>277032</v>
      </c>
      <c r="AU93" s="705">
        <f t="shared" si="8"/>
        <v>277032</v>
      </c>
      <c r="AV93" s="705">
        <f t="shared" si="9"/>
        <v>333416</v>
      </c>
    </row>
    <row r="94" spans="2:48" hidden="1">
      <c r="B94" t="s">
        <v>531</v>
      </c>
      <c r="C94" t="s">
        <v>120</v>
      </c>
      <c r="D94" t="s">
        <v>665</v>
      </c>
      <c r="E94" s="705" t="s">
        <v>665</v>
      </c>
      <c r="F94" s="705">
        <v>11</v>
      </c>
      <c r="G94" s="705">
        <v>506</v>
      </c>
      <c r="H94" s="705">
        <v>3868</v>
      </c>
      <c r="I94" s="705">
        <v>91253</v>
      </c>
      <c r="J94" s="705">
        <v>82957</v>
      </c>
      <c r="K94" s="705">
        <v>59</v>
      </c>
      <c r="L94" s="705">
        <v>2184</v>
      </c>
      <c r="M94" s="705">
        <v>1483</v>
      </c>
      <c r="N94" s="705">
        <v>10440</v>
      </c>
      <c r="O94" s="705">
        <v>3867</v>
      </c>
      <c r="P94" s="705">
        <v>3861</v>
      </c>
      <c r="Q94" s="705">
        <v>1430</v>
      </c>
      <c r="R94" s="705">
        <v>47620</v>
      </c>
      <c r="S94" s="705">
        <v>43291</v>
      </c>
      <c r="T94" s="705">
        <v>22145</v>
      </c>
      <c r="U94" s="705">
        <v>8202</v>
      </c>
      <c r="V94" s="705">
        <v>141230</v>
      </c>
      <c r="W94" s="705">
        <f t="shared" si="6"/>
        <v>141230</v>
      </c>
      <c r="X94" s="705">
        <f t="shared" si="7"/>
        <v>177503</v>
      </c>
      <c r="Y94" s="705"/>
      <c r="AA94" t="s">
        <v>118</v>
      </c>
      <c r="AD94">
        <v>596</v>
      </c>
      <c r="AE94" s="705">
        <v>31349</v>
      </c>
      <c r="AF94" s="705">
        <v>152323</v>
      </c>
      <c r="AH94">
        <v>0</v>
      </c>
      <c r="AK94">
        <v>0</v>
      </c>
      <c r="AL94" s="705">
        <v>644453</v>
      </c>
      <c r="AM94" s="705">
        <v>238686</v>
      </c>
      <c r="AN94" s="705">
        <v>121937</v>
      </c>
      <c r="AO94" s="705">
        <v>45162</v>
      </c>
      <c r="AQ94">
        <v>0</v>
      </c>
      <c r="AR94" s="705">
        <v>178953</v>
      </c>
      <c r="AS94" s="705">
        <v>66279</v>
      </c>
      <c r="AT94" s="705">
        <v>350127</v>
      </c>
      <c r="AU94" s="705">
        <f t="shared" si="8"/>
        <v>350127</v>
      </c>
      <c r="AV94" s="705">
        <f t="shared" si="9"/>
        <v>945343</v>
      </c>
    </row>
    <row r="95" spans="2:48" hidden="1">
      <c r="B95" t="s">
        <v>531</v>
      </c>
      <c r="C95" t="s">
        <v>122</v>
      </c>
      <c r="D95" t="s">
        <v>228</v>
      </c>
      <c r="E95" s="705" t="s">
        <v>228</v>
      </c>
      <c r="F95" s="705">
        <v>33</v>
      </c>
      <c r="G95" s="705">
        <v>1775</v>
      </c>
      <c r="H95" s="705">
        <v>13771</v>
      </c>
      <c r="I95" s="705">
        <v>468954</v>
      </c>
      <c r="J95" s="705">
        <v>173687</v>
      </c>
      <c r="K95" s="705">
        <v>100</v>
      </c>
      <c r="L95" s="705">
        <v>44600</v>
      </c>
      <c r="M95" s="705">
        <v>21557</v>
      </c>
      <c r="N95" s="705">
        <v>39769</v>
      </c>
      <c r="O95" s="705">
        <v>14729</v>
      </c>
      <c r="P95" s="705">
        <v>1053</v>
      </c>
      <c r="Q95" s="705">
        <v>390</v>
      </c>
      <c r="R95" s="705">
        <v>186146</v>
      </c>
      <c r="S95" s="705">
        <v>68943</v>
      </c>
      <c r="T95" s="705">
        <v>0</v>
      </c>
      <c r="U95" s="705">
        <v>0</v>
      </c>
      <c r="V95" s="705">
        <v>279306</v>
      </c>
      <c r="W95" s="705">
        <f t="shared" si="6"/>
        <v>279306</v>
      </c>
      <c r="X95" s="705">
        <f t="shared" si="7"/>
        <v>740522</v>
      </c>
      <c r="Y95" s="705"/>
      <c r="AA95" t="s">
        <v>118</v>
      </c>
      <c r="AB95" t="s">
        <v>580</v>
      </c>
      <c r="AC95" t="s">
        <v>228</v>
      </c>
      <c r="AD95">
        <v>1</v>
      </c>
      <c r="AE95">
        <v>58</v>
      </c>
      <c r="AF95">
        <v>299</v>
      </c>
      <c r="AG95" s="705">
        <v>9406</v>
      </c>
      <c r="AH95" s="705">
        <v>3484</v>
      </c>
      <c r="AI95">
        <v>100</v>
      </c>
      <c r="AJ95" s="705">
        <v>2352</v>
      </c>
      <c r="AK95">
        <v>871</v>
      </c>
      <c r="AL95" s="705">
        <v>1210</v>
      </c>
      <c r="AM95">
        <v>448</v>
      </c>
      <c r="AN95">
        <v>0</v>
      </c>
      <c r="AO95">
        <v>0</v>
      </c>
      <c r="AP95" s="705">
        <v>4279</v>
      </c>
      <c r="AQ95" s="705">
        <v>1585</v>
      </c>
      <c r="AR95">
        <v>0</v>
      </c>
      <c r="AS95">
        <v>0</v>
      </c>
      <c r="AT95" s="705">
        <v>6388</v>
      </c>
      <c r="AU95" s="705">
        <f t="shared" si="8"/>
        <v>6388</v>
      </c>
      <c r="AV95" s="705">
        <f t="shared" si="9"/>
        <v>17247</v>
      </c>
    </row>
    <row r="96" spans="2:48" hidden="1">
      <c r="B96" t="s">
        <v>531</v>
      </c>
      <c r="C96" t="s">
        <v>122</v>
      </c>
      <c r="D96" t="s">
        <v>583</v>
      </c>
      <c r="E96" s="705" t="s">
        <v>583</v>
      </c>
      <c r="F96" s="705">
        <v>7</v>
      </c>
      <c r="G96" s="705">
        <v>562</v>
      </c>
      <c r="H96" s="705">
        <v>2910</v>
      </c>
      <c r="I96" s="705">
        <v>153610</v>
      </c>
      <c r="J96" s="705">
        <v>139645</v>
      </c>
      <c r="K96" s="705">
        <v>75</v>
      </c>
      <c r="L96" s="705">
        <v>20526</v>
      </c>
      <c r="M96" s="705">
        <v>18128</v>
      </c>
      <c r="N96" s="705">
        <v>12042</v>
      </c>
      <c r="O96" s="705">
        <v>4460</v>
      </c>
      <c r="P96" s="705">
        <v>4347</v>
      </c>
      <c r="Q96" s="705">
        <v>1610</v>
      </c>
      <c r="R96" s="705">
        <v>30080</v>
      </c>
      <c r="S96" s="705">
        <v>27346</v>
      </c>
      <c r="T96" s="705">
        <v>11411</v>
      </c>
      <c r="U96" s="705">
        <v>4226</v>
      </c>
      <c r="V96" s="705">
        <v>195415</v>
      </c>
      <c r="W96" s="705">
        <f t="shared" si="6"/>
        <v>195415</v>
      </c>
      <c r="X96" s="705">
        <f t="shared" si="7"/>
        <v>232016</v>
      </c>
      <c r="Y96" s="705"/>
      <c r="AA96" t="s">
        <v>118</v>
      </c>
      <c r="AB96" t="s">
        <v>664</v>
      </c>
      <c r="AC96" t="s">
        <v>664</v>
      </c>
      <c r="AD96">
        <v>11</v>
      </c>
      <c r="AE96">
        <v>737</v>
      </c>
      <c r="AF96" s="705">
        <v>2833</v>
      </c>
      <c r="AG96" s="705">
        <v>105814</v>
      </c>
      <c r="AH96" s="705">
        <v>96194</v>
      </c>
      <c r="AI96">
        <v>85</v>
      </c>
      <c r="AJ96" s="705">
        <v>21689</v>
      </c>
      <c r="AK96" s="705">
        <v>16448</v>
      </c>
      <c r="AL96" s="705">
        <v>13850</v>
      </c>
      <c r="AM96" s="705">
        <v>5129</v>
      </c>
      <c r="AN96" s="705">
        <v>5427</v>
      </c>
      <c r="AO96" s="705">
        <v>2010</v>
      </c>
      <c r="AP96" s="705">
        <v>33853</v>
      </c>
      <c r="AQ96" s="705">
        <v>30775</v>
      </c>
      <c r="AR96" s="705">
        <v>9091</v>
      </c>
      <c r="AS96" s="705">
        <v>3367</v>
      </c>
      <c r="AT96" s="705">
        <v>153924</v>
      </c>
      <c r="AU96" s="705">
        <f t="shared" si="8"/>
        <v>153923</v>
      </c>
      <c r="AV96" s="705">
        <f t="shared" si="9"/>
        <v>189724</v>
      </c>
    </row>
    <row r="97" spans="2:48" hidden="1">
      <c r="B97" t="s">
        <v>531</v>
      </c>
      <c r="C97" t="s">
        <v>122</v>
      </c>
      <c r="D97" t="s">
        <v>584</v>
      </c>
      <c r="E97" s="705" t="s">
        <v>584</v>
      </c>
      <c r="F97" s="705">
        <v>1</v>
      </c>
      <c r="G97" s="705">
        <v>67</v>
      </c>
      <c r="H97" s="705">
        <v>406</v>
      </c>
      <c r="I97" s="705">
        <v>18140</v>
      </c>
      <c r="J97" s="705">
        <v>16490</v>
      </c>
      <c r="K97" s="705">
        <v>80</v>
      </c>
      <c r="L97" s="705">
        <v>5126</v>
      </c>
      <c r="M97" s="705">
        <v>4660</v>
      </c>
      <c r="N97" s="705">
        <v>1126</v>
      </c>
      <c r="O97" s="705">
        <v>417</v>
      </c>
      <c r="P97">
        <v>473</v>
      </c>
      <c r="Q97" s="705">
        <v>175</v>
      </c>
      <c r="R97" s="705">
        <v>2507</v>
      </c>
      <c r="S97" s="705">
        <v>2279</v>
      </c>
      <c r="T97" s="705">
        <v>0</v>
      </c>
      <c r="U97" s="705">
        <v>0</v>
      </c>
      <c r="V97" s="705">
        <v>24022</v>
      </c>
      <c r="W97" s="705">
        <f t="shared" si="6"/>
        <v>24021</v>
      </c>
      <c r="X97" s="705">
        <f t="shared" si="7"/>
        <v>27372</v>
      </c>
      <c r="Y97" s="705"/>
      <c r="AA97" t="s">
        <v>118</v>
      </c>
      <c r="AB97" t="s">
        <v>664</v>
      </c>
      <c r="AC97" t="s">
        <v>582</v>
      </c>
      <c r="AD97">
        <v>2</v>
      </c>
      <c r="AE97">
        <v>100</v>
      </c>
      <c r="AF97">
        <v>552</v>
      </c>
      <c r="AG97" s="705">
        <v>15937</v>
      </c>
      <c r="AH97" s="705">
        <v>14488</v>
      </c>
      <c r="AI97">
        <v>65</v>
      </c>
      <c r="AJ97">
        <v>0</v>
      </c>
      <c r="AK97">
        <v>0</v>
      </c>
      <c r="AL97" s="705">
        <v>1339</v>
      </c>
      <c r="AM97">
        <v>496</v>
      </c>
      <c r="AN97">
        <v>945</v>
      </c>
      <c r="AO97">
        <v>350</v>
      </c>
      <c r="AP97" s="705">
        <v>5889</v>
      </c>
      <c r="AQ97" s="705">
        <v>5354</v>
      </c>
      <c r="AR97" s="705">
        <v>3309</v>
      </c>
      <c r="AS97" s="705">
        <v>1226</v>
      </c>
      <c r="AT97" s="705">
        <v>21913</v>
      </c>
      <c r="AU97" s="705">
        <f t="shared" si="8"/>
        <v>21914</v>
      </c>
      <c r="AV97" s="705">
        <f t="shared" si="9"/>
        <v>27419</v>
      </c>
    </row>
    <row r="98" spans="2:48" hidden="1">
      <c r="B98" t="s">
        <v>531</v>
      </c>
      <c r="C98" t="s">
        <v>122</v>
      </c>
      <c r="D98" t="s">
        <v>665</v>
      </c>
      <c r="E98" t="s">
        <v>665</v>
      </c>
      <c r="F98">
        <v>9</v>
      </c>
      <c r="G98" s="705">
        <v>373</v>
      </c>
      <c r="H98" s="705">
        <v>3845</v>
      </c>
      <c r="I98" s="705">
        <v>85014</v>
      </c>
      <c r="J98" s="705">
        <v>77285</v>
      </c>
      <c r="K98" s="705">
        <v>56</v>
      </c>
      <c r="L98" s="705">
        <v>9154</v>
      </c>
      <c r="M98" s="705">
        <v>6231</v>
      </c>
      <c r="N98" s="705">
        <v>7616</v>
      </c>
      <c r="O98" s="705">
        <v>2821</v>
      </c>
      <c r="P98" s="705">
        <v>3159</v>
      </c>
      <c r="Q98" s="705">
        <v>1170</v>
      </c>
      <c r="R98" s="705">
        <v>41196</v>
      </c>
      <c r="S98" s="705">
        <v>37451</v>
      </c>
      <c r="T98" s="705">
        <v>13469</v>
      </c>
      <c r="U98" s="705">
        <v>4989</v>
      </c>
      <c r="V98" s="705">
        <v>129947</v>
      </c>
      <c r="W98" s="705">
        <f t="shared" si="6"/>
        <v>129947</v>
      </c>
      <c r="X98" s="705">
        <f t="shared" si="7"/>
        <v>159608</v>
      </c>
      <c r="Y98" s="705"/>
      <c r="AA98" t="s">
        <v>118</v>
      </c>
      <c r="AB98" t="s">
        <v>664</v>
      </c>
      <c r="AC98" t="s">
        <v>228</v>
      </c>
      <c r="AD98">
        <v>1</v>
      </c>
      <c r="AE98">
        <v>101</v>
      </c>
      <c r="AF98">
        <v>264</v>
      </c>
      <c r="AG98" s="705">
        <v>15789</v>
      </c>
      <c r="AH98" s="705">
        <v>14353</v>
      </c>
      <c r="AI98">
        <v>69</v>
      </c>
      <c r="AJ98" s="705">
        <v>1915</v>
      </c>
      <c r="AK98" s="705">
        <v>1741</v>
      </c>
      <c r="AL98" s="705">
        <v>2235</v>
      </c>
      <c r="AM98">
        <v>828</v>
      </c>
      <c r="AN98">
        <v>351</v>
      </c>
      <c r="AO98">
        <v>130</v>
      </c>
      <c r="AP98" s="705">
        <v>6356</v>
      </c>
      <c r="AQ98" s="705">
        <v>2354</v>
      </c>
      <c r="AR98">
        <v>0</v>
      </c>
      <c r="AS98">
        <v>0</v>
      </c>
      <c r="AT98" s="705">
        <v>19406</v>
      </c>
      <c r="AU98" s="705">
        <f t="shared" si="8"/>
        <v>19406</v>
      </c>
      <c r="AV98" s="705">
        <f t="shared" si="9"/>
        <v>26646</v>
      </c>
    </row>
    <row r="99" spans="2:48" hidden="1">
      <c r="B99" t="s">
        <v>531</v>
      </c>
      <c r="C99" t="s">
        <v>124</v>
      </c>
      <c r="E99" s="705"/>
      <c r="F99" s="705">
        <v>2</v>
      </c>
      <c r="G99" s="705">
        <v>69</v>
      </c>
      <c r="H99" s="705">
        <v>1141</v>
      </c>
      <c r="I99" s="705"/>
      <c r="J99" s="705">
        <v>0</v>
      </c>
      <c r="K99" s="705"/>
      <c r="L99" s="705"/>
      <c r="M99" s="705">
        <v>0</v>
      </c>
      <c r="N99" s="705">
        <v>1693</v>
      </c>
      <c r="O99" s="705">
        <v>627</v>
      </c>
      <c r="P99" s="705">
        <v>1242</v>
      </c>
      <c r="Q99" s="705">
        <v>460</v>
      </c>
      <c r="R99" s="705"/>
      <c r="S99">
        <v>0</v>
      </c>
      <c r="T99">
        <v>0</v>
      </c>
      <c r="U99" s="705">
        <v>0</v>
      </c>
      <c r="V99" s="705">
        <v>1087</v>
      </c>
      <c r="W99" s="705">
        <f t="shared" si="6"/>
        <v>1087</v>
      </c>
      <c r="X99" s="705">
        <f t="shared" si="7"/>
        <v>2935</v>
      </c>
      <c r="Y99" s="705"/>
      <c r="AA99" t="s">
        <v>118</v>
      </c>
      <c r="AB99" t="s">
        <v>664</v>
      </c>
      <c r="AC99" t="s">
        <v>583</v>
      </c>
      <c r="AD99">
        <v>2</v>
      </c>
      <c r="AE99">
        <v>274</v>
      </c>
      <c r="AF99">
        <v>524</v>
      </c>
      <c r="AG99" s="705">
        <v>48753</v>
      </c>
      <c r="AH99" s="705">
        <v>44320</v>
      </c>
      <c r="AI99">
        <v>70</v>
      </c>
      <c r="AJ99" s="705">
        <v>8922</v>
      </c>
      <c r="AK99" s="705">
        <v>7654</v>
      </c>
      <c r="AL99" s="705">
        <v>6300</v>
      </c>
      <c r="AM99" s="705">
        <v>2333</v>
      </c>
      <c r="AN99" s="705">
        <v>1242</v>
      </c>
      <c r="AO99">
        <v>460</v>
      </c>
      <c r="AP99" s="705">
        <v>12362</v>
      </c>
      <c r="AQ99" s="705">
        <v>11238</v>
      </c>
      <c r="AR99" s="705">
        <v>7467</v>
      </c>
      <c r="AS99" s="705">
        <v>2765</v>
      </c>
      <c r="AT99" s="705">
        <v>68771</v>
      </c>
      <c r="AU99" s="705">
        <f t="shared" si="8"/>
        <v>68770</v>
      </c>
      <c r="AV99" s="705">
        <f t="shared" si="9"/>
        <v>85046</v>
      </c>
    </row>
    <row r="100" spans="2:48" hidden="1">
      <c r="B100" t="s">
        <v>531</v>
      </c>
      <c r="C100" t="s">
        <v>124</v>
      </c>
      <c r="D100" t="s">
        <v>228</v>
      </c>
      <c r="E100" t="s">
        <v>228</v>
      </c>
      <c r="F100">
        <v>39</v>
      </c>
      <c r="G100" s="705">
        <v>1933</v>
      </c>
      <c r="H100" s="705">
        <v>23902</v>
      </c>
      <c r="I100" s="705">
        <v>863845</v>
      </c>
      <c r="J100" s="705">
        <v>319943</v>
      </c>
      <c r="K100" s="705">
        <v>100</v>
      </c>
      <c r="L100" s="705">
        <v>58893</v>
      </c>
      <c r="M100" s="705">
        <v>31202</v>
      </c>
      <c r="N100" s="705">
        <v>41479</v>
      </c>
      <c r="O100" s="705">
        <v>15362</v>
      </c>
      <c r="P100">
        <v>351</v>
      </c>
      <c r="Q100" s="705">
        <v>130</v>
      </c>
      <c r="R100" s="705">
        <v>213021</v>
      </c>
      <c r="S100" s="705">
        <v>78897</v>
      </c>
      <c r="T100">
        <v>0</v>
      </c>
      <c r="U100" s="705">
        <v>0</v>
      </c>
      <c r="V100" s="705">
        <v>445534</v>
      </c>
      <c r="W100" s="705">
        <f t="shared" si="6"/>
        <v>445534</v>
      </c>
      <c r="X100" s="705">
        <f t="shared" si="7"/>
        <v>1177589</v>
      </c>
      <c r="Y100" s="705"/>
      <c r="AA100" t="s">
        <v>118</v>
      </c>
      <c r="AB100" t="s">
        <v>582</v>
      </c>
      <c r="AC100" t="s">
        <v>582</v>
      </c>
      <c r="AD100">
        <v>207</v>
      </c>
      <c r="AE100" s="705">
        <v>13462</v>
      </c>
      <c r="AF100" s="705">
        <v>52647</v>
      </c>
      <c r="AG100" s="705">
        <v>1980782</v>
      </c>
      <c r="AH100" s="705">
        <v>1800711</v>
      </c>
      <c r="AI100">
        <v>78</v>
      </c>
      <c r="AJ100" s="705">
        <v>267486</v>
      </c>
      <c r="AK100" s="705">
        <v>220474</v>
      </c>
      <c r="AL100" s="705">
        <v>275247</v>
      </c>
      <c r="AM100" s="705">
        <v>101943</v>
      </c>
      <c r="AN100" s="705">
        <v>93677</v>
      </c>
      <c r="AO100" s="705">
        <v>34695</v>
      </c>
      <c r="AP100" s="705">
        <v>693522</v>
      </c>
      <c r="AQ100" s="705">
        <v>630474</v>
      </c>
      <c r="AR100" s="705">
        <v>99230</v>
      </c>
      <c r="AS100" s="705">
        <v>36752</v>
      </c>
      <c r="AT100" s="705">
        <v>2825050</v>
      </c>
      <c r="AU100" s="705">
        <f t="shared" si="8"/>
        <v>2825049</v>
      </c>
      <c r="AV100" s="705">
        <f t="shared" si="9"/>
        <v>3409944</v>
      </c>
    </row>
    <row r="101" spans="2:48" hidden="1">
      <c r="B101" t="s">
        <v>531</v>
      </c>
      <c r="C101" t="s">
        <v>124</v>
      </c>
      <c r="D101" t="s">
        <v>583</v>
      </c>
      <c r="E101" s="705" t="s">
        <v>228</v>
      </c>
      <c r="F101" s="705">
        <v>3</v>
      </c>
      <c r="G101" s="705">
        <v>111</v>
      </c>
      <c r="H101" s="705">
        <v>1635</v>
      </c>
      <c r="I101" s="705">
        <v>36909</v>
      </c>
      <c r="J101" s="705">
        <v>33553</v>
      </c>
      <c r="K101" s="705">
        <v>79</v>
      </c>
      <c r="L101" s="705">
        <v>7550</v>
      </c>
      <c r="M101" s="705">
        <v>2796</v>
      </c>
      <c r="N101" s="705">
        <v>2694</v>
      </c>
      <c r="O101">
        <v>998</v>
      </c>
      <c r="P101" s="705">
        <v>1863</v>
      </c>
      <c r="Q101" s="705">
        <v>690</v>
      </c>
      <c r="R101" s="705">
        <v>11402</v>
      </c>
      <c r="S101" s="705">
        <v>4223</v>
      </c>
      <c r="T101">
        <v>0</v>
      </c>
      <c r="U101" s="705">
        <v>0</v>
      </c>
      <c r="V101" s="705">
        <v>42260</v>
      </c>
      <c r="W101" s="705">
        <f t="shared" si="6"/>
        <v>42260</v>
      </c>
      <c r="X101" s="705">
        <f t="shared" si="7"/>
        <v>60418</v>
      </c>
      <c r="Y101" s="705"/>
      <c r="AA101" t="s">
        <v>118</v>
      </c>
      <c r="AB101" t="s">
        <v>582</v>
      </c>
      <c r="AC101" t="s">
        <v>583</v>
      </c>
      <c r="AD101">
        <v>1</v>
      </c>
      <c r="AE101">
        <v>67</v>
      </c>
      <c r="AF101">
        <v>267</v>
      </c>
      <c r="AG101" s="705">
        <v>10597</v>
      </c>
      <c r="AH101" s="705">
        <v>9633</v>
      </c>
      <c r="AI101">
        <v>78</v>
      </c>
      <c r="AJ101" s="705">
        <v>3181</v>
      </c>
      <c r="AK101" s="705">
        <v>2651</v>
      </c>
      <c r="AL101" s="705">
        <v>1224</v>
      </c>
      <c r="AM101">
        <v>453</v>
      </c>
      <c r="AN101">
        <v>351</v>
      </c>
      <c r="AO101">
        <v>130</v>
      </c>
      <c r="AP101" s="705">
        <v>2563</v>
      </c>
      <c r="AQ101" s="705">
        <v>2330</v>
      </c>
      <c r="AR101">
        <v>0</v>
      </c>
      <c r="AS101">
        <v>0</v>
      </c>
      <c r="AT101" s="705">
        <v>15198</v>
      </c>
      <c r="AU101" s="705">
        <f t="shared" si="8"/>
        <v>15197</v>
      </c>
      <c r="AV101" s="705">
        <f t="shared" si="9"/>
        <v>17916</v>
      </c>
    </row>
    <row r="102" spans="2:48" hidden="1">
      <c r="B102" t="s">
        <v>531</v>
      </c>
      <c r="C102" t="s">
        <v>124</v>
      </c>
      <c r="D102" t="s">
        <v>583</v>
      </c>
      <c r="E102" t="s">
        <v>583</v>
      </c>
      <c r="F102" s="705">
        <v>10</v>
      </c>
      <c r="G102" s="705">
        <v>777</v>
      </c>
      <c r="H102" s="705">
        <v>5511</v>
      </c>
      <c r="I102" s="705">
        <v>280113</v>
      </c>
      <c r="J102" s="705">
        <v>254648</v>
      </c>
      <c r="K102" s="705">
        <v>68</v>
      </c>
      <c r="L102" s="705">
        <v>49410</v>
      </c>
      <c r="M102" s="705">
        <v>42747</v>
      </c>
      <c r="N102" s="705">
        <v>16946</v>
      </c>
      <c r="O102" s="705">
        <v>6276</v>
      </c>
      <c r="P102" s="705">
        <v>6332</v>
      </c>
      <c r="Q102" s="705">
        <v>2345</v>
      </c>
      <c r="R102" s="705">
        <v>43765</v>
      </c>
      <c r="S102" s="705">
        <v>39787</v>
      </c>
      <c r="T102" s="705">
        <v>19108</v>
      </c>
      <c r="U102" s="705">
        <v>7077</v>
      </c>
      <c r="V102" s="705">
        <v>352880</v>
      </c>
      <c r="W102" s="705">
        <f t="shared" si="6"/>
        <v>352880</v>
      </c>
      <c r="X102" s="705">
        <f t="shared" si="7"/>
        <v>415674</v>
      </c>
      <c r="Y102" s="705"/>
      <c r="AA102" t="s">
        <v>118</v>
      </c>
      <c r="AB102" t="s">
        <v>228</v>
      </c>
      <c r="AC102" t="s">
        <v>580</v>
      </c>
      <c r="AD102">
        <v>2</v>
      </c>
      <c r="AE102">
        <v>118</v>
      </c>
      <c r="AF102">
        <v>496</v>
      </c>
      <c r="AG102" s="705">
        <v>12431</v>
      </c>
      <c r="AH102" s="705">
        <v>4604</v>
      </c>
      <c r="AI102">
        <v>100</v>
      </c>
      <c r="AJ102">
        <v>390</v>
      </c>
      <c r="AK102">
        <v>144</v>
      </c>
      <c r="AL102" s="705">
        <v>2875</v>
      </c>
      <c r="AM102" s="705">
        <v>1065</v>
      </c>
      <c r="AN102">
        <v>351</v>
      </c>
      <c r="AO102">
        <v>130</v>
      </c>
      <c r="AP102" s="705">
        <v>11573</v>
      </c>
      <c r="AQ102" s="705">
        <v>4286</v>
      </c>
      <c r="AR102" s="705">
        <v>2242</v>
      </c>
      <c r="AS102">
        <v>830</v>
      </c>
      <c r="AT102" s="705">
        <v>11060</v>
      </c>
      <c r="AU102" s="705">
        <f t="shared" si="8"/>
        <v>11059</v>
      </c>
      <c r="AV102" s="705">
        <f t="shared" si="9"/>
        <v>29862</v>
      </c>
    </row>
    <row r="103" spans="2:48" hidden="1">
      <c r="B103" t="s">
        <v>531</v>
      </c>
      <c r="C103" t="s">
        <v>124</v>
      </c>
      <c r="D103" t="s">
        <v>666</v>
      </c>
      <c r="E103" s="705" t="s">
        <v>666</v>
      </c>
      <c r="F103" s="705">
        <v>2</v>
      </c>
      <c r="G103" s="705">
        <v>156</v>
      </c>
      <c r="H103" s="705">
        <v>1417</v>
      </c>
      <c r="I103" s="705">
        <v>83179</v>
      </c>
      <c r="J103" s="705">
        <v>75617</v>
      </c>
      <c r="K103" s="705">
        <v>50</v>
      </c>
      <c r="L103" s="705">
        <v>7797</v>
      </c>
      <c r="M103" s="705">
        <v>7088</v>
      </c>
      <c r="N103" s="705">
        <v>3804</v>
      </c>
      <c r="O103" s="705">
        <v>1409</v>
      </c>
      <c r="P103" s="705">
        <v>702</v>
      </c>
      <c r="Q103" s="705">
        <v>260</v>
      </c>
      <c r="R103" s="705">
        <v>9942</v>
      </c>
      <c r="S103" s="705">
        <v>9038</v>
      </c>
      <c r="T103" s="705">
        <v>4447</v>
      </c>
      <c r="U103" s="705">
        <v>1647</v>
      </c>
      <c r="V103" s="705">
        <v>95060</v>
      </c>
      <c r="W103" s="705">
        <f t="shared" si="6"/>
        <v>95059</v>
      </c>
      <c r="X103" s="705">
        <f t="shared" si="7"/>
        <v>109871</v>
      </c>
      <c r="Y103" s="705"/>
      <c r="AA103" t="s">
        <v>118</v>
      </c>
      <c r="AB103" t="s">
        <v>228</v>
      </c>
      <c r="AC103" t="s">
        <v>581</v>
      </c>
      <c r="AD103">
        <v>2</v>
      </c>
      <c r="AE103">
        <v>231</v>
      </c>
      <c r="AF103">
        <v>484</v>
      </c>
      <c r="AG103" s="705">
        <v>30273</v>
      </c>
      <c r="AH103" s="705">
        <v>11212</v>
      </c>
      <c r="AI103">
        <v>100</v>
      </c>
      <c r="AJ103" s="705">
        <v>2676</v>
      </c>
      <c r="AK103">
        <v>991</v>
      </c>
      <c r="AL103" s="705">
        <v>4885</v>
      </c>
      <c r="AM103" s="705">
        <v>1809</v>
      </c>
      <c r="AN103">
        <v>702</v>
      </c>
      <c r="AO103">
        <v>260</v>
      </c>
      <c r="AP103" s="705">
        <v>15192</v>
      </c>
      <c r="AQ103" s="705">
        <v>5627</v>
      </c>
      <c r="AR103">
        <v>0</v>
      </c>
      <c r="AS103">
        <v>0</v>
      </c>
      <c r="AT103" s="705">
        <v>19899</v>
      </c>
      <c r="AU103" s="705">
        <f t="shared" ref="AU103:AU134" si="10">SUM(ABS(AH103), ABS(AK103),ABS(AM103),ABS(AO103),ABS(AQ103),ABS(AS103))</f>
        <v>19899</v>
      </c>
      <c r="AV103" s="705">
        <f t="shared" ref="AV103:AV134" si="11">SUM(ABS(AG103),ABS(AJ103),ABS(AL103),ABS(AN103),ABS(AP103),ABS(AR103))</f>
        <v>53728</v>
      </c>
    </row>
    <row r="104" spans="2:48" hidden="1">
      <c r="B104" t="s">
        <v>531</v>
      </c>
      <c r="C104" t="s">
        <v>124</v>
      </c>
      <c r="D104" s="705" t="s">
        <v>584</v>
      </c>
      <c r="E104" s="705" t="s">
        <v>584</v>
      </c>
      <c r="F104" s="705">
        <v>1</v>
      </c>
      <c r="G104" s="705">
        <v>40</v>
      </c>
      <c r="H104" s="705">
        <v>456</v>
      </c>
      <c r="I104" s="705">
        <v>11950</v>
      </c>
      <c r="J104" s="705">
        <v>10863</v>
      </c>
      <c r="K104" s="705">
        <v>79</v>
      </c>
      <c r="L104" s="705">
        <v>3315</v>
      </c>
      <c r="M104" s="705">
        <v>3014</v>
      </c>
      <c r="N104" s="705">
        <v>585</v>
      </c>
      <c r="O104" s="705">
        <v>217</v>
      </c>
      <c r="P104" s="705">
        <v>473</v>
      </c>
      <c r="Q104" s="705">
        <v>175</v>
      </c>
      <c r="R104" s="705">
        <v>1903</v>
      </c>
      <c r="S104" s="705">
        <v>1730</v>
      </c>
      <c r="T104">
        <v>0</v>
      </c>
      <c r="U104" s="705">
        <v>0</v>
      </c>
      <c r="V104" s="705">
        <v>15999</v>
      </c>
      <c r="W104" s="705">
        <f t="shared" si="6"/>
        <v>15999</v>
      </c>
      <c r="X104" s="705">
        <f t="shared" si="7"/>
        <v>18226</v>
      </c>
      <c r="Y104" s="705"/>
      <c r="AA104" t="s">
        <v>118</v>
      </c>
      <c r="AB104" t="s">
        <v>228</v>
      </c>
      <c r="AC104" t="s">
        <v>664</v>
      </c>
      <c r="AD104">
        <v>1</v>
      </c>
      <c r="AE104">
        <v>48</v>
      </c>
      <c r="AF104">
        <v>280</v>
      </c>
      <c r="AG104" s="705">
        <v>11194</v>
      </c>
      <c r="AH104" s="705">
        <v>4146</v>
      </c>
      <c r="AI104">
        <v>100</v>
      </c>
      <c r="AJ104">
        <v>0</v>
      </c>
      <c r="AK104">
        <v>0</v>
      </c>
      <c r="AL104">
        <v>582</v>
      </c>
      <c r="AM104">
        <v>215</v>
      </c>
      <c r="AN104">
        <v>122</v>
      </c>
      <c r="AO104">
        <v>45</v>
      </c>
      <c r="AP104" s="705">
        <v>1474</v>
      </c>
      <c r="AQ104" s="705">
        <v>1340</v>
      </c>
      <c r="AR104">
        <v>0</v>
      </c>
      <c r="AS104">
        <v>0</v>
      </c>
      <c r="AT104" s="705">
        <v>5746</v>
      </c>
      <c r="AU104" s="705">
        <f t="shared" si="10"/>
        <v>5746</v>
      </c>
      <c r="AV104" s="705">
        <f t="shared" si="11"/>
        <v>13372</v>
      </c>
    </row>
    <row r="105" spans="2:48" hidden="1">
      <c r="B105" t="s">
        <v>531</v>
      </c>
      <c r="C105" t="s">
        <v>124</v>
      </c>
      <c r="D105" t="s">
        <v>665</v>
      </c>
      <c r="E105" s="705" t="s">
        <v>228</v>
      </c>
      <c r="F105" s="705">
        <v>1</v>
      </c>
      <c r="G105" s="705">
        <v>52</v>
      </c>
      <c r="H105" s="705">
        <v>902</v>
      </c>
      <c r="I105" s="705">
        <v>34508</v>
      </c>
      <c r="J105" s="705">
        <v>31371</v>
      </c>
      <c r="K105" s="705">
        <v>60</v>
      </c>
      <c r="L105" s="705">
        <v>7668</v>
      </c>
      <c r="M105" s="705">
        <v>6971</v>
      </c>
      <c r="N105" s="705">
        <v>1266</v>
      </c>
      <c r="O105">
        <v>469</v>
      </c>
      <c r="P105">
        <v>0</v>
      </c>
      <c r="Q105" s="705">
        <v>0</v>
      </c>
      <c r="R105" s="705">
        <v>3424</v>
      </c>
      <c r="S105" s="705">
        <v>1268</v>
      </c>
      <c r="T105">
        <v>0</v>
      </c>
      <c r="U105" s="705">
        <v>0</v>
      </c>
      <c r="V105" s="705">
        <v>40079</v>
      </c>
      <c r="W105" s="705">
        <f t="shared" si="6"/>
        <v>40079</v>
      </c>
      <c r="X105" s="705">
        <f t="shared" si="7"/>
        <v>46866</v>
      </c>
      <c r="Y105" s="705"/>
      <c r="AA105" t="s">
        <v>118</v>
      </c>
      <c r="AB105" t="s">
        <v>228</v>
      </c>
      <c r="AC105" t="s">
        <v>582</v>
      </c>
      <c r="AD105">
        <v>20</v>
      </c>
      <c r="AE105" s="705">
        <v>1194</v>
      </c>
      <c r="AF105" s="705">
        <v>5318</v>
      </c>
      <c r="AG105" s="705">
        <v>208618</v>
      </c>
      <c r="AH105" s="705">
        <v>77266</v>
      </c>
      <c r="AI105">
        <v>100</v>
      </c>
      <c r="AJ105">
        <v>0</v>
      </c>
      <c r="AK105">
        <v>0</v>
      </c>
      <c r="AL105" s="705">
        <v>22339</v>
      </c>
      <c r="AM105" s="705">
        <v>8274</v>
      </c>
      <c r="AN105">
        <v>0</v>
      </c>
      <c r="AO105">
        <v>0</v>
      </c>
      <c r="AP105" s="705">
        <v>84862</v>
      </c>
      <c r="AQ105" s="705">
        <v>77148</v>
      </c>
      <c r="AR105">
        <v>0</v>
      </c>
      <c r="AS105">
        <v>0</v>
      </c>
      <c r="AT105" s="705">
        <v>162687</v>
      </c>
      <c r="AU105" s="705">
        <f t="shared" si="10"/>
        <v>162688</v>
      </c>
      <c r="AV105" s="705">
        <f t="shared" si="11"/>
        <v>315819</v>
      </c>
    </row>
    <row r="106" spans="2:48" hidden="1">
      <c r="B106" t="s">
        <v>531</v>
      </c>
      <c r="C106" t="s">
        <v>124</v>
      </c>
      <c r="D106" t="s">
        <v>665</v>
      </c>
      <c r="E106" s="705" t="s">
        <v>665</v>
      </c>
      <c r="F106" s="705">
        <v>2</v>
      </c>
      <c r="G106" s="705">
        <v>261</v>
      </c>
      <c r="H106" s="705">
        <v>1358</v>
      </c>
      <c r="I106" s="705">
        <v>157405</v>
      </c>
      <c r="J106" s="705">
        <v>143095</v>
      </c>
      <c r="K106" s="705">
        <v>45</v>
      </c>
      <c r="L106" s="705">
        <v>24057</v>
      </c>
      <c r="M106" s="705">
        <v>21870</v>
      </c>
      <c r="N106" s="705">
        <v>5236</v>
      </c>
      <c r="O106" s="705">
        <v>1939</v>
      </c>
      <c r="P106" s="705">
        <v>702</v>
      </c>
      <c r="Q106" s="705">
        <v>260</v>
      </c>
      <c r="R106" s="705">
        <v>12467</v>
      </c>
      <c r="S106" s="705">
        <v>11333</v>
      </c>
      <c r="T106" s="705">
        <v>5152</v>
      </c>
      <c r="U106" s="705">
        <v>1908</v>
      </c>
      <c r="V106" s="705">
        <v>180406</v>
      </c>
      <c r="W106" s="705">
        <f t="shared" si="6"/>
        <v>180405</v>
      </c>
      <c r="X106" s="705">
        <f t="shared" si="7"/>
        <v>205019</v>
      </c>
      <c r="Y106" s="705"/>
      <c r="AA106" t="s">
        <v>118</v>
      </c>
      <c r="AB106" t="s">
        <v>228</v>
      </c>
      <c r="AC106" t="s">
        <v>228</v>
      </c>
      <c r="AD106" s="705">
        <v>23135</v>
      </c>
      <c r="AE106" s="705">
        <v>1493961</v>
      </c>
      <c r="AF106" s="705">
        <v>6067551</v>
      </c>
      <c r="AG106" s="705">
        <v>197270120</v>
      </c>
      <c r="AH106" s="705">
        <v>73063007</v>
      </c>
      <c r="AI106">
        <v>100</v>
      </c>
      <c r="AJ106" s="705">
        <v>23181819</v>
      </c>
      <c r="AK106" s="705">
        <v>9865336</v>
      </c>
      <c r="AL106" s="705">
        <v>30053383</v>
      </c>
      <c r="AM106" s="705">
        <v>11130882</v>
      </c>
      <c r="AN106" s="705">
        <v>451813</v>
      </c>
      <c r="AO106" s="705">
        <v>167338</v>
      </c>
      <c r="AP106" s="705">
        <v>141033858</v>
      </c>
      <c r="AQ106" s="705">
        <v>52234762</v>
      </c>
      <c r="AR106" s="705">
        <v>184432</v>
      </c>
      <c r="AS106" s="705">
        <v>68308</v>
      </c>
      <c r="AT106" s="705">
        <v>146529633</v>
      </c>
      <c r="AU106" s="705">
        <f t="shared" si="10"/>
        <v>146529633</v>
      </c>
      <c r="AV106" s="705">
        <f t="shared" si="11"/>
        <v>392175425</v>
      </c>
    </row>
    <row r="107" spans="2:48" hidden="1">
      <c r="B107" t="s">
        <v>672</v>
      </c>
      <c r="C107" t="s">
        <v>108</v>
      </c>
      <c r="D107" t="s">
        <v>228</v>
      </c>
      <c r="E107" s="705" t="s">
        <v>228</v>
      </c>
      <c r="F107" s="705">
        <v>19</v>
      </c>
      <c r="G107" s="705">
        <v>1455</v>
      </c>
      <c r="H107" s="705">
        <v>1168</v>
      </c>
      <c r="I107" s="705">
        <v>2465</v>
      </c>
      <c r="J107" s="705">
        <v>913</v>
      </c>
      <c r="K107" s="705">
        <v>452</v>
      </c>
      <c r="L107" s="705">
        <v>-76</v>
      </c>
      <c r="M107" s="705">
        <v>-28</v>
      </c>
      <c r="N107" s="705">
        <v>17730</v>
      </c>
      <c r="O107" s="705">
        <v>6567</v>
      </c>
      <c r="P107" s="705">
        <v>8792</v>
      </c>
      <c r="Q107" s="705">
        <v>3256</v>
      </c>
      <c r="R107" s="705">
        <v>57815</v>
      </c>
      <c r="S107" s="705">
        <v>21413</v>
      </c>
      <c r="T107">
        <v>0</v>
      </c>
      <c r="U107" s="705">
        <v>0</v>
      </c>
      <c r="V107" s="705">
        <v>32121</v>
      </c>
      <c r="W107" s="705">
        <f t="shared" si="6"/>
        <v>32177</v>
      </c>
      <c r="X107" s="705">
        <f t="shared" si="7"/>
        <v>86878</v>
      </c>
      <c r="Y107" s="705"/>
      <c r="AA107" t="s">
        <v>118</v>
      </c>
      <c r="AB107" t="s">
        <v>228</v>
      </c>
      <c r="AC107" t="s">
        <v>583</v>
      </c>
      <c r="AD107">
        <v>3</v>
      </c>
      <c r="AE107">
        <v>210</v>
      </c>
      <c r="AF107">
        <v>697</v>
      </c>
      <c r="AG107" s="705">
        <v>31248</v>
      </c>
      <c r="AH107" s="705">
        <v>11573</v>
      </c>
      <c r="AI107">
        <v>100</v>
      </c>
      <c r="AJ107">
        <v>0</v>
      </c>
      <c r="AK107">
        <v>0</v>
      </c>
      <c r="AL107" s="705">
        <v>4817</v>
      </c>
      <c r="AM107" s="705">
        <v>1784</v>
      </c>
      <c r="AN107">
        <v>0</v>
      </c>
      <c r="AO107">
        <v>0</v>
      </c>
      <c r="AP107" s="705">
        <v>12615</v>
      </c>
      <c r="AQ107" s="705">
        <v>11468</v>
      </c>
      <c r="AR107">
        <v>0</v>
      </c>
      <c r="AS107">
        <v>0</v>
      </c>
      <c r="AT107" s="705">
        <v>24826</v>
      </c>
      <c r="AU107" s="705">
        <f t="shared" si="10"/>
        <v>24825</v>
      </c>
      <c r="AV107" s="705">
        <f t="shared" si="11"/>
        <v>48680</v>
      </c>
    </row>
    <row r="108" spans="2:48" hidden="1">
      <c r="B108" t="s">
        <v>672</v>
      </c>
      <c r="C108" t="s">
        <v>110</v>
      </c>
      <c r="D108" t="s">
        <v>584</v>
      </c>
      <c r="E108" s="705" t="s">
        <v>584</v>
      </c>
      <c r="F108" s="705">
        <v>1</v>
      </c>
      <c r="G108" s="705">
        <v>60</v>
      </c>
      <c r="H108" s="705">
        <v>98</v>
      </c>
      <c r="I108" s="705">
        <v>1910</v>
      </c>
      <c r="J108" s="705">
        <v>1736</v>
      </c>
      <c r="K108" s="705">
        <v>80</v>
      </c>
      <c r="L108" s="705">
        <v>0</v>
      </c>
      <c r="M108" s="705">
        <v>0</v>
      </c>
      <c r="N108" s="705">
        <v>1238</v>
      </c>
      <c r="O108" s="705">
        <v>459</v>
      </c>
      <c r="P108" s="705">
        <v>473</v>
      </c>
      <c r="Q108" s="705">
        <v>175</v>
      </c>
      <c r="R108" s="705">
        <v>2219</v>
      </c>
      <c r="S108" s="705">
        <v>2017</v>
      </c>
      <c r="T108" s="705">
        <v>0</v>
      </c>
      <c r="U108" s="705">
        <v>0</v>
      </c>
      <c r="V108" s="705">
        <v>4387</v>
      </c>
      <c r="W108" s="705">
        <f t="shared" si="6"/>
        <v>4387</v>
      </c>
      <c r="X108" s="705">
        <f t="shared" si="7"/>
        <v>5840</v>
      </c>
      <c r="Y108" s="705"/>
      <c r="AA108" t="s">
        <v>118</v>
      </c>
      <c r="AB108" t="s">
        <v>228</v>
      </c>
      <c r="AC108" t="s">
        <v>584</v>
      </c>
      <c r="AD108">
        <v>16</v>
      </c>
      <c r="AE108" s="705">
        <v>1142</v>
      </c>
      <c r="AF108" s="705">
        <v>4285</v>
      </c>
      <c r="AG108" s="705">
        <v>182279</v>
      </c>
      <c r="AH108" s="705">
        <v>67511</v>
      </c>
      <c r="AI108">
        <v>100</v>
      </c>
      <c r="AJ108" s="705">
        <v>37791</v>
      </c>
      <c r="AK108" s="705">
        <v>15040</v>
      </c>
      <c r="AL108" s="705">
        <v>25694</v>
      </c>
      <c r="AM108" s="705">
        <v>9516</v>
      </c>
      <c r="AN108">
        <v>490</v>
      </c>
      <c r="AO108">
        <v>182</v>
      </c>
      <c r="AP108" s="705">
        <v>59932</v>
      </c>
      <c r="AQ108" s="705">
        <v>54484</v>
      </c>
      <c r="AR108">
        <v>0</v>
      </c>
      <c r="AS108">
        <v>0</v>
      </c>
      <c r="AT108" s="705">
        <v>146732</v>
      </c>
      <c r="AU108" s="705">
        <f t="shared" si="10"/>
        <v>146733</v>
      </c>
      <c r="AV108" s="705">
        <f t="shared" si="11"/>
        <v>306186</v>
      </c>
    </row>
    <row r="109" spans="2:48" hidden="1">
      <c r="B109" t="s">
        <v>672</v>
      </c>
      <c r="C109" t="s">
        <v>112</v>
      </c>
      <c r="D109" t="s">
        <v>228</v>
      </c>
      <c r="E109" t="s">
        <v>228</v>
      </c>
      <c r="F109" s="705">
        <v>1</v>
      </c>
      <c r="G109" s="705">
        <v>122</v>
      </c>
      <c r="H109" s="705">
        <v>110</v>
      </c>
      <c r="I109" s="705">
        <v>2757</v>
      </c>
      <c r="J109" s="705">
        <v>1021</v>
      </c>
      <c r="K109" s="705">
        <v>100</v>
      </c>
      <c r="L109" s="705">
        <v>487</v>
      </c>
      <c r="M109" s="705">
        <v>180</v>
      </c>
      <c r="N109" s="705">
        <v>2074</v>
      </c>
      <c r="O109" s="705">
        <v>768</v>
      </c>
      <c r="P109" s="705">
        <v>0</v>
      </c>
      <c r="Q109" s="705">
        <v>0</v>
      </c>
      <c r="R109" s="705">
        <v>8029</v>
      </c>
      <c r="S109" s="705">
        <v>2974</v>
      </c>
      <c r="T109" s="705">
        <v>0</v>
      </c>
      <c r="U109" s="705">
        <v>0</v>
      </c>
      <c r="V109" s="705">
        <v>4943</v>
      </c>
      <c r="W109" s="705">
        <f t="shared" si="6"/>
        <v>4943</v>
      </c>
      <c r="X109" s="705">
        <f t="shared" si="7"/>
        <v>13347</v>
      </c>
      <c r="Y109" s="705"/>
      <c r="AA109" t="s">
        <v>118</v>
      </c>
      <c r="AB109" t="s">
        <v>228</v>
      </c>
      <c r="AC109" t="s">
        <v>669</v>
      </c>
      <c r="AD109">
        <v>4</v>
      </c>
      <c r="AE109">
        <v>189</v>
      </c>
      <c r="AF109">
        <v>985</v>
      </c>
      <c r="AG109" s="705">
        <v>15231</v>
      </c>
      <c r="AH109" s="705">
        <v>5641</v>
      </c>
      <c r="AI109">
        <v>202</v>
      </c>
      <c r="AJ109" s="705">
        <v>2643</v>
      </c>
      <c r="AK109" s="705">
        <v>2203</v>
      </c>
      <c r="AL109" s="705">
        <v>2889</v>
      </c>
      <c r="AM109" s="705">
        <v>1070</v>
      </c>
      <c r="AN109">
        <v>672</v>
      </c>
      <c r="AO109">
        <v>249</v>
      </c>
      <c r="AP109" s="705">
        <v>18168</v>
      </c>
      <c r="AQ109" s="705">
        <v>15140</v>
      </c>
      <c r="AR109" s="705">
        <v>7174</v>
      </c>
      <c r="AS109" s="705">
        <v>2657</v>
      </c>
      <c r="AT109" s="705">
        <v>26959</v>
      </c>
      <c r="AU109" s="705">
        <f t="shared" si="10"/>
        <v>26960</v>
      </c>
      <c r="AV109" s="705">
        <f t="shared" si="11"/>
        <v>46777</v>
      </c>
    </row>
    <row r="110" spans="2:48" hidden="1">
      <c r="B110" t="s">
        <v>672</v>
      </c>
      <c r="C110" t="s">
        <v>112</v>
      </c>
      <c r="D110" t="s">
        <v>583</v>
      </c>
      <c r="E110" t="s">
        <v>583</v>
      </c>
      <c r="F110" s="705">
        <v>1</v>
      </c>
      <c r="G110" s="705">
        <v>227</v>
      </c>
      <c r="H110" s="705">
        <v>116</v>
      </c>
      <c r="I110" s="705">
        <v>17111</v>
      </c>
      <c r="J110" s="705">
        <v>15556</v>
      </c>
      <c r="K110" s="705">
        <v>94</v>
      </c>
      <c r="L110" s="705">
        <v>3411</v>
      </c>
      <c r="M110" s="705">
        <v>3101</v>
      </c>
      <c r="N110" s="705">
        <v>3119</v>
      </c>
      <c r="O110" s="705">
        <v>1155</v>
      </c>
      <c r="P110">
        <v>621</v>
      </c>
      <c r="Q110">
        <v>230</v>
      </c>
      <c r="R110" s="705">
        <v>1931</v>
      </c>
      <c r="S110" s="705">
        <v>1755</v>
      </c>
      <c r="T110">
        <v>0</v>
      </c>
      <c r="U110" s="705">
        <v>0</v>
      </c>
      <c r="V110" s="705">
        <v>21797</v>
      </c>
      <c r="W110" s="705">
        <f t="shared" si="6"/>
        <v>21797</v>
      </c>
      <c r="X110" s="705">
        <f t="shared" si="7"/>
        <v>26193</v>
      </c>
      <c r="Y110" s="705"/>
      <c r="AA110" t="s">
        <v>118</v>
      </c>
      <c r="AB110" t="s">
        <v>228</v>
      </c>
      <c r="AC110" t="s">
        <v>665</v>
      </c>
      <c r="AD110">
        <v>4</v>
      </c>
      <c r="AE110">
        <v>228</v>
      </c>
      <c r="AF110" s="705">
        <v>1155</v>
      </c>
      <c r="AG110" s="705">
        <v>46293</v>
      </c>
      <c r="AH110" s="705">
        <v>17146</v>
      </c>
      <c r="AI110">
        <v>100</v>
      </c>
      <c r="AJ110" s="705">
        <v>4741</v>
      </c>
      <c r="AK110" s="705">
        <v>2870</v>
      </c>
      <c r="AL110" s="705">
        <v>4781</v>
      </c>
      <c r="AM110" s="705">
        <v>1771</v>
      </c>
      <c r="AN110">
        <v>0</v>
      </c>
      <c r="AO110">
        <v>0</v>
      </c>
      <c r="AP110" s="705">
        <v>9951</v>
      </c>
      <c r="AQ110" s="705">
        <v>9046</v>
      </c>
      <c r="AR110">
        <v>0</v>
      </c>
      <c r="AS110">
        <v>0</v>
      </c>
      <c r="AT110" s="705">
        <v>30833</v>
      </c>
      <c r="AU110" s="705">
        <f t="shared" si="10"/>
        <v>30833</v>
      </c>
      <c r="AV110" s="705">
        <f t="shared" si="11"/>
        <v>65766</v>
      </c>
    </row>
    <row r="111" spans="2:48" hidden="1">
      <c r="B111" t="s">
        <v>672</v>
      </c>
      <c r="C111" t="s">
        <v>112</v>
      </c>
      <c r="D111" t="s">
        <v>584</v>
      </c>
      <c r="E111" s="705" t="s">
        <v>584</v>
      </c>
      <c r="F111" s="705">
        <v>32</v>
      </c>
      <c r="G111" s="705">
        <v>2408</v>
      </c>
      <c r="H111" s="705">
        <v>3699</v>
      </c>
      <c r="I111" s="705">
        <v>102436</v>
      </c>
      <c r="J111" s="705">
        <v>93124</v>
      </c>
      <c r="K111" s="705">
        <v>83</v>
      </c>
      <c r="L111" s="705">
        <v>10740</v>
      </c>
      <c r="M111" s="705">
        <v>4535</v>
      </c>
      <c r="N111" s="705">
        <v>45716</v>
      </c>
      <c r="O111" s="705">
        <v>16932</v>
      </c>
      <c r="P111" s="705">
        <v>16428</v>
      </c>
      <c r="Q111" s="705">
        <v>6084</v>
      </c>
      <c r="R111" s="705">
        <v>100825</v>
      </c>
      <c r="S111" s="705">
        <v>91659</v>
      </c>
      <c r="T111" s="705">
        <v>2613</v>
      </c>
      <c r="U111" s="705">
        <v>968</v>
      </c>
      <c r="V111" s="705">
        <v>213302</v>
      </c>
      <c r="W111" s="705">
        <f t="shared" si="6"/>
        <v>213302</v>
      </c>
      <c r="X111" s="705">
        <f t="shared" si="7"/>
        <v>278758</v>
      </c>
      <c r="Y111" s="705"/>
      <c r="AA111" t="s">
        <v>118</v>
      </c>
      <c r="AB111" t="s">
        <v>583</v>
      </c>
      <c r="AC111" t="s">
        <v>228</v>
      </c>
      <c r="AD111">
        <v>47</v>
      </c>
      <c r="AE111" s="705">
        <v>2576</v>
      </c>
      <c r="AF111" s="705">
        <v>12555</v>
      </c>
      <c r="AG111" s="705">
        <v>338219</v>
      </c>
      <c r="AH111" s="705">
        <v>307472</v>
      </c>
      <c r="AI111">
        <v>81</v>
      </c>
      <c r="AJ111" s="705">
        <v>31073</v>
      </c>
      <c r="AK111" s="705">
        <v>20781</v>
      </c>
      <c r="AL111" s="705">
        <v>54440</v>
      </c>
      <c r="AM111" s="705">
        <v>20163</v>
      </c>
      <c r="AN111" s="705">
        <v>28566</v>
      </c>
      <c r="AO111" s="705">
        <v>10580</v>
      </c>
      <c r="AP111" s="705">
        <v>235412</v>
      </c>
      <c r="AQ111" s="705">
        <v>87190</v>
      </c>
      <c r="AR111">
        <v>0</v>
      </c>
      <c r="AS111">
        <v>0</v>
      </c>
      <c r="AT111" s="705">
        <v>446185</v>
      </c>
      <c r="AU111" s="705">
        <f t="shared" si="10"/>
        <v>446186</v>
      </c>
      <c r="AV111" s="705">
        <f t="shared" si="11"/>
        <v>687710</v>
      </c>
    </row>
    <row r="112" spans="2:48" hidden="1">
      <c r="B112" t="s">
        <v>672</v>
      </c>
      <c r="C112" t="s">
        <v>114</v>
      </c>
      <c r="F112" s="705">
        <v>1</v>
      </c>
      <c r="G112" s="705">
        <v>102</v>
      </c>
      <c r="H112" s="705">
        <v>148</v>
      </c>
      <c r="I112" s="705"/>
      <c r="J112" s="705">
        <v>0</v>
      </c>
      <c r="K112" s="705"/>
      <c r="L112" s="705"/>
      <c r="M112" s="705">
        <v>0</v>
      </c>
      <c r="N112" s="705">
        <v>2477</v>
      </c>
      <c r="O112" s="705">
        <v>917</v>
      </c>
      <c r="P112" s="705">
        <v>456</v>
      </c>
      <c r="Q112" s="705">
        <v>169</v>
      </c>
      <c r="R112" s="705"/>
      <c r="S112" s="705">
        <v>0</v>
      </c>
      <c r="T112" s="705">
        <v>0</v>
      </c>
      <c r="U112" s="705">
        <v>0</v>
      </c>
      <c r="V112" s="705">
        <v>1086</v>
      </c>
      <c r="W112" s="705">
        <f t="shared" si="6"/>
        <v>1086</v>
      </c>
      <c r="X112" s="705">
        <f t="shared" si="7"/>
        <v>2933</v>
      </c>
      <c r="Y112" s="705"/>
      <c r="AA112" t="s">
        <v>118</v>
      </c>
      <c r="AB112" t="s">
        <v>583</v>
      </c>
      <c r="AC112" t="s">
        <v>583</v>
      </c>
      <c r="AD112">
        <v>985</v>
      </c>
      <c r="AE112" s="705">
        <v>95177</v>
      </c>
      <c r="AF112" s="705">
        <v>257743</v>
      </c>
      <c r="AG112" s="705">
        <v>14095681</v>
      </c>
      <c r="AH112" s="705">
        <v>12814255</v>
      </c>
      <c r="AI112">
        <v>81</v>
      </c>
      <c r="AJ112" s="705">
        <v>2792688</v>
      </c>
      <c r="AK112" s="705">
        <v>2385654</v>
      </c>
      <c r="AL112" s="705">
        <v>1924119</v>
      </c>
      <c r="AM112" s="705">
        <v>712637</v>
      </c>
      <c r="AN112" s="705">
        <v>636522</v>
      </c>
      <c r="AO112" s="705">
        <v>235749</v>
      </c>
      <c r="AP112" s="705">
        <v>4459834</v>
      </c>
      <c r="AQ112" s="705">
        <v>4054395</v>
      </c>
      <c r="AR112" s="705">
        <v>1358110</v>
      </c>
      <c r="AS112" s="705">
        <v>503004</v>
      </c>
      <c r="AT112" s="705">
        <v>20705694</v>
      </c>
      <c r="AU112" s="705">
        <f t="shared" si="10"/>
        <v>20705694</v>
      </c>
      <c r="AV112" s="705">
        <f t="shared" si="11"/>
        <v>25266954</v>
      </c>
    </row>
    <row r="113" spans="2:48" hidden="1">
      <c r="B113" t="s">
        <v>672</v>
      </c>
      <c r="C113" t="s">
        <v>114</v>
      </c>
      <c r="D113" t="s">
        <v>228</v>
      </c>
      <c r="E113" t="s">
        <v>228</v>
      </c>
      <c r="F113" s="705">
        <v>8</v>
      </c>
      <c r="G113" s="705">
        <v>853</v>
      </c>
      <c r="H113" s="705">
        <v>1083</v>
      </c>
      <c r="I113" s="705">
        <v>44525</v>
      </c>
      <c r="J113" s="705">
        <v>16491</v>
      </c>
      <c r="K113" s="705">
        <v>175</v>
      </c>
      <c r="L113" s="705">
        <v>12699</v>
      </c>
      <c r="M113" s="705">
        <v>7093</v>
      </c>
      <c r="N113" s="705">
        <v>13177</v>
      </c>
      <c r="O113" s="705">
        <v>4881</v>
      </c>
      <c r="P113" s="705">
        <v>3835</v>
      </c>
      <c r="Q113" s="705">
        <v>1420</v>
      </c>
      <c r="R113" s="705">
        <v>41280</v>
      </c>
      <c r="S113" s="705">
        <v>15289</v>
      </c>
      <c r="T113">
        <v>0</v>
      </c>
      <c r="U113" s="705">
        <v>0</v>
      </c>
      <c r="V113" s="705">
        <v>45173</v>
      </c>
      <c r="W113" s="705">
        <f t="shared" si="6"/>
        <v>45174</v>
      </c>
      <c r="X113" s="705">
        <f t="shared" si="7"/>
        <v>115516</v>
      </c>
      <c r="Y113" s="705"/>
      <c r="AA113" t="s">
        <v>118</v>
      </c>
      <c r="AB113" t="s">
        <v>583</v>
      </c>
      <c r="AC113" t="s">
        <v>666</v>
      </c>
      <c r="AD113">
        <v>1</v>
      </c>
      <c r="AE113">
        <v>114</v>
      </c>
      <c r="AF113">
        <v>285</v>
      </c>
      <c r="AG113" s="705">
        <v>20179</v>
      </c>
      <c r="AH113" s="705">
        <v>18344</v>
      </c>
      <c r="AI113">
        <v>70</v>
      </c>
      <c r="AJ113" s="705">
        <v>2485</v>
      </c>
      <c r="AK113" s="705">
        <v>2259</v>
      </c>
      <c r="AL113" s="705">
        <v>2768</v>
      </c>
      <c r="AM113" s="705">
        <v>1025</v>
      </c>
      <c r="AN113">
        <v>621</v>
      </c>
      <c r="AO113">
        <v>230</v>
      </c>
      <c r="AP113" s="705">
        <v>3796</v>
      </c>
      <c r="AQ113" s="705">
        <v>3451</v>
      </c>
      <c r="AR113" s="705">
        <v>2508</v>
      </c>
      <c r="AS113">
        <v>929</v>
      </c>
      <c r="AT113" s="705">
        <v>26238</v>
      </c>
      <c r="AU113" s="705">
        <f t="shared" si="10"/>
        <v>26238</v>
      </c>
      <c r="AV113" s="705">
        <f t="shared" si="11"/>
        <v>32357</v>
      </c>
    </row>
    <row r="114" spans="2:48" hidden="1">
      <c r="B114" t="s">
        <v>672</v>
      </c>
      <c r="C114" t="s">
        <v>114</v>
      </c>
      <c r="D114" t="s">
        <v>583</v>
      </c>
      <c r="E114" t="s">
        <v>583</v>
      </c>
      <c r="F114" s="705">
        <v>9</v>
      </c>
      <c r="G114" s="705">
        <v>1585</v>
      </c>
      <c r="H114" s="705">
        <v>1240</v>
      </c>
      <c r="I114" s="705">
        <v>130465</v>
      </c>
      <c r="J114" s="705">
        <v>118605</v>
      </c>
      <c r="K114" s="705">
        <v>89</v>
      </c>
      <c r="L114" s="705">
        <v>25361</v>
      </c>
      <c r="M114" s="705">
        <v>22647</v>
      </c>
      <c r="N114" s="705">
        <v>39035</v>
      </c>
      <c r="O114" s="705">
        <v>14457</v>
      </c>
      <c r="P114" s="705">
        <v>5589</v>
      </c>
      <c r="Q114" s="705">
        <v>2070</v>
      </c>
      <c r="R114" s="705">
        <v>54004</v>
      </c>
      <c r="S114" s="705">
        <v>49095</v>
      </c>
      <c r="T114">
        <v>0</v>
      </c>
      <c r="U114" s="705">
        <v>0</v>
      </c>
      <c r="V114" s="705">
        <v>206874</v>
      </c>
      <c r="W114" s="705">
        <f t="shared" si="6"/>
        <v>206874</v>
      </c>
      <c r="X114" s="705">
        <f t="shared" si="7"/>
        <v>254454</v>
      </c>
      <c r="Y114" s="705"/>
      <c r="AA114" t="s">
        <v>118</v>
      </c>
      <c r="AB114" t="s">
        <v>583</v>
      </c>
      <c r="AC114" t="s">
        <v>665</v>
      </c>
      <c r="AD114">
        <v>1</v>
      </c>
      <c r="AE114">
        <v>137</v>
      </c>
      <c r="AF114">
        <v>268</v>
      </c>
      <c r="AG114" s="705">
        <v>26911</v>
      </c>
      <c r="AH114" s="705">
        <v>24465</v>
      </c>
      <c r="AI114">
        <v>70</v>
      </c>
      <c r="AJ114" s="705">
        <v>3314</v>
      </c>
      <c r="AK114" s="705">
        <v>3013</v>
      </c>
      <c r="AL114" s="705">
        <v>2474</v>
      </c>
      <c r="AM114">
        <v>916</v>
      </c>
      <c r="AN114">
        <v>621</v>
      </c>
      <c r="AO114">
        <v>230</v>
      </c>
      <c r="AP114" s="705">
        <v>2800</v>
      </c>
      <c r="AQ114" s="705">
        <v>2546</v>
      </c>
      <c r="AR114">
        <v>617</v>
      </c>
      <c r="AS114">
        <v>229</v>
      </c>
      <c r="AT114" s="705">
        <v>31398</v>
      </c>
      <c r="AU114" s="705">
        <f t="shared" si="10"/>
        <v>31399</v>
      </c>
      <c r="AV114" s="705">
        <f t="shared" si="11"/>
        <v>36737</v>
      </c>
    </row>
    <row r="115" spans="2:48" hidden="1">
      <c r="B115" t="s">
        <v>672</v>
      </c>
      <c r="C115" t="s">
        <v>114</v>
      </c>
      <c r="D115" t="s">
        <v>584</v>
      </c>
      <c r="E115" t="s">
        <v>584</v>
      </c>
      <c r="F115" s="705">
        <v>122</v>
      </c>
      <c r="G115" s="705">
        <v>9599</v>
      </c>
      <c r="H115" s="705">
        <v>17039</v>
      </c>
      <c r="I115" s="705">
        <v>603479</v>
      </c>
      <c r="J115" s="705">
        <v>548618</v>
      </c>
      <c r="K115" s="705">
        <v>84</v>
      </c>
      <c r="L115" s="705">
        <v>65409</v>
      </c>
      <c r="M115" s="705">
        <v>38436</v>
      </c>
      <c r="N115" s="705">
        <v>187653</v>
      </c>
      <c r="O115" s="705">
        <v>69501</v>
      </c>
      <c r="P115" s="705">
        <v>67806</v>
      </c>
      <c r="Q115" s="705">
        <v>25113</v>
      </c>
      <c r="R115" s="705">
        <v>404178</v>
      </c>
      <c r="S115" s="705">
        <v>367434</v>
      </c>
      <c r="T115" s="705">
        <v>16056</v>
      </c>
      <c r="U115" s="705">
        <v>5947</v>
      </c>
      <c r="V115" s="705">
        <v>1055050</v>
      </c>
      <c r="W115" s="705">
        <f t="shared" si="6"/>
        <v>1055049</v>
      </c>
      <c r="X115" s="705">
        <f t="shared" si="7"/>
        <v>1344581</v>
      </c>
      <c r="Y115" s="705"/>
      <c r="AA115" t="s">
        <v>118</v>
      </c>
      <c r="AB115" t="s">
        <v>666</v>
      </c>
      <c r="AC115" t="s">
        <v>228</v>
      </c>
      <c r="AD115">
        <v>1</v>
      </c>
      <c r="AE115">
        <v>91</v>
      </c>
      <c r="AF115">
        <v>278</v>
      </c>
      <c r="AG115" s="705">
        <v>13959</v>
      </c>
      <c r="AH115" s="705">
        <v>12690</v>
      </c>
      <c r="AI115">
        <v>30</v>
      </c>
      <c r="AJ115" s="705">
        <v>2570</v>
      </c>
      <c r="AK115">
        <v>952</v>
      </c>
      <c r="AL115" s="705">
        <v>2226</v>
      </c>
      <c r="AM115">
        <v>824</v>
      </c>
      <c r="AN115">
        <v>0</v>
      </c>
      <c r="AO115">
        <v>0</v>
      </c>
      <c r="AP115" s="705">
        <v>6613</v>
      </c>
      <c r="AQ115" s="705">
        <v>2449</v>
      </c>
      <c r="AR115">
        <v>0</v>
      </c>
      <c r="AS115">
        <v>0</v>
      </c>
      <c r="AT115" s="705">
        <v>16915</v>
      </c>
      <c r="AU115" s="705">
        <f t="shared" si="10"/>
        <v>16915</v>
      </c>
      <c r="AV115" s="705">
        <f t="shared" si="11"/>
        <v>25368</v>
      </c>
    </row>
    <row r="116" spans="2:48" hidden="1">
      <c r="B116" t="s">
        <v>672</v>
      </c>
      <c r="C116" t="s">
        <v>116</v>
      </c>
      <c r="F116" s="705">
        <v>2</v>
      </c>
      <c r="G116" s="705">
        <v>191</v>
      </c>
      <c r="H116" s="705">
        <v>369</v>
      </c>
      <c r="I116" s="705"/>
      <c r="J116" s="705">
        <v>0</v>
      </c>
      <c r="K116" s="705"/>
      <c r="L116" s="705"/>
      <c r="M116" s="705">
        <v>0</v>
      </c>
      <c r="N116" s="705">
        <v>2330</v>
      </c>
      <c r="O116" s="705">
        <v>863</v>
      </c>
      <c r="P116" s="705">
        <v>848</v>
      </c>
      <c r="Q116" s="705">
        <v>314</v>
      </c>
      <c r="R116" s="705"/>
      <c r="S116" s="705">
        <v>0</v>
      </c>
      <c r="T116" s="705">
        <v>0</v>
      </c>
      <c r="U116" s="705">
        <v>0</v>
      </c>
      <c r="V116" s="705">
        <v>1177</v>
      </c>
      <c r="W116" s="705">
        <f t="shared" si="6"/>
        <v>1177</v>
      </c>
      <c r="X116" s="705">
        <f t="shared" si="7"/>
        <v>3178</v>
      </c>
      <c r="Y116" s="705"/>
      <c r="AA116" t="s">
        <v>118</v>
      </c>
      <c r="AB116" t="s">
        <v>666</v>
      </c>
      <c r="AC116" t="s">
        <v>666</v>
      </c>
      <c r="AD116">
        <v>4</v>
      </c>
      <c r="AE116">
        <v>311</v>
      </c>
      <c r="AF116" s="705">
        <v>1099</v>
      </c>
      <c r="AG116" s="705">
        <v>41628</v>
      </c>
      <c r="AH116" s="705">
        <v>37844</v>
      </c>
      <c r="AI116">
        <v>60</v>
      </c>
      <c r="AJ116" s="705">
        <v>7835</v>
      </c>
      <c r="AK116" s="705">
        <v>5585</v>
      </c>
      <c r="AL116" s="705">
        <v>4806</v>
      </c>
      <c r="AM116" s="705">
        <v>1780</v>
      </c>
      <c r="AN116" s="705">
        <v>1404</v>
      </c>
      <c r="AO116">
        <v>520</v>
      </c>
      <c r="AP116" s="705">
        <v>27162</v>
      </c>
      <c r="AQ116" s="705">
        <v>24693</v>
      </c>
      <c r="AR116" s="705">
        <v>2185</v>
      </c>
      <c r="AS116">
        <v>809</v>
      </c>
      <c r="AT116" s="705">
        <v>71231</v>
      </c>
      <c r="AU116" s="705">
        <f t="shared" si="10"/>
        <v>71231</v>
      </c>
      <c r="AV116" s="705">
        <f t="shared" si="11"/>
        <v>85020</v>
      </c>
    </row>
    <row r="117" spans="2:48" hidden="1">
      <c r="B117" t="s">
        <v>672</v>
      </c>
      <c r="C117" t="s">
        <v>116</v>
      </c>
      <c r="D117" t="s">
        <v>664</v>
      </c>
      <c r="E117" t="s">
        <v>664</v>
      </c>
      <c r="F117">
        <v>3</v>
      </c>
      <c r="G117">
        <v>227</v>
      </c>
      <c r="H117" s="705">
        <v>537</v>
      </c>
      <c r="I117" s="705">
        <v>20632</v>
      </c>
      <c r="J117" s="705">
        <v>18757</v>
      </c>
      <c r="K117" s="705">
        <v>86</v>
      </c>
      <c r="L117" s="705">
        <v>3750</v>
      </c>
      <c r="M117" s="705">
        <v>3410</v>
      </c>
      <c r="N117" s="705">
        <v>2771</v>
      </c>
      <c r="O117" s="705">
        <v>1026</v>
      </c>
      <c r="P117" s="705">
        <v>1418</v>
      </c>
      <c r="Q117" s="705">
        <v>525</v>
      </c>
      <c r="R117" s="705">
        <v>11999</v>
      </c>
      <c r="S117" s="705">
        <v>10908</v>
      </c>
      <c r="T117">
        <v>0</v>
      </c>
      <c r="U117" s="705">
        <v>0</v>
      </c>
      <c r="V117" s="705">
        <v>34625</v>
      </c>
      <c r="W117" s="705">
        <f t="shared" si="6"/>
        <v>34626</v>
      </c>
      <c r="X117" s="705">
        <f t="shared" si="7"/>
        <v>40570</v>
      </c>
      <c r="Y117" s="705"/>
      <c r="AA117" t="s">
        <v>118</v>
      </c>
      <c r="AB117" t="s">
        <v>584</v>
      </c>
      <c r="AC117" t="s">
        <v>582</v>
      </c>
      <c r="AD117">
        <v>1</v>
      </c>
      <c r="AE117">
        <v>75</v>
      </c>
      <c r="AF117">
        <v>259</v>
      </c>
      <c r="AG117" s="705">
        <v>8971</v>
      </c>
      <c r="AH117" s="705">
        <v>8156</v>
      </c>
      <c r="AI117">
        <v>80</v>
      </c>
      <c r="AJ117" s="705">
        <v>3768</v>
      </c>
      <c r="AK117" s="705">
        <v>3425</v>
      </c>
      <c r="AL117">
        <v>919</v>
      </c>
      <c r="AM117">
        <v>340</v>
      </c>
      <c r="AN117">
        <v>473</v>
      </c>
      <c r="AO117">
        <v>175</v>
      </c>
      <c r="AP117" s="705">
        <v>5427</v>
      </c>
      <c r="AQ117" s="705">
        <v>4934</v>
      </c>
      <c r="AR117">
        <v>0</v>
      </c>
      <c r="AS117">
        <v>0</v>
      </c>
      <c r="AT117" s="705">
        <v>17030</v>
      </c>
      <c r="AU117" s="705">
        <f t="shared" si="10"/>
        <v>17030</v>
      </c>
      <c r="AV117" s="705">
        <f t="shared" si="11"/>
        <v>19558</v>
      </c>
    </row>
    <row r="118" spans="2:48" hidden="1">
      <c r="B118" t="s">
        <v>672</v>
      </c>
      <c r="C118" t="s">
        <v>116</v>
      </c>
      <c r="D118" t="s">
        <v>582</v>
      </c>
      <c r="E118" t="s">
        <v>582</v>
      </c>
      <c r="F118">
        <v>25</v>
      </c>
      <c r="G118" s="705">
        <v>1808</v>
      </c>
      <c r="H118" s="705">
        <v>4246</v>
      </c>
      <c r="I118" s="705">
        <v>176534</v>
      </c>
      <c r="J118" s="705">
        <v>160485</v>
      </c>
      <c r="K118" s="705">
        <v>86</v>
      </c>
      <c r="L118" s="705">
        <v>16752</v>
      </c>
      <c r="M118" s="705">
        <v>13540</v>
      </c>
      <c r="N118" s="705">
        <v>37898</v>
      </c>
      <c r="O118" s="705">
        <v>14036</v>
      </c>
      <c r="P118" s="705">
        <v>11570</v>
      </c>
      <c r="Q118" s="705">
        <v>4285</v>
      </c>
      <c r="R118" s="705">
        <v>63862</v>
      </c>
      <c r="S118" s="705">
        <v>58056</v>
      </c>
      <c r="T118" s="705">
        <v>2687</v>
      </c>
      <c r="U118" s="705">
        <v>995</v>
      </c>
      <c r="V118" s="705">
        <v>251398</v>
      </c>
      <c r="W118" s="705">
        <f t="shared" si="6"/>
        <v>251397</v>
      </c>
      <c r="X118" s="705">
        <f t="shared" si="7"/>
        <v>309303</v>
      </c>
      <c r="Y118" s="705"/>
      <c r="AA118" t="s">
        <v>118</v>
      </c>
      <c r="AB118" t="s">
        <v>584</v>
      </c>
      <c r="AC118" t="s">
        <v>228</v>
      </c>
      <c r="AD118">
        <v>107</v>
      </c>
      <c r="AE118" s="705">
        <v>5320</v>
      </c>
      <c r="AF118" s="705">
        <v>27949</v>
      </c>
      <c r="AG118" s="705">
        <v>713316</v>
      </c>
      <c r="AH118" s="705">
        <v>648469</v>
      </c>
      <c r="AI118">
        <v>79</v>
      </c>
      <c r="AJ118" s="705">
        <v>32613</v>
      </c>
      <c r="AK118" s="705">
        <v>25192</v>
      </c>
      <c r="AL118" s="705">
        <v>111965</v>
      </c>
      <c r="AM118" s="705">
        <v>41468</v>
      </c>
      <c r="AN118" s="705">
        <v>44415</v>
      </c>
      <c r="AO118" s="705">
        <v>16450</v>
      </c>
      <c r="AP118" s="705">
        <v>486606</v>
      </c>
      <c r="AQ118" s="705">
        <v>180225</v>
      </c>
      <c r="AR118" s="705">
        <v>1958</v>
      </c>
      <c r="AS118">
        <v>725</v>
      </c>
      <c r="AT118" s="705">
        <v>912529</v>
      </c>
      <c r="AU118" s="705">
        <f t="shared" si="10"/>
        <v>912529</v>
      </c>
      <c r="AV118" s="705">
        <f t="shared" si="11"/>
        <v>1390873</v>
      </c>
    </row>
    <row r="119" spans="2:48" hidden="1">
      <c r="B119" t="s">
        <v>672</v>
      </c>
      <c r="C119" t="s">
        <v>116</v>
      </c>
      <c r="D119" t="s">
        <v>228</v>
      </c>
      <c r="E119" t="s">
        <v>228</v>
      </c>
      <c r="F119">
        <v>228</v>
      </c>
      <c r="G119" s="705">
        <v>18051</v>
      </c>
      <c r="H119" s="705">
        <v>45548</v>
      </c>
      <c r="I119" s="705">
        <v>1533141</v>
      </c>
      <c r="J119" s="705">
        <v>567830</v>
      </c>
      <c r="K119" s="705">
        <v>101</v>
      </c>
      <c r="L119" s="705">
        <v>223499</v>
      </c>
      <c r="M119" s="705">
        <v>96855</v>
      </c>
      <c r="N119" s="705">
        <v>353009</v>
      </c>
      <c r="O119" s="705">
        <v>130744</v>
      </c>
      <c r="P119" s="705">
        <v>3977</v>
      </c>
      <c r="Q119" s="705">
        <v>1473</v>
      </c>
      <c r="R119" s="705">
        <v>1496101</v>
      </c>
      <c r="S119" s="705">
        <v>554111</v>
      </c>
      <c r="T119" s="705">
        <v>6702</v>
      </c>
      <c r="U119" s="705">
        <v>2482</v>
      </c>
      <c r="V119" s="705">
        <v>1353496</v>
      </c>
      <c r="W119" s="705">
        <f t="shared" si="6"/>
        <v>1353495</v>
      </c>
      <c r="X119" s="705">
        <f t="shared" si="7"/>
        <v>3616429</v>
      </c>
      <c r="Y119" s="705"/>
      <c r="AA119" t="s">
        <v>118</v>
      </c>
      <c r="AB119" t="s">
        <v>584</v>
      </c>
      <c r="AC119" t="s">
        <v>584</v>
      </c>
      <c r="AD119" s="705">
        <v>5664</v>
      </c>
      <c r="AE119" s="705">
        <v>360034</v>
      </c>
      <c r="AF119" s="705">
        <v>1449434</v>
      </c>
      <c r="AG119" s="705">
        <v>47046015</v>
      </c>
      <c r="AH119" s="705">
        <v>42769104</v>
      </c>
      <c r="AI119">
        <v>78</v>
      </c>
      <c r="AJ119" s="705">
        <v>7830867</v>
      </c>
      <c r="AK119" s="705">
        <v>6713502</v>
      </c>
      <c r="AL119" s="705">
        <v>7453807</v>
      </c>
      <c r="AM119" s="705">
        <v>2760669</v>
      </c>
      <c r="AN119" s="705">
        <v>2694567</v>
      </c>
      <c r="AO119" s="705">
        <v>997988</v>
      </c>
      <c r="AP119" s="705">
        <v>22682571</v>
      </c>
      <c r="AQ119" s="705">
        <v>20620519</v>
      </c>
      <c r="AR119" s="705">
        <v>4631469</v>
      </c>
      <c r="AS119" s="705">
        <v>1715359</v>
      </c>
      <c r="AT119" s="705">
        <v>75577141</v>
      </c>
      <c r="AU119" s="705">
        <f t="shared" si="10"/>
        <v>75577141</v>
      </c>
      <c r="AV119" s="705">
        <f t="shared" si="11"/>
        <v>92339296</v>
      </c>
    </row>
    <row r="120" spans="2:48" hidden="1">
      <c r="B120" t="s">
        <v>672</v>
      </c>
      <c r="C120" t="s">
        <v>116</v>
      </c>
      <c r="D120" t="s">
        <v>583</v>
      </c>
      <c r="E120" t="s">
        <v>228</v>
      </c>
      <c r="F120">
        <v>1</v>
      </c>
      <c r="G120" s="705">
        <v>103</v>
      </c>
      <c r="H120" s="705">
        <v>190</v>
      </c>
      <c r="I120" s="705">
        <v>9010</v>
      </c>
      <c r="J120" s="705">
        <v>8191</v>
      </c>
      <c r="K120" s="705">
        <v>79</v>
      </c>
      <c r="L120" s="705">
        <v>1843</v>
      </c>
      <c r="M120" s="705">
        <v>683</v>
      </c>
      <c r="N120" s="705">
        <v>2499</v>
      </c>
      <c r="O120" s="705">
        <v>926</v>
      </c>
      <c r="P120">
        <v>621</v>
      </c>
      <c r="Q120" s="705">
        <v>230</v>
      </c>
      <c r="R120" s="705">
        <v>5462</v>
      </c>
      <c r="S120" s="705">
        <v>2023</v>
      </c>
      <c r="T120" s="705">
        <v>0</v>
      </c>
      <c r="U120" s="705">
        <v>0</v>
      </c>
      <c r="V120" s="705">
        <v>12052</v>
      </c>
      <c r="W120" s="705">
        <f t="shared" si="6"/>
        <v>12053</v>
      </c>
      <c r="X120" s="705">
        <f t="shared" si="7"/>
        <v>19435</v>
      </c>
      <c r="Y120" s="705"/>
      <c r="AA120" t="s">
        <v>118</v>
      </c>
      <c r="AB120" t="s">
        <v>584</v>
      </c>
      <c r="AC120" t="s">
        <v>669</v>
      </c>
      <c r="AD120">
        <v>1</v>
      </c>
      <c r="AE120">
        <v>79</v>
      </c>
      <c r="AF120">
        <v>270</v>
      </c>
      <c r="AG120" s="705">
        <v>11159</v>
      </c>
      <c r="AH120" s="705">
        <v>10145</v>
      </c>
      <c r="AI120">
        <v>79</v>
      </c>
      <c r="AJ120" s="705">
        <v>3386</v>
      </c>
      <c r="AK120" s="705">
        <v>2822</v>
      </c>
      <c r="AL120" s="705">
        <v>1318</v>
      </c>
      <c r="AM120">
        <v>488</v>
      </c>
      <c r="AN120">
        <v>473</v>
      </c>
      <c r="AO120">
        <v>175</v>
      </c>
      <c r="AP120" s="705">
        <v>5006</v>
      </c>
      <c r="AQ120" s="705">
        <v>4172</v>
      </c>
      <c r="AR120">
        <v>0</v>
      </c>
      <c r="AS120">
        <v>0</v>
      </c>
      <c r="AT120" s="705">
        <v>17802</v>
      </c>
      <c r="AU120" s="705">
        <f t="shared" si="10"/>
        <v>17802</v>
      </c>
      <c r="AV120" s="705">
        <f t="shared" si="11"/>
        <v>21342</v>
      </c>
    </row>
    <row r="121" spans="2:48" hidden="1">
      <c r="B121" t="s">
        <v>672</v>
      </c>
      <c r="C121" t="s">
        <v>116</v>
      </c>
      <c r="D121" t="s">
        <v>583</v>
      </c>
      <c r="E121" t="s">
        <v>583</v>
      </c>
      <c r="F121" s="705">
        <v>48</v>
      </c>
      <c r="G121" s="705">
        <v>6540</v>
      </c>
      <c r="H121" s="705">
        <v>9007</v>
      </c>
      <c r="I121" s="705">
        <v>685114</v>
      </c>
      <c r="J121" s="705">
        <v>622831</v>
      </c>
      <c r="K121" s="705">
        <v>85</v>
      </c>
      <c r="L121" s="705">
        <v>145727</v>
      </c>
      <c r="M121" s="705">
        <v>124893</v>
      </c>
      <c r="N121" s="705">
        <v>129073</v>
      </c>
      <c r="O121" s="705">
        <v>47805</v>
      </c>
      <c r="P121" s="705">
        <v>31212</v>
      </c>
      <c r="Q121" s="705">
        <v>11560</v>
      </c>
      <c r="R121" s="705">
        <v>238798</v>
      </c>
      <c r="S121" s="705">
        <v>217089</v>
      </c>
      <c r="T121" s="705">
        <v>58881</v>
      </c>
      <c r="U121" s="705">
        <v>21808</v>
      </c>
      <c r="V121" s="705">
        <v>1045986</v>
      </c>
      <c r="W121" s="705">
        <f t="shared" si="6"/>
        <v>1045986</v>
      </c>
      <c r="X121" s="705">
        <f t="shared" si="7"/>
        <v>1288805</v>
      </c>
      <c r="Y121" s="705"/>
      <c r="AA121" t="s">
        <v>118</v>
      </c>
      <c r="AB121" t="s">
        <v>584</v>
      </c>
      <c r="AC121" t="s">
        <v>673</v>
      </c>
      <c r="AD121">
        <v>1</v>
      </c>
      <c r="AE121">
        <v>45</v>
      </c>
      <c r="AF121">
        <v>247</v>
      </c>
      <c r="AG121" s="705">
        <v>6302</v>
      </c>
      <c r="AH121" s="705">
        <v>5729</v>
      </c>
      <c r="AI121">
        <v>90</v>
      </c>
      <c r="AJ121">
        <v>760</v>
      </c>
      <c r="AK121">
        <v>691</v>
      </c>
      <c r="AL121">
        <v>550</v>
      </c>
      <c r="AM121">
        <v>204</v>
      </c>
      <c r="AN121">
        <v>473</v>
      </c>
      <c r="AO121">
        <v>175</v>
      </c>
      <c r="AP121" s="705">
        <v>3041</v>
      </c>
      <c r="AQ121" s="705">
        <v>2764</v>
      </c>
      <c r="AR121">
        <v>0</v>
      </c>
      <c r="AS121">
        <v>0</v>
      </c>
      <c r="AT121" s="705">
        <v>9563</v>
      </c>
      <c r="AU121" s="705">
        <f t="shared" si="10"/>
        <v>9563</v>
      </c>
      <c r="AV121" s="705">
        <f t="shared" si="11"/>
        <v>11126</v>
      </c>
    </row>
    <row r="122" spans="2:48" hidden="1">
      <c r="B122" t="s">
        <v>672</v>
      </c>
      <c r="C122" t="s">
        <v>116</v>
      </c>
      <c r="D122" t="s">
        <v>584</v>
      </c>
      <c r="E122" t="s">
        <v>584</v>
      </c>
      <c r="F122" s="705">
        <v>287</v>
      </c>
      <c r="G122" s="705">
        <v>22175</v>
      </c>
      <c r="H122" s="705">
        <v>51822</v>
      </c>
      <c r="I122" s="705">
        <v>1925919</v>
      </c>
      <c r="J122" s="705">
        <v>1750835</v>
      </c>
      <c r="K122" s="705">
        <v>81</v>
      </c>
      <c r="L122" s="705">
        <v>228947</v>
      </c>
      <c r="M122" s="705">
        <v>158564</v>
      </c>
      <c r="N122" s="705">
        <v>462774</v>
      </c>
      <c r="O122" s="705">
        <v>171398</v>
      </c>
      <c r="P122" s="705">
        <v>153831</v>
      </c>
      <c r="Q122" s="705">
        <v>56975</v>
      </c>
      <c r="R122" s="705">
        <v>1121629</v>
      </c>
      <c r="S122" s="705">
        <v>1019663</v>
      </c>
      <c r="T122" s="705">
        <v>95318</v>
      </c>
      <c r="U122" s="705">
        <v>35303</v>
      </c>
      <c r="V122" s="705">
        <v>3192737</v>
      </c>
      <c r="W122" s="705">
        <f t="shared" si="6"/>
        <v>3192738</v>
      </c>
      <c r="X122" s="705">
        <f t="shared" si="7"/>
        <v>3988418</v>
      </c>
      <c r="Y122" s="705"/>
      <c r="AA122" t="s">
        <v>118</v>
      </c>
      <c r="AB122" t="s">
        <v>669</v>
      </c>
      <c r="AC122" t="s">
        <v>228</v>
      </c>
      <c r="AD122">
        <v>3</v>
      </c>
      <c r="AE122">
        <v>142</v>
      </c>
      <c r="AF122">
        <v>861</v>
      </c>
      <c r="AG122" s="705">
        <v>17902</v>
      </c>
      <c r="AH122" s="705">
        <v>14919</v>
      </c>
      <c r="AI122">
        <v>48</v>
      </c>
      <c r="AJ122" s="705">
        <v>2895</v>
      </c>
      <c r="AK122" s="705">
        <v>1072</v>
      </c>
      <c r="AL122" s="705">
        <v>2969</v>
      </c>
      <c r="AM122" s="705">
        <v>1100</v>
      </c>
      <c r="AN122">
        <v>351</v>
      </c>
      <c r="AO122">
        <v>130</v>
      </c>
      <c r="AP122" s="705">
        <v>16732</v>
      </c>
      <c r="AQ122" s="705">
        <v>6197</v>
      </c>
      <c r="AR122">
        <v>0</v>
      </c>
      <c r="AS122">
        <v>0</v>
      </c>
      <c r="AT122" s="705">
        <v>23417</v>
      </c>
      <c r="AU122" s="705">
        <f t="shared" si="10"/>
        <v>23418</v>
      </c>
      <c r="AV122" s="705">
        <f t="shared" si="11"/>
        <v>40849</v>
      </c>
    </row>
    <row r="123" spans="2:48" hidden="1">
      <c r="B123" t="s">
        <v>672</v>
      </c>
      <c r="C123" t="s">
        <v>116</v>
      </c>
      <c r="D123" t="s">
        <v>671</v>
      </c>
      <c r="E123" t="s">
        <v>671</v>
      </c>
      <c r="F123">
        <v>1</v>
      </c>
      <c r="G123">
        <v>69</v>
      </c>
      <c r="H123" s="705">
        <v>194</v>
      </c>
      <c r="I123" s="705">
        <v>5574</v>
      </c>
      <c r="J123" s="705">
        <v>5067</v>
      </c>
      <c r="K123" s="705">
        <v>65</v>
      </c>
      <c r="L123" s="705">
        <v>0</v>
      </c>
      <c r="M123" s="705">
        <v>0</v>
      </c>
      <c r="N123" s="705">
        <v>1616</v>
      </c>
      <c r="O123" s="705">
        <v>599</v>
      </c>
      <c r="P123" s="705">
        <v>351</v>
      </c>
      <c r="Q123" s="705">
        <v>130</v>
      </c>
      <c r="R123" s="705">
        <v>3893</v>
      </c>
      <c r="S123" s="705">
        <v>3539</v>
      </c>
      <c r="T123" s="705">
        <v>1973</v>
      </c>
      <c r="U123" s="705">
        <v>731</v>
      </c>
      <c r="V123" s="705">
        <v>10066</v>
      </c>
      <c r="W123" s="705">
        <f t="shared" si="6"/>
        <v>10066</v>
      </c>
      <c r="X123" s="705">
        <f t="shared" si="7"/>
        <v>13407</v>
      </c>
      <c r="Y123" s="705"/>
      <c r="AA123" t="s">
        <v>118</v>
      </c>
      <c r="AB123" t="s">
        <v>669</v>
      </c>
      <c r="AC123" t="s">
        <v>669</v>
      </c>
      <c r="AD123">
        <v>45</v>
      </c>
      <c r="AE123" s="705">
        <v>2785</v>
      </c>
      <c r="AF123" s="705">
        <v>12302</v>
      </c>
      <c r="AG123" s="705">
        <v>371786</v>
      </c>
      <c r="AH123" s="705">
        <v>309822</v>
      </c>
      <c r="AI123">
        <v>59</v>
      </c>
      <c r="AJ123" s="705">
        <v>18819</v>
      </c>
      <c r="AK123" s="705">
        <v>8953</v>
      </c>
      <c r="AL123" s="705">
        <v>51784</v>
      </c>
      <c r="AM123" s="705">
        <v>19179</v>
      </c>
      <c r="AN123" s="705">
        <v>15444</v>
      </c>
      <c r="AO123" s="705">
        <v>5720</v>
      </c>
      <c r="AP123" s="705">
        <v>217994</v>
      </c>
      <c r="AQ123" s="705">
        <v>181662</v>
      </c>
      <c r="AR123" s="705">
        <v>85162</v>
      </c>
      <c r="AS123" s="705">
        <v>31541</v>
      </c>
      <c r="AT123" s="705">
        <v>556877</v>
      </c>
      <c r="AU123" s="705">
        <f t="shared" si="10"/>
        <v>556877</v>
      </c>
      <c r="AV123" s="705">
        <f t="shared" si="11"/>
        <v>760989</v>
      </c>
    </row>
    <row r="124" spans="2:48" hidden="1">
      <c r="B124" t="s">
        <v>672</v>
      </c>
      <c r="C124" t="s">
        <v>116</v>
      </c>
      <c r="D124" t="s">
        <v>665</v>
      </c>
      <c r="E124" t="s">
        <v>665</v>
      </c>
      <c r="F124" s="705">
        <v>1</v>
      </c>
      <c r="G124" s="705">
        <v>50</v>
      </c>
      <c r="H124" s="705">
        <v>212</v>
      </c>
      <c r="I124" s="705">
        <v>4989</v>
      </c>
      <c r="J124" s="705">
        <v>4536</v>
      </c>
      <c r="K124" s="705">
        <v>77</v>
      </c>
      <c r="L124" s="705">
        <v>0</v>
      </c>
      <c r="M124" s="705">
        <v>0</v>
      </c>
      <c r="N124" s="705">
        <v>606</v>
      </c>
      <c r="O124">
        <v>224</v>
      </c>
      <c r="P124">
        <v>351</v>
      </c>
      <c r="Q124" s="705">
        <v>130</v>
      </c>
      <c r="R124" s="705">
        <v>2933</v>
      </c>
      <c r="S124" s="705">
        <v>2666</v>
      </c>
      <c r="T124" s="705">
        <v>1654</v>
      </c>
      <c r="U124" s="705">
        <v>612</v>
      </c>
      <c r="V124" s="705">
        <v>8169</v>
      </c>
      <c r="W124" s="705">
        <f t="shared" si="6"/>
        <v>8168</v>
      </c>
      <c r="X124" s="705">
        <f t="shared" si="7"/>
        <v>10533</v>
      </c>
      <c r="Y124" s="705"/>
      <c r="AA124" t="s">
        <v>118</v>
      </c>
      <c r="AB124" t="s">
        <v>667</v>
      </c>
      <c r="AC124" t="s">
        <v>228</v>
      </c>
      <c r="AD124">
        <v>2</v>
      </c>
      <c r="AE124">
        <v>96</v>
      </c>
      <c r="AF124">
        <v>512</v>
      </c>
      <c r="AG124" s="705">
        <v>11041</v>
      </c>
      <c r="AH124" s="705">
        <v>10038</v>
      </c>
      <c r="AI124">
        <v>45</v>
      </c>
      <c r="AJ124">
        <v>404</v>
      </c>
      <c r="AK124">
        <v>150</v>
      </c>
      <c r="AL124" s="705">
        <v>1908</v>
      </c>
      <c r="AM124">
        <v>707</v>
      </c>
      <c r="AN124">
        <v>0</v>
      </c>
      <c r="AO124">
        <v>0</v>
      </c>
      <c r="AP124" s="705">
        <v>11230</v>
      </c>
      <c r="AQ124" s="705">
        <v>4159</v>
      </c>
      <c r="AR124">
        <v>0</v>
      </c>
      <c r="AS124">
        <v>0</v>
      </c>
      <c r="AT124" s="705">
        <v>15053</v>
      </c>
      <c r="AU124" s="705">
        <f t="shared" si="10"/>
        <v>15054</v>
      </c>
      <c r="AV124" s="705">
        <f t="shared" si="11"/>
        <v>24583</v>
      </c>
    </row>
    <row r="125" spans="2:48" hidden="1">
      <c r="B125" t="s">
        <v>672</v>
      </c>
      <c r="C125" t="s">
        <v>118</v>
      </c>
      <c r="F125">
        <v>3</v>
      </c>
      <c r="G125">
        <v>288</v>
      </c>
      <c r="H125" s="705">
        <v>821</v>
      </c>
      <c r="I125" s="705"/>
      <c r="J125" s="705">
        <v>0</v>
      </c>
      <c r="K125" s="705"/>
      <c r="L125" s="705"/>
      <c r="M125" s="705">
        <v>0</v>
      </c>
      <c r="N125" s="705">
        <v>6258</v>
      </c>
      <c r="O125" s="705">
        <v>2318</v>
      </c>
      <c r="P125">
        <v>0</v>
      </c>
      <c r="Q125" s="705">
        <v>0</v>
      </c>
      <c r="R125" s="705"/>
      <c r="S125">
        <v>0</v>
      </c>
      <c r="T125">
        <v>0</v>
      </c>
      <c r="U125" s="705">
        <v>0</v>
      </c>
      <c r="V125" s="705">
        <v>2318</v>
      </c>
      <c r="W125" s="705">
        <f t="shared" si="6"/>
        <v>2318</v>
      </c>
      <c r="X125" s="705">
        <f t="shared" si="7"/>
        <v>6258</v>
      </c>
      <c r="Y125" s="705"/>
      <c r="AA125" t="s">
        <v>118</v>
      </c>
      <c r="AB125" t="s">
        <v>665</v>
      </c>
      <c r="AC125" t="s">
        <v>228</v>
      </c>
      <c r="AD125">
        <v>9</v>
      </c>
      <c r="AE125">
        <v>434</v>
      </c>
      <c r="AF125" s="705">
        <v>2523</v>
      </c>
      <c r="AG125" s="705">
        <v>49443</v>
      </c>
      <c r="AH125" s="705">
        <v>44949</v>
      </c>
      <c r="AI125">
        <v>78</v>
      </c>
      <c r="AJ125" s="705">
        <v>28164</v>
      </c>
      <c r="AK125" s="705">
        <v>10431</v>
      </c>
      <c r="AL125" s="705">
        <v>7893</v>
      </c>
      <c r="AM125" s="705">
        <v>2923</v>
      </c>
      <c r="AN125">
        <v>702</v>
      </c>
      <c r="AO125">
        <v>260</v>
      </c>
      <c r="AP125" s="705">
        <v>41267</v>
      </c>
      <c r="AQ125" s="705">
        <v>15284</v>
      </c>
      <c r="AR125">
        <v>0</v>
      </c>
      <c r="AS125">
        <v>0</v>
      </c>
      <c r="AT125" s="705">
        <v>73847</v>
      </c>
      <c r="AU125" s="705">
        <f t="shared" si="10"/>
        <v>73847</v>
      </c>
      <c r="AV125" s="705">
        <f t="shared" si="11"/>
        <v>127469</v>
      </c>
    </row>
    <row r="126" spans="2:48" hidden="1">
      <c r="B126" t="s">
        <v>672</v>
      </c>
      <c r="C126" t="s">
        <v>118</v>
      </c>
      <c r="D126" t="s">
        <v>582</v>
      </c>
      <c r="E126" t="s">
        <v>582</v>
      </c>
      <c r="F126">
        <v>12</v>
      </c>
      <c r="G126" s="705">
        <v>805</v>
      </c>
      <c r="H126" s="705">
        <v>2933</v>
      </c>
      <c r="I126" s="705">
        <v>110639</v>
      </c>
      <c r="J126" s="705">
        <v>100581</v>
      </c>
      <c r="K126" s="705">
        <v>80</v>
      </c>
      <c r="L126" s="705">
        <v>27212</v>
      </c>
      <c r="M126" s="705">
        <v>24739</v>
      </c>
      <c r="N126" s="705">
        <v>18071</v>
      </c>
      <c r="O126" s="705">
        <v>6693</v>
      </c>
      <c r="P126" s="705">
        <v>5670</v>
      </c>
      <c r="Q126" s="705">
        <v>2100</v>
      </c>
      <c r="R126" s="705">
        <v>38225</v>
      </c>
      <c r="S126" s="705">
        <v>34750</v>
      </c>
      <c r="T126">
        <v>0</v>
      </c>
      <c r="U126" s="705">
        <v>0</v>
      </c>
      <c r="V126" s="705">
        <v>168863</v>
      </c>
      <c r="W126" s="705">
        <f t="shared" si="6"/>
        <v>168863</v>
      </c>
      <c r="X126" s="705">
        <f t="shared" si="7"/>
        <v>199817</v>
      </c>
      <c r="Y126" s="705"/>
      <c r="AA126" t="s">
        <v>118</v>
      </c>
      <c r="AB126" t="s">
        <v>665</v>
      </c>
      <c r="AC126" t="s">
        <v>665</v>
      </c>
      <c r="AD126">
        <v>94</v>
      </c>
      <c r="AE126" s="705">
        <v>6447</v>
      </c>
      <c r="AF126" s="705">
        <v>25470</v>
      </c>
      <c r="AG126" s="705">
        <v>936036</v>
      </c>
      <c r="AH126" s="705">
        <v>850941</v>
      </c>
      <c r="AI126">
        <v>62</v>
      </c>
      <c r="AJ126" s="705">
        <v>88215</v>
      </c>
      <c r="AK126" s="705">
        <v>66314</v>
      </c>
      <c r="AL126" s="705">
        <v>131183</v>
      </c>
      <c r="AM126" s="705">
        <v>48586</v>
      </c>
      <c r="AN126" s="705">
        <v>36855</v>
      </c>
      <c r="AO126" s="705">
        <v>13650</v>
      </c>
      <c r="AP126" s="705">
        <v>409258</v>
      </c>
      <c r="AQ126" s="705">
        <v>372052</v>
      </c>
      <c r="AR126" s="705">
        <v>182731</v>
      </c>
      <c r="AS126" s="705">
        <v>67678</v>
      </c>
      <c r="AT126" s="705">
        <v>1419222</v>
      </c>
      <c r="AU126" s="705">
        <f t="shared" si="10"/>
        <v>1419221</v>
      </c>
      <c r="AV126" s="705">
        <f t="shared" si="11"/>
        <v>1784278</v>
      </c>
    </row>
    <row r="127" spans="2:48" hidden="1">
      <c r="B127" t="s">
        <v>672</v>
      </c>
      <c r="C127" t="s">
        <v>118</v>
      </c>
      <c r="D127" t="s">
        <v>228</v>
      </c>
      <c r="E127" t="s">
        <v>228</v>
      </c>
      <c r="F127">
        <v>443</v>
      </c>
      <c r="G127" s="705">
        <v>31098</v>
      </c>
      <c r="H127" s="705">
        <v>116087</v>
      </c>
      <c r="I127" s="705">
        <v>4076144</v>
      </c>
      <c r="J127" s="705">
        <v>1509683</v>
      </c>
      <c r="K127" s="705">
        <v>100</v>
      </c>
      <c r="L127" s="705">
        <v>654656</v>
      </c>
      <c r="M127" s="705">
        <v>297596</v>
      </c>
      <c r="N127" s="705">
        <v>638311</v>
      </c>
      <c r="O127" s="705">
        <v>236411</v>
      </c>
      <c r="P127" s="705">
        <v>4076</v>
      </c>
      <c r="Q127" s="705">
        <v>1510</v>
      </c>
      <c r="R127" s="705">
        <v>2774584</v>
      </c>
      <c r="S127" s="705">
        <v>1027624</v>
      </c>
      <c r="T127" s="705">
        <v>18305</v>
      </c>
      <c r="U127" s="705">
        <v>6780</v>
      </c>
      <c r="V127" s="705">
        <v>3079603</v>
      </c>
      <c r="W127" s="705">
        <f t="shared" si="6"/>
        <v>3079604</v>
      </c>
      <c r="X127" s="705">
        <f t="shared" si="7"/>
        <v>8166076</v>
      </c>
      <c r="Y127" s="705"/>
      <c r="AA127" t="s">
        <v>118</v>
      </c>
      <c r="AB127" t="s">
        <v>673</v>
      </c>
      <c r="AC127" t="s">
        <v>673</v>
      </c>
      <c r="AD127">
        <v>1</v>
      </c>
      <c r="AE127">
        <v>45</v>
      </c>
      <c r="AF127">
        <v>266</v>
      </c>
      <c r="AG127" s="705">
        <v>5533</v>
      </c>
      <c r="AH127" s="705">
        <v>5030</v>
      </c>
      <c r="AI127">
        <v>65</v>
      </c>
      <c r="AJ127">
        <v>981</v>
      </c>
      <c r="AK127">
        <v>363</v>
      </c>
      <c r="AL127">
        <v>545</v>
      </c>
      <c r="AM127">
        <v>202</v>
      </c>
      <c r="AN127">
        <v>351</v>
      </c>
      <c r="AO127">
        <v>130</v>
      </c>
      <c r="AP127" s="705">
        <v>2817</v>
      </c>
      <c r="AQ127" s="705">
        <v>2561</v>
      </c>
      <c r="AR127" s="705">
        <v>1670</v>
      </c>
      <c r="AS127">
        <v>619</v>
      </c>
      <c r="AT127" s="705">
        <v>8905</v>
      </c>
      <c r="AU127" s="705">
        <f t="shared" si="10"/>
        <v>8905</v>
      </c>
      <c r="AV127" s="705">
        <f t="shared" si="11"/>
        <v>11897</v>
      </c>
    </row>
    <row r="128" spans="2:48" hidden="1">
      <c r="B128" t="s">
        <v>672</v>
      </c>
      <c r="C128" t="s">
        <v>118</v>
      </c>
      <c r="D128" t="s">
        <v>228</v>
      </c>
      <c r="E128" t="s">
        <v>669</v>
      </c>
      <c r="F128" s="705">
        <v>2</v>
      </c>
      <c r="G128" s="705">
        <v>108</v>
      </c>
      <c r="H128" s="705">
        <v>522</v>
      </c>
      <c r="I128" s="705">
        <v>12064</v>
      </c>
      <c r="J128" s="705">
        <v>4468</v>
      </c>
      <c r="K128" s="705">
        <v>100</v>
      </c>
      <c r="L128" s="705">
        <v>1684</v>
      </c>
      <c r="M128" s="705">
        <v>1403</v>
      </c>
      <c r="N128" s="705">
        <v>1902</v>
      </c>
      <c r="O128" s="705">
        <v>705</v>
      </c>
      <c r="P128" s="705">
        <v>0</v>
      </c>
      <c r="Q128" s="705">
        <v>0</v>
      </c>
      <c r="R128" s="705">
        <v>8444</v>
      </c>
      <c r="S128" s="705">
        <v>7036</v>
      </c>
      <c r="T128" s="705">
        <v>3960</v>
      </c>
      <c r="U128" s="705">
        <v>1467</v>
      </c>
      <c r="V128" s="705">
        <v>15079</v>
      </c>
      <c r="W128" s="705">
        <f t="shared" si="6"/>
        <v>15079</v>
      </c>
      <c r="X128" s="705">
        <f t="shared" si="7"/>
        <v>28054</v>
      </c>
      <c r="Y128" s="705"/>
      <c r="AA128" t="s">
        <v>118</v>
      </c>
      <c r="AB128" t="s">
        <v>585</v>
      </c>
      <c r="AC128" t="s">
        <v>228</v>
      </c>
      <c r="AD128">
        <v>2</v>
      </c>
      <c r="AE128">
        <v>241</v>
      </c>
      <c r="AF128">
        <v>551</v>
      </c>
      <c r="AG128" s="705">
        <v>47999</v>
      </c>
      <c r="AH128" s="705">
        <v>43635</v>
      </c>
      <c r="AI128">
        <v>78</v>
      </c>
      <c r="AJ128" s="705">
        <v>3744</v>
      </c>
      <c r="AK128" s="705">
        <v>3403</v>
      </c>
      <c r="AL128" s="705">
        <v>3720</v>
      </c>
      <c r="AM128" s="705">
        <v>1378</v>
      </c>
      <c r="AN128">
        <v>351</v>
      </c>
      <c r="AO128">
        <v>130</v>
      </c>
      <c r="AP128" s="705">
        <v>9624</v>
      </c>
      <c r="AQ128" s="705">
        <v>3564</v>
      </c>
      <c r="AR128">
        <v>0</v>
      </c>
      <c r="AS128">
        <v>0</v>
      </c>
      <c r="AT128" s="705">
        <v>52110</v>
      </c>
      <c r="AU128" s="705">
        <f t="shared" si="10"/>
        <v>52110</v>
      </c>
      <c r="AV128" s="705">
        <f t="shared" si="11"/>
        <v>65438</v>
      </c>
    </row>
    <row r="129" spans="2:48" hidden="1">
      <c r="B129" t="s">
        <v>672</v>
      </c>
      <c r="C129" t="s">
        <v>118</v>
      </c>
      <c r="D129" t="s">
        <v>583</v>
      </c>
      <c r="E129" t="s">
        <v>228</v>
      </c>
      <c r="F129" s="705">
        <v>2</v>
      </c>
      <c r="G129" s="705">
        <v>119</v>
      </c>
      <c r="H129" s="705">
        <v>472</v>
      </c>
      <c r="I129" s="705">
        <v>13732</v>
      </c>
      <c r="J129" s="705">
        <v>12484</v>
      </c>
      <c r="K129" s="705">
        <v>90</v>
      </c>
      <c r="L129" s="705">
        <v>0</v>
      </c>
      <c r="M129" s="705">
        <v>0</v>
      </c>
      <c r="N129" s="705">
        <v>2159</v>
      </c>
      <c r="O129" s="705">
        <v>800</v>
      </c>
      <c r="P129" s="705">
        <v>1242</v>
      </c>
      <c r="Q129" s="705">
        <v>460</v>
      </c>
      <c r="R129" s="705">
        <v>11044</v>
      </c>
      <c r="S129" s="705">
        <v>4090</v>
      </c>
      <c r="T129">
        <v>0</v>
      </c>
      <c r="U129" s="705">
        <v>0</v>
      </c>
      <c r="V129" s="705">
        <v>17834</v>
      </c>
      <c r="W129" s="705">
        <f t="shared" si="6"/>
        <v>17834</v>
      </c>
      <c r="X129" s="705">
        <f t="shared" si="7"/>
        <v>28177</v>
      </c>
      <c r="Y129" s="705"/>
      <c r="AA129" t="s">
        <v>118</v>
      </c>
      <c r="AB129" t="s">
        <v>585</v>
      </c>
      <c r="AC129" t="s">
        <v>585</v>
      </c>
      <c r="AD129">
        <v>2</v>
      </c>
      <c r="AE129">
        <v>283</v>
      </c>
      <c r="AF129">
        <v>528</v>
      </c>
      <c r="AG129" s="705">
        <v>47370</v>
      </c>
      <c r="AH129" s="705">
        <v>43064</v>
      </c>
      <c r="AI129">
        <v>85</v>
      </c>
      <c r="AJ129" s="705">
        <v>6609</v>
      </c>
      <c r="AK129" s="705">
        <v>6009</v>
      </c>
      <c r="AL129" s="705">
        <v>5145</v>
      </c>
      <c r="AM129" s="705">
        <v>1906</v>
      </c>
      <c r="AN129" s="705">
        <v>1323</v>
      </c>
      <c r="AO129">
        <v>490</v>
      </c>
      <c r="AP129" s="705">
        <v>7295</v>
      </c>
      <c r="AQ129" s="705">
        <v>6632</v>
      </c>
      <c r="AR129" s="705">
        <v>5810</v>
      </c>
      <c r="AS129" s="705">
        <v>2152</v>
      </c>
      <c r="AT129" s="705">
        <v>60252</v>
      </c>
      <c r="AU129" s="705">
        <f t="shared" si="10"/>
        <v>60253</v>
      </c>
      <c r="AV129" s="705">
        <f t="shared" si="11"/>
        <v>73552</v>
      </c>
    </row>
    <row r="130" spans="2:48" hidden="1">
      <c r="B130" t="s">
        <v>672</v>
      </c>
      <c r="C130" t="s">
        <v>118</v>
      </c>
      <c r="D130" t="s">
        <v>583</v>
      </c>
      <c r="E130" s="705" t="s">
        <v>583</v>
      </c>
      <c r="F130" s="705">
        <v>37</v>
      </c>
      <c r="G130" s="705">
        <v>4045</v>
      </c>
      <c r="H130" s="705">
        <v>9534</v>
      </c>
      <c r="I130" s="705">
        <v>601349</v>
      </c>
      <c r="J130" s="705">
        <v>546681</v>
      </c>
      <c r="K130" s="705">
        <v>79</v>
      </c>
      <c r="L130" s="705">
        <v>126337</v>
      </c>
      <c r="M130" s="705">
        <v>101361</v>
      </c>
      <c r="N130" s="705">
        <v>87105</v>
      </c>
      <c r="O130" s="705">
        <v>32261</v>
      </c>
      <c r="P130" s="705">
        <v>24030</v>
      </c>
      <c r="Q130" s="705">
        <v>8900</v>
      </c>
      <c r="R130" s="705">
        <v>180123</v>
      </c>
      <c r="S130" s="705">
        <v>163748</v>
      </c>
      <c r="T130" s="705">
        <v>60580</v>
      </c>
      <c r="U130" s="705">
        <v>22437</v>
      </c>
      <c r="V130" s="705">
        <v>875387</v>
      </c>
      <c r="W130" s="705">
        <f t="shared" si="6"/>
        <v>875388</v>
      </c>
      <c r="X130" s="705">
        <f t="shared" si="7"/>
        <v>1079524</v>
      </c>
      <c r="Y130" s="705"/>
      <c r="AA130" t="s">
        <v>120</v>
      </c>
      <c r="AD130">
        <v>272</v>
      </c>
      <c r="AE130" s="705">
        <v>13228</v>
      </c>
      <c r="AF130" s="705">
        <v>91659</v>
      </c>
      <c r="AH130">
        <v>0</v>
      </c>
      <c r="AK130">
        <v>0</v>
      </c>
      <c r="AL130" s="705">
        <v>265162</v>
      </c>
      <c r="AM130" s="705">
        <v>98208</v>
      </c>
      <c r="AN130" s="705">
        <v>48077</v>
      </c>
      <c r="AO130" s="705">
        <v>17806</v>
      </c>
      <c r="AQ130">
        <v>0</v>
      </c>
      <c r="AR130" s="705">
        <v>74828</v>
      </c>
      <c r="AS130" s="705">
        <v>27714</v>
      </c>
      <c r="AT130" s="705">
        <v>143728</v>
      </c>
      <c r="AU130" s="705">
        <f t="shared" si="10"/>
        <v>143728</v>
      </c>
      <c r="AV130" s="705">
        <f t="shared" si="11"/>
        <v>388067</v>
      </c>
    </row>
    <row r="131" spans="2:48" hidden="1">
      <c r="B131" t="s">
        <v>672</v>
      </c>
      <c r="C131" t="s">
        <v>118</v>
      </c>
      <c r="D131" t="s">
        <v>666</v>
      </c>
      <c r="E131" t="s">
        <v>666</v>
      </c>
      <c r="F131" s="705">
        <v>1</v>
      </c>
      <c r="G131" s="705">
        <v>81</v>
      </c>
      <c r="H131" s="705">
        <v>242</v>
      </c>
      <c r="I131" s="705">
        <v>9197</v>
      </c>
      <c r="J131" s="705">
        <v>8361</v>
      </c>
      <c r="K131" s="705">
        <v>65</v>
      </c>
      <c r="L131" s="705">
        <v>2214</v>
      </c>
      <c r="M131" s="705">
        <v>2013</v>
      </c>
      <c r="N131" s="705">
        <v>1597</v>
      </c>
      <c r="O131" s="705">
        <v>591</v>
      </c>
      <c r="P131" s="705">
        <v>351</v>
      </c>
      <c r="Q131" s="705">
        <v>130</v>
      </c>
      <c r="R131" s="705">
        <v>4164</v>
      </c>
      <c r="S131" s="705">
        <v>3785</v>
      </c>
      <c r="T131" s="705">
        <v>2185</v>
      </c>
      <c r="U131" s="705">
        <v>809</v>
      </c>
      <c r="V131" s="705">
        <v>15689</v>
      </c>
      <c r="W131" s="705">
        <f t="shared" si="6"/>
        <v>15689</v>
      </c>
      <c r="X131" s="705">
        <f t="shared" si="7"/>
        <v>19708</v>
      </c>
      <c r="Y131" s="705"/>
      <c r="AA131" t="s">
        <v>120</v>
      </c>
      <c r="AB131" s="239" t="s">
        <v>674</v>
      </c>
      <c r="AC131" t="s">
        <v>228</v>
      </c>
      <c r="AD131">
        <v>2</v>
      </c>
      <c r="AE131">
        <v>106</v>
      </c>
      <c r="AF131">
        <v>714</v>
      </c>
      <c r="AG131" s="705">
        <v>19940</v>
      </c>
      <c r="AH131" s="705">
        <v>18127</v>
      </c>
      <c r="AI131">
        <v>77</v>
      </c>
      <c r="AJ131" s="705">
        <v>4187</v>
      </c>
      <c r="AK131" s="705">
        <v>1551</v>
      </c>
      <c r="AL131" s="705">
        <v>1958</v>
      </c>
      <c r="AM131">
        <v>725</v>
      </c>
      <c r="AN131">
        <v>0</v>
      </c>
      <c r="AO131">
        <v>0</v>
      </c>
      <c r="AP131" s="705">
        <v>11663</v>
      </c>
      <c r="AQ131" s="705">
        <v>4320</v>
      </c>
      <c r="AR131">
        <v>0</v>
      </c>
      <c r="AS131">
        <v>0</v>
      </c>
      <c r="AT131" s="705">
        <v>24723</v>
      </c>
      <c r="AU131" s="705">
        <f t="shared" si="10"/>
        <v>24723</v>
      </c>
      <c r="AV131" s="705">
        <f t="shared" si="11"/>
        <v>37748</v>
      </c>
    </row>
    <row r="132" spans="2:48" hidden="1">
      <c r="B132" t="s">
        <v>672</v>
      </c>
      <c r="C132" t="s">
        <v>118</v>
      </c>
      <c r="D132" t="s">
        <v>584</v>
      </c>
      <c r="E132" t="s">
        <v>584</v>
      </c>
      <c r="F132">
        <v>32</v>
      </c>
      <c r="G132" s="705">
        <v>2251</v>
      </c>
      <c r="H132" s="705">
        <v>7974</v>
      </c>
      <c r="I132" s="705">
        <v>274771</v>
      </c>
      <c r="J132" s="705">
        <v>249792</v>
      </c>
      <c r="K132" s="705">
        <v>77</v>
      </c>
      <c r="L132" s="705">
        <v>66980</v>
      </c>
      <c r="M132" s="705">
        <v>54772</v>
      </c>
      <c r="N132" s="705">
        <v>47805</v>
      </c>
      <c r="O132" s="705">
        <v>17705</v>
      </c>
      <c r="P132" s="705">
        <v>16244</v>
      </c>
      <c r="Q132" s="705">
        <v>6016</v>
      </c>
      <c r="R132" s="705">
        <v>127019</v>
      </c>
      <c r="S132" s="705">
        <v>115472</v>
      </c>
      <c r="T132" s="705">
        <v>28577</v>
      </c>
      <c r="U132" s="705">
        <v>10584</v>
      </c>
      <c r="V132" s="705">
        <v>454342</v>
      </c>
      <c r="W132" s="705">
        <f t="shared" si="6"/>
        <v>454341</v>
      </c>
      <c r="X132" s="705">
        <f t="shared" si="7"/>
        <v>561396</v>
      </c>
      <c r="Y132" s="705"/>
      <c r="AA132" t="s">
        <v>120</v>
      </c>
      <c r="AB132" t="s">
        <v>664</v>
      </c>
      <c r="AC132" t="s">
        <v>664</v>
      </c>
      <c r="AD132">
        <v>7</v>
      </c>
      <c r="AE132">
        <v>406</v>
      </c>
      <c r="AF132" s="705">
        <v>2336</v>
      </c>
      <c r="AG132" s="705">
        <v>86896</v>
      </c>
      <c r="AH132" s="705">
        <v>78996</v>
      </c>
      <c r="AI132">
        <v>72</v>
      </c>
      <c r="AJ132" s="705">
        <v>14706</v>
      </c>
      <c r="AK132" s="705">
        <v>13155</v>
      </c>
      <c r="AL132" s="705">
        <v>8453</v>
      </c>
      <c r="AM132" s="705">
        <v>3131</v>
      </c>
      <c r="AN132" s="705">
        <v>3308</v>
      </c>
      <c r="AO132" s="705">
        <v>1225</v>
      </c>
      <c r="AP132" s="705">
        <v>21113</v>
      </c>
      <c r="AQ132" s="705">
        <v>19193</v>
      </c>
      <c r="AR132" s="705">
        <v>4788</v>
      </c>
      <c r="AS132" s="705">
        <v>1773</v>
      </c>
      <c r="AT132" s="705">
        <v>117474</v>
      </c>
      <c r="AU132" s="705">
        <f t="shared" si="10"/>
        <v>117473</v>
      </c>
      <c r="AV132" s="705">
        <f t="shared" si="11"/>
        <v>139264</v>
      </c>
    </row>
    <row r="133" spans="2:48" hidden="1">
      <c r="B133" t="s">
        <v>672</v>
      </c>
      <c r="C133" t="s">
        <v>118</v>
      </c>
      <c r="D133" t="s">
        <v>669</v>
      </c>
      <c r="E133" t="s">
        <v>669</v>
      </c>
      <c r="F133">
        <v>2</v>
      </c>
      <c r="G133" s="705">
        <v>105</v>
      </c>
      <c r="H133" s="705">
        <v>567</v>
      </c>
      <c r="I133" s="705">
        <v>11752</v>
      </c>
      <c r="J133" s="705">
        <v>9794</v>
      </c>
      <c r="K133" s="705">
        <v>60</v>
      </c>
      <c r="L133" s="705">
        <v>2905</v>
      </c>
      <c r="M133" s="705">
        <v>1076</v>
      </c>
      <c r="N133" s="705">
        <v>1782</v>
      </c>
      <c r="O133">
        <v>660</v>
      </c>
      <c r="P133">
        <v>702</v>
      </c>
      <c r="Q133" s="705">
        <v>260</v>
      </c>
      <c r="R133" s="705">
        <v>8749</v>
      </c>
      <c r="S133" s="705">
        <v>7291</v>
      </c>
      <c r="T133" s="705">
        <v>3555</v>
      </c>
      <c r="U133" s="705">
        <v>1317</v>
      </c>
      <c r="V133" s="705">
        <v>20398</v>
      </c>
      <c r="W133" s="705">
        <f t="shared" si="6"/>
        <v>20398</v>
      </c>
      <c r="X133" s="705">
        <f t="shared" si="7"/>
        <v>29445</v>
      </c>
      <c r="Y133" s="705"/>
      <c r="AA133" t="s">
        <v>120</v>
      </c>
      <c r="AB133" t="s">
        <v>664</v>
      </c>
      <c r="AC133" t="s">
        <v>582</v>
      </c>
      <c r="AD133">
        <v>1</v>
      </c>
      <c r="AE133">
        <v>44</v>
      </c>
      <c r="AF133">
        <v>372</v>
      </c>
      <c r="AG133" s="705">
        <v>11779</v>
      </c>
      <c r="AH133" s="705">
        <v>10708</v>
      </c>
      <c r="AI133">
        <v>90</v>
      </c>
      <c r="AJ133">
        <v>0</v>
      </c>
      <c r="AK133">
        <v>0</v>
      </c>
      <c r="AL133">
        <v>641</v>
      </c>
      <c r="AM133">
        <v>237</v>
      </c>
      <c r="AN133">
        <v>473</v>
      </c>
      <c r="AO133">
        <v>175</v>
      </c>
      <c r="AP133" s="705">
        <v>2224</v>
      </c>
      <c r="AQ133" s="705">
        <v>2021</v>
      </c>
      <c r="AR133" s="705">
        <v>1211</v>
      </c>
      <c r="AS133">
        <v>449</v>
      </c>
      <c r="AT133" s="705">
        <v>13591</v>
      </c>
      <c r="AU133" s="705">
        <f t="shared" si="10"/>
        <v>13590</v>
      </c>
      <c r="AV133" s="705">
        <f t="shared" si="11"/>
        <v>16328</v>
      </c>
    </row>
    <row r="134" spans="2:48" hidden="1">
      <c r="B134" t="s">
        <v>672</v>
      </c>
      <c r="C134" t="s">
        <v>118</v>
      </c>
      <c r="D134" t="s">
        <v>665</v>
      </c>
      <c r="E134" t="s">
        <v>665</v>
      </c>
      <c r="F134">
        <v>6</v>
      </c>
      <c r="G134" s="705">
        <v>298</v>
      </c>
      <c r="H134" s="705">
        <v>1658</v>
      </c>
      <c r="I134" s="705">
        <v>44628</v>
      </c>
      <c r="J134" s="705">
        <v>40571</v>
      </c>
      <c r="K134" s="705">
        <v>60</v>
      </c>
      <c r="L134" s="705">
        <v>2436</v>
      </c>
      <c r="M134" s="705">
        <v>902</v>
      </c>
      <c r="N134" s="705">
        <v>6295</v>
      </c>
      <c r="O134" s="705">
        <v>2331</v>
      </c>
      <c r="P134" s="705">
        <v>2106</v>
      </c>
      <c r="Q134" s="705">
        <v>780</v>
      </c>
      <c r="R134" s="705">
        <v>25011</v>
      </c>
      <c r="S134" s="705">
        <v>22737</v>
      </c>
      <c r="T134" s="705">
        <v>11526</v>
      </c>
      <c r="U134" s="705">
        <v>4269</v>
      </c>
      <c r="V134" s="705">
        <v>71590</v>
      </c>
      <c r="W134" s="705">
        <f t="shared" si="6"/>
        <v>71590</v>
      </c>
      <c r="X134" s="705">
        <f t="shared" si="7"/>
        <v>92002</v>
      </c>
      <c r="Y134" s="705"/>
      <c r="AA134" t="s">
        <v>120</v>
      </c>
      <c r="AB134" t="s">
        <v>664</v>
      </c>
      <c r="AC134" t="s">
        <v>583</v>
      </c>
      <c r="AD134">
        <v>1</v>
      </c>
      <c r="AE134">
        <v>67</v>
      </c>
      <c r="AF134">
        <v>354</v>
      </c>
      <c r="AG134" s="705">
        <v>13216</v>
      </c>
      <c r="AH134" s="705">
        <v>12014</v>
      </c>
      <c r="AI134">
        <v>79</v>
      </c>
      <c r="AJ134" s="705">
        <v>3671</v>
      </c>
      <c r="AK134" s="705">
        <v>3337</v>
      </c>
      <c r="AL134" s="705">
        <v>1224</v>
      </c>
      <c r="AM134">
        <v>454</v>
      </c>
      <c r="AN134">
        <v>621</v>
      </c>
      <c r="AO134">
        <v>230</v>
      </c>
      <c r="AP134" s="705">
        <v>2849</v>
      </c>
      <c r="AQ134" s="705">
        <v>2590</v>
      </c>
      <c r="AR134" s="705">
        <v>2166</v>
      </c>
      <c r="AS134">
        <v>802</v>
      </c>
      <c r="AT134" s="705">
        <v>19427</v>
      </c>
      <c r="AU134" s="705">
        <f t="shared" si="10"/>
        <v>19427</v>
      </c>
      <c r="AV134" s="705">
        <f t="shared" si="11"/>
        <v>23747</v>
      </c>
    </row>
    <row r="135" spans="2:48" hidden="1">
      <c r="B135" t="s">
        <v>672</v>
      </c>
      <c r="C135" t="s">
        <v>120</v>
      </c>
      <c r="F135" s="705">
        <v>14</v>
      </c>
      <c r="G135" s="705">
        <v>747</v>
      </c>
      <c r="H135" s="705">
        <v>4897</v>
      </c>
      <c r="I135" s="705"/>
      <c r="J135" s="705">
        <v>0</v>
      </c>
      <c r="K135" s="705"/>
      <c r="L135" s="705"/>
      <c r="M135" s="705">
        <v>0</v>
      </c>
      <c r="N135" s="705">
        <v>15370</v>
      </c>
      <c r="O135" s="705">
        <v>5693</v>
      </c>
      <c r="P135" s="705">
        <v>5589</v>
      </c>
      <c r="Q135" s="705">
        <v>2070</v>
      </c>
      <c r="R135" s="705"/>
      <c r="S135" s="705">
        <v>0</v>
      </c>
      <c r="T135" s="705">
        <v>0</v>
      </c>
      <c r="U135" s="705">
        <v>0</v>
      </c>
      <c r="V135" s="705">
        <v>7763</v>
      </c>
      <c r="W135" s="705">
        <f t="shared" ref="W135:W198" si="12">SUM(ABS(J135),ABS(M135),ABS(O135),ABS(Q135),ABS(S135),ABS(U135))</f>
        <v>7763</v>
      </c>
      <c r="X135" s="705">
        <f t="shared" ref="X135:X198" si="13">SUM(ABS(I135),ABS(N135),ABS(P135),ABS(R135),ABS(T135),ABS(L135))</f>
        <v>20959</v>
      </c>
      <c r="Y135" s="705"/>
      <c r="AA135" t="s">
        <v>120</v>
      </c>
      <c r="AB135" t="s">
        <v>582</v>
      </c>
      <c r="AC135" t="s">
        <v>582</v>
      </c>
      <c r="AD135">
        <v>41</v>
      </c>
      <c r="AE135" s="705">
        <v>2484</v>
      </c>
      <c r="AF135" s="705">
        <v>13712</v>
      </c>
      <c r="AG135" s="705">
        <v>566997</v>
      </c>
      <c r="AH135" s="705">
        <v>515451</v>
      </c>
      <c r="AI135">
        <v>75</v>
      </c>
      <c r="AJ135" s="705">
        <v>51758</v>
      </c>
      <c r="AK135" s="705">
        <v>46015</v>
      </c>
      <c r="AL135" s="705">
        <v>51064</v>
      </c>
      <c r="AM135" s="705">
        <v>18913</v>
      </c>
      <c r="AN135" s="705">
        <v>19629</v>
      </c>
      <c r="AO135" s="705">
        <v>7270</v>
      </c>
      <c r="AP135" s="705">
        <v>124919</v>
      </c>
      <c r="AQ135" s="705">
        <v>113563</v>
      </c>
      <c r="AR135" s="705">
        <v>22038</v>
      </c>
      <c r="AS135" s="705">
        <v>8162</v>
      </c>
      <c r="AT135" s="705">
        <v>709374</v>
      </c>
      <c r="AU135" s="705">
        <f t="shared" ref="AU135:AU143" si="14">SUM(ABS(AH135), ABS(AK135),ABS(AM135),ABS(AO135),ABS(AQ135),ABS(AS135))</f>
        <v>709374</v>
      </c>
      <c r="AV135" s="705">
        <f t="shared" ref="AV135:AV143" si="15">SUM(ABS(AG135),ABS(AJ135),ABS(AL135),ABS(AN135),ABS(AP135),ABS(AR135))</f>
        <v>836405</v>
      </c>
    </row>
    <row r="136" spans="2:48" hidden="1">
      <c r="B136" t="s">
        <v>672</v>
      </c>
      <c r="C136" t="s">
        <v>120</v>
      </c>
      <c r="D136" t="s">
        <v>582</v>
      </c>
      <c r="E136" t="s">
        <v>582</v>
      </c>
      <c r="F136">
        <v>2</v>
      </c>
      <c r="G136" s="705">
        <v>182</v>
      </c>
      <c r="H136" s="705">
        <v>668</v>
      </c>
      <c r="I136" s="705">
        <v>41117</v>
      </c>
      <c r="J136" s="705">
        <v>37379</v>
      </c>
      <c r="K136" s="705">
        <v>85</v>
      </c>
      <c r="L136" s="705">
        <v>10092</v>
      </c>
      <c r="M136" s="705">
        <v>9175</v>
      </c>
      <c r="N136" s="705">
        <v>3836</v>
      </c>
      <c r="O136" s="705">
        <v>1421</v>
      </c>
      <c r="P136">
        <v>824</v>
      </c>
      <c r="Q136" s="705">
        <v>305</v>
      </c>
      <c r="R136" s="705">
        <v>7891</v>
      </c>
      <c r="S136" s="705">
        <v>7173</v>
      </c>
      <c r="T136" s="705">
        <v>0</v>
      </c>
      <c r="U136" s="705">
        <v>0</v>
      </c>
      <c r="V136" s="705">
        <v>55452</v>
      </c>
      <c r="W136" s="705">
        <f t="shared" si="12"/>
        <v>55453</v>
      </c>
      <c r="X136" s="705">
        <f t="shared" si="13"/>
        <v>63760</v>
      </c>
      <c r="Y136" s="705"/>
      <c r="AA136" t="s">
        <v>120</v>
      </c>
      <c r="AB136" t="s">
        <v>582</v>
      </c>
      <c r="AC136" t="s">
        <v>228</v>
      </c>
      <c r="AD136">
        <v>1</v>
      </c>
      <c r="AE136">
        <v>60</v>
      </c>
      <c r="AF136">
        <v>305</v>
      </c>
      <c r="AG136" s="705">
        <v>5242</v>
      </c>
      <c r="AH136" s="705">
        <v>4766</v>
      </c>
      <c r="AI136">
        <v>87</v>
      </c>
      <c r="AJ136" s="705">
        <v>1610</v>
      </c>
      <c r="AK136" s="705">
        <v>1463</v>
      </c>
      <c r="AL136" s="705">
        <v>1382</v>
      </c>
      <c r="AM136">
        <v>512</v>
      </c>
      <c r="AN136">
        <v>473</v>
      </c>
      <c r="AO136">
        <v>175</v>
      </c>
      <c r="AP136" s="705">
        <v>9522</v>
      </c>
      <c r="AQ136" s="705">
        <v>3527</v>
      </c>
      <c r="AR136">
        <v>0</v>
      </c>
      <c r="AS136">
        <v>0</v>
      </c>
      <c r="AT136" s="705">
        <v>10442</v>
      </c>
      <c r="AU136" s="705">
        <f t="shared" si="14"/>
        <v>10443</v>
      </c>
      <c r="AV136" s="705">
        <f t="shared" si="15"/>
        <v>18229</v>
      </c>
    </row>
    <row r="137" spans="2:48" hidden="1">
      <c r="B137" t="s">
        <v>672</v>
      </c>
      <c r="C137" t="s">
        <v>120</v>
      </c>
      <c r="D137" t="s">
        <v>228</v>
      </c>
      <c r="E137" t="s">
        <v>228</v>
      </c>
      <c r="F137">
        <v>302</v>
      </c>
      <c r="G137" s="705">
        <v>18869</v>
      </c>
      <c r="H137" s="705">
        <v>101428</v>
      </c>
      <c r="I137" s="705">
        <v>3568041</v>
      </c>
      <c r="J137" s="705">
        <v>1321497</v>
      </c>
      <c r="K137" s="705">
        <v>100</v>
      </c>
      <c r="L137" s="705">
        <v>496698</v>
      </c>
      <c r="M137" s="705">
        <v>227496</v>
      </c>
      <c r="N137" s="705">
        <v>398839</v>
      </c>
      <c r="O137" s="705">
        <v>147718</v>
      </c>
      <c r="P137" s="705">
        <v>4185</v>
      </c>
      <c r="Q137" s="705">
        <v>1550</v>
      </c>
      <c r="R137" s="705">
        <v>1845943</v>
      </c>
      <c r="S137" s="705">
        <v>683682</v>
      </c>
      <c r="T137" s="705">
        <v>12822</v>
      </c>
      <c r="U137" s="705">
        <v>4749</v>
      </c>
      <c r="V137" s="705">
        <v>2386692</v>
      </c>
      <c r="W137" s="705">
        <f t="shared" si="12"/>
        <v>2386692</v>
      </c>
      <c r="X137" s="705">
        <f t="shared" si="13"/>
        <v>6326528</v>
      </c>
      <c r="Y137" s="705"/>
      <c r="AA137" t="s">
        <v>120</v>
      </c>
      <c r="AB137" t="s">
        <v>228</v>
      </c>
      <c r="AC137" t="s">
        <v>664</v>
      </c>
      <c r="AD137">
        <v>1</v>
      </c>
      <c r="AE137">
        <v>89</v>
      </c>
      <c r="AF137">
        <v>337</v>
      </c>
      <c r="AG137" s="705">
        <v>20995</v>
      </c>
      <c r="AH137" s="705">
        <v>7776</v>
      </c>
      <c r="AI137">
        <v>100</v>
      </c>
      <c r="AJ137" s="705">
        <v>1819</v>
      </c>
      <c r="AK137" s="705">
        <v>1653</v>
      </c>
      <c r="AL137" s="705">
        <v>1439</v>
      </c>
      <c r="AM137">
        <v>533</v>
      </c>
      <c r="AN137">
        <v>473</v>
      </c>
      <c r="AO137">
        <v>175</v>
      </c>
      <c r="AP137" s="705">
        <v>5211</v>
      </c>
      <c r="AQ137" s="705">
        <v>4737</v>
      </c>
      <c r="AR137">
        <v>0</v>
      </c>
      <c r="AS137">
        <v>0</v>
      </c>
      <c r="AT137" s="705">
        <v>14874</v>
      </c>
      <c r="AU137" s="705">
        <f t="shared" si="14"/>
        <v>14874</v>
      </c>
      <c r="AV137" s="705">
        <f t="shared" si="15"/>
        <v>29937</v>
      </c>
    </row>
    <row r="138" spans="2:48" hidden="1">
      <c r="B138" t="s">
        <v>672</v>
      </c>
      <c r="C138" t="s">
        <v>120</v>
      </c>
      <c r="D138" t="s">
        <v>583</v>
      </c>
      <c r="E138" t="s">
        <v>228</v>
      </c>
      <c r="F138">
        <v>1</v>
      </c>
      <c r="G138" s="705">
        <v>63</v>
      </c>
      <c r="H138" s="705">
        <v>334</v>
      </c>
      <c r="I138" s="705">
        <v>12813</v>
      </c>
      <c r="J138" s="705">
        <v>11648</v>
      </c>
      <c r="K138" s="705">
        <v>85</v>
      </c>
      <c r="L138" s="705">
        <v>0</v>
      </c>
      <c r="M138" s="705">
        <v>0</v>
      </c>
      <c r="N138" s="705">
        <v>1428</v>
      </c>
      <c r="O138">
        <v>529</v>
      </c>
      <c r="P138">
        <v>621</v>
      </c>
      <c r="Q138" s="705">
        <v>230</v>
      </c>
      <c r="R138" s="705">
        <v>6165</v>
      </c>
      <c r="S138" s="705">
        <v>2283</v>
      </c>
      <c r="T138">
        <v>0</v>
      </c>
      <c r="U138" s="705">
        <v>0</v>
      </c>
      <c r="V138" s="705">
        <v>14690</v>
      </c>
      <c r="W138" s="705">
        <f t="shared" si="12"/>
        <v>14690</v>
      </c>
      <c r="X138" s="705">
        <f t="shared" si="13"/>
        <v>21027</v>
      </c>
      <c r="Y138" s="705"/>
      <c r="AA138" t="s">
        <v>120</v>
      </c>
      <c r="AB138" t="s">
        <v>228</v>
      </c>
      <c r="AC138" t="s">
        <v>582</v>
      </c>
      <c r="AD138">
        <v>2</v>
      </c>
      <c r="AE138">
        <v>126</v>
      </c>
      <c r="AF138">
        <v>684</v>
      </c>
      <c r="AG138" s="705">
        <v>30969</v>
      </c>
      <c r="AH138" s="705">
        <v>11470</v>
      </c>
      <c r="AI138">
        <v>100</v>
      </c>
      <c r="AJ138">
        <v>0</v>
      </c>
      <c r="AK138">
        <v>0</v>
      </c>
      <c r="AL138" s="705">
        <v>2311</v>
      </c>
      <c r="AM138">
        <v>856</v>
      </c>
      <c r="AN138">
        <v>0</v>
      </c>
      <c r="AO138">
        <v>0</v>
      </c>
      <c r="AP138" s="705">
        <v>9057</v>
      </c>
      <c r="AQ138" s="705">
        <v>8233</v>
      </c>
      <c r="AR138">
        <v>0</v>
      </c>
      <c r="AS138">
        <v>0</v>
      </c>
      <c r="AT138" s="705">
        <v>20559</v>
      </c>
      <c r="AU138" s="705">
        <f t="shared" si="14"/>
        <v>20559</v>
      </c>
      <c r="AV138" s="705">
        <f t="shared" si="15"/>
        <v>42337</v>
      </c>
    </row>
    <row r="139" spans="2:48" hidden="1">
      <c r="B139" t="s">
        <v>672</v>
      </c>
      <c r="C139" t="s">
        <v>120</v>
      </c>
      <c r="D139" t="s">
        <v>583</v>
      </c>
      <c r="E139" t="s">
        <v>583</v>
      </c>
      <c r="F139">
        <v>15</v>
      </c>
      <c r="G139" s="705">
        <v>1401</v>
      </c>
      <c r="H139" s="705">
        <v>5094</v>
      </c>
      <c r="I139" s="705">
        <v>299501</v>
      </c>
      <c r="J139" s="705">
        <v>272274</v>
      </c>
      <c r="K139" s="705">
        <v>77</v>
      </c>
      <c r="L139" s="705">
        <v>48235</v>
      </c>
      <c r="M139" s="705">
        <v>37572</v>
      </c>
      <c r="N139" s="705">
        <v>28684</v>
      </c>
      <c r="O139" s="705">
        <v>10624</v>
      </c>
      <c r="P139" s="705">
        <v>9045</v>
      </c>
      <c r="Q139" s="705">
        <v>3350</v>
      </c>
      <c r="R139" s="705">
        <v>70475</v>
      </c>
      <c r="S139" s="705">
        <v>64068</v>
      </c>
      <c r="T139" s="705">
        <v>21086</v>
      </c>
      <c r="U139" s="705">
        <v>7810</v>
      </c>
      <c r="V139" s="705">
        <v>395697</v>
      </c>
      <c r="W139" s="705">
        <f t="shared" si="12"/>
        <v>395698</v>
      </c>
      <c r="X139" s="705">
        <f t="shared" si="13"/>
        <v>477026</v>
      </c>
      <c r="Y139" s="705"/>
      <c r="AA139" t="s">
        <v>120</v>
      </c>
      <c r="AB139" t="s">
        <v>228</v>
      </c>
      <c r="AC139" t="s">
        <v>228</v>
      </c>
      <c r="AD139" s="705">
        <v>12720</v>
      </c>
      <c r="AE139" s="705">
        <v>746693</v>
      </c>
      <c r="AF139" s="705">
        <v>4279987</v>
      </c>
      <c r="AG139" s="705">
        <v>143754618</v>
      </c>
      <c r="AH139" s="705">
        <v>53242451</v>
      </c>
      <c r="AI139">
        <v>100</v>
      </c>
      <c r="AJ139" s="705">
        <v>16750951</v>
      </c>
      <c r="AK139" s="705">
        <v>11551296</v>
      </c>
      <c r="AL139" s="705">
        <v>15307187</v>
      </c>
      <c r="AM139" s="705">
        <v>5669328</v>
      </c>
      <c r="AN139" s="705">
        <v>237119</v>
      </c>
      <c r="AO139" s="705">
        <v>87822</v>
      </c>
      <c r="AP139" s="705">
        <v>75299645</v>
      </c>
      <c r="AQ139" s="705">
        <v>27888757</v>
      </c>
      <c r="AR139" s="705">
        <v>127945</v>
      </c>
      <c r="AS139" s="705">
        <v>47387</v>
      </c>
      <c r="AT139" s="705">
        <v>98487041</v>
      </c>
      <c r="AU139" s="705">
        <f t="shared" si="14"/>
        <v>98487041</v>
      </c>
      <c r="AV139" s="705">
        <f t="shared" si="15"/>
        <v>251477465</v>
      </c>
    </row>
    <row r="140" spans="2:48" hidden="1">
      <c r="B140" t="s">
        <v>672</v>
      </c>
      <c r="C140" t="s">
        <v>120</v>
      </c>
      <c r="D140" t="s">
        <v>584</v>
      </c>
      <c r="E140" t="s">
        <v>584</v>
      </c>
      <c r="F140">
        <v>6</v>
      </c>
      <c r="G140" s="705">
        <v>406</v>
      </c>
      <c r="H140" s="705">
        <v>2069</v>
      </c>
      <c r="I140" s="705">
        <v>80157</v>
      </c>
      <c r="J140" s="705">
        <v>72870</v>
      </c>
      <c r="K140" s="705">
        <v>82</v>
      </c>
      <c r="L140" s="705">
        <v>23056</v>
      </c>
      <c r="M140" s="705">
        <v>20110</v>
      </c>
      <c r="N140" s="705">
        <v>9566</v>
      </c>
      <c r="O140" s="705">
        <v>3543</v>
      </c>
      <c r="P140" s="705">
        <v>2835</v>
      </c>
      <c r="Q140" s="705">
        <v>1050</v>
      </c>
      <c r="R140" s="705">
        <v>16096</v>
      </c>
      <c r="S140" s="705">
        <v>14633</v>
      </c>
      <c r="T140" s="705">
        <v>8638</v>
      </c>
      <c r="U140" s="705">
        <v>3199</v>
      </c>
      <c r="V140" s="705">
        <v>115405</v>
      </c>
      <c r="W140" s="705">
        <f t="shared" si="12"/>
        <v>115405</v>
      </c>
      <c r="X140" s="705">
        <f t="shared" si="13"/>
        <v>140348</v>
      </c>
      <c r="Y140" s="705"/>
      <c r="AA140" t="s">
        <v>120</v>
      </c>
      <c r="AB140" t="s">
        <v>228</v>
      </c>
      <c r="AC140" t="s">
        <v>583</v>
      </c>
      <c r="AD140">
        <v>1</v>
      </c>
      <c r="AE140">
        <v>54</v>
      </c>
      <c r="AF140">
        <v>314</v>
      </c>
      <c r="AG140" s="705">
        <v>9596</v>
      </c>
      <c r="AH140" s="705">
        <v>3554</v>
      </c>
      <c r="AI140">
        <v>100</v>
      </c>
      <c r="AJ140">
        <v>0</v>
      </c>
      <c r="AK140">
        <v>0</v>
      </c>
      <c r="AL140" s="705">
        <v>1281</v>
      </c>
      <c r="AM140">
        <v>475</v>
      </c>
      <c r="AN140">
        <v>0</v>
      </c>
      <c r="AO140">
        <v>0</v>
      </c>
      <c r="AP140" s="705">
        <v>4048</v>
      </c>
      <c r="AQ140" s="705">
        <v>3680</v>
      </c>
      <c r="AR140" s="705">
        <v>2168</v>
      </c>
      <c r="AS140">
        <v>803</v>
      </c>
      <c r="AT140" s="705">
        <v>8512</v>
      </c>
      <c r="AU140" s="705">
        <f t="shared" si="14"/>
        <v>8512</v>
      </c>
      <c r="AV140" s="705">
        <f t="shared" si="15"/>
        <v>17093</v>
      </c>
    </row>
    <row r="141" spans="2:48" hidden="1">
      <c r="B141" t="s">
        <v>672</v>
      </c>
      <c r="C141" t="s">
        <v>120</v>
      </c>
      <c r="D141" t="s">
        <v>669</v>
      </c>
      <c r="E141" t="s">
        <v>669</v>
      </c>
      <c r="F141">
        <v>11</v>
      </c>
      <c r="G141">
        <v>546</v>
      </c>
      <c r="H141" s="705">
        <v>3666</v>
      </c>
      <c r="I141" s="705">
        <v>87865</v>
      </c>
      <c r="J141" s="705">
        <v>73221</v>
      </c>
      <c r="K141" s="705">
        <v>60</v>
      </c>
      <c r="L141" s="705">
        <v>11282</v>
      </c>
      <c r="M141" s="705">
        <v>4178</v>
      </c>
      <c r="N141" s="705">
        <v>10725</v>
      </c>
      <c r="O141" s="705">
        <v>3972</v>
      </c>
      <c r="P141" s="705">
        <v>3861</v>
      </c>
      <c r="Q141" s="705">
        <v>1430</v>
      </c>
      <c r="R141" s="705">
        <v>49091</v>
      </c>
      <c r="S141" s="705">
        <v>40909</v>
      </c>
      <c r="T141" s="705">
        <v>19670</v>
      </c>
      <c r="U141" s="705">
        <v>7285</v>
      </c>
      <c r="V141" s="705">
        <v>130995</v>
      </c>
      <c r="W141" s="705">
        <f t="shared" si="12"/>
        <v>130995</v>
      </c>
      <c r="X141" s="705">
        <f t="shared" si="13"/>
        <v>182494</v>
      </c>
      <c r="Y141" s="705"/>
      <c r="AA141" t="s">
        <v>120</v>
      </c>
      <c r="AB141" t="s">
        <v>228</v>
      </c>
      <c r="AC141" t="s">
        <v>666</v>
      </c>
      <c r="AD141">
        <v>2</v>
      </c>
      <c r="AE141">
        <v>116</v>
      </c>
      <c r="AF141">
        <v>709</v>
      </c>
      <c r="AG141" s="705">
        <v>21547</v>
      </c>
      <c r="AH141" s="705">
        <v>7980</v>
      </c>
      <c r="AI141">
        <v>100</v>
      </c>
      <c r="AJ141" s="705">
        <v>1951</v>
      </c>
      <c r="AK141" s="705">
        <v>1773</v>
      </c>
      <c r="AL141" s="705">
        <v>2173</v>
      </c>
      <c r="AM141">
        <v>805</v>
      </c>
      <c r="AN141">
        <v>0</v>
      </c>
      <c r="AO141">
        <v>0</v>
      </c>
      <c r="AP141" s="705">
        <v>12738</v>
      </c>
      <c r="AQ141" s="705">
        <v>11580</v>
      </c>
      <c r="AR141" s="705">
        <v>2491</v>
      </c>
      <c r="AS141">
        <v>922</v>
      </c>
      <c r="AT141" s="705">
        <v>23060</v>
      </c>
      <c r="AU141" s="705">
        <f t="shared" si="14"/>
        <v>23060</v>
      </c>
      <c r="AV141" s="705">
        <f t="shared" si="15"/>
        <v>40900</v>
      </c>
    </row>
    <row r="142" spans="2:48" hidden="1">
      <c r="B142" t="s">
        <v>672</v>
      </c>
      <c r="C142" t="s">
        <v>120</v>
      </c>
      <c r="D142" t="s">
        <v>665</v>
      </c>
      <c r="E142" t="s">
        <v>665</v>
      </c>
      <c r="F142" s="705">
        <v>4</v>
      </c>
      <c r="G142" s="705">
        <v>222</v>
      </c>
      <c r="H142" s="705">
        <v>1340</v>
      </c>
      <c r="I142" s="705">
        <v>42408</v>
      </c>
      <c r="J142" s="705">
        <v>38553</v>
      </c>
      <c r="K142" s="705">
        <v>58</v>
      </c>
      <c r="L142" s="705">
        <v>4163</v>
      </c>
      <c r="M142" s="705">
        <v>2902</v>
      </c>
      <c r="N142" s="705">
        <v>5087</v>
      </c>
      <c r="O142" s="705">
        <v>1884</v>
      </c>
      <c r="P142" s="705">
        <v>2025</v>
      </c>
      <c r="Q142" s="705">
        <v>750</v>
      </c>
      <c r="R142" s="705">
        <v>15870</v>
      </c>
      <c r="S142" s="705">
        <v>14427</v>
      </c>
      <c r="T142" s="705">
        <v>6656</v>
      </c>
      <c r="U142" s="705">
        <v>2465</v>
      </c>
      <c r="V142" s="705">
        <v>60982</v>
      </c>
      <c r="W142" s="705">
        <f t="shared" si="12"/>
        <v>60981</v>
      </c>
      <c r="X142" s="705">
        <f t="shared" si="13"/>
        <v>76209</v>
      </c>
      <c r="Y142" s="705"/>
      <c r="AA142" t="s">
        <v>120</v>
      </c>
      <c r="AB142" t="s">
        <v>228</v>
      </c>
      <c r="AC142" t="s">
        <v>584</v>
      </c>
      <c r="AD142">
        <v>6</v>
      </c>
      <c r="AE142">
        <v>386</v>
      </c>
      <c r="AF142" s="705">
        <v>2112</v>
      </c>
      <c r="AG142" s="705">
        <v>95302</v>
      </c>
      <c r="AH142" s="705">
        <v>35297</v>
      </c>
      <c r="AI142">
        <v>100</v>
      </c>
      <c r="AJ142" s="705">
        <v>9678</v>
      </c>
      <c r="AK142" s="705">
        <v>6496</v>
      </c>
      <c r="AL142" s="705">
        <v>8713</v>
      </c>
      <c r="AM142" s="705">
        <v>3227</v>
      </c>
      <c r="AN142">
        <v>594</v>
      </c>
      <c r="AO142">
        <v>220</v>
      </c>
      <c r="AP142" s="705">
        <v>21731</v>
      </c>
      <c r="AQ142" s="705">
        <v>19755</v>
      </c>
      <c r="AR142">
        <v>0</v>
      </c>
      <c r="AS142">
        <v>0</v>
      </c>
      <c r="AT142" s="705">
        <v>64995</v>
      </c>
      <c r="AU142" s="705">
        <f t="shared" si="14"/>
        <v>64995</v>
      </c>
      <c r="AV142" s="705">
        <f t="shared" si="15"/>
        <v>136018</v>
      </c>
    </row>
    <row r="143" spans="2:48" hidden="1">
      <c r="B143" t="s">
        <v>672</v>
      </c>
      <c r="C143" t="s">
        <v>122</v>
      </c>
      <c r="E143" s="705"/>
      <c r="F143" s="705">
        <v>4</v>
      </c>
      <c r="G143" s="705">
        <v>128</v>
      </c>
      <c r="H143" s="705">
        <v>1697</v>
      </c>
      <c r="I143" s="705"/>
      <c r="J143" s="705">
        <v>0</v>
      </c>
      <c r="K143" s="705"/>
      <c r="L143" s="705"/>
      <c r="M143" s="705">
        <v>0</v>
      </c>
      <c r="N143" s="705">
        <v>2939</v>
      </c>
      <c r="O143" s="705">
        <v>1089</v>
      </c>
      <c r="P143" s="705">
        <v>2484</v>
      </c>
      <c r="Q143" s="705">
        <v>920</v>
      </c>
      <c r="R143" s="705"/>
      <c r="S143" s="705">
        <v>0</v>
      </c>
      <c r="T143" s="705">
        <v>0</v>
      </c>
      <c r="U143" s="705">
        <v>0</v>
      </c>
      <c r="V143" s="705">
        <v>2009</v>
      </c>
      <c r="W143" s="705">
        <f t="shared" si="12"/>
        <v>2009</v>
      </c>
      <c r="X143" s="705">
        <f t="shared" si="13"/>
        <v>5423</v>
      </c>
      <c r="Y143" s="705"/>
      <c r="AA143" t="s">
        <v>120</v>
      </c>
      <c r="AB143" t="s">
        <v>228</v>
      </c>
      <c r="AC143" t="s">
        <v>669</v>
      </c>
      <c r="AD143">
        <v>1</v>
      </c>
      <c r="AE143">
        <v>72</v>
      </c>
      <c r="AF143">
        <v>358</v>
      </c>
      <c r="AG143" s="705">
        <v>15032</v>
      </c>
      <c r="AH143" s="705">
        <v>5567</v>
      </c>
      <c r="AI143">
        <v>100</v>
      </c>
      <c r="AJ143" s="705">
        <v>2570</v>
      </c>
      <c r="AK143" s="705">
        <v>2141</v>
      </c>
      <c r="AL143" s="705">
        <v>1745</v>
      </c>
      <c r="AM143">
        <v>646</v>
      </c>
      <c r="AN143">
        <v>0</v>
      </c>
      <c r="AO143">
        <v>0</v>
      </c>
      <c r="AP143" s="705">
        <v>4652</v>
      </c>
      <c r="AQ143" s="705">
        <v>3877</v>
      </c>
      <c r="AR143" s="705">
        <v>1607</v>
      </c>
      <c r="AS143">
        <v>595</v>
      </c>
      <c r="AT143" s="705">
        <v>12827</v>
      </c>
      <c r="AU143" s="705">
        <f t="shared" si="14"/>
        <v>12826</v>
      </c>
      <c r="AV143" s="705">
        <f t="shared" si="15"/>
        <v>25606</v>
      </c>
    </row>
    <row r="144" spans="2:48" hidden="1">
      <c r="B144" t="s">
        <v>672</v>
      </c>
      <c r="C144" t="s">
        <v>122</v>
      </c>
      <c r="D144" t="s">
        <v>228</v>
      </c>
      <c r="E144" t="s">
        <v>228</v>
      </c>
      <c r="F144">
        <v>77</v>
      </c>
      <c r="G144" s="705">
        <v>4851</v>
      </c>
      <c r="H144" s="705">
        <v>31779</v>
      </c>
      <c r="I144" s="705">
        <v>1242325</v>
      </c>
      <c r="J144" s="705">
        <v>460120</v>
      </c>
      <c r="K144" s="705">
        <v>100</v>
      </c>
      <c r="L144" s="705">
        <v>152642</v>
      </c>
      <c r="M144" s="705">
        <v>67108</v>
      </c>
      <c r="N144" s="705">
        <v>101997</v>
      </c>
      <c r="O144" s="705">
        <v>37777</v>
      </c>
      <c r="P144">
        <v>702</v>
      </c>
      <c r="Q144" s="705">
        <v>260</v>
      </c>
      <c r="R144" s="705">
        <v>499700</v>
      </c>
      <c r="S144" s="705">
        <v>185074</v>
      </c>
      <c r="T144" s="705">
        <v>1568</v>
      </c>
      <c r="U144" s="705">
        <v>581</v>
      </c>
      <c r="V144" s="705">
        <v>750919</v>
      </c>
      <c r="W144" s="705">
        <f t="shared" si="12"/>
        <v>750920</v>
      </c>
      <c r="X144" s="705">
        <f t="shared" si="13"/>
        <v>1998934</v>
      </c>
      <c r="Y144" s="705"/>
      <c r="AA144" t="s">
        <v>120</v>
      </c>
      <c r="AB144" t="s">
        <v>228</v>
      </c>
      <c r="AC144" t="s">
        <v>665</v>
      </c>
      <c r="AD144">
        <v>7</v>
      </c>
      <c r="AE144">
        <v>339</v>
      </c>
      <c r="AF144" s="705">
        <v>2431</v>
      </c>
      <c r="AG144" s="705">
        <v>66252</v>
      </c>
      <c r="AH144" s="705">
        <v>24538</v>
      </c>
      <c r="AI144">
        <v>100</v>
      </c>
      <c r="AJ144" s="705">
        <v>6261</v>
      </c>
      <c r="AK144" s="705">
        <v>4798</v>
      </c>
      <c r="AL144" s="705">
        <v>6347</v>
      </c>
      <c r="AM144" s="705">
        <v>2351</v>
      </c>
      <c r="AN144">
        <v>702</v>
      </c>
      <c r="AO144">
        <v>260</v>
      </c>
      <c r="AP144" s="705">
        <v>33436</v>
      </c>
      <c r="AQ144" s="705">
        <v>30396</v>
      </c>
      <c r="AR144" s="705">
        <v>3994</v>
      </c>
      <c r="AS144" s="705">
        <v>1479</v>
      </c>
      <c r="AT144" s="705">
        <v>63822</v>
      </c>
      <c r="AU144" s="705">
        <f t="shared" ref="AU144:AU175" si="16">SUM(ABS(AH144), ABS(AK144),ABS(AM144),ABS(AO144),ABS(AQ144),ABS(AS144))</f>
        <v>63822</v>
      </c>
      <c r="AV144" s="705">
        <f t="shared" ref="AV144:AV175" si="17">SUM(ABS(AG144),ABS(AJ144),ABS(AL144),ABS(AN144),ABS(AP144),ABS(AR144))</f>
        <v>116992</v>
      </c>
    </row>
    <row r="145" spans="2:48" hidden="1">
      <c r="B145" t="s">
        <v>672</v>
      </c>
      <c r="C145" t="s">
        <v>122</v>
      </c>
      <c r="D145" t="s">
        <v>228</v>
      </c>
      <c r="E145" t="s">
        <v>665</v>
      </c>
      <c r="F145">
        <v>1</v>
      </c>
      <c r="G145">
        <v>59</v>
      </c>
      <c r="H145" s="705">
        <v>418</v>
      </c>
      <c r="I145" s="705">
        <v>15219</v>
      </c>
      <c r="J145" s="705">
        <v>5637</v>
      </c>
      <c r="K145" s="705">
        <v>100</v>
      </c>
      <c r="L145" s="705">
        <v>1253</v>
      </c>
      <c r="M145" s="705">
        <v>1139</v>
      </c>
      <c r="N145" s="705">
        <v>1124</v>
      </c>
      <c r="O145" s="705">
        <v>416</v>
      </c>
      <c r="P145" s="705">
        <v>0</v>
      </c>
      <c r="Q145" s="705">
        <v>0</v>
      </c>
      <c r="R145" s="705">
        <v>4853</v>
      </c>
      <c r="S145" s="705">
        <v>4412</v>
      </c>
      <c r="T145" s="705">
        <v>2140</v>
      </c>
      <c r="U145" s="705">
        <v>793</v>
      </c>
      <c r="V145" s="705">
        <v>12396</v>
      </c>
      <c r="W145" s="705">
        <f t="shared" si="12"/>
        <v>12397</v>
      </c>
      <c r="X145" s="705">
        <f t="shared" si="13"/>
        <v>24589</v>
      </c>
      <c r="Y145" s="705"/>
      <c r="AA145" t="s">
        <v>120</v>
      </c>
      <c r="AB145" t="s">
        <v>583</v>
      </c>
      <c r="AC145" t="s">
        <v>582</v>
      </c>
      <c r="AD145">
        <v>1</v>
      </c>
      <c r="AE145">
        <v>103</v>
      </c>
      <c r="AF145">
        <v>344</v>
      </c>
      <c r="AG145" s="705">
        <v>19255</v>
      </c>
      <c r="AH145" s="705">
        <v>17504</v>
      </c>
      <c r="AI145">
        <v>83</v>
      </c>
      <c r="AJ145" s="705">
        <v>5620</v>
      </c>
      <c r="AK145" s="705">
        <v>5109</v>
      </c>
      <c r="AL145" s="705">
        <v>1470</v>
      </c>
      <c r="AM145">
        <v>544</v>
      </c>
      <c r="AN145">
        <v>621</v>
      </c>
      <c r="AO145">
        <v>230</v>
      </c>
      <c r="AP145" s="705">
        <v>8531</v>
      </c>
      <c r="AQ145" s="705">
        <v>7755</v>
      </c>
      <c r="AR145">
        <v>0</v>
      </c>
      <c r="AS145">
        <v>0</v>
      </c>
      <c r="AT145" s="705">
        <v>31143</v>
      </c>
      <c r="AU145" s="705">
        <f t="shared" si="16"/>
        <v>31142</v>
      </c>
      <c r="AV145" s="705">
        <f t="shared" si="17"/>
        <v>35497</v>
      </c>
    </row>
    <row r="146" spans="2:48" hidden="1">
      <c r="B146" t="s">
        <v>672</v>
      </c>
      <c r="C146" t="s">
        <v>122</v>
      </c>
      <c r="D146" t="s">
        <v>583</v>
      </c>
      <c r="E146" t="s">
        <v>228</v>
      </c>
      <c r="F146" s="705">
        <v>1</v>
      </c>
      <c r="G146" s="705">
        <v>115</v>
      </c>
      <c r="H146" s="705">
        <v>422</v>
      </c>
      <c r="I146" s="705">
        <v>30642</v>
      </c>
      <c r="J146" s="705">
        <v>27856</v>
      </c>
      <c r="K146" s="705">
        <v>86</v>
      </c>
      <c r="L146" s="705">
        <v>9238</v>
      </c>
      <c r="M146" s="705">
        <v>8398</v>
      </c>
      <c r="N146" s="705">
        <v>2557</v>
      </c>
      <c r="O146" s="705">
        <v>947</v>
      </c>
      <c r="P146">
        <v>621</v>
      </c>
      <c r="Q146" s="705">
        <v>230</v>
      </c>
      <c r="R146" s="705">
        <v>5596</v>
      </c>
      <c r="S146" s="705">
        <v>2073</v>
      </c>
      <c r="T146">
        <v>0</v>
      </c>
      <c r="U146" s="705">
        <v>0</v>
      </c>
      <c r="V146" s="705">
        <v>39504</v>
      </c>
      <c r="W146" s="705">
        <f t="shared" si="12"/>
        <v>39504</v>
      </c>
      <c r="X146" s="705">
        <f t="shared" si="13"/>
        <v>48654</v>
      </c>
      <c r="Y146" s="705"/>
      <c r="AA146" t="s">
        <v>120</v>
      </c>
      <c r="AB146" t="s">
        <v>583</v>
      </c>
      <c r="AC146" t="s">
        <v>228</v>
      </c>
      <c r="AD146">
        <v>51</v>
      </c>
      <c r="AE146" s="705">
        <v>3001</v>
      </c>
      <c r="AF146" s="705">
        <v>17262</v>
      </c>
      <c r="AG146" s="705">
        <v>581937</v>
      </c>
      <c r="AH146" s="705">
        <v>529034</v>
      </c>
      <c r="AI146">
        <v>80</v>
      </c>
      <c r="AJ146" s="705">
        <v>67783</v>
      </c>
      <c r="AK146" s="705">
        <v>66193</v>
      </c>
      <c r="AL146" s="705">
        <v>63760</v>
      </c>
      <c r="AM146" s="705">
        <v>23615</v>
      </c>
      <c r="AN146" s="705">
        <v>29552</v>
      </c>
      <c r="AO146" s="705">
        <v>10945</v>
      </c>
      <c r="AP146" s="705">
        <v>279663</v>
      </c>
      <c r="AQ146" s="705">
        <v>103579</v>
      </c>
      <c r="AR146">
        <v>0</v>
      </c>
      <c r="AS146">
        <v>0</v>
      </c>
      <c r="AT146" s="705">
        <v>733365</v>
      </c>
      <c r="AU146" s="705">
        <f t="shared" si="16"/>
        <v>733366</v>
      </c>
      <c r="AV146" s="705">
        <f t="shared" si="17"/>
        <v>1022695</v>
      </c>
    </row>
    <row r="147" spans="2:48" hidden="1">
      <c r="B147" t="s">
        <v>672</v>
      </c>
      <c r="C147" t="s">
        <v>122</v>
      </c>
      <c r="D147" t="s">
        <v>583</v>
      </c>
      <c r="E147" t="s">
        <v>583</v>
      </c>
      <c r="F147">
        <v>4</v>
      </c>
      <c r="G147">
        <v>275</v>
      </c>
      <c r="H147" s="705">
        <v>1637</v>
      </c>
      <c r="I147" s="705">
        <v>76620</v>
      </c>
      <c r="J147" s="705">
        <v>69655</v>
      </c>
      <c r="K147" s="705">
        <v>81</v>
      </c>
      <c r="L147" s="705">
        <v>18119</v>
      </c>
      <c r="M147" s="705">
        <v>11292</v>
      </c>
      <c r="N147" s="705">
        <v>6138</v>
      </c>
      <c r="O147" s="705">
        <v>2273</v>
      </c>
      <c r="P147" s="705">
        <v>2484</v>
      </c>
      <c r="Q147" s="705">
        <v>920</v>
      </c>
      <c r="R147" s="705">
        <v>12871</v>
      </c>
      <c r="S147" s="705">
        <v>11701</v>
      </c>
      <c r="T147" s="705">
        <v>8224</v>
      </c>
      <c r="U147" s="705">
        <v>3046</v>
      </c>
      <c r="V147" s="705">
        <v>98887</v>
      </c>
      <c r="W147" s="705">
        <f t="shared" si="12"/>
        <v>98887</v>
      </c>
      <c r="X147" s="705">
        <f t="shared" si="13"/>
        <v>124456</v>
      </c>
      <c r="Y147" s="705"/>
      <c r="AA147" t="s">
        <v>120</v>
      </c>
      <c r="AB147" t="s">
        <v>583</v>
      </c>
      <c r="AC147" t="s">
        <v>583</v>
      </c>
      <c r="AD147">
        <v>464</v>
      </c>
      <c r="AE147" s="705">
        <v>43292</v>
      </c>
      <c r="AF147" s="705">
        <v>156886</v>
      </c>
      <c r="AG147" s="705">
        <v>9115203</v>
      </c>
      <c r="AH147" s="705">
        <v>8286548</v>
      </c>
      <c r="AI147">
        <v>78</v>
      </c>
      <c r="AJ147" s="705">
        <v>1607499</v>
      </c>
      <c r="AK147" s="705">
        <v>1358101</v>
      </c>
      <c r="AL147" s="705">
        <v>898170</v>
      </c>
      <c r="AM147" s="705">
        <v>332655</v>
      </c>
      <c r="AN147" s="705">
        <v>292876</v>
      </c>
      <c r="AO147" s="705">
        <v>108473</v>
      </c>
      <c r="AP147" s="705">
        <v>2154410</v>
      </c>
      <c r="AQ147" s="705">
        <v>1958554</v>
      </c>
      <c r="AR147" s="705">
        <v>698916</v>
      </c>
      <c r="AS147" s="705">
        <v>258858</v>
      </c>
      <c r="AT147" s="705">
        <v>12303190</v>
      </c>
      <c r="AU147" s="705">
        <f t="shared" si="16"/>
        <v>12303189</v>
      </c>
      <c r="AV147" s="705">
        <f t="shared" si="17"/>
        <v>14767074</v>
      </c>
    </row>
    <row r="148" spans="2:48" hidden="1">
      <c r="B148" t="s">
        <v>672</v>
      </c>
      <c r="C148" t="s">
        <v>122</v>
      </c>
      <c r="D148" t="s">
        <v>584</v>
      </c>
      <c r="E148" t="s">
        <v>584</v>
      </c>
      <c r="F148" s="705">
        <v>2</v>
      </c>
      <c r="G148" s="705">
        <v>168</v>
      </c>
      <c r="H148" s="705">
        <v>818</v>
      </c>
      <c r="I148" s="705">
        <v>47671</v>
      </c>
      <c r="J148" s="705">
        <v>43337</v>
      </c>
      <c r="K148" s="705">
        <v>79</v>
      </c>
      <c r="L148" s="705">
        <v>4898</v>
      </c>
      <c r="M148" s="705">
        <v>4452</v>
      </c>
      <c r="N148" s="705">
        <v>3277</v>
      </c>
      <c r="O148" s="705">
        <v>1214</v>
      </c>
      <c r="P148" s="705">
        <v>945</v>
      </c>
      <c r="Q148" s="705">
        <v>350</v>
      </c>
      <c r="R148" s="705">
        <v>6886</v>
      </c>
      <c r="S148" s="705">
        <v>6260</v>
      </c>
      <c r="T148" s="705">
        <v>4101</v>
      </c>
      <c r="U148" s="705">
        <v>1519</v>
      </c>
      <c r="V148" s="705">
        <v>57132</v>
      </c>
      <c r="W148" s="705">
        <f t="shared" si="12"/>
        <v>57132</v>
      </c>
      <c r="X148" s="705">
        <f t="shared" si="13"/>
        <v>67778</v>
      </c>
      <c r="Y148" s="705"/>
      <c r="AA148" t="s">
        <v>120</v>
      </c>
      <c r="AB148" t="s">
        <v>583</v>
      </c>
      <c r="AC148" t="s">
        <v>584</v>
      </c>
      <c r="AD148">
        <v>1</v>
      </c>
      <c r="AE148">
        <v>133</v>
      </c>
      <c r="AF148">
        <v>337</v>
      </c>
      <c r="AG148" s="705">
        <v>33636</v>
      </c>
      <c r="AH148" s="705">
        <v>30578</v>
      </c>
      <c r="AI148">
        <v>85</v>
      </c>
      <c r="AJ148">
        <v>0</v>
      </c>
      <c r="AK148">
        <v>0</v>
      </c>
      <c r="AL148" s="705">
        <v>2488</v>
      </c>
      <c r="AM148">
        <v>921</v>
      </c>
      <c r="AN148">
        <v>743</v>
      </c>
      <c r="AO148">
        <v>275</v>
      </c>
      <c r="AP148" s="705">
        <v>5486</v>
      </c>
      <c r="AQ148" s="705">
        <v>4987</v>
      </c>
      <c r="AR148" s="705">
        <v>2378</v>
      </c>
      <c r="AS148">
        <v>881</v>
      </c>
      <c r="AT148" s="705">
        <v>37643</v>
      </c>
      <c r="AU148" s="705">
        <f t="shared" si="16"/>
        <v>37642</v>
      </c>
      <c r="AV148" s="705">
        <f t="shared" si="17"/>
        <v>44731</v>
      </c>
    </row>
    <row r="149" spans="2:48" hidden="1">
      <c r="B149" t="s">
        <v>672</v>
      </c>
      <c r="C149" t="s">
        <v>122</v>
      </c>
      <c r="D149" t="s">
        <v>669</v>
      </c>
      <c r="E149" t="s">
        <v>669</v>
      </c>
      <c r="F149" s="705">
        <v>5</v>
      </c>
      <c r="G149">
        <v>249</v>
      </c>
      <c r="H149" s="705">
        <v>2001</v>
      </c>
      <c r="I149" s="705">
        <v>58315</v>
      </c>
      <c r="J149" s="705">
        <v>48596</v>
      </c>
      <c r="K149" s="705">
        <v>63</v>
      </c>
      <c r="L149" s="705">
        <v>4336</v>
      </c>
      <c r="M149" s="705">
        <v>1606</v>
      </c>
      <c r="N149" s="705">
        <v>4960</v>
      </c>
      <c r="O149" s="705">
        <v>1837</v>
      </c>
      <c r="P149" s="705">
        <v>1755</v>
      </c>
      <c r="Q149" s="705">
        <v>650</v>
      </c>
      <c r="R149" s="705">
        <v>21144</v>
      </c>
      <c r="S149" s="705">
        <v>17620</v>
      </c>
      <c r="T149" s="705">
        <v>9149</v>
      </c>
      <c r="U149" s="705">
        <v>3388</v>
      </c>
      <c r="V149" s="705">
        <v>73697</v>
      </c>
      <c r="W149" s="705">
        <f t="shared" si="12"/>
        <v>73697</v>
      </c>
      <c r="X149" s="705">
        <f t="shared" si="13"/>
        <v>99659</v>
      </c>
      <c r="Y149" s="705"/>
      <c r="AA149" t="s">
        <v>120</v>
      </c>
      <c r="AB149" t="s">
        <v>583</v>
      </c>
      <c r="AC149" t="s">
        <v>665</v>
      </c>
      <c r="AD149">
        <v>1</v>
      </c>
      <c r="AE149">
        <v>80</v>
      </c>
      <c r="AF149">
        <v>369</v>
      </c>
      <c r="AG149" s="705">
        <v>19569</v>
      </c>
      <c r="AH149" s="705">
        <v>17790</v>
      </c>
      <c r="AI149">
        <v>65</v>
      </c>
      <c r="AJ149" s="705">
        <v>2067</v>
      </c>
      <c r="AK149" s="705">
        <v>1879</v>
      </c>
      <c r="AL149" s="705">
        <v>1835</v>
      </c>
      <c r="AM149">
        <v>680</v>
      </c>
      <c r="AN149">
        <v>621</v>
      </c>
      <c r="AO149">
        <v>230</v>
      </c>
      <c r="AP149" s="705">
        <v>3567</v>
      </c>
      <c r="AQ149" s="705">
        <v>3243</v>
      </c>
      <c r="AR149" s="705">
        <v>1716</v>
      </c>
      <c r="AS149">
        <v>636</v>
      </c>
      <c r="AT149" s="705">
        <v>24457</v>
      </c>
      <c r="AU149" s="705">
        <f t="shared" si="16"/>
        <v>24458</v>
      </c>
      <c r="AV149" s="705">
        <f t="shared" si="17"/>
        <v>29375</v>
      </c>
    </row>
    <row r="150" spans="2:48" hidden="1">
      <c r="B150" t="s">
        <v>672</v>
      </c>
      <c r="C150" t="s">
        <v>122</v>
      </c>
      <c r="D150" t="s">
        <v>665</v>
      </c>
      <c r="E150" t="s">
        <v>228</v>
      </c>
      <c r="F150" s="705">
        <v>1</v>
      </c>
      <c r="G150" s="705">
        <v>83</v>
      </c>
      <c r="H150" s="705">
        <v>394</v>
      </c>
      <c r="I150" s="705">
        <v>9444</v>
      </c>
      <c r="J150" s="705">
        <v>8586</v>
      </c>
      <c r="K150" s="705">
        <v>60</v>
      </c>
      <c r="L150" s="705">
        <v>2099</v>
      </c>
      <c r="M150" s="705">
        <v>1908</v>
      </c>
      <c r="N150" s="705">
        <v>1016</v>
      </c>
      <c r="O150" s="705">
        <v>376</v>
      </c>
      <c r="P150">
        <v>0</v>
      </c>
      <c r="Q150" s="705">
        <v>0</v>
      </c>
      <c r="R150" s="705">
        <v>20259</v>
      </c>
      <c r="S150" s="705">
        <v>7503</v>
      </c>
      <c r="T150">
        <v>0</v>
      </c>
      <c r="U150" s="705">
        <v>0</v>
      </c>
      <c r="V150" s="705">
        <v>18373</v>
      </c>
      <c r="W150" s="705">
        <f t="shared" si="12"/>
        <v>18373</v>
      </c>
      <c r="X150" s="705">
        <f t="shared" si="13"/>
        <v>32818</v>
      </c>
      <c r="Y150" s="705"/>
      <c r="AA150" t="s">
        <v>120</v>
      </c>
      <c r="AB150" t="s">
        <v>666</v>
      </c>
      <c r="AC150" t="s">
        <v>228</v>
      </c>
      <c r="AD150">
        <v>1</v>
      </c>
      <c r="AE150">
        <v>36</v>
      </c>
      <c r="AF150">
        <v>335</v>
      </c>
      <c r="AG150" s="705">
        <v>5129</v>
      </c>
      <c r="AH150" s="705">
        <v>4663</v>
      </c>
      <c r="AI150">
        <v>60</v>
      </c>
      <c r="AJ150">
        <v>839</v>
      </c>
      <c r="AK150">
        <v>311</v>
      </c>
      <c r="AL150">
        <v>716</v>
      </c>
      <c r="AM150">
        <v>265</v>
      </c>
      <c r="AN150">
        <v>0</v>
      </c>
      <c r="AO150">
        <v>0</v>
      </c>
      <c r="AP150" s="705">
        <v>5490</v>
      </c>
      <c r="AQ150" s="705">
        <v>2033</v>
      </c>
      <c r="AR150">
        <v>0</v>
      </c>
      <c r="AS150">
        <v>0</v>
      </c>
      <c r="AT150" s="705">
        <v>7272</v>
      </c>
      <c r="AU150" s="705">
        <f t="shared" si="16"/>
        <v>7272</v>
      </c>
      <c r="AV150" s="705">
        <f t="shared" si="17"/>
        <v>12174</v>
      </c>
    </row>
    <row r="151" spans="2:48" hidden="1">
      <c r="B151" t="s">
        <v>672</v>
      </c>
      <c r="C151" t="s">
        <v>124</v>
      </c>
      <c r="F151" s="705">
        <v>3</v>
      </c>
      <c r="G151" s="705">
        <v>152</v>
      </c>
      <c r="H151" s="705">
        <v>1698</v>
      </c>
      <c r="I151" s="705"/>
      <c r="J151">
        <v>0</v>
      </c>
      <c r="K151" s="705"/>
      <c r="L151" s="705"/>
      <c r="M151" s="705">
        <v>0</v>
      </c>
      <c r="N151" s="705">
        <v>3214</v>
      </c>
      <c r="O151" s="705">
        <v>1190</v>
      </c>
      <c r="P151" s="705">
        <v>1863</v>
      </c>
      <c r="Q151" s="705">
        <v>690</v>
      </c>
      <c r="R151" s="705"/>
      <c r="S151" s="705">
        <v>0</v>
      </c>
      <c r="T151" s="705">
        <v>0</v>
      </c>
      <c r="U151" s="705">
        <v>0</v>
      </c>
      <c r="V151" s="705">
        <v>1880</v>
      </c>
      <c r="W151" s="705">
        <f t="shared" si="12"/>
        <v>1880</v>
      </c>
      <c r="X151" s="705">
        <f t="shared" si="13"/>
        <v>5077</v>
      </c>
      <c r="Y151" s="705"/>
      <c r="AA151" t="s">
        <v>120</v>
      </c>
      <c r="AB151" t="s">
        <v>666</v>
      </c>
      <c r="AC151" t="s">
        <v>666</v>
      </c>
      <c r="AD151">
        <v>15</v>
      </c>
      <c r="AE151">
        <v>871</v>
      </c>
      <c r="AF151" s="705">
        <v>5037</v>
      </c>
      <c r="AG151" s="705">
        <v>154350</v>
      </c>
      <c r="AH151" s="705">
        <v>140318</v>
      </c>
      <c r="AI151">
        <v>56</v>
      </c>
      <c r="AJ151" s="705">
        <v>12698</v>
      </c>
      <c r="AK151" s="705">
        <v>8540</v>
      </c>
      <c r="AL151" s="705">
        <v>17534</v>
      </c>
      <c r="AM151" s="705">
        <v>6494</v>
      </c>
      <c r="AN151" s="705">
        <v>5265</v>
      </c>
      <c r="AO151" s="705">
        <v>1950</v>
      </c>
      <c r="AP151" s="705">
        <v>70192</v>
      </c>
      <c r="AQ151" s="705">
        <v>63811</v>
      </c>
      <c r="AR151" s="705">
        <v>32380</v>
      </c>
      <c r="AS151" s="705">
        <v>11993</v>
      </c>
      <c r="AT151" s="705">
        <v>233106</v>
      </c>
      <c r="AU151" s="705">
        <f t="shared" si="16"/>
        <v>233106</v>
      </c>
      <c r="AV151" s="705">
        <f t="shared" si="17"/>
        <v>292419</v>
      </c>
    </row>
    <row r="152" spans="2:48" hidden="1">
      <c r="B152" t="s">
        <v>672</v>
      </c>
      <c r="C152" t="s">
        <v>124</v>
      </c>
      <c r="D152" t="s">
        <v>582</v>
      </c>
      <c r="E152" t="s">
        <v>582</v>
      </c>
      <c r="F152" s="705">
        <v>2</v>
      </c>
      <c r="G152" s="705">
        <v>172</v>
      </c>
      <c r="H152" s="705">
        <v>949</v>
      </c>
      <c r="I152" s="705">
        <v>54820</v>
      </c>
      <c r="J152" s="705">
        <v>49837</v>
      </c>
      <c r="K152" s="705">
        <v>78</v>
      </c>
      <c r="L152" s="705">
        <v>9618</v>
      </c>
      <c r="M152" s="705">
        <v>8743</v>
      </c>
      <c r="N152" s="705">
        <v>4184</v>
      </c>
      <c r="O152" s="705">
        <v>1550</v>
      </c>
      <c r="P152">
        <v>945</v>
      </c>
      <c r="Q152" s="705">
        <v>350</v>
      </c>
      <c r="R152" s="705">
        <v>8041</v>
      </c>
      <c r="S152" s="705">
        <v>7310</v>
      </c>
      <c r="T152" s="705">
        <v>2727</v>
      </c>
      <c r="U152" s="705">
        <v>1010</v>
      </c>
      <c r="V152" s="705">
        <v>68799</v>
      </c>
      <c r="W152" s="705">
        <f t="shared" si="12"/>
        <v>68800</v>
      </c>
      <c r="X152" s="705">
        <f t="shared" si="13"/>
        <v>80335</v>
      </c>
      <c r="Y152" s="705"/>
      <c r="AA152" t="s">
        <v>120</v>
      </c>
      <c r="AB152" t="s">
        <v>584</v>
      </c>
      <c r="AC152" t="s">
        <v>228</v>
      </c>
      <c r="AD152">
        <v>111</v>
      </c>
      <c r="AE152" s="705">
        <v>5341</v>
      </c>
      <c r="AF152" s="705">
        <v>37511</v>
      </c>
      <c r="AG152" s="705">
        <v>1045569</v>
      </c>
      <c r="AH152" s="705">
        <v>950517</v>
      </c>
      <c r="AI152">
        <v>78</v>
      </c>
      <c r="AJ152" s="705">
        <v>90087</v>
      </c>
      <c r="AK152" s="705">
        <v>63031</v>
      </c>
      <c r="AL152" s="705">
        <v>107938</v>
      </c>
      <c r="AM152" s="705">
        <v>39977</v>
      </c>
      <c r="AN152" s="705">
        <v>46305</v>
      </c>
      <c r="AO152" s="705">
        <v>17150</v>
      </c>
      <c r="AP152" s="705">
        <v>525126</v>
      </c>
      <c r="AQ152" s="705">
        <v>194491</v>
      </c>
      <c r="AR152">
        <v>0</v>
      </c>
      <c r="AS152">
        <v>0</v>
      </c>
      <c r="AT152" s="705">
        <v>1265167</v>
      </c>
      <c r="AU152" s="705">
        <f t="shared" si="16"/>
        <v>1265166</v>
      </c>
      <c r="AV152" s="705">
        <f t="shared" si="17"/>
        <v>1815025</v>
      </c>
    </row>
    <row r="153" spans="2:48" hidden="1">
      <c r="B153" t="s">
        <v>672</v>
      </c>
      <c r="C153" t="s">
        <v>124</v>
      </c>
      <c r="D153" t="s">
        <v>228</v>
      </c>
      <c r="E153" t="s">
        <v>228</v>
      </c>
      <c r="F153" s="705">
        <v>128</v>
      </c>
      <c r="G153" s="705">
        <v>7259</v>
      </c>
      <c r="H153" s="705">
        <v>76021</v>
      </c>
      <c r="I153" s="705">
        <v>3098036</v>
      </c>
      <c r="J153" s="705">
        <v>1147421</v>
      </c>
      <c r="K153" s="705">
        <v>100</v>
      </c>
      <c r="L153" s="705">
        <v>287171</v>
      </c>
      <c r="M153" s="705">
        <v>140273</v>
      </c>
      <c r="N153" s="705">
        <v>150522</v>
      </c>
      <c r="O153" s="705">
        <v>55749</v>
      </c>
      <c r="P153">
        <v>0</v>
      </c>
      <c r="Q153" s="705">
        <v>0</v>
      </c>
      <c r="R153" s="705">
        <v>808573</v>
      </c>
      <c r="S153" s="705">
        <v>299472</v>
      </c>
      <c r="T153" s="705">
        <v>1455</v>
      </c>
      <c r="U153" s="705">
        <v>539</v>
      </c>
      <c r="V153" s="705">
        <v>1643453</v>
      </c>
      <c r="W153" s="705">
        <f t="shared" si="12"/>
        <v>1643454</v>
      </c>
      <c r="X153" s="705">
        <f t="shared" si="13"/>
        <v>4345757</v>
      </c>
      <c r="Y153" s="705"/>
      <c r="AA153" t="s">
        <v>120</v>
      </c>
      <c r="AB153" t="s">
        <v>584</v>
      </c>
      <c r="AC153" t="s">
        <v>583</v>
      </c>
      <c r="AD153">
        <v>1</v>
      </c>
      <c r="AE153">
        <v>86</v>
      </c>
      <c r="AF153">
        <v>347</v>
      </c>
      <c r="AG153" s="705">
        <v>15455</v>
      </c>
      <c r="AH153" s="705">
        <v>14050</v>
      </c>
      <c r="AI153">
        <v>86</v>
      </c>
      <c r="AJ153" s="705">
        <v>7748</v>
      </c>
      <c r="AK153" s="705">
        <v>2870</v>
      </c>
      <c r="AL153" s="705">
        <v>1671</v>
      </c>
      <c r="AM153">
        <v>619</v>
      </c>
      <c r="AN153">
        <v>473</v>
      </c>
      <c r="AO153">
        <v>175</v>
      </c>
      <c r="AP153" s="705">
        <v>4357</v>
      </c>
      <c r="AQ153" s="705">
        <v>3961</v>
      </c>
      <c r="AR153">
        <v>0</v>
      </c>
      <c r="AS153">
        <v>0</v>
      </c>
      <c r="AT153" s="705">
        <v>21675</v>
      </c>
      <c r="AU153" s="705">
        <f t="shared" si="16"/>
        <v>21675</v>
      </c>
      <c r="AV153" s="705">
        <f t="shared" si="17"/>
        <v>29704</v>
      </c>
    </row>
    <row r="154" spans="2:48" hidden="1">
      <c r="B154" t="s">
        <v>672</v>
      </c>
      <c r="C154" t="s">
        <v>124</v>
      </c>
      <c r="D154" t="s">
        <v>228</v>
      </c>
      <c r="E154" t="s">
        <v>669</v>
      </c>
      <c r="F154">
        <v>1</v>
      </c>
      <c r="G154">
        <v>60</v>
      </c>
      <c r="H154" s="705">
        <v>834</v>
      </c>
      <c r="I154" s="705">
        <v>33239</v>
      </c>
      <c r="J154" s="705">
        <v>12311</v>
      </c>
      <c r="K154" s="705">
        <v>100</v>
      </c>
      <c r="L154" s="705">
        <v>7797</v>
      </c>
      <c r="M154" s="705">
        <v>6497</v>
      </c>
      <c r="N154" s="705">
        <v>1099</v>
      </c>
      <c r="O154">
        <v>407</v>
      </c>
      <c r="P154">
        <v>0</v>
      </c>
      <c r="Q154" s="705">
        <v>0</v>
      </c>
      <c r="R154" s="705">
        <v>7981</v>
      </c>
      <c r="S154" s="705">
        <v>6651</v>
      </c>
      <c r="T154">
        <v>0</v>
      </c>
      <c r="U154" s="705">
        <v>0</v>
      </c>
      <c r="V154" s="705">
        <v>25866</v>
      </c>
      <c r="W154" s="705">
        <f t="shared" si="12"/>
        <v>25866</v>
      </c>
      <c r="X154" s="705">
        <f t="shared" si="13"/>
        <v>50116</v>
      </c>
      <c r="Y154" s="705"/>
      <c r="AA154" t="s">
        <v>120</v>
      </c>
      <c r="AB154" t="s">
        <v>584</v>
      </c>
      <c r="AC154" t="s">
        <v>584</v>
      </c>
      <c r="AD154" s="705">
        <v>1704</v>
      </c>
      <c r="AE154" s="705">
        <v>103010</v>
      </c>
      <c r="AF154" s="705">
        <v>572537</v>
      </c>
      <c r="AG154" s="705">
        <v>19779274</v>
      </c>
      <c r="AH154" s="705">
        <v>17981158</v>
      </c>
      <c r="AI154">
        <v>77</v>
      </c>
      <c r="AJ154" s="705">
        <v>3521439</v>
      </c>
      <c r="AK154" s="705">
        <v>2937027</v>
      </c>
      <c r="AL154" s="705">
        <v>2156620</v>
      </c>
      <c r="AM154" s="705">
        <v>798748</v>
      </c>
      <c r="AN154" s="705">
        <v>803260</v>
      </c>
      <c r="AO154" s="705">
        <v>297504</v>
      </c>
      <c r="AP154" s="705">
        <v>6797024</v>
      </c>
      <c r="AQ154" s="705">
        <v>6179113</v>
      </c>
      <c r="AR154" s="705">
        <v>1652221</v>
      </c>
      <c r="AS154" s="705">
        <v>611934</v>
      </c>
      <c r="AT154" s="705">
        <v>28805483</v>
      </c>
      <c r="AU154" s="705">
        <f t="shared" si="16"/>
        <v>28805484</v>
      </c>
      <c r="AV154" s="705">
        <f t="shared" si="17"/>
        <v>34709838</v>
      </c>
    </row>
    <row r="155" spans="2:48" hidden="1">
      <c r="B155" t="s">
        <v>672</v>
      </c>
      <c r="C155" t="s">
        <v>124</v>
      </c>
      <c r="D155" t="s">
        <v>583</v>
      </c>
      <c r="E155" t="s">
        <v>583</v>
      </c>
      <c r="F155" s="705">
        <v>4</v>
      </c>
      <c r="G155" s="705">
        <v>322</v>
      </c>
      <c r="H155" s="705">
        <v>2023</v>
      </c>
      <c r="I155" s="705">
        <v>119929</v>
      </c>
      <c r="J155" s="705">
        <v>109027</v>
      </c>
      <c r="K155" s="705">
        <v>77</v>
      </c>
      <c r="L155" s="705">
        <v>16346</v>
      </c>
      <c r="M155" s="705">
        <v>14606</v>
      </c>
      <c r="N155" s="705">
        <v>6572</v>
      </c>
      <c r="O155" s="705">
        <v>2434</v>
      </c>
      <c r="P155" s="705">
        <v>3186</v>
      </c>
      <c r="Q155" s="705">
        <v>1180</v>
      </c>
      <c r="R155" s="705">
        <v>17966</v>
      </c>
      <c r="S155" s="705">
        <v>16333</v>
      </c>
      <c r="T155" s="705">
        <v>3662</v>
      </c>
      <c r="U155" s="705">
        <v>1356</v>
      </c>
      <c r="V155" s="705">
        <v>144936</v>
      </c>
      <c r="W155" s="705">
        <f t="shared" si="12"/>
        <v>144936</v>
      </c>
      <c r="X155" s="705">
        <f t="shared" si="13"/>
        <v>167661</v>
      </c>
      <c r="Y155" s="705"/>
      <c r="AA155" t="s">
        <v>120</v>
      </c>
      <c r="AB155" t="s">
        <v>669</v>
      </c>
      <c r="AC155" t="s">
        <v>228</v>
      </c>
      <c r="AD155">
        <v>6</v>
      </c>
      <c r="AE155">
        <v>275</v>
      </c>
      <c r="AF155" s="705">
        <v>2062</v>
      </c>
      <c r="AG155" s="705">
        <v>53600</v>
      </c>
      <c r="AH155" s="705">
        <v>44667</v>
      </c>
      <c r="AI155">
        <v>45</v>
      </c>
      <c r="AJ155" s="705">
        <v>4224</v>
      </c>
      <c r="AK155" s="705">
        <v>1565</v>
      </c>
      <c r="AL155" s="705">
        <v>5065</v>
      </c>
      <c r="AM155" s="705">
        <v>1876</v>
      </c>
      <c r="AN155">
        <v>702</v>
      </c>
      <c r="AO155">
        <v>260</v>
      </c>
      <c r="AP155" s="705">
        <v>31048</v>
      </c>
      <c r="AQ155" s="705">
        <v>11499</v>
      </c>
      <c r="AR155">
        <v>0</v>
      </c>
      <c r="AS155">
        <v>0</v>
      </c>
      <c r="AT155" s="705">
        <v>59867</v>
      </c>
      <c r="AU155" s="705">
        <f t="shared" si="16"/>
        <v>59867</v>
      </c>
      <c r="AV155" s="705">
        <f t="shared" si="17"/>
        <v>94639</v>
      </c>
    </row>
    <row r="156" spans="2:48" hidden="1">
      <c r="B156" t="s">
        <v>672</v>
      </c>
      <c r="C156" t="s">
        <v>124</v>
      </c>
      <c r="D156" t="s">
        <v>666</v>
      </c>
      <c r="E156" t="s">
        <v>666</v>
      </c>
      <c r="F156">
        <v>1</v>
      </c>
      <c r="G156">
        <v>88</v>
      </c>
      <c r="H156" s="705">
        <v>703</v>
      </c>
      <c r="I156" s="705">
        <v>40407</v>
      </c>
      <c r="J156" s="705">
        <v>36734</v>
      </c>
      <c r="K156" s="705">
        <v>55</v>
      </c>
      <c r="L156" s="705">
        <v>6061</v>
      </c>
      <c r="M156" s="705">
        <v>2245</v>
      </c>
      <c r="N156" s="705">
        <v>2146</v>
      </c>
      <c r="O156">
        <v>795</v>
      </c>
      <c r="P156">
        <v>351</v>
      </c>
      <c r="Q156" s="705">
        <v>130</v>
      </c>
      <c r="R156" s="705">
        <v>8403</v>
      </c>
      <c r="S156" s="705">
        <v>7640</v>
      </c>
      <c r="T156" s="705">
        <v>4501</v>
      </c>
      <c r="U156" s="705">
        <v>1667</v>
      </c>
      <c r="V156" s="705">
        <v>49210</v>
      </c>
      <c r="W156" s="705">
        <f t="shared" si="12"/>
        <v>49211</v>
      </c>
      <c r="X156" s="705">
        <f t="shared" si="13"/>
        <v>61869</v>
      </c>
      <c r="Y156" s="705"/>
      <c r="AA156" t="s">
        <v>120</v>
      </c>
      <c r="AB156" t="s">
        <v>669</v>
      </c>
      <c r="AC156" t="s">
        <v>669</v>
      </c>
      <c r="AD156">
        <v>60</v>
      </c>
      <c r="AE156" s="705">
        <v>3280</v>
      </c>
      <c r="AF156" s="705">
        <v>20208</v>
      </c>
      <c r="AG156" s="705">
        <v>567399</v>
      </c>
      <c r="AH156" s="705">
        <v>472832</v>
      </c>
      <c r="AI156">
        <v>58</v>
      </c>
      <c r="AJ156" s="705">
        <v>56104</v>
      </c>
      <c r="AK156" s="705">
        <v>30815</v>
      </c>
      <c r="AL156" s="705">
        <v>65550</v>
      </c>
      <c r="AM156" s="705">
        <v>24278</v>
      </c>
      <c r="AN156" s="705">
        <v>20358</v>
      </c>
      <c r="AO156" s="705">
        <v>7540</v>
      </c>
      <c r="AP156" s="705">
        <v>282319</v>
      </c>
      <c r="AQ156" s="705">
        <v>235266</v>
      </c>
      <c r="AR156" s="705">
        <v>111861</v>
      </c>
      <c r="AS156" s="705">
        <v>41430</v>
      </c>
      <c r="AT156" s="705">
        <v>812161</v>
      </c>
      <c r="AU156" s="705">
        <f t="shared" si="16"/>
        <v>812161</v>
      </c>
      <c r="AV156" s="705">
        <f t="shared" si="17"/>
        <v>1103591</v>
      </c>
    </row>
    <row r="157" spans="2:48" hidden="1">
      <c r="B157" t="s">
        <v>672</v>
      </c>
      <c r="C157" t="s">
        <v>124</v>
      </c>
      <c r="D157" t="s">
        <v>669</v>
      </c>
      <c r="E157" t="s">
        <v>669</v>
      </c>
      <c r="F157" s="705">
        <v>1</v>
      </c>
      <c r="G157" s="705">
        <v>47</v>
      </c>
      <c r="H157" s="705">
        <v>519</v>
      </c>
      <c r="I157" s="705">
        <v>17732</v>
      </c>
      <c r="J157" s="705">
        <v>14776</v>
      </c>
      <c r="K157" s="705">
        <v>55</v>
      </c>
      <c r="L157" s="705">
        <v>0</v>
      </c>
      <c r="M157" s="705">
        <v>0</v>
      </c>
      <c r="N157" s="705">
        <v>1141</v>
      </c>
      <c r="O157" s="705">
        <v>423</v>
      </c>
      <c r="P157">
        <v>351</v>
      </c>
      <c r="Q157" s="705">
        <v>130</v>
      </c>
      <c r="R157" s="705">
        <v>3843</v>
      </c>
      <c r="S157" s="705">
        <v>3202</v>
      </c>
      <c r="T157" s="705">
        <v>1255</v>
      </c>
      <c r="U157" s="705">
        <v>465</v>
      </c>
      <c r="V157" s="705">
        <v>18996</v>
      </c>
      <c r="W157" s="705">
        <f t="shared" si="12"/>
        <v>18996</v>
      </c>
      <c r="X157" s="705">
        <f t="shared" si="13"/>
        <v>24322</v>
      </c>
      <c r="Y157" s="705"/>
      <c r="AA157" t="s">
        <v>120</v>
      </c>
      <c r="AB157" t="s">
        <v>667</v>
      </c>
      <c r="AC157" t="s">
        <v>667</v>
      </c>
      <c r="AD157">
        <v>1</v>
      </c>
      <c r="AE157">
        <v>46</v>
      </c>
      <c r="AF157">
        <v>365</v>
      </c>
      <c r="AG157" s="705">
        <v>9782</v>
      </c>
      <c r="AH157" s="705">
        <v>8893</v>
      </c>
      <c r="AI157">
        <v>55</v>
      </c>
      <c r="AJ157">
        <v>0</v>
      </c>
      <c r="AK157">
        <v>0</v>
      </c>
      <c r="AL157" s="705">
        <v>1064</v>
      </c>
      <c r="AM157">
        <v>394</v>
      </c>
      <c r="AN157">
        <v>351</v>
      </c>
      <c r="AO157">
        <v>130</v>
      </c>
      <c r="AP157" s="705">
        <v>4117</v>
      </c>
      <c r="AQ157" s="705">
        <v>3742</v>
      </c>
      <c r="AR157" s="705">
        <v>1650</v>
      </c>
      <c r="AS157">
        <v>611</v>
      </c>
      <c r="AT157" s="705">
        <v>13770</v>
      </c>
      <c r="AU157" s="705">
        <f t="shared" si="16"/>
        <v>13770</v>
      </c>
      <c r="AV157" s="705">
        <f t="shared" si="17"/>
        <v>16964</v>
      </c>
    </row>
    <row r="158" spans="2:48" hidden="1">
      <c r="B158" t="s">
        <v>672</v>
      </c>
      <c r="C158" t="s">
        <v>124</v>
      </c>
      <c r="D158" t="s">
        <v>665</v>
      </c>
      <c r="E158" t="s">
        <v>228</v>
      </c>
      <c r="F158" s="705">
        <v>3</v>
      </c>
      <c r="G158" s="705">
        <v>155</v>
      </c>
      <c r="H158" s="705">
        <v>2331</v>
      </c>
      <c r="I158" s="705">
        <v>101124</v>
      </c>
      <c r="J158" s="705">
        <v>91931</v>
      </c>
      <c r="K158" s="705">
        <v>40</v>
      </c>
      <c r="L158" s="705">
        <v>3965</v>
      </c>
      <c r="M158" s="705">
        <v>1468</v>
      </c>
      <c r="N158" s="705">
        <v>3581</v>
      </c>
      <c r="O158" s="705">
        <v>1326</v>
      </c>
      <c r="P158" s="705">
        <v>0</v>
      </c>
      <c r="Q158">
        <v>0</v>
      </c>
      <c r="R158" s="705">
        <v>15371</v>
      </c>
      <c r="S158" s="705">
        <v>5693</v>
      </c>
      <c r="T158" s="705">
        <v>0</v>
      </c>
      <c r="U158" s="705">
        <v>0</v>
      </c>
      <c r="V158" s="705">
        <v>100419</v>
      </c>
      <c r="W158" s="705">
        <f t="shared" si="12"/>
        <v>100418</v>
      </c>
      <c r="X158" s="705">
        <f t="shared" si="13"/>
        <v>124041</v>
      </c>
      <c r="Y158" s="705"/>
      <c r="AA158" t="s">
        <v>120</v>
      </c>
      <c r="AB158" s="239" t="s">
        <v>671</v>
      </c>
      <c r="AC158" t="s">
        <v>671</v>
      </c>
      <c r="AD158">
        <v>1</v>
      </c>
      <c r="AE158">
        <v>108</v>
      </c>
      <c r="AF158">
        <v>352</v>
      </c>
      <c r="AG158" s="705">
        <v>23392</v>
      </c>
      <c r="AH158" s="705">
        <v>21266</v>
      </c>
      <c r="AI158">
        <v>65</v>
      </c>
      <c r="AJ158" s="705">
        <v>5631</v>
      </c>
      <c r="AK158" s="705">
        <v>5119</v>
      </c>
      <c r="AL158" s="705">
        <v>1712</v>
      </c>
      <c r="AM158">
        <v>634</v>
      </c>
      <c r="AN158">
        <v>351</v>
      </c>
      <c r="AO158">
        <v>130</v>
      </c>
      <c r="AP158" s="705">
        <v>4489</v>
      </c>
      <c r="AQ158" s="705">
        <v>4080</v>
      </c>
      <c r="AR158" s="705">
        <v>2440</v>
      </c>
      <c r="AS158">
        <v>904</v>
      </c>
      <c r="AT158" s="705">
        <v>32133</v>
      </c>
      <c r="AU158" s="705">
        <f t="shared" si="16"/>
        <v>32133</v>
      </c>
      <c r="AV158" s="705">
        <f t="shared" si="17"/>
        <v>38015</v>
      </c>
    </row>
    <row r="159" spans="2:48" hidden="1">
      <c r="B159" t="s">
        <v>672</v>
      </c>
      <c r="C159" t="s">
        <v>124</v>
      </c>
      <c r="D159" t="s">
        <v>665</v>
      </c>
      <c r="E159" t="s">
        <v>665</v>
      </c>
      <c r="F159">
        <v>2</v>
      </c>
      <c r="G159">
        <v>111</v>
      </c>
      <c r="H159" s="705">
        <v>1220</v>
      </c>
      <c r="I159" s="705">
        <v>48084</v>
      </c>
      <c r="J159" s="705">
        <v>43713</v>
      </c>
      <c r="K159" s="705">
        <v>55</v>
      </c>
      <c r="L159" s="705">
        <v>2619</v>
      </c>
      <c r="M159" s="705">
        <v>970</v>
      </c>
      <c r="N159" s="705">
        <v>2693</v>
      </c>
      <c r="O159" s="705">
        <v>997</v>
      </c>
      <c r="P159">
        <v>702</v>
      </c>
      <c r="Q159" s="705">
        <v>260</v>
      </c>
      <c r="R159" s="705">
        <v>9149</v>
      </c>
      <c r="S159" s="705">
        <v>8317</v>
      </c>
      <c r="T159" s="705">
        <v>3909</v>
      </c>
      <c r="U159" s="705">
        <v>1448</v>
      </c>
      <c r="V159" s="705">
        <v>55705</v>
      </c>
      <c r="W159" s="705">
        <f t="shared" si="12"/>
        <v>55705</v>
      </c>
      <c r="X159" s="705">
        <f t="shared" si="13"/>
        <v>67156</v>
      </c>
      <c r="Y159" s="705"/>
      <c r="AA159" t="s">
        <v>120</v>
      </c>
      <c r="AB159" t="s">
        <v>665</v>
      </c>
      <c r="AC159" t="s">
        <v>228</v>
      </c>
      <c r="AD159">
        <v>6</v>
      </c>
      <c r="AE159">
        <v>296</v>
      </c>
      <c r="AF159" s="705">
        <v>1954</v>
      </c>
      <c r="AG159" s="705">
        <v>51728</v>
      </c>
      <c r="AH159" s="705">
        <v>47026</v>
      </c>
      <c r="AI159">
        <v>51</v>
      </c>
      <c r="AJ159" s="705">
        <v>6028</v>
      </c>
      <c r="AK159" s="705">
        <v>2898</v>
      </c>
      <c r="AL159" s="705">
        <v>6109</v>
      </c>
      <c r="AM159" s="705">
        <v>2263</v>
      </c>
      <c r="AN159">
        <v>702</v>
      </c>
      <c r="AO159">
        <v>260</v>
      </c>
      <c r="AP159" s="705">
        <v>31459</v>
      </c>
      <c r="AQ159" s="705">
        <v>11651</v>
      </c>
      <c r="AR159">
        <v>0</v>
      </c>
      <c r="AS159">
        <v>0</v>
      </c>
      <c r="AT159" s="705">
        <v>64098</v>
      </c>
      <c r="AU159" s="705">
        <f t="shared" si="16"/>
        <v>64098</v>
      </c>
      <c r="AV159" s="705">
        <f t="shared" si="17"/>
        <v>96026</v>
      </c>
    </row>
    <row r="160" spans="2:48" hidden="1">
      <c r="B160" t="s">
        <v>675</v>
      </c>
      <c r="C160" t="s">
        <v>108</v>
      </c>
      <c r="F160" s="705">
        <v>7</v>
      </c>
      <c r="G160" s="705">
        <v>430</v>
      </c>
      <c r="H160" s="705">
        <v>375</v>
      </c>
      <c r="I160" s="705"/>
      <c r="J160" s="705">
        <v>0</v>
      </c>
      <c r="K160" s="705"/>
      <c r="L160" s="705"/>
      <c r="M160" s="705">
        <v>0</v>
      </c>
      <c r="N160" s="705">
        <v>5242</v>
      </c>
      <c r="O160" s="705">
        <v>1941</v>
      </c>
      <c r="P160" s="705">
        <v>2457</v>
      </c>
      <c r="Q160" s="705">
        <v>910</v>
      </c>
      <c r="R160" s="705"/>
      <c r="S160" s="705">
        <v>0</v>
      </c>
      <c r="T160" s="705">
        <v>0</v>
      </c>
      <c r="U160" s="705">
        <v>0</v>
      </c>
      <c r="V160" s="705">
        <v>2851</v>
      </c>
      <c r="W160" s="705">
        <f t="shared" si="12"/>
        <v>2851</v>
      </c>
      <c r="X160" s="705">
        <f t="shared" si="13"/>
        <v>7699</v>
      </c>
      <c r="Y160" s="705"/>
      <c r="AA160" t="s">
        <v>120</v>
      </c>
      <c r="AB160" t="s">
        <v>665</v>
      </c>
      <c r="AC160" t="s">
        <v>665</v>
      </c>
      <c r="AD160">
        <v>103</v>
      </c>
      <c r="AE160" s="705">
        <v>7098</v>
      </c>
      <c r="AF160" s="705">
        <v>34455</v>
      </c>
      <c r="AG160" s="705">
        <v>1296913</v>
      </c>
      <c r="AH160" s="705">
        <v>1179012</v>
      </c>
      <c r="AI160">
        <v>56</v>
      </c>
      <c r="AJ160" s="705">
        <v>154944</v>
      </c>
      <c r="AK160" s="705">
        <v>115771</v>
      </c>
      <c r="AL160" s="705">
        <v>138533</v>
      </c>
      <c r="AM160" s="705">
        <v>51308</v>
      </c>
      <c r="AN160" s="705">
        <v>39015</v>
      </c>
      <c r="AO160" s="705">
        <v>14450</v>
      </c>
      <c r="AP160" s="705">
        <v>511226</v>
      </c>
      <c r="AQ160" s="705">
        <v>464751</v>
      </c>
      <c r="AR160" s="705">
        <v>221852</v>
      </c>
      <c r="AS160" s="705">
        <v>82167</v>
      </c>
      <c r="AT160" s="705">
        <v>1907459</v>
      </c>
      <c r="AU160" s="705">
        <f t="shared" si="16"/>
        <v>1907459</v>
      </c>
      <c r="AV160" s="705">
        <f t="shared" si="17"/>
        <v>2362483</v>
      </c>
    </row>
    <row r="161" spans="2:48" hidden="1">
      <c r="B161" t="s">
        <v>675</v>
      </c>
      <c r="C161" t="s">
        <v>108</v>
      </c>
      <c r="D161" t="s">
        <v>228</v>
      </c>
      <c r="E161" t="s">
        <v>228</v>
      </c>
      <c r="F161" s="705">
        <v>7</v>
      </c>
      <c r="G161" s="705">
        <v>520</v>
      </c>
      <c r="H161" s="705">
        <v>458</v>
      </c>
      <c r="I161" s="705">
        <v>4505</v>
      </c>
      <c r="J161" s="705">
        <v>1668</v>
      </c>
      <c r="K161" s="705">
        <v>437</v>
      </c>
      <c r="L161" s="705">
        <v>258</v>
      </c>
      <c r="M161" s="705">
        <v>234</v>
      </c>
      <c r="N161" s="705">
        <v>6341</v>
      </c>
      <c r="O161" s="705">
        <v>2349</v>
      </c>
      <c r="P161" s="705">
        <v>2457</v>
      </c>
      <c r="Q161" s="705">
        <v>910</v>
      </c>
      <c r="R161" s="705">
        <v>20171</v>
      </c>
      <c r="S161" s="705">
        <v>7471</v>
      </c>
      <c r="T161" s="705">
        <v>0</v>
      </c>
      <c r="U161" s="705">
        <v>0</v>
      </c>
      <c r="V161" s="705">
        <v>12632</v>
      </c>
      <c r="W161" s="705">
        <f t="shared" si="12"/>
        <v>12632</v>
      </c>
      <c r="X161" s="705">
        <f t="shared" si="13"/>
        <v>33732</v>
      </c>
      <c r="Y161" s="705"/>
      <c r="AA161" t="s">
        <v>120</v>
      </c>
      <c r="AB161" t="s">
        <v>673</v>
      </c>
      <c r="AC161" t="s">
        <v>228</v>
      </c>
      <c r="AD161">
        <v>3</v>
      </c>
      <c r="AE161">
        <v>216</v>
      </c>
      <c r="AF161" s="705">
        <v>1053</v>
      </c>
      <c r="AG161" s="705">
        <v>45932</v>
      </c>
      <c r="AH161" s="705">
        <v>41756</v>
      </c>
      <c r="AI161">
        <v>62</v>
      </c>
      <c r="AJ161" s="705">
        <v>8156</v>
      </c>
      <c r="AK161" s="705">
        <v>6528</v>
      </c>
      <c r="AL161" s="705">
        <v>3460</v>
      </c>
      <c r="AM161" s="705">
        <v>1282</v>
      </c>
      <c r="AN161">
        <v>351</v>
      </c>
      <c r="AO161">
        <v>130</v>
      </c>
      <c r="AP161" s="705">
        <v>18042</v>
      </c>
      <c r="AQ161" s="705">
        <v>6682</v>
      </c>
      <c r="AR161">
        <v>0</v>
      </c>
      <c r="AS161">
        <v>0</v>
      </c>
      <c r="AT161" s="705">
        <v>56378</v>
      </c>
      <c r="AU161" s="705">
        <f t="shared" si="16"/>
        <v>56378</v>
      </c>
      <c r="AV161" s="705">
        <f t="shared" si="17"/>
        <v>75941</v>
      </c>
    </row>
    <row r="162" spans="2:48" hidden="1">
      <c r="B162" t="s">
        <v>675</v>
      </c>
      <c r="C162" t="s">
        <v>108</v>
      </c>
      <c r="D162" t="s">
        <v>228</v>
      </c>
      <c r="E162" t="s">
        <v>584</v>
      </c>
      <c r="F162" s="705">
        <v>9</v>
      </c>
      <c r="G162" s="705">
        <v>454</v>
      </c>
      <c r="H162" s="705">
        <v>350</v>
      </c>
      <c r="I162" s="705">
        <v>-6275</v>
      </c>
      <c r="J162" s="705">
        <v>-2324</v>
      </c>
      <c r="K162" s="705">
        <v>410</v>
      </c>
      <c r="L162" s="705">
        <v>-1684</v>
      </c>
      <c r="M162" s="705">
        <v>-1437</v>
      </c>
      <c r="N162" s="705">
        <v>8010</v>
      </c>
      <c r="O162" s="705">
        <v>2967</v>
      </c>
      <c r="P162" s="705">
        <v>4253</v>
      </c>
      <c r="Q162" s="705">
        <v>1575</v>
      </c>
      <c r="R162" s="705">
        <v>13371</v>
      </c>
      <c r="S162" s="705">
        <v>12155</v>
      </c>
      <c r="T162" s="705">
        <v>0</v>
      </c>
      <c r="U162" s="705">
        <v>0</v>
      </c>
      <c r="V162" s="705">
        <v>12935</v>
      </c>
      <c r="W162" s="705">
        <f t="shared" si="12"/>
        <v>20458</v>
      </c>
      <c r="X162" s="705">
        <f t="shared" si="13"/>
        <v>33593</v>
      </c>
      <c r="Y162" s="705"/>
      <c r="AA162" t="s">
        <v>122</v>
      </c>
      <c r="AD162">
        <v>169</v>
      </c>
      <c r="AE162" s="705">
        <v>8061</v>
      </c>
      <c r="AF162" s="705">
        <v>69930</v>
      </c>
      <c r="AH162">
        <v>0</v>
      </c>
      <c r="AK162">
        <v>0</v>
      </c>
      <c r="AL162" s="705">
        <v>157925</v>
      </c>
      <c r="AM162" s="705">
        <v>58491</v>
      </c>
      <c r="AN162" s="705">
        <v>35249</v>
      </c>
      <c r="AO162" s="705">
        <v>13055</v>
      </c>
      <c r="AQ162">
        <v>0</v>
      </c>
      <c r="AR162" s="705">
        <v>47598</v>
      </c>
      <c r="AS162" s="705">
        <v>17629</v>
      </c>
      <c r="AT162" s="705">
        <v>89174</v>
      </c>
      <c r="AU162" s="705">
        <f t="shared" si="16"/>
        <v>89175</v>
      </c>
      <c r="AV162" s="705">
        <f t="shared" si="17"/>
        <v>240772</v>
      </c>
    </row>
    <row r="163" spans="2:48" hidden="1">
      <c r="B163" t="s">
        <v>675</v>
      </c>
      <c r="C163" t="s">
        <v>108</v>
      </c>
      <c r="D163" t="s">
        <v>583</v>
      </c>
      <c r="E163" t="s">
        <v>583</v>
      </c>
      <c r="F163" s="705">
        <v>2</v>
      </c>
      <c r="G163" s="705">
        <v>176</v>
      </c>
      <c r="H163" s="705">
        <v>110</v>
      </c>
      <c r="I163" s="705">
        <v>-5674</v>
      </c>
      <c r="J163" s="705">
        <v>-5159</v>
      </c>
      <c r="K163" s="705">
        <v>75</v>
      </c>
      <c r="L163" s="705">
        <v>0</v>
      </c>
      <c r="M163" s="705">
        <v>0</v>
      </c>
      <c r="N163" s="705">
        <v>4296</v>
      </c>
      <c r="O163" s="705">
        <v>1591</v>
      </c>
      <c r="P163" s="705">
        <v>1242</v>
      </c>
      <c r="Q163" s="705">
        <v>460</v>
      </c>
      <c r="R163" s="705">
        <v>9912</v>
      </c>
      <c r="S163" s="705">
        <v>9011</v>
      </c>
      <c r="T163">
        <v>0</v>
      </c>
      <c r="U163" s="705">
        <v>0</v>
      </c>
      <c r="V163" s="705">
        <v>5903</v>
      </c>
      <c r="W163" s="705">
        <f t="shared" si="12"/>
        <v>16221</v>
      </c>
      <c r="X163" s="705">
        <f t="shared" si="13"/>
        <v>21124</v>
      </c>
      <c r="Y163" s="705"/>
      <c r="AA163" t="s">
        <v>122</v>
      </c>
      <c r="AB163" t="s">
        <v>664</v>
      </c>
      <c r="AC163" t="s">
        <v>664</v>
      </c>
      <c r="AD163">
        <v>1</v>
      </c>
      <c r="AE163">
        <v>115</v>
      </c>
      <c r="AF163">
        <v>433</v>
      </c>
      <c r="AG163" s="705">
        <v>30803</v>
      </c>
      <c r="AH163" s="705">
        <v>28003</v>
      </c>
      <c r="AI163">
        <v>65</v>
      </c>
      <c r="AJ163" s="705">
        <v>7050</v>
      </c>
      <c r="AK163" s="705">
        <v>6409</v>
      </c>
      <c r="AL163" s="705">
        <v>2652</v>
      </c>
      <c r="AM163">
        <v>982</v>
      </c>
      <c r="AN163">
        <v>473</v>
      </c>
      <c r="AO163">
        <v>175</v>
      </c>
      <c r="AP163" s="705">
        <v>5548</v>
      </c>
      <c r="AQ163" s="705">
        <v>5044</v>
      </c>
      <c r="AR163" s="705">
        <v>3055</v>
      </c>
      <c r="AS163" s="705">
        <v>1131</v>
      </c>
      <c r="AT163" s="705">
        <v>41744</v>
      </c>
      <c r="AU163" s="705">
        <f t="shared" si="16"/>
        <v>41744</v>
      </c>
      <c r="AV163" s="705">
        <f t="shared" si="17"/>
        <v>49581</v>
      </c>
    </row>
    <row r="164" spans="2:48" hidden="1">
      <c r="B164" t="s">
        <v>675</v>
      </c>
      <c r="C164" t="s">
        <v>108</v>
      </c>
      <c r="D164" t="s">
        <v>584</v>
      </c>
      <c r="E164" t="s">
        <v>584</v>
      </c>
      <c r="F164" s="705">
        <v>8</v>
      </c>
      <c r="G164" s="705">
        <v>648</v>
      </c>
      <c r="H164" s="705">
        <v>489</v>
      </c>
      <c r="I164" s="705">
        <v>3268</v>
      </c>
      <c r="J164" s="705">
        <v>2971</v>
      </c>
      <c r="K164" s="705">
        <v>91</v>
      </c>
      <c r="L164" s="705">
        <v>0</v>
      </c>
      <c r="M164" s="705">
        <v>0</v>
      </c>
      <c r="N164" s="705">
        <v>7900</v>
      </c>
      <c r="O164" s="705">
        <v>2926</v>
      </c>
      <c r="P164" s="705">
        <v>6053</v>
      </c>
      <c r="Q164" s="705">
        <v>2242</v>
      </c>
      <c r="R164" s="705">
        <v>22057</v>
      </c>
      <c r="S164" s="705">
        <v>20052</v>
      </c>
      <c r="T164" s="705">
        <v>0</v>
      </c>
      <c r="U164" s="705">
        <v>0</v>
      </c>
      <c r="V164" s="705">
        <v>28191</v>
      </c>
      <c r="W164" s="705">
        <f t="shared" si="12"/>
        <v>28191</v>
      </c>
      <c r="X164" s="705">
        <f t="shared" si="13"/>
        <v>39278</v>
      </c>
      <c r="Y164" s="705"/>
      <c r="AA164" t="s">
        <v>122</v>
      </c>
      <c r="AB164" t="s">
        <v>582</v>
      </c>
      <c r="AC164" t="s">
        <v>582</v>
      </c>
      <c r="AD164">
        <v>15</v>
      </c>
      <c r="AE164">
        <v>890</v>
      </c>
      <c r="AF164" s="705">
        <v>6110</v>
      </c>
      <c r="AG164" s="705">
        <v>239582</v>
      </c>
      <c r="AH164" s="705">
        <v>217802</v>
      </c>
      <c r="AI164">
        <v>72</v>
      </c>
      <c r="AJ164" s="705">
        <v>30625</v>
      </c>
      <c r="AK164" s="705">
        <v>26021</v>
      </c>
      <c r="AL164" s="705">
        <v>18275</v>
      </c>
      <c r="AM164" s="705">
        <v>6768</v>
      </c>
      <c r="AN164" s="705">
        <v>6237</v>
      </c>
      <c r="AO164" s="705">
        <v>2310</v>
      </c>
      <c r="AP164" s="705">
        <v>50458</v>
      </c>
      <c r="AQ164" s="705">
        <v>45871</v>
      </c>
      <c r="AR164" s="705">
        <v>15684</v>
      </c>
      <c r="AS164" s="705">
        <v>5809</v>
      </c>
      <c r="AT164" s="705">
        <v>304582</v>
      </c>
      <c r="AU164" s="705">
        <f t="shared" si="16"/>
        <v>304581</v>
      </c>
      <c r="AV164" s="705">
        <f t="shared" si="17"/>
        <v>360861</v>
      </c>
    </row>
    <row r="165" spans="2:48" hidden="1">
      <c r="B165" t="s">
        <v>675</v>
      </c>
      <c r="C165" t="s">
        <v>108</v>
      </c>
      <c r="D165" t="s">
        <v>585</v>
      </c>
      <c r="E165" t="s">
        <v>585</v>
      </c>
      <c r="F165" s="705">
        <v>3</v>
      </c>
      <c r="G165" s="705">
        <v>144</v>
      </c>
      <c r="H165" s="705">
        <v>195</v>
      </c>
      <c r="I165" s="705">
        <v>-7017</v>
      </c>
      <c r="J165" s="705">
        <v>-6379</v>
      </c>
      <c r="K165" s="705">
        <v>65</v>
      </c>
      <c r="L165" s="705">
        <v>-1244</v>
      </c>
      <c r="M165" s="705">
        <v>-461</v>
      </c>
      <c r="N165" s="705">
        <v>3421</v>
      </c>
      <c r="O165" s="705">
        <v>1267</v>
      </c>
      <c r="P165" s="705">
        <v>1053</v>
      </c>
      <c r="Q165" s="705">
        <v>390</v>
      </c>
      <c r="R165" s="705">
        <v>13139</v>
      </c>
      <c r="S165" s="705">
        <v>11945</v>
      </c>
      <c r="T165">
        <v>0</v>
      </c>
      <c r="U165" s="705">
        <v>0</v>
      </c>
      <c r="V165" s="705">
        <v>6761</v>
      </c>
      <c r="W165" s="705">
        <f t="shared" si="12"/>
        <v>20442</v>
      </c>
      <c r="X165" s="705">
        <f t="shared" si="13"/>
        <v>25874</v>
      </c>
      <c r="Y165" s="705"/>
      <c r="AA165" t="s">
        <v>122</v>
      </c>
      <c r="AB165" t="s">
        <v>582</v>
      </c>
      <c r="AC165" t="s">
        <v>228</v>
      </c>
      <c r="AD165">
        <v>1</v>
      </c>
      <c r="AE165">
        <v>60</v>
      </c>
      <c r="AF165">
        <v>395</v>
      </c>
      <c r="AG165" s="705">
        <v>9848</v>
      </c>
      <c r="AH165" s="705">
        <v>8953</v>
      </c>
      <c r="AI165">
        <v>72</v>
      </c>
      <c r="AJ165" s="705">
        <v>2495</v>
      </c>
      <c r="AK165" s="705">
        <v>2268</v>
      </c>
      <c r="AL165" s="705">
        <v>1273</v>
      </c>
      <c r="AM165">
        <v>471</v>
      </c>
      <c r="AN165">
        <v>473</v>
      </c>
      <c r="AO165">
        <v>175</v>
      </c>
      <c r="AP165" s="705">
        <v>9522</v>
      </c>
      <c r="AQ165" s="705">
        <v>3527</v>
      </c>
      <c r="AR165">
        <v>0</v>
      </c>
      <c r="AS165">
        <v>0</v>
      </c>
      <c r="AT165" s="705">
        <v>15394</v>
      </c>
      <c r="AU165" s="705">
        <f t="shared" si="16"/>
        <v>15394</v>
      </c>
      <c r="AV165" s="705">
        <f t="shared" si="17"/>
        <v>23611</v>
      </c>
    </row>
    <row r="166" spans="2:48" hidden="1">
      <c r="B166" t="s">
        <v>675</v>
      </c>
      <c r="C166" t="s">
        <v>110</v>
      </c>
      <c r="F166" s="705">
        <v>3</v>
      </c>
      <c r="G166" s="705">
        <v>235</v>
      </c>
      <c r="H166" s="705">
        <v>275</v>
      </c>
      <c r="I166" s="705"/>
      <c r="J166" s="705">
        <v>0</v>
      </c>
      <c r="K166" s="705"/>
      <c r="L166" s="705"/>
      <c r="M166" s="705">
        <v>0</v>
      </c>
      <c r="N166" s="705">
        <v>2867</v>
      </c>
      <c r="O166" s="705">
        <v>1062</v>
      </c>
      <c r="P166" s="705">
        <v>824</v>
      </c>
      <c r="Q166" s="705">
        <v>305</v>
      </c>
      <c r="R166" s="705"/>
      <c r="S166" s="705">
        <v>0</v>
      </c>
      <c r="T166" s="705">
        <v>0</v>
      </c>
      <c r="U166" s="705">
        <v>0</v>
      </c>
      <c r="V166" s="705">
        <v>1367</v>
      </c>
      <c r="W166" s="705">
        <f t="shared" si="12"/>
        <v>1367</v>
      </c>
      <c r="X166" s="705">
        <f t="shared" si="13"/>
        <v>3691</v>
      </c>
      <c r="Y166" s="705"/>
      <c r="AA166" t="s">
        <v>122</v>
      </c>
      <c r="AB166" t="s">
        <v>228</v>
      </c>
      <c r="AC166" t="s">
        <v>581</v>
      </c>
      <c r="AD166">
        <v>1</v>
      </c>
      <c r="AE166">
        <v>71</v>
      </c>
      <c r="AF166">
        <v>411</v>
      </c>
      <c r="AG166" s="705">
        <v>18497</v>
      </c>
      <c r="AH166" s="705">
        <v>6851</v>
      </c>
      <c r="AI166">
        <v>100</v>
      </c>
      <c r="AJ166" s="705">
        <v>3264</v>
      </c>
      <c r="AK166" s="705">
        <v>1209</v>
      </c>
      <c r="AL166" s="705">
        <v>1238</v>
      </c>
      <c r="AM166">
        <v>459</v>
      </c>
      <c r="AN166">
        <v>0</v>
      </c>
      <c r="AO166">
        <v>0</v>
      </c>
      <c r="AP166" s="705">
        <v>6195</v>
      </c>
      <c r="AQ166" s="705">
        <v>2294</v>
      </c>
      <c r="AR166">
        <v>0</v>
      </c>
      <c r="AS166">
        <v>0</v>
      </c>
      <c r="AT166" s="705">
        <v>10813</v>
      </c>
      <c r="AU166" s="705">
        <f t="shared" si="16"/>
        <v>10813</v>
      </c>
      <c r="AV166" s="705">
        <f t="shared" si="17"/>
        <v>29194</v>
      </c>
    </row>
    <row r="167" spans="2:48" hidden="1">
      <c r="B167" t="s">
        <v>675</v>
      </c>
      <c r="C167" t="s">
        <v>110</v>
      </c>
      <c r="D167" t="s">
        <v>228</v>
      </c>
      <c r="E167" s="705" t="s">
        <v>228</v>
      </c>
      <c r="F167" s="705">
        <v>22</v>
      </c>
      <c r="G167" s="705">
        <v>1227</v>
      </c>
      <c r="H167" s="705">
        <v>1773</v>
      </c>
      <c r="I167" s="705">
        <v>19967</v>
      </c>
      <c r="J167" s="705">
        <v>7395</v>
      </c>
      <c r="K167" s="705">
        <v>406</v>
      </c>
      <c r="L167" s="705">
        <v>4201</v>
      </c>
      <c r="M167" s="705">
        <v>3566</v>
      </c>
      <c r="N167" s="705">
        <v>14952</v>
      </c>
      <c r="O167" s="705">
        <v>5538</v>
      </c>
      <c r="P167" s="705">
        <v>11655</v>
      </c>
      <c r="Q167" s="705">
        <v>4317</v>
      </c>
      <c r="R167" s="705">
        <v>50544</v>
      </c>
      <c r="S167" s="705">
        <v>18720</v>
      </c>
      <c r="T167" s="705">
        <v>0</v>
      </c>
      <c r="U167" s="705">
        <v>0</v>
      </c>
      <c r="V167" s="705">
        <v>39535</v>
      </c>
      <c r="W167" s="705">
        <f t="shared" si="12"/>
        <v>39536</v>
      </c>
      <c r="X167" s="705">
        <f t="shared" si="13"/>
        <v>101319</v>
      </c>
      <c r="Y167" s="705"/>
      <c r="AA167" t="s">
        <v>122</v>
      </c>
      <c r="AB167" t="s">
        <v>228</v>
      </c>
      <c r="AC167" t="s">
        <v>228</v>
      </c>
      <c r="AD167" s="705">
        <v>3919</v>
      </c>
      <c r="AE167" s="705">
        <v>208321</v>
      </c>
      <c r="AF167" s="705">
        <v>1615231</v>
      </c>
      <c r="AG167" s="705">
        <v>52936998</v>
      </c>
      <c r="AH167" s="705">
        <v>19606296</v>
      </c>
      <c r="AI167">
        <v>100</v>
      </c>
      <c r="AJ167" s="705">
        <v>6125695</v>
      </c>
      <c r="AK167" s="705">
        <v>4455302</v>
      </c>
      <c r="AL167" s="705">
        <v>4262448</v>
      </c>
      <c r="AM167" s="705">
        <v>1578684</v>
      </c>
      <c r="AN167" s="705">
        <v>66990</v>
      </c>
      <c r="AO167" s="705">
        <v>24811</v>
      </c>
      <c r="AP167" s="705">
        <v>22421066</v>
      </c>
      <c r="AQ167" s="705">
        <v>8304099</v>
      </c>
      <c r="AR167" s="705">
        <v>51205</v>
      </c>
      <c r="AS167" s="705">
        <v>18965</v>
      </c>
      <c r="AT167" s="705">
        <v>33988156</v>
      </c>
      <c r="AU167" s="705">
        <f t="shared" si="16"/>
        <v>33988157</v>
      </c>
      <c r="AV167" s="705">
        <f t="shared" si="17"/>
        <v>85864402</v>
      </c>
    </row>
    <row r="168" spans="2:48" hidden="1">
      <c r="B168" t="s">
        <v>675</v>
      </c>
      <c r="C168" t="s">
        <v>110</v>
      </c>
      <c r="D168" t="s">
        <v>583</v>
      </c>
      <c r="E168" t="s">
        <v>583</v>
      </c>
      <c r="F168" s="705">
        <v>1</v>
      </c>
      <c r="G168" s="705">
        <v>79</v>
      </c>
      <c r="H168" s="705">
        <v>85</v>
      </c>
      <c r="I168" s="705">
        <v>1579</v>
      </c>
      <c r="J168" s="705">
        <v>1435</v>
      </c>
      <c r="K168" s="705">
        <v>75</v>
      </c>
      <c r="L168" s="705">
        <v>0</v>
      </c>
      <c r="M168" s="705">
        <v>0</v>
      </c>
      <c r="N168" s="705">
        <v>961</v>
      </c>
      <c r="O168" s="705">
        <v>356</v>
      </c>
      <c r="P168" s="705">
        <v>621</v>
      </c>
      <c r="Q168" s="705">
        <v>230</v>
      </c>
      <c r="R168" s="705">
        <v>3511</v>
      </c>
      <c r="S168" s="705">
        <v>3192</v>
      </c>
      <c r="T168">
        <v>0</v>
      </c>
      <c r="U168" s="705">
        <v>0</v>
      </c>
      <c r="V168" s="705">
        <v>5213</v>
      </c>
      <c r="W168" s="705">
        <f t="shared" si="12"/>
        <v>5213</v>
      </c>
      <c r="X168" s="705">
        <f t="shared" si="13"/>
        <v>6672</v>
      </c>
      <c r="Y168" s="705"/>
      <c r="AA168" t="s">
        <v>122</v>
      </c>
      <c r="AB168" t="s">
        <v>228</v>
      </c>
      <c r="AC168" t="s">
        <v>583</v>
      </c>
      <c r="AD168">
        <v>1</v>
      </c>
      <c r="AE168">
        <v>30</v>
      </c>
      <c r="AF168">
        <v>386</v>
      </c>
      <c r="AG168" s="705">
        <v>8499</v>
      </c>
      <c r="AH168" s="705">
        <v>3148</v>
      </c>
      <c r="AI168">
        <v>100</v>
      </c>
      <c r="AJ168">
        <v>0</v>
      </c>
      <c r="AK168">
        <v>0</v>
      </c>
      <c r="AL168">
        <v>371</v>
      </c>
      <c r="AM168">
        <v>137</v>
      </c>
      <c r="AN168">
        <v>0</v>
      </c>
      <c r="AO168">
        <v>0</v>
      </c>
      <c r="AP168" s="705">
        <v>2884</v>
      </c>
      <c r="AQ168" s="705">
        <v>2622</v>
      </c>
      <c r="AR168">
        <v>0</v>
      </c>
      <c r="AS168">
        <v>0</v>
      </c>
      <c r="AT168" s="705">
        <v>5907</v>
      </c>
      <c r="AU168" s="705">
        <f t="shared" si="16"/>
        <v>5907</v>
      </c>
      <c r="AV168" s="705">
        <f t="shared" si="17"/>
        <v>11754</v>
      </c>
    </row>
    <row r="169" spans="2:48" hidden="1">
      <c r="B169" t="s">
        <v>675</v>
      </c>
      <c r="C169" t="s">
        <v>110</v>
      </c>
      <c r="D169" t="s">
        <v>584</v>
      </c>
      <c r="E169" t="s">
        <v>584</v>
      </c>
      <c r="F169" s="705">
        <v>174</v>
      </c>
      <c r="G169" s="705">
        <v>16323</v>
      </c>
      <c r="H169" s="705">
        <v>15776</v>
      </c>
      <c r="I169" s="705">
        <v>550566</v>
      </c>
      <c r="J169" s="705">
        <v>500514</v>
      </c>
      <c r="K169" s="705">
        <v>90</v>
      </c>
      <c r="L169" s="705">
        <v>15896</v>
      </c>
      <c r="M169" s="705">
        <v>8012</v>
      </c>
      <c r="N169" s="705">
        <v>268330</v>
      </c>
      <c r="O169" s="705">
        <v>99381</v>
      </c>
      <c r="P169" s="705">
        <v>82566</v>
      </c>
      <c r="Q169" s="705">
        <v>30580</v>
      </c>
      <c r="R169" s="705">
        <v>546677</v>
      </c>
      <c r="S169" s="705">
        <v>496979</v>
      </c>
      <c r="T169" s="705">
        <v>3691</v>
      </c>
      <c r="U169" s="705">
        <v>1367</v>
      </c>
      <c r="V169" s="705">
        <v>1136834</v>
      </c>
      <c r="W169" s="705">
        <f t="shared" si="12"/>
        <v>1136833</v>
      </c>
      <c r="X169" s="705">
        <f t="shared" si="13"/>
        <v>1467726</v>
      </c>
      <c r="Y169" s="705"/>
      <c r="AA169" t="s">
        <v>122</v>
      </c>
      <c r="AB169" t="s">
        <v>228</v>
      </c>
      <c r="AC169" t="s">
        <v>584</v>
      </c>
      <c r="AD169">
        <v>3</v>
      </c>
      <c r="AE169">
        <v>282</v>
      </c>
      <c r="AF169" s="705">
        <v>1239</v>
      </c>
      <c r="AG169" s="705">
        <v>91968</v>
      </c>
      <c r="AH169" s="705">
        <v>34062</v>
      </c>
      <c r="AI169">
        <v>100</v>
      </c>
      <c r="AJ169" s="705">
        <v>7150</v>
      </c>
      <c r="AK169" s="705">
        <v>6500</v>
      </c>
      <c r="AL169" s="705">
        <v>4739</v>
      </c>
      <c r="AM169" s="705">
        <v>1755</v>
      </c>
      <c r="AN169">
        <v>473</v>
      </c>
      <c r="AO169">
        <v>175</v>
      </c>
      <c r="AP169" s="705">
        <v>11861</v>
      </c>
      <c r="AQ169" s="705">
        <v>10783</v>
      </c>
      <c r="AR169" s="705">
        <v>3715</v>
      </c>
      <c r="AS169" s="705">
        <v>1376</v>
      </c>
      <c r="AT169" s="705">
        <v>54651</v>
      </c>
      <c r="AU169" s="705">
        <f t="shared" si="16"/>
        <v>54651</v>
      </c>
      <c r="AV169" s="705">
        <f t="shared" si="17"/>
        <v>119906</v>
      </c>
    </row>
    <row r="170" spans="2:48" hidden="1">
      <c r="B170" t="s">
        <v>675</v>
      </c>
      <c r="C170" t="s">
        <v>110</v>
      </c>
      <c r="D170" t="s">
        <v>585</v>
      </c>
      <c r="E170" t="s">
        <v>585</v>
      </c>
      <c r="F170">
        <v>1</v>
      </c>
      <c r="G170">
        <v>70</v>
      </c>
      <c r="H170" s="705">
        <v>78</v>
      </c>
      <c r="I170" s="705">
        <v>-845</v>
      </c>
      <c r="J170">
        <v>-768</v>
      </c>
      <c r="K170" s="705">
        <v>65</v>
      </c>
      <c r="L170" s="705">
        <v>-150</v>
      </c>
      <c r="M170" s="705">
        <v>-55</v>
      </c>
      <c r="N170" s="705">
        <v>1141</v>
      </c>
      <c r="O170">
        <v>423</v>
      </c>
      <c r="P170">
        <v>351</v>
      </c>
      <c r="Q170" s="705">
        <v>130</v>
      </c>
      <c r="R170" s="705">
        <v>4970</v>
      </c>
      <c r="S170" s="705">
        <v>4518</v>
      </c>
      <c r="T170">
        <v>0</v>
      </c>
      <c r="U170" s="705">
        <v>0</v>
      </c>
      <c r="V170" s="705">
        <v>4247</v>
      </c>
      <c r="W170" s="705">
        <f t="shared" si="12"/>
        <v>5894</v>
      </c>
      <c r="X170" s="705">
        <f t="shared" si="13"/>
        <v>7457</v>
      </c>
      <c r="Y170" s="705"/>
      <c r="AA170" t="s">
        <v>122</v>
      </c>
      <c r="AB170" t="s">
        <v>228</v>
      </c>
      <c r="AC170" t="s">
        <v>665</v>
      </c>
      <c r="AD170">
        <v>1</v>
      </c>
      <c r="AE170">
        <v>59</v>
      </c>
      <c r="AF170">
        <v>418</v>
      </c>
      <c r="AG170" s="705">
        <v>15219</v>
      </c>
      <c r="AH170" s="705">
        <v>5637</v>
      </c>
      <c r="AI170">
        <v>100</v>
      </c>
      <c r="AJ170" s="705">
        <v>1253</v>
      </c>
      <c r="AK170" s="705">
        <v>1139</v>
      </c>
      <c r="AL170" s="705">
        <v>1124</v>
      </c>
      <c r="AM170">
        <v>416</v>
      </c>
      <c r="AN170">
        <v>0</v>
      </c>
      <c r="AO170">
        <v>0</v>
      </c>
      <c r="AP170" s="705">
        <v>4853</v>
      </c>
      <c r="AQ170" s="705">
        <v>4412</v>
      </c>
      <c r="AR170" s="705">
        <v>2140</v>
      </c>
      <c r="AS170">
        <v>793</v>
      </c>
      <c r="AT170" s="705">
        <v>12396</v>
      </c>
      <c r="AU170" s="705">
        <f t="shared" si="16"/>
        <v>12397</v>
      </c>
      <c r="AV170" s="705">
        <f t="shared" si="17"/>
        <v>24589</v>
      </c>
    </row>
    <row r="171" spans="2:48" hidden="1">
      <c r="B171" t="s">
        <v>675</v>
      </c>
      <c r="C171" t="s">
        <v>112</v>
      </c>
      <c r="F171" s="705">
        <v>18</v>
      </c>
      <c r="G171" s="705">
        <v>1760</v>
      </c>
      <c r="H171" s="705">
        <v>2090</v>
      </c>
      <c r="I171" s="705"/>
      <c r="J171" s="705">
        <v>0</v>
      </c>
      <c r="K171" s="705"/>
      <c r="L171" s="705"/>
      <c r="M171" s="705">
        <v>0</v>
      </c>
      <c r="N171" s="705">
        <v>40459</v>
      </c>
      <c r="O171" s="705">
        <v>14985</v>
      </c>
      <c r="P171" s="705">
        <v>1418</v>
      </c>
      <c r="Q171" s="705">
        <v>525</v>
      </c>
      <c r="R171" s="705"/>
      <c r="S171" s="705">
        <v>0</v>
      </c>
      <c r="T171" s="705">
        <v>0</v>
      </c>
      <c r="U171" s="705">
        <v>0</v>
      </c>
      <c r="V171" s="705">
        <v>15510</v>
      </c>
      <c r="W171" s="705">
        <f t="shared" si="12"/>
        <v>15510</v>
      </c>
      <c r="X171" s="705">
        <f t="shared" si="13"/>
        <v>41877</v>
      </c>
      <c r="Y171" s="705"/>
      <c r="AA171" t="s">
        <v>122</v>
      </c>
      <c r="AB171" t="s">
        <v>583</v>
      </c>
      <c r="AC171" t="s">
        <v>228</v>
      </c>
      <c r="AD171">
        <v>31</v>
      </c>
      <c r="AE171" s="705">
        <v>1757</v>
      </c>
      <c r="AF171" s="705">
        <v>12961</v>
      </c>
      <c r="AG171" s="705">
        <v>459240</v>
      </c>
      <c r="AH171" s="705">
        <v>417491</v>
      </c>
      <c r="AI171">
        <v>76</v>
      </c>
      <c r="AJ171" s="705">
        <v>52775</v>
      </c>
      <c r="AK171" s="705">
        <v>41595</v>
      </c>
      <c r="AL171" s="705">
        <v>37906</v>
      </c>
      <c r="AM171" s="705">
        <v>14039</v>
      </c>
      <c r="AN171" s="705">
        <v>18171</v>
      </c>
      <c r="AO171" s="705">
        <v>6730</v>
      </c>
      <c r="AP171" s="705">
        <v>163431</v>
      </c>
      <c r="AQ171" s="705">
        <v>60530</v>
      </c>
      <c r="AR171">
        <v>0</v>
      </c>
      <c r="AS171">
        <v>0</v>
      </c>
      <c r="AT171" s="705">
        <v>540385</v>
      </c>
      <c r="AU171" s="705">
        <f t="shared" si="16"/>
        <v>540385</v>
      </c>
      <c r="AV171" s="705">
        <f t="shared" si="17"/>
        <v>731523</v>
      </c>
    </row>
    <row r="172" spans="2:48" hidden="1">
      <c r="B172" t="s">
        <v>675</v>
      </c>
      <c r="C172" t="s">
        <v>112</v>
      </c>
      <c r="D172" t="s">
        <v>582</v>
      </c>
      <c r="E172" s="705" t="s">
        <v>582</v>
      </c>
      <c r="F172" s="705">
        <v>2</v>
      </c>
      <c r="G172" s="705">
        <v>284</v>
      </c>
      <c r="H172" s="705">
        <v>237</v>
      </c>
      <c r="I172" s="705">
        <v>21425</v>
      </c>
      <c r="J172" s="705">
        <v>19477</v>
      </c>
      <c r="K172" s="705">
        <v>82</v>
      </c>
      <c r="L172" s="705">
        <v>5822</v>
      </c>
      <c r="M172" s="705">
        <v>5293</v>
      </c>
      <c r="N172" s="705">
        <v>9058</v>
      </c>
      <c r="O172" s="705">
        <v>3355</v>
      </c>
      <c r="P172">
        <v>945</v>
      </c>
      <c r="Q172" s="705">
        <v>350</v>
      </c>
      <c r="R172" s="705">
        <v>8183</v>
      </c>
      <c r="S172" s="705">
        <v>7439</v>
      </c>
      <c r="T172" s="705">
        <v>2509</v>
      </c>
      <c r="U172" s="705">
        <v>929</v>
      </c>
      <c r="V172" s="705">
        <v>36843</v>
      </c>
      <c r="W172" s="705">
        <f t="shared" si="12"/>
        <v>36843</v>
      </c>
      <c r="X172" s="705">
        <f t="shared" si="13"/>
        <v>47942</v>
      </c>
      <c r="Y172" s="705"/>
      <c r="AA172" t="s">
        <v>122</v>
      </c>
      <c r="AB172" t="s">
        <v>583</v>
      </c>
      <c r="AC172" t="s">
        <v>583</v>
      </c>
      <c r="AD172">
        <v>247</v>
      </c>
      <c r="AE172" s="705">
        <v>22335</v>
      </c>
      <c r="AF172" s="705">
        <v>102467</v>
      </c>
      <c r="AG172" s="705">
        <v>6157987</v>
      </c>
      <c r="AH172" s="705">
        <v>5598170</v>
      </c>
      <c r="AI172">
        <v>76</v>
      </c>
      <c r="AJ172" s="705">
        <v>1040310</v>
      </c>
      <c r="AK172" s="705">
        <v>856500</v>
      </c>
      <c r="AL172" s="705">
        <v>487366</v>
      </c>
      <c r="AM172" s="705">
        <v>180506</v>
      </c>
      <c r="AN172" s="705">
        <v>154872</v>
      </c>
      <c r="AO172" s="705">
        <v>57360</v>
      </c>
      <c r="AP172" s="705">
        <v>1156143</v>
      </c>
      <c r="AQ172" s="705">
        <v>1051039</v>
      </c>
      <c r="AR172" s="705">
        <v>372491</v>
      </c>
      <c r="AS172" s="705">
        <v>137960</v>
      </c>
      <c r="AT172" s="705">
        <v>7881535</v>
      </c>
      <c r="AU172" s="705">
        <f t="shared" si="16"/>
        <v>7881535</v>
      </c>
      <c r="AV172" s="705">
        <f t="shared" si="17"/>
        <v>9369169</v>
      </c>
    </row>
    <row r="173" spans="2:48" hidden="1">
      <c r="B173" t="s">
        <v>675</v>
      </c>
      <c r="C173" t="s">
        <v>112</v>
      </c>
      <c r="D173" t="s">
        <v>228</v>
      </c>
      <c r="E173" t="s">
        <v>228</v>
      </c>
      <c r="F173" s="705">
        <v>138</v>
      </c>
      <c r="G173" s="705">
        <v>9222</v>
      </c>
      <c r="H173" s="705">
        <v>15360</v>
      </c>
      <c r="I173" s="705">
        <v>90185</v>
      </c>
      <c r="J173" s="705">
        <v>33402</v>
      </c>
      <c r="K173" s="705">
        <v>304</v>
      </c>
      <c r="L173" s="705">
        <v>7850</v>
      </c>
      <c r="M173" s="705">
        <v>6584</v>
      </c>
      <c r="N173" s="705">
        <v>112977</v>
      </c>
      <c r="O173" s="705">
        <v>41843</v>
      </c>
      <c r="P173" s="705">
        <v>28600</v>
      </c>
      <c r="Q173" s="705">
        <v>10593</v>
      </c>
      <c r="R173" s="705">
        <v>786967</v>
      </c>
      <c r="S173" s="705">
        <v>291469</v>
      </c>
      <c r="T173">
        <v>0</v>
      </c>
      <c r="U173" s="705">
        <v>0</v>
      </c>
      <c r="V173" s="705">
        <v>383891</v>
      </c>
      <c r="W173" s="705">
        <f t="shared" si="12"/>
        <v>383891</v>
      </c>
      <c r="X173" s="705">
        <f t="shared" si="13"/>
        <v>1026579</v>
      </c>
      <c r="Y173" s="705"/>
      <c r="AA173" t="s">
        <v>122</v>
      </c>
      <c r="AB173" t="s">
        <v>666</v>
      </c>
      <c r="AC173" t="s">
        <v>228</v>
      </c>
      <c r="AD173">
        <v>1</v>
      </c>
      <c r="AE173">
        <v>53</v>
      </c>
      <c r="AF173">
        <v>446</v>
      </c>
      <c r="AG173" s="705">
        <v>14410</v>
      </c>
      <c r="AH173" s="705">
        <v>13100</v>
      </c>
      <c r="AI173">
        <v>30</v>
      </c>
      <c r="AJ173" s="705">
        <v>2653</v>
      </c>
      <c r="AK173">
        <v>982</v>
      </c>
      <c r="AL173" s="705">
        <v>1142</v>
      </c>
      <c r="AM173">
        <v>423</v>
      </c>
      <c r="AN173">
        <v>0</v>
      </c>
      <c r="AO173">
        <v>0</v>
      </c>
      <c r="AP173" s="705">
        <v>5421</v>
      </c>
      <c r="AQ173" s="705">
        <v>2008</v>
      </c>
      <c r="AR173">
        <v>0</v>
      </c>
      <c r="AS173">
        <v>0</v>
      </c>
      <c r="AT173" s="705">
        <v>16513</v>
      </c>
      <c r="AU173" s="705">
        <f t="shared" si="16"/>
        <v>16513</v>
      </c>
      <c r="AV173" s="705">
        <f t="shared" si="17"/>
        <v>23626</v>
      </c>
    </row>
    <row r="174" spans="2:48" hidden="1">
      <c r="B174" t="s">
        <v>675</v>
      </c>
      <c r="C174" t="s">
        <v>112</v>
      </c>
      <c r="D174" t="s">
        <v>584</v>
      </c>
      <c r="E174" s="705" t="s">
        <v>584</v>
      </c>
      <c r="F174" s="705">
        <v>256</v>
      </c>
      <c r="G174" s="705">
        <v>22434</v>
      </c>
      <c r="H174" s="705">
        <v>29222</v>
      </c>
      <c r="I174" s="705">
        <v>1056439</v>
      </c>
      <c r="J174" s="705">
        <v>960399</v>
      </c>
      <c r="K174" s="705">
        <v>87</v>
      </c>
      <c r="L174" s="705">
        <v>94427</v>
      </c>
      <c r="M174" s="705">
        <v>53749</v>
      </c>
      <c r="N174" s="705">
        <v>435640</v>
      </c>
      <c r="O174" s="705">
        <v>161348</v>
      </c>
      <c r="P174" s="705">
        <v>122568</v>
      </c>
      <c r="Q174" s="705">
        <v>45396</v>
      </c>
      <c r="R174" s="705">
        <v>846932</v>
      </c>
      <c r="S174" s="705">
        <v>769938</v>
      </c>
      <c r="T174" s="705">
        <v>0</v>
      </c>
      <c r="U174" s="705">
        <v>0</v>
      </c>
      <c r="V174" s="705">
        <v>1990830</v>
      </c>
      <c r="W174" s="705">
        <f t="shared" si="12"/>
        <v>1990830</v>
      </c>
      <c r="X174" s="705">
        <f t="shared" si="13"/>
        <v>2556006</v>
      </c>
      <c r="Y174" s="705"/>
      <c r="AA174" t="s">
        <v>122</v>
      </c>
      <c r="AB174" t="s">
        <v>666</v>
      </c>
      <c r="AC174" t="s">
        <v>583</v>
      </c>
      <c r="AD174">
        <v>1</v>
      </c>
      <c r="AE174">
        <v>189</v>
      </c>
      <c r="AF174">
        <v>384</v>
      </c>
      <c r="AG174" s="705">
        <v>51209</v>
      </c>
      <c r="AH174" s="705">
        <v>46553</v>
      </c>
      <c r="AI174">
        <v>79</v>
      </c>
      <c r="AJ174" s="705">
        <v>7112</v>
      </c>
      <c r="AK174" s="705">
        <v>6466</v>
      </c>
      <c r="AL174" s="705">
        <v>4603</v>
      </c>
      <c r="AM174" s="705">
        <v>1705</v>
      </c>
      <c r="AN174">
        <v>621</v>
      </c>
      <c r="AO174">
        <v>230</v>
      </c>
      <c r="AP174" s="705">
        <v>5261</v>
      </c>
      <c r="AQ174" s="705">
        <v>4783</v>
      </c>
      <c r="AR174" s="705">
        <v>3686</v>
      </c>
      <c r="AS174" s="705">
        <v>1365</v>
      </c>
      <c r="AT174" s="705">
        <v>61102</v>
      </c>
      <c r="AU174" s="705">
        <f t="shared" si="16"/>
        <v>61102</v>
      </c>
      <c r="AV174" s="705">
        <f t="shared" si="17"/>
        <v>72492</v>
      </c>
    </row>
    <row r="175" spans="2:48" hidden="1">
      <c r="B175" t="s">
        <v>675</v>
      </c>
      <c r="C175" t="s">
        <v>114</v>
      </c>
      <c r="F175" s="705">
        <v>9</v>
      </c>
      <c r="G175" s="705">
        <v>999</v>
      </c>
      <c r="H175" s="705">
        <v>1224</v>
      </c>
      <c r="I175" s="705"/>
      <c r="J175" s="705">
        <v>0</v>
      </c>
      <c r="K175" s="705"/>
      <c r="L175" s="705"/>
      <c r="M175" s="705">
        <v>0</v>
      </c>
      <c r="N175" s="705">
        <v>20827</v>
      </c>
      <c r="O175" s="705">
        <v>7714</v>
      </c>
      <c r="P175" s="705">
        <v>2073</v>
      </c>
      <c r="Q175" s="705">
        <v>768</v>
      </c>
      <c r="R175" s="705"/>
      <c r="S175" s="705">
        <v>0</v>
      </c>
      <c r="T175" s="705">
        <v>1878</v>
      </c>
      <c r="U175" s="705">
        <v>695</v>
      </c>
      <c r="V175" s="705">
        <v>9177</v>
      </c>
      <c r="W175" s="705">
        <f t="shared" si="12"/>
        <v>9177</v>
      </c>
      <c r="X175" s="705">
        <f t="shared" si="13"/>
        <v>24778</v>
      </c>
      <c r="Y175" s="705"/>
      <c r="AA175" t="s">
        <v>122</v>
      </c>
      <c r="AB175" t="s">
        <v>666</v>
      </c>
      <c r="AC175" t="s">
        <v>666</v>
      </c>
      <c r="AD175">
        <v>14</v>
      </c>
      <c r="AE175">
        <v>926</v>
      </c>
      <c r="AF175" s="705">
        <v>5851</v>
      </c>
      <c r="AG175" s="705">
        <v>218363</v>
      </c>
      <c r="AH175" s="705">
        <v>198512</v>
      </c>
      <c r="AI175">
        <v>56</v>
      </c>
      <c r="AJ175" s="705">
        <v>29296</v>
      </c>
      <c r="AK175" s="705">
        <v>25572</v>
      </c>
      <c r="AL175" s="705">
        <v>16646</v>
      </c>
      <c r="AM175" s="705">
        <v>6165</v>
      </c>
      <c r="AN175" s="705">
        <v>4212</v>
      </c>
      <c r="AO175" s="705">
        <v>1560</v>
      </c>
      <c r="AP175" s="705">
        <v>81125</v>
      </c>
      <c r="AQ175" s="705">
        <v>73750</v>
      </c>
      <c r="AR175" s="705">
        <v>37747</v>
      </c>
      <c r="AS175" s="705">
        <v>13980</v>
      </c>
      <c r="AT175" s="705">
        <v>319539</v>
      </c>
      <c r="AU175" s="705">
        <f t="shared" si="16"/>
        <v>319539</v>
      </c>
      <c r="AV175" s="705">
        <f t="shared" si="17"/>
        <v>387389</v>
      </c>
    </row>
    <row r="176" spans="2:48" hidden="1">
      <c r="B176" t="s">
        <v>675</v>
      </c>
      <c r="C176" t="s">
        <v>114</v>
      </c>
      <c r="D176" t="s">
        <v>582</v>
      </c>
      <c r="E176" t="s">
        <v>582</v>
      </c>
      <c r="F176">
        <v>2</v>
      </c>
      <c r="G176" s="705">
        <v>195</v>
      </c>
      <c r="H176" s="705">
        <v>267</v>
      </c>
      <c r="I176" s="705">
        <v>11487</v>
      </c>
      <c r="J176" s="705">
        <v>10443</v>
      </c>
      <c r="K176" s="705">
        <v>80</v>
      </c>
      <c r="L176" s="705">
        <v>0</v>
      </c>
      <c r="M176" s="705">
        <v>0</v>
      </c>
      <c r="N176" s="705">
        <v>4474</v>
      </c>
      <c r="O176" s="705">
        <v>1657</v>
      </c>
      <c r="P176">
        <v>945</v>
      </c>
      <c r="Q176" s="705">
        <v>350</v>
      </c>
      <c r="R176" s="705">
        <v>9148</v>
      </c>
      <c r="S176" s="705">
        <v>8316</v>
      </c>
      <c r="T176">
        <v>0</v>
      </c>
      <c r="U176" s="705">
        <v>0</v>
      </c>
      <c r="V176" s="705">
        <v>20766</v>
      </c>
      <c r="W176" s="705">
        <f t="shared" si="12"/>
        <v>20766</v>
      </c>
      <c r="X176" s="705">
        <f t="shared" si="13"/>
        <v>26054</v>
      </c>
      <c r="Y176" s="705"/>
      <c r="AA176" t="s">
        <v>122</v>
      </c>
      <c r="AB176" t="s">
        <v>584</v>
      </c>
      <c r="AC176" t="s">
        <v>228</v>
      </c>
      <c r="AD176">
        <v>52</v>
      </c>
      <c r="AE176" s="705">
        <v>2444</v>
      </c>
      <c r="AF176" s="705">
        <v>21571</v>
      </c>
      <c r="AG176" s="705">
        <v>655807</v>
      </c>
      <c r="AH176" s="705">
        <v>596188</v>
      </c>
      <c r="AI176">
        <v>74</v>
      </c>
      <c r="AJ176" s="705">
        <v>39931</v>
      </c>
      <c r="AK176" s="705">
        <v>32613</v>
      </c>
      <c r="AL176" s="705">
        <v>52779</v>
      </c>
      <c r="AM176" s="705">
        <v>19548</v>
      </c>
      <c r="AN176" s="705">
        <v>20669</v>
      </c>
      <c r="AO176" s="705">
        <v>7655</v>
      </c>
      <c r="AP176" s="705">
        <v>236906</v>
      </c>
      <c r="AQ176" s="705">
        <v>87743</v>
      </c>
      <c r="AR176" s="705">
        <v>1099</v>
      </c>
      <c r="AS176">
        <v>407</v>
      </c>
      <c r="AT176" s="705">
        <v>744154</v>
      </c>
      <c r="AU176" s="705">
        <f t="shared" ref="AU176:AU207" si="18">SUM(ABS(AH176), ABS(AK176),ABS(AM176),ABS(AO176),ABS(AQ176),ABS(AS176))</f>
        <v>744154</v>
      </c>
      <c r="AV176" s="705">
        <f t="shared" ref="AV176:AV207" si="19">SUM(ABS(AG176),ABS(AJ176),ABS(AL176),ABS(AN176),ABS(AP176),ABS(AR176))</f>
        <v>1007191</v>
      </c>
    </row>
    <row r="177" spans="2:48" hidden="1">
      <c r="B177" t="s">
        <v>675</v>
      </c>
      <c r="C177" t="s">
        <v>114</v>
      </c>
      <c r="D177" t="s">
        <v>228</v>
      </c>
      <c r="E177" t="s">
        <v>228</v>
      </c>
      <c r="F177" s="705">
        <v>92</v>
      </c>
      <c r="G177" s="705">
        <v>5779</v>
      </c>
      <c r="H177" s="705">
        <v>12534</v>
      </c>
      <c r="I177" s="705">
        <v>167405</v>
      </c>
      <c r="J177" s="705">
        <v>62002</v>
      </c>
      <c r="K177" s="705">
        <v>262</v>
      </c>
      <c r="L177" s="705">
        <v>9755</v>
      </c>
      <c r="M177" s="705">
        <v>8861</v>
      </c>
      <c r="N177" s="705">
        <v>80104</v>
      </c>
      <c r="O177" s="705">
        <v>29668</v>
      </c>
      <c r="P177" s="705">
        <v>12680</v>
      </c>
      <c r="Q177" s="705">
        <v>4696</v>
      </c>
      <c r="R177" s="705">
        <v>520528</v>
      </c>
      <c r="S177" s="705">
        <v>192788</v>
      </c>
      <c r="T177" s="705">
        <v>0</v>
      </c>
      <c r="U177" s="705">
        <v>0</v>
      </c>
      <c r="V177" s="705">
        <v>298015</v>
      </c>
      <c r="W177" s="705">
        <f t="shared" si="12"/>
        <v>298015</v>
      </c>
      <c r="X177" s="705">
        <f t="shared" si="13"/>
        <v>790472</v>
      </c>
      <c r="Y177" s="705"/>
      <c r="AA177" t="s">
        <v>122</v>
      </c>
      <c r="AB177" t="s">
        <v>584</v>
      </c>
      <c r="AC177" t="s">
        <v>584</v>
      </c>
      <c r="AD177">
        <v>635</v>
      </c>
      <c r="AE177" s="705">
        <v>38335</v>
      </c>
      <c r="AF177" s="705">
        <v>262212</v>
      </c>
      <c r="AG177" s="705">
        <v>9684737</v>
      </c>
      <c r="AH177" s="705">
        <v>8804306</v>
      </c>
      <c r="AI177">
        <v>76</v>
      </c>
      <c r="AJ177" s="705">
        <v>1748817</v>
      </c>
      <c r="AK177" s="705">
        <v>1470017</v>
      </c>
      <c r="AL177" s="705">
        <v>811782</v>
      </c>
      <c r="AM177" s="705">
        <v>300660</v>
      </c>
      <c r="AN177" s="705">
        <v>298682</v>
      </c>
      <c r="AO177" s="705">
        <v>110623</v>
      </c>
      <c r="AP177" s="705">
        <v>2630370</v>
      </c>
      <c r="AQ177" s="705">
        <v>2391246</v>
      </c>
      <c r="AR177" s="705">
        <v>679623</v>
      </c>
      <c r="AS177" s="705">
        <v>251712</v>
      </c>
      <c r="AT177" s="705">
        <v>13328564</v>
      </c>
      <c r="AU177" s="705">
        <f t="shared" si="18"/>
        <v>13328564</v>
      </c>
      <c r="AV177" s="705">
        <f t="shared" si="19"/>
        <v>15854011</v>
      </c>
    </row>
    <row r="178" spans="2:48" hidden="1">
      <c r="B178" t="s">
        <v>675</v>
      </c>
      <c r="C178" t="s">
        <v>114</v>
      </c>
      <c r="D178" t="s">
        <v>583</v>
      </c>
      <c r="E178" t="s">
        <v>583</v>
      </c>
      <c r="F178">
        <v>2</v>
      </c>
      <c r="G178" s="705">
        <v>490</v>
      </c>
      <c r="H178" s="705">
        <v>270</v>
      </c>
      <c r="I178" s="705">
        <v>34657</v>
      </c>
      <c r="J178" s="705">
        <v>31506</v>
      </c>
      <c r="K178" s="705">
        <v>86</v>
      </c>
      <c r="L178" s="705">
        <v>7976</v>
      </c>
      <c r="M178" s="705">
        <v>7251</v>
      </c>
      <c r="N178" s="705">
        <v>11071</v>
      </c>
      <c r="O178" s="705">
        <v>4100</v>
      </c>
      <c r="P178" s="705">
        <v>1242</v>
      </c>
      <c r="Q178" s="705">
        <v>460</v>
      </c>
      <c r="R178" s="705">
        <v>12105</v>
      </c>
      <c r="S178" s="705">
        <v>11004</v>
      </c>
      <c r="T178" s="705">
        <v>0</v>
      </c>
      <c r="U178" s="705">
        <v>0</v>
      </c>
      <c r="V178" s="705">
        <v>54322</v>
      </c>
      <c r="W178" s="705">
        <f t="shared" si="12"/>
        <v>54321</v>
      </c>
      <c r="X178" s="705">
        <f t="shared" si="13"/>
        <v>67051</v>
      </c>
      <c r="Y178" s="705"/>
      <c r="AA178" t="s">
        <v>122</v>
      </c>
      <c r="AB178" t="s">
        <v>669</v>
      </c>
      <c r="AC178" t="s">
        <v>228</v>
      </c>
      <c r="AD178">
        <v>7</v>
      </c>
      <c r="AE178">
        <v>424</v>
      </c>
      <c r="AF178" s="705">
        <v>2940</v>
      </c>
      <c r="AG178" s="705">
        <v>112921</v>
      </c>
      <c r="AH178" s="705">
        <v>94101</v>
      </c>
      <c r="AI178">
        <v>46</v>
      </c>
      <c r="AJ178" s="705">
        <v>17475</v>
      </c>
      <c r="AK178" s="705">
        <v>9893</v>
      </c>
      <c r="AL178" s="705">
        <v>8998</v>
      </c>
      <c r="AM178" s="705">
        <v>3332</v>
      </c>
      <c r="AN178">
        <v>351</v>
      </c>
      <c r="AO178">
        <v>130</v>
      </c>
      <c r="AP178" s="705">
        <v>41622</v>
      </c>
      <c r="AQ178" s="705">
        <v>15416</v>
      </c>
      <c r="AR178">
        <v>0</v>
      </c>
      <c r="AS178">
        <v>0</v>
      </c>
      <c r="AT178" s="705">
        <v>122872</v>
      </c>
      <c r="AU178" s="705">
        <f t="shared" si="18"/>
        <v>122872</v>
      </c>
      <c r="AV178" s="705">
        <f t="shared" si="19"/>
        <v>181367</v>
      </c>
    </row>
    <row r="179" spans="2:48" hidden="1">
      <c r="B179" t="s">
        <v>675</v>
      </c>
      <c r="C179" t="s">
        <v>114</v>
      </c>
      <c r="D179" t="s">
        <v>584</v>
      </c>
      <c r="E179" s="705" t="s">
        <v>584</v>
      </c>
      <c r="F179" s="705">
        <v>387</v>
      </c>
      <c r="G179" s="705">
        <v>30490</v>
      </c>
      <c r="H179" s="705">
        <v>53835</v>
      </c>
      <c r="I179" s="705">
        <v>1924239</v>
      </c>
      <c r="J179" s="705">
        <v>1749308</v>
      </c>
      <c r="K179" s="705">
        <v>83</v>
      </c>
      <c r="L179" s="705">
        <v>173147</v>
      </c>
      <c r="M179" s="705">
        <v>111655</v>
      </c>
      <c r="N179" s="705">
        <v>591176</v>
      </c>
      <c r="O179" s="705">
        <v>218954</v>
      </c>
      <c r="P179" s="705">
        <v>189729</v>
      </c>
      <c r="Q179" s="705">
        <v>70270</v>
      </c>
      <c r="R179" s="705">
        <v>1345249</v>
      </c>
      <c r="S179" s="705">
        <v>1222954</v>
      </c>
      <c r="T179" s="705">
        <v>22108</v>
      </c>
      <c r="U179" s="705">
        <v>8188</v>
      </c>
      <c r="V179" s="705">
        <v>3381329</v>
      </c>
      <c r="W179" s="705">
        <f t="shared" si="12"/>
        <v>3381329</v>
      </c>
      <c r="X179" s="705">
        <f t="shared" si="13"/>
        <v>4245648</v>
      </c>
      <c r="Y179" s="705"/>
      <c r="AA179" t="s">
        <v>122</v>
      </c>
      <c r="AB179" t="s">
        <v>669</v>
      </c>
      <c r="AC179" t="s">
        <v>669</v>
      </c>
      <c r="AD179">
        <v>24</v>
      </c>
      <c r="AE179" s="705">
        <v>1355</v>
      </c>
      <c r="AF179" s="705">
        <v>9903</v>
      </c>
      <c r="AG179" s="705">
        <v>336958</v>
      </c>
      <c r="AH179" s="705">
        <v>280798</v>
      </c>
      <c r="AI179">
        <v>57</v>
      </c>
      <c r="AJ179" s="705">
        <v>32963</v>
      </c>
      <c r="AK179" s="705">
        <v>15579</v>
      </c>
      <c r="AL179" s="705">
        <v>25531</v>
      </c>
      <c r="AM179" s="705">
        <v>9456</v>
      </c>
      <c r="AN179" s="705">
        <v>7722</v>
      </c>
      <c r="AO179" s="705">
        <v>2860</v>
      </c>
      <c r="AP179" s="705">
        <v>118160</v>
      </c>
      <c r="AQ179" s="705">
        <v>98466</v>
      </c>
      <c r="AR179" s="705">
        <v>42131</v>
      </c>
      <c r="AS179" s="705">
        <v>15604</v>
      </c>
      <c r="AT179" s="705">
        <v>422764</v>
      </c>
      <c r="AU179" s="705">
        <f t="shared" si="18"/>
        <v>422763</v>
      </c>
      <c r="AV179" s="705">
        <f t="shared" si="19"/>
        <v>563465</v>
      </c>
    </row>
    <row r="180" spans="2:48" hidden="1">
      <c r="B180" t="s">
        <v>675</v>
      </c>
      <c r="C180" t="s">
        <v>116</v>
      </c>
      <c r="F180" s="705">
        <v>6</v>
      </c>
      <c r="G180" s="705">
        <v>492</v>
      </c>
      <c r="H180" s="705">
        <v>1042</v>
      </c>
      <c r="I180" s="705"/>
      <c r="J180" s="705">
        <v>0</v>
      </c>
      <c r="K180" s="705"/>
      <c r="L180" s="705"/>
      <c r="M180" s="705">
        <v>0</v>
      </c>
      <c r="N180" s="705">
        <v>10064</v>
      </c>
      <c r="O180" s="705">
        <v>3727</v>
      </c>
      <c r="P180" s="705">
        <v>2271</v>
      </c>
      <c r="Q180" s="705">
        <v>841</v>
      </c>
      <c r="R180" s="705"/>
      <c r="S180" s="705">
        <v>0</v>
      </c>
      <c r="T180" s="705">
        <v>0</v>
      </c>
      <c r="U180" s="705">
        <v>0</v>
      </c>
      <c r="V180" s="705">
        <v>4568</v>
      </c>
      <c r="W180" s="705">
        <f t="shared" si="12"/>
        <v>4568</v>
      </c>
      <c r="X180" s="705">
        <f t="shared" si="13"/>
        <v>12335</v>
      </c>
      <c r="Y180" s="705"/>
      <c r="AA180" t="s">
        <v>122</v>
      </c>
      <c r="AB180" t="s">
        <v>671</v>
      </c>
      <c r="AC180" t="s">
        <v>671</v>
      </c>
      <c r="AD180">
        <v>1</v>
      </c>
      <c r="AE180">
        <v>89</v>
      </c>
      <c r="AF180">
        <v>422</v>
      </c>
      <c r="AG180" s="705">
        <v>24775</v>
      </c>
      <c r="AH180" s="705">
        <v>22523</v>
      </c>
      <c r="AI180">
        <v>45</v>
      </c>
      <c r="AJ180" s="705">
        <v>2065</v>
      </c>
      <c r="AK180" s="705">
        <v>1877</v>
      </c>
      <c r="AL180" s="705">
        <v>1896</v>
      </c>
      <c r="AM180">
        <v>702</v>
      </c>
      <c r="AN180">
        <v>351</v>
      </c>
      <c r="AO180">
        <v>130</v>
      </c>
      <c r="AP180" s="705">
        <v>6196</v>
      </c>
      <c r="AQ180" s="705">
        <v>5633</v>
      </c>
      <c r="AR180" s="705">
        <v>2284</v>
      </c>
      <c r="AS180">
        <v>846</v>
      </c>
      <c r="AT180" s="705">
        <v>31711</v>
      </c>
      <c r="AU180" s="705">
        <f t="shared" si="18"/>
        <v>31711</v>
      </c>
      <c r="AV180" s="705">
        <f t="shared" si="19"/>
        <v>37567</v>
      </c>
    </row>
    <row r="181" spans="2:48" hidden="1">
      <c r="B181" t="s">
        <v>675</v>
      </c>
      <c r="C181" t="s">
        <v>116</v>
      </c>
      <c r="D181" t="s">
        <v>582</v>
      </c>
      <c r="E181" t="s">
        <v>582</v>
      </c>
      <c r="F181" s="705">
        <v>7</v>
      </c>
      <c r="G181" s="705">
        <v>397</v>
      </c>
      <c r="H181" s="705">
        <v>1284</v>
      </c>
      <c r="I181" s="705">
        <v>35789</v>
      </c>
      <c r="J181" s="705">
        <v>32535</v>
      </c>
      <c r="K181" s="705">
        <v>82</v>
      </c>
      <c r="L181" s="705">
        <v>0</v>
      </c>
      <c r="M181" s="705">
        <v>0</v>
      </c>
      <c r="N181" s="705">
        <v>9095</v>
      </c>
      <c r="O181" s="705">
        <v>3368</v>
      </c>
      <c r="P181" s="705">
        <v>3308</v>
      </c>
      <c r="Q181" s="705">
        <v>1225</v>
      </c>
      <c r="R181" s="705">
        <v>24329</v>
      </c>
      <c r="S181" s="705">
        <v>22117</v>
      </c>
      <c r="T181" s="705">
        <v>0</v>
      </c>
      <c r="U181" s="705">
        <v>0</v>
      </c>
      <c r="V181" s="705">
        <v>59246</v>
      </c>
      <c r="W181" s="705">
        <f t="shared" si="12"/>
        <v>59245</v>
      </c>
      <c r="X181" s="705">
        <f t="shared" si="13"/>
        <v>72521</v>
      </c>
      <c r="Y181" s="705"/>
      <c r="AA181" t="s">
        <v>122</v>
      </c>
      <c r="AB181" t="s">
        <v>665</v>
      </c>
      <c r="AC181" t="s">
        <v>228</v>
      </c>
      <c r="AD181">
        <v>13</v>
      </c>
      <c r="AE181">
        <v>830</v>
      </c>
      <c r="AF181" s="705">
        <v>5444</v>
      </c>
      <c r="AG181" s="705">
        <v>219137</v>
      </c>
      <c r="AH181" s="705">
        <v>199215</v>
      </c>
      <c r="AI181">
        <v>58</v>
      </c>
      <c r="AJ181" s="705">
        <v>20032</v>
      </c>
      <c r="AK181" s="705">
        <v>10650</v>
      </c>
      <c r="AL181" s="705">
        <v>14729</v>
      </c>
      <c r="AM181" s="705">
        <v>5455</v>
      </c>
      <c r="AN181" s="705">
        <v>1755</v>
      </c>
      <c r="AO181">
        <v>650</v>
      </c>
      <c r="AP181" s="705">
        <v>88613</v>
      </c>
      <c r="AQ181" s="705">
        <v>32820</v>
      </c>
      <c r="AR181">
        <v>0</v>
      </c>
      <c r="AS181">
        <v>0</v>
      </c>
      <c r="AT181" s="705">
        <v>248790</v>
      </c>
      <c r="AU181" s="705">
        <f t="shared" si="18"/>
        <v>248790</v>
      </c>
      <c r="AV181" s="705">
        <f t="shared" si="19"/>
        <v>344266</v>
      </c>
    </row>
    <row r="182" spans="2:48" hidden="1">
      <c r="B182" t="s">
        <v>675</v>
      </c>
      <c r="C182" t="s">
        <v>116</v>
      </c>
      <c r="D182" t="s">
        <v>228</v>
      </c>
      <c r="E182" s="705" t="s">
        <v>228</v>
      </c>
      <c r="F182" s="705">
        <v>451</v>
      </c>
      <c r="G182" s="705">
        <v>31916</v>
      </c>
      <c r="H182" s="705">
        <v>87637</v>
      </c>
      <c r="I182" s="705">
        <v>2681673</v>
      </c>
      <c r="J182" s="705">
        <v>993212</v>
      </c>
      <c r="K182" s="705">
        <v>116</v>
      </c>
      <c r="L182" s="705">
        <v>177537</v>
      </c>
      <c r="M182" s="705">
        <v>93682</v>
      </c>
      <c r="N182" s="705">
        <v>531112</v>
      </c>
      <c r="O182" s="705">
        <v>196708</v>
      </c>
      <c r="P182" s="705">
        <v>3276</v>
      </c>
      <c r="Q182" s="705">
        <v>1213</v>
      </c>
      <c r="R182" s="705">
        <v>2803536</v>
      </c>
      <c r="S182" s="705">
        <v>1038347</v>
      </c>
      <c r="T182" s="705">
        <v>0</v>
      </c>
      <c r="U182" s="705">
        <v>0</v>
      </c>
      <c r="V182" s="705">
        <v>2323162</v>
      </c>
      <c r="W182" s="705">
        <f t="shared" si="12"/>
        <v>2323162</v>
      </c>
      <c r="X182" s="705">
        <f t="shared" si="13"/>
        <v>6197134</v>
      </c>
      <c r="Y182" s="705"/>
      <c r="AA182" t="s">
        <v>122</v>
      </c>
      <c r="AB182" t="s">
        <v>665</v>
      </c>
      <c r="AC182" t="s">
        <v>665</v>
      </c>
      <c r="AD182">
        <v>53</v>
      </c>
      <c r="AE182" s="705">
        <v>3517</v>
      </c>
      <c r="AF182" s="705">
        <v>22235</v>
      </c>
      <c r="AG182" s="705">
        <v>882226</v>
      </c>
      <c r="AH182" s="705">
        <v>802023</v>
      </c>
      <c r="AI182">
        <v>55</v>
      </c>
      <c r="AJ182" s="705">
        <v>112140</v>
      </c>
      <c r="AK182" s="705">
        <v>70392</v>
      </c>
      <c r="AL182" s="705">
        <v>76346</v>
      </c>
      <c r="AM182" s="705">
        <v>28276</v>
      </c>
      <c r="AN182" s="705">
        <v>17388</v>
      </c>
      <c r="AO182" s="705">
        <v>6440</v>
      </c>
      <c r="AP182" s="705">
        <v>285355</v>
      </c>
      <c r="AQ182" s="705">
        <v>259413</v>
      </c>
      <c r="AR182" s="705">
        <v>108137</v>
      </c>
      <c r="AS182" s="705">
        <v>40051</v>
      </c>
      <c r="AT182" s="705">
        <v>1206596</v>
      </c>
      <c r="AU182" s="705">
        <f t="shared" si="18"/>
        <v>1206595</v>
      </c>
      <c r="AV182" s="705">
        <f t="shared" si="19"/>
        <v>1481592</v>
      </c>
    </row>
    <row r="183" spans="2:48" hidden="1">
      <c r="B183" t="s">
        <v>675</v>
      </c>
      <c r="C183" t="s">
        <v>116</v>
      </c>
      <c r="D183" t="s">
        <v>228</v>
      </c>
      <c r="E183" t="s">
        <v>584</v>
      </c>
      <c r="F183" s="705">
        <v>5</v>
      </c>
      <c r="G183" s="705">
        <v>327</v>
      </c>
      <c r="H183" s="705">
        <v>977</v>
      </c>
      <c r="I183" s="705">
        <v>37392</v>
      </c>
      <c r="J183" s="705">
        <v>13849</v>
      </c>
      <c r="K183" s="705">
        <v>100</v>
      </c>
      <c r="L183" s="705">
        <v>0</v>
      </c>
      <c r="M183" s="705">
        <v>0</v>
      </c>
      <c r="N183" s="705">
        <v>6316</v>
      </c>
      <c r="O183" s="705">
        <v>2339</v>
      </c>
      <c r="P183" s="705">
        <v>0</v>
      </c>
      <c r="Q183" s="705">
        <v>0</v>
      </c>
      <c r="R183" s="705">
        <v>20285</v>
      </c>
      <c r="S183" s="705">
        <v>18440</v>
      </c>
      <c r="T183" s="705">
        <v>0</v>
      </c>
      <c r="U183" s="705">
        <v>0</v>
      </c>
      <c r="V183" s="705">
        <v>34628</v>
      </c>
      <c r="W183" s="705">
        <f t="shared" si="12"/>
        <v>34628</v>
      </c>
      <c r="X183" s="705">
        <f t="shared" si="13"/>
        <v>63993</v>
      </c>
      <c r="Y183" s="705"/>
      <c r="AA183" t="s">
        <v>122</v>
      </c>
      <c r="AB183" t="s">
        <v>673</v>
      </c>
      <c r="AC183" t="s">
        <v>228</v>
      </c>
      <c r="AD183">
        <v>1</v>
      </c>
      <c r="AE183">
        <v>46</v>
      </c>
      <c r="AF183">
        <v>432</v>
      </c>
      <c r="AG183" s="705">
        <v>10514</v>
      </c>
      <c r="AH183" s="705">
        <v>9558</v>
      </c>
      <c r="AI183">
        <v>74</v>
      </c>
      <c r="AJ183" s="705">
        <v>2116</v>
      </c>
      <c r="AK183">
        <v>784</v>
      </c>
      <c r="AL183" s="705">
        <v>1125</v>
      </c>
      <c r="AM183">
        <v>417</v>
      </c>
      <c r="AN183">
        <v>0</v>
      </c>
      <c r="AO183">
        <v>0</v>
      </c>
      <c r="AP183" s="705">
        <v>6204</v>
      </c>
      <c r="AQ183" s="705">
        <v>2298</v>
      </c>
      <c r="AR183">
        <v>0</v>
      </c>
      <c r="AS183">
        <v>0</v>
      </c>
      <c r="AT183" s="705">
        <v>13056</v>
      </c>
      <c r="AU183" s="705">
        <f t="shared" si="18"/>
        <v>13057</v>
      </c>
      <c r="AV183" s="705">
        <f t="shared" si="19"/>
        <v>19959</v>
      </c>
    </row>
    <row r="184" spans="2:48" hidden="1">
      <c r="B184" t="s">
        <v>675</v>
      </c>
      <c r="C184" t="s">
        <v>116</v>
      </c>
      <c r="D184" t="s">
        <v>228</v>
      </c>
      <c r="E184" t="s">
        <v>665</v>
      </c>
      <c r="F184" s="705">
        <v>1</v>
      </c>
      <c r="G184" s="705">
        <v>57</v>
      </c>
      <c r="H184" s="705">
        <v>197</v>
      </c>
      <c r="I184" s="705">
        <v>8030</v>
      </c>
      <c r="J184" s="705">
        <v>2974</v>
      </c>
      <c r="K184" s="705">
        <v>100</v>
      </c>
      <c r="L184" s="705">
        <v>0</v>
      </c>
      <c r="M184" s="705">
        <v>0</v>
      </c>
      <c r="N184" s="705">
        <v>1035</v>
      </c>
      <c r="O184" s="705">
        <v>383</v>
      </c>
      <c r="P184" s="705">
        <v>0</v>
      </c>
      <c r="Q184" s="705">
        <v>0</v>
      </c>
      <c r="R184" s="705">
        <v>2082</v>
      </c>
      <c r="S184" s="705">
        <v>1893</v>
      </c>
      <c r="T184" s="705">
        <v>0</v>
      </c>
      <c r="U184" s="705">
        <v>0</v>
      </c>
      <c r="V184" s="705">
        <v>5250</v>
      </c>
      <c r="W184" s="705">
        <f t="shared" si="12"/>
        <v>5250</v>
      </c>
      <c r="X184" s="705">
        <f t="shared" si="13"/>
        <v>11147</v>
      </c>
      <c r="Y184" s="705"/>
      <c r="AA184" t="s">
        <v>124</v>
      </c>
      <c r="AD184">
        <v>190</v>
      </c>
      <c r="AE184" s="705">
        <v>9477</v>
      </c>
      <c r="AF184" s="705">
        <v>106622</v>
      </c>
      <c r="AH184">
        <v>0</v>
      </c>
      <c r="AK184">
        <v>0</v>
      </c>
      <c r="AL184" s="705">
        <v>199396</v>
      </c>
      <c r="AM184" s="705">
        <v>73850</v>
      </c>
      <c r="AN184" s="705">
        <v>40937</v>
      </c>
      <c r="AO184" s="705">
        <v>15162</v>
      </c>
      <c r="AQ184">
        <v>0</v>
      </c>
      <c r="AR184" s="705">
        <v>64803</v>
      </c>
      <c r="AS184" s="705">
        <v>24001</v>
      </c>
      <c r="AT184" s="705">
        <v>113013</v>
      </c>
      <c r="AU184" s="705">
        <f t="shared" si="18"/>
        <v>113013</v>
      </c>
      <c r="AV184" s="705">
        <f t="shared" si="19"/>
        <v>305136</v>
      </c>
    </row>
    <row r="185" spans="2:48" hidden="1">
      <c r="B185" t="s">
        <v>675</v>
      </c>
      <c r="C185" t="s">
        <v>116</v>
      </c>
      <c r="D185" t="s">
        <v>583</v>
      </c>
      <c r="E185" t="s">
        <v>228</v>
      </c>
      <c r="F185">
        <v>1</v>
      </c>
      <c r="G185">
        <v>56</v>
      </c>
      <c r="H185" s="705">
        <v>211</v>
      </c>
      <c r="I185" s="705">
        <v>4674</v>
      </c>
      <c r="J185" s="705">
        <v>4249</v>
      </c>
      <c r="K185" s="705">
        <v>85</v>
      </c>
      <c r="L185" s="705">
        <v>1402</v>
      </c>
      <c r="M185" s="705">
        <v>1275</v>
      </c>
      <c r="N185" s="705">
        <v>680</v>
      </c>
      <c r="O185" s="705">
        <v>252</v>
      </c>
      <c r="P185">
        <v>621</v>
      </c>
      <c r="Q185" s="705">
        <v>230</v>
      </c>
      <c r="R185" s="705">
        <v>4420</v>
      </c>
      <c r="S185" s="705">
        <v>1637</v>
      </c>
      <c r="T185" s="705">
        <v>0</v>
      </c>
      <c r="U185" s="705">
        <v>0</v>
      </c>
      <c r="V185" s="705">
        <v>7643</v>
      </c>
      <c r="W185" s="705">
        <f t="shared" si="12"/>
        <v>7643</v>
      </c>
      <c r="X185" s="705">
        <f t="shared" si="13"/>
        <v>11797</v>
      </c>
      <c r="Y185" s="705"/>
      <c r="AA185" t="s">
        <v>124</v>
      </c>
      <c r="AB185" t="s">
        <v>664</v>
      </c>
      <c r="AC185" t="s">
        <v>664</v>
      </c>
      <c r="AD185">
        <v>1</v>
      </c>
      <c r="AE185">
        <v>60</v>
      </c>
      <c r="AF185">
        <v>582</v>
      </c>
      <c r="AG185" s="705">
        <v>18385</v>
      </c>
      <c r="AH185" s="705">
        <v>16714</v>
      </c>
      <c r="AI185">
        <v>73</v>
      </c>
      <c r="AJ185" s="705">
        <v>4726</v>
      </c>
      <c r="AK185" s="705">
        <v>4296</v>
      </c>
      <c r="AL185" s="705">
        <v>1202</v>
      </c>
      <c r="AM185">
        <v>445</v>
      </c>
      <c r="AN185">
        <v>351</v>
      </c>
      <c r="AO185">
        <v>130</v>
      </c>
      <c r="AP185" s="705">
        <v>6210</v>
      </c>
      <c r="AQ185" s="705">
        <v>5646</v>
      </c>
      <c r="AR185" s="705">
        <v>4120</v>
      </c>
      <c r="AS185" s="705">
        <v>1526</v>
      </c>
      <c r="AT185" s="705">
        <v>28757</v>
      </c>
      <c r="AU185" s="705">
        <f t="shared" si="18"/>
        <v>28757</v>
      </c>
      <c r="AV185" s="705">
        <f t="shared" si="19"/>
        <v>34994</v>
      </c>
    </row>
    <row r="186" spans="2:48" hidden="1">
      <c r="B186" t="s">
        <v>675</v>
      </c>
      <c r="C186" t="s">
        <v>116</v>
      </c>
      <c r="D186" t="s">
        <v>583</v>
      </c>
      <c r="E186" t="s">
        <v>583</v>
      </c>
      <c r="F186" s="705">
        <v>11</v>
      </c>
      <c r="G186" s="705">
        <v>933</v>
      </c>
      <c r="H186" s="705">
        <v>2218</v>
      </c>
      <c r="I186" s="705">
        <v>91986</v>
      </c>
      <c r="J186" s="706">
        <v>83623</v>
      </c>
      <c r="K186" s="705">
        <v>88</v>
      </c>
      <c r="L186" s="705">
        <v>23781</v>
      </c>
      <c r="M186" s="705">
        <v>17439</v>
      </c>
      <c r="N186" s="705">
        <v>17684</v>
      </c>
      <c r="O186" s="705">
        <v>6549</v>
      </c>
      <c r="P186" s="705">
        <v>6831</v>
      </c>
      <c r="Q186" s="705">
        <v>2530</v>
      </c>
      <c r="R186" s="705">
        <v>41938</v>
      </c>
      <c r="S186" s="705">
        <v>38125</v>
      </c>
      <c r="T186" s="705">
        <v>4843</v>
      </c>
      <c r="U186" s="705">
        <v>1794</v>
      </c>
      <c r="V186" s="705">
        <v>150061</v>
      </c>
      <c r="W186" s="705">
        <f t="shared" si="12"/>
        <v>150060</v>
      </c>
      <c r="X186" s="705">
        <f t="shared" si="13"/>
        <v>187063</v>
      </c>
      <c r="Y186" s="705"/>
      <c r="AA186" t="s">
        <v>124</v>
      </c>
      <c r="AB186" t="s">
        <v>664</v>
      </c>
      <c r="AC186" t="s">
        <v>228</v>
      </c>
      <c r="AD186">
        <v>1</v>
      </c>
      <c r="AE186">
        <v>120</v>
      </c>
      <c r="AF186">
        <v>462</v>
      </c>
      <c r="AG186" s="705">
        <v>40138</v>
      </c>
      <c r="AH186" s="705">
        <v>36489</v>
      </c>
      <c r="AI186">
        <v>65</v>
      </c>
      <c r="AJ186" s="705">
        <v>4594</v>
      </c>
      <c r="AK186" s="705">
        <v>4176</v>
      </c>
      <c r="AL186" s="705">
        <v>2701</v>
      </c>
      <c r="AM186" s="705">
        <v>1001</v>
      </c>
      <c r="AN186">
        <v>824</v>
      </c>
      <c r="AO186">
        <v>305</v>
      </c>
      <c r="AP186" s="705">
        <v>7106</v>
      </c>
      <c r="AQ186" s="705">
        <v>2632</v>
      </c>
      <c r="AR186">
        <v>0</v>
      </c>
      <c r="AS186">
        <v>0</v>
      </c>
      <c r="AT186" s="705">
        <v>44603</v>
      </c>
      <c r="AU186" s="705">
        <f t="shared" si="18"/>
        <v>44603</v>
      </c>
      <c r="AV186" s="705">
        <f t="shared" si="19"/>
        <v>55363</v>
      </c>
    </row>
    <row r="187" spans="2:48" hidden="1">
      <c r="B187" t="s">
        <v>675</v>
      </c>
      <c r="C187" t="s">
        <v>116</v>
      </c>
      <c r="D187" t="s">
        <v>584</v>
      </c>
      <c r="E187" t="s">
        <v>228</v>
      </c>
      <c r="F187" s="705">
        <v>2</v>
      </c>
      <c r="G187" s="705">
        <v>85</v>
      </c>
      <c r="H187" s="705">
        <v>391</v>
      </c>
      <c r="I187" s="705">
        <v>7835</v>
      </c>
      <c r="J187" s="706">
        <v>7123</v>
      </c>
      <c r="K187" s="705">
        <v>79</v>
      </c>
      <c r="L187" s="705">
        <v>0</v>
      </c>
      <c r="M187" s="705">
        <v>0</v>
      </c>
      <c r="N187" s="705">
        <v>1709</v>
      </c>
      <c r="O187" s="705">
        <v>633</v>
      </c>
      <c r="P187" s="705">
        <v>945</v>
      </c>
      <c r="Q187" s="705">
        <v>350</v>
      </c>
      <c r="R187" s="705">
        <v>6139</v>
      </c>
      <c r="S187" s="705">
        <v>2274</v>
      </c>
      <c r="T187" s="705">
        <v>0</v>
      </c>
      <c r="U187" s="705">
        <v>0</v>
      </c>
      <c r="V187" s="705">
        <v>10379</v>
      </c>
      <c r="W187" s="705">
        <f t="shared" si="12"/>
        <v>10380</v>
      </c>
      <c r="X187" s="705">
        <f t="shared" si="13"/>
        <v>16628</v>
      </c>
      <c r="Y187" s="705"/>
      <c r="AA187" t="s">
        <v>124</v>
      </c>
      <c r="AB187" t="s">
        <v>582</v>
      </c>
      <c r="AC187" t="s">
        <v>582</v>
      </c>
      <c r="AD187">
        <v>12</v>
      </c>
      <c r="AE187" s="705">
        <v>1158</v>
      </c>
      <c r="AF187" s="705">
        <v>6020</v>
      </c>
      <c r="AG187" s="705">
        <v>395153</v>
      </c>
      <c r="AH187" s="705">
        <v>359230</v>
      </c>
      <c r="AI187">
        <v>73</v>
      </c>
      <c r="AJ187" s="705">
        <v>76800</v>
      </c>
      <c r="AK187" s="705">
        <v>68285</v>
      </c>
      <c r="AL187" s="705">
        <v>27257</v>
      </c>
      <c r="AM187" s="705">
        <v>10095</v>
      </c>
      <c r="AN187" s="705">
        <v>5576</v>
      </c>
      <c r="AO187" s="705">
        <v>2065</v>
      </c>
      <c r="AP187" s="705">
        <v>69699</v>
      </c>
      <c r="AQ187" s="705">
        <v>63363</v>
      </c>
      <c r="AR187" s="705">
        <v>9099</v>
      </c>
      <c r="AS187" s="705">
        <v>3370</v>
      </c>
      <c r="AT187" s="705">
        <v>506408</v>
      </c>
      <c r="AU187" s="705">
        <f t="shared" si="18"/>
        <v>506408</v>
      </c>
      <c r="AV187" s="705">
        <f t="shared" si="19"/>
        <v>583584</v>
      </c>
    </row>
    <row r="188" spans="2:48" hidden="1">
      <c r="B188" t="s">
        <v>675</v>
      </c>
      <c r="C188" t="s">
        <v>116</v>
      </c>
      <c r="D188" t="s">
        <v>584</v>
      </c>
      <c r="E188" t="s">
        <v>584</v>
      </c>
      <c r="F188" s="705">
        <v>803</v>
      </c>
      <c r="G188" s="705">
        <v>55488</v>
      </c>
      <c r="H188" s="705">
        <v>144351</v>
      </c>
      <c r="I188" s="705">
        <v>5080190</v>
      </c>
      <c r="J188" s="706">
        <v>4618354</v>
      </c>
      <c r="K188" s="705">
        <v>82</v>
      </c>
      <c r="L188" s="705">
        <v>539678</v>
      </c>
      <c r="M188" s="705">
        <v>370321</v>
      </c>
      <c r="N188" s="705">
        <v>1103158</v>
      </c>
      <c r="O188" s="705">
        <v>408577</v>
      </c>
      <c r="P188" s="705">
        <v>391084</v>
      </c>
      <c r="Q188" s="705">
        <v>144846</v>
      </c>
      <c r="R188" s="705">
        <v>2697105</v>
      </c>
      <c r="S188" s="705">
        <v>2451914</v>
      </c>
      <c r="T188" s="705">
        <v>102813</v>
      </c>
      <c r="U188" s="705">
        <v>38079</v>
      </c>
      <c r="V188" s="705">
        <v>8032091</v>
      </c>
      <c r="W188" s="705">
        <f t="shared" si="12"/>
        <v>8032091</v>
      </c>
      <c r="X188" s="705">
        <f t="shared" si="13"/>
        <v>9914028</v>
      </c>
      <c r="Y188" s="705"/>
      <c r="AA188" t="s">
        <v>124</v>
      </c>
      <c r="AB188" t="s">
        <v>582</v>
      </c>
      <c r="AC188" t="s">
        <v>228</v>
      </c>
      <c r="AD188">
        <v>1</v>
      </c>
      <c r="AE188">
        <v>75</v>
      </c>
      <c r="AF188">
        <v>550</v>
      </c>
      <c r="AG188" s="705">
        <v>30665</v>
      </c>
      <c r="AH188" s="705">
        <v>27877</v>
      </c>
      <c r="AI188">
        <v>55</v>
      </c>
      <c r="AJ188" s="705">
        <v>2823</v>
      </c>
      <c r="AK188" s="705">
        <v>2566</v>
      </c>
      <c r="AL188" s="705">
        <v>1732</v>
      </c>
      <c r="AM188">
        <v>641</v>
      </c>
      <c r="AN188">
        <v>621</v>
      </c>
      <c r="AO188">
        <v>230</v>
      </c>
      <c r="AP188" s="705">
        <v>5263</v>
      </c>
      <c r="AQ188" s="705">
        <v>1949</v>
      </c>
      <c r="AR188">
        <v>0</v>
      </c>
      <c r="AS188">
        <v>0</v>
      </c>
      <c r="AT188" s="705">
        <v>33264</v>
      </c>
      <c r="AU188" s="705">
        <f t="shared" si="18"/>
        <v>33263</v>
      </c>
      <c r="AV188" s="705">
        <f t="shared" si="19"/>
        <v>41104</v>
      </c>
    </row>
    <row r="189" spans="2:48" hidden="1">
      <c r="B189" t="s">
        <v>675</v>
      </c>
      <c r="C189" t="s">
        <v>118</v>
      </c>
      <c r="F189" s="705">
        <v>3</v>
      </c>
      <c r="G189" s="705">
        <v>160</v>
      </c>
      <c r="H189" s="705">
        <v>791</v>
      </c>
      <c r="I189" s="705"/>
      <c r="J189" s="706">
        <v>0</v>
      </c>
      <c r="K189" s="705"/>
      <c r="L189" s="705"/>
      <c r="M189" s="705">
        <v>0</v>
      </c>
      <c r="N189" s="705">
        <v>3445</v>
      </c>
      <c r="O189" s="705">
        <v>1276</v>
      </c>
      <c r="P189">
        <v>473</v>
      </c>
      <c r="Q189" s="705">
        <v>175</v>
      </c>
      <c r="R189" s="705"/>
      <c r="S189">
        <v>0</v>
      </c>
      <c r="T189">
        <v>0</v>
      </c>
      <c r="U189" s="705">
        <v>0</v>
      </c>
      <c r="V189" s="705">
        <v>1451</v>
      </c>
      <c r="W189" s="705">
        <f t="shared" si="12"/>
        <v>1451</v>
      </c>
      <c r="X189" s="705">
        <f t="shared" si="13"/>
        <v>3918</v>
      </c>
      <c r="Y189" s="705"/>
      <c r="AA189" t="s">
        <v>124</v>
      </c>
      <c r="AB189" t="s">
        <v>582</v>
      </c>
      <c r="AC189" t="s">
        <v>671</v>
      </c>
      <c r="AD189">
        <v>1</v>
      </c>
      <c r="AE189">
        <v>103</v>
      </c>
      <c r="AF189">
        <v>571</v>
      </c>
      <c r="AG189" s="705">
        <v>44116</v>
      </c>
      <c r="AH189" s="705">
        <v>40105</v>
      </c>
      <c r="AI189">
        <v>86</v>
      </c>
      <c r="AJ189" s="705">
        <v>6176</v>
      </c>
      <c r="AK189" s="705">
        <v>5615</v>
      </c>
      <c r="AL189" s="705">
        <v>2096</v>
      </c>
      <c r="AM189">
        <v>776</v>
      </c>
      <c r="AN189">
        <v>473</v>
      </c>
      <c r="AO189">
        <v>175</v>
      </c>
      <c r="AP189" s="705">
        <v>3954</v>
      </c>
      <c r="AQ189" s="705">
        <v>3595</v>
      </c>
      <c r="AR189" s="705">
        <v>2020</v>
      </c>
      <c r="AS189">
        <v>748</v>
      </c>
      <c r="AT189" s="705">
        <v>51014</v>
      </c>
      <c r="AU189" s="705">
        <f t="shared" si="18"/>
        <v>51014</v>
      </c>
      <c r="AV189" s="705">
        <f t="shared" si="19"/>
        <v>58835</v>
      </c>
    </row>
    <row r="190" spans="2:48" hidden="1">
      <c r="B190" t="s">
        <v>675</v>
      </c>
      <c r="C190" t="s">
        <v>118</v>
      </c>
      <c r="D190" t="s">
        <v>228</v>
      </c>
      <c r="E190" t="s">
        <v>581</v>
      </c>
      <c r="F190">
        <v>1</v>
      </c>
      <c r="G190">
        <v>43</v>
      </c>
      <c r="H190" s="705">
        <v>258</v>
      </c>
      <c r="I190" s="705">
        <v>6189</v>
      </c>
      <c r="J190" s="706">
        <v>2292</v>
      </c>
      <c r="K190" s="705">
        <v>100</v>
      </c>
      <c r="L190" s="705">
        <v>0</v>
      </c>
      <c r="M190" s="705">
        <v>0</v>
      </c>
      <c r="N190" s="705">
        <v>526</v>
      </c>
      <c r="O190" s="705">
        <v>195</v>
      </c>
      <c r="P190" s="705">
        <v>0</v>
      </c>
      <c r="Q190" s="705">
        <v>0</v>
      </c>
      <c r="R190" s="705">
        <v>4445</v>
      </c>
      <c r="S190" s="705">
        <v>1646</v>
      </c>
      <c r="T190" s="705">
        <v>0</v>
      </c>
      <c r="U190" s="705">
        <v>0</v>
      </c>
      <c r="V190" s="705">
        <v>4133</v>
      </c>
      <c r="W190" s="705">
        <f t="shared" si="12"/>
        <v>4133</v>
      </c>
      <c r="X190" s="705">
        <f t="shared" si="13"/>
        <v>11160</v>
      </c>
      <c r="Y190" s="705"/>
      <c r="AA190" t="s">
        <v>124</v>
      </c>
      <c r="AB190" t="s">
        <v>228</v>
      </c>
      <c r="AC190" t="s">
        <v>228</v>
      </c>
      <c r="AD190" s="705">
        <v>4316</v>
      </c>
      <c r="AE190" s="705">
        <v>213172</v>
      </c>
      <c r="AF190" s="705">
        <v>2622916</v>
      </c>
      <c r="AG190" s="705">
        <v>90938859</v>
      </c>
      <c r="AH190" s="705">
        <v>33681059</v>
      </c>
      <c r="AI190">
        <v>100</v>
      </c>
      <c r="AJ190" s="705">
        <v>10388211</v>
      </c>
      <c r="AK190" s="705">
        <v>6018854</v>
      </c>
      <c r="AL190" s="705">
        <v>4480678</v>
      </c>
      <c r="AM190" s="705">
        <v>1659510</v>
      </c>
      <c r="AN190" s="705">
        <v>52781</v>
      </c>
      <c r="AO190" s="705">
        <v>19548</v>
      </c>
      <c r="AP190" s="705">
        <v>23450732</v>
      </c>
      <c r="AQ190" s="705">
        <v>8685456</v>
      </c>
      <c r="AR190" s="705">
        <v>54849</v>
      </c>
      <c r="AS190" s="705">
        <v>20314</v>
      </c>
      <c r="AT190" s="705">
        <v>50084742</v>
      </c>
      <c r="AU190" s="705">
        <f t="shared" si="18"/>
        <v>50084741</v>
      </c>
      <c r="AV190" s="705">
        <f t="shared" si="19"/>
        <v>129366110</v>
      </c>
    </row>
    <row r="191" spans="2:48" hidden="1">
      <c r="B191" t="s">
        <v>675</v>
      </c>
      <c r="C191" t="s">
        <v>118</v>
      </c>
      <c r="D191" t="s">
        <v>228</v>
      </c>
      <c r="E191" t="s">
        <v>228</v>
      </c>
      <c r="F191">
        <v>543</v>
      </c>
      <c r="G191" s="705">
        <v>35262</v>
      </c>
      <c r="H191" s="705">
        <v>141688</v>
      </c>
      <c r="I191" s="705">
        <v>4797154</v>
      </c>
      <c r="J191" s="706">
        <v>1776724</v>
      </c>
      <c r="K191" s="705">
        <v>100</v>
      </c>
      <c r="L191" s="705">
        <v>372666</v>
      </c>
      <c r="M191" s="705">
        <v>161719</v>
      </c>
      <c r="N191" s="705">
        <v>661910</v>
      </c>
      <c r="O191" s="705">
        <v>245152</v>
      </c>
      <c r="P191" s="705">
        <v>8195</v>
      </c>
      <c r="Q191" s="705">
        <v>3035</v>
      </c>
      <c r="R191" s="705">
        <v>3322790</v>
      </c>
      <c r="S191" s="705">
        <v>1230663</v>
      </c>
      <c r="T191" s="705">
        <v>4413</v>
      </c>
      <c r="U191" s="705">
        <v>1634</v>
      </c>
      <c r="V191" s="705">
        <v>3418927</v>
      </c>
      <c r="W191" s="705">
        <f t="shared" si="12"/>
        <v>3418927</v>
      </c>
      <c r="X191" s="705">
        <f t="shared" si="13"/>
        <v>9167128</v>
      </c>
      <c r="Y191" s="705"/>
      <c r="AA191" t="s">
        <v>124</v>
      </c>
      <c r="AB191" t="s">
        <v>228</v>
      </c>
      <c r="AC191" t="s">
        <v>583</v>
      </c>
      <c r="AD191">
        <v>1</v>
      </c>
      <c r="AE191">
        <v>71</v>
      </c>
      <c r="AF191">
        <v>487</v>
      </c>
      <c r="AG191" s="705">
        <v>23721</v>
      </c>
      <c r="AH191" s="705">
        <v>8785</v>
      </c>
      <c r="AI191">
        <v>100</v>
      </c>
      <c r="AJ191" s="705">
        <v>4027</v>
      </c>
      <c r="AK191" s="705">
        <v>3661</v>
      </c>
      <c r="AL191" s="705">
        <v>1740</v>
      </c>
      <c r="AM191">
        <v>644</v>
      </c>
      <c r="AN191">
        <v>0</v>
      </c>
      <c r="AO191">
        <v>0</v>
      </c>
      <c r="AP191" s="705">
        <v>3709</v>
      </c>
      <c r="AQ191" s="705">
        <v>3372</v>
      </c>
      <c r="AR191" s="705">
        <v>1604</v>
      </c>
      <c r="AS191">
        <v>594</v>
      </c>
      <c r="AT191" s="705">
        <v>17057</v>
      </c>
      <c r="AU191" s="705">
        <f t="shared" si="18"/>
        <v>17056</v>
      </c>
      <c r="AV191" s="705">
        <f t="shared" si="19"/>
        <v>34801</v>
      </c>
    </row>
    <row r="192" spans="2:48" hidden="1">
      <c r="B192" t="s">
        <v>675</v>
      </c>
      <c r="C192" t="s">
        <v>118</v>
      </c>
      <c r="D192" t="s">
        <v>228</v>
      </c>
      <c r="E192" t="s">
        <v>584</v>
      </c>
      <c r="F192">
        <v>1</v>
      </c>
      <c r="G192">
        <v>72</v>
      </c>
      <c r="H192" s="705">
        <v>229</v>
      </c>
      <c r="I192" s="705">
        <v>11332</v>
      </c>
      <c r="J192" s="706">
        <v>4197</v>
      </c>
      <c r="K192" s="705">
        <v>100</v>
      </c>
      <c r="L192" s="705">
        <v>0</v>
      </c>
      <c r="M192" s="705">
        <v>0</v>
      </c>
      <c r="N192" s="705">
        <v>1057</v>
      </c>
      <c r="O192">
        <v>392</v>
      </c>
      <c r="P192">
        <v>0</v>
      </c>
      <c r="Q192" s="705">
        <v>0</v>
      </c>
      <c r="R192" s="705">
        <v>4187</v>
      </c>
      <c r="S192" s="705">
        <v>3807</v>
      </c>
      <c r="T192">
        <v>0</v>
      </c>
      <c r="U192" s="705">
        <v>0</v>
      </c>
      <c r="V192" s="705">
        <v>8395</v>
      </c>
      <c r="W192" s="705">
        <f t="shared" si="12"/>
        <v>8396</v>
      </c>
      <c r="X192" s="705">
        <f t="shared" si="13"/>
        <v>16576</v>
      </c>
      <c r="Y192" s="705"/>
      <c r="AA192" t="s">
        <v>124</v>
      </c>
      <c r="AB192" t="s">
        <v>228</v>
      </c>
      <c r="AC192" t="s">
        <v>584</v>
      </c>
      <c r="AD192">
        <v>2</v>
      </c>
      <c r="AE192">
        <v>94</v>
      </c>
      <c r="AF192" s="705">
        <v>1106</v>
      </c>
      <c r="AG192" s="705">
        <v>43863</v>
      </c>
      <c r="AH192" s="705">
        <v>16245</v>
      </c>
      <c r="AI192">
        <v>100</v>
      </c>
      <c r="AJ192">
        <v>0</v>
      </c>
      <c r="AK192">
        <v>0</v>
      </c>
      <c r="AL192" s="705">
        <v>1876</v>
      </c>
      <c r="AM192">
        <v>695</v>
      </c>
      <c r="AN192">
        <v>122</v>
      </c>
      <c r="AO192">
        <v>45</v>
      </c>
      <c r="AP192" s="705">
        <v>5522</v>
      </c>
      <c r="AQ192" s="705">
        <v>5020</v>
      </c>
      <c r="AR192" s="705">
        <v>1590</v>
      </c>
      <c r="AS192">
        <v>589</v>
      </c>
      <c r="AT192" s="705">
        <v>22594</v>
      </c>
      <c r="AU192" s="705">
        <f t="shared" si="18"/>
        <v>22594</v>
      </c>
      <c r="AV192" s="705">
        <f t="shared" si="19"/>
        <v>52973</v>
      </c>
    </row>
    <row r="193" spans="2:48" hidden="1">
      <c r="B193" t="s">
        <v>675</v>
      </c>
      <c r="C193" t="s">
        <v>118</v>
      </c>
      <c r="D193" t="s">
        <v>583</v>
      </c>
      <c r="E193" t="s">
        <v>583</v>
      </c>
      <c r="F193" s="705">
        <v>7</v>
      </c>
      <c r="G193" s="705">
        <v>924</v>
      </c>
      <c r="H193" s="705">
        <v>1914</v>
      </c>
      <c r="I193" s="705">
        <v>151595</v>
      </c>
      <c r="J193" s="706">
        <v>137813</v>
      </c>
      <c r="K193" s="705">
        <v>71</v>
      </c>
      <c r="L193" s="705">
        <v>29553</v>
      </c>
      <c r="M193" s="705">
        <v>25811</v>
      </c>
      <c r="N193" s="705">
        <v>17413</v>
      </c>
      <c r="O193" s="705">
        <v>6449</v>
      </c>
      <c r="P193" s="705">
        <v>4347</v>
      </c>
      <c r="Q193" s="705">
        <v>1610</v>
      </c>
      <c r="R193" s="705">
        <v>34667</v>
      </c>
      <c r="S193" s="705">
        <v>31515</v>
      </c>
      <c r="T193" s="705">
        <v>20458</v>
      </c>
      <c r="U193" s="705">
        <v>7577</v>
      </c>
      <c r="V193" s="705">
        <v>210776</v>
      </c>
      <c r="W193" s="705">
        <f t="shared" si="12"/>
        <v>210775</v>
      </c>
      <c r="X193" s="705">
        <f t="shared" si="13"/>
        <v>258033</v>
      </c>
      <c r="Y193" s="705"/>
      <c r="AA193" t="s">
        <v>124</v>
      </c>
      <c r="AB193" t="s">
        <v>228</v>
      </c>
      <c r="AC193" t="s">
        <v>669</v>
      </c>
      <c r="AD193">
        <v>4</v>
      </c>
      <c r="AE193">
        <v>200</v>
      </c>
      <c r="AF193" s="705">
        <v>2782</v>
      </c>
      <c r="AG193" s="705">
        <v>86783</v>
      </c>
      <c r="AH193" s="705">
        <v>32142</v>
      </c>
      <c r="AI193">
        <v>100</v>
      </c>
      <c r="AJ193" s="705">
        <v>17540</v>
      </c>
      <c r="AK193" s="705">
        <v>14617</v>
      </c>
      <c r="AL193" s="705">
        <v>3406</v>
      </c>
      <c r="AM193" s="705">
        <v>1262</v>
      </c>
      <c r="AN193">
        <v>0</v>
      </c>
      <c r="AO193">
        <v>0</v>
      </c>
      <c r="AP193" s="705">
        <v>28072</v>
      </c>
      <c r="AQ193" s="705">
        <v>23393</v>
      </c>
      <c r="AR193" s="705">
        <v>6426</v>
      </c>
      <c r="AS193" s="705">
        <v>2380</v>
      </c>
      <c r="AT193" s="705">
        <v>73794</v>
      </c>
      <c r="AU193" s="705">
        <f t="shared" si="18"/>
        <v>73794</v>
      </c>
      <c r="AV193" s="705">
        <f t="shared" si="19"/>
        <v>142227</v>
      </c>
    </row>
    <row r="194" spans="2:48" hidden="1">
      <c r="B194" t="s">
        <v>675</v>
      </c>
      <c r="C194" t="s">
        <v>118</v>
      </c>
      <c r="D194" t="s">
        <v>584</v>
      </c>
      <c r="E194" t="s">
        <v>228</v>
      </c>
      <c r="F194" s="705">
        <v>10</v>
      </c>
      <c r="G194" s="705">
        <v>422</v>
      </c>
      <c r="H194" s="705">
        <v>2654</v>
      </c>
      <c r="I194" s="705">
        <v>65310</v>
      </c>
      <c r="J194" s="706">
        <v>59372</v>
      </c>
      <c r="K194" s="705">
        <v>82</v>
      </c>
      <c r="L194" s="705">
        <v>0</v>
      </c>
      <c r="M194" s="705">
        <v>0</v>
      </c>
      <c r="N194" s="705">
        <v>7466</v>
      </c>
      <c r="O194" s="705">
        <v>2765</v>
      </c>
      <c r="P194" s="705">
        <v>4725</v>
      </c>
      <c r="Q194" s="705">
        <v>1750</v>
      </c>
      <c r="R194" s="705">
        <v>34248</v>
      </c>
      <c r="S194" s="705">
        <v>12684</v>
      </c>
      <c r="T194" s="705">
        <v>0</v>
      </c>
      <c r="U194" s="705">
        <v>0</v>
      </c>
      <c r="V194" s="705">
        <v>76572</v>
      </c>
      <c r="W194" s="705">
        <f t="shared" si="12"/>
        <v>76571</v>
      </c>
      <c r="X194" s="705">
        <f t="shared" si="13"/>
        <v>111749</v>
      </c>
      <c r="Y194" s="705"/>
      <c r="AA194" t="s">
        <v>124</v>
      </c>
      <c r="AB194" t="s">
        <v>228</v>
      </c>
      <c r="AC194" t="s">
        <v>665</v>
      </c>
      <c r="AD194">
        <v>9</v>
      </c>
      <c r="AE194">
        <v>544</v>
      </c>
      <c r="AF194" s="705">
        <v>5674</v>
      </c>
      <c r="AG194" s="705">
        <v>214807</v>
      </c>
      <c r="AH194" s="705">
        <v>79558</v>
      </c>
      <c r="AI194">
        <v>100</v>
      </c>
      <c r="AJ194" s="705">
        <v>29302</v>
      </c>
      <c r="AK194" s="705">
        <v>26638</v>
      </c>
      <c r="AL194" s="705">
        <v>11841</v>
      </c>
      <c r="AM194" s="705">
        <v>4386</v>
      </c>
      <c r="AN194">
        <v>351</v>
      </c>
      <c r="AO194">
        <v>130</v>
      </c>
      <c r="AP194" s="705">
        <v>67428</v>
      </c>
      <c r="AQ194" s="705">
        <v>61298</v>
      </c>
      <c r="AR194" s="705">
        <v>29213</v>
      </c>
      <c r="AS194" s="705">
        <v>10820</v>
      </c>
      <c r="AT194" s="705">
        <v>182830</v>
      </c>
      <c r="AU194" s="705">
        <f t="shared" si="18"/>
        <v>182830</v>
      </c>
      <c r="AV194" s="705">
        <f t="shared" si="19"/>
        <v>352942</v>
      </c>
    </row>
    <row r="195" spans="2:48" hidden="1">
      <c r="B195" t="s">
        <v>675</v>
      </c>
      <c r="C195" t="s">
        <v>118</v>
      </c>
      <c r="D195" t="s">
        <v>584</v>
      </c>
      <c r="E195" t="s">
        <v>584</v>
      </c>
      <c r="F195" s="705">
        <v>194</v>
      </c>
      <c r="G195" s="705">
        <v>11352</v>
      </c>
      <c r="H195" s="705">
        <v>50409</v>
      </c>
      <c r="I195" s="705">
        <v>1697585</v>
      </c>
      <c r="J195" s="706">
        <v>1543260</v>
      </c>
      <c r="K195" s="705">
        <v>81</v>
      </c>
      <c r="L195" s="705">
        <v>279813</v>
      </c>
      <c r="M195" s="705">
        <v>234373</v>
      </c>
      <c r="N195" s="705">
        <v>220473</v>
      </c>
      <c r="O195" s="705">
        <v>81657</v>
      </c>
      <c r="P195" s="705">
        <v>91713</v>
      </c>
      <c r="Q195" s="705">
        <v>33968</v>
      </c>
      <c r="R195" s="705">
        <v>604549</v>
      </c>
      <c r="S195" s="705">
        <v>549590</v>
      </c>
      <c r="T195" s="705">
        <v>62079</v>
      </c>
      <c r="U195" s="705">
        <v>22992</v>
      </c>
      <c r="V195" s="705">
        <v>2465839</v>
      </c>
      <c r="W195" s="705">
        <f t="shared" si="12"/>
        <v>2465840</v>
      </c>
      <c r="X195" s="705">
        <f t="shared" si="13"/>
        <v>2956212</v>
      </c>
      <c r="Y195" s="705"/>
      <c r="AA195" t="s">
        <v>124</v>
      </c>
      <c r="AB195" t="s">
        <v>583</v>
      </c>
      <c r="AC195" t="s">
        <v>664</v>
      </c>
      <c r="AD195">
        <v>1</v>
      </c>
      <c r="AE195">
        <v>210</v>
      </c>
      <c r="AF195">
        <v>473</v>
      </c>
      <c r="AG195" s="705">
        <v>78047</v>
      </c>
      <c r="AH195" s="705">
        <v>70952</v>
      </c>
      <c r="AI195">
        <v>70</v>
      </c>
      <c r="AJ195" s="705">
        <v>9611</v>
      </c>
      <c r="AK195" s="705">
        <v>8738</v>
      </c>
      <c r="AL195" s="705">
        <v>4733</v>
      </c>
      <c r="AM195" s="705">
        <v>1753</v>
      </c>
      <c r="AN195">
        <v>621</v>
      </c>
      <c r="AO195">
        <v>230</v>
      </c>
      <c r="AP195" s="705">
        <v>6345</v>
      </c>
      <c r="AQ195" s="705">
        <v>5768</v>
      </c>
      <c r="AR195">
        <v>0</v>
      </c>
      <c r="AS195">
        <v>0</v>
      </c>
      <c r="AT195" s="705">
        <v>87440</v>
      </c>
      <c r="AU195" s="705">
        <f t="shared" si="18"/>
        <v>87441</v>
      </c>
      <c r="AV195" s="705">
        <f t="shared" si="19"/>
        <v>99357</v>
      </c>
    </row>
    <row r="196" spans="2:48" hidden="1">
      <c r="B196" t="s">
        <v>675</v>
      </c>
      <c r="C196" t="s">
        <v>120</v>
      </c>
      <c r="F196" s="705">
        <v>4</v>
      </c>
      <c r="G196" s="705">
        <v>233</v>
      </c>
      <c r="H196" s="705">
        <v>1395</v>
      </c>
      <c r="I196" s="705"/>
      <c r="J196" s="706">
        <v>0</v>
      </c>
      <c r="K196" s="705"/>
      <c r="L196" s="705"/>
      <c r="M196" s="705">
        <v>0</v>
      </c>
      <c r="N196" s="705">
        <v>4749</v>
      </c>
      <c r="O196" s="705">
        <v>1759</v>
      </c>
      <c r="P196" s="705">
        <v>473</v>
      </c>
      <c r="Q196" s="705">
        <v>175</v>
      </c>
      <c r="R196" s="705"/>
      <c r="S196">
        <v>0</v>
      </c>
      <c r="T196">
        <v>0</v>
      </c>
      <c r="U196" s="705">
        <v>0</v>
      </c>
      <c r="V196" s="705">
        <v>1934</v>
      </c>
      <c r="W196" s="705">
        <f t="shared" si="12"/>
        <v>1934</v>
      </c>
      <c r="X196" s="705">
        <f t="shared" si="13"/>
        <v>5222</v>
      </c>
      <c r="Y196" s="705"/>
      <c r="AA196" t="s">
        <v>124</v>
      </c>
      <c r="AB196" t="s">
        <v>583</v>
      </c>
      <c r="AC196" t="s">
        <v>228</v>
      </c>
      <c r="AD196">
        <v>36</v>
      </c>
      <c r="AE196" s="705">
        <v>2064</v>
      </c>
      <c r="AF196" s="705">
        <v>19015</v>
      </c>
      <c r="AG196" s="705">
        <v>690852</v>
      </c>
      <c r="AH196" s="705">
        <v>628047</v>
      </c>
      <c r="AI196">
        <v>73</v>
      </c>
      <c r="AJ196" s="705">
        <v>102663</v>
      </c>
      <c r="AK196" s="705">
        <v>82550</v>
      </c>
      <c r="AL196" s="705">
        <v>45481</v>
      </c>
      <c r="AM196" s="705">
        <v>16845</v>
      </c>
      <c r="AN196" s="705">
        <v>20304</v>
      </c>
      <c r="AO196" s="705">
        <v>7520</v>
      </c>
      <c r="AP196" s="705">
        <v>216071</v>
      </c>
      <c r="AQ196" s="705">
        <v>80026</v>
      </c>
      <c r="AR196">
        <v>0</v>
      </c>
      <c r="AS196">
        <v>0</v>
      </c>
      <c r="AT196" s="705">
        <v>814988</v>
      </c>
      <c r="AU196" s="705">
        <f t="shared" si="18"/>
        <v>814988</v>
      </c>
      <c r="AV196" s="705">
        <f t="shared" si="19"/>
        <v>1075371</v>
      </c>
    </row>
    <row r="197" spans="2:48" hidden="1">
      <c r="B197" t="s">
        <v>675</v>
      </c>
      <c r="C197" t="s">
        <v>120</v>
      </c>
      <c r="D197" t="s">
        <v>228</v>
      </c>
      <c r="E197" t="s">
        <v>228</v>
      </c>
      <c r="F197" s="705">
        <v>313</v>
      </c>
      <c r="G197" s="705">
        <v>18003</v>
      </c>
      <c r="H197" s="705">
        <v>105057</v>
      </c>
      <c r="I197" s="705">
        <v>3607023</v>
      </c>
      <c r="J197" s="706">
        <v>1335935</v>
      </c>
      <c r="K197" s="705">
        <v>100</v>
      </c>
      <c r="L197" s="705">
        <v>289046</v>
      </c>
      <c r="M197" s="705">
        <v>129073</v>
      </c>
      <c r="N197" s="705">
        <v>355851</v>
      </c>
      <c r="O197" s="705">
        <v>131797</v>
      </c>
      <c r="P197" s="705">
        <v>4944</v>
      </c>
      <c r="Q197" s="705">
        <v>1831</v>
      </c>
      <c r="R197" s="705">
        <v>1782214</v>
      </c>
      <c r="S197" s="705">
        <v>660079</v>
      </c>
      <c r="T197" s="705">
        <v>1017</v>
      </c>
      <c r="U197" s="705">
        <v>377</v>
      </c>
      <c r="V197" s="705">
        <v>2259091</v>
      </c>
      <c r="W197" s="705">
        <f t="shared" si="12"/>
        <v>2259092</v>
      </c>
      <c r="X197" s="705">
        <f t="shared" si="13"/>
        <v>6040095</v>
      </c>
      <c r="Y197" s="705"/>
      <c r="AA197" t="s">
        <v>124</v>
      </c>
      <c r="AB197" t="s">
        <v>583</v>
      </c>
      <c r="AC197" t="s">
        <v>583</v>
      </c>
      <c r="AD197">
        <v>279</v>
      </c>
      <c r="AE197" s="705">
        <v>23453</v>
      </c>
      <c r="AF197" s="705">
        <v>154579</v>
      </c>
      <c r="AG197" s="705">
        <v>8857074</v>
      </c>
      <c r="AH197" s="705">
        <v>8051885</v>
      </c>
      <c r="AI197">
        <v>72</v>
      </c>
      <c r="AJ197" s="705">
        <v>1605280</v>
      </c>
      <c r="AK197" s="705">
        <v>1372849</v>
      </c>
      <c r="AL197" s="705">
        <v>508889</v>
      </c>
      <c r="AM197" s="705">
        <v>188477</v>
      </c>
      <c r="AN197" s="705">
        <v>176297</v>
      </c>
      <c r="AO197" s="705">
        <v>65295</v>
      </c>
      <c r="AP197" s="705">
        <v>1287771</v>
      </c>
      <c r="AQ197" s="705">
        <v>1170701</v>
      </c>
      <c r="AR197" s="705">
        <v>455661</v>
      </c>
      <c r="AS197" s="705">
        <v>168763</v>
      </c>
      <c r="AT197" s="705">
        <v>11017971</v>
      </c>
      <c r="AU197" s="705">
        <f t="shared" si="18"/>
        <v>11017970</v>
      </c>
      <c r="AV197" s="705">
        <f t="shared" si="19"/>
        <v>12890972</v>
      </c>
    </row>
    <row r="198" spans="2:48" hidden="1">
      <c r="B198" t="s">
        <v>675</v>
      </c>
      <c r="C198" t="s">
        <v>120</v>
      </c>
      <c r="D198" t="s">
        <v>228</v>
      </c>
      <c r="E198" t="s">
        <v>669</v>
      </c>
      <c r="F198">
        <v>1</v>
      </c>
      <c r="G198" s="705">
        <v>72</v>
      </c>
      <c r="H198" s="705">
        <v>358</v>
      </c>
      <c r="I198" s="705">
        <v>15032</v>
      </c>
      <c r="J198" s="706">
        <v>5567</v>
      </c>
      <c r="K198" s="705">
        <v>100</v>
      </c>
      <c r="L198" s="705">
        <v>2570</v>
      </c>
      <c r="M198" s="705">
        <v>2141</v>
      </c>
      <c r="N198" s="705">
        <v>1745</v>
      </c>
      <c r="O198" s="705">
        <v>646</v>
      </c>
      <c r="P198">
        <v>0</v>
      </c>
      <c r="Q198" s="705">
        <v>0</v>
      </c>
      <c r="R198" s="705">
        <v>4652</v>
      </c>
      <c r="S198" s="705">
        <v>3877</v>
      </c>
      <c r="T198" s="705">
        <v>1607</v>
      </c>
      <c r="U198" s="705">
        <v>595</v>
      </c>
      <c r="V198" s="705">
        <v>12827</v>
      </c>
      <c r="W198" s="705">
        <f t="shared" si="12"/>
        <v>12826</v>
      </c>
      <c r="X198" s="705">
        <f t="shared" si="13"/>
        <v>25606</v>
      </c>
      <c r="Y198" s="705"/>
      <c r="AA198" t="s">
        <v>124</v>
      </c>
      <c r="AB198" t="s">
        <v>583</v>
      </c>
      <c r="AC198" t="s">
        <v>665</v>
      </c>
      <c r="AD198">
        <v>2</v>
      </c>
      <c r="AE198">
        <v>340</v>
      </c>
      <c r="AF198" s="705">
        <v>1065</v>
      </c>
      <c r="AG198" s="705">
        <v>129177</v>
      </c>
      <c r="AH198" s="705">
        <v>117434</v>
      </c>
      <c r="AI198">
        <v>65</v>
      </c>
      <c r="AJ198" s="705">
        <v>21261</v>
      </c>
      <c r="AK198" s="705">
        <v>19328</v>
      </c>
      <c r="AL198" s="705">
        <v>6897</v>
      </c>
      <c r="AM198" s="705">
        <v>2554</v>
      </c>
      <c r="AN198" s="705">
        <v>1242</v>
      </c>
      <c r="AO198">
        <v>460</v>
      </c>
      <c r="AP198" s="705">
        <v>17890</v>
      </c>
      <c r="AQ198" s="705">
        <v>16263</v>
      </c>
      <c r="AR198" s="705">
        <v>3694</v>
      </c>
      <c r="AS198" s="705">
        <v>1368</v>
      </c>
      <c r="AT198" s="705">
        <v>157408</v>
      </c>
      <c r="AU198" s="705">
        <f t="shared" si="18"/>
        <v>157407</v>
      </c>
      <c r="AV198" s="705">
        <f t="shared" si="19"/>
        <v>180161</v>
      </c>
    </row>
    <row r="199" spans="2:48" hidden="1">
      <c r="B199" t="s">
        <v>675</v>
      </c>
      <c r="C199" t="s">
        <v>120</v>
      </c>
      <c r="D199" t="s">
        <v>583</v>
      </c>
      <c r="E199" s="705" t="s">
        <v>583</v>
      </c>
      <c r="F199" s="705">
        <v>5</v>
      </c>
      <c r="G199" s="705">
        <v>358</v>
      </c>
      <c r="H199" s="705">
        <v>1724</v>
      </c>
      <c r="I199" s="705">
        <v>89166</v>
      </c>
      <c r="J199" s="706">
        <v>81060</v>
      </c>
      <c r="K199" s="705">
        <v>72</v>
      </c>
      <c r="L199" s="705">
        <v>13795</v>
      </c>
      <c r="M199" s="705">
        <v>11782</v>
      </c>
      <c r="N199" s="705">
        <v>7565</v>
      </c>
      <c r="O199" s="705">
        <v>2802</v>
      </c>
      <c r="P199" s="705">
        <v>3105</v>
      </c>
      <c r="Q199" s="705">
        <v>1150</v>
      </c>
      <c r="R199" s="705">
        <v>21865</v>
      </c>
      <c r="S199" s="705">
        <v>19877</v>
      </c>
      <c r="T199" s="705">
        <v>6201</v>
      </c>
      <c r="U199" s="705">
        <v>2297</v>
      </c>
      <c r="V199" s="705">
        <v>118968</v>
      </c>
      <c r="W199" s="705">
        <f t="shared" ref="W199:W262" si="20">SUM(ABS(J199),ABS(M199),ABS(O199),ABS(Q199),ABS(S199),ABS(U199))</f>
        <v>118968</v>
      </c>
      <c r="X199" s="705">
        <f t="shared" ref="X199:X262" si="21">SUM(ABS(I199),ABS(N199),ABS(P199),ABS(R199),ABS(T199),ABS(L199))</f>
        <v>141697</v>
      </c>
      <c r="Y199" s="705"/>
      <c r="AA199" t="s">
        <v>124</v>
      </c>
      <c r="AB199" t="s">
        <v>666</v>
      </c>
      <c r="AC199" t="s">
        <v>228</v>
      </c>
      <c r="AD199">
        <v>9</v>
      </c>
      <c r="AE199">
        <v>670</v>
      </c>
      <c r="AF199" s="705">
        <v>7445</v>
      </c>
      <c r="AG199" s="705">
        <v>494246</v>
      </c>
      <c r="AH199" s="705">
        <v>449314</v>
      </c>
      <c r="AI199">
        <v>33</v>
      </c>
      <c r="AJ199" s="705">
        <v>18160</v>
      </c>
      <c r="AK199" s="705">
        <v>13660</v>
      </c>
      <c r="AL199" s="705">
        <v>15692</v>
      </c>
      <c r="AM199" s="705">
        <v>5812</v>
      </c>
      <c r="AN199">
        <v>351</v>
      </c>
      <c r="AO199">
        <v>130</v>
      </c>
      <c r="AP199" s="705">
        <v>77584</v>
      </c>
      <c r="AQ199" s="705">
        <v>28735</v>
      </c>
      <c r="AR199">
        <v>0</v>
      </c>
      <c r="AS199">
        <v>0</v>
      </c>
      <c r="AT199" s="705">
        <v>497651</v>
      </c>
      <c r="AU199" s="705">
        <f t="shared" si="18"/>
        <v>497651</v>
      </c>
      <c r="AV199" s="705">
        <f t="shared" si="19"/>
        <v>606033</v>
      </c>
    </row>
    <row r="200" spans="2:48" hidden="1">
      <c r="B200" t="s">
        <v>675</v>
      </c>
      <c r="C200" t="s">
        <v>120</v>
      </c>
      <c r="D200" t="s">
        <v>584</v>
      </c>
      <c r="E200" t="s">
        <v>228</v>
      </c>
      <c r="F200" s="705">
        <v>10</v>
      </c>
      <c r="G200" s="705">
        <v>438</v>
      </c>
      <c r="H200" s="705">
        <v>3415</v>
      </c>
      <c r="I200" s="705">
        <v>86563</v>
      </c>
      <c r="J200" s="706">
        <v>78693</v>
      </c>
      <c r="K200" s="705">
        <v>79</v>
      </c>
      <c r="L200" s="705">
        <v>4662</v>
      </c>
      <c r="M200" s="705">
        <v>1727</v>
      </c>
      <c r="N200" s="705">
        <v>10112</v>
      </c>
      <c r="O200" s="705">
        <v>3745</v>
      </c>
      <c r="P200" s="705">
        <v>4604</v>
      </c>
      <c r="Q200" s="705">
        <v>1705</v>
      </c>
      <c r="R200" s="705">
        <v>42271</v>
      </c>
      <c r="S200" s="705">
        <v>15656</v>
      </c>
      <c r="T200">
        <v>0</v>
      </c>
      <c r="U200" s="705">
        <v>0</v>
      </c>
      <c r="V200" s="705">
        <v>101526</v>
      </c>
      <c r="W200" s="705">
        <f t="shared" si="20"/>
        <v>101526</v>
      </c>
      <c r="X200" s="705">
        <f t="shared" si="21"/>
        <v>148212</v>
      </c>
      <c r="Y200" s="705"/>
      <c r="AA200" t="s">
        <v>124</v>
      </c>
      <c r="AB200" t="s">
        <v>666</v>
      </c>
      <c r="AC200" t="s">
        <v>666</v>
      </c>
      <c r="AD200">
        <v>23</v>
      </c>
      <c r="AE200" s="705">
        <v>1494</v>
      </c>
      <c r="AF200" s="705">
        <v>15195</v>
      </c>
      <c r="AG200" s="705">
        <v>669007</v>
      </c>
      <c r="AH200" s="705">
        <v>608188</v>
      </c>
      <c r="AI200">
        <v>53</v>
      </c>
      <c r="AJ200" s="705">
        <v>102165</v>
      </c>
      <c r="AK200" s="705">
        <v>84766</v>
      </c>
      <c r="AL200" s="705">
        <v>30990</v>
      </c>
      <c r="AM200" s="705">
        <v>11478</v>
      </c>
      <c r="AN200" s="705">
        <v>7722</v>
      </c>
      <c r="AO200" s="705">
        <v>2860</v>
      </c>
      <c r="AP200" s="705">
        <v>146183</v>
      </c>
      <c r="AQ200" s="705">
        <v>132894</v>
      </c>
      <c r="AR200" s="705">
        <v>37584</v>
      </c>
      <c r="AS200" s="705">
        <v>13920</v>
      </c>
      <c r="AT200" s="705">
        <v>854106</v>
      </c>
      <c r="AU200" s="705">
        <f t="shared" si="18"/>
        <v>854106</v>
      </c>
      <c r="AV200" s="705">
        <f t="shared" si="19"/>
        <v>993651</v>
      </c>
    </row>
    <row r="201" spans="2:48" hidden="1">
      <c r="B201" t="s">
        <v>675</v>
      </c>
      <c r="C201" t="s">
        <v>120</v>
      </c>
      <c r="D201" t="s">
        <v>584</v>
      </c>
      <c r="E201" t="s">
        <v>584</v>
      </c>
      <c r="F201" s="705">
        <v>77</v>
      </c>
      <c r="G201" s="705">
        <v>4747</v>
      </c>
      <c r="H201" s="705">
        <v>25295</v>
      </c>
      <c r="I201" s="705">
        <v>939423</v>
      </c>
      <c r="J201" s="706">
        <v>854021</v>
      </c>
      <c r="K201" s="705">
        <v>81</v>
      </c>
      <c r="L201" s="705">
        <v>200122</v>
      </c>
      <c r="M201" s="705">
        <v>142495</v>
      </c>
      <c r="N201" s="705">
        <v>91456</v>
      </c>
      <c r="O201" s="705">
        <v>33873</v>
      </c>
      <c r="P201" s="705">
        <v>36383</v>
      </c>
      <c r="Q201" s="705">
        <v>13475</v>
      </c>
      <c r="R201" s="705">
        <v>249462</v>
      </c>
      <c r="S201" s="705">
        <v>226783</v>
      </c>
      <c r="T201" s="705">
        <v>44616</v>
      </c>
      <c r="U201" s="705">
        <v>16524</v>
      </c>
      <c r="V201" s="705">
        <v>1287171</v>
      </c>
      <c r="W201" s="705">
        <f t="shared" si="20"/>
        <v>1287171</v>
      </c>
      <c r="X201" s="705">
        <f t="shared" si="21"/>
        <v>1561462</v>
      </c>
      <c r="Y201" s="705"/>
      <c r="AA201" t="s">
        <v>124</v>
      </c>
      <c r="AB201" t="s">
        <v>584</v>
      </c>
      <c r="AC201" t="s">
        <v>228</v>
      </c>
      <c r="AD201">
        <v>61</v>
      </c>
      <c r="AE201" s="705">
        <v>2545</v>
      </c>
      <c r="AF201" s="705">
        <v>34557</v>
      </c>
      <c r="AG201" s="705">
        <v>914779</v>
      </c>
      <c r="AH201" s="705">
        <v>831618</v>
      </c>
      <c r="AI201">
        <v>72</v>
      </c>
      <c r="AJ201" s="705">
        <v>99565</v>
      </c>
      <c r="AK201" s="705">
        <v>74121</v>
      </c>
      <c r="AL201" s="705">
        <v>54707</v>
      </c>
      <c r="AM201" s="705">
        <v>20262</v>
      </c>
      <c r="AN201" s="705">
        <v>21020</v>
      </c>
      <c r="AO201" s="705">
        <v>7785</v>
      </c>
      <c r="AP201" s="705">
        <v>343317</v>
      </c>
      <c r="AQ201" s="705">
        <v>127154</v>
      </c>
      <c r="AR201">
        <v>0</v>
      </c>
      <c r="AS201">
        <v>0</v>
      </c>
      <c r="AT201" s="705">
        <v>1060939</v>
      </c>
      <c r="AU201" s="705">
        <f t="shared" si="18"/>
        <v>1060940</v>
      </c>
      <c r="AV201" s="705">
        <f t="shared" si="19"/>
        <v>1433388</v>
      </c>
    </row>
    <row r="202" spans="2:48" hidden="1">
      <c r="B202" t="s">
        <v>675</v>
      </c>
      <c r="C202" t="s">
        <v>120</v>
      </c>
      <c r="D202" t="s">
        <v>669</v>
      </c>
      <c r="E202" t="s">
        <v>669</v>
      </c>
      <c r="F202">
        <v>1</v>
      </c>
      <c r="G202" s="705">
        <v>47</v>
      </c>
      <c r="H202" s="705">
        <v>364</v>
      </c>
      <c r="I202" s="705">
        <v>7135</v>
      </c>
      <c r="J202" s="706">
        <v>5946</v>
      </c>
      <c r="K202" s="705">
        <v>55</v>
      </c>
      <c r="L202" s="705">
        <v>981</v>
      </c>
      <c r="M202" s="705">
        <v>363</v>
      </c>
      <c r="N202" s="705">
        <v>1141</v>
      </c>
      <c r="O202" s="705">
        <v>423</v>
      </c>
      <c r="P202" s="705">
        <v>351</v>
      </c>
      <c r="Q202" s="705">
        <v>130</v>
      </c>
      <c r="R202" s="705">
        <v>5304</v>
      </c>
      <c r="S202" s="705">
        <v>4420</v>
      </c>
      <c r="T202" s="705">
        <v>2146</v>
      </c>
      <c r="U202" s="705">
        <v>795</v>
      </c>
      <c r="V202" s="705">
        <v>12077</v>
      </c>
      <c r="W202" s="705">
        <f t="shared" si="20"/>
        <v>12077</v>
      </c>
      <c r="X202" s="705">
        <f t="shared" si="21"/>
        <v>17058</v>
      </c>
      <c r="Y202" s="705"/>
      <c r="AA202" t="s">
        <v>124</v>
      </c>
      <c r="AB202" t="s">
        <v>584</v>
      </c>
      <c r="AC202" t="s">
        <v>583</v>
      </c>
      <c r="AD202">
        <v>1</v>
      </c>
      <c r="AE202">
        <v>53</v>
      </c>
      <c r="AF202">
        <v>493</v>
      </c>
      <c r="AG202" s="705">
        <v>15401</v>
      </c>
      <c r="AH202" s="705">
        <v>14001</v>
      </c>
      <c r="AI202">
        <v>90</v>
      </c>
      <c r="AJ202" s="705">
        <v>5333</v>
      </c>
      <c r="AK202" s="705">
        <v>4444</v>
      </c>
      <c r="AL202" s="705">
        <v>1023</v>
      </c>
      <c r="AM202">
        <v>379</v>
      </c>
      <c r="AN202">
        <v>473</v>
      </c>
      <c r="AO202">
        <v>175</v>
      </c>
      <c r="AP202" s="705">
        <v>2340</v>
      </c>
      <c r="AQ202" s="705">
        <v>2127</v>
      </c>
      <c r="AR202" s="705">
        <v>1337</v>
      </c>
      <c r="AS202">
        <v>495</v>
      </c>
      <c r="AT202" s="705">
        <v>21622</v>
      </c>
      <c r="AU202" s="705">
        <f t="shared" si="18"/>
        <v>21621</v>
      </c>
      <c r="AV202" s="705">
        <f t="shared" si="19"/>
        <v>25907</v>
      </c>
    </row>
    <row r="203" spans="2:48" hidden="1">
      <c r="B203" t="s">
        <v>675</v>
      </c>
      <c r="C203" t="s">
        <v>120</v>
      </c>
      <c r="D203" t="s">
        <v>665</v>
      </c>
      <c r="E203" t="s">
        <v>665</v>
      </c>
      <c r="F203" s="705">
        <v>2</v>
      </c>
      <c r="G203" s="705">
        <v>142</v>
      </c>
      <c r="H203" s="705">
        <v>695</v>
      </c>
      <c r="I203" s="705">
        <v>28044</v>
      </c>
      <c r="J203" s="706">
        <v>25494</v>
      </c>
      <c r="K203" s="705">
        <v>60</v>
      </c>
      <c r="L203" s="705">
        <v>5770</v>
      </c>
      <c r="M203" s="705">
        <v>4371</v>
      </c>
      <c r="N203" s="705">
        <v>2601</v>
      </c>
      <c r="O203">
        <v>963</v>
      </c>
      <c r="P203">
        <v>702</v>
      </c>
      <c r="Q203" s="705">
        <v>260</v>
      </c>
      <c r="R203" s="705">
        <v>10695</v>
      </c>
      <c r="S203" s="705">
        <v>9722</v>
      </c>
      <c r="T203" s="705">
        <v>1642</v>
      </c>
      <c r="U203" s="705">
        <v>608</v>
      </c>
      <c r="V203" s="705">
        <v>41419</v>
      </c>
      <c r="W203" s="705">
        <f t="shared" si="20"/>
        <v>41418</v>
      </c>
      <c r="X203" s="705">
        <f t="shared" si="21"/>
        <v>49454</v>
      </c>
      <c r="Y203" s="705"/>
      <c r="AA203" t="s">
        <v>124</v>
      </c>
      <c r="AB203" t="s">
        <v>584</v>
      </c>
      <c r="AC203" t="s">
        <v>584</v>
      </c>
      <c r="AD203">
        <v>423</v>
      </c>
      <c r="AE203" s="705">
        <v>24372</v>
      </c>
      <c r="AF203" s="705">
        <v>223588</v>
      </c>
      <c r="AG203" s="705">
        <v>8266780</v>
      </c>
      <c r="AH203" s="705">
        <v>7515254</v>
      </c>
      <c r="AI203">
        <v>74</v>
      </c>
      <c r="AJ203" s="705">
        <v>1489033</v>
      </c>
      <c r="AK203" s="705">
        <v>1249474</v>
      </c>
      <c r="AL203" s="705">
        <v>529834</v>
      </c>
      <c r="AM203" s="705">
        <v>196235</v>
      </c>
      <c r="AN203" s="705">
        <v>198214</v>
      </c>
      <c r="AO203" s="705">
        <v>73413</v>
      </c>
      <c r="AP203" s="705">
        <v>1742815</v>
      </c>
      <c r="AQ203" s="705">
        <v>1584378</v>
      </c>
      <c r="AR203" s="705">
        <v>565426</v>
      </c>
      <c r="AS203" s="705">
        <v>209417</v>
      </c>
      <c r="AT203" s="705">
        <v>10828171</v>
      </c>
      <c r="AU203" s="705">
        <f t="shared" si="18"/>
        <v>10828171</v>
      </c>
      <c r="AV203" s="705">
        <f t="shared" si="19"/>
        <v>12792102</v>
      </c>
    </row>
    <row r="204" spans="2:48" hidden="1">
      <c r="B204" t="s">
        <v>675</v>
      </c>
      <c r="C204" t="s">
        <v>120</v>
      </c>
      <c r="D204" t="s">
        <v>673</v>
      </c>
      <c r="E204" t="s">
        <v>228</v>
      </c>
      <c r="F204">
        <v>1</v>
      </c>
      <c r="G204" s="705">
        <v>87</v>
      </c>
      <c r="H204" s="705">
        <v>346</v>
      </c>
      <c r="I204" s="705">
        <v>18075</v>
      </c>
      <c r="J204" s="706">
        <v>16432</v>
      </c>
      <c r="K204" s="705">
        <v>65</v>
      </c>
      <c r="L204" s="705">
        <v>4747</v>
      </c>
      <c r="M204" s="705">
        <v>3956</v>
      </c>
      <c r="N204" s="705">
        <v>1861</v>
      </c>
      <c r="O204">
        <v>689</v>
      </c>
      <c r="P204">
        <v>0</v>
      </c>
      <c r="Q204" s="705">
        <v>0</v>
      </c>
      <c r="R204" s="705">
        <v>5505</v>
      </c>
      <c r="S204" s="705">
        <v>2039</v>
      </c>
      <c r="T204">
        <v>0</v>
      </c>
      <c r="U204" s="705">
        <v>0</v>
      </c>
      <c r="V204" s="705">
        <v>23116</v>
      </c>
      <c r="W204" s="705">
        <f t="shared" si="20"/>
        <v>23116</v>
      </c>
      <c r="X204" s="705">
        <f t="shared" si="21"/>
        <v>30188</v>
      </c>
      <c r="Y204" s="705"/>
      <c r="AA204" t="s">
        <v>124</v>
      </c>
      <c r="AB204" t="s">
        <v>669</v>
      </c>
      <c r="AC204" t="s">
        <v>228</v>
      </c>
      <c r="AD204">
        <v>38</v>
      </c>
      <c r="AE204" s="705">
        <v>2107</v>
      </c>
      <c r="AF204" s="705">
        <v>31873</v>
      </c>
      <c r="AG204" s="705">
        <v>1414500</v>
      </c>
      <c r="AH204" s="705">
        <v>1178750</v>
      </c>
      <c r="AI204">
        <v>35</v>
      </c>
      <c r="AJ204" s="705">
        <v>127231</v>
      </c>
      <c r="AK204" s="705">
        <v>57754</v>
      </c>
      <c r="AL204" s="705">
        <v>43479</v>
      </c>
      <c r="AM204" s="705">
        <v>16103</v>
      </c>
      <c r="AN204">
        <v>702</v>
      </c>
      <c r="AO204">
        <v>260</v>
      </c>
      <c r="AP204" s="705">
        <v>211937</v>
      </c>
      <c r="AQ204" s="705">
        <v>78495</v>
      </c>
      <c r="AR204">
        <v>0</v>
      </c>
      <c r="AS204">
        <v>0</v>
      </c>
      <c r="AT204" s="705">
        <v>1331362</v>
      </c>
      <c r="AU204" s="705">
        <f t="shared" si="18"/>
        <v>1331362</v>
      </c>
      <c r="AV204" s="705">
        <f t="shared" si="19"/>
        <v>1797849</v>
      </c>
    </row>
    <row r="205" spans="2:48" hidden="1">
      <c r="B205" t="s">
        <v>675</v>
      </c>
      <c r="C205" t="s">
        <v>122</v>
      </c>
      <c r="F205" s="705">
        <v>2</v>
      </c>
      <c r="G205" s="705">
        <v>105</v>
      </c>
      <c r="H205" s="705">
        <v>830</v>
      </c>
      <c r="I205" s="705"/>
      <c r="J205" s="706">
        <v>0</v>
      </c>
      <c r="K205" s="705"/>
      <c r="L205" s="705"/>
      <c r="M205" s="705">
        <v>0</v>
      </c>
      <c r="N205" s="705">
        <v>1717</v>
      </c>
      <c r="O205" s="705">
        <v>636</v>
      </c>
      <c r="P205" s="705">
        <v>473</v>
      </c>
      <c r="Q205" s="705">
        <v>175</v>
      </c>
      <c r="R205" s="705"/>
      <c r="S205" s="705">
        <v>0</v>
      </c>
      <c r="T205" s="705">
        <v>0</v>
      </c>
      <c r="U205" s="705">
        <v>0</v>
      </c>
      <c r="V205">
        <v>811</v>
      </c>
      <c r="W205" s="705">
        <f t="shared" si="20"/>
        <v>811</v>
      </c>
      <c r="X205" s="705">
        <f t="shared" si="21"/>
        <v>2190</v>
      </c>
      <c r="Y205" s="705"/>
      <c r="AA205" t="s">
        <v>124</v>
      </c>
      <c r="AB205" t="s">
        <v>669</v>
      </c>
      <c r="AC205" t="s">
        <v>669</v>
      </c>
      <c r="AD205">
        <v>36</v>
      </c>
      <c r="AE205" s="705">
        <v>2022</v>
      </c>
      <c r="AF205" s="705">
        <v>21982</v>
      </c>
      <c r="AG205" s="705">
        <v>858994</v>
      </c>
      <c r="AH205" s="705">
        <v>715828</v>
      </c>
      <c r="AI205">
        <v>54</v>
      </c>
      <c r="AJ205" s="705">
        <v>95872</v>
      </c>
      <c r="AK205" s="705">
        <v>58172</v>
      </c>
      <c r="AL205" s="705">
        <v>40971</v>
      </c>
      <c r="AM205" s="705">
        <v>15174</v>
      </c>
      <c r="AN205" s="705">
        <v>11232</v>
      </c>
      <c r="AO205" s="705">
        <v>4160</v>
      </c>
      <c r="AP205" s="705">
        <v>179530</v>
      </c>
      <c r="AQ205" s="705">
        <v>149608</v>
      </c>
      <c r="AR205" s="705">
        <v>48764</v>
      </c>
      <c r="AS205" s="705">
        <v>18061</v>
      </c>
      <c r="AT205" s="705">
        <v>961003</v>
      </c>
      <c r="AU205" s="705">
        <f t="shared" si="18"/>
        <v>961003</v>
      </c>
      <c r="AV205" s="705">
        <f t="shared" si="19"/>
        <v>1235363</v>
      </c>
    </row>
    <row r="206" spans="2:48" hidden="1">
      <c r="B206" t="s">
        <v>675</v>
      </c>
      <c r="C206" t="s">
        <v>122</v>
      </c>
      <c r="D206" t="s">
        <v>228</v>
      </c>
      <c r="E206" t="s">
        <v>228</v>
      </c>
      <c r="F206">
        <v>103</v>
      </c>
      <c r="G206" s="705">
        <v>5102</v>
      </c>
      <c r="H206" s="705">
        <v>42581</v>
      </c>
      <c r="I206" s="705">
        <v>1303809</v>
      </c>
      <c r="J206" s="706">
        <v>482892</v>
      </c>
      <c r="K206" s="705">
        <v>100</v>
      </c>
      <c r="L206" s="705">
        <v>162639</v>
      </c>
      <c r="M206" s="705">
        <v>76538</v>
      </c>
      <c r="N206" s="705">
        <v>98135</v>
      </c>
      <c r="O206" s="705">
        <v>36346</v>
      </c>
      <c r="P206" s="705">
        <v>1053</v>
      </c>
      <c r="Q206" s="705">
        <v>390</v>
      </c>
      <c r="R206" s="705">
        <v>533040</v>
      </c>
      <c r="S206" s="705">
        <v>197422</v>
      </c>
      <c r="T206" s="705">
        <v>5351</v>
      </c>
      <c r="U206" s="705">
        <v>1982</v>
      </c>
      <c r="V206" s="705">
        <v>795571</v>
      </c>
      <c r="W206" s="705">
        <f t="shared" si="20"/>
        <v>795570</v>
      </c>
      <c r="X206" s="705">
        <f t="shared" si="21"/>
        <v>2104027</v>
      </c>
      <c r="Y206" s="705"/>
      <c r="AA206" t="s">
        <v>124</v>
      </c>
      <c r="AB206" t="s">
        <v>667</v>
      </c>
      <c r="AC206" t="s">
        <v>667</v>
      </c>
      <c r="AD206">
        <v>5</v>
      </c>
      <c r="AE206">
        <v>249</v>
      </c>
      <c r="AF206" s="705">
        <v>4320</v>
      </c>
      <c r="AG206" s="705">
        <v>161238</v>
      </c>
      <c r="AH206" s="705">
        <v>146580</v>
      </c>
      <c r="AI206">
        <v>53</v>
      </c>
      <c r="AJ206" s="705">
        <v>12022</v>
      </c>
      <c r="AK206" s="705">
        <v>10929</v>
      </c>
      <c r="AL206" s="705">
        <v>6064</v>
      </c>
      <c r="AM206" s="705">
        <v>2246</v>
      </c>
      <c r="AN206" s="705">
        <v>1755</v>
      </c>
      <c r="AO206">
        <v>650</v>
      </c>
      <c r="AP206" s="705">
        <v>24493</v>
      </c>
      <c r="AQ206" s="705">
        <v>22266</v>
      </c>
      <c r="AR206" s="705">
        <v>9870</v>
      </c>
      <c r="AS206" s="705">
        <v>3655</v>
      </c>
      <c r="AT206" s="705">
        <v>186326</v>
      </c>
      <c r="AU206" s="705">
        <f t="shared" si="18"/>
        <v>186326</v>
      </c>
      <c r="AV206" s="705">
        <f t="shared" si="19"/>
        <v>215442</v>
      </c>
    </row>
    <row r="207" spans="2:48" hidden="1">
      <c r="B207" t="s">
        <v>675</v>
      </c>
      <c r="C207" t="s">
        <v>122</v>
      </c>
      <c r="D207" t="s">
        <v>583</v>
      </c>
      <c r="E207" t="s">
        <v>228</v>
      </c>
      <c r="F207">
        <v>2</v>
      </c>
      <c r="G207">
        <v>62</v>
      </c>
      <c r="H207" s="705">
        <v>838</v>
      </c>
      <c r="I207" s="705">
        <v>18051</v>
      </c>
      <c r="J207" s="706">
        <v>16410</v>
      </c>
      <c r="K207" s="705">
        <v>70</v>
      </c>
      <c r="L207" s="705">
        <v>0</v>
      </c>
      <c r="M207" s="705">
        <v>0</v>
      </c>
      <c r="N207" s="705">
        <v>1515</v>
      </c>
      <c r="O207">
        <v>561</v>
      </c>
      <c r="P207" s="705">
        <v>1242</v>
      </c>
      <c r="Q207" s="705">
        <v>460</v>
      </c>
      <c r="R207" s="705">
        <v>5257</v>
      </c>
      <c r="S207" s="705">
        <v>1947</v>
      </c>
      <c r="T207">
        <v>0</v>
      </c>
      <c r="U207" s="705">
        <v>0</v>
      </c>
      <c r="V207" s="705">
        <v>19378</v>
      </c>
      <c r="W207" s="705">
        <f t="shared" si="20"/>
        <v>19378</v>
      </c>
      <c r="X207" s="705">
        <f t="shared" si="21"/>
        <v>26065</v>
      </c>
      <c r="Y207" s="705"/>
      <c r="AA207" t="s">
        <v>124</v>
      </c>
      <c r="AB207" t="s">
        <v>671</v>
      </c>
      <c r="AC207" t="s">
        <v>671</v>
      </c>
      <c r="AD207">
        <v>3</v>
      </c>
      <c r="AE207">
        <v>270</v>
      </c>
      <c r="AF207" s="705">
        <v>2233</v>
      </c>
      <c r="AG207" s="705">
        <v>145378</v>
      </c>
      <c r="AH207" s="705">
        <v>132162</v>
      </c>
      <c r="AI207">
        <v>52</v>
      </c>
      <c r="AJ207" s="705">
        <v>26312</v>
      </c>
      <c r="AK207" s="705">
        <v>23920</v>
      </c>
      <c r="AL207" s="705">
        <v>5920</v>
      </c>
      <c r="AM207" s="705">
        <v>2192</v>
      </c>
      <c r="AN207" s="705">
        <v>1175</v>
      </c>
      <c r="AO207">
        <v>435</v>
      </c>
      <c r="AP207" s="705">
        <v>17732</v>
      </c>
      <c r="AQ207" s="705">
        <v>16120</v>
      </c>
      <c r="AR207" s="705">
        <v>4141</v>
      </c>
      <c r="AS207" s="705">
        <v>1534</v>
      </c>
      <c r="AT207" s="705">
        <v>176363</v>
      </c>
      <c r="AU207" s="705">
        <f t="shared" si="18"/>
        <v>176363</v>
      </c>
      <c r="AV207" s="705">
        <f t="shared" si="19"/>
        <v>200658</v>
      </c>
    </row>
    <row r="208" spans="2:48" hidden="1">
      <c r="B208" t="s">
        <v>675</v>
      </c>
      <c r="C208" t="s">
        <v>122</v>
      </c>
      <c r="D208" t="s">
        <v>583</v>
      </c>
      <c r="E208" t="s">
        <v>583</v>
      </c>
      <c r="F208" s="705">
        <v>3</v>
      </c>
      <c r="G208" s="705">
        <v>325</v>
      </c>
      <c r="H208" s="705">
        <v>1239</v>
      </c>
      <c r="I208" s="705">
        <v>90862</v>
      </c>
      <c r="J208" s="706">
        <v>82602</v>
      </c>
      <c r="K208" s="705">
        <v>85</v>
      </c>
      <c r="L208" s="705">
        <v>19700</v>
      </c>
      <c r="M208" s="705">
        <v>16894</v>
      </c>
      <c r="N208" s="705">
        <v>6763</v>
      </c>
      <c r="O208" s="705">
        <v>2505</v>
      </c>
      <c r="P208" s="705">
        <v>1863</v>
      </c>
      <c r="Q208" s="705">
        <v>690</v>
      </c>
      <c r="R208" s="705">
        <v>10461</v>
      </c>
      <c r="S208" s="705">
        <v>9510</v>
      </c>
      <c r="T208" s="705">
        <v>4436</v>
      </c>
      <c r="U208" s="705">
        <v>1643</v>
      </c>
      <c r="V208" s="705">
        <v>113844</v>
      </c>
      <c r="W208" s="705">
        <f t="shared" si="20"/>
        <v>113844</v>
      </c>
      <c r="X208" s="705">
        <f t="shared" si="21"/>
        <v>134085</v>
      </c>
      <c r="Y208" s="705"/>
      <c r="AA208" t="s">
        <v>124</v>
      </c>
      <c r="AB208" t="s">
        <v>665</v>
      </c>
      <c r="AC208" t="s">
        <v>228</v>
      </c>
      <c r="AD208">
        <v>51</v>
      </c>
      <c r="AE208" s="705">
        <v>2862</v>
      </c>
      <c r="AF208" s="705">
        <v>43329</v>
      </c>
      <c r="AG208" s="705">
        <v>1921636</v>
      </c>
      <c r="AH208" s="705">
        <v>1746942</v>
      </c>
      <c r="AI208">
        <v>40</v>
      </c>
      <c r="AJ208" s="705">
        <v>185132</v>
      </c>
      <c r="AK208" s="705">
        <v>98840</v>
      </c>
      <c r="AL208" s="705">
        <v>64114</v>
      </c>
      <c r="AM208" s="705">
        <v>23746</v>
      </c>
      <c r="AN208" s="705">
        <v>1877</v>
      </c>
      <c r="AO208">
        <v>695</v>
      </c>
      <c r="AP208" s="705">
        <v>285513</v>
      </c>
      <c r="AQ208" s="705">
        <v>105745</v>
      </c>
      <c r="AR208" s="705">
        <v>2113</v>
      </c>
      <c r="AS208">
        <v>783</v>
      </c>
      <c r="AT208" s="705">
        <v>1976751</v>
      </c>
      <c r="AU208" s="705">
        <f t="shared" ref="AU208:AU213" si="22">SUM(ABS(AH208), ABS(AK208),ABS(AM208),ABS(AO208),ABS(AQ208),ABS(AS208))</f>
        <v>1976751</v>
      </c>
      <c r="AV208" s="705">
        <f t="shared" ref="AV208:AV213" si="23">SUM(ABS(AG208),ABS(AJ208),ABS(AL208),ABS(AN208),ABS(AP208),ABS(AR208))</f>
        <v>2460385</v>
      </c>
    </row>
    <row r="209" spans="2:48" hidden="1">
      <c r="B209" t="s">
        <v>675</v>
      </c>
      <c r="C209" t="s">
        <v>122</v>
      </c>
      <c r="D209" t="s">
        <v>584</v>
      </c>
      <c r="E209" t="s">
        <v>228</v>
      </c>
      <c r="F209">
        <v>3</v>
      </c>
      <c r="G209">
        <v>120</v>
      </c>
      <c r="H209" s="705">
        <v>1236</v>
      </c>
      <c r="I209" s="705">
        <v>33998</v>
      </c>
      <c r="J209" s="706">
        <v>30907</v>
      </c>
      <c r="K209" s="705">
        <v>74</v>
      </c>
      <c r="L209" s="705">
        <v>1947</v>
      </c>
      <c r="M209" s="705">
        <v>721</v>
      </c>
      <c r="N209" s="705">
        <v>2561</v>
      </c>
      <c r="O209">
        <v>948</v>
      </c>
      <c r="P209" s="705">
        <v>1418</v>
      </c>
      <c r="Q209" s="705">
        <v>525</v>
      </c>
      <c r="R209" s="705">
        <v>9393</v>
      </c>
      <c r="S209" s="705">
        <v>3479</v>
      </c>
      <c r="T209">
        <v>0</v>
      </c>
      <c r="U209" s="705">
        <v>0</v>
      </c>
      <c r="V209" s="705">
        <v>36581</v>
      </c>
      <c r="W209" s="705">
        <f t="shared" si="20"/>
        <v>36580</v>
      </c>
      <c r="X209" s="705">
        <f t="shared" si="21"/>
        <v>49317</v>
      </c>
      <c r="Y209" s="705"/>
      <c r="AA209" t="s">
        <v>124</v>
      </c>
      <c r="AB209" t="s">
        <v>665</v>
      </c>
      <c r="AC209" t="s">
        <v>665</v>
      </c>
      <c r="AD209">
        <v>93</v>
      </c>
      <c r="AE209" s="705">
        <v>6531</v>
      </c>
      <c r="AF209" s="705">
        <v>63552</v>
      </c>
      <c r="AG209" s="705">
        <v>3283993</v>
      </c>
      <c r="AH209" s="705">
        <v>2985449</v>
      </c>
      <c r="AI209">
        <v>52</v>
      </c>
      <c r="AJ209" s="705">
        <v>367523</v>
      </c>
      <c r="AK209" s="705">
        <v>300917</v>
      </c>
      <c r="AL209" s="705">
        <v>139251</v>
      </c>
      <c r="AM209" s="705">
        <v>51574</v>
      </c>
      <c r="AN209" s="705">
        <v>30456</v>
      </c>
      <c r="AO209" s="705">
        <v>11280</v>
      </c>
      <c r="AP209" s="705">
        <v>476486</v>
      </c>
      <c r="AQ209" s="705">
        <v>433169</v>
      </c>
      <c r="AR209" s="705">
        <v>177352</v>
      </c>
      <c r="AS209" s="705">
        <v>65686</v>
      </c>
      <c r="AT209" s="705">
        <v>3848075</v>
      </c>
      <c r="AU209" s="705">
        <f t="shared" si="22"/>
        <v>3848075</v>
      </c>
      <c r="AV209" s="705">
        <f t="shared" si="23"/>
        <v>4475061</v>
      </c>
    </row>
    <row r="210" spans="2:48" hidden="1">
      <c r="B210" t="s">
        <v>675</v>
      </c>
      <c r="C210" t="s">
        <v>122</v>
      </c>
      <c r="D210" t="s">
        <v>584</v>
      </c>
      <c r="E210" t="s">
        <v>584</v>
      </c>
      <c r="F210">
        <v>33</v>
      </c>
      <c r="G210" s="705">
        <v>1839</v>
      </c>
      <c r="H210" s="705">
        <v>13511</v>
      </c>
      <c r="I210" s="705">
        <v>465378</v>
      </c>
      <c r="J210" s="706">
        <v>423071</v>
      </c>
      <c r="K210" s="705">
        <v>78</v>
      </c>
      <c r="L210" s="705">
        <v>103688</v>
      </c>
      <c r="M210" s="705">
        <v>91115</v>
      </c>
      <c r="N210" s="705">
        <v>41315</v>
      </c>
      <c r="O210" s="705">
        <v>15302</v>
      </c>
      <c r="P210" s="705">
        <v>15120</v>
      </c>
      <c r="Q210" s="705">
        <v>5600</v>
      </c>
      <c r="R210" s="705">
        <v>119503</v>
      </c>
      <c r="S210" s="705">
        <v>108639</v>
      </c>
      <c r="T210" s="705">
        <v>20334</v>
      </c>
      <c r="U210" s="705">
        <v>7531</v>
      </c>
      <c r="V210" s="705">
        <v>651258</v>
      </c>
      <c r="W210" s="705">
        <f t="shared" si="20"/>
        <v>651258</v>
      </c>
      <c r="X210" s="705">
        <f t="shared" si="21"/>
        <v>765338</v>
      </c>
      <c r="Y210" s="705"/>
      <c r="AA210" t="s">
        <v>124</v>
      </c>
      <c r="AB210" t="s">
        <v>673</v>
      </c>
      <c r="AC210" t="s">
        <v>228</v>
      </c>
      <c r="AD210">
        <v>1</v>
      </c>
      <c r="AE210">
        <v>46</v>
      </c>
      <c r="AF210">
        <v>698</v>
      </c>
      <c r="AG210" s="705">
        <v>22970</v>
      </c>
      <c r="AH210" s="705">
        <v>20882</v>
      </c>
      <c r="AI210">
        <v>60</v>
      </c>
      <c r="AJ210" s="705">
        <v>5105</v>
      </c>
      <c r="AK210" s="705">
        <v>4640</v>
      </c>
      <c r="AL210" s="705">
        <v>1133</v>
      </c>
      <c r="AM210">
        <v>419</v>
      </c>
      <c r="AN210">
        <v>0</v>
      </c>
      <c r="AO210">
        <v>0</v>
      </c>
      <c r="AP210" s="705">
        <v>3219</v>
      </c>
      <c r="AQ210" s="705">
        <v>1192</v>
      </c>
      <c r="AR210">
        <v>0</v>
      </c>
      <c r="AS210">
        <v>0</v>
      </c>
      <c r="AT210" s="705">
        <v>27134</v>
      </c>
      <c r="AU210" s="705">
        <f t="shared" si="22"/>
        <v>27133</v>
      </c>
      <c r="AV210" s="705">
        <f t="shared" si="23"/>
        <v>32427</v>
      </c>
    </row>
    <row r="211" spans="2:48" hidden="1">
      <c r="B211" t="s">
        <v>675</v>
      </c>
      <c r="C211" t="s">
        <v>124</v>
      </c>
      <c r="F211" s="705">
        <v>3</v>
      </c>
      <c r="G211" s="705">
        <v>121</v>
      </c>
      <c r="H211" s="705">
        <v>1747</v>
      </c>
      <c r="I211" s="705"/>
      <c r="J211" s="429">
        <v>0</v>
      </c>
      <c r="K211" s="705"/>
      <c r="L211" s="705"/>
      <c r="M211" s="705">
        <v>0</v>
      </c>
      <c r="N211" s="705">
        <v>1985</v>
      </c>
      <c r="O211" s="705">
        <v>735</v>
      </c>
      <c r="P211" s="705">
        <v>0</v>
      </c>
      <c r="Q211" s="705">
        <v>0</v>
      </c>
      <c r="R211" s="705"/>
      <c r="S211" s="705">
        <v>0</v>
      </c>
      <c r="T211" s="705">
        <v>0</v>
      </c>
      <c r="U211" s="705">
        <v>0</v>
      </c>
      <c r="V211">
        <v>735</v>
      </c>
      <c r="W211" s="705">
        <f t="shared" si="20"/>
        <v>735</v>
      </c>
      <c r="X211" s="705">
        <f t="shared" si="21"/>
        <v>1985</v>
      </c>
      <c r="Y211" s="705"/>
      <c r="AA211" t="s">
        <v>124</v>
      </c>
      <c r="AB211" t="s">
        <v>673</v>
      </c>
      <c r="AC211" t="s">
        <v>673</v>
      </c>
      <c r="AD211">
        <v>1</v>
      </c>
      <c r="AE211">
        <v>73</v>
      </c>
      <c r="AF211">
        <v>468</v>
      </c>
      <c r="AG211" s="705">
        <v>26345</v>
      </c>
      <c r="AH211" s="705">
        <v>23950</v>
      </c>
      <c r="AI211">
        <v>68</v>
      </c>
      <c r="AJ211">
        <v>0</v>
      </c>
      <c r="AK211">
        <v>0</v>
      </c>
      <c r="AL211" s="705">
        <v>1776</v>
      </c>
      <c r="AM211">
        <v>658</v>
      </c>
      <c r="AN211">
        <v>351</v>
      </c>
      <c r="AO211">
        <v>130</v>
      </c>
      <c r="AP211" s="705">
        <v>3380</v>
      </c>
      <c r="AQ211" s="705">
        <v>3073</v>
      </c>
      <c r="AR211" s="705">
        <v>2248</v>
      </c>
      <c r="AS211">
        <v>832</v>
      </c>
      <c r="AT211" s="705">
        <v>28643</v>
      </c>
      <c r="AU211" s="705">
        <f t="shared" si="22"/>
        <v>28643</v>
      </c>
      <c r="AV211" s="705">
        <f t="shared" si="23"/>
        <v>34100</v>
      </c>
    </row>
    <row r="212" spans="2:48" hidden="1">
      <c r="B212" t="s">
        <v>675</v>
      </c>
      <c r="C212" t="s">
        <v>124</v>
      </c>
      <c r="D212" t="s">
        <v>228</v>
      </c>
      <c r="E212" t="s">
        <v>228</v>
      </c>
      <c r="F212">
        <v>202</v>
      </c>
      <c r="G212" s="705">
        <v>9910</v>
      </c>
      <c r="H212" s="705">
        <v>122733</v>
      </c>
      <c r="I212" s="705">
        <v>4348268</v>
      </c>
      <c r="J212" s="706">
        <v>1610470</v>
      </c>
      <c r="K212" s="705">
        <v>100</v>
      </c>
      <c r="L212" s="705">
        <v>428739</v>
      </c>
      <c r="M212" s="705">
        <v>259139</v>
      </c>
      <c r="N212" s="705">
        <v>208831</v>
      </c>
      <c r="O212" s="705">
        <v>77345</v>
      </c>
      <c r="P212" s="705">
        <v>2042</v>
      </c>
      <c r="Q212" s="705">
        <v>756</v>
      </c>
      <c r="R212" s="705">
        <v>1015038</v>
      </c>
      <c r="S212" s="705">
        <v>375940</v>
      </c>
      <c r="T212" s="705">
        <v>0</v>
      </c>
      <c r="U212" s="705">
        <v>0</v>
      </c>
      <c r="V212" s="705">
        <v>2323649</v>
      </c>
      <c r="W212" s="705">
        <f t="shared" si="20"/>
        <v>2323650</v>
      </c>
      <c r="X212" s="705">
        <f t="shared" si="21"/>
        <v>6002918</v>
      </c>
      <c r="Y212" s="705"/>
      <c r="AA212" t="s">
        <v>124</v>
      </c>
      <c r="AB212" t="s">
        <v>585</v>
      </c>
      <c r="AC212" t="s">
        <v>585</v>
      </c>
      <c r="AD212">
        <v>1</v>
      </c>
      <c r="AE212">
        <v>117</v>
      </c>
      <c r="AF212">
        <v>598</v>
      </c>
      <c r="AG212" s="705">
        <v>46602</v>
      </c>
      <c r="AH212" s="705">
        <v>42365</v>
      </c>
      <c r="AI212">
        <v>65</v>
      </c>
      <c r="AJ212" s="705">
        <v>11219</v>
      </c>
      <c r="AK212" s="705">
        <v>10199</v>
      </c>
      <c r="AL212" s="705">
        <v>2853</v>
      </c>
      <c r="AM212" s="705">
        <v>1057</v>
      </c>
      <c r="AN212">
        <v>351</v>
      </c>
      <c r="AO212">
        <v>130</v>
      </c>
      <c r="AP212" s="705">
        <v>5650</v>
      </c>
      <c r="AQ212" s="705">
        <v>5136</v>
      </c>
      <c r="AR212" s="705">
        <v>3353</v>
      </c>
      <c r="AS212" s="705">
        <v>1242</v>
      </c>
      <c r="AT212" s="705">
        <v>60129</v>
      </c>
      <c r="AU212" s="705">
        <f t="shared" si="22"/>
        <v>60129</v>
      </c>
      <c r="AV212" s="705">
        <f t="shared" si="23"/>
        <v>70028</v>
      </c>
    </row>
    <row r="213" spans="2:48" hidden="1">
      <c r="B213" t="s">
        <v>675</v>
      </c>
      <c r="C213" t="s">
        <v>124</v>
      </c>
      <c r="D213" t="s">
        <v>583</v>
      </c>
      <c r="E213" t="s">
        <v>583</v>
      </c>
      <c r="F213" s="705">
        <v>1</v>
      </c>
      <c r="G213" s="705">
        <v>117</v>
      </c>
      <c r="H213" s="705">
        <v>522</v>
      </c>
      <c r="I213" s="705">
        <v>48347</v>
      </c>
      <c r="J213" s="706">
        <v>43952</v>
      </c>
      <c r="K213" s="705">
        <v>70</v>
      </c>
      <c r="L213" s="705">
        <v>11908</v>
      </c>
      <c r="M213" s="705">
        <v>10825</v>
      </c>
      <c r="N213" s="705">
        <v>2528</v>
      </c>
      <c r="O213">
        <v>936</v>
      </c>
      <c r="P213">
        <v>972</v>
      </c>
      <c r="Q213" s="705">
        <v>360</v>
      </c>
      <c r="R213" s="705">
        <v>5279</v>
      </c>
      <c r="S213" s="705">
        <v>4799</v>
      </c>
      <c r="T213" s="705">
        <v>3157</v>
      </c>
      <c r="U213" s="705">
        <v>1169</v>
      </c>
      <c r="V213" s="705">
        <v>62042</v>
      </c>
      <c r="W213" s="705">
        <f t="shared" si="20"/>
        <v>62041</v>
      </c>
      <c r="X213" s="705">
        <f t="shared" si="21"/>
        <v>72191</v>
      </c>
      <c r="Y213" s="705"/>
      <c r="AA213" t="s">
        <v>124</v>
      </c>
      <c r="AB213" s="239" t="s">
        <v>668</v>
      </c>
      <c r="AC213" t="s">
        <v>228</v>
      </c>
      <c r="AD213">
        <v>1</v>
      </c>
      <c r="AE213">
        <v>38</v>
      </c>
      <c r="AF213">
        <v>818</v>
      </c>
      <c r="AG213" s="705">
        <v>25351</v>
      </c>
      <c r="AH213" s="705">
        <v>23046</v>
      </c>
      <c r="AI213">
        <v>65</v>
      </c>
      <c r="AJ213">
        <v>0</v>
      </c>
      <c r="AK213">
        <v>0</v>
      </c>
      <c r="AL213">
        <v>926</v>
      </c>
      <c r="AM213">
        <v>343</v>
      </c>
      <c r="AN213">
        <v>351</v>
      </c>
      <c r="AO213">
        <v>130</v>
      </c>
      <c r="AP213" s="705">
        <v>4456</v>
      </c>
      <c r="AQ213" s="705">
        <v>1650</v>
      </c>
      <c r="AR213">
        <v>0</v>
      </c>
      <c r="AS213">
        <v>0</v>
      </c>
      <c r="AT213" s="705">
        <v>25170</v>
      </c>
      <c r="AU213" s="705">
        <f t="shared" si="22"/>
        <v>25169</v>
      </c>
      <c r="AV213" s="705">
        <f t="shared" si="23"/>
        <v>31084</v>
      </c>
    </row>
    <row r="214" spans="2:48">
      <c r="B214" t="s">
        <v>675</v>
      </c>
      <c r="C214" t="s">
        <v>124</v>
      </c>
      <c r="D214" t="s">
        <v>584</v>
      </c>
      <c r="E214" t="s">
        <v>228</v>
      </c>
      <c r="F214" s="705">
        <v>2</v>
      </c>
      <c r="G214" s="705">
        <v>86</v>
      </c>
      <c r="H214" s="705">
        <v>1038</v>
      </c>
      <c r="I214" s="705">
        <v>29799</v>
      </c>
      <c r="J214" s="706">
        <v>27090</v>
      </c>
      <c r="K214" s="705">
        <v>67</v>
      </c>
      <c r="L214" s="705">
        <v>2845</v>
      </c>
      <c r="M214" s="705">
        <v>1054</v>
      </c>
      <c r="N214" s="705">
        <v>1941</v>
      </c>
      <c r="O214" s="705">
        <v>719</v>
      </c>
      <c r="P214" s="705">
        <v>824</v>
      </c>
      <c r="Q214" s="705">
        <v>305</v>
      </c>
      <c r="R214" s="705">
        <v>9467</v>
      </c>
      <c r="S214" s="705">
        <v>3506</v>
      </c>
      <c r="T214" s="705">
        <v>0</v>
      </c>
      <c r="U214" s="705">
        <v>0</v>
      </c>
      <c r="V214" s="705">
        <v>32674</v>
      </c>
      <c r="W214" s="705">
        <f t="shared" si="20"/>
        <v>32674</v>
      </c>
      <c r="X214" s="705">
        <f t="shared" si="21"/>
        <v>44876</v>
      </c>
      <c r="Y214" s="705"/>
    </row>
    <row r="215" spans="2:48">
      <c r="B215" t="s">
        <v>675</v>
      </c>
      <c r="C215" t="s">
        <v>124</v>
      </c>
      <c r="D215" t="s">
        <v>584</v>
      </c>
      <c r="E215" t="s">
        <v>584</v>
      </c>
      <c r="F215">
        <v>12</v>
      </c>
      <c r="G215">
        <v>616</v>
      </c>
      <c r="H215" s="705">
        <v>6430</v>
      </c>
      <c r="I215" s="705">
        <v>234790</v>
      </c>
      <c r="J215" s="706">
        <v>213446</v>
      </c>
      <c r="K215" s="705">
        <v>70</v>
      </c>
      <c r="L215" s="705">
        <v>19600</v>
      </c>
      <c r="M215" s="705">
        <v>14254</v>
      </c>
      <c r="N215" s="705">
        <v>13532</v>
      </c>
      <c r="O215" s="705">
        <v>5012</v>
      </c>
      <c r="P215" s="705">
        <v>5549</v>
      </c>
      <c r="Q215" s="705">
        <v>2055</v>
      </c>
      <c r="R215" s="705">
        <v>46075</v>
      </c>
      <c r="S215" s="705">
        <v>41886</v>
      </c>
      <c r="T215" s="705">
        <v>7755</v>
      </c>
      <c r="U215" s="705">
        <v>2872</v>
      </c>
      <c r="V215" s="705">
        <v>279525</v>
      </c>
      <c r="W215" s="705">
        <f t="shared" si="20"/>
        <v>279525</v>
      </c>
      <c r="X215" s="705">
        <f t="shared" si="21"/>
        <v>327301</v>
      </c>
      <c r="Y215" s="705"/>
    </row>
    <row r="216" spans="2:48">
      <c r="B216" t="s">
        <v>675</v>
      </c>
      <c r="C216" t="s">
        <v>124</v>
      </c>
      <c r="D216" t="s">
        <v>669</v>
      </c>
      <c r="E216" t="s">
        <v>228</v>
      </c>
      <c r="F216" s="705">
        <v>2</v>
      </c>
      <c r="G216" s="705">
        <v>94</v>
      </c>
      <c r="H216" s="705">
        <v>1393</v>
      </c>
      <c r="I216" s="705">
        <v>41679</v>
      </c>
      <c r="J216" s="706">
        <v>34732</v>
      </c>
      <c r="K216" s="705">
        <v>43</v>
      </c>
      <c r="L216" s="705">
        <v>4558</v>
      </c>
      <c r="M216" s="705">
        <v>1688</v>
      </c>
      <c r="N216" s="705">
        <v>1516</v>
      </c>
      <c r="O216" s="705">
        <v>561</v>
      </c>
      <c r="P216" s="705">
        <v>351</v>
      </c>
      <c r="Q216" s="705">
        <v>130</v>
      </c>
      <c r="R216" s="705">
        <v>12682</v>
      </c>
      <c r="S216" s="705">
        <v>4697</v>
      </c>
      <c r="T216" s="705">
        <v>0</v>
      </c>
      <c r="U216" s="705">
        <v>0</v>
      </c>
      <c r="V216" s="705">
        <v>41809</v>
      </c>
      <c r="W216" s="705">
        <f t="shared" si="20"/>
        <v>41808</v>
      </c>
      <c r="X216" s="705">
        <f t="shared" si="21"/>
        <v>60786</v>
      </c>
      <c r="Y216" s="705"/>
    </row>
    <row r="217" spans="2:48">
      <c r="B217" t="s">
        <v>675</v>
      </c>
      <c r="C217" t="s">
        <v>124</v>
      </c>
      <c r="D217" t="s">
        <v>669</v>
      </c>
      <c r="E217" t="s">
        <v>669</v>
      </c>
      <c r="F217">
        <v>1</v>
      </c>
      <c r="G217">
        <v>72</v>
      </c>
      <c r="H217" s="705">
        <v>710</v>
      </c>
      <c r="I217" s="705">
        <v>37537</v>
      </c>
      <c r="J217" s="706">
        <v>31281</v>
      </c>
      <c r="K217" s="705">
        <v>30</v>
      </c>
      <c r="L217" s="705">
        <v>0</v>
      </c>
      <c r="M217" s="705">
        <v>0</v>
      </c>
      <c r="N217" s="705">
        <v>873</v>
      </c>
      <c r="O217" s="705">
        <v>323</v>
      </c>
      <c r="P217">
        <v>351</v>
      </c>
      <c r="Q217" s="705">
        <v>130</v>
      </c>
      <c r="R217" s="705">
        <v>12095</v>
      </c>
      <c r="S217" s="705">
        <v>10079</v>
      </c>
      <c r="T217">
        <v>0</v>
      </c>
      <c r="U217" s="705">
        <v>0</v>
      </c>
      <c r="V217" s="705">
        <v>41813</v>
      </c>
      <c r="W217" s="705">
        <f t="shared" si="20"/>
        <v>41813</v>
      </c>
      <c r="X217" s="705">
        <f t="shared" si="21"/>
        <v>50856</v>
      </c>
      <c r="Y217" s="705"/>
    </row>
    <row r="218" spans="2:48">
      <c r="B218" t="s">
        <v>675</v>
      </c>
      <c r="C218" t="s">
        <v>124</v>
      </c>
      <c r="D218" t="s">
        <v>665</v>
      </c>
      <c r="E218" t="s">
        <v>665</v>
      </c>
      <c r="F218" s="705">
        <v>2</v>
      </c>
      <c r="G218" s="705">
        <v>82</v>
      </c>
      <c r="H218" s="705">
        <v>1110</v>
      </c>
      <c r="I218" s="705">
        <v>22036</v>
      </c>
      <c r="J218" s="706">
        <v>20033</v>
      </c>
      <c r="K218" s="705">
        <v>53</v>
      </c>
      <c r="L218" s="705">
        <v>6342</v>
      </c>
      <c r="M218" s="705">
        <v>2349</v>
      </c>
      <c r="N218" s="705">
        <v>1532</v>
      </c>
      <c r="O218">
        <v>568</v>
      </c>
      <c r="P218">
        <v>351</v>
      </c>
      <c r="Q218" s="705">
        <v>130</v>
      </c>
      <c r="R218" s="705">
        <v>12874</v>
      </c>
      <c r="S218" s="705">
        <v>11704</v>
      </c>
      <c r="T218" s="705">
        <v>1661</v>
      </c>
      <c r="U218" s="705">
        <v>615</v>
      </c>
      <c r="V218" s="705">
        <v>35399</v>
      </c>
      <c r="W218" s="705">
        <f t="shared" si="20"/>
        <v>35399</v>
      </c>
      <c r="X218" s="705">
        <f t="shared" si="21"/>
        <v>44796</v>
      </c>
      <c r="Y218" s="705"/>
    </row>
    <row r="219" spans="2:48">
      <c r="B219" t="s">
        <v>676</v>
      </c>
      <c r="C219" t="s">
        <v>108</v>
      </c>
      <c r="D219" t="s">
        <v>228</v>
      </c>
      <c r="E219" t="s">
        <v>228</v>
      </c>
      <c r="F219">
        <v>28</v>
      </c>
      <c r="G219" s="705">
        <v>2471</v>
      </c>
      <c r="H219" s="705">
        <v>1619</v>
      </c>
      <c r="I219" s="705">
        <v>-13557</v>
      </c>
      <c r="J219" s="706">
        <v>-5021</v>
      </c>
      <c r="K219" s="705">
        <v>466</v>
      </c>
      <c r="L219" s="705">
        <v>673</v>
      </c>
      <c r="M219" s="705">
        <v>528</v>
      </c>
      <c r="N219" s="705">
        <v>31852</v>
      </c>
      <c r="O219" s="705">
        <v>11797</v>
      </c>
      <c r="P219" s="705">
        <v>19874</v>
      </c>
      <c r="Q219" s="705">
        <v>7361</v>
      </c>
      <c r="R219" s="705">
        <v>99898</v>
      </c>
      <c r="S219" s="705">
        <v>36999</v>
      </c>
      <c r="T219">
        <v>0</v>
      </c>
      <c r="U219" s="705">
        <v>0</v>
      </c>
      <c r="V219" s="705">
        <v>51664</v>
      </c>
      <c r="W219" s="705">
        <f t="shared" si="20"/>
        <v>61706</v>
      </c>
      <c r="X219" s="705">
        <f t="shared" si="21"/>
        <v>165854</v>
      </c>
      <c r="Y219" s="705"/>
    </row>
    <row r="220" spans="2:48">
      <c r="B220" t="s">
        <v>676</v>
      </c>
      <c r="C220" t="s">
        <v>108</v>
      </c>
      <c r="D220" t="s">
        <v>583</v>
      </c>
      <c r="E220" t="s">
        <v>583</v>
      </c>
      <c r="F220" s="705">
        <v>1</v>
      </c>
      <c r="G220" s="705">
        <v>263</v>
      </c>
      <c r="H220" s="705">
        <v>70</v>
      </c>
      <c r="I220" s="705">
        <v>5667</v>
      </c>
      <c r="J220" s="706">
        <v>5151</v>
      </c>
      <c r="K220" s="705">
        <v>95</v>
      </c>
      <c r="L220" s="705">
        <v>777</v>
      </c>
      <c r="M220" s="705">
        <v>707</v>
      </c>
      <c r="N220" s="705">
        <v>6404</v>
      </c>
      <c r="O220" s="705">
        <v>2372</v>
      </c>
      <c r="P220" s="705">
        <v>621</v>
      </c>
      <c r="Q220" s="705">
        <v>230</v>
      </c>
      <c r="R220" s="705">
        <v>4996</v>
      </c>
      <c r="S220" s="705">
        <v>4542</v>
      </c>
      <c r="T220" s="705">
        <v>0</v>
      </c>
      <c r="U220" s="705">
        <v>0</v>
      </c>
      <c r="V220" s="705">
        <v>13001</v>
      </c>
      <c r="W220" s="705">
        <f t="shared" si="20"/>
        <v>13002</v>
      </c>
      <c r="X220" s="705">
        <f t="shared" si="21"/>
        <v>18465</v>
      </c>
      <c r="Y220" s="705"/>
    </row>
    <row r="221" spans="2:48">
      <c r="B221" t="s">
        <v>676</v>
      </c>
      <c r="C221" t="s">
        <v>108</v>
      </c>
      <c r="D221" t="s">
        <v>584</v>
      </c>
      <c r="E221" t="s">
        <v>584</v>
      </c>
      <c r="F221">
        <v>37</v>
      </c>
      <c r="G221" s="705">
        <v>2656</v>
      </c>
      <c r="H221" s="705">
        <v>2011</v>
      </c>
      <c r="I221" s="705">
        <v>15551</v>
      </c>
      <c r="J221" s="706">
        <v>14138</v>
      </c>
      <c r="K221" s="705">
        <v>90</v>
      </c>
      <c r="L221" s="705">
        <v>0</v>
      </c>
      <c r="M221" s="705">
        <v>0</v>
      </c>
      <c r="N221" s="705">
        <v>32361</v>
      </c>
      <c r="O221" s="705">
        <v>11986</v>
      </c>
      <c r="P221" s="705">
        <v>17483</v>
      </c>
      <c r="Q221" s="705">
        <v>6475</v>
      </c>
      <c r="R221" s="705">
        <v>79914</v>
      </c>
      <c r="S221" s="705">
        <v>72649</v>
      </c>
      <c r="T221">
        <v>0</v>
      </c>
      <c r="U221" s="705">
        <v>0</v>
      </c>
      <c r="V221" s="705">
        <v>105247</v>
      </c>
      <c r="W221" s="705">
        <f t="shared" si="20"/>
        <v>105248</v>
      </c>
      <c r="X221" s="705">
        <f t="shared" si="21"/>
        <v>145309</v>
      </c>
      <c r="Y221" s="705"/>
    </row>
    <row r="222" spans="2:48">
      <c r="B222" t="s">
        <v>676</v>
      </c>
      <c r="C222" t="s">
        <v>110</v>
      </c>
      <c r="F222" s="705">
        <v>18</v>
      </c>
      <c r="G222" s="705">
        <v>1088</v>
      </c>
      <c r="H222" s="705">
        <v>1603</v>
      </c>
      <c r="I222" s="705"/>
      <c r="J222" s="706">
        <v>0</v>
      </c>
      <c r="K222" s="705"/>
      <c r="L222" s="705"/>
      <c r="M222" s="705">
        <v>0</v>
      </c>
      <c r="N222" s="705">
        <v>15493</v>
      </c>
      <c r="O222" s="705">
        <v>5738</v>
      </c>
      <c r="P222" s="705">
        <v>6561</v>
      </c>
      <c r="Q222" s="705">
        <v>2430</v>
      </c>
      <c r="R222" s="705"/>
      <c r="S222">
        <v>0</v>
      </c>
      <c r="T222" s="705">
        <v>25015</v>
      </c>
      <c r="U222" s="705">
        <v>9265</v>
      </c>
      <c r="V222" s="705">
        <v>17433</v>
      </c>
      <c r="W222" s="705">
        <f t="shared" si="20"/>
        <v>17433</v>
      </c>
      <c r="X222" s="705">
        <f t="shared" si="21"/>
        <v>47069</v>
      </c>
      <c r="Y222" s="705"/>
    </row>
    <row r="223" spans="2:48">
      <c r="B223" t="s">
        <v>676</v>
      </c>
      <c r="C223" t="s">
        <v>110</v>
      </c>
      <c r="D223" t="s">
        <v>228</v>
      </c>
      <c r="E223" t="s">
        <v>228</v>
      </c>
      <c r="F223">
        <v>4</v>
      </c>
      <c r="G223">
        <v>777</v>
      </c>
      <c r="H223" s="705">
        <v>352</v>
      </c>
      <c r="I223" s="705">
        <v>25369</v>
      </c>
      <c r="J223" s="706">
        <v>9396</v>
      </c>
      <c r="K223" s="705">
        <v>400</v>
      </c>
      <c r="L223" s="705">
        <v>2933</v>
      </c>
      <c r="M223" s="705">
        <v>2666</v>
      </c>
      <c r="N223" s="705">
        <v>13750</v>
      </c>
      <c r="O223" s="705">
        <v>5093</v>
      </c>
      <c r="P223" s="705">
        <v>3639</v>
      </c>
      <c r="Q223" s="705">
        <v>1348</v>
      </c>
      <c r="R223" s="705">
        <v>20756</v>
      </c>
      <c r="S223" s="705">
        <v>7687</v>
      </c>
      <c r="T223">
        <v>0</v>
      </c>
      <c r="U223" s="705">
        <v>0</v>
      </c>
      <c r="V223" s="705">
        <v>26189</v>
      </c>
      <c r="W223" s="705">
        <f t="shared" si="20"/>
        <v>26190</v>
      </c>
      <c r="X223" s="705">
        <f t="shared" si="21"/>
        <v>66447</v>
      </c>
      <c r="Y223" s="705"/>
    </row>
    <row r="224" spans="2:48">
      <c r="B224" t="s">
        <v>676</v>
      </c>
      <c r="C224" t="s">
        <v>110</v>
      </c>
      <c r="D224" t="s">
        <v>583</v>
      </c>
      <c r="E224" t="s">
        <v>583</v>
      </c>
      <c r="F224" s="705">
        <v>2</v>
      </c>
      <c r="G224" s="705">
        <v>464</v>
      </c>
      <c r="H224" s="705">
        <v>184</v>
      </c>
      <c r="I224" s="705">
        <v>17983</v>
      </c>
      <c r="J224" s="706">
        <v>16348</v>
      </c>
      <c r="K224" s="705">
        <v>94</v>
      </c>
      <c r="L224" s="705">
        <v>2117</v>
      </c>
      <c r="M224" s="705">
        <v>1764</v>
      </c>
      <c r="N224" s="705">
        <v>6922</v>
      </c>
      <c r="O224" s="705">
        <v>2564</v>
      </c>
      <c r="P224" s="705">
        <v>4065</v>
      </c>
      <c r="Q224" s="705">
        <v>1506</v>
      </c>
      <c r="R224" s="705">
        <v>11277</v>
      </c>
      <c r="S224" s="705">
        <v>10251</v>
      </c>
      <c r="T224" s="705">
        <v>0</v>
      </c>
      <c r="U224" s="705">
        <v>0</v>
      </c>
      <c r="V224" s="705">
        <v>32433</v>
      </c>
      <c r="W224" s="705">
        <f t="shared" si="20"/>
        <v>32433</v>
      </c>
      <c r="X224" s="705">
        <f t="shared" si="21"/>
        <v>42364</v>
      </c>
      <c r="Y224" s="705"/>
    </row>
    <row r="225" spans="2:25">
      <c r="B225" t="s">
        <v>676</v>
      </c>
      <c r="C225" t="s">
        <v>110</v>
      </c>
      <c r="D225" t="s">
        <v>584</v>
      </c>
      <c r="E225" t="s">
        <v>584</v>
      </c>
      <c r="F225" s="705">
        <v>183</v>
      </c>
      <c r="G225" s="705">
        <v>14652</v>
      </c>
      <c r="H225" s="705">
        <v>17013</v>
      </c>
      <c r="I225" s="705">
        <v>421920</v>
      </c>
      <c r="J225" s="706">
        <v>383564</v>
      </c>
      <c r="K225" s="705">
        <v>90</v>
      </c>
      <c r="L225" s="705">
        <v>2476</v>
      </c>
      <c r="M225" s="705">
        <v>2401</v>
      </c>
      <c r="N225" s="705">
        <v>292499</v>
      </c>
      <c r="O225" s="705">
        <v>108333</v>
      </c>
      <c r="P225" s="705">
        <v>91158</v>
      </c>
      <c r="Q225" s="705">
        <v>33762</v>
      </c>
      <c r="R225" s="705">
        <v>552093</v>
      </c>
      <c r="S225" s="705">
        <v>501903</v>
      </c>
      <c r="T225" s="705">
        <v>2102</v>
      </c>
      <c r="U225" s="705">
        <v>778</v>
      </c>
      <c r="V225" s="705">
        <v>1030741</v>
      </c>
      <c r="W225" s="705">
        <f t="shared" si="20"/>
        <v>1030741</v>
      </c>
      <c r="X225" s="705">
        <f t="shared" si="21"/>
        <v>1362248</v>
      </c>
      <c r="Y225" s="705"/>
    </row>
    <row r="226" spans="2:25">
      <c r="B226" t="s">
        <v>676</v>
      </c>
      <c r="C226" t="s">
        <v>112</v>
      </c>
      <c r="F226" s="705">
        <v>39</v>
      </c>
      <c r="G226" s="705">
        <v>2896</v>
      </c>
      <c r="H226" s="705">
        <v>4301</v>
      </c>
      <c r="I226" s="705"/>
      <c r="J226" s="706">
        <v>0</v>
      </c>
      <c r="K226" s="705"/>
      <c r="L226" s="705"/>
      <c r="M226" s="705">
        <v>0</v>
      </c>
      <c r="N226" s="705">
        <v>55839</v>
      </c>
      <c r="O226" s="705">
        <v>20681</v>
      </c>
      <c r="P226" s="705">
        <v>14656</v>
      </c>
      <c r="Q226" s="705">
        <v>5428</v>
      </c>
      <c r="R226" s="705"/>
      <c r="S226" s="705">
        <v>0</v>
      </c>
      <c r="T226" s="705">
        <v>35417</v>
      </c>
      <c r="U226" s="705">
        <v>13117</v>
      </c>
      <c r="V226" s="705">
        <v>39227</v>
      </c>
      <c r="W226" s="705">
        <f t="shared" si="20"/>
        <v>39226</v>
      </c>
      <c r="X226" s="705">
        <f t="shared" si="21"/>
        <v>105912</v>
      </c>
      <c r="Y226" s="705"/>
    </row>
    <row r="227" spans="2:25">
      <c r="B227" t="s">
        <v>676</v>
      </c>
      <c r="C227" t="s">
        <v>112</v>
      </c>
      <c r="D227" t="s">
        <v>664</v>
      </c>
      <c r="E227" t="s">
        <v>664</v>
      </c>
      <c r="F227" s="705">
        <v>2</v>
      </c>
      <c r="G227" s="705">
        <v>209</v>
      </c>
      <c r="H227" s="705">
        <v>242</v>
      </c>
      <c r="I227" s="705">
        <v>12392</v>
      </c>
      <c r="J227" s="706">
        <v>11266</v>
      </c>
      <c r="K227" s="705">
        <v>81</v>
      </c>
      <c r="L227" s="705">
        <v>0</v>
      </c>
      <c r="M227" s="705">
        <v>0</v>
      </c>
      <c r="N227" s="705">
        <v>4122</v>
      </c>
      <c r="O227" s="705">
        <v>1527</v>
      </c>
      <c r="P227" s="705">
        <v>945</v>
      </c>
      <c r="Q227" s="705">
        <v>350</v>
      </c>
      <c r="R227" s="705">
        <v>7753</v>
      </c>
      <c r="S227" s="705">
        <v>7048</v>
      </c>
      <c r="T227" s="705">
        <v>0</v>
      </c>
      <c r="U227" s="705">
        <v>0</v>
      </c>
      <c r="V227" s="705">
        <v>20191</v>
      </c>
      <c r="W227" s="705">
        <f t="shared" si="20"/>
        <v>20191</v>
      </c>
      <c r="X227" s="705">
        <f t="shared" si="21"/>
        <v>25212</v>
      </c>
      <c r="Y227" s="705"/>
    </row>
    <row r="228" spans="2:25">
      <c r="B228" t="s">
        <v>676</v>
      </c>
      <c r="C228" t="s">
        <v>112</v>
      </c>
      <c r="D228" t="s">
        <v>582</v>
      </c>
      <c r="E228" t="s">
        <v>582</v>
      </c>
      <c r="F228" s="705">
        <v>3</v>
      </c>
      <c r="G228" s="705">
        <v>387</v>
      </c>
      <c r="H228" s="705">
        <v>352</v>
      </c>
      <c r="I228" s="705">
        <v>18632</v>
      </c>
      <c r="J228" s="706">
        <v>16938</v>
      </c>
      <c r="K228" s="705">
        <v>85</v>
      </c>
      <c r="L228">
        <v>979</v>
      </c>
      <c r="M228" s="705">
        <v>362</v>
      </c>
      <c r="N228" s="705">
        <v>8328</v>
      </c>
      <c r="O228" s="705">
        <v>3084</v>
      </c>
      <c r="P228" s="705">
        <v>1418</v>
      </c>
      <c r="Q228">
        <v>525</v>
      </c>
      <c r="R228" s="705">
        <v>16291</v>
      </c>
      <c r="S228" s="705">
        <v>14810</v>
      </c>
      <c r="T228" s="705">
        <v>0</v>
      </c>
      <c r="U228" s="705">
        <v>0</v>
      </c>
      <c r="V228" s="705">
        <v>35720</v>
      </c>
      <c r="W228" s="705">
        <f t="shared" si="20"/>
        <v>35719</v>
      </c>
      <c r="X228" s="705">
        <f t="shared" si="21"/>
        <v>45648</v>
      </c>
      <c r="Y228" s="705"/>
    </row>
    <row r="229" spans="2:25">
      <c r="B229" t="s">
        <v>676</v>
      </c>
      <c r="C229" t="s">
        <v>112</v>
      </c>
      <c r="D229" t="s">
        <v>228</v>
      </c>
      <c r="E229" t="s">
        <v>228</v>
      </c>
      <c r="F229" s="705">
        <v>16</v>
      </c>
      <c r="G229" s="705">
        <v>1691</v>
      </c>
      <c r="H229" s="705">
        <v>1888</v>
      </c>
      <c r="I229" s="705">
        <v>69417</v>
      </c>
      <c r="J229" s="706">
        <v>25710</v>
      </c>
      <c r="K229" s="705">
        <v>167</v>
      </c>
      <c r="L229" s="705">
        <v>1603</v>
      </c>
      <c r="M229" s="705">
        <v>1457</v>
      </c>
      <c r="N229" s="705">
        <v>22296</v>
      </c>
      <c r="O229" s="705">
        <v>8258</v>
      </c>
      <c r="P229" s="705">
        <v>1292</v>
      </c>
      <c r="Q229" s="705">
        <v>479</v>
      </c>
      <c r="R229" s="705">
        <v>108161</v>
      </c>
      <c r="S229" s="705">
        <v>40059</v>
      </c>
      <c r="T229" s="705">
        <v>0</v>
      </c>
      <c r="U229" s="705">
        <v>0</v>
      </c>
      <c r="V229" s="705">
        <v>75963</v>
      </c>
      <c r="W229" s="705">
        <f t="shared" si="20"/>
        <v>75963</v>
      </c>
      <c r="X229" s="705">
        <f t="shared" si="21"/>
        <v>202769</v>
      </c>
      <c r="Y229" s="705"/>
    </row>
    <row r="230" spans="2:25">
      <c r="B230" t="s">
        <v>676</v>
      </c>
      <c r="C230" t="s">
        <v>112</v>
      </c>
      <c r="D230" t="s">
        <v>583</v>
      </c>
      <c r="E230" t="s">
        <v>583</v>
      </c>
      <c r="F230" s="705">
        <v>9</v>
      </c>
      <c r="G230" s="705">
        <v>1743</v>
      </c>
      <c r="H230" s="705">
        <v>1038</v>
      </c>
      <c r="I230" s="705">
        <v>112722</v>
      </c>
      <c r="J230" s="706">
        <v>102475</v>
      </c>
      <c r="K230" s="705">
        <v>94</v>
      </c>
      <c r="L230" s="705">
        <v>12241</v>
      </c>
      <c r="M230" s="705">
        <v>11128</v>
      </c>
      <c r="N230" s="705">
        <v>27987</v>
      </c>
      <c r="O230" s="705">
        <v>10366</v>
      </c>
      <c r="P230" s="705">
        <v>6993</v>
      </c>
      <c r="Q230" s="705">
        <v>2590</v>
      </c>
      <c r="R230" s="705">
        <v>40199</v>
      </c>
      <c r="S230" s="705">
        <v>36544</v>
      </c>
      <c r="T230" s="705">
        <v>0</v>
      </c>
      <c r="U230" s="705">
        <v>0</v>
      </c>
      <c r="V230" s="705">
        <v>163102</v>
      </c>
      <c r="W230" s="705">
        <f t="shared" si="20"/>
        <v>163103</v>
      </c>
      <c r="X230" s="705">
        <f t="shared" si="21"/>
        <v>200142</v>
      </c>
      <c r="Y230" s="705"/>
    </row>
    <row r="231" spans="2:25">
      <c r="B231" t="s">
        <v>676</v>
      </c>
      <c r="C231" t="s">
        <v>112</v>
      </c>
      <c r="D231" t="s">
        <v>584</v>
      </c>
      <c r="E231" t="s">
        <v>584</v>
      </c>
      <c r="F231">
        <v>544</v>
      </c>
      <c r="G231" s="705">
        <v>46546</v>
      </c>
      <c r="H231" s="705">
        <v>62479</v>
      </c>
      <c r="I231" s="705">
        <v>2227464</v>
      </c>
      <c r="J231" s="706">
        <v>2024967</v>
      </c>
      <c r="K231" s="705">
        <v>86</v>
      </c>
      <c r="L231" s="705">
        <v>71577</v>
      </c>
      <c r="M231" s="705">
        <v>51869</v>
      </c>
      <c r="N231" s="705">
        <v>925389</v>
      </c>
      <c r="O231" s="705">
        <v>342737</v>
      </c>
      <c r="P231" s="705">
        <v>273300</v>
      </c>
      <c r="Q231" s="705">
        <v>101222</v>
      </c>
      <c r="R231" s="705">
        <v>1822402</v>
      </c>
      <c r="S231" s="705">
        <v>1656729</v>
      </c>
      <c r="T231" s="705">
        <v>12262</v>
      </c>
      <c r="U231" s="705">
        <v>4541</v>
      </c>
      <c r="V231" s="705">
        <v>4182065</v>
      </c>
      <c r="W231" s="705">
        <f t="shared" si="20"/>
        <v>4182065</v>
      </c>
      <c r="X231" s="705">
        <f t="shared" si="21"/>
        <v>5332394</v>
      </c>
      <c r="Y231" s="705"/>
    </row>
    <row r="232" spans="2:25">
      <c r="B232" t="s">
        <v>676</v>
      </c>
      <c r="C232" t="s">
        <v>114</v>
      </c>
      <c r="F232" s="705">
        <v>28</v>
      </c>
      <c r="G232" s="705">
        <v>2048</v>
      </c>
      <c r="H232" s="705">
        <v>3835</v>
      </c>
      <c r="I232" s="705"/>
      <c r="J232" s="429">
        <v>0</v>
      </c>
      <c r="K232" s="705"/>
      <c r="L232" s="705"/>
      <c r="M232" s="705">
        <v>0</v>
      </c>
      <c r="N232" s="705">
        <v>38691</v>
      </c>
      <c r="O232" s="705">
        <v>14330</v>
      </c>
      <c r="P232" s="705">
        <v>11087</v>
      </c>
      <c r="Q232" s="705">
        <v>4106</v>
      </c>
      <c r="R232" s="705"/>
      <c r="S232" s="705">
        <v>0</v>
      </c>
      <c r="T232" s="705">
        <v>5143</v>
      </c>
      <c r="U232" s="705">
        <v>1905</v>
      </c>
      <c r="V232" s="705">
        <v>20341</v>
      </c>
      <c r="W232" s="705">
        <f t="shared" si="20"/>
        <v>20341</v>
      </c>
      <c r="X232" s="705">
        <f t="shared" si="21"/>
        <v>54921</v>
      </c>
      <c r="Y232" s="705"/>
    </row>
    <row r="233" spans="2:25">
      <c r="B233" t="s">
        <v>676</v>
      </c>
      <c r="C233" t="s">
        <v>114</v>
      </c>
      <c r="D233" t="s">
        <v>582</v>
      </c>
      <c r="E233" t="s">
        <v>582</v>
      </c>
      <c r="F233">
        <v>12</v>
      </c>
      <c r="G233" s="705">
        <v>1439</v>
      </c>
      <c r="H233" s="705">
        <v>1665</v>
      </c>
      <c r="I233" s="705">
        <v>92669</v>
      </c>
      <c r="J233" s="706">
        <v>84244</v>
      </c>
      <c r="K233" s="705">
        <v>80</v>
      </c>
      <c r="L233" s="705">
        <v>10036</v>
      </c>
      <c r="M233" s="705">
        <v>8887</v>
      </c>
      <c r="N233" s="705">
        <v>28730</v>
      </c>
      <c r="O233" s="705">
        <v>10641</v>
      </c>
      <c r="P233" s="705">
        <v>7304</v>
      </c>
      <c r="Q233" s="705">
        <v>2705</v>
      </c>
      <c r="R233" s="705">
        <v>59907</v>
      </c>
      <c r="S233" s="705">
        <v>54461</v>
      </c>
      <c r="T233">
        <v>0</v>
      </c>
      <c r="U233" s="705">
        <v>0</v>
      </c>
      <c r="V233" s="705">
        <v>160938</v>
      </c>
      <c r="W233" s="705">
        <f t="shared" si="20"/>
        <v>160938</v>
      </c>
      <c r="X233" s="705">
        <f t="shared" si="21"/>
        <v>198646</v>
      </c>
      <c r="Y233" s="705"/>
    </row>
    <row r="234" spans="2:25">
      <c r="B234" t="s">
        <v>676</v>
      </c>
      <c r="C234" t="s">
        <v>114</v>
      </c>
      <c r="D234" t="s">
        <v>582</v>
      </c>
      <c r="E234" t="s">
        <v>584</v>
      </c>
      <c r="F234" s="705">
        <v>1</v>
      </c>
      <c r="G234" s="705">
        <v>67</v>
      </c>
      <c r="H234" s="705">
        <v>142</v>
      </c>
      <c r="I234" s="705">
        <v>5333</v>
      </c>
      <c r="J234" s="706">
        <v>4848</v>
      </c>
      <c r="K234" s="705">
        <v>90</v>
      </c>
      <c r="L234" s="705">
        <v>0</v>
      </c>
      <c r="M234" s="705">
        <v>0</v>
      </c>
      <c r="N234" s="705">
        <v>1636</v>
      </c>
      <c r="O234" s="705">
        <v>606</v>
      </c>
      <c r="P234" s="705">
        <v>473</v>
      </c>
      <c r="Q234" s="705">
        <v>175</v>
      </c>
      <c r="R234" s="705">
        <v>2116</v>
      </c>
      <c r="S234" s="705">
        <v>1924</v>
      </c>
      <c r="T234" s="705">
        <v>0</v>
      </c>
      <c r="U234" s="705">
        <v>0</v>
      </c>
      <c r="V234" s="705">
        <v>7553</v>
      </c>
      <c r="W234" s="705">
        <f t="shared" si="20"/>
        <v>7553</v>
      </c>
      <c r="X234" s="705">
        <f t="shared" si="21"/>
        <v>9558</v>
      </c>
      <c r="Y234" s="705"/>
    </row>
    <row r="235" spans="2:25">
      <c r="B235" t="s">
        <v>676</v>
      </c>
      <c r="C235" t="s">
        <v>114</v>
      </c>
      <c r="D235" t="s">
        <v>228</v>
      </c>
      <c r="E235" t="s">
        <v>228</v>
      </c>
      <c r="F235" s="705">
        <v>40</v>
      </c>
      <c r="G235" s="705">
        <v>3128</v>
      </c>
      <c r="H235" s="705">
        <v>5573</v>
      </c>
      <c r="I235" s="705">
        <v>124375</v>
      </c>
      <c r="J235" s="706">
        <v>46065</v>
      </c>
      <c r="K235" s="705">
        <v>134</v>
      </c>
      <c r="L235" s="705">
        <v>14773</v>
      </c>
      <c r="M235" s="705">
        <v>9637</v>
      </c>
      <c r="N235" s="705">
        <v>47229</v>
      </c>
      <c r="O235" s="705">
        <v>17492</v>
      </c>
      <c r="P235" s="705">
        <v>4951</v>
      </c>
      <c r="Q235" s="705">
        <v>1834</v>
      </c>
      <c r="R235" s="705">
        <v>246879</v>
      </c>
      <c r="S235" s="705">
        <v>91437</v>
      </c>
      <c r="T235" s="705">
        <v>0</v>
      </c>
      <c r="U235" s="705">
        <v>0</v>
      </c>
      <c r="V235" s="705">
        <v>166464</v>
      </c>
      <c r="W235" s="705">
        <f t="shared" si="20"/>
        <v>166465</v>
      </c>
      <c r="X235" s="705">
        <f t="shared" si="21"/>
        <v>438207</v>
      </c>
      <c r="Y235" s="705"/>
    </row>
    <row r="236" spans="2:25">
      <c r="B236" t="s">
        <v>676</v>
      </c>
      <c r="C236" t="s">
        <v>114</v>
      </c>
      <c r="D236" t="s">
        <v>583</v>
      </c>
      <c r="E236" t="s">
        <v>228</v>
      </c>
      <c r="F236" s="705">
        <v>1</v>
      </c>
      <c r="G236" s="705">
        <v>167</v>
      </c>
      <c r="H236" s="705">
        <v>145</v>
      </c>
      <c r="I236" s="705">
        <v>9640</v>
      </c>
      <c r="J236" s="706">
        <v>8763</v>
      </c>
      <c r="K236" s="705">
        <v>85</v>
      </c>
      <c r="L236" s="705">
        <v>1401</v>
      </c>
      <c r="M236" s="705">
        <v>1273</v>
      </c>
      <c r="N236" s="705">
        <v>2029</v>
      </c>
      <c r="O236" s="705">
        <v>751</v>
      </c>
      <c r="P236" s="705">
        <v>0</v>
      </c>
      <c r="Q236" s="705">
        <v>0</v>
      </c>
      <c r="R236" s="705">
        <v>11034</v>
      </c>
      <c r="S236" s="705">
        <v>4087</v>
      </c>
      <c r="T236">
        <v>0</v>
      </c>
      <c r="U236" s="705">
        <v>0</v>
      </c>
      <c r="V236" s="705">
        <v>14875</v>
      </c>
      <c r="W236" s="705">
        <f t="shared" si="20"/>
        <v>14874</v>
      </c>
      <c r="X236" s="705">
        <f t="shared" si="21"/>
        <v>24104</v>
      </c>
      <c r="Y236" s="705"/>
    </row>
    <row r="237" spans="2:25">
      <c r="B237" t="s">
        <v>676</v>
      </c>
      <c r="C237" t="s">
        <v>114</v>
      </c>
      <c r="D237" t="s">
        <v>583</v>
      </c>
      <c r="E237" t="s">
        <v>583</v>
      </c>
      <c r="F237">
        <v>22</v>
      </c>
      <c r="G237" s="705">
        <v>2756</v>
      </c>
      <c r="H237" s="705">
        <v>3082</v>
      </c>
      <c r="I237" s="705">
        <v>200151</v>
      </c>
      <c r="J237" s="706">
        <v>181955</v>
      </c>
      <c r="K237" s="705">
        <v>90</v>
      </c>
      <c r="L237" s="705">
        <v>36292</v>
      </c>
      <c r="M237" s="705">
        <v>31907</v>
      </c>
      <c r="N237" s="705">
        <v>60431</v>
      </c>
      <c r="O237" s="705">
        <v>22382</v>
      </c>
      <c r="P237" s="705">
        <v>17075</v>
      </c>
      <c r="Q237" s="705">
        <v>6324</v>
      </c>
      <c r="R237" s="705">
        <v>92878</v>
      </c>
      <c r="S237" s="705">
        <v>84435</v>
      </c>
      <c r="T237" s="705">
        <v>0</v>
      </c>
      <c r="U237" s="705">
        <v>0</v>
      </c>
      <c r="V237" s="705">
        <v>327003</v>
      </c>
      <c r="W237" s="705">
        <f t="shared" si="20"/>
        <v>327003</v>
      </c>
      <c r="X237" s="705">
        <f t="shared" si="21"/>
        <v>406827</v>
      </c>
      <c r="Y237" s="705"/>
    </row>
    <row r="238" spans="2:25">
      <c r="B238" t="s">
        <v>676</v>
      </c>
      <c r="C238" t="s">
        <v>114</v>
      </c>
      <c r="D238" t="s">
        <v>584</v>
      </c>
      <c r="E238" t="s">
        <v>584</v>
      </c>
      <c r="F238">
        <v>878</v>
      </c>
      <c r="G238" s="705">
        <v>69680</v>
      </c>
      <c r="H238" s="705">
        <v>121952</v>
      </c>
      <c r="I238" s="705">
        <v>4566196</v>
      </c>
      <c r="J238" s="706">
        <v>4151088</v>
      </c>
      <c r="K238" s="705">
        <v>83</v>
      </c>
      <c r="L238" s="705">
        <v>318573</v>
      </c>
      <c r="M238" s="705">
        <v>224025</v>
      </c>
      <c r="N238" s="705">
        <v>1419903</v>
      </c>
      <c r="O238" s="705">
        <v>525890</v>
      </c>
      <c r="P238" s="705">
        <v>430323</v>
      </c>
      <c r="Q238" s="705">
        <v>159379</v>
      </c>
      <c r="R238" s="705">
        <v>2944028</v>
      </c>
      <c r="S238" s="705">
        <v>2676389</v>
      </c>
      <c r="T238" s="705">
        <v>47962</v>
      </c>
      <c r="U238" s="705">
        <v>17764</v>
      </c>
      <c r="V238" s="705">
        <v>7754534</v>
      </c>
      <c r="W238" s="705">
        <f t="shared" si="20"/>
        <v>7754535</v>
      </c>
      <c r="X238" s="705">
        <f t="shared" si="21"/>
        <v>9726985</v>
      </c>
      <c r="Y238" s="705"/>
    </row>
    <row r="239" spans="2:25">
      <c r="B239" t="s">
        <v>676</v>
      </c>
      <c r="C239" t="s">
        <v>114</v>
      </c>
      <c r="D239" t="s">
        <v>665</v>
      </c>
      <c r="E239" t="s">
        <v>665</v>
      </c>
      <c r="F239">
        <v>1</v>
      </c>
      <c r="G239" s="705">
        <v>218</v>
      </c>
      <c r="H239" s="705">
        <v>140</v>
      </c>
      <c r="I239" s="705">
        <v>21019</v>
      </c>
      <c r="J239" s="706">
        <v>19108</v>
      </c>
      <c r="K239" s="705">
        <v>76</v>
      </c>
      <c r="L239" s="705">
        <v>0</v>
      </c>
      <c r="M239" s="705">
        <v>2482</v>
      </c>
      <c r="N239" s="705">
        <v>3187</v>
      </c>
      <c r="O239" s="705">
        <v>1180</v>
      </c>
      <c r="P239">
        <v>0</v>
      </c>
      <c r="Q239" s="705">
        <v>0</v>
      </c>
      <c r="R239" s="705">
        <v>6358</v>
      </c>
      <c r="S239" s="705">
        <v>5780</v>
      </c>
      <c r="T239" s="705">
        <v>0</v>
      </c>
      <c r="U239" s="705">
        <v>0</v>
      </c>
      <c r="V239" s="705">
        <v>28551</v>
      </c>
      <c r="W239" s="705">
        <f t="shared" si="20"/>
        <v>28550</v>
      </c>
      <c r="X239" s="705">
        <f t="shared" si="21"/>
        <v>30564</v>
      </c>
      <c r="Y239" s="705"/>
    </row>
    <row r="240" spans="2:25">
      <c r="B240" t="s">
        <v>676</v>
      </c>
      <c r="C240" t="s">
        <v>116</v>
      </c>
      <c r="F240" s="705">
        <v>46</v>
      </c>
      <c r="G240" s="705">
        <v>3078</v>
      </c>
      <c r="H240" s="705">
        <v>8191</v>
      </c>
      <c r="I240" s="705"/>
      <c r="J240" s="706">
        <v>0</v>
      </c>
      <c r="K240" s="705"/>
      <c r="L240" s="705"/>
      <c r="M240" s="705">
        <v>0</v>
      </c>
      <c r="N240" s="705">
        <v>54897</v>
      </c>
      <c r="O240" s="705">
        <v>20332</v>
      </c>
      <c r="P240" s="705">
        <v>10196</v>
      </c>
      <c r="Q240" s="705">
        <v>3776</v>
      </c>
      <c r="R240" s="705"/>
      <c r="S240">
        <v>0</v>
      </c>
      <c r="T240">
        <v>0</v>
      </c>
      <c r="U240" s="705">
        <v>0</v>
      </c>
      <c r="V240" s="705">
        <v>24109</v>
      </c>
      <c r="W240" s="705">
        <f t="shared" si="20"/>
        <v>24108</v>
      </c>
      <c r="X240" s="705">
        <f t="shared" si="21"/>
        <v>65093</v>
      </c>
      <c r="Y240" s="705"/>
    </row>
    <row r="241" spans="2:25">
      <c r="B241" t="s">
        <v>676</v>
      </c>
      <c r="C241" t="s">
        <v>116</v>
      </c>
      <c r="D241" t="s">
        <v>664</v>
      </c>
      <c r="E241" s="705" t="s">
        <v>664</v>
      </c>
      <c r="F241" s="705">
        <v>1</v>
      </c>
      <c r="G241" s="705">
        <v>93</v>
      </c>
      <c r="H241" s="705">
        <v>160</v>
      </c>
      <c r="I241" s="705">
        <v>7647</v>
      </c>
      <c r="J241" s="706">
        <v>6952</v>
      </c>
      <c r="K241" s="705">
        <v>91</v>
      </c>
      <c r="L241" s="705">
        <v>0</v>
      </c>
      <c r="M241" s="705">
        <v>0</v>
      </c>
      <c r="N241" s="705">
        <v>2262</v>
      </c>
      <c r="O241" s="705">
        <v>838</v>
      </c>
      <c r="P241" s="705">
        <v>473</v>
      </c>
      <c r="Q241" s="705">
        <v>175</v>
      </c>
      <c r="R241" s="705">
        <v>2321</v>
      </c>
      <c r="S241" s="705">
        <v>2110</v>
      </c>
      <c r="T241" s="705">
        <v>2113</v>
      </c>
      <c r="U241" s="705">
        <v>782</v>
      </c>
      <c r="V241" s="705">
        <v>10857</v>
      </c>
      <c r="W241" s="705">
        <f t="shared" si="20"/>
        <v>10857</v>
      </c>
      <c r="X241" s="705">
        <f t="shared" si="21"/>
        <v>14816</v>
      </c>
      <c r="Y241" s="705"/>
    </row>
    <row r="242" spans="2:25">
      <c r="B242" t="s">
        <v>676</v>
      </c>
      <c r="C242" t="s">
        <v>116</v>
      </c>
      <c r="D242" t="s">
        <v>582</v>
      </c>
      <c r="E242" t="s">
        <v>664</v>
      </c>
      <c r="F242" s="705">
        <v>1</v>
      </c>
      <c r="G242" s="705">
        <v>46</v>
      </c>
      <c r="H242" s="705">
        <v>176</v>
      </c>
      <c r="I242" s="705">
        <v>4799</v>
      </c>
      <c r="J242" s="706">
        <v>4363</v>
      </c>
      <c r="K242" s="705">
        <v>90</v>
      </c>
      <c r="L242" s="705">
        <v>0</v>
      </c>
      <c r="M242" s="705">
        <v>0</v>
      </c>
      <c r="N242" s="705">
        <v>1121</v>
      </c>
      <c r="O242" s="705">
        <v>415</v>
      </c>
      <c r="P242">
        <v>473</v>
      </c>
      <c r="Q242" s="705">
        <v>175</v>
      </c>
      <c r="R242" s="705">
        <v>1705</v>
      </c>
      <c r="S242" s="705">
        <v>1550</v>
      </c>
      <c r="T242" s="705">
        <v>0</v>
      </c>
      <c r="U242" s="705">
        <v>0</v>
      </c>
      <c r="V242" s="705">
        <v>6503</v>
      </c>
      <c r="W242" s="705">
        <f t="shared" si="20"/>
        <v>6503</v>
      </c>
      <c r="X242" s="705">
        <f t="shared" si="21"/>
        <v>8098</v>
      </c>
      <c r="Y242" s="705"/>
    </row>
    <row r="243" spans="2:25">
      <c r="B243" t="s">
        <v>676</v>
      </c>
      <c r="C243" t="s">
        <v>116</v>
      </c>
      <c r="D243" t="s">
        <v>582</v>
      </c>
      <c r="E243" t="s">
        <v>582</v>
      </c>
      <c r="F243">
        <v>19</v>
      </c>
      <c r="G243" s="705">
        <v>1297</v>
      </c>
      <c r="H243" s="705">
        <v>3385</v>
      </c>
      <c r="I243" s="705">
        <v>120953</v>
      </c>
      <c r="J243" s="706">
        <v>109957</v>
      </c>
      <c r="K243" s="705">
        <v>81</v>
      </c>
      <c r="L243" s="705">
        <v>12012</v>
      </c>
      <c r="M243" s="705">
        <v>9478</v>
      </c>
      <c r="N243" s="705">
        <v>23496</v>
      </c>
      <c r="O243" s="705">
        <v>8702</v>
      </c>
      <c r="P243" s="705">
        <v>8978</v>
      </c>
      <c r="Q243" s="705">
        <v>3325</v>
      </c>
      <c r="R243" s="705">
        <v>60787</v>
      </c>
      <c r="S243" s="705">
        <v>55261</v>
      </c>
      <c r="T243" s="705">
        <v>4157</v>
      </c>
      <c r="U243" s="705">
        <v>1540</v>
      </c>
      <c r="V243" s="705">
        <v>188264</v>
      </c>
      <c r="W243" s="705">
        <f t="shared" si="20"/>
        <v>188263</v>
      </c>
      <c r="X243" s="705">
        <f t="shared" si="21"/>
        <v>230383</v>
      </c>
      <c r="Y243" s="705"/>
    </row>
    <row r="244" spans="2:25">
      <c r="B244" t="s">
        <v>676</v>
      </c>
      <c r="C244" t="s">
        <v>116</v>
      </c>
      <c r="D244" t="s">
        <v>228</v>
      </c>
      <c r="E244" t="s">
        <v>228</v>
      </c>
      <c r="F244">
        <v>739</v>
      </c>
      <c r="G244" s="705">
        <v>55129</v>
      </c>
      <c r="H244" s="705">
        <v>144796</v>
      </c>
      <c r="I244" s="705">
        <v>4609089</v>
      </c>
      <c r="J244" s="706">
        <v>1707070</v>
      </c>
      <c r="K244" s="705">
        <v>109</v>
      </c>
      <c r="L244" s="705">
        <v>391223</v>
      </c>
      <c r="M244" s="705">
        <v>149631</v>
      </c>
      <c r="N244" s="705">
        <v>1033541</v>
      </c>
      <c r="O244" s="705">
        <v>382793</v>
      </c>
      <c r="P244" s="705">
        <v>28592</v>
      </c>
      <c r="Q244" s="705">
        <v>10590</v>
      </c>
      <c r="R244" s="705">
        <v>4775705</v>
      </c>
      <c r="S244" s="705">
        <v>1768780</v>
      </c>
      <c r="T244" s="705">
        <v>5761</v>
      </c>
      <c r="U244" s="705">
        <v>2134</v>
      </c>
      <c r="V244" s="705">
        <v>4020997</v>
      </c>
      <c r="W244" s="705">
        <f t="shared" si="20"/>
        <v>4020998</v>
      </c>
      <c r="X244" s="705">
        <f t="shared" si="21"/>
        <v>10843911</v>
      </c>
      <c r="Y244" s="705"/>
    </row>
    <row r="245" spans="2:25">
      <c r="B245" t="s">
        <v>676</v>
      </c>
      <c r="C245" t="s">
        <v>116</v>
      </c>
      <c r="D245" t="s">
        <v>228</v>
      </c>
      <c r="E245" t="s">
        <v>584</v>
      </c>
      <c r="F245">
        <v>2</v>
      </c>
      <c r="G245" s="705">
        <v>138</v>
      </c>
      <c r="H245" s="705">
        <v>444</v>
      </c>
      <c r="I245" s="705">
        <v>22364</v>
      </c>
      <c r="J245" s="706">
        <v>8283</v>
      </c>
      <c r="K245" s="705">
        <v>100</v>
      </c>
      <c r="L245" s="705">
        <v>0</v>
      </c>
      <c r="M245" s="705">
        <v>0</v>
      </c>
      <c r="N245" s="705">
        <v>1678</v>
      </c>
      <c r="O245" s="705">
        <v>622</v>
      </c>
      <c r="P245">
        <v>0</v>
      </c>
      <c r="Q245" s="705">
        <v>0</v>
      </c>
      <c r="R245" s="705">
        <v>2963</v>
      </c>
      <c r="S245" s="705">
        <v>2694</v>
      </c>
      <c r="T245" s="705">
        <v>3582</v>
      </c>
      <c r="U245" s="705">
        <v>1327</v>
      </c>
      <c r="V245" s="705">
        <v>12925</v>
      </c>
      <c r="W245" s="705">
        <f t="shared" si="20"/>
        <v>12926</v>
      </c>
      <c r="X245" s="705">
        <f t="shared" si="21"/>
        <v>30587</v>
      </c>
      <c r="Y245" s="705"/>
    </row>
    <row r="246" spans="2:25">
      <c r="B246" t="s">
        <v>676</v>
      </c>
      <c r="C246" t="s">
        <v>116</v>
      </c>
      <c r="D246" t="s">
        <v>583</v>
      </c>
      <c r="E246" t="s">
        <v>228</v>
      </c>
      <c r="F246" s="705">
        <v>1</v>
      </c>
      <c r="G246" s="705">
        <v>46</v>
      </c>
      <c r="H246" s="705">
        <v>190</v>
      </c>
      <c r="I246" s="705">
        <v>4313</v>
      </c>
      <c r="J246" s="706">
        <v>3921</v>
      </c>
      <c r="K246" s="705">
        <v>93</v>
      </c>
      <c r="L246" s="705">
        <v>0</v>
      </c>
      <c r="M246" s="705">
        <v>0</v>
      </c>
      <c r="N246" s="705">
        <v>559</v>
      </c>
      <c r="O246" s="705">
        <v>207</v>
      </c>
      <c r="P246">
        <v>621</v>
      </c>
      <c r="Q246" s="705">
        <v>230</v>
      </c>
      <c r="R246" s="705">
        <v>3195</v>
      </c>
      <c r="S246" s="705">
        <v>1183</v>
      </c>
      <c r="T246">
        <v>0</v>
      </c>
      <c r="U246" s="705">
        <v>0</v>
      </c>
      <c r="V246" s="705">
        <v>5541</v>
      </c>
      <c r="W246" s="705">
        <f t="shared" si="20"/>
        <v>5541</v>
      </c>
      <c r="X246" s="705">
        <f t="shared" si="21"/>
        <v>8688</v>
      </c>
      <c r="Y246" s="705"/>
    </row>
    <row r="247" spans="2:25">
      <c r="B247" t="s">
        <v>676</v>
      </c>
      <c r="C247" t="s">
        <v>116</v>
      </c>
      <c r="D247" t="s">
        <v>583</v>
      </c>
      <c r="E247" t="s">
        <v>583</v>
      </c>
      <c r="F247" s="705">
        <v>110</v>
      </c>
      <c r="G247" s="705">
        <v>11884</v>
      </c>
      <c r="H247" s="705">
        <v>20895</v>
      </c>
      <c r="I247" s="705">
        <v>1209726</v>
      </c>
      <c r="J247" s="706">
        <v>1099751</v>
      </c>
      <c r="K247" s="705">
        <v>88</v>
      </c>
      <c r="L247" s="705">
        <v>263212</v>
      </c>
      <c r="M247" s="705">
        <v>229317</v>
      </c>
      <c r="N247" s="705">
        <v>239362</v>
      </c>
      <c r="O247" s="705">
        <v>88653</v>
      </c>
      <c r="P247" s="705">
        <v>71469</v>
      </c>
      <c r="Q247" s="705">
        <v>26470</v>
      </c>
      <c r="R247" s="705">
        <v>477444</v>
      </c>
      <c r="S247" s="705">
        <v>434040</v>
      </c>
      <c r="T247" s="705">
        <v>56687</v>
      </c>
      <c r="U247" s="705">
        <v>20995</v>
      </c>
      <c r="V247" s="705">
        <v>1899226</v>
      </c>
      <c r="W247" s="705">
        <f t="shared" si="20"/>
        <v>1899226</v>
      </c>
      <c r="X247" s="705">
        <f t="shared" si="21"/>
        <v>2317900</v>
      </c>
      <c r="Y247" s="705"/>
    </row>
    <row r="248" spans="2:25">
      <c r="B248" t="s">
        <v>676</v>
      </c>
      <c r="C248" t="s">
        <v>116</v>
      </c>
      <c r="D248" t="s">
        <v>584</v>
      </c>
      <c r="E248" t="s">
        <v>228</v>
      </c>
      <c r="F248" s="705">
        <v>2</v>
      </c>
      <c r="G248" s="705">
        <v>97</v>
      </c>
      <c r="H248" s="705">
        <v>379</v>
      </c>
      <c r="I248" s="705">
        <v>5561</v>
      </c>
      <c r="J248" s="706">
        <v>5055</v>
      </c>
      <c r="K248" s="705">
        <v>79</v>
      </c>
      <c r="L248" s="705">
        <v>784</v>
      </c>
      <c r="M248" s="705">
        <v>290</v>
      </c>
      <c r="N248" s="705">
        <v>1658</v>
      </c>
      <c r="O248" s="705">
        <v>614</v>
      </c>
      <c r="P248" s="705">
        <v>945</v>
      </c>
      <c r="Q248" s="705">
        <v>350</v>
      </c>
      <c r="R248" s="705">
        <v>9652</v>
      </c>
      <c r="S248" s="705">
        <v>3575</v>
      </c>
      <c r="T248">
        <v>0</v>
      </c>
      <c r="U248" s="705">
        <v>0</v>
      </c>
      <c r="V248" s="705">
        <v>9884</v>
      </c>
      <c r="W248" s="705">
        <f t="shared" si="20"/>
        <v>9884</v>
      </c>
      <c r="X248" s="705">
        <f t="shared" si="21"/>
        <v>18600</v>
      </c>
      <c r="Y248" s="705"/>
    </row>
    <row r="249" spans="2:25">
      <c r="B249" t="s">
        <v>676</v>
      </c>
      <c r="C249" t="s">
        <v>116</v>
      </c>
      <c r="D249" t="s">
        <v>584</v>
      </c>
      <c r="E249" t="s">
        <v>584</v>
      </c>
      <c r="F249" s="705">
        <v>1384</v>
      </c>
      <c r="G249" s="705">
        <v>97361</v>
      </c>
      <c r="H249" s="705">
        <v>244480</v>
      </c>
      <c r="I249" s="705">
        <v>8920058</v>
      </c>
      <c r="J249" s="706">
        <v>8109143</v>
      </c>
      <c r="K249" s="705">
        <v>81</v>
      </c>
      <c r="L249" s="705">
        <v>746684</v>
      </c>
      <c r="M249" s="705">
        <v>554299</v>
      </c>
      <c r="N249" s="705">
        <v>2015462</v>
      </c>
      <c r="O249" s="705">
        <v>746468</v>
      </c>
      <c r="P249" s="705">
        <v>661338</v>
      </c>
      <c r="Q249" s="705">
        <v>244940</v>
      </c>
      <c r="R249" s="705">
        <v>4647826</v>
      </c>
      <c r="S249" s="705">
        <v>4225297</v>
      </c>
      <c r="T249" s="705">
        <v>181519</v>
      </c>
      <c r="U249" s="705">
        <v>67229</v>
      </c>
      <c r="V249" s="705">
        <v>13947376</v>
      </c>
      <c r="W249" s="705">
        <f t="shared" si="20"/>
        <v>13947376</v>
      </c>
      <c r="X249" s="705">
        <f t="shared" si="21"/>
        <v>17172887</v>
      </c>
      <c r="Y249" s="705"/>
    </row>
    <row r="250" spans="2:25">
      <c r="B250" t="s">
        <v>676</v>
      </c>
      <c r="C250" t="s">
        <v>116</v>
      </c>
      <c r="D250" t="s">
        <v>585</v>
      </c>
      <c r="E250" s="705" t="s">
        <v>585</v>
      </c>
      <c r="F250" s="705">
        <v>1</v>
      </c>
      <c r="G250" s="705">
        <v>136</v>
      </c>
      <c r="H250" s="705">
        <v>211</v>
      </c>
      <c r="I250" s="705">
        <v>18756</v>
      </c>
      <c r="J250" s="706">
        <v>17051</v>
      </c>
      <c r="K250" s="705">
        <v>85</v>
      </c>
      <c r="L250" s="705">
        <v>2684</v>
      </c>
      <c r="M250" s="705">
        <v>2237</v>
      </c>
      <c r="N250" s="705">
        <v>1652</v>
      </c>
      <c r="O250" s="705">
        <v>612</v>
      </c>
      <c r="P250" s="705">
        <v>351</v>
      </c>
      <c r="Q250" s="705">
        <v>130</v>
      </c>
      <c r="R250" s="705">
        <v>5136</v>
      </c>
      <c r="S250" s="705">
        <v>4669</v>
      </c>
      <c r="T250" s="705">
        <v>0</v>
      </c>
      <c r="U250" s="705">
        <v>0</v>
      </c>
      <c r="V250" s="705">
        <v>24699</v>
      </c>
      <c r="W250" s="705">
        <f t="shared" si="20"/>
        <v>24699</v>
      </c>
      <c r="X250" s="705">
        <f t="shared" si="21"/>
        <v>28579</v>
      </c>
      <c r="Y250" s="705"/>
    </row>
    <row r="251" spans="2:25">
      <c r="B251" t="s">
        <v>676</v>
      </c>
      <c r="C251" t="s">
        <v>118</v>
      </c>
      <c r="F251" s="705">
        <v>14</v>
      </c>
      <c r="G251" s="705">
        <v>689</v>
      </c>
      <c r="H251" s="705">
        <v>3779</v>
      </c>
      <c r="I251" s="705"/>
      <c r="J251" s="429">
        <v>0</v>
      </c>
      <c r="K251" s="705"/>
      <c r="L251" s="705"/>
      <c r="M251" s="705">
        <v>0</v>
      </c>
      <c r="N251" s="705">
        <v>13473</v>
      </c>
      <c r="O251" s="705">
        <v>4990</v>
      </c>
      <c r="P251" s="705">
        <v>2390</v>
      </c>
      <c r="Q251" s="705">
        <v>885</v>
      </c>
      <c r="R251" s="705"/>
      <c r="S251" s="705">
        <v>0</v>
      </c>
      <c r="T251" s="705">
        <v>7510</v>
      </c>
      <c r="U251" s="705">
        <v>2781</v>
      </c>
      <c r="V251" s="705">
        <v>8656</v>
      </c>
      <c r="W251" s="705">
        <f t="shared" si="20"/>
        <v>8656</v>
      </c>
      <c r="X251" s="705">
        <f t="shared" si="21"/>
        <v>23373</v>
      </c>
      <c r="Y251" s="705"/>
    </row>
    <row r="252" spans="2:25">
      <c r="B252" t="s">
        <v>676</v>
      </c>
      <c r="C252" t="s">
        <v>118</v>
      </c>
      <c r="D252" t="s">
        <v>664</v>
      </c>
      <c r="E252" t="s">
        <v>664</v>
      </c>
      <c r="F252" s="705">
        <v>1</v>
      </c>
      <c r="G252" s="705">
        <v>90</v>
      </c>
      <c r="H252" s="705">
        <v>235</v>
      </c>
      <c r="I252" s="705">
        <v>10768</v>
      </c>
      <c r="J252" s="706">
        <v>9789</v>
      </c>
      <c r="K252" s="705">
        <v>80</v>
      </c>
      <c r="L252" s="705">
        <v>3043</v>
      </c>
      <c r="M252" s="705">
        <v>2766</v>
      </c>
      <c r="N252" s="705">
        <v>2197</v>
      </c>
      <c r="O252" s="705">
        <v>814</v>
      </c>
      <c r="P252" s="705">
        <v>351</v>
      </c>
      <c r="Q252" s="705">
        <v>130</v>
      </c>
      <c r="R252" s="705">
        <v>4819</v>
      </c>
      <c r="S252" s="705">
        <v>4381</v>
      </c>
      <c r="T252" s="705">
        <v>0</v>
      </c>
      <c r="U252" s="705">
        <v>0</v>
      </c>
      <c r="V252" s="705">
        <v>17880</v>
      </c>
      <c r="W252" s="705">
        <f t="shared" si="20"/>
        <v>17880</v>
      </c>
      <c r="X252" s="705">
        <f t="shared" si="21"/>
        <v>21178</v>
      </c>
      <c r="Y252" s="705"/>
    </row>
    <row r="253" spans="2:25">
      <c r="B253" t="s">
        <v>676</v>
      </c>
      <c r="C253" t="s">
        <v>118</v>
      </c>
      <c r="D253" t="s">
        <v>582</v>
      </c>
      <c r="E253" t="s">
        <v>582</v>
      </c>
      <c r="F253" s="705">
        <v>6</v>
      </c>
      <c r="G253" s="705">
        <v>486</v>
      </c>
      <c r="H253" s="705">
        <v>1539</v>
      </c>
      <c r="I253" s="705">
        <v>65205</v>
      </c>
      <c r="J253" s="706">
        <v>59278</v>
      </c>
      <c r="K253" s="705">
        <v>79</v>
      </c>
      <c r="L253" s="705">
        <v>16832</v>
      </c>
      <c r="M253" s="705">
        <v>15301</v>
      </c>
      <c r="N253" s="705">
        <v>10598</v>
      </c>
      <c r="O253" s="705">
        <v>3925</v>
      </c>
      <c r="P253" s="705">
        <v>2714</v>
      </c>
      <c r="Q253" s="705">
        <v>1005</v>
      </c>
      <c r="R253" s="705">
        <v>22477</v>
      </c>
      <c r="S253" s="705">
        <v>20434</v>
      </c>
      <c r="T253" s="705">
        <v>5897</v>
      </c>
      <c r="U253" s="705">
        <v>2184</v>
      </c>
      <c r="V253" s="705">
        <v>102127</v>
      </c>
      <c r="W253" s="705">
        <f t="shared" si="20"/>
        <v>102127</v>
      </c>
      <c r="X253" s="705">
        <f t="shared" si="21"/>
        <v>123723</v>
      </c>
      <c r="Y253" s="705"/>
    </row>
    <row r="254" spans="2:25">
      <c r="B254" t="s">
        <v>676</v>
      </c>
      <c r="C254" t="s">
        <v>118</v>
      </c>
      <c r="D254" t="s">
        <v>228</v>
      </c>
      <c r="E254" t="s">
        <v>580</v>
      </c>
      <c r="F254" s="705">
        <v>1</v>
      </c>
      <c r="G254" s="705">
        <v>76</v>
      </c>
      <c r="H254" s="705">
        <v>266</v>
      </c>
      <c r="I254" s="705">
        <v>8923</v>
      </c>
      <c r="J254" s="706">
        <v>3305</v>
      </c>
      <c r="K254" s="705">
        <v>100</v>
      </c>
      <c r="L254" s="705">
        <v>0</v>
      </c>
      <c r="M254" s="705">
        <v>0</v>
      </c>
      <c r="N254" s="705">
        <v>1846</v>
      </c>
      <c r="O254" s="705">
        <v>684</v>
      </c>
      <c r="P254">
        <v>351</v>
      </c>
      <c r="Q254" s="705">
        <v>130</v>
      </c>
      <c r="R254" s="705">
        <v>6759</v>
      </c>
      <c r="S254" s="705">
        <v>2503</v>
      </c>
      <c r="T254" s="705">
        <v>2242</v>
      </c>
      <c r="U254" s="705">
        <v>830</v>
      </c>
      <c r="V254" s="705">
        <v>7452</v>
      </c>
      <c r="W254" s="705">
        <f t="shared" si="20"/>
        <v>7452</v>
      </c>
      <c r="X254" s="705">
        <f t="shared" si="21"/>
        <v>20121</v>
      </c>
      <c r="Y254" s="705"/>
    </row>
    <row r="255" spans="2:25">
      <c r="B255" t="s">
        <v>676</v>
      </c>
      <c r="C255" t="s">
        <v>118</v>
      </c>
      <c r="D255" t="s">
        <v>228</v>
      </c>
      <c r="E255" t="s">
        <v>228</v>
      </c>
      <c r="F255" s="705">
        <v>1013</v>
      </c>
      <c r="G255" s="705">
        <v>69155</v>
      </c>
      <c r="H255" s="705">
        <v>265774</v>
      </c>
      <c r="I255" s="705">
        <v>9407315</v>
      </c>
      <c r="J255" s="706">
        <v>3484191</v>
      </c>
      <c r="K255" s="705">
        <v>100</v>
      </c>
      <c r="L255" s="705">
        <v>967470</v>
      </c>
      <c r="M255" s="705">
        <v>391071</v>
      </c>
      <c r="N255" s="705">
        <v>1376378</v>
      </c>
      <c r="O255" s="705">
        <v>509770</v>
      </c>
      <c r="P255" s="705">
        <v>24134</v>
      </c>
      <c r="Q255" s="705">
        <v>8939</v>
      </c>
      <c r="R255" s="705">
        <v>6407504</v>
      </c>
      <c r="S255" s="705">
        <v>2373149</v>
      </c>
      <c r="T255" s="705">
        <v>9324</v>
      </c>
      <c r="U255" s="705">
        <v>3453</v>
      </c>
      <c r="V255" s="705">
        <v>6770573</v>
      </c>
      <c r="W255" s="705">
        <f t="shared" si="20"/>
        <v>6770573</v>
      </c>
      <c r="X255" s="705">
        <f t="shared" si="21"/>
        <v>18192125</v>
      </c>
      <c r="Y255" s="705"/>
    </row>
    <row r="256" spans="2:25">
      <c r="B256" t="s">
        <v>676</v>
      </c>
      <c r="C256" t="s">
        <v>118</v>
      </c>
      <c r="D256" t="s">
        <v>583</v>
      </c>
      <c r="E256" t="s">
        <v>228</v>
      </c>
      <c r="F256" s="705">
        <v>3</v>
      </c>
      <c r="G256" s="705">
        <v>161</v>
      </c>
      <c r="H256" s="705">
        <v>780</v>
      </c>
      <c r="I256" s="705">
        <v>17690</v>
      </c>
      <c r="J256" s="706">
        <v>16082</v>
      </c>
      <c r="K256" s="705">
        <v>79</v>
      </c>
      <c r="L256" s="705">
        <v>883</v>
      </c>
      <c r="M256" s="705">
        <v>327</v>
      </c>
      <c r="N256" s="705">
        <v>3573</v>
      </c>
      <c r="O256" s="705">
        <v>1323</v>
      </c>
      <c r="P256" s="705">
        <v>1863</v>
      </c>
      <c r="Q256" s="705">
        <v>690</v>
      </c>
      <c r="R256" s="705">
        <v>17032</v>
      </c>
      <c r="S256" s="705">
        <v>6308</v>
      </c>
      <c r="T256" s="705">
        <v>0</v>
      </c>
      <c r="U256" s="705">
        <v>0</v>
      </c>
      <c r="V256" s="705">
        <v>24730</v>
      </c>
      <c r="W256" s="705">
        <f t="shared" si="20"/>
        <v>24730</v>
      </c>
      <c r="X256" s="705">
        <f t="shared" si="21"/>
        <v>41041</v>
      </c>
      <c r="Y256" s="705"/>
    </row>
    <row r="257" spans="2:25">
      <c r="B257" t="s">
        <v>676</v>
      </c>
      <c r="C257" t="s">
        <v>118</v>
      </c>
      <c r="D257" t="s">
        <v>583</v>
      </c>
      <c r="E257" t="s">
        <v>583</v>
      </c>
      <c r="F257">
        <v>67</v>
      </c>
      <c r="G257" s="705">
        <v>6298</v>
      </c>
      <c r="H257" s="705">
        <v>17280</v>
      </c>
      <c r="I257" s="705">
        <v>931325</v>
      </c>
      <c r="J257" s="706">
        <v>846659</v>
      </c>
      <c r="K257" s="705">
        <v>83</v>
      </c>
      <c r="L257" s="705">
        <v>203214</v>
      </c>
      <c r="M257" s="705">
        <v>176482</v>
      </c>
      <c r="N257" s="705">
        <v>124281</v>
      </c>
      <c r="O257" s="705">
        <v>46030</v>
      </c>
      <c r="P257" s="705">
        <v>42930</v>
      </c>
      <c r="Q257" s="705">
        <v>15900</v>
      </c>
      <c r="R257" s="705">
        <v>293883</v>
      </c>
      <c r="S257" s="705">
        <v>267166</v>
      </c>
      <c r="T257" s="705">
        <v>56765</v>
      </c>
      <c r="U257" s="705">
        <v>21024</v>
      </c>
      <c r="V257" s="705">
        <v>1373262</v>
      </c>
      <c r="W257" s="705">
        <f t="shared" si="20"/>
        <v>1373261</v>
      </c>
      <c r="X257" s="705">
        <f t="shared" si="21"/>
        <v>1652398</v>
      </c>
      <c r="Y257" s="705"/>
    </row>
    <row r="258" spans="2:25">
      <c r="B258" t="s">
        <v>676</v>
      </c>
      <c r="C258" t="s">
        <v>118</v>
      </c>
      <c r="D258" t="s">
        <v>584</v>
      </c>
      <c r="E258" t="s">
        <v>228</v>
      </c>
      <c r="F258">
        <v>2</v>
      </c>
      <c r="G258" s="705">
        <v>98</v>
      </c>
      <c r="H258" s="705">
        <v>516</v>
      </c>
      <c r="I258" s="705">
        <v>12901</v>
      </c>
      <c r="J258" s="706">
        <v>11728</v>
      </c>
      <c r="K258" s="705">
        <v>78</v>
      </c>
      <c r="L258" s="705">
        <v>1190</v>
      </c>
      <c r="M258" s="705">
        <v>1082</v>
      </c>
      <c r="N258" s="705">
        <v>2382</v>
      </c>
      <c r="O258" s="705">
        <v>882</v>
      </c>
      <c r="P258" s="705">
        <v>945</v>
      </c>
      <c r="Q258" s="705">
        <v>350</v>
      </c>
      <c r="R258" s="705">
        <v>7982</v>
      </c>
      <c r="S258" s="705">
        <v>2956</v>
      </c>
      <c r="T258" s="705">
        <v>0</v>
      </c>
      <c r="U258" s="705">
        <v>0</v>
      </c>
      <c r="V258" s="705">
        <v>16998</v>
      </c>
      <c r="W258" s="705">
        <f t="shared" si="20"/>
        <v>16998</v>
      </c>
      <c r="X258" s="705">
        <f t="shared" si="21"/>
        <v>25400</v>
      </c>
      <c r="Y258" s="705"/>
    </row>
    <row r="259" spans="2:25">
      <c r="B259" t="s">
        <v>676</v>
      </c>
      <c r="C259" t="s">
        <v>118</v>
      </c>
      <c r="D259" t="s">
        <v>584</v>
      </c>
      <c r="E259" s="705" t="s">
        <v>584</v>
      </c>
      <c r="F259" s="705">
        <v>225</v>
      </c>
      <c r="G259" s="705">
        <v>13490</v>
      </c>
      <c r="H259" s="705">
        <v>58260</v>
      </c>
      <c r="I259" s="705">
        <v>1943902</v>
      </c>
      <c r="J259" s="706">
        <v>1767183</v>
      </c>
      <c r="K259" s="705">
        <v>80</v>
      </c>
      <c r="L259" s="705">
        <v>265289</v>
      </c>
      <c r="M259" s="705">
        <v>205255</v>
      </c>
      <c r="N259" s="705">
        <v>264638</v>
      </c>
      <c r="O259" s="705">
        <v>98014</v>
      </c>
      <c r="P259" s="705">
        <v>107811</v>
      </c>
      <c r="Q259" s="705">
        <v>39930</v>
      </c>
      <c r="R259" s="705">
        <v>837171</v>
      </c>
      <c r="S259" s="705">
        <v>761064</v>
      </c>
      <c r="T259" s="705">
        <v>83222</v>
      </c>
      <c r="U259" s="705">
        <v>30823</v>
      </c>
      <c r="V259" s="705">
        <v>2902270</v>
      </c>
      <c r="W259" s="705">
        <f t="shared" si="20"/>
        <v>2902269</v>
      </c>
      <c r="X259" s="705">
        <f t="shared" si="21"/>
        <v>3502033</v>
      </c>
      <c r="Y259" s="705"/>
    </row>
    <row r="260" spans="2:25">
      <c r="B260" t="s">
        <v>676</v>
      </c>
      <c r="C260" t="s">
        <v>118</v>
      </c>
      <c r="D260" t="s">
        <v>584</v>
      </c>
      <c r="E260" t="s">
        <v>673</v>
      </c>
      <c r="F260">
        <v>1</v>
      </c>
      <c r="G260" s="705">
        <v>45</v>
      </c>
      <c r="H260" s="705">
        <v>247</v>
      </c>
      <c r="I260" s="705">
        <v>6302</v>
      </c>
      <c r="J260" s="706">
        <v>5729</v>
      </c>
      <c r="K260" s="705">
        <v>90</v>
      </c>
      <c r="L260" s="705">
        <v>760</v>
      </c>
      <c r="M260" s="705">
        <v>691</v>
      </c>
      <c r="N260" s="705">
        <v>550</v>
      </c>
      <c r="O260" s="705">
        <v>204</v>
      </c>
      <c r="P260">
        <v>473</v>
      </c>
      <c r="Q260" s="705">
        <v>175</v>
      </c>
      <c r="R260" s="705">
        <v>3041</v>
      </c>
      <c r="S260" s="705">
        <v>2764</v>
      </c>
      <c r="T260">
        <v>0</v>
      </c>
      <c r="U260" s="705">
        <v>0</v>
      </c>
      <c r="V260" s="705">
        <v>9563</v>
      </c>
      <c r="W260" s="705">
        <f t="shared" si="20"/>
        <v>9563</v>
      </c>
      <c r="X260" s="705">
        <f t="shared" si="21"/>
        <v>11126</v>
      </c>
      <c r="Y260" s="705"/>
    </row>
    <row r="261" spans="2:25">
      <c r="B261" t="s">
        <v>676</v>
      </c>
      <c r="C261" t="s">
        <v>118</v>
      </c>
      <c r="D261" t="s">
        <v>665</v>
      </c>
      <c r="E261" t="s">
        <v>665</v>
      </c>
      <c r="F261" s="705">
        <v>9</v>
      </c>
      <c r="G261" s="705">
        <v>555</v>
      </c>
      <c r="H261" s="705">
        <v>2435</v>
      </c>
      <c r="I261" s="705">
        <v>66605</v>
      </c>
      <c r="J261" s="706">
        <v>60550</v>
      </c>
      <c r="K261" s="705">
        <v>61</v>
      </c>
      <c r="L261" s="705">
        <v>7256</v>
      </c>
      <c r="M261" s="705">
        <v>4923</v>
      </c>
      <c r="N261" s="705">
        <v>12392</v>
      </c>
      <c r="O261" s="705">
        <v>4589</v>
      </c>
      <c r="P261" s="705">
        <v>3429</v>
      </c>
      <c r="Q261" s="705">
        <v>1270</v>
      </c>
      <c r="R261" s="705">
        <v>42256</v>
      </c>
      <c r="S261" s="705">
        <v>38414</v>
      </c>
      <c r="T261" s="705">
        <v>14745</v>
      </c>
      <c r="U261" s="705">
        <v>5461</v>
      </c>
      <c r="V261" s="705">
        <v>115208</v>
      </c>
      <c r="W261" s="705">
        <f t="shared" si="20"/>
        <v>115207</v>
      </c>
      <c r="X261" s="705">
        <f t="shared" si="21"/>
        <v>146683</v>
      </c>
      <c r="Y261" s="705"/>
    </row>
    <row r="262" spans="2:25">
      <c r="B262" t="s">
        <v>676</v>
      </c>
      <c r="C262" t="s">
        <v>118</v>
      </c>
      <c r="D262" t="s">
        <v>673</v>
      </c>
      <c r="E262" s="705" t="s">
        <v>673</v>
      </c>
      <c r="F262" s="705">
        <v>1</v>
      </c>
      <c r="G262" s="705">
        <v>45</v>
      </c>
      <c r="H262" s="705">
        <v>266</v>
      </c>
      <c r="I262" s="705">
        <v>5533</v>
      </c>
      <c r="J262" s="706">
        <v>5030</v>
      </c>
      <c r="K262" s="705">
        <v>65</v>
      </c>
      <c r="L262" s="705">
        <v>981</v>
      </c>
      <c r="M262" s="705">
        <v>363</v>
      </c>
      <c r="N262" s="705">
        <v>545</v>
      </c>
      <c r="O262" s="705">
        <v>202</v>
      </c>
      <c r="P262" s="705">
        <v>351</v>
      </c>
      <c r="Q262" s="705">
        <v>130</v>
      </c>
      <c r="R262" s="705">
        <v>2817</v>
      </c>
      <c r="S262" s="705">
        <v>2561</v>
      </c>
      <c r="T262" s="705">
        <v>1670</v>
      </c>
      <c r="U262" s="705">
        <v>619</v>
      </c>
      <c r="V262" s="705">
        <v>8905</v>
      </c>
      <c r="W262" s="705">
        <f t="shared" si="20"/>
        <v>8905</v>
      </c>
      <c r="X262" s="705">
        <f t="shared" si="21"/>
        <v>11897</v>
      </c>
      <c r="Y262" s="705"/>
    </row>
    <row r="263" spans="2:25">
      <c r="B263" t="s">
        <v>676</v>
      </c>
      <c r="C263" t="s">
        <v>120</v>
      </c>
      <c r="F263" s="705">
        <v>5</v>
      </c>
      <c r="G263" s="705">
        <v>230</v>
      </c>
      <c r="H263" s="705">
        <v>1766</v>
      </c>
      <c r="I263" s="705"/>
      <c r="J263" s="429">
        <v>0</v>
      </c>
      <c r="K263" s="705"/>
      <c r="L263" s="705"/>
      <c r="M263" s="705">
        <v>0</v>
      </c>
      <c r="N263" s="705">
        <v>4598</v>
      </c>
      <c r="O263" s="705">
        <v>1703</v>
      </c>
      <c r="P263">
        <v>473</v>
      </c>
      <c r="Q263" s="705">
        <v>175</v>
      </c>
      <c r="R263" s="705"/>
      <c r="S263">
        <v>0</v>
      </c>
      <c r="T263">
        <v>0</v>
      </c>
      <c r="U263" s="705">
        <v>0</v>
      </c>
      <c r="V263" s="705">
        <v>1878</v>
      </c>
      <c r="W263" s="705">
        <f t="shared" ref="W263:W326" si="24">SUM(ABS(J263),ABS(M263),ABS(O263),ABS(Q263),ABS(S263),ABS(U263))</f>
        <v>1878</v>
      </c>
      <c r="X263" s="705">
        <f t="shared" ref="X263:X326" si="25">SUM(ABS(I263),ABS(N263),ABS(P263),ABS(R263),ABS(T263),ABS(L263))</f>
        <v>5071</v>
      </c>
      <c r="Y263" s="705"/>
    </row>
    <row r="264" spans="2:25">
      <c r="B264" t="s">
        <v>676</v>
      </c>
      <c r="C264" t="s">
        <v>120</v>
      </c>
      <c r="D264" t="s">
        <v>582</v>
      </c>
      <c r="E264" t="s">
        <v>582</v>
      </c>
      <c r="F264" s="705">
        <v>1</v>
      </c>
      <c r="G264" s="705">
        <v>93</v>
      </c>
      <c r="H264" s="705">
        <v>375</v>
      </c>
      <c r="I264" s="705">
        <v>27218</v>
      </c>
      <c r="J264" s="706">
        <v>24743</v>
      </c>
      <c r="K264" s="705">
        <v>70</v>
      </c>
      <c r="L264" s="705">
        <v>0</v>
      </c>
      <c r="M264" s="705">
        <v>0</v>
      </c>
      <c r="N264" s="705">
        <v>2278</v>
      </c>
      <c r="O264" s="705">
        <v>844</v>
      </c>
      <c r="P264">
        <v>972</v>
      </c>
      <c r="Q264" s="705">
        <v>360</v>
      </c>
      <c r="R264" s="705">
        <v>4599</v>
      </c>
      <c r="S264" s="705">
        <v>4181</v>
      </c>
      <c r="T264">
        <v>0</v>
      </c>
      <c r="U264" s="705">
        <v>0</v>
      </c>
      <c r="V264" s="705">
        <v>30128</v>
      </c>
      <c r="W264" s="705">
        <f t="shared" si="24"/>
        <v>30128</v>
      </c>
      <c r="X264" s="705">
        <f t="shared" si="25"/>
        <v>35067</v>
      </c>
      <c r="Y264" s="705"/>
    </row>
    <row r="265" spans="2:25">
      <c r="B265" t="s">
        <v>676</v>
      </c>
      <c r="C265" t="s">
        <v>120</v>
      </c>
      <c r="D265" t="s">
        <v>228</v>
      </c>
      <c r="E265" t="s">
        <v>228</v>
      </c>
      <c r="F265" s="705">
        <v>650</v>
      </c>
      <c r="G265" s="705">
        <v>38815</v>
      </c>
      <c r="H265" s="705">
        <v>219182</v>
      </c>
      <c r="I265" s="705">
        <v>7679988</v>
      </c>
      <c r="J265" s="706">
        <v>2844440</v>
      </c>
      <c r="K265" s="705">
        <v>100</v>
      </c>
      <c r="L265" s="705">
        <v>733923</v>
      </c>
      <c r="M265" s="705">
        <v>335898</v>
      </c>
      <c r="N265" s="705">
        <v>790181</v>
      </c>
      <c r="O265" s="705">
        <v>292660</v>
      </c>
      <c r="P265" s="705">
        <v>17616</v>
      </c>
      <c r="Q265" s="705">
        <v>6524</v>
      </c>
      <c r="R265" s="705">
        <v>3863957</v>
      </c>
      <c r="S265" s="705">
        <v>1431095</v>
      </c>
      <c r="T265" s="705">
        <v>12485</v>
      </c>
      <c r="U265" s="705">
        <v>4624</v>
      </c>
      <c r="V265" s="705">
        <v>4915241</v>
      </c>
      <c r="W265" s="705">
        <f t="shared" si="24"/>
        <v>4915241</v>
      </c>
      <c r="X265" s="705">
        <f t="shared" si="25"/>
        <v>13098150</v>
      </c>
      <c r="Y265" s="705"/>
    </row>
    <row r="266" spans="2:25">
      <c r="B266" t="s">
        <v>676</v>
      </c>
      <c r="C266" t="s">
        <v>120</v>
      </c>
      <c r="D266" t="s">
        <v>228</v>
      </c>
      <c r="E266" s="705" t="s">
        <v>666</v>
      </c>
      <c r="F266" s="705">
        <v>1</v>
      </c>
      <c r="G266" s="705">
        <v>45</v>
      </c>
      <c r="H266" s="705">
        <v>365</v>
      </c>
      <c r="I266" s="705">
        <v>8133</v>
      </c>
      <c r="J266" s="706">
        <v>3012</v>
      </c>
      <c r="K266" s="705">
        <v>100</v>
      </c>
      <c r="L266" s="705">
        <v>736</v>
      </c>
      <c r="M266" s="705">
        <v>669</v>
      </c>
      <c r="N266" s="705">
        <v>769</v>
      </c>
      <c r="O266" s="705">
        <v>285</v>
      </c>
      <c r="P266" s="705">
        <v>0</v>
      </c>
      <c r="Q266" s="705">
        <v>0</v>
      </c>
      <c r="R266" s="705">
        <v>6819</v>
      </c>
      <c r="S266" s="705">
        <v>6199</v>
      </c>
      <c r="T266" s="705">
        <v>0</v>
      </c>
      <c r="U266" s="705">
        <v>0</v>
      </c>
      <c r="V266" s="705">
        <v>10165</v>
      </c>
      <c r="W266" s="705">
        <f t="shared" si="24"/>
        <v>10165</v>
      </c>
      <c r="X266" s="705">
        <f t="shared" si="25"/>
        <v>16457</v>
      </c>
      <c r="Y266" s="705"/>
    </row>
    <row r="267" spans="2:25">
      <c r="B267" t="s">
        <v>676</v>
      </c>
      <c r="C267" t="s">
        <v>120</v>
      </c>
      <c r="D267" t="s">
        <v>228</v>
      </c>
      <c r="E267" t="s">
        <v>584</v>
      </c>
      <c r="F267">
        <v>1</v>
      </c>
      <c r="G267">
        <v>76</v>
      </c>
      <c r="H267" s="705">
        <v>375</v>
      </c>
      <c r="I267" s="705">
        <v>19663</v>
      </c>
      <c r="J267" s="706">
        <v>7283</v>
      </c>
      <c r="K267" s="705">
        <v>100</v>
      </c>
      <c r="L267" s="705">
        <v>4005</v>
      </c>
      <c r="M267" s="705">
        <v>3641</v>
      </c>
      <c r="N267" s="705">
        <v>1765</v>
      </c>
      <c r="O267">
        <v>654</v>
      </c>
      <c r="P267">
        <v>0</v>
      </c>
      <c r="Q267" s="705">
        <v>0</v>
      </c>
      <c r="R267" s="705">
        <v>3190</v>
      </c>
      <c r="S267" s="705">
        <v>2900</v>
      </c>
      <c r="T267">
        <v>0</v>
      </c>
      <c r="U267" s="705">
        <v>0</v>
      </c>
      <c r="V267" s="705">
        <v>14478</v>
      </c>
      <c r="W267" s="705">
        <f t="shared" si="24"/>
        <v>14478</v>
      </c>
      <c r="X267" s="705">
        <f t="shared" si="25"/>
        <v>28623</v>
      </c>
      <c r="Y267" s="705"/>
    </row>
    <row r="268" spans="2:25">
      <c r="B268" t="s">
        <v>676</v>
      </c>
      <c r="C268" t="s">
        <v>120</v>
      </c>
      <c r="D268" t="s">
        <v>583</v>
      </c>
      <c r="E268" s="705" t="s">
        <v>228</v>
      </c>
      <c r="F268" s="705">
        <v>6</v>
      </c>
      <c r="G268" s="705">
        <v>423</v>
      </c>
      <c r="H268" s="705">
        <v>1987</v>
      </c>
      <c r="I268" s="705">
        <v>82788</v>
      </c>
      <c r="J268" s="706">
        <v>75262</v>
      </c>
      <c r="K268" s="705">
        <v>79</v>
      </c>
      <c r="L268" s="705">
        <v>6802</v>
      </c>
      <c r="M268" s="705">
        <v>6184</v>
      </c>
      <c r="N268" s="705">
        <v>7916</v>
      </c>
      <c r="O268" s="705">
        <v>2932</v>
      </c>
      <c r="P268" s="705">
        <v>3726</v>
      </c>
      <c r="Q268" s="705">
        <v>1380</v>
      </c>
      <c r="R268" s="705">
        <v>40195</v>
      </c>
      <c r="S268" s="705">
        <v>14887</v>
      </c>
      <c r="T268" s="705">
        <v>0</v>
      </c>
      <c r="U268" s="705">
        <v>0</v>
      </c>
      <c r="V268" s="705">
        <v>100644</v>
      </c>
      <c r="W268" s="705">
        <f t="shared" si="24"/>
        <v>100645</v>
      </c>
      <c r="X268" s="705">
        <f t="shared" si="25"/>
        <v>141427</v>
      </c>
      <c r="Y268" s="705"/>
    </row>
    <row r="269" spans="2:25">
      <c r="B269" t="s">
        <v>676</v>
      </c>
      <c r="C269" t="s">
        <v>120</v>
      </c>
      <c r="D269" t="s">
        <v>583</v>
      </c>
      <c r="E269" t="s">
        <v>583</v>
      </c>
      <c r="F269">
        <v>40</v>
      </c>
      <c r="G269" s="705">
        <v>3646</v>
      </c>
      <c r="H269" s="705">
        <v>13720</v>
      </c>
      <c r="I269" s="705">
        <v>792039</v>
      </c>
      <c r="J269" s="706">
        <v>720035</v>
      </c>
      <c r="K269" s="705">
        <v>81</v>
      </c>
      <c r="L269" s="705">
        <v>153493</v>
      </c>
      <c r="M269" s="705">
        <v>133426</v>
      </c>
      <c r="N269" s="705">
        <v>75461</v>
      </c>
      <c r="O269" s="705">
        <v>27949</v>
      </c>
      <c r="P269" s="705">
        <v>26244</v>
      </c>
      <c r="Q269" s="705">
        <v>9720</v>
      </c>
      <c r="R269" s="705">
        <v>163018</v>
      </c>
      <c r="S269" s="705">
        <v>148198</v>
      </c>
      <c r="T269" s="705">
        <v>63817</v>
      </c>
      <c r="U269" s="705">
        <v>23636</v>
      </c>
      <c r="V269" s="705">
        <v>1062964</v>
      </c>
      <c r="W269" s="705">
        <f t="shared" si="24"/>
        <v>1062964</v>
      </c>
      <c r="X269" s="705">
        <f t="shared" si="25"/>
        <v>1274072</v>
      </c>
      <c r="Y269" s="705"/>
    </row>
    <row r="270" spans="2:25">
      <c r="B270" t="s">
        <v>676</v>
      </c>
      <c r="C270" t="s">
        <v>120</v>
      </c>
      <c r="D270" t="s">
        <v>666</v>
      </c>
      <c r="E270" t="s">
        <v>666</v>
      </c>
      <c r="F270">
        <v>5</v>
      </c>
      <c r="G270" s="705">
        <v>239</v>
      </c>
      <c r="H270" s="705">
        <v>1714</v>
      </c>
      <c r="I270" s="705">
        <v>37165</v>
      </c>
      <c r="J270" s="706">
        <v>33786</v>
      </c>
      <c r="K270" s="705">
        <v>55</v>
      </c>
      <c r="L270" s="705">
        <v>5575</v>
      </c>
      <c r="M270" s="705">
        <v>2065</v>
      </c>
      <c r="N270" s="705">
        <v>5507</v>
      </c>
      <c r="O270" s="705">
        <v>2040</v>
      </c>
      <c r="P270" s="705">
        <v>1755</v>
      </c>
      <c r="Q270" s="705">
        <v>650</v>
      </c>
      <c r="R270" s="705">
        <v>21573</v>
      </c>
      <c r="S270" s="705">
        <v>19611</v>
      </c>
      <c r="T270" s="705">
        <v>9996</v>
      </c>
      <c r="U270" s="705">
        <v>3702</v>
      </c>
      <c r="V270" s="705">
        <v>61854</v>
      </c>
      <c r="W270" s="705">
        <f t="shared" si="24"/>
        <v>61854</v>
      </c>
      <c r="X270" s="705">
        <f t="shared" si="25"/>
        <v>81571</v>
      </c>
      <c r="Y270" s="705"/>
    </row>
    <row r="271" spans="2:25">
      <c r="B271" t="s">
        <v>676</v>
      </c>
      <c r="C271" t="s">
        <v>120</v>
      </c>
      <c r="D271" t="s">
        <v>584</v>
      </c>
      <c r="E271" t="s">
        <v>228</v>
      </c>
      <c r="F271" s="705">
        <v>5</v>
      </c>
      <c r="G271" s="705">
        <v>192</v>
      </c>
      <c r="H271" s="705">
        <v>1704</v>
      </c>
      <c r="I271" s="705">
        <v>40222</v>
      </c>
      <c r="J271" s="706">
        <v>36566</v>
      </c>
      <c r="K271" s="705">
        <v>70</v>
      </c>
      <c r="L271" s="705">
        <v>3611</v>
      </c>
      <c r="M271" s="705">
        <v>2234</v>
      </c>
      <c r="N271" s="705">
        <v>4061</v>
      </c>
      <c r="O271" s="705">
        <v>1504</v>
      </c>
      <c r="P271" s="705">
        <v>1418</v>
      </c>
      <c r="Q271" s="705">
        <v>525</v>
      </c>
      <c r="R271" s="705">
        <v>17114</v>
      </c>
      <c r="S271" s="705">
        <v>6339</v>
      </c>
      <c r="T271">
        <v>0</v>
      </c>
      <c r="U271" s="705">
        <v>0</v>
      </c>
      <c r="V271" s="705">
        <v>47167</v>
      </c>
      <c r="W271" s="705">
        <f t="shared" si="24"/>
        <v>47168</v>
      </c>
      <c r="X271" s="705">
        <f t="shared" si="25"/>
        <v>66426</v>
      </c>
      <c r="Y271" s="705"/>
    </row>
    <row r="272" spans="2:25">
      <c r="B272" t="s">
        <v>676</v>
      </c>
      <c r="C272" t="s">
        <v>120</v>
      </c>
      <c r="D272" t="s">
        <v>584</v>
      </c>
      <c r="E272" t="s">
        <v>584</v>
      </c>
      <c r="F272" s="705">
        <v>62</v>
      </c>
      <c r="G272" s="705">
        <v>3649</v>
      </c>
      <c r="H272" s="705">
        <v>20752</v>
      </c>
      <c r="I272" s="705">
        <v>711005</v>
      </c>
      <c r="J272" s="706">
        <v>646369</v>
      </c>
      <c r="K272" s="705">
        <v>79</v>
      </c>
      <c r="L272" s="705">
        <v>111522</v>
      </c>
      <c r="M272" s="705">
        <v>92089</v>
      </c>
      <c r="N272" s="705">
        <v>79479</v>
      </c>
      <c r="O272" s="705">
        <v>29437</v>
      </c>
      <c r="P272" s="705">
        <v>30699</v>
      </c>
      <c r="Q272" s="705">
        <v>11370</v>
      </c>
      <c r="R272" s="705">
        <v>249445</v>
      </c>
      <c r="S272" s="705">
        <v>226768</v>
      </c>
      <c r="T272" s="705">
        <v>41842</v>
      </c>
      <c r="U272" s="705">
        <v>15497</v>
      </c>
      <c r="V272" s="705">
        <v>1021530</v>
      </c>
      <c r="W272" s="705">
        <f t="shared" si="24"/>
        <v>1021530</v>
      </c>
      <c r="X272" s="705">
        <f t="shared" si="25"/>
        <v>1223992</v>
      </c>
      <c r="Y272" s="705"/>
    </row>
    <row r="273" spans="2:25">
      <c r="B273" t="s">
        <v>676</v>
      </c>
      <c r="C273" t="s">
        <v>120</v>
      </c>
      <c r="D273" t="s">
        <v>665</v>
      </c>
      <c r="E273" s="705" t="s">
        <v>228</v>
      </c>
      <c r="F273" s="705">
        <v>1</v>
      </c>
      <c r="G273" s="705">
        <v>61</v>
      </c>
      <c r="H273" s="705">
        <v>306</v>
      </c>
      <c r="I273" s="705">
        <v>6426</v>
      </c>
      <c r="J273" s="706">
        <v>5841</v>
      </c>
      <c r="K273" s="705">
        <v>50</v>
      </c>
      <c r="L273">
        <v>832</v>
      </c>
      <c r="M273" s="705">
        <v>308</v>
      </c>
      <c r="N273" s="705">
        <v>1486</v>
      </c>
      <c r="O273">
        <v>550</v>
      </c>
      <c r="P273">
        <v>351</v>
      </c>
      <c r="Q273" s="705">
        <v>130</v>
      </c>
      <c r="R273" s="705">
        <v>9539</v>
      </c>
      <c r="S273" s="705">
        <v>3533</v>
      </c>
      <c r="T273">
        <v>0</v>
      </c>
      <c r="U273" s="705">
        <v>0</v>
      </c>
      <c r="V273" s="705">
        <v>10363</v>
      </c>
      <c r="W273" s="705">
        <f t="shared" si="24"/>
        <v>10362</v>
      </c>
      <c r="X273" s="705">
        <f t="shared" si="25"/>
        <v>18634</v>
      </c>
      <c r="Y273" s="705"/>
    </row>
    <row r="274" spans="2:25">
      <c r="B274" t="s">
        <v>676</v>
      </c>
      <c r="C274" t="s">
        <v>120</v>
      </c>
      <c r="D274" t="s">
        <v>665</v>
      </c>
      <c r="E274" t="s">
        <v>665</v>
      </c>
      <c r="F274" s="705">
        <v>9</v>
      </c>
      <c r="G274" s="705">
        <v>430</v>
      </c>
      <c r="H274" s="705">
        <v>3027</v>
      </c>
      <c r="I274" s="705">
        <v>72918</v>
      </c>
      <c r="J274" s="706">
        <v>66289</v>
      </c>
      <c r="K274" s="705">
        <v>55</v>
      </c>
      <c r="L274" s="705">
        <v>2463</v>
      </c>
      <c r="M274" s="705">
        <v>2239</v>
      </c>
      <c r="N274" s="705">
        <v>10192</v>
      </c>
      <c r="O274" s="705">
        <v>3775</v>
      </c>
      <c r="P274" s="705">
        <v>3159</v>
      </c>
      <c r="Q274" s="705">
        <v>1170</v>
      </c>
      <c r="R274" s="705">
        <v>38484</v>
      </c>
      <c r="S274" s="705">
        <v>34986</v>
      </c>
      <c r="T274" s="705">
        <v>16893</v>
      </c>
      <c r="U274" s="705">
        <v>6257</v>
      </c>
      <c r="V274" s="705">
        <v>114716</v>
      </c>
      <c r="W274" s="705">
        <f t="shared" si="24"/>
        <v>114716</v>
      </c>
      <c r="X274" s="705">
        <f t="shared" si="25"/>
        <v>144109</v>
      </c>
      <c r="Y274" s="705"/>
    </row>
    <row r="275" spans="2:25">
      <c r="B275" t="s">
        <v>676</v>
      </c>
      <c r="C275" t="s">
        <v>122</v>
      </c>
      <c r="F275" s="705">
        <v>3</v>
      </c>
      <c r="G275" s="705">
        <v>135</v>
      </c>
      <c r="H275" s="705">
        <v>1212</v>
      </c>
      <c r="I275" s="705"/>
      <c r="J275" s="429">
        <v>0</v>
      </c>
      <c r="K275" s="705"/>
      <c r="L275" s="705"/>
      <c r="M275" s="705">
        <v>0</v>
      </c>
      <c r="N275" s="705">
        <v>3191</v>
      </c>
      <c r="O275" s="705">
        <v>1182</v>
      </c>
      <c r="P275">
        <v>824</v>
      </c>
      <c r="Q275" s="705">
        <v>305</v>
      </c>
      <c r="R275" s="705"/>
      <c r="S275">
        <v>0</v>
      </c>
      <c r="T275">
        <v>0</v>
      </c>
      <c r="U275" s="705">
        <v>0</v>
      </c>
      <c r="V275" s="705">
        <v>1487</v>
      </c>
      <c r="W275" s="705">
        <f t="shared" si="24"/>
        <v>1487</v>
      </c>
      <c r="X275" s="705">
        <f t="shared" si="25"/>
        <v>4015</v>
      </c>
      <c r="Y275" s="705"/>
    </row>
    <row r="276" spans="2:25">
      <c r="B276" t="s">
        <v>676</v>
      </c>
      <c r="C276" t="s">
        <v>122</v>
      </c>
      <c r="D276" t="s">
        <v>228</v>
      </c>
      <c r="E276" t="s">
        <v>228</v>
      </c>
      <c r="F276">
        <v>263</v>
      </c>
      <c r="G276" s="705">
        <v>14049</v>
      </c>
      <c r="H276" s="705">
        <v>108935</v>
      </c>
      <c r="I276" s="705">
        <v>3704416</v>
      </c>
      <c r="J276" s="706">
        <v>1372006</v>
      </c>
      <c r="K276" s="705">
        <v>100</v>
      </c>
      <c r="L276" s="705">
        <v>410502</v>
      </c>
      <c r="M276" s="705">
        <v>193136</v>
      </c>
      <c r="N276" s="705">
        <v>287483</v>
      </c>
      <c r="O276" s="705">
        <v>106475</v>
      </c>
      <c r="P276" s="705">
        <v>4479</v>
      </c>
      <c r="Q276" s="705">
        <v>1659</v>
      </c>
      <c r="R276" s="705">
        <v>1419446</v>
      </c>
      <c r="S276" s="705">
        <v>525721</v>
      </c>
      <c r="T276" s="705">
        <v>10349</v>
      </c>
      <c r="U276" s="705">
        <v>3833</v>
      </c>
      <c r="V276" s="705">
        <v>2202830</v>
      </c>
      <c r="W276" s="705">
        <f t="shared" si="24"/>
        <v>2202830</v>
      </c>
      <c r="X276" s="705">
        <f t="shared" si="25"/>
        <v>5836675</v>
      </c>
      <c r="Y276" s="705"/>
    </row>
    <row r="277" spans="2:25">
      <c r="B277" t="s">
        <v>676</v>
      </c>
      <c r="C277" t="s">
        <v>122</v>
      </c>
      <c r="D277" t="s">
        <v>583</v>
      </c>
      <c r="E277" t="s">
        <v>228</v>
      </c>
      <c r="F277">
        <v>1</v>
      </c>
      <c r="G277">
        <v>103</v>
      </c>
      <c r="H277" s="705">
        <v>446</v>
      </c>
      <c r="I277" s="705">
        <v>28243</v>
      </c>
      <c r="J277" s="706">
        <v>25676</v>
      </c>
      <c r="K277" s="705">
        <v>65</v>
      </c>
      <c r="L277" s="705">
        <v>7052</v>
      </c>
      <c r="M277" s="705">
        <v>5877</v>
      </c>
      <c r="N277" s="705">
        <v>2498</v>
      </c>
      <c r="O277" s="705">
        <v>925</v>
      </c>
      <c r="P277">
        <v>621</v>
      </c>
      <c r="Q277" s="705">
        <v>230</v>
      </c>
      <c r="R277" s="705">
        <v>7317</v>
      </c>
      <c r="S277" s="705">
        <v>2710</v>
      </c>
      <c r="T277">
        <v>0</v>
      </c>
      <c r="U277" s="705">
        <v>0</v>
      </c>
      <c r="V277" s="705">
        <v>35418</v>
      </c>
      <c r="W277" s="705">
        <f t="shared" si="24"/>
        <v>35418</v>
      </c>
      <c r="X277" s="705">
        <f t="shared" si="25"/>
        <v>45731</v>
      </c>
      <c r="Y277" s="705"/>
    </row>
    <row r="278" spans="2:25">
      <c r="B278" t="s">
        <v>676</v>
      </c>
      <c r="C278" t="s">
        <v>122</v>
      </c>
      <c r="D278" t="s">
        <v>583</v>
      </c>
      <c r="E278" t="s">
        <v>583</v>
      </c>
      <c r="F278" s="705">
        <v>18</v>
      </c>
      <c r="G278" s="705">
        <v>1622</v>
      </c>
      <c r="H278" s="705">
        <v>7290</v>
      </c>
      <c r="I278" s="705">
        <v>422147</v>
      </c>
      <c r="J278" s="706">
        <v>383770</v>
      </c>
      <c r="K278" s="705">
        <v>78</v>
      </c>
      <c r="L278" s="705">
        <v>74518</v>
      </c>
      <c r="M278" s="705">
        <v>65891</v>
      </c>
      <c r="N278" s="705">
        <v>36365</v>
      </c>
      <c r="O278" s="705">
        <v>13469</v>
      </c>
      <c r="P278" s="705">
        <v>11178</v>
      </c>
      <c r="Q278" s="705">
        <v>4140</v>
      </c>
      <c r="R278" s="705">
        <v>88925</v>
      </c>
      <c r="S278" s="705">
        <v>80841</v>
      </c>
      <c r="T278" s="705">
        <v>25038</v>
      </c>
      <c r="U278" s="705">
        <v>9273</v>
      </c>
      <c r="V278" s="705">
        <v>557383</v>
      </c>
      <c r="W278" s="705">
        <f t="shared" si="24"/>
        <v>557384</v>
      </c>
      <c r="X278" s="705">
        <f t="shared" si="25"/>
        <v>658171</v>
      </c>
      <c r="Y278" s="705"/>
    </row>
    <row r="279" spans="2:25">
      <c r="B279" t="s">
        <v>676</v>
      </c>
      <c r="C279" t="s">
        <v>122</v>
      </c>
      <c r="D279" t="s">
        <v>584</v>
      </c>
      <c r="E279" t="s">
        <v>584</v>
      </c>
      <c r="F279" s="705">
        <v>23</v>
      </c>
      <c r="G279" s="705">
        <v>1293</v>
      </c>
      <c r="H279" s="705">
        <v>9542</v>
      </c>
      <c r="I279" s="705">
        <v>351762</v>
      </c>
      <c r="J279" s="706">
        <v>319784</v>
      </c>
      <c r="K279" s="705">
        <v>78</v>
      </c>
      <c r="L279" s="705">
        <v>33878</v>
      </c>
      <c r="M279" s="705">
        <v>28217</v>
      </c>
      <c r="N279" s="705">
        <v>29831</v>
      </c>
      <c r="O279" s="705">
        <v>11049</v>
      </c>
      <c r="P279" s="705">
        <v>11570</v>
      </c>
      <c r="Q279" s="705">
        <v>4285</v>
      </c>
      <c r="R279" s="705">
        <v>91837</v>
      </c>
      <c r="S279" s="705">
        <v>83488</v>
      </c>
      <c r="T279" s="705">
        <v>19706</v>
      </c>
      <c r="U279" s="705">
        <v>7299</v>
      </c>
      <c r="V279" s="705">
        <v>454121</v>
      </c>
      <c r="W279" s="705">
        <f t="shared" si="24"/>
        <v>454122</v>
      </c>
      <c r="X279" s="705">
        <f t="shared" si="25"/>
        <v>538584</v>
      </c>
      <c r="Y279" s="705"/>
    </row>
    <row r="280" spans="2:25">
      <c r="B280" t="s">
        <v>676</v>
      </c>
      <c r="C280" t="s">
        <v>122</v>
      </c>
      <c r="D280" t="s">
        <v>665</v>
      </c>
      <c r="E280" s="705" t="s">
        <v>228</v>
      </c>
      <c r="F280" s="705">
        <v>1</v>
      </c>
      <c r="G280" s="705">
        <v>46</v>
      </c>
      <c r="H280" s="705">
        <v>436</v>
      </c>
      <c r="I280" s="705">
        <v>13552</v>
      </c>
      <c r="J280" s="706">
        <v>12320</v>
      </c>
      <c r="K280" s="705">
        <v>60</v>
      </c>
      <c r="L280" s="705">
        <v>2218</v>
      </c>
      <c r="M280" s="705">
        <v>821</v>
      </c>
      <c r="N280" s="705">
        <v>1125</v>
      </c>
      <c r="O280" s="705">
        <v>417</v>
      </c>
      <c r="P280" s="705">
        <v>0</v>
      </c>
      <c r="Q280" s="705">
        <v>0</v>
      </c>
      <c r="R280" s="705">
        <v>3208</v>
      </c>
      <c r="S280" s="705">
        <v>1188</v>
      </c>
      <c r="T280" s="705">
        <v>0</v>
      </c>
      <c r="U280" s="705">
        <v>0</v>
      </c>
      <c r="V280" s="705">
        <v>14746</v>
      </c>
      <c r="W280" s="705">
        <f t="shared" si="24"/>
        <v>14746</v>
      </c>
      <c r="X280" s="705">
        <f t="shared" si="25"/>
        <v>20103</v>
      </c>
      <c r="Y280" s="705"/>
    </row>
    <row r="281" spans="2:25">
      <c r="B281" t="s">
        <v>676</v>
      </c>
      <c r="C281" t="s">
        <v>122</v>
      </c>
      <c r="D281" t="s">
        <v>665</v>
      </c>
      <c r="E281" t="s">
        <v>665</v>
      </c>
      <c r="F281" s="705">
        <v>3</v>
      </c>
      <c r="G281" s="705">
        <v>145</v>
      </c>
      <c r="H281" s="705">
        <v>1240</v>
      </c>
      <c r="I281" s="705">
        <v>36395</v>
      </c>
      <c r="J281" s="706">
        <v>33087</v>
      </c>
      <c r="K281" s="705">
        <v>53</v>
      </c>
      <c r="L281" s="705">
        <v>1936</v>
      </c>
      <c r="M281" s="705">
        <v>717</v>
      </c>
      <c r="N281" s="705">
        <v>3531</v>
      </c>
      <c r="O281" s="705">
        <v>1308</v>
      </c>
      <c r="P281">
        <v>702</v>
      </c>
      <c r="Q281" s="705">
        <v>260</v>
      </c>
      <c r="R281" s="705">
        <v>15870</v>
      </c>
      <c r="S281" s="705">
        <v>14427</v>
      </c>
      <c r="T281" s="705">
        <v>1524</v>
      </c>
      <c r="U281" s="705">
        <v>564</v>
      </c>
      <c r="V281" s="705">
        <v>50363</v>
      </c>
      <c r="W281" s="705">
        <f t="shared" si="24"/>
        <v>50363</v>
      </c>
      <c r="X281" s="705">
        <f t="shared" si="25"/>
        <v>59958</v>
      </c>
      <c r="Y281" s="705"/>
    </row>
    <row r="282" spans="2:25">
      <c r="B282" t="s">
        <v>676</v>
      </c>
      <c r="C282" t="s">
        <v>124</v>
      </c>
      <c r="E282" s="705"/>
      <c r="F282" s="705">
        <v>6</v>
      </c>
      <c r="G282" s="705">
        <v>364</v>
      </c>
      <c r="H282" s="705">
        <v>3016</v>
      </c>
      <c r="I282" s="705"/>
      <c r="J282" s="429">
        <v>0</v>
      </c>
      <c r="K282" s="705"/>
      <c r="L282" s="705"/>
      <c r="M282" s="705">
        <v>0</v>
      </c>
      <c r="N282" s="705">
        <v>8254</v>
      </c>
      <c r="O282" s="705">
        <v>3057</v>
      </c>
      <c r="P282" s="705">
        <v>702</v>
      </c>
      <c r="Q282" s="705">
        <v>260</v>
      </c>
      <c r="R282" s="705"/>
      <c r="S282" s="705">
        <v>0</v>
      </c>
      <c r="T282" s="705">
        <v>0</v>
      </c>
      <c r="U282" s="705">
        <v>0</v>
      </c>
      <c r="V282" s="705">
        <v>3317</v>
      </c>
      <c r="W282" s="705">
        <f t="shared" si="24"/>
        <v>3317</v>
      </c>
      <c r="X282" s="705">
        <f t="shared" si="25"/>
        <v>8956</v>
      </c>
      <c r="Y282" s="705"/>
    </row>
    <row r="283" spans="2:25">
      <c r="B283" t="s">
        <v>676</v>
      </c>
      <c r="C283" t="s">
        <v>124</v>
      </c>
      <c r="D283" t="s">
        <v>582</v>
      </c>
      <c r="E283" t="s">
        <v>582</v>
      </c>
      <c r="F283">
        <v>3</v>
      </c>
      <c r="G283">
        <v>126</v>
      </c>
      <c r="H283" s="705">
        <v>1484</v>
      </c>
      <c r="I283" s="705">
        <v>27409</v>
      </c>
      <c r="J283" s="706">
        <v>24917</v>
      </c>
      <c r="K283" s="705">
        <v>79</v>
      </c>
      <c r="L283" s="705">
        <v>7016</v>
      </c>
      <c r="M283" s="705">
        <v>5457</v>
      </c>
      <c r="N283" s="705">
        <v>3069</v>
      </c>
      <c r="O283" s="705">
        <v>1137</v>
      </c>
      <c r="P283" s="705">
        <v>1418</v>
      </c>
      <c r="Q283" s="705">
        <v>525</v>
      </c>
      <c r="R283" s="705">
        <v>22249</v>
      </c>
      <c r="S283" s="705">
        <v>20226</v>
      </c>
      <c r="T283" s="705">
        <v>0</v>
      </c>
      <c r="U283" s="705">
        <v>0</v>
      </c>
      <c r="V283" s="705">
        <v>52262</v>
      </c>
      <c r="W283" s="705">
        <f t="shared" si="24"/>
        <v>52262</v>
      </c>
      <c r="X283" s="705">
        <f t="shared" si="25"/>
        <v>61161</v>
      </c>
      <c r="Y283" s="705"/>
    </row>
    <row r="284" spans="2:25">
      <c r="B284" t="s">
        <v>676</v>
      </c>
      <c r="C284" t="s">
        <v>124</v>
      </c>
      <c r="D284" t="s">
        <v>228</v>
      </c>
      <c r="E284" t="s">
        <v>228</v>
      </c>
      <c r="F284">
        <v>367</v>
      </c>
      <c r="G284" s="705">
        <v>19094</v>
      </c>
      <c r="H284" s="705">
        <v>221952</v>
      </c>
      <c r="I284" s="705">
        <v>8228286</v>
      </c>
      <c r="J284" s="706">
        <v>3047513</v>
      </c>
      <c r="K284" s="705">
        <v>100</v>
      </c>
      <c r="L284" s="705">
        <v>898857</v>
      </c>
      <c r="M284" s="705">
        <v>555048</v>
      </c>
      <c r="N284" s="705">
        <v>405101</v>
      </c>
      <c r="O284" s="705">
        <v>150037</v>
      </c>
      <c r="P284" s="705">
        <v>3924</v>
      </c>
      <c r="Q284" s="705">
        <v>1453</v>
      </c>
      <c r="R284" s="705">
        <v>2055244</v>
      </c>
      <c r="S284" s="705">
        <v>761201</v>
      </c>
      <c r="T284" s="705">
        <v>14859</v>
      </c>
      <c r="U284" s="705">
        <v>5503</v>
      </c>
      <c r="V284" s="705">
        <v>4520756</v>
      </c>
      <c r="W284" s="705">
        <f t="shared" si="24"/>
        <v>4520755</v>
      </c>
      <c r="X284" s="705">
        <f t="shared" si="25"/>
        <v>11606271</v>
      </c>
      <c r="Y284" s="705"/>
    </row>
    <row r="285" spans="2:25">
      <c r="B285" t="s">
        <v>676</v>
      </c>
      <c r="C285" t="s">
        <v>124</v>
      </c>
      <c r="D285" t="s">
        <v>228</v>
      </c>
      <c r="E285" t="s">
        <v>665</v>
      </c>
      <c r="F285">
        <v>1</v>
      </c>
      <c r="G285" s="705">
        <v>78</v>
      </c>
      <c r="H285" s="705">
        <v>590</v>
      </c>
      <c r="I285" s="705">
        <v>30662</v>
      </c>
      <c r="J285" s="706">
        <v>11356</v>
      </c>
      <c r="K285" s="705">
        <v>100</v>
      </c>
      <c r="L285" s="705">
        <v>2776</v>
      </c>
      <c r="M285" s="705">
        <v>2524</v>
      </c>
      <c r="N285" s="705">
        <v>1896</v>
      </c>
      <c r="O285" s="705">
        <v>702</v>
      </c>
      <c r="P285">
        <v>0</v>
      </c>
      <c r="Q285" s="705">
        <v>0</v>
      </c>
      <c r="R285" s="705">
        <v>7249</v>
      </c>
      <c r="S285" s="705">
        <v>6590</v>
      </c>
      <c r="T285" s="705">
        <v>3295</v>
      </c>
      <c r="U285" s="705">
        <v>1220</v>
      </c>
      <c r="V285" s="705">
        <v>22392</v>
      </c>
      <c r="W285" s="705">
        <f t="shared" si="24"/>
        <v>22392</v>
      </c>
      <c r="X285" s="705">
        <f t="shared" si="25"/>
        <v>45878</v>
      </c>
      <c r="Y285" s="705"/>
    </row>
    <row r="286" spans="2:25">
      <c r="B286" t="s">
        <v>676</v>
      </c>
      <c r="C286" t="s">
        <v>124</v>
      </c>
      <c r="D286" t="s">
        <v>583</v>
      </c>
      <c r="E286" s="705" t="s">
        <v>228</v>
      </c>
      <c r="F286" s="705">
        <v>2</v>
      </c>
      <c r="G286" s="705">
        <v>72</v>
      </c>
      <c r="H286" s="705">
        <v>979</v>
      </c>
      <c r="I286" s="705">
        <v>22955</v>
      </c>
      <c r="J286" s="706">
        <v>20868</v>
      </c>
      <c r="K286" s="705">
        <v>65</v>
      </c>
      <c r="L286" s="705">
        <v>3869</v>
      </c>
      <c r="M286" s="705">
        <v>1433</v>
      </c>
      <c r="N286" s="705">
        <v>1229</v>
      </c>
      <c r="O286" s="705">
        <v>455</v>
      </c>
      <c r="P286" s="705">
        <v>1242</v>
      </c>
      <c r="Q286" s="705">
        <v>460</v>
      </c>
      <c r="R286" s="705">
        <v>5937</v>
      </c>
      <c r="S286" s="705">
        <v>2199</v>
      </c>
      <c r="T286">
        <v>0</v>
      </c>
      <c r="U286" s="705">
        <v>0</v>
      </c>
      <c r="V286" s="705">
        <v>25415</v>
      </c>
      <c r="W286" s="705">
        <f t="shared" si="24"/>
        <v>25415</v>
      </c>
      <c r="X286" s="705">
        <f t="shared" si="25"/>
        <v>35232</v>
      </c>
      <c r="Y286" s="705"/>
    </row>
    <row r="287" spans="2:25">
      <c r="B287" t="s">
        <v>676</v>
      </c>
      <c r="C287" t="s">
        <v>124</v>
      </c>
      <c r="D287" t="s">
        <v>583</v>
      </c>
      <c r="E287" t="s">
        <v>583</v>
      </c>
      <c r="F287" s="705">
        <v>21</v>
      </c>
      <c r="G287" s="705">
        <v>1984</v>
      </c>
      <c r="H287" s="705">
        <v>11322</v>
      </c>
      <c r="I287" s="705">
        <v>747068</v>
      </c>
      <c r="J287" s="706">
        <v>679153</v>
      </c>
      <c r="K287" s="705">
        <v>72</v>
      </c>
      <c r="L287" s="705">
        <v>151977</v>
      </c>
      <c r="M287" s="705">
        <v>139310</v>
      </c>
      <c r="N287" s="705">
        <v>43022</v>
      </c>
      <c r="O287" s="705">
        <v>15934</v>
      </c>
      <c r="P287" s="705">
        <v>13041</v>
      </c>
      <c r="Q287" s="705">
        <v>4830</v>
      </c>
      <c r="R287" s="705">
        <v>89514</v>
      </c>
      <c r="S287" s="705">
        <v>81376</v>
      </c>
      <c r="T287" s="705">
        <v>33687</v>
      </c>
      <c r="U287" s="705">
        <v>12476</v>
      </c>
      <c r="V287" s="705">
        <v>933079</v>
      </c>
      <c r="W287" s="705">
        <f t="shared" si="24"/>
        <v>933079</v>
      </c>
      <c r="X287" s="705">
        <f t="shared" si="25"/>
        <v>1078309</v>
      </c>
      <c r="Y287" s="705"/>
    </row>
    <row r="288" spans="2:25">
      <c r="B288" t="s">
        <v>676</v>
      </c>
      <c r="C288" t="s">
        <v>124</v>
      </c>
      <c r="D288" t="s">
        <v>583</v>
      </c>
      <c r="E288" s="705" t="s">
        <v>665</v>
      </c>
      <c r="F288" s="705">
        <v>1</v>
      </c>
      <c r="G288" s="705">
        <v>190</v>
      </c>
      <c r="H288" s="705">
        <v>513</v>
      </c>
      <c r="I288" s="705">
        <v>72579</v>
      </c>
      <c r="J288" s="706">
        <v>65981</v>
      </c>
      <c r="K288" s="705">
        <v>65</v>
      </c>
      <c r="L288" s="705">
        <v>8306</v>
      </c>
      <c r="M288" s="705">
        <v>7551</v>
      </c>
      <c r="N288" s="705">
        <v>3351</v>
      </c>
      <c r="O288" s="705">
        <v>1241</v>
      </c>
      <c r="P288" s="705">
        <v>621</v>
      </c>
      <c r="Q288" s="705">
        <v>230</v>
      </c>
      <c r="R288" s="705">
        <v>8788</v>
      </c>
      <c r="S288" s="705">
        <v>7989</v>
      </c>
      <c r="T288" s="705">
        <v>3694</v>
      </c>
      <c r="U288" s="705">
        <v>1368</v>
      </c>
      <c r="V288" s="705">
        <v>84361</v>
      </c>
      <c r="W288" s="705">
        <f t="shared" si="24"/>
        <v>84360</v>
      </c>
      <c r="X288" s="705">
        <f t="shared" si="25"/>
        <v>97339</v>
      </c>
      <c r="Y288" s="705"/>
    </row>
    <row r="289" spans="2:25">
      <c r="B289" t="s">
        <v>676</v>
      </c>
      <c r="C289" t="s">
        <v>124</v>
      </c>
      <c r="D289" t="s">
        <v>666</v>
      </c>
      <c r="E289" t="s">
        <v>228</v>
      </c>
      <c r="F289">
        <v>2</v>
      </c>
      <c r="G289">
        <v>130</v>
      </c>
      <c r="H289" s="705">
        <v>1543</v>
      </c>
      <c r="I289" s="705">
        <v>70198</v>
      </c>
      <c r="J289" s="706">
        <v>63817</v>
      </c>
      <c r="K289" s="705">
        <v>43</v>
      </c>
      <c r="L289" s="705">
        <v>11949</v>
      </c>
      <c r="M289" s="705">
        <v>10013</v>
      </c>
      <c r="N289" s="705">
        <v>3178</v>
      </c>
      <c r="O289" s="705">
        <v>1177</v>
      </c>
      <c r="P289">
        <v>351</v>
      </c>
      <c r="Q289" s="705">
        <v>130</v>
      </c>
      <c r="R289" s="705">
        <v>12363</v>
      </c>
      <c r="S289" s="705">
        <v>4579</v>
      </c>
      <c r="T289">
        <v>0</v>
      </c>
      <c r="U289" s="705">
        <v>0</v>
      </c>
      <c r="V289" s="705">
        <v>79716</v>
      </c>
      <c r="W289" s="705">
        <f t="shared" si="24"/>
        <v>79716</v>
      </c>
      <c r="X289" s="705">
        <f t="shared" si="25"/>
        <v>98039</v>
      </c>
      <c r="Y289" s="705"/>
    </row>
    <row r="290" spans="2:25">
      <c r="B290" t="s">
        <v>676</v>
      </c>
      <c r="C290" t="s">
        <v>124</v>
      </c>
      <c r="D290" t="s">
        <v>666</v>
      </c>
      <c r="E290" t="s">
        <v>666</v>
      </c>
      <c r="F290" s="705">
        <v>3</v>
      </c>
      <c r="G290" s="705">
        <v>160</v>
      </c>
      <c r="H290" s="705">
        <v>1947</v>
      </c>
      <c r="I290" s="705">
        <v>72565</v>
      </c>
      <c r="J290" s="706">
        <v>65968</v>
      </c>
      <c r="K290" s="705">
        <v>55</v>
      </c>
      <c r="L290" s="705">
        <v>13663</v>
      </c>
      <c r="M290" s="705">
        <v>12421</v>
      </c>
      <c r="N290" s="705">
        <v>2816</v>
      </c>
      <c r="O290" s="705">
        <v>1043</v>
      </c>
      <c r="P290" s="705">
        <v>1053</v>
      </c>
      <c r="Q290" s="705">
        <v>390</v>
      </c>
      <c r="R290" s="705">
        <v>12610</v>
      </c>
      <c r="S290" s="705">
        <v>11464</v>
      </c>
      <c r="T290" s="705">
        <v>3488</v>
      </c>
      <c r="U290" s="705">
        <v>1292</v>
      </c>
      <c r="V290" s="705">
        <v>92578</v>
      </c>
      <c r="W290" s="705">
        <f t="shared" si="24"/>
        <v>92578</v>
      </c>
      <c r="X290" s="705">
        <f t="shared" si="25"/>
        <v>106195</v>
      </c>
      <c r="Y290" s="705"/>
    </row>
    <row r="291" spans="2:25">
      <c r="B291" t="s">
        <v>676</v>
      </c>
      <c r="C291" t="s">
        <v>124</v>
      </c>
      <c r="D291" t="s">
        <v>584</v>
      </c>
      <c r="E291" t="s">
        <v>584</v>
      </c>
      <c r="F291" s="705">
        <v>12</v>
      </c>
      <c r="G291" s="705">
        <v>812</v>
      </c>
      <c r="H291" s="705">
        <v>5991</v>
      </c>
      <c r="I291" s="705">
        <v>281835</v>
      </c>
      <c r="J291" s="706">
        <v>256213</v>
      </c>
      <c r="K291" s="705">
        <v>75</v>
      </c>
      <c r="L291" s="705">
        <v>53028</v>
      </c>
      <c r="M291" s="705">
        <v>47525</v>
      </c>
      <c r="N291" s="705">
        <v>18706</v>
      </c>
      <c r="O291" s="705">
        <v>6928</v>
      </c>
      <c r="P291" s="705">
        <v>5549</v>
      </c>
      <c r="Q291" s="705">
        <v>2055</v>
      </c>
      <c r="R291" s="705">
        <v>54850</v>
      </c>
      <c r="S291" s="705">
        <v>49863</v>
      </c>
      <c r="T291" s="705">
        <v>11743</v>
      </c>
      <c r="U291" s="705">
        <v>4349</v>
      </c>
      <c r="V291" s="705">
        <v>366934</v>
      </c>
      <c r="W291" s="705">
        <f t="shared" si="24"/>
        <v>366933</v>
      </c>
      <c r="X291" s="705">
        <f t="shared" si="25"/>
        <v>425711</v>
      </c>
      <c r="Y291" s="705"/>
    </row>
    <row r="292" spans="2:25">
      <c r="B292" t="s">
        <v>676</v>
      </c>
      <c r="C292" t="s">
        <v>124</v>
      </c>
      <c r="D292" t="s">
        <v>669</v>
      </c>
      <c r="E292" t="s">
        <v>669</v>
      </c>
      <c r="F292">
        <v>1</v>
      </c>
      <c r="G292">
        <v>76</v>
      </c>
      <c r="H292" s="705">
        <v>746</v>
      </c>
      <c r="I292" s="705">
        <v>40768</v>
      </c>
      <c r="J292" s="706">
        <v>33973</v>
      </c>
      <c r="K292" s="705">
        <v>55</v>
      </c>
      <c r="L292" s="705">
        <v>5606</v>
      </c>
      <c r="M292" s="705">
        <v>2076</v>
      </c>
      <c r="N292" s="705">
        <v>1675</v>
      </c>
      <c r="O292">
        <v>620</v>
      </c>
      <c r="P292">
        <v>351</v>
      </c>
      <c r="Q292" s="705">
        <v>130</v>
      </c>
      <c r="R292" s="705">
        <v>5988</v>
      </c>
      <c r="S292" s="705">
        <v>4990</v>
      </c>
      <c r="T292" s="705">
        <v>2563</v>
      </c>
      <c r="U292" s="705">
        <v>949</v>
      </c>
      <c r="V292" s="705">
        <v>42739</v>
      </c>
      <c r="W292" s="705">
        <f t="shared" si="24"/>
        <v>42738</v>
      </c>
      <c r="X292" s="705">
        <f t="shared" si="25"/>
        <v>56951</v>
      </c>
      <c r="Y292" s="705"/>
    </row>
    <row r="293" spans="2:25">
      <c r="B293" t="s">
        <v>676</v>
      </c>
      <c r="C293" t="s">
        <v>124</v>
      </c>
      <c r="D293" t="s">
        <v>665</v>
      </c>
      <c r="E293" t="s">
        <v>228</v>
      </c>
      <c r="F293" s="705">
        <v>7</v>
      </c>
      <c r="G293" s="705">
        <v>400</v>
      </c>
      <c r="H293" s="705">
        <v>5295</v>
      </c>
      <c r="I293" s="705">
        <v>218834</v>
      </c>
      <c r="J293" s="706">
        <v>198940</v>
      </c>
      <c r="K293" s="705">
        <v>43</v>
      </c>
      <c r="L293" s="705">
        <v>26155</v>
      </c>
      <c r="M293" s="705">
        <v>9687</v>
      </c>
      <c r="N293" s="705">
        <v>9742</v>
      </c>
      <c r="O293" s="705">
        <v>3608</v>
      </c>
      <c r="P293" s="705">
        <v>0</v>
      </c>
      <c r="Q293" s="705">
        <v>0</v>
      </c>
      <c r="R293" s="705">
        <v>34711</v>
      </c>
      <c r="S293" s="705">
        <v>12856</v>
      </c>
      <c r="T293" s="705">
        <v>0</v>
      </c>
      <c r="U293" s="705">
        <v>0</v>
      </c>
      <c r="V293" s="705">
        <v>225091</v>
      </c>
      <c r="W293" s="705">
        <f t="shared" si="24"/>
        <v>225091</v>
      </c>
      <c r="X293" s="705">
        <f t="shared" si="25"/>
        <v>289442</v>
      </c>
      <c r="Y293" s="705"/>
    </row>
    <row r="294" spans="2:25">
      <c r="B294" t="s">
        <v>676</v>
      </c>
      <c r="C294" t="s">
        <v>124</v>
      </c>
      <c r="D294" t="s">
        <v>665</v>
      </c>
      <c r="E294" s="705" t="s">
        <v>665</v>
      </c>
      <c r="F294" s="705">
        <v>9</v>
      </c>
      <c r="G294" s="705">
        <v>443</v>
      </c>
      <c r="H294" s="705">
        <v>6069</v>
      </c>
      <c r="I294" s="705">
        <v>210182</v>
      </c>
      <c r="J294" s="706">
        <v>191074</v>
      </c>
      <c r="K294" s="705">
        <v>52</v>
      </c>
      <c r="L294">
        <v>0</v>
      </c>
      <c r="M294" s="705">
        <v>0</v>
      </c>
      <c r="N294" s="705">
        <v>10511</v>
      </c>
      <c r="O294" s="705">
        <v>3893</v>
      </c>
      <c r="P294" s="705">
        <v>2808</v>
      </c>
      <c r="Q294" s="705">
        <v>1040</v>
      </c>
      <c r="R294" s="705">
        <v>40863</v>
      </c>
      <c r="S294" s="705">
        <v>37148</v>
      </c>
      <c r="T294" s="705">
        <v>17619</v>
      </c>
      <c r="U294" s="705">
        <v>6526</v>
      </c>
      <c r="V294" s="705">
        <v>239681</v>
      </c>
      <c r="W294" s="705">
        <f t="shared" si="24"/>
        <v>239681</v>
      </c>
      <c r="X294" s="705">
        <f t="shared" si="25"/>
        <v>281983</v>
      </c>
      <c r="Y294" s="705"/>
    </row>
    <row r="295" spans="2:25">
      <c r="B295" t="s">
        <v>676</v>
      </c>
      <c r="C295" t="s">
        <v>124</v>
      </c>
      <c r="D295" t="s">
        <v>585</v>
      </c>
      <c r="E295" t="s">
        <v>585</v>
      </c>
      <c r="F295" s="705">
        <v>1</v>
      </c>
      <c r="G295" s="705">
        <v>117</v>
      </c>
      <c r="H295" s="705">
        <v>598</v>
      </c>
      <c r="I295" s="705">
        <v>46602</v>
      </c>
      <c r="J295" s="706">
        <v>42365</v>
      </c>
      <c r="K295" s="705">
        <v>65</v>
      </c>
      <c r="L295" s="705">
        <v>11219</v>
      </c>
      <c r="M295" s="705">
        <v>10199</v>
      </c>
      <c r="N295" s="705">
        <v>2853</v>
      </c>
      <c r="O295" s="705">
        <v>1057</v>
      </c>
      <c r="P295" s="705">
        <v>351</v>
      </c>
      <c r="Q295" s="705">
        <v>130</v>
      </c>
      <c r="R295" s="705">
        <v>5650</v>
      </c>
      <c r="S295" s="705">
        <v>5136</v>
      </c>
      <c r="T295" s="705">
        <v>3353</v>
      </c>
      <c r="U295" s="705">
        <v>1242</v>
      </c>
      <c r="V295" s="705">
        <v>60129</v>
      </c>
      <c r="W295" s="705">
        <f t="shared" si="24"/>
        <v>60129</v>
      </c>
      <c r="X295" s="705">
        <f t="shared" si="25"/>
        <v>70028</v>
      </c>
      <c r="Y295" s="705"/>
    </row>
    <row r="296" spans="2:25">
      <c r="B296" t="s">
        <v>677</v>
      </c>
      <c r="C296" t="s">
        <v>108</v>
      </c>
      <c r="E296" s="705"/>
      <c r="F296" s="705">
        <v>1</v>
      </c>
      <c r="G296" s="705">
        <v>54</v>
      </c>
      <c r="H296" s="705">
        <v>36</v>
      </c>
      <c r="I296" s="705"/>
      <c r="J296" s="706">
        <v>0</v>
      </c>
      <c r="K296" s="705"/>
      <c r="L296" s="705"/>
      <c r="M296" s="705">
        <v>0</v>
      </c>
      <c r="N296" s="705">
        <v>1250</v>
      </c>
      <c r="O296" s="705">
        <v>463</v>
      </c>
      <c r="P296" s="705">
        <v>0</v>
      </c>
      <c r="Q296" s="705">
        <v>0</v>
      </c>
      <c r="R296" s="705"/>
      <c r="S296" s="705">
        <v>0</v>
      </c>
      <c r="T296" s="705">
        <v>0</v>
      </c>
      <c r="U296" s="705">
        <v>0</v>
      </c>
      <c r="V296">
        <v>463</v>
      </c>
      <c r="W296" s="705">
        <f t="shared" si="24"/>
        <v>463</v>
      </c>
      <c r="X296" s="705">
        <f t="shared" si="25"/>
        <v>1250</v>
      </c>
      <c r="Y296" s="705"/>
    </row>
    <row r="297" spans="2:25">
      <c r="B297" t="s">
        <v>677</v>
      </c>
      <c r="C297" t="s">
        <v>108</v>
      </c>
      <c r="D297" t="s">
        <v>582</v>
      </c>
      <c r="E297" t="s">
        <v>582</v>
      </c>
      <c r="F297">
        <v>1</v>
      </c>
      <c r="G297" s="705">
        <v>80</v>
      </c>
      <c r="H297" s="705">
        <v>71</v>
      </c>
      <c r="I297" s="705">
        <v>1196</v>
      </c>
      <c r="J297" s="706">
        <v>1088</v>
      </c>
      <c r="K297" s="705">
        <v>92</v>
      </c>
      <c r="L297" s="705">
        <v>0</v>
      </c>
      <c r="M297" s="705">
        <v>0</v>
      </c>
      <c r="N297">
        <v>975</v>
      </c>
      <c r="O297">
        <v>361</v>
      </c>
      <c r="P297">
        <v>351</v>
      </c>
      <c r="Q297" s="705">
        <v>130</v>
      </c>
      <c r="R297" s="705">
        <v>3144</v>
      </c>
      <c r="S297" s="705">
        <v>2858</v>
      </c>
      <c r="T297">
        <v>0</v>
      </c>
      <c r="U297" s="705">
        <v>0</v>
      </c>
      <c r="V297" s="705">
        <v>4437</v>
      </c>
      <c r="W297" s="705">
        <f t="shared" si="24"/>
        <v>4437</v>
      </c>
      <c r="X297" s="705">
        <f t="shared" si="25"/>
        <v>5666</v>
      </c>
      <c r="Y297" s="705"/>
    </row>
    <row r="298" spans="2:25">
      <c r="B298" t="s">
        <v>677</v>
      </c>
      <c r="C298" t="s">
        <v>108</v>
      </c>
      <c r="D298" t="s">
        <v>228</v>
      </c>
      <c r="E298" t="s">
        <v>228</v>
      </c>
      <c r="F298">
        <v>4</v>
      </c>
      <c r="G298">
        <v>263</v>
      </c>
      <c r="H298" s="705">
        <v>235</v>
      </c>
      <c r="I298" s="705">
        <v>-8578</v>
      </c>
      <c r="J298" s="706">
        <v>-3177</v>
      </c>
      <c r="K298" s="705">
        <v>454</v>
      </c>
      <c r="L298" s="705">
        <v>0</v>
      </c>
      <c r="M298" s="705">
        <v>0</v>
      </c>
      <c r="N298" s="705">
        <v>4672</v>
      </c>
      <c r="O298" s="705">
        <v>1730</v>
      </c>
      <c r="P298" s="705">
        <v>1404</v>
      </c>
      <c r="Q298" s="705">
        <v>520</v>
      </c>
      <c r="R298" s="705">
        <v>17910</v>
      </c>
      <c r="S298" s="705">
        <v>6633</v>
      </c>
      <c r="T298">
        <v>0</v>
      </c>
      <c r="U298" s="705">
        <v>0</v>
      </c>
      <c r="V298" s="705">
        <v>5706</v>
      </c>
      <c r="W298" s="705">
        <f t="shared" si="24"/>
        <v>12060</v>
      </c>
      <c r="X298" s="705">
        <f t="shared" si="25"/>
        <v>32564</v>
      </c>
      <c r="Y298" s="705"/>
    </row>
    <row r="299" spans="2:25">
      <c r="B299" t="s">
        <v>677</v>
      </c>
      <c r="C299" t="s">
        <v>110</v>
      </c>
      <c r="F299">
        <v>1</v>
      </c>
      <c r="G299" s="705">
        <v>66</v>
      </c>
      <c r="H299" s="705">
        <v>78</v>
      </c>
      <c r="I299" s="705"/>
      <c r="J299" s="706">
        <v>0</v>
      </c>
      <c r="K299" s="705"/>
      <c r="L299" s="705"/>
      <c r="M299" s="705">
        <v>0</v>
      </c>
      <c r="N299" s="705">
        <v>962</v>
      </c>
      <c r="O299" s="705">
        <v>356</v>
      </c>
      <c r="P299" s="705">
        <v>0</v>
      </c>
      <c r="Q299" s="705">
        <v>0</v>
      </c>
      <c r="R299" s="705"/>
      <c r="S299" s="705">
        <v>0</v>
      </c>
      <c r="T299" s="705">
        <v>0</v>
      </c>
      <c r="U299" s="705">
        <v>0</v>
      </c>
      <c r="V299">
        <v>356</v>
      </c>
      <c r="W299" s="705">
        <f t="shared" si="24"/>
        <v>356</v>
      </c>
      <c r="X299" s="705">
        <f t="shared" si="25"/>
        <v>962</v>
      </c>
      <c r="Y299" s="705"/>
    </row>
    <row r="300" spans="2:25">
      <c r="B300" t="s">
        <v>677</v>
      </c>
      <c r="C300" t="s">
        <v>110</v>
      </c>
      <c r="D300" t="s">
        <v>582</v>
      </c>
      <c r="E300" t="s">
        <v>582</v>
      </c>
      <c r="F300" s="705">
        <v>23</v>
      </c>
      <c r="G300" s="705">
        <v>1911</v>
      </c>
      <c r="H300" s="705">
        <v>2100</v>
      </c>
      <c r="I300" s="705">
        <v>66927</v>
      </c>
      <c r="J300" s="706">
        <v>60843</v>
      </c>
      <c r="K300" s="705">
        <v>90</v>
      </c>
      <c r="L300" s="705">
        <v>1451</v>
      </c>
      <c r="M300" s="705">
        <v>537</v>
      </c>
      <c r="N300" s="705">
        <v>28036</v>
      </c>
      <c r="O300" s="705">
        <v>10384</v>
      </c>
      <c r="P300" s="705">
        <v>9718</v>
      </c>
      <c r="Q300" s="705">
        <v>3599</v>
      </c>
      <c r="R300" s="705">
        <v>68138</v>
      </c>
      <c r="S300" s="705">
        <v>61943</v>
      </c>
      <c r="T300">
        <v>0</v>
      </c>
      <c r="U300" s="705">
        <v>0</v>
      </c>
      <c r="V300" s="705">
        <v>137306</v>
      </c>
      <c r="W300" s="705">
        <f t="shared" si="24"/>
        <v>137306</v>
      </c>
      <c r="X300" s="705">
        <f t="shared" si="25"/>
        <v>174270</v>
      </c>
      <c r="Y300" s="705"/>
    </row>
    <row r="301" spans="2:25">
      <c r="B301" t="s">
        <v>677</v>
      </c>
      <c r="C301" t="s">
        <v>110</v>
      </c>
      <c r="D301" t="s">
        <v>583</v>
      </c>
      <c r="E301" s="705" t="s">
        <v>583</v>
      </c>
      <c r="F301" s="705">
        <v>9</v>
      </c>
      <c r="G301" s="705">
        <v>794</v>
      </c>
      <c r="H301" s="705">
        <v>858</v>
      </c>
      <c r="I301" s="705">
        <v>37855</v>
      </c>
      <c r="J301" s="706">
        <v>34413</v>
      </c>
      <c r="K301" s="705">
        <v>93</v>
      </c>
      <c r="L301" s="705">
        <v>1064</v>
      </c>
      <c r="M301" s="705">
        <v>967</v>
      </c>
      <c r="N301" s="705">
        <v>9670</v>
      </c>
      <c r="O301" s="705">
        <v>3582</v>
      </c>
      <c r="P301" s="705">
        <v>5589</v>
      </c>
      <c r="Q301" s="705">
        <v>2070</v>
      </c>
      <c r="R301" s="705">
        <v>21511</v>
      </c>
      <c r="S301" s="705">
        <v>19555</v>
      </c>
      <c r="T301" s="705">
        <v>0</v>
      </c>
      <c r="U301" s="705">
        <v>0</v>
      </c>
      <c r="V301" s="705">
        <v>60587</v>
      </c>
      <c r="W301" s="705">
        <f t="shared" si="24"/>
        <v>60587</v>
      </c>
      <c r="X301" s="705">
        <f t="shared" si="25"/>
        <v>75689</v>
      </c>
      <c r="Y301" s="705"/>
    </row>
    <row r="302" spans="2:25">
      <c r="B302" t="s">
        <v>677</v>
      </c>
      <c r="C302" t="s">
        <v>112</v>
      </c>
      <c r="F302" s="705">
        <v>38</v>
      </c>
      <c r="G302" s="705">
        <v>1739</v>
      </c>
      <c r="H302" s="705">
        <v>4570</v>
      </c>
      <c r="I302" s="705"/>
      <c r="J302" s="706">
        <v>0</v>
      </c>
      <c r="K302" s="705"/>
      <c r="L302" s="705"/>
      <c r="M302" s="705">
        <v>0</v>
      </c>
      <c r="N302" s="705">
        <v>21440</v>
      </c>
      <c r="O302" s="705">
        <v>7941</v>
      </c>
      <c r="P302" s="705">
        <v>1242</v>
      </c>
      <c r="Q302" s="705">
        <v>460</v>
      </c>
      <c r="R302" s="705"/>
      <c r="S302">
        <v>0</v>
      </c>
      <c r="T302">
        <v>0</v>
      </c>
      <c r="U302" s="705">
        <v>0</v>
      </c>
      <c r="V302" s="705">
        <v>8401</v>
      </c>
      <c r="W302" s="705">
        <f t="shared" si="24"/>
        <v>8401</v>
      </c>
      <c r="X302" s="705">
        <f t="shared" si="25"/>
        <v>22682</v>
      </c>
      <c r="Y302" s="705"/>
    </row>
    <row r="303" spans="2:25">
      <c r="B303" t="s">
        <v>677</v>
      </c>
      <c r="C303" t="s">
        <v>112</v>
      </c>
      <c r="D303" t="s">
        <v>582</v>
      </c>
      <c r="E303" t="s">
        <v>582</v>
      </c>
      <c r="F303">
        <v>62</v>
      </c>
      <c r="G303" s="705">
        <v>5186</v>
      </c>
      <c r="H303" s="705">
        <v>7077</v>
      </c>
      <c r="I303" s="705">
        <v>279540</v>
      </c>
      <c r="J303" s="706">
        <v>254127</v>
      </c>
      <c r="K303" s="705">
        <v>86</v>
      </c>
      <c r="L303" s="705">
        <v>5469</v>
      </c>
      <c r="M303" s="705">
        <v>4123</v>
      </c>
      <c r="N303" s="705">
        <v>98580</v>
      </c>
      <c r="O303" s="705">
        <v>36511</v>
      </c>
      <c r="P303" s="705">
        <v>27851</v>
      </c>
      <c r="Q303" s="705">
        <v>10315</v>
      </c>
      <c r="R303" s="705">
        <v>181617</v>
      </c>
      <c r="S303" s="705">
        <v>165107</v>
      </c>
      <c r="T303">
        <v>0</v>
      </c>
      <c r="U303" s="705">
        <v>0</v>
      </c>
      <c r="V303" s="705">
        <v>470183</v>
      </c>
      <c r="W303" s="705">
        <f t="shared" si="24"/>
        <v>470183</v>
      </c>
      <c r="X303" s="705">
        <f t="shared" si="25"/>
        <v>593057</v>
      </c>
      <c r="Y303" s="705"/>
    </row>
    <row r="304" spans="2:25">
      <c r="B304" t="s">
        <v>677</v>
      </c>
      <c r="C304" t="s">
        <v>112</v>
      </c>
      <c r="D304" t="s">
        <v>228</v>
      </c>
      <c r="E304" s="705" t="s">
        <v>228</v>
      </c>
      <c r="F304" s="705">
        <v>1</v>
      </c>
      <c r="G304" s="705">
        <v>207</v>
      </c>
      <c r="H304" s="705">
        <v>107</v>
      </c>
      <c r="I304" s="705">
        <v>7858</v>
      </c>
      <c r="J304" s="706">
        <v>2910</v>
      </c>
      <c r="K304" s="705">
        <v>320</v>
      </c>
      <c r="L304">
        <v>0</v>
      </c>
      <c r="M304">
        <v>0</v>
      </c>
      <c r="N304" s="705">
        <v>3783</v>
      </c>
      <c r="O304" s="705">
        <v>1401</v>
      </c>
      <c r="P304">
        <v>702</v>
      </c>
      <c r="Q304" s="705">
        <v>260</v>
      </c>
      <c r="R304" s="705">
        <v>9849</v>
      </c>
      <c r="S304" s="705">
        <v>3648</v>
      </c>
      <c r="T304">
        <v>0</v>
      </c>
      <c r="U304" s="705">
        <v>0</v>
      </c>
      <c r="V304" s="705">
        <v>8219</v>
      </c>
      <c r="W304" s="705">
        <f t="shared" si="24"/>
        <v>8219</v>
      </c>
      <c r="X304" s="705">
        <f t="shared" si="25"/>
        <v>22192</v>
      </c>
      <c r="Y304" s="705"/>
    </row>
    <row r="305" spans="2:25">
      <c r="B305" t="s">
        <v>677</v>
      </c>
      <c r="C305" t="s">
        <v>112</v>
      </c>
      <c r="D305" t="s">
        <v>583</v>
      </c>
      <c r="E305" t="s">
        <v>583</v>
      </c>
      <c r="F305">
        <v>9</v>
      </c>
      <c r="G305" s="705">
        <v>714</v>
      </c>
      <c r="H305" s="705">
        <v>1003</v>
      </c>
      <c r="I305" s="705">
        <v>38856</v>
      </c>
      <c r="J305" s="706">
        <v>35324</v>
      </c>
      <c r="K305" s="705">
        <v>93</v>
      </c>
      <c r="L305" s="705">
        <v>3643</v>
      </c>
      <c r="M305" s="705">
        <v>2645</v>
      </c>
      <c r="N305" s="705">
        <v>9262</v>
      </c>
      <c r="O305" s="705">
        <v>3431</v>
      </c>
      <c r="P305" s="705">
        <v>5589</v>
      </c>
      <c r="Q305" s="705">
        <v>2070</v>
      </c>
      <c r="R305" s="705">
        <v>21410</v>
      </c>
      <c r="S305" s="705">
        <v>19464</v>
      </c>
      <c r="T305">
        <v>0</v>
      </c>
      <c r="U305" s="705">
        <v>0</v>
      </c>
      <c r="V305" s="705">
        <v>62933</v>
      </c>
      <c r="W305" s="705">
        <f t="shared" si="24"/>
        <v>62934</v>
      </c>
      <c r="X305" s="705">
        <f t="shared" si="25"/>
        <v>78760</v>
      </c>
      <c r="Y305" s="705"/>
    </row>
    <row r="306" spans="2:25">
      <c r="B306" t="s">
        <v>677</v>
      </c>
      <c r="C306" t="s">
        <v>112</v>
      </c>
      <c r="D306" t="s">
        <v>584</v>
      </c>
      <c r="E306" t="s">
        <v>584</v>
      </c>
      <c r="F306">
        <v>2</v>
      </c>
      <c r="G306">
        <v>196</v>
      </c>
      <c r="H306" s="705">
        <v>235</v>
      </c>
      <c r="I306" s="705">
        <v>8267</v>
      </c>
      <c r="J306" s="706">
        <v>7516</v>
      </c>
      <c r="K306" s="705">
        <v>77</v>
      </c>
      <c r="L306" s="705">
        <v>1576</v>
      </c>
      <c r="M306" s="705">
        <v>1433</v>
      </c>
      <c r="N306" s="705">
        <v>4469</v>
      </c>
      <c r="O306" s="705">
        <v>1655</v>
      </c>
      <c r="P306">
        <v>945</v>
      </c>
      <c r="Q306" s="705">
        <v>350</v>
      </c>
      <c r="R306" s="705">
        <v>7731</v>
      </c>
      <c r="S306" s="705">
        <v>7028</v>
      </c>
      <c r="T306">
        <v>0</v>
      </c>
      <c r="U306" s="705">
        <v>0</v>
      </c>
      <c r="V306" s="705">
        <v>17982</v>
      </c>
      <c r="W306" s="705">
        <f t="shared" si="24"/>
        <v>17982</v>
      </c>
      <c r="X306" s="705">
        <f t="shared" si="25"/>
        <v>22988</v>
      </c>
      <c r="Y306" s="705"/>
    </row>
    <row r="307" spans="2:25">
      <c r="B307" t="s">
        <v>677</v>
      </c>
      <c r="C307" t="s">
        <v>114</v>
      </c>
      <c r="E307" s="705"/>
      <c r="F307" s="705">
        <v>31</v>
      </c>
      <c r="G307" s="705">
        <v>1320</v>
      </c>
      <c r="H307" s="705">
        <v>4050</v>
      </c>
      <c r="I307" s="705"/>
      <c r="J307" s="429">
        <v>0</v>
      </c>
      <c r="K307" s="705"/>
      <c r="L307" s="705"/>
      <c r="M307" s="705">
        <v>0</v>
      </c>
      <c r="N307" s="705">
        <v>18221</v>
      </c>
      <c r="O307" s="705">
        <v>6748</v>
      </c>
      <c r="P307" s="705">
        <v>6210</v>
      </c>
      <c r="Q307" s="705">
        <v>2300</v>
      </c>
      <c r="R307" s="705"/>
      <c r="S307" s="705">
        <v>0</v>
      </c>
      <c r="T307" s="705">
        <v>0</v>
      </c>
      <c r="U307" s="705">
        <v>0</v>
      </c>
      <c r="V307" s="705">
        <v>9048</v>
      </c>
      <c r="W307" s="705">
        <f t="shared" si="24"/>
        <v>9048</v>
      </c>
      <c r="X307" s="705">
        <f t="shared" si="25"/>
        <v>24431</v>
      </c>
      <c r="Y307" s="705"/>
    </row>
    <row r="308" spans="2:25">
      <c r="B308" t="s">
        <v>677</v>
      </c>
      <c r="C308" t="s">
        <v>114</v>
      </c>
      <c r="D308" t="s">
        <v>664</v>
      </c>
      <c r="E308" t="s">
        <v>664</v>
      </c>
      <c r="F308" s="705">
        <v>1</v>
      </c>
      <c r="G308" s="705">
        <v>77</v>
      </c>
      <c r="H308" s="705">
        <v>141</v>
      </c>
      <c r="I308" s="705">
        <v>5999</v>
      </c>
      <c r="J308" s="706">
        <v>5454</v>
      </c>
      <c r="K308" s="705">
        <v>88</v>
      </c>
      <c r="L308" s="705">
        <v>0</v>
      </c>
      <c r="M308" s="705">
        <v>0</v>
      </c>
      <c r="N308" s="705">
        <v>1881</v>
      </c>
      <c r="O308" s="705">
        <v>697</v>
      </c>
      <c r="P308" s="705">
        <v>473</v>
      </c>
      <c r="Q308" s="705">
        <v>175</v>
      </c>
      <c r="R308" s="705">
        <v>2493</v>
      </c>
      <c r="S308" s="705">
        <v>2267</v>
      </c>
      <c r="T308" s="705">
        <v>0</v>
      </c>
      <c r="U308" s="705">
        <v>0</v>
      </c>
      <c r="V308" s="705">
        <v>8592</v>
      </c>
      <c r="W308" s="705">
        <f t="shared" si="24"/>
        <v>8593</v>
      </c>
      <c r="X308" s="705">
        <f t="shared" si="25"/>
        <v>10846</v>
      </c>
      <c r="Y308" s="705"/>
    </row>
    <row r="309" spans="2:25">
      <c r="B309" t="s">
        <v>677</v>
      </c>
      <c r="C309" t="s">
        <v>114</v>
      </c>
      <c r="D309" t="s">
        <v>582</v>
      </c>
      <c r="E309" s="705" t="s">
        <v>582</v>
      </c>
      <c r="F309" s="705">
        <v>67</v>
      </c>
      <c r="G309" s="705">
        <v>5341</v>
      </c>
      <c r="H309" s="705">
        <v>9271</v>
      </c>
      <c r="I309" s="705">
        <v>375493</v>
      </c>
      <c r="J309" s="706">
        <v>341358</v>
      </c>
      <c r="K309" s="705">
        <v>83</v>
      </c>
      <c r="L309" s="705">
        <v>25469</v>
      </c>
      <c r="M309" s="705">
        <v>20891</v>
      </c>
      <c r="N309" s="705">
        <v>107141</v>
      </c>
      <c r="O309" s="705">
        <v>39682</v>
      </c>
      <c r="P309" s="705">
        <v>30200</v>
      </c>
      <c r="Q309" s="705">
        <v>11185</v>
      </c>
      <c r="R309" s="705">
        <v>203174</v>
      </c>
      <c r="S309" s="705">
        <v>184703</v>
      </c>
      <c r="T309" s="705">
        <v>4505</v>
      </c>
      <c r="U309" s="705">
        <v>1669</v>
      </c>
      <c r="V309" s="705">
        <v>599487</v>
      </c>
      <c r="W309" s="705">
        <f t="shared" si="24"/>
        <v>599488</v>
      </c>
      <c r="X309" s="705">
        <f t="shared" si="25"/>
        <v>745982</v>
      </c>
      <c r="Y309" s="705"/>
    </row>
    <row r="310" spans="2:25">
      <c r="B310" t="s">
        <v>677</v>
      </c>
      <c r="C310" t="s">
        <v>114</v>
      </c>
      <c r="D310" t="s">
        <v>228</v>
      </c>
      <c r="E310" t="s">
        <v>228</v>
      </c>
      <c r="F310" s="705">
        <v>9</v>
      </c>
      <c r="G310" s="705">
        <v>715</v>
      </c>
      <c r="H310" s="705">
        <v>1292</v>
      </c>
      <c r="I310" s="705">
        <v>39415</v>
      </c>
      <c r="J310" s="706">
        <v>14598</v>
      </c>
      <c r="K310" s="705">
        <v>100</v>
      </c>
      <c r="L310" s="705">
        <v>1859</v>
      </c>
      <c r="M310" s="705">
        <v>689</v>
      </c>
      <c r="N310" s="705">
        <v>15783</v>
      </c>
      <c r="O310" s="705">
        <v>5845</v>
      </c>
      <c r="P310">
        <v>0</v>
      </c>
      <c r="Q310" s="705">
        <v>0</v>
      </c>
      <c r="R310" s="705">
        <v>45659</v>
      </c>
      <c r="S310" s="705">
        <v>16911</v>
      </c>
      <c r="T310">
        <v>0</v>
      </c>
      <c r="U310" s="705">
        <v>0</v>
      </c>
      <c r="V310" s="705">
        <v>38043</v>
      </c>
      <c r="W310" s="705">
        <f t="shared" si="24"/>
        <v>38043</v>
      </c>
      <c r="X310" s="705">
        <f t="shared" si="25"/>
        <v>102716</v>
      </c>
      <c r="Y310" s="705"/>
    </row>
    <row r="311" spans="2:25">
      <c r="B311" t="s">
        <v>677</v>
      </c>
      <c r="C311" t="s">
        <v>114</v>
      </c>
      <c r="D311" t="s">
        <v>583</v>
      </c>
      <c r="E311" t="s">
        <v>583</v>
      </c>
      <c r="F311">
        <v>24</v>
      </c>
      <c r="G311" s="705">
        <v>2314</v>
      </c>
      <c r="H311" s="705">
        <v>3360</v>
      </c>
      <c r="I311" s="705">
        <v>152693</v>
      </c>
      <c r="J311" s="706">
        <v>138812</v>
      </c>
      <c r="K311" s="705">
        <v>89</v>
      </c>
      <c r="L311" s="705">
        <v>23047</v>
      </c>
      <c r="M311" s="705">
        <v>19850</v>
      </c>
      <c r="N311" s="705">
        <v>42450</v>
      </c>
      <c r="O311" s="705">
        <v>15722</v>
      </c>
      <c r="P311" s="705">
        <v>14904</v>
      </c>
      <c r="Q311" s="705">
        <v>5520</v>
      </c>
      <c r="R311" s="705">
        <v>87176</v>
      </c>
      <c r="S311" s="705">
        <v>79251</v>
      </c>
      <c r="T311" s="705">
        <v>2698</v>
      </c>
      <c r="U311" s="705">
        <v>999</v>
      </c>
      <c r="V311" s="705">
        <v>260154</v>
      </c>
      <c r="W311" s="705">
        <f t="shared" si="24"/>
        <v>260154</v>
      </c>
      <c r="X311" s="705">
        <f t="shared" si="25"/>
        <v>322968</v>
      </c>
      <c r="Y311" s="705"/>
    </row>
    <row r="312" spans="2:25">
      <c r="B312" t="s">
        <v>677</v>
      </c>
      <c r="C312" t="s">
        <v>114</v>
      </c>
      <c r="D312" t="s">
        <v>584</v>
      </c>
      <c r="E312" t="s">
        <v>584</v>
      </c>
      <c r="F312" s="705">
        <v>3</v>
      </c>
      <c r="G312" s="705">
        <v>242</v>
      </c>
      <c r="H312" s="705">
        <v>398</v>
      </c>
      <c r="I312" s="705">
        <v>10946</v>
      </c>
      <c r="J312" s="706">
        <v>9951</v>
      </c>
      <c r="K312" s="705">
        <v>77</v>
      </c>
      <c r="L312" s="705">
        <v>1123</v>
      </c>
      <c r="M312" s="705">
        <v>641</v>
      </c>
      <c r="N312" s="705">
        <v>4666</v>
      </c>
      <c r="O312" s="705">
        <v>1728</v>
      </c>
      <c r="P312" s="705">
        <v>1418</v>
      </c>
      <c r="Q312" s="705">
        <v>525</v>
      </c>
      <c r="R312" s="705">
        <v>14087</v>
      </c>
      <c r="S312" s="705">
        <v>12806</v>
      </c>
      <c r="T312" s="705">
        <v>0</v>
      </c>
      <c r="U312" s="705">
        <v>0</v>
      </c>
      <c r="V312" s="705">
        <v>25651</v>
      </c>
      <c r="W312" s="705">
        <f t="shared" si="24"/>
        <v>25651</v>
      </c>
      <c r="X312" s="705">
        <f t="shared" si="25"/>
        <v>32240</v>
      </c>
      <c r="Y312" s="705"/>
    </row>
    <row r="313" spans="2:25">
      <c r="B313" t="s">
        <v>677</v>
      </c>
      <c r="C313" t="s">
        <v>116</v>
      </c>
      <c r="F313" s="705">
        <v>49</v>
      </c>
      <c r="G313" s="705">
        <v>2214</v>
      </c>
      <c r="H313" s="705">
        <v>9163</v>
      </c>
      <c r="I313" s="705"/>
      <c r="J313" s="706">
        <v>0</v>
      </c>
      <c r="K313" s="705"/>
      <c r="L313" s="705"/>
      <c r="M313" s="705">
        <v>0</v>
      </c>
      <c r="N313" s="705">
        <v>41268</v>
      </c>
      <c r="O313" s="705">
        <v>15284</v>
      </c>
      <c r="P313" s="705">
        <v>27054</v>
      </c>
      <c r="Q313" s="705">
        <v>10020</v>
      </c>
      <c r="R313" s="705"/>
      <c r="S313" s="705">
        <v>0</v>
      </c>
      <c r="T313" s="705">
        <v>0</v>
      </c>
      <c r="U313" s="705">
        <v>0</v>
      </c>
      <c r="V313" s="705">
        <v>25304</v>
      </c>
      <c r="W313" s="705">
        <f t="shared" si="24"/>
        <v>25304</v>
      </c>
      <c r="X313" s="705">
        <f t="shared" si="25"/>
        <v>68322</v>
      </c>
      <c r="Y313" s="705"/>
    </row>
    <row r="314" spans="2:25">
      <c r="B314" t="s">
        <v>677</v>
      </c>
      <c r="C314" t="s">
        <v>116</v>
      </c>
      <c r="D314" t="s">
        <v>664</v>
      </c>
      <c r="E314" t="s">
        <v>664</v>
      </c>
      <c r="F314">
        <v>4</v>
      </c>
      <c r="G314" s="705">
        <v>304</v>
      </c>
      <c r="H314" s="705">
        <v>723</v>
      </c>
      <c r="I314" s="705">
        <v>28563</v>
      </c>
      <c r="J314" s="706">
        <v>25966</v>
      </c>
      <c r="K314" s="705">
        <v>84</v>
      </c>
      <c r="L314" s="705">
        <v>2102</v>
      </c>
      <c r="M314" s="705">
        <v>779</v>
      </c>
      <c r="N314" s="705">
        <v>5596</v>
      </c>
      <c r="O314" s="705">
        <v>2073</v>
      </c>
      <c r="P314" s="705">
        <v>1890</v>
      </c>
      <c r="Q314" s="705">
        <v>700</v>
      </c>
      <c r="R314" s="705">
        <v>17232</v>
      </c>
      <c r="S314" s="705">
        <v>15665</v>
      </c>
      <c r="T314" s="705">
        <v>0</v>
      </c>
      <c r="U314" s="705">
        <v>0</v>
      </c>
      <c r="V314" s="705">
        <v>45183</v>
      </c>
      <c r="W314" s="705">
        <f t="shared" si="24"/>
        <v>45183</v>
      </c>
      <c r="X314" s="705">
        <f t="shared" si="25"/>
        <v>55383</v>
      </c>
      <c r="Y314" s="705"/>
    </row>
    <row r="315" spans="2:25">
      <c r="B315" t="s">
        <v>677</v>
      </c>
      <c r="C315" t="s">
        <v>116</v>
      </c>
      <c r="D315" t="s">
        <v>582</v>
      </c>
      <c r="E315" t="s">
        <v>582</v>
      </c>
      <c r="F315" s="705">
        <v>361</v>
      </c>
      <c r="G315" s="705">
        <v>24042</v>
      </c>
      <c r="H315" s="705">
        <v>66321</v>
      </c>
      <c r="I315" s="705">
        <v>2566274</v>
      </c>
      <c r="J315" s="706">
        <v>2332976</v>
      </c>
      <c r="K315" s="705">
        <v>82</v>
      </c>
      <c r="L315" s="705">
        <v>190191</v>
      </c>
      <c r="M315" s="705">
        <v>135871</v>
      </c>
      <c r="N315" s="705">
        <v>456312</v>
      </c>
      <c r="O315" s="705">
        <v>169004</v>
      </c>
      <c r="P315" s="705">
        <v>153254</v>
      </c>
      <c r="Q315" s="705">
        <v>56761</v>
      </c>
      <c r="R315" s="705">
        <v>962200</v>
      </c>
      <c r="S315" s="705">
        <v>874727</v>
      </c>
      <c r="T315" s="705">
        <v>72164</v>
      </c>
      <c r="U315" s="705">
        <v>26727</v>
      </c>
      <c r="V315" s="705">
        <v>3596067</v>
      </c>
      <c r="W315" s="705">
        <f t="shared" si="24"/>
        <v>3596066</v>
      </c>
      <c r="X315" s="705">
        <f t="shared" si="25"/>
        <v>4400395</v>
      </c>
      <c r="Y315" s="705"/>
    </row>
    <row r="316" spans="2:25">
      <c r="B316" t="s">
        <v>677</v>
      </c>
      <c r="C316" t="s">
        <v>116</v>
      </c>
      <c r="D316" t="s">
        <v>582</v>
      </c>
      <c r="E316" s="705" t="s">
        <v>228</v>
      </c>
      <c r="F316" s="705">
        <v>1</v>
      </c>
      <c r="G316" s="705">
        <v>92</v>
      </c>
      <c r="H316" s="705">
        <v>216</v>
      </c>
      <c r="I316" s="705">
        <v>7340</v>
      </c>
      <c r="J316" s="706">
        <v>6672</v>
      </c>
      <c r="K316" s="705">
        <v>81</v>
      </c>
      <c r="L316" s="705">
        <v>2292</v>
      </c>
      <c r="M316" s="705">
        <v>1910</v>
      </c>
      <c r="N316" s="705">
        <v>2230</v>
      </c>
      <c r="O316" s="705">
        <v>826</v>
      </c>
      <c r="P316" s="705">
        <v>473</v>
      </c>
      <c r="Q316" s="705">
        <v>175</v>
      </c>
      <c r="R316" s="705">
        <v>7396</v>
      </c>
      <c r="S316" s="705">
        <v>2739</v>
      </c>
      <c r="T316" s="705">
        <v>0</v>
      </c>
      <c r="U316" s="705">
        <v>0</v>
      </c>
      <c r="V316" s="705">
        <v>12323</v>
      </c>
      <c r="W316" s="705">
        <f t="shared" si="24"/>
        <v>12322</v>
      </c>
      <c r="X316" s="705">
        <f t="shared" si="25"/>
        <v>19731</v>
      </c>
      <c r="Y316" s="705"/>
    </row>
    <row r="317" spans="2:25">
      <c r="B317" t="s">
        <v>677</v>
      </c>
      <c r="C317" t="s">
        <v>116</v>
      </c>
      <c r="D317" t="s">
        <v>228</v>
      </c>
      <c r="E317" t="s">
        <v>228</v>
      </c>
      <c r="F317" s="705">
        <v>164</v>
      </c>
      <c r="G317" s="705">
        <v>11363</v>
      </c>
      <c r="H317" s="705">
        <v>32396</v>
      </c>
      <c r="I317" s="705">
        <v>986977</v>
      </c>
      <c r="J317" s="706">
        <v>365547</v>
      </c>
      <c r="K317" s="705">
        <v>100</v>
      </c>
      <c r="L317" s="705">
        <v>55534</v>
      </c>
      <c r="M317" s="705">
        <v>20818</v>
      </c>
      <c r="N317" s="705">
        <v>247565</v>
      </c>
      <c r="O317" s="705">
        <v>91691</v>
      </c>
      <c r="P317" s="705">
        <v>1053</v>
      </c>
      <c r="Q317" s="705">
        <v>390</v>
      </c>
      <c r="R317" s="705">
        <v>944788</v>
      </c>
      <c r="S317" s="705">
        <v>349921</v>
      </c>
      <c r="T317">
        <v>0</v>
      </c>
      <c r="U317" s="705">
        <v>0</v>
      </c>
      <c r="V317" s="705">
        <v>828367</v>
      </c>
      <c r="W317" s="705">
        <f t="shared" si="24"/>
        <v>828367</v>
      </c>
      <c r="X317" s="705">
        <f t="shared" si="25"/>
        <v>2235917</v>
      </c>
      <c r="Y317" s="705"/>
    </row>
    <row r="318" spans="2:25">
      <c r="B318" t="s">
        <v>677</v>
      </c>
      <c r="C318" t="s">
        <v>116</v>
      </c>
      <c r="D318" t="s">
        <v>583</v>
      </c>
      <c r="E318" t="s">
        <v>228</v>
      </c>
      <c r="F318" s="705">
        <v>11</v>
      </c>
      <c r="G318" s="705">
        <v>665</v>
      </c>
      <c r="H318" s="705">
        <v>2223</v>
      </c>
      <c r="I318" s="705">
        <v>60273</v>
      </c>
      <c r="J318" s="706">
        <v>54793</v>
      </c>
      <c r="K318" s="705">
        <v>85</v>
      </c>
      <c r="L318" s="705">
        <v>1687</v>
      </c>
      <c r="M318" s="705">
        <v>625</v>
      </c>
      <c r="N318" s="705">
        <v>11086</v>
      </c>
      <c r="O318" s="705">
        <v>4106</v>
      </c>
      <c r="P318" s="705">
        <v>6831</v>
      </c>
      <c r="Q318" s="705">
        <v>2530</v>
      </c>
      <c r="R318" s="705">
        <v>55888</v>
      </c>
      <c r="S318" s="705">
        <v>20699</v>
      </c>
      <c r="T318" s="705">
        <v>0</v>
      </c>
      <c r="U318" s="705">
        <v>0</v>
      </c>
      <c r="V318" s="705">
        <v>82753</v>
      </c>
      <c r="W318" s="705">
        <f t="shared" si="24"/>
        <v>82753</v>
      </c>
      <c r="X318" s="705">
        <f t="shared" si="25"/>
        <v>135765</v>
      </c>
      <c r="Y318" s="705"/>
    </row>
    <row r="319" spans="2:25">
      <c r="B319" t="s">
        <v>677</v>
      </c>
      <c r="C319" t="s">
        <v>116</v>
      </c>
      <c r="D319" t="s">
        <v>583</v>
      </c>
      <c r="E319" s="705" t="s">
        <v>583</v>
      </c>
      <c r="F319" s="705">
        <v>176</v>
      </c>
      <c r="G319" s="705">
        <v>15164</v>
      </c>
      <c r="H319" s="705">
        <v>33035</v>
      </c>
      <c r="I319" s="705">
        <v>1460019</v>
      </c>
      <c r="J319" s="706">
        <v>1327290</v>
      </c>
      <c r="K319" s="705">
        <v>86</v>
      </c>
      <c r="L319" s="705">
        <v>220659</v>
      </c>
      <c r="M319" s="705">
        <v>194114</v>
      </c>
      <c r="N319" s="705">
        <v>304918</v>
      </c>
      <c r="O319" s="705">
        <v>112932</v>
      </c>
      <c r="P319" s="705">
        <v>110633</v>
      </c>
      <c r="Q319" s="705">
        <v>40975</v>
      </c>
      <c r="R319" s="705">
        <v>675840</v>
      </c>
      <c r="S319" s="705">
        <v>614400</v>
      </c>
      <c r="T319" s="705">
        <v>133366</v>
      </c>
      <c r="U319" s="705">
        <v>49395</v>
      </c>
      <c r="V319" s="705">
        <v>2339106</v>
      </c>
      <c r="W319" s="705">
        <f t="shared" si="24"/>
        <v>2339106</v>
      </c>
      <c r="X319" s="705">
        <f t="shared" si="25"/>
        <v>2905435</v>
      </c>
      <c r="Y319" s="705"/>
    </row>
    <row r="320" spans="2:25">
      <c r="B320" t="s">
        <v>677</v>
      </c>
      <c r="C320" t="s">
        <v>116</v>
      </c>
      <c r="D320" t="s">
        <v>584</v>
      </c>
      <c r="E320" t="s">
        <v>584</v>
      </c>
      <c r="F320" s="705">
        <v>17</v>
      </c>
      <c r="G320" s="705">
        <v>1251</v>
      </c>
      <c r="H320" s="705">
        <v>3073</v>
      </c>
      <c r="I320" s="705">
        <v>114894</v>
      </c>
      <c r="J320" s="706">
        <v>104449</v>
      </c>
      <c r="K320" s="705">
        <v>81</v>
      </c>
      <c r="L320" s="705">
        <v>18786</v>
      </c>
      <c r="M320" s="705">
        <v>16039</v>
      </c>
      <c r="N320" s="705">
        <v>23254</v>
      </c>
      <c r="O320" s="705">
        <v>8613</v>
      </c>
      <c r="P320" s="705">
        <v>8033</v>
      </c>
      <c r="Q320" s="705">
        <v>2975</v>
      </c>
      <c r="R320" s="705">
        <v>49421</v>
      </c>
      <c r="S320" s="705">
        <v>44929</v>
      </c>
      <c r="T320" s="705">
        <v>10948</v>
      </c>
      <c r="U320" s="705">
        <v>4055</v>
      </c>
      <c r="V320" s="705">
        <v>181059</v>
      </c>
      <c r="W320" s="705">
        <f t="shared" si="24"/>
        <v>181060</v>
      </c>
      <c r="X320" s="705">
        <f t="shared" si="25"/>
        <v>225336</v>
      </c>
      <c r="Y320" s="705"/>
    </row>
    <row r="321" spans="2:25">
      <c r="B321" t="s">
        <v>677</v>
      </c>
      <c r="C321" t="s">
        <v>116</v>
      </c>
      <c r="D321" t="s">
        <v>669</v>
      </c>
      <c r="E321" t="s">
        <v>669</v>
      </c>
      <c r="F321" s="705">
        <v>1</v>
      </c>
      <c r="G321" s="705">
        <v>74</v>
      </c>
      <c r="H321" s="705">
        <v>215</v>
      </c>
      <c r="I321" s="705">
        <v>8259</v>
      </c>
      <c r="J321" s="706">
        <v>6882</v>
      </c>
      <c r="K321" s="705">
        <v>65</v>
      </c>
      <c r="L321" s="705">
        <v>0</v>
      </c>
      <c r="M321" s="705">
        <v>0</v>
      </c>
      <c r="N321" s="705">
        <v>907</v>
      </c>
      <c r="O321" s="705">
        <v>336</v>
      </c>
      <c r="P321" s="705">
        <v>351</v>
      </c>
      <c r="Q321" s="705">
        <v>130</v>
      </c>
      <c r="R321" s="705">
        <v>4411</v>
      </c>
      <c r="S321" s="705">
        <v>3675</v>
      </c>
      <c r="T321" s="705">
        <v>2090</v>
      </c>
      <c r="U321" s="705">
        <v>774</v>
      </c>
      <c r="V321" s="705">
        <v>11798</v>
      </c>
      <c r="W321" s="705">
        <f t="shared" si="24"/>
        <v>11797</v>
      </c>
      <c r="X321" s="705">
        <f t="shared" si="25"/>
        <v>16018</v>
      </c>
      <c r="Y321" s="705"/>
    </row>
    <row r="322" spans="2:25">
      <c r="B322" t="s">
        <v>677</v>
      </c>
      <c r="C322" t="s">
        <v>116</v>
      </c>
      <c r="D322" t="s">
        <v>665</v>
      </c>
      <c r="E322" t="s">
        <v>665</v>
      </c>
      <c r="F322">
        <v>2</v>
      </c>
      <c r="G322">
        <v>264</v>
      </c>
      <c r="H322" s="705">
        <v>396</v>
      </c>
      <c r="I322" s="705">
        <v>30815</v>
      </c>
      <c r="J322" s="706">
        <v>28014</v>
      </c>
      <c r="K322" s="705">
        <v>60</v>
      </c>
      <c r="L322" s="705">
        <v>1061</v>
      </c>
      <c r="M322" s="705">
        <v>965</v>
      </c>
      <c r="N322" s="705">
        <v>3219</v>
      </c>
      <c r="O322" s="705">
        <v>1192</v>
      </c>
      <c r="P322">
        <v>702</v>
      </c>
      <c r="Q322" s="705">
        <v>260</v>
      </c>
      <c r="R322" s="705">
        <v>12906</v>
      </c>
      <c r="S322" s="705">
        <v>11733</v>
      </c>
      <c r="T322" s="705">
        <v>2606</v>
      </c>
      <c r="U322" s="705">
        <v>965</v>
      </c>
      <c r="V322" s="705">
        <v>43129</v>
      </c>
      <c r="W322" s="705">
        <f t="shared" si="24"/>
        <v>43129</v>
      </c>
      <c r="X322" s="705">
        <f t="shared" si="25"/>
        <v>51309</v>
      </c>
      <c r="Y322" s="705"/>
    </row>
    <row r="323" spans="2:25">
      <c r="B323" t="s">
        <v>677</v>
      </c>
      <c r="C323" t="s">
        <v>118</v>
      </c>
      <c r="F323" s="705">
        <v>26</v>
      </c>
      <c r="G323" s="705">
        <v>1363</v>
      </c>
      <c r="H323" s="705">
        <v>6788</v>
      </c>
      <c r="I323" s="705"/>
      <c r="J323" s="429">
        <v>0</v>
      </c>
      <c r="K323" s="705"/>
      <c r="L323" s="705"/>
      <c r="M323" s="705">
        <v>0</v>
      </c>
      <c r="N323" s="705">
        <v>29213</v>
      </c>
      <c r="O323" s="705">
        <v>10820</v>
      </c>
      <c r="P323" s="705">
        <v>10368</v>
      </c>
      <c r="Q323" s="705">
        <v>3840</v>
      </c>
      <c r="R323" s="705"/>
      <c r="S323" s="705">
        <v>0</v>
      </c>
      <c r="T323" s="705">
        <v>0</v>
      </c>
      <c r="U323" s="705">
        <v>0</v>
      </c>
      <c r="V323" s="705">
        <v>14660</v>
      </c>
      <c r="W323" s="705">
        <f t="shared" si="24"/>
        <v>14660</v>
      </c>
      <c r="X323" s="705">
        <f t="shared" si="25"/>
        <v>39581</v>
      </c>
      <c r="Y323" s="705"/>
    </row>
    <row r="324" spans="2:25">
      <c r="B324" t="s">
        <v>677</v>
      </c>
      <c r="C324" t="s">
        <v>118</v>
      </c>
      <c r="D324" t="s">
        <v>664</v>
      </c>
      <c r="E324" t="s">
        <v>582</v>
      </c>
      <c r="F324" s="705">
        <v>2</v>
      </c>
      <c r="G324" s="705">
        <v>100</v>
      </c>
      <c r="H324" s="705">
        <v>552</v>
      </c>
      <c r="I324" s="705">
        <v>15937</v>
      </c>
      <c r="J324" s="706">
        <v>14488</v>
      </c>
      <c r="K324" s="705">
        <v>65</v>
      </c>
      <c r="L324" s="705">
        <v>0</v>
      </c>
      <c r="M324" s="705">
        <v>0</v>
      </c>
      <c r="N324" s="705">
        <v>1339</v>
      </c>
      <c r="O324" s="705">
        <v>496</v>
      </c>
      <c r="P324" s="705">
        <v>945</v>
      </c>
      <c r="Q324" s="705">
        <v>350</v>
      </c>
      <c r="R324" s="705">
        <v>5889</v>
      </c>
      <c r="S324" s="705">
        <v>5354</v>
      </c>
      <c r="T324" s="705">
        <v>3309</v>
      </c>
      <c r="U324" s="705">
        <v>1226</v>
      </c>
      <c r="V324" s="705">
        <v>21913</v>
      </c>
      <c r="W324" s="705">
        <f t="shared" si="24"/>
        <v>21914</v>
      </c>
      <c r="X324" s="705">
        <f t="shared" si="25"/>
        <v>27419</v>
      </c>
      <c r="Y324" s="705"/>
    </row>
    <row r="325" spans="2:25">
      <c r="B325" t="s">
        <v>677</v>
      </c>
      <c r="C325" t="s">
        <v>118</v>
      </c>
      <c r="D325" t="s">
        <v>582</v>
      </c>
      <c r="E325" t="s">
        <v>582</v>
      </c>
      <c r="F325">
        <v>76</v>
      </c>
      <c r="G325" s="705">
        <v>4331</v>
      </c>
      <c r="H325" s="705">
        <v>19458</v>
      </c>
      <c r="I325" s="705">
        <v>724170</v>
      </c>
      <c r="J325" s="706">
        <v>658336</v>
      </c>
      <c r="K325" s="705">
        <v>76</v>
      </c>
      <c r="L325" s="705">
        <v>49454</v>
      </c>
      <c r="M325" s="705">
        <v>37096</v>
      </c>
      <c r="N325" s="705">
        <v>86878</v>
      </c>
      <c r="O325" s="705">
        <v>32177</v>
      </c>
      <c r="P325" s="705">
        <v>34466</v>
      </c>
      <c r="Q325" s="705">
        <v>12765</v>
      </c>
      <c r="R325" s="705">
        <v>201249</v>
      </c>
      <c r="S325" s="705">
        <v>182954</v>
      </c>
      <c r="T325" s="705">
        <v>5808</v>
      </c>
      <c r="U325" s="705">
        <v>2151</v>
      </c>
      <c r="V325" s="705">
        <v>925479</v>
      </c>
      <c r="W325" s="705">
        <f t="shared" si="24"/>
        <v>925479</v>
      </c>
      <c r="X325" s="705">
        <f t="shared" si="25"/>
        <v>1102025</v>
      </c>
      <c r="Y325" s="705"/>
    </row>
    <row r="326" spans="2:25">
      <c r="B326" t="s">
        <v>677</v>
      </c>
      <c r="C326" t="s">
        <v>118</v>
      </c>
      <c r="D326" t="s">
        <v>582</v>
      </c>
      <c r="E326" t="s">
        <v>583</v>
      </c>
      <c r="F326" s="705">
        <v>1</v>
      </c>
      <c r="G326" s="705">
        <v>67</v>
      </c>
      <c r="H326" s="705">
        <v>267</v>
      </c>
      <c r="I326" s="705">
        <v>10597</v>
      </c>
      <c r="J326" s="706">
        <v>9633</v>
      </c>
      <c r="K326" s="705">
        <v>78</v>
      </c>
      <c r="L326" s="705">
        <v>3181</v>
      </c>
      <c r="M326" s="705">
        <v>2651</v>
      </c>
      <c r="N326" s="705">
        <v>1224</v>
      </c>
      <c r="O326">
        <v>453</v>
      </c>
      <c r="P326">
        <v>351</v>
      </c>
      <c r="Q326" s="705">
        <v>130</v>
      </c>
      <c r="R326" s="705">
        <v>2563</v>
      </c>
      <c r="S326" s="705">
        <v>2330</v>
      </c>
      <c r="T326">
        <v>0</v>
      </c>
      <c r="U326" s="705">
        <v>0</v>
      </c>
      <c r="V326" s="705">
        <v>15198</v>
      </c>
      <c r="W326" s="705">
        <f t="shared" si="24"/>
        <v>15197</v>
      </c>
      <c r="X326" s="705">
        <f t="shared" si="25"/>
        <v>17916</v>
      </c>
      <c r="Y326" s="705"/>
    </row>
    <row r="327" spans="2:25">
      <c r="B327" t="s">
        <v>677</v>
      </c>
      <c r="C327" t="s">
        <v>118</v>
      </c>
      <c r="D327" t="s">
        <v>228</v>
      </c>
      <c r="E327" t="s">
        <v>228</v>
      </c>
      <c r="F327" s="705">
        <v>287</v>
      </c>
      <c r="G327" s="705">
        <v>17868</v>
      </c>
      <c r="H327" s="705">
        <v>75998</v>
      </c>
      <c r="I327" s="705">
        <v>2520158</v>
      </c>
      <c r="J327" s="706">
        <v>933392</v>
      </c>
      <c r="K327" s="705">
        <v>100</v>
      </c>
      <c r="L327" s="705">
        <v>196751</v>
      </c>
      <c r="M327" s="705">
        <v>76257</v>
      </c>
      <c r="N327" s="705">
        <v>367644</v>
      </c>
      <c r="O327" s="705">
        <v>136164</v>
      </c>
      <c r="P327" s="705">
        <v>1967</v>
      </c>
      <c r="Q327" s="705">
        <v>729</v>
      </c>
      <c r="R327" s="705">
        <v>1626457</v>
      </c>
      <c r="S327" s="705">
        <v>602391</v>
      </c>
      <c r="T327">
        <v>0</v>
      </c>
      <c r="U327" s="705">
        <v>0</v>
      </c>
      <c r="V327" s="705">
        <v>1748933</v>
      </c>
      <c r="W327" s="705">
        <f t="shared" ref="W327:W390" si="26">SUM(ABS(J327),ABS(M327),ABS(O327),ABS(Q327),ABS(S327),ABS(U327))</f>
        <v>1748933</v>
      </c>
      <c r="X327" s="705">
        <f t="shared" ref="X327:X390" si="27">SUM(ABS(I327),ABS(N327),ABS(P327),ABS(R327),ABS(T327),ABS(L327))</f>
        <v>4712977</v>
      </c>
      <c r="Y327" s="705"/>
    </row>
    <row r="328" spans="2:25">
      <c r="B328" t="s">
        <v>677</v>
      </c>
      <c r="C328" t="s">
        <v>118</v>
      </c>
      <c r="D328" t="s">
        <v>583</v>
      </c>
      <c r="E328" t="s">
        <v>228</v>
      </c>
      <c r="F328">
        <v>13</v>
      </c>
      <c r="G328" s="705">
        <v>649</v>
      </c>
      <c r="H328" s="705">
        <v>3473</v>
      </c>
      <c r="I328" s="705">
        <v>78520</v>
      </c>
      <c r="J328" s="706">
        <v>71382</v>
      </c>
      <c r="K328" s="705">
        <v>80</v>
      </c>
      <c r="L328" s="705">
        <v>2579</v>
      </c>
      <c r="M328" s="705">
        <v>1750</v>
      </c>
      <c r="N328" s="705">
        <v>15040</v>
      </c>
      <c r="O328" s="705">
        <v>5571</v>
      </c>
      <c r="P328" s="705">
        <v>8073</v>
      </c>
      <c r="Q328" s="705">
        <v>2990</v>
      </c>
      <c r="R328" s="705">
        <v>70166</v>
      </c>
      <c r="S328" s="705">
        <v>25987</v>
      </c>
      <c r="T328">
        <v>0</v>
      </c>
      <c r="U328" s="705">
        <v>0</v>
      </c>
      <c r="V328" s="705">
        <v>107680</v>
      </c>
      <c r="W328" s="705">
        <f t="shared" si="26"/>
        <v>107680</v>
      </c>
      <c r="X328" s="705">
        <f t="shared" si="27"/>
        <v>174378</v>
      </c>
      <c r="Y328" s="705"/>
    </row>
    <row r="329" spans="2:25">
      <c r="B329" t="s">
        <v>677</v>
      </c>
      <c r="C329" t="s">
        <v>118</v>
      </c>
      <c r="D329" t="s">
        <v>583</v>
      </c>
      <c r="E329" t="s">
        <v>583</v>
      </c>
      <c r="F329" s="705">
        <v>76</v>
      </c>
      <c r="G329" s="705">
        <v>6094</v>
      </c>
      <c r="H329" s="705">
        <v>19627</v>
      </c>
      <c r="I329" s="705">
        <v>869901</v>
      </c>
      <c r="J329" s="706">
        <v>790820</v>
      </c>
      <c r="K329" s="705">
        <v>82</v>
      </c>
      <c r="L329" s="705">
        <v>142623</v>
      </c>
      <c r="M329" s="705">
        <v>116207</v>
      </c>
      <c r="N329" s="705">
        <v>124471</v>
      </c>
      <c r="O329" s="705">
        <v>46101</v>
      </c>
      <c r="P329" s="705">
        <v>47979</v>
      </c>
      <c r="Q329" s="705">
        <v>17770</v>
      </c>
      <c r="R329" s="705">
        <v>311444</v>
      </c>
      <c r="S329" s="705">
        <v>283131</v>
      </c>
      <c r="T329" s="705">
        <v>100094</v>
      </c>
      <c r="U329" s="705">
        <v>37072</v>
      </c>
      <c r="V329" s="705">
        <v>1291099</v>
      </c>
      <c r="W329" s="705">
        <f t="shared" si="26"/>
        <v>1291101</v>
      </c>
      <c r="X329" s="705">
        <f t="shared" si="27"/>
        <v>1596512</v>
      </c>
      <c r="Y329" s="705"/>
    </row>
    <row r="330" spans="2:25">
      <c r="B330" t="s">
        <v>677</v>
      </c>
      <c r="C330" t="s">
        <v>118</v>
      </c>
      <c r="D330" t="s">
        <v>584</v>
      </c>
      <c r="E330" t="s">
        <v>584</v>
      </c>
      <c r="F330" s="705">
        <v>3</v>
      </c>
      <c r="G330" s="705">
        <v>209</v>
      </c>
      <c r="H330" s="705">
        <v>734</v>
      </c>
      <c r="I330" s="705">
        <v>28885</v>
      </c>
      <c r="J330" s="706">
        <v>26259</v>
      </c>
      <c r="K330" s="705">
        <v>74</v>
      </c>
      <c r="L330" s="705">
        <v>5431</v>
      </c>
      <c r="M330" s="705">
        <v>4754</v>
      </c>
      <c r="N330" s="705">
        <v>4377</v>
      </c>
      <c r="O330" s="705">
        <v>1621</v>
      </c>
      <c r="P330" s="705">
        <v>1418</v>
      </c>
      <c r="Q330" s="705">
        <v>525</v>
      </c>
      <c r="R330" s="705">
        <v>11131</v>
      </c>
      <c r="S330" s="705">
        <v>10119</v>
      </c>
      <c r="T330">
        <v>0</v>
      </c>
      <c r="U330" s="705">
        <v>0</v>
      </c>
      <c r="V330" s="705">
        <v>43279</v>
      </c>
      <c r="W330" s="705">
        <f t="shared" si="26"/>
        <v>43278</v>
      </c>
      <c r="X330" s="705">
        <f t="shared" si="27"/>
        <v>51242</v>
      </c>
      <c r="Y330" s="705"/>
    </row>
    <row r="331" spans="2:25">
      <c r="B331" t="s">
        <v>677</v>
      </c>
      <c r="C331" t="s">
        <v>118</v>
      </c>
      <c r="D331" t="s">
        <v>665</v>
      </c>
      <c r="E331" t="s">
        <v>665</v>
      </c>
      <c r="F331" s="705">
        <v>3</v>
      </c>
      <c r="G331" s="705">
        <v>399</v>
      </c>
      <c r="H331" s="705">
        <v>825</v>
      </c>
      <c r="I331" s="705">
        <v>68297</v>
      </c>
      <c r="J331" s="706">
        <v>62088</v>
      </c>
      <c r="K331" s="705">
        <v>65</v>
      </c>
      <c r="L331" s="705">
        <v>5770</v>
      </c>
      <c r="M331" s="705">
        <v>5246</v>
      </c>
      <c r="N331" s="705">
        <v>9366</v>
      </c>
      <c r="O331" s="705">
        <v>3469</v>
      </c>
      <c r="P331" s="705">
        <v>2943</v>
      </c>
      <c r="Q331" s="705">
        <v>1090</v>
      </c>
      <c r="R331" s="705">
        <v>14005</v>
      </c>
      <c r="S331" s="705">
        <v>12732</v>
      </c>
      <c r="T331" s="705">
        <v>8288</v>
      </c>
      <c r="U331" s="705">
        <v>3070</v>
      </c>
      <c r="V331" s="705">
        <v>87694</v>
      </c>
      <c r="W331" s="705">
        <f t="shared" si="26"/>
        <v>87695</v>
      </c>
      <c r="X331" s="705">
        <f t="shared" si="27"/>
        <v>108669</v>
      </c>
      <c r="Y331" s="705"/>
    </row>
    <row r="332" spans="2:25">
      <c r="B332" t="s">
        <v>677</v>
      </c>
      <c r="C332" t="s">
        <v>120</v>
      </c>
      <c r="F332" s="705">
        <v>7</v>
      </c>
      <c r="G332" s="705">
        <v>426</v>
      </c>
      <c r="H332" s="705">
        <v>2336</v>
      </c>
      <c r="I332" s="705"/>
      <c r="J332" s="706">
        <v>0</v>
      </c>
      <c r="K332" s="705"/>
      <c r="L332" s="705"/>
      <c r="M332" s="705">
        <v>0</v>
      </c>
      <c r="N332" s="705">
        <v>8929</v>
      </c>
      <c r="O332" s="705">
        <v>3307</v>
      </c>
      <c r="P332" s="705">
        <v>3807</v>
      </c>
      <c r="Q332" s="705">
        <v>1410</v>
      </c>
      <c r="R332" s="705"/>
      <c r="S332">
        <v>0</v>
      </c>
      <c r="T332">
        <v>0</v>
      </c>
      <c r="U332" s="705">
        <v>0</v>
      </c>
      <c r="V332" s="705">
        <v>4717</v>
      </c>
      <c r="W332" s="705">
        <f t="shared" si="26"/>
        <v>4717</v>
      </c>
      <c r="X332" s="705">
        <f t="shared" si="27"/>
        <v>12736</v>
      </c>
      <c r="Y332" s="705"/>
    </row>
    <row r="333" spans="2:25">
      <c r="B333" t="s">
        <v>677</v>
      </c>
      <c r="C333" t="s">
        <v>120</v>
      </c>
      <c r="D333" t="s">
        <v>582</v>
      </c>
      <c r="E333" t="s">
        <v>582</v>
      </c>
      <c r="F333" s="705">
        <v>21</v>
      </c>
      <c r="G333" s="705">
        <v>1168</v>
      </c>
      <c r="H333" s="705">
        <v>7105</v>
      </c>
      <c r="I333" s="705">
        <v>305357</v>
      </c>
      <c r="J333" s="706">
        <v>277597</v>
      </c>
      <c r="K333" s="705">
        <v>75</v>
      </c>
      <c r="L333" s="705">
        <v>5941</v>
      </c>
      <c r="M333" s="705">
        <v>5401</v>
      </c>
      <c r="N333" s="705">
        <v>23051</v>
      </c>
      <c r="O333" s="705">
        <v>8537</v>
      </c>
      <c r="P333" s="705">
        <v>9801</v>
      </c>
      <c r="Q333" s="705">
        <v>3630</v>
      </c>
      <c r="R333" s="705">
        <v>50954</v>
      </c>
      <c r="S333" s="705">
        <v>46322</v>
      </c>
      <c r="T333" s="705">
        <v>3213</v>
      </c>
      <c r="U333" s="705">
        <v>1190</v>
      </c>
      <c r="V333" s="705">
        <v>342677</v>
      </c>
      <c r="W333" s="705">
        <f t="shared" si="26"/>
        <v>342677</v>
      </c>
      <c r="X333" s="705">
        <f t="shared" si="27"/>
        <v>398317</v>
      </c>
      <c r="Y333" s="705"/>
    </row>
    <row r="334" spans="2:25">
      <c r="B334" t="s">
        <v>677</v>
      </c>
      <c r="C334" t="s">
        <v>120</v>
      </c>
      <c r="D334" t="s">
        <v>228</v>
      </c>
      <c r="E334" t="s">
        <v>228</v>
      </c>
      <c r="F334">
        <v>222</v>
      </c>
      <c r="G334" s="705">
        <v>13054</v>
      </c>
      <c r="H334" s="705">
        <v>75114</v>
      </c>
      <c r="I334" s="705">
        <v>2566716</v>
      </c>
      <c r="J334" s="706">
        <v>950636</v>
      </c>
      <c r="K334" s="705">
        <v>100</v>
      </c>
      <c r="L334" s="705">
        <v>271098</v>
      </c>
      <c r="M334" s="705">
        <v>118781</v>
      </c>
      <c r="N334" s="705">
        <v>265709</v>
      </c>
      <c r="O334" s="705">
        <v>98411</v>
      </c>
      <c r="P334" s="705">
        <v>3510</v>
      </c>
      <c r="Q334" s="705">
        <v>1300</v>
      </c>
      <c r="R334" s="705">
        <v>1301466</v>
      </c>
      <c r="S334" s="705">
        <v>482025</v>
      </c>
      <c r="T334">
        <v>0</v>
      </c>
      <c r="U334" s="705">
        <v>0</v>
      </c>
      <c r="V334" s="705">
        <v>1651152</v>
      </c>
      <c r="W334" s="705">
        <f t="shared" si="26"/>
        <v>1651153</v>
      </c>
      <c r="X334" s="705">
        <f t="shared" si="27"/>
        <v>4408499</v>
      </c>
      <c r="Y334" s="705"/>
    </row>
    <row r="335" spans="2:25">
      <c r="B335" t="s">
        <v>677</v>
      </c>
      <c r="C335" t="s">
        <v>120</v>
      </c>
      <c r="D335" t="s">
        <v>583</v>
      </c>
      <c r="E335" s="705" t="s">
        <v>228</v>
      </c>
      <c r="F335" s="705">
        <v>7</v>
      </c>
      <c r="G335" s="705">
        <v>353</v>
      </c>
      <c r="H335" s="705">
        <v>2171</v>
      </c>
      <c r="I335" s="705">
        <v>42235</v>
      </c>
      <c r="J335" s="706">
        <v>38395</v>
      </c>
      <c r="K335" s="705">
        <v>80</v>
      </c>
      <c r="L335" s="705">
        <v>6875</v>
      </c>
      <c r="M335" s="705">
        <v>4096</v>
      </c>
      <c r="N335" s="705">
        <v>8190</v>
      </c>
      <c r="O335" s="705">
        <v>3033</v>
      </c>
      <c r="P335" s="705">
        <v>4347</v>
      </c>
      <c r="Q335" s="705">
        <v>1610</v>
      </c>
      <c r="R335" s="705">
        <v>47986</v>
      </c>
      <c r="S335" s="705">
        <v>17773</v>
      </c>
      <c r="T335" s="705">
        <v>0</v>
      </c>
      <c r="U335" s="705">
        <v>0</v>
      </c>
      <c r="V335" s="705">
        <v>64907</v>
      </c>
      <c r="W335" s="705">
        <f t="shared" si="26"/>
        <v>64907</v>
      </c>
      <c r="X335" s="705">
        <f t="shared" si="27"/>
        <v>109633</v>
      </c>
      <c r="Y335" s="705"/>
    </row>
    <row r="336" spans="2:25">
      <c r="B336" t="s">
        <v>677</v>
      </c>
      <c r="C336" t="s">
        <v>120</v>
      </c>
      <c r="D336" t="s">
        <v>583</v>
      </c>
      <c r="E336" t="s">
        <v>583</v>
      </c>
      <c r="F336" s="705">
        <v>29</v>
      </c>
      <c r="G336" s="705">
        <v>2556</v>
      </c>
      <c r="H336" s="705">
        <v>9844</v>
      </c>
      <c r="I336" s="705">
        <v>564219</v>
      </c>
      <c r="J336" s="706">
        <v>512926</v>
      </c>
      <c r="K336" s="705">
        <v>79</v>
      </c>
      <c r="L336" s="705">
        <v>84298</v>
      </c>
      <c r="M336" s="705">
        <v>72818</v>
      </c>
      <c r="N336" s="705">
        <v>54254</v>
      </c>
      <c r="O336" s="705">
        <v>20094</v>
      </c>
      <c r="P336" s="705">
        <v>18792</v>
      </c>
      <c r="Q336" s="705">
        <v>6960</v>
      </c>
      <c r="R336" s="705">
        <v>123702</v>
      </c>
      <c r="S336" s="705">
        <v>112456</v>
      </c>
      <c r="T336" s="705">
        <v>52951</v>
      </c>
      <c r="U336" s="705">
        <v>19612</v>
      </c>
      <c r="V336" s="705">
        <v>744866</v>
      </c>
      <c r="W336" s="705">
        <f t="shared" si="26"/>
        <v>744866</v>
      </c>
      <c r="X336" s="705">
        <f t="shared" si="27"/>
        <v>898216</v>
      </c>
      <c r="Y336" s="705"/>
    </row>
    <row r="337" spans="2:25">
      <c r="B337" t="s">
        <v>677</v>
      </c>
      <c r="C337" t="s">
        <v>120</v>
      </c>
      <c r="D337" t="s">
        <v>584</v>
      </c>
      <c r="E337" t="s">
        <v>584</v>
      </c>
      <c r="F337" s="705">
        <v>3</v>
      </c>
      <c r="G337" s="705">
        <v>194</v>
      </c>
      <c r="H337" s="705">
        <v>1027</v>
      </c>
      <c r="I337" s="705">
        <v>46983</v>
      </c>
      <c r="J337" s="706">
        <v>42712</v>
      </c>
      <c r="K337" s="705">
        <v>75</v>
      </c>
      <c r="L337" s="705">
        <v>1543</v>
      </c>
      <c r="M337" s="705">
        <v>1403</v>
      </c>
      <c r="N337" s="705">
        <v>4190</v>
      </c>
      <c r="O337" s="705">
        <v>1552</v>
      </c>
      <c r="P337" s="705">
        <v>1418</v>
      </c>
      <c r="Q337" s="705">
        <v>525</v>
      </c>
      <c r="R337" s="705">
        <v>9640</v>
      </c>
      <c r="S337" s="705">
        <v>8763</v>
      </c>
      <c r="T337" s="705">
        <v>2691</v>
      </c>
      <c r="U337" s="705">
        <v>997</v>
      </c>
      <c r="V337" s="705">
        <v>55951</v>
      </c>
      <c r="W337" s="705">
        <f t="shared" si="26"/>
        <v>55952</v>
      </c>
      <c r="X337" s="705">
        <f t="shared" si="27"/>
        <v>66465</v>
      </c>
      <c r="Y337" s="705"/>
    </row>
    <row r="338" spans="2:25">
      <c r="B338" t="s">
        <v>677</v>
      </c>
      <c r="C338" t="s">
        <v>122</v>
      </c>
      <c r="F338" s="705">
        <v>5</v>
      </c>
      <c r="G338" s="705">
        <v>237</v>
      </c>
      <c r="H338" s="705">
        <v>2085</v>
      </c>
      <c r="I338" s="705"/>
      <c r="J338" s="706">
        <v>0</v>
      </c>
      <c r="K338" s="705"/>
      <c r="L338" s="705"/>
      <c r="M338" s="705">
        <v>0</v>
      </c>
      <c r="N338" s="705">
        <v>5128</v>
      </c>
      <c r="O338" s="705">
        <v>1899</v>
      </c>
      <c r="P338" s="705">
        <v>2916</v>
      </c>
      <c r="Q338" s="705">
        <v>1080</v>
      </c>
      <c r="R338" s="705"/>
      <c r="S338" s="705">
        <v>0</v>
      </c>
      <c r="T338" s="705">
        <v>0</v>
      </c>
      <c r="U338" s="705">
        <v>0</v>
      </c>
      <c r="V338" s="705">
        <v>2979</v>
      </c>
      <c r="W338" s="705">
        <f t="shared" si="26"/>
        <v>2979</v>
      </c>
      <c r="X338" s="705">
        <f t="shared" si="27"/>
        <v>8044</v>
      </c>
      <c r="Y338" s="705"/>
    </row>
    <row r="339" spans="2:25">
      <c r="B339" t="s">
        <v>677</v>
      </c>
      <c r="C339" t="s">
        <v>122</v>
      </c>
      <c r="D339" t="s">
        <v>582</v>
      </c>
      <c r="E339" t="s">
        <v>582</v>
      </c>
      <c r="F339" s="705">
        <v>6</v>
      </c>
      <c r="G339" s="705">
        <v>286</v>
      </c>
      <c r="H339" s="705">
        <v>2430</v>
      </c>
      <c r="I339" s="705">
        <v>92818</v>
      </c>
      <c r="J339" s="706">
        <v>84380</v>
      </c>
      <c r="K339" s="705">
        <v>73</v>
      </c>
      <c r="L339" s="705">
        <v>0</v>
      </c>
      <c r="M339" s="705">
        <v>0</v>
      </c>
      <c r="N339" s="705">
        <v>5999</v>
      </c>
      <c r="O339" s="705">
        <v>2222</v>
      </c>
      <c r="P339" s="705">
        <v>2714</v>
      </c>
      <c r="Q339" s="705">
        <v>1005</v>
      </c>
      <c r="R339" s="705">
        <v>13402</v>
      </c>
      <c r="S339" s="705">
        <v>12184</v>
      </c>
      <c r="T339" s="705">
        <v>0</v>
      </c>
      <c r="U339" s="705">
        <v>0</v>
      </c>
      <c r="V339" s="705">
        <v>99791</v>
      </c>
      <c r="W339" s="705">
        <f t="shared" si="26"/>
        <v>99791</v>
      </c>
      <c r="X339" s="705">
        <f t="shared" si="27"/>
        <v>114933</v>
      </c>
      <c r="Y339" s="705"/>
    </row>
    <row r="340" spans="2:25">
      <c r="B340" t="s">
        <v>677</v>
      </c>
      <c r="C340" t="s">
        <v>122</v>
      </c>
      <c r="D340" t="s">
        <v>228</v>
      </c>
      <c r="E340" t="s">
        <v>228</v>
      </c>
      <c r="F340" s="705">
        <v>67</v>
      </c>
      <c r="G340" s="705">
        <v>3492</v>
      </c>
      <c r="H340" s="705">
        <v>27454</v>
      </c>
      <c r="I340" s="705">
        <v>927001</v>
      </c>
      <c r="J340" s="706">
        <v>343334</v>
      </c>
      <c r="K340" s="705">
        <v>100</v>
      </c>
      <c r="L340" s="705">
        <v>78387</v>
      </c>
      <c r="M340" s="705">
        <v>30735</v>
      </c>
      <c r="N340" s="705">
        <v>70918</v>
      </c>
      <c r="O340" s="705">
        <v>26266</v>
      </c>
      <c r="P340" s="705">
        <v>0</v>
      </c>
      <c r="Q340" s="705">
        <v>0</v>
      </c>
      <c r="R340" s="705">
        <v>351922</v>
      </c>
      <c r="S340" s="705">
        <v>130341</v>
      </c>
      <c r="T340" s="705">
        <v>0</v>
      </c>
      <c r="U340" s="705">
        <v>0</v>
      </c>
      <c r="V340" s="705">
        <v>530676</v>
      </c>
      <c r="W340" s="705">
        <f t="shared" si="26"/>
        <v>530676</v>
      </c>
      <c r="X340" s="705">
        <f t="shared" si="27"/>
        <v>1428228</v>
      </c>
      <c r="Y340" s="705"/>
    </row>
    <row r="341" spans="2:25">
      <c r="B341" t="s">
        <v>677</v>
      </c>
      <c r="C341" t="s">
        <v>122</v>
      </c>
      <c r="D341" t="s">
        <v>583</v>
      </c>
      <c r="E341" t="s">
        <v>583</v>
      </c>
      <c r="F341" s="705">
        <v>16</v>
      </c>
      <c r="G341" s="705">
        <v>1140</v>
      </c>
      <c r="H341" s="705">
        <v>6756</v>
      </c>
      <c r="I341" s="705">
        <v>312867</v>
      </c>
      <c r="J341" s="706">
        <v>284424</v>
      </c>
      <c r="K341" s="705">
        <v>80</v>
      </c>
      <c r="L341" s="705">
        <v>42019</v>
      </c>
      <c r="M341" s="705">
        <v>36477</v>
      </c>
      <c r="N341" s="705">
        <v>25077</v>
      </c>
      <c r="O341" s="705">
        <v>9288</v>
      </c>
      <c r="P341" s="705">
        <v>9936</v>
      </c>
      <c r="Q341" s="705">
        <v>3680</v>
      </c>
      <c r="R341" s="705">
        <v>62385</v>
      </c>
      <c r="S341" s="705">
        <v>56714</v>
      </c>
      <c r="T341" s="705">
        <v>27457</v>
      </c>
      <c r="U341" s="705">
        <v>10169</v>
      </c>
      <c r="V341" s="705">
        <v>400752</v>
      </c>
      <c r="W341" s="705">
        <f t="shared" si="26"/>
        <v>400752</v>
      </c>
      <c r="X341" s="705">
        <f t="shared" si="27"/>
        <v>479741</v>
      </c>
      <c r="Y341" s="705"/>
    </row>
    <row r="342" spans="2:25">
      <c r="B342" t="s">
        <v>677</v>
      </c>
      <c r="C342" t="s">
        <v>122</v>
      </c>
      <c r="D342" t="s">
        <v>666</v>
      </c>
      <c r="E342" t="s">
        <v>666</v>
      </c>
      <c r="F342">
        <v>1</v>
      </c>
      <c r="G342">
        <v>55</v>
      </c>
      <c r="H342" s="705">
        <v>446</v>
      </c>
      <c r="I342" s="705">
        <v>14396</v>
      </c>
      <c r="J342" s="706">
        <v>13088</v>
      </c>
      <c r="K342" s="705">
        <v>55</v>
      </c>
      <c r="L342" s="705">
        <v>0</v>
      </c>
      <c r="M342" s="705">
        <v>0</v>
      </c>
      <c r="N342" s="705">
        <v>669</v>
      </c>
      <c r="O342">
        <v>248</v>
      </c>
      <c r="P342">
        <v>351</v>
      </c>
      <c r="Q342" s="705">
        <v>130</v>
      </c>
      <c r="R342" s="705">
        <v>6111</v>
      </c>
      <c r="S342" s="705">
        <v>5555</v>
      </c>
      <c r="T342" s="705">
        <v>2976</v>
      </c>
      <c r="U342" s="705">
        <v>1102</v>
      </c>
      <c r="V342" s="705">
        <v>20123</v>
      </c>
      <c r="W342" s="705">
        <f t="shared" si="26"/>
        <v>20123</v>
      </c>
      <c r="X342" s="705">
        <f t="shared" si="27"/>
        <v>24503</v>
      </c>
      <c r="Y342" s="705"/>
    </row>
    <row r="343" spans="2:25">
      <c r="B343" t="s">
        <v>677</v>
      </c>
      <c r="C343" t="s">
        <v>122</v>
      </c>
      <c r="D343" t="s">
        <v>669</v>
      </c>
      <c r="E343" t="s">
        <v>669</v>
      </c>
      <c r="F343" s="705">
        <v>2</v>
      </c>
      <c r="G343" s="705">
        <v>88</v>
      </c>
      <c r="H343" s="705">
        <v>819</v>
      </c>
      <c r="I343" s="705">
        <v>19607</v>
      </c>
      <c r="J343" s="706">
        <v>16339</v>
      </c>
      <c r="K343" s="705">
        <v>55</v>
      </c>
      <c r="L343" s="705">
        <v>0</v>
      </c>
      <c r="M343" s="705">
        <v>0</v>
      </c>
      <c r="N343" s="705">
        <v>1715</v>
      </c>
      <c r="O343" s="705">
        <v>635</v>
      </c>
      <c r="P343" s="705">
        <v>702</v>
      </c>
      <c r="Q343" s="705">
        <v>260</v>
      </c>
      <c r="R343" s="705">
        <v>10109</v>
      </c>
      <c r="S343" s="705">
        <v>8424</v>
      </c>
      <c r="T343" s="705">
        <v>3987</v>
      </c>
      <c r="U343" s="705">
        <v>1477</v>
      </c>
      <c r="V343" s="705">
        <v>27135</v>
      </c>
      <c r="W343" s="705">
        <f t="shared" si="26"/>
        <v>27135</v>
      </c>
      <c r="X343" s="705">
        <f t="shared" si="27"/>
        <v>36120</v>
      </c>
      <c r="Y343" s="705"/>
    </row>
    <row r="344" spans="2:25">
      <c r="B344" t="s">
        <v>677</v>
      </c>
      <c r="C344" t="s">
        <v>122</v>
      </c>
      <c r="D344" t="s">
        <v>665</v>
      </c>
      <c r="E344" s="705" t="s">
        <v>665</v>
      </c>
      <c r="F344" s="705">
        <v>2</v>
      </c>
      <c r="G344" s="705">
        <v>192</v>
      </c>
      <c r="H344" s="705">
        <v>879</v>
      </c>
      <c r="I344" s="705">
        <v>56784</v>
      </c>
      <c r="J344" s="706">
        <v>51622</v>
      </c>
      <c r="K344" s="705">
        <v>60</v>
      </c>
      <c r="L344" s="705">
        <v>8116</v>
      </c>
      <c r="M344" s="705">
        <v>3886</v>
      </c>
      <c r="N344" s="705">
        <v>3829</v>
      </c>
      <c r="O344" s="705">
        <v>1418</v>
      </c>
      <c r="P344">
        <v>702</v>
      </c>
      <c r="Q344" s="705">
        <v>260</v>
      </c>
      <c r="R344" s="705">
        <v>10493</v>
      </c>
      <c r="S344" s="705">
        <v>9539</v>
      </c>
      <c r="T344" s="705">
        <v>5265</v>
      </c>
      <c r="U344" s="705">
        <v>1950</v>
      </c>
      <c r="V344" s="705">
        <v>68674</v>
      </c>
      <c r="W344" s="705">
        <f t="shared" si="26"/>
        <v>68675</v>
      </c>
      <c r="X344" s="705">
        <f t="shared" si="27"/>
        <v>85189</v>
      </c>
      <c r="Y344" s="705"/>
    </row>
    <row r="345" spans="2:25">
      <c r="B345" t="s">
        <v>677</v>
      </c>
      <c r="C345" t="s">
        <v>124</v>
      </c>
      <c r="F345" s="705">
        <v>4</v>
      </c>
      <c r="G345" s="705">
        <v>151</v>
      </c>
      <c r="H345" s="705">
        <v>2058</v>
      </c>
      <c r="I345" s="705"/>
      <c r="J345" s="429">
        <v>0</v>
      </c>
      <c r="K345" s="705"/>
      <c r="L345" s="705"/>
      <c r="M345" s="705">
        <v>0</v>
      </c>
      <c r="N345" s="705">
        <v>2413</v>
      </c>
      <c r="O345" s="705">
        <v>894</v>
      </c>
      <c r="P345" s="705">
        <v>2484</v>
      </c>
      <c r="Q345" s="705">
        <v>920</v>
      </c>
      <c r="R345" s="705"/>
      <c r="S345" s="705">
        <v>0</v>
      </c>
      <c r="T345" s="705">
        <v>0</v>
      </c>
      <c r="U345" s="705">
        <v>0</v>
      </c>
      <c r="V345" s="705">
        <v>1814</v>
      </c>
      <c r="W345" s="705">
        <f t="shared" si="26"/>
        <v>1814</v>
      </c>
      <c r="X345" s="705">
        <f t="shared" si="27"/>
        <v>4897</v>
      </c>
      <c r="Y345" s="705"/>
    </row>
    <row r="346" spans="2:25">
      <c r="B346" t="s">
        <v>677</v>
      </c>
      <c r="C346" t="s">
        <v>124</v>
      </c>
      <c r="D346" t="s">
        <v>582</v>
      </c>
      <c r="E346" t="s">
        <v>582</v>
      </c>
      <c r="F346" s="705">
        <v>1</v>
      </c>
      <c r="G346" s="705">
        <v>50</v>
      </c>
      <c r="H346" s="705">
        <v>481</v>
      </c>
      <c r="I346" s="705">
        <v>17405</v>
      </c>
      <c r="J346" s="706">
        <v>15823</v>
      </c>
      <c r="K346" s="705">
        <v>73</v>
      </c>
      <c r="L346" s="705">
        <v>0</v>
      </c>
      <c r="M346" s="705">
        <v>0</v>
      </c>
      <c r="N346" s="705">
        <v>1120</v>
      </c>
      <c r="O346" s="705">
        <v>415</v>
      </c>
      <c r="P346">
        <v>473</v>
      </c>
      <c r="Q346" s="705">
        <v>175</v>
      </c>
      <c r="R346" s="705">
        <v>5044</v>
      </c>
      <c r="S346" s="705">
        <v>4585</v>
      </c>
      <c r="T346" s="705">
        <v>0</v>
      </c>
      <c r="U346" s="705">
        <v>0</v>
      </c>
      <c r="V346" s="705">
        <v>20998</v>
      </c>
      <c r="W346" s="705">
        <f t="shared" si="26"/>
        <v>20998</v>
      </c>
      <c r="X346" s="705">
        <f t="shared" si="27"/>
        <v>24042</v>
      </c>
      <c r="Y346" s="705"/>
    </row>
    <row r="347" spans="2:25">
      <c r="B347" t="s">
        <v>677</v>
      </c>
      <c r="C347" t="s">
        <v>124</v>
      </c>
      <c r="D347" t="s">
        <v>228</v>
      </c>
      <c r="E347" t="s">
        <v>228</v>
      </c>
      <c r="F347" s="705">
        <v>83</v>
      </c>
      <c r="G347" s="705">
        <v>4304</v>
      </c>
      <c r="H347" s="705">
        <v>50061</v>
      </c>
      <c r="I347" s="705">
        <v>1827916</v>
      </c>
      <c r="J347" s="706">
        <v>677006</v>
      </c>
      <c r="K347" s="705">
        <v>100</v>
      </c>
      <c r="L347" s="705">
        <v>254770</v>
      </c>
      <c r="M347" s="705">
        <v>161946</v>
      </c>
      <c r="N347" s="705">
        <v>91141</v>
      </c>
      <c r="O347" s="705">
        <v>33756</v>
      </c>
      <c r="P347">
        <v>702</v>
      </c>
      <c r="Q347" s="705">
        <v>260</v>
      </c>
      <c r="R347" s="705">
        <v>418432</v>
      </c>
      <c r="S347" s="705">
        <v>154975</v>
      </c>
      <c r="T347" s="705">
        <v>0</v>
      </c>
      <c r="U347" s="705">
        <v>0</v>
      </c>
      <c r="V347" s="705">
        <v>1027942</v>
      </c>
      <c r="W347" s="705">
        <f t="shared" si="26"/>
        <v>1027943</v>
      </c>
      <c r="X347" s="705">
        <f t="shared" si="27"/>
        <v>2592961</v>
      </c>
      <c r="Y347" s="705"/>
    </row>
    <row r="348" spans="2:25">
      <c r="B348" t="s">
        <v>677</v>
      </c>
      <c r="C348" t="s">
        <v>124</v>
      </c>
      <c r="D348" t="s">
        <v>228</v>
      </c>
      <c r="E348" s="705" t="s">
        <v>665</v>
      </c>
      <c r="F348" s="705">
        <v>1</v>
      </c>
      <c r="G348" s="705">
        <v>40</v>
      </c>
      <c r="H348" s="705">
        <v>640</v>
      </c>
      <c r="I348" s="705">
        <v>15720</v>
      </c>
      <c r="J348" s="706">
        <v>5822</v>
      </c>
      <c r="K348" s="705">
        <v>100</v>
      </c>
      <c r="L348" s="705">
        <v>1581</v>
      </c>
      <c r="M348" s="705">
        <v>1438</v>
      </c>
      <c r="N348" s="705">
        <v>772</v>
      </c>
      <c r="O348" s="705">
        <v>286</v>
      </c>
      <c r="P348" s="705">
        <v>0</v>
      </c>
      <c r="Q348" s="705">
        <v>0</v>
      </c>
      <c r="R348" s="705">
        <v>5420</v>
      </c>
      <c r="S348" s="705">
        <v>4927</v>
      </c>
      <c r="T348" s="705">
        <v>1861</v>
      </c>
      <c r="U348" s="705">
        <v>689</v>
      </c>
      <c r="V348" s="705">
        <v>13162</v>
      </c>
      <c r="W348" s="705">
        <f t="shared" si="26"/>
        <v>13162</v>
      </c>
      <c r="X348" s="705">
        <f t="shared" si="27"/>
        <v>25354</v>
      </c>
      <c r="Y348" s="705"/>
    </row>
    <row r="349" spans="2:25">
      <c r="B349" t="s">
        <v>677</v>
      </c>
      <c r="C349" t="s">
        <v>124</v>
      </c>
      <c r="D349" t="s">
        <v>583</v>
      </c>
      <c r="E349" t="s">
        <v>228</v>
      </c>
      <c r="F349" s="705">
        <v>1</v>
      </c>
      <c r="G349" s="705">
        <v>67</v>
      </c>
      <c r="H349" s="705">
        <v>526</v>
      </c>
      <c r="I349" s="705">
        <v>22216</v>
      </c>
      <c r="J349" s="706">
        <v>20196</v>
      </c>
      <c r="K349" s="705">
        <v>70</v>
      </c>
      <c r="L349" s="705">
        <v>5472</v>
      </c>
      <c r="M349" s="705">
        <v>4974</v>
      </c>
      <c r="N349" s="705">
        <v>1499</v>
      </c>
      <c r="O349">
        <v>555</v>
      </c>
      <c r="P349">
        <v>621</v>
      </c>
      <c r="Q349" s="705">
        <v>230</v>
      </c>
      <c r="R349" s="705">
        <v>5345</v>
      </c>
      <c r="S349" s="705">
        <v>1979</v>
      </c>
      <c r="T349" s="705">
        <v>0</v>
      </c>
      <c r="U349" s="705">
        <v>0</v>
      </c>
      <c r="V349" s="705">
        <v>27935</v>
      </c>
      <c r="W349" s="705">
        <f t="shared" si="26"/>
        <v>27934</v>
      </c>
      <c r="X349" s="705">
        <f t="shared" si="27"/>
        <v>35153</v>
      </c>
      <c r="Y349" s="705"/>
    </row>
    <row r="350" spans="2:25">
      <c r="B350" t="s">
        <v>677</v>
      </c>
      <c r="C350" t="s">
        <v>124</v>
      </c>
      <c r="D350" t="s">
        <v>583</v>
      </c>
      <c r="E350" s="705" t="s">
        <v>583</v>
      </c>
      <c r="F350" s="705">
        <v>21</v>
      </c>
      <c r="G350" s="705">
        <v>1526</v>
      </c>
      <c r="H350" s="705">
        <v>11539</v>
      </c>
      <c r="I350" s="705">
        <v>577977</v>
      </c>
      <c r="J350" s="706">
        <v>525434</v>
      </c>
      <c r="K350" s="705">
        <v>73</v>
      </c>
      <c r="L350" s="705">
        <v>90902</v>
      </c>
      <c r="M350" s="705">
        <v>78755</v>
      </c>
      <c r="N350" s="705">
        <v>33302</v>
      </c>
      <c r="O350" s="705">
        <v>12334</v>
      </c>
      <c r="P350" s="705">
        <v>12974</v>
      </c>
      <c r="Q350" s="705">
        <v>4805</v>
      </c>
      <c r="R350" s="705">
        <v>80692</v>
      </c>
      <c r="S350" s="705">
        <v>73356</v>
      </c>
      <c r="T350" s="705">
        <v>28972</v>
      </c>
      <c r="U350" s="705">
        <v>10730</v>
      </c>
      <c r="V350" s="705">
        <v>705415</v>
      </c>
      <c r="W350" s="705">
        <f t="shared" si="26"/>
        <v>705414</v>
      </c>
      <c r="X350" s="705">
        <f t="shared" si="27"/>
        <v>824819</v>
      </c>
      <c r="Y350" s="705"/>
    </row>
    <row r="351" spans="2:25">
      <c r="B351" t="s">
        <v>677</v>
      </c>
      <c r="C351" t="s">
        <v>124</v>
      </c>
      <c r="D351" t="s">
        <v>666</v>
      </c>
      <c r="E351" t="s">
        <v>666</v>
      </c>
      <c r="F351" s="705">
        <v>2</v>
      </c>
      <c r="G351" s="705">
        <v>94</v>
      </c>
      <c r="H351" s="705">
        <v>1147</v>
      </c>
      <c r="I351" s="705">
        <v>40922</v>
      </c>
      <c r="J351" s="706">
        <v>37202</v>
      </c>
      <c r="K351" s="705">
        <v>55</v>
      </c>
      <c r="L351" s="705">
        <v>0</v>
      </c>
      <c r="M351" s="705">
        <v>0</v>
      </c>
      <c r="N351" s="705">
        <v>1746</v>
      </c>
      <c r="O351">
        <v>647</v>
      </c>
      <c r="P351">
        <v>702</v>
      </c>
      <c r="Q351" s="705">
        <v>260</v>
      </c>
      <c r="R351" s="705">
        <v>7054</v>
      </c>
      <c r="S351" s="705">
        <v>6413</v>
      </c>
      <c r="T351" s="705">
        <v>2516</v>
      </c>
      <c r="U351" s="705">
        <v>932</v>
      </c>
      <c r="V351" s="705">
        <v>45454</v>
      </c>
      <c r="W351" s="705">
        <f t="shared" si="26"/>
        <v>45454</v>
      </c>
      <c r="X351" s="705">
        <f t="shared" si="27"/>
        <v>52940</v>
      </c>
      <c r="Y351" s="705"/>
    </row>
    <row r="352" spans="2:25">
      <c r="B352" t="s">
        <v>677</v>
      </c>
      <c r="C352" t="s">
        <v>124</v>
      </c>
      <c r="D352" t="s">
        <v>584</v>
      </c>
      <c r="E352" t="s">
        <v>584</v>
      </c>
      <c r="F352" s="705">
        <v>1</v>
      </c>
      <c r="G352" s="705">
        <v>42</v>
      </c>
      <c r="H352" s="705">
        <v>655</v>
      </c>
      <c r="I352" s="705">
        <v>22089</v>
      </c>
      <c r="J352" s="706">
        <v>20081</v>
      </c>
      <c r="K352" s="705">
        <v>79</v>
      </c>
      <c r="L352" s="705">
        <v>0</v>
      </c>
      <c r="M352" s="705">
        <v>0</v>
      </c>
      <c r="N352" s="705">
        <v>1014</v>
      </c>
      <c r="O352" s="705">
        <v>375</v>
      </c>
      <c r="P352" s="705">
        <v>473</v>
      </c>
      <c r="Q352" s="705">
        <v>175</v>
      </c>
      <c r="R352" s="705">
        <v>2506</v>
      </c>
      <c r="S352" s="705">
        <v>2278</v>
      </c>
      <c r="T352" s="705">
        <v>1178</v>
      </c>
      <c r="U352" s="705">
        <v>436</v>
      </c>
      <c r="V352" s="705">
        <v>23347</v>
      </c>
      <c r="W352" s="705">
        <f t="shared" si="26"/>
        <v>23345</v>
      </c>
      <c r="X352" s="705">
        <f t="shared" si="27"/>
        <v>27260</v>
      </c>
      <c r="Y352" s="705"/>
    </row>
    <row r="353" spans="2:25">
      <c r="B353" t="s">
        <v>677</v>
      </c>
      <c r="C353" t="s">
        <v>124</v>
      </c>
      <c r="D353" t="s">
        <v>669</v>
      </c>
      <c r="E353" t="s">
        <v>228</v>
      </c>
      <c r="F353" s="705">
        <v>1</v>
      </c>
      <c r="G353" s="705">
        <v>67</v>
      </c>
      <c r="H353" s="705">
        <v>451</v>
      </c>
      <c r="I353" s="705">
        <v>22746</v>
      </c>
      <c r="J353" s="706">
        <v>18955</v>
      </c>
      <c r="K353" s="705">
        <v>30</v>
      </c>
      <c r="L353" s="705">
        <v>1706</v>
      </c>
      <c r="M353" s="705">
        <v>632</v>
      </c>
      <c r="N353" s="705">
        <v>1623</v>
      </c>
      <c r="O353">
        <v>601</v>
      </c>
      <c r="P353">
        <v>0</v>
      </c>
      <c r="Q353" s="705">
        <v>0</v>
      </c>
      <c r="R353" s="705">
        <v>3959</v>
      </c>
      <c r="S353" s="705">
        <v>1466</v>
      </c>
      <c r="T353">
        <v>0</v>
      </c>
      <c r="U353" s="705">
        <v>0</v>
      </c>
      <c r="V353" s="705">
        <v>21654</v>
      </c>
      <c r="W353" s="705">
        <f t="shared" si="26"/>
        <v>21654</v>
      </c>
      <c r="X353" s="705">
        <f t="shared" si="27"/>
        <v>30034</v>
      </c>
      <c r="Y353" s="705"/>
    </row>
    <row r="354" spans="2:25">
      <c r="B354" t="s">
        <v>677</v>
      </c>
      <c r="C354" t="s">
        <v>124</v>
      </c>
      <c r="D354" t="s">
        <v>669</v>
      </c>
      <c r="E354" t="s">
        <v>669</v>
      </c>
      <c r="F354" s="705">
        <v>3</v>
      </c>
      <c r="G354" s="705">
        <v>128</v>
      </c>
      <c r="H354" s="705">
        <v>1672</v>
      </c>
      <c r="I354" s="705">
        <v>44653</v>
      </c>
      <c r="J354" s="706">
        <v>37211</v>
      </c>
      <c r="K354" s="705">
        <v>55</v>
      </c>
      <c r="L354" s="705">
        <v>6140</v>
      </c>
      <c r="M354" s="705">
        <v>2274</v>
      </c>
      <c r="N354" s="705">
        <v>2628</v>
      </c>
      <c r="O354" s="705">
        <v>973</v>
      </c>
      <c r="P354" s="705">
        <v>1053</v>
      </c>
      <c r="Q354" s="705">
        <v>390</v>
      </c>
      <c r="R354" s="705">
        <v>13121</v>
      </c>
      <c r="S354" s="705">
        <v>10934</v>
      </c>
      <c r="T354" s="705">
        <v>4736</v>
      </c>
      <c r="U354" s="705">
        <v>1754</v>
      </c>
      <c r="V354" s="705">
        <v>53536</v>
      </c>
      <c r="W354" s="705">
        <f t="shared" si="26"/>
        <v>53536</v>
      </c>
      <c r="X354" s="705">
        <f t="shared" si="27"/>
        <v>72331</v>
      </c>
      <c r="Y354" s="705"/>
    </row>
    <row r="355" spans="2:25">
      <c r="B355" t="s">
        <v>677</v>
      </c>
      <c r="C355" t="s">
        <v>124</v>
      </c>
      <c r="D355" t="s">
        <v>665</v>
      </c>
      <c r="E355" t="s">
        <v>665</v>
      </c>
      <c r="F355">
        <v>2</v>
      </c>
      <c r="G355">
        <v>86</v>
      </c>
      <c r="H355" s="705">
        <v>979</v>
      </c>
      <c r="I355" s="705">
        <v>26845</v>
      </c>
      <c r="J355" s="706">
        <v>24405</v>
      </c>
      <c r="K355" s="705">
        <v>55</v>
      </c>
      <c r="L355" s="705">
        <v>0</v>
      </c>
      <c r="M355" s="705">
        <v>0</v>
      </c>
      <c r="N355" s="705">
        <v>1829</v>
      </c>
      <c r="O355">
        <v>677</v>
      </c>
      <c r="P355">
        <v>702</v>
      </c>
      <c r="Q355" s="705">
        <v>260</v>
      </c>
      <c r="R355" s="705">
        <v>8616</v>
      </c>
      <c r="S355" s="705">
        <v>7833</v>
      </c>
      <c r="T355" s="705">
        <v>3555</v>
      </c>
      <c r="U355" s="705">
        <v>1317</v>
      </c>
      <c r="V355" s="705">
        <v>34491</v>
      </c>
      <c r="W355" s="705">
        <f t="shared" si="26"/>
        <v>34492</v>
      </c>
      <c r="X355" s="705">
        <f t="shared" si="27"/>
        <v>41547</v>
      </c>
      <c r="Y355" s="705"/>
    </row>
    <row r="356" spans="2:25">
      <c r="B356" t="s">
        <v>678</v>
      </c>
      <c r="C356" t="s">
        <v>108</v>
      </c>
      <c r="D356" t="s">
        <v>228</v>
      </c>
      <c r="E356" t="s">
        <v>228</v>
      </c>
      <c r="F356" s="705">
        <v>15</v>
      </c>
      <c r="G356" s="705">
        <v>1076</v>
      </c>
      <c r="H356" s="705">
        <v>858</v>
      </c>
      <c r="I356" s="705">
        <v>-2208</v>
      </c>
      <c r="J356" s="706">
        <v>-818</v>
      </c>
      <c r="K356" s="705">
        <v>510</v>
      </c>
      <c r="L356" s="705">
        <v>841</v>
      </c>
      <c r="M356" s="705">
        <v>311</v>
      </c>
      <c r="N356" s="705">
        <v>13532</v>
      </c>
      <c r="O356" s="705">
        <v>5012</v>
      </c>
      <c r="P356" s="705">
        <v>7249</v>
      </c>
      <c r="Q356" s="705">
        <v>2685</v>
      </c>
      <c r="R356" s="705">
        <v>39800</v>
      </c>
      <c r="S356" s="705">
        <v>14741</v>
      </c>
      <c r="T356" s="705">
        <v>0</v>
      </c>
      <c r="U356" s="705">
        <v>0</v>
      </c>
      <c r="V356" s="705">
        <v>21931</v>
      </c>
      <c r="W356" s="705">
        <f t="shared" si="26"/>
        <v>23567</v>
      </c>
      <c r="X356" s="705">
        <f t="shared" si="27"/>
        <v>63630</v>
      </c>
      <c r="Y356" s="705"/>
    </row>
    <row r="357" spans="2:25">
      <c r="B357" t="s">
        <v>678</v>
      </c>
      <c r="C357" t="s">
        <v>108</v>
      </c>
      <c r="D357" t="s">
        <v>584</v>
      </c>
      <c r="E357" t="s">
        <v>584</v>
      </c>
      <c r="F357" s="705">
        <v>106</v>
      </c>
      <c r="G357" s="705">
        <v>6169</v>
      </c>
      <c r="H357" s="705">
        <v>6179</v>
      </c>
      <c r="I357" s="705">
        <v>35213</v>
      </c>
      <c r="J357" s="706">
        <v>32011</v>
      </c>
      <c r="K357" s="705">
        <v>91</v>
      </c>
      <c r="L357" s="705">
        <v>1193</v>
      </c>
      <c r="M357" s="705">
        <v>442</v>
      </c>
      <c r="N357" s="705">
        <v>75332</v>
      </c>
      <c r="O357" s="705">
        <v>27901</v>
      </c>
      <c r="P357" s="705">
        <v>50085</v>
      </c>
      <c r="Q357" s="705">
        <v>18550</v>
      </c>
      <c r="R357" s="705">
        <v>135726</v>
      </c>
      <c r="S357" s="705">
        <v>123387</v>
      </c>
      <c r="T357" s="705">
        <v>64763</v>
      </c>
      <c r="U357" s="705">
        <v>23986</v>
      </c>
      <c r="V357" s="705">
        <v>226277</v>
      </c>
      <c r="W357" s="705">
        <f t="shared" si="26"/>
        <v>226277</v>
      </c>
      <c r="X357" s="705">
        <f t="shared" si="27"/>
        <v>362312</v>
      </c>
      <c r="Y357" s="705"/>
    </row>
    <row r="358" spans="2:25">
      <c r="B358" t="s">
        <v>678</v>
      </c>
      <c r="C358" t="s">
        <v>110</v>
      </c>
      <c r="F358">
        <v>93</v>
      </c>
      <c r="G358" s="705">
        <v>7555</v>
      </c>
      <c r="H358" s="705">
        <v>8707</v>
      </c>
      <c r="I358" s="705"/>
      <c r="J358" s="429">
        <v>0</v>
      </c>
      <c r="K358" s="705"/>
      <c r="L358" s="705"/>
      <c r="M358" s="705">
        <v>0</v>
      </c>
      <c r="N358" s="705">
        <v>130969</v>
      </c>
      <c r="O358" s="705">
        <v>48507</v>
      </c>
      <c r="P358" s="705">
        <v>20730</v>
      </c>
      <c r="Q358" s="705">
        <v>7678</v>
      </c>
      <c r="R358" s="705"/>
      <c r="S358" s="705">
        <v>0</v>
      </c>
      <c r="T358" s="705">
        <v>8859</v>
      </c>
      <c r="U358" s="705">
        <v>3281</v>
      </c>
      <c r="V358" s="705">
        <v>59466</v>
      </c>
      <c r="W358" s="705">
        <f t="shared" si="26"/>
        <v>59466</v>
      </c>
      <c r="X358" s="705">
        <f t="shared" si="27"/>
        <v>160558</v>
      </c>
      <c r="Y358" s="705"/>
    </row>
    <row r="359" spans="2:25">
      <c r="B359" t="s">
        <v>678</v>
      </c>
      <c r="C359" t="s">
        <v>110</v>
      </c>
      <c r="D359" t="s">
        <v>584</v>
      </c>
      <c r="E359" s="705" t="s">
        <v>584</v>
      </c>
      <c r="F359" s="705">
        <v>59</v>
      </c>
      <c r="G359" s="705">
        <v>4021</v>
      </c>
      <c r="H359" s="705">
        <v>5328</v>
      </c>
      <c r="I359" s="705">
        <v>107427</v>
      </c>
      <c r="J359" s="706">
        <v>97661</v>
      </c>
      <c r="K359" s="705">
        <v>90</v>
      </c>
      <c r="L359" s="705">
        <v>2101</v>
      </c>
      <c r="M359" s="705">
        <v>778</v>
      </c>
      <c r="N359" s="705">
        <v>65345</v>
      </c>
      <c r="O359" s="705">
        <v>24202</v>
      </c>
      <c r="P359" s="705">
        <v>28023</v>
      </c>
      <c r="Q359" s="705">
        <v>10379</v>
      </c>
      <c r="R359" s="705">
        <v>154024</v>
      </c>
      <c r="S359" s="705">
        <v>140022</v>
      </c>
      <c r="T359" s="705">
        <v>7062</v>
      </c>
      <c r="U359" s="705">
        <v>2616</v>
      </c>
      <c r="V359" s="705">
        <v>275658</v>
      </c>
      <c r="W359" s="705">
        <f t="shared" si="26"/>
        <v>275658</v>
      </c>
      <c r="X359" s="705">
        <f t="shared" si="27"/>
        <v>363982</v>
      </c>
      <c r="Y359" s="705"/>
    </row>
    <row r="360" spans="2:25">
      <c r="B360" t="s">
        <v>678</v>
      </c>
      <c r="C360" t="s">
        <v>112</v>
      </c>
      <c r="F360" s="705">
        <v>239</v>
      </c>
      <c r="G360" s="705">
        <v>20054</v>
      </c>
      <c r="H360" s="705">
        <v>26720</v>
      </c>
      <c r="I360" s="705"/>
      <c r="J360" s="706">
        <v>0</v>
      </c>
      <c r="K360" s="705"/>
      <c r="L360" s="705"/>
      <c r="M360" s="705">
        <v>0</v>
      </c>
      <c r="N360" s="705">
        <v>445865</v>
      </c>
      <c r="O360" s="705">
        <v>165135</v>
      </c>
      <c r="P360" s="705">
        <v>25624</v>
      </c>
      <c r="Q360" s="705">
        <v>9490</v>
      </c>
      <c r="R360" s="705"/>
      <c r="S360" s="705">
        <v>0</v>
      </c>
      <c r="T360" s="705">
        <v>17905</v>
      </c>
      <c r="U360" s="705">
        <v>6631</v>
      </c>
      <c r="V360" s="705">
        <v>181257</v>
      </c>
      <c r="W360" s="705">
        <f t="shared" si="26"/>
        <v>181256</v>
      </c>
      <c r="X360" s="705">
        <f t="shared" si="27"/>
        <v>489394</v>
      </c>
      <c r="Y360" s="705"/>
    </row>
    <row r="361" spans="2:25">
      <c r="B361" t="s">
        <v>678</v>
      </c>
      <c r="C361" t="s">
        <v>112</v>
      </c>
      <c r="D361" t="s">
        <v>228</v>
      </c>
      <c r="E361" t="s">
        <v>228</v>
      </c>
      <c r="F361">
        <v>4</v>
      </c>
      <c r="G361" s="705">
        <v>282</v>
      </c>
      <c r="H361" s="705">
        <v>473</v>
      </c>
      <c r="I361" s="705">
        <v>5566</v>
      </c>
      <c r="J361" s="706">
        <v>2061</v>
      </c>
      <c r="K361" s="705">
        <v>100</v>
      </c>
      <c r="L361" s="705">
        <v>743</v>
      </c>
      <c r="M361" s="705">
        <v>275</v>
      </c>
      <c r="N361" s="705">
        <v>4355</v>
      </c>
      <c r="O361" s="705">
        <v>1613</v>
      </c>
      <c r="P361">
        <v>0</v>
      </c>
      <c r="Q361" s="705">
        <v>0</v>
      </c>
      <c r="R361" s="705">
        <v>22594</v>
      </c>
      <c r="S361" s="705">
        <v>8368</v>
      </c>
      <c r="T361" s="705">
        <v>0</v>
      </c>
      <c r="U361" s="705">
        <v>0</v>
      </c>
      <c r="V361" s="705">
        <v>12318</v>
      </c>
      <c r="W361" s="705">
        <f t="shared" si="26"/>
        <v>12317</v>
      </c>
      <c r="X361" s="705">
        <f t="shared" si="27"/>
        <v>33258</v>
      </c>
      <c r="Y361" s="705"/>
    </row>
    <row r="362" spans="2:25">
      <c r="B362" t="s">
        <v>678</v>
      </c>
      <c r="C362" t="s">
        <v>112</v>
      </c>
      <c r="D362" t="s">
        <v>228</v>
      </c>
      <c r="E362" t="s">
        <v>665</v>
      </c>
      <c r="F362" s="705">
        <v>1</v>
      </c>
      <c r="G362" s="705">
        <v>69</v>
      </c>
      <c r="H362" s="705">
        <v>107</v>
      </c>
      <c r="I362" s="705">
        <v>3546</v>
      </c>
      <c r="J362" s="706">
        <v>1313</v>
      </c>
      <c r="K362" s="705">
        <v>100</v>
      </c>
      <c r="L362" s="705">
        <v>394</v>
      </c>
      <c r="M362" s="705">
        <v>146</v>
      </c>
      <c r="N362" s="705">
        <v>1013</v>
      </c>
      <c r="O362" s="705">
        <v>375</v>
      </c>
      <c r="P362" s="705">
        <v>0</v>
      </c>
      <c r="Q362" s="705">
        <v>0</v>
      </c>
      <c r="R362" s="705">
        <v>2494</v>
      </c>
      <c r="S362" s="705">
        <v>2267</v>
      </c>
      <c r="T362" s="705">
        <v>0</v>
      </c>
      <c r="U362" s="705">
        <v>0</v>
      </c>
      <c r="V362" s="705">
        <v>4102</v>
      </c>
      <c r="W362" s="705">
        <f t="shared" si="26"/>
        <v>4101</v>
      </c>
      <c r="X362" s="705">
        <f t="shared" si="27"/>
        <v>7447</v>
      </c>
      <c r="Y362" s="705"/>
    </row>
    <row r="363" spans="2:25">
      <c r="B363" t="s">
        <v>678</v>
      </c>
      <c r="C363" t="s">
        <v>112</v>
      </c>
      <c r="D363" t="s">
        <v>584</v>
      </c>
      <c r="E363" t="s">
        <v>584</v>
      </c>
      <c r="F363">
        <v>119</v>
      </c>
      <c r="G363" s="705">
        <v>8244</v>
      </c>
      <c r="H363" s="705">
        <v>13643</v>
      </c>
      <c r="I363" s="705">
        <v>331701</v>
      </c>
      <c r="J363" s="706">
        <v>301547</v>
      </c>
      <c r="K363" s="705">
        <v>86</v>
      </c>
      <c r="L363" s="705">
        <v>16581</v>
      </c>
      <c r="M363" s="705">
        <v>10813</v>
      </c>
      <c r="N363" s="705">
        <v>156858</v>
      </c>
      <c r="O363" s="705">
        <v>58096</v>
      </c>
      <c r="P363" s="705">
        <v>51962</v>
      </c>
      <c r="Q363" s="705">
        <v>19245</v>
      </c>
      <c r="R363" s="705">
        <v>380222</v>
      </c>
      <c r="S363" s="705">
        <v>345656</v>
      </c>
      <c r="T363" s="705">
        <v>5845</v>
      </c>
      <c r="U363" s="705">
        <v>2165</v>
      </c>
      <c r="V363" s="705">
        <v>737521</v>
      </c>
      <c r="W363" s="705">
        <f t="shared" si="26"/>
        <v>737522</v>
      </c>
      <c r="X363" s="705">
        <f t="shared" si="27"/>
        <v>943169</v>
      </c>
      <c r="Y363" s="705"/>
    </row>
    <row r="364" spans="2:25">
      <c r="B364" t="s">
        <v>678</v>
      </c>
      <c r="C364" t="s">
        <v>114</v>
      </c>
      <c r="F364">
        <v>225</v>
      </c>
      <c r="G364" s="705">
        <v>17952</v>
      </c>
      <c r="H364" s="705">
        <v>30709</v>
      </c>
      <c r="I364" s="705"/>
      <c r="J364" s="429">
        <v>0</v>
      </c>
      <c r="K364" s="705"/>
      <c r="L364" s="705"/>
      <c r="M364" s="705">
        <v>0</v>
      </c>
      <c r="N364" s="705">
        <v>401266</v>
      </c>
      <c r="O364" s="705">
        <v>148617</v>
      </c>
      <c r="P364" s="705">
        <v>28012</v>
      </c>
      <c r="Q364" s="705">
        <v>10375</v>
      </c>
      <c r="R364" s="705"/>
      <c r="S364" s="705">
        <v>0</v>
      </c>
      <c r="T364" s="705">
        <v>30266</v>
      </c>
      <c r="U364" s="705">
        <v>11210</v>
      </c>
      <c r="V364" s="705">
        <v>170202</v>
      </c>
      <c r="W364" s="705">
        <f t="shared" si="26"/>
        <v>170202</v>
      </c>
      <c r="X364" s="705">
        <f t="shared" si="27"/>
        <v>459544</v>
      </c>
      <c r="Y364" s="705"/>
    </row>
    <row r="365" spans="2:25">
      <c r="B365" t="s">
        <v>678</v>
      </c>
      <c r="C365" t="s">
        <v>114</v>
      </c>
      <c r="D365" t="s">
        <v>228</v>
      </c>
      <c r="E365" t="s">
        <v>228</v>
      </c>
      <c r="F365" s="705">
        <v>33</v>
      </c>
      <c r="G365" s="705">
        <v>2454</v>
      </c>
      <c r="H365" s="705">
        <v>4675</v>
      </c>
      <c r="I365" s="705">
        <v>83616</v>
      </c>
      <c r="J365" s="706">
        <v>30969</v>
      </c>
      <c r="K365" s="705">
        <v>100</v>
      </c>
      <c r="L365" s="705">
        <v>12739</v>
      </c>
      <c r="M365" s="705">
        <v>4718</v>
      </c>
      <c r="N365" s="705">
        <v>45199</v>
      </c>
      <c r="O365" s="705">
        <v>16740</v>
      </c>
      <c r="P365" s="705">
        <v>351</v>
      </c>
      <c r="Q365" s="705">
        <v>130</v>
      </c>
      <c r="R365" s="705">
        <v>203893</v>
      </c>
      <c r="S365" s="705">
        <v>75516</v>
      </c>
      <c r="T365" s="705">
        <v>2206</v>
      </c>
      <c r="U365" s="705">
        <v>817</v>
      </c>
      <c r="V365" s="705">
        <v>128890</v>
      </c>
      <c r="W365" s="705">
        <f t="shared" si="26"/>
        <v>128890</v>
      </c>
      <c r="X365" s="705">
        <f t="shared" si="27"/>
        <v>348004</v>
      </c>
      <c r="Y365" s="705"/>
    </row>
    <row r="366" spans="2:25">
      <c r="B366" t="s">
        <v>678</v>
      </c>
      <c r="C366" t="s">
        <v>114</v>
      </c>
      <c r="D366" t="s">
        <v>584</v>
      </c>
      <c r="E366" t="s">
        <v>584</v>
      </c>
      <c r="F366" s="705">
        <v>167</v>
      </c>
      <c r="G366" s="705">
        <v>11123</v>
      </c>
      <c r="H366" s="705">
        <v>23081</v>
      </c>
      <c r="I366" s="705">
        <v>613272</v>
      </c>
      <c r="J366" s="706">
        <v>557520</v>
      </c>
      <c r="K366" s="705">
        <v>84</v>
      </c>
      <c r="L366" s="705">
        <v>27116</v>
      </c>
      <c r="M366" s="705">
        <v>17496</v>
      </c>
      <c r="N366" s="705">
        <v>223663</v>
      </c>
      <c r="O366" s="705">
        <v>82838</v>
      </c>
      <c r="P366" s="705">
        <v>75013</v>
      </c>
      <c r="Q366" s="705">
        <v>27783</v>
      </c>
      <c r="R366" s="705">
        <v>563167</v>
      </c>
      <c r="S366" s="705">
        <v>511970</v>
      </c>
      <c r="T366" s="705">
        <v>34637</v>
      </c>
      <c r="U366" s="705">
        <v>12828</v>
      </c>
      <c r="V366" s="705">
        <v>1210434</v>
      </c>
      <c r="W366" s="705">
        <f t="shared" si="26"/>
        <v>1210435</v>
      </c>
      <c r="X366" s="705">
        <f t="shared" si="27"/>
        <v>1536868</v>
      </c>
      <c r="Y366" s="705"/>
    </row>
    <row r="367" spans="2:25">
      <c r="B367" t="s">
        <v>678</v>
      </c>
      <c r="C367" t="s">
        <v>116</v>
      </c>
      <c r="F367" s="705">
        <v>313</v>
      </c>
      <c r="G367" s="705">
        <v>20582</v>
      </c>
      <c r="H367" s="705">
        <v>56403</v>
      </c>
      <c r="I367" s="705"/>
      <c r="J367" s="706">
        <v>0</v>
      </c>
      <c r="K367" s="705"/>
      <c r="L367" s="705"/>
      <c r="M367" s="705">
        <v>0</v>
      </c>
      <c r="N367" s="705">
        <v>447625</v>
      </c>
      <c r="O367" s="705">
        <v>165787</v>
      </c>
      <c r="P367" s="705">
        <v>46791</v>
      </c>
      <c r="Q367" s="705">
        <v>17330</v>
      </c>
      <c r="R367" s="705"/>
      <c r="S367" s="705">
        <v>0</v>
      </c>
      <c r="T367" s="705">
        <v>35817</v>
      </c>
      <c r="U367" s="705">
        <v>13266</v>
      </c>
      <c r="V367" s="705">
        <v>196383</v>
      </c>
      <c r="W367" s="705">
        <f t="shared" si="26"/>
        <v>196383</v>
      </c>
      <c r="X367" s="705">
        <f t="shared" si="27"/>
        <v>530233</v>
      </c>
      <c r="Y367" s="705"/>
    </row>
    <row r="368" spans="2:25">
      <c r="B368" t="s">
        <v>678</v>
      </c>
      <c r="C368" t="s">
        <v>116</v>
      </c>
      <c r="D368" t="s">
        <v>228</v>
      </c>
      <c r="E368" t="s">
        <v>228</v>
      </c>
      <c r="F368">
        <v>969</v>
      </c>
      <c r="G368" s="705">
        <v>60801</v>
      </c>
      <c r="H368" s="705">
        <v>189583</v>
      </c>
      <c r="I368" s="705">
        <v>4608639</v>
      </c>
      <c r="J368" s="706">
        <v>1706903</v>
      </c>
      <c r="K368" s="705">
        <v>100</v>
      </c>
      <c r="L368" s="705">
        <v>432160</v>
      </c>
      <c r="M368" s="705">
        <v>164049</v>
      </c>
      <c r="N368" s="705">
        <v>1151537</v>
      </c>
      <c r="O368" s="705">
        <v>426495</v>
      </c>
      <c r="P368" s="705">
        <v>11543</v>
      </c>
      <c r="Q368" s="705">
        <v>4275</v>
      </c>
      <c r="R368" s="705">
        <v>5639831</v>
      </c>
      <c r="S368" s="705">
        <v>2088826</v>
      </c>
      <c r="T368" s="705">
        <v>2772</v>
      </c>
      <c r="U368" s="705">
        <v>1027</v>
      </c>
      <c r="V368" s="705">
        <v>4391576</v>
      </c>
      <c r="W368" s="705">
        <f t="shared" si="26"/>
        <v>4391575</v>
      </c>
      <c r="X368" s="705">
        <f t="shared" si="27"/>
        <v>11846482</v>
      </c>
      <c r="Y368" s="705"/>
    </row>
    <row r="369" spans="2:25">
      <c r="B369" t="s">
        <v>678</v>
      </c>
      <c r="C369" t="s">
        <v>116</v>
      </c>
      <c r="D369" t="s">
        <v>584</v>
      </c>
      <c r="E369" t="s">
        <v>228</v>
      </c>
      <c r="F369">
        <v>3</v>
      </c>
      <c r="G369" s="705">
        <v>136</v>
      </c>
      <c r="H369" s="705">
        <v>554</v>
      </c>
      <c r="I369" s="705">
        <v>8387</v>
      </c>
      <c r="J369" s="706">
        <v>7624</v>
      </c>
      <c r="K369" s="705">
        <v>80</v>
      </c>
      <c r="L369" s="705">
        <v>0</v>
      </c>
      <c r="M369" s="705">
        <v>0</v>
      </c>
      <c r="N369" s="705">
        <v>2206</v>
      </c>
      <c r="O369">
        <v>817</v>
      </c>
      <c r="P369" s="705">
        <v>1175</v>
      </c>
      <c r="Q369" s="705">
        <v>435</v>
      </c>
      <c r="R369" s="705">
        <v>13351</v>
      </c>
      <c r="S369" s="705">
        <v>4945</v>
      </c>
      <c r="T369" s="705">
        <v>0</v>
      </c>
      <c r="U369" s="705">
        <v>0</v>
      </c>
      <c r="V369" s="705">
        <v>13821</v>
      </c>
      <c r="W369" s="705">
        <f t="shared" si="26"/>
        <v>13821</v>
      </c>
      <c r="X369" s="705">
        <f t="shared" si="27"/>
        <v>25119</v>
      </c>
      <c r="Y369" s="705"/>
    </row>
    <row r="370" spans="2:25">
      <c r="B370" t="s">
        <v>678</v>
      </c>
      <c r="C370" t="s">
        <v>116</v>
      </c>
      <c r="D370" t="s">
        <v>584</v>
      </c>
      <c r="E370" t="s">
        <v>584</v>
      </c>
      <c r="F370" s="705">
        <v>396</v>
      </c>
      <c r="G370" s="705">
        <v>23815</v>
      </c>
      <c r="H370" s="705">
        <v>72441</v>
      </c>
      <c r="I370" s="705">
        <v>1966478</v>
      </c>
      <c r="J370" s="706">
        <v>1787707</v>
      </c>
      <c r="K370" s="705">
        <v>82</v>
      </c>
      <c r="L370" s="705">
        <v>150439</v>
      </c>
      <c r="M370" s="705">
        <v>96324</v>
      </c>
      <c r="N370" s="705">
        <v>480571</v>
      </c>
      <c r="O370" s="705">
        <v>177989</v>
      </c>
      <c r="P370" s="705">
        <v>196008</v>
      </c>
      <c r="Q370" s="705">
        <v>72596</v>
      </c>
      <c r="R370" s="705">
        <v>1399035</v>
      </c>
      <c r="S370" s="705">
        <v>1271850</v>
      </c>
      <c r="T370" s="705">
        <v>150842</v>
      </c>
      <c r="U370" s="705">
        <v>55868</v>
      </c>
      <c r="V370" s="705">
        <v>3462333</v>
      </c>
      <c r="W370" s="705">
        <f t="shared" si="26"/>
        <v>3462334</v>
      </c>
      <c r="X370" s="705">
        <f t="shared" si="27"/>
        <v>4343373</v>
      </c>
      <c r="Y370" s="705"/>
    </row>
    <row r="371" spans="2:25">
      <c r="B371" t="s">
        <v>678</v>
      </c>
      <c r="C371" t="s">
        <v>118</v>
      </c>
      <c r="F371">
        <v>91</v>
      </c>
      <c r="G371" s="705">
        <v>5187</v>
      </c>
      <c r="H371" s="705">
        <v>23023</v>
      </c>
      <c r="I371" s="705"/>
      <c r="J371" s="429">
        <v>0</v>
      </c>
      <c r="K371" s="705"/>
      <c r="L371" s="705"/>
      <c r="M371" s="705">
        <v>0</v>
      </c>
      <c r="N371" s="705">
        <v>114549</v>
      </c>
      <c r="O371" s="705">
        <v>42426</v>
      </c>
      <c r="P371" s="705">
        <v>10862</v>
      </c>
      <c r="Q371" s="705">
        <v>4023</v>
      </c>
      <c r="R371" s="705"/>
      <c r="S371" s="705">
        <v>0</v>
      </c>
      <c r="T371" s="705">
        <v>10078</v>
      </c>
      <c r="U371" s="705">
        <v>3733</v>
      </c>
      <c r="V371" s="705">
        <v>50181</v>
      </c>
      <c r="W371" s="705">
        <f t="shared" si="26"/>
        <v>50182</v>
      </c>
      <c r="X371" s="705">
        <f t="shared" si="27"/>
        <v>135489</v>
      </c>
      <c r="Y371" s="705"/>
    </row>
    <row r="372" spans="2:25">
      <c r="B372" t="s">
        <v>678</v>
      </c>
      <c r="C372" t="s">
        <v>118</v>
      </c>
      <c r="D372" t="s">
        <v>228</v>
      </c>
      <c r="E372" t="s">
        <v>228</v>
      </c>
      <c r="F372" s="705">
        <v>1297</v>
      </c>
      <c r="G372" s="705">
        <v>72136</v>
      </c>
      <c r="H372" s="705">
        <v>339998</v>
      </c>
      <c r="I372" s="705">
        <v>9109834</v>
      </c>
      <c r="J372" s="706">
        <v>3374013</v>
      </c>
      <c r="K372" s="705">
        <v>100</v>
      </c>
      <c r="L372" s="705">
        <v>999490</v>
      </c>
      <c r="M372" s="705">
        <v>379230</v>
      </c>
      <c r="N372" s="705">
        <v>1459501</v>
      </c>
      <c r="O372" s="705">
        <v>540556</v>
      </c>
      <c r="P372" s="705">
        <v>17151</v>
      </c>
      <c r="Q372" s="705">
        <v>6352</v>
      </c>
      <c r="R372" s="705">
        <v>7315019</v>
      </c>
      <c r="S372" s="705">
        <v>2709266</v>
      </c>
      <c r="T372" s="705">
        <v>4031</v>
      </c>
      <c r="U372" s="705">
        <v>1493</v>
      </c>
      <c r="V372" s="705">
        <v>7010910</v>
      </c>
      <c r="W372" s="705">
        <f t="shared" si="26"/>
        <v>7010910</v>
      </c>
      <c r="X372" s="705">
        <f t="shared" si="27"/>
        <v>18905026</v>
      </c>
      <c r="Y372" s="705"/>
    </row>
    <row r="373" spans="2:25">
      <c r="B373" t="s">
        <v>678</v>
      </c>
      <c r="C373" t="s">
        <v>118</v>
      </c>
      <c r="D373" t="s">
        <v>584</v>
      </c>
      <c r="E373" t="s">
        <v>228</v>
      </c>
      <c r="F373">
        <v>8</v>
      </c>
      <c r="G373" s="705">
        <v>391</v>
      </c>
      <c r="H373" s="705">
        <v>2145</v>
      </c>
      <c r="I373" s="705">
        <v>48240</v>
      </c>
      <c r="J373" s="706">
        <v>43855</v>
      </c>
      <c r="K373" s="705">
        <v>82</v>
      </c>
      <c r="L373" s="705">
        <v>4032</v>
      </c>
      <c r="M373" s="705">
        <v>3530</v>
      </c>
      <c r="N373" s="705">
        <v>8422</v>
      </c>
      <c r="O373" s="705">
        <v>3119</v>
      </c>
      <c r="P373" s="705">
        <v>2714</v>
      </c>
      <c r="Q373" s="705">
        <v>1005</v>
      </c>
      <c r="R373" s="705">
        <v>41720</v>
      </c>
      <c r="S373" s="705">
        <v>15452</v>
      </c>
      <c r="T373" s="705">
        <v>0</v>
      </c>
      <c r="U373" s="705">
        <v>0</v>
      </c>
      <c r="V373" s="705">
        <v>66961</v>
      </c>
      <c r="W373" s="705">
        <f t="shared" si="26"/>
        <v>66961</v>
      </c>
      <c r="X373" s="705">
        <f t="shared" si="27"/>
        <v>105128</v>
      </c>
      <c r="Y373" s="705"/>
    </row>
    <row r="374" spans="2:25">
      <c r="B374" t="s">
        <v>678</v>
      </c>
      <c r="C374" t="s">
        <v>118</v>
      </c>
      <c r="D374" t="s">
        <v>584</v>
      </c>
      <c r="E374" t="s">
        <v>584</v>
      </c>
      <c r="F374" s="705">
        <v>149</v>
      </c>
      <c r="G374" s="705">
        <v>8099</v>
      </c>
      <c r="H374" s="705">
        <v>38539</v>
      </c>
      <c r="I374" s="705">
        <v>1087878</v>
      </c>
      <c r="J374" s="706">
        <v>988980</v>
      </c>
      <c r="K374" s="705">
        <v>81</v>
      </c>
      <c r="L374" s="705">
        <v>116192</v>
      </c>
      <c r="M374" s="705">
        <v>87844</v>
      </c>
      <c r="N374" s="705">
        <v>178052</v>
      </c>
      <c r="O374" s="705">
        <v>65945</v>
      </c>
      <c r="P374" s="705">
        <v>75361</v>
      </c>
      <c r="Q374" s="705">
        <v>27912</v>
      </c>
      <c r="R374" s="705">
        <v>545454</v>
      </c>
      <c r="S374" s="705">
        <v>495867</v>
      </c>
      <c r="T374" s="705">
        <v>90988</v>
      </c>
      <c r="U374" s="705">
        <v>33699</v>
      </c>
      <c r="V374" s="705">
        <v>1700247</v>
      </c>
      <c r="W374" s="705">
        <f t="shared" si="26"/>
        <v>1700247</v>
      </c>
      <c r="X374" s="705">
        <f t="shared" si="27"/>
        <v>2093925</v>
      </c>
      <c r="Y374" s="705"/>
    </row>
    <row r="375" spans="2:25">
      <c r="B375" t="s">
        <v>678</v>
      </c>
      <c r="C375" t="s">
        <v>120</v>
      </c>
      <c r="E375" s="705"/>
      <c r="F375" s="705">
        <v>25</v>
      </c>
      <c r="G375" s="705">
        <v>1271</v>
      </c>
      <c r="H375" s="705">
        <v>8304</v>
      </c>
      <c r="I375" s="705"/>
      <c r="J375" s="429">
        <v>0</v>
      </c>
      <c r="K375" s="705"/>
      <c r="L375" s="705"/>
      <c r="M375" s="705">
        <v>0</v>
      </c>
      <c r="N375" s="705">
        <v>25531</v>
      </c>
      <c r="O375" s="705">
        <v>9456</v>
      </c>
      <c r="P375" s="705">
        <v>3645</v>
      </c>
      <c r="Q375" s="705">
        <v>1350</v>
      </c>
      <c r="R375" s="705"/>
      <c r="S375" s="705">
        <v>0</v>
      </c>
      <c r="T375" s="705">
        <v>4289</v>
      </c>
      <c r="U375" s="705">
        <v>1589</v>
      </c>
      <c r="V375" s="705">
        <v>12395</v>
      </c>
      <c r="W375" s="705">
        <f t="shared" si="26"/>
        <v>12395</v>
      </c>
      <c r="X375" s="705">
        <f t="shared" si="27"/>
        <v>33465</v>
      </c>
      <c r="Y375" s="705"/>
    </row>
    <row r="376" spans="2:25">
      <c r="B376" t="s">
        <v>678</v>
      </c>
      <c r="C376" t="s">
        <v>120</v>
      </c>
      <c r="D376" t="s">
        <v>228</v>
      </c>
      <c r="E376" t="s">
        <v>228</v>
      </c>
      <c r="F376">
        <v>697</v>
      </c>
      <c r="G376" s="705">
        <v>35272</v>
      </c>
      <c r="H376" s="705">
        <v>234744</v>
      </c>
      <c r="I376" s="705">
        <v>6660879</v>
      </c>
      <c r="J376" s="706">
        <v>2466992</v>
      </c>
      <c r="K376" s="705">
        <v>100</v>
      </c>
      <c r="L376" s="705">
        <v>669358</v>
      </c>
      <c r="M376" s="705">
        <v>291418</v>
      </c>
      <c r="N376" s="705">
        <v>711057</v>
      </c>
      <c r="O376" s="705">
        <v>263354</v>
      </c>
      <c r="P376" s="705">
        <v>8235</v>
      </c>
      <c r="Q376" s="705">
        <v>3050</v>
      </c>
      <c r="R376" s="705">
        <v>3820480</v>
      </c>
      <c r="S376" s="705">
        <v>1414993</v>
      </c>
      <c r="T376" s="705">
        <v>3232</v>
      </c>
      <c r="U376" s="705">
        <v>1197</v>
      </c>
      <c r="V376" s="705">
        <v>4441004</v>
      </c>
      <c r="W376" s="705">
        <f t="shared" si="26"/>
        <v>4441004</v>
      </c>
      <c r="X376" s="705">
        <f t="shared" si="27"/>
        <v>11873241</v>
      </c>
      <c r="Y376" s="705"/>
    </row>
    <row r="377" spans="2:25">
      <c r="B377" t="s">
        <v>678</v>
      </c>
      <c r="C377" t="s">
        <v>120</v>
      </c>
      <c r="D377" t="s">
        <v>583</v>
      </c>
      <c r="E377" t="s">
        <v>228</v>
      </c>
      <c r="F377" s="705">
        <v>5</v>
      </c>
      <c r="G377" s="705">
        <v>248</v>
      </c>
      <c r="H377" s="705">
        <v>1781</v>
      </c>
      <c r="I377" s="705">
        <v>53567</v>
      </c>
      <c r="J377" s="706">
        <v>48697</v>
      </c>
      <c r="K377" s="705">
        <v>79</v>
      </c>
      <c r="L377" s="705">
        <v>0</v>
      </c>
      <c r="M377" s="705">
        <v>0</v>
      </c>
      <c r="N377" s="705">
        <v>6053</v>
      </c>
      <c r="O377" s="705">
        <v>2242</v>
      </c>
      <c r="P377" s="705">
        <v>1755</v>
      </c>
      <c r="Q377" s="705">
        <v>650</v>
      </c>
      <c r="R377" s="705">
        <v>26786</v>
      </c>
      <c r="S377" s="705">
        <v>9921</v>
      </c>
      <c r="T377" s="705">
        <v>0</v>
      </c>
      <c r="U377" s="705">
        <v>0</v>
      </c>
      <c r="V377" s="705">
        <v>61510</v>
      </c>
      <c r="W377" s="705">
        <f t="shared" si="26"/>
        <v>61510</v>
      </c>
      <c r="X377" s="705">
        <f t="shared" si="27"/>
        <v>88161</v>
      </c>
      <c r="Y377" s="705"/>
    </row>
    <row r="378" spans="2:25">
      <c r="B378" t="s">
        <v>678</v>
      </c>
      <c r="C378" t="s">
        <v>120</v>
      </c>
      <c r="D378" t="s">
        <v>583</v>
      </c>
      <c r="E378" t="s">
        <v>583</v>
      </c>
      <c r="F378">
        <v>1</v>
      </c>
      <c r="G378" s="705">
        <v>141</v>
      </c>
      <c r="H378" s="705">
        <v>342</v>
      </c>
      <c r="I378" s="705">
        <v>36652</v>
      </c>
      <c r="J378" s="706">
        <v>33320</v>
      </c>
      <c r="K378" s="705">
        <v>76</v>
      </c>
      <c r="L378" s="705">
        <v>0</v>
      </c>
      <c r="M378" s="705">
        <v>0</v>
      </c>
      <c r="N378" s="705">
        <v>3426</v>
      </c>
      <c r="O378" s="705">
        <v>1269</v>
      </c>
      <c r="P378">
        <v>621</v>
      </c>
      <c r="Q378" s="705">
        <v>230</v>
      </c>
      <c r="R378" s="705">
        <v>4483</v>
      </c>
      <c r="S378" s="705">
        <v>4075</v>
      </c>
      <c r="T378" s="705">
        <v>2826</v>
      </c>
      <c r="U378" s="705">
        <v>1047</v>
      </c>
      <c r="V378" s="705">
        <v>39941</v>
      </c>
      <c r="W378" s="705">
        <f t="shared" si="26"/>
        <v>39941</v>
      </c>
      <c r="X378" s="705">
        <f t="shared" si="27"/>
        <v>48008</v>
      </c>
      <c r="Y378" s="705"/>
    </row>
    <row r="379" spans="2:25">
      <c r="B379" t="s">
        <v>678</v>
      </c>
      <c r="C379" t="s">
        <v>120</v>
      </c>
      <c r="D379" t="s">
        <v>584</v>
      </c>
      <c r="E379" t="s">
        <v>228</v>
      </c>
      <c r="F379">
        <v>8</v>
      </c>
      <c r="G379" s="705">
        <v>327</v>
      </c>
      <c r="H379" s="705">
        <v>2846</v>
      </c>
      <c r="I379" s="705">
        <v>63676</v>
      </c>
      <c r="J379" s="706">
        <v>57887</v>
      </c>
      <c r="K379" s="705">
        <v>79</v>
      </c>
      <c r="L379" s="705">
        <v>6260</v>
      </c>
      <c r="M379" s="705">
        <v>4009</v>
      </c>
      <c r="N379" s="705">
        <v>7767</v>
      </c>
      <c r="O379" s="705">
        <v>2877</v>
      </c>
      <c r="P379" s="705">
        <v>3308</v>
      </c>
      <c r="Q379" s="705">
        <v>1225</v>
      </c>
      <c r="R379" s="705">
        <v>35424</v>
      </c>
      <c r="S379" s="705">
        <v>13120</v>
      </c>
      <c r="T379">
        <v>0</v>
      </c>
      <c r="U379" s="705">
        <v>0</v>
      </c>
      <c r="V379" s="705">
        <v>79118</v>
      </c>
      <c r="W379" s="705">
        <f t="shared" si="26"/>
        <v>79118</v>
      </c>
      <c r="X379" s="705">
        <f t="shared" si="27"/>
        <v>116435</v>
      </c>
      <c r="Y379" s="705"/>
    </row>
    <row r="380" spans="2:25">
      <c r="B380" t="s">
        <v>678</v>
      </c>
      <c r="C380" t="s">
        <v>120</v>
      </c>
      <c r="D380" t="s">
        <v>584</v>
      </c>
      <c r="E380" t="s">
        <v>584</v>
      </c>
      <c r="F380" s="705">
        <v>76</v>
      </c>
      <c r="G380" s="705">
        <v>4193</v>
      </c>
      <c r="H380" s="705">
        <v>25076</v>
      </c>
      <c r="I380" s="705">
        <v>841189</v>
      </c>
      <c r="J380" s="706">
        <v>764717</v>
      </c>
      <c r="K380" s="705">
        <v>78</v>
      </c>
      <c r="L380" s="705">
        <v>80397</v>
      </c>
      <c r="M380" s="705">
        <v>61380</v>
      </c>
      <c r="N380" s="705">
        <v>93540</v>
      </c>
      <c r="O380" s="705">
        <v>34644</v>
      </c>
      <c r="P380" s="705">
        <v>35789</v>
      </c>
      <c r="Q380" s="705">
        <v>13255</v>
      </c>
      <c r="R380" s="705">
        <v>291677</v>
      </c>
      <c r="S380" s="705">
        <v>265161</v>
      </c>
      <c r="T380" s="705">
        <v>75206</v>
      </c>
      <c r="U380" s="705">
        <v>27854</v>
      </c>
      <c r="V380" s="705">
        <v>1167012</v>
      </c>
      <c r="W380" s="705">
        <f t="shared" si="26"/>
        <v>1167011</v>
      </c>
      <c r="X380" s="705">
        <f t="shared" si="27"/>
        <v>1417798</v>
      </c>
      <c r="Y380" s="705"/>
    </row>
    <row r="381" spans="2:25">
      <c r="B381" t="s">
        <v>678</v>
      </c>
      <c r="C381" t="s">
        <v>122</v>
      </c>
      <c r="F381" s="705">
        <v>11</v>
      </c>
      <c r="G381" s="705">
        <v>462</v>
      </c>
      <c r="H381" s="705">
        <v>4480</v>
      </c>
      <c r="I381" s="705"/>
      <c r="J381" s="429">
        <v>0</v>
      </c>
      <c r="K381" s="705"/>
      <c r="L381" s="705"/>
      <c r="M381" s="705">
        <v>0</v>
      </c>
      <c r="N381" s="705">
        <v>7783</v>
      </c>
      <c r="O381" s="705">
        <v>2882</v>
      </c>
      <c r="P381" s="705">
        <v>1418</v>
      </c>
      <c r="Q381" s="705">
        <v>525</v>
      </c>
      <c r="R381" s="705"/>
      <c r="S381">
        <v>0</v>
      </c>
      <c r="T381" s="705">
        <v>4730</v>
      </c>
      <c r="U381" s="705">
        <v>1752</v>
      </c>
      <c r="V381" s="705">
        <v>5159</v>
      </c>
      <c r="W381" s="705">
        <f t="shared" si="26"/>
        <v>5159</v>
      </c>
      <c r="X381" s="705">
        <f t="shared" si="27"/>
        <v>13931</v>
      </c>
      <c r="Y381" s="705"/>
    </row>
    <row r="382" spans="2:25">
      <c r="B382" t="s">
        <v>678</v>
      </c>
      <c r="C382" t="s">
        <v>122</v>
      </c>
      <c r="D382" t="s">
        <v>228</v>
      </c>
      <c r="E382" t="s">
        <v>228</v>
      </c>
      <c r="F382" s="705">
        <v>207</v>
      </c>
      <c r="G382" s="705">
        <v>9534</v>
      </c>
      <c r="H382" s="705">
        <v>85006</v>
      </c>
      <c r="I382" s="705">
        <v>2383215</v>
      </c>
      <c r="J382" s="706">
        <v>882672</v>
      </c>
      <c r="K382" s="705">
        <v>100</v>
      </c>
      <c r="L382" s="705">
        <v>246886</v>
      </c>
      <c r="M382" s="705">
        <v>106251</v>
      </c>
      <c r="N382" s="705">
        <v>192624</v>
      </c>
      <c r="O382" s="705">
        <v>71342</v>
      </c>
      <c r="P382" s="705">
        <v>1607</v>
      </c>
      <c r="Q382" s="705">
        <v>595</v>
      </c>
      <c r="R382" s="705">
        <v>1086129</v>
      </c>
      <c r="S382" s="705">
        <v>402270</v>
      </c>
      <c r="T382" s="705">
        <v>0</v>
      </c>
      <c r="U382" s="705">
        <v>0</v>
      </c>
      <c r="V382" s="705">
        <v>1463131</v>
      </c>
      <c r="W382" s="705">
        <f t="shared" si="26"/>
        <v>1463130</v>
      </c>
      <c r="X382" s="705">
        <f t="shared" si="27"/>
        <v>3910461</v>
      </c>
      <c r="Y382" s="705"/>
    </row>
    <row r="383" spans="2:25">
      <c r="B383" t="s">
        <v>678</v>
      </c>
      <c r="C383" t="s">
        <v>122</v>
      </c>
      <c r="D383" t="s">
        <v>228</v>
      </c>
      <c r="E383" t="s">
        <v>584</v>
      </c>
      <c r="F383" s="705">
        <v>3</v>
      </c>
      <c r="G383" s="705">
        <v>282</v>
      </c>
      <c r="H383" s="705">
        <v>1239</v>
      </c>
      <c r="I383" s="705">
        <v>91968</v>
      </c>
      <c r="J383" s="706">
        <v>34062</v>
      </c>
      <c r="K383" s="705">
        <v>100</v>
      </c>
      <c r="L383" s="705">
        <v>7150</v>
      </c>
      <c r="M383" s="705">
        <v>6500</v>
      </c>
      <c r="N383" s="705">
        <v>4739</v>
      </c>
      <c r="O383" s="705">
        <v>1755</v>
      </c>
      <c r="P383" s="705">
        <v>473</v>
      </c>
      <c r="Q383" s="705">
        <v>175</v>
      </c>
      <c r="R383" s="705">
        <v>11861</v>
      </c>
      <c r="S383" s="705">
        <v>10783</v>
      </c>
      <c r="T383" s="705">
        <v>3715</v>
      </c>
      <c r="U383" s="705">
        <v>1376</v>
      </c>
      <c r="V383" s="705">
        <v>54651</v>
      </c>
      <c r="W383" s="705">
        <f t="shared" si="26"/>
        <v>54651</v>
      </c>
      <c r="X383" s="705">
        <f t="shared" si="27"/>
        <v>119906</v>
      </c>
      <c r="Y383" s="705"/>
    </row>
    <row r="384" spans="2:25">
      <c r="B384" t="s">
        <v>678</v>
      </c>
      <c r="C384" t="s">
        <v>122</v>
      </c>
      <c r="D384" t="s">
        <v>583</v>
      </c>
      <c r="E384" t="s">
        <v>228</v>
      </c>
      <c r="F384" s="705">
        <v>4</v>
      </c>
      <c r="G384" s="705">
        <v>164</v>
      </c>
      <c r="H384" s="705">
        <v>1705</v>
      </c>
      <c r="I384" s="705">
        <v>46527</v>
      </c>
      <c r="J384" s="706">
        <v>42297</v>
      </c>
      <c r="K384" s="705">
        <v>80</v>
      </c>
      <c r="L384" s="705">
        <v>0</v>
      </c>
      <c r="M384" s="705">
        <v>0</v>
      </c>
      <c r="N384" s="705">
        <v>3865</v>
      </c>
      <c r="O384" s="705">
        <v>1431</v>
      </c>
      <c r="P384" s="705">
        <v>1944</v>
      </c>
      <c r="Q384" s="705">
        <v>720</v>
      </c>
      <c r="R384" s="705">
        <v>17362</v>
      </c>
      <c r="S384" s="705">
        <v>6430</v>
      </c>
      <c r="T384">
        <v>0</v>
      </c>
      <c r="U384" s="705">
        <v>0</v>
      </c>
      <c r="V384" s="705">
        <v>50879</v>
      </c>
      <c r="W384" s="705">
        <f t="shared" si="26"/>
        <v>50878</v>
      </c>
      <c r="X384" s="705">
        <f t="shared" si="27"/>
        <v>69698</v>
      </c>
      <c r="Y384" s="705"/>
    </row>
    <row r="385" spans="2:25">
      <c r="B385" t="s">
        <v>678</v>
      </c>
      <c r="C385" t="s">
        <v>122</v>
      </c>
      <c r="D385" t="s">
        <v>584</v>
      </c>
      <c r="E385" t="s">
        <v>228</v>
      </c>
      <c r="F385">
        <v>5</v>
      </c>
      <c r="G385">
        <v>244</v>
      </c>
      <c r="H385" s="705">
        <v>2035</v>
      </c>
      <c r="I385" s="705">
        <v>68142</v>
      </c>
      <c r="J385" s="706">
        <v>61947</v>
      </c>
      <c r="K385" s="705">
        <v>77</v>
      </c>
      <c r="L385" s="705">
        <v>0</v>
      </c>
      <c r="M385" s="705">
        <v>0</v>
      </c>
      <c r="N385" s="705">
        <v>5359</v>
      </c>
      <c r="O385" s="705">
        <v>1985</v>
      </c>
      <c r="P385" s="705">
        <v>1890</v>
      </c>
      <c r="Q385" s="705">
        <v>700</v>
      </c>
      <c r="R385" s="705">
        <v>23771</v>
      </c>
      <c r="S385" s="705">
        <v>8804</v>
      </c>
      <c r="T385" s="705">
        <v>0</v>
      </c>
      <c r="U385" s="705">
        <v>0</v>
      </c>
      <c r="V385" s="705">
        <v>73436</v>
      </c>
      <c r="W385" s="705">
        <f t="shared" si="26"/>
        <v>73436</v>
      </c>
      <c r="X385" s="705">
        <f t="shared" si="27"/>
        <v>99162</v>
      </c>
      <c r="Y385" s="705"/>
    </row>
    <row r="386" spans="2:25">
      <c r="B386" t="s">
        <v>678</v>
      </c>
      <c r="C386" t="s">
        <v>122</v>
      </c>
      <c r="D386" t="s">
        <v>584</v>
      </c>
      <c r="E386" s="705" t="s">
        <v>584</v>
      </c>
      <c r="F386" s="705">
        <v>18</v>
      </c>
      <c r="G386" s="705">
        <v>992</v>
      </c>
      <c r="H386" s="705">
        <v>7403</v>
      </c>
      <c r="I386" s="705">
        <v>259223</v>
      </c>
      <c r="J386" s="706">
        <v>235657</v>
      </c>
      <c r="K386" s="705">
        <v>77</v>
      </c>
      <c r="L386" s="705">
        <v>40275</v>
      </c>
      <c r="M386" s="705">
        <v>31404</v>
      </c>
      <c r="N386" s="705">
        <v>21471</v>
      </c>
      <c r="O386" s="705">
        <v>7952</v>
      </c>
      <c r="P386" s="705">
        <v>8505</v>
      </c>
      <c r="Q386" s="705">
        <v>3150</v>
      </c>
      <c r="R386" s="705">
        <v>74164</v>
      </c>
      <c r="S386" s="705">
        <v>67422</v>
      </c>
      <c r="T386" s="705">
        <v>5029</v>
      </c>
      <c r="U386" s="705">
        <v>1863</v>
      </c>
      <c r="V386" s="705">
        <v>347448</v>
      </c>
      <c r="W386" s="705">
        <f t="shared" si="26"/>
        <v>347448</v>
      </c>
      <c r="X386" s="705">
        <f t="shared" si="27"/>
        <v>408667</v>
      </c>
      <c r="Y386" s="705"/>
    </row>
    <row r="387" spans="2:25">
      <c r="B387" t="s">
        <v>678</v>
      </c>
      <c r="C387" t="s">
        <v>122</v>
      </c>
      <c r="D387" t="s">
        <v>669</v>
      </c>
      <c r="E387" t="s">
        <v>228</v>
      </c>
      <c r="F387" s="705">
        <v>1</v>
      </c>
      <c r="G387" s="705">
        <v>141</v>
      </c>
      <c r="H387" s="705">
        <v>449</v>
      </c>
      <c r="I387" s="705">
        <v>43804</v>
      </c>
      <c r="J387" s="706">
        <v>36503</v>
      </c>
      <c r="K387" s="705">
        <v>30</v>
      </c>
      <c r="L387" s="705">
        <v>5476</v>
      </c>
      <c r="M387" s="705">
        <v>4563</v>
      </c>
      <c r="N387" s="705">
        <v>3022</v>
      </c>
      <c r="O387" s="705">
        <v>1119</v>
      </c>
      <c r="P387">
        <v>0</v>
      </c>
      <c r="Q387" s="705">
        <v>0</v>
      </c>
      <c r="R387" s="705">
        <v>11004</v>
      </c>
      <c r="S387" s="705">
        <v>4076</v>
      </c>
      <c r="T387">
        <v>0</v>
      </c>
      <c r="U387" s="705">
        <v>0</v>
      </c>
      <c r="V387" s="705">
        <v>46261</v>
      </c>
      <c r="W387" s="705">
        <f t="shared" si="26"/>
        <v>46261</v>
      </c>
      <c r="X387" s="705">
        <f t="shared" si="27"/>
        <v>63306</v>
      </c>
      <c r="Y387" s="705"/>
    </row>
    <row r="388" spans="2:25">
      <c r="B388" t="s">
        <v>678</v>
      </c>
      <c r="C388" t="s">
        <v>124</v>
      </c>
      <c r="F388" s="705">
        <v>14</v>
      </c>
      <c r="G388" s="705">
        <v>618</v>
      </c>
      <c r="H388" s="705">
        <v>7642</v>
      </c>
      <c r="I388" s="705"/>
      <c r="J388" s="706">
        <v>0</v>
      </c>
      <c r="K388" s="705"/>
      <c r="L388" s="705"/>
      <c r="M388" s="705">
        <v>0</v>
      </c>
      <c r="N388" s="705">
        <v>10799</v>
      </c>
      <c r="O388" s="705">
        <v>4000</v>
      </c>
      <c r="P388" s="705">
        <v>2192</v>
      </c>
      <c r="Q388" s="705">
        <v>812</v>
      </c>
      <c r="R388" s="705"/>
      <c r="S388" s="705">
        <v>0</v>
      </c>
      <c r="T388" s="705">
        <v>3212</v>
      </c>
      <c r="U388" s="705">
        <v>1190</v>
      </c>
      <c r="V388" s="705">
        <v>6001</v>
      </c>
      <c r="W388" s="705">
        <f t="shared" si="26"/>
        <v>6002</v>
      </c>
      <c r="X388" s="705">
        <f t="shared" si="27"/>
        <v>16203</v>
      </c>
      <c r="Y388" s="705"/>
    </row>
    <row r="389" spans="2:25">
      <c r="B389" t="s">
        <v>678</v>
      </c>
      <c r="C389" t="s">
        <v>124</v>
      </c>
      <c r="D389" t="s">
        <v>228</v>
      </c>
      <c r="E389" t="s">
        <v>228</v>
      </c>
      <c r="F389">
        <v>213</v>
      </c>
      <c r="G389" s="705">
        <v>9771</v>
      </c>
      <c r="H389" s="705">
        <v>124474</v>
      </c>
      <c r="I389" s="705">
        <v>3983308</v>
      </c>
      <c r="J389" s="706">
        <v>1475299</v>
      </c>
      <c r="K389" s="705">
        <v>100</v>
      </c>
      <c r="L389" s="705">
        <v>336120</v>
      </c>
      <c r="M389" s="705">
        <v>135774</v>
      </c>
      <c r="N389" s="705">
        <v>203321</v>
      </c>
      <c r="O389" s="705">
        <v>75304</v>
      </c>
      <c r="P389" s="705">
        <v>3668</v>
      </c>
      <c r="Q389" s="705">
        <v>1359</v>
      </c>
      <c r="R389" s="705">
        <v>1163214</v>
      </c>
      <c r="S389" s="705">
        <v>430820</v>
      </c>
      <c r="T389" s="705">
        <v>1546</v>
      </c>
      <c r="U389" s="705">
        <v>572</v>
      </c>
      <c r="V389" s="705">
        <v>2119129</v>
      </c>
      <c r="W389" s="705">
        <f t="shared" si="26"/>
        <v>2119128</v>
      </c>
      <c r="X389" s="705">
        <f t="shared" si="27"/>
        <v>5691177</v>
      </c>
      <c r="Y389" s="705"/>
    </row>
    <row r="390" spans="2:25">
      <c r="B390" t="s">
        <v>678</v>
      </c>
      <c r="C390" t="s">
        <v>124</v>
      </c>
      <c r="D390" t="s">
        <v>583</v>
      </c>
      <c r="E390" t="s">
        <v>228</v>
      </c>
      <c r="F390" s="705">
        <v>1</v>
      </c>
      <c r="G390" s="705">
        <v>51</v>
      </c>
      <c r="H390" s="705">
        <v>599</v>
      </c>
      <c r="I390" s="705">
        <v>16207</v>
      </c>
      <c r="J390" s="706">
        <v>14734</v>
      </c>
      <c r="K390" s="705">
        <v>79</v>
      </c>
      <c r="L390" s="705">
        <v>4446</v>
      </c>
      <c r="M390" s="705">
        <v>3705</v>
      </c>
      <c r="N390" s="705">
        <v>1231</v>
      </c>
      <c r="O390" s="705">
        <v>456</v>
      </c>
      <c r="P390" s="705">
        <v>351</v>
      </c>
      <c r="Q390" s="705">
        <v>130</v>
      </c>
      <c r="R390" s="705">
        <v>8015</v>
      </c>
      <c r="S390" s="705">
        <v>2969</v>
      </c>
      <c r="T390" s="705">
        <v>0</v>
      </c>
      <c r="U390" s="705">
        <v>0</v>
      </c>
      <c r="V390" s="705">
        <v>21993</v>
      </c>
      <c r="W390" s="705">
        <f t="shared" si="26"/>
        <v>21994</v>
      </c>
      <c r="X390" s="705">
        <f t="shared" si="27"/>
        <v>30250</v>
      </c>
      <c r="Y390" s="705"/>
    </row>
    <row r="391" spans="2:25">
      <c r="B391" t="s">
        <v>678</v>
      </c>
      <c r="C391" t="s">
        <v>124</v>
      </c>
      <c r="D391" t="s">
        <v>583</v>
      </c>
      <c r="E391" t="s">
        <v>583</v>
      </c>
      <c r="F391" s="705">
        <v>1</v>
      </c>
      <c r="G391" s="705">
        <v>125</v>
      </c>
      <c r="H391" s="705">
        <v>530</v>
      </c>
      <c r="I391" s="705">
        <v>42483</v>
      </c>
      <c r="J391" s="706">
        <v>38620</v>
      </c>
      <c r="K391" s="705">
        <v>65</v>
      </c>
      <c r="L391" s="705">
        <v>9724</v>
      </c>
      <c r="M391" s="705">
        <v>8840</v>
      </c>
      <c r="N391" s="705">
        <v>2960</v>
      </c>
      <c r="O391" s="705">
        <v>1096</v>
      </c>
      <c r="P391">
        <v>621</v>
      </c>
      <c r="Q391" s="705">
        <v>230</v>
      </c>
      <c r="R391" s="705">
        <v>6675</v>
      </c>
      <c r="S391" s="705">
        <v>6068</v>
      </c>
      <c r="T391" s="705">
        <v>3896</v>
      </c>
      <c r="U391" s="705">
        <v>1443</v>
      </c>
      <c r="V391" s="705">
        <v>56297</v>
      </c>
      <c r="W391" s="705">
        <f t="shared" ref="W391:W454" si="28">SUM(ABS(J391),ABS(M391),ABS(O391),ABS(Q391),ABS(S391),ABS(U391))</f>
        <v>56297</v>
      </c>
      <c r="X391" s="705">
        <f t="shared" ref="X391:X454" si="29">SUM(ABS(I391),ABS(N391),ABS(P391),ABS(R391),ABS(T391),ABS(L391))</f>
        <v>66359</v>
      </c>
      <c r="Y391" s="705"/>
    </row>
    <row r="392" spans="2:25">
      <c r="B392" t="s">
        <v>678</v>
      </c>
      <c r="C392" t="s">
        <v>124</v>
      </c>
      <c r="D392" t="s">
        <v>584</v>
      </c>
      <c r="E392" t="s">
        <v>228</v>
      </c>
      <c r="F392" s="705">
        <v>3</v>
      </c>
      <c r="G392" s="705">
        <v>143</v>
      </c>
      <c r="H392" s="705">
        <v>1714</v>
      </c>
      <c r="I392" s="705">
        <v>52172</v>
      </c>
      <c r="J392" s="706">
        <v>47429</v>
      </c>
      <c r="K392" s="705">
        <v>73</v>
      </c>
      <c r="L392" s="705">
        <v>14849</v>
      </c>
      <c r="M392" s="705">
        <v>12374</v>
      </c>
      <c r="N392" s="705">
        <v>3494</v>
      </c>
      <c r="O392" s="705">
        <v>1294</v>
      </c>
      <c r="P392">
        <v>945</v>
      </c>
      <c r="Q392" s="705">
        <v>350</v>
      </c>
      <c r="R392" s="705">
        <v>10152</v>
      </c>
      <c r="S392" s="705">
        <v>3760</v>
      </c>
      <c r="T392">
        <v>0</v>
      </c>
      <c r="U392" s="705">
        <v>0</v>
      </c>
      <c r="V392" s="705">
        <v>65207</v>
      </c>
      <c r="W392" s="705">
        <f t="shared" si="28"/>
        <v>65207</v>
      </c>
      <c r="X392" s="705">
        <f t="shared" si="29"/>
        <v>81612</v>
      </c>
      <c r="Y392" s="705"/>
    </row>
    <row r="393" spans="2:25">
      <c r="B393" t="s">
        <v>678</v>
      </c>
      <c r="C393" t="s">
        <v>124</v>
      </c>
      <c r="D393" t="s">
        <v>584</v>
      </c>
      <c r="E393" t="s">
        <v>584</v>
      </c>
      <c r="F393" s="705">
        <v>16</v>
      </c>
      <c r="G393" s="705">
        <v>845</v>
      </c>
      <c r="H393" s="705">
        <v>8556</v>
      </c>
      <c r="I393" s="705">
        <v>296309</v>
      </c>
      <c r="J393" s="706">
        <v>269372</v>
      </c>
      <c r="K393" s="705">
        <v>74</v>
      </c>
      <c r="L393" s="705">
        <v>50697</v>
      </c>
      <c r="M393" s="705">
        <v>41243</v>
      </c>
      <c r="N393" s="705">
        <v>18746</v>
      </c>
      <c r="O393" s="705">
        <v>6943</v>
      </c>
      <c r="P393" s="705">
        <v>7560</v>
      </c>
      <c r="Q393" s="705">
        <v>2800</v>
      </c>
      <c r="R393" s="705">
        <v>68867</v>
      </c>
      <c r="S393" s="705">
        <v>62607</v>
      </c>
      <c r="T393" s="705">
        <v>13190</v>
      </c>
      <c r="U393" s="705">
        <v>4885</v>
      </c>
      <c r="V393" s="705">
        <v>387850</v>
      </c>
      <c r="W393" s="705">
        <f t="shared" si="28"/>
        <v>387850</v>
      </c>
      <c r="X393" s="705">
        <f t="shared" si="29"/>
        <v>455369</v>
      </c>
      <c r="Y393" s="705"/>
    </row>
    <row r="394" spans="2:25">
      <c r="B394" t="s">
        <v>678</v>
      </c>
      <c r="C394" t="s">
        <v>124</v>
      </c>
      <c r="D394" t="s">
        <v>669</v>
      </c>
      <c r="E394" t="s">
        <v>228</v>
      </c>
      <c r="F394" s="705">
        <v>2</v>
      </c>
      <c r="G394" s="705">
        <v>282</v>
      </c>
      <c r="H394" s="705">
        <v>1630</v>
      </c>
      <c r="I394" s="705">
        <v>176751</v>
      </c>
      <c r="J394" s="706">
        <v>147293</v>
      </c>
      <c r="K394" s="705">
        <v>30</v>
      </c>
      <c r="L394" s="705">
        <v>29827</v>
      </c>
      <c r="M394" s="705">
        <v>11047</v>
      </c>
      <c r="N394" s="705">
        <v>5717</v>
      </c>
      <c r="O394" s="705">
        <v>2118</v>
      </c>
      <c r="P394" s="705">
        <v>0</v>
      </c>
      <c r="Q394" s="705">
        <v>0</v>
      </c>
      <c r="R394" s="705">
        <v>17418</v>
      </c>
      <c r="S394" s="705">
        <v>6451</v>
      </c>
      <c r="T394" s="705">
        <v>0</v>
      </c>
      <c r="U394" s="705">
        <v>0</v>
      </c>
      <c r="V394" s="705">
        <v>166908</v>
      </c>
      <c r="W394" s="705">
        <f t="shared" si="28"/>
        <v>166909</v>
      </c>
      <c r="X394" s="705">
        <f t="shared" si="29"/>
        <v>229713</v>
      </c>
      <c r="Y394" s="705"/>
    </row>
    <row r="395" spans="2:25">
      <c r="B395" t="s">
        <v>679</v>
      </c>
      <c r="C395" t="s">
        <v>108</v>
      </c>
      <c r="F395">
        <v>240</v>
      </c>
      <c r="G395" s="705">
        <v>22825</v>
      </c>
      <c r="H395" s="705">
        <v>11774</v>
      </c>
      <c r="I395" s="705"/>
      <c r="J395" s="429">
        <v>0</v>
      </c>
      <c r="K395" s="705"/>
      <c r="L395" s="705"/>
      <c r="M395" s="705">
        <v>0</v>
      </c>
      <c r="N395" s="705">
        <v>299139</v>
      </c>
      <c r="O395" s="705">
        <v>110792</v>
      </c>
      <c r="P395" s="705">
        <v>203567</v>
      </c>
      <c r="Q395" s="705">
        <v>75395</v>
      </c>
      <c r="R395" s="705"/>
      <c r="S395" s="705">
        <v>0</v>
      </c>
      <c r="T395" s="705">
        <v>0</v>
      </c>
      <c r="U395" s="705">
        <v>0</v>
      </c>
      <c r="V395" s="705">
        <v>186187</v>
      </c>
      <c r="W395" s="705">
        <f t="shared" si="28"/>
        <v>186187</v>
      </c>
      <c r="X395" s="705">
        <f t="shared" si="29"/>
        <v>502706</v>
      </c>
      <c r="Y395" s="705"/>
    </row>
    <row r="396" spans="2:25">
      <c r="B396" t="s">
        <v>679</v>
      </c>
      <c r="C396" t="s">
        <v>108</v>
      </c>
      <c r="D396" t="s">
        <v>581</v>
      </c>
      <c r="E396" s="705" t="s">
        <v>228</v>
      </c>
      <c r="F396" s="705">
        <v>1</v>
      </c>
      <c r="G396" s="705">
        <v>98</v>
      </c>
      <c r="H396" s="705">
        <v>57</v>
      </c>
      <c r="I396" s="705">
        <v>11</v>
      </c>
      <c r="J396" s="706">
        <v>4</v>
      </c>
      <c r="K396" s="705">
        <v>377</v>
      </c>
      <c r="L396" s="705">
        <v>0</v>
      </c>
      <c r="M396" s="705">
        <v>0</v>
      </c>
      <c r="N396" s="705">
        <v>1197</v>
      </c>
      <c r="O396" s="705">
        <v>443</v>
      </c>
      <c r="P396" s="705">
        <v>351</v>
      </c>
      <c r="Q396" s="705">
        <v>130</v>
      </c>
      <c r="R396" s="705">
        <v>4034</v>
      </c>
      <c r="S396" s="705">
        <v>1494</v>
      </c>
      <c r="T396" s="705">
        <v>0</v>
      </c>
      <c r="U396" s="705">
        <v>0</v>
      </c>
      <c r="V396" s="705">
        <v>2072</v>
      </c>
      <c r="W396" s="705">
        <f t="shared" si="28"/>
        <v>2071</v>
      </c>
      <c r="X396" s="705">
        <f t="shared" si="29"/>
        <v>5593</v>
      </c>
      <c r="Y396" s="705"/>
    </row>
    <row r="397" spans="2:25">
      <c r="B397" t="s">
        <v>679</v>
      </c>
      <c r="C397" t="s">
        <v>108</v>
      </c>
      <c r="D397" t="s">
        <v>228</v>
      </c>
      <c r="E397" t="s">
        <v>228</v>
      </c>
      <c r="F397" s="705">
        <v>45</v>
      </c>
      <c r="G397" s="705">
        <v>3570</v>
      </c>
      <c r="H397" s="705">
        <v>2557</v>
      </c>
      <c r="I397" s="705">
        <v>-22029</v>
      </c>
      <c r="J397" s="706">
        <v>-8159</v>
      </c>
      <c r="K397" s="705">
        <v>478</v>
      </c>
      <c r="L397" s="705">
        <v>0</v>
      </c>
      <c r="M397" s="705">
        <v>0</v>
      </c>
      <c r="N397" s="705">
        <v>43497</v>
      </c>
      <c r="O397" s="705">
        <v>16110</v>
      </c>
      <c r="P397" s="705">
        <v>15795</v>
      </c>
      <c r="Q397" s="705">
        <v>5850</v>
      </c>
      <c r="R397" s="705">
        <v>164185</v>
      </c>
      <c r="S397" s="705">
        <v>60809</v>
      </c>
      <c r="T397" s="705">
        <v>0</v>
      </c>
      <c r="U397" s="705">
        <v>0</v>
      </c>
      <c r="V397" s="705">
        <v>74611</v>
      </c>
      <c r="W397" s="705">
        <f t="shared" si="28"/>
        <v>90928</v>
      </c>
      <c r="X397" s="705">
        <f t="shared" si="29"/>
        <v>245506</v>
      </c>
      <c r="Y397" s="705"/>
    </row>
    <row r="398" spans="2:25">
      <c r="B398" t="s">
        <v>679</v>
      </c>
      <c r="C398" t="s">
        <v>108</v>
      </c>
      <c r="D398" t="s">
        <v>584</v>
      </c>
      <c r="E398" t="s">
        <v>584</v>
      </c>
      <c r="F398" s="705">
        <v>95</v>
      </c>
      <c r="G398" s="705">
        <v>7807</v>
      </c>
      <c r="H398" s="705">
        <v>4405</v>
      </c>
      <c r="I398" s="705">
        <v>-136146</v>
      </c>
      <c r="J398" s="706">
        <v>-123769</v>
      </c>
      <c r="K398" s="705">
        <v>90</v>
      </c>
      <c r="L398" s="705">
        <v>0</v>
      </c>
      <c r="M398" s="705">
        <v>0</v>
      </c>
      <c r="N398" s="705">
        <v>95113</v>
      </c>
      <c r="O398" s="705">
        <v>35227</v>
      </c>
      <c r="P398" s="705">
        <v>114028</v>
      </c>
      <c r="Q398" s="705">
        <v>42232</v>
      </c>
      <c r="R398" s="705">
        <v>287765</v>
      </c>
      <c r="S398" s="705">
        <v>261604</v>
      </c>
      <c r="T398">
        <v>0</v>
      </c>
      <c r="U398" s="705">
        <v>0</v>
      </c>
      <c r="V398" s="705">
        <v>215295</v>
      </c>
      <c r="W398" s="705">
        <f t="shared" si="28"/>
        <v>462832</v>
      </c>
      <c r="X398" s="705">
        <f t="shared" si="29"/>
        <v>633052</v>
      </c>
      <c r="Y398" s="705"/>
    </row>
    <row r="399" spans="2:25">
      <c r="B399" t="s">
        <v>679</v>
      </c>
      <c r="C399" t="s">
        <v>110</v>
      </c>
      <c r="F399" s="705">
        <v>66</v>
      </c>
      <c r="G399" s="705">
        <v>4609</v>
      </c>
      <c r="H399" s="705">
        <v>5695</v>
      </c>
      <c r="I399" s="705"/>
      <c r="J399" s="706">
        <v>0</v>
      </c>
      <c r="K399" s="705"/>
      <c r="L399" s="705"/>
      <c r="M399" s="705">
        <v>0</v>
      </c>
      <c r="N399" s="705">
        <v>74074</v>
      </c>
      <c r="O399" s="705">
        <v>27435</v>
      </c>
      <c r="P399" s="705">
        <v>20577</v>
      </c>
      <c r="Q399" s="705">
        <v>7621</v>
      </c>
      <c r="R399" s="705"/>
      <c r="S399">
        <v>0</v>
      </c>
      <c r="T399" s="705">
        <v>4174</v>
      </c>
      <c r="U399" s="705">
        <v>1546</v>
      </c>
      <c r="V399" s="705">
        <v>36602</v>
      </c>
      <c r="W399" s="705">
        <f t="shared" si="28"/>
        <v>36602</v>
      </c>
      <c r="X399" s="705">
        <f t="shared" si="29"/>
        <v>98825</v>
      </c>
      <c r="Y399" s="705"/>
    </row>
    <row r="400" spans="2:25">
      <c r="B400" t="s">
        <v>679</v>
      </c>
      <c r="C400" t="s">
        <v>110</v>
      </c>
      <c r="D400" t="s">
        <v>228</v>
      </c>
      <c r="E400" t="s">
        <v>228</v>
      </c>
      <c r="F400" s="705">
        <v>8</v>
      </c>
      <c r="G400" s="705">
        <v>611</v>
      </c>
      <c r="H400" s="705">
        <v>733</v>
      </c>
      <c r="I400" s="705">
        <v>11739</v>
      </c>
      <c r="J400" s="706">
        <v>4348</v>
      </c>
      <c r="K400" s="705">
        <v>350</v>
      </c>
      <c r="L400" s="705">
        <v>0</v>
      </c>
      <c r="M400" s="705">
        <v>0</v>
      </c>
      <c r="N400" s="705">
        <v>7438</v>
      </c>
      <c r="O400" s="705">
        <v>2755</v>
      </c>
      <c r="P400" s="705">
        <v>6241</v>
      </c>
      <c r="Q400" s="705">
        <v>2311</v>
      </c>
      <c r="R400" s="705">
        <v>30606</v>
      </c>
      <c r="S400" s="705">
        <v>11336</v>
      </c>
      <c r="T400" s="705">
        <v>0</v>
      </c>
      <c r="U400" s="705">
        <v>0</v>
      </c>
      <c r="V400" s="705">
        <v>20750</v>
      </c>
      <c r="W400" s="705">
        <f t="shared" si="28"/>
        <v>20750</v>
      </c>
      <c r="X400" s="705">
        <f t="shared" si="29"/>
        <v>56024</v>
      </c>
      <c r="Y400" s="705"/>
    </row>
    <row r="401" spans="2:25">
      <c r="B401" t="s">
        <v>679</v>
      </c>
      <c r="C401" t="s">
        <v>110</v>
      </c>
      <c r="D401" t="s">
        <v>584</v>
      </c>
      <c r="E401" t="s">
        <v>584</v>
      </c>
      <c r="F401">
        <v>46</v>
      </c>
      <c r="G401" s="705">
        <v>4725</v>
      </c>
      <c r="H401" s="705">
        <v>4389</v>
      </c>
      <c r="I401" s="705">
        <v>95044</v>
      </c>
      <c r="J401" s="706">
        <v>86404</v>
      </c>
      <c r="K401" s="705">
        <v>84</v>
      </c>
      <c r="L401" s="705">
        <v>12636</v>
      </c>
      <c r="M401" s="705">
        <v>4680</v>
      </c>
      <c r="N401" s="705">
        <v>106936</v>
      </c>
      <c r="O401" s="705">
        <v>39606</v>
      </c>
      <c r="P401" s="705">
        <v>31793</v>
      </c>
      <c r="Q401" s="705">
        <v>11775</v>
      </c>
      <c r="R401" s="705">
        <v>204071</v>
      </c>
      <c r="S401" s="705">
        <v>185520</v>
      </c>
      <c r="T401">
        <v>0</v>
      </c>
      <c r="U401" s="705">
        <v>0</v>
      </c>
      <c r="V401" s="705">
        <v>327984</v>
      </c>
      <c r="W401" s="705">
        <f t="shared" si="28"/>
        <v>327985</v>
      </c>
      <c r="X401" s="705">
        <f t="shared" si="29"/>
        <v>450480</v>
      </c>
      <c r="Y401" s="705"/>
    </row>
    <row r="402" spans="2:25">
      <c r="B402" t="s">
        <v>679</v>
      </c>
      <c r="C402" t="s">
        <v>112</v>
      </c>
      <c r="F402" s="705">
        <v>43</v>
      </c>
      <c r="G402" s="705">
        <v>2933</v>
      </c>
      <c r="H402" s="705">
        <v>4851</v>
      </c>
      <c r="I402" s="705"/>
      <c r="J402" s="706">
        <v>0</v>
      </c>
      <c r="K402" s="705"/>
      <c r="L402" s="705"/>
      <c r="M402" s="705">
        <v>0</v>
      </c>
      <c r="N402" s="705">
        <v>61451</v>
      </c>
      <c r="O402" s="705">
        <v>22760</v>
      </c>
      <c r="P402" s="705">
        <v>7403</v>
      </c>
      <c r="Q402" s="705">
        <v>2742</v>
      </c>
      <c r="R402" s="705"/>
      <c r="S402" s="705">
        <v>0</v>
      </c>
      <c r="T402" s="705">
        <v>3511</v>
      </c>
      <c r="U402" s="705">
        <v>1300</v>
      </c>
      <c r="V402" s="705">
        <v>26801</v>
      </c>
      <c r="W402" s="705">
        <f t="shared" si="28"/>
        <v>26802</v>
      </c>
      <c r="X402" s="705">
        <f t="shared" si="29"/>
        <v>72365</v>
      </c>
      <c r="Y402" s="705"/>
    </row>
    <row r="403" spans="2:25">
      <c r="B403" t="s">
        <v>679</v>
      </c>
      <c r="C403" t="s">
        <v>112</v>
      </c>
      <c r="D403" t="s">
        <v>664</v>
      </c>
      <c r="E403" t="s">
        <v>584</v>
      </c>
      <c r="F403">
        <v>1</v>
      </c>
      <c r="G403" s="705">
        <v>63</v>
      </c>
      <c r="H403" s="705">
        <v>102</v>
      </c>
      <c r="I403" s="705">
        <v>1794</v>
      </c>
      <c r="J403" s="706">
        <v>1631</v>
      </c>
      <c r="K403" s="705">
        <v>91</v>
      </c>
      <c r="L403" s="705">
        <v>0</v>
      </c>
      <c r="M403" s="705">
        <v>0</v>
      </c>
      <c r="N403" s="705">
        <v>1530</v>
      </c>
      <c r="O403">
        <v>567</v>
      </c>
      <c r="P403">
        <v>473</v>
      </c>
      <c r="Q403" s="705">
        <v>175</v>
      </c>
      <c r="R403" s="705">
        <v>2577</v>
      </c>
      <c r="S403" s="705">
        <v>2343</v>
      </c>
      <c r="T403">
        <v>0</v>
      </c>
      <c r="U403" s="705">
        <v>0</v>
      </c>
      <c r="V403" s="705">
        <v>4715</v>
      </c>
      <c r="W403" s="705">
        <f t="shared" si="28"/>
        <v>4716</v>
      </c>
      <c r="X403" s="705">
        <f t="shared" si="29"/>
        <v>6374</v>
      </c>
      <c r="Y403" s="705"/>
    </row>
    <row r="404" spans="2:25">
      <c r="B404" t="s">
        <v>679</v>
      </c>
      <c r="C404" t="s">
        <v>112</v>
      </c>
      <c r="D404" t="s">
        <v>228</v>
      </c>
      <c r="E404" t="s">
        <v>228</v>
      </c>
      <c r="F404">
        <v>12</v>
      </c>
      <c r="G404" s="705">
        <v>606</v>
      </c>
      <c r="H404" s="705">
        <v>1334</v>
      </c>
      <c r="I404" s="705">
        <v>11433</v>
      </c>
      <c r="J404" s="706">
        <v>4234</v>
      </c>
      <c r="K404" s="705">
        <v>340</v>
      </c>
      <c r="L404" s="705">
        <v>0</v>
      </c>
      <c r="M404" s="705">
        <v>0</v>
      </c>
      <c r="N404" s="705">
        <v>7383</v>
      </c>
      <c r="O404" s="705">
        <v>2734</v>
      </c>
      <c r="P404" s="705">
        <v>9102</v>
      </c>
      <c r="Q404" s="705">
        <v>3371</v>
      </c>
      <c r="R404" s="705">
        <v>39010</v>
      </c>
      <c r="S404" s="705">
        <v>14448</v>
      </c>
      <c r="T404">
        <v>0</v>
      </c>
      <c r="U404" s="705">
        <v>0</v>
      </c>
      <c r="V404" s="705">
        <v>24788</v>
      </c>
      <c r="W404" s="705">
        <f t="shared" si="28"/>
        <v>24787</v>
      </c>
      <c r="X404" s="705">
        <f t="shared" si="29"/>
        <v>66928</v>
      </c>
      <c r="Y404" s="705"/>
    </row>
    <row r="405" spans="2:25">
      <c r="B405" t="s">
        <v>679</v>
      </c>
      <c r="C405" t="s">
        <v>112</v>
      </c>
      <c r="D405" t="s">
        <v>584</v>
      </c>
      <c r="E405" t="s">
        <v>584</v>
      </c>
      <c r="F405" s="705">
        <v>175</v>
      </c>
      <c r="G405" s="705">
        <v>14479</v>
      </c>
      <c r="H405" s="705">
        <v>19945</v>
      </c>
      <c r="I405" s="705">
        <v>526270</v>
      </c>
      <c r="J405" s="706">
        <v>478427</v>
      </c>
      <c r="K405" s="705">
        <v>84</v>
      </c>
      <c r="L405" s="705">
        <v>32862</v>
      </c>
      <c r="M405" s="705">
        <v>15195</v>
      </c>
      <c r="N405" s="705">
        <v>309745</v>
      </c>
      <c r="O405" s="705">
        <v>114720</v>
      </c>
      <c r="P405" s="705">
        <v>97352</v>
      </c>
      <c r="Q405" s="705">
        <v>36056</v>
      </c>
      <c r="R405" s="705">
        <v>671292</v>
      </c>
      <c r="S405" s="705">
        <v>610265</v>
      </c>
      <c r="T405" s="705">
        <v>4329</v>
      </c>
      <c r="U405" s="705">
        <v>1603</v>
      </c>
      <c r="V405" s="705">
        <v>1256268</v>
      </c>
      <c r="W405" s="705">
        <f t="shared" si="28"/>
        <v>1256266</v>
      </c>
      <c r="X405" s="705">
        <f t="shared" si="29"/>
        <v>1641850</v>
      </c>
      <c r="Y405" s="705"/>
    </row>
    <row r="406" spans="2:25">
      <c r="B406" t="s">
        <v>679</v>
      </c>
      <c r="C406" t="s">
        <v>114</v>
      </c>
      <c r="F406" s="705">
        <v>45</v>
      </c>
      <c r="G406" s="705">
        <v>3265</v>
      </c>
      <c r="H406" s="705">
        <v>6152</v>
      </c>
      <c r="I406" s="705"/>
      <c r="J406" s="706">
        <v>0</v>
      </c>
      <c r="K406" s="705"/>
      <c r="L406" s="705"/>
      <c r="M406" s="705">
        <v>0</v>
      </c>
      <c r="N406" s="705">
        <v>67178</v>
      </c>
      <c r="O406" s="705">
        <v>24881</v>
      </c>
      <c r="P406" s="705">
        <v>5508</v>
      </c>
      <c r="Q406" s="705">
        <v>2040</v>
      </c>
      <c r="R406" s="705"/>
      <c r="S406" s="705">
        <v>0</v>
      </c>
      <c r="T406" s="705">
        <v>2022</v>
      </c>
      <c r="U406" s="705">
        <v>749</v>
      </c>
      <c r="V406" s="705">
        <v>27669</v>
      </c>
      <c r="W406" s="705">
        <f t="shared" si="28"/>
        <v>27670</v>
      </c>
      <c r="X406" s="705">
        <f t="shared" si="29"/>
        <v>74708</v>
      </c>
      <c r="Y406" s="705"/>
    </row>
    <row r="407" spans="2:25">
      <c r="B407" t="s">
        <v>679</v>
      </c>
      <c r="C407" t="s">
        <v>114</v>
      </c>
      <c r="D407" t="s">
        <v>228</v>
      </c>
      <c r="E407" t="s">
        <v>228</v>
      </c>
      <c r="F407" s="705">
        <v>20</v>
      </c>
      <c r="G407" s="705">
        <v>1558</v>
      </c>
      <c r="H407" s="705">
        <v>2823</v>
      </c>
      <c r="I407" s="705">
        <v>50836</v>
      </c>
      <c r="J407" s="706">
        <v>18828</v>
      </c>
      <c r="K407" s="705">
        <v>100</v>
      </c>
      <c r="L407" s="705">
        <v>7443</v>
      </c>
      <c r="M407" s="705">
        <v>2856</v>
      </c>
      <c r="N407" s="705">
        <v>32234</v>
      </c>
      <c r="O407" s="705">
        <v>11938</v>
      </c>
      <c r="P407">
        <v>0</v>
      </c>
      <c r="Q407" s="705">
        <v>0</v>
      </c>
      <c r="R407" s="705">
        <v>129786</v>
      </c>
      <c r="S407" s="705">
        <v>48069</v>
      </c>
      <c r="T407">
        <v>0</v>
      </c>
      <c r="U407" s="705">
        <v>0</v>
      </c>
      <c r="V407" s="705">
        <v>81691</v>
      </c>
      <c r="W407" s="705">
        <f t="shared" si="28"/>
        <v>81691</v>
      </c>
      <c r="X407" s="705">
        <f t="shared" si="29"/>
        <v>220299</v>
      </c>
      <c r="Y407" s="705"/>
    </row>
    <row r="408" spans="2:25">
      <c r="B408" t="s">
        <v>679</v>
      </c>
      <c r="C408" t="s">
        <v>114</v>
      </c>
      <c r="D408" t="s">
        <v>584</v>
      </c>
      <c r="E408" t="s">
        <v>584</v>
      </c>
      <c r="F408" s="705">
        <v>188</v>
      </c>
      <c r="G408" s="705">
        <v>13322</v>
      </c>
      <c r="H408" s="705">
        <v>25741</v>
      </c>
      <c r="I408" s="705">
        <v>783052</v>
      </c>
      <c r="J408" s="706">
        <v>711866</v>
      </c>
      <c r="K408" s="705">
        <v>85</v>
      </c>
      <c r="L408" s="705">
        <v>24697</v>
      </c>
      <c r="M408" s="705">
        <v>14712</v>
      </c>
      <c r="N408" s="705">
        <v>273125</v>
      </c>
      <c r="O408" s="705">
        <v>101157</v>
      </c>
      <c r="P408" s="705">
        <v>103459</v>
      </c>
      <c r="Q408" s="705">
        <v>38318</v>
      </c>
      <c r="R408" s="705">
        <v>629399</v>
      </c>
      <c r="S408" s="705">
        <v>572181</v>
      </c>
      <c r="T408" s="705">
        <v>10140</v>
      </c>
      <c r="U408" s="705">
        <v>3755</v>
      </c>
      <c r="V408" s="705">
        <v>1441990</v>
      </c>
      <c r="W408" s="705">
        <f t="shared" si="28"/>
        <v>1441989</v>
      </c>
      <c r="X408" s="705">
        <f t="shared" si="29"/>
        <v>1823872</v>
      </c>
      <c r="Y408" s="705"/>
    </row>
    <row r="409" spans="2:25">
      <c r="B409" t="s">
        <v>679</v>
      </c>
      <c r="C409" t="s">
        <v>116</v>
      </c>
      <c r="F409">
        <v>76</v>
      </c>
      <c r="G409" s="705">
        <v>4874</v>
      </c>
      <c r="H409" s="705">
        <v>13891</v>
      </c>
      <c r="I409" s="705"/>
      <c r="J409" s="429">
        <v>0</v>
      </c>
      <c r="K409" s="705"/>
      <c r="L409" s="705"/>
      <c r="M409" s="705">
        <v>0</v>
      </c>
      <c r="N409" s="705">
        <v>94527</v>
      </c>
      <c r="O409" s="705">
        <v>35010</v>
      </c>
      <c r="P409" s="705">
        <v>16160</v>
      </c>
      <c r="Q409" s="705">
        <v>5985</v>
      </c>
      <c r="R409" s="705"/>
      <c r="S409">
        <v>0</v>
      </c>
      <c r="T409" s="705">
        <v>6416</v>
      </c>
      <c r="U409" s="705">
        <v>2376</v>
      </c>
      <c r="V409" s="705">
        <v>43371</v>
      </c>
      <c r="W409" s="705">
        <f t="shared" si="28"/>
        <v>43371</v>
      </c>
      <c r="X409" s="705">
        <f t="shared" si="29"/>
        <v>117103</v>
      </c>
      <c r="Y409" s="705"/>
    </row>
    <row r="410" spans="2:25">
      <c r="B410" t="s">
        <v>679</v>
      </c>
      <c r="C410" t="s">
        <v>116</v>
      </c>
      <c r="D410" t="s">
        <v>664</v>
      </c>
      <c r="E410" t="s">
        <v>584</v>
      </c>
      <c r="F410" s="705">
        <v>1</v>
      </c>
      <c r="G410" s="705">
        <v>44</v>
      </c>
      <c r="H410" s="705">
        <v>159</v>
      </c>
      <c r="I410" s="705">
        <v>3208</v>
      </c>
      <c r="J410" s="706">
        <v>2917</v>
      </c>
      <c r="K410" s="705">
        <v>91</v>
      </c>
      <c r="L410" s="705">
        <v>0</v>
      </c>
      <c r="M410" s="705">
        <v>0</v>
      </c>
      <c r="N410" s="705">
        <v>1060</v>
      </c>
      <c r="O410" s="705">
        <v>393</v>
      </c>
      <c r="P410" s="705">
        <v>473</v>
      </c>
      <c r="Q410" s="705">
        <v>175</v>
      </c>
      <c r="R410" s="705">
        <v>2180</v>
      </c>
      <c r="S410" s="705">
        <v>1982</v>
      </c>
      <c r="T410">
        <v>0</v>
      </c>
      <c r="U410" s="705">
        <v>0</v>
      </c>
      <c r="V410" s="705">
        <v>5466</v>
      </c>
      <c r="W410" s="705">
        <f t="shared" si="28"/>
        <v>5467</v>
      </c>
      <c r="X410" s="705">
        <f t="shared" si="29"/>
        <v>6921</v>
      </c>
      <c r="Y410" s="705"/>
    </row>
    <row r="411" spans="2:25">
      <c r="B411" t="s">
        <v>679</v>
      </c>
      <c r="C411" t="s">
        <v>116</v>
      </c>
      <c r="D411" t="s">
        <v>228</v>
      </c>
      <c r="E411" t="s">
        <v>580</v>
      </c>
      <c r="F411" s="705">
        <v>1</v>
      </c>
      <c r="G411" s="705">
        <v>68</v>
      </c>
      <c r="H411" s="705">
        <v>190</v>
      </c>
      <c r="I411" s="705">
        <v>4164</v>
      </c>
      <c r="J411" s="706">
        <v>1542</v>
      </c>
      <c r="K411" s="705">
        <v>100</v>
      </c>
      <c r="L411" s="705">
        <v>1041</v>
      </c>
      <c r="M411" s="705">
        <v>386</v>
      </c>
      <c r="N411" s="705">
        <v>1241</v>
      </c>
      <c r="O411" s="705">
        <v>460</v>
      </c>
      <c r="P411" s="705">
        <v>0</v>
      </c>
      <c r="Q411" s="705">
        <v>0</v>
      </c>
      <c r="R411" s="705">
        <v>6466</v>
      </c>
      <c r="S411" s="705">
        <v>2395</v>
      </c>
      <c r="T411" s="705">
        <v>0</v>
      </c>
      <c r="U411" s="705">
        <v>0</v>
      </c>
      <c r="V411" s="705">
        <v>4782</v>
      </c>
      <c r="W411" s="705">
        <f t="shared" si="28"/>
        <v>4783</v>
      </c>
      <c r="X411" s="705">
        <f t="shared" si="29"/>
        <v>12912</v>
      </c>
      <c r="Y411" s="705"/>
    </row>
    <row r="412" spans="2:25">
      <c r="B412" t="s">
        <v>679</v>
      </c>
      <c r="C412" t="s">
        <v>116</v>
      </c>
      <c r="D412" t="s">
        <v>228</v>
      </c>
      <c r="E412" t="s">
        <v>228</v>
      </c>
      <c r="F412">
        <v>492</v>
      </c>
      <c r="G412" s="705">
        <v>31367</v>
      </c>
      <c r="H412" s="705">
        <v>96297</v>
      </c>
      <c r="I412" s="705">
        <v>2225755</v>
      </c>
      <c r="J412" s="706">
        <v>824354</v>
      </c>
      <c r="K412" s="705">
        <v>100</v>
      </c>
      <c r="L412" s="705">
        <v>255564</v>
      </c>
      <c r="M412" s="705">
        <v>99298</v>
      </c>
      <c r="N412" s="705">
        <v>639788</v>
      </c>
      <c r="O412" s="705">
        <v>236958</v>
      </c>
      <c r="P412" s="705">
        <v>9851</v>
      </c>
      <c r="Q412" s="705">
        <v>3649</v>
      </c>
      <c r="R412" s="705">
        <v>2956936</v>
      </c>
      <c r="S412" s="705">
        <v>1095161</v>
      </c>
      <c r="T412" s="705">
        <v>7551</v>
      </c>
      <c r="U412" s="705">
        <v>2797</v>
      </c>
      <c r="V412" s="705">
        <v>2262217</v>
      </c>
      <c r="W412" s="705">
        <f t="shared" si="28"/>
        <v>2262217</v>
      </c>
      <c r="X412" s="705">
        <f t="shared" si="29"/>
        <v>6095445</v>
      </c>
      <c r="Y412" s="705"/>
    </row>
    <row r="413" spans="2:25">
      <c r="B413" t="s">
        <v>679</v>
      </c>
      <c r="C413" t="s">
        <v>116</v>
      </c>
      <c r="D413" t="s">
        <v>583</v>
      </c>
      <c r="E413" t="s">
        <v>583</v>
      </c>
      <c r="F413" s="705">
        <v>1</v>
      </c>
      <c r="G413" s="705">
        <v>97</v>
      </c>
      <c r="H413" s="705">
        <v>175</v>
      </c>
      <c r="I413" s="705">
        <v>8892</v>
      </c>
      <c r="J413" s="706">
        <v>8084</v>
      </c>
      <c r="K413" s="705">
        <v>75</v>
      </c>
      <c r="L413" s="705">
        <v>0</v>
      </c>
      <c r="M413" s="705">
        <v>0</v>
      </c>
      <c r="N413" s="705">
        <v>2354</v>
      </c>
      <c r="O413" s="705">
        <v>872</v>
      </c>
      <c r="P413" s="705">
        <v>621</v>
      </c>
      <c r="Q413" s="705">
        <v>230</v>
      </c>
      <c r="R413" s="705">
        <v>5039</v>
      </c>
      <c r="S413" s="705">
        <v>4581</v>
      </c>
      <c r="T413" s="705">
        <v>0</v>
      </c>
      <c r="U413" s="705">
        <v>0</v>
      </c>
      <c r="V413" s="705">
        <v>13767</v>
      </c>
      <c r="W413" s="705">
        <f t="shared" si="28"/>
        <v>13767</v>
      </c>
      <c r="X413" s="705">
        <f t="shared" si="29"/>
        <v>16906</v>
      </c>
      <c r="Y413" s="705"/>
    </row>
    <row r="414" spans="2:25">
      <c r="B414" t="s">
        <v>679</v>
      </c>
      <c r="C414" t="s">
        <v>116</v>
      </c>
      <c r="D414" t="s">
        <v>584</v>
      </c>
      <c r="E414" t="s">
        <v>228</v>
      </c>
      <c r="F414" s="705">
        <v>22</v>
      </c>
      <c r="G414" s="705">
        <v>1068</v>
      </c>
      <c r="H414" s="705">
        <v>4140</v>
      </c>
      <c r="I414" s="705">
        <v>76839</v>
      </c>
      <c r="J414" s="706">
        <v>69854</v>
      </c>
      <c r="K414" s="705">
        <v>85</v>
      </c>
      <c r="L414" s="705">
        <v>4048</v>
      </c>
      <c r="M414" s="705">
        <v>1592</v>
      </c>
      <c r="N414" s="705">
        <v>17698</v>
      </c>
      <c r="O414" s="705">
        <v>6555</v>
      </c>
      <c r="P414" s="705">
        <v>10395</v>
      </c>
      <c r="Q414" s="705">
        <v>3850</v>
      </c>
      <c r="R414" s="705">
        <v>92490</v>
      </c>
      <c r="S414" s="705">
        <v>34256</v>
      </c>
      <c r="T414" s="705">
        <v>0</v>
      </c>
      <c r="U414" s="705">
        <v>0</v>
      </c>
      <c r="V414" s="705">
        <v>116106</v>
      </c>
      <c r="W414" s="705">
        <f t="shared" si="28"/>
        <v>116107</v>
      </c>
      <c r="X414" s="705">
        <f t="shared" si="29"/>
        <v>201470</v>
      </c>
      <c r="Y414" s="705"/>
    </row>
    <row r="415" spans="2:25">
      <c r="B415" t="s">
        <v>679</v>
      </c>
      <c r="C415" t="s">
        <v>116</v>
      </c>
      <c r="D415" t="s">
        <v>584</v>
      </c>
      <c r="E415" t="s">
        <v>584</v>
      </c>
      <c r="F415" s="705">
        <v>414</v>
      </c>
      <c r="G415" s="705">
        <v>25960</v>
      </c>
      <c r="H415" s="705">
        <v>77398</v>
      </c>
      <c r="I415" s="705">
        <v>2421921</v>
      </c>
      <c r="J415" s="706">
        <v>2201746</v>
      </c>
      <c r="K415" s="705">
        <v>84</v>
      </c>
      <c r="L415" s="705">
        <v>154456</v>
      </c>
      <c r="M415" s="705">
        <v>123875</v>
      </c>
      <c r="N415" s="705">
        <v>528419</v>
      </c>
      <c r="O415" s="705">
        <v>195711</v>
      </c>
      <c r="P415" s="705">
        <v>205102</v>
      </c>
      <c r="Q415" s="705">
        <v>75964</v>
      </c>
      <c r="R415" s="705">
        <v>1410949</v>
      </c>
      <c r="S415" s="705">
        <v>1282681</v>
      </c>
      <c r="T415" s="705">
        <v>109085</v>
      </c>
      <c r="U415" s="705">
        <v>40402</v>
      </c>
      <c r="V415" s="705">
        <v>3920378</v>
      </c>
      <c r="W415" s="705">
        <f t="shared" si="28"/>
        <v>3920379</v>
      </c>
      <c r="X415" s="705">
        <f t="shared" si="29"/>
        <v>4829932</v>
      </c>
      <c r="Y415" s="705"/>
    </row>
    <row r="416" spans="2:25">
      <c r="B416" t="s">
        <v>679</v>
      </c>
      <c r="C416" t="s">
        <v>118</v>
      </c>
      <c r="F416">
        <v>25</v>
      </c>
      <c r="G416" s="705">
        <v>1348</v>
      </c>
      <c r="H416" s="705">
        <v>6491</v>
      </c>
      <c r="I416" s="705"/>
      <c r="J416" s="429">
        <v>0</v>
      </c>
      <c r="K416" s="705"/>
      <c r="L416" s="705"/>
      <c r="M416" s="705">
        <v>0</v>
      </c>
      <c r="N416" s="705">
        <v>27995</v>
      </c>
      <c r="O416" s="705">
        <v>10369</v>
      </c>
      <c r="P416" s="705">
        <v>4928</v>
      </c>
      <c r="Q416" s="705">
        <v>1825</v>
      </c>
      <c r="R416" s="705"/>
      <c r="S416">
        <v>0</v>
      </c>
      <c r="T416">
        <v>0</v>
      </c>
      <c r="U416" s="705">
        <v>0</v>
      </c>
      <c r="V416" s="705">
        <v>12194</v>
      </c>
      <c r="W416" s="705">
        <f t="shared" si="28"/>
        <v>12194</v>
      </c>
      <c r="X416" s="705">
        <f t="shared" si="29"/>
        <v>32923</v>
      </c>
      <c r="Y416" s="705"/>
    </row>
    <row r="417" spans="2:25">
      <c r="B417" t="s">
        <v>679</v>
      </c>
      <c r="C417" t="s">
        <v>118</v>
      </c>
      <c r="D417" t="s">
        <v>228</v>
      </c>
      <c r="E417" t="s">
        <v>228</v>
      </c>
      <c r="F417">
        <v>557</v>
      </c>
      <c r="G417" s="705">
        <v>31233</v>
      </c>
      <c r="H417" s="705">
        <v>144697</v>
      </c>
      <c r="I417" s="705">
        <v>3767883</v>
      </c>
      <c r="J417" s="706">
        <v>1395512</v>
      </c>
      <c r="K417" s="705">
        <v>100</v>
      </c>
      <c r="L417" s="705">
        <v>479632</v>
      </c>
      <c r="M417" s="705">
        <v>197535</v>
      </c>
      <c r="N417" s="705">
        <v>641637</v>
      </c>
      <c r="O417" s="705">
        <v>237643</v>
      </c>
      <c r="P417" s="705">
        <v>11410</v>
      </c>
      <c r="Q417" s="705">
        <v>4226</v>
      </c>
      <c r="R417" s="705">
        <v>3201403</v>
      </c>
      <c r="S417" s="705">
        <v>1185705</v>
      </c>
      <c r="T417" s="705">
        <v>1888</v>
      </c>
      <c r="U417" s="705">
        <v>699</v>
      </c>
      <c r="V417" s="705">
        <v>3021320</v>
      </c>
      <c r="W417" s="705">
        <f t="shared" si="28"/>
        <v>3021320</v>
      </c>
      <c r="X417" s="705">
        <f t="shared" si="29"/>
        <v>8103853</v>
      </c>
      <c r="Y417" s="705"/>
    </row>
    <row r="418" spans="2:25">
      <c r="B418" t="s">
        <v>679</v>
      </c>
      <c r="C418" t="s">
        <v>118</v>
      </c>
      <c r="D418" t="s">
        <v>584</v>
      </c>
      <c r="E418" t="s">
        <v>228</v>
      </c>
      <c r="F418" s="705">
        <v>28</v>
      </c>
      <c r="G418" s="705">
        <v>1299</v>
      </c>
      <c r="H418" s="705">
        <v>7425</v>
      </c>
      <c r="I418" s="705">
        <v>203946</v>
      </c>
      <c r="J418" s="706">
        <v>185405</v>
      </c>
      <c r="K418" s="705">
        <v>78</v>
      </c>
      <c r="L418" s="705">
        <v>1122</v>
      </c>
      <c r="M418" s="705">
        <v>416</v>
      </c>
      <c r="N418" s="705">
        <v>27494</v>
      </c>
      <c r="O418" s="705">
        <v>10183</v>
      </c>
      <c r="P418" s="705">
        <v>12758</v>
      </c>
      <c r="Q418" s="705">
        <v>4725</v>
      </c>
      <c r="R418" s="705">
        <v>99952</v>
      </c>
      <c r="S418" s="705">
        <v>37019</v>
      </c>
      <c r="T418">
        <v>0</v>
      </c>
      <c r="U418" s="705">
        <v>0</v>
      </c>
      <c r="V418" s="705">
        <v>237748</v>
      </c>
      <c r="W418" s="705">
        <f t="shared" si="28"/>
        <v>237748</v>
      </c>
      <c r="X418" s="705">
        <f t="shared" si="29"/>
        <v>345272</v>
      </c>
      <c r="Y418" s="705"/>
    </row>
    <row r="419" spans="2:25">
      <c r="B419" t="s">
        <v>679</v>
      </c>
      <c r="C419" t="s">
        <v>118</v>
      </c>
      <c r="D419" t="s">
        <v>584</v>
      </c>
      <c r="E419" s="705" t="s">
        <v>584</v>
      </c>
      <c r="F419" s="705">
        <v>173</v>
      </c>
      <c r="G419" s="705">
        <v>10760</v>
      </c>
      <c r="H419" s="705">
        <v>44859</v>
      </c>
      <c r="I419" s="705">
        <v>1573344</v>
      </c>
      <c r="J419" s="706">
        <v>1430313</v>
      </c>
      <c r="K419" s="705">
        <v>81</v>
      </c>
      <c r="L419" s="705">
        <v>181465</v>
      </c>
      <c r="M419" s="705">
        <v>152795</v>
      </c>
      <c r="N419" s="705">
        <v>221228</v>
      </c>
      <c r="O419" s="705">
        <v>81936</v>
      </c>
      <c r="P419" s="705">
        <v>88498</v>
      </c>
      <c r="Q419" s="705">
        <v>32777</v>
      </c>
      <c r="R419" s="705">
        <v>620079</v>
      </c>
      <c r="S419" s="705">
        <v>563708</v>
      </c>
      <c r="T419" s="705">
        <v>107472</v>
      </c>
      <c r="U419" s="705">
        <v>39804</v>
      </c>
      <c r="V419" s="705">
        <v>2301333</v>
      </c>
      <c r="W419" s="705">
        <f t="shared" si="28"/>
        <v>2301333</v>
      </c>
      <c r="X419" s="705">
        <f t="shared" si="29"/>
        <v>2792086</v>
      </c>
      <c r="Y419" s="705"/>
    </row>
    <row r="420" spans="2:25">
      <c r="B420" t="s">
        <v>679</v>
      </c>
      <c r="C420" t="s">
        <v>118</v>
      </c>
      <c r="D420" t="s">
        <v>669</v>
      </c>
      <c r="E420" t="s">
        <v>669</v>
      </c>
      <c r="F420" s="705">
        <v>1</v>
      </c>
      <c r="G420" s="705">
        <v>39</v>
      </c>
      <c r="H420" s="705">
        <v>291</v>
      </c>
      <c r="I420" s="705">
        <v>4475</v>
      </c>
      <c r="J420" s="706">
        <v>3729</v>
      </c>
      <c r="K420" s="705">
        <v>65</v>
      </c>
      <c r="L420" s="705">
        <v>0</v>
      </c>
      <c r="M420" s="705">
        <v>0</v>
      </c>
      <c r="N420" s="705">
        <v>953</v>
      </c>
      <c r="O420" s="705">
        <v>353</v>
      </c>
      <c r="P420" s="705">
        <v>351</v>
      </c>
      <c r="Q420" s="705">
        <v>130</v>
      </c>
      <c r="R420" s="705">
        <v>3575</v>
      </c>
      <c r="S420" s="705">
        <v>2979</v>
      </c>
      <c r="T420" s="705">
        <v>2032</v>
      </c>
      <c r="U420" s="705">
        <v>753</v>
      </c>
      <c r="V420" s="705">
        <v>7944</v>
      </c>
      <c r="W420" s="705">
        <f t="shared" si="28"/>
        <v>7944</v>
      </c>
      <c r="X420" s="705">
        <f t="shared" si="29"/>
        <v>11386</v>
      </c>
      <c r="Y420" s="705"/>
    </row>
    <row r="421" spans="2:25">
      <c r="B421" t="s">
        <v>679</v>
      </c>
      <c r="C421" t="s">
        <v>120</v>
      </c>
      <c r="F421" s="705">
        <v>8</v>
      </c>
      <c r="G421" s="705">
        <v>366</v>
      </c>
      <c r="H421" s="705">
        <v>2734</v>
      </c>
      <c r="I421" s="705"/>
      <c r="J421" s="706">
        <v>0</v>
      </c>
      <c r="K421" s="705"/>
      <c r="L421" s="705"/>
      <c r="M421" s="705">
        <v>0</v>
      </c>
      <c r="N421" s="705">
        <v>8056</v>
      </c>
      <c r="O421" s="705">
        <v>2984</v>
      </c>
      <c r="P421" s="705">
        <v>1175</v>
      </c>
      <c r="Q421" s="705">
        <v>435</v>
      </c>
      <c r="R421" s="705"/>
      <c r="S421" s="705">
        <v>0</v>
      </c>
      <c r="T421" s="705">
        <v>2223</v>
      </c>
      <c r="U421" s="705">
        <v>823</v>
      </c>
      <c r="V421" s="705">
        <v>4242</v>
      </c>
      <c r="W421" s="705">
        <f t="shared" si="28"/>
        <v>4242</v>
      </c>
      <c r="X421" s="705">
        <f t="shared" si="29"/>
        <v>11454</v>
      </c>
      <c r="Y421" s="705"/>
    </row>
    <row r="422" spans="2:25">
      <c r="B422" t="s">
        <v>679</v>
      </c>
      <c r="C422" t="s">
        <v>120</v>
      </c>
      <c r="D422" t="s">
        <v>228</v>
      </c>
      <c r="E422" t="s">
        <v>228</v>
      </c>
      <c r="F422">
        <v>315</v>
      </c>
      <c r="G422" s="705">
        <v>16908</v>
      </c>
      <c r="H422" s="705">
        <v>106366</v>
      </c>
      <c r="I422" s="705">
        <v>3159702</v>
      </c>
      <c r="J422" s="706">
        <v>1170260</v>
      </c>
      <c r="K422" s="705">
        <v>100</v>
      </c>
      <c r="L422" s="705">
        <v>399029</v>
      </c>
      <c r="M422" s="705">
        <v>167574</v>
      </c>
      <c r="N422" s="705">
        <v>357070</v>
      </c>
      <c r="O422" s="705">
        <v>132248</v>
      </c>
      <c r="P422" s="705">
        <v>5313</v>
      </c>
      <c r="Q422" s="705">
        <v>1968</v>
      </c>
      <c r="R422" s="705">
        <v>1792435</v>
      </c>
      <c r="S422" s="705">
        <v>663865</v>
      </c>
      <c r="T422">
        <v>0</v>
      </c>
      <c r="U422" s="705">
        <v>0</v>
      </c>
      <c r="V422" s="705">
        <v>2135916</v>
      </c>
      <c r="W422" s="705">
        <f t="shared" si="28"/>
        <v>2135915</v>
      </c>
      <c r="X422" s="705">
        <f t="shared" si="29"/>
        <v>5713549</v>
      </c>
      <c r="Y422" s="705"/>
    </row>
    <row r="423" spans="2:25">
      <c r="B423" t="s">
        <v>679</v>
      </c>
      <c r="C423" t="s">
        <v>120</v>
      </c>
      <c r="D423" t="s">
        <v>228</v>
      </c>
      <c r="E423" t="s">
        <v>584</v>
      </c>
      <c r="F423">
        <v>1</v>
      </c>
      <c r="G423" s="705">
        <v>67</v>
      </c>
      <c r="H423" s="705">
        <v>330</v>
      </c>
      <c r="I423" s="705">
        <v>15788</v>
      </c>
      <c r="J423" s="706">
        <v>5847</v>
      </c>
      <c r="K423" s="705">
        <v>100</v>
      </c>
      <c r="L423" s="705">
        <v>0</v>
      </c>
      <c r="M423" s="705">
        <v>0</v>
      </c>
      <c r="N423" s="705">
        <v>1637</v>
      </c>
      <c r="O423" s="705">
        <v>606</v>
      </c>
      <c r="P423">
        <v>122</v>
      </c>
      <c r="Q423" s="705">
        <v>45</v>
      </c>
      <c r="R423" s="705">
        <v>4601</v>
      </c>
      <c r="S423" s="705">
        <v>4183</v>
      </c>
      <c r="T423" s="705">
        <v>0</v>
      </c>
      <c r="U423" s="705">
        <v>0</v>
      </c>
      <c r="V423" s="705">
        <v>10682</v>
      </c>
      <c r="W423" s="705">
        <f t="shared" si="28"/>
        <v>10681</v>
      </c>
      <c r="X423" s="705">
        <f t="shared" si="29"/>
        <v>22148</v>
      </c>
      <c r="Y423" s="705"/>
    </row>
    <row r="424" spans="2:25">
      <c r="B424" t="s">
        <v>679</v>
      </c>
      <c r="C424" t="s">
        <v>120</v>
      </c>
      <c r="D424" t="s">
        <v>228</v>
      </c>
      <c r="E424" t="s">
        <v>665</v>
      </c>
      <c r="F424">
        <v>1</v>
      </c>
      <c r="G424" s="705">
        <v>35</v>
      </c>
      <c r="H424" s="705">
        <v>322</v>
      </c>
      <c r="I424" s="705">
        <v>3511</v>
      </c>
      <c r="J424" s="706">
        <v>1300</v>
      </c>
      <c r="K424" s="705">
        <v>100</v>
      </c>
      <c r="L424" s="705">
        <v>505</v>
      </c>
      <c r="M424" s="705">
        <v>459</v>
      </c>
      <c r="N424" s="705">
        <v>704</v>
      </c>
      <c r="O424">
        <v>261</v>
      </c>
      <c r="P424">
        <v>0</v>
      </c>
      <c r="Q424" s="705">
        <v>0</v>
      </c>
      <c r="R424" s="705">
        <v>6435</v>
      </c>
      <c r="S424" s="705">
        <v>5850</v>
      </c>
      <c r="T424">
        <v>0</v>
      </c>
      <c r="U424" s="705">
        <v>0</v>
      </c>
      <c r="V424" s="705">
        <v>7870</v>
      </c>
      <c r="W424" s="705">
        <f t="shared" si="28"/>
        <v>7870</v>
      </c>
      <c r="X424" s="705">
        <f t="shared" si="29"/>
        <v>11155</v>
      </c>
      <c r="Y424" s="705"/>
    </row>
    <row r="425" spans="2:25">
      <c r="B425" t="s">
        <v>679</v>
      </c>
      <c r="C425" t="s">
        <v>120</v>
      </c>
      <c r="D425" t="s">
        <v>584</v>
      </c>
      <c r="E425" t="s">
        <v>228</v>
      </c>
      <c r="F425" s="705">
        <v>27</v>
      </c>
      <c r="G425" s="705">
        <v>1260</v>
      </c>
      <c r="H425" s="705">
        <v>8901</v>
      </c>
      <c r="I425" s="705">
        <v>254277</v>
      </c>
      <c r="J425" s="706">
        <v>231161</v>
      </c>
      <c r="K425" s="705">
        <v>83</v>
      </c>
      <c r="L425" s="705">
        <v>10682</v>
      </c>
      <c r="M425" s="705">
        <v>6486</v>
      </c>
      <c r="N425" s="705">
        <v>21150</v>
      </c>
      <c r="O425" s="705">
        <v>7833</v>
      </c>
      <c r="P425" s="705">
        <v>12758</v>
      </c>
      <c r="Q425" s="705">
        <v>4725</v>
      </c>
      <c r="R425" s="705">
        <v>114509</v>
      </c>
      <c r="S425" s="705">
        <v>42411</v>
      </c>
      <c r="T425" s="705">
        <v>0</v>
      </c>
      <c r="U425" s="705">
        <v>0</v>
      </c>
      <c r="V425" s="705">
        <v>292616</v>
      </c>
      <c r="W425" s="705">
        <f t="shared" si="28"/>
        <v>292616</v>
      </c>
      <c r="X425" s="705">
        <f t="shared" si="29"/>
        <v>413376</v>
      </c>
      <c r="Y425" s="705"/>
    </row>
    <row r="426" spans="2:25">
      <c r="B426" t="s">
        <v>679</v>
      </c>
      <c r="C426" t="s">
        <v>120</v>
      </c>
      <c r="D426" t="s">
        <v>584</v>
      </c>
      <c r="E426" t="s">
        <v>584</v>
      </c>
      <c r="F426" s="705">
        <v>63</v>
      </c>
      <c r="G426" s="705">
        <v>3873</v>
      </c>
      <c r="H426" s="705">
        <v>21255</v>
      </c>
      <c r="I426" s="705">
        <v>787150</v>
      </c>
      <c r="J426" s="706">
        <v>715591</v>
      </c>
      <c r="K426" s="705">
        <v>76</v>
      </c>
      <c r="L426" s="705">
        <v>97597</v>
      </c>
      <c r="M426" s="705">
        <v>80892</v>
      </c>
      <c r="N426" s="705">
        <v>81870</v>
      </c>
      <c r="O426" s="705">
        <v>30322</v>
      </c>
      <c r="P426" s="705">
        <v>29552</v>
      </c>
      <c r="Q426" s="705">
        <v>10945</v>
      </c>
      <c r="R426" s="705">
        <v>259668</v>
      </c>
      <c r="S426" s="705">
        <v>236062</v>
      </c>
      <c r="T426" s="705">
        <v>46538</v>
      </c>
      <c r="U426" s="705">
        <v>17236</v>
      </c>
      <c r="V426" s="705">
        <v>1091048</v>
      </c>
      <c r="W426" s="705">
        <f t="shared" si="28"/>
        <v>1091048</v>
      </c>
      <c r="X426" s="705">
        <f t="shared" si="29"/>
        <v>1302375</v>
      </c>
      <c r="Y426" s="705"/>
    </row>
    <row r="427" spans="2:25">
      <c r="B427" t="s">
        <v>679</v>
      </c>
      <c r="C427" t="s">
        <v>122</v>
      </c>
      <c r="F427">
        <v>1</v>
      </c>
      <c r="G427" s="705">
        <v>34</v>
      </c>
      <c r="H427" s="705">
        <v>385</v>
      </c>
      <c r="I427" s="705"/>
      <c r="J427" s="706">
        <v>0</v>
      </c>
      <c r="K427" s="705"/>
      <c r="L427" s="705"/>
      <c r="M427" s="705">
        <v>0</v>
      </c>
      <c r="N427" s="705">
        <v>540</v>
      </c>
      <c r="O427">
        <v>200</v>
      </c>
      <c r="P427">
        <v>473</v>
      </c>
      <c r="Q427" s="705">
        <v>175</v>
      </c>
      <c r="R427" s="705"/>
      <c r="S427" s="705">
        <v>0</v>
      </c>
      <c r="T427" s="705">
        <v>0</v>
      </c>
      <c r="U427" s="705">
        <v>0</v>
      </c>
      <c r="V427">
        <v>375</v>
      </c>
      <c r="W427" s="705">
        <f t="shared" si="28"/>
        <v>375</v>
      </c>
      <c r="X427" s="705">
        <f t="shared" si="29"/>
        <v>1013</v>
      </c>
      <c r="Y427" s="705"/>
    </row>
    <row r="428" spans="2:25">
      <c r="B428" t="s">
        <v>679</v>
      </c>
      <c r="C428" t="s">
        <v>122</v>
      </c>
      <c r="D428" t="s">
        <v>228</v>
      </c>
      <c r="E428" t="s">
        <v>228</v>
      </c>
      <c r="F428">
        <v>120</v>
      </c>
      <c r="G428" s="705">
        <v>6209</v>
      </c>
      <c r="H428" s="705">
        <v>49611</v>
      </c>
      <c r="I428" s="705">
        <v>1563781</v>
      </c>
      <c r="J428" s="706">
        <v>579178</v>
      </c>
      <c r="K428" s="705">
        <v>100</v>
      </c>
      <c r="L428" s="705">
        <v>230227</v>
      </c>
      <c r="M428" s="705">
        <v>116543</v>
      </c>
      <c r="N428" s="705">
        <v>126963</v>
      </c>
      <c r="O428" s="705">
        <v>47023</v>
      </c>
      <c r="P428" s="705">
        <v>1378</v>
      </c>
      <c r="Q428" s="705">
        <v>511</v>
      </c>
      <c r="R428" s="705">
        <v>639657</v>
      </c>
      <c r="S428" s="705">
        <v>236910</v>
      </c>
      <c r="T428" s="705">
        <v>1136</v>
      </c>
      <c r="U428" s="705">
        <v>421</v>
      </c>
      <c r="V428" s="705">
        <v>980586</v>
      </c>
      <c r="W428" s="705">
        <f t="shared" si="28"/>
        <v>980586</v>
      </c>
      <c r="X428" s="705">
        <f t="shared" si="29"/>
        <v>2563142</v>
      </c>
      <c r="Y428" s="705"/>
    </row>
    <row r="429" spans="2:25">
      <c r="B429" t="s">
        <v>679</v>
      </c>
      <c r="C429" t="s">
        <v>122</v>
      </c>
      <c r="D429" t="s">
        <v>584</v>
      </c>
      <c r="E429" t="s">
        <v>228</v>
      </c>
      <c r="F429" s="705">
        <v>10</v>
      </c>
      <c r="G429" s="705">
        <v>447</v>
      </c>
      <c r="H429" s="705">
        <v>4256</v>
      </c>
      <c r="I429" s="705">
        <v>138481</v>
      </c>
      <c r="J429" s="706">
        <v>125892</v>
      </c>
      <c r="K429" s="705">
        <v>76</v>
      </c>
      <c r="L429" s="705">
        <v>3325</v>
      </c>
      <c r="M429" s="705">
        <v>3023</v>
      </c>
      <c r="N429" s="705">
        <v>10307</v>
      </c>
      <c r="O429" s="705">
        <v>3817</v>
      </c>
      <c r="P429" s="705">
        <v>4725</v>
      </c>
      <c r="Q429" s="705">
        <v>1750</v>
      </c>
      <c r="R429" s="705">
        <v>32765</v>
      </c>
      <c r="S429" s="705">
        <v>12135</v>
      </c>
      <c r="T429">
        <v>0</v>
      </c>
      <c r="U429" s="705">
        <v>0</v>
      </c>
      <c r="V429" s="705">
        <v>146617</v>
      </c>
      <c r="W429" s="705">
        <f t="shared" si="28"/>
        <v>146617</v>
      </c>
      <c r="X429" s="705">
        <f t="shared" si="29"/>
        <v>189603</v>
      </c>
      <c r="Y429" s="705"/>
    </row>
    <row r="430" spans="2:25">
      <c r="B430" t="s">
        <v>679</v>
      </c>
      <c r="C430" t="s">
        <v>122</v>
      </c>
      <c r="D430" t="s">
        <v>584</v>
      </c>
      <c r="E430" t="s">
        <v>584</v>
      </c>
      <c r="F430" s="705">
        <v>17</v>
      </c>
      <c r="G430" s="705">
        <v>1040</v>
      </c>
      <c r="H430" s="705">
        <v>6908</v>
      </c>
      <c r="I430" s="705">
        <v>265143</v>
      </c>
      <c r="J430" s="706">
        <v>241039</v>
      </c>
      <c r="K430" s="705">
        <v>78</v>
      </c>
      <c r="L430" s="705">
        <v>43752</v>
      </c>
      <c r="M430" s="705">
        <v>35711</v>
      </c>
      <c r="N430" s="705">
        <v>22016</v>
      </c>
      <c r="O430" s="705">
        <v>8154</v>
      </c>
      <c r="P430" s="705">
        <v>7911</v>
      </c>
      <c r="Q430" s="705">
        <v>2930</v>
      </c>
      <c r="R430" s="705">
        <v>65536</v>
      </c>
      <c r="S430" s="705">
        <v>59578</v>
      </c>
      <c r="T430" s="705">
        <v>17835</v>
      </c>
      <c r="U430" s="705">
        <v>6605</v>
      </c>
      <c r="V430" s="705">
        <v>354018</v>
      </c>
      <c r="W430" s="705">
        <f t="shared" si="28"/>
        <v>354017</v>
      </c>
      <c r="X430" s="705">
        <f t="shared" si="29"/>
        <v>422193</v>
      </c>
      <c r="Y430" s="705"/>
    </row>
    <row r="431" spans="2:25">
      <c r="B431" t="s">
        <v>679</v>
      </c>
      <c r="C431" t="s">
        <v>124</v>
      </c>
      <c r="F431">
        <v>4</v>
      </c>
      <c r="G431">
        <v>136</v>
      </c>
      <c r="H431" s="705">
        <v>2298</v>
      </c>
      <c r="I431" s="705"/>
      <c r="J431" s="706">
        <v>0</v>
      </c>
      <c r="K431" s="705"/>
      <c r="L431" s="705"/>
      <c r="M431" s="705">
        <v>0</v>
      </c>
      <c r="N431" s="705">
        <v>2648</v>
      </c>
      <c r="O431" s="705">
        <v>981</v>
      </c>
      <c r="P431">
        <v>473</v>
      </c>
      <c r="Q431" s="705">
        <v>175</v>
      </c>
      <c r="R431" s="705"/>
      <c r="S431">
        <v>0</v>
      </c>
      <c r="T431">
        <v>0</v>
      </c>
      <c r="U431" s="705">
        <v>0</v>
      </c>
      <c r="V431" s="705">
        <v>1156</v>
      </c>
      <c r="W431" s="705">
        <f t="shared" si="28"/>
        <v>1156</v>
      </c>
      <c r="X431" s="705">
        <f t="shared" si="29"/>
        <v>3121</v>
      </c>
      <c r="Y431" s="705"/>
    </row>
    <row r="432" spans="2:25">
      <c r="B432" t="s">
        <v>679</v>
      </c>
      <c r="C432" t="s">
        <v>124</v>
      </c>
      <c r="D432" t="s">
        <v>228</v>
      </c>
      <c r="E432" t="s">
        <v>228</v>
      </c>
      <c r="F432" s="705">
        <v>112</v>
      </c>
      <c r="G432" s="705">
        <v>5879</v>
      </c>
      <c r="H432" s="705">
        <v>66362</v>
      </c>
      <c r="I432" s="705">
        <v>2381860</v>
      </c>
      <c r="J432" s="706">
        <v>882170</v>
      </c>
      <c r="K432" s="705">
        <v>100</v>
      </c>
      <c r="L432" s="705">
        <v>305328</v>
      </c>
      <c r="M432" s="705">
        <v>188614</v>
      </c>
      <c r="N432" s="705">
        <v>122492</v>
      </c>
      <c r="O432" s="705">
        <v>45367</v>
      </c>
      <c r="P432" s="705">
        <v>702</v>
      </c>
      <c r="Q432" s="705">
        <v>260</v>
      </c>
      <c r="R432" s="705">
        <v>687800</v>
      </c>
      <c r="S432" s="705">
        <v>254741</v>
      </c>
      <c r="T432" s="705">
        <v>0</v>
      </c>
      <c r="U432" s="705">
        <v>0</v>
      </c>
      <c r="V432" s="705">
        <v>1371152</v>
      </c>
      <c r="W432" s="705">
        <f t="shared" si="28"/>
        <v>1371152</v>
      </c>
      <c r="X432" s="705">
        <f t="shared" si="29"/>
        <v>3498182</v>
      </c>
      <c r="Y432" s="705"/>
    </row>
    <row r="433" spans="2:25">
      <c r="B433" t="s">
        <v>679</v>
      </c>
      <c r="C433" t="s">
        <v>124</v>
      </c>
      <c r="D433" t="s">
        <v>584</v>
      </c>
      <c r="E433" s="705" t="s">
        <v>228</v>
      </c>
      <c r="F433" s="705">
        <v>7</v>
      </c>
      <c r="G433" s="705">
        <v>337</v>
      </c>
      <c r="H433" s="705">
        <v>3647</v>
      </c>
      <c r="I433" s="705">
        <v>118995</v>
      </c>
      <c r="J433" s="706">
        <v>108177</v>
      </c>
      <c r="K433" s="705">
        <v>76</v>
      </c>
      <c r="L433" s="705">
        <v>13467</v>
      </c>
      <c r="M433" s="705">
        <v>11650</v>
      </c>
      <c r="N433" s="705">
        <v>7524</v>
      </c>
      <c r="O433" s="705">
        <v>2787</v>
      </c>
      <c r="P433" s="705">
        <v>3186</v>
      </c>
      <c r="Q433" s="705">
        <v>1180</v>
      </c>
      <c r="R433" s="705">
        <v>31406</v>
      </c>
      <c r="S433" s="705">
        <v>11632</v>
      </c>
      <c r="T433" s="705">
        <v>0</v>
      </c>
      <c r="U433" s="705">
        <v>0</v>
      </c>
      <c r="V433" s="705">
        <v>135425</v>
      </c>
      <c r="W433" s="705">
        <f t="shared" si="28"/>
        <v>135426</v>
      </c>
      <c r="X433" s="705">
        <f t="shared" si="29"/>
        <v>174578</v>
      </c>
      <c r="Y433" s="705"/>
    </row>
    <row r="434" spans="2:25">
      <c r="B434" t="s">
        <v>679</v>
      </c>
      <c r="C434" t="s">
        <v>124</v>
      </c>
      <c r="D434" t="s">
        <v>584</v>
      </c>
      <c r="E434" t="s">
        <v>584</v>
      </c>
      <c r="F434" s="705">
        <v>9</v>
      </c>
      <c r="G434" s="705">
        <v>454</v>
      </c>
      <c r="H434" s="705">
        <v>4515</v>
      </c>
      <c r="I434" s="705">
        <v>137713</v>
      </c>
      <c r="J434" s="706">
        <v>125194</v>
      </c>
      <c r="K434" s="705">
        <v>76</v>
      </c>
      <c r="L434" s="705">
        <v>22656</v>
      </c>
      <c r="M434" s="705">
        <v>20044</v>
      </c>
      <c r="N434" s="705">
        <v>10200</v>
      </c>
      <c r="O434" s="705">
        <v>3778</v>
      </c>
      <c r="P434" s="705">
        <v>3780</v>
      </c>
      <c r="Q434" s="705">
        <v>1400</v>
      </c>
      <c r="R434" s="705">
        <v>34640</v>
      </c>
      <c r="S434" s="705">
        <v>31491</v>
      </c>
      <c r="T434" s="705">
        <v>15095</v>
      </c>
      <c r="U434" s="705">
        <v>5591</v>
      </c>
      <c r="V434" s="705">
        <v>187497</v>
      </c>
      <c r="W434" s="705">
        <f t="shared" si="28"/>
        <v>187498</v>
      </c>
      <c r="X434" s="705">
        <f t="shared" si="29"/>
        <v>224084</v>
      </c>
      <c r="Y434" s="705"/>
    </row>
    <row r="435" spans="2:25">
      <c r="B435" t="s">
        <v>680</v>
      </c>
      <c r="C435" t="s">
        <v>108</v>
      </c>
      <c r="F435">
        <v>15</v>
      </c>
      <c r="G435" s="705">
        <v>1237</v>
      </c>
      <c r="H435" s="705">
        <v>969</v>
      </c>
      <c r="I435" s="705"/>
      <c r="J435" s="706">
        <v>0</v>
      </c>
      <c r="K435" s="705"/>
      <c r="L435" s="705"/>
      <c r="M435" s="705">
        <v>0</v>
      </c>
      <c r="N435" s="705">
        <v>15077</v>
      </c>
      <c r="O435" s="705">
        <v>5584</v>
      </c>
      <c r="P435" s="705">
        <v>10938</v>
      </c>
      <c r="Q435" s="705">
        <v>4051</v>
      </c>
      <c r="R435" s="705"/>
      <c r="S435" s="705">
        <v>0</v>
      </c>
      <c r="T435" s="705">
        <v>0</v>
      </c>
      <c r="U435" s="705">
        <v>0</v>
      </c>
      <c r="V435" s="705">
        <v>9635</v>
      </c>
      <c r="W435" s="705">
        <f t="shared" si="28"/>
        <v>9635</v>
      </c>
      <c r="X435" s="705">
        <f t="shared" si="29"/>
        <v>26015</v>
      </c>
      <c r="Y435" s="705"/>
    </row>
    <row r="436" spans="2:25">
      <c r="B436" t="s">
        <v>680</v>
      </c>
      <c r="C436" t="s">
        <v>108</v>
      </c>
      <c r="D436" t="s">
        <v>228</v>
      </c>
      <c r="E436" t="s">
        <v>228</v>
      </c>
      <c r="F436" s="705">
        <v>1</v>
      </c>
      <c r="G436" s="705">
        <v>499</v>
      </c>
      <c r="H436" s="705">
        <v>40</v>
      </c>
      <c r="I436" s="705">
        <v>2966</v>
      </c>
      <c r="J436" s="706">
        <v>1098</v>
      </c>
      <c r="K436" s="705">
        <v>436</v>
      </c>
      <c r="L436" s="705">
        <v>813</v>
      </c>
      <c r="M436" s="705">
        <v>739</v>
      </c>
      <c r="N436" s="705">
        <v>6085</v>
      </c>
      <c r="O436" s="705">
        <v>2254</v>
      </c>
      <c r="P436" s="705">
        <v>5424</v>
      </c>
      <c r="Q436" s="705">
        <v>2009</v>
      </c>
      <c r="R436" s="705">
        <v>4730</v>
      </c>
      <c r="S436" s="705">
        <v>1752</v>
      </c>
      <c r="T436" s="705">
        <v>0</v>
      </c>
      <c r="U436" s="705">
        <v>0</v>
      </c>
      <c r="V436" s="705">
        <v>7852</v>
      </c>
      <c r="W436" s="705">
        <f t="shared" si="28"/>
        <v>7852</v>
      </c>
      <c r="X436" s="705">
        <f t="shared" si="29"/>
        <v>20018</v>
      </c>
      <c r="Y436" s="705"/>
    </row>
    <row r="437" spans="2:25">
      <c r="B437" t="s">
        <v>680</v>
      </c>
      <c r="C437" t="s">
        <v>108</v>
      </c>
      <c r="D437" t="s">
        <v>228</v>
      </c>
      <c r="E437" t="s">
        <v>584</v>
      </c>
      <c r="F437" s="705">
        <v>2</v>
      </c>
      <c r="G437" s="705">
        <v>112</v>
      </c>
      <c r="H437" s="705">
        <v>43</v>
      </c>
      <c r="I437" s="705">
        <v>-6350</v>
      </c>
      <c r="J437" s="706">
        <v>-2352</v>
      </c>
      <c r="K437" s="705">
        <v>558</v>
      </c>
      <c r="L437" s="705">
        <v>0</v>
      </c>
      <c r="M437" s="705">
        <v>0</v>
      </c>
      <c r="N437" s="705">
        <v>1359</v>
      </c>
      <c r="O437" s="705">
        <v>503</v>
      </c>
      <c r="P437" s="705">
        <v>928</v>
      </c>
      <c r="Q437" s="705">
        <v>344</v>
      </c>
      <c r="R437" s="705">
        <v>6453</v>
      </c>
      <c r="S437" s="705">
        <v>5866</v>
      </c>
      <c r="T437" s="705">
        <v>0</v>
      </c>
      <c r="U437" s="705">
        <v>0</v>
      </c>
      <c r="V437" s="705">
        <v>4362</v>
      </c>
      <c r="W437" s="705">
        <f t="shared" si="28"/>
        <v>9065</v>
      </c>
      <c r="X437" s="705">
        <f t="shared" si="29"/>
        <v>15090</v>
      </c>
      <c r="Y437" s="705"/>
    </row>
    <row r="438" spans="2:25">
      <c r="B438" t="s">
        <v>680</v>
      </c>
      <c r="C438" t="s">
        <v>110</v>
      </c>
      <c r="F438" s="705">
        <v>14</v>
      </c>
      <c r="G438" s="705">
        <v>959</v>
      </c>
      <c r="H438" s="705">
        <v>1297</v>
      </c>
      <c r="I438" s="705"/>
      <c r="J438" s="706">
        <v>0</v>
      </c>
      <c r="K438" s="705"/>
      <c r="L438" s="705"/>
      <c r="M438" s="705">
        <v>0</v>
      </c>
      <c r="N438" s="705">
        <v>19324</v>
      </c>
      <c r="O438" s="705">
        <v>7157</v>
      </c>
      <c r="P438" s="705">
        <v>2359</v>
      </c>
      <c r="Q438" s="705">
        <v>874</v>
      </c>
      <c r="R438" s="705"/>
      <c r="S438" s="705">
        <v>0</v>
      </c>
      <c r="T438" s="705">
        <v>0</v>
      </c>
      <c r="U438" s="705">
        <v>0</v>
      </c>
      <c r="V438" s="705">
        <v>8030</v>
      </c>
      <c r="W438" s="705">
        <f t="shared" si="28"/>
        <v>8031</v>
      </c>
      <c r="X438" s="705">
        <f t="shared" si="29"/>
        <v>21683</v>
      </c>
      <c r="Y438" s="705"/>
    </row>
    <row r="439" spans="2:25">
      <c r="B439" t="s">
        <v>680</v>
      </c>
      <c r="C439" t="s">
        <v>110</v>
      </c>
      <c r="D439" t="s">
        <v>584</v>
      </c>
      <c r="E439" t="s">
        <v>584</v>
      </c>
      <c r="F439">
        <v>3</v>
      </c>
      <c r="G439">
        <v>232</v>
      </c>
      <c r="H439" s="705">
        <v>266</v>
      </c>
      <c r="I439" s="705">
        <v>5258</v>
      </c>
      <c r="J439" s="706">
        <v>4780</v>
      </c>
      <c r="K439" s="705">
        <v>90</v>
      </c>
      <c r="L439" s="705">
        <v>1291</v>
      </c>
      <c r="M439" s="705">
        <v>478</v>
      </c>
      <c r="N439" s="705">
        <v>5652</v>
      </c>
      <c r="O439" s="705">
        <v>2093</v>
      </c>
      <c r="P439" s="705">
        <v>1418</v>
      </c>
      <c r="Q439" s="705">
        <v>525</v>
      </c>
      <c r="R439" s="705">
        <v>6930</v>
      </c>
      <c r="S439" s="705">
        <v>6300</v>
      </c>
      <c r="T439">
        <v>0</v>
      </c>
      <c r="U439" s="705">
        <v>0</v>
      </c>
      <c r="V439" s="705">
        <v>14176</v>
      </c>
      <c r="W439" s="705">
        <f t="shared" si="28"/>
        <v>14176</v>
      </c>
      <c r="X439" s="705">
        <f t="shared" si="29"/>
        <v>20549</v>
      </c>
      <c r="Y439" s="705"/>
    </row>
    <row r="440" spans="2:25">
      <c r="B440" t="s">
        <v>680</v>
      </c>
      <c r="C440" t="s">
        <v>112</v>
      </c>
      <c r="F440">
        <v>50</v>
      </c>
      <c r="G440" s="705">
        <v>3710</v>
      </c>
      <c r="H440" s="705">
        <v>5610</v>
      </c>
      <c r="I440" s="705"/>
      <c r="J440" s="706">
        <v>0</v>
      </c>
      <c r="K440" s="705"/>
      <c r="M440" s="705">
        <v>0</v>
      </c>
      <c r="N440" s="705">
        <v>79584</v>
      </c>
      <c r="O440" s="705">
        <v>29476</v>
      </c>
      <c r="P440" s="705">
        <v>6210</v>
      </c>
      <c r="Q440" s="705">
        <v>2300</v>
      </c>
      <c r="R440" s="705"/>
      <c r="S440">
        <v>0</v>
      </c>
      <c r="T440">
        <v>0</v>
      </c>
      <c r="U440" s="705">
        <v>0</v>
      </c>
      <c r="V440" s="705">
        <v>31776</v>
      </c>
      <c r="W440" s="705">
        <f t="shared" si="28"/>
        <v>31776</v>
      </c>
      <c r="X440" s="705">
        <f t="shared" si="29"/>
        <v>85794</v>
      </c>
      <c r="Y440" s="705"/>
    </row>
    <row r="441" spans="2:25">
      <c r="B441" t="s">
        <v>680</v>
      </c>
      <c r="C441" t="s">
        <v>112</v>
      </c>
      <c r="D441" t="s">
        <v>228</v>
      </c>
      <c r="E441" t="s">
        <v>228</v>
      </c>
      <c r="F441" s="705">
        <v>2</v>
      </c>
      <c r="G441" s="705">
        <v>127</v>
      </c>
      <c r="H441" s="705">
        <v>226</v>
      </c>
      <c r="I441" s="705">
        <v>2907</v>
      </c>
      <c r="J441" s="706">
        <v>1077</v>
      </c>
      <c r="K441" s="705">
        <v>192</v>
      </c>
      <c r="L441" s="705">
        <v>117</v>
      </c>
      <c r="M441" s="705">
        <v>43</v>
      </c>
      <c r="N441" s="705">
        <v>2496</v>
      </c>
      <c r="O441">
        <v>924</v>
      </c>
      <c r="P441">
        <v>351</v>
      </c>
      <c r="Q441" s="705">
        <v>130</v>
      </c>
      <c r="R441" s="705">
        <v>8623</v>
      </c>
      <c r="S441" s="705">
        <v>3194</v>
      </c>
      <c r="T441">
        <v>0</v>
      </c>
      <c r="U441" s="705">
        <v>0</v>
      </c>
      <c r="V441" s="705">
        <v>5368</v>
      </c>
      <c r="W441" s="705">
        <f t="shared" si="28"/>
        <v>5368</v>
      </c>
      <c r="X441" s="705">
        <f t="shared" si="29"/>
        <v>14494</v>
      </c>
      <c r="Y441" s="705"/>
    </row>
    <row r="442" spans="2:25">
      <c r="B442" t="s">
        <v>680</v>
      </c>
      <c r="C442" t="s">
        <v>112</v>
      </c>
      <c r="D442" t="s">
        <v>584</v>
      </c>
      <c r="E442" t="s">
        <v>584</v>
      </c>
      <c r="F442" s="705">
        <v>39</v>
      </c>
      <c r="G442" s="705">
        <v>2593</v>
      </c>
      <c r="H442" s="705">
        <v>4508</v>
      </c>
      <c r="I442" s="705">
        <v>123531</v>
      </c>
      <c r="J442" s="706">
        <v>112301</v>
      </c>
      <c r="K442" s="705">
        <v>89</v>
      </c>
      <c r="L442" s="705">
        <v>5690</v>
      </c>
      <c r="M442" s="705">
        <v>3172</v>
      </c>
      <c r="N442" s="705">
        <v>48274</v>
      </c>
      <c r="O442" s="705">
        <v>17879</v>
      </c>
      <c r="P442" s="705">
        <v>21214</v>
      </c>
      <c r="Q442" s="705">
        <v>7857</v>
      </c>
      <c r="R442" s="705">
        <v>94848</v>
      </c>
      <c r="S442" s="705">
        <v>86226</v>
      </c>
      <c r="T442" s="705">
        <v>7346</v>
      </c>
      <c r="U442" s="705">
        <v>2721</v>
      </c>
      <c r="V442" s="705">
        <v>230155</v>
      </c>
      <c r="W442" s="705">
        <f t="shared" si="28"/>
        <v>230156</v>
      </c>
      <c r="X442" s="705">
        <f t="shared" si="29"/>
        <v>300903</v>
      </c>
      <c r="Y442" s="705"/>
    </row>
    <row r="443" spans="2:25">
      <c r="B443" t="s">
        <v>680</v>
      </c>
      <c r="C443" t="s">
        <v>114</v>
      </c>
      <c r="F443">
        <v>118</v>
      </c>
      <c r="G443" s="705">
        <v>8086</v>
      </c>
      <c r="H443" s="705">
        <v>16375</v>
      </c>
      <c r="I443" s="705"/>
      <c r="J443" s="706">
        <v>0</v>
      </c>
      <c r="K443" s="705"/>
      <c r="L443" s="705"/>
      <c r="M443" s="705">
        <v>0</v>
      </c>
      <c r="N443" s="705">
        <v>180194</v>
      </c>
      <c r="O443" s="705">
        <v>66738</v>
      </c>
      <c r="P443" s="705">
        <v>10473</v>
      </c>
      <c r="Q443" s="705">
        <v>3879</v>
      </c>
      <c r="R443" s="705"/>
      <c r="S443" s="705">
        <v>0</v>
      </c>
      <c r="T443" s="705">
        <v>0</v>
      </c>
      <c r="U443" s="705">
        <v>0</v>
      </c>
      <c r="V443" s="705">
        <v>70617</v>
      </c>
      <c r="W443" s="705">
        <f t="shared" si="28"/>
        <v>70617</v>
      </c>
      <c r="X443" s="705">
        <f t="shared" si="29"/>
        <v>190667</v>
      </c>
      <c r="Y443" s="705"/>
    </row>
    <row r="444" spans="2:25">
      <c r="B444" t="s">
        <v>680</v>
      </c>
      <c r="C444" t="s">
        <v>114</v>
      </c>
      <c r="D444" t="s">
        <v>228</v>
      </c>
      <c r="E444" t="s">
        <v>228</v>
      </c>
      <c r="F444" s="705">
        <v>15</v>
      </c>
      <c r="G444" s="705">
        <v>1328</v>
      </c>
      <c r="H444" s="705">
        <v>2108</v>
      </c>
      <c r="I444" s="705">
        <v>54170</v>
      </c>
      <c r="J444" s="706">
        <v>20063</v>
      </c>
      <c r="K444" s="705">
        <v>100</v>
      </c>
      <c r="L444" s="705">
        <v>3621</v>
      </c>
      <c r="M444" s="705">
        <v>1341</v>
      </c>
      <c r="N444" s="705">
        <v>22165</v>
      </c>
      <c r="O444" s="705">
        <v>8209</v>
      </c>
      <c r="P444" s="705">
        <v>0</v>
      </c>
      <c r="Q444" s="705">
        <v>0</v>
      </c>
      <c r="R444" s="705">
        <v>105462</v>
      </c>
      <c r="S444" s="705">
        <v>39060</v>
      </c>
      <c r="T444" s="705">
        <v>0</v>
      </c>
      <c r="U444" s="705">
        <v>0</v>
      </c>
      <c r="V444" s="705">
        <v>68673</v>
      </c>
      <c r="W444" s="705">
        <f t="shared" si="28"/>
        <v>68673</v>
      </c>
      <c r="X444" s="705">
        <f t="shared" si="29"/>
        <v>185418</v>
      </c>
      <c r="Y444" s="705"/>
    </row>
    <row r="445" spans="2:25">
      <c r="B445" t="s">
        <v>680</v>
      </c>
      <c r="C445" t="s">
        <v>114</v>
      </c>
      <c r="D445" t="s">
        <v>584</v>
      </c>
      <c r="E445" t="s">
        <v>584</v>
      </c>
      <c r="F445" s="705">
        <v>89</v>
      </c>
      <c r="G445" s="705">
        <v>6770</v>
      </c>
      <c r="H445" s="705">
        <v>12427</v>
      </c>
      <c r="I445" s="705">
        <v>387926</v>
      </c>
      <c r="J445" s="706">
        <v>352660</v>
      </c>
      <c r="K445" s="705">
        <v>86</v>
      </c>
      <c r="L445" s="705">
        <v>38693</v>
      </c>
      <c r="M445" s="705">
        <v>23089</v>
      </c>
      <c r="N445" s="705">
        <v>145561</v>
      </c>
      <c r="O445" s="705">
        <v>53911</v>
      </c>
      <c r="P445" s="705">
        <v>41229</v>
      </c>
      <c r="Q445" s="705">
        <v>15270</v>
      </c>
      <c r="R445" s="705">
        <v>308406</v>
      </c>
      <c r="S445" s="705">
        <v>280369</v>
      </c>
      <c r="T445" s="705">
        <v>22580</v>
      </c>
      <c r="U445" s="705">
        <v>8363</v>
      </c>
      <c r="V445" s="705">
        <v>733662</v>
      </c>
      <c r="W445" s="705">
        <f t="shared" si="28"/>
        <v>733662</v>
      </c>
      <c r="X445" s="705">
        <f t="shared" si="29"/>
        <v>944395</v>
      </c>
      <c r="Y445" s="705"/>
    </row>
    <row r="446" spans="2:25">
      <c r="B446" t="s">
        <v>680</v>
      </c>
      <c r="C446" t="s">
        <v>116</v>
      </c>
      <c r="E446" s="705"/>
      <c r="F446" s="705">
        <v>156</v>
      </c>
      <c r="G446" s="705">
        <v>9347</v>
      </c>
      <c r="H446" s="705">
        <v>28250</v>
      </c>
      <c r="I446" s="705"/>
      <c r="J446" s="706">
        <v>0</v>
      </c>
      <c r="K446" s="705"/>
      <c r="L446" s="705"/>
      <c r="M446" s="705">
        <v>0</v>
      </c>
      <c r="N446" s="705">
        <v>203197</v>
      </c>
      <c r="O446" s="705">
        <v>75258</v>
      </c>
      <c r="P446" s="705">
        <v>15215</v>
      </c>
      <c r="Q446" s="705">
        <v>5635</v>
      </c>
      <c r="R446" s="705"/>
      <c r="S446" s="705">
        <v>0</v>
      </c>
      <c r="T446" s="705">
        <v>3404</v>
      </c>
      <c r="U446" s="705">
        <v>1261</v>
      </c>
      <c r="V446" s="705">
        <v>82154</v>
      </c>
      <c r="W446" s="705">
        <f t="shared" si="28"/>
        <v>82154</v>
      </c>
      <c r="X446" s="705">
        <f t="shared" si="29"/>
        <v>221816</v>
      </c>
      <c r="Y446" s="705"/>
    </row>
    <row r="447" spans="2:25">
      <c r="B447" t="s">
        <v>680</v>
      </c>
      <c r="C447" t="s">
        <v>116</v>
      </c>
      <c r="D447" t="s">
        <v>228</v>
      </c>
      <c r="E447" t="s">
        <v>228</v>
      </c>
      <c r="F447" s="705">
        <v>246</v>
      </c>
      <c r="G447" s="705">
        <v>17517</v>
      </c>
      <c r="H447" s="705">
        <v>47827</v>
      </c>
      <c r="I447" s="705">
        <v>1379798</v>
      </c>
      <c r="J447" s="706">
        <v>511036</v>
      </c>
      <c r="K447" s="705">
        <v>100</v>
      </c>
      <c r="L447" s="705">
        <v>120798</v>
      </c>
      <c r="M447" s="705">
        <v>47120</v>
      </c>
      <c r="N447" s="705">
        <v>355810</v>
      </c>
      <c r="O447" s="705">
        <v>131781</v>
      </c>
      <c r="P447" s="705">
        <v>4474</v>
      </c>
      <c r="Q447" s="705">
        <v>1657</v>
      </c>
      <c r="R447" s="705">
        <v>1539865</v>
      </c>
      <c r="S447" s="705">
        <v>570320</v>
      </c>
      <c r="T447" s="705">
        <v>2164</v>
      </c>
      <c r="U447" s="705">
        <v>801</v>
      </c>
      <c r="V447" s="705">
        <v>1262716</v>
      </c>
      <c r="W447" s="705">
        <f t="shared" si="28"/>
        <v>1262715</v>
      </c>
      <c r="X447" s="705">
        <f t="shared" si="29"/>
        <v>3402909</v>
      </c>
      <c r="Y447" s="705"/>
    </row>
    <row r="448" spans="2:25">
      <c r="B448" t="s">
        <v>680</v>
      </c>
      <c r="C448" t="s">
        <v>116</v>
      </c>
      <c r="D448" t="s">
        <v>228</v>
      </c>
      <c r="E448" t="s">
        <v>584</v>
      </c>
      <c r="F448">
        <v>1</v>
      </c>
      <c r="G448">
        <v>77</v>
      </c>
      <c r="H448" s="705">
        <v>202</v>
      </c>
      <c r="I448" s="705">
        <v>9713</v>
      </c>
      <c r="J448" s="706">
        <v>3597</v>
      </c>
      <c r="K448" s="705">
        <v>100</v>
      </c>
      <c r="L448" s="705">
        <v>0</v>
      </c>
      <c r="M448" s="705">
        <v>0</v>
      </c>
      <c r="N448" s="705">
        <v>1864</v>
      </c>
      <c r="O448">
        <v>690</v>
      </c>
      <c r="P448">
        <v>0</v>
      </c>
      <c r="Q448" s="705">
        <v>0</v>
      </c>
      <c r="R448" s="705">
        <v>3848</v>
      </c>
      <c r="S448" s="705">
        <v>3498</v>
      </c>
      <c r="T448">
        <v>0</v>
      </c>
      <c r="U448" s="705">
        <v>0</v>
      </c>
      <c r="V448" s="705">
        <v>7786</v>
      </c>
      <c r="W448" s="705">
        <f t="shared" si="28"/>
        <v>7785</v>
      </c>
      <c r="X448" s="705">
        <f t="shared" si="29"/>
        <v>15425</v>
      </c>
      <c r="Y448" s="705"/>
    </row>
    <row r="449" spans="2:25">
      <c r="B449" t="s">
        <v>680</v>
      </c>
      <c r="C449" t="s">
        <v>116</v>
      </c>
      <c r="D449" t="s">
        <v>228</v>
      </c>
      <c r="E449" t="s">
        <v>665</v>
      </c>
      <c r="F449">
        <v>1</v>
      </c>
      <c r="G449" s="705">
        <v>46</v>
      </c>
      <c r="H449" s="705">
        <v>184</v>
      </c>
      <c r="I449" s="705">
        <v>5313</v>
      </c>
      <c r="J449" s="706">
        <v>1968</v>
      </c>
      <c r="K449" s="705">
        <v>100</v>
      </c>
      <c r="L449" s="705">
        <v>0</v>
      </c>
      <c r="M449" s="705">
        <v>0</v>
      </c>
      <c r="N449" s="705">
        <v>1055</v>
      </c>
      <c r="O449">
        <v>391</v>
      </c>
      <c r="P449">
        <v>0</v>
      </c>
      <c r="Q449" s="705">
        <v>0</v>
      </c>
      <c r="R449" s="705">
        <v>2022</v>
      </c>
      <c r="S449" s="705">
        <v>1838</v>
      </c>
      <c r="T449">
        <v>0</v>
      </c>
      <c r="U449" s="705">
        <v>0</v>
      </c>
      <c r="V449" s="705">
        <v>4197</v>
      </c>
      <c r="W449" s="705">
        <f t="shared" si="28"/>
        <v>4197</v>
      </c>
      <c r="X449" s="705">
        <f t="shared" si="29"/>
        <v>8390</v>
      </c>
      <c r="Y449" s="705"/>
    </row>
    <row r="450" spans="2:25">
      <c r="B450" t="s">
        <v>680</v>
      </c>
      <c r="C450" t="s">
        <v>116</v>
      </c>
      <c r="D450" t="s">
        <v>583</v>
      </c>
      <c r="E450" t="s">
        <v>583</v>
      </c>
      <c r="F450" s="705">
        <v>1</v>
      </c>
      <c r="G450" s="705">
        <v>42</v>
      </c>
      <c r="H450" s="705">
        <v>224</v>
      </c>
      <c r="I450" s="705">
        <v>3903</v>
      </c>
      <c r="J450" s="706">
        <v>3549</v>
      </c>
      <c r="K450" s="705">
        <v>79</v>
      </c>
      <c r="L450" s="705">
        <v>0</v>
      </c>
      <c r="M450" s="705">
        <v>0</v>
      </c>
      <c r="N450" s="705">
        <v>514</v>
      </c>
      <c r="O450" s="705">
        <v>190</v>
      </c>
      <c r="P450" s="705">
        <v>621</v>
      </c>
      <c r="Q450" s="705">
        <v>230</v>
      </c>
      <c r="R450" s="705">
        <v>4400</v>
      </c>
      <c r="S450" s="705">
        <v>4000</v>
      </c>
      <c r="T450" s="705">
        <v>0</v>
      </c>
      <c r="U450" s="705">
        <v>0</v>
      </c>
      <c r="V450" s="705">
        <v>7969</v>
      </c>
      <c r="W450" s="705">
        <f t="shared" si="28"/>
        <v>7969</v>
      </c>
      <c r="X450" s="705">
        <f t="shared" si="29"/>
        <v>9438</v>
      </c>
      <c r="Y450" s="705"/>
    </row>
    <row r="451" spans="2:25">
      <c r="B451" t="s">
        <v>680</v>
      </c>
      <c r="C451" t="s">
        <v>116</v>
      </c>
      <c r="D451" t="s">
        <v>584</v>
      </c>
      <c r="E451" t="s">
        <v>228</v>
      </c>
      <c r="F451" s="705">
        <v>6</v>
      </c>
      <c r="G451" s="705">
        <v>290</v>
      </c>
      <c r="H451" s="705">
        <v>1213</v>
      </c>
      <c r="I451" s="705">
        <v>23031</v>
      </c>
      <c r="J451" s="706">
        <v>20938</v>
      </c>
      <c r="K451" s="705">
        <v>76</v>
      </c>
      <c r="L451" s="705">
        <v>0</v>
      </c>
      <c r="M451" s="705">
        <v>0</v>
      </c>
      <c r="N451" s="705">
        <v>5693</v>
      </c>
      <c r="O451" s="705">
        <v>2109</v>
      </c>
      <c r="P451" s="705">
        <v>2363</v>
      </c>
      <c r="Q451" s="705">
        <v>875</v>
      </c>
      <c r="R451" s="705">
        <v>28087</v>
      </c>
      <c r="S451" s="705">
        <v>10403</v>
      </c>
      <c r="T451" s="705">
        <v>0</v>
      </c>
      <c r="U451" s="705">
        <v>0</v>
      </c>
      <c r="V451" s="705">
        <v>34324</v>
      </c>
      <c r="W451" s="705">
        <f t="shared" si="28"/>
        <v>34325</v>
      </c>
      <c r="X451" s="705">
        <f t="shared" si="29"/>
        <v>59174</v>
      </c>
      <c r="Y451" s="705"/>
    </row>
    <row r="452" spans="2:25">
      <c r="B452" t="s">
        <v>680</v>
      </c>
      <c r="C452" t="s">
        <v>116</v>
      </c>
      <c r="D452" t="s">
        <v>584</v>
      </c>
      <c r="E452" t="s">
        <v>584</v>
      </c>
      <c r="F452" s="705">
        <v>373</v>
      </c>
      <c r="G452" s="705">
        <v>25219</v>
      </c>
      <c r="H452" s="705">
        <v>69738</v>
      </c>
      <c r="I452" s="705">
        <v>2211854</v>
      </c>
      <c r="J452" s="706">
        <v>2010777</v>
      </c>
      <c r="K452" s="705">
        <v>81</v>
      </c>
      <c r="L452" s="705">
        <v>170161</v>
      </c>
      <c r="M452" s="705">
        <v>134152</v>
      </c>
      <c r="N452" s="705">
        <v>524691</v>
      </c>
      <c r="O452" s="705">
        <v>194330</v>
      </c>
      <c r="P452" s="705">
        <v>173381</v>
      </c>
      <c r="Q452" s="705">
        <v>64215</v>
      </c>
      <c r="R452" s="705">
        <v>1399483</v>
      </c>
      <c r="S452" s="705">
        <v>1272258</v>
      </c>
      <c r="T452" s="705">
        <v>236036</v>
      </c>
      <c r="U452" s="705">
        <v>87421</v>
      </c>
      <c r="V452" s="705">
        <v>3763153</v>
      </c>
      <c r="W452" s="705">
        <f t="shared" si="28"/>
        <v>3763153</v>
      </c>
      <c r="X452" s="705">
        <f t="shared" si="29"/>
        <v>4715606</v>
      </c>
      <c r="Y452" s="705"/>
    </row>
    <row r="453" spans="2:25">
      <c r="B453" t="s">
        <v>680</v>
      </c>
      <c r="C453" t="s">
        <v>118</v>
      </c>
      <c r="F453">
        <v>38</v>
      </c>
      <c r="G453" s="705">
        <v>2080</v>
      </c>
      <c r="H453" s="705">
        <v>9438</v>
      </c>
      <c r="I453" s="705"/>
      <c r="J453" s="429">
        <v>0</v>
      </c>
      <c r="K453" s="705"/>
      <c r="L453" s="705"/>
      <c r="M453" s="705">
        <v>0</v>
      </c>
      <c r="N453" s="705">
        <v>41470</v>
      </c>
      <c r="O453" s="705">
        <v>15359</v>
      </c>
      <c r="P453" s="705">
        <v>3429</v>
      </c>
      <c r="Q453" s="705">
        <v>1270</v>
      </c>
      <c r="R453" s="705"/>
      <c r="S453" s="705">
        <v>0</v>
      </c>
      <c r="T453" s="705">
        <v>2638</v>
      </c>
      <c r="U453" s="705">
        <v>977</v>
      </c>
      <c r="V453" s="705">
        <v>17607</v>
      </c>
      <c r="W453" s="705">
        <f t="shared" si="28"/>
        <v>17606</v>
      </c>
      <c r="X453" s="705">
        <f t="shared" si="29"/>
        <v>47537</v>
      </c>
      <c r="Y453" s="705"/>
    </row>
    <row r="454" spans="2:25">
      <c r="B454" t="s">
        <v>680</v>
      </c>
      <c r="C454" t="s">
        <v>118</v>
      </c>
      <c r="D454" t="s">
        <v>582</v>
      </c>
      <c r="E454" t="s">
        <v>582</v>
      </c>
      <c r="F454">
        <v>1</v>
      </c>
      <c r="G454" s="705">
        <v>66</v>
      </c>
      <c r="H454" s="705">
        <v>270</v>
      </c>
      <c r="I454" s="705">
        <v>6783</v>
      </c>
      <c r="J454" s="706">
        <v>6167</v>
      </c>
      <c r="K454" s="705">
        <v>87</v>
      </c>
      <c r="L454" s="705">
        <v>2068</v>
      </c>
      <c r="M454" s="705">
        <v>1880</v>
      </c>
      <c r="N454" s="705">
        <v>1598</v>
      </c>
      <c r="O454">
        <v>592</v>
      </c>
      <c r="P454">
        <v>473</v>
      </c>
      <c r="Q454" s="705">
        <v>175</v>
      </c>
      <c r="R454" s="705">
        <v>6769</v>
      </c>
      <c r="S454" s="705">
        <v>6154</v>
      </c>
      <c r="T454" s="705">
        <v>0</v>
      </c>
      <c r="U454" s="705">
        <v>0</v>
      </c>
      <c r="V454" s="705">
        <v>14967</v>
      </c>
      <c r="W454" s="705">
        <f t="shared" si="28"/>
        <v>14968</v>
      </c>
      <c r="X454" s="705">
        <f t="shared" si="29"/>
        <v>17691</v>
      </c>
      <c r="Y454" s="705"/>
    </row>
    <row r="455" spans="2:25">
      <c r="B455" t="s">
        <v>680</v>
      </c>
      <c r="C455" t="s">
        <v>118</v>
      </c>
      <c r="D455" t="s">
        <v>228</v>
      </c>
      <c r="E455" t="s">
        <v>228</v>
      </c>
      <c r="F455" s="705">
        <v>369</v>
      </c>
      <c r="G455" s="705">
        <v>23331</v>
      </c>
      <c r="H455" s="705">
        <v>96788</v>
      </c>
      <c r="I455" s="705">
        <v>3149178</v>
      </c>
      <c r="J455" s="706">
        <v>1166362</v>
      </c>
      <c r="K455" s="705">
        <v>100</v>
      </c>
      <c r="L455" s="705">
        <v>284756</v>
      </c>
      <c r="M455" s="705">
        <v>124947</v>
      </c>
      <c r="N455" s="705">
        <v>494135</v>
      </c>
      <c r="O455" s="705">
        <v>183013</v>
      </c>
      <c r="P455" s="705">
        <v>8807</v>
      </c>
      <c r="Q455" s="705">
        <v>3262</v>
      </c>
      <c r="R455" s="705">
        <v>2178768</v>
      </c>
      <c r="S455" s="705">
        <v>806951</v>
      </c>
      <c r="T455" s="705">
        <v>3856</v>
      </c>
      <c r="U455" s="705">
        <v>1428</v>
      </c>
      <c r="V455" s="705">
        <v>2285963</v>
      </c>
      <c r="W455" s="705">
        <f t="shared" ref="W455:W518" si="30">SUM(ABS(J455),ABS(M455),ABS(O455),ABS(Q455),ABS(S455),ABS(U455))</f>
        <v>2285963</v>
      </c>
      <c r="X455" s="705">
        <f t="shared" ref="X455:X518" si="31">SUM(ABS(I455),ABS(N455),ABS(P455),ABS(R455),ABS(T455),ABS(L455))</f>
        <v>6119500</v>
      </c>
      <c r="Y455" s="705"/>
    </row>
    <row r="456" spans="2:25">
      <c r="B456" t="s">
        <v>680</v>
      </c>
      <c r="C456" t="s">
        <v>118</v>
      </c>
      <c r="D456" t="s">
        <v>228</v>
      </c>
      <c r="E456" t="s">
        <v>584</v>
      </c>
      <c r="F456" s="705">
        <v>1</v>
      </c>
      <c r="G456" s="705">
        <v>94</v>
      </c>
      <c r="H456" s="705">
        <v>265</v>
      </c>
      <c r="I456" s="705">
        <v>16458</v>
      </c>
      <c r="J456" s="706">
        <v>6096</v>
      </c>
      <c r="K456" s="705">
        <v>100</v>
      </c>
      <c r="L456" s="705">
        <v>1183</v>
      </c>
      <c r="M456" s="705">
        <v>1075</v>
      </c>
      <c r="N456" s="705">
        <v>2300</v>
      </c>
      <c r="O456">
        <v>852</v>
      </c>
      <c r="P456">
        <v>490</v>
      </c>
      <c r="Q456" s="705">
        <v>182</v>
      </c>
      <c r="R456" s="705">
        <v>4608</v>
      </c>
      <c r="S456" s="705">
        <v>4189</v>
      </c>
      <c r="T456" s="705">
        <v>0</v>
      </c>
      <c r="U456" s="705">
        <v>0</v>
      </c>
      <c r="V456" s="705">
        <v>12393</v>
      </c>
      <c r="W456" s="705">
        <f t="shared" si="30"/>
        <v>12394</v>
      </c>
      <c r="X456" s="705">
        <f t="shared" si="31"/>
        <v>25039</v>
      </c>
      <c r="Y456" s="705"/>
    </row>
    <row r="457" spans="2:25">
      <c r="B457" t="s">
        <v>680</v>
      </c>
      <c r="C457" t="s">
        <v>118</v>
      </c>
      <c r="D457" t="s">
        <v>583</v>
      </c>
      <c r="E457" t="s">
        <v>583</v>
      </c>
      <c r="F457" s="705">
        <v>1</v>
      </c>
      <c r="G457" s="705">
        <v>32</v>
      </c>
      <c r="H457" s="705">
        <v>299</v>
      </c>
      <c r="I457" s="705">
        <v>3563</v>
      </c>
      <c r="J457" s="706">
        <v>3239</v>
      </c>
      <c r="K457" s="705">
        <v>79</v>
      </c>
      <c r="L457" s="705">
        <v>0</v>
      </c>
      <c r="M457" s="705">
        <v>0</v>
      </c>
      <c r="N457">
        <v>553</v>
      </c>
      <c r="O457">
        <v>205</v>
      </c>
      <c r="P457">
        <v>621</v>
      </c>
      <c r="Q457" s="705">
        <v>230</v>
      </c>
      <c r="R457" s="705">
        <v>4965</v>
      </c>
      <c r="S457" s="705">
        <v>4513</v>
      </c>
      <c r="T457">
        <v>0</v>
      </c>
      <c r="U457" s="705">
        <v>0</v>
      </c>
      <c r="V457" s="705">
        <v>8187</v>
      </c>
      <c r="W457" s="705">
        <f t="shared" si="30"/>
        <v>8187</v>
      </c>
      <c r="X457" s="705">
        <f t="shared" si="31"/>
        <v>9702</v>
      </c>
      <c r="Y457" s="705"/>
    </row>
    <row r="458" spans="2:25">
      <c r="B458" t="s">
        <v>680</v>
      </c>
      <c r="C458" t="s">
        <v>118</v>
      </c>
      <c r="D458" t="s">
        <v>584</v>
      </c>
      <c r="E458" t="s">
        <v>228</v>
      </c>
      <c r="F458" s="705">
        <v>2</v>
      </c>
      <c r="G458" s="705">
        <v>111</v>
      </c>
      <c r="H458" s="705">
        <v>539</v>
      </c>
      <c r="I458" s="705">
        <v>15713</v>
      </c>
      <c r="J458" s="706">
        <v>14284</v>
      </c>
      <c r="K458" s="705">
        <v>71</v>
      </c>
      <c r="L458" s="705">
        <v>1102</v>
      </c>
      <c r="M458" s="705">
        <v>408</v>
      </c>
      <c r="N458" s="705">
        <v>2696</v>
      </c>
      <c r="O458">
        <v>999</v>
      </c>
      <c r="P458">
        <v>0</v>
      </c>
      <c r="Q458" s="705">
        <v>0</v>
      </c>
      <c r="R458" s="705">
        <v>10347</v>
      </c>
      <c r="S458" s="705">
        <v>3832</v>
      </c>
      <c r="T458">
        <v>0</v>
      </c>
      <c r="U458" s="705">
        <v>0</v>
      </c>
      <c r="V458" s="705">
        <v>19523</v>
      </c>
      <c r="W458" s="705">
        <f t="shared" si="30"/>
        <v>19523</v>
      </c>
      <c r="X458" s="705">
        <f t="shared" si="31"/>
        <v>29858</v>
      </c>
      <c r="Y458" s="705"/>
    </row>
    <row r="459" spans="2:25">
      <c r="B459" t="s">
        <v>680</v>
      </c>
      <c r="C459" t="s">
        <v>118</v>
      </c>
      <c r="D459" t="s">
        <v>584</v>
      </c>
      <c r="E459" t="s">
        <v>584</v>
      </c>
      <c r="F459" s="705">
        <v>162</v>
      </c>
      <c r="G459" s="705">
        <v>9858</v>
      </c>
      <c r="H459" s="705">
        <v>41501</v>
      </c>
      <c r="I459" s="705">
        <v>1231571</v>
      </c>
      <c r="J459" s="706">
        <v>1119610</v>
      </c>
      <c r="K459" s="705">
        <v>80</v>
      </c>
      <c r="L459" s="705">
        <v>209617</v>
      </c>
      <c r="M459" s="705">
        <v>170229</v>
      </c>
      <c r="N459" s="705">
        <v>205745</v>
      </c>
      <c r="O459" s="705">
        <v>76202</v>
      </c>
      <c r="P459" s="705">
        <v>75924</v>
      </c>
      <c r="Q459" s="705">
        <v>28120</v>
      </c>
      <c r="R459" s="705">
        <v>642614</v>
      </c>
      <c r="S459" s="705">
        <v>584194</v>
      </c>
      <c r="T459" s="705">
        <v>172328</v>
      </c>
      <c r="U459" s="705">
        <v>63825</v>
      </c>
      <c r="V459" s="705">
        <v>2042181</v>
      </c>
      <c r="W459" s="705">
        <f t="shared" si="30"/>
        <v>2042180</v>
      </c>
      <c r="X459" s="705">
        <f t="shared" si="31"/>
        <v>2537799</v>
      </c>
      <c r="Y459" s="705"/>
    </row>
    <row r="460" spans="2:25">
      <c r="B460" t="s">
        <v>680</v>
      </c>
      <c r="C460" t="s">
        <v>118</v>
      </c>
      <c r="D460" t="s">
        <v>669</v>
      </c>
      <c r="E460" t="s">
        <v>228</v>
      </c>
      <c r="F460" s="705">
        <v>1</v>
      </c>
      <c r="G460" s="705">
        <v>33</v>
      </c>
      <c r="H460" s="705">
        <v>290</v>
      </c>
      <c r="I460" s="705">
        <v>2800</v>
      </c>
      <c r="J460" s="706">
        <v>2334</v>
      </c>
      <c r="K460" s="705">
        <v>30</v>
      </c>
      <c r="L460" s="705">
        <v>700</v>
      </c>
      <c r="M460" s="705">
        <v>259</v>
      </c>
      <c r="N460" s="705">
        <v>474</v>
      </c>
      <c r="O460" s="705">
        <v>176</v>
      </c>
      <c r="P460">
        <v>0</v>
      </c>
      <c r="Q460" s="705">
        <v>0</v>
      </c>
      <c r="R460" s="705">
        <v>5610</v>
      </c>
      <c r="S460" s="705">
        <v>2078</v>
      </c>
      <c r="T460">
        <v>0</v>
      </c>
      <c r="U460" s="705">
        <v>0</v>
      </c>
      <c r="V460" s="705">
        <v>4847</v>
      </c>
      <c r="W460" s="705">
        <f t="shared" si="30"/>
        <v>4847</v>
      </c>
      <c r="X460" s="705">
        <f t="shared" si="31"/>
        <v>9584</v>
      </c>
      <c r="Y460" s="705"/>
    </row>
    <row r="461" spans="2:25">
      <c r="B461" t="s">
        <v>680</v>
      </c>
      <c r="C461" t="s">
        <v>120</v>
      </c>
      <c r="F461" s="705">
        <v>9</v>
      </c>
      <c r="G461" s="705">
        <v>450</v>
      </c>
      <c r="H461" s="705">
        <v>3028</v>
      </c>
      <c r="I461" s="705"/>
      <c r="J461" s="706">
        <v>0</v>
      </c>
      <c r="K461" s="705"/>
      <c r="L461" s="705"/>
      <c r="M461" s="705">
        <v>0</v>
      </c>
      <c r="N461" s="705">
        <v>7931</v>
      </c>
      <c r="O461" s="705">
        <v>2937</v>
      </c>
      <c r="P461" s="705">
        <v>1445</v>
      </c>
      <c r="Q461" s="705">
        <v>535</v>
      </c>
      <c r="R461" s="705"/>
      <c r="S461" s="705">
        <v>0</v>
      </c>
      <c r="T461" s="705">
        <v>7696</v>
      </c>
      <c r="U461" s="705">
        <v>2851</v>
      </c>
      <c r="V461" s="705">
        <v>6323</v>
      </c>
      <c r="W461" s="705">
        <f t="shared" si="30"/>
        <v>6323</v>
      </c>
      <c r="X461" s="705">
        <f t="shared" si="31"/>
        <v>17072</v>
      </c>
      <c r="Y461" s="705"/>
    </row>
    <row r="462" spans="2:25">
      <c r="B462" t="s">
        <v>680</v>
      </c>
      <c r="C462" t="s">
        <v>120</v>
      </c>
      <c r="D462" t="s">
        <v>228</v>
      </c>
      <c r="E462" t="s">
        <v>228</v>
      </c>
      <c r="F462" s="705">
        <v>280</v>
      </c>
      <c r="G462" s="705">
        <v>15424</v>
      </c>
      <c r="H462" s="705">
        <v>95078</v>
      </c>
      <c r="I462" s="705">
        <v>3036948</v>
      </c>
      <c r="J462" s="706">
        <v>1124796</v>
      </c>
      <c r="K462" s="705">
        <v>100</v>
      </c>
      <c r="L462" s="705">
        <v>321757</v>
      </c>
      <c r="M462" s="705">
        <v>161532</v>
      </c>
      <c r="N462" s="705">
        <v>323784</v>
      </c>
      <c r="O462" s="705">
        <v>119920</v>
      </c>
      <c r="P462" s="705">
        <v>3187</v>
      </c>
      <c r="Q462" s="705">
        <v>1180</v>
      </c>
      <c r="R462" s="705">
        <v>1573809</v>
      </c>
      <c r="S462" s="705">
        <v>582892</v>
      </c>
      <c r="T462" s="705">
        <v>5663</v>
      </c>
      <c r="U462" s="705">
        <v>2097</v>
      </c>
      <c r="V462" s="705">
        <v>1992417</v>
      </c>
      <c r="W462" s="705">
        <f t="shared" si="30"/>
        <v>1992417</v>
      </c>
      <c r="X462" s="705">
        <f t="shared" si="31"/>
        <v>5265148</v>
      </c>
      <c r="Y462" s="705"/>
    </row>
    <row r="463" spans="2:25">
      <c r="B463" t="s">
        <v>680</v>
      </c>
      <c r="C463" t="s">
        <v>120</v>
      </c>
      <c r="D463" t="s">
        <v>583</v>
      </c>
      <c r="E463" t="s">
        <v>583</v>
      </c>
      <c r="F463">
        <v>2</v>
      </c>
      <c r="G463" s="705">
        <v>101</v>
      </c>
      <c r="H463" s="705">
        <v>680</v>
      </c>
      <c r="I463" s="705">
        <v>15957</v>
      </c>
      <c r="J463" s="706">
        <v>14506</v>
      </c>
      <c r="K463" s="705">
        <v>68</v>
      </c>
      <c r="L463" s="705">
        <v>3405</v>
      </c>
      <c r="M463" s="705">
        <v>2586</v>
      </c>
      <c r="N463" s="705">
        <v>1929</v>
      </c>
      <c r="O463">
        <v>715</v>
      </c>
      <c r="P463" s="705">
        <v>1242</v>
      </c>
      <c r="Q463" s="705">
        <v>460</v>
      </c>
      <c r="R463" s="705">
        <v>9788</v>
      </c>
      <c r="S463" s="705">
        <v>8898</v>
      </c>
      <c r="T463" s="705">
        <v>2621</v>
      </c>
      <c r="U463" s="705">
        <v>971</v>
      </c>
      <c r="V463" s="705">
        <v>28136</v>
      </c>
      <c r="W463" s="705">
        <f t="shared" si="30"/>
        <v>28136</v>
      </c>
      <c r="X463" s="705">
        <f t="shared" si="31"/>
        <v>34942</v>
      </c>
      <c r="Y463" s="705"/>
    </row>
    <row r="464" spans="2:25">
      <c r="B464" t="s">
        <v>680</v>
      </c>
      <c r="C464" t="s">
        <v>120</v>
      </c>
      <c r="D464" t="s">
        <v>584</v>
      </c>
      <c r="E464" t="s">
        <v>228</v>
      </c>
      <c r="F464">
        <v>4</v>
      </c>
      <c r="G464" s="705">
        <v>156</v>
      </c>
      <c r="H464" s="705">
        <v>1333</v>
      </c>
      <c r="I464" s="705">
        <v>27066</v>
      </c>
      <c r="J464" s="706">
        <v>24606</v>
      </c>
      <c r="K464" s="705">
        <v>80</v>
      </c>
      <c r="L464" s="705">
        <v>3773</v>
      </c>
      <c r="M464" s="705">
        <v>3430</v>
      </c>
      <c r="N464" s="705">
        <v>3579</v>
      </c>
      <c r="O464" s="705">
        <v>1326</v>
      </c>
      <c r="P464" s="705">
        <v>1890</v>
      </c>
      <c r="Q464" s="705">
        <v>700</v>
      </c>
      <c r="R464" s="705">
        <v>15982</v>
      </c>
      <c r="S464" s="705">
        <v>5919</v>
      </c>
      <c r="T464">
        <v>0</v>
      </c>
      <c r="U464" s="705">
        <v>0</v>
      </c>
      <c r="V464" s="705">
        <v>35981</v>
      </c>
      <c r="W464" s="705">
        <f t="shared" si="30"/>
        <v>35981</v>
      </c>
      <c r="X464" s="705">
        <f t="shared" si="31"/>
        <v>52290</v>
      </c>
      <c r="Y464" s="705"/>
    </row>
    <row r="465" spans="2:25">
      <c r="B465" t="s">
        <v>680</v>
      </c>
      <c r="C465" t="s">
        <v>120</v>
      </c>
      <c r="D465" t="s">
        <v>584</v>
      </c>
      <c r="E465" s="705" t="s">
        <v>584</v>
      </c>
      <c r="F465" s="705">
        <v>68</v>
      </c>
      <c r="G465" s="705">
        <v>4480</v>
      </c>
      <c r="H465" s="705">
        <v>22916</v>
      </c>
      <c r="I465" s="705">
        <v>854071</v>
      </c>
      <c r="J465" s="706">
        <v>776429</v>
      </c>
      <c r="K465" s="705">
        <v>76</v>
      </c>
      <c r="L465" s="705">
        <v>167605</v>
      </c>
      <c r="M465" s="705">
        <v>144631</v>
      </c>
      <c r="N465" s="705">
        <v>95759</v>
      </c>
      <c r="O465" s="705">
        <v>35466</v>
      </c>
      <c r="P465" s="705">
        <v>31401</v>
      </c>
      <c r="Q465" s="705">
        <v>11630</v>
      </c>
      <c r="R465" s="705">
        <v>293377</v>
      </c>
      <c r="S465" s="705">
        <v>266706</v>
      </c>
      <c r="T465" s="705">
        <v>89402</v>
      </c>
      <c r="U465" s="705">
        <v>33112</v>
      </c>
      <c r="V465" s="705">
        <v>1267974</v>
      </c>
      <c r="W465" s="705">
        <f t="shared" si="30"/>
        <v>1267974</v>
      </c>
      <c r="X465" s="705">
        <f t="shared" si="31"/>
        <v>1531615</v>
      </c>
      <c r="Y465" s="705"/>
    </row>
    <row r="466" spans="2:25">
      <c r="B466" t="s">
        <v>680</v>
      </c>
      <c r="C466" t="s">
        <v>122</v>
      </c>
      <c r="F466" s="705">
        <v>6</v>
      </c>
      <c r="G466" s="705">
        <v>234</v>
      </c>
      <c r="H466" s="705">
        <v>2513</v>
      </c>
      <c r="I466" s="705"/>
      <c r="J466" s="706">
        <v>0</v>
      </c>
      <c r="K466" s="705"/>
      <c r="L466" s="705"/>
      <c r="M466" s="705">
        <v>0</v>
      </c>
      <c r="N466" s="705">
        <v>5171</v>
      </c>
      <c r="O466" s="705">
        <v>1915</v>
      </c>
      <c r="P466" s="705">
        <v>0</v>
      </c>
      <c r="Q466" s="705">
        <v>0</v>
      </c>
      <c r="R466" s="705"/>
      <c r="S466" s="705">
        <v>0</v>
      </c>
      <c r="T466" s="705">
        <v>0</v>
      </c>
      <c r="U466" s="705">
        <v>0</v>
      </c>
      <c r="V466" s="705">
        <v>1915</v>
      </c>
      <c r="W466" s="705">
        <f t="shared" si="30"/>
        <v>1915</v>
      </c>
      <c r="X466" s="705">
        <f t="shared" si="31"/>
        <v>5171</v>
      </c>
      <c r="Y466" s="705"/>
    </row>
    <row r="467" spans="2:25">
      <c r="B467" t="s">
        <v>680</v>
      </c>
      <c r="C467" t="s">
        <v>122</v>
      </c>
      <c r="D467" t="s">
        <v>228</v>
      </c>
      <c r="E467" t="s">
        <v>228</v>
      </c>
      <c r="F467">
        <v>128</v>
      </c>
      <c r="G467" s="705">
        <v>6625</v>
      </c>
      <c r="H467" s="705">
        <v>52860</v>
      </c>
      <c r="I467" s="705">
        <v>1735842</v>
      </c>
      <c r="J467" s="706">
        <v>642904</v>
      </c>
      <c r="K467" s="705">
        <v>100</v>
      </c>
      <c r="L467" s="705">
        <v>167947</v>
      </c>
      <c r="M467" s="705">
        <v>91646</v>
      </c>
      <c r="N467" s="705">
        <v>137382</v>
      </c>
      <c r="O467" s="705">
        <v>50882</v>
      </c>
      <c r="P467" s="705">
        <v>1458</v>
      </c>
      <c r="Q467" s="705">
        <v>540</v>
      </c>
      <c r="R467" s="705">
        <v>698799</v>
      </c>
      <c r="S467" s="705">
        <v>258815</v>
      </c>
      <c r="T467">
        <v>0</v>
      </c>
      <c r="U467" s="705">
        <v>0</v>
      </c>
      <c r="V467" s="705">
        <v>1044787</v>
      </c>
      <c r="W467" s="705">
        <f t="shared" si="30"/>
        <v>1044787</v>
      </c>
      <c r="X467" s="705">
        <f t="shared" si="31"/>
        <v>2741428</v>
      </c>
      <c r="Y467" s="705"/>
    </row>
    <row r="468" spans="2:25">
      <c r="B468" t="s">
        <v>680</v>
      </c>
      <c r="C468" t="s">
        <v>122</v>
      </c>
      <c r="D468" t="s">
        <v>583</v>
      </c>
      <c r="E468" s="705" t="s">
        <v>583</v>
      </c>
      <c r="F468" s="705">
        <v>2</v>
      </c>
      <c r="G468" s="705">
        <v>194</v>
      </c>
      <c r="H468" s="705">
        <v>812</v>
      </c>
      <c r="I468" s="705">
        <v>59481</v>
      </c>
      <c r="J468" s="706">
        <v>54074</v>
      </c>
      <c r="K468" s="705">
        <v>75</v>
      </c>
      <c r="L468" s="705">
        <v>0</v>
      </c>
      <c r="M468" s="705">
        <v>0</v>
      </c>
      <c r="N468" s="705">
        <v>4728</v>
      </c>
      <c r="O468" s="705">
        <v>1751</v>
      </c>
      <c r="P468" s="705">
        <v>1242</v>
      </c>
      <c r="Q468" s="705">
        <v>460</v>
      </c>
      <c r="R468" s="705">
        <v>7900</v>
      </c>
      <c r="S468" s="705">
        <v>7182</v>
      </c>
      <c r="T468" s="705">
        <v>4395</v>
      </c>
      <c r="U468" s="705">
        <v>1628</v>
      </c>
      <c r="V468" s="705">
        <v>65095</v>
      </c>
      <c r="W468" s="705">
        <f t="shared" si="30"/>
        <v>65095</v>
      </c>
      <c r="X468" s="705">
        <f t="shared" si="31"/>
        <v>77746</v>
      </c>
      <c r="Y468" s="705"/>
    </row>
    <row r="469" spans="2:25">
      <c r="B469" t="s">
        <v>680</v>
      </c>
      <c r="C469" t="s">
        <v>122</v>
      </c>
      <c r="D469" t="s">
        <v>584</v>
      </c>
      <c r="E469" t="s">
        <v>228</v>
      </c>
      <c r="F469">
        <v>2</v>
      </c>
      <c r="G469" s="705">
        <v>101</v>
      </c>
      <c r="H469" s="705">
        <v>851</v>
      </c>
      <c r="I469" s="705">
        <v>29116</v>
      </c>
      <c r="J469" s="706">
        <v>26469</v>
      </c>
      <c r="K469" s="705">
        <v>72</v>
      </c>
      <c r="L469" s="705">
        <v>3274</v>
      </c>
      <c r="M469" s="705">
        <v>2976</v>
      </c>
      <c r="N469" s="705">
        <v>2149</v>
      </c>
      <c r="O469" s="705">
        <v>796</v>
      </c>
      <c r="P469">
        <v>945</v>
      </c>
      <c r="Q469" s="705">
        <v>350</v>
      </c>
      <c r="R469" s="705">
        <v>6458</v>
      </c>
      <c r="S469" s="705">
        <v>2392</v>
      </c>
      <c r="T469" s="705">
        <v>1099</v>
      </c>
      <c r="U469" s="705">
        <v>407</v>
      </c>
      <c r="V469" s="705">
        <v>33390</v>
      </c>
      <c r="W469" s="705">
        <f t="shared" si="30"/>
        <v>33390</v>
      </c>
      <c r="X469" s="705">
        <f t="shared" si="31"/>
        <v>43041</v>
      </c>
      <c r="Y469" s="705"/>
    </row>
    <row r="470" spans="2:25">
      <c r="B470" t="s">
        <v>680</v>
      </c>
      <c r="C470" t="s">
        <v>122</v>
      </c>
      <c r="D470" t="s">
        <v>584</v>
      </c>
      <c r="E470" t="s">
        <v>584</v>
      </c>
      <c r="F470">
        <v>19</v>
      </c>
      <c r="G470" s="705">
        <v>973</v>
      </c>
      <c r="H470" s="705">
        <v>7924</v>
      </c>
      <c r="I470" s="705">
        <v>235622</v>
      </c>
      <c r="J470" s="706">
        <v>214202</v>
      </c>
      <c r="K470" s="705">
        <v>82</v>
      </c>
      <c r="L470" s="705">
        <v>50621</v>
      </c>
      <c r="M470" s="705">
        <v>44592</v>
      </c>
      <c r="N470" s="705">
        <v>17923</v>
      </c>
      <c r="O470" s="705">
        <v>6638</v>
      </c>
      <c r="P470" s="705">
        <v>8856</v>
      </c>
      <c r="Q470" s="705">
        <v>3280</v>
      </c>
      <c r="R470" s="705">
        <v>68244</v>
      </c>
      <c r="S470" s="705">
        <v>62040</v>
      </c>
      <c r="T470" s="705">
        <v>25661</v>
      </c>
      <c r="U470" s="705">
        <v>9504</v>
      </c>
      <c r="V470" s="705">
        <v>340256</v>
      </c>
      <c r="W470" s="705">
        <f t="shared" si="30"/>
        <v>340256</v>
      </c>
      <c r="X470" s="705">
        <f t="shared" si="31"/>
        <v>406927</v>
      </c>
      <c r="Y470" s="705"/>
    </row>
    <row r="471" spans="2:25">
      <c r="B471" t="s">
        <v>680</v>
      </c>
      <c r="C471" t="s">
        <v>122</v>
      </c>
      <c r="D471" t="s">
        <v>665</v>
      </c>
      <c r="E471" t="s">
        <v>228</v>
      </c>
      <c r="F471" s="705">
        <v>1</v>
      </c>
      <c r="G471" s="705">
        <v>34</v>
      </c>
      <c r="H471" s="705">
        <v>412</v>
      </c>
      <c r="I471" s="705">
        <v>6531</v>
      </c>
      <c r="J471" s="706">
        <v>5937</v>
      </c>
      <c r="K471" s="705">
        <v>65</v>
      </c>
      <c r="L471" s="705">
        <v>2605</v>
      </c>
      <c r="M471" s="705">
        <v>965</v>
      </c>
      <c r="N471" s="705">
        <v>819</v>
      </c>
      <c r="O471">
        <v>303</v>
      </c>
      <c r="P471">
        <v>0</v>
      </c>
      <c r="Q471" s="705">
        <v>0</v>
      </c>
      <c r="R471" s="705">
        <v>3882</v>
      </c>
      <c r="S471" s="705">
        <v>1438</v>
      </c>
      <c r="T471">
        <v>0</v>
      </c>
      <c r="U471" s="705">
        <v>0</v>
      </c>
      <c r="V471" s="705">
        <v>8643</v>
      </c>
      <c r="W471" s="705">
        <f t="shared" si="30"/>
        <v>8643</v>
      </c>
      <c r="X471" s="705">
        <f t="shared" si="31"/>
        <v>13837</v>
      </c>
      <c r="Y471" s="705"/>
    </row>
    <row r="472" spans="2:25">
      <c r="B472" t="s">
        <v>680</v>
      </c>
      <c r="C472" t="s">
        <v>124</v>
      </c>
      <c r="F472">
        <v>2</v>
      </c>
      <c r="G472" s="705">
        <v>76</v>
      </c>
      <c r="H472" s="705">
        <v>1116</v>
      </c>
      <c r="I472" s="705"/>
      <c r="J472" s="429">
        <v>0</v>
      </c>
      <c r="K472" s="705"/>
      <c r="L472" s="705"/>
      <c r="M472" s="705">
        <v>0</v>
      </c>
      <c r="N472" s="705">
        <v>1733</v>
      </c>
      <c r="O472">
        <v>642</v>
      </c>
      <c r="P472" s="705">
        <v>1296</v>
      </c>
      <c r="Q472" s="705">
        <v>480</v>
      </c>
      <c r="R472" s="705"/>
      <c r="S472">
        <v>0</v>
      </c>
      <c r="T472">
        <v>0</v>
      </c>
      <c r="U472" s="705">
        <v>0</v>
      </c>
      <c r="V472" s="705">
        <v>1122</v>
      </c>
      <c r="W472" s="705">
        <f t="shared" si="30"/>
        <v>1122</v>
      </c>
      <c r="X472" s="705">
        <f t="shared" si="31"/>
        <v>3029</v>
      </c>
      <c r="Y472" s="705"/>
    </row>
    <row r="473" spans="2:25">
      <c r="B473" t="s">
        <v>680</v>
      </c>
      <c r="C473" t="s">
        <v>124</v>
      </c>
      <c r="D473" t="s">
        <v>228</v>
      </c>
      <c r="E473" t="s">
        <v>228</v>
      </c>
      <c r="F473" s="705">
        <v>122</v>
      </c>
      <c r="G473" s="705">
        <v>5477</v>
      </c>
      <c r="H473" s="705">
        <v>77038</v>
      </c>
      <c r="I473" s="705">
        <v>2464963</v>
      </c>
      <c r="J473" s="706">
        <v>912949</v>
      </c>
      <c r="K473" s="705">
        <v>100</v>
      </c>
      <c r="L473" s="705">
        <v>212710</v>
      </c>
      <c r="M473" s="705">
        <v>130961</v>
      </c>
      <c r="N473" s="705">
        <v>112303</v>
      </c>
      <c r="O473" s="705">
        <v>41594</v>
      </c>
      <c r="P473">
        <v>351</v>
      </c>
      <c r="Q473" s="705">
        <v>130</v>
      </c>
      <c r="R473" s="705">
        <v>690928</v>
      </c>
      <c r="S473" s="705">
        <v>255899</v>
      </c>
      <c r="T473">
        <v>0</v>
      </c>
      <c r="U473" s="705">
        <v>0</v>
      </c>
      <c r="V473" s="705">
        <v>1341533</v>
      </c>
      <c r="W473" s="705">
        <f t="shared" si="30"/>
        <v>1341533</v>
      </c>
      <c r="X473" s="705">
        <f t="shared" si="31"/>
        <v>3481255</v>
      </c>
      <c r="Y473" s="705"/>
    </row>
    <row r="474" spans="2:25">
      <c r="B474" t="s">
        <v>680</v>
      </c>
      <c r="C474" t="s">
        <v>124</v>
      </c>
      <c r="D474" t="s">
        <v>584</v>
      </c>
      <c r="E474" t="s">
        <v>228</v>
      </c>
      <c r="F474">
        <v>1</v>
      </c>
      <c r="G474" s="705">
        <v>47</v>
      </c>
      <c r="H474" s="705">
        <v>521</v>
      </c>
      <c r="I474" s="705">
        <v>9399</v>
      </c>
      <c r="J474" s="706">
        <v>8545</v>
      </c>
      <c r="K474" s="705">
        <v>76</v>
      </c>
      <c r="L474" s="705">
        <v>3974</v>
      </c>
      <c r="M474" s="705">
        <v>3613</v>
      </c>
      <c r="N474" s="705">
        <v>1136</v>
      </c>
      <c r="O474">
        <v>421</v>
      </c>
      <c r="P474">
        <v>473</v>
      </c>
      <c r="Q474" s="705">
        <v>175</v>
      </c>
      <c r="R474" s="705">
        <v>9313</v>
      </c>
      <c r="S474" s="705">
        <v>3449</v>
      </c>
      <c r="T474" s="705">
        <v>0</v>
      </c>
      <c r="U474" s="705">
        <v>0</v>
      </c>
      <c r="V474" s="705">
        <v>16202</v>
      </c>
      <c r="W474" s="705">
        <f t="shared" si="30"/>
        <v>16203</v>
      </c>
      <c r="X474" s="705">
        <f t="shared" si="31"/>
        <v>24295</v>
      </c>
      <c r="Y474" s="705"/>
    </row>
    <row r="475" spans="2:25">
      <c r="B475" t="s">
        <v>680</v>
      </c>
      <c r="C475" t="s">
        <v>124</v>
      </c>
      <c r="D475" t="s">
        <v>584</v>
      </c>
      <c r="E475" t="s">
        <v>584</v>
      </c>
      <c r="F475">
        <v>23</v>
      </c>
      <c r="G475" s="705">
        <v>1125</v>
      </c>
      <c r="H475" s="705">
        <v>12429</v>
      </c>
      <c r="I475" s="705">
        <v>359776</v>
      </c>
      <c r="J475" s="706">
        <v>327069</v>
      </c>
      <c r="K475" s="705">
        <v>75</v>
      </c>
      <c r="L475" s="705">
        <v>82677</v>
      </c>
      <c r="M475" s="705">
        <v>71608</v>
      </c>
      <c r="N475" s="705">
        <v>24302</v>
      </c>
      <c r="O475" s="705">
        <v>9001</v>
      </c>
      <c r="P475" s="705">
        <v>10868</v>
      </c>
      <c r="Q475" s="705">
        <v>4025</v>
      </c>
      <c r="R475" s="705">
        <v>93028</v>
      </c>
      <c r="S475" s="705">
        <v>84571</v>
      </c>
      <c r="T475" s="705">
        <v>28317</v>
      </c>
      <c r="U475" s="705">
        <v>10488</v>
      </c>
      <c r="V475" s="705">
        <v>506763</v>
      </c>
      <c r="W475" s="705">
        <f t="shared" si="30"/>
        <v>506762</v>
      </c>
      <c r="X475" s="705">
        <f t="shared" si="31"/>
        <v>598968</v>
      </c>
      <c r="Y475" s="705"/>
    </row>
    <row r="476" spans="2:25">
      <c r="B476" t="s">
        <v>680</v>
      </c>
      <c r="C476" t="s">
        <v>124</v>
      </c>
      <c r="D476" t="s">
        <v>669</v>
      </c>
      <c r="E476" t="s">
        <v>228</v>
      </c>
      <c r="F476">
        <v>1</v>
      </c>
      <c r="G476">
        <v>44</v>
      </c>
      <c r="H476" s="705">
        <v>457</v>
      </c>
      <c r="I476" s="705">
        <v>13121</v>
      </c>
      <c r="J476" s="706">
        <v>10935</v>
      </c>
      <c r="K476" s="705">
        <v>30</v>
      </c>
      <c r="L476" s="705">
        <v>984</v>
      </c>
      <c r="M476" s="705">
        <v>364</v>
      </c>
      <c r="N476" s="705">
        <v>1061</v>
      </c>
      <c r="O476">
        <v>393</v>
      </c>
      <c r="P476">
        <v>0</v>
      </c>
      <c r="Q476" s="705">
        <v>0</v>
      </c>
      <c r="R476" s="705">
        <v>4737</v>
      </c>
      <c r="S476" s="705">
        <v>1755</v>
      </c>
      <c r="T476">
        <v>0</v>
      </c>
      <c r="U476" s="705">
        <v>0</v>
      </c>
      <c r="V476" s="705">
        <v>13447</v>
      </c>
      <c r="W476" s="705">
        <f t="shared" si="30"/>
        <v>13447</v>
      </c>
      <c r="X476" s="705">
        <f t="shared" si="31"/>
        <v>19903</v>
      </c>
      <c r="Y476" s="705"/>
    </row>
    <row r="477" spans="2:25">
      <c r="B477" t="s">
        <v>680</v>
      </c>
      <c r="C477" t="s">
        <v>124</v>
      </c>
      <c r="D477" t="s">
        <v>665</v>
      </c>
      <c r="E477" t="s">
        <v>228</v>
      </c>
      <c r="F477" s="705">
        <v>1</v>
      </c>
      <c r="G477" s="705">
        <v>68</v>
      </c>
      <c r="H477" s="705">
        <v>987</v>
      </c>
      <c r="I477" s="705">
        <v>55300</v>
      </c>
      <c r="J477" s="706">
        <v>50272</v>
      </c>
      <c r="K477" s="705">
        <v>30</v>
      </c>
      <c r="L477" s="705">
        <v>4525</v>
      </c>
      <c r="M477" s="705">
        <v>1676</v>
      </c>
      <c r="N477" s="705">
        <v>1667</v>
      </c>
      <c r="O477" s="705">
        <v>617</v>
      </c>
      <c r="P477" s="705">
        <v>0</v>
      </c>
      <c r="Q477" s="705">
        <v>0</v>
      </c>
      <c r="R477" s="705">
        <v>6049</v>
      </c>
      <c r="S477" s="705">
        <v>2240</v>
      </c>
      <c r="T477" s="705">
        <v>0</v>
      </c>
      <c r="U477" s="705">
        <v>0</v>
      </c>
      <c r="V477" s="705">
        <v>54806</v>
      </c>
      <c r="W477" s="705">
        <f t="shared" si="30"/>
        <v>54805</v>
      </c>
      <c r="X477" s="705">
        <f t="shared" si="31"/>
        <v>67541</v>
      </c>
      <c r="Y477" s="705"/>
    </row>
    <row r="478" spans="2:25">
      <c r="B478" t="s">
        <v>681</v>
      </c>
      <c r="C478" t="s">
        <v>108</v>
      </c>
      <c r="F478" s="705">
        <v>115</v>
      </c>
      <c r="G478" s="705">
        <v>14536</v>
      </c>
      <c r="H478" s="705">
        <v>6147</v>
      </c>
      <c r="I478" s="705"/>
      <c r="J478" s="706">
        <v>0</v>
      </c>
      <c r="K478" s="705"/>
      <c r="L478" s="705"/>
      <c r="M478" s="705">
        <v>0</v>
      </c>
      <c r="N478" s="705">
        <v>180817</v>
      </c>
      <c r="O478" s="705">
        <v>66969</v>
      </c>
      <c r="P478" s="705">
        <v>147050</v>
      </c>
      <c r="Q478" s="705">
        <v>54463</v>
      </c>
      <c r="R478" s="705"/>
      <c r="S478">
        <v>0</v>
      </c>
      <c r="T478">
        <v>0</v>
      </c>
      <c r="U478" s="705">
        <v>0</v>
      </c>
      <c r="V478" s="705">
        <v>121432</v>
      </c>
      <c r="W478" s="705">
        <f t="shared" si="30"/>
        <v>121432</v>
      </c>
      <c r="X478" s="705">
        <f t="shared" si="31"/>
        <v>327867</v>
      </c>
      <c r="Y478" s="705"/>
    </row>
    <row r="479" spans="2:25">
      <c r="B479" t="s">
        <v>681</v>
      </c>
      <c r="C479" t="s">
        <v>108</v>
      </c>
      <c r="D479" t="s">
        <v>584</v>
      </c>
      <c r="E479" t="s">
        <v>584</v>
      </c>
      <c r="F479">
        <v>46</v>
      </c>
      <c r="G479" s="705">
        <v>4479</v>
      </c>
      <c r="H479" s="705">
        <v>2691</v>
      </c>
      <c r="I479" s="705">
        <v>16978</v>
      </c>
      <c r="J479" s="706">
        <v>15434</v>
      </c>
      <c r="K479" s="705">
        <v>90</v>
      </c>
      <c r="L479" s="705">
        <v>1528</v>
      </c>
      <c r="M479" s="705">
        <v>1187</v>
      </c>
      <c r="N479" s="705">
        <v>56811</v>
      </c>
      <c r="O479" s="705">
        <v>21041</v>
      </c>
      <c r="P479" s="705">
        <v>41049</v>
      </c>
      <c r="Q479" s="705">
        <v>15203</v>
      </c>
      <c r="R479" s="705">
        <v>144401</v>
      </c>
      <c r="S479" s="705">
        <v>131273</v>
      </c>
      <c r="T479">
        <v>0</v>
      </c>
      <c r="U479" s="705">
        <v>0</v>
      </c>
      <c r="V479" s="705">
        <v>184140</v>
      </c>
      <c r="W479" s="705">
        <f t="shared" si="30"/>
        <v>184138</v>
      </c>
      <c r="X479" s="705">
        <f t="shared" si="31"/>
        <v>260767</v>
      </c>
      <c r="Y479" s="705"/>
    </row>
    <row r="480" spans="2:25">
      <c r="B480" t="s">
        <v>681</v>
      </c>
      <c r="C480" t="s">
        <v>110</v>
      </c>
      <c r="D480" t="s">
        <v>584</v>
      </c>
      <c r="E480" t="s">
        <v>584</v>
      </c>
      <c r="F480" s="705">
        <v>45</v>
      </c>
      <c r="G480" s="705">
        <v>4649</v>
      </c>
      <c r="H480" s="705">
        <v>4255</v>
      </c>
      <c r="I480" s="705">
        <v>148037</v>
      </c>
      <c r="J480" s="706">
        <v>134579</v>
      </c>
      <c r="K480" s="705">
        <v>85</v>
      </c>
      <c r="L480" s="705">
        <v>21035</v>
      </c>
      <c r="M480" s="705">
        <v>15644</v>
      </c>
      <c r="N480" s="705">
        <v>88636</v>
      </c>
      <c r="O480" s="705">
        <v>32828</v>
      </c>
      <c r="P480" s="705">
        <v>29709</v>
      </c>
      <c r="Q480" s="705">
        <v>11003</v>
      </c>
      <c r="R480" s="705">
        <v>150906</v>
      </c>
      <c r="S480" s="705">
        <v>137188</v>
      </c>
      <c r="T480" s="705">
        <v>0</v>
      </c>
      <c r="U480" s="705">
        <v>0</v>
      </c>
      <c r="V480" s="705">
        <v>331242</v>
      </c>
      <c r="W480" s="705">
        <f t="shared" si="30"/>
        <v>331242</v>
      </c>
      <c r="X480" s="705">
        <f t="shared" si="31"/>
        <v>438323</v>
      </c>
      <c r="Y480" s="705"/>
    </row>
    <row r="481" spans="2:25">
      <c r="B481" t="s">
        <v>681</v>
      </c>
      <c r="C481" t="s">
        <v>110</v>
      </c>
      <c r="D481" t="s">
        <v>585</v>
      </c>
      <c r="E481" t="s">
        <v>585</v>
      </c>
      <c r="F481">
        <v>1</v>
      </c>
      <c r="G481" s="705">
        <v>98</v>
      </c>
      <c r="H481" s="705">
        <v>95</v>
      </c>
      <c r="I481" s="705">
        <v>3070</v>
      </c>
      <c r="J481" s="706">
        <v>2791</v>
      </c>
      <c r="K481" s="705">
        <v>75</v>
      </c>
      <c r="L481" s="705">
        <v>324</v>
      </c>
      <c r="M481" s="705">
        <v>294</v>
      </c>
      <c r="N481" s="705">
        <v>1192</v>
      </c>
      <c r="O481">
        <v>441</v>
      </c>
      <c r="P481">
        <v>351</v>
      </c>
      <c r="Q481" s="705">
        <v>130</v>
      </c>
      <c r="R481" s="705">
        <v>4331</v>
      </c>
      <c r="S481" s="705">
        <v>3937</v>
      </c>
      <c r="T481" s="705">
        <v>0</v>
      </c>
      <c r="U481" s="705">
        <v>0</v>
      </c>
      <c r="V481" s="705">
        <v>7594</v>
      </c>
      <c r="W481" s="705">
        <f t="shared" si="30"/>
        <v>7593</v>
      </c>
      <c r="X481" s="705">
        <f t="shared" si="31"/>
        <v>9268</v>
      </c>
      <c r="Y481" s="705"/>
    </row>
    <row r="482" spans="2:25">
      <c r="B482" t="s">
        <v>681</v>
      </c>
      <c r="C482" t="s">
        <v>112</v>
      </c>
      <c r="F482" s="705">
        <v>15</v>
      </c>
      <c r="G482" s="705">
        <v>1082</v>
      </c>
      <c r="H482" s="705">
        <v>1682</v>
      </c>
      <c r="J482" s="706">
        <v>0</v>
      </c>
      <c r="K482" s="705"/>
      <c r="M482">
        <v>0</v>
      </c>
      <c r="N482" s="705">
        <v>22961</v>
      </c>
      <c r="O482" s="705">
        <v>8504</v>
      </c>
      <c r="P482" s="705">
        <v>6348</v>
      </c>
      <c r="Q482" s="705">
        <v>2351</v>
      </c>
      <c r="S482">
        <v>0</v>
      </c>
      <c r="T482">
        <v>0</v>
      </c>
      <c r="U482">
        <v>0</v>
      </c>
      <c r="V482" s="705">
        <v>10855</v>
      </c>
      <c r="W482" s="705">
        <f t="shared" si="30"/>
        <v>10855</v>
      </c>
      <c r="X482" s="705">
        <f t="shared" si="31"/>
        <v>29309</v>
      </c>
      <c r="Y482" s="705"/>
    </row>
    <row r="483" spans="2:25">
      <c r="B483" t="s">
        <v>681</v>
      </c>
      <c r="C483" t="s">
        <v>112</v>
      </c>
      <c r="D483" t="s">
        <v>228</v>
      </c>
      <c r="E483" t="s">
        <v>228</v>
      </c>
      <c r="F483">
        <v>2</v>
      </c>
      <c r="G483">
        <v>144</v>
      </c>
      <c r="H483">
        <v>240</v>
      </c>
      <c r="I483" s="705">
        <v>1899</v>
      </c>
      <c r="J483" s="429">
        <v>703</v>
      </c>
      <c r="K483" s="705">
        <v>100</v>
      </c>
      <c r="L483">
        <v>387</v>
      </c>
      <c r="M483">
        <v>143</v>
      </c>
      <c r="N483" s="705">
        <v>2330</v>
      </c>
      <c r="O483">
        <v>863</v>
      </c>
      <c r="P483">
        <v>0</v>
      </c>
      <c r="Q483">
        <v>0</v>
      </c>
      <c r="R483" s="705">
        <v>12585</v>
      </c>
      <c r="S483" s="705">
        <v>4661</v>
      </c>
      <c r="T483">
        <v>0</v>
      </c>
      <c r="U483">
        <v>0</v>
      </c>
      <c r="V483" s="705">
        <v>6371</v>
      </c>
      <c r="W483" s="705">
        <f t="shared" si="30"/>
        <v>6370</v>
      </c>
      <c r="X483" s="705">
        <f t="shared" si="31"/>
        <v>17201</v>
      </c>
      <c r="Y483" s="705"/>
    </row>
    <row r="484" spans="2:25">
      <c r="B484" t="s">
        <v>681</v>
      </c>
      <c r="C484" t="s">
        <v>112</v>
      </c>
      <c r="D484" t="s">
        <v>584</v>
      </c>
      <c r="E484" t="s">
        <v>584</v>
      </c>
      <c r="F484">
        <v>149</v>
      </c>
      <c r="G484" s="705">
        <v>12319</v>
      </c>
      <c r="H484" s="705">
        <v>17293</v>
      </c>
      <c r="I484" s="705">
        <v>541297</v>
      </c>
      <c r="J484" s="706">
        <v>492088</v>
      </c>
      <c r="K484" s="705">
        <v>85</v>
      </c>
      <c r="L484" s="705">
        <v>42971</v>
      </c>
      <c r="M484" s="705">
        <v>32619</v>
      </c>
      <c r="N484" s="705">
        <v>236090</v>
      </c>
      <c r="O484" s="705">
        <v>87441</v>
      </c>
      <c r="P484" s="705">
        <v>74511</v>
      </c>
      <c r="Q484" s="705">
        <v>27597</v>
      </c>
      <c r="R484" s="705">
        <v>507370</v>
      </c>
      <c r="S484" s="705">
        <v>461246</v>
      </c>
      <c r="T484" s="705">
        <v>27746</v>
      </c>
      <c r="U484" s="705">
        <v>10276</v>
      </c>
      <c r="V484" s="705">
        <v>1111266</v>
      </c>
      <c r="W484" s="705">
        <f t="shared" si="30"/>
        <v>1111267</v>
      </c>
      <c r="X484" s="705">
        <f t="shared" si="31"/>
        <v>1429985</v>
      </c>
      <c r="Y484" s="705"/>
    </row>
    <row r="485" spans="2:25">
      <c r="B485" t="s">
        <v>681</v>
      </c>
      <c r="C485" t="s">
        <v>112</v>
      </c>
      <c r="D485" t="s">
        <v>585</v>
      </c>
      <c r="E485" t="s">
        <v>585</v>
      </c>
      <c r="F485" s="705">
        <v>69</v>
      </c>
      <c r="G485" s="705">
        <v>5408</v>
      </c>
      <c r="H485" s="705">
        <v>7825</v>
      </c>
      <c r="I485" s="705">
        <v>228057</v>
      </c>
      <c r="J485" s="706">
        <v>207324</v>
      </c>
      <c r="K485" s="705">
        <v>75</v>
      </c>
      <c r="L485" s="705">
        <v>24057</v>
      </c>
      <c r="M485" s="705">
        <v>21870</v>
      </c>
      <c r="N485" s="705">
        <v>65891</v>
      </c>
      <c r="O485" s="705">
        <v>24404</v>
      </c>
      <c r="P485" s="705">
        <v>24219</v>
      </c>
      <c r="Q485" s="705">
        <v>8970</v>
      </c>
      <c r="R485" s="705">
        <v>269067</v>
      </c>
      <c r="S485" s="705">
        <v>244606</v>
      </c>
      <c r="T485">
        <v>0</v>
      </c>
      <c r="U485">
        <v>0</v>
      </c>
      <c r="V485" s="705">
        <v>507174</v>
      </c>
      <c r="W485" s="705">
        <f t="shared" si="30"/>
        <v>507174</v>
      </c>
      <c r="X485" s="705">
        <f t="shared" si="31"/>
        <v>611291</v>
      </c>
      <c r="Y485" s="705"/>
    </row>
    <row r="486" spans="2:25">
      <c r="B486" t="s">
        <v>681</v>
      </c>
      <c r="C486" t="s">
        <v>114</v>
      </c>
      <c r="F486" s="705">
        <v>34</v>
      </c>
      <c r="G486" s="705">
        <v>2509</v>
      </c>
      <c r="H486" s="705">
        <v>4652</v>
      </c>
      <c r="J486" s="706">
        <v>0</v>
      </c>
      <c r="K486" s="705"/>
      <c r="M486">
        <v>0</v>
      </c>
      <c r="N486" s="705">
        <v>51226</v>
      </c>
      <c r="O486" s="705">
        <v>18972</v>
      </c>
      <c r="P486" s="705">
        <v>12219</v>
      </c>
      <c r="Q486" s="705">
        <v>4526</v>
      </c>
      <c r="S486">
        <v>0</v>
      </c>
      <c r="T486">
        <v>0</v>
      </c>
      <c r="U486">
        <v>0</v>
      </c>
      <c r="V486" s="705">
        <v>23498</v>
      </c>
      <c r="W486" s="705">
        <f t="shared" si="30"/>
        <v>23498</v>
      </c>
      <c r="X486" s="705">
        <f t="shared" si="31"/>
        <v>63445</v>
      </c>
      <c r="Y486" s="705"/>
    </row>
    <row r="487" spans="2:25">
      <c r="B487" t="s">
        <v>681</v>
      </c>
      <c r="C487" t="s">
        <v>114</v>
      </c>
      <c r="D487" t="s">
        <v>664</v>
      </c>
      <c r="E487" t="s">
        <v>584</v>
      </c>
      <c r="F487" s="705">
        <v>1</v>
      </c>
      <c r="G487" s="705">
        <v>49</v>
      </c>
      <c r="H487" s="705">
        <v>126</v>
      </c>
      <c r="I487" s="705">
        <v>2233</v>
      </c>
      <c r="J487" s="706">
        <v>2030</v>
      </c>
      <c r="K487" s="705">
        <v>91</v>
      </c>
      <c r="L487">
        <v>0</v>
      </c>
      <c r="M487">
        <v>0</v>
      </c>
      <c r="N487" s="705">
        <v>1201</v>
      </c>
      <c r="O487">
        <v>445</v>
      </c>
      <c r="P487">
        <v>473</v>
      </c>
      <c r="Q487">
        <v>175</v>
      </c>
      <c r="R487" s="705">
        <v>2301</v>
      </c>
      <c r="S487" s="705">
        <v>2092</v>
      </c>
      <c r="T487">
        <v>0</v>
      </c>
      <c r="U487">
        <v>0</v>
      </c>
      <c r="V487" s="705">
        <v>4742</v>
      </c>
      <c r="W487" s="705">
        <f t="shared" si="30"/>
        <v>4742</v>
      </c>
      <c r="X487" s="705">
        <f t="shared" si="31"/>
        <v>6208</v>
      </c>
      <c r="Y487" s="705"/>
    </row>
    <row r="488" spans="2:25">
      <c r="B488" t="s">
        <v>681</v>
      </c>
      <c r="C488" t="s">
        <v>114</v>
      </c>
      <c r="D488" t="s">
        <v>228</v>
      </c>
      <c r="E488" t="s">
        <v>228</v>
      </c>
      <c r="F488">
        <v>10</v>
      </c>
      <c r="G488">
        <v>719</v>
      </c>
      <c r="H488" s="705">
        <v>1421</v>
      </c>
      <c r="I488" s="705">
        <v>23540</v>
      </c>
      <c r="J488" s="706">
        <v>8719</v>
      </c>
      <c r="K488" s="705">
        <v>100</v>
      </c>
      <c r="L488" s="705">
        <v>2876</v>
      </c>
      <c r="M488" s="705">
        <v>1065</v>
      </c>
      <c r="N488" s="705">
        <v>12853</v>
      </c>
      <c r="O488" s="705">
        <v>4760</v>
      </c>
      <c r="P488">
        <v>707</v>
      </c>
      <c r="Q488">
        <v>262</v>
      </c>
      <c r="R488" s="705">
        <v>62156</v>
      </c>
      <c r="S488" s="705">
        <v>23021</v>
      </c>
      <c r="T488">
        <v>0</v>
      </c>
      <c r="U488">
        <v>0</v>
      </c>
      <c r="V488" s="705">
        <v>37827</v>
      </c>
      <c r="W488" s="705">
        <f t="shared" si="30"/>
        <v>37827</v>
      </c>
      <c r="X488" s="705">
        <f t="shared" si="31"/>
        <v>102132</v>
      </c>
      <c r="Y488" s="705"/>
    </row>
    <row r="489" spans="2:25">
      <c r="B489" t="s">
        <v>681</v>
      </c>
      <c r="C489" t="s">
        <v>114</v>
      </c>
      <c r="D489" t="s">
        <v>583</v>
      </c>
      <c r="E489" t="s">
        <v>583</v>
      </c>
      <c r="F489">
        <v>2</v>
      </c>
      <c r="G489">
        <v>132</v>
      </c>
      <c r="H489">
        <v>281</v>
      </c>
      <c r="I489" s="705">
        <v>7350</v>
      </c>
      <c r="J489" s="706">
        <v>6681</v>
      </c>
      <c r="K489" s="705">
        <v>94</v>
      </c>
      <c r="L489">
        <v>0</v>
      </c>
      <c r="M489">
        <v>0</v>
      </c>
      <c r="N489" s="705">
        <v>2729</v>
      </c>
      <c r="O489" s="705">
        <v>1011</v>
      </c>
      <c r="P489" s="705">
        <v>1242</v>
      </c>
      <c r="Q489">
        <v>460</v>
      </c>
      <c r="R489" s="705">
        <v>7303</v>
      </c>
      <c r="S489" s="705">
        <v>6639</v>
      </c>
      <c r="T489">
        <v>0</v>
      </c>
      <c r="U489">
        <v>0</v>
      </c>
      <c r="V489" s="705">
        <v>14791</v>
      </c>
      <c r="W489" s="705">
        <f t="shared" si="30"/>
        <v>14791</v>
      </c>
      <c r="X489" s="705">
        <f t="shared" si="31"/>
        <v>18624</v>
      </c>
      <c r="Y489" s="705"/>
    </row>
    <row r="490" spans="2:25">
      <c r="B490" t="s">
        <v>681</v>
      </c>
      <c r="C490" t="s">
        <v>114</v>
      </c>
      <c r="D490" t="s">
        <v>584</v>
      </c>
      <c r="E490" t="s">
        <v>584</v>
      </c>
      <c r="F490">
        <v>353</v>
      </c>
      <c r="G490" s="705">
        <v>27941</v>
      </c>
      <c r="H490" s="705">
        <v>49226</v>
      </c>
      <c r="I490" s="705">
        <v>1465624</v>
      </c>
      <c r="J490" s="706">
        <v>1332386</v>
      </c>
      <c r="K490" s="705">
        <v>83</v>
      </c>
      <c r="L490" s="705">
        <v>139527</v>
      </c>
      <c r="M490" s="705">
        <v>105984</v>
      </c>
      <c r="N490" s="705">
        <v>591211</v>
      </c>
      <c r="O490" s="705">
        <v>218967</v>
      </c>
      <c r="P490" s="705">
        <v>172553</v>
      </c>
      <c r="Q490" s="705">
        <v>63909</v>
      </c>
      <c r="R490" s="705">
        <v>1315065</v>
      </c>
      <c r="S490" s="705">
        <v>1195513</v>
      </c>
      <c r="T490" s="705">
        <v>216622</v>
      </c>
      <c r="U490" s="705">
        <v>80230</v>
      </c>
      <c r="V490" s="705">
        <v>2996989</v>
      </c>
      <c r="W490" s="705">
        <f t="shared" si="30"/>
        <v>2996989</v>
      </c>
      <c r="X490" s="705">
        <f t="shared" si="31"/>
        <v>3900602</v>
      </c>
      <c r="Y490" s="705"/>
    </row>
    <row r="491" spans="2:25">
      <c r="B491" t="s">
        <v>681</v>
      </c>
      <c r="C491" t="s">
        <v>114</v>
      </c>
      <c r="D491" t="s">
        <v>584</v>
      </c>
      <c r="E491" t="s">
        <v>668</v>
      </c>
      <c r="F491" s="705">
        <v>1</v>
      </c>
      <c r="G491" s="705">
        <v>104</v>
      </c>
      <c r="H491" s="705">
        <v>139</v>
      </c>
      <c r="I491" s="705">
        <v>4449</v>
      </c>
      <c r="J491" s="706">
        <v>4045</v>
      </c>
      <c r="K491" s="705">
        <v>78</v>
      </c>
      <c r="L491" s="705">
        <v>1102</v>
      </c>
      <c r="M491" s="705">
        <v>1002</v>
      </c>
      <c r="N491" s="705">
        <v>2531</v>
      </c>
      <c r="O491">
        <v>937</v>
      </c>
      <c r="P491">
        <v>473</v>
      </c>
      <c r="Q491">
        <v>175</v>
      </c>
      <c r="R491" s="705">
        <v>5908</v>
      </c>
      <c r="S491" s="705">
        <v>5371</v>
      </c>
      <c r="T491">
        <v>0</v>
      </c>
      <c r="U491">
        <v>0</v>
      </c>
      <c r="V491" s="705">
        <v>11529</v>
      </c>
      <c r="W491" s="705">
        <f t="shared" si="30"/>
        <v>11530</v>
      </c>
      <c r="X491" s="705">
        <f t="shared" si="31"/>
        <v>14463</v>
      </c>
      <c r="Y491" s="705"/>
    </row>
    <row r="492" spans="2:25">
      <c r="B492" t="s">
        <v>681</v>
      </c>
      <c r="C492" t="s">
        <v>114</v>
      </c>
      <c r="D492" t="s">
        <v>585</v>
      </c>
      <c r="E492" t="s">
        <v>584</v>
      </c>
      <c r="F492">
        <v>1</v>
      </c>
      <c r="G492" s="705">
        <v>73</v>
      </c>
      <c r="H492" s="705">
        <v>131</v>
      </c>
      <c r="I492" s="705">
        <v>4548</v>
      </c>
      <c r="J492" s="706">
        <v>4135</v>
      </c>
      <c r="K492" s="705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705">
        <v>4135</v>
      </c>
      <c r="S492" s="705">
        <v>3759</v>
      </c>
      <c r="T492">
        <v>0</v>
      </c>
      <c r="U492">
        <v>0</v>
      </c>
      <c r="V492" s="705">
        <v>8224</v>
      </c>
      <c r="W492" s="705">
        <f t="shared" si="30"/>
        <v>8224</v>
      </c>
      <c r="X492" s="705">
        <f t="shared" si="31"/>
        <v>9575</v>
      </c>
      <c r="Y492" s="705"/>
    </row>
    <row r="493" spans="2:25">
      <c r="B493" t="s">
        <v>681</v>
      </c>
      <c r="C493" t="s">
        <v>114</v>
      </c>
      <c r="D493" t="s">
        <v>585</v>
      </c>
      <c r="E493" t="s">
        <v>585</v>
      </c>
      <c r="F493" s="705">
        <v>60</v>
      </c>
      <c r="G493" s="705">
        <v>3701</v>
      </c>
      <c r="H493" s="705">
        <v>8065</v>
      </c>
      <c r="I493" s="705">
        <v>197906</v>
      </c>
      <c r="J493" s="706">
        <v>179914</v>
      </c>
      <c r="K493" s="705">
        <v>75</v>
      </c>
      <c r="L493" s="705">
        <v>20876</v>
      </c>
      <c r="M493" s="705">
        <v>18978</v>
      </c>
      <c r="N493" s="705">
        <v>45092</v>
      </c>
      <c r="O493" s="705">
        <v>16701</v>
      </c>
      <c r="P493" s="705">
        <v>21060</v>
      </c>
      <c r="Q493" s="705">
        <v>7800</v>
      </c>
      <c r="R493" s="705">
        <v>211344</v>
      </c>
      <c r="S493" s="705">
        <v>192131</v>
      </c>
      <c r="T493">
        <v>0</v>
      </c>
      <c r="U493">
        <v>0</v>
      </c>
      <c r="V493" s="705">
        <v>415524</v>
      </c>
      <c r="W493" s="705">
        <f t="shared" si="30"/>
        <v>415524</v>
      </c>
      <c r="X493" s="705">
        <f t="shared" si="31"/>
        <v>496278</v>
      </c>
      <c r="Y493" s="705"/>
    </row>
    <row r="494" spans="2:25">
      <c r="B494" t="s">
        <v>681</v>
      </c>
      <c r="C494" t="s">
        <v>116</v>
      </c>
      <c r="F494">
        <v>129</v>
      </c>
      <c r="G494" s="705">
        <v>10118</v>
      </c>
      <c r="H494" s="705">
        <v>23354</v>
      </c>
      <c r="J494" s="706">
        <v>0</v>
      </c>
      <c r="K494" s="705"/>
      <c r="M494">
        <v>0</v>
      </c>
      <c r="N494" s="705">
        <v>190239</v>
      </c>
      <c r="O494" s="705">
        <v>70459</v>
      </c>
      <c r="P494" s="705">
        <v>31438</v>
      </c>
      <c r="Q494" s="705">
        <v>11644</v>
      </c>
      <c r="S494">
        <v>0</v>
      </c>
      <c r="T494" s="705">
        <v>8082</v>
      </c>
      <c r="U494" s="705">
        <v>2993</v>
      </c>
      <c r="V494" s="705">
        <v>85096</v>
      </c>
      <c r="W494" s="705">
        <f t="shared" si="30"/>
        <v>85096</v>
      </c>
      <c r="X494" s="705">
        <f t="shared" si="31"/>
        <v>229759</v>
      </c>
      <c r="Y494" s="705"/>
    </row>
    <row r="495" spans="2:25">
      <c r="B495" t="s">
        <v>681</v>
      </c>
      <c r="C495" t="s">
        <v>116</v>
      </c>
      <c r="D495" t="s">
        <v>664</v>
      </c>
      <c r="E495" t="s">
        <v>584</v>
      </c>
      <c r="F495">
        <v>2</v>
      </c>
      <c r="G495">
        <v>86</v>
      </c>
      <c r="H495" s="705">
        <v>327</v>
      </c>
      <c r="I495" s="705">
        <v>6659</v>
      </c>
      <c r="J495" s="706">
        <v>6053</v>
      </c>
      <c r="K495" s="705">
        <v>91</v>
      </c>
      <c r="L495">
        <v>0</v>
      </c>
      <c r="M495">
        <v>0</v>
      </c>
      <c r="N495" s="705">
        <v>2096</v>
      </c>
      <c r="O495">
        <v>776</v>
      </c>
      <c r="P495">
        <v>945</v>
      </c>
      <c r="Q495">
        <v>350</v>
      </c>
      <c r="R495" s="705">
        <v>4339</v>
      </c>
      <c r="S495" s="705">
        <v>3945</v>
      </c>
      <c r="T495">
        <v>0</v>
      </c>
      <c r="U495">
        <v>0</v>
      </c>
      <c r="V495" s="705">
        <v>11124</v>
      </c>
      <c r="W495" s="705">
        <f t="shared" si="30"/>
        <v>11124</v>
      </c>
      <c r="X495" s="705">
        <f t="shared" si="31"/>
        <v>14039</v>
      </c>
      <c r="Y495" s="705"/>
    </row>
    <row r="496" spans="2:25">
      <c r="B496" t="s">
        <v>681</v>
      </c>
      <c r="C496" t="s">
        <v>116</v>
      </c>
      <c r="D496" t="s">
        <v>582</v>
      </c>
      <c r="E496" t="s">
        <v>582</v>
      </c>
      <c r="F496">
        <v>2</v>
      </c>
      <c r="G496">
        <v>106</v>
      </c>
      <c r="H496" s="705">
        <v>441</v>
      </c>
      <c r="I496" s="705">
        <v>16097</v>
      </c>
      <c r="J496" s="706">
        <v>14634</v>
      </c>
      <c r="K496" s="705">
        <v>82</v>
      </c>
      <c r="L496">
        <v>0</v>
      </c>
      <c r="M496">
        <v>0</v>
      </c>
      <c r="N496" s="705">
        <v>1685</v>
      </c>
      <c r="O496">
        <v>624</v>
      </c>
      <c r="P496">
        <v>824</v>
      </c>
      <c r="Q496">
        <v>305</v>
      </c>
      <c r="R496" s="705">
        <v>4721</v>
      </c>
      <c r="S496" s="705">
        <v>4292</v>
      </c>
      <c r="T496">
        <v>0</v>
      </c>
      <c r="U496">
        <v>0</v>
      </c>
      <c r="V496" s="705">
        <v>19854</v>
      </c>
      <c r="W496" s="705">
        <f t="shared" si="30"/>
        <v>19855</v>
      </c>
      <c r="X496" s="705">
        <f t="shared" si="31"/>
        <v>23327</v>
      </c>
      <c r="Y496" s="705"/>
    </row>
    <row r="497" spans="2:25">
      <c r="B497" t="s">
        <v>681</v>
      </c>
      <c r="C497" t="s">
        <v>116</v>
      </c>
      <c r="D497" t="s">
        <v>228</v>
      </c>
      <c r="E497" t="s">
        <v>228</v>
      </c>
      <c r="F497">
        <v>455</v>
      </c>
      <c r="G497" s="705">
        <v>30413</v>
      </c>
      <c r="H497" s="705">
        <v>90324</v>
      </c>
      <c r="I497" s="705">
        <v>2324685</v>
      </c>
      <c r="J497" s="706">
        <v>860995</v>
      </c>
      <c r="K497" s="705">
        <v>100</v>
      </c>
      <c r="L497" s="705">
        <v>297000</v>
      </c>
      <c r="M497" s="705">
        <v>131186</v>
      </c>
      <c r="N497" s="705">
        <v>615456</v>
      </c>
      <c r="O497" s="705">
        <v>227947</v>
      </c>
      <c r="P497" s="705">
        <v>10054</v>
      </c>
      <c r="Q497" s="705">
        <v>3724</v>
      </c>
      <c r="R497" s="705">
        <v>2767296</v>
      </c>
      <c r="S497" s="705">
        <v>1024925</v>
      </c>
      <c r="T497" s="705">
        <v>7893</v>
      </c>
      <c r="U497" s="705">
        <v>2923</v>
      </c>
      <c r="V497" s="705">
        <v>2251699</v>
      </c>
      <c r="W497" s="705">
        <f t="shared" si="30"/>
        <v>2251700</v>
      </c>
      <c r="X497" s="705">
        <f t="shared" si="31"/>
        <v>6022384</v>
      </c>
      <c r="Y497" s="705"/>
    </row>
    <row r="498" spans="2:25">
      <c r="B498" t="s">
        <v>681</v>
      </c>
      <c r="C498" t="s">
        <v>116</v>
      </c>
      <c r="D498" t="s">
        <v>583</v>
      </c>
      <c r="E498" t="s">
        <v>583</v>
      </c>
      <c r="F498" s="705">
        <v>10</v>
      </c>
      <c r="G498" s="705">
        <v>745</v>
      </c>
      <c r="H498" s="705">
        <v>1968</v>
      </c>
      <c r="I498" s="705">
        <v>74331</v>
      </c>
      <c r="J498" s="706">
        <v>67574</v>
      </c>
      <c r="K498" s="705">
        <v>91</v>
      </c>
      <c r="L498" s="705">
        <v>8333</v>
      </c>
      <c r="M498" s="705">
        <v>6457</v>
      </c>
      <c r="N498" s="705">
        <v>14080</v>
      </c>
      <c r="O498" s="705">
        <v>5215</v>
      </c>
      <c r="P498" s="705">
        <v>6210</v>
      </c>
      <c r="Q498" s="705">
        <v>2300</v>
      </c>
      <c r="R498" s="705">
        <v>41924</v>
      </c>
      <c r="S498" s="705">
        <v>38112</v>
      </c>
      <c r="T498" s="705">
        <v>2226</v>
      </c>
      <c r="U498">
        <v>824</v>
      </c>
      <c r="V498" s="705">
        <v>120483</v>
      </c>
      <c r="W498" s="705">
        <f t="shared" si="30"/>
        <v>120482</v>
      </c>
      <c r="X498" s="705">
        <f t="shared" si="31"/>
        <v>147104</v>
      </c>
      <c r="Y498" s="705"/>
    </row>
    <row r="499" spans="2:25">
      <c r="B499" t="s">
        <v>681</v>
      </c>
      <c r="C499" t="s">
        <v>116</v>
      </c>
      <c r="D499" t="s">
        <v>584</v>
      </c>
      <c r="E499" t="s">
        <v>228</v>
      </c>
      <c r="F499">
        <v>2</v>
      </c>
      <c r="G499" s="705">
        <v>155</v>
      </c>
      <c r="H499" s="705">
        <v>369</v>
      </c>
      <c r="I499" s="705">
        <v>5549</v>
      </c>
      <c r="J499" s="706">
        <v>5045</v>
      </c>
      <c r="K499" s="705">
        <v>77</v>
      </c>
      <c r="L499">
        <v>414</v>
      </c>
      <c r="M499">
        <v>376</v>
      </c>
      <c r="N499" s="705">
        <v>3225</v>
      </c>
      <c r="O499" s="705">
        <v>1194</v>
      </c>
      <c r="P499">
        <v>702</v>
      </c>
      <c r="Q499">
        <v>260</v>
      </c>
      <c r="R499" s="705">
        <v>18702</v>
      </c>
      <c r="S499" s="705">
        <v>6926</v>
      </c>
      <c r="T499">
        <v>0</v>
      </c>
      <c r="U499">
        <v>0</v>
      </c>
      <c r="V499" s="705">
        <v>13802</v>
      </c>
      <c r="W499" s="705">
        <f t="shared" si="30"/>
        <v>13801</v>
      </c>
      <c r="X499" s="705">
        <f t="shared" si="31"/>
        <v>28592</v>
      </c>
      <c r="Y499" s="705"/>
    </row>
    <row r="500" spans="2:25">
      <c r="B500" t="s">
        <v>681</v>
      </c>
      <c r="C500" t="s">
        <v>116</v>
      </c>
      <c r="D500" t="s">
        <v>584</v>
      </c>
      <c r="E500" t="s">
        <v>584</v>
      </c>
      <c r="F500" s="705">
        <v>1064</v>
      </c>
      <c r="G500" s="705">
        <v>83432</v>
      </c>
      <c r="H500" s="705">
        <v>195656</v>
      </c>
      <c r="I500" s="705">
        <v>6842655</v>
      </c>
      <c r="J500" s="706">
        <v>6220596</v>
      </c>
      <c r="K500" s="705">
        <v>81</v>
      </c>
      <c r="L500" s="705">
        <v>901949</v>
      </c>
      <c r="M500" s="705">
        <v>737469</v>
      </c>
      <c r="N500" s="705">
        <v>1820455</v>
      </c>
      <c r="O500" s="705">
        <v>674243</v>
      </c>
      <c r="P500" s="705">
        <v>510712</v>
      </c>
      <c r="Q500" s="705">
        <v>189153</v>
      </c>
      <c r="R500" s="705">
        <v>4346666</v>
      </c>
      <c r="S500" s="705">
        <v>3951514</v>
      </c>
      <c r="T500" s="705">
        <v>915029</v>
      </c>
      <c r="U500" s="705">
        <v>338900</v>
      </c>
      <c r="V500" s="705">
        <v>12111874</v>
      </c>
      <c r="W500" s="705">
        <f t="shared" si="30"/>
        <v>12111875</v>
      </c>
      <c r="X500" s="705">
        <f t="shared" si="31"/>
        <v>15337466</v>
      </c>
      <c r="Y500" s="705"/>
    </row>
    <row r="501" spans="2:25">
      <c r="B501" t="s">
        <v>681</v>
      </c>
      <c r="C501" t="s">
        <v>116</v>
      </c>
      <c r="D501" t="s">
        <v>584</v>
      </c>
      <c r="E501" t="s">
        <v>665</v>
      </c>
      <c r="F501">
        <v>1</v>
      </c>
      <c r="G501">
        <v>67</v>
      </c>
      <c r="H501" s="705">
        <v>157</v>
      </c>
      <c r="I501" s="705">
        <v>3191</v>
      </c>
      <c r="J501" s="706">
        <v>2901</v>
      </c>
      <c r="K501" s="705">
        <v>69</v>
      </c>
      <c r="L501">
        <v>0</v>
      </c>
      <c r="M501">
        <v>0</v>
      </c>
      <c r="N501" s="705">
        <v>1141</v>
      </c>
      <c r="O501">
        <v>423</v>
      </c>
      <c r="P501">
        <v>473</v>
      </c>
      <c r="Q501">
        <v>175</v>
      </c>
      <c r="R501" s="705">
        <v>5706</v>
      </c>
      <c r="S501" s="705">
        <v>5187</v>
      </c>
      <c r="T501">
        <v>0</v>
      </c>
      <c r="U501">
        <v>0</v>
      </c>
      <c r="V501" s="705">
        <v>8685</v>
      </c>
      <c r="W501" s="705">
        <f t="shared" si="30"/>
        <v>8686</v>
      </c>
      <c r="X501" s="705">
        <f t="shared" si="31"/>
        <v>10511</v>
      </c>
      <c r="Y501" s="705"/>
    </row>
    <row r="502" spans="2:25">
      <c r="B502" t="s">
        <v>681</v>
      </c>
      <c r="C502" t="s">
        <v>116</v>
      </c>
      <c r="D502" t="s">
        <v>585</v>
      </c>
      <c r="E502" t="s">
        <v>585</v>
      </c>
      <c r="F502" s="705">
        <v>14</v>
      </c>
      <c r="G502" s="705">
        <v>660</v>
      </c>
      <c r="H502" s="705">
        <v>2201</v>
      </c>
      <c r="I502" s="705">
        <v>41644</v>
      </c>
      <c r="J502" s="706">
        <v>37858</v>
      </c>
      <c r="K502" s="705">
        <v>75</v>
      </c>
      <c r="L502" s="705">
        <v>4393</v>
      </c>
      <c r="M502" s="705">
        <v>3993</v>
      </c>
      <c r="N502" s="705">
        <v>8040</v>
      </c>
      <c r="O502" s="705">
        <v>2978</v>
      </c>
      <c r="P502" s="705">
        <v>4914</v>
      </c>
      <c r="Q502" s="705">
        <v>1820</v>
      </c>
      <c r="R502" s="705">
        <v>44621</v>
      </c>
      <c r="S502" s="705">
        <v>40564</v>
      </c>
      <c r="T502">
        <v>0</v>
      </c>
      <c r="U502">
        <v>0</v>
      </c>
      <c r="V502" s="705">
        <v>87214</v>
      </c>
      <c r="W502" s="705">
        <f t="shared" si="30"/>
        <v>87213</v>
      </c>
      <c r="X502" s="705">
        <f t="shared" si="31"/>
        <v>103612</v>
      </c>
      <c r="Y502" s="705"/>
    </row>
    <row r="503" spans="2:25">
      <c r="B503" t="s">
        <v>681</v>
      </c>
      <c r="C503" t="s">
        <v>118</v>
      </c>
      <c r="F503">
        <v>37</v>
      </c>
      <c r="G503" s="705">
        <v>2767</v>
      </c>
      <c r="H503" s="705">
        <v>9624</v>
      </c>
      <c r="J503" s="706">
        <v>0</v>
      </c>
      <c r="K503" s="705"/>
      <c r="M503">
        <v>0</v>
      </c>
      <c r="N503" s="705">
        <v>55247</v>
      </c>
      <c r="O503" s="705">
        <v>20462</v>
      </c>
      <c r="P503" s="705">
        <v>5956</v>
      </c>
      <c r="Q503" s="705">
        <v>2206</v>
      </c>
      <c r="S503">
        <v>0</v>
      </c>
      <c r="T503" s="705">
        <v>5075</v>
      </c>
      <c r="U503" s="705">
        <v>1879</v>
      </c>
      <c r="V503" s="705">
        <v>24547</v>
      </c>
      <c r="W503" s="705">
        <f t="shared" si="30"/>
        <v>24547</v>
      </c>
      <c r="X503" s="705">
        <f t="shared" si="31"/>
        <v>66278</v>
      </c>
      <c r="Y503" s="705"/>
    </row>
    <row r="504" spans="2:25">
      <c r="B504" t="s">
        <v>681</v>
      </c>
      <c r="C504" t="s">
        <v>118</v>
      </c>
      <c r="D504" t="s">
        <v>228</v>
      </c>
      <c r="E504" t="s">
        <v>228</v>
      </c>
      <c r="F504">
        <v>742</v>
      </c>
      <c r="G504" s="705">
        <v>47266</v>
      </c>
      <c r="H504" s="705">
        <v>193909</v>
      </c>
      <c r="I504" s="705">
        <v>5874261</v>
      </c>
      <c r="J504" s="706">
        <v>2175652</v>
      </c>
      <c r="K504" s="705">
        <v>100</v>
      </c>
      <c r="L504" s="705">
        <v>762370</v>
      </c>
      <c r="M504" s="705">
        <v>343729</v>
      </c>
      <c r="N504" s="705">
        <v>978750</v>
      </c>
      <c r="O504" s="705">
        <v>362500</v>
      </c>
      <c r="P504" s="705">
        <v>10301</v>
      </c>
      <c r="Q504" s="705">
        <v>3815</v>
      </c>
      <c r="R504" s="705">
        <v>4670024</v>
      </c>
      <c r="S504" s="705">
        <v>1729639</v>
      </c>
      <c r="T504" s="705">
        <v>7741</v>
      </c>
      <c r="U504" s="705">
        <v>2867</v>
      </c>
      <c r="V504" s="705">
        <v>4618202</v>
      </c>
      <c r="W504" s="705">
        <f t="shared" si="30"/>
        <v>4618202</v>
      </c>
      <c r="X504" s="705">
        <f t="shared" si="31"/>
        <v>12303447</v>
      </c>
      <c r="Y504" s="705"/>
    </row>
    <row r="505" spans="2:25">
      <c r="B505" t="s">
        <v>681</v>
      </c>
      <c r="C505" t="s">
        <v>118</v>
      </c>
      <c r="D505" t="s">
        <v>228</v>
      </c>
      <c r="E505" t="s">
        <v>584</v>
      </c>
      <c r="F505">
        <v>1</v>
      </c>
      <c r="G505">
        <v>37</v>
      </c>
      <c r="H505" s="705">
        <v>291</v>
      </c>
      <c r="I505" s="705">
        <v>5000</v>
      </c>
      <c r="J505" s="706">
        <v>1852</v>
      </c>
      <c r="K505" s="705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705">
        <v>4558</v>
      </c>
      <c r="S505" s="705">
        <v>4144</v>
      </c>
      <c r="T505">
        <v>0</v>
      </c>
      <c r="U505">
        <v>0</v>
      </c>
      <c r="V505" s="705">
        <v>6848</v>
      </c>
      <c r="W505" s="705">
        <f t="shared" si="30"/>
        <v>6849</v>
      </c>
      <c r="X505" s="705">
        <f t="shared" si="31"/>
        <v>10763</v>
      </c>
      <c r="Y505" s="705"/>
    </row>
    <row r="506" spans="2:25">
      <c r="B506" t="s">
        <v>681</v>
      </c>
      <c r="C506" t="s">
        <v>118</v>
      </c>
      <c r="D506" t="s">
        <v>583</v>
      </c>
      <c r="E506" t="s">
        <v>228</v>
      </c>
      <c r="F506">
        <v>2</v>
      </c>
      <c r="G506">
        <v>137</v>
      </c>
      <c r="H506">
        <v>576</v>
      </c>
      <c r="I506" s="705">
        <v>21903</v>
      </c>
      <c r="J506" s="706">
        <v>19912</v>
      </c>
      <c r="K506">
        <v>79</v>
      </c>
      <c r="L506">
        <v>374</v>
      </c>
      <c r="M506">
        <v>139</v>
      </c>
      <c r="N506" s="705">
        <v>2921</v>
      </c>
      <c r="O506" s="705">
        <v>1082</v>
      </c>
      <c r="P506" s="705">
        <v>1242</v>
      </c>
      <c r="Q506">
        <v>460</v>
      </c>
      <c r="R506" s="705">
        <v>12752</v>
      </c>
      <c r="S506" s="705">
        <v>4723</v>
      </c>
      <c r="T506">
        <v>0</v>
      </c>
      <c r="U506">
        <v>0</v>
      </c>
      <c r="V506" s="705">
        <v>26316</v>
      </c>
      <c r="W506" s="705">
        <f t="shared" si="30"/>
        <v>26316</v>
      </c>
      <c r="X506" s="705">
        <f t="shared" si="31"/>
        <v>39192</v>
      </c>
      <c r="Y506" s="705"/>
    </row>
    <row r="507" spans="2:25">
      <c r="B507" t="s">
        <v>681</v>
      </c>
      <c r="C507" t="s">
        <v>118</v>
      </c>
      <c r="D507" t="s">
        <v>583</v>
      </c>
      <c r="E507" t="s">
        <v>583</v>
      </c>
      <c r="F507" s="705">
        <v>7</v>
      </c>
      <c r="G507" s="705">
        <v>413</v>
      </c>
      <c r="H507" s="705">
        <v>1791</v>
      </c>
      <c r="I507" s="705">
        <v>54081</v>
      </c>
      <c r="J507" s="706">
        <v>49165</v>
      </c>
      <c r="K507" s="705">
        <v>77</v>
      </c>
      <c r="L507" s="705">
        <v>1678</v>
      </c>
      <c r="M507">
        <v>621</v>
      </c>
      <c r="N507" s="705">
        <v>9303</v>
      </c>
      <c r="O507" s="705">
        <v>3446</v>
      </c>
      <c r="P507" s="705">
        <v>4347</v>
      </c>
      <c r="Q507" s="705">
        <v>1610</v>
      </c>
      <c r="R507" s="705">
        <v>21068</v>
      </c>
      <c r="S507" s="705">
        <v>19152</v>
      </c>
      <c r="T507" s="705">
        <v>13602</v>
      </c>
      <c r="U507" s="705">
        <v>5038</v>
      </c>
      <c r="V507" s="705">
        <v>79032</v>
      </c>
      <c r="W507" s="705">
        <f t="shared" si="30"/>
        <v>79032</v>
      </c>
      <c r="X507" s="705">
        <f t="shared" si="31"/>
        <v>104079</v>
      </c>
      <c r="Y507" s="705"/>
    </row>
    <row r="508" spans="2:25">
      <c r="B508" t="s">
        <v>681</v>
      </c>
      <c r="C508" t="s">
        <v>118</v>
      </c>
      <c r="D508" t="s">
        <v>584</v>
      </c>
      <c r="E508" t="s">
        <v>228</v>
      </c>
      <c r="F508" s="705">
        <v>6</v>
      </c>
      <c r="G508" s="705">
        <v>321</v>
      </c>
      <c r="H508" s="705">
        <v>1534</v>
      </c>
      <c r="I508" s="705">
        <v>36867</v>
      </c>
      <c r="J508" s="706">
        <v>33515</v>
      </c>
      <c r="K508" s="705">
        <v>82</v>
      </c>
      <c r="L508" s="705">
        <v>1571</v>
      </c>
      <c r="M508" s="705">
        <v>1027</v>
      </c>
      <c r="N508" s="705">
        <v>6324</v>
      </c>
      <c r="O508" s="705">
        <v>2342</v>
      </c>
      <c r="P508" s="705">
        <v>2835</v>
      </c>
      <c r="Q508" s="705">
        <v>1050</v>
      </c>
      <c r="R508" s="705">
        <v>33166</v>
      </c>
      <c r="S508" s="705">
        <v>12284</v>
      </c>
      <c r="T508">
        <v>0</v>
      </c>
      <c r="U508">
        <v>0</v>
      </c>
      <c r="V508" s="705">
        <v>50218</v>
      </c>
      <c r="W508" s="705">
        <f t="shared" si="30"/>
        <v>50218</v>
      </c>
      <c r="X508" s="705">
        <f t="shared" si="31"/>
        <v>80763</v>
      </c>
      <c r="Y508" s="705"/>
    </row>
    <row r="509" spans="2:25">
      <c r="B509" t="s">
        <v>681</v>
      </c>
      <c r="C509" t="s">
        <v>118</v>
      </c>
      <c r="D509" t="s">
        <v>584</v>
      </c>
      <c r="E509" t="s">
        <v>584</v>
      </c>
      <c r="F509">
        <v>532</v>
      </c>
      <c r="G509" s="705">
        <v>37343</v>
      </c>
      <c r="H509" s="705">
        <v>137787</v>
      </c>
      <c r="I509" s="705">
        <v>4915154</v>
      </c>
      <c r="J509" s="706">
        <v>4468322</v>
      </c>
      <c r="K509" s="705">
        <v>78</v>
      </c>
      <c r="L509" s="705">
        <v>907503</v>
      </c>
      <c r="M509" s="705">
        <v>781860</v>
      </c>
      <c r="N509" s="705">
        <v>803859</v>
      </c>
      <c r="O509" s="705">
        <v>297726</v>
      </c>
      <c r="P509" s="705">
        <v>255931</v>
      </c>
      <c r="Q509" s="705">
        <v>94789</v>
      </c>
      <c r="R509" s="705">
        <v>2253968</v>
      </c>
      <c r="S509" s="705">
        <v>2049062</v>
      </c>
      <c r="T509" s="705">
        <v>490755</v>
      </c>
      <c r="U509" s="705">
        <v>181761</v>
      </c>
      <c r="V509" s="705">
        <v>7873519</v>
      </c>
      <c r="W509" s="705">
        <f t="shared" si="30"/>
        <v>7873520</v>
      </c>
      <c r="X509" s="705">
        <f t="shared" si="31"/>
        <v>9627170</v>
      </c>
      <c r="Y509" s="705"/>
    </row>
    <row r="510" spans="2:25">
      <c r="B510" t="s">
        <v>681</v>
      </c>
      <c r="C510" t="s">
        <v>120</v>
      </c>
      <c r="F510">
        <v>22</v>
      </c>
      <c r="G510" s="705">
        <v>1258</v>
      </c>
      <c r="H510" s="705">
        <v>7530</v>
      </c>
      <c r="J510" s="429">
        <v>0</v>
      </c>
      <c r="K510" s="705"/>
      <c r="M510">
        <v>0</v>
      </c>
      <c r="N510" s="705">
        <v>22946</v>
      </c>
      <c r="O510" s="705">
        <v>8498</v>
      </c>
      <c r="P510">
        <v>824</v>
      </c>
      <c r="Q510">
        <v>305</v>
      </c>
      <c r="S510">
        <v>0</v>
      </c>
      <c r="T510" s="705">
        <v>11732</v>
      </c>
      <c r="U510" s="705">
        <v>4345</v>
      </c>
      <c r="V510" s="705">
        <v>13148</v>
      </c>
      <c r="W510" s="705">
        <f t="shared" si="30"/>
        <v>13148</v>
      </c>
      <c r="X510" s="705">
        <f t="shared" si="31"/>
        <v>35502</v>
      </c>
      <c r="Y510" s="705"/>
    </row>
    <row r="511" spans="2:25">
      <c r="B511" t="s">
        <v>681</v>
      </c>
      <c r="C511" t="s">
        <v>120</v>
      </c>
      <c r="D511" t="s">
        <v>228</v>
      </c>
      <c r="E511" t="s">
        <v>228</v>
      </c>
      <c r="F511">
        <v>424</v>
      </c>
      <c r="G511" s="705">
        <v>25224</v>
      </c>
      <c r="H511" s="705">
        <v>142781</v>
      </c>
      <c r="I511" s="705">
        <v>4637541</v>
      </c>
      <c r="J511" s="706">
        <v>1717608</v>
      </c>
      <c r="K511" s="705">
        <v>100</v>
      </c>
      <c r="L511" s="705">
        <v>616580</v>
      </c>
      <c r="M511" s="705">
        <v>326952</v>
      </c>
      <c r="N511" s="705">
        <v>527666</v>
      </c>
      <c r="O511" s="705">
        <v>195432</v>
      </c>
      <c r="P511" s="705">
        <v>7874</v>
      </c>
      <c r="Q511" s="705">
        <v>2916</v>
      </c>
      <c r="R511" s="705">
        <v>2675565</v>
      </c>
      <c r="S511" s="705">
        <v>990950</v>
      </c>
      <c r="T511" s="705">
        <v>1752</v>
      </c>
      <c r="U511">
        <v>649</v>
      </c>
      <c r="V511" s="705">
        <v>3234507</v>
      </c>
      <c r="W511" s="705">
        <f t="shared" si="30"/>
        <v>3234507</v>
      </c>
      <c r="X511" s="705">
        <f t="shared" si="31"/>
        <v>8466978</v>
      </c>
      <c r="Y511" s="705"/>
    </row>
    <row r="512" spans="2:25">
      <c r="B512" t="s">
        <v>681</v>
      </c>
      <c r="C512" t="s">
        <v>120</v>
      </c>
      <c r="D512" t="s">
        <v>228</v>
      </c>
      <c r="E512" t="s">
        <v>584</v>
      </c>
      <c r="F512">
        <v>3</v>
      </c>
      <c r="G512">
        <v>193</v>
      </c>
      <c r="H512" s="705">
        <v>1028</v>
      </c>
      <c r="I512" s="705">
        <v>44033</v>
      </c>
      <c r="J512" s="706">
        <v>16308</v>
      </c>
      <c r="K512" s="705">
        <v>100</v>
      </c>
      <c r="L512" s="705">
        <v>5672</v>
      </c>
      <c r="M512" s="705">
        <v>2855</v>
      </c>
      <c r="N512" s="705">
        <v>4701</v>
      </c>
      <c r="O512" s="705">
        <v>1741</v>
      </c>
      <c r="P512">
        <v>122</v>
      </c>
      <c r="Q512">
        <v>45</v>
      </c>
      <c r="R512" s="705">
        <v>11783</v>
      </c>
      <c r="S512" s="705">
        <v>10712</v>
      </c>
      <c r="T512">
        <v>0</v>
      </c>
      <c r="U512">
        <v>0</v>
      </c>
      <c r="V512" s="705">
        <v>31661</v>
      </c>
      <c r="W512" s="705">
        <f t="shared" si="30"/>
        <v>31661</v>
      </c>
      <c r="X512" s="705">
        <f t="shared" si="31"/>
        <v>66311</v>
      </c>
      <c r="Y512" s="705"/>
    </row>
    <row r="513" spans="2:25">
      <c r="B513" t="s">
        <v>681</v>
      </c>
      <c r="C513" t="s">
        <v>120</v>
      </c>
      <c r="D513" t="s">
        <v>583</v>
      </c>
      <c r="E513" t="s">
        <v>583</v>
      </c>
      <c r="F513" s="705">
        <v>5</v>
      </c>
      <c r="G513" s="705">
        <v>261</v>
      </c>
      <c r="H513" s="705">
        <v>1653</v>
      </c>
      <c r="I513" s="705">
        <v>49883</v>
      </c>
      <c r="J513" s="706">
        <v>45348</v>
      </c>
      <c r="K513" s="705">
        <v>78</v>
      </c>
      <c r="L513" s="705">
        <v>1489</v>
      </c>
      <c r="M513">
        <v>551</v>
      </c>
      <c r="N513" s="705">
        <v>5859</v>
      </c>
      <c r="O513" s="705">
        <v>2170</v>
      </c>
      <c r="P513" s="705">
        <v>3105</v>
      </c>
      <c r="Q513" s="705">
        <v>1150</v>
      </c>
      <c r="R513" s="705">
        <v>19522</v>
      </c>
      <c r="S513" s="705">
        <v>17747</v>
      </c>
      <c r="T513" s="705">
        <v>6322</v>
      </c>
      <c r="U513" s="705">
        <v>2342</v>
      </c>
      <c r="V513" s="705">
        <v>69308</v>
      </c>
      <c r="W513" s="705">
        <f t="shared" si="30"/>
        <v>69308</v>
      </c>
      <c r="X513" s="705">
        <f t="shared" si="31"/>
        <v>86180</v>
      </c>
      <c r="Y513" s="705"/>
    </row>
    <row r="514" spans="2:25">
      <c r="B514" t="s">
        <v>681</v>
      </c>
      <c r="C514" t="s">
        <v>120</v>
      </c>
      <c r="D514" t="s">
        <v>584</v>
      </c>
      <c r="E514" t="s">
        <v>228</v>
      </c>
      <c r="F514">
        <v>6</v>
      </c>
      <c r="G514">
        <v>417</v>
      </c>
      <c r="H514" s="705">
        <v>1959</v>
      </c>
      <c r="I514" s="705">
        <v>79566</v>
      </c>
      <c r="J514" s="706">
        <v>72333</v>
      </c>
      <c r="K514" s="705">
        <v>84</v>
      </c>
      <c r="L514" s="705">
        <v>12534</v>
      </c>
      <c r="M514" s="705">
        <v>9747</v>
      </c>
      <c r="N514" s="705">
        <v>8765</v>
      </c>
      <c r="O514" s="705">
        <v>3246</v>
      </c>
      <c r="P514" s="705">
        <v>2835</v>
      </c>
      <c r="Q514" s="705">
        <v>1050</v>
      </c>
      <c r="R514" s="705">
        <v>37229</v>
      </c>
      <c r="S514" s="705">
        <v>13788</v>
      </c>
      <c r="T514">
        <v>0</v>
      </c>
      <c r="U514">
        <v>0</v>
      </c>
      <c r="V514" s="705">
        <v>100165</v>
      </c>
      <c r="W514" s="705">
        <f t="shared" si="30"/>
        <v>100164</v>
      </c>
      <c r="X514" s="705">
        <f t="shared" si="31"/>
        <v>140929</v>
      </c>
      <c r="Y514" s="705"/>
    </row>
    <row r="515" spans="2:25">
      <c r="B515" t="s">
        <v>681</v>
      </c>
      <c r="C515" t="s">
        <v>120</v>
      </c>
      <c r="D515" t="s">
        <v>584</v>
      </c>
      <c r="E515" t="s">
        <v>584</v>
      </c>
      <c r="F515">
        <v>222</v>
      </c>
      <c r="G515" s="705">
        <v>14093</v>
      </c>
      <c r="H515" s="705">
        <v>75118</v>
      </c>
      <c r="I515" s="705">
        <v>2744670</v>
      </c>
      <c r="J515" s="706">
        <v>2495154</v>
      </c>
      <c r="K515" s="705">
        <v>76</v>
      </c>
      <c r="L515" s="705">
        <v>495665</v>
      </c>
      <c r="M515" s="705">
        <v>425311</v>
      </c>
      <c r="N515" s="705">
        <v>296238</v>
      </c>
      <c r="O515" s="705">
        <v>109718</v>
      </c>
      <c r="P515" s="705">
        <v>105152</v>
      </c>
      <c r="Q515" s="705">
        <v>38945</v>
      </c>
      <c r="R515" s="705">
        <v>910464</v>
      </c>
      <c r="S515" s="705">
        <v>827695</v>
      </c>
      <c r="T515" s="705">
        <v>206909</v>
      </c>
      <c r="U515" s="705">
        <v>76633</v>
      </c>
      <c r="V515" s="705">
        <v>3973456</v>
      </c>
      <c r="W515" s="705">
        <f t="shared" si="30"/>
        <v>3973456</v>
      </c>
      <c r="X515" s="705">
        <f t="shared" si="31"/>
        <v>4759098</v>
      </c>
      <c r="Y515" s="705"/>
    </row>
    <row r="516" spans="2:25">
      <c r="B516" t="s">
        <v>681</v>
      </c>
      <c r="C516" t="s">
        <v>122</v>
      </c>
      <c r="F516" s="705">
        <v>28</v>
      </c>
      <c r="G516" s="705">
        <v>1431</v>
      </c>
      <c r="H516" s="705">
        <v>11618</v>
      </c>
      <c r="J516" s="706">
        <v>0</v>
      </c>
      <c r="K516" s="705"/>
      <c r="M516">
        <v>0</v>
      </c>
      <c r="N516" s="705">
        <v>25240</v>
      </c>
      <c r="O516" s="705">
        <v>9348</v>
      </c>
      <c r="P516" s="705">
        <v>2295</v>
      </c>
      <c r="Q516">
        <v>850</v>
      </c>
      <c r="S516">
        <v>0</v>
      </c>
      <c r="T516" s="705">
        <v>12166</v>
      </c>
      <c r="U516" s="705">
        <v>4506</v>
      </c>
      <c r="V516" s="705">
        <v>14704</v>
      </c>
      <c r="W516" s="705">
        <f t="shared" si="30"/>
        <v>14704</v>
      </c>
      <c r="X516" s="705">
        <f t="shared" si="31"/>
        <v>39701</v>
      </c>
      <c r="Y516" s="705"/>
    </row>
    <row r="517" spans="2:25">
      <c r="B517" t="s">
        <v>681</v>
      </c>
      <c r="C517" t="s">
        <v>122</v>
      </c>
      <c r="D517" t="s">
        <v>228</v>
      </c>
      <c r="E517" t="s">
        <v>228</v>
      </c>
      <c r="F517" s="705">
        <v>145</v>
      </c>
      <c r="G517" s="705">
        <v>7774</v>
      </c>
      <c r="H517" s="705">
        <v>59603</v>
      </c>
      <c r="I517" s="705">
        <v>1864808</v>
      </c>
      <c r="J517" s="706">
        <v>690670</v>
      </c>
      <c r="K517" s="705">
        <v>100</v>
      </c>
      <c r="L517" s="705">
        <v>267748</v>
      </c>
      <c r="M517" s="705">
        <v>155327</v>
      </c>
      <c r="N517" s="705">
        <v>163062</v>
      </c>
      <c r="O517" s="705">
        <v>60394</v>
      </c>
      <c r="P517">
        <v>351</v>
      </c>
      <c r="Q517">
        <v>130</v>
      </c>
      <c r="R517" s="705">
        <v>895347</v>
      </c>
      <c r="S517" s="705">
        <v>331610</v>
      </c>
      <c r="T517">
        <v>0</v>
      </c>
      <c r="U517">
        <v>0</v>
      </c>
      <c r="V517" s="705">
        <v>1238131</v>
      </c>
      <c r="W517" s="705">
        <f t="shared" si="30"/>
        <v>1238131</v>
      </c>
      <c r="X517" s="705">
        <f t="shared" si="31"/>
        <v>3191316</v>
      </c>
      <c r="Y517" s="705"/>
    </row>
    <row r="518" spans="2:25">
      <c r="B518" t="s">
        <v>681</v>
      </c>
      <c r="C518" t="s">
        <v>122</v>
      </c>
      <c r="D518" t="s">
        <v>583</v>
      </c>
      <c r="E518" t="s">
        <v>583</v>
      </c>
      <c r="F518" s="705">
        <v>3</v>
      </c>
      <c r="G518" s="705">
        <v>459</v>
      </c>
      <c r="H518" s="705">
        <v>1243</v>
      </c>
      <c r="I518" s="705">
        <v>129713</v>
      </c>
      <c r="J518" s="706">
        <v>117921</v>
      </c>
      <c r="K518" s="705">
        <v>72</v>
      </c>
      <c r="L518" s="705">
        <v>27345</v>
      </c>
      <c r="M518" s="705">
        <v>23528</v>
      </c>
      <c r="N518" s="705">
        <v>9190</v>
      </c>
      <c r="O518" s="705">
        <v>3404</v>
      </c>
      <c r="P518" s="705">
        <v>1863</v>
      </c>
      <c r="Q518">
        <v>690</v>
      </c>
      <c r="R518" s="705">
        <v>18057</v>
      </c>
      <c r="S518" s="705">
        <v>16416</v>
      </c>
      <c r="T518" s="705">
        <v>6624</v>
      </c>
      <c r="U518" s="705">
        <v>2453</v>
      </c>
      <c r="V518" s="705">
        <v>164411</v>
      </c>
      <c r="W518" s="705">
        <f t="shared" si="30"/>
        <v>164412</v>
      </c>
      <c r="X518" s="705">
        <f t="shared" si="31"/>
        <v>192792</v>
      </c>
      <c r="Y518" s="705"/>
    </row>
    <row r="519" spans="2:25">
      <c r="B519" t="s">
        <v>681</v>
      </c>
      <c r="C519" t="s">
        <v>122</v>
      </c>
      <c r="D519" t="s">
        <v>584</v>
      </c>
      <c r="E519" t="s">
        <v>228</v>
      </c>
      <c r="F519" s="705">
        <v>4</v>
      </c>
      <c r="G519" s="705">
        <v>167</v>
      </c>
      <c r="H519" s="705">
        <v>1647</v>
      </c>
      <c r="I519" s="705">
        <v>42728</v>
      </c>
      <c r="J519" s="706">
        <v>38844</v>
      </c>
      <c r="K519" s="705">
        <v>77</v>
      </c>
      <c r="L519" s="705">
        <v>1277</v>
      </c>
      <c r="M519">
        <v>473</v>
      </c>
      <c r="N519" s="705">
        <v>3185</v>
      </c>
      <c r="O519" s="705">
        <v>1180</v>
      </c>
      <c r="P519">
        <v>945</v>
      </c>
      <c r="Q519">
        <v>350</v>
      </c>
      <c r="R519" s="705">
        <v>20735</v>
      </c>
      <c r="S519" s="705">
        <v>7680</v>
      </c>
      <c r="T519">
        <v>0</v>
      </c>
      <c r="U519">
        <v>0</v>
      </c>
      <c r="V519" s="705">
        <v>48526</v>
      </c>
      <c r="W519" s="705">
        <f t="shared" ref="W519:W582" si="32">SUM(ABS(J519),ABS(M519),ABS(O519),ABS(Q519),ABS(S519),ABS(U519))</f>
        <v>48527</v>
      </c>
      <c r="X519" s="705">
        <f t="shared" ref="X519:X582" si="33">SUM(ABS(I519),ABS(N519),ABS(P519),ABS(R519),ABS(T519),ABS(L519))</f>
        <v>68870</v>
      </c>
      <c r="Y519" s="705"/>
    </row>
    <row r="520" spans="2:25">
      <c r="B520" t="s">
        <v>681</v>
      </c>
      <c r="C520" t="s">
        <v>122</v>
      </c>
      <c r="D520" t="s">
        <v>584</v>
      </c>
      <c r="E520" t="s">
        <v>584</v>
      </c>
      <c r="F520" s="705">
        <v>82</v>
      </c>
      <c r="G520" s="705">
        <v>5310</v>
      </c>
      <c r="H520" s="705">
        <v>33847</v>
      </c>
      <c r="I520" s="705">
        <v>1344437</v>
      </c>
      <c r="J520" s="706">
        <v>1222215</v>
      </c>
      <c r="K520" s="705">
        <v>75</v>
      </c>
      <c r="L520" s="705">
        <v>251531</v>
      </c>
      <c r="M520" s="705">
        <v>203996</v>
      </c>
      <c r="N520" s="705">
        <v>115519</v>
      </c>
      <c r="O520" s="705">
        <v>42785</v>
      </c>
      <c r="P520" s="705">
        <v>38381</v>
      </c>
      <c r="Q520" s="705">
        <v>14215</v>
      </c>
      <c r="R520" s="705">
        <v>364007</v>
      </c>
      <c r="S520" s="705">
        <v>330916</v>
      </c>
      <c r="T520" s="705">
        <v>82732</v>
      </c>
      <c r="U520" s="705">
        <v>30641</v>
      </c>
      <c r="V520" s="705">
        <v>1844768</v>
      </c>
      <c r="W520" s="705">
        <f t="shared" si="32"/>
        <v>1844768</v>
      </c>
      <c r="X520" s="705">
        <f t="shared" si="33"/>
        <v>2196607</v>
      </c>
      <c r="Y520" s="705"/>
    </row>
    <row r="521" spans="2:25">
      <c r="B521" t="s">
        <v>681</v>
      </c>
      <c r="C521" t="s">
        <v>122</v>
      </c>
      <c r="D521" t="s">
        <v>669</v>
      </c>
      <c r="E521" t="s">
        <v>228</v>
      </c>
      <c r="F521" s="705">
        <v>1</v>
      </c>
      <c r="G521" s="705">
        <v>38</v>
      </c>
      <c r="H521" s="705">
        <v>398</v>
      </c>
      <c r="I521" s="705">
        <v>7820</v>
      </c>
      <c r="J521" s="706">
        <v>6517</v>
      </c>
      <c r="K521" s="705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705">
        <v>5842</v>
      </c>
      <c r="S521" s="705">
        <v>2164</v>
      </c>
      <c r="T521">
        <v>0</v>
      </c>
      <c r="U521">
        <v>0</v>
      </c>
      <c r="V521" s="705">
        <v>9241</v>
      </c>
      <c r="W521" s="705">
        <f t="shared" si="32"/>
        <v>9242</v>
      </c>
      <c r="X521" s="705">
        <f t="shared" si="33"/>
        <v>15176</v>
      </c>
      <c r="Y521" s="705"/>
    </row>
    <row r="522" spans="2:25">
      <c r="B522" t="s">
        <v>681</v>
      </c>
      <c r="C522" t="s">
        <v>124</v>
      </c>
      <c r="F522">
        <v>19</v>
      </c>
      <c r="G522">
        <v>875</v>
      </c>
      <c r="H522" s="705">
        <v>10151</v>
      </c>
      <c r="J522" s="429">
        <v>0</v>
      </c>
      <c r="M522">
        <v>0</v>
      </c>
      <c r="N522" s="705">
        <v>17356</v>
      </c>
      <c r="O522" s="705">
        <v>6428</v>
      </c>
      <c r="P522" s="705">
        <v>2390</v>
      </c>
      <c r="Q522">
        <v>885</v>
      </c>
      <c r="S522">
        <v>0</v>
      </c>
      <c r="T522" s="705">
        <v>9600</v>
      </c>
      <c r="U522" s="705">
        <v>3556</v>
      </c>
      <c r="V522" s="705">
        <v>10869</v>
      </c>
      <c r="W522" s="705">
        <f t="shared" si="32"/>
        <v>10869</v>
      </c>
      <c r="X522" s="705">
        <f t="shared" si="33"/>
        <v>29346</v>
      </c>
      <c r="Y522" s="705"/>
    </row>
    <row r="523" spans="2:25">
      <c r="B523" t="s">
        <v>681</v>
      </c>
      <c r="C523" t="s">
        <v>124</v>
      </c>
      <c r="D523" t="s">
        <v>228</v>
      </c>
      <c r="E523" t="s">
        <v>228</v>
      </c>
      <c r="F523">
        <v>129</v>
      </c>
      <c r="G523" s="705">
        <v>6538</v>
      </c>
      <c r="H523" s="705">
        <v>74719</v>
      </c>
      <c r="I523" s="705">
        <v>2568168</v>
      </c>
      <c r="J523" s="706">
        <v>951173</v>
      </c>
      <c r="K523" s="705">
        <v>100</v>
      </c>
      <c r="L523" s="705">
        <v>319434</v>
      </c>
      <c r="M523" s="705">
        <v>206114</v>
      </c>
      <c r="N523" s="705">
        <v>138925</v>
      </c>
      <c r="O523" s="705">
        <v>51454</v>
      </c>
      <c r="P523" s="705">
        <v>2228</v>
      </c>
      <c r="Q523">
        <v>825</v>
      </c>
      <c r="R523" s="705">
        <v>797847</v>
      </c>
      <c r="S523" s="705">
        <v>295499</v>
      </c>
      <c r="T523" s="705">
        <v>2256</v>
      </c>
      <c r="U523">
        <v>836</v>
      </c>
      <c r="V523" s="705">
        <v>1505901</v>
      </c>
      <c r="W523" s="705">
        <f t="shared" si="32"/>
        <v>1505901</v>
      </c>
      <c r="X523" s="705">
        <f t="shared" si="33"/>
        <v>3828858</v>
      </c>
      <c r="Y523" s="705"/>
    </row>
    <row r="524" spans="2:25">
      <c r="B524" t="s">
        <v>681</v>
      </c>
      <c r="C524" t="s">
        <v>124</v>
      </c>
      <c r="D524" t="s">
        <v>666</v>
      </c>
      <c r="E524" t="s">
        <v>228</v>
      </c>
      <c r="F524" s="705">
        <v>2</v>
      </c>
      <c r="G524" s="705">
        <v>135</v>
      </c>
      <c r="H524" s="705">
        <v>1320</v>
      </c>
      <c r="I524" s="705">
        <v>67692</v>
      </c>
      <c r="J524" s="706">
        <v>61538</v>
      </c>
      <c r="K524" s="705">
        <v>30</v>
      </c>
      <c r="L524" s="705">
        <v>2500</v>
      </c>
      <c r="M524" s="705">
        <v>2273</v>
      </c>
      <c r="N524" s="705">
        <v>3288</v>
      </c>
      <c r="O524" s="705">
        <v>1218</v>
      </c>
      <c r="P524">
        <v>0</v>
      </c>
      <c r="Q524">
        <v>0</v>
      </c>
      <c r="R524" s="705">
        <v>16407</v>
      </c>
      <c r="S524" s="705">
        <v>6077</v>
      </c>
      <c r="T524">
        <v>0</v>
      </c>
      <c r="U524">
        <v>0</v>
      </c>
      <c r="V524" s="705">
        <v>71105</v>
      </c>
      <c r="W524" s="705">
        <f t="shared" si="32"/>
        <v>71106</v>
      </c>
      <c r="X524" s="705">
        <f t="shared" si="33"/>
        <v>89887</v>
      </c>
      <c r="Y524" s="705"/>
    </row>
    <row r="525" spans="2:25">
      <c r="B525" t="s">
        <v>681</v>
      </c>
      <c r="C525" t="s">
        <v>124</v>
      </c>
      <c r="D525" t="s">
        <v>584</v>
      </c>
      <c r="E525" t="s">
        <v>228</v>
      </c>
      <c r="F525" s="705">
        <v>4</v>
      </c>
      <c r="G525" s="705">
        <v>183</v>
      </c>
      <c r="H525" s="705">
        <v>2337</v>
      </c>
      <c r="I525" s="705">
        <v>62395</v>
      </c>
      <c r="J525" s="706">
        <v>56723</v>
      </c>
      <c r="K525" s="705">
        <v>72</v>
      </c>
      <c r="L525" s="705">
        <v>10013</v>
      </c>
      <c r="M525" s="705">
        <v>7492</v>
      </c>
      <c r="N525" s="705">
        <v>4154</v>
      </c>
      <c r="O525" s="705">
        <v>1539</v>
      </c>
      <c r="P525" s="705">
        <v>1418</v>
      </c>
      <c r="Q525">
        <v>525</v>
      </c>
      <c r="R525" s="705">
        <v>29263</v>
      </c>
      <c r="S525" s="705">
        <v>10838</v>
      </c>
      <c r="T525">
        <v>0</v>
      </c>
      <c r="U525">
        <v>0</v>
      </c>
      <c r="V525" s="705">
        <v>77116</v>
      </c>
      <c r="W525" s="705">
        <f t="shared" si="32"/>
        <v>77117</v>
      </c>
      <c r="X525" s="705">
        <f t="shared" si="33"/>
        <v>107243</v>
      </c>
      <c r="Y525" s="705"/>
    </row>
    <row r="526" spans="2:25">
      <c r="B526" t="s">
        <v>681</v>
      </c>
      <c r="C526" t="s">
        <v>124</v>
      </c>
      <c r="D526" t="s">
        <v>584</v>
      </c>
      <c r="E526" t="s">
        <v>584</v>
      </c>
      <c r="F526" s="705">
        <v>43</v>
      </c>
      <c r="G526" s="705">
        <v>2374</v>
      </c>
      <c r="H526" s="705">
        <v>22159</v>
      </c>
      <c r="I526" s="705">
        <v>777343</v>
      </c>
      <c r="J526" s="706">
        <v>706675</v>
      </c>
      <c r="K526" s="705">
        <v>74</v>
      </c>
      <c r="L526" s="705">
        <v>130297</v>
      </c>
      <c r="M526" s="705">
        <v>115612</v>
      </c>
      <c r="N526" s="705">
        <v>50912</v>
      </c>
      <c r="O526" s="705">
        <v>18856</v>
      </c>
      <c r="P526" s="705">
        <v>20318</v>
      </c>
      <c r="Q526" s="705">
        <v>7525</v>
      </c>
      <c r="R526" s="705">
        <v>184245</v>
      </c>
      <c r="S526" s="705">
        <v>167496</v>
      </c>
      <c r="T526" s="705">
        <v>46518</v>
      </c>
      <c r="U526" s="705">
        <v>17229</v>
      </c>
      <c r="V526" s="705">
        <v>1033393</v>
      </c>
      <c r="W526" s="705">
        <f t="shared" si="32"/>
        <v>1033393</v>
      </c>
      <c r="X526" s="705">
        <f t="shared" si="33"/>
        <v>1209633</v>
      </c>
      <c r="Y526" s="705"/>
    </row>
    <row r="527" spans="2:25">
      <c r="B527" t="s">
        <v>681</v>
      </c>
      <c r="C527" t="s">
        <v>124</v>
      </c>
      <c r="D527" t="s">
        <v>665</v>
      </c>
      <c r="E527" t="s">
        <v>228</v>
      </c>
      <c r="F527">
        <v>2</v>
      </c>
      <c r="G527" s="705">
        <v>148</v>
      </c>
      <c r="H527" s="705">
        <v>1468</v>
      </c>
      <c r="I527" s="705">
        <v>89605</v>
      </c>
      <c r="J527" s="706">
        <v>81459</v>
      </c>
      <c r="K527" s="705">
        <v>30</v>
      </c>
      <c r="L527" s="705">
        <v>2439</v>
      </c>
      <c r="M527">
        <v>903</v>
      </c>
      <c r="N527" s="705">
        <v>2488</v>
      </c>
      <c r="O527">
        <v>921</v>
      </c>
      <c r="P527">
        <v>351</v>
      </c>
      <c r="Q527">
        <v>130</v>
      </c>
      <c r="R527" s="705">
        <v>13950</v>
      </c>
      <c r="S527" s="705">
        <v>5167</v>
      </c>
      <c r="T527">
        <v>0</v>
      </c>
      <c r="U527">
        <v>0</v>
      </c>
      <c r="V527" s="705">
        <v>88580</v>
      </c>
      <c r="W527" s="705">
        <f t="shared" si="32"/>
        <v>88580</v>
      </c>
      <c r="X527" s="705">
        <f t="shared" si="33"/>
        <v>108833</v>
      </c>
      <c r="Y527" s="705"/>
    </row>
    <row r="528" spans="2:25">
      <c r="B528" t="s">
        <v>682</v>
      </c>
      <c r="C528" t="s">
        <v>108</v>
      </c>
      <c r="F528">
        <v>35</v>
      </c>
      <c r="G528" s="705">
        <v>2753</v>
      </c>
      <c r="H528" s="705">
        <v>2359</v>
      </c>
      <c r="J528" s="706">
        <v>0</v>
      </c>
      <c r="K528" s="705"/>
      <c r="M528">
        <v>0</v>
      </c>
      <c r="N528" s="705">
        <v>38115</v>
      </c>
      <c r="O528" s="705">
        <v>14117</v>
      </c>
      <c r="P528" s="705">
        <v>29950</v>
      </c>
      <c r="Q528" s="705">
        <v>11093</v>
      </c>
      <c r="S528">
        <v>0</v>
      </c>
      <c r="T528">
        <v>0</v>
      </c>
      <c r="U528">
        <v>0</v>
      </c>
      <c r="V528" s="705">
        <v>25209</v>
      </c>
      <c r="W528" s="705">
        <f t="shared" si="32"/>
        <v>25210</v>
      </c>
      <c r="X528" s="705">
        <f t="shared" si="33"/>
        <v>68065</v>
      </c>
      <c r="Y528" s="705"/>
    </row>
    <row r="529" spans="2:25">
      <c r="B529" t="s">
        <v>682</v>
      </c>
      <c r="C529" t="s">
        <v>108</v>
      </c>
      <c r="D529" t="s">
        <v>228</v>
      </c>
      <c r="E529" t="s">
        <v>228</v>
      </c>
      <c r="F529" s="705">
        <v>71</v>
      </c>
      <c r="G529" s="705">
        <v>6287</v>
      </c>
      <c r="H529" s="705">
        <v>3403</v>
      </c>
      <c r="I529" s="705">
        <v>31098</v>
      </c>
      <c r="J529" s="706">
        <v>11518</v>
      </c>
      <c r="K529" s="705">
        <v>100</v>
      </c>
      <c r="L529">
        <v>0</v>
      </c>
      <c r="M529">
        <v>0</v>
      </c>
      <c r="N529" s="705">
        <v>76604</v>
      </c>
      <c r="O529" s="705">
        <v>28372</v>
      </c>
      <c r="P529" s="705">
        <v>55846</v>
      </c>
      <c r="Q529" s="705">
        <v>20684</v>
      </c>
      <c r="R529" s="705">
        <v>138212</v>
      </c>
      <c r="S529" s="705">
        <v>51190</v>
      </c>
      <c r="T529">
        <v>0</v>
      </c>
      <c r="U529">
        <v>0</v>
      </c>
      <c r="V529" s="705">
        <v>111763</v>
      </c>
      <c r="W529" s="705">
        <f t="shared" si="32"/>
        <v>111764</v>
      </c>
      <c r="X529" s="705">
        <f t="shared" si="33"/>
        <v>301760</v>
      </c>
      <c r="Y529" s="705"/>
    </row>
    <row r="530" spans="2:25">
      <c r="B530" t="s">
        <v>682</v>
      </c>
      <c r="C530" t="s">
        <v>108</v>
      </c>
      <c r="D530" t="s">
        <v>584</v>
      </c>
      <c r="E530" t="s">
        <v>584</v>
      </c>
      <c r="F530">
        <v>40</v>
      </c>
      <c r="G530" s="705">
        <v>2113</v>
      </c>
      <c r="H530" s="705">
        <v>2516</v>
      </c>
      <c r="I530" s="705">
        <v>16057</v>
      </c>
      <c r="J530" s="706">
        <v>14598</v>
      </c>
      <c r="K530" s="705">
        <v>90</v>
      </c>
      <c r="L530">
        <v>0</v>
      </c>
      <c r="M530">
        <v>0</v>
      </c>
      <c r="N530" s="705">
        <v>25748</v>
      </c>
      <c r="O530" s="705">
        <v>9536</v>
      </c>
      <c r="P530" s="705">
        <v>18900</v>
      </c>
      <c r="Q530" s="705">
        <v>7000</v>
      </c>
      <c r="R530" s="705">
        <v>72211</v>
      </c>
      <c r="S530" s="705">
        <v>65646</v>
      </c>
      <c r="T530">
        <v>0</v>
      </c>
      <c r="U530">
        <v>0</v>
      </c>
      <c r="V530" s="705">
        <v>96780</v>
      </c>
      <c r="W530" s="705">
        <f t="shared" si="32"/>
        <v>96780</v>
      </c>
      <c r="X530" s="705">
        <f t="shared" si="33"/>
        <v>132916</v>
      </c>
      <c r="Y530" s="705"/>
    </row>
    <row r="531" spans="2:25">
      <c r="B531" t="s">
        <v>682</v>
      </c>
      <c r="C531" t="s">
        <v>110</v>
      </c>
      <c r="F531">
        <v>74</v>
      </c>
      <c r="G531" s="705">
        <v>5605</v>
      </c>
      <c r="H531" s="705">
        <v>6361</v>
      </c>
      <c r="J531" s="706">
        <v>0</v>
      </c>
      <c r="K531" s="705"/>
      <c r="M531">
        <v>0</v>
      </c>
      <c r="N531" s="705">
        <v>83097</v>
      </c>
      <c r="O531" s="705">
        <v>30777</v>
      </c>
      <c r="P531" s="705">
        <v>42245</v>
      </c>
      <c r="Q531" s="705">
        <v>15646</v>
      </c>
      <c r="S531">
        <v>0</v>
      </c>
      <c r="T531">
        <v>0</v>
      </c>
      <c r="U531">
        <v>0</v>
      </c>
      <c r="V531" s="705">
        <v>46423</v>
      </c>
      <c r="W531" s="705">
        <f t="shared" si="32"/>
        <v>46423</v>
      </c>
      <c r="X531" s="705">
        <f t="shared" si="33"/>
        <v>125342</v>
      </c>
      <c r="Y531" s="705"/>
    </row>
    <row r="532" spans="2:25">
      <c r="B532" t="s">
        <v>682</v>
      </c>
      <c r="C532" t="s">
        <v>110</v>
      </c>
      <c r="D532" t="s">
        <v>228</v>
      </c>
      <c r="E532" t="s">
        <v>228</v>
      </c>
      <c r="F532">
        <v>4</v>
      </c>
      <c r="G532">
        <v>433</v>
      </c>
      <c r="H532" s="705">
        <v>359</v>
      </c>
      <c r="I532" s="705">
        <v>18863</v>
      </c>
      <c r="J532" s="706">
        <v>6986</v>
      </c>
      <c r="K532" s="705">
        <v>282</v>
      </c>
      <c r="L532">
        <v>0</v>
      </c>
      <c r="M532">
        <v>0</v>
      </c>
      <c r="N532" s="705">
        <v>5974</v>
      </c>
      <c r="O532" s="705">
        <v>2212</v>
      </c>
      <c r="P532" s="705">
        <v>1404</v>
      </c>
      <c r="Q532">
        <v>520</v>
      </c>
      <c r="R532" s="705">
        <v>12647</v>
      </c>
      <c r="S532" s="705">
        <v>4684</v>
      </c>
      <c r="T532">
        <v>0</v>
      </c>
      <c r="U532">
        <v>0</v>
      </c>
      <c r="V532" s="705">
        <v>14403</v>
      </c>
      <c r="W532" s="705">
        <f t="shared" si="32"/>
        <v>14402</v>
      </c>
      <c r="X532" s="705">
        <f t="shared" si="33"/>
        <v>38888</v>
      </c>
      <c r="Y532" s="705"/>
    </row>
    <row r="533" spans="2:25">
      <c r="B533" t="s">
        <v>682</v>
      </c>
      <c r="C533" t="s">
        <v>110</v>
      </c>
      <c r="D533" t="s">
        <v>584</v>
      </c>
      <c r="E533" t="s">
        <v>584</v>
      </c>
      <c r="F533">
        <v>10</v>
      </c>
      <c r="G533">
        <v>694</v>
      </c>
      <c r="H533" s="705">
        <v>822</v>
      </c>
      <c r="I533" s="705">
        <v>18713</v>
      </c>
      <c r="J533" s="706">
        <v>17012</v>
      </c>
      <c r="K533" s="705">
        <v>89</v>
      </c>
      <c r="L533">
        <v>0</v>
      </c>
      <c r="M533">
        <v>0</v>
      </c>
      <c r="N533" s="705">
        <v>9012</v>
      </c>
      <c r="O533" s="705">
        <v>3338</v>
      </c>
      <c r="P533" s="705">
        <v>4725</v>
      </c>
      <c r="Q533" s="705">
        <v>1750</v>
      </c>
      <c r="R533" s="705">
        <v>24993</v>
      </c>
      <c r="S533" s="705">
        <v>22721</v>
      </c>
      <c r="T533">
        <v>0</v>
      </c>
      <c r="U533">
        <v>0</v>
      </c>
      <c r="V533" s="705">
        <v>44821</v>
      </c>
      <c r="W533" s="705">
        <f t="shared" si="32"/>
        <v>44821</v>
      </c>
      <c r="X533" s="705">
        <f t="shared" si="33"/>
        <v>57443</v>
      </c>
      <c r="Y533" s="705"/>
    </row>
    <row r="534" spans="2:25">
      <c r="B534" t="s">
        <v>682</v>
      </c>
      <c r="C534" t="s">
        <v>112</v>
      </c>
      <c r="F534">
        <v>40</v>
      </c>
      <c r="G534" s="705">
        <v>2717</v>
      </c>
      <c r="H534" s="705">
        <v>4454</v>
      </c>
      <c r="J534" s="429">
        <v>0</v>
      </c>
      <c r="K534" s="705"/>
      <c r="M534">
        <v>0</v>
      </c>
      <c r="N534" s="705">
        <v>49344</v>
      </c>
      <c r="O534" s="705">
        <v>18276</v>
      </c>
      <c r="P534" s="705">
        <v>10224</v>
      </c>
      <c r="Q534" s="705">
        <v>3787</v>
      </c>
      <c r="S534">
        <v>0</v>
      </c>
      <c r="T534">
        <v>0</v>
      </c>
      <c r="U534">
        <v>0</v>
      </c>
      <c r="V534" s="705">
        <v>22062</v>
      </c>
      <c r="W534" s="705">
        <f t="shared" si="32"/>
        <v>22063</v>
      </c>
      <c r="X534" s="705">
        <f t="shared" si="33"/>
        <v>59568</v>
      </c>
      <c r="Y534" s="705"/>
    </row>
    <row r="535" spans="2:25">
      <c r="B535" t="s">
        <v>682</v>
      </c>
      <c r="C535" t="s">
        <v>112</v>
      </c>
      <c r="D535" t="s">
        <v>228</v>
      </c>
      <c r="E535" t="s">
        <v>228</v>
      </c>
      <c r="F535" s="705">
        <v>9</v>
      </c>
      <c r="G535" s="705">
        <v>414</v>
      </c>
      <c r="H535" s="705">
        <v>1050</v>
      </c>
      <c r="I535" s="705">
        <v>10633</v>
      </c>
      <c r="J535" s="706">
        <v>3938</v>
      </c>
      <c r="K535" s="705">
        <v>347</v>
      </c>
      <c r="L535" s="705">
        <v>2653</v>
      </c>
      <c r="M535">
        <v>982</v>
      </c>
      <c r="N535" s="705">
        <v>5102</v>
      </c>
      <c r="O535" s="705">
        <v>1890</v>
      </c>
      <c r="P535" s="705">
        <v>3159</v>
      </c>
      <c r="Q535" s="705">
        <v>1170</v>
      </c>
      <c r="R535" s="705">
        <v>13297</v>
      </c>
      <c r="S535" s="705">
        <v>4925</v>
      </c>
      <c r="T535" s="705">
        <v>13371</v>
      </c>
      <c r="U535" s="705">
        <v>4952</v>
      </c>
      <c r="V535" s="705">
        <v>17857</v>
      </c>
      <c r="W535" s="705">
        <f t="shared" si="32"/>
        <v>17857</v>
      </c>
      <c r="X535" s="705">
        <f t="shared" si="33"/>
        <v>48215</v>
      </c>
      <c r="Y535" s="705"/>
    </row>
    <row r="536" spans="2:25">
      <c r="B536" t="s">
        <v>682</v>
      </c>
      <c r="C536" t="s">
        <v>112</v>
      </c>
      <c r="D536" t="s">
        <v>584</v>
      </c>
      <c r="E536" t="s">
        <v>584</v>
      </c>
      <c r="F536">
        <v>59</v>
      </c>
      <c r="G536" s="705">
        <v>4750</v>
      </c>
      <c r="H536" s="705">
        <v>6729</v>
      </c>
      <c r="I536" s="705">
        <v>192450</v>
      </c>
      <c r="J536" s="706">
        <v>174955</v>
      </c>
      <c r="K536" s="705">
        <v>85</v>
      </c>
      <c r="L536" s="705">
        <v>1262</v>
      </c>
      <c r="M536">
        <v>467</v>
      </c>
      <c r="N536" s="705">
        <v>97519</v>
      </c>
      <c r="O536" s="705">
        <v>36118</v>
      </c>
      <c r="P536" s="705">
        <v>27392</v>
      </c>
      <c r="Q536" s="705">
        <v>10145</v>
      </c>
      <c r="R536" s="705">
        <v>220746</v>
      </c>
      <c r="S536" s="705">
        <v>200678</v>
      </c>
      <c r="T536">
        <v>0</v>
      </c>
      <c r="U536">
        <v>0</v>
      </c>
      <c r="V536" s="705">
        <v>422363</v>
      </c>
      <c r="W536" s="705">
        <f t="shared" si="32"/>
        <v>422363</v>
      </c>
      <c r="X536" s="705">
        <f t="shared" si="33"/>
        <v>539369</v>
      </c>
      <c r="Y536" s="705"/>
    </row>
    <row r="537" spans="2:25">
      <c r="B537" t="s">
        <v>682</v>
      </c>
      <c r="C537" t="s">
        <v>114</v>
      </c>
      <c r="F537">
        <v>30</v>
      </c>
      <c r="G537" s="705">
        <v>1824</v>
      </c>
      <c r="H537" s="705">
        <v>4054</v>
      </c>
      <c r="J537" s="706">
        <v>0</v>
      </c>
      <c r="K537" s="705"/>
      <c r="M537">
        <v>0</v>
      </c>
      <c r="N537" s="705">
        <v>39359</v>
      </c>
      <c r="O537" s="705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705">
        <v>14782</v>
      </c>
      <c r="W537" s="705">
        <f t="shared" si="32"/>
        <v>14782</v>
      </c>
      <c r="X537" s="705">
        <f t="shared" si="33"/>
        <v>39913</v>
      </c>
      <c r="Y537" s="705"/>
    </row>
    <row r="538" spans="2:25">
      <c r="B538" t="s">
        <v>682</v>
      </c>
      <c r="C538" t="s">
        <v>114</v>
      </c>
      <c r="D538" t="s">
        <v>582</v>
      </c>
      <c r="E538" t="s">
        <v>582</v>
      </c>
      <c r="F538">
        <v>1</v>
      </c>
      <c r="G538">
        <v>72</v>
      </c>
      <c r="H538" s="705">
        <v>143</v>
      </c>
      <c r="I538" s="705">
        <v>3639</v>
      </c>
      <c r="J538" s="706">
        <v>3308</v>
      </c>
      <c r="K538" s="705">
        <v>90</v>
      </c>
      <c r="L538" s="705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705">
        <v>3253</v>
      </c>
      <c r="S538" s="705">
        <v>2958</v>
      </c>
      <c r="T538">
        <v>0</v>
      </c>
      <c r="U538">
        <v>0</v>
      </c>
      <c r="V538" s="705">
        <v>7509</v>
      </c>
      <c r="W538" s="705">
        <f t="shared" si="32"/>
        <v>7510</v>
      </c>
      <c r="X538" s="705">
        <f t="shared" si="33"/>
        <v>10251</v>
      </c>
      <c r="Y538" s="705"/>
    </row>
    <row r="539" spans="2:25">
      <c r="B539" t="s">
        <v>682</v>
      </c>
      <c r="C539" t="s">
        <v>114</v>
      </c>
      <c r="D539" t="s">
        <v>228</v>
      </c>
      <c r="E539" t="s">
        <v>228</v>
      </c>
      <c r="F539">
        <v>15</v>
      </c>
      <c r="G539">
        <v>777</v>
      </c>
      <c r="H539" s="705">
        <v>2057</v>
      </c>
      <c r="I539" s="705">
        <v>23810</v>
      </c>
      <c r="J539" s="706">
        <v>8819</v>
      </c>
      <c r="K539">
        <v>304</v>
      </c>
      <c r="L539" s="705">
        <v>8283</v>
      </c>
      <c r="M539" s="705">
        <v>3068</v>
      </c>
      <c r="N539" s="705">
        <v>10971</v>
      </c>
      <c r="O539" s="705">
        <v>4063</v>
      </c>
      <c r="P539" s="705">
        <v>4212</v>
      </c>
      <c r="Q539" s="705">
        <v>1560</v>
      </c>
      <c r="R539" s="705">
        <v>39576</v>
      </c>
      <c r="S539" s="705">
        <v>14658</v>
      </c>
      <c r="T539" s="705">
        <v>20060</v>
      </c>
      <c r="U539" s="705">
        <v>7430</v>
      </c>
      <c r="V539" s="705">
        <v>39597</v>
      </c>
      <c r="W539" s="705">
        <f t="shared" si="32"/>
        <v>39598</v>
      </c>
      <c r="X539" s="705">
        <f t="shared" si="33"/>
        <v>106912</v>
      </c>
      <c r="Y539" s="705"/>
    </row>
    <row r="540" spans="2:25">
      <c r="B540" t="s">
        <v>682</v>
      </c>
      <c r="C540" t="s">
        <v>114</v>
      </c>
      <c r="D540" t="s">
        <v>584</v>
      </c>
      <c r="E540" t="s">
        <v>584</v>
      </c>
      <c r="F540" s="705">
        <v>76</v>
      </c>
      <c r="G540" s="705">
        <v>5084</v>
      </c>
      <c r="H540" s="705">
        <v>10436</v>
      </c>
      <c r="I540" s="705">
        <v>258273</v>
      </c>
      <c r="J540" s="706">
        <v>234794</v>
      </c>
      <c r="K540" s="705">
        <v>83</v>
      </c>
      <c r="L540" s="705">
        <v>11824</v>
      </c>
      <c r="M540" s="705">
        <v>8481</v>
      </c>
      <c r="N540" s="705">
        <v>104354</v>
      </c>
      <c r="O540" s="705">
        <v>38650</v>
      </c>
      <c r="P540" s="705">
        <v>35789</v>
      </c>
      <c r="Q540" s="705">
        <v>13255</v>
      </c>
      <c r="R540" s="705">
        <v>281466</v>
      </c>
      <c r="S540" s="705">
        <v>255878</v>
      </c>
      <c r="T540" s="705">
        <v>6570</v>
      </c>
      <c r="U540" s="705">
        <v>2433</v>
      </c>
      <c r="V540" s="705">
        <v>553491</v>
      </c>
      <c r="W540" s="705">
        <f t="shared" si="32"/>
        <v>553491</v>
      </c>
      <c r="X540" s="705">
        <f t="shared" si="33"/>
        <v>698276</v>
      </c>
      <c r="Y540" s="705"/>
    </row>
    <row r="541" spans="2:25">
      <c r="B541" t="s">
        <v>682</v>
      </c>
      <c r="C541" t="s">
        <v>116</v>
      </c>
      <c r="F541">
        <v>69</v>
      </c>
      <c r="G541" s="705">
        <v>3768</v>
      </c>
      <c r="H541" s="705">
        <v>12909</v>
      </c>
      <c r="J541" s="706">
        <v>0</v>
      </c>
      <c r="K541" s="705"/>
      <c r="M541">
        <v>0</v>
      </c>
      <c r="N541" s="705">
        <v>67871</v>
      </c>
      <c r="O541" s="705">
        <v>25137</v>
      </c>
      <c r="P541" s="705">
        <v>6089</v>
      </c>
      <c r="Q541" s="705">
        <v>2255</v>
      </c>
      <c r="S541">
        <v>0</v>
      </c>
      <c r="T541" s="705">
        <v>10823</v>
      </c>
      <c r="U541" s="705">
        <v>4009</v>
      </c>
      <c r="V541" s="705">
        <v>31401</v>
      </c>
      <c r="W541" s="705">
        <f t="shared" si="32"/>
        <v>31401</v>
      </c>
      <c r="X541" s="705">
        <f t="shared" si="33"/>
        <v>84783</v>
      </c>
      <c r="Y541" s="705"/>
    </row>
    <row r="542" spans="2:25">
      <c r="B542" t="s">
        <v>682</v>
      </c>
      <c r="C542" t="s">
        <v>116</v>
      </c>
      <c r="D542" t="s">
        <v>582</v>
      </c>
      <c r="E542" t="s">
        <v>582</v>
      </c>
      <c r="F542">
        <v>2</v>
      </c>
      <c r="G542">
        <v>124</v>
      </c>
      <c r="H542" s="705">
        <v>369</v>
      </c>
      <c r="I542" s="705">
        <v>9691</v>
      </c>
      <c r="J542" s="706">
        <v>8810</v>
      </c>
      <c r="K542" s="705">
        <v>88</v>
      </c>
      <c r="L542" s="705">
        <v>2762</v>
      </c>
      <c r="M542" s="705">
        <v>2038</v>
      </c>
      <c r="N542" s="705">
        <v>3027</v>
      </c>
      <c r="O542" s="705">
        <v>1121</v>
      </c>
      <c r="P542">
        <v>945</v>
      </c>
      <c r="Q542">
        <v>350</v>
      </c>
      <c r="R542" s="705">
        <v>6496</v>
      </c>
      <c r="S542" s="705">
        <v>5905</v>
      </c>
      <c r="T542">
        <v>0</v>
      </c>
      <c r="U542">
        <v>0</v>
      </c>
      <c r="V542" s="705">
        <v>18225</v>
      </c>
      <c r="W542" s="705">
        <f t="shared" si="32"/>
        <v>18224</v>
      </c>
      <c r="X542" s="705">
        <f t="shared" si="33"/>
        <v>22921</v>
      </c>
      <c r="Y542" s="705"/>
    </row>
    <row r="543" spans="2:25">
      <c r="B543" t="s">
        <v>682</v>
      </c>
      <c r="C543" t="s">
        <v>116</v>
      </c>
      <c r="D543" t="s">
        <v>228</v>
      </c>
      <c r="E543" t="s">
        <v>228</v>
      </c>
      <c r="F543">
        <v>38</v>
      </c>
      <c r="G543" s="705">
        <v>2730</v>
      </c>
      <c r="H543" s="705">
        <v>7414</v>
      </c>
      <c r="I543" s="705">
        <v>206794</v>
      </c>
      <c r="J543" s="706">
        <v>76590</v>
      </c>
      <c r="K543" s="705">
        <v>100</v>
      </c>
      <c r="L543" s="705">
        <v>31328</v>
      </c>
      <c r="M543" s="705">
        <v>12181</v>
      </c>
      <c r="N543" s="705">
        <v>54748</v>
      </c>
      <c r="O543" s="705">
        <v>20277</v>
      </c>
      <c r="P543">
        <v>0</v>
      </c>
      <c r="Q543">
        <v>0</v>
      </c>
      <c r="R543" s="705">
        <v>239334</v>
      </c>
      <c r="S543" s="705">
        <v>88642</v>
      </c>
      <c r="T543">
        <v>0</v>
      </c>
      <c r="U543">
        <v>0</v>
      </c>
      <c r="V543" s="705">
        <v>197690</v>
      </c>
      <c r="W543" s="705">
        <f t="shared" si="32"/>
        <v>197690</v>
      </c>
      <c r="X543" s="705">
        <f t="shared" si="33"/>
        <v>532204</v>
      </c>
      <c r="Y543" s="705"/>
    </row>
    <row r="544" spans="2:25">
      <c r="B544" t="s">
        <v>682</v>
      </c>
      <c r="C544" t="s">
        <v>116</v>
      </c>
      <c r="D544" t="s">
        <v>583</v>
      </c>
      <c r="E544" t="s">
        <v>583</v>
      </c>
      <c r="F544">
        <v>1</v>
      </c>
      <c r="G544" s="705">
        <v>108</v>
      </c>
      <c r="H544" s="705">
        <v>199</v>
      </c>
      <c r="I544" s="705">
        <v>11510</v>
      </c>
      <c r="J544" s="706">
        <v>10464</v>
      </c>
      <c r="K544" s="705">
        <v>95</v>
      </c>
      <c r="L544" s="705">
        <v>6674</v>
      </c>
      <c r="M544" s="705">
        <v>2472</v>
      </c>
      <c r="N544" s="705">
        <v>2442</v>
      </c>
      <c r="O544">
        <v>904</v>
      </c>
      <c r="P544">
        <v>621</v>
      </c>
      <c r="Q544">
        <v>230</v>
      </c>
      <c r="R544" s="705">
        <v>2690</v>
      </c>
      <c r="S544" s="705">
        <v>2445</v>
      </c>
      <c r="T544">
        <v>0</v>
      </c>
      <c r="U544">
        <v>0</v>
      </c>
      <c r="V544" s="705">
        <v>16515</v>
      </c>
      <c r="W544" s="705">
        <f t="shared" si="32"/>
        <v>16515</v>
      </c>
      <c r="X544" s="705">
        <f t="shared" si="33"/>
        <v>23937</v>
      </c>
      <c r="Y544" s="705"/>
    </row>
    <row r="545" spans="2:25">
      <c r="B545" t="s">
        <v>682</v>
      </c>
      <c r="C545" t="s">
        <v>116</v>
      </c>
      <c r="D545" t="s">
        <v>584</v>
      </c>
      <c r="E545" t="s">
        <v>584</v>
      </c>
      <c r="F545">
        <v>175</v>
      </c>
      <c r="G545" s="705">
        <v>12252</v>
      </c>
      <c r="H545" s="705">
        <v>32544</v>
      </c>
      <c r="I545" s="705">
        <v>1053330</v>
      </c>
      <c r="J545" s="706">
        <v>957573</v>
      </c>
      <c r="K545" s="705">
        <v>81</v>
      </c>
      <c r="L545" s="705">
        <v>86155</v>
      </c>
      <c r="M545" s="705">
        <v>68150</v>
      </c>
      <c r="N545" s="705">
        <v>251164</v>
      </c>
      <c r="O545" s="705">
        <v>93024</v>
      </c>
      <c r="P545" s="705">
        <v>83087</v>
      </c>
      <c r="Q545" s="705">
        <v>30773</v>
      </c>
      <c r="R545" s="705">
        <v>715867</v>
      </c>
      <c r="S545" s="705">
        <v>650788</v>
      </c>
      <c r="T545" s="705">
        <v>103265</v>
      </c>
      <c r="U545" s="705">
        <v>38246</v>
      </c>
      <c r="V545" s="705">
        <v>1838554</v>
      </c>
      <c r="W545" s="705">
        <f t="shared" si="32"/>
        <v>1838554</v>
      </c>
      <c r="X545" s="705">
        <f t="shared" si="33"/>
        <v>2292868</v>
      </c>
      <c r="Y545" s="705"/>
    </row>
    <row r="546" spans="2:25">
      <c r="B546" t="s">
        <v>682</v>
      </c>
      <c r="C546" t="s">
        <v>118</v>
      </c>
      <c r="F546">
        <v>6</v>
      </c>
      <c r="G546">
        <v>376</v>
      </c>
      <c r="H546" s="705">
        <v>1388</v>
      </c>
      <c r="J546" s="706">
        <v>0</v>
      </c>
      <c r="K546" s="705"/>
      <c r="M546">
        <v>0</v>
      </c>
      <c r="N546" s="705">
        <v>8644</v>
      </c>
      <c r="O546" s="705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705">
        <v>3201</v>
      </c>
      <c r="W546" s="705">
        <f t="shared" si="32"/>
        <v>3201</v>
      </c>
      <c r="X546" s="705">
        <f t="shared" si="33"/>
        <v>8644</v>
      </c>
      <c r="Y546" s="705"/>
    </row>
    <row r="547" spans="2:25">
      <c r="B547" t="s">
        <v>682</v>
      </c>
      <c r="C547" t="s">
        <v>118</v>
      </c>
      <c r="D547" t="s">
        <v>582</v>
      </c>
      <c r="E547" t="s">
        <v>582</v>
      </c>
      <c r="F547">
        <v>1</v>
      </c>
      <c r="G547">
        <v>69</v>
      </c>
      <c r="H547" s="705">
        <v>273</v>
      </c>
      <c r="I547" s="705">
        <v>8809</v>
      </c>
      <c r="J547" s="706">
        <v>8008</v>
      </c>
      <c r="K547" s="705">
        <v>90</v>
      </c>
      <c r="L547" s="705">
        <v>2995</v>
      </c>
      <c r="M547" s="705">
        <v>2723</v>
      </c>
      <c r="N547" s="705">
        <v>1671</v>
      </c>
      <c r="O547">
        <v>619</v>
      </c>
      <c r="P547">
        <v>473</v>
      </c>
      <c r="Q547">
        <v>175</v>
      </c>
      <c r="R547" s="705">
        <v>4764</v>
      </c>
      <c r="S547" s="705">
        <v>4331</v>
      </c>
      <c r="T547">
        <v>0</v>
      </c>
      <c r="U547">
        <v>0</v>
      </c>
      <c r="V547" s="705">
        <v>15856</v>
      </c>
      <c r="W547" s="705">
        <f t="shared" si="32"/>
        <v>15856</v>
      </c>
      <c r="X547" s="705">
        <f t="shared" si="33"/>
        <v>18712</v>
      </c>
      <c r="Y547" s="705"/>
    </row>
    <row r="548" spans="2:25">
      <c r="B548" t="s">
        <v>682</v>
      </c>
      <c r="C548" t="s">
        <v>118</v>
      </c>
      <c r="D548" t="s">
        <v>228</v>
      </c>
      <c r="E548" t="s">
        <v>228</v>
      </c>
      <c r="F548" s="705">
        <v>89</v>
      </c>
      <c r="G548" s="705">
        <v>5421</v>
      </c>
      <c r="H548" s="705">
        <v>23328</v>
      </c>
      <c r="I548" s="705">
        <v>673451</v>
      </c>
      <c r="J548" s="706">
        <v>249426</v>
      </c>
      <c r="K548" s="705">
        <v>100</v>
      </c>
      <c r="L548" s="705">
        <v>111150</v>
      </c>
      <c r="M548" s="705">
        <v>45921</v>
      </c>
      <c r="N548" s="705">
        <v>103263</v>
      </c>
      <c r="O548" s="705">
        <v>38246</v>
      </c>
      <c r="P548">
        <v>702</v>
      </c>
      <c r="Q548">
        <v>260</v>
      </c>
      <c r="R548" s="705">
        <v>524630</v>
      </c>
      <c r="S548" s="705">
        <v>194307</v>
      </c>
      <c r="T548">
        <v>0</v>
      </c>
      <c r="U548">
        <v>0</v>
      </c>
      <c r="V548" s="705">
        <v>528160</v>
      </c>
      <c r="W548" s="705">
        <f t="shared" si="32"/>
        <v>528160</v>
      </c>
      <c r="X548" s="705">
        <f t="shared" si="33"/>
        <v>1413196</v>
      </c>
      <c r="Y548" s="705"/>
    </row>
    <row r="549" spans="2:25">
      <c r="B549" t="s">
        <v>682</v>
      </c>
      <c r="C549" t="s">
        <v>118</v>
      </c>
      <c r="D549" t="s">
        <v>583</v>
      </c>
      <c r="E549" t="s">
        <v>583</v>
      </c>
      <c r="F549">
        <v>1</v>
      </c>
      <c r="G549">
        <v>86</v>
      </c>
      <c r="H549">
        <v>286</v>
      </c>
      <c r="I549" s="705">
        <v>12250</v>
      </c>
      <c r="J549" s="706">
        <v>11137</v>
      </c>
      <c r="K549" s="705">
        <v>79</v>
      </c>
      <c r="L549" s="705">
        <v>3403</v>
      </c>
      <c r="M549" s="705">
        <v>3094</v>
      </c>
      <c r="N549" s="705">
        <v>1667</v>
      </c>
      <c r="O549">
        <v>617</v>
      </c>
      <c r="P549">
        <v>621</v>
      </c>
      <c r="Q549">
        <v>230</v>
      </c>
      <c r="R549" s="705">
        <v>3960</v>
      </c>
      <c r="S549" s="705">
        <v>3600</v>
      </c>
      <c r="T549" s="705">
        <v>2506</v>
      </c>
      <c r="U549">
        <v>928</v>
      </c>
      <c r="V549" s="705">
        <v>19606</v>
      </c>
      <c r="W549" s="705">
        <f t="shared" si="32"/>
        <v>19606</v>
      </c>
      <c r="X549" s="705">
        <f t="shared" si="33"/>
        <v>24407</v>
      </c>
      <c r="Y549" s="705"/>
    </row>
    <row r="550" spans="2:25">
      <c r="B550" t="s">
        <v>682</v>
      </c>
      <c r="C550" t="s">
        <v>118</v>
      </c>
      <c r="D550" t="s">
        <v>584</v>
      </c>
      <c r="E550" t="s">
        <v>584</v>
      </c>
      <c r="F550">
        <v>54</v>
      </c>
      <c r="G550" s="705">
        <v>3805</v>
      </c>
      <c r="H550" s="705">
        <v>13974</v>
      </c>
      <c r="I550" s="705">
        <v>521016</v>
      </c>
      <c r="J550" s="706">
        <v>473651</v>
      </c>
      <c r="K550" s="705">
        <v>77</v>
      </c>
      <c r="L550" s="705">
        <v>78047</v>
      </c>
      <c r="M550" s="705">
        <v>62439</v>
      </c>
      <c r="N550" s="705">
        <v>72082</v>
      </c>
      <c r="O550" s="705">
        <v>26697</v>
      </c>
      <c r="P550" s="705">
        <v>25151</v>
      </c>
      <c r="Q550" s="705">
        <v>9315</v>
      </c>
      <c r="R550" s="705">
        <v>236566</v>
      </c>
      <c r="S550" s="705">
        <v>215060</v>
      </c>
      <c r="T550" s="705">
        <v>58647</v>
      </c>
      <c r="U550" s="705">
        <v>21721</v>
      </c>
      <c r="V550" s="705">
        <v>808883</v>
      </c>
      <c r="W550" s="705">
        <f t="shared" si="32"/>
        <v>808883</v>
      </c>
      <c r="X550" s="705">
        <f t="shared" si="33"/>
        <v>991509</v>
      </c>
      <c r="Y550" s="705"/>
    </row>
    <row r="551" spans="2:25">
      <c r="B551" t="s">
        <v>682</v>
      </c>
      <c r="C551" t="s">
        <v>118</v>
      </c>
      <c r="D551" t="s">
        <v>665</v>
      </c>
      <c r="E551" t="s">
        <v>665</v>
      </c>
      <c r="F551">
        <v>1</v>
      </c>
      <c r="G551">
        <v>61</v>
      </c>
      <c r="H551" s="705">
        <v>281</v>
      </c>
      <c r="I551" s="705">
        <v>7837</v>
      </c>
      <c r="J551" s="706">
        <v>7125</v>
      </c>
      <c r="K551" s="705">
        <v>55</v>
      </c>
      <c r="L551" s="705">
        <v>1176</v>
      </c>
      <c r="M551">
        <v>435</v>
      </c>
      <c r="N551" s="705">
        <v>1401</v>
      </c>
      <c r="O551">
        <v>519</v>
      </c>
      <c r="P551">
        <v>351</v>
      </c>
      <c r="Q551">
        <v>130</v>
      </c>
      <c r="R551" s="705">
        <v>4073</v>
      </c>
      <c r="S551" s="705">
        <v>3703</v>
      </c>
      <c r="T551" s="705">
        <v>2165</v>
      </c>
      <c r="U551">
        <v>802</v>
      </c>
      <c r="V551" s="705">
        <v>12714</v>
      </c>
      <c r="W551" s="705">
        <f t="shared" si="32"/>
        <v>12714</v>
      </c>
      <c r="X551" s="705">
        <f t="shared" si="33"/>
        <v>17003</v>
      </c>
      <c r="Y551" s="705"/>
    </row>
    <row r="552" spans="2:25">
      <c r="B552" t="s">
        <v>682</v>
      </c>
      <c r="C552" t="s">
        <v>120</v>
      </c>
      <c r="F552" s="705">
        <v>4</v>
      </c>
      <c r="G552" s="705">
        <v>247</v>
      </c>
      <c r="H552" s="705">
        <v>1394</v>
      </c>
      <c r="J552" s="706">
        <v>0</v>
      </c>
      <c r="K552" s="705"/>
      <c r="M552">
        <v>0</v>
      </c>
      <c r="N552" s="705">
        <v>3005</v>
      </c>
      <c r="O552" s="705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705">
        <v>1113</v>
      </c>
      <c r="W552" s="705">
        <f t="shared" si="32"/>
        <v>1113</v>
      </c>
      <c r="X552" s="705">
        <f t="shared" si="33"/>
        <v>3005</v>
      </c>
      <c r="Y552" s="705"/>
    </row>
    <row r="553" spans="2:25">
      <c r="B553" t="s">
        <v>682</v>
      </c>
      <c r="C553" t="s">
        <v>120</v>
      </c>
      <c r="D553" t="s">
        <v>228</v>
      </c>
      <c r="E553" t="s">
        <v>228</v>
      </c>
      <c r="F553" s="705">
        <v>65</v>
      </c>
      <c r="G553" s="705">
        <v>3301</v>
      </c>
      <c r="H553" s="705">
        <v>22188</v>
      </c>
      <c r="I553" s="705">
        <v>581985</v>
      </c>
      <c r="J553" s="706">
        <v>215550</v>
      </c>
      <c r="K553" s="705">
        <v>100</v>
      </c>
      <c r="L553" s="705">
        <v>82935</v>
      </c>
      <c r="M553" s="705">
        <v>45527</v>
      </c>
      <c r="N553" s="705">
        <v>66896</v>
      </c>
      <c r="O553" s="705">
        <v>24776</v>
      </c>
      <c r="P553">
        <v>702</v>
      </c>
      <c r="Q553">
        <v>260</v>
      </c>
      <c r="R553" s="705">
        <v>392300</v>
      </c>
      <c r="S553" s="705">
        <v>145296</v>
      </c>
      <c r="T553" s="705">
        <v>1955</v>
      </c>
      <c r="U553">
        <v>724</v>
      </c>
      <c r="V553" s="705">
        <v>432134</v>
      </c>
      <c r="W553" s="705">
        <f t="shared" si="32"/>
        <v>432133</v>
      </c>
      <c r="X553" s="705">
        <f t="shared" si="33"/>
        <v>1126773</v>
      </c>
      <c r="Y553" s="705"/>
    </row>
    <row r="554" spans="2:25">
      <c r="B554" t="s">
        <v>682</v>
      </c>
      <c r="C554" t="s">
        <v>120</v>
      </c>
      <c r="D554" t="s">
        <v>583</v>
      </c>
      <c r="E554" t="s">
        <v>583</v>
      </c>
      <c r="F554" s="705">
        <v>2</v>
      </c>
      <c r="G554" s="705">
        <v>264</v>
      </c>
      <c r="H554" s="705">
        <v>665</v>
      </c>
      <c r="I554" s="705">
        <v>55620</v>
      </c>
      <c r="J554" s="706">
        <v>50563</v>
      </c>
      <c r="K554" s="705">
        <v>85</v>
      </c>
      <c r="L554" s="705">
        <v>14608</v>
      </c>
      <c r="M554" s="705">
        <v>8690</v>
      </c>
      <c r="N554" s="705">
        <v>6565</v>
      </c>
      <c r="O554" s="705">
        <v>2432</v>
      </c>
      <c r="P554" s="705">
        <v>1242</v>
      </c>
      <c r="Q554">
        <v>460</v>
      </c>
      <c r="R554" s="705">
        <v>9156</v>
      </c>
      <c r="S554" s="705">
        <v>8324</v>
      </c>
      <c r="T554" s="705">
        <v>6805</v>
      </c>
      <c r="U554" s="705">
        <v>2520</v>
      </c>
      <c r="V554" s="705">
        <v>72989</v>
      </c>
      <c r="W554" s="705">
        <f t="shared" si="32"/>
        <v>72989</v>
      </c>
      <c r="X554" s="705">
        <f t="shared" si="33"/>
        <v>93996</v>
      </c>
      <c r="Y554" s="705"/>
    </row>
    <row r="555" spans="2:25">
      <c r="B555" t="s">
        <v>682</v>
      </c>
      <c r="C555" t="s">
        <v>120</v>
      </c>
      <c r="D555" t="s">
        <v>584</v>
      </c>
      <c r="E555" t="s">
        <v>584</v>
      </c>
      <c r="F555">
        <v>42</v>
      </c>
      <c r="G555" s="705">
        <v>2948</v>
      </c>
      <c r="H555" s="705">
        <v>13989</v>
      </c>
      <c r="I555" s="705">
        <v>542614</v>
      </c>
      <c r="J555" s="706">
        <v>493285</v>
      </c>
      <c r="K555" s="705">
        <v>74</v>
      </c>
      <c r="L555" s="705">
        <v>112848</v>
      </c>
      <c r="M555" s="705">
        <v>96719</v>
      </c>
      <c r="N555" s="705">
        <v>56220</v>
      </c>
      <c r="O555" s="705">
        <v>20822</v>
      </c>
      <c r="P555" s="705">
        <v>19116</v>
      </c>
      <c r="Q555" s="705">
        <v>7080</v>
      </c>
      <c r="R555" s="705">
        <v>201920</v>
      </c>
      <c r="S555" s="705">
        <v>183564</v>
      </c>
      <c r="T555" s="705">
        <v>49873</v>
      </c>
      <c r="U555" s="705">
        <v>18471</v>
      </c>
      <c r="V555" s="705">
        <v>819942</v>
      </c>
      <c r="W555" s="705">
        <f t="shared" si="32"/>
        <v>819941</v>
      </c>
      <c r="X555" s="705">
        <f t="shared" si="33"/>
        <v>982591</v>
      </c>
      <c r="Y555" s="705"/>
    </row>
    <row r="556" spans="2:25">
      <c r="B556" t="s">
        <v>682</v>
      </c>
      <c r="C556" t="s">
        <v>122</v>
      </c>
      <c r="F556" s="705">
        <v>2</v>
      </c>
      <c r="G556" s="705">
        <v>122</v>
      </c>
      <c r="H556" s="705">
        <v>778</v>
      </c>
      <c r="J556" s="706">
        <v>0</v>
      </c>
      <c r="K556" s="705"/>
      <c r="M556">
        <v>0</v>
      </c>
      <c r="N556" s="705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705">
        <f t="shared" si="32"/>
        <v>552</v>
      </c>
      <c r="X556" s="705">
        <f t="shared" si="33"/>
        <v>1489</v>
      </c>
      <c r="Y556" s="705"/>
    </row>
    <row r="557" spans="2:25">
      <c r="B557" t="s">
        <v>682</v>
      </c>
      <c r="C557" t="s">
        <v>122</v>
      </c>
      <c r="D557" t="s">
        <v>228</v>
      </c>
      <c r="E557" t="s">
        <v>228</v>
      </c>
      <c r="F557" s="705">
        <v>14</v>
      </c>
      <c r="G557" s="705">
        <v>605</v>
      </c>
      <c r="H557" s="705">
        <v>5888</v>
      </c>
      <c r="I557" s="705">
        <v>144164</v>
      </c>
      <c r="J557" s="706">
        <v>53394</v>
      </c>
      <c r="K557" s="705">
        <v>100</v>
      </c>
      <c r="L557" s="705">
        <v>13062</v>
      </c>
      <c r="M557" s="705">
        <v>7582</v>
      </c>
      <c r="N557" s="705">
        <v>12249</v>
      </c>
      <c r="O557" s="705">
        <v>4537</v>
      </c>
      <c r="P557">
        <v>0</v>
      </c>
      <c r="Q557">
        <v>0</v>
      </c>
      <c r="R557" s="705">
        <v>86388</v>
      </c>
      <c r="S557" s="705">
        <v>31995</v>
      </c>
      <c r="T557">
        <v>0</v>
      </c>
      <c r="U557">
        <v>0</v>
      </c>
      <c r="V557" s="705">
        <v>97509</v>
      </c>
      <c r="W557" s="705">
        <f t="shared" si="32"/>
        <v>97508</v>
      </c>
      <c r="X557" s="705">
        <f t="shared" si="33"/>
        <v>255863</v>
      </c>
      <c r="Y557" s="705"/>
    </row>
    <row r="558" spans="2:25">
      <c r="B558" t="s">
        <v>682</v>
      </c>
      <c r="C558" t="s">
        <v>122</v>
      </c>
      <c r="D558" t="s">
        <v>583</v>
      </c>
      <c r="E558" t="s">
        <v>583</v>
      </c>
      <c r="F558">
        <v>1</v>
      </c>
      <c r="G558" s="705">
        <v>112</v>
      </c>
      <c r="H558" s="705">
        <v>406</v>
      </c>
      <c r="I558" s="705">
        <v>30035</v>
      </c>
      <c r="J558" s="706">
        <v>27305</v>
      </c>
      <c r="K558" s="705">
        <v>65</v>
      </c>
      <c r="L558" s="705">
        <v>6875</v>
      </c>
      <c r="M558" s="705">
        <v>6250</v>
      </c>
      <c r="N558" s="705">
        <v>2282</v>
      </c>
      <c r="O558">
        <v>845</v>
      </c>
      <c r="P558">
        <v>621</v>
      </c>
      <c r="Q558">
        <v>230</v>
      </c>
      <c r="R558" s="705">
        <v>3587</v>
      </c>
      <c r="S558" s="705">
        <v>3261</v>
      </c>
      <c r="T558" s="705">
        <v>2134</v>
      </c>
      <c r="U558">
        <v>790</v>
      </c>
      <c r="V558" s="705">
        <v>38680</v>
      </c>
      <c r="W558" s="705">
        <f t="shared" si="32"/>
        <v>38681</v>
      </c>
      <c r="X558" s="705">
        <f t="shared" si="33"/>
        <v>45534</v>
      </c>
      <c r="Y558" s="705"/>
    </row>
    <row r="559" spans="2:25">
      <c r="B559" t="s">
        <v>682</v>
      </c>
      <c r="C559" t="s">
        <v>122</v>
      </c>
      <c r="D559" t="s">
        <v>584</v>
      </c>
      <c r="E559" t="s">
        <v>584</v>
      </c>
      <c r="F559" s="705">
        <v>9</v>
      </c>
      <c r="G559" s="705">
        <v>763</v>
      </c>
      <c r="H559" s="705">
        <v>3573</v>
      </c>
      <c r="I559" s="705">
        <v>187423</v>
      </c>
      <c r="J559" s="706">
        <v>170384</v>
      </c>
      <c r="K559" s="705">
        <v>71</v>
      </c>
      <c r="L559" s="705">
        <v>32677</v>
      </c>
      <c r="M559" s="705">
        <v>29035</v>
      </c>
      <c r="N559" s="705">
        <v>16379</v>
      </c>
      <c r="O559" s="705">
        <v>6066</v>
      </c>
      <c r="P559" s="705">
        <v>4010</v>
      </c>
      <c r="Q559" s="705">
        <v>1485</v>
      </c>
      <c r="R559" s="705">
        <v>44920</v>
      </c>
      <c r="S559" s="705">
        <v>40837</v>
      </c>
      <c r="T559" s="705">
        <v>16079</v>
      </c>
      <c r="U559" s="705">
        <v>5955</v>
      </c>
      <c r="V559" s="705">
        <v>253763</v>
      </c>
      <c r="W559" s="705">
        <f t="shared" si="32"/>
        <v>253762</v>
      </c>
      <c r="X559" s="705">
        <f t="shared" si="33"/>
        <v>301488</v>
      </c>
      <c r="Y559" s="705"/>
    </row>
    <row r="560" spans="2:25">
      <c r="B560" t="s">
        <v>682</v>
      </c>
      <c r="C560" t="s">
        <v>124</v>
      </c>
      <c r="F560">
        <v>2</v>
      </c>
      <c r="G560" s="705">
        <v>148</v>
      </c>
      <c r="H560" s="705">
        <v>1243</v>
      </c>
      <c r="J560" s="706">
        <v>0</v>
      </c>
      <c r="K560" s="705"/>
      <c r="M560">
        <v>0</v>
      </c>
      <c r="N560" s="705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705">
        <f t="shared" si="32"/>
        <v>669</v>
      </c>
      <c r="X560" s="705">
        <f t="shared" si="33"/>
        <v>1805</v>
      </c>
      <c r="Y560" s="705"/>
    </row>
    <row r="561" spans="2:25">
      <c r="B561" t="s">
        <v>682</v>
      </c>
      <c r="C561" t="s">
        <v>124</v>
      </c>
      <c r="D561" t="s">
        <v>228</v>
      </c>
      <c r="E561" t="s">
        <v>228</v>
      </c>
      <c r="F561" s="705">
        <v>21</v>
      </c>
      <c r="G561" s="705">
        <v>858</v>
      </c>
      <c r="H561" s="705">
        <v>12472</v>
      </c>
      <c r="I561" s="705">
        <v>335736</v>
      </c>
      <c r="J561" s="706">
        <v>124347</v>
      </c>
      <c r="K561" s="705">
        <v>100</v>
      </c>
      <c r="L561" s="705">
        <v>35571</v>
      </c>
      <c r="M561" s="705">
        <v>22883</v>
      </c>
      <c r="N561" s="705">
        <v>17270</v>
      </c>
      <c r="O561" s="705">
        <v>6396</v>
      </c>
      <c r="P561">
        <v>0</v>
      </c>
      <c r="Q561">
        <v>0</v>
      </c>
      <c r="R561" s="705">
        <v>132613</v>
      </c>
      <c r="S561" s="705">
        <v>49116</v>
      </c>
      <c r="T561">
        <v>0</v>
      </c>
      <c r="U561">
        <v>0</v>
      </c>
      <c r="V561" s="705">
        <v>202742</v>
      </c>
      <c r="W561" s="705">
        <f t="shared" si="32"/>
        <v>202742</v>
      </c>
      <c r="X561" s="705">
        <f t="shared" si="33"/>
        <v>521190</v>
      </c>
      <c r="Y561" s="705"/>
    </row>
    <row r="562" spans="2:25">
      <c r="B562" t="s">
        <v>682</v>
      </c>
      <c r="C562" t="s">
        <v>124</v>
      </c>
      <c r="D562" t="s">
        <v>666</v>
      </c>
      <c r="E562" t="s">
        <v>228</v>
      </c>
      <c r="F562">
        <v>2</v>
      </c>
      <c r="G562" s="705">
        <v>68</v>
      </c>
      <c r="H562" s="705">
        <v>1574</v>
      </c>
      <c r="I562" s="705">
        <v>21267</v>
      </c>
      <c r="J562" s="706">
        <v>19333</v>
      </c>
      <c r="K562" s="705">
        <v>30</v>
      </c>
      <c r="L562" s="705">
        <v>1740</v>
      </c>
      <c r="M562">
        <v>644</v>
      </c>
      <c r="N562" s="705">
        <v>1651</v>
      </c>
      <c r="O562">
        <v>612</v>
      </c>
      <c r="P562">
        <v>0</v>
      </c>
      <c r="Q562">
        <v>0</v>
      </c>
      <c r="R562" s="705">
        <v>28206</v>
      </c>
      <c r="S562" s="705">
        <v>10447</v>
      </c>
      <c r="T562">
        <v>0</v>
      </c>
      <c r="U562">
        <v>0</v>
      </c>
      <c r="V562" s="705">
        <v>31036</v>
      </c>
      <c r="W562" s="705">
        <f t="shared" si="32"/>
        <v>31036</v>
      </c>
      <c r="X562" s="705">
        <f t="shared" si="33"/>
        <v>52864</v>
      </c>
      <c r="Y562" s="705"/>
    </row>
    <row r="563" spans="2:25">
      <c r="B563" t="s">
        <v>682</v>
      </c>
      <c r="C563" t="s">
        <v>124</v>
      </c>
      <c r="D563" t="s">
        <v>584</v>
      </c>
      <c r="E563" t="s">
        <v>228</v>
      </c>
      <c r="F563">
        <v>1</v>
      </c>
      <c r="G563" s="705">
        <v>40</v>
      </c>
      <c r="H563" s="705">
        <v>485</v>
      </c>
      <c r="I563" s="705">
        <v>14750</v>
      </c>
      <c r="J563" s="706">
        <v>13409</v>
      </c>
      <c r="K563" s="705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705">
        <v>3702</v>
      </c>
      <c r="S563" s="705">
        <v>1371</v>
      </c>
      <c r="T563">
        <v>0</v>
      </c>
      <c r="U563">
        <v>0</v>
      </c>
      <c r="V563" s="705">
        <v>15210</v>
      </c>
      <c r="W563" s="705">
        <f t="shared" si="32"/>
        <v>15210</v>
      </c>
      <c r="X563" s="705">
        <f t="shared" si="33"/>
        <v>19615</v>
      </c>
      <c r="Y563" s="705"/>
    </row>
    <row r="564" spans="2:25">
      <c r="B564" t="s">
        <v>682</v>
      </c>
      <c r="C564" t="s">
        <v>124</v>
      </c>
      <c r="D564" t="s">
        <v>584</v>
      </c>
      <c r="E564" t="s">
        <v>584</v>
      </c>
      <c r="F564">
        <v>9</v>
      </c>
      <c r="G564" s="705">
        <v>788</v>
      </c>
      <c r="H564" s="705">
        <v>4633</v>
      </c>
      <c r="I564" s="705">
        <v>268545</v>
      </c>
      <c r="J564" s="706">
        <v>244131</v>
      </c>
      <c r="K564" s="705">
        <v>71</v>
      </c>
      <c r="L564" s="705">
        <v>50377</v>
      </c>
      <c r="M564" s="705">
        <v>43876</v>
      </c>
      <c r="N564" s="705">
        <v>16548</v>
      </c>
      <c r="O564" s="705">
        <v>6129</v>
      </c>
      <c r="P564" s="705">
        <v>4131</v>
      </c>
      <c r="Q564" s="705">
        <v>1530</v>
      </c>
      <c r="R564" s="705">
        <v>44134</v>
      </c>
      <c r="S564" s="705">
        <v>40122</v>
      </c>
      <c r="T564" s="705">
        <v>16575</v>
      </c>
      <c r="U564" s="705">
        <v>6139</v>
      </c>
      <c r="V564" s="705">
        <v>341928</v>
      </c>
      <c r="W564" s="705">
        <f t="shared" si="32"/>
        <v>341927</v>
      </c>
      <c r="X564" s="705">
        <f t="shared" si="33"/>
        <v>400310</v>
      </c>
      <c r="Y564" s="705"/>
    </row>
    <row r="565" spans="2:25">
      <c r="B565" t="s">
        <v>682</v>
      </c>
      <c r="C565" t="s">
        <v>124</v>
      </c>
      <c r="D565" t="s">
        <v>665</v>
      </c>
      <c r="E565" t="s">
        <v>228</v>
      </c>
      <c r="F565">
        <v>1</v>
      </c>
      <c r="G565" s="705">
        <v>62</v>
      </c>
      <c r="H565" s="705">
        <v>1648</v>
      </c>
      <c r="I565" s="705">
        <v>63323</v>
      </c>
      <c r="J565" s="706">
        <v>57566</v>
      </c>
      <c r="K565" s="705">
        <v>30</v>
      </c>
      <c r="L565" s="705">
        <v>11657</v>
      </c>
      <c r="M565" s="705">
        <v>4317</v>
      </c>
      <c r="N565" s="705">
        <v>1322</v>
      </c>
      <c r="O565">
        <v>490</v>
      </c>
      <c r="P565">
        <v>0</v>
      </c>
      <c r="Q565">
        <v>0</v>
      </c>
      <c r="R565" s="705">
        <v>25857</v>
      </c>
      <c r="S565" s="705">
        <v>9577</v>
      </c>
      <c r="T565">
        <v>0</v>
      </c>
      <c r="U565">
        <v>0</v>
      </c>
      <c r="V565" s="705">
        <v>71950</v>
      </c>
      <c r="W565" s="705">
        <f t="shared" si="32"/>
        <v>71950</v>
      </c>
      <c r="X565" s="705">
        <f t="shared" si="33"/>
        <v>102159</v>
      </c>
      <c r="Y565" s="705"/>
    </row>
    <row r="566" spans="2:25">
      <c r="B566" t="s">
        <v>683</v>
      </c>
      <c r="C566" t="s">
        <v>108</v>
      </c>
      <c r="F566">
        <v>105</v>
      </c>
      <c r="G566" s="705">
        <v>9468</v>
      </c>
      <c r="H566" s="705">
        <v>5600</v>
      </c>
      <c r="J566" s="706">
        <v>0</v>
      </c>
      <c r="K566" s="705"/>
      <c r="M566">
        <v>0</v>
      </c>
      <c r="N566" s="705">
        <v>117617</v>
      </c>
      <c r="O566" s="705">
        <v>43562</v>
      </c>
      <c r="P566" s="705">
        <v>91492</v>
      </c>
      <c r="Q566" s="705">
        <v>33886</v>
      </c>
      <c r="S566">
        <v>0</v>
      </c>
      <c r="T566">
        <v>0</v>
      </c>
      <c r="U566">
        <v>0</v>
      </c>
      <c r="V566" s="705">
        <v>77448</v>
      </c>
      <c r="W566" s="705">
        <f t="shared" si="32"/>
        <v>77448</v>
      </c>
      <c r="X566" s="705">
        <f t="shared" si="33"/>
        <v>209109</v>
      </c>
      <c r="Y566" s="705"/>
    </row>
    <row r="567" spans="2:25">
      <c r="B567" t="s">
        <v>683</v>
      </c>
      <c r="C567" t="s">
        <v>108</v>
      </c>
      <c r="D567" t="s">
        <v>228</v>
      </c>
      <c r="E567" t="s">
        <v>228</v>
      </c>
      <c r="F567" s="705">
        <v>9</v>
      </c>
      <c r="G567" s="705">
        <v>748</v>
      </c>
      <c r="H567">
        <v>540</v>
      </c>
      <c r="I567" s="705">
        <v>7517</v>
      </c>
      <c r="J567" s="706">
        <v>2784</v>
      </c>
      <c r="K567" s="705">
        <v>510</v>
      </c>
      <c r="L567">
        <v>0</v>
      </c>
      <c r="M567">
        <v>0</v>
      </c>
      <c r="N567" s="705">
        <v>9114</v>
      </c>
      <c r="O567" s="705">
        <v>3376</v>
      </c>
      <c r="P567" s="705">
        <v>8479</v>
      </c>
      <c r="Q567" s="705">
        <v>3140</v>
      </c>
      <c r="R567" s="705">
        <v>19670</v>
      </c>
      <c r="S567" s="705">
        <v>7285</v>
      </c>
      <c r="T567">
        <v>0</v>
      </c>
      <c r="U567">
        <v>0</v>
      </c>
      <c r="V567" s="705">
        <v>16585</v>
      </c>
      <c r="W567" s="705">
        <f t="shared" si="32"/>
        <v>16585</v>
      </c>
      <c r="X567" s="705">
        <f t="shared" si="33"/>
        <v>44780</v>
      </c>
      <c r="Y567" s="705"/>
    </row>
    <row r="568" spans="2:25">
      <c r="B568" t="s">
        <v>683</v>
      </c>
      <c r="C568" t="s">
        <v>108</v>
      </c>
      <c r="D568" t="s">
        <v>584</v>
      </c>
      <c r="E568" t="s">
        <v>584</v>
      </c>
      <c r="F568">
        <v>10</v>
      </c>
      <c r="G568" s="705">
        <v>1567</v>
      </c>
      <c r="H568" s="705">
        <v>531</v>
      </c>
      <c r="I568" s="705">
        <v>6948</v>
      </c>
      <c r="J568" s="706">
        <v>6316</v>
      </c>
      <c r="K568" s="705">
        <v>90</v>
      </c>
      <c r="L568" s="705">
        <v>1041</v>
      </c>
      <c r="M568">
        <v>587</v>
      </c>
      <c r="N568" s="705">
        <v>19089</v>
      </c>
      <c r="O568" s="705">
        <v>7070</v>
      </c>
      <c r="P568" s="705">
        <v>18740</v>
      </c>
      <c r="Q568" s="705">
        <v>6941</v>
      </c>
      <c r="R568" s="705">
        <v>37351</v>
      </c>
      <c r="S568" s="705">
        <v>33955</v>
      </c>
      <c r="T568">
        <v>0</v>
      </c>
      <c r="U568">
        <v>0</v>
      </c>
      <c r="V568" s="705">
        <v>54869</v>
      </c>
      <c r="W568" s="705">
        <f t="shared" si="32"/>
        <v>54869</v>
      </c>
      <c r="X568" s="705">
        <f t="shared" si="33"/>
        <v>83169</v>
      </c>
      <c r="Y568" s="705"/>
    </row>
    <row r="569" spans="2:25">
      <c r="B569" t="s">
        <v>683</v>
      </c>
      <c r="C569" t="s">
        <v>110</v>
      </c>
      <c r="F569">
        <v>25</v>
      </c>
      <c r="G569" s="705">
        <v>1718</v>
      </c>
      <c r="H569" s="705">
        <v>2178</v>
      </c>
      <c r="J569" s="429">
        <v>0</v>
      </c>
      <c r="K569" s="705"/>
      <c r="M569">
        <v>0</v>
      </c>
      <c r="N569" s="705">
        <v>25358</v>
      </c>
      <c r="O569" s="705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705">
        <v>9392</v>
      </c>
      <c r="W569" s="705">
        <f t="shared" si="32"/>
        <v>9392</v>
      </c>
      <c r="X569" s="705">
        <f t="shared" si="33"/>
        <v>25358</v>
      </c>
      <c r="Y569" s="705"/>
    </row>
    <row r="570" spans="2:25">
      <c r="B570" t="s">
        <v>683</v>
      </c>
      <c r="C570" t="s">
        <v>110</v>
      </c>
      <c r="D570" t="s">
        <v>584</v>
      </c>
      <c r="E570" t="s">
        <v>584</v>
      </c>
      <c r="F570" s="705">
        <v>38</v>
      </c>
      <c r="G570" s="705">
        <v>3592</v>
      </c>
      <c r="H570" s="705">
        <v>3572</v>
      </c>
      <c r="I570" s="705">
        <v>68510</v>
      </c>
      <c r="J570" s="706">
        <v>62282</v>
      </c>
      <c r="K570" s="705">
        <v>80</v>
      </c>
      <c r="L570">
        <v>949</v>
      </c>
      <c r="M570">
        <v>352</v>
      </c>
      <c r="N570" s="705">
        <v>85466</v>
      </c>
      <c r="O570" s="705">
        <v>31654</v>
      </c>
      <c r="P570" s="705">
        <v>17955</v>
      </c>
      <c r="Q570" s="705">
        <v>6650</v>
      </c>
      <c r="R570" s="705">
        <v>165104</v>
      </c>
      <c r="S570" s="705">
        <v>150095</v>
      </c>
      <c r="T570">
        <v>0</v>
      </c>
      <c r="U570">
        <v>0</v>
      </c>
      <c r="V570" s="705">
        <v>251033</v>
      </c>
      <c r="W570" s="705">
        <f t="shared" si="32"/>
        <v>251033</v>
      </c>
      <c r="X570" s="705">
        <f t="shared" si="33"/>
        <v>337984</v>
      </c>
      <c r="Y570" s="705"/>
    </row>
    <row r="571" spans="2:25">
      <c r="B571" t="s">
        <v>683</v>
      </c>
      <c r="C571" t="s">
        <v>112</v>
      </c>
      <c r="F571">
        <v>13</v>
      </c>
      <c r="G571" s="705">
        <v>1033</v>
      </c>
      <c r="H571" s="705">
        <v>1489</v>
      </c>
      <c r="J571" s="706">
        <v>0</v>
      </c>
      <c r="K571" s="705"/>
      <c r="M571">
        <v>0</v>
      </c>
      <c r="N571" s="705">
        <v>20215</v>
      </c>
      <c r="O571" s="705">
        <v>7487</v>
      </c>
      <c r="P571" s="705">
        <v>1053</v>
      </c>
      <c r="Q571">
        <v>390</v>
      </c>
      <c r="S571">
        <v>0</v>
      </c>
      <c r="T571">
        <v>0</v>
      </c>
      <c r="U571">
        <v>0</v>
      </c>
      <c r="V571" s="705">
        <v>7877</v>
      </c>
      <c r="W571" s="705">
        <f t="shared" si="32"/>
        <v>7877</v>
      </c>
      <c r="X571" s="705">
        <f t="shared" si="33"/>
        <v>21268</v>
      </c>
      <c r="Y571" s="705"/>
    </row>
    <row r="572" spans="2:25">
      <c r="B572" t="s">
        <v>683</v>
      </c>
      <c r="C572" t="s">
        <v>112</v>
      </c>
      <c r="D572" t="s">
        <v>664</v>
      </c>
      <c r="E572" t="s">
        <v>584</v>
      </c>
      <c r="F572" s="705">
        <v>1</v>
      </c>
      <c r="G572" s="705">
        <v>83</v>
      </c>
      <c r="H572" s="705">
        <v>103</v>
      </c>
      <c r="I572" s="705">
        <v>1438</v>
      </c>
      <c r="J572" s="706">
        <v>1307</v>
      </c>
      <c r="K572" s="705">
        <v>73</v>
      </c>
      <c r="L572">
        <v>0</v>
      </c>
      <c r="M572">
        <v>0</v>
      </c>
      <c r="N572" s="705">
        <v>2031</v>
      </c>
      <c r="O572">
        <v>752</v>
      </c>
      <c r="P572">
        <v>473</v>
      </c>
      <c r="Q572">
        <v>175</v>
      </c>
      <c r="R572" s="705">
        <v>4658</v>
      </c>
      <c r="S572" s="705">
        <v>4235</v>
      </c>
      <c r="T572">
        <v>0</v>
      </c>
      <c r="U572">
        <v>0</v>
      </c>
      <c r="V572" s="705">
        <v>6469</v>
      </c>
      <c r="W572" s="705">
        <f t="shared" si="32"/>
        <v>6469</v>
      </c>
      <c r="X572" s="705">
        <f t="shared" si="33"/>
        <v>8600</v>
      </c>
      <c r="Y572" s="705"/>
    </row>
    <row r="573" spans="2:25">
      <c r="B573" t="s">
        <v>683</v>
      </c>
      <c r="C573" t="s">
        <v>112</v>
      </c>
      <c r="D573" t="s">
        <v>228</v>
      </c>
      <c r="E573" t="s">
        <v>228</v>
      </c>
      <c r="F573" s="705">
        <v>1</v>
      </c>
      <c r="G573" s="705">
        <v>146</v>
      </c>
      <c r="H573">
        <v>109</v>
      </c>
      <c r="I573" s="705">
        <v>4843</v>
      </c>
      <c r="J573" s="706">
        <v>1794</v>
      </c>
      <c r="K573" s="705">
        <v>398</v>
      </c>
      <c r="L573">
        <v>954</v>
      </c>
      <c r="M573">
        <v>795</v>
      </c>
      <c r="N573" s="705">
        <v>2578</v>
      </c>
      <c r="O573">
        <v>955</v>
      </c>
      <c r="P573">
        <v>351</v>
      </c>
      <c r="Q573">
        <v>130</v>
      </c>
      <c r="R573" s="705">
        <v>7221</v>
      </c>
      <c r="S573" s="705">
        <v>2674</v>
      </c>
      <c r="T573">
        <v>0</v>
      </c>
      <c r="U573">
        <v>0</v>
      </c>
      <c r="V573" s="705">
        <v>6348</v>
      </c>
      <c r="W573" s="705">
        <f t="shared" si="32"/>
        <v>6348</v>
      </c>
      <c r="X573" s="705">
        <f t="shared" si="33"/>
        <v>15947</v>
      </c>
      <c r="Y573" s="705"/>
    </row>
    <row r="574" spans="2:25">
      <c r="B574" t="s">
        <v>683</v>
      </c>
      <c r="C574" t="s">
        <v>112</v>
      </c>
      <c r="D574" t="s">
        <v>584</v>
      </c>
      <c r="E574" t="s">
        <v>584</v>
      </c>
      <c r="F574">
        <v>113</v>
      </c>
      <c r="G574" s="705">
        <v>9640</v>
      </c>
      <c r="H574" s="705">
        <v>12931</v>
      </c>
      <c r="I574" s="705">
        <v>342520</v>
      </c>
      <c r="J574" s="706">
        <v>311382</v>
      </c>
      <c r="K574" s="705">
        <v>80</v>
      </c>
      <c r="L574" s="705">
        <v>10037</v>
      </c>
      <c r="M574" s="705">
        <v>8589</v>
      </c>
      <c r="N574" s="705">
        <v>225745</v>
      </c>
      <c r="O574" s="705">
        <v>83609</v>
      </c>
      <c r="P574" s="705">
        <v>52986</v>
      </c>
      <c r="Q574" s="705">
        <v>19625</v>
      </c>
      <c r="R574" s="705">
        <v>460493</v>
      </c>
      <c r="S574" s="705">
        <v>418630</v>
      </c>
      <c r="T574" s="705">
        <v>11143</v>
      </c>
      <c r="U574" s="705">
        <v>4127</v>
      </c>
      <c r="V574" s="705">
        <v>845962</v>
      </c>
      <c r="W574" s="705">
        <f t="shared" si="32"/>
        <v>845962</v>
      </c>
      <c r="X574" s="705">
        <f t="shared" si="33"/>
        <v>1102924</v>
      </c>
      <c r="Y574" s="705"/>
    </row>
    <row r="575" spans="2:25">
      <c r="B575" t="s">
        <v>683</v>
      </c>
      <c r="C575" t="s">
        <v>114</v>
      </c>
      <c r="F575" s="705">
        <v>6</v>
      </c>
      <c r="G575" s="705">
        <v>507</v>
      </c>
      <c r="H575" s="705">
        <v>829</v>
      </c>
      <c r="J575" s="706">
        <v>0</v>
      </c>
      <c r="K575" s="705"/>
      <c r="M575">
        <v>0</v>
      </c>
      <c r="N575" s="705">
        <v>10521</v>
      </c>
      <c r="O575" s="705">
        <v>3897</v>
      </c>
      <c r="P575" s="705">
        <v>1404</v>
      </c>
      <c r="Q575">
        <v>520</v>
      </c>
      <c r="S575">
        <v>0</v>
      </c>
      <c r="T575">
        <v>0</v>
      </c>
      <c r="U575">
        <v>0</v>
      </c>
      <c r="V575" s="705">
        <v>4417</v>
      </c>
      <c r="W575" s="705">
        <f t="shared" si="32"/>
        <v>4417</v>
      </c>
      <c r="X575" s="705">
        <f t="shared" si="33"/>
        <v>11925</v>
      </c>
      <c r="Y575" s="705"/>
    </row>
    <row r="576" spans="2:25">
      <c r="B576" t="s">
        <v>683</v>
      </c>
      <c r="C576" t="s">
        <v>114</v>
      </c>
      <c r="D576" t="s">
        <v>228</v>
      </c>
      <c r="E576" t="s">
        <v>228</v>
      </c>
      <c r="F576" s="705">
        <v>5</v>
      </c>
      <c r="G576" s="705">
        <v>405</v>
      </c>
      <c r="H576">
        <v>715</v>
      </c>
      <c r="I576" s="705">
        <v>19339</v>
      </c>
      <c r="J576" s="706">
        <v>7163</v>
      </c>
      <c r="K576" s="705">
        <v>130</v>
      </c>
      <c r="L576">
        <v>0</v>
      </c>
      <c r="M576">
        <v>0</v>
      </c>
      <c r="N576" s="705">
        <v>7583</v>
      </c>
      <c r="O576" s="705">
        <v>2808</v>
      </c>
      <c r="P576">
        <v>351</v>
      </c>
      <c r="Q576">
        <v>130</v>
      </c>
      <c r="R576" s="705">
        <v>30794</v>
      </c>
      <c r="S576" s="705">
        <v>11405</v>
      </c>
      <c r="T576">
        <v>0</v>
      </c>
      <c r="U576">
        <v>0</v>
      </c>
      <c r="V576" s="705">
        <v>21506</v>
      </c>
      <c r="W576" s="705">
        <f t="shared" si="32"/>
        <v>21506</v>
      </c>
      <c r="X576" s="705">
        <f t="shared" si="33"/>
        <v>58067</v>
      </c>
      <c r="Y576" s="705"/>
    </row>
    <row r="577" spans="2:25">
      <c r="B577" t="s">
        <v>683</v>
      </c>
      <c r="C577" t="s">
        <v>114</v>
      </c>
      <c r="D577" t="s">
        <v>584</v>
      </c>
      <c r="E577" t="s">
        <v>584</v>
      </c>
      <c r="F577" s="705">
        <v>146</v>
      </c>
      <c r="G577" s="705">
        <v>10987</v>
      </c>
      <c r="H577" s="705">
        <v>20267</v>
      </c>
      <c r="I577" s="705">
        <v>594072</v>
      </c>
      <c r="J577" s="706">
        <v>540066</v>
      </c>
      <c r="K577" s="705">
        <v>82</v>
      </c>
      <c r="L577" s="705">
        <v>44186</v>
      </c>
      <c r="M577" s="705">
        <v>38461</v>
      </c>
      <c r="N577" s="705">
        <v>238920</v>
      </c>
      <c r="O577" s="705">
        <v>88489</v>
      </c>
      <c r="P577" s="705">
        <v>70778</v>
      </c>
      <c r="Q577" s="705">
        <v>26214</v>
      </c>
      <c r="R577" s="705">
        <v>568091</v>
      </c>
      <c r="S577" s="705">
        <v>516447</v>
      </c>
      <c r="T577" s="705">
        <v>12698</v>
      </c>
      <c r="U577" s="705">
        <v>4703</v>
      </c>
      <c r="V577" s="705">
        <v>1214379</v>
      </c>
      <c r="W577" s="705">
        <f t="shared" si="32"/>
        <v>1214380</v>
      </c>
      <c r="X577" s="705">
        <f t="shared" si="33"/>
        <v>1528745</v>
      </c>
      <c r="Y577" s="705"/>
    </row>
    <row r="578" spans="2:25">
      <c r="B578" t="s">
        <v>683</v>
      </c>
      <c r="C578" t="s">
        <v>116</v>
      </c>
      <c r="F578">
        <v>34</v>
      </c>
      <c r="G578" s="705">
        <v>1684</v>
      </c>
      <c r="H578" s="705">
        <v>6948</v>
      </c>
      <c r="J578" s="706">
        <v>0</v>
      </c>
      <c r="K578" s="705"/>
      <c r="M578">
        <v>0</v>
      </c>
      <c r="N578" s="705">
        <v>32737</v>
      </c>
      <c r="O578" s="705">
        <v>12125</v>
      </c>
      <c r="P578" s="705">
        <v>3321</v>
      </c>
      <c r="Q578" s="705">
        <v>1230</v>
      </c>
      <c r="S578">
        <v>0</v>
      </c>
      <c r="T578" s="705">
        <v>13262</v>
      </c>
      <c r="U578" s="705">
        <v>4912</v>
      </c>
      <c r="V578" s="705">
        <v>18267</v>
      </c>
      <c r="W578" s="705">
        <f t="shared" si="32"/>
        <v>18267</v>
      </c>
      <c r="X578" s="705">
        <f t="shared" si="33"/>
        <v>49320</v>
      </c>
      <c r="Y578" s="705"/>
    </row>
    <row r="579" spans="2:25">
      <c r="B579" t="s">
        <v>683</v>
      </c>
      <c r="C579" t="s">
        <v>116</v>
      </c>
      <c r="D579" t="s">
        <v>582</v>
      </c>
      <c r="E579" t="s">
        <v>582</v>
      </c>
      <c r="F579" s="705">
        <v>1</v>
      </c>
      <c r="G579" s="705">
        <v>83</v>
      </c>
      <c r="H579" s="705">
        <v>189</v>
      </c>
      <c r="I579" s="705">
        <v>5307</v>
      </c>
      <c r="J579" s="706">
        <v>4824</v>
      </c>
      <c r="K579" s="705">
        <v>93</v>
      </c>
      <c r="L579" s="705">
        <v>1272</v>
      </c>
      <c r="M579">
        <v>471</v>
      </c>
      <c r="N579" s="705">
        <v>1958</v>
      </c>
      <c r="O579">
        <v>725</v>
      </c>
      <c r="P579">
        <v>473</v>
      </c>
      <c r="Q579">
        <v>175</v>
      </c>
      <c r="R579" s="705">
        <v>3769</v>
      </c>
      <c r="S579" s="705">
        <v>3426</v>
      </c>
      <c r="T579" s="705">
        <v>2917</v>
      </c>
      <c r="U579" s="705">
        <v>1080</v>
      </c>
      <c r="V579" s="705">
        <v>10702</v>
      </c>
      <c r="W579" s="705">
        <f t="shared" si="32"/>
        <v>10701</v>
      </c>
      <c r="X579" s="705">
        <f t="shared" si="33"/>
        <v>15696</v>
      </c>
      <c r="Y579" s="705"/>
    </row>
    <row r="580" spans="2:25">
      <c r="B580" t="s">
        <v>683</v>
      </c>
      <c r="C580" t="s">
        <v>116</v>
      </c>
      <c r="D580" t="s">
        <v>228</v>
      </c>
      <c r="E580" t="s">
        <v>580</v>
      </c>
      <c r="F580" s="705">
        <v>1</v>
      </c>
      <c r="G580" s="705">
        <v>58</v>
      </c>
      <c r="H580">
        <v>193</v>
      </c>
      <c r="I580" s="705">
        <v>4085</v>
      </c>
      <c r="J580" s="706">
        <v>1513</v>
      </c>
      <c r="K580" s="705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705">
        <v>5631</v>
      </c>
      <c r="S580" s="705">
        <v>2085</v>
      </c>
      <c r="T580">
        <v>0</v>
      </c>
      <c r="U580">
        <v>0</v>
      </c>
      <c r="V580" s="705">
        <v>4129</v>
      </c>
      <c r="W580" s="705">
        <f t="shared" si="32"/>
        <v>4128</v>
      </c>
      <c r="X580" s="705">
        <f t="shared" si="33"/>
        <v>11148</v>
      </c>
      <c r="Y580" s="705"/>
    </row>
    <row r="581" spans="2:25">
      <c r="B581" t="s">
        <v>683</v>
      </c>
      <c r="C581" t="s">
        <v>116</v>
      </c>
      <c r="D581" t="s">
        <v>228</v>
      </c>
      <c r="E581" t="s">
        <v>228</v>
      </c>
      <c r="F581">
        <v>259</v>
      </c>
      <c r="G581" s="705">
        <v>15611</v>
      </c>
      <c r="H581" s="705">
        <v>50922</v>
      </c>
      <c r="I581" s="705">
        <v>1184721</v>
      </c>
      <c r="J581" s="706">
        <v>438785</v>
      </c>
      <c r="K581" s="705">
        <v>134</v>
      </c>
      <c r="L581" s="705">
        <v>106723</v>
      </c>
      <c r="M581" s="705">
        <v>59480</v>
      </c>
      <c r="N581" s="705">
        <v>310887</v>
      </c>
      <c r="O581" s="705">
        <v>115143</v>
      </c>
      <c r="P581" s="705">
        <v>40749</v>
      </c>
      <c r="Q581" s="705">
        <v>15092</v>
      </c>
      <c r="R581" s="705">
        <v>1449108</v>
      </c>
      <c r="S581" s="705">
        <v>536707</v>
      </c>
      <c r="T581">
        <v>0</v>
      </c>
      <c r="U581">
        <v>0</v>
      </c>
      <c r="V581" s="705">
        <v>1165208</v>
      </c>
      <c r="W581" s="705">
        <f t="shared" si="32"/>
        <v>1165207</v>
      </c>
      <c r="X581" s="705">
        <f t="shared" si="33"/>
        <v>3092188</v>
      </c>
      <c r="Y581" s="705"/>
    </row>
    <row r="582" spans="2:25">
      <c r="B582" t="s">
        <v>683</v>
      </c>
      <c r="C582" t="s">
        <v>116</v>
      </c>
      <c r="D582" t="s">
        <v>583</v>
      </c>
      <c r="E582" s="705" t="s">
        <v>583</v>
      </c>
      <c r="F582" s="705">
        <v>2</v>
      </c>
      <c r="G582" s="705">
        <v>170</v>
      </c>
      <c r="H582" s="705">
        <v>434</v>
      </c>
      <c r="I582" s="705">
        <v>16783</v>
      </c>
      <c r="J582" s="706">
        <v>15257</v>
      </c>
      <c r="K582" s="705">
        <v>81</v>
      </c>
      <c r="L582" s="705">
        <v>4860</v>
      </c>
      <c r="M582" s="705">
        <v>4418</v>
      </c>
      <c r="N582" s="705">
        <v>3085</v>
      </c>
      <c r="O582" s="705">
        <v>1143</v>
      </c>
      <c r="P582" s="705">
        <v>1242</v>
      </c>
      <c r="Q582">
        <v>460</v>
      </c>
      <c r="R582" s="705">
        <v>10932</v>
      </c>
      <c r="S582" s="705">
        <v>9938</v>
      </c>
      <c r="T582">
        <v>0</v>
      </c>
      <c r="U582">
        <v>0</v>
      </c>
      <c r="V582" s="705">
        <v>31216</v>
      </c>
      <c r="W582" s="705">
        <f t="shared" si="32"/>
        <v>31216</v>
      </c>
      <c r="X582" s="705">
        <f t="shared" si="33"/>
        <v>36902</v>
      </c>
      <c r="Y582" s="705"/>
    </row>
    <row r="583" spans="2:25">
      <c r="B583" t="s">
        <v>683</v>
      </c>
      <c r="C583" t="s">
        <v>116</v>
      </c>
      <c r="D583" t="s">
        <v>584</v>
      </c>
      <c r="E583" t="s">
        <v>228</v>
      </c>
      <c r="F583" s="705">
        <v>1</v>
      </c>
      <c r="G583" s="705">
        <v>37</v>
      </c>
      <c r="H583" s="705">
        <v>222</v>
      </c>
      <c r="I583" s="705">
        <v>3140</v>
      </c>
      <c r="J583" s="706">
        <v>2854</v>
      </c>
      <c r="K583" s="705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705">
        <v>3733</v>
      </c>
      <c r="S583" s="705">
        <v>1383</v>
      </c>
      <c r="T583">
        <v>0</v>
      </c>
      <c r="U583">
        <v>0</v>
      </c>
      <c r="V583" s="705">
        <v>4732</v>
      </c>
      <c r="W583" s="705">
        <f t="shared" ref="W583:W646" si="34">SUM(ABS(J583),ABS(M583),ABS(O583),ABS(Q583),ABS(S583),ABS(U583))</f>
        <v>4732</v>
      </c>
      <c r="X583" s="705">
        <f t="shared" ref="X583:X646" si="35">SUM(ABS(I583),ABS(N583),ABS(P583),ABS(R583),ABS(T583),ABS(L583))</f>
        <v>8210</v>
      </c>
      <c r="Y583" s="705"/>
    </row>
    <row r="584" spans="2:25">
      <c r="B584" t="s">
        <v>683</v>
      </c>
      <c r="C584" t="s">
        <v>116</v>
      </c>
      <c r="D584" t="s">
        <v>584</v>
      </c>
      <c r="E584" s="705" t="s">
        <v>584</v>
      </c>
      <c r="F584" s="705">
        <v>403</v>
      </c>
      <c r="G584" s="705">
        <v>28429</v>
      </c>
      <c r="H584" s="705">
        <v>74133</v>
      </c>
      <c r="I584" s="705">
        <v>2456212</v>
      </c>
      <c r="J584" s="706">
        <v>2232920</v>
      </c>
      <c r="K584" s="705">
        <v>82</v>
      </c>
      <c r="L584" s="705">
        <v>268585</v>
      </c>
      <c r="M584" s="705">
        <v>228507</v>
      </c>
      <c r="N584" s="705">
        <v>602240</v>
      </c>
      <c r="O584" s="705">
        <v>223052</v>
      </c>
      <c r="P584" s="705">
        <v>210076</v>
      </c>
      <c r="Q584" s="705">
        <v>77806</v>
      </c>
      <c r="R584" s="705">
        <v>1521784</v>
      </c>
      <c r="S584" s="705">
        <v>1383440</v>
      </c>
      <c r="T584" s="705">
        <v>175726</v>
      </c>
      <c r="U584" s="705">
        <v>65084</v>
      </c>
      <c r="V584" s="705">
        <v>4210809</v>
      </c>
      <c r="W584" s="705">
        <f t="shared" si="34"/>
        <v>4210809</v>
      </c>
      <c r="X584" s="705">
        <f t="shared" si="35"/>
        <v>5234623</v>
      </c>
      <c r="Y584" s="705"/>
    </row>
    <row r="585" spans="2:25">
      <c r="B585" t="s">
        <v>683</v>
      </c>
      <c r="C585" t="s">
        <v>118</v>
      </c>
      <c r="F585">
        <v>39</v>
      </c>
      <c r="G585" s="705">
        <v>1747</v>
      </c>
      <c r="H585" s="705">
        <v>9928</v>
      </c>
      <c r="J585" s="429">
        <v>0</v>
      </c>
      <c r="K585" s="705"/>
      <c r="M585">
        <v>0</v>
      </c>
      <c r="N585" s="705">
        <v>35223</v>
      </c>
      <c r="O585" s="705">
        <v>13046</v>
      </c>
      <c r="P585" s="705">
        <v>5238</v>
      </c>
      <c r="Q585" s="705">
        <v>1940</v>
      </c>
      <c r="S585">
        <v>0</v>
      </c>
      <c r="T585" s="705">
        <v>8173</v>
      </c>
      <c r="U585" s="705">
        <v>3027</v>
      </c>
      <c r="V585" s="705">
        <v>18013</v>
      </c>
      <c r="W585" s="705">
        <f t="shared" si="34"/>
        <v>18013</v>
      </c>
      <c r="X585" s="705">
        <f t="shared" si="35"/>
        <v>48634</v>
      </c>
      <c r="Y585" s="705"/>
    </row>
    <row r="586" spans="2:25">
      <c r="B586" t="s">
        <v>683</v>
      </c>
      <c r="C586" t="s">
        <v>118</v>
      </c>
      <c r="D586" t="s">
        <v>228</v>
      </c>
      <c r="E586" t="s">
        <v>228</v>
      </c>
      <c r="F586">
        <v>467</v>
      </c>
      <c r="G586" s="705">
        <v>26655</v>
      </c>
      <c r="H586" s="705">
        <v>124964</v>
      </c>
      <c r="I586" s="705">
        <v>3416922</v>
      </c>
      <c r="J586" s="706">
        <v>1265527</v>
      </c>
      <c r="K586" s="705">
        <v>100</v>
      </c>
      <c r="L586" s="705">
        <v>436496</v>
      </c>
      <c r="M586" s="705">
        <v>308089</v>
      </c>
      <c r="N586" s="705">
        <v>548602</v>
      </c>
      <c r="O586" s="705">
        <v>203186</v>
      </c>
      <c r="P586" s="705">
        <v>9218</v>
      </c>
      <c r="Q586" s="705">
        <v>3414</v>
      </c>
      <c r="R586" s="705">
        <v>2752174</v>
      </c>
      <c r="S586" s="705">
        <v>1019324</v>
      </c>
      <c r="T586" s="705">
        <v>11782</v>
      </c>
      <c r="U586" s="705">
        <v>4364</v>
      </c>
      <c r="V586" s="705">
        <v>2803904</v>
      </c>
      <c r="W586" s="705">
        <f t="shared" si="34"/>
        <v>2803904</v>
      </c>
      <c r="X586" s="705">
        <f t="shared" si="35"/>
        <v>7175194</v>
      </c>
      <c r="Y586" s="705"/>
    </row>
    <row r="587" spans="2:25">
      <c r="B587" t="s">
        <v>683</v>
      </c>
      <c r="C587" t="s">
        <v>118</v>
      </c>
      <c r="D587" t="s">
        <v>583</v>
      </c>
      <c r="E587" s="705" t="s">
        <v>583</v>
      </c>
      <c r="F587" s="705">
        <v>5</v>
      </c>
      <c r="G587" s="705">
        <v>291</v>
      </c>
      <c r="H587" s="705">
        <v>1305</v>
      </c>
      <c r="I587" s="705">
        <v>37355</v>
      </c>
      <c r="J587" s="706">
        <v>33959</v>
      </c>
      <c r="K587" s="705">
        <v>86</v>
      </c>
      <c r="L587" s="705">
        <v>10234</v>
      </c>
      <c r="M587" s="705">
        <v>7428</v>
      </c>
      <c r="N587" s="705">
        <v>6753</v>
      </c>
      <c r="O587" s="705">
        <v>2501</v>
      </c>
      <c r="P587" s="705">
        <v>3105</v>
      </c>
      <c r="Q587" s="705">
        <v>1150</v>
      </c>
      <c r="R587" s="705">
        <v>17125</v>
      </c>
      <c r="S587" s="705">
        <v>15568</v>
      </c>
      <c r="T587">
        <v>0</v>
      </c>
      <c r="U587">
        <v>0</v>
      </c>
      <c r="V587" s="705">
        <v>60606</v>
      </c>
      <c r="W587" s="705">
        <f t="shared" si="34"/>
        <v>60606</v>
      </c>
      <c r="X587" s="705">
        <f t="shared" si="35"/>
        <v>74572</v>
      </c>
      <c r="Y587" s="705"/>
    </row>
    <row r="588" spans="2:25">
      <c r="B588" t="s">
        <v>683</v>
      </c>
      <c r="C588" t="s">
        <v>118</v>
      </c>
      <c r="D588" t="s">
        <v>584</v>
      </c>
      <c r="E588" t="s">
        <v>228</v>
      </c>
      <c r="F588" s="705">
        <v>6</v>
      </c>
      <c r="G588" s="705">
        <v>320</v>
      </c>
      <c r="H588" s="705">
        <v>1631</v>
      </c>
      <c r="I588" s="705">
        <v>43197</v>
      </c>
      <c r="J588" s="706">
        <v>39270</v>
      </c>
      <c r="K588" s="705">
        <v>81</v>
      </c>
      <c r="L588" s="705">
        <v>5251</v>
      </c>
      <c r="M588" s="705">
        <v>4774</v>
      </c>
      <c r="N588" s="705">
        <v>7370</v>
      </c>
      <c r="O588" s="705">
        <v>2730</v>
      </c>
      <c r="P588" s="705">
        <v>2835</v>
      </c>
      <c r="Q588" s="705">
        <v>1050</v>
      </c>
      <c r="R588" s="705">
        <v>28276</v>
      </c>
      <c r="S588" s="705">
        <v>10472</v>
      </c>
      <c r="T588">
        <v>0</v>
      </c>
      <c r="U588">
        <v>0</v>
      </c>
      <c r="V588" s="705">
        <v>58295</v>
      </c>
      <c r="W588" s="705">
        <f t="shared" si="34"/>
        <v>58296</v>
      </c>
      <c r="X588" s="705">
        <f t="shared" si="35"/>
        <v>86929</v>
      </c>
      <c r="Y588" s="705"/>
    </row>
    <row r="589" spans="2:25">
      <c r="B589" t="s">
        <v>683</v>
      </c>
      <c r="C589" t="s">
        <v>118</v>
      </c>
      <c r="D589" t="s">
        <v>584</v>
      </c>
      <c r="E589" t="s">
        <v>584</v>
      </c>
      <c r="F589" s="705">
        <v>259</v>
      </c>
      <c r="G589" s="705">
        <v>15865</v>
      </c>
      <c r="H589" s="705">
        <v>67367</v>
      </c>
      <c r="I589" s="705">
        <v>2068824</v>
      </c>
      <c r="J589" s="706">
        <v>1880749</v>
      </c>
      <c r="K589" s="705">
        <v>79</v>
      </c>
      <c r="L589" s="705">
        <v>367066</v>
      </c>
      <c r="M589" s="705">
        <v>316405</v>
      </c>
      <c r="N589" s="705">
        <v>325588</v>
      </c>
      <c r="O589" s="705">
        <v>120588</v>
      </c>
      <c r="P589" s="705">
        <v>122532</v>
      </c>
      <c r="Q589" s="705">
        <v>45382</v>
      </c>
      <c r="R589" s="705">
        <v>1025130</v>
      </c>
      <c r="S589" s="705">
        <v>931936</v>
      </c>
      <c r="T589" s="705">
        <v>242631</v>
      </c>
      <c r="U589" s="705">
        <v>89863</v>
      </c>
      <c r="V589" s="705">
        <v>3384924</v>
      </c>
      <c r="W589" s="705">
        <f t="shared" si="34"/>
        <v>3384923</v>
      </c>
      <c r="X589" s="705">
        <f t="shared" si="35"/>
        <v>4151771</v>
      </c>
      <c r="Y589" s="705"/>
    </row>
    <row r="590" spans="2:25">
      <c r="B590" t="s">
        <v>683</v>
      </c>
      <c r="C590" t="s">
        <v>118</v>
      </c>
      <c r="D590" t="s">
        <v>665</v>
      </c>
      <c r="E590" t="s">
        <v>665</v>
      </c>
      <c r="F590">
        <v>1</v>
      </c>
      <c r="G590">
        <v>73</v>
      </c>
      <c r="H590" s="705">
        <v>297</v>
      </c>
      <c r="I590" s="705">
        <v>10516</v>
      </c>
      <c r="J590" s="706">
        <v>9560</v>
      </c>
      <c r="K590" s="705">
        <v>55</v>
      </c>
      <c r="L590" s="705">
        <v>1577</v>
      </c>
      <c r="M590">
        <v>584</v>
      </c>
      <c r="N590" s="705">
        <v>1628</v>
      </c>
      <c r="O590">
        <v>603</v>
      </c>
      <c r="P590">
        <v>351</v>
      </c>
      <c r="Q590">
        <v>130</v>
      </c>
      <c r="R590" s="705">
        <v>5144</v>
      </c>
      <c r="S590" s="705">
        <v>4676</v>
      </c>
      <c r="T590" s="705">
        <v>2333</v>
      </c>
      <c r="U590">
        <v>864</v>
      </c>
      <c r="V590" s="705">
        <v>16417</v>
      </c>
      <c r="W590" s="705">
        <f t="shared" si="34"/>
        <v>16417</v>
      </c>
      <c r="X590" s="705">
        <f t="shared" si="35"/>
        <v>21549</v>
      </c>
      <c r="Y590" s="705"/>
    </row>
    <row r="591" spans="2:25">
      <c r="B591" t="s">
        <v>683</v>
      </c>
      <c r="C591" t="s">
        <v>120</v>
      </c>
      <c r="F591">
        <v>37</v>
      </c>
      <c r="G591" s="705">
        <v>1658</v>
      </c>
      <c r="H591" s="705">
        <v>12597</v>
      </c>
      <c r="J591" s="706">
        <v>0</v>
      </c>
      <c r="K591" s="705"/>
      <c r="M591">
        <v>0</v>
      </c>
      <c r="N591" s="705">
        <v>33650</v>
      </c>
      <c r="O591" s="705">
        <v>12463</v>
      </c>
      <c r="P591" s="705">
        <v>4617</v>
      </c>
      <c r="Q591" s="705">
        <v>1710</v>
      </c>
      <c r="S591">
        <v>0</v>
      </c>
      <c r="T591" s="705">
        <v>18126</v>
      </c>
      <c r="U591" s="705">
        <v>6713</v>
      </c>
      <c r="V591" s="705">
        <v>20886</v>
      </c>
      <c r="W591" s="705">
        <f t="shared" si="34"/>
        <v>20886</v>
      </c>
      <c r="X591" s="705">
        <f t="shared" si="35"/>
        <v>56393</v>
      </c>
      <c r="Y591" s="705"/>
    </row>
    <row r="592" spans="2:25">
      <c r="B592" t="s">
        <v>683</v>
      </c>
      <c r="C592" t="s">
        <v>120</v>
      </c>
      <c r="D592" t="s">
        <v>228</v>
      </c>
      <c r="E592" t="s">
        <v>228</v>
      </c>
      <c r="F592">
        <v>405</v>
      </c>
      <c r="G592" s="705">
        <v>20573</v>
      </c>
      <c r="H592" s="705">
        <v>137670</v>
      </c>
      <c r="I592" s="705">
        <v>3707935</v>
      </c>
      <c r="J592" s="706">
        <v>1373309</v>
      </c>
      <c r="K592" s="705">
        <v>100</v>
      </c>
      <c r="L592" s="705">
        <v>517633</v>
      </c>
      <c r="M592" s="705">
        <v>316921</v>
      </c>
      <c r="N592" s="705">
        <v>418543</v>
      </c>
      <c r="O592" s="705">
        <v>155016</v>
      </c>
      <c r="P592" s="705">
        <v>10530</v>
      </c>
      <c r="Q592" s="705">
        <v>3900</v>
      </c>
      <c r="R592" s="705">
        <v>2333065</v>
      </c>
      <c r="S592" s="705">
        <v>864098</v>
      </c>
      <c r="T592" s="705">
        <v>13744</v>
      </c>
      <c r="U592" s="705">
        <v>5090</v>
      </c>
      <c r="V592" s="705">
        <v>2718334</v>
      </c>
      <c r="W592" s="705">
        <f t="shared" si="34"/>
        <v>2718334</v>
      </c>
      <c r="X592" s="705">
        <f t="shared" si="35"/>
        <v>7001450</v>
      </c>
      <c r="Y592" s="705"/>
    </row>
    <row r="593" spans="2:25">
      <c r="B593" t="s">
        <v>683</v>
      </c>
      <c r="C593" t="s">
        <v>120</v>
      </c>
      <c r="D593" t="s">
        <v>228</v>
      </c>
      <c r="E593" t="s">
        <v>665</v>
      </c>
      <c r="F593">
        <v>1</v>
      </c>
      <c r="G593">
        <v>35</v>
      </c>
      <c r="H593" s="705">
        <v>362</v>
      </c>
      <c r="I593" s="705">
        <v>7076</v>
      </c>
      <c r="J593" s="706">
        <v>2621</v>
      </c>
      <c r="K593" s="705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705">
        <v>4626</v>
      </c>
      <c r="S593" s="705">
        <v>4206</v>
      </c>
      <c r="T593">
        <v>0</v>
      </c>
      <c r="U593">
        <v>0</v>
      </c>
      <c r="V593" s="705">
        <v>7139</v>
      </c>
      <c r="W593" s="705">
        <f t="shared" si="34"/>
        <v>7140</v>
      </c>
      <c r="X593" s="705">
        <f t="shared" si="35"/>
        <v>12546</v>
      </c>
      <c r="Y593" s="705"/>
    </row>
    <row r="594" spans="2:25">
      <c r="B594" t="s">
        <v>683</v>
      </c>
      <c r="C594" t="s">
        <v>120</v>
      </c>
      <c r="D594" t="s">
        <v>583</v>
      </c>
      <c r="E594" t="s">
        <v>228</v>
      </c>
      <c r="F594" s="705">
        <v>2</v>
      </c>
      <c r="G594" s="705">
        <v>91</v>
      </c>
      <c r="H594" s="705">
        <v>670</v>
      </c>
      <c r="I594" s="705">
        <v>14819</v>
      </c>
      <c r="J594" s="706">
        <v>13472</v>
      </c>
      <c r="K594" s="705">
        <v>73</v>
      </c>
      <c r="L594">
        <v>0</v>
      </c>
      <c r="M594">
        <v>0</v>
      </c>
      <c r="N594" s="705">
        <v>2157</v>
      </c>
      <c r="O594">
        <v>799</v>
      </c>
      <c r="P594">
        <v>621</v>
      </c>
      <c r="Q594">
        <v>230</v>
      </c>
      <c r="R594" s="705">
        <v>12420</v>
      </c>
      <c r="S594" s="705">
        <v>4600</v>
      </c>
      <c r="T594">
        <v>0</v>
      </c>
      <c r="U594">
        <v>0</v>
      </c>
      <c r="V594" s="705">
        <v>19101</v>
      </c>
      <c r="W594" s="705">
        <f t="shared" si="34"/>
        <v>19101</v>
      </c>
      <c r="X594" s="705">
        <f t="shared" si="35"/>
        <v>30017</v>
      </c>
      <c r="Y594" s="705"/>
    </row>
    <row r="595" spans="2:25">
      <c r="B595" t="s">
        <v>683</v>
      </c>
      <c r="C595" t="s">
        <v>120</v>
      </c>
      <c r="D595" t="s">
        <v>583</v>
      </c>
      <c r="E595" t="s">
        <v>583</v>
      </c>
      <c r="F595" s="705">
        <v>7</v>
      </c>
      <c r="G595" s="705">
        <v>378</v>
      </c>
      <c r="H595" s="705">
        <v>2317</v>
      </c>
      <c r="I595" s="705">
        <v>66692</v>
      </c>
      <c r="J595" s="706">
        <v>60629</v>
      </c>
      <c r="K595" s="705">
        <v>76</v>
      </c>
      <c r="L595" s="705">
        <v>8239</v>
      </c>
      <c r="M595" s="705">
        <v>4250</v>
      </c>
      <c r="N595" s="705">
        <v>7719</v>
      </c>
      <c r="O595" s="705">
        <v>2859</v>
      </c>
      <c r="P595" s="705">
        <v>4347</v>
      </c>
      <c r="Q595" s="705">
        <v>1610</v>
      </c>
      <c r="R595" s="705">
        <v>35510</v>
      </c>
      <c r="S595" s="705">
        <v>32282</v>
      </c>
      <c r="T595" s="705">
        <v>2324</v>
      </c>
      <c r="U595">
        <v>861</v>
      </c>
      <c r="V595" s="705">
        <v>102491</v>
      </c>
      <c r="W595" s="705">
        <f t="shared" si="34"/>
        <v>102491</v>
      </c>
      <c r="X595" s="705">
        <f t="shared" si="35"/>
        <v>124831</v>
      </c>
      <c r="Y595" s="705"/>
    </row>
    <row r="596" spans="2:25">
      <c r="B596" t="s">
        <v>683</v>
      </c>
      <c r="C596" t="s">
        <v>120</v>
      </c>
      <c r="D596" t="s">
        <v>666</v>
      </c>
      <c r="E596" t="s">
        <v>228</v>
      </c>
      <c r="F596" s="705">
        <v>1</v>
      </c>
      <c r="G596" s="705">
        <v>36</v>
      </c>
      <c r="H596" s="705">
        <v>335</v>
      </c>
      <c r="I596" s="705">
        <v>5129</v>
      </c>
      <c r="J596" s="706">
        <v>4663</v>
      </c>
      <c r="K596" s="705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705">
        <v>5490</v>
      </c>
      <c r="S596" s="705">
        <v>2033</v>
      </c>
      <c r="T596">
        <v>0</v>
      </c>
      <c r="U596">
        <v>0</v>
      </c>
      <c r="V596" s="705">
        <v>7272</v>
      </c>
      <c r="W596" s="705">
        <f t="shared" si="34"/>
        <v>7272</v>
      </c>
      <c r="X596" s="705">
        <f t="shared" si="35"/>
        <v>12174</v>
      </c>
      <c r="Y596" s="705"/>
    </row>
    <row r="597" spans="2:25">
      <c r="B597" t="s">
        <v>683</v>
      </c>
      <c r="C597" t="s">
        <v>120</v>
      </c>
      <c r="D597" t="s">
        <v>584</v>
      </c>
      <c r="E597" t="s">
        <v>228</v>
      </c>
      <c r="F597">
        <v>4</v>
      </c>
      <c r="G597">
        <v>166</v>
      </c>
      <c r="H597" s="705">
        <v>1349</v>
      </c>
      <c r="I597" s="705">
        <v>32248</v>
      </c>
      <c r="J597" s="706">
        <v>29316</v>
      </c>
      <c r="K597" s="705">
        <v>76</v>
      </c>
      <c r="L597" s="705">
        <v>1816</v>
      </c>
      <c r="M597" s="705">
        <v>1263</v>
      </c>
      <c r="N597" s="705">
        <v>3212</v>
      </c>
      <c r="O597" s="705">
        <v>1190</v>
      </c>
      <c r="P597" s="705">
        <v>1539</v>
      </c>
      <c r="Q597">
        <v>570</v>
      </c>
      <c r="R597" s="705">
        <v>16998</v>
      </c>
      <c r="S597" s="705">
        <v>6296</v>
      </c>
      <c r="T597">
        <v>0</v>
      </c>
      <c r="U597">
        <v>0</v>
      </c>
      <c r="V597" s="705">
        <v>38635</v>
      </c>
      <c r="W597" s="705">
        <f t="shared" si="34"/>
        <v>38635</v>
      </c>
      <c r="X597" s="705">
        <f t="shared" si="35"/>
        <v>55813</v>
      </c>
      <c r="Y597" s="705"/>
    </row>
    <row r="598" spans="2:25">
      <c r="B598" t="s">
        <v>683</v>
      </c>
      <c r="C598" t="s">
        <v>120</v>
      </c>
      <c r="D598" t="s">
        <v>584</v>
      </c>
      <c r="E598" t="s">
        <v>584</v>
      </c>
      <c r="F598">
        <v>115</v>
      </c>
      <c r="G598" s="705">
        <v>6756</v>
      </c>
      <c r="H598" s="705">
        <v>39027</v>
      </c>
      <c r="I598" s="705">
        <v>1233800</v>
      </c>
      <c r="J598" s="706">
        <v>1121636</v>
      </c>
      <c r="K598" s="705">
        <v>77</v>
      </c>
      <c r="L598" s="705">
        <v>260740</v>
      </c>
      <c r="M598" s="705">
        <v>217691</v>
      </c>
      <c r="N598" s="705">
        <v>137770</v>
      </c>
      <c r="O598" s="705">
        <v>51026</v>
      </c>
      <c r="P598" s="705">
        <v>55394</v>
      </c>
      <c r="Q598" s="705">
        <v>20516</v>
      </c>
      <c r="R598" s="705">
        <v>498859</v>
      </c>
      <c r="S598" s="705">
        <v>453508</v>
      </c>
      <c r="T598" s="705">
        <v>129446</v>
      </c>
      <c r="U598" s="705">
        <v>47943</v>
      </c>
      <c r="V598" s="705">
        <v>1912321</v>
      </c>
      <c r="W598" s="705">
        <f t="shared" si="34"/>
        <v>1912320</v>
      </c>
      <c r="X598" s="705">
        <f t="shared" si="35"/>
        <v>2316009</v>
      </c>
      <c r="Y598" s="705"/>
    </row>
    <row r="599" spans="2:25">
      <c r="B599" t="s">
        <v>683</v>
      </c>
      <c r="C599" t="s">
        <v>120</v>
      </c>
      <c r="D599" t="s">
        <v>669</v>
      </c>
      <c r="E599" t="s">
        <v>228</v>
      </c>
      <c r="F599">
        <v>1</v>
      </c>
      <c r="G599">
        <v>46</v>
      </c>
      <c r="H599">
        <v>322</v>
      </c>
      <c r="I599" s="705">
        <v>6964</v>
      </c>
      <c r="J599" s="706">
        <v>5804</v>
      </c>
      <c r="K599">
        <v>30</v>
      </c>
      <c r="L599" s="705">
        <v>1175</v>
      </c>
      <c r="M599">
        <v>435</v>
      </c>
      <c r="N599" s="705">
        <v>1119</v>
      </c>
      <c r="O599">
        <v>415</v>
      </c>
      <c r="P599">
        <v>0</v>
      </c>
      <c r="Q599">
        <v>0</v>
      </c>
      <c r="R599" s="705">
        <v>5518</v>
      </c>
      <c r="S599" s="705">
        <v>2044</v>
      </c>
      <c r="T599">
        <v>0</v>
      </c>
      <c r="U599">
        <v>0</v>
      </c>
      <c r="V599" s="705">
        <v>8697</v>
      </c>
      <c r="W599" s="705">
        <f t="shared" si="34"/>
        <v>8698</v>
      </c>
      <c r="X599" s="705">
        <f t="shared" si="35"/>
        <v>14776</v>
      </c>
      <c r="Y599" s="705"/>
    </row>
    <row r="600" spans="2:25">
      <c r="B600" t="s">
        <v>683</v>
      </c>
      <c r="C600" t="s">
        <v>122</v>
      </c>
      <c r="F600" s="705">
        <v>42</v>
      </c>
      <c r="G600" s="705">
        <v>1905</v>
      </c>
      <c r="H600" s="705">
        <v>17237</v>
      </c>
      <c r="J600" s="706">
        <v>0</v>
      </c>
      <c r="K600" s="705"/>
      <c r="M600">
        <v>0</v>
      </c>
      <c r="N600" s="705">
        <v>38548</v>
      </c>
      <c r="O600" s="705">
        <v>14277</v>
      </c>
      <c r="P600" s="705">
        <v>10125</v>
      </c>
      <c r="Q600" s="705">
        <v>3750</v>
      </c>
      <c r="S600">
        <v>0</v>
      </c>
      <c r="T600" s="705">
        <v>7272</v>
      </c>
      <c r="U600" s="705">
        <v>2693</v>
      </c>
      <c r="V600" s="705">
        <v>20721</v>
      </c>
      <c r="W600" s="705">
        <f t="shared" si="34"/>
        <v>20720</v>
      </c>
      <c r="X600" s="705">
        <f t="shared" si="35"/>
        <v>55945</v>
      </c>
      <c r="Y600" s="705"/>
    </row>
    <row r="601" spans="2:25">
      <c r="B601" t="s">
        <v>683</v>
      </c>
      <c r="C601" t="s">
        <v>122</v>
      </c>
      <c r="D601" t="s">
        <v>228</v>
      </c>
      <c r="E601" t="s">
        <v>228</v>
      </c>
      <c r="F601">
        <v>161</v>
      </c>
      <c r="G601" s="705">
        <v>7657</v>
      </c>
      <c r="H601" s="705">
        <v>67046</v>
      </c>
      <c r="I601" s="705">
        <v>1794343</v>
      </c>
      <c r="J601" s="706">
        <v>664572</v>
      </c>
      <c r="K601" s="705">
        <v>100</v>
      </c>
      <c r="L601" s="705">
        <v>273100</v>
      </c>
      <c r="M601" s="705">
        <v>186228</v>
      </c>
      <c r="N601" s="705">
        <v>156589</v>
      </c>
      <c r="O601" s="705">
        <v>57996</v>
      </c>
      <c r="P601" s="705">
        <v>5284</v>
      </c>
      <c r="Q601" s="705">
        <v>1957</v>
      </c>
      <c r="R601" s="705">
        <v>966088</v>
      </c>
      <c r="S601" s="705">
        <v>357810</v>
      </c>
      <c r="T601" s="705">
        <v>5275</v>
      </c>
      <c r="U601" s="705">
        <v>1954</v>
      </c>
      <c r="V601" s="705">
        <v>1270517</v>
      </c>
      <c r="W601" s="705">
        <f t="shared" si="34"/>
        <v>1270517</v>
      </c>
      <c r="X601" s="705">
        <f t="shared" si="35"/>
        <v>3200679</v>
      </c>
      <c r="Y601" s="705"/>
    </row>
    <row r="602" spans="2:25">
      <c r="B602" t="s">
        <v>683</v>
      </c>
      <c r="C602" t="s">
        <v>122</v>
      </c>
      <c r="D602" t="s">
        <v>583</v>
      </c>
      <c r="E602" t="s">
        <v>228</v>
      </c>
      <c r="F602" s="705">
        <v>5</v>
      </c>
      <c r="G602" s="705">
        <v>199</v>
      </c>
      <c r="H602" s="705">
        <v>2079</v>
      </c>
      <c r="I602" s="705">
        <v>57192</v>
      </c>
      <c r="J602" s="706">
        <v>51992</v>
      </c>
      <c r="K602" s="705">
        <v>77</v>
      </c>
      <c r="L602">
        <v>0</v>
      </c>
      <c r="M602">
        <v>0</v>
      </c>
      <c r="N602" s="705">
        <v>3414</v>
      </c>
      <c r="O602" s="705">
        <v>1264</v>
      </c>
      <c r="P602" s="705">
        <v>2484</v>
      </c>
      <c r="Q602">
        <v>920</v>
      </c>
      <c r="R602" s="705">
        <v>19298</v>
      </c>
      <c r="S602" s="705">
        <v>7147</v>
      </c>
      <c r="T602">
        <v>0</v>
      </c>
      <c r="U602">
        <v>0</v>
      </c>
      <c r="V602" s="705">
        <v>61324</v>
      </c>
      <c r="W602" s="705">
        <f t="shared" si="34"/>
        <v>61323</v>
      </c>
      <c r="X602" s="705">
        <f t="shared" si="35"/>
        <v>82388</v>
      </c>
      <c r="Y602" s="705"/>
    </row>
    <row r="603" spans="2:25">
      <c r="B603" t="s">
        <v>683</v>
      </c>
      <c r="C603" t="s">
        <v>122</v>
      </c>
      <c r="D603" t="s">
        <v>583</v>
      </c>
      <c r="E603" t="s">
        <v>583</v>
      </c>
      <c r="F603">
        <v>7</v>
      </c>
      <c r="G603">
        <v>336</v>
      </c>
      <c r="H603" s="705">
        <v>2862</v>
      </c>
      <c r="I603" s="705">
        <v>82681</v>
      </c>
      <c r="J603" s="706">
        <v>75165</v>
      </c>
      <c r="K603" s="705">
        <v>78</v>
      </c>
      <c r="L603" s="705">
        <v>10742</v>
      </c>
      <c r="M603" s="705">
        <v>3979</v>
      </c>
      <c r="N603" s="705">
        <v>7118</v>
      </c>
      <c r="O603" s="705">
        <v>2636</v>
      </c>
      <c r="P603" s="705">
        <v>4347</v>
      </c>
      <c r="Q603" s="705">
        <v>1610</v>
      </c>
      <c r="R603" s="705">
        <v>31537</v>
      </c>
      <c r="S603" s="705">
        <v>28670</v>
      </c>
      <c r="T603" s="705">
        <v>2188</v>
      </c>
      <c r="U603">
        <v>810</v>
      </c>
      <c r="V603" s="705">
        <v>112870</v>
      </c>
      <c r="W603" s="705">
        <f t="shared" si="34"/>
        <v>112870</v>
      </c>
      <c r="X603" s="705">
        <f t="shared" si="35"/>
        <v>138613</v>
      </c>
      <c r="Y603" s="705"/>
    </row>
    <row r="604" spans="2:25">
      <c r="B604" t="s">
        <v>683</v>
      </c>
      <c r="C604" t="s">
        <v>122</v>
      </c>
      <c r="D604" t="s">
        <v>584</v>
      </c>
      <c r="E604" t="s">
        <v>228</v>
      </c>
      <c r="F604">
        <v>4</v>
      </c>
      <c r="G604" s="705">
        <v>186</v>
      </c>
      <c r="H604" s="705">
        <v>1674</v>
      </c>
      <c r="I604" s="705">
        <v>53978</v>
      </c>
      <c r="J604" s="706">
        <v>49071</v>
      </c>
      <c r="K604" s="705">
        <v>72</v>
      </c>
      <c r="L604">
        <v>814</v>
      </c>
      <c r="M604">
        <v>740</v>
      </c>
      <c r="N604" s="705">
        <v>3072</v>
      </c>
      <c r="O604" s="705">
        <v>1138</v>
      </c>
      <c r="P604" s="705">
        <v>1769</v>
      </c>
      <c r="Q604">
        <v>655</v>
      </c>
      <c r="R604" s="705">
        <v>17483</v>
      </c>
      <c r="S604" s="705">
        <v>6475</v>
      </c>
      <c r="T604">
        <v>0</v>
      </c>
      <c r="U604">
        <v>0</v>
      </c>
      <c r="V604" s="705">
        <v>58079</v>
      </c>
      <c r="W604" s="705">
        <f t="shared" si="34"/>
        <v>58079</v>
      </c>
      <c r="X604" s="705">
        <f t="shared" si="35"/>
        <v>77116</v>
      </c>
      <c r="Y604" s="705"/>
    </row>
    <row r="605" spans="2:25">
      <c r="B605" t="s">
        <v>683</v>
      </c>
      <c r="C605" t="s">
        <v>122</v>
      </c>
      <c r="D605" t="s">
        <v>584</v>
      </c>
      <c r="E605" t="s">
        <v>584</v>
      </c>
      <c r="F605">
        <v>64</v>
      </c>
      <c r="G605" s="705">
        <v>3600</v>
      </c>
      <c r="H605" s="705">
        <v>26713</v>
      </c>
      <c r="I605" s="705">
        <v>899818</v>
      </c>
      <c r="J605" s="706">
        <v>818017</v>
      </c>
      <c r="K605" s="705">
        <v>75</v>
      </c>
      <c r="L605" s="705">
        <v>140112</v>
      </c>
      <c r="M605" s="705">
        <v>116896</v>
      </c>
      <c r="N605" s="705">
        <v>74978</v>
      </c>
      <c r="O605" s="705">
        <v>27770</v>
      </c>
      <c r="P605" s="705">
        <v>30227</v>
      </c>
      <c r="Q605" s="705">
        <v>11195</v>
      </c>
      <c r="R605" s="705">
        <v>269543</v>
      </c>
      <c r="S605" s="705">
        <v>245039</v>
      </c>
      <c r="T605" s="705">
        <v>80479</v>
      </c>
      <c r="U605" s="705">
        <v>29807</v>
      </c>
      <c r="V605" s="705">
        <v>1248723</v>
      </c>
      <c r="W605" s="705">
        <f t="shared" si="34"/>
        <v>1248724</v>
      </c>
      <c r="X605" s="705">
        <f t="shared" si="35"/>
        <v>1495157</v>
      </c>
      <c r="Y605" s="705"/>
    </row>
    <row r="606" spans="2:25">
      <c r="B606" t="s">
        <v>683</v>
      </c>
      <c r="C606" t="s">
        <v>122</v>
      </c>
      <c r="D606" t="s">
        <v>669</v>
      </c>
      <c r="E606" t="s">
        <v>228</v>
      </c>
      <c r="F606" s="705">
        <v>1</v>
      </c>
      <c r="G606" s="705">
        <v>46</v>
      </c>
      <c r="H606" s="705">
        <v>389</v>
      </c>
      <c r="I606" s="705">
        <v>9392</v>
      </c>
      <c r="J606" s="706">
        <v>7826</v>
      </c>
      <c r="K606" s="705">
        <v>55</v>
      </c>
      <c r="L606" s="705">
        <v>1913</v>
      </c>
      <c r="M606" s="705">
        <v>1594</v>
      </c>
      <c r="N606">
        <v>806</v>
      </c>
      <c r="O606">
        <v>298</v>
      </c>
      <c r="P606">
        <v>351</v>
      </c>
      <c r="Q606">
        <v>130</v>
      </c>
      <c r="R606" s="705">
        <v>5532</v>
      </c>
      <c r="S606" s="705">
        <v>2049</v>
      </c>
      <c r="T606">
        <v>0</v>
      </c>
      <c r="U606">
        <v>0</v>
      </c>
      <c r="V606" s="705">
        <v>11898</v>
      </c>
      <c r="W606" s="705">
        <f t="shared" si="34"/>
        <v>11897</v>
      </c>
      <c r="X606" s="705">
        <f t="shared" si="35"/>
        <v>17994</v>
      </c>
      <c r="Y606" s="705"/>
    </row>
    <row r="607" spans="2:25">
      <c r="B607" t="s">
        <v>683</v>
      </c>
      <c r="C607" t="s">
        <v>124</v>
      </c>
      <c r="F607" s="705">
        <v>26</v>
      </c>
      <c r="G607" s="705">
        <v>1198</v>
      </c>
      <c r="H607" s="705">
        <v>14567</v>
      </c>
      <c r="J607" s="706">
        <v>0</v>
      </c>
      <c r="K607" s="705"/>
      <c r="M607">
        <v>0</v>
      </c>
      <c r="N607" s="705">
        <v>23643</v>
      </c>
      <c r="O607" s="705">
        <v>8757</v>
      </c>
      <c r="P607" s="705">
        <v>3308</v>
      </c>
      <c r="Q607" s="705">
        <v>1225</v>
      </c>
      <c r="S607">
        <v>0</v>
      </c>
      <c r="T607" s="705">
        <v>18733</v>
      </c>
      <c r="U607" s="705">
        <v>6938</v>
      </c>
      <c r="V607" s="705">
        <v>16920</v>
      </c>
      <c r="W607" s="705">
        <f t="shared" si="34"/>
        <v>16920</v>
      </c>
      <c r="X607" s="705">
        <f t="shared" si="35"/>
        <v>45684</v>
      </c>
      <c r="Y607" s="705"/>
    </row>
    <row r="608" spans="2:25">
      <c r="B608" t="s">
        <v>683</v>
      </c>
      <c r="C608" t="s">
        <v>124</v>
      </c>
      <c r="D608" t="s">
        <v>228</v>
      </c>
      <c r="E608" t="s">
        <v>228</v>
      </c>
      <c r="F608">
        <v>260</v>
      </c>
      <c r="G608" s="705">
        <v>11576</v>
      </c>
      <c r="H608" s="705">
        <v>155052</v>
      </c>
      <c r="I608" s="705">
        <v>4589483</v>
      </c>
      <c r="J608" s="706">
        <v>1699809</v>
      </c>
      <c r="K608" s="705">
        <v>100</v>
      </c>
      <c r="L608" s="705">
        <v>585804</v>
      </c>
      <c r="M608" s="705">
        <v>361367</v>
      </c>
      <c r="N608" s="705">
        <v>242916</v>
      </c>
      <c r="O608" s="705">
        <v>89969</v>
      </c>
      <c r="P608" s="705">
        <v>3510</v>
      </c>
      <c r="Q608" s="705">
        <v>1300</v>
      </c>
      <c r="R608" s="705">
        <v>1452276</v>
      </c>
      <c r="S608" s="705">
        <v>537880</v>
      </c>
      <c r="T608">
        <v>0</v>
      </c>
      <c r="U608">
        <v>0</v>
      </c>
      <c r="V608" s="705">
        <v>2690324</v>
      </c>
      <c r="W608" s="705">
        <f t="shared" si="34"/>
        <v>2690325</v>
      </c>
      <c r="X608" s="705">
        <f t="shared" si="35"/>
        <v>6873989</v>
      </c>
      <c r="Y608" s="705"/>
    </row>
    <row r="609" spans="2:25">
      <c r="B609" t="s">
        <v>683</v>
      </c>
      <c r="C609" t="s">
        <v>124</v>
      </c>
      <c r="D609" t="s">
        <v>583</v>
      </c>
      <c r="E609" t="s">
        <v>228</v>
      </c>
      <c r="F609">
        <v>9</v>
      </c>
      <c r="G609" s="705">
        <v>389</v>
      </c>
      <c r="H609" s="705">
        <v>4731</v>
      </c>
      <c r="I609" s="705">
        <v>117863</v>
      </c>
      <c r="J609" s="706">
        <v>107149</v>
      </c>
      <c r="K609" s="705">
        <v>79</v>
      </c>
      <c r="L609" s="705">
        <v>8657</v>
      </c>
      <c r="M609" s="705">
        <v>7214</v>
      </c>
      <c r="N609" s="705">
        <v>7998</v>
      </c>
      <c r="O609" s="705">
        <v>2962</v>
      </c>
      <c r="P609" s="705">
        <v>5589</v>
      </c>
      <c r="Q609" s="705">
        <v>2070</v>
      </c>
      <c r="R609" s="705">
        <v>63236</v>
      </c>
      <c r="S609" s="705">
        <v>23421</v>
      </c>
      <c r="T609">
        <v>0</v>
      </c>
      <c r="U609">
        <v>0</v>
      </c>
      <c r="V609" s="705">
        <v>142815</v>
      </c>
      <c r="W609" s="705">
        <f t="shared" si="34"/>
        <v>142816</v>
      </c>
      <c r="X609" s="705">
        <f t="shared" si="35"/>
        <v>203343</v>
      </c>
      <c r="Y609" s="705"/>
    </row>
    <row r="610" spans="2:25">
      <c r="B610" t="s">
        <v>683</v>
      </c>
      <c r="C610" t="s">
        <v>124</v>
      </c>
      <c r="D610" t="s">
        <v>583</v>
      </c>
      <c r="E610" t="s">
        <v>583</v>
      </c>
      <c r="F610">
        <v>3</v>
      </c>
      <c r="G610" s="705">
        <v>133</v>
      </c>
      <c r="H610" s="705">
        <v>1521</v>
      </c>
      <c r="I610" s="705">
        <v>39808</v>
      </c>
      <c r="J610" s="706">
        <v>36190</v>
      </c>
      <c r="K610" s="705">
        <v>85</v>
      </c>
      <c r="L610" s="705">
        <v>10369</v>
      </c>
      <c r="M610" s="705">
        <v>6630</v>
      </c>
      <c r="N610" s="705">
        <v>2203</v>
      </c>
      <c r="O610">
        <v>816</v>
      </c>
      <c r="P610" s="705">
        <v>1863</v>
      </c>
      <c r="Q610">
        <v>690</v>
      </c>
      <c r="R610" s="705">
        <v>9605</v>
      </c>
      <c r="S610" s="705">
        <v>8732</v>
      </c>
      <c r="T610" s="705">
        <v>2644</v>
      </c>
      <c r="U610">
        <v>979</v>
      </c>
      <c r="V610" s="705">
        <v>54037</v>
      </c>
      <c r="W610" s="705">
        <f t="shared" si="34"/>
        <v>54037</v>
      </c>
      <c r="X610" s="705">
        <f t="shared" si="35"/>
        <v>66492</v>
      </c>
      <c r="Y610" s="705"/>
    </row>
    <row r="611" spans="2:25">
      <c r="B611" t="s">
        <v>683</v>
      </c>
      <c r="C611" t="s">
        <v>124</v>
      </c>
      <c r="D611" t="s">
        <v>584</v>
      </c>
      <c r="E611" t="s">
        <v>228</v>
      </c>
      <c r="F611">
        <v>9</v>
      </c>
      <c r="G611" s="705">
        <v>365</v>
      </c>
      <c r="H611" s="705">
        <v>4608</v>
      </c>
      <c r="I611" s="705">
        <v>112471</v>
      </c>
      <c r="J611" s="706">
        <v>102246</v>
      </c>
      <c r="K611" s="705">
        <v>75</v>
      </c>
      <c r="L611" s="705">
        <v>12388</v>
      </c>
      <c r="M611" s="705">
        <v>8790</v>
      </c>
      <c r="N611" s="705">
        <v>6735</v>
      </c>
      <c r="O611" s="705">
        <v>2494</v>
      </c>
      <c r="P611" s="705">
        <v>3902</v>
      </c>
      <c r="Q611" s="705">
        <v>1445</v>
      </c>
      <c r="R611" s="705">
        <v>51604</v>
      </c>
      <c r="S611" s="705">
        <v>19113</v>
      </c>
      <c r="T611">
        <v>0</v>
      </c>
      <c r="U611">
        <v>0</v>
      </c>
      <c r="V611" s="705">
        <v>134088</v>
      </c>
      <c r="W611" s="705">
        <f t="shared" si="34"/>
        <v>134088</v>
      </c>
      <c r="X611" s="705">
        <f t="shared" si="35"/>
        <v>187100</v>
      </c>
      <c r="Y611" s="705"/>
    </row>
    <row r="612" spans="2:25">
      <c r="B612" t="s">
        <v>683</v>
      </c>
      <c r="C612" t="s">
        <v>124</v>
      </c>
      <c r="D612" t="s">
        <v>584</v>
      </c>
      <c r="E612" t="s">
        <v>584</v>
      </c>
      <c r="F612">
        <v>40</v>
      </c>
      <c r="G612" s="705">
        <v>2086</v>
      </c>
      <c r="H612" s="705">
        <v>21878</v>
      </c>
      <c r="I612" s="705">
        <v>716519</v>
      </c>
      <c r="J612" s="706">
        <v>651381</v>
      </c>
      <c r="K612" s="705">
        <v>74</v>
      </c>
      <c r="L612" s="705">
        <v>134762</v>
      </c>
      <c r="M612" s="705">
        <v>113066</v>
      </c>
      <c r="N612" s="705">
        <v>45018</v>
      </c>
      <c r="O612" s="705">
        <v>16673</v>
      </c>
      <c r="P612" s="705">
        <v>18428</v>
      </c>
      <c r="Q612" s="705">
        <v>6825</v>
      </c>
      <c r="R612" s="705">
        <v>156487</v>
      </c>
      <c r="S612" s="705">
        <v>142260</v>
      </c>
      <c r="T612" s="705">
        <v>66988</v>
      </c>
      <c r="U612" s="705">
        <v>24810</v>
      </c>
      <c r="V612" s="705">
        <v>955016</v>
      </c>
      <c r="W612" s="705">
        <f t="shared" si="34"/>
        <v>955015</v>
      </c>
      <c r="X612" s="705">
        <f t="shared" si="35"/>
        <v>1138202</v>
      </c>
      <c r="Y612" s="705"/>
    </row>
    <row r="613" spans="2:25">
      <c r="B613" t="s">
        <v>683</v>
      </c>
      <c r="C613" t="s">
        <v>124</v>
      </c>
      <c r="D613" t="s">
        <v>669</v>
      </c>
      <c r="E613" t="s">
        <v>228</v>
      </c>
      <c r="F613">
        <v>3</v>
      </c>
      <c r="G613">
        <v>174</v>
      </c>
      <c r="H613" s="705">
        <v>2491</v>
      </c>
      <c r="I613" s="705">
        <v>124830</v>
      </c>
      <c r="J613" s="706">
        <v>104025</v>
      </c>
      <c r="K613" s="705">
        <v>30</v>
      </c>
      <c r="L613" s="705">
        <v>9362</v>
      </c>
      <c r="M613" s="705">
        <v>3467</v>
      </c>
      <c r="N613" s="705">
        <v>4180</v>
      </c>
      <c r="O613" s="705">
        <v>1548</v>
      </c>
      <c r="P613">
        <v>0</v>
      </c>
      <c r="Q613">
        <v>0</v>
      </c>
      <c r="R613" s="705">
        <v>14992</v>
      </c>
      <c r="S613" s="705">
        <v>5553</v>
      </c>
      <c r="T613">
        <v>0</v>
      </c>
      <c r="U613">
        <v>0</v>
      </c>
      <c r="V613" s="705">
        <v>114593</v>
      </c>
      <c r="W613" s="705">
        <f t="shared" si="34"/>
        <v>114593</v>
      </c>
      <c r="X613" s="705">
        <f t="shared" si="35"/>
        <v>153364</v>
      </c>
      <c r="Y613" s="705"/>
    </row>
    <row r="614" spans="2:25">
      <c r="B614" t="s">
        <v>684</v>
      </c>
      <c r="C614" t="s">
        <v>108</v>
      </c>
      <c r="F614">
        <v>1</v>
      </c>
      <c r="G614">
        <v>89</v>
      </c>
      <c r="H614">
        <v>70</v>
      </c>
      <c r="J614" s="429">
        <v>0</v>
      </c>
      <c r="K614" s="705"/>
      <c r="M614">
        <v>0</v>
      </c>
      <c r="N614" s="705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705">
        <f t="shared" si="34"/>
        <v>697</v>
      </c>
      <c r="X614" s="705">
        <f t="shared" si="35"/>
        <v>1882</v>
      </c>
      <c r="Y614" s="705"/>
    </row>
    <row r="615" spans="2:25">
      <c r="B615" t="s">
        <v>684</v>
      </c>
      <c r="C615" t="s">
        <v>108</v>
      </c>
      <c r="D615" t="s">
        <v>228</v>
      </c>
      <c r="E615" t="s">
        <v>228</v>
      </c>
      <c r="F615">
        <v>1</v>
      </c>
      <c r="G615">
        <v>323</v>
      </c>
      <c r="H615" s="705">
        <v>69</v>
      </c>
      <c r="I615" s="705">
        <v>6713</v>
      </c>
      <c r="J615" s="706">
        <v>2486</v>
      </c>
      <c r="K615" s="705">
        <v>417</v>
      </c>
      <c r="L615" s="705">
        <v>1847</v>
      </c>
      <c r="M615" s="705">
        <v>1539</v>
      </c>
      <c r="N615" s="705">
        <v>6454</v>
      </c>
      <c r="O615" s="705">
        <v>2390</v>
      </c>
      <c r="P615">
        <v>351</v>
      </c>
      <c r="Q615">
        <v>130</v>
      </c>
      <c r="R615" s="705">
        <v>6858</v>
      </c>
      <c r="S615" s="705">
        <v>2540</v>
      </c>
      <c r="T615">
        <v>0</v>
      </c>
      <c r="U615">
        <v>0</v>
      </c>
      <c r="V615" s="705">
        <v>9085</v>
      </c>
      <c r="W615" s="705">
        <f t="shared" si="34"/>
        <v>9085</v>
      </c>
      <c r="X615" s="705">
        <f t="shared" si="35"/>
        <v>22223</v>
      </c>
      <c r="Y615" s="705"/>
    </row>
    <row r="616" spans="2:25">
      <c r="B616" t="s">
        <v>684</v>
      </c>
      <c r="C616" t="s">
        <v>108</v>
      </c>
      <c r="D616" t="s">
        <v>584</v>
      </c>
      <c r="E616" t="s">
        <v>584</v>
      </c>
      <c r="F616">
        <v>19</v>
      </c>
      <c r="G616" s="705">
        <v>1284</v>
      </c>
      <c r="H616" s="705">
        <v>1101</v>
      </c>
      <c r="I616" s="705">
        <v>-10791</v>
      </c>
      <c r="J616" s="706">
        <v>-9810</v>
      </c>
      <c r="K616" s="705">
        <v>90</v>
      </c>
      <c r="L616">
        <v>-159</v>
      </c>
      <c r="M616">
        <v>-59</v>
      </c>
      <c r="N616" s="705">
        <v>15640</v>
      </c>
      <c r="O616" s="705">
        <v>5792</v>
      </c>
      <c r="P616" s="705">
        <v>17231</v>
      </c>
      <c r="Q616" s="705">
        <v>6382</v>
      </c>
      <c r="R616" s="705">
        <v>53297</v>
      </c>
      <c r="S616" s="705">
        <v>48452</v>
      </c>
      <c r="T616">
        <v>0</v>
      </c>
      <c r="U616">
        <v>0</v>
      </c>
      <c r="V616" s="705">
        <v>50757</v>
      </c>
      <c r="W616" s="705">
        <f t="shared" si="34"/>
        <v>70495</v>
      </c>
      <c r="X616" s="705">
        <f t="shared" si="35"/>
        <v>97118</v>
      </c>
      <c r="Y616" s="705"/>
    </row>
    <row r="617" spans="2:25">
      <c r="B617" t="s">
        <v>684</v>
      </c>
      <c r="C617" t="s">
        <v>110</v>
      </c>
      <c r="D617" t="s">
        <v>584</v>
      </c>
      <c r="E617" t="s">
        <v>584</v>
      </c>
      <c r="F617">
        <v>3</v>
      </c>
      <c r="G617">
        <v>194</v>
      </c>
      <c r="H617" s="705">
        <v>272</v>
      </c>
      <c r="I617" s="705">
        <v>3207</v>
      </c>
      <c r="J617" s="706">
        <v>2916</v>
      </c>
      <c r="K617" s="705">
        <v>85</v>
      </c>
      <c r="L617" s="705">
        <v>1522</v>
      </c>
      <c r="M617">
        <v>564</v>
      </c>
      <c r="N617" s="705">
        <v>3969</v>
      </c>
      <c r="O617" s="705">
        <v>1470</v>
      </c>
      <c r="P617" s="705">
        <v>1418</v>
      </c>
      <c r="Q617">
        <v>525</v>
      </c>
      <c r="R617" s="705">
        <v>7487</v>
      </c>
      <c r="S617" s="705">
        <v>6807</v>
      </c>
      <c r="T617">
        <v>0</v>
      </c>
      <c r="U617">
        <v>0</v>
      </c>
      <c r="V617" s="705">
        <v>12281</v>
      </c>
      <c r="W617" s="705">
        <f t="shared" si="34"/>
        <v>12282</v>
      </c>
      <c r="X617" s="705">
        <f t="shared" si="35"/>
        <v>17603</v>
      </c>
      <c r="Y617" s="705"/>
    </row>
    <row r="618" spans="2:25">
      <c r="B618" t="s">
        <v>684</v>
      </c>
      <c r="C618" t="s">
        <v>112</v>
      </c>
      <c r="D618" t="s">
        <v>584</v>
      </c>
      <c r="E618" t="s">
        <v>584</v>
      </c>
      <c r="F618">
        <v>24</v>
      </c>
      <c r="G618" s="705">
        <v>2026</v>
      </c>
      <c r="H618" s="705">
        <v>2756</v>
      </c>
      <c r="I618" s="705">
        <v>68919</v>
      </c>
      <c r="J618" s="706">
        <v>62654</v>
      </c>
      <c r="K618" s="705">
        <v>82</v>
      </c>
      <c r="L618" s="705">
        <v>9010</v>
      </c>
      <c r="M618" s="705">
        <v>5137</v>
      </c>
      <c r="N618" s="705">
        <v>43850</v>
      </c>
      <c r="O618" s="705">
        <v>16241</v>
      </c>
      <c r="P618" s="705">
        <v>12393</v>
      </c>
      <c r="Q618" s="705">
        <v>4590</v>
      </c>
      <c r="R618" s="705">
        <v>96218</v>
      </c>
      <c r="S618" s="705">
        <v>87471</v>
      </c>
      <c r="T618" s="705">
        <v>2764</v>
      </c>
      <c r="U618" s="705">
        <v>1024</v>
      </c>
      <c r="V618" s="705">
        <v>177116</v>
      </c>
      <c r="W618" s="705">
        <f t="shared" si="34"/>
        <v>177117</v>
      </c>
      <c r="X618" s="705">
        <f t="shared" si="35"/>
        <v>233154</v>
      </c>
      <c r="Y618" s="705"/>
    </row>
    <row r="619" spans="2:25">
      <c r="B619" t="s">
        <v>684</v>
      </c>
      <c r="C619" t="s">
        <v>114</v>
      </c>
      <c r="F619">
        <v>1</v>
      </c>
      <c r="G619">
        <v>49</v>
      </c>
      <c r="H619" s="705">
        <v>132</v>
      </c>
      <c r="J619" s="429">
        <v>0</v>
      </c>
      <c r="K619" s="705"/>
      <c r="M619">
        <v>0</v>
      </c>
      <c r="N619" s="705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705">
        <f t="shared" si="34"/>
        <v>617</v>
      </c>
      <c r="X619" s="705">
        <f t="shared" si="35"/>
        <v>1667</v>
      </c>
      <c r="Y619" s="705"/>
    </row>
    <row r="620" spans="2:25">
      <c r="B620" t="s">
        <v>684</v>
      </c>
      <c r="C620" t="s">
        <v>114</v>
      </c>
      <c r="D620" t="s">
        <v>228</v>
      </c>
      <c r="E620" t="s">
        <v>228</v>
      </c>
      <c r="F620">
        <v>1</v>
      </c>
      <c r="G620">
        <v>55</v>
      </c>
      <c r="H620" s="705">
        <v>146</v>
      </c>
      <c r="I620" s="705">
        <v>1441</v>
      </c>
      <c r="J620" s="429">
        <v>534</v>
      </c>
      <c r="K620" s="705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705">
        <v>5363</v>
      </c>
      <c r="S620" s="705">
        <v>1986</v>
      </c>
      <c r="T620">
        <v>0</v>
      </c>
      <c r="U620">
        <v>0</v>
      </c>
      <c r="V620" s="705">
        <v>2950</v>
      </c>
      <c r="W620" s="705">
        <f t="shared" si="34"/>
        <v>2949</v>
      </c>
      <c r="X620" s="705">
        <f t="shared" si="35"/>
        <v>7964</v>
      </c>
      <c r="Y620" s="705"/>
    </row>
    <row r="621" spans="2:25">
      <c r="B621" t="s">
        <v>684</v>
      </c>
      <c r="C621" t="s">
        <v>114</v>
      </c>
      <c r="D621" t="s">
        <v>584</v>
      </c>
      <c r="E621" t="s">
        <v>584</v>
      </c>
      <c r="F621">
        <v>86</v>
      </c>
      <c r="G621" s="705">
        <v>6844</v>
      </c>
      <c r="H621" s="705">
        <v>12078</v>
      </c>
      <c r="I621" s="705">
        <v>336480</v>
      </c>
      <c r="J621" s="706">
        <v>305891</v>
      </c>
      <c r="K621" s="705">
        <v>80</v>
      </c>
      <c r="L621" s="705">
        <v>46188</v>
      </c>
      <c r="M621" s="705">
        <v>35842</v>
      </c>
      <c r="N621" s="705">
        <v>138319</v>
      </c>
      <c r="O621" s="705">
        <v>51229</v>
      </c>
      <c r="P621" s="705">
        <v>40635</v>
      </c>
      <c r="Q621" s="705">
        <v>15050</v>
      </c>
      <c r="R621" s="705">
        <v>385489</v>
      </c>
      <c r="S621" s="705">
        <v>350444</v>
      </c>
      <c r="T621" s="705">
        <v>14029</v>
      </c>
      <c r="U621" s="705">
        <v>5196</v>
      </c>
      <c r="V621" s="705">
        <v>763653</v>
      </c>
      <c r="W621" s="705">
        <f t="shared" si="34"/>
        <v>763652</v>
      </c>
      <c r="X621" s="705">
        <f t="shared" si="35"/>
        <v>961140</v>
      </c>
      <c r="Y621" s="705"/>
    </row>
    <row r="622" spans="2:25">
      <c r="B622" t="s">
        <v>684</v>
      </c>
      <c r="C622" t="s">
        <v>116</v>
      </c>
      <c r="F622">
        <v>2</v>
      </c>
      <c r="G622">
        <v>109</v>
      </c>
      <c r="H622" s="705">
        <v>370</v>
      </c>
      <c r="J622" s="429">
        <v>0</v>
      </c>
      <c r="K622" s="705"/>
      <c r="M622">
        <v>0</v>
      </c>
      <c r="N622" s="705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705">
        <v>1070</v>
      </c>
      <c r="W622" s="705">
        <f t="shared" si="34"/>
        <v>1070</v>
      </c>
      <c r="X622" s="705">
        <f t="shared" si="35"/>
        <v>2889</v>
      </c>
      <c r="Y622" s="705"/>
    </row>
    <row r="623" spans="2:25">
      <c r="B623" t="s">
        <v>684</v>
      </c>
      <c r="C623" t="s">
        <v>116</v>
      </c>
      <c r="D623" t="s">
        <v>228</v>
      </c>
      <c r="E623" t="s">
        <v>228</v>
      </c>
      <c r="F623">
        <v>11</v>
      </c>
      <c r="G623">
        <v>585</v>
      </c>
      <c r="H623" s="705">
        <v>2246</v>
      </c>
      <c r="I623" s="705">
        <v>44717</v>
      </c>
      <c r="J623" s="706">
        <v>16562</v>
      </c>
      <c r="K623" s="705">
        <v>100</v>
      </c>
      <c r="L623" s="705">
        <v>5775</v>
      </c>
      <c r="M623" s="705">
        <v>3252</v>
      </c>
      <c r="N623" s="705">
        <v>10488</v>
      </c>
      <c r="O623" s="705">
        <v>3884</v>
      </c>
      <c r="P623">
        <v>0</v>
      </c>
      <c r="Q623">
        <v>0</v>
      </c>
      <c r="R623" s="705">
        <v>58558</v>
      </c>
      <c r="S623" s="705">
        <v>21688</v>
      </c>
      <c r="T623">
        <v>0</v>
      </c>
      <c r="U623">
        <v>0</v>
      </c>
      <c r="V623" s="705">
        <v>45386</v>
      </c>
      <c r="W623" s="705">
        <f t="shared" si="34"/>
        <v>45386</v>
      </c>
      <c r="X623" s="705">
        <f t="shared" si="35"/>
        <v>119538</v>
      </c>
      <c r="Y623" s="705"/>
    </row>
    <row r="624" spans="2:25">
      <c r="B624" t="s">
        <v>684</v>
      </c>
      <c r="C624" t="s">
        <v>116</v>
      </c>
      <c r="D624" t="s">
        <v>583</v>
      </c>
      <c r="E624" t="s">
        <v>583</v>
      </c>
      <c r="F624">
        <v>2</v>
      </c>
      <c r="G624">
        <v>177</v>
      </c>
      <c r="H624" s="705">
        <v>386</v>
      </c>
      <c r="I624" s="705">
        <v>21105</v>
      </c>
      <c r="J624" s="706">
        <v>19187</v>
      </c>
      <c r="K624" s="705">
        <v>85</v>
      </c>
      <c r="L624" s="705">
        <v>4552</v>
      </c>
      <c r="M624" s="705">
        <v>3793</v>
      </c>
      <c r="N624" s="705">
        <v>5527</v>
      </c>
      <c r="O624" s="705">
        <v>2047</v>
      </c>
      <c r="P624" s="705">
        <v>1242</v>
      </c>
      <c r="Q624">
        <v>460</v>
      </c>
      <c r="R624" s="705">
        <v>10194</v>
      </c>
      <c r="S624" s="705">
        <v>9267</v>
      </c>
      <c r="T624" s="705">
        <v>3635</v>
      </c>
      <c r="U624" s="705">
        <v>1346</v>
      </c>
      <c r="V624" s="705">
        <v>36101</v>
      </c>
      <c r="W624" s="705">
        <f t="shared" si="34"/>
        <v>36100</v>
      </c>
      <c r="X624" s="705">
        <f t="shared" si="35"/>
        <v>46255</v>
      </c>
      <c r="Y624" s="705"/>
    </row>
    <row r="625" spans="2:25">
      <c r="B625" t="s">
        <v>684</v>
      </c>
      <c r="C625" t="s">
        <v>116</v>
      </c>
      <c r="D625" t="s">
        <v>584</v>
      </c>
      <c r="E625" t="s">
        <v>228</v>
      </c>
      <c r="F625">
        <v>1</v>
      </c>
      <c r="G625">
        <v>42</v>
      </c>
      <c r="H625" s="705">
        <v>222</v>
      </c>
      <c r="I625">
        <v>909</v>
      </c>
      <c r="J625" s="429">
        <v>826</v>
      </c>
      <c r="K625" s="705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705">
        <v>7091</v>
      </c>
      <c r="S625" s="705">
        <v>2626</v>
      </c>
      <c r="T625">
        <v>0</v>
      </c>
      <c r="U625">
        <v>0</v>
      </c>
      <c r="V625" s="705">
        <v>3936</v>
      </c>
      <c r="W625" s="705">
        <f t="shared" si="34"/>
        <v>3935</v>
      </c>
      <c r="X625" s="705">
        <f t="shared" si="35"/>
        <v>9304</v>
      </c>
      <c r="Y625" s="705"/>
    </row>
    <row r="626" spans="2:25">
      <c r="B626" t="s">
        <v>684</v>
      </c>
      <c r="C626" t="s">
        <v>116</v>
      </c>
      <c r="D626" t="s">
        <v>584</v>
      </c>
      <c r="E626" t="s">
        <v>584</v>
      </c>
      <c r="F626">
        <v>239</v>
      </c>
      <c r="G626" s="705">
        <v>17487</v>
      </c>
      <c r="H626" s="705">
        <v>44369</v>
      </c>
      <c r="I626" s="705">
        <v>1403633</v>
      </c>
      <c r="J626" s="706">
        <v>1276030</v>
      </c>
      <c r="K626" s="705">
        <v>79</v>
      </c>
      <c r="L626" s="705">
        <v>221713</v>
      </c>
      <c r="M626" s="705">
        <v>178768</v>
      </c>
      <c r="N626" s="705">
        <v>368852</v>
      </c>
      <c r="O626" s="705">
        <v>136612</v>
      </c>
      <c r="P626" s="705">
        <v>113036</v>
      </c>
      <c r="Q626" s="705">
        <v>41865</v>
      </c>
      <c r="R626" s="705">
        <v>1013148</v>
      </c>
      <c r="S626" s="705">
        <v>921044</v>
      </c>
      <c r="T626" s="705">
        <v>127771</v>
      </c>
      <c r="U626" s="705">
        <v>47323</v>
      </c>
      <c r="V626" s="705">
        <v>2601642</v>
      </c>
      <c r="W626" s="705">
        <f t="shared" si="34"/>
        <v>2601642</v>
      </c>
      <c r="X626" s="705">
        <f t="shared" si="35"/>
        <v>3248153</v>
      </c>
      <c r="Y626" s="705"/>
    </row>
    <row r="627" spans="2:25">
      <c r="B627" t="s">
        <v>684</v>
      </c>
      <c r="C627" t="s">
        <v>118</v>
      </c>
      <c r="F627">
        <v>3</v>
      </c>
      <c r="G627" s="705">
        <v>147</v>
      </c>
      <c r="H627" s="705">
        <v>804</v>
      </c>
      <c r="J627" s="706">
        <v>0</v>
      </c>
      <c r="K627" s="705"/>
      <c r="M627">
        <v>0</v>
      </c>
      <c r="N627" s="705">
        <v>3190</v>
      </c>
      <c r="O627" s="705">
        <v>1182</v>
      </c>
      <c r="P627">
        <v>473</v>
      </c>
      <c r="Q627">
        <v>175</v>
      </c>
      <c r="S627">
        <v>0</v>
      </c>
      <c r="T627" s="705">
        <v>2294</v>
      </c>
      <c r="U627">
        <v>850</v>
      </c>
      <c r="V627" s="705">
        <v>2206</v>
      </c>
      <c r="W627" s="705">
        <f t="shared" si="34"/>
        <v>2207</v>
      </c>
      <c r="X627" s="705">
        <f t="shared" si="35"/>
        <v>5957</v>
      </c>
      <c r="Y627" s="705"/>
    </row>
    <row r="628" spans="2:25">
      <c r="B628" t="s">
        <v>684</v>
      </c>
      <c r="C628" t="s">
        <v>118</v>
      </c>
      <c r="D628" t="s">
        <v>228</v>
      </c>
      <c r="E628" t="s">
        <v>228</v>
      </c>
      <c r="F628" s="705">
        <v>37</v>
      </c>
      <c r="G628" s="705">
        <v>2196</v>
      </c>
      <c r="H628" s="705">
        <v>9834</v>
      </c>
      <c r="I628" s="705">
        <v>292688</v>
      </c>
      <c r="J628" s="706">
        <v>108403</v>
      </c>
      <c r="K628" s="705">
        <v>100</v>
      </c>
      <c r="L628" s="705">
        <v>38432</v>
      </c>
      <c r="M628" s="705">
        <v>17351</v>
      </c>
      <c r="N628" s="705">
        <v>42857</v>
      </c>
      <c r="O628" s="705">
        <v>15873</v>
      </c>
      <c r="P628">
        <v>0</v>
      </c>
      <c r="Q628">
        <v>0</v>
      </c>
      <c r="R628" s="705">
        <v>214751</v>
      </c>
      <c r="S628" s="705">
        <v>79538</v>
      </c>
      <c r="T628">
        <v>0</v>
      </c>
      <c r="U628">
        <v>0</v>
      </c>
      <c r="V628" s="705">
        <v>221165</v>
      </c>
      <c r="W628" s="705">
        <f t="shared" si="34"/>
        <v>221165</v>
      </c>
      <c r="X628" s="705">
        <f t="shared" si="35"/>
        <v>588728</v>
      </c>
      <c r="Y628" s="705"/>
    </row>
    <row r="629" spans="2:25">
      <c r="B629" t="s">
        <v>684</v>
      </c>
      <c r="C629" t="s">
        <v>118</v>
      </c>
      <c r="D629" t="s">
        <v>583</v>
      </c>
      <c r="E629" t="s">
        <v>583</v>
      </c>
      <c r="F629" s="705">
        <v>2</v>
      </c>
      <c r="G629" s="705">
        <v>249</v>
      </c>
      <c r="H629" s="705">
        <v>568</v>
      </c>
      <c r="I629" s="705">
        <v>39269</v>
      </c>
      <c r="J629" s="706">
        <v>35699</v>
      </c>
      <c r="K629" s="705">
        <v>94</v>
      </c>
      <c r="L629" s="705">
        <v>16964</v>
      </c>
      <c r="M629" s="705">
        <v>15421</v>
      </c>
      <c r="N629" s="705">
        <v>4883</v>
      </c>
      <c r="O629" s="705">
        <v>1809</v>
      </c>
      <c r="P629" s="705">
        <v>1242</v>
      </c>
      <c r="Q629">
        <v>460</v>
      </c>
      <c r="R629" s="705">
        <v>8203</v>
      </c>
      <c r="S629" s="705">
        <v>7457</v>
      </c>
      <c r="T629">
        <v>0</v>
      </c>
      <c r="U629">
        <v>0</v>
      </c>
      <c r="V629" s="705">
        <v>60846</v>
      </c>
      <c r="W629" s="705">
        <f t="shared" si="34"/>
        <v>60846</v>
      </c>
      <c r="X629" s="705">
        <f t="shared" si="35"/>
        <v>70561</v>
      </c>
      <c r="Y629" s="705"/>
    </row>
    <row r="630" spans="2:25">
      <c r="B630" t="s">
        <v>684</v>
      </c>
      <c r="C630" t="s">
        <v>118</v>
      </c>
      <c r="D630" t="s">
        <v>584</v>
      </c>
      <c r="E630" t="s">
        <v>228</v>
      </c>
      <c r="F630">
        <v>3</v>
      </c>
      <c r="G630" s="705">
        <v>160</v>
      </c>
      <c r="H630" s="705">
        <v>736</v>
      </c>
      <c r="I630" s="705">
        <v>15188</v>
      </c>
      <c r="J630" s="706">
        <v>13807</v>
      </c>
      <c r="K630" s="705">
        <v>71</v>
      </c>
      <c r="L630">
        <v>501</v>
      </c>
      <c r="M630">
        <v>185</v>
      </c>
      <c r="N630" s="705">
        <v>3511</v>
      </c>
      <c r="O630" s="705">
        <v>1300</v>
      </c>
      <c r="P630">
        <v>945</v>
      </c>
      <c r="Q630">
        <v>350</v>
      </c>
      <c r="R630" s="705">
        <v>19549</v>
      </c>
      <c r="S630" s="705">
        <v>7240</v>
      </c>
      <c r="T630">
        <v>0</v>
      </c>
      <c r="U630">
        <v>0</v>
      </c>
      <c r="V630" s="705">
        <v>22883</v>
      </c>
      <c r="W630" s="705">
        <f t="shared" si="34"/>
        <v>22882</v>
      </c>
      <c r="X630" s="705">
        <f t="shared" si="35"/>
        <v>39694</v>
      </c>
      <c r="Y630" s="705"/>
    </row>
    <row r="631" spans="2:25">
      <c r="B631" t="s">
        <v>684</v>
      </c>
      <c r="C631" t="s">
        <v>118</v>
      </c>
      <c r="D631" t="s">
        <v>584</v>
      </c>
      <c r="E631" t="s">
        <v>584</v>
      </c>
      <c r="F631">
        <v>91</v>
      </c>
      <c r="G631" s="705">
        <v>5954</v>
      </c>
      <c r="H631" s="705">
        <v>23715</v>
      </c>
      <c r="I631" s="705">
        <v>774402</v>
      </c>
      <c r="J631" s="706">
        <v>704001</v>
      </c>
      <c r="K631" s="705">
        <v>79</v>
      </c>
      <c r="L631" s="705">
        <v>163462</v>
      </c>
      <c r="M631" s="705">
        <v>137007</v>
      </c>
      <c r="N631" s="705">
        <v>126221</v>
      </c>
      <c r="O631" s="705">
        <v>46749</v>
      </c>
      <c r="P631" s="705">
        <v>42161</v>
      </c>
      <c r="Q631" s="705">
        <v>15615</v>
      </c>
      <c r="R631" s="705">
        <v>384706</v>
      </c>
      <c r="S631" s="705">
        <v>349733</v>
      </c>
      <c r="T631" s="705">
        <v>72743</v>
      </c>
      <c r="U631" s="705">
        <v>26942</v>
      </c>
      <c r="V631" s="705">
        <v>1280046</v>
      </c>
      <c r="W631" s="705">
        <f t="shared" si="34"/>
        <v>1280047</v>
      </c>
      <c r="X631" s="705">
        <f t="shared" si="35"/>
        <v>1563695</v>
      </c>
      <c r="Y631" s="705"/>
    </row>
    <row r="632" spans="2:25">
      <c r="B632" t="s">
        <v>684</v>
      </c>
      <c r="C632" t="s">
        <v>120</v>
      </c>
      <c r="F632">
        <v>5</v>
      </c>
      <c r="G632">
        <v>249</v>
      </c>
      <c r="H632" s="705">
        <v>1676</v>
      </c>
      <c r="J632" s="429">
        <v>0</v>
      </c>
      <c r="K632" s="705"/>
      <c r="M632">
        <v>0</v>
      </c>
      <c r="N632" s="705">
        <v>5584</v>
      </c>
      <c r="O632" s="705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705">
        <v>2428</v>
      </c>
      <c r="W632" s="705">
        <f t="shared" si="34"/>
        <v>2428</v>
      </c>
      <c r="X632" s="705">
        <f t="shared" si="35"/>
        <v>6556</v>
      </c>
      <c r="Y632" s="705"/>
    </row>
    <row r="633" spans="2:25">
      <c r="B633" t="s">
        <v>684</v>
      </c>
      <c r="C633" t="s">
        <v>120</v>
      </c>
      <c r="D633" t="s">
        <v>228</v>
      </c>
      <c r="E633" t="s">
        <v>228</v>
      </c>
      <c r="F633">
        <v>47</v>
      </c>
      <c r="G633" s="705">
        <v>2066</v>
      </c>
      <c r="H633" s="705">
        <v>16072</v>
      </c>
      <c r="I633" s="705">
        <v>346898</v>
      </c>
      <c r="J633" s="706">
        <v>128481</v>
      </c>
      <c r="K633" s="705">
        <v>100</v>
      </c>
      <c r="L633" s="705">
        <v>61477</v>
      </c>
      <c r="M633" s="705">
        <v>39647</v>
      </c>
      <c r="N633" s="705">
        <v>41206</v>
      </c>
      <c r="O633" s="705">
        <v>15261</v>
      </c>
      <c r="P633">
        <v>518</v>
      </c>
      <c r="Q633">
        <v>192</v>
      </c>
      <c r="R633" s="705">
        <v>256337</v>
      </c>
      <c r="S633" s="705">
        <v>94940</v>
      </c>
      <c r="T633">
        <v>0</v>
      </c>
      <c r="U633">
        <v>0</v>
      </c>
      <c r="V633" s="705">
        <v>278521</v>
      </c>
      <c r="W633" s="705">
        <f t="shared" si="34"/>
        <v>278521</v>
      </c>
      <c r="X633" s="705">
        <f t="shared" si="35"/>
        <v>706436</v>
      </c>
      <c r="Y633" s="705"/>
    </row>
    <row r="634" spans="2:25">
      <c r="B634" t="s">
        <v>684</v>
      </c>
      <c r="C634" t="s">
        <v>120</v>
      </c>
      <c r="D634" t="s">
        <v>583</v>
      </c>
      <c r="E634" t="s">
        <v>228</v>
      </c>
      <c r="F634" s="705">
        <v>1</v>
      </c>
      <c r="G634" s="705">
        <v>31</v>
      </c>
      <c r="H634" s="705">
        <v>372</v>
      </c>
      <c r="I634" s="705">
        <v>1999</v>
      </c>
      <c r="J634" s="706">
        <v>1818</v>
      </c>
      <c r="K634" s="705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705">
        <v>8545</v>
      </c>
      <c r="S634" s="705">
        <v>3165</v>
      </c>
      <c r="T634">
        <v>0</v>
      </c>
      <c r="U634">
        <v>0</v>
      </c>
      <c r="V634" s="705">
        <v>5352</v>
      </c>
      <c r="W634" s="705">
        <f t="shared" si="34"/>
        <v>5353</v>
      </c>
      <c r="X634" s="705">
        <f t="shared" si="35"/>
        <v>11543</v>
      </c>
      <c r="Y634" s="705"/>
    </row>
    <row r="635" spans="2:25">
      <c r="B635" t="s">
        <v>684</v>
      </c>
      <c r="C635" t="s">
        <v>120</v>
      </c>
      <c r="D635" t="s">
        <v>583</v>
      </c>
      <c r="E635" t="s">
        <v>583</v>
      </c>
      <c r="F635">
        <v>3</v>
      </c>
      <c r="G635" s="705">
        <v>324</v>
      </c>
      <c r="H635" s="705">
        <v>1021</v>
      </c>
      <c r="I635" s="705">
        <v>59155</v>
      </c>
      <c r="J635" s="706">
        <v>53777</v>
      </c>
      <c r="K635" s="705">
        <v>76</v>
      </c>
      <c r="L635" s="705">
        <v>19695</v>
      </c>
      <c r="M635" s="705">
        <v>17297</v>
      </c>
      <c r="N635" s="705">
        <v>6277</v>
      </c>
      <c r="O635" s="705">
        <v>2325</v>
      </c>
      <c r="P635" s="705">
        <v>1863</v>
      </c>
      <c r="Q635">
        <v>690</v>
      </c>
      <c r="R635" s="705">
        <v>13917</v>
      </c>
      <c r="S635" s="705">
        <v>12652</v>
      </c>
      <c r="T635" s="705">
        <v>8774</v>
      </c>
      <c r="U635" s="705">
        <v>3249</v>
      </c>
      <c r="V635" s="705">
        <v>89990</v>
      </c>
      <c r="W635" s="705">
        <f t="shared" si="34"/>
        <v>89990</v>
      </c>
      <c r="X635" s="705">
        <f t="shared" si="35"/>
        <v>109681</v>
      </c>
      <c r="Y635" s="705"/>
    </row>
    <row r="636" spans="2:25">
      <c r="B636" t="s">
        <v>684</v>
      </c>
      <c r="C636" t="s">
        <v>120</v>
      </c>
      <c r="D636" t="s">
        <v>584</v>
      </c>
      <c r="E636" t="s">
        <v>584</v>
      </c>
      <c r="F636">
        <v>32</v>
      </c>
      <c r="G636" s="705">
        <v>2069</v>
      </c>
      <c r="H636" s="705">
        <v>10690</v>
      </c>
      <c r="I636" s="705">
        <v>389243</v>
      </c>
      <c r="J636" s="706">
        <v>353857</v>
      </c>
      <c r="K636" s="705">
        <v>75</v>
      </c>
      <c r="L636" s="705">
        <v>77313</v>
      </c>
      <c r="M636" s="705">
        <v>63433</v>
      </c>
      <c r="N636" s="705">
        <v>43380</v>
      </c>
      <c r="O636" s="705">
        <v>16067</v>
      </c>
      <c r="P636" s="705">
        <v>14648</v>
      </c>
      <c r="Q636" s="705">
        <v>5425</v>
      </c>
      <c r="R636" s="705">
        <v>130749</v>
      </c>
      <c r="S636" s="705">
        <v>118863</v>
      </c>
      <c r="T636" s="705">
        <v>32385</v>
      </c>
      <c r="U636" s="705">
        <v>11994</v>
      </c>
      <c r="V636" s="705">
        <v>569639</v>
      </c>
      <c r="W636" s="705">
        <f t="shared" si="34"/>
        <v>569639</v>
      </c>
      <c r="X636" s="705">
        <f t="shared" si="35"/>
        <v>687718</v>
      </c>
      <c r="Y636" s="705"/>
    </row>
    <row r="637" spans="2:25">
      <c r="B637" t="s">
        <v>684</v>
      </c>
      <c r="C637" t="s">
        <v>120</v>
      </c>
      <c r="D637" t="s">
        <v>669</v>
      </c>
      <c r="E637" t="s">
        <v>228</v>
      </c>
      <c r="F637">
        <v>1</v>
      </c>
      <c r="G637">
        <v>42</v>
      </c>
      <c r="H637">
        <v>366</v>
      </c>
      <c r="I637" s="705">
        <v>8586</v>
      </c>
      <c r="J637" s="706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705">
        <v>5459</v>
      </c>
      <c r="S637" s="705">
        <v>2022</v>
      </c>
      <c r="T637">
        <v>0</v>
      </c>
      <c r="U637">
        <v>0</v>
      </c>
      <c r="V637" s="705">
        <v>9603</v>
      </c>
      <c r="W637" s="705">
        <f t="shared" si="34"/>
        <v>9603</v>
      </c>
      <c r="X637" s="705">
        <f t="shared" si="35"/>
        <v>15195</v>
      </c>
      <c r="Y637" s="705"/>
    </row>
    <row r="638" spans="2:25">
      <c r="B638" t="s">
        <v>684</v>
      </c>
      <c r="C638" t="s">
        <v>122</v>
      </c>
      <c r="F638" s="705">
        <v>2</v>
      </c>
      <c r="G638" s="705">
        <v>70</v>
      </c>
      <c r="H638" s="705">
        <v>841</v>
      </c>
      <c r="J638" s="706">
        <v>0</v>
      </c>
      <c r="K638" s="705"/>
      <c r="M638">
        <v>0</v>
      </c>
      <c r="N638" s="705">
        <v>1330</v>
      </c>
      <c r="O638">
        <v>493</v>
      </c>
      <c r="P638">
        <v>0</v>
      </c>
      <c r="Q638">
        <v>0</v>
      </c>
      <c r="S638">
        <v>0</v>
      </c>
      <c r="T638" s="705">
        <v>2296</v>
      </c>
      <c r="U638">
        <v>850</v>
      </c>
      <c r="V638" s="705">
        <v>1343</v>
      </c>
      <c r="W638" s="705">
        <f t="shared" si="34"/>
        <v>1343</v>
      </c>
      <c r="X638" s="705">
        <f t="shared" si="35"/>
        <v>3626</v>
      </c>
      <c r="Y638" s="705"/>
    </row>
    <row r="639" spans="2:25">
      <c r="B639" t="s">
        <v>684</v>
      </c>
      <c r="C639" t="s">
        <v>122</v>
      </c>
      <c r="D639" t="s">
        <v>228</v>
      </c>
      <c r="E639" t="s">
        <v>228</v>
      </c>
      <c r="F639">
        <v>34</v>
      </c>
      <c r="G639" s="705">
        <v>1743</v>
      </c>
      <c r="H639" s="705">
        <v>14160</v>
      </c>
      <c r="I639" s="705">
        <v>423125</v>
      </c>
      <c r="J639" s="706">
        <v>156713</v>
      </c>
      <c r="K639" s="705">
        <v>100</v>
      </c>
      <c r="L639" s="705">
        <v>56006</v>
      </c>
      <c r="M639" s="705">
        <v>35845</v>
      </c>
      <c r="N639" s="705">
        <v>37431</v>
      </c>
      <c r="O639" s="705">
        <v>13863</v>
      </c>
      <c r="P639">
        <v>0</v>
      </c>
      <c r="Q639">
        <v>0</v>
      </c>
      <c r="R639" s="705">
        <v>204478</v>
      </c>
      <c r="S639" s="705">
        <v>75732</v>
      </c>
      <c r="T639" s="705">
        <v>1982</v>
      </c>
      <c r="U639">
        <v>734</v>
      </c>
      <c r="V639" s="705">
        <v>282888</v>
      </c>
      <c r="W639" s="705">
        <f t="shared" si="34"/>
        <v>282887</v>
      </c>
      <c r="X639" s="705">
        <f t="shared" si="35"/>
        <v>723022</v>
      </c>
      <c r="Y639" s="705"/>
    </row>
    <row r="640" spans="2:25">
      <c r="B640" t="s">
        <v>684</v>
      </c>
      <c r="C640" t="s">
        <v>122</v>
      </c>
      <c r="D640" t="s">
        <v>583</v>
      </c>
      <c r="E640" t="s">
        <v>228</v>
      </c>
      <c r="F640">
        <v>1</v>
      </c>
      <c r="G640">
        <v>37</v>
      </c>
      <c r="H640" s="705">
        <v>426</v>
      </c>
      <c r="I640" s="705">
        <v>5795</v>
      </c>
      <c r="J640" s="706">
        <v>5268</v>
      </c>
      <c r="K640" s="705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705">
        <v>8805</v>
      </c>
      <c r="S640" s="705">
        <v>3261</v>
      </c>
      <c r="T640">
        <v>0</v>
      </c>
      <c r="U640">
        <v>0</v>
      </c>
      <c r="V640" s="705">
        <v>8925</v>
      </c>
      <c r="W640" s="705">
        <f t="shared" si="34"/>
        <v>8925</v>
      </c>
      <c r="X640" s="705">
        <f t="shared" si="35"/>
        <v>15669</v>
      </c>
      <c r="Y640" s="705"/>
    </row>
    <row r="641" spans="2:25">
      <c r="B641" t="s">
        <v>684</v>
      </c>
      <c r="C641" t="s">
        <v>122</v>
      </c>
      <c r="D641" t="s">
        <v>583</v>
      </c>
      <c r="E641" t="s">
        <v>583</v>
      </c>
      <c r="F641">
        <v>1</v>
      </c>
      <c r="G641">
        <v>64</v>
      </c>
      <c r="H641">
        <v>406</v>
      </c>
      <c r="I641" s="705">
        <v>14707</v>
      </c>
      <c r="J641" s="706">
        <v>13370</v>
      </c>
      <c r="K641">
        <v>65</v>
      </c>
      <c r="L641" s="705">
        <v>3937</v>
      </c>
      <c r="M641" s="705">
        <v>1458</v>
      </c>
      <c r="N641">
        <v>778</v>
      </c>
      <c r="O641">
        <v>288</v>
      </c>
      <c r="P641">
        <v>621</v>
      </c>
      <c r="Q641">
        <v>230</v>
      </c>
      <c r="R641" s="705">
        <v>5865</v>
      </c>
      <c r="S641" s="705">
        <v>5332</v>
      </c>
      <c r="T641">
        <v>0</v>
      </c>
      <c r="U641">
        <v>0</v>
      </c>
      <c r="V641" s="705">
        <v>20678</v>
      </c>
      <c r="W641" s="705">
        <f t="shared" si="34"/>
        <v>20678</v>
      </c>
      <c r="X641" s="705">
        <f t="shared" si="35"/>
        <v>25908</v>
      </c>
      <c r="Y641" s="705"/>
    </row>
    <row r="642" spans="2:25">
      <c r="B642" t="s">
        <v>684</v>
      </c>
      <c r="C642" t="s">
        <v>122</v>
      </c>
      <c r="D642" t="s">
        <v>584</v>
      </c>
      <c r="E642" t="s">
        <v>228</v>
      </c>
      <c r="F642">
        <v>3</v>
      </c>
      <c r="G642">
        <v>166</v>
      </c>
      <c r="H642" s="705">
        <v>1239</v>
      </c>
      <c r="I642" s="705">
        <v>38587</v>
      </c>
      <c r="J642" s="706">
        <v>35079</v>
      </c>
      <c r="K642" s="705">
        <v>78</v>
      </c>
      <c r="L642" s="705">
        <v>5738</v>
      </c>
      <c r="M642" s="705">
        <v>5010</v>
      </c>
      <c r="N642" s="705">
        <v>3826</v>
      </c>
      <c r="O642" s="705">
        <v>1417</v>
      </c>
      <c r="P642" s="705">
        <v>1418</v>
      </c>
      <c r="Q642">
        <v>525</v>
      </c>
      <c r="R642" s="705">
        <v>18752</v>
      </c>
      <c r="S642" s="705">
        <v>6945</v>
      </c>
      <c r="T642">
        <v>0</v>
      </c>
      <c r="U642">
        <v>0</v>
      </c>
      <c r="V642" s="705">
        <v>48976</v>
      </c>
      <c r="W642" s="705">
        <f t="shared" si="34"/>
        <v>48976</v>
      </c>
      <c r="X642" s="705">
        <f t="shared" si="35"/>
        <v>68321</v>
      </c>
      <c r="Y642" s="705"/>
    </row>
    <row r="643" spans="2:25">
      <c r="B643" t="s">
        <v>684</v>
      </c>
      <c r="C643" t="s">
        <v>122</v>
      </c>
      <c r="D643" t="s">
        <v>584</v>
      </c>
      <c r="E643" t="s">
        <v>584</v>
      </c>
      <c r="F643">
        <v>14</v>
      </c>
      <c r="G643" s="705">
        <v>867</v>
      </c>
      <c r="H643" s="705">
        <v>5827</v>
      </c>
      <c r="I643" s="705">
        <v>206076</v>
      </c>
      <c r="J643" s="706">
        <v>187342</v>
      </c>
      <c r="K643" s="705">
        <v>74</v>
      </c>
      <c r="L643" s="705">
        <v>45884</v>
      </c>
      <c r="M643" s="705">
        <v>36563</v>
      </c>
      <c r="N643" s="705">
        <v>20164</v>
      </c>
      <c r="O643" s="705">
        <v>7468</v>
      </c>
      <c r="P643" s="705">
        <v>6615</v>
      </c>
      <c r="Q643" s="705">
        <v>2450</v>
      </c>
      <c r="R643" s="705">
        <v>63832</v>
      </c>
      <c r="S643" s="705">
        <v>58029</v>
      </c>
      <c r="T643" s="705">
        <v>19727</v>
      </c>
      <c r="U643" s="705">
        <v>7306</v>
      </c>
      <c r="V643" s="705">
        <v>299158</v>
      </c>
      <c r="W643" s="705">
        <f t="shared" si="34"/>
        <v>299158</v>
      </c>
      <c r="X643" s="705">
        <f t="shared" si="35"/>
        <v>362298</v>
      </c>
      <c r="Y643" s="705"/>
    </row>
    <row r="644" spans="2:25">
      <c r="B644" t="s">
        <v>684</v>
      </c>
      <c r="C644" t="s">
        <v>124</v>
      </c>
      <c r="F644">
        <v>4</v>
      </c>
      <c r="G644">
        <v>159</v>
      </c>
      <c r="H644" s="705">
        <v>2505</v>
      </c>
      <c r="J644" s="706">
        <v>0</v>
      </c>
      <c r="K644" s="705"/>
      <c r="M644">
        <v>0</v>
      </c>
      <c r="N644" s="705">
        <v>3279</v>
      </c>
      <c r="O644" s="705">
        <v>1215</v>
      </c>
      <c r="P644">
        <v>621</v>
      </c>
      <c r="Q644">
        <v>230</v>
      </c>
      <c r="S644">
        <v>0</v>
      </c>
      <c r="T644" s="705">
        <v>1018</v>
      </c>
      <c r="U644">
        <v>377</v>
      </c>
      <c r="V644" s="705">
        <v>1822</v>
      </c>
      <c r="W644" s="705">
        <f t="shared" si="34"/>
        <v>1822</v>
      </c>
      <c r="X644" s="705">
        <f t="shared" si="35"/>
        <v>4918</v>
      </c>
      <c r="Y644" s="705"/>
    </row>
    <row r="645" spans="2:25">
      <c r="B645" t="s">
        <v>684</v>
      </c>
      <c r="C645" t="s">
        <v>124</v>
      </c>
      <c r="D645" t="s">
        <v>228</v>
      </c>
      <c r="E645" t="s">
        <v>228</v>
      </c>
      <c r="F645">
        <v>63</v>
      </c>
      <c r="G645" s="705">
        <v>2660</v>
      </c>
      <c r="H645" s="705">
        <v>39023</v>
      </c>
      <c r="I645" s="705">
        <v>1082240</v>
      </c>
      <c r="J645" s="706">
        <v>400830</v>
      </c>
      <c r="K645" s="705">
        <v>100</v>
      </c>
      <c r="L645" s="705">
        <v>172320</v>
      </c>
      <c r="M645" s="705">
        <v>113307</v>
      </c>
      <c r="N645" s="705">
        <v>55390</v>
      </c>
      <c r="O645" s="705">
        <v>20515</v>
      </c>
      <c r="P645" s="705">
        <v>1323</v>
      </c>
      <c r="Q645">
        <v>490</v>
      </c>
      <c r="R645" s="705">
        <v>332080</v>
      </c>
      <c r="S645" s="705">
        <v>122992</v>
      </c>
      <c r="T645">
        <v>0</v>
      </c>
      <c r="U645">
        <v>0</v>
      </c>
      <c r="V645" s="705">
        <v>658134</v>
      </c>
      <c r="W645" s="705">
        <f t="shared" si="34"/>
        <v>658134</v>
      </c>
      <c r="X645" s="705">
        <f t="shared" si="35"/>
        <v>1643353</v>
      </c>
      <c r="Y645" s="705"/>
    </row>
    <row r="646" spans="2:25">
      <c r="B646" t="s">
        <v>684</v>
      </c>
      <c r="C646" t="s">
        <v>124</v>
      </c>
      <c r="D646" t="s">
        <v>583</v>
      </c>
      <c r="E646" t="s">
        <v>228</v>
      </c>
      <c r="F646">
        <v>1</v>
      </c>
      <c r="G646">
        <v>34</v>
      </c>
      <c r="H646" s="705">
        <v>461</v>
      </c>
      <c r="I646" s="705">
        <v>6119</v>
      </c>
      <c r="J646" s="706">
        <v>5563</v>
      </c>
      <c r="K646" s="705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705">
        <v>8699</v>
      </c>
      <c r="S646" s="705">
        <v>3222</v>
      </c>
      <c r="T646">
        <v>0</v>
      </c>
      <c r="U646">
        <v>0</v>
      </c>
      <c r="V646" s="705">
        <v>9170</v>
      </c>
      <c r="W646" s="705">
        <f t="shared" si="34"/>
        <v>9170</v>
      </c>
      <c r="X646" s="705">
        <f t="shared" si="35"/>
        <v>15858</v>
      </c>
      <c r="Y646" s="705"/>
    </row>
    <row r="647" spans="2:25">
      <c r="B647" t="s">
        <v>684</v>
      </c>
      <c r="C647" t="s">
        <v>124</v>
      </c>
      <c r="D647" t="s">
        <v>584</v>
      </c>
      <c r="E647" t="s">
        <v>584</v>
      </c>
      <c r="F647" s="705">
        <v>10</v>
      </c>
      <c r="G647" s="705">
        <v>585</v>
      </c>
      <c r="H647" s="705">
        <v>5293</v>
      </c>
      <c r="I647" s="705">
        <v>213932</v>
      </c>
      <c r="J647" s="706">
        <v>194484</v>
      </c>
      <c r="K647" s="705">
        <v>73</v>
      </c>
      <c r="L647" s="705">
        <v>15355</v>
      </c>
      <c r="M647" s="705">
        <v>13959</v>
      </c>
      <c r="N647" s="705">
        <v>13797</v>
      </c>
      <c r="O647" s="705">
        <v>5110</v>
      </c>
      <c r="P647" s="705">
        <v>4604</v>
      </c>
      <c r="Q647" s="705">
        <v>1705</v>
      </c>
      <c r="R647" s="705">
        <v>43025</v>
      </c>
      <c r="S647" s="705">
        <v>39114</v>
      </c>
      <c r="T647" s="705">
        <v>17609</v>
      </c>
      <c r="U647" s="705">
        <v>6522</v>
      </c>
      <c r="V647" s="705">
        <v>260893</v>
      </c>
      <c r="W647" s="705">
        <f t="shared" ref="W647:W710" si="36">SUM(ABS(J647),ABS(M647),ABS(O647),ABS(Q647),ABS(S647),ABS(U647))</f>
        <v>260894</v>
      </c>
      <c r="X647" s="705">
        <f t="shared" ref="X647:X710" si="37">SUM(ABS(I647),ABS(N647),ABS(P647),ABS(R647),ABS(T647),ABS(L647))</f>
        <v>308322</v>
      </c>
      <c r="Y647" s="705"/>
    </row>
    <row r="648" spans="2:25">
      <c r="B648" t="s">
        <v>684</v>
      </c>
      <c r="C648" t="s">
        <v>124</v>
      </c>
      <c r="D648" t="s">
        <v>669</v>
      </c>
      <c r="E648" t="s">
        <v>228</v>
      </c>
      <c r="F648">
        <v>2</v>
      </c>
      <c r="G648" s="705">
        <v>102</v>
      </c>
      <c r="H648" s="705">
        <v>1745</v>
      </c>
      <c r="I648" s="705">
        <v>70150</v>
      </c>
      <c r="J648" s="706">
        <v>58458</v>
      </c>
      <c r="K648" s="705">
        <v>30</v>
      </c>
      <c r="L648" s="705">
        <v>5261</v>
      </c>
      <c r="M648" s="705">
        <v>1949</v>
      </c>
      <c r="N648" s="705">
        <v>1849</v>
      </c>
      <c r="O648">
        <v>685</v>
      </c>
      <c r="P648">
        <v>0</v>
      </c>
      <c r="Q648">
        <v>0</v>
      </c>
      <c r="R648" s="705">
        <v>9317</v>
      </c>
      <c r="S648" s="705">
        <v>3451</v>
      </c>
      <c r="T648">
        <v>0</v>
      </c>
      <c r="U648">
        <v>0</v>
      </c>
      <c r="V648" s="705">
        <v>64542</v>
      </c>
      <c r="W648" s="705">
        <f t="shared" si="36"/>
        <v>64543</v>
      </c>
      <c r="X648" s="705">
        <f t="shared" si="37"/>
        <v>86577</v>
      </c>
      <c r="Y648" s="705"/>
    </row>
    <row r="649" spans="2:25">
      <c r="B649" t="s">
        <v>684</v>
      </c>
      <c r="C649" t="s">
        <v>124</v>
      </c>
      <c r="D649" t="s">
        <v>669</v>
      </c>
      <c r="E649" t="s">
        <v>669</v>
      </c>
      <c r="F649">
        <v>1</v>
      </c>
      <c r="G649" s="705">
        <v>36</v>
      </c>
      <c r="H649" s="705">
        <v>480</v>
      </c>
      <c r="I649" s="705">
        <v>9537</v>
      </c>
      <c r="J649" s="706">
        <v>7947</v>
      </c>
      <c r="K649" s="705">
        <v>50</v>
      </c>
      <c r="L649" s="705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705">
        <v>4317</v>
      </c>
      <c r="S649" s="705">
        <v>3598</v>
      </c>
      <c r="T649" s="705">
        <v>1544</v>
      </c>
      <c r="U649">
        <v>572</v>
      </c>
      <c r="V649" s="705">
        <v>12863</v>
      </c>
      <c r="W649" s="705">
        <f t="shared" si="36"/>
        <v>12864</v>
      </c>
      <c r="X649" s="705">
        <f t="shared" si="37"/>
        <v>17412</v>
      </c>
      <c r="Y649" s="705"/>
    </row>
    <row r="650" spans="2:25">
      <c r="B650" t="s">
        <v>684</v>
      </c>
      <c r="C650" t="s">
        <v>124</v>
      </c>
      <c r="D650" t="s">
        <v>665</v>
      </c>
      <c r="E650" t="s">
        <v>665</v>
      </c>
      <c r="F650">
        <v>1</v>
      </c>
      <c r="G650">
        <v>67</v>
      </c>
      <c r="H650">
        <v>506</v>
      </c>
      <c r="I650" s="705">
        <v>22018</v>
      </c>
      <c r="J650" s="706">
        <v>20016</v>
      </c>
      <c r="K650" s="705">
        <v>55</v>
      </c>
      <c r="L650" s="705">
        <v>3303</v>
      </c>
      <c r="M650" s="705">
        <v>1223</v>
      </c>
      <c r="N650" s="705">
        <v>1223</v>
      </c>
      <c r="O650">
        <v>453</v>
      </c>
      <c r="P650">
        <v>351</v>
      </c>
      <c r="Q650">
        <v>130</v>
      </c>
      <c r="R650" s="705">
        <v>4824</v>
      </c>
      <c r="S650" s="705">
        <v>4385</v>
      </c>
      <c r="T650" s="705">
        <v>2121</v>
      </c>
      <c r="U650">
        <v>785</v>
      </c>
      <c r="V650" s="705">
        <v>26994</v>
      </c>
      <c r="W650" s="705">
        <f t="shared" si="36"/>
        <v>26992</v>
      </c>
      <c r="X650" s="705">
        <f t="shared" si="37"/>
        <v>33840</v>
      </c>
      <c r="Y650" s="705"/>
    </row>
    <row r="651" spans="2:25">
      <c r="B651" t="s">
        <v>685</v>
      </c>
      <c r="C651" t="s">
        <v>108</v>
      </c>
      <c r="F651">
        <v>39</v>
      </c>
      <c r="G651" s="705">
        <v>2408</v>
      </c>
      <c r="H651" s="705">
        <v>2315</v>
      </c>
      <c r="J651" s="706">
        <v>0</v>
      </c>
      <c r="K651" s="705"/>
      <c r="M651">
        <v>0</v>
      </c>
      <c r="N651" s="705">
        <v>29339</v>
      </c>
      <c r="O651" s="705">
        <v>10866</v>
      </c>
      <c r="P651" s="705">
        <v>13689</v>
      </c>
      <c r="Q651" s="705">
        <v>5070</v>
      </c>
      <c r="S651">
        <v>0</v>
      </c>
      <c r="T651">
        <v>0</v>
      </c>
      <c r="U651">
        <v>0</v>
      </c>
      <c r="V651" s="705">
        <v>15936</v>
      </c>
      <c r="W651" s="705">
        <f t="shared" si="36"/>
        <v>15936</v>
      </c>
      <c r="X651" s="705">
        <f t="shared" si="37"/>
        <v>43028</v>
      </c>
      <c r="Y651" s="705"/>
    </row>
    <row r="652" spans="2:25">
      <c r="B652" t="s">
        <v>685</v>
      </c>
      <c r="C652" t="s">
        <v>108</v>
      </c>
      <c r="D652" t="s">
        <v>228</v>
      </c>
      <c r="E652" t="s">
        <v>228</v>
      </c>
      <c r="F652" s="705">
        <v>10</v>
      </c>
      <c r="G652" s="705">
        <v>587</v>
      </c>
      <c r="H652" s="705">
        <v>636</v>
      </c>
      <c r="I652" s="705">
        <v>-5339</v>
      </c>
      <c r="J652" s="706">
        <v>-1977</v>
      </c>
      <c r="K652" s="705">
        <v>250</v>
      </c>
      <c r="L652">
        <v>0</v>
      </c>
      <c r="M652">
        <v>0</v>
      </c>
      <c r="N652" s="705">
        <v>7157</v>
      </c>
      <c r="O652" s="705">
        <v>2651</v>
      </c>
      <c r="P652" s="705">
        <v>4656</v>
      </c>
      <c r="Q652" s="705">
        <v>1724</v>
      </c>
      <c r="R652" s="705">
        <v>30872</v>
      </c>
      <c r="S652" s="705">
        <v>11434</v>
      </c>
      <c r="T652">
        <v>0</v>
      </c>
      <c r="U652">
        <v>0</v>
      </c>
      <c r="V652" s="705">
        <v>13832</v>
      </c>
      <c r="W652" s="705">
        <f t="shared" si="36"/>
        <v>17786</v>
      </c>
      <c r="X652" s="705">
        <f t="shared" si="37"/>
        <v>48024</v>
      </c>
      <c r="Y652" s="705"/>
    </row>
    <row r="653" spans="2:25">
      <c r="B653" t="s">
        <v>685</v>
      </c>
      <c r="C653" t="s">
        <v>108</v>
      </c>
      <c r="D653" t="s">
        <v>584</v>
      </c>
      <c r="E653" t="s">
        <v>584</v>
      </c>
      <c r="F653">
        <v>4</v>
      </c>
      <c r="G653">
        <v>211</v>
      </c>
      <c r="H653">
        <v>259</v>
      </c>
      <c r="I653" s="705">
        <v>1901</v>
      </c>
      <c r="J653" s="706">
        <v>1728</v>
      </c>
      <c r="K653" s="705">
        <v>91</v>
      </c>
      <c r="L653">
        <v>0</v>
      </c>
      <c r="M653">
        <v>0</v>
      </c>
      <c r="N653" s="705">
        <v>2569</v>
      </c>
      <c r="O653">
        <v>952</v>
      </c>
      <c r="P653" s="705">
        <v>1890</v>
      </c>
      <c r="Q653">
        <v>700</v>
      </c>
      <c r="R653" s="705">
        <v>7266</v>
      </c>
      <c r="S653" s="705">
        <v>6605</v>
      </c>
      <c r="T653">
        <v>0</v>
      </c>
      <c r="U653">
        <v>0</v>
      </c>
      <c r="V653" s="705">
        <v>9985</v>
      </c>
      <c r="W653" s="705">
        <f t="shared" si="36"/>
        <v>9985</v>
      </c>
      <c r="X653" s="705">
        <f t="shared" si="37"/>
        <v>13626</v>
      </c>
      <c r="Y653" s="705"/>
    </row>
    <row r="654" spans="2:25">
      <c r="B654" t="s">
        <v>685</v>
      </c>
      <c r="C654" t="s">
        <v>110</v>
      </c>
      <c r="F654" s="705">
        <v>3</v>
      </c>
      <c r="G654" s="705">
        <v>157</v>
      </c>
      <c r="H654" s="705">
        <v>248</v>
      </c>
      <c r="J654" s="706">
        <v>0</v>
      </c>
      <c r="K654" s="705"/>
      <c r="M654">
        <v>0</v>
      </c>
      <c r="N654" s="705">
        <v>1914</v>
      </c>
      <c r="O654">
        <v>709</v>
      </c>
      <c r="P654" s="705">
        <v>1577</v>
      </c>
      <c r="Q654">
        <v>584</v>
      </c>
      <c r="S654">
        <v>0</v>
      </c>
      <c r="T654">
        <v>0</v>
      </c>
      <c r="U654">
        <v>0</v>
      </c>
      <c r="V654" s="705">
        <v>1293</v>
      </c>
      <c r="W654" s="705">
        <f t="shared" si="36"/>
        <v>1293</v>
      </c>
      <c r="X654" s="705">
        <f t="shared" si="37"/>
        <v>3491</v>
      </c>
      <c r="Y654" s="705"/>
    </row>
    <row r="655" spans="2:25">
      <c r="B655" t="s">
        <v>685</v>
      </c>
      <c r="C655" t="s">
        <v>110</v>
      </c>
      <c r="D655" t="s">
        <v>584</v>
      </c>
      <c r="E655" t="s">
        <v>584</v>
      </c>
      <c r="F655">
        <v>4</v>
      </c>
      <c r="G655">
        <v>292</v>
      </c>
      <c r="H655" s="705">
        <v>389</v>
      </c>
      <c r="I655" s="705">
        <v>13502</v>
      </c>
      <c r="J655" s="706">
        <v>12275</v>
      </c>
      <c r="K655" s="705">
        <v>88</v>
      </c>
      <c r="L655">
        <v>0</v>
      </c>
      <c r="M655">
        <v>0</v>
      </c>
      <c r="N655" s="705">
        <v>4254</v>
      </c>
      <c r="O655" s="705">
        <v>1575</v>
      </c>
      <c r="P655" s="705">
        <v>1890</v>
      </c>
      <c r="Q655">
        <v>700</v>
      </c>
      <c r="R655" s="705">
        <v>8908</v>
      </c>
      <c r="S655" s="705">
        <v>8098</v>
      </c>
      <c r="T655">
        <v>0</v>
      </c>
      <c r="U655">
        <v>0</v>
      </c>
      <c r="V655" s="705">
        <v>22648</v>
      </c>
      <c r="W655" s="705">
        <f t="shared" si="36"/>
        <v>22648</v>
      </c>
      <c r="X655" s="705">
        <f t="shared" si="37"/>
        <v>28554</v>
      </c>
      <c r="Y655" s="705"/>
    </row>
    <row r="656" spans="2:25">
      <c r="B656" t="s">
        <v>685</v>
      </c>
      <c r="C656" t="s">
        <v>112</v>
      </c>
      <c r="F656">
        <v>36</v>
      </c>
      <c r="G656" s="705">
        <v>1657</v>
      </c>
      <c r="H656" s="705">
        <v>4380</v>
      </c>
      <c r="J656" s="429">
        <v>0</v>
      </c>
      <c r="K656" s="705"/>
      <c r="M656">
        <v>0</v>
      </c>
      <c r="N656" s="705">
        <v>20790</v>
      </c>
      <c r="O656" s="705">
        <v>7700</v>
      </c>
      <c r="P656" s="705">
        <v>29713</v>
      </c>
      <c r="Q656" s="705">
        <v>11005</v>
      </c>
      <c r="S656">
        <v>0</v>
      </c>
      <c r="T656">
        <v>0</v>
      </c>
      <c r="U656">
        <v>0</v>
      </c>
      <c r="V656" s="705">
        <v>18705</v>
      </c>
      <c r="W656" s="705">
        <f t="shared" si="36"/>
        <v>18705</v>
      </c>
      <c r="X656" s="705">
        <f t="shared" si="37"/>
        <v>50503</v>
      </c>
      <c r="Y656" s="705"/>
    </row>
    <row r="657" spans="2:25">
      <c r="B657" t="s">
        <v>685</v>
      </c>
      <c r="C657" t="s">
        <v>112</v>
      </c>
      <c r="D657" t="s">
        <v>228</v>
      </c>
      <c r="E657" t="s">
        <v>228</v>
      </c>
      <c r="F657">
        <v>1</v>
      </c>
      <c r="G657">
        <v>140</v>
      </c>
      <c r="H657" s="705">
        <v>124</v>
      </c>
      <c r="I657" s="705">
        <v>6939</v>
      </c>
      <c r="J657" s="706">
        <v>2570</v>
      </c>
      <c r="K657" s="705">
        <v>100</v>
      </c>
      <c r="L657">
        <v>0</v>
      </c>
      <c r="M657">
        <v>0</v>
      </c>
      <c r="N657" s="705">
        <v>1702</v>
      </c>
      <c r="O657">
        <v>630</v>
      </c>
      <c r="P657">
        <v>0</v>
      </c>
      <c r="Q657">
        <v>0</v>
      </c>
      <c r="R657" s="705">
        <v>8669</v>
      </c>
      <c r="S657" s="705">
        <v>3211</v>
      </c>
      <c r="T657">
        <v>0</v>
      </c>
      <c r="U657">
        <v>0</v>
      </c>
      <c r="V657" s="705">
        <v>6411</v>
      </c>
      <c r="W657" s="705">
        <f t="shared" si="36"/>
        <v>6411</v>
      </c>
      <c r="X657" s="705">
        <f t="shared" si="37"/>
        <v>17310</v>
      </c>
      <c r="Y657" s="705"/>
    </row>
    <row r="658" spans="2:25">
      <c r="B658" t="s">
        <v>685</v>
      </c>
      <c r="C658" t="s">
        <v>112</v>
      </c>
      <c r="D658" t="s">
        <v>584</v>
      </c>
      <c r="E658" t="s">
        <v>584</v>
      </c>
      <c r="F658" s="705">
        <v>56</v>
      </c>
      <c r="G658" s="705">
        <v>3781</v>
      </c>
      <c r="H658" s="705">
        <v>6420</v>
      </c>
      <c r="I658" s="705">
        <v>181777</v>
      </c>
      <c r="J658" s="706">
        <v>165252</v>
      </c>
      <c r="K658" s="705">
        <v>90</v>
      </c>
      <c r="L658" s="705">
        <v>4519</v>
      </c>
      <c r="M658" s="705">
        <v>3428</v>
      </c>
      <c r="N658" s="705">
        <v>66240</v>
      </c>
      <c r="O658" s="705">
        <v>24533</v>
      </c>
      <c r="P658" s="705">
        <v>26460</v>
      </c>
      <c r="Q658" s="705">
        <v>9800</v>
      </c>
      <c r="R658" s="705">
        <v>141905</v>
      </c>
      <c r="S658" s="705">
        <v>129004</v>
      </c>
      <c r="T658" s="705">
        <v>13932</v>
      </c>
      <c r="U658" s="705">
        <v>5160</v>
      </c>
      <c r="V658" s="705">
        <v>337177</v>
      </c>
      <c r="W658" s="705">
        <f t="shared" si="36"/>
        <v>337177</v>
      </c>
      <c r="X658" s="705">
        <f t="shared" si="37"/>
        <v>434833</v>
      </c>
      <c r="Y658" s="705"/>
    </row>
    <row r="659" spans="2:25">
      <c r="B659" t="s">
        <v>685</v>
      </c>
      <c r="C659" t="s">
        <v>114</v>
      </c>
      <c r="F659">
        <v>8</v>
      </c>
      <c r="G659">
        <v>417</v>
      </c>
      <c r="H659" s="705">
        <v>1134</v>
      </c>
      <c r="J659" s="706">
        <v>0</v>
      </c>
      <c r="K659" s="705"/>
      <c r="M659">
        <v>0</v>
      </c>
      <c r="N659" s="705">
        <v>5679</v>
      </c>
      <c r="O659" s="705">
        <v>2103</v>
      </c>
      <c r="P659" s="705">
        <v>2031</v>
      </c>
      <c r="Q659">
        <v>752</v>
      </c>
      <c r="S659">
        <v>0</v>
      </c>
      <c r="T659">
        <v>0</v>
      </c>
      <c r="U659">
        <v>0</v>
      </c>
      <c r="V659" s="705">
        <v>2856</v>
      </c>
      <c r="W659" s="705">
        <f t="shared" si="36"/>
        <v>2855</v>
      </c>
      <c r="X659" s="705">
        <f t="shared" si="37"/>
        <v>7710</v>
      </c>
      <c r="Y659" s="705"/>
    </row>
    <row r="660" spans="2:25">
      <c r="B660" t="s">
        <v>685</v>
      </c>
      <c r="C660" t="s">
        <v>114</v>
      </c>
      <c r="D660" t="s">
        <v>228</v>
      </c>
      <c r="E660" t="s">
        <v>228</v>
      </c>
      <c r="F660">
        <v>26</v>
      </c>
      <c r="G660" s="705">
        <v>1935</v>
      </c>
      <c r="H660" s="705">
        <v>3710</v>
      </c>
      <c r="I660" s="705">
        <v>64338</v>
      </c>
      <c r="J660" s="706">
        <v>23829</v>
      </c>
      <c r="K660" s="705">
        <v>100</v>
      </c>
      <c r="L660" s="705">
        <v>5067</v>
      </c>
      <c r="M660" s="705">
        <v>3232</v>
      </c>
      <c r="N660" s="705">
        <v>36932</v>
      </c>
      <c r="O660" s="705">
        <v>13678</v>
      </c>
      <c r="P660" s="705">
        <v>3921</v>
      </c>
      <c r="Q660" s="705">
        <v>1452</v>
      </c>
      <c r="R660" s="705">
        <v>165503</v>
      </c>
      <c r="S660" s="705">
        <v>61297</v>
      </c>
      <c r="T660">
        <v>0</v>
      </c>
      <c r="U660">
        <v>0</v>
      </c>
      <c r="V660" s="705">
        <v>103488</v>
      </c>
      <c r="W660" s="705">
        <f t="shared" si="36"/>
        <v>103488</v>
      </c>
      <c r="X660" s="705">
        <f t="shared" si="37"/>
        <v>275761</v>
      </c>
      <c r="Y660" s="705"/>
    </row>
    <row r="661" spans="2:25">
      <c r="B661" t="s">
        <v>685</v>
      </c>
      <c r="C661" t="s">
        <v>114</v>
      </c>
      <c r="D661" t="s">
        <v>584</v>
      </c>
      <c r="E661" t="s">
        <v>584</v>
      </c>
      <c r="F661" s="705">
        <v>64</v>
      </c>
      <c r="G661" s="705">
        <v>4509</v>
      </c>
      <c r="H661" s="705">
        <v>8763</v>
      </c>
      <c r="I661" s="705">
        <v>251513</v>
      </c>
      <c r="J661" s="706">
        <v>228648</v>
      </c>
      <c r="K661" s="705">
        <v>88</v>
      </c>
      <c r="L661" s="705">
        <v>3267</v>
      </c>
      <c r="M661" s="705">
        <v>3531</v>
      </c>
      <c r="N661" s="705">
        <v>74516</v>
      </c>
      <c r="O661" s="705">
        <v>27599</v>
      </c>
      <c r="P661" s="705">
        <v>30240</v>
      </c>
      <c r="Q661" s="705">
        <v>11200</v>
      </c>
      <c r="R661" s="705">
        <v>223807</v>
      </c>
      <c r="S661" s="705">
        <v>203461</v>
      </c>
      <c r="T661" s="705">
        <v>30271</v>
      </c>
      <c r="U661" s="705">
        <v>11212</v>
      </c>
      <c r="V661" s="705">
        <v>485651</v>
      </c>
      <c r="W661" s="705">
        <f t="shared" si="36"/>
        <v>485651</v>
      </c>
      <c r="X661" s="705">
        <f t="shared" si="37"/>
        <v>613614</v>
      </c>
      <c r="Y661" s="705"/>
    </row>
    <row r="662" spans="2:25">
      <c r="B662" t="s">
        <v>685</v>
      </c>
      <c r="C662" t="s">
        <v>116</v>
      </c>
      <c r="F662" s="705">
        <v>57</v>
      </c>
      <c r="G662" s="705">
        <v>2200</v>
      </c>
      <c r="H662" s="705">
        <v>10575</v>
      </c>
      <c r="J662" s="706">
        <v>0</v>
      </c>
      <c r="K662" s="705"/>
      <c r="M662">
        <v>0</v>
      </c>
      <c r="N662" s="705">
        <v>39232</v>
      </c>
      <c r="O662" s="705">
        <v>14531</v>
      </c>
      <c r="P662" s="705">
        <v>10848</v>
      </c>
      <c r="Q662" s="705">
        <v>4018</v>
      </c>
      <c r="S662">
        <v>0</v>
      </c>
      <c r="T662" s="705">
        <v>18767</v>
      </c>
      <c r="U662" s="705">
        <v>6951</v>
      </c>
      <c r="V662" s="705">
        <v>25499</v>
      </c>
      <c r="W662" s="705">
        <f t="shared" si="36"/>
        <v>25500</v>
      </c>
      <c r="X662" s="705">
        <f t="shared" si="37"/>
        <v>68847</v>
      </c>
      <c r="Y662" s="705"/>
    </row>
    <row r="663" spans="2:25">
      <c r="B663" t="s">
        <v>685</v>
      </c>
      <c r="C663" t="s">
        <v>116</v>
      </c>
      <c r="D663" t="s">
        <v>228</v>
      </c>
      <c r="E663" t="s">
        <v>228</v>
      </c>
      <c r="F663">
        <v>697</v>
      </c>
      <c r="G663" s="705">
        <v>46321</v>
      </c>
      <c r="H663" s="705">
        <v>134454</v>
      </c>
      <c r="I663" s="705">
        <v>3354626</v>
      </c>
      <c r="J663" s="706">
        <v>1242454</v>
      </c>
      <c r="K663" s="705">
        <v>100</v>
      </c>
      <c r="L663" s="705">
        <v>423709</v>
      </c>
      <c r="M663" s="705">
        <v>186447</v>
      </c>
      <c r="N663" s="705">
        <v>885197</v>
      </c>
      <c r="O663" s="705">
        <v>327851</v>
      </c>
      <c r="P663" s="705">
        <v>46711</v>
      </c>
      <c r="Q663" s="705">
        <v>17301</v>
      </c>
      <c r="R663" s="705">
        <v>4170355</v>
      </c>
      <c r="S663" s="705">
        <v>1544576</v>
      </c>
      <c r="T663" s="705">
        <v>5597</v>
      </c>
      <c r="U663" s="705">
        <v>2073</v>
      </c>
      <c r="V663" s="705">
        <v>3320701</v>
      </c>
      <c r="W663" s="705">
        <f t="shared" si="36"/>
        <v>3320702</v>
      </c>
      <c r="X663" s="705">
        <f t="shared" si="37"/>
        <v>8886195</v>
      </c>
      <c r="Y663" s="705"/>
    </row>
    <row r="664" spans="2:25">
      <c r="B664" t="s">
        <v>685</v>
      </c>
      <c r="C664" t="s">
        <v>116</v>
      </c>
      <c r="D664" t="s">
        <v>583</v>
      </c>
      <c r="E664" t="s">
        <v>583</v>
      </c>
      <c r="F664" s="705">
        <v>2</v>
      </c>
      <c r="G664" s="705">
        <v>71</v>
      </c>
      <c r="H664" s="705">
        <v>385</v>
      </c>
      <c r="I664" s="705">
        <v>7044</v>
      </c>
      <c r="J664" s="706">
        <v>6403</v>
      </c>
      <c r="K664" s="705">
        <v>95</v>
      </c>
      <c r="L664" s="705">
        <v>1733</v>
      </c>
      <c r="M664">
        <v>642</v>
      </c>
      <c r="N664">
        <v>860</v>
      </c>
      <c r="O664">
        <v>319</v>
      </c>
      <c r="P664" s="705">
        <v>1242</v>
      </c>
      <c r="Q664">
        <v>460</v>
      </c>
      <c r="R664" s="705">
        <v>2676</v>
      </c>
      <c r="S664" s="705">
        <v>2433</v>
      </c>
      <c r="T664">
        <v>0</v>
      </c>
      <c r="U664">
        <v>0</v>
      </c>
      <c r="V664" s="705">
        <v>10257</v>
      </c>
      <c r="W664" s="705">
        <f t="shared" si="36"/>
        <v>10257</v>
      </c>
      <c r="X664" s="705">
        <f t="shared" si="37"/>
        <v>13555</v>
      </c>
      <c r="Y664" s="705"/>
    </row>
    <row r="665" spans="2:25">
      <c r="B665" t="s">
        <v>685</v>
      </c>
      <c r="C665" t="s">
        <v>116</v>
      </c>
      <c r="D665" t="s">
        <v>584</v>
      </c>
      <c r="E665" t="s">
        <v>664</v>
      </c>
      <c r="F665" s="705">
        <v>1</v>
      </c>
      <c r="G665" s="705">
        <v>64</v>
      </c>
      <c r="H665" s="705">
        <v>183</v>
      </c>
      <c r="I665" s="705">
        <v>6441</v>
      </c>
      <c r="J665" s="706">
        <v>5856</v>
      </c>
      <c r="K665" s="705">
        <v>91</v>
      </c>
      <c r="L665">
        <v>0</v>
      </c>
      <c r="M665">
        <v>0</v>
      </c>
      <c r="N665" s="705">
        <v>1553</v>
      </c>
      <c r="O665">
        <v>575</v>
      </c>
      <c r="P665">
        <v>473</v>
      </c>
      <c r="Q665">
        <v>175</v>
      </c>
      <c r="R665" s="705">
        <v>3188</v>
      </c>
      <c r="S665" s="705">
        <v>2898</v>
      </c>
      <c r="T665">
        <v>0</v>
      </c>
      <c r="U665">
        <v>0</v>
      </c>
      <c r="V665" s="705">
        <v>9504</v>
      </c>
      <c r="W665" s="705">
        <f t="shared" si="36"/>
        <v>9504</v>
      </c>
      <c r="X665" s="705">
        <f t="shared" si="37"/>
        <v>11655</v>
      </c>
      <c r="Y665" s="705"/>
    </row>
    <row r="666" spans="2:25">
      <c r="B666" t="s">
        <v>685</v>
      </c>
      <c r="C666" t="s">
        <v>116</v>
      </c>
      <c r="D666" t="s">
        <v>584</v>
      </c>
      <c r="E666" t="s">
        <v>228</v>
      </c>
      <c r="F666" s="705">
        <v>5</v>
      </c>
      <c r="G666" s="705">
        <v>256</v>
      </c>
      <c r="H666" s="705">
        <v>1007</v>
      </c>
      <c r="I666" s="705">
        <v>23725</v>
      </c>
      <c r="J666" s="706">
        <v>21568</v>
      </c>
      <c r="K666" s="705">
        <v>79</v>
      </c>
      <c r="L666">
        <v>0</v>
      </c>
      <c r="M666">
        <v>0</v>
      </c>
      <c r="N666" s="705">
        <v>4990</v>
      </c>
      <c r="O666" s="705">
        <v>1848</v>
      </c>
      <c r="P666" s="705">
        <v>2363</v>
      </c>
      <c r="Q666">
        <v>875</v>
      </c>
      <c r="R666" s="705">
        <v>19963</v>
      </c>
      <c r="S666" s="705">
        <v>7394</v>
      </c>
      <c r="T666">
        <v>0</v>
      </c>
      <c r="U666">
        <v>0</v>
      </c>
      <c r="V666" s="705">
        <v>31685</v>
      </c>
      <c r="W666" s="705">
        <f t="shared" si="36"/>
        <v>31685</v>
      </c>
      <c r="X666" s="705">
        <f t="shared" si="37"/>
        <v>51041</v>
      </c>
      <c r="Y666" s="705"/>
    </row>
    <row r="667" spans="2:25">
      <c r="B667" t="s">
        <v>685</v>
      </c>
      <c r="C667" t="s">
        <v>116</v>
      </c>
      <c r="D667" t="s">
        <v>584</v>
      </c>
      <c r="E667" t="s">
        <v>584</v>
      </c>
      <c r="F667" s="705">
        <v>262</v>
      </c>
      <c r="G667" s="705">
        <v>18169</v>
      </c>
      <c r="H667" s="705">
        <v>49591</v>
      </c>
      <c r="I667" s="705">
        <v>1611526</v>
      </c>
      <c r="J667" s="706">
        <v>1465024</v>
      </c>
      <c r="K667" s="705">
        <v>82</v>
      </c>
      <c r="L667" s="705">
        <v>162159</v>
      </c>
      <c r="M667" s="705">
        <v>118595</v>
      </c>
      <c r="N667" s="705">
        <v>338407</v>
      </c>
      <c r="O667" s="705">
        <v>125336</v>
      </c>
      <c r="P667" s="705">
        <v>123508</v>
      </c>
      <c r="Q667" s="705">
        <v>45744</v>
      </c>
      <c r="R667" s="705">
        <v>1008610</v>
      </c>
      <c r="S667" s="705">
        <v>916919</v>
      </c>
      <c r="T667" s="705">
        <v>197070</v>
      </c>
      <c r="U667" s="705">
        <v>72989</v>
      </c>
      <c r="V667" s="705">
        <v>2744606</v>
      </c>
      <c r="W667" s="705">
        <f t="shared" si="36"/>
        <v>2744607</v>
      </c>
      <c r="X667" s="705">
        <f t="shared" si="37"/>
        <v>3441280</v>
      </c>
      <c r="Y667" s="705"/>
    </row>
    <row r="668" spans="2:25">
      <c r="B668" t="s">
        <v>685</v>
      </c>
      <c r="C668" t="s">
        <v>118</v>
      </c>
      <c r="F668">
        <v>20</v>
      </c>
      <c r="G668" s="705">
        <v>795</v>
      </c>
      <c r="H668" s="705">
        <v>5234</v>
      </c>
      <c r="J668" s="429">
        <v>0</v>
      </c>
      <c r="K668" s="705"/>
      <c r="M668">
        <v>0</v>
      </c>
      <c r="N668" s="705">
        <v>16550</v>
      </c>
      <c r="O668" s="705">
        <v>6130</v>
      </c>
      <c r="P668" s="705">
        <v>2394</v>
      </c>
      <c r="Q668">
        <v>887</v>
      </c>
      <c r="S668">
        <v>0</v>
      </c>
      <c r="T668" s="705">
        <v>11530</v>
      </c>
      <c r="U668" s="705">
        <v>4270</v>
      </c>
      <c r="V668" s="705">
        <v>11287</v>
      </c>
      <c r="W668" s="705">
        <f t="shared" si="36"/>
        <v>11287</v>
      </c>
      <c r="X668" s="705">
        <f t="shared" si="37"/>
        <v>30474</v>
      </c>
      <c r="Y668" s="705"/>
    </row>
    <row r="669" spans="2:25">
      <c r="B669" t="s">
        <v>685</v>
      </c>
      <c r="C669" t="s">
        <v>118</v>
      </c>
      <c r="D669" t="s">
        <v>228</v>
      </c>
      <c r="E669" t="s">
        <v>228</v>
      </c>
      <c r="F669">
        <v>877</v>
      </c>
      <c r="G669" s="705">
        <v>49616</v>
      </c>
      <c r="H669" s="705">
        <v>228738</v>
      </c>
      <c r="I669" s="705">
        <v>6173226</v>
      </c>
      <c r="J669" s="706">
        <v>2286380</v>
      </c>
      <c r="K669" s="705">
        <v>100</v>
      </c>
      <c r="L669" s="705">
        <v>677908</v>
      </c>
      <c r="M669" s="705">
        <v>261950</v>
      </c>
      <c r="N669" s="705">
        <v>1017775</v>
      </c>
      <c r="O669" s="705">
        <v>376954</v>
      </c>
      <c r="P669" s="705">
        <v>12590</v>
      </c>
      <c r="Q669" s="705">
        <v>4663</v>
      </c>
      <c r="R669" s="705">
        <v>5018293</v>
      </c>
      <c r="S669" s="705">
        <v>1858627</v>
      </c>
      <c r="T669" s="705">
        <v>11808</v>
      </c>
      <c r="U669" s="705">
        <v>4373</v>
      </c>
      <c r="V669" s="705">
        <v>4792947</v>
      </c>
      <c r="W669" s="705">
        <f t="shared" si="36"/>
        <v>4792947</v>
      </c>
      <c r="X669" s="705">
        <f t="shared" si="37"/>
        <v>12911600</v>
      </c>
      <c r="Y669" s="705"/>
    </row>
    <row r="670" spans="2:25">
      <c r="B670" t="s">
        <v>685</v>
      </c>
      <c r="C670" t="s">
        <v>118</v>
      </c>
      <c r="D670" t="s">
        <v>583</v>
      </c>
      <c r="E670" t="s">
        <v>583</v>
      </c>
      <c r="F670" s="705">
        <v>4</v>
      </c>
      <c r="G670" s="705">
        <v>223</v>
      </c>
      <c r="H670" s="705">
        <v>1071</v>
      </c>
      <c r="I670" s="705">
        <v>28679</v>
      </c>
      <c r="J670" s="706">
        <v>26072</v>
      </c>
      <c r="K670" s="705">
        <v>84</v>
      </c>
      <c r="L670" s="705">
        <v>2871</v>
      </c>
      <c r="M670" s="705">
        <v>2610</v>
      </c>
      <c r="N670" s="705">
        <v>5108</v>
      </c>
      <c r="O670" s="705">
        <v>1892</v>
      </c>
      <c r="P670" s="705">
        <v>1674</v>
      </c>
      <c r="Q670">
        <v>620</v>
      </c>
      <c r="R670" s="705">
        <v>15944</v>
      </c>
      <c r="S670" s="705">
        <v>14495</v>
      </c>
      <c r="T670" s="705">
        <v>5153</v>
      </c>
      <c r="U670" s="705">
        <v>1908</v>
      </c>
      <c r="V670" s="705">
        <v>47596</v>
      </c>
      <c r="W670" s="705">
        <f t="shared" si="36"/>
        <v>47597</v>
      </c>
      <c r="X670" s="705">
        <f t="shared" si="37"/>
        <v>59429</v>
      </c>
      <c r="Y670" s="705"/>
    </row>
    <row r="671" spans="2:25">
      <c r="B671" t="s">
        <v>685</v>
      </c>
      <c r="C671" t="s">
        <v>118</v>
      </c>
      <c r="D671" t="s">
        <v>584</v>
      </c>
      <c r="E671" t="s">
        <v>228</v>
      </c>
      <c r="F671" s="705">
        <v>6</v>
      </c>
      <c r="G671" s="705">
        <v>316</v>
      </c>
      <c r="H671" s="705">
        <v>1566</v>
      </c>
      <c r="I671" s="705">
        <v>46158</v>
      </c>
      <c r="J671" s="706">
        <v>41962</v>
      </c>
      <c r="K671" s="705">
        <v>75</v>
      </c>
      <c r="L671" s="705">
        <v>2093</v>
      </c>
      <c r="M671" s="705">
        <v>1334</v>
      </c>
      <c r="N671" s="705">
        <v>6651</v>
      </c>
      <c r="O671" s="705">
        <v>2463</v>
      </c>
      <c r="P671" s="705">
        <v>2363</v>
      </c>
      <c r="Q671">
        <v>875</v>
      </c>
      <c r="R671" s="705">
        <v>22362</v>
      </c>
      <c r="S671" s="705">
        <v>8282</v>
      </c>
      <c r="T671">
        <v>0</v>
      </c>
      <c r="U671">
        <v>0</v>
      </c>
      <c r="V671" s="705">
        <v>54916</v>
      </c>
      <c r="W671" s="705">
        <f t="shared" si="36"/>
        <v>54916</v>
      </c>
      <c r="X671" s="705">
        <f t="shared" si="37"/>
        <v>79627</v>
      </c>
      <c r="Y671" s="705"/>
    </row>
    <row r="672" spans="2:25">
      <c r="B672" t="s">
        <v>685</v>
      </c>
      <c r="C672" t="s">
        <v>118</v>
      </c>
      <c r="D672" t="s">
        <v>584</v>
      </c>
      <c r="E672" t="s">
        <v>584</v>
      </c>
      <c r="F672" s="705">
        <v>143</v>
      </c>
      <c r="G672" s="705">
        <v>8006</v>
      </c>
      <c r="H672" s="705">
        <v>37247</v>
      </c>
      <c r="I672" s="705">
        <v>1028970</v>
      </c>
      <c r="J672" s="706">
        <v>935427</v>
      </c>
      <c r="K672" s="705">
        <v>78</v>
      </c>
      <c r="L672" s="705">
        <v>140869</v>
      </c>
      <c r="M672" s="705">
        <v>116389</v>
      </c>
      <c r="N672" s="705">
        <v>157657</v>
      </c>
      <c r="O672" s="705">
        <v>58392</v>
      </c>
      <c r="P672" s="705">
        <v>66353</v>
      </c>
      <c r="Q672" s="705">
        <v>24575</v>
      </c>
      <c r="R672" s="705">
        <v>571989</v>
      </c>
      <c r="S672" s="705">
        <v>519990</v>
      </c>
      <c r="T672" s="705">
        <v>137538</v>
      </c>
      <c r="U672" s="705">
        <v>50940</v>
      </c>
      <c r="V672" s="705">
        <v>1705712</v>
      </c>
      <c r="W672" s="705">
        <f t="shared" si="36"/>
        <v>1705713</v>
      </c>
      <c r="X672" s="705">
        <f t="shared" si="37"/>
        <v>2103376</v>
      </c>
      <c r="Y672" s="705"/>
    </row>
    <row r="673" spans="2:25">
      <c r="B673" t="s">
        <v>685</v>
      </c>
      <c r="C673" t="s">
        <v>120</v>
      </c>
      <c r="F673">
        <v>12</v>
      </c>
      <c r="G673">
        <v>462</v>
      </c>
      <c r="H673" s="705">
        <v>4064</v>
      </c>
      <c r="J673" s="429">
        <v>0</v>
      </c>
      <c r="M673">
        <v>0</v>
      </c>
      <c r="N673" s="705">
        <v>9168</v>
      </c>
      <c r="O673" s="705">
        <v>3396</v>
      </c>
      <c r="P673" s="705">
        <v>1715</v>
      </c>
      <c r="Q673">
        <v>635</v>
      </c>
      <c r="S673">
        <v>0</v>
      </c>
      <c r="T673" s="705">
        <v>3705</v>
      </c>
      <c r="U673" s="705">
        <v>1372</v>
      </c>
      <c r="V673" s="705">
        <v>5403</v>
      </c>
      <c r="W673" s="705">
        <f t="shared" si="36"/>
        <v>5403</v>
      </c>
      <c r="X673" s="705">
        <f t="shared" si="37"/>
        <v>14588</v>
      </c>
      <c r="Y673" s="705"/>
    </row>
    <row r="674" spans="2:25">
      <c r="B674" t="s">
        <v>685</v>
      </c>
      <c r="C674" t="s">
        <v>120</v>
      </c>
      <c r="D674" t="s">
        <v>228</v>
      </c>
      <c r="E674" t="s">
        <v>228</v>
      </c>
      <c r="F674" s="705">
        <v>549</v>
      </c>
      <c r="G674" s="705">
        <v>28625</v>
      </c>
      <c r="H674" s="705">
        <v>185671</v>
      </c>
      <c r="I674" s="705">
        <v>5527286</v>
      </c>
      <c r="J674" s="706">
        <v>2047143</v>
      </c>
      <c r="K674" s="705">
        <v>100</v>
      </c>
      <c r="L674" s="705">
        <v>501688</v>
      </c>
      <c r="M674" s="705">
        <v>198869</v>
      </c>
      <c r="N674" s="705">
        <v>598331</v>
      </c>
      <c r="O674" s="705">
        <v>221604</v>
      </c>
      <c r="P674" s="705">
        <v>7958</v>
      </c>
      <c r="Q674" s="705">
        <v>2947</v>
      </c>
      <c r="R674" s="705">
        <v>3033586</v>
      </c>
      <c r="S674" s="705">
        <v>1123550</v>
      </c>
      <c r="T674" s="705">
        <v>1548</v>
      </c>
      <c r="U674">
        <v>573</v>
      </c>
      <c r="V674" s="705">
        <v>3594687</v>
      </c>
      <c r="W674" s="705">
        <f t="shared" si="36"/>
        <v>3594686</v>
      </c>
      <c r="X674" s="705">
        <f t="shared" si="37"/>
        <v>9670397</v>
      </c>
      <c r="Y674" s="705"/>
    </row>
    <row r="675" spans="2:25">
      <c r="B675" t="s">
        <v>685</v>
      </c>
      <c r="C675" t="s">
        <v>120</v>
      </c>
      <c r="D675" t="s">
        <v>583</v>
      </c>
      <c r="E675" t="s">
        <v>228</v>
      </c>
      <c r="F675" s="705">
        <v>1</v>
      </c>
      <c r="G675" s="705">
        <v>39</v>
      </c>
      <c r="H675" s="705">
        <v>336</v>
      </c>
      <c r="I675" s="705">
        <v>8316</v>
      </c>
      <c r="J675" s="706">
        <v>7560</v>
      </c>
      <c r="K675" s="705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705">
        <v>3266</v>
      </c>
      <c r="S675" s="705">
        <v>1210</v>
      </c>
      <c r="T675">
        <v>0</v>
      </c>
      <c r="U675">
        <v>0</v>
      </c>
      <c r="V675" s="705">
        <v>9353</v>
      </c>
      <c r="W675" s="705">
        <f t="shared" si="36"/>
        <v>9353</v>
      </c>
      <c r="X675" s="705">
        <f t="shared" si="37"/>
        <v>13156</v>
      </c>
      <c r="Y675" s="705"/>
    </row>
    <row r="676" spans="2:25">
      <c r="B676" t="s">
        <v>685</v>
      </c>
      <c r="C676" t="s">
        <v>120</v>
      </c>
      <c r="D676" t="s">
        <v>583</v>
      </c>
      <c r="E676" t="s">
        <v>583</v>
      </c>
      <c r="F676" s="705">
        <v>1</v>
      </c>
      <c r="G676" s="705">
        <v>46</v>
      </c>
      <c r="H676" s="705">
        <v>365</v>
      </c>
      <c r="I676" s="705">
        <v>10500</v>
      </c>
      <c r="J676" s="706">
        <v>9546</v>
      </c>
      <c r="K676" s="705">
        <v>86</v>
      </c>
      <c r="L676">
        <v>0</v>
      </c>
      <c r="M676">
        <v>0</v>
      </c>
      <c r="N676" s="705">
        <v>1121</v>
      </c>
      <c r="O676">
        <v>415</v>
      </c>
      <c r="P676">
        <v>351</v>
      </c>
      <c r="Q676">
        <v>130</v>
      </c>
      <c r="R676" s="705">
        <v>3122</v>
      </c>
      <c r="S676" s="705">
        <v>2838</v>
      </c>
      <c r="T676" s="705">
        <v>1688</v>
      </c>
      <c r="U676">
        <v>625</v>
      </c>
      <c r="V676" s="705">
        <v>13554</v>
      </c>
      <c r="W676" s="705">
        <f t="shared" si="36"/>
        <v>13554</v>
      </c>
      <c r="X676" s="705">
        <f t="shared" si="37"/>
        <v>16782</v>
      </c>
      <c r="Y676" s="705"/>
    </row>
    <row r="677" spans="2:25">
      <c r="B677" t="s">
        <v>685</v>
      </c>
      <c r="C677" t="s">
        <v>120</v>
      </c>
      <c r="D677" t="s">
        <v>584</v>
      </c>
      <c r="E677" t="s">
        <v>228</v>
      </c>
      <c r="F677">
        <v>8</v>
      </c>
      <c r="G677">
        <v>363</v>
      </c>
      <c r="H677" s="705">
        <v>2691</v>
      </c>
      <c r="I677" s="705">
        <v>77100</v>
      </c>
      <c r="J677" s="706">
        <v>70091</v>
      </c>
      <c r="K677" s="705">
        <v>74</v>
      </c>
      <c r="L677" s="705">
        <v>1090</v>
      </c>
      <c r="M677">
        <v>404</v>
      </c>
      <c r="N677" s="705">
        <v>8723</v>
      </c>
      <c r="O677" s="705">
        <v>3231</v>
      </c>
      <c r="P677" s="705">
        <v>2714</v>
      </c>
      <c r="Q677" s="705">
        <v>1005</v>
      </c>
      <c r="R677" s="705">
        <v>33030</v>
      </c>
      <c r="S677" s="705">
        <v>12233</v>
      </c>
      <c r="T677">
        <v>0</v>
      </c>
      <c r="U677">
        <v>0</v>
      </c>
      <c r="V677" s="705">
        <v>86963</v>
      </c>
      <c r="W677" s="705">
        <f t="shared" si="36"/>
        <v>86964</v>
      </c>
      <c r="X677" s="705">
        <f t="shared" si="37"/>
        <v>122657</v>
      </c>
      <c r="Y677" s="705"/>
    </row>
    <row r="678" spans="2:25">
      <c r="B678" t="s">
        <v>685</v>
      </c>
      <c r="C678" t="s">
        <v>120</v>
      </c>
      <c r="D678" t="s">
        <v>584</v>
      </c>
      <c r="E678" t="s">
        <v>584</v>
      </c>
      <c r="F678" s="705">
        <v>69</v>
      </c>
      <c r="G678" s="705">
        <v>4140</v>
      </c>
      <c r="H678" s="705">
        <v>23382</v>
      </c>
      <c r="I678" s="705">
        <v>796585</v>
      </c>
      <c r="J678" s="706">
        <v>724168</v>
      </c>
      <c r="K678" s="705">
        <v>75</v>
      </c>
      <c r="L678" s="705">
        <v>110297</v>
      </c>
      <c r="M678" s="705">
        <v>86166</v>
      </c>
      <c r="N678" s="705">
        <v>87081</v>
      </c>
      <c r="O678" s="705">
        <v>32252</v>
      </c>
      <c r="P678" s="705">
        <v>32117</v>
      </c>
      <c r="Q678" s="705">
        <v>11895</v>
      </c>
      <c r="R678" s="705">
        <v>288044</v>
      </c>
      <c r="S678" s="705">
        <v>261858</v>
      </c>
      <c r="T678" s="705">
        <v>80124</v>
      </c>
      <c r="U678" s="705">
        <v>29676</v>
      </c>
      <c r="V678" s="705">
        <v>1146015</v>
      </c>
      <c r="W678" s="705">
        <f t="shared" si="36"/>
        <v>1146015</v>
      </c>
      <c r="X678" s="705">
        <f t="shared" si="37"/>
        <v>1394248</v>
      </c>
      <c r="Y678" s="705"/>
    </row>
    <row r="679" spans="2:25">
      <c r="B679" t="s">
        <v>685</v>
      </c>
      <c r="C679" t="s">
        <v>122</v>
      </c>
      <c r="F679" s="705">
        <v>9</v>
      </c>
      <c r="G679" s="705">
        <v>329</v>
      </c>
      <c r="H679" s="705">
        <v>3731</v>
      </c>
      <c r="J679" s="706">
        <v>0</v>
      </c>
      <c r="K679" s="705"/>
      <c r="M679">
        <v>0</v>
      </c>
      <c r="N679" s="705">
        <v>7146</v>
      </c>
      <c r="O679" s="705">
        <v>2647</v>
      </c>
      <c r="P679" s="705">
        <v>1242</v>
      </c>
      <c r="Q679">
        <v>460</v>
      </c>
      <c r="S679">
        <v>0</v>
      </c>
      <c r="T679" s="705">
        <v>1989</v>
      </c>
      <c r="U679">
        <v>737</v>
      </c>
      <c r="V679" s="705">
        <v>3843</v>
      </c>
      <c r="W679" s="705">
        <f t="shared" si="36"/>
        <v>3844</v>
      </c>
      <c r="X679" s="705">
        <f t="shared" si="37"/>
        <v>10377</v>
      </c>
      <c r="Y679" s="705"/>
    </row>
    <row r="680" spans="2:25">
      <c r="B680" t="s">
        <v>685</v>
      </c>
      <c r="C680" t="s">
        <v>122</v>
      </c>
      <c r="D680" t="s">
        <v>228</v>
      </c>
      <c r="E680" t="s">
        <v>228</v>
      </c>
      <c r="F680">
        <v>207</v>
      </c>
      <c r="G680" s="705">
        <v>9732</v>
      </c>
      <c r="H680" s="705">
        <v>85598</v>
      </c>
      <c r="I680" s="705">
        <v>2504629</v>
      </c>
      <c r="J680" s="706">
        <v>927640</v>
      </c>
      <c r="K680" s="705">
        <v>100</v>
      </c>
      <c r="L680" s="705">
        <v>181232</v>
      </c>
      <c r="M680" s="705">
        <v>76197</v>
      </c>
      <c r="N680" s="705">
        <v>204834</v>
      </c>
      <c r="O680" s="705">
        <v>75864</v>
      </c>
      <c r="P680" s="705">
        <v>2351</v>
      </c>
      <c r="Q680">
        <v>871</v>
      </c>
      <c r="R680" s="705">
        <v>1139029</v>
      </c>
      <c r="S680" s="705">
        <v>421863</v>
      </c>
      <c r="T680">
        <v>0</v>
      </c>
      <c r="U680">
        <v>0</v>
      </c>
      <c r="V680" s="705">
        <v>1502435</v>
      </c>
      <c r="W680" s="705">
        <f t="shared" si="36"/>
        <v>1502435</v>
      </c>
      <c r="X680" s="705">
        <f t="shared" si="37"/>
        <v>4032075</v>
      </c>
      <c r="Y680" s="705"/>
    </row>
    <row r="681" spans="2:25">
      <c r="B681" t="s">
        <v>685</v>
      </c>
      <c r="C681" t="s">
        <v>122</v>
      </c>
      <c r="D681" t="s">
        <v>583</v>
      </c>
      <c r="E681" t="s">
        <v>228</v>
      </c>
      <c r="F681">
        <v>2</v>
      </c>
      <c r="G681">
        <v>95</v>
      </c>
      <c r="H681" s="705">
        <v>793</v>
      </c>
      <c r="I681" s="705">
        <v>24796</v>
      </c>
      <c r="J681" s="706">
        <v>22542</v>
      </c>
      <c r="K681" s="705">
        <v>82</v>
      </c>
      <c r="L681">
        <v>0</v>
      </c>
      <c r="M681">
        <v>0</v>
      </c>
      <c r="N681" s="705">
        <v>1896</v>
      </c>
      <c r="O681">
        <v>702</v>
      </c>
      <c r="P681">
        <v>972</v>
      </c>
      <c r="Q681">
        <v>360</v>
      </c>
      <c r="R681" s="705">
        <v>9789</v>
      </c>
      <c r="S681" s="705">
        <v>3625</v>
      </c>
      <c r="T681">
        <v>0</v>
      </c>
      <c r="U681">
        <v>0</v>
      </c>
      <c r="V681" s="705">
        <v>27230</v>
      </c>
      <c r="W681" s="705">
        <f t="shared" si="36"/>
        <v>27229</v>
      </c>
      <c r="X681" s="705">
        <f t="shared" si="37"/>
        <v>37453</v>
      </c>
      <c r="Y681" s="705"/>
    </row>
    <row r="682" spans="2:25">
      <c r="B682" t="s">
        <v>685</v>
      </c>
      <c r="C682" t="s">
        <v>122</v>
      </c>
      <c r="D682" t="s">
        <v>583</v>
      </c>
      <c r="E682" t="s">
        <v>583</v>
      </c>
      <c r="F682" s="705">
        <v>1</v>
      </c>
      <c r="G682" s="705">
        <v>41</v>
      </c>
      <c r="H682" s="705">
        <v>392</v>
      </c>
      <c r="I682" s="705">
        <v>9192</v>
      </c>
      <c r="J682" s="706">
        <v>8356</v>
      </c>
      <c r="K682" s="705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705">
        <v>3510</v>
      </c>
      <c r="S682" s="705">
        <v>3190</v>
      </c>
      <c r="T682" s="705">
        <v>2057</v>
      </c>
      <c r="U682">
        <v>762</v>
      </c>
      <c r="V682" s="705">
        <v>12769</v>
      </c>
      <c r="W682" s="705">
        <f t="shared" si="36"/>
        <v>12768</v>
      </c>
      <c r="X682" s="705">
        <f t="shared" si="37"/>
        <v>16001</v>
      </c>
      <c r="Y682" s="705"/>
    </row>
    <row r="683" spans="2:25">
      <c r="B683" t="s">
        <v>685</v>
      </c>
      <c r="C683" t="s">
        <v>122</v>
      </c>
      <c r="D683" t="s">
        <v>584</v>
      </c>
      <c r="E683" t="s">
        <v>228</v>
      </c>
      <c r="F683" s="705">
        <v>7</v>
      </c>
      <c r="G683" s="705">
        <v>327</v>
      </c>
      <c r="H683" s="705">
        <v>2901</v>
      </c>
      <c r="I683" s="705">
        <v>92715</v>
      </c>
      <c r="J683" s="706">
        <v>84286</v>
      </c>
      <c r="K683" s="705">
        <v>74</v>
      </c>
      <c r="L683" s="705">
        <v>4896</v>
      </c>
      <c r="M683" s="705">
        <v>4150</v>
      </c>
      <c r="N683" s="705">
        <v>7273</v>
      </c>
      <c r="O683" s="705">
        <v>2694</v>
      </c>
      <c r="P683" s="705">
        <v>1890</v>
      </c>
      <c r="Q683">
        <v>700</v>
      </c>
      <c r="R683" s="705">
        <v>28093</v>
      </c>
      <c r="S683" s="705">
        <v>10405</v>
      </c>
      <c r="T683">
        <v>0</v>
      </c>
      <c r="U683">
        <v>0</v>
      </c>
      <c r="V683" s="705">
        <v>102235</v>
      </c>
      <c r="W683" s="705">
        <f t="shared" si="36"/>
        <v>102235</v>
      </c>
      <c r="X683" s="705">
        <f t="shared" si="37"/>
        <v>134867</v>
      </c>
      <c r="Y683" s="705"/>
    </row>
    <row r="684" spans="2:25">
      <c r="B684" t="s">
        <v>685</v>
      </c>
      <c r="C684" t="s">
        <v>122</v>
      </c>
      <c r="D684" t="s">
        <v>584</v>
      </c>
      <c r="E684" t="s">
        <v>584</v>
      </c>
      <c r="F684">
        <v>27</v>
      </c>
      <c r="G684" s="705">
        <v>1537</v>
      </c>
      <c r="H684" s="705">
        <v>11275</v>
      </c>
      <c r="I684" s="705">
        <v>389432</v>
      </c>
      <c r="J684" s="706">
        <v>354029</v>
      </c>
      <c r="K684" s="705">
        <v>75</v>
      </c>
      <c r="L684" s="705">
        <v>77095</v>
      </c>
      <c r="M684" s="705">
        <v>58481</v>
      </c>
      <c r="N684" s="705">
        <v>31209</v>
      </c>
      <c r="O684" s="705">
        <v>11559</v>
      </c>
      <c r="P684" s="705">
        <v>12042</v>
      </c>
      <c r="Q684" s="705">
        <v>4460</v>
      </c>
      <c r="R684" s="705">
        <v>107127</v>
      </c>
      <c r="S684" s="705">
        <v>97388</v>
      </c>
      <c r="T684" s="705">
        <v>29233</v>
      </c>
      <c r="U684" s="705">
        <v>10827</v>
      </c>
      <c r="V684" s="705">
        <v>536744</v>
      </c>
      <c r="W684" s="705">
        <f t="shared" si="36"/>
        <v>536744</v>
      </c>
      <c r="X684" s="705">
        <f t="shared" si="37"/>
        <v>646138</v>
      </c>
      <c r="Y684" s="705"/>
    </row>
    <row r="685" spans="2:25">
      <c r="B685" t="s">
        <v>685</v>
      </c>
      <c r="C685" t="s">
        <v>124</v>
      </c>
      <c r="F685">
        <v>8</v>
      </c>
      <c r="G685" s="705">
        <v>303</v>
      </c>
      <c r="H685" s="705">
        <v>4207</v>
      </c>
      <c r="J685" s="706">
        <v>0</v>
      </c>
      <c r="K685" s="705"/>
      <c r="M685">
        <v>0</v>
      </c>
      <c r="N685" s="705">
        <v>6128</v>
      </c>
      <c r="O685" s="705">
        <v>2270</v>
      </c>
      <c r="P685" s="705">
        <v>1296</v>
      </c>
      <c r="Q685">
        <v>480</v>
      </c>
      <c r="S685">
        <v>0</v>
      </c>
      <c r="T685">
        <v>0</v>
      </c>
      <c r="U685">
        <v>0</v>
      </c>
      <c r="V685" s="705">
        <v>2750</v>
      </c>
      <c r="W685" s="705">
        <f t="shared" si="36"/>
        <v>2750</v>
      </c>
      <c r="X685" s="705">
        <f t="shared" si="37"/>
        <v>7424</v>
      </c>
      <c r="Y685" s="705"/>
    </row>
    <row r="686" spans="2:25">
      <c r="B686" t="s">
        <v>685</v>
      </c>
      <c r="C686" t="s">
        <v>124</v>
      </c>
      <c r="D686" t="s">
        <v>228</v>
      </c>
      <c r="E686" t="s">
        <v>228</v>
      </c>
      <c r="F686">
        <v>251</v>
      </c>
      <c r="G686" s="705">
        <v>10363</v>
      </c>
      <c r="H686" s="705">
        <v>149753</v>
      </c>
      <c r="I686" s="705">
        <v>4468079</v>
      </c>
      <c r="J686" s="706">
        <v>1654844</v>
      </c>
      <c r="K686" s="705">
        <v>100</v>
      </c>
      <c r="L686" s="705">
        <v>369627</v>
      </c>
      <c r="M686" s="705">
        <v>181564</v>
      </c>
      <c r="N686" s="705">
        <v>213278</v>
      </c>
      <c r="O686" s="705">
        <v>78992</v>
      </c>
      <c r="P686" s="705">
        <v>1607</v>
      </c>
      <c r="Q686">
        <v>595</v>
      </c>
      <c r="R686" s="705">
        <v>1121830</v>
      </c>
      <c r="S686" s="705">
        <v>415493</v>
      </c>
      <c r="T686">
        <v>0</v>
      </c>
      <c r="U686">
        <v>0</v>
      </c>
      <c r="V686" s="705">
        <v>2331488</v>
      </c>
      <c r="W686" s="705">
        <f t="shared" si="36"/>
        <v>2331488</v>
      </c>
      <c r="X686" s="705">
        <f t="shared" si="37"/>
        <v>6174421</v>
      </c>
      <c r="Y686" s="705"/>
    </row>
    <row r="687" spans="2:25">
      <c r="B687" t="s">
        <v>685</v>
      </c>
      <c r="C687" t="s">
        <v>124</v>
      </c>
      <c r="D687" t="s">
        <v>583</v>
      </c>
      <c r="E687" t="s">
        <v>228</v>
      </c>
      <c r="F687">
        <v>3</v>
      </c>
      <c r="G687">
        <v>118</v>
      </c>
      <c r="H687" s="705">
        <v>1624</v>
      </c>
      <c r="I687" s="705">
        <v>41484</v>
      </c>
      <c r="J687" s="706">
        <v>37712</v>
      </c>
      <c r="K687" s="705">
        <v>74</v>
      </c>
      <c r="L687">
        <v>0</v>
      </c>
      <c r="M687">
        <v>0</v>
      </c>
      <c r="N687" s="705">
        <v>2507</v>
      </c>
      <c r="O687">
        <v>929</v>
      </c>
      <c r="P687" s="705">
        <v>1323</v>
      </c>
      <c r="Q687">
        <v>490</v>
      </c>
      <c r="R687" s="705">
        <v>17976</v>
      </c>
      <c r="S687" s="705">
        <v>6658</v>
      </c>
      <c r="T687">
        <v>0</v>
      </c>
      <c r="U687">
        <v>0</v>
      </c>
      <c r="V687" s="705">
        <v>45789</v>
      </c>
      <c r="W687" s="705">
        <f t="shared" si="36"/>
        <v>45789</v>
      </c>
      <c r="X687" s="705">
        <f t="shared" si="37"/>
        <v>63290</v>
      </c>
      <c r="Y687" s="705"/>
    </row>
    <row r="688" spans="2:25">
      <c r="B688" t="s">
        <v>685</v>
      </c>
      <c r="C688" t="s">
        <v>124</v>
      </c>
      <c r="D688" t="s">
        <v>583</v>
      </c>
      <c r="E688" t="s">
        <v>583</v>
      </c>
      <c r="F688">
        <v>2</v>
      </c>
      <c r="G688">
        <v>118</v>
      </c>
      <c r="H688" s="705">
        <v>1016</v>
      </c>
      <c r="I688" s="705">
        <v>37284</v>
      </c>
      <c r="J688" s="706">
        <v>33895</v>
      </c>
      <c r="K688" s="705">
        <v>78</v>
      </c>
      <c r="L688" s="705">
        <v>4841</v>
      </c>
      <c r="M688" s="705">
        <v>4401</v>
      </c>
      <c r="N688" s="705">
        <v>2871</v>
      </c>
      <c r="O688" s="705">
        <v>1064</v>
      </c>
      <c r="P688" s="705">
        <v>1242</v>
      </c>
      <c r="Q688">
        <v>460</v>
      </c>
      <c r="R688" s="705">
        <v>8313</v>
      </c>
      <c r="S688" s="705">
        <v>7557</v>
      </c>
      <c r="T688" s="705">
        <v>5175</v>
      </c>
      <c r="U688" s="705">
        <v>1916</v>
      </c>
      <c r="V688" s="705">
        <v>49292</v>
      </c>
      <c r="W688" s="705">
        <f t="shared" si="36"/>
        <v>49293</v>
      </c>
      <c r="X688" s="705">
        <f t="shared" si="37"/>
        <v>59726</v>
      </c>
      <c r="Y688" s="705"/>
    </row>
    <row r="689" spans="2:25">
      <c r="B689" t="s">
        <v>685</v>
      </c>
      <c r="C689" t="s">
        <v>124</v>
      </c>
      <c r="D689" t="s">
        <v>666</v>
      </c>
      <c r="E689" t="s">
        <v>228</v>
      </c>
      <c r="F689">
        <v>1</v>
      </c>
      <c r="G689">
        <v>116</v>
      </c>
      <c r="H689">
        <v>830</v>
      </c>
      <c r="I689" s="705">
        <v>88038</v>
      </c>
      <c r="J689" s="706">
        <v>80035</v>
      </c>
      <c r="K689" s="705">
        <v>30</v>
      </c>
      <c r="L689">
        <v>0</v>
      </c>
      <c r="M689">
        <v>0</v>
      </c>
      <c r="N689" s="705">
        <v>2835</v>
      </c>
      <c r="O689" s="705">
        <v>1050</v>
      </c>
      <c r="P689">
        <v>0</v>
      </c>
      <c r="Q689">
        <v>0</v>
      </c>
      <c r="R689" s="705">
        <v>5629</v>
      </c>
      <c r="S689" s="705">
        <v>2085</v>
      </c>
      <c r="T689">
        <v>0</v>
      </c>
      <c r="U689">
        <v>0</v>
      </c>
      <c r="V689" s="705">
        <v>83169</v>
      </c>
      <c r="W689" s="705">
        <f t="shared" si="36"/>
        <v>83170</v>
      </c>
      <c r="X689" s="705">
        <f t="shared" si="37"/>
        <v>96502</v>
      </c>
      <c r="Y689" s="705"/>
    </row>
    <row r="690" spans="2:25">
      <c r="B690" t="s">
        <v>685</v>
      </c>
      <c r="C690" t="s">
        <v>124</v>
      </c>
      <c r="D690" t="s">
        <v>584</v>
      </c>
      <c r="E690" t="s">
        <v>228</v>
      </c>
      <c r="F690">
        <v>11</v>
      </c>
      <c r="G690">
        <v>416</v>
      </c>
      <c r="H690" s="705">
        <v>7750</v>
      </c>
      <c r="I690" s="705">
        <v>182607</v>
      </c>
      <c r="J690" s="706">
        <v>166007</v>
      </c>
      <c r="K690" s="705">
        <v>65</v>
      </c>
      <c r="L690" s="705">
        <v>19459</v>
      </c>
      <c r="M690" s="705">
        <v>12780</v>
      </c>
      <c r="N690" s="705">
        <v>9035</v>
      </c>
      <c r="O690" s="705">
        <v>3346</v>
      </c>
      <c r="P690">
        <v>0</v>
      </c>
      <c r="Q690">
        <v>0</v>
      </c>
      <c r="R690" s="705">
        <v>77655</v>
      </c>
      <c r="S690" s="705">
        <v>28761</v>
      </c>
      <c r="T690">
        <v>0</v>
      </c>
      <c r="U690">
        <v>0</v>
      </c>
      <c r="V690" s="705">
        <v>210894</v>
      </c>
      <c r="W690" s="705">
        <f t="shared" si="36"/>
        <v>210894</v>
      </c>
      <c r="X690" s="705">
        <f t="shared" si="37"/>
        <v>288756</v>
      </c>
      <c r="Y690" s="705"/>
    </row>
    <row r="691" spans="2:25">
      <c r="B691" t="s">
        <v>685</v>
      </c>
      <c r="C691" t="s">
        <v>124</v>
      </c>
      <c r="D691" t="s">
        <v>584</v>
      </c>
      <c r="E691" t="s">
        <v>584</v>
      </c>
      <c r="F691">
        <v>24</v>
      </c>
      <c r="G691" s="705">
        <v>1370</v>
      </c>
      <c r="H691" s="705">
        <v>13006</v>
      </c>
      <c r="I691" s="705">
        <v>471385</v>
      </c>
      <c r="J691" s="706">
        <v>428532</v>
      </c>
      <c r="K691" s="705">
        <v>73</v>
      </c>
      <c r="L691" s="705">
        <v>84576</v>
      </c>
      <c r="M691" s="705">
        <v>59937</v>
      </c>
      <c r="N691" s="705">
        <v>29035</v>
      </c>
      <c r="O691" s="705">
        <v>10754</v>
      </c>
      <c r="P691" s="705">
        <v>10746</v>
      </c>
      <c r="Q691" s="705">
        <v>3980</v>
      </c>
      <c r="R691" s="705">
        <v>90689</v>
      </c>
      <c r="S691" s="705">
        <v>82444</v>
      </c>
      <c r="T691" s="705">
        <v>39014</v>
      </c>
      <c r="U691" s="705">
        <v>14449</v>
      </c>
      <c r="V691" s="705">
        <v>600096</v>
      </c>
      <c r="W691" s="705">
        <f t="shared" si="36"/>
        <v>600096</v>
      </c>
      <c r="X691" s="705">
        <f t="shared" si="37"/>
        <v>725445</v>
      </c>
      <c r="Y691" s="705"/>
    </row>
    <row r="692" spans="2:25">
      <c r="B692" t="s">
        <v>685</v>
      </c>
      <c r="C692" t="s">
        <v>124</v>
      </c>
      <c r="D692" t="s">
        <v>669</v>
      </c>
      <c r="E692" t="s">
        <v>228</v>
      </c>
      <c r="F692" s="705">
        <v>3</v>
      </c>
      <c r="G692" s="705">
        <v>128</v>
      </c>
      <c r="H692" s="705">
        <v>2959</v>
      </c>
      <c r="I692" s="705">
        <v>104261</v>
      </c>
      <c r="J692" s="706">
        <v>86884</v>
      </c>
      <c r="K692" s="705">
        <v>30</v>
      </c>
      <c r="L692" s="705">
        <v>5558</v>
      </c>
      <c r="M692" s="705">
        <v>2059</v>
      </c>
      <c r="N692" s="705">
        <v>2609</v>
      </c>
      <c r="O692">
        <v>966</v>
      </c>
      <c r="P692">
        <v>0</v>
      </c>
      <c r="Q692">
        <v>0</v>
      </c>
      <c r="R692" s="705">
        <v>11866</v>
      </c>
      <c r="S692" s="705">
        <v>4395</v>
      </c>
      <c r="T692">
        <v>0</v>
      </c>
      <c r="U692">
        <v>0</v>
      </c>
      <c r="V692" s="705">
        <v>94304</v>
      </c>
      <c r="W692" s="705">
        <f t="shared" si="36"/>
        <v>94304</v>
      </c>
      <c r="X692" s="705">
        <f t="shared" si="37"/>
        <v>124294</v>
      </c>
      <c r="Y692" s="705"/>
    </row>
    <row r="693" spans="2:25">
      <c r="B693" t="s">
        <v>685</v>
      </c>
      <c r="C693" t="s">
        <v>124</v>
      </c>
      <c r="D693" t="s">
        <v>665</v>
      </c>
      <c r="E693" t="s">
        <v>665</v>
      </c>
      <c r="F693">
        <v>1</v>
      </c>
      <c r="G693">
        <v>91</v>
      </c>
      <c r="H693" s="705">
        <v>698</v>
      </c>
      <c r="I693" s="705">
        <v>48062</v>
      </c>
      <c r="J693" s="706">
        <v>43692</v>
      </c>
      <c r="K693" s="705">
        <v>50</v>
      </c>
      <c r="L693" s="705">
        <v>6554</v>
      </c>
      <c r="M693" s="705">
        <v>2427</v>
      </c>
      <c r="N693" s="705">
        <v>2037</v>
      </c>
      <c r="O693">
        <v>754</v>
      </c>
      <c r="P693">
        <v>351</v>
      </c>
      <c r="Q693">
        <v>130</v>
      </c>
      <c r="R693" s="705">
        <v>4893</v>
      </c>
      <c r="S693" s="705">
        <v>4448</v>
      </c>
      <c r="T693" s="705">
        <v>1871</v>
      </c>
      <c r="U693">
        <v>693</v>
      </c>
      <c r="V693" s="705">
        <v>52145</v>
      </c>
      <c r="W693" s="705">
        <f t="shared" si="36"/>
        <v>52144</v>
      </c>
      <c r="X693" s="705">
        <f t="shared" si="37"/>
        <v>63768</v>
      </c>
      <c r="Y693" s="705"/>
    </row>
    <row r="694" spans="2:25">
      <c r="B694" t="s">
        <v>686</v>
      </c>
      <c r="C694" t="s">
        <v>108</v>
      </c>
      <c r="F694">
        <v>75</v>
      </c>
      <c r="G694" s="705">
        <v>6056</v>
      </c>
      <c r="H694" s="705">
        <v>4072</v>
      </c>
      <c r="J694" s="706">
        <v>0</v>
      </c>
      <c r="K694" s="705"/>
      <c r="M694">
        <v>0</v>
      </c>
      <c r="N694" s="705">
        <v>73786</v>
      </c>
      <c r="O694" s="705">
        <v>27328</v>
      </c>
      <c r="P694" s="705">
        <v>53916</v>
      </c>
      <c r="Q694" s="705">
        <v>19969</v>
      </c>
      <c r="S694">
        <v>0</v>
      </c>
      <c r="T694">
        <v>0</v>
      </c>
      <c r="U694">
        <v>0</v>
      </c>
      <c r="V694" s="705">
        <v>47297</v>
      </c>
      <c r="W694" s="705">
        <f t="shared" si="36"/>
        <v>47297</v>
      </c>
      <c r="X694" s="705">
        <f t="shared" si="37"/>
        <v>127702</v>
      </c>
      <c r="Y694" s="705"/>
    </row>
    <row r="695" spans="2:25">
      <c r="B695" t="s">
        <v>686</v>
      </c>
      <c r="C695" t="s">
        <v>108</v>
      </c>
      <c r="D695" t="s">
        <v>228</v>
      </c>
      <c r="E695" t="s">
        <v>228</v>
      </c>
      <c r="F695" s="705">
        <v>19</v>
      </c>
      <c r="G695" s="705">
        <v>1285</v>
      </c>
      <c r="H695" s="705">
        <v>884</v>
      </c>
      <c r="I695" s="705">
        <v>-7232</v>
      </c>
      <c r="J695" s="706">
        <v>-2678</v>
      </c>
      <c r="K695" s="705">
        <v>550</v>
      </c>
      <c r="L695" s="705">
        <v>-2860</v>
      </c>
      <c r="M695" s="705">
        <v>-1059</v>
      </c>
      <c r="N695" s="705">
        <v>15656</v>
      </c>
      <c r="O695" s="705">
        <v>5798</v>
      </c>
      <c r="P695" s="705">
        <v>9289</v>
      </c>
      <c r="Q695" s="705">
        <v>3440</v>
      </c>
      <c r="R695" s="705">
        <v>43696</v>
      </c>
      <c r="S695" s="705">
        <v>16184</v>
      </c>
      <c r="T695">
        <v>0</v>
      </c>
      <c r="U695">
        <v>0</v>
      </c>
      <c r="V695" s="705">
        <v>21685</v>
      </c>
      <c r="W695" s="705">
        <f t="shared" si="36"/>
        <v>29159</v>
      </c>
      <c r="X695" s="705">
        <f t="shared" si="37"/>
        <v>78733</v>
      </c>
      <c r="Y695" s="705"/>
    </row>
    <row r="696" spans="2:25">
      <c r="B696" t="s">
        <v>686</v>
      </c>
      <c r="C696" t="s">
        <v>108</v>
      </c>
      <c r="D696" t="s">
        <v>584</v>
      </c>
      <c r="E696" t="s">
        <v>584</v>
      </c>
      <c r="F696" s="705">
        <v>12</v>
      </c>
      <c r="G696" s="705">
        <v>741</v>
      </c>
      <c r="H696" s="705">
        <v>830</v>
      </c>
      <c r="I696" s="705">
        <v>6215</v>
      </c>
      <c r="J696" s="706">
        <v>5650</v>
      </c>
      <c r="K696" s="705">
        <v>90</v>
      </c>
      <c r="L696">
        <v>0</v>
      </c>
      <c r="M696">
        <v>0</v>
      </c>
      <c r="N696" s="705">
        <v>9025</v>
      </c>
      <c r="O696" s="705">
        <v>3342</v>
      </c>
      <c r="P696" s="705">
        <v>11496</v>
      </c>
      <c r="Q696" s="705">
        <v>4258</v>
      </c>
      <c r="R696" s="705">
        <v>24062</v>
      </c>
      <c r="S696" s="705">
        <v>21874</v>
      </c>
      <c r="T696">
        <v>0</v>
      </c>
      <c r="U696">
        <v>0</v>
      </c>
      <c r="V696" s="705">
        <v>35124</v>
      </c>
      <c r="W696" s="705">
        <f t="shared" si="36"/>
        <v>35124</v>
      </c>
      <c r="X696" s="705">
        <f t="shared" si="37"/>
        <v>50798</v>
      </c>
      <c r="Y696" s="705"/>
    </row>
    <row r="697" spans="2:25">
      <c r="B697" t="s">
        <v>686</v>
      </c>
      <c r="C697" t="s">
        <v>110</v>
      </c>
      <c r="F697" s="705">
        <v>88</v>
      </c>
      <c r="G697" s="705">
        <v>7472</v>
      </c>
      <c r="H697" s="705">
        <v>8128</v>
      </c>
      <c r="J697" s="706">
        <v>0</v>
      </c>
      <c r="K697" s="705"/>
      <c r="M697">
        <v>0</v>
      </c>
      <c r="N697" s="705">
        <v>179319</v>
      </c>
      <c r="O697" s="705">
        <v>66415</v>
      </c>
      <c r="P697" s="705">
        <v>54828</v>
      </c>
      <c r="Q697" s="705">
        <v>20307</v>
      </c>
      <c r="S697">
        <v>0</v>
      </c>
      <c r="T697" s="705">
        <v>1959</v>
      </c>
      <c r="U697">
        <v>725</v>
      </c>
      <c r="V697" s="705">
        <v>87447</v>
      </c>
      <c r="W697" s="705">
        <f t="shared" si="36"/>
        <v>87447</v>
      </c>
      <c r="X697" s="705">
        <f t="shared" si="37"/>
        <v>236106</v>
      </c>
      <c r="Y697" s="705"/>
    </row>
    <row r="698" spans="2:25">
      <c r="B698" t="s">
        <v>686</v>
      </c>
      <c r="C698" t="s">
        <v>110</v>
      </c>
      <c r="D698" t="s">
        <v>228</v>
      </c>
      <c r="E698" t="s">
        <v>228</v>
      </c>
      <c r="F698" s="705">
        <v>1</v>
      </c>
      <c r="G698" s="705">
        <v>113</v>
      </c>
      <c r="H698" s="705">
        <v>90</v>
      </c>
      <c r="I698" s="705">
        <v>1991</v>
      </c>
      <c r="J698" s="706">
        <v>737</v>
      </c>
      <c r="K698" s="705">
        <v>300</v>
      </c>
      <c r="L698">
        <v>326</v>
      </c>
      <c r="M698">
        <v>296</v>
      </c>
      <c r="N698" s="705">
        <v>1377</v>
      </c>
      <c r="O698">
        <v>510</v>
      </c>
      <c r="P698">
        <v>473</v>
      </c>
      <c r="Q698">
        <v>175</v>
      </c>
      <c r="R698" s="705">
        <v>5967</v>
      </c>
      <c r="S698" s="705">
        <v>2210</v>
      </c>
      <c r="T698">
        <v>0</v>
      </c>
      <c r="U698">
        <v>0</v>
      </c>
      <c r="V698" s="705">
        <v>3928</v>
      </c>
      <c r="W698" s="705">
        <f t="shared" si="36"/>
        <v>3928</v>
      </c>
      <c r="X698" s="705">
        <f t="shared" si="37"/>
        <v>10134</v>
      </c>
      <c r="Y698" s="705"/>
    </row>
    <row r="699" spans="2:25">
      <c r="B699" t="s">
        <v>686</v>
      </c>
      <c r="C699" t="s">
        <v>110</v>
      </c>
      <c r="D699" t="s">
        <v>584</v>
      </c>
      <c r="E699" t="s">
        <v>584</v>
      </c>
      <c r="F699" s="705">
        <v>78</v>
      </c>
      <c r="G699" s="705">
        <v>5887</v>
      </c>
      <c r="H699" s="705">
        <v>7152</v>
      </c>
      <c r="I699" s="705">
        <v>110202</v>
      </c>
      <c r="J699" s="706">
        <v>100183</v>
      </c>
      <c r="K699" s="705">
        <v>90</v>
      </c>
      <c r="L699">
        <v>0</v>
      </c>
      <c r="M699">
        <v>0</v>
      </c>
      <c r="N699" s="705">
        <v>100990</v>
      </c>
      <c r="O699" s="705">
        <v>37404</v>
      </c>
      <c r="P699" s="705">
        <v>41874</v>
      </c>
      <c r="Q699" s="705">
        <v>15509</v>
      </c>
      <c r="R699" s="705">
        <v>286642</v>
      </c>
      <c r="S699" s="705">
        <v>260583</v>
      </c>
      <c r="T699">
        <v>0</v>
      </c>
      <c r="U699">
        <v>0</v>
      </c>
      <c r="V699" s="705">
        <v>413679</v>
      </c>
      <c r="W699" s="705">
        <f t="shared" si="36"/>
        <v>413679</v>
      </c>
      <c r="X699" s="705">
        <f t="shared" si="37"/>
        <v>539708</v>
      </c>
      <c r="Y699" s="705"/>
    </row>
    <row r="700" spans="2:25">
      <c r="B700" t="s">
        <v>686</v>
      </c>
      <c r="C700" t="s">
        <v>112</v>
      </c>
      <c r="F700">
        <v>102</v>
      </c>
      <c r="G700" s="705">
        <v>8531</v>
      </c>
      <c r="H700" s="705">
        <v>11530</v>
      </c>
      <c r="J700" s="429">
        <v>0</v>
      </c>
      <c r="K700" s="705"/>
      <c r="M700">
        <v>0</v>
      </c>
      <c r="N700" s="705">
        <v>204005</v>
      </c>
      <c r="O700" s="705">
        <v>75557</v>
      </c>
      <c r="P700" s="705">
        <v>85658</v>
      </c>
      <c r="Q700" s="705">
        <v>31725</v>
      </c>
      <c r="S700">
        <v>0</v>
      </c>
      <c r="T700" s="705">
        <v>1885</v>
      </c>
      <c r="U700">
        <v>698</v>
      </c>
      <c r="V700" s="705">
        <v>107981</v>
      </c>
      <c r="W700" s="705">
        <f t="shared" si="36"/>
        <v>107980</v>
      </c>
      <c r="X700" s="705">
        <f t="shared" si="37"/>
        <v>291548</v>
      </c>
      <c r="Y700" s="705"/>
    </row>
    <row r="701" spans="2:25">
      <c r="B701" t="s">
        <v>686</v>
      </c>
      <c r="C701" t="s">
        <v>112</v>
      </c>
      <c r="D701" t="s">
        <v>228</v>
      </c>
      <c r="E701" t="s">
        <v>228</v>
      </c>
      <c r="F701">
        <v>7</v>
      </c>
      <c r="G701">
        <v>548</v>
      </c>
      <c r="H701" s="705">
        <v>832</v>
      </c>
      <c r="I701" s="705">
        <v>13472</v>
      </c>
      <c r="J701" s="706">
        <v>4990</v>
      </c>
      <c r="K701" s="705">
        <v>186</v>
      </c>
      <c r="L701">
        <v>449</v>
      </c>
      <c r="M701">
        <v>166</v>
      </c>
      <c r="N701" s="705">
        <v>9444</v>
      </c>
      <c r="O701" s="705">
        <v>3498</v>
      </c>
      <c r="P701" s="705">
        <v>5306</v>
      </c>
      <c r="Q701" s="705">
        <v>1965</v>
      </c>
      <c r="R701" s="705">
        <v>36447</v>
      </c>
      <c r="S701" s="705">
        <v>13499</v>
      </c>
      <c r="T701">
        <v>0</v>
      </c>
      <c r="U701">
        <v>0</v>
      </c>
      <c r="V701" s="705">
        <v>24118</v>
      </c>
      <c r="W701" s="705">
        <f t="shared" si="36"/>
        <v>24118</v>
      </c>
      <c r="X701" s="705">
        <f t="shared" si="37"/>
        <v>65118</v>
      </c>
      <c r="Y701" s="705"/>
    </row>
    <row r="702" spans="2:25">
      <c r="B702" t="s">
        <v>686</v>
      </c>
      <c r="C702" t="s">
        <v>112</v>
      </c>
      <c r="D702" t="s">
        <v>584</v>
      </c>
      <c r="E702" t="s">
        <v>584</v>
      </c>
      <c r="F702" s="705">
        <v>400</v>
      </c>
      <c r="G702" s="705">
        <v>29816</v>
      </c>
      <c r="H702" s="705">
        <v>46238</v>
      </c>
      <c r="I702" s="705">
        <v>1331743</v>
      </c>
      <c r="J702" s="706">
        <v>1210676</v>
      </c>
      <c r="K702" s="705">
        <v>86</v>
      </c>
      <c r="L702" s="705">
        <v>23100</v>
      </c>
      <c r="M702" s="705">
        <v>11366</v>
      </c>
      <c r="N702" s="705">
        <v>623625</v>
      </c>
      <c r="O702" s="705">
        <v>230972</v>
      </c>
      <c r="P702" s="705">
        <v>200034</v>
      </c>
      <c r="Q702" s="705">
        <v>74087</v>
      </c>
      <c r="R702" s="705">
        <v>1279517</v>
      </c>
      <c r="S702" s="705">
        <v>1163197</v>
      </c>
      <c r="T702" s="705">
        <v>8124</v>
      </c>
      <c r="U702" s="705">
        <v>3009</v>
      </c>
      <c r="V702" s="705">
        <v>2693307</v>
      </c>
      <c r="W702" s="705">
        <f t="shared" si="36"/>
        <v>2693307</v>
      </c>
      <c r="X702" s="705">
        <f t="shared" si="37"/>
        <v>3466143</v>
      </c>
      <c r="Y702" s="705"/>
    </row>
    <row r="703" spans="2:25">
      <c r="B703" t="s">
        <v>686</v>
      </c>
      <c r="C703" t="s">
        <v>114</v>
      </c>
      <c r="F703" s="705">
        <v>46</v>
      </c>
      <c r="G703" s="705">
        <v>3399</v>
      </c>
      <c r="H703" s="705">
        <v>6378</v>
      </c>
      <c r="J703" s="706">
        <v>0</v>
      </c>
      <c r="K703" s="705"/>
      <c r="M703">
        <v>0</v>
      </c>
      <c r="N703" s="705">
        <v>74385</v>
      </c>
      <c r="O703" s="705">
        <v>27550</v>
      </c>
      <c r="P703" s="705">
        <v>38445</v>
      </c>
      <c r="Q703" s="705">
        <v>14239</v>
      </c>
      <c r="S703">
        <v>0</v>
      </c>
      <c r="T703">
        <v>0</v>
      </c>
      <c r="U703">
        <v>0</v>
      </c>
      <c r="V703" s="705">
        <v>41789</v>
      </c>
      <c r="W703" s="705">
        <f t="shared" si="36"/>
        <v>41789</v>
      </c>
      <c r="X703" s="705">
        <f t="shared" si="37"/>
        <v>112830</v>
      </c>
      <c r="Y703" s="705"/>
    </row>
    <row r="704" spans="2:25">
      <c r="B704" t="s">
        <v>686</v>
      </c>
      <c r="C704" t="s">
        <v>114</v>
      </c>
      <c r="D704" t="s">
        <v>228</v>
      </c>
      <c r="E704" t="s">
        <v>228</v>
      </c>
      <c r="F704" s="705">
        <v>70</v>
      </c>
      <c r="G704" s="705">
        <v>5204</v>
      </c>
      <c r="H704" s="705">
        <v>9916</v>
      </c>
      <c r="I704" s="705">
        <v>176109</v>
      </c>
      <c r="J704" s="706">
        <v>65226</v>
      </c>
      <c r="K704" s="705">
        <v>126</v>
      </c>
      <c r="L704" s="705">
        <v>21726</v>
      </c>
      <c r="M704" s="705">
        <v>8047</v>
      </c>
      <c r="N704" s="705">
        <v>106485</v>
      </c>
      <c r="O704" s="705">
        <v>39439</v>
      </c>
      <c r="P704" s="705">
        <v>15902</v>
      </c>
      <c r="Q704" s="705">
        <v>5890</v>
      </c>
      <c r="R704" s="705">
        <v>416299</v>
      </c>
      <c r="S704" s="705">
        <v>154185</v>
      </c>
      <c r="T704">
        <v>0</v>
      </c>
      <c r="U704">
        <v>0</v>
      </c>
      <c r="V704" s="705">
        <v>272786</v>
      </c>
      <c r="W704" s="705">
        <f t="shared" si="36"/>
        <v>272787</v>
      </c>
      <c r="X704" s="705">
        <f t="shared" si="37"/>
        <v>736521</v>
      </c>
      <c r="Y704" s="705"/>
    </row>
    <row r="705" spans="2:25">
      <c r="B705" t="s">
        <v>686</v>
      </c>
      <c r="C705" t="s">
        <v>114</v>
      </c>
      <c r="D705" t="s">
        <v>584</v>
      </c>
      <c r="E705" t="s">
        <v>584</v>
      </c>
      <c r="F705" s="705">
        <v>638</v>
      </c>
      <c r="G705" s="705">
        <v>44882</v>
      </c>
      <c r="H705" s="705">
        <v>87525</v>
      </c>
      <c r="I705" s="705">
        <v>2843226</v>
      </c>
      <c r="J705" s="706">
        <v>2584751</v>
      </c>
      <c r="K705" s="705">
        <v>84</v>
      </c>
      <c r="L705" s="705">
        <v>60561</v>
      </c>
      <c r="M705" s="705">
        <v>35232</v>
      </c>
      <c r="N705" s="705">
        <v>948198</v>
      </c>
      <c r="O705" s="705">
        <v>351185</v>
      </c>
      <c r="P705" s="705">
        <v>337990</v>
      </c>
      <c r="Q705" s="705">
        <v>125181</v>
      </c>
      <c r="R705" s="705">
        <v>1946483</v>
      </c>
      <c r="S705" s="705">
        <v>1769530</v>
      </c>
      <c r="T705" s="705">
        <v>21693</v>
      </c>
      <c r="U705" s="705">
        <v>8034</v>
      </c>
      <c r="V705" s="705">
        <v>4873914</v>
      </c>
      <c r="W705" s="705">
        <f t="shared" si="36"/>
        <v>4873913</v>
      </c>
      <c r="X705" s="705">
        <f t="shared" si="37"/>
        <v>6158151</v>
      </c>
      <c r="Y705" s="705"/>
    </row>
    <row r="706" spans="2:25">
      <c r="B706" t="s">
        <v>686</v>
      </c>
      <c r="C706" t="s">
        <v>116</v>
      </c>
      <c r="F706">
        <v>70</v>
      </c>
      <c r="G706" s="705">
        <v>3260</v>
      </c>
      <c r="H706" s="705">
        <v>13903</v>
      </c>
      <c r="J706" s="429">
        <v>0</v>
      </c>
      <c r="K706" s="705"/>
      <c r="M706">
        <v>0</v>
      </c>
      <c r="N706" s="705">
        <v>62677</v>
      </c>
      <c r="O706" s="705">
        <v>23214</v>
      </c>
      <c r="P706" s="705">
        <v>20312</v>
      </c>
      <c r="Q706" s="705">
        <v>7523</v>
      </c>
      <c r="S706">
        <v>0</v>
      </c>
      <c r="T706" s="705">
        <v>9098</v>
      </c>
      <c r="U706" s="705">
        <v>3370</v>
      </c>
      <c r="V706" s="705">
        <v>34106</v>
      </c>
      <c r="W706" s="705">
        <f t="shared" si="36"/>
        <v>34107</v>
      </c>
      <c r="X706" s="705">
        <f t="shared" si="37"/>
        <v>92087</v>
      </c>
      <c r="Y706" s="705"/>
    </row>
    <row r="707" spans="2:25">
      <c r="B707" t="s">
        <v>686</v>
      </c>
      <c r="C707" t="s">
        <v>116</v>
      </c>
      <c r="D707" t="s">
        <v>580</v>
      </c>
      <c r="E707" t="s">
        <v>228</v>
      </c>
      <c r="F707">
        <v>1</v>
      </c>
      <c r="G707">
        <v>73</v>
      </c>
      <c r="H707" s="705">
        <v>199</v>
      </c>
      <c r="I707" s="705">
        <v>5633</v>
      </c>
      <c r="J707" s="706">
        <v>2086</v>
      </c>
      <c r="K707" s="705">
        <v>100</v>
      </c>
      <c r="L707" s="705">
        <v>1408</v>
      </c>
      <c r="M707">
        <v>522</v>
      </c>
      <c r="N707" s="705">
        <v>1416</v>
      </c>
      <c r="O707">
        <v>524</v>
      </c>
      <c r="P707">
        <v>0</v>
      </c>
      <c r="Q707">
        <v>0</v>
      </c>
      <c r="R707" s="705">
        <v>5990</v>
      </c>
      <c r="S707" s="705">
        <v>2219</v>
      </c>
      <c r="T707">
        <v>0</v>
      </c>
      <c r="U707">
        <v>0</v>
      </c>
      <c r="V707" s="705">
        <v>5351</v>
      </c>
      <c r="W707" s="705">
        <f t="shared" si="36"/>
        <v>5351</v>
      </c>
      <c r="X707" s="705">
        <f t="shared" si="37"/>
        <v>14447</v>
      </c>
      <c r="Y707" s="705"/>
    </row>
    <row r="708" spans="2:25">
      <c r="B708" t="s">
        <v>686</v>
      </c>
      <c r="C708" t="s">
        <v>116</v>
      </c>
      <c r="D708" t="s">
        <v>228</v>
      </c>
      <c r="E708" t="s">
        <v>228</v>
      </c>
      <c r="F708" s="705">
        <v>1360</v>
      </c>
      <c r="G708" s="705">
        <v>84410</v>
      </c>
      <c r="H708" s="705">
        <v>265532</v>
      </c>
      <c r="I708" s="705">
        <v>5915261</v>
      </c>
      <c r="J708" s="706">
        <v>2190837</v>
      </c>
      <c r="K708" s="705">
        <v>104</v>
      </c>
      <c r="L708" s="705">
        <v>717818</v>
      </c>
      <c r="M708" s="705">
        <v>275352</v>
      </c>
      <c r="N708" s="705">
        <v>1700152</v>
      </c>
      <c r="O708" s="705">
        <v>629686</v>
      </c>
      <c r="P708" s="705">
        <v>53030</v>
      </c>
      <c r="Q708" s="705">
        <v>19641</v>
      </c>
      <c r="R708" s="705">
        <v>8037934</v>
      </c>
      <c r="S708" s="705">
        <v>2977013</v>
      </c>
      <c r="T708" s="705">
        <v>3674</v>
      </c>
      <c r="U708" s="705">
        <v>1361</v>
      </c>
      <c r="V708" s="705">
        <v>6093890</v>
      </c>
      <c r="W708" s="705">
        <f t="shared" si="36"/>
        <v>6093890</v>
      </c>
      <c r="X708" s="705">
        <f t="shared" si="37"/>
        <v>16427869</v>
      </c>
      <c r="Y708" s="705"/>
    </row>
    <row r="709" spans="2:25">
      <c r="B709" t="s">
        <v>686</v>
      </c>
      <c r="C709" t="s">
        <v>116</v>
      </c>
      <c r="D709" t="s">
        <v>228</v>
      </c>
      <c r="E709" t="s">
        <v>584</v>
      </c>
      <c r="F709" s="705">
        <v>1</v>
      </c>
      <c r="G709" s="705">
        <v>106</v>
      </c>
      <c r="H709" s="705">
        <v>172</v>
      </c>
      <c r="I709" s="705">
        <v>8425</v>
      </c>
      <c r="J709" s="706">
        <v>3121</v>
      </c>
      <c r="K709" s="705">
        <v>250</v>
      </c>
      <c r="L709" s="705">
        <v>1106</v>
      </c>
      <c r="M709" s="705">
        <v>1006</v>
      </c>
      <c r="N709" s="705">
        <v>2526</v>
      </c>
      <c r="O709">
        <v>935</v>
      </c>
      <c r="P709" s="705">
        <v>1810</v>
      </c>
      <c r="Q709">
        <v>670</v>
      </c>
      <c r="R709" s="705">
        <v>4369</v>
      </c>
      <c r="S709" s="705">
        <v>3972</v>
      </c>
      <c r="T709">
        <v>0</v>
      </c>
      <c r="U709">
        <v>0</v>
      </c>
      <c r="V709" s="705">
        <v>9704</v>
      </c>
      <c r="W709" s="705">
        <f t="shared" si="36"/>
        <v>9704</v>
      </c>
      <c r="X709" s="705">
        <f t="shared" si="37"/>
        <v>18236</v>
      </c>
      <c r="Y709" s="705"/>
    </row>
    <row r="710" spans="2:25">
      <c r="B710" t="s">
        <v>686</v>
      </c>
      <c r="C710" t="s">
        <v>116</v>
      </c>
      <c r="D710" t="s">
        <v>583</v>
      </c>
      <c r="E710" t="s">
        <v>584</v>
      </c>
      <c r="F710" s="705">
        <v>1</v>
      </c>
      <c r="G710" s="705">
        <v>116</v>
      </c>
      <c r="H710" s="705">
        <v>207</v>
      </c>
      <c r="I710" s="705">
        <v>10659</v>
      </c>
      <c r="J710" s="706">
        <v>9690</v>
      </c>
      <c r="K710" s="705">
        <v>86</v>
      </c>
      <c r="L710" s="705">
        <v>3206</v>
      </c>
      <c r="M710" s="705">
        <v>2914</v>
      </c>
      <c r="N710" s="705">
        <v>2535</v>
      </c>
      <c r="O710">
        <v>939</v>
      </c>
      <c r="P710">
        <v>621</v>
      </c>
      <c r="Q710">
        <v>230</v>
      </c>
      <c r="R710" s="705">
        <v>4049</v>
      </c>
      <c r="S710" s="705">
        <v>3681</v>
      </c>
      <c r="T710" s="705">
        <v>2889</v>
      </c>
      <c r="U710" s="705">
        <v>1070</v>
      </c>
      <c r="V710" s="705">
        <v>18525</v>
      </c>
      <c r="W710" s="705">
        <f t="shared" si="36"/>
        <v>18524</v>
      </c>
      <c r="X710" s="705">
        <f t="shared" si="37"/>
        <v>23959</v>
      </c>
      <c r="Y710" s="705"/>
    </row>
    <row r="711" spans="2:25">
      <c r="B711" t="s">
        <v>686</v>
      </c>
      <c r="C711" t="s">
        <v>116</v>
      </c>
      <c r="D711" t="s">
        <v>584</v>
      </c>
      <c r="E711" t="s">
        <v>228</v>
      </c>
      <c r="F711">
        <v>8</v>
      </c>
      <c r="G711" s="705">
        <v>308</v>
      </c>
      <c r="H711" s="705">
        <v>1383</v>
      </c>
      <c r="I711" s="705">
        <v>9086</v>
      </c>
      <c r="J711" s="706">
        <v>8260</v>
      </c>
      <c r="K711" s="705">
        <v>91</v>
      </c>
      <c r="L711">
        <v>0</v>
      </c>
      <c r="M711">
        <v>0</v>
      </c>
      <c r="N711" s="705">
        <v>3754</v>
      </c>
      <c r="O711" s="705">
        <v>1390</v>
      </c>
      <c r="P711" s="705">
        <v>3780</v>
      </c>
      <c r="Q711" s="705">
        <v>1400</v>
      </c>
      <c r="R711" s="705">
        <v>36062</v>
      </c>
      <c r="S711" s="705">
        <v>13356</v>
      </c>
      <c r="T711">
        <v>0</v>
      </c>
      <c r="U711">
        <v>0</v>
      </c>
      <c r="V711" s="705">
        <v>24407</v>
      </c>
      <c r="W711" s="705">
        <f t="shared" ref="W711:W774" si="38">SUM(ABS(J711),ABS(M711),ABS(O711),ABS(Q711),ABS(S711),ABS(U711))</f>
        <v>24406</v>
      </c>
      <c r="X711" s="705">
        <f t="shared" ref="X711:X774" si="39">SUM(ABS(I711),ABS(N711),ABS(P711),ABS(R711),ABS(T711),ABS(L711))</f>
        <v>52682</v>
      </c>
      <c r="Y711" s="705"/>
    </row>
    <row r="712" spans="2:25">
      <c r="B712" t="s">
        <v>686</v>
      </c>
      <c r="C712" t="s">
        <v>116</v>
      </c>
      <c r="D712" t="s">
        <v>584</v>
      </c>
      <c r="E712" t="s">
        <v>584</v>
      </c>
      <c r="F712">
        <v>929</v>
      </c>
      <c r="G712" s="705">
        <v>57106</v>
      </c>
      <c r="H712" s="705">
        <v>166452</v>
      </c>
      <c r="I712" s="705">
        <v>5097324</v>
      </c>
      <c r="J712" s="706">
        <v>4633931</v>
      </c>
      <c r="K712" s="705">
        <v>83</v>
      </c>
      <c r="L712" s="705">
        <v>219840</v>
      </c>
      <c r="M712" s="705">
        <v>172732</v>
      </c>
      <c r="N712" s="705">
        <v>1200601</v>
      </c>
      <c r="O712" s="705">
        <v>444667</v>
      </c>
      <c r="P712" s="705">
        <v>481148</v>
      </c>
      <c r="Q712" s="705">
        <v>178203</v>
      </c>
      <c r="R712" s="705">
        <v>3044486</v>
      </c>
      <c r="S712" s="705">
        <v>2767714</v>
      </c>
      <c r="T712" s="705">
        <v>117133</v>
      </c>
      <c r="U712" s="705">
        <v>43382</v>
      </c>
      <c r="V712" s="705">
        <v>8240629</v>
      </c>
      <c r="W712" s="705">
        <f t="shared" si="38"/>
        <v>8240629</v>
      </c>
      <c r="X712" s="705">
        <f t="shared" si="39"/>
        <v>10160532</v>
      </c>
      <c r="Y712" s="705"/>
    </row>
    <row r="713" spans="2:25">
      <c r="B713" t="s">
        <v>686</v>
      </c>
      <c r="C713" t="s">
        <v>118</v>
      </c>
      <c r="F713">
        <v>24</v>
      </c>
      <c r="G713">
        <v>995</v>
      </c>
      <c r="H713" s="705">
        <v>6148</v>
      </c>
      <c r="J713" s="706">
        <v>0</v>
      </c>
      <c r="K713" s="705"/>
      <c r="M713">
        <v>0</v>
      </c>
      <c r="N713" s="705">
        <v>20757</v>
      </c>
      <c r="O713" s="705">
        <v>7688</v>
      </c>
      <c r="P713" s="705">
        <v>5180</v>
      </c>
      <c r="Q713" s="705">
        <v>1918</v>
      </c>
      <c r="S713">
        <v>0</v>
      </c>
      <c r="T713" s="705">
        <v>11909</v>
      </c>
      <c r="U713" s="705">
        <v>4411</v>
      </c>
      <c r="V713" s="705">
        <v>14017</v>
      </c>
      <c r="W713" s="705">
        <f t="shared" si="38"/>
        <v>14017</v>
      </c>
      <c r="X713" s="705">
        <f t="shared" si="39"/>
        <v>37846</v>
      </c>
      <c r="Y713" s="705"/>
    </row>
    <row r="714" spans="2:25">
      <c r="B714" t="s">
        <v>686</v>
      </c>
      <c r="C714" t="s">
        <v>118</v>
      </c>
      <c r="D714" t="s">
        <v>228</v>
      </c>
      <c r="E714" t="s">
        <v>228</v>
      </c>
      <c r="F714" s="705">
        <v>1654</v>
      </c>
      <c r="G714" s="705">
        <v>92578</v>
      </c>
      <c r="H714" s="705">
        <v>434605</v>
      </c>
      <c r="I714" s="705">
        <v>11699127</v>
      </c>
      <c r="J714" s="706">
        <v>4333010</v>
      </c>
      <c r="K714" s="705">
        <v>100</v>
      </c>
      <c r="L714" s="705">
        <v>1312076</v>
      </c>
      <c r="M714" s="705">
        <v>555447</v>
      </c>
      <c r="N714" s="705">
        <v>1877559</v>
      </c>
      <c r="O714" s="705">
        <v>695392</v>
      </c>
      <c r="P714" s="705">
        <v>27565</v>
      </c>
      <c r="Q714" s="705">
        <v>10209</v>
      </c>
      <c r="R714" s="705">
        <v>9423740</v>
      </c>
      <c r="S714" s="705">
        <v>3490274</v>
      </c>
      <c r="T714" s="705">
        <v>3353</v>
      </c>
      <c r="U714" s="705">
        <v>1242</v>
      </c>
      <c r="V714" s="705">
        <v>9085574</v>
      </c>
      <c r="W714" s="705">
        <f t="shared" si="38"/>
        <v>9085574</v>
      </c>
      <c r="X714" s="705">
        <f t="shared" si="39"/>
        <v>24343420</v>
      </c>
      <c r="Y714" s="705"/>
    </row>
    <row r="715" spans="2:25">
      <c r="B715" t="s">
        <v>686</v>
      </c>
      <c r="C715" t="s">
        <v>118</v>
      </c>
      <c r="D715" t="s">
        <v>584</v>
      </c>
      <c r="E715" t="s">
        <v>228</v>
      </c>
      <c r="F715" s="705">
        <v>3</v>
      </c>
      <c r="G715" s="705">
        <v>102</v>
      </c>
      <c r="H715" s="705">
        <v>811</v>
      </c>
      <c r="I715" s="705">
        <v>13152</v>
      </c>
      <c r="J715" s="706">
        <v>11957</v>
      </c>
      <c r="K715" s="705">
        <v>82</v>
      </c>
      <c r="L715" s="705">
        <v>1056</v>
      </c>
      <c r="M715">
        <v>960</v>
      </c>
      <c r="N715" s="705">
        <v>2062</v>
      </c>
      <c r="O715">
        <v>764</v>
      </c>
      <c r="P715" s="705">
        <v>1418</v>
      </c>
      <c r="Q715">
        <v>525</v>
      </c>
      <c r="R715" s="705">
        <v>9925</v>
      </c>
      <c r="S715" s="705">
        <v>3676</v>
      </c>
      <c r="T715">
        <v>0</v>
      </c>
      <c r="U715">
        <v>0</v>
      </c>
      <c r="V715" s="705">
        <v>17881</v>
      </c>
      <c r="W715" s="705">
        <f t="shared" si="38"/>
        <v>17882</v>
      </c>
      <c r="X715" s="705">
        <f t="shared" si="39"/>
        <v>27613</v>
      </c>
      <c r="Y715" s="705"/>
    </row>
    <row r="716" spans="2:25">
      <c r="B716" t="s">
        <v>686</v>
      </c>
      <c r="C716" t="s">
        <v>118</v>
      </c>
      <c r="D716" t="s">
        <v>584</v>
      </c>
      <c r="E716" t="s">
        <v>584</v>
      </c>
      <c r="F716">
        <v>287</v>
      </c>
      <c r="G716" s="705">
        <v>14468</v>
      </c>
      <c r="H716" s="705">
        <v>73643</v>
      </c>
      <c r="I716" s="705">
        <v>1899010</v>
      </c>
      <c r="J716" s="706">
        <v>1726373</v>
      </c>
      <c r="K716" s="705">
        <v>80</v>
      </c>
      <c r="L716" s="705">
        <v>185825</v>
      </c>
      <c r="M716" s="705">
        <v>150292</v>
      </c>
      <c r="N716" s="705">
        <v>293212</v>
      </c>
      <c r="O716" s="705">
        <v>108597</v>
      </c>
      <c r="P716" s="705">
        <v>138382</v>
      </c>
      <c r="Q716" s="705">
        <v>51253</v>
      </c>
      <c r="R716" s="705">
        <v>1048533</v>
      </c>
      <c r="S716" s="705">
        <v>953211</v>
      </c>
      <c r="T716" s="705">
        <v>144266</v>
      </c>
      <c r="U716" s="705">
        <v>53432</v>
      </c>
      <c r="V716" s="705">
        <v>3043157</v>
      </c>
      <c r="W716" s="705">
        <f t="shared" si="38"/>
        <v>3043158</v>
      </c>
      <c r="X716" s="705">
        <f t="shared" si="39"/>
        <v>3709228</v>
      </c>
      <c r="Y716" s="705"/>
    </row>
    <row r="717" spans="2:25">
      <c r="B717" t="s">
        <v>686</v>
      </c>
      <c r="C717" t="s">
        <v>120</v>
      </c>
      <c r="F717">
        <v>3</v>
      </c>
      <c r="G717">
        <v>244</v>
      </c>
      <c r="H717" s="705">
        <v>986</v>
      </c>
      <c r="J717" s="706">
        <v>0</v>
      </c>
      <c r="K717" s="705"/>
      <c r="M717">
        <v>0</v>
      </c>
      <c r="N717" s="705">
        <v>4836</v>
      </c>
      <c r="O717" s="705">
        <v>1791</v>
      </c>
      <c r="P717" s="705">
        <v>2081</v>
      </c>
      <c r="Q717">
        <v>771</v>
      </c>
      <c r="S717">
        <v>0</v>
      </c>
      <c r="T717" s="705">
        <v>1072</v>
      </c>
      <c r="U717">
        <v>397</v>
      </c>
      <c r="V717" s="705">
        <v>2959</v>
      </c>
      <c r="W717" s="705">
        <f t="shared" si="38"/>
        <v>2959</v>
      </c>
      <c r="X717" s="705">
        <f t="shared" si="39"/>
        <v>7989</v>
      </c>
      <c r="Y717" s="705"/>
    </row>
    <row r="718" spans="2:25">
      <c r="B718" t="s">
        <v>686</v>
      </c>
      <c r="C718" t="s">
        <v>120</v>
      </c>
      <c r="D718" t="s">
        <v>228</v>
      </c>
      <c r="E718" t="s">
        <v>228</v>
      </c>
      <c r="F718">
        <v>861</v>
      </c>
      <c r="G718" s="705">
        <v>44523</v>
      </c>
      <c r="H718" s="705">
        <v>290027</v>
      </c>
      <c r="I718" s="705">
        <v>8345652</v>
      </c>
      <c r="J718" s="706">
        <v>3090982</v>
      </c>
      <c r="K718" s="705">
        <v>100</v>
      </c>
      <c r="L718" s="705">
        <v>906808</v>
      </c>
      <c r="M718" s="705">
        <v>381453</v>
      </c>
      <c r="N718" s="705">
        <v>900211</v>
      </c>
      <c r="O718" s="705">
        <v>333412</v>
      </c>
      <c r="P718" s="705">
        <v>18515</v>
      </c>
      <c r="Q718" s="705">
        <v>6858</v>
      </c>
      <c r="R718" s="705">
        <v>4822690</v>
      </c>
      <c r="S718" s="705">
        <v>1786182</v>
      </c>
      <c r="T718">
        <v>0</v>
      </c>
      <c r="U718">
        <v>0</v>
      </c>
      <c r="V718" s="705">
        <v>5598886</v>
      </c>
      <c r="W718" s="705">
        <f t="shared" si="38"/>
        <v>5598887</v>
      </c>
      <c r="X718" s="705">
        <f t="shared" si="39"/>
        <v>14993876</v>
      </c>
      <c r="Y718" s="705"/>
    </row>
    <row r="719" spans="2:25">
      <c r="B719" t="s">
        <v>686</v>
      </c>
      <c r="C719" t="s">
        <v>120</v>
      </c>
      <c r="D719" t="s">
        <v>228</v>
      </c>
      <c r="E719" t="s">
        <v>584</v>
      </c>
      <c r="F719" s="705">
        <v>1</v>
      </c>
      <c r="G719" s="705">
        <v>50</v>
      </c>
      <c r="H719" s="705">
        <v>379</v>
      </c>
      <c r="I719" s="705">
        <v>15817</v>
      </c>
      <c r="J719" s="706">
        <v>5858</v>
      </c>
      <c r="K719" s="705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705">
        <v>2156</v>
      </c>
      <c r="S719" s="705">
        <v>1960</v>
      </c>
      <c r="T719">
        <v>0</v>
      </c>
      <c r="U719">
        <v>0</v>
      </c>
      <c r="V719" s="705">
        <v>8174</v>
      </c>
      <c r="W719" s="705">
        <f t="shared" si="38"/>
        <v>8174</v>
      </c>
      <c r="X719" s="705">
        <f t="shared" si="39"/>
        <v>18933</v>
      </c>
      <c r="Y719" s="705"/>
    </row>
    <row r="720" spans="2:25">
      <c r="B720" t="s">
        <v>686</v>
      </c>
      <c r="C720" t="s">
        <v>120</v>
      </c>
      <c r="D720" t="s">
        <v>584</v>
      </c>
      <c r="E720" t="s">
        <v>228</v>
      </c>
      <c r="F720" s="705">
        <v>7</v>
      </c>
      <c r="G720" s="705">
        <v>307</v>
      </c>
      <c r="H720" s="705">
        <v>2412</v>
      </c>
      <c r="I720" s="705">
        <v>61250</v>
      </c>
      <c r="J720" s="706">
        <v>55682</v>
      </c>
      <c r="K720" s="705">
        <v>77</v>
      </c>
      <c r="L720" s="705">
        <v>5570</v>
      </c>
      <c r="M720" s="705">
        <v>4945</v>
      </c>
      <c r="N720" s="705">
        <v>6857</v>
      </c>
      <c r="O720" s="705">
        <v>2539</v>
      </c>
      <c r="P720" s="705">
        <v>3308</v>
      </c>
      <c r="Q720" s="705">
        <v>1225</v>
      </c>
      <c r="R720" s="705">
        <v>29035</v>
      </c>
      <c r="S720" s="705">
        <v>10754</v>
      </c>
      <c r="T720">
        <v>0</v>
      </c>
      <c r="U720">
        <v>0</v>
      </c>
      <c r="V720" s="705">
        <v>75146</v>
      </c>
      <c r="W720" s="705">
        <f t="shared" si="38"/>
        <v>75145</v>
      </c>
      <c r="X720" s="705">
        <f t="shared" si="39"/>
        <v>106020</v>
      </c>
      <c r="Y720" s="705"/>
    </row>
    <row r="721" spans="2:25">
      <c r="B721" t="s">
        <v>686</v>
      </c>
      <c r="C721" t="s">
        <v>120</v>
      </c>
      <c r="D721" t="s">
        <v>584</v>
      </c>
      <c r="E721" t="s">
        <v>584</v>
      </c>
      <c r="F721">
        <v>106</v>
      </c>
      <c r="G721" s="705">
        <v>5125</v>
      </c>
      <c r="H721" s="705">
        <v>35962</v>
      </c>
      <c r="I721" s="705">
        <v>1029561</v>
      </c>
      <c r="J721" s="706">
        <v>935965</v>
      </c>
      <c r="K721" s="705">
        <v>80</v>
      </c>
      <c r="L721" s="705">
        <v>92822</v>
      </c>
      <c r="M721" s="705">
        <v>81857</v>
      </c>
      <c r="N721" s="705">
        <v>106898</v>
      </c>
      <c r="O721" s="705">
        <v>39592</v>
      </c>
      <c r="P721" s="705">
        <v>49893</v>
      </c>
      <c r="Q721" s="705">
        <v>18479</v>
      </c>
      <c r="R721" s="705">
        <v>382597</v>
      </c>
      <c r="S721" s="705">
        <v>347815</v>
      </c>
      <c r="T721" s="705">
        <v>75545</v>
      </c>
      <c r="U721" s="705">
        <v>27980</v>
      </c>
      <c r="V721" s="705">
        <v>1451688</v>
      </c>
      <c r="W721" s="705">
        <f t="shared" si="38"/>
        <v>1451688</v>
      </c>
      <c r="X721" s="705">
        <f t="shared" si="39"/>
        <v>1737316</v>
      </c>
      <c r="Y721" s="705"/>
    </row>
    <row r="722" spans="2:25">
      <c r="B722" t="s">
        <v>686</v>
      </c>
      <c r="C722" t="s">
        <v>120</v>
      </c>
      <c r="D722" t="s">
        <v>669</v>
      </c>
      <c r="E722" t="s">
        <v>228</v>
      </c>
      <c r="F722">
        <v>1</v>
      </c>
      <c r="G722" s="705">
        <v>35</v>
      </c>
      <c r="H722" s="705">
        <v>338</v>
      </c>
      <c r="I722" s="705">
        <v>6181</v>
      </c>
      <c r="J722" s="706">
        <v>5151</v>
      </c>
      <c r="K722" s="705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705">
        <v>5040</v>
      </c>
      <c r="S722" s="705">
        <v>1867</v>
      </c>
      <c r="T722">
        <v>0</v>
      </c>
      <c r="U722">
        <v>0</v>
      </c>
      <c r="V722" s="705">
        <v>7282</v>
      </c>
      <c r="W722" s="705">
        <f t="shared" si="38"/>
        <v>7282</v>
      </c>
      <c r="X722" s="705">
        <f t="shared" si="39"/>
        <v>11935</v>
      </c>
      <c r="Y722" s="705"/>
    </row>
    <row r="723" spans="2:25">
      <c r="B723" t="s">
        <v>686</v>
      </c>
      <c r="C723" t="s">
        <v>120</v>
      </c>
      <c r="D723" t="s">
        <v>673</v>
      </c>
      <c r="E723" t="s">
        <v>228</v>
      </c>
      <c r="F723">
        <v>1</v>
      </c>
      <c r="G723" s="705">
        <v>36</v>
      </c>
      <c r="H723">
        <v>347</v>
      </c>
      <c r="I723" s="705">
        <v>5975</v>
      </c>
      <c r="J723" s="706">
        <v>5432</v>
      </c>
      <c r="K723" s="705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705">
        <v>5071</v>
      </c>
      <c r="S723" s="705">
        <v>1878</v>
      </c>
      <c r="T723">
        <v>0</v>
      </c>
      <c r="U723">
        <v>0</v>
      </c>
      <c r="V723" s="705">
        <v>7847</v>
      </c>
      <c r="W723" s="705">
        <f t="shared" si="38"/>
        <v>7847</v>
      </c>
      <c r="X723" s="705">
        <f t="shared" si="39"/>
        <v>12498</v>
      </c>
      <c r="Y723" s="705"/>
    </row>
    <row r="724" spans="2:25">
      <c r="B724" t="s">
        <v>686</v>
      </c>
      <c r="C724" t="s">
        <v>122</v>
      </c>
      <c r="F724">
        <v>4</v>
      </c>
      <c r="G724">
        <v>231</v>
      </c>
      <c r="H724" s="705">
        <v>1691</v>
      </c>
      <c r="J724" s="706">
        <v>0</v>
      </c>
      <c r="K724" s="705"/>
      <c r="M724">
        <v>0</v>
      </c>
      <c r="N724" s="705">
        <v>4261</v>
      </c>
      <c r="O724" s="705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705">
        <v>1928</v>
      </c>
      <c r="W724" s="705">
        <f t="shared" si="38"/>
        <v>1928</v>
      </c>
      <c r="X724" s="705">
        <f t="shared" si="39"/>
        <v>5206</v>
      </c>
      <c r="Y724" s="705"/>
    </row>
    <row r="725" spans="2:25">
      <c r="B725" t="s">
        <v>686</v>
      </c>
      <c r="C725" t="s">
        <v>122</v>
      </c>
      <c r="D725" t="s">
        <v>228</v>
      </c>
      <c r="E725" t="s">
        <v>228</v>
      </c>
      <c r="F725">
        <v>278</v>
      </c>
      <c r="G725" s="705">
        <v>12947</v>
      </c>
      <c r="H725" s="705">
        <v>114128</v>
      </c>
      <c r="I725" s="705">
        <v>3220245</v>
      </c>
      <c r="J725" s="706">
        <v>1192684</v>
      </c>
      <c r="K725" s="705">
        <v>100</v>
      </c>
      <c r="L725" s="705">
        <v>295733</v>
      </c>
      <c r="M725" s="705">
        <v>123957</v>
      </c>
      <c r="N725" s="705">
        <v>263962</v>
      </c>
      <c r="O725" s="705">
        <v>97764</v>
      </c>
      <c r="P725" s="705">
        <v>6295</v>
      </c>
      <c r="Q725" s="705">
        <v>2331</v>
      </c>
      <c r="R725" s="705">
        <v>1523473</v>
      </c>
      <c r="S725" s="705">
        <v>564249</v>
      </c>
      <c r="T725">
        <v>0</v>
      </c>
      <c r="U725">
        <v>0</v>
      </c>
      <c r="V725" s="705">
        <v>1980985</v>
      </c>
      <c r="W725" s="705">
        <f t="shared" si="38"/>
        <v>1980985</v>
      </c>
      <c r="X725" s="705">
        <f t="shared" si="39"/>
        <v>5309708</v>
      </c>
      <c r="Y725" s="705"/>
    </row>
    <row r="726" spans="2:25">
      <c r="B726" t="s">
        <v>686</v>
      </c>
      <c r="C726" t="s">
        <v>122</v>
      </c>
      <c r="D726" t="s">
        <v>583</v>
      </c>
      <c r="E726" t="s">
        <v>228</v>
      </c>
      <c r="F726" s="705">
        <v>1</v>
      </c>
      <c r="G726" s="705">
        <v>42</v>
      </c>
      <c r="H726" s="705">
        <v>403</v>
      </c>
      <c r="I726" s="705">
        <v>11370</v>
      </c>
      <c r="J726" s="706">
        <v>10337</v>
      </c>
      <c r="K726" s="705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705">
        <v>3923</v>
      </c>
      <c r="S726" s="705">
        <v>1453</v>
      </c>
      <c r="T726">
        <v>0</v>
      </c>
      <c r="U726">
        <v>0</v>
      </c>
      <c r="V726" s="705">
        <v>12373</v>
      </c>
      <c r="W726" s="705">
        <f t="shared" si="38"/>
        <v>12373</v>
      </c>
      <c r="X726" s="705">
        <f t="shared" si="39"/>
        <v>16868</v>
      </c>
      <c r="Y726" s="705"/>
    </row>
    <row r="727" spans="2:25">
      <c r="B727" t="s">
        <v>686</v>
      </c>
      <c r="C727" t="s">
        <v>122</v>
      </c>
      <c r="D727" t="s">
        <v>583</v>
      </c>
      <c r="E727" t="s">
        <v>583</v>
      </c>
      <c r="F727">
        <v>2</v>
      </c>
      <c r="G727" s="705">
        <v>64</v>
      </c>
      <c r="H727" s="705">
        <v>823</v>
      </c>
      <c r="I727" s="705">
        <v>16250</v>
      </c>
      <c r="J727" s="706">
        <v>14773</v>
      </c>
      <c r="K727" s="705">
        <v>77</v>
      </c>
      <c r="L727">
        <v>0</v>
      </c>
      <c r="M727">
        <v>0</v>
      </c>
      <c r="N727" s="705">
        <v>1555</v>
      </c>
      <c r="O727">
        <v>576</v>
      </c>
      <c r="P727" s="705">
        <v>1242</v>
      </c>
      <c r="Q727">
        <v>460</v>
      </c>
      <c r="R727" s="705">
        <v>6152</v>
      </c>
      <c r="S727" s="705">
        <v>5593</v>
      </c>
      <c r="T727" s="705">
        <v>1022</v>
      </c>
      <c r="U727">
        <v>379</v>
      </c>
      <c r="V727" s="705">
        <v>21780</v>
      </c>
      <c r="W727" s="705">
        <f t="shared" si="38"/>
        <v>21781</v>
      </c>
      <c r="X727" s="705">
        <f t="shared" si="39"/>
        <v>26221</v>
      </c>
      <c r="Y727" s="705"/>
    </row>
    <row r="728" spans="2:25">
      <c r="B728" t="s">
        <v>686</v>
      </c>
      <c r="C728" t="s">
        <v>122</v>
      </c>
      <c r="D728" t="s">
        <v>584</v>
      </c>
      <c r="E728" t="s">
        <v>228</v>
      </c>
      <c r="F728">
        <v>3</v>
      </c>
      <c r="G728">
        <v>103</v>
      </c>
      <c r="H728" s="705">
        <v>1261</v>
      </c>
      <c r="I728" s="705">
        <v>23350</v>
      </c>
      <c r="J728" s="706">
        <v>21227</v>
      </c>
      <c r="K728" s="705">
        <v>71</v>
      </c>
      <c r="L728" s="705">
        <v>5039</v>
      </c>
      <c r="M728" s="705">
        <v>4405</v>
      </c>
      <c r="N728" s="705">
        <v>1855</v>
      </c>
      <c r="O728">
        <v>687</v>
      </c>
      <c r="P728">
        <v>945</v>
      </c>
      <c r="Q728">
        <v>350</v>
      </c>
      <c r="R728" s="705">
        <v>12307</v>
      </c>
      <c r="S728" s="705">
        <v>4558</v>
      </c>
      <c r="T728">
        <v>0</v>
      </c>
      <c r="U728">
        <v>0</v>
      </c>
      <c r="V728" s="705">
        <v>31227</v>
      </c>
      <c r="W728" s="705">
        <f t="shared" si="38"/>
        <v>31227</v>
      </c>
      <c r="X728" s="705">
        <f t="shared" si="39"/>
        <v>43496</v>
      </c>
      <c r="Y728" s="705"/>
    </row>
    <row r="729" spans="2:25">
      <c r="B729" t="s">
        <v>686</v>
      </c>
      <c r="C729" t="s">
        <v>122</v>
      </c>
      <c r="D729" t="s">
        <v>584</v>
      </c>
      <c r="E729" t="s">
        <v>584</v>
      </c>
      <c r="F729">
        <v>50</v>
      </c>
      <c r="G729" s="705">
        <v>2630</v>
      </c>
      <c r="H729" s="705">
        <v>20651</v>
      </c>
      <c r="I729" s="705">
        <v>658143</v>
      </c>
      <c r="J729" s="706">
        <v>598312</v>
      </c>
      <c r="K729" s="705">
        <v>77</v>
      </c>
      <c r="L729" s="705">
        <v>88364</v>
      </c>
      <c r="M729" s="705">
        <v>74442</v>
      </c>
      <c r="N729" s="705">
        <v>53473</v>
      </c>
      <c r="O729" s="705">
        <v>19805</v>
      </c>
      <c r="P729" s="705">
        <v>23327</v>
      </c>
      <c r="Q729" s="705">
        <v>8639</v>
      </c>
      <c r="R729" s="705">
        <v>202401</v>
      </c>
      <c r="S729" s="705">
        <v>184001</v>
      </c>
      <c r="T729" s="705">
        <v>59148</v>
      </c>
      <c r="U729" s="705">
        <v>21907</v>
      </c>
      <c r="V729" s="705">
        <v>907105</v>
      </c>
      <c r="W729" s="705">
        <f t="shared" si="38"/>
        <v>907106</v>
      </c>
      <c r="X729" s="705">
        <f t="shared" si="39"/>
        <v>1084856</v>
      </c>
      <c r="Y729" s="705"/>
    </row>
    <row r="730" spans="2:25">
      <c r="B730" t="s">
        <v>686</v>
      </c>
      <c r="C730" t="s">
        <v>122</v>
      </c>
      <c r="D730" t="s">
        <v>669</v>
      </c>
      <c r="E730" t="s">
        <v>228</v>
      </c>
      <c r="F730" s="705">
        <v>1</v>
      </c>
      <c r="G730" s="705">
        <v>32</v>
      </c>
      <c r="H730" s="705">
        <v>419</v>
      </c>
      <c r="I730" s="705">
        <v>7160</v>
      </c>
      <c r="J730" s="706">
        <v>5967</v>
      </c>
      <c r="K730" s="705">
        <v>60</v>
      </c>
      <c r="L730" s="705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705">
        <v>4462</v>
      </c>
      <c r="S730" s="705">
        <v>1652</v>
      </c>
      <c r="T730">
        <v>0</v>
      </c>
      <c r="U730">
        <v>0</v>
      </c>
      <c r="V730" s="705">
        <v>8207</v>
      </c>
      <c r="W730" s="705">
        <f t="shared" si="38"/>
        <v>8207</v>
      </c>
      <c r="X730" s="705">
        <f t="shared" si="39"/>
        <v>13210</v>
      </c>
      <c r="Y730" s="705"/>
    </row>
    <row r="731" spans="2:25">
      <c r="B731" t="s">
        <v>686</v>
      </c>
      <c r="C731" t="s">
        <v>124</v>
      </c>
      <c r="F731" s="705">
        <v>4</v>
      </c>
      <c r="G731" s="705">
        <v>219</v>
      </c>
      <c r="H731" s="705">
        <v>2422</v>
      </c>
      <c r="J731" s="429">
        <v>0</v>
      </c>
      <c r="K731" s="705"/>
      <c r="M731">
        <v>0</v>
      </c>
      <c r="N731" s="705">
        <v>4243</v>
      </c>
      <c r="O731" s="705">
        <v>1571</v>
      </c>
      <c r="P731" s="705">
        <v>1296</v>
      </c>
      <c r="Q731">
        <v>480</v>
      </c>
      <c r="S731">
        <v>0</v>
      </c>
      <c r="T731">
        <v>0</v>
      </c>
      <c r="U731">
        <v>0</v>
      </c>
      <c r="V731" s="705">
        <v>2051</v>
      </c>
      <c r="W731" s="705">
        <f t="shared" si="38"/>
        <v>2051</v>
      </c>
      <c r="X731" s="705">
        <f t="shared" si="39"/>
        <v>5539</v>
      </c>
      <c r="Y731" s="705"/>
    </row>
    <row r="732" spans="2:25">
      <c r="B732" t="s">
        <v>686</v>
      </c>
      <c r="C732" t="s">
        <v>124</v>
      </c>
      <c r="D732" t="s">
        <v>228</v>
      </c>
      <c r="E732" t="s">
        <v>228</v>
      </c>
      <c r="F732">
        <v>229</v>
      </c>
      <c r="G732" s="705">
        <v>10250</v>
      </c>
      <c r="H732" s="705">
        <v>137561</v>
      </c>
      <c r="I732" s="705">
        <v>4325642</v>
      </c>
      <c r="J732" s="706">
        <v>1602090</v>
      </c>
      <c r="K732">
        <v>100</v>
      </c>
      <c r="L732" s="705">
        <v>388534</v>
      </c>
      <c r="M732" s="705">
        <v>221124</v>
      </c>
      <c r="N732" s="705">
        <v>206009</v>
      </c>
      <c r="O732" s="705">
        <v>76300</v>
      </c>
      <c r="P732" s="705">
        <v>1970</v>
      </c>
      <c r="Q732">
        <v>730</v>
      </c>
      <c r="R732" s="705">
        <v>1136971</v>
      </c>
      <c r="S732" s="705">
        <v>421100</v>
      </c>
      <c r="T732" s="705">
        <v>2010</v>
      </c>
      <c r="U732">
        <v>744</v>
      </c>
      <c r="V732" s="705">
        <v>2322087</v>
      </c>
      <c r="W732" s="705">
        <f t="shared" si="38"/>
        <v>2322088</v>
      </c>
      <c r="X732" s="705">
        <f t="shared" si="39"/>
        <v>6061136</v>
      </c>
      <c r="Y732" s="705"/>
    </row>
    <row r="733" spans="2:25">
      <c r="B733" t="s">
        <v>686</v>
      </c>
      <c r="C733" t="s">
        <v>124</v>
      </c>
      <c r="D733" t="s">
        <v>583</v>
      </c>
      <c r="E733" t="s">
        <v>583</v>
      </c>
      <c r="F733" s="705">
        <v>3</v>
      </c>
      <c r="G733">
        <v>141</v>
      </c>
      <c r="H733" s="705">
        <v>1601</v>
      </c>
      <c r="I733" s="705">
        <v>66215</v>
      </c>
      <c r="J733" s="706">
        <v>60195</v>
      </c>
      <c r="K733" s="705">
        <v>75</v>
      </c>
      <c r="L733">
        <v>0</v>
      </c>
      <c r="M733">
        <v>0</v>
      </c>
      <c r="N733" s="705">
        <v>2874</v>
      </c>
      <c r="O733" s="705">
        <v>1064</v>
      </c>
      <c r="P733" s="705">
        <v>1863</v>
      </c>
      <c r="Q733">
        <v>690</v>
      </c>
      <c r="R733" s="705">
        <v>11181</v>
      </c>
      <c r="S733" s="705">
        <v>10164</v>
      </c>
      <c r="T733" s="705">
        <v>1694</v>
      </c>
      <c r="U733">
        <v>628</v>
      </c>
      <c r="V733" s="705">
        <v>72741</v>
      </c>
      <c r="W733" s="705">
        <f t="shared" si="38"/>
        <v>72741</v>
      </c>
      <c r="X733" s="705">
        <f t="shared" si="39"/>
        <v>83827</v>
      </c>
      <c r="Y733" s="705"/>
    </row>
    <row r="734" spans="2:25">
      <c r="B734" t="s">
        <v>686</v>
      </c>
      <c r="C734" t="s">
        <v>124</v>
      </c>
      <c r="D734" t="s">
        <v>584</v>
      </c>
      <c r="E734" t="s">
        <v>228</v>
      </c>
      <c r="F734" s="705">
        <v>8</v>
      </c>
      <c r="G734" s="705">
        <v>336</v>
      </c>
      <c r="H734" s="705">
        <v>3953</v>
      </c>
      <c r="I734" s="705">
        <v>100205</v>
      </c>
      <c r="J734" s="706">
        <v>91095</v>
      </c>
      <c r="K734" s="705">
        <v>76</v>
      </c>
      <c r="L734" s="705">
        <v>7958</v>
      </c>
      <c r="M734" s="705">
        <v>6926</v>
      </c>
      <c r="N734" s="705">
        <v>7118</v>
      </c>
      <c r="O734" s="705">
        <v>2636</v>
      </c>
      <c r="P734" s="705">
        <v>3780</v>
      </c>
      <c r="Q734" s="705">
        <v>1400</v>
      </c>
      <c r="R734" s="705">
        <v>45915</v>
      </c>
      <c r="S734" s="705">
        <v>17006</v>
      </c>
      <c r="T734">
        <v>0</v>
      </c>
      <c r="U734">
        <v>0</v>
      </c>
      <c r="V734" s="705">
        <v>119063</v>
      </c>
      <c r="W734" s="705">
        <f t="shared" si="38"/>
        <v>119063</v>
      </c>
      <c r="X734" s="705">
        <f t="shared" si="39"/>
        <v>164976</v>
      </c>
      <c r="Y734" s="705"/>
    </row>
    <row r="735" spans="2:25">
      <c r="B735" t="s">
        <v>686</v>
      </c>
      <c r="C735" t="s">
        <v>124</v>
      </c>
      <c r="D735" t="s">
        <v>584</v>
      </c>
      <c r="E735" t="s">
        <v>583</v>
      </c>
      <c r="F735">
        <v>1</v>
      </c>
      <c r="G735">
        <v>53</v>
      </c>
      <c r="H735" s="705">
        <v>493</v>
      </c>
      <c r="I735" s="705">
        <v>15401</v>
      </c>
      <c r="J735" s="706">
        <v>14001</v>
      </c>
      <c r="K735" s="705">
        <v>90</v>
      </c>
      <c r="L735" s="705">
        <v>5333</v>
      </c>
      <c r="M735" s="705">
        <v>4444</v>
      </c>
      <c r="N735" s="705">
        <v>1023</v>
      </c>
      <c r="O735">
        <v>379</v>
      </c>
      <c r="P735">
        <v>473</v>
      </c>
      <c r="Q735">
        <v>175</v>
      </c>
      <c r="R735" s="705">
        <v>2340</v>
      </c>
      <c r="S735" s="705">
        <v>2127</v>
      </c>
      <c r="T735" s="705">
        <v>1337</v>
      </c>
      <c r="U735">
        <v>495</v>
      </c>
      <c r="V735" s="705">
        <v>21622</v>
      </c>
      <c r="W735" s="705">
        <f t="shared" si="38"/>
        <v>21621</v>
      </c>
      <c r="X735" s="705">
        <f t="shared" si="39"/>
        <v>25907</v>
      </c>
      <c r="Y735" s="705"/>
    </row>
    <row r="736" spans="2:25">
      <c r="B736" t="s">
        <v>686</v>
      </c>
      <c r="C736" t="s">
        <v>124</v>
      </c>
      <c r="D736" t="s">
        <v>584</v>
      </c>
      <c r="E736" t="s">
        <v>584</v>
      </c>
      <c r="F736" s="705">
        <v>44</v>
      </c>
      <c r="G736" s="705">
        <v>2152</v>
      </c>
      <c r="H736" s="705">
        <v>23362</v>
      </c>
      <c r="I736" s="705">
        <v>717476</v>
      </c>
      <c r="J736" s="706">
        <v>652251</v>
      </c>
      <c r="K736" s="705">
        <v>75</v>
      </c>
      <c r="L736" s="705">
        <v>102247</v>
      </c>
      <c r="M736" s="705">
        <v>89842</v>
      </c>
      <c r="N736" s="705">
        <v>48713</v>
      </c>
      <c r="O736" s="705">
        <v>18042</v>
      </c>
      <c r="P736" s="705">
        <v>20318</v>
      </c>
      <c r="Q736" s="705">
        <v>7525</v>
      </c>
      <c r="R736" s="705">
        <v>196481</v>
      </c>
      <c r="S736" s="705">
        <v>178619</v>
      </c>
      <c r="T736" s="705">
        <v>48263</v>
      </c>
      <c r="U736" s="705">
        <v>17875</v>
      </c>
      <c r="V736" s="705">
        <v>964154</v>
      </c>
      <c r="W736" s="705">
        <f t="shared" si="38"/>
        <v>964154</v>
      </c>
      <c r="X736" s="705">
        <f t="shared" si="39"/>
        <v>1133498</v>
      </c>
      <c r="Y736" s="705"/>
    </row>
    <row r="737" spans="2:25">
      <c r="B737" t="s">
        <v>686</v>
      </c>
      <c r="C737" t="s">
        <v>124</v>
      </c>
      <c r="D737" t="s">
        <v>669</v>
      </c>
      <c r="E737" t="s">
        <v>228</v>
      </c>
      <c r="F737">
        <v>4</v>
      </c>
      <c r="G737">
        <v>233</v>
      </c>
      <c r="H737" s="705">
        <v>3360</v>
      </c>
      <c r="I737" s="705">
        <v>169584</v>
      </c>
      <c r="J737" s="706">
        <v>141320</v>
      </c>
      <c r="K737" s="705">
        <v>30</v>
      </c>
      <c r="L737" s="705">
        <v>11316</v>
      </c>
      <c r="M737" s="705">
        <v>6855</v>
      </c>
      <c r="N737" s="705">
        <v>5164</v>
      </c>
      <c r="O737" s="705">
        <v>1913</v>
      </c>
      <c r="P737">
        <v>0</v>
      </c>
      <c r="Q737">
        <v>0</v>
      </c>
      <c r="R737" s="705">
        <v>16942</v>
      </c>
      <c r="S737" s="705">
        <v>6275</v>
      </c>
      <c r="T737">
        <v>0</v>
      </c>
      <c r="U737">
        <v>0</v>
      </c>
      <c r="V737" s="705">
        <v>156362</v>
      </c>
      <c r="W737" s="705">
        <f t="shared" si="38"/>
        <v>156363</v>
      </c>
      <c r="X737" s="705">
        <f t="shared" si="39"/>
        <v>203006</v>
      </c>
      <c r="Y737" s="705"/>
    </row>
    <row r="738" spans="2:25">
      <c r="B738" t="s">
        <v>687</v>
      </c>
      <c r="C738" t="s">
        <v>108</v>
      </c>
      <c r="F738" s="705">
        <v>251</v>
      </c>
      <c r="G738" s="705">
        <v>21569</v>
      </c>
      <c r="H738" s="705">
        <v>8231</v>
      </c>
      <c r="J738" s="706">
        <v>0</v>
      </c>
      <c r="K738" s="705"/>
      <c r="M738">
        <v>0</v>
      </c>
      <c r="N738" s="705">
        <v>262795</v>
      </c>
      <c r="O738" s="705">
        <v>97331</v>
      </c>
      <c r="P738" s="705">
        <v>205720</v>
      </c>
      <c r="Q738" s="705">
        <v>76193</v>
      </c>
      <c r="S738">
        <v>0</v>
      </c>
      <c r="T738">
        <v>0</v>
      </c>
      <c r="U738">
        <v>0</v>
      </c>
      <c r="V738" s="705">
        <v>173524</v>
      </c>
      <c r="W738" s="705">
        <f t="shared" si="38"/>
        <v>173524</v>
      </c>
      <c r="X738" s="705">
        <f t="shared" si="39"/>
        <v>468515</v>
      </c>
      <c r="Y738" s="705"/>
    </row>
    <row r="739" spans="2:25">
      <c r="B739" t="s">
        <v>687</v>
      </c>
      <c r="C739" t="s">
        <v>108</v>
      </c>
      <c r="D739" t="s">
        <v>228</v>
      </c>
      <c r="E739" t="s">
        <v>228</v>
      </c>
      <c r="F739" s="705">
        <v>6</v>
      </c>
      <c r="G739" s="705">
        <v>577</v>
      </c>
      <c r="H739" s="705">
        <v>343</v>
      </c>
      <c r="I739">
        <v>485</v>
      </c>
      <c r="J739" s="706">
        <v>180</v>
      </c>
      <c r="K739" s="705">
        <v>466</v>
      </c>
      <c r="L739">
        <v>0</v>
      </c>
      <c r="M739">
        <v>0</v>
      </c>
      <c r="N739" s="705">
        <v>7025</v>
      </c>
      <c r="O739" s="705">
        <v>2602</v>
      </c>
      <c r="P739" s="705">
        <v>2106</v>
      </c>
      <c r="Q739">
        <v>780</v>
      </c>
      <c r="R739" s="705">
        <v>23037</v>
      </c>
      <c r="S739" s="705">
        <v>8532</v>
      </c>
      <c r="T739">
        <v>0</v>
      </c>
      <c r="U739">
        <v>0</v>
      </c>
      <c r="V739" s="705">
        <v>12093</v>
      </c>
      <c r="W739" s="705">
        <f t="shared" si="38"/>
        <v>12094</v>
      </c>
      <c r="X739" s="705">
        <f t="shared" si="39"/>
        <v>32653</v>
      </c>
      <c r="Y739" s="705"/>
    </row>
    <row r="740" spans="2:25">
      <c r="B740" t="s">
        <v>687</v>
      </c>
      <c r="C740" t="s">
        <v>108</v>
      </c>
      <c r="D740" t="s">
        <v>584</v>
      </c>
      <c r="E740" t="s">
        <v>584</v>
      </c>
      <c r="F740" s="705">
        <v>89</v>
      </c>
      <c r="G740" s="705">
        <v>7392</v>
      </c>
      <c r="H740" s="705">
        <v>4606</v>
      </c>
      <c r="I740" s="705">
        <v>-68967</v>
      </c>
      <c r="J740" s="706">
        <v>-62697</v>
      </c>
      <c r="K740" s="705">
        <v>91</v>
      </c>
      <c r="L740">
        <v>0</v>
      </c>
      <c r="M740">
        <v>0</v>
      </c>
      <c r="N740" s="705">
        <v>93070</v>
      </c>
      <c r="O740" s="705">
        <v>34470</v>
      </c>
      <c r="P740" s="705">
        <v>66836</v>
      </c>
      <c r="Q740" s="705">
        <v>24754</v>
      </c>
      <c r="R740" s="705">
        <v>285520</v>
      </c>
      <c r="S740" s="705">
        <v>259564</v>
      </c>
      <c r="T740">
        <v>0</v>
      </c>
      <c r="U740">
        <v>0</v>
      </c>
      <c r="V740" s="705">
        <v>256091</v>
      </c>
      <c r="W740" s="705">
        <f t="shared" si="38"/>
        <v>381485</v>
      </c>
      <c r="X740" s="705">
        <f t="shared" si="39"/>
        <v>514393</v>
      </c>
      <c r="Y740" s="705"/>
    </row>
    <row r="741" spans="2:25">
      <c r="B741" t="s">
        <v>687</v>
      </c>
      <c r="C741" t="s">
        <v>110</v>
      </c>
      <c r="D741" t="s">
        <v>584</v>
      </c>
      <c r="E741" t="s">
        <v>584</v>
      </c>
      <c r="F741">
        <v>34</v>
      </c>
      <c r="G741" s="705">
        <v>2378</v>
      </c>
      <c r="H741" s="705">
        <v>3016</v>
      </c>
      <c r="I741" s="705">
        <v>61917</v>
      </c>
      <c r="J741" s="706">
        <v>56288</v>
      </c>
      <c r="K741" s="705">
        <v>88</v>
      </c>
      <c r="L741">
        <v>608</v>
      </c>
      <c r="M741">
        <v>225</v>
      </c>
      <c r="N741" s="705">
        <v>38628</v>
      </c>
      <c r="O741" s="705">
        <v>14307</v>
      </c>
      <c r="P741" s="705">
        <v>23518</v>
      </c>
      <c r="Q741" s="705">
        <v>8710</v>
      </c>
      <c r="R741" s="705">
        <v>87076</v>
      </c>
      <c r="S741" s="705">
        <v>79160</v>
      </c>
      <c r="T741">
        <v>0</v>
      </c>
      <c r="U741">
        <v>0</v>
      </c>
      <c r="V741" s="705">
        <v>158690</v>
      </c>
      <c r="W741" s="705">
        <f t="shared" si="38"/>
        <v>158690</v>
      </c>
      <c r="X741" s="705">
        <f t="shared" si="39"/>
        <v>211747</v>
      </c>
      <c r="Y741" s="705"/>
    </row>
    <row r="742" spans="2:25">
      <c r="B742" t="s">
        <v>687</v>
      </c>
      <c r="C742" t="s">
        <v>112</v>
      </c>
      <c r="D742" t="s">
        <v>228</v>
      </c>
      <c r="E742" t="s">
        <v>228</v>
      </c>
      <c r="F742" s="705">
        <v>6</v>
      </c>
      <c r="G742" s="705">
        <v>461</v>
      </c>
      <c r="H742" s="705">
        <v>702</v>
      </c>
      <c r="I742" s="705">
        <v>6962</v>
      </c>
      <c r="J742" s="706">
        <v>2579</v>
      </c>
      <c r="K742" s="705">
        <v>100</v>
      </c>
      <c r="L742">
        <v>148</v>
      </c>
      <c r="M742">
        <v>269</v>
      </c>
      <c r="N742" s="705">
        <v>7429</v>
      </c>
      <c r="O742" s="705">
        <v>2751</v>
      </c>
      <c r="P742">
        <v>0</v>
      </c>
      <c r="Q742">
        <v>0</v>
      </c>
      <c r="R742" s="705">
        <v>39390</v>
      </c>
      <c r="S742" s="705">
        <v>14589</v>
      </c>
      <c r="T742">
        <v>0</v>
      </c>
      <c r="U742">
        <v>0</v>
      </c>
      <c r="V742" s="705">
        <v>20188</v>
      </c>
      <c r="W742" s="705">
        <f t="shared" si="38"/>
        <v>20188</v>
      </c>
      <c r="X742" s="705">
        <f t="shared" si="39"/>
        <v>53929</v>
      </c>
      <c r="Y742" s="705"/>
    </row>
    <row r="743" spans="2:25">
      <c r="B743" t="s">
        <v>687</v>
      </c>
      <c r="C743" t="s">
        <v>112</v>
      </c>
      <c r="D743" t="s">
        <v>584</v>
      </c>
      <c r="E743" t="s">
        <v>582</v>
      </c>
      <c r="F743" s="705">
        <v>1</v>
      </c>
      <c r="G743" s="705">
        <v>86</v>
      </c>
      <c r="H743" s="705">
        <v>123</v>
      </c>
      <c r="I743" s="705">
        <v>5222</v>
      </c>
      <c r="J743" s="706">
        <v>4747</v>
      </c>
      <c r="K743" s="705">
        <v>78</v>
      </c>
      <c r="L743">
        <v>0</v>
      </c>
      <c r="M743">
        <v>0</v>
      </c>
      <c r="N743" s="705">
        <v>1137</v>
      </c>
      <c r="O743">
        <v>421</v>
      </c>
      <c r="P743">
        <v>473</v>
      </c>
      <c r="Q743">
        <v>175</v>
      </c>
      <c r="R743" s="705">
        <v>3765</v>
      </c>
      <c r="S743" s="705">
        <v>3422</v>
      </c>
      <c r="T743">
        <v>0</v>
      </c>
      <c r="U743">
        <v>0</v>
      </c>
      <c r="V743" s="705">
        <v>8765</v>
      </c>
      <c r="W743" s="705">
        <f t="shared" si="38"/>
        <v>8765</v>
      </c>
      <c r="X743" s="705">
        <f t="shared" si="39"/>
        <v>10597</v>
      </c>
      <c r="Y743" s="705"/>
    </row>
    <row r="744" spans="2:25">
      <c r="B744" t="s">
        <v>687</v>
      </c>
      <c r="C744" t="s">
        <v>112</v>
      </c>
      <c r="D744" t="s">
        <v>584</v>
      </c>
      <c r="E744" t="s">
        <v>584</v>
      </c>
      <c r="F744" s="705">
        <v>159</v>
      </c>
      <c r="G744" s="705">
        <v>12068</v>
      </c>
      <c r="H744" s="705">
        <v>17983</v>
      </c>
      <c r="I744" s="705">
        <v>486759</v>
      </c>
      <c r="J744" s="706">
        <v>442508</v>
      </c>
      <c r="K744" s="705">
        <v>85</v>
      </c>
      <c r="L744" s="705">
        <v>4610</v>
      </c>
      <c r="M744" s="705">
        <v>4518</v>
      </c>
      <c r="N744" s="705">
        <v>228435</v>
      </c>
      <c r="O744" s="705">
        <v>84606</v>
      </c>
      <c r="P744" s="705">
        <v>96779</v>
      </c>
      <c r="Q744" s="705">
        <v>35844</v>
      </c>
      <c r="R744" s="705">
        <v>548312</v>
      </c>
      <c r="S744" s="705">
        <v>498465</v>
      </c>
      <c r="T744" s="705">
        <v>4232</v>
      </c>
      <c r="U744" s="705">
        <v>1568</v>
      </c>
      <c r="V744" s="705">
        <v>1067509</v>
      </c>
      <c r="W744" s="705">
        <f t="shared" si="38"/>
        <v>1067509</v>
      </c>
      <c r="X744" s="705">
        <f t="shared" si="39"/>
        <v>1369127</v>
      </c>
      <c r="Y744" s="705"/>
    </row>
    <row r="745" spans="2:25">
      <c r="B745" t="s">
        <v>687</v>
      </c>
      <c r="C745" t="s">
        <v>114</v>
      </c>
      <c r="D745" t="s">
        <v>228</v>
      </c>
      <c r="E745" t="s">
        <v>228</v>
      </c>
      <c r="F745" s="705">
        <v>11</v>
      </c>
      <c r="G745" s="705">
        <v>753</v>
      </c>
      <c r="H745" s="705">
        <v>1559</v>
      </c>
      <c r="I745" s="705">
        <v>22510</v>
      </c>
      <c r="J745" s="706">
        <v>8337</v>
      </c>
      <c r="K745" s="705">
        <v>100</v>
      </c>
      <c r="L745" s="705">
        <v>1382</v>
      </c>
      <c r="M745">
        <v>512</v>
      </c>
      <c r="N745" s="705">
        <v>13320</v>
      </c>
      <c r="O745" s="705">
        <v>4933</v>
      </c>
      <c r="P745">
        <v>351</v>
      </c>
      <c r="Q745">
        <v>130</v>
      </c>
      <c r="R745" s="705">
        <v>69502</v>
      </c>
      <c r="S745" s="705">
        <v>25741</v>
      </c>
      <c r="T745">
        <v>0</v>
      </c>
      <c r="U745">
        <v>0</v>
      </c>
      <c r="V745" s="705">
        <v>39653</v>
      </c>
      <c r="W745" s="705">
        <f t="shared" si="38"/>
        <v>39653</v>
      </c>
      <c r="X745" s="705">
        <f t="shared" si="39"/>
        <v>107065</v>
      </c>
      <c r="Y745" s="705"/>
    </row>
    <row r="746" spans="2:25">
      <c r="B746" t="s">
        <v>687</v>
      </c>
      <c r="C746" t="s">
        <v>114</v>
      </c>
      <c r="D746" t="s">
        <v>584</v>
      </c>
      <c r="E746" t="s">
        <v>582</v>
      </c>
      <c r="F746">
        <v>1</v>
      </c>
      <c r="G746">
        <v>86</v>
      </c>
      <c r="H746" s="705">
        <v>130</v>
      </c>
      <c r="I746" s="705">
        <v>4877</v>
      </c>
      <c r="J746" s="706">
        <v>4433</v>
      </c>
      <c r="K746" s="705">
        <v>91</v>
      </c>
      <c r="L746">
        <v>0</v>
      </c>
      <c r="M746">
        <v>0</v>
      </c>
      <c r="N746" s="705">
        <v>1163</v>
      </c>
      <c r="O746">
        <v>431</v>
      </c>
      <c r="P746">
        <v>473</v>
      </c>
      <c r="Q746">
        <v>175</v>
      </c>
      <c r="R746" s="705">
        <v>4703</v>
      </c>
      <c r="S746" s="705">
        <v>4276</v>
      </c>
      <c r="T746">
        <v>0</v>
      </c>
      <c r="U746">
        <v>0</v>
      </c>
      <c r="V746" s="705">
        <v>9315</v>
      </c>
      <c r="W746" s="705">
        <f t="shared" si="38"/>
        <v>9315</v>
      </c>
      <c r="X746" s="705">
        <f t="shared" si="39"/>
        <v>11216</v>
      </c>
      <c r="Y746" s="705"/>
    </row>
    <row r="747" spans="2:25">
      <c r="B747" t="s">
        <v>687</v>
      </c>
      <c r="C747" t="s">
        <v>114</v>
      </c>
      <c r="D747" t="s">
        <v>584</v>
      </c>
      <c r="E747" t="s">
        <v>584</v>
      </c>
      <c r="F747">
        <v>343</v>
      </c>
      <c r="G747" s="705">
        <v>25790</v>
      </c>
      <c r="H747" s="705">
        <v>47329</v>
      </c>
      <c r="I747" s="705">
        <v>1507654</v>
      </c>
      <c r="J747" s="706">
        <v>1370595</v>
      </c>
      <c r="K747" s="705">
        <v>83</v>
      </c>
      <c r="L747" s="705">
        <v>43130</v>
      </c>
      <c r="M747" s="705">
        <v>30600</v>
      </c>
      <c r="N747" s="705">
        <v>505974</v>
      </c>
      <c r="O747" s="705">
        <v>187398</v>
      </c>
      <c r="P747" s="705">
        <v>192470</v>
      </c>
      <c r="Q747" s="705">
        <v>71285</v>
      </c>
      <c r="R747" s="705">
        <v>1222337</v>
      </c>
      <c r="S747" s="705">
        <v>1111215</v>
      </c>
      <c r="T747" s="705">
        <v>86693</v>
      </c>
      <c r="U747" s="705">
        <v>32109</v>
      </c>
      <c r="V747" s="705">
        <v>2803202</v>
      </c>
      <c r="W747" s="705">
        <f t="shared" si="38"/>
        <v>2803202</v>
      </c>
      <c r="X747" s="705">
        <f t="shared" si="39"/>
        <v>3558258</v>
      </c>
      <c r="Y747" s="705"/>
    </row>
    <row r="748" spans="2:25">
      <c r="B748" t="s">
        <v>687</v>
      </c>
      <c r="C748" t="s">
        <v>116</v>
      </c>
      <c r="F748" s="705">
        <v>11</v>
      </c>
      <c r="G748" s="705">
        <v>455</v>
      </c>
      <c r="H748" s="705">
        <v>2147</v>
      </c>
      <c r="J748" s="706">
        <v>0</v>
      </c>
      <c r="K748" s="705"/>
      <c r="M748">
        <v>0</v>
      </c>
      <c r="N748" s="705">
        <v>6655</v>
      </c>
      <c r="O748" s="705">
        <v>2465</v>
      </c>
      <c r="P748" s="705">
        <v>1236</v>
      </c>
      <c r="Q748">
        <v>458</v>
      </c>
      <c r="S748">
        <v>0</v>
      </c>
      <c r="T748" s="705">
        <v>13649</v>
      </c>
      <c r="U748" s="705">
        <v>5055</v>
      </c>
      <c r="V748" s="705">
        <v>7978</v>
      </c>
      <c r="W748" s="705">
        <f t="shared" si="38"/>
        <v>7978</v>
      </c>
      <c r="X748" s="705">
        <f t="shared" si="39"/>
        <v>21540</v>
      </c>
      <c r="Y748" s="705"/>
    </row>
    <row r="749" spans="2:25">
      <c r="B749" t="s">
        <v>687</v>
      </c>
      <c r="C749" t="s">
        <v>116</v>
      </c>
      <c r="D749" t="s">
        <v>228</v>
      </c>
      <c r="E749" t="s">
        <v>228</v>
      </c>
      <c r="F749" s="705">
        <v>264</v>
      </c>
      <c r="G749" s="705">
        <v>18447</v>
      </c>
      <c r="H749" s="705">
        <v>51601</v>
      </c>
      <c r="I749" s="705">
        <v>1413018</v>
      </c>
      <c r="J749" s="706">
        <v>523340</v>
      </c>
      <c r="K749" s="705">
        <v>100</v>
      </c>
      <c r="L749" s="705">
        <v>163313</v>
      </c>
      <c r="M749" s="705">
        <v>62630</v>
      </c>
      <c r="N749" s="705">
        <v>336973</v>
      </c>
      <c r="O749" s="705">
        <v>124805</v>
      </c>
      <c r="P749" s="705">
        <v>12441</v>
      </c>
      <c r="Q749" s="705">
        <v>4608</v>
      </c>
      <c r="R749" s="705">
        <v>1676949</v>
      </c>
      <c r="S749" s="705">
        <v>621092</v>
      </c>
      <c r="T749" s="705">
        <v>2053</v>
      </c>
      <c r="U749">
        <v>760</v>
      </c>
      <c r="V749" s="705">
        <v>1337235</v>
      </c>
      <c r="W749" s="705">
        <f t="shared" si="38"/>
        <v>1337235</v>
      </c>
      <c r="X749" s="705">
        <f t="shared" si="39"/>
        <v>3604747</v>
      </c>
      <c r="Y749" s="705"/>
    </row>
    <row r="750" spans="2:25">
      <c r="B750" t="s">
        <v>687</v>
      </c>
      <c r="C750" t="s">
        <v>116</v>
      </c>
      <c r="D750" t="s">
        <v>583</v>
      </c>
      <c r="E750" t="s">
        <v>583</v>
      </c>
      <c r="F750" s="705">
        <v>1</v>
      </c>
      <c r="G750" s="705">
        <v>123</v>
      </c>
      <c r="H750" s="705">
        <v>171</v>
      </c>
      <c r="I750" s="705">
        <v>9387</v>
      </c>
      <c r="J750" s="706">
        <v>8533</v>
      </c>
      <c r="K750" s="705">
        <v>95</v>
      </c>
      <c r="L750" s="705">
        <v>3595</v>
      </c>
      <c r="M750" s="705">
        <v>2996</v>
      </c>
      <c r="N750" s="705">
        <v>2602</v>
      </c>
      <c r="O750">
        <v>964</v>
      </c>
      <c r="P750">
        <v>621</v>
      </c>
      <c r="Q750">
        <v>230</v>
      </c>
      <c r="R750" s="705">
        <v>4826</v>
      </c>
      <c r="S750" s="705">
        <v>4387</v>
      </c>
      <c r="T750">
        <v>0</v>
      </c>
      <c r="U750">
        <v>0</v>
      </c>
      <c r="V750" s="705">
        <v>17110</v>
      </c>
      <c r="W750" s="705">
        <f t="shared" si="38"/>
        <v>17110</v>
      </c>
      <c r="X750" s="705">
        <f t="shared" si="39"/>
        <v>21031</v>
      </c>
      <c r="Y750" s="705"/>
    </row>
    <row r="751" spans="2:25">
      <c r="B751" t="s">
        <v>687</v>
      </c>
      <c r="C751" t="s">
        <v>116</v>
      </c>
      <c r="D751" t="s">
        <v>584</v>
      </c>
      <c r="E751" t="s">
        <v>582</v>
      </c>
      <c r="F751" s="705">
        <v>1</v>
      </c>
      <c r="G751" s="705">
        <v>40</v>
      </c>
      <c r="H751" s="705">
        <v>153</v>
      </c>
      <c r="I751">
        <v>983</v>
      </c>
      <c r="J751" s="706">
        <v>894</v>
      </c>
      <c r="K751" s="705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705">
        <v>4088</v>
      </c>
      <c r="S751" s="705">
        <v>3716</v>
      </c>
      <c r="T751">
        <v>0</v>
      </c>
      <c r="U751">
        <v>0</v>
      </c>
      <c r="V751" s="705">
        <v>5076</v>
      </c>
      <c r="W751" s="705">
        <f t="shared" si="38"/>
        <v>5076</v>
      </c>
      <c r="X751" s="705">
        <f t="shared" si="39"/>
        <v>6154</v>
      </c>
      <c r="Y751" s="705"/>
    </row>
    <row r="752" spans="2:25">
      <c r="B752" t="s">
        <v>687</v>
      </c>
      <c r="C752" t="s">
        <v>116</v>
      </c>
      <c r="D752" t="s">
        <v>584</v>
      </c>
      <c r="E752" t="s">
        <v>228</v>
      </c>
      <c r="F752" s="705">
        <v>5</v>
      </c>
      <c r="G752" s="705">
        <v>183</v>
      </c>
      <c r="H752" s="705">
        <v>1051</v>
      </c>
      <c r="I752" s="705">
        <v>14933</v>
      </c>
      <c r="J752" s="706">
        <v>13575</v>
      </c>
      <c r="K752" s="705">
        <v>73</v>
      </c>
      <c r="L752">
        <v>0</v>
      </c>
      <c r="M752">
        <v>0</v>
      </c>
      <c r="N752" s="705">
        <v>4464</v>
      </c>
      <c r="O752" s="705">
        <v>1653</v>
      </c>
      <c r="P752" s="705">
        <v>2363</v>
      </c>
      <c r="Q752">
        <v>875</v>
      </c>
      <c r="R752" s="705">
        <v>16731</v>
      </c>
      <c r="S752" s="705">
        <v>6197</v>
      </c>
      <c r="T752">
        <v>0</v>
      </c>
      <c r="U752">
        <v>0</v>
      </c>
      <c r="V752" s="705">
        <v>22300</v>
      </c>
      <c r="W752" s="705">
        <f t="shared" si="38"/>
        <v>22300</v>
      </c>
      <c r="X752" s="705">
        <f t="shared" si="39"/>
        <v>38491</v>
      </c>
      <c r="Y752" s="705"/>
    </row>
    <row r="753" spans="2:25">
      <c r="B753" t="s">
        <v>687</v>
      </c>
      <c r="C753" t="s">
        <v>116</v>
      </c>
      <c r="D753" t="s">
        <v>584</v>
      </c>
      <c r="E753" t="s">
        <v>584</v>
      </c>
      <c r="F753">
        <v>597</v>
      </c>
      <c r="G753" s="705">
        <v>42097</v>
      </c>
      <c r="H753" s="705">
        <v>108386</v>
      </c>
      <c r="I753" s="705">
        <v>3553528</v>
      </c>
      <c r="J753" s="706">
        <v>3230480</v>
      </c>
      <c r="K753" s="705">
        <v>79</v>
      </c>
      <c r="L753" s="705">
        <v>196510</v>
      </c>
      <c r="M753" s="705">
        <v>159140</v>
      </c>
      <c r="N753" s="705">
        <v>879709</v>
      </c>
      <c r="O753" s="705">
        <v>325818</v>
      </c>
      <c r="P753" s="705">
        <v>294526</v>
      </c>
      <c r="Q753" s="705">
        <v>109084</v>
      </c>
      <c r="R753" s="705">
        <v>2407900</v>
      </c>
      <c r="S753" s="705">
        <v>2189000</v>
      </c>
      <c r="T753" s="705">
        <v>288443</v>
      </c>
      <c r="U753" s="705">
        <v>106831</v>
      </c>
      <c r="V753" s="705">
        <v>6120353</v>
      </c>
      <c r="W753" s="705">
        <f t="shared" si="38"/>
        <v>6120353</v>
      </c>
      <c r="X753" s="705">
        <f t="shared" si="39"/>
        <v>7620616</v>
      </c>
      <c r="Y753" s="705"/>
    </row>
    <row r="754" spans="2:25">
      <c r="B754" t="s">
        <v>687</v>
      </c>
      <c r="C754" t="s">
        <v>118</v>
      </c>
      <c r="F754" s="705">
        <v>8</v>
      </c>
      <c r="G754" s="705">
        <v>310</v>
      </c>
      <c r="H754" s="705">
        <v>1987</v>
      </c>
      <c r="J754" s="706">
        <v>0</v>
      </c>
      <c r="K754" s="705"/>
      <c r="M754">
        <v>0</v>
      </c>
      <c r="N754" s="705">
        <v>4708</v>
      </c>
      <c r="O754" s="705">
        <v>1744</v>
      </c>
      <c r="P754">
        <v>622</v>
      </c>
      <c r="Q754">
        <v>230</v>
      </c>
      <c r="S754">
        <v>0</v>
      </c>
      <c r="T754" s="705">
        <v>6839</v>
      </c>
      <c r="U754" s="705">
        <v>2533</v>
      </c>
      <c r="V754" s="705">
        <v>4507</v>
      </c>
      <c r="W754" s="705">
        <f t="shared" si="38"/>
        <v>4507</v>
      </c>
      <c r="X754" s="705">
        <f t="shared" si="39"/>
        <v>12169</v>
      </c>
      <c r="Y754" s="705"/>
    </row>
    <row r="755" spans="2:25">
      <c r="B755" t="s">
        <v>687</v>
      </c>
      <c r="C755" t="s">
        <v>118</v>
      </c>
      <c r="D755" t="s">
        <v>228</v>
      </c>
      <c r="E755" t="s">
        <v>228</v>
      </c>
      <c r="F755">
        <v>366</v>
      </c>
      <c r="G755" s="705">
        <v>24822</v>
      </c>
      <c r="H755" s="705">
        <v>95576</v>
      </c>
      <c r="I755" s="705">
        <v>3329729</v>
      </c>
      <c r="J755" s="706">
        <v>1233233</v>
      </c>
      <c r="K755" s="705">
        <v>100</v>
      </c>
      <c r="L755" s="705">
        <v>356355</v>
      </c>
      <c r="M755" s="705">
        <v>145858</v>
      </c>
      <c r="N755" s="705">
        <v>474655</v>
      </c>
      <c r="O755" s="705">
        <v>175798</v>
      </c>
      <c r="P755" s="705">
        <v>6629</v>
      </c>
      <c r="Q755" s="705">
        <v>2455</v>
      </c>
      <c r="R755" s="705">
        <v>2305425</v>
      </c>
      <c r="S755" s="705">
        <v>853861</v>
      </c>
      <c r="T755">
        <v>0</v>
      </c>
      <c r="U755">
        <v>0</v>
      </c>
      <c r="V755" s="705">
        <v>2411206</v>
      </c>
      <c r="W755" s="705">
        <f t="shared" si="38"/>
        <v>2411205</v>
      </c>
      <c r="X755" s="705">
        <f t="shared" si="39"/>
        <v>6472793</v>
      </c>
      <c r="Y755" s="705"/>
    </row>
    <row r="756" spans="2:25">
      <c r="B756" t="s">
        <v>687</v>
      </c>
      <c r="C756" t="s">
        <v>118</v>
      </c>
      <c r="D756" t="s">
        <v>583</v>
      </c>
      <c r="E756" t="s">
        <v>228</v>
      </c>
      <c r="F756">
        <v>1</v>
      </c>
      <c r="G756" s="705">
        <v>41</v>
      </c>
      <c r="H756" s="705">
        <v>255</v>
      </c>
      <c r="I756" s="705">
        <v>5683</v>
      </c>
      <c r="J756" s="706">
        <v>5166</v>
      </c>
      <c r="K756" s="705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705">
        <v>3747</v>
      </c>
      <c r="S756" s="705">
        <v>1388</v>
      </c>
      <c r="T756">
        <v>0</v>
      </c>
      <c r="U756">
        <v>0</v>
      </c>
      <c r="V756" s="705">
        <v>6971</v>
      </c>
      <c r="W756" s="705">
        <f t="shared" si="38"/>
        <v>6971</v>
      </c>
      <c r="X756" s="705">
        <f t="shared" si="39"/>
        <v>10555</v>
      </c>
      <c r="Y756" s="705"/>
    </row>
    <row r="757" spans="2:25">
      <c r="B757" t="s">
        <v>687</v>
      </c>
      <c r="C757" t="s">
        <v>118</v>
      </c>
      <c r="D757" t="s">
        <v>583</v>
      </c>
      <c r="E757" t="s">
        <v>583</v>
      </c>
      <c r="F757">
        <v>4</v>
      </c>
      <c r="G757">
        <v>374</v>
      </c>
      <c r="H757" s="705">
        <v>1098</v>
      </c>
      <c r="I757" s="705">
        <v>57033</v>
      </c>
      <c r="J757" s="706">
        <v>51848</v>
      </c>
      <c r="K757" s="705">
        <v>66</v>
      </c>
      <c r="L757" s="705">
        <v>4481</v>
      </c>
      <c r="M757" s="705">
        <v>4073</v>
      </c>
      <c r="N757" s="705">
        <v>7352</v>
      </c>
      <c r="O757" s="705">
        <v>2723</v>
      </c>
      <c r="P757" s="705">
        <v>2484</v>
      </c>
      <c r="Q757">
        <v>920</v>
      </c>
      <c r="R757" s="705">
        <v>27059</v>
      </c>
      <c r="S757" s="705">
        <v>24599</v>
      </c>
      <c r="T757" s="705">
        <v>2927</v>
      </c>
      <c r="U757" s="705">
        <v>1084</v>
      </c>
      <c r="V757" s="705">
        <v>85248</v>
      </c>
      <c r="W757" s="705">
        <f t="shared" si="38"/>
        <v>85247</v>
      </c>
      <c r="X757" s="705">
        <f t="shared" si="39"/>
        <v>101336</v>
      </c>
      <c r="Y757" s="705"/>
    </row>
    <row r="758" spans="2:25">
      <c r="B758" t="s">
        <v>687</v>
      </c>
      <c r="C758" t="s">
        <v>118</v>
      </c>
      <c r="D758" t="s">
        <v>584</v>
      </c>
      <c r="E758" t="s">
        <v>228</v>
      </c>
      <c r="F758" s="705">
        <v>4</v>
      </c>
      <c r="G758" s="705">
        <v>159</v>
      </c>
      <c r="H758" s="705">
        <v>940</v>
      </c>
      <c r="I758" s="705">
        <v>19871</v>
      </c>
      <c r="J758" s="706">
        <v>18065</v>
      </c>
      <c r="K758" s="705">
        <v>75</v>
      </c>
      <c r="L758" s="705">
        <v>1233</v>
      </c>
      <c r="M758">
        <v>457</v>
      </c>
      <c r="N758" s="705">
        <v>3483</v>
      </c>
      <c r="O758" s="705">
        <v>1290</v>
      </c>
      <c r="P758">
        <v>473</v>
      </c>
      <c r="Q758">
        <v>175</v>
      </c>
      <c r="R758" s="705">
        <v>12275</v>
      </c>
      <c r="S758" s="705">
        <v>4546</v>
      </c>
      <c r="T758">
        <v>0</v>
      </c>
      <c r="U758">
        <v>0</v>
      </c>
      <c r="V758" s="705">
        <v>24532</v>
      </c>
      <c r="W758" s="705">
        <f t="shared" si="38"/>
        <v>24533</v>
      </c>
      <c r="X758" s="705">
        <f t="shared" si="39"/>
        <v>37335</v>
      </c>
      <c r="Y758" s="705"/>
    </row>
    <row r="759" spans="2:25">
      <c r="B759" t="s">
        <v>687</v>
      </c>
      <c r="C759" t="s">
        <v>118</v>
      </c>
      <c r="D759" t="s">
        <v>584</v>
      </c>
      <c r="E759" t="s">
        <v>584</v>
      </c>
      <c r="F759">
        <v>121</v>
      </c>
      <c r="G759" s="705">
        <v>7388</v>
      </c>
      <c r="H759" s="705">
        <v>31129</v>
      </c>
      <c r="I759" s="705">
        <v>948233</v>
      </c>
      <c r="J759" s="706">
        <v>862030</v>
      </c>
      <c r="K759" s="705">
        <v>76</v>
      </c>
      <c r="L759" s="705">
        <v>137808</v>
      </c>
      <c r="M759" s="705">
        <v>116125</v>
      </c>
      <c r="N759" s="705">
        <v>149775</v>
      </c>
      <c r="O759" s="705">
        <v>55472</v>
      </c>
      <c r="P759" s="705">
        <v>56808</v>
      </c>
      <c r="Q759" s="705">
        <v>21040</v>
      </c>
      <c r="R759" s="705">
        <v>501359</v>
      </c>
      <c r="S759" s="705">
        <v>455781</v>
      </c>
      <c r="T759" s="705">
        <v>102628</v>
      </c>
      <c r="U759" s="705">
        <v>38010</v>
      </c>
      <c r="V759" s="705">
        <v>1548459</v>
      </c>
      <c r="W759" s="705">
        <f t="shared" si="38"/>
        <v>1548458</v>
      </c>
      <c r="X759" s="705">
        <f t="shared" si="39"/>
        <v>1896611</v>
      </c>
      <c r="Y759" s="705"/>
    </row>
    <row r="760" spans="2:25">
      <c r="B760" t="s">
        <v>687</v>
      </c>
      <c r="C760" t="s">
        <v>120</v>
      </c>
      <c r="F760">
        <v>9</v>
      </c>
      <c r="G760" s="705">
        <v>411</v>
      </c>
      <c r="H760" s="705">
        <v>3019</v>
      </c>
      <c r="J760" s="706">
        <v>0</v>
      </c>
      <c r="K760" s="705"/>
      <c r="M760">
        <v>0</v>
      </c>
      <c r="N760" s="705">
        <v>7408</v>
      </c>
      <c r="O760" s="705">
        <v>2744</v>
      </c>
      <c r="P760">
        <v>609</v>
      </c>
      <c r="Q760">
        <v>225</v>
      </c>
      <c r="S760">
        <v>0</v>
      </c>
      <c r="T760" s="705">
        <v>2913</v>
      </c>
      <c r="U760" s="705">
        <v>1079</v>
      </c>
      <c r="V760" s="705">
        <v>4048</v>
      </c>
      <c r="W760" s="705">
        <f t="shared" si="38"/>
        <v>4048</v>
      </c>
      <c r="X760" s="705">
        <f t="shared" si="39"/>
        <v>10930</v>
      </c>
      <c r="Y760" s="705"/>
    </row>
    <row r="761" spans="2:25">
      <c r="B761" t="s">
        <v>687</v>
      </c>
      <c r="C761" t="s">
        <v>120</v>
      </c>
      <c r="D761" t="s">
        <v>228</v>
      </c>
      <c r="E761" t="s">
        <v>228</v>
      </c>
      <c r="F761">
        <v>194</v>
      </c>
      <c r="G761" s="705">
        <v>11838</v>
      </c>
      <c r="H761" s="705">
        <v>64514</v>
      </c>
      <c r="I761" s="705">
        <v>2335078</v>
      </c>
      <c r="J761" s="706">
        <v>864844</v>
      </c>
      <c r="K761" s="705">
        <v>100</v>
      </c>
      <c r="L761" s="705">
        <v>246066</v>
      </c>
      <c r="M761" s="705">
        <v>109983</v>
      </c>
      <c r="N761" s="705">
        <v>222525</v>
      </c>
      <c r="O761" s="705">
        <v>82417</v>
      </c>
      <c r="P761" s="705">
        <v>4401</v>
      </c>
      <c r="Q761" s="705">
        <v>1630</v>
      </c>
      <c r="R761" s="705">
        <v>1120665</v>
      </c>
      <c r="S761" s="705">
        <v>415061</v>
      </c>
      <c r="T761" s="705">
        <v>1861</v>
      </c>
      <c r="U761">
        <v>689</v>
      </c>
      <c r="V761" s="705">
        <v>1474623</v>
      </c>
      <c r="W761" s="705">
        <f t="shared" si="38"/>
        <v>1474624</v>
      </c>
      <c r="X761" s="705">
        <f t="shared" si="39"/>
        <v>3930596</v>
      </c>
      <c r="Y761" s="705"/>
    </row>
    <row r="762" spans="2:25">
      <c r="B762" t="s">
        <v>687</v>
      </c>
      <c r="C762" t="s">
        <v>120</v>
      </c>
      <c r="D762" t="s">
        <v>583</v>
      </c>
      <c r="E762" t="s">
        <v>583</v>
      </c>
      <c r="F762">
        <v>2</v>
      </c>
      <c r="G762">
        <v>99</v>
      </c>
      <c r="H762">
        <v>676</v>
      </c>
      <c r="I762" s="705">
        <v>21886</v>
      </c>
      <c r="J762" s="706">
        <v>19897</v>
      </c>
      <c r="K762" s="705">
        <v>82</v>
      </c>
      <c r="L762">
        <v>0</v>
      </c>
      <c r="M762">
        <v>0</v>
      </c>
      <c r="N762" s="705">
        <v>2001</v>
      </c>
      <c r="O762">
        <v>741</v>
      </c>
      <c r="P762" s="705">
        <v>1242</v>
      </c>
      <c r="Q762">
        <v>460</v>
      </c>
      <c r="R762" s="705">
        <v>8209</v>
      </c>
      <c r="S762" s="705">
        <v>7463</v>
      </c>
      <c r="T762">
        <v>0</v>
      </c>
      <c r="U762">
        <v>0</v>
      </c>
      <c r="V762" s="705">
        <v>28561</v>
      </c>
      <c r="W762" s="705">
        <f t="shared" si="38"/>
        <v>28561</v>
      </c>
      <c r="X762" s="705">
        <f t="shared" si="39"/>
        <v>33338</v>
      </c>
      <c r="Y762" s="705"/>
    </row>
    <row r="763" spans="2:25">
      <c r="B763" t="s">
        <v>687</v>
      </c>
      <c r="C763" t="s">
        <v>120</v>
      </c>
      <c r="D763" t="s">
        <v>584</v>
      </c>
      <c r="E763" t="s">
        <v>228</v>
      </c>
      <c r="F763">
        <v>3</v>
      </c>
      <c r="G763">
        <v>102</v>
      </c>
      <c r="H763" s="705">
        <v>943</v>
      </c>
      <c r="I763" s="705">
        <v>15023</v>
      </c>
      <c r="J763" s="706">
        <v>13658</v>
      </c>
      <c r="K763" s="705">
        <v>76</v>
      </c>
      <c r="L763" s="705">
        <v>1858</v>
      </c>
      <c r="M763">
        <v>688</v>
      </c>
      <c r="N763" s="705">
        <v>2297</v>
      </c>
      <c r="O763">
        <v>851</v>
      </c>
      <c r="P763">
        <v>473</v>
      </c>
      <c r="Q763">
        <v>175</v>
      </c>
      <c r="R763" s="705">
        <v>12312</v>
      </c>
      <c r="S763" s="705">
        <v>4560</v>
      </c>
      <c r="T763">
        <v>0</v>
      </c>
      <c r="U763">
        <v>0</v>
      </c>
      <c r="V763" s="705">
        <v>19932</v>
      </c>
      <c r="W763" s="705">
        <f t="shared" si="38"/>
        <v>19932</v>
      </c>
      <c r="X763" s="705">
        <f t="shared" si="39"/>
        <v>31963</v>
      </c>
      <c r="Y763" s="705"/>
    </row>
    <row r="764" spans="2:25">
      <c r="B764" t="s">
        <v>687</v>
      </c>
      <c r="C764" t="s">
        <v>120</v>
      </c>
      <c r="D764" t="s">
        <v>584</v>
      </c>
      <c r="E764" t="s">
        <v>584</v>
      </c>
      <c r="F764">
        <v>38</v>
      </c>
      <c r="G764" s="705">
        <v>2247</v>
      </c>
      <c r="H764" s="705">
        <v>12954</v>
      </c>
      <c r="I764" s="705">
        <v>433613</v>
      </c>
      <c r="J764" s="706">
        <v>394194</v>
      </c>
      <c r="K764" s="705">
        <v>80</v>
      </c>
      <c r="L764" s="705">
        <v>75577</v>
      </c>
      <c r="M764" s="705">
        <v>68078</v>
      </c>
      <c r="N764" s="705">
        <v>45739</v>
      </c>
      <c r="O764" s="705">
        <v>16940</v>
      </c>
      <c r="P764" s="705">
        <v>17010</v>
      </c>
      <c r="Q764" s="705">
        <v>6300</v>
      </c>
      <c r="R764" s="705">
        <v>137153</v>
      </c>
      <c r="S764" s="705">
        <v>124684</v>
      </c>
      <c r="T764" s="705">
        <v>55244</v>
      </c>
      <c r="U764" s="705">
        <v>20461</v>
      </c>
      <c r="V764" s="705">
        <v>630657</v>
      </c>
      <c r="W764" s="705">
        <f t="shared" si="38"/>
        <v>630657</v>
      </c>
      <c r="X764" s="705">
        <f t="shared" si="39"/>
        <v>764336</v>
      </c>
      <c r="Y764" s="705"/>
    </row>
    <row r="765" spans="2:25">
      <c r="B765" t="s">
        <v>687</v>
      </c>
      <c r="C765" t="s">
        <v>122</v>
      </c>
      <c r="F765" s="705">
        <v>4</v>
      </c>
      <c r="G765" s="705">
        <v>182</v>
      </c>
      <c r="H765" s="705">
        <v>1633</v>
      </c>
      <c r="J765" s="429">
        <v>0</v>
      </c>
      <c r="K765" s="705"/>
      <c r="M765">
        <v>0</v>
      </c>
      <c r="N765" s="705">
        <v>4235</v>
      </c>
      <c r="O765" s="705">
        <v>1569</v>
      </c>
      <c r="P765" s="705">
        <v>1094</v>
      </c>
      <c r="Q765">
        <v>405</v>
      </c>
      <c r="S765">
        <v>0</v>
      </c>
      <c r="T765" s="705">
        <v>4088</v>
      </c>
      <c r="U765" s="705">
        <v>1514</v>
      </c>
      <c r="V765" s="705">
        <v>3487</v>
      </c>
      <c r="W765" s="705">
        <f t="shared" si="38"/>
        <v>3488</v>
      </c>
      <c r="X765" s="705">
        <f t="shared" si="39"/>
        <v>9417</v>
      </c>
      <c r="Y765" s="705"/>
    </row>
    <row r="766" spans="2:25">
      <c r="B766" t="s">
        <v>687</v>
      </c>
      <c r="C766" t="s">
        <v>122</v>
      </c>
      <c r="D766" t="s">
        <v>582</v>
      </c>
      <c r="E766" t="s">
        <v>582</v>
      </c>
      <c r="F766">
        <v>1</v>
      </c>
      <c r="G766">
        <v>58</v>
      </c>
      <c r="H766" s="705">
        <v>398</v>
      </c>
      <c r="I766" s="705">
        <v>15482</v>
      </c>
      <c r="J766" s="706">
        <v>14074</v>
      </c>
      <c r="K766" s="705">
        <v>68</v>
      </c>
      <c r="L766">
        <v>0</v>
      </c>
      <c r="M766">
        <v>0</v>
      </c>
      <c r="N766" s="705">
        <v>1055</v>
      </c>
      <c r="O766">
        <v>391</v>
      </c>
      <c r="P766">
        <v>473</v>
      </c>
      <c r="Q766">
        <v>175</v>
      </c>
      <c r="R766" s="705">
        <v>3942</v>
      </c>
      <c r="S766" s="705">
        <v>3583</v>
      </c>
      <c r="T766" s="705">
        <v>1991</v>
      </c>
      <c r="U766">
        <v>738</v>
      </c>
      <c r="V766" s="705">
        <v>18961</v>
      </c>
      <c r="W766" s="705">
        <f t="shared" si="38"/>
        <v>18961</v>
      </c>
      <c r="X766" s="705">
        <f t="shared" si="39"/>
        <v>22943</v>
      </c>
      <c r="Y766" s="705"/>
    </row>
    <row r="767" spans="2:25">
      <c r="B767" t="s">
        <v>687</v>
      </c>
      <c r="C767" t="s">
        <v>122</v>
      </c>
      <c r="D767" t="s">
        <v>228</v>
      </c>
      <c r="E767" t="s">
        <v>228</v>
      </c>
      <c r="F767">
        <v>43</v>
      </c>
      <c r="G767" s="705">
        <v>2107</v>
      </c>
      <c r="H767" s="705">
        <v>17882</v>
      </c>
      <c r="I767" s="705">
        <v>537222</v>
      </c>
      <c r="J767" s="706">
        <v>198971</v>
      </c>
      <c r="K767" s="705">
        <v>100</v>
      </c>
      <c r="L767" s="705">
        <v>63427</v>
      </c>
      <c r="M767" s="705">
        <v>29913</v>
      </c>
      <c r="N767" s="705">
        <v>42995</v>
      </c>
      <c r="O767" s="705">
        <v>15924</v>
      </c>
      <c r="P767" s="705">
        <v>1206</v>
      </c>
      <c r="Q767">
        <v>447</v>
      </c>
      <c r="R767" s="705">
        <v>227046</v>
      </c>
      <c r="S767" s="705">
        <v>84091</v>
      </c>
      <c r="T767" s="705">
        <v>1630</v>
      </c>
      <c r="U767">
        <v>604</v>
      </c>
      <c r="V767" s="705">
        <v>329949</v>
      </c>
      <c r="W767" s="705">
        <f t="shared" si="38"/>
        <v>329950</v>
      </c>
      <c r="X767" s="705">
        <f t="shared" si="39"/>
        <v>873526</v>
      </c>
      <c r="Y767" s="705"/>
    </row>
    <row r="768" spans="2:25">
      <c r="B768" t="s">
        <v>687</v>
      </c>
      <c r="C768" t="s">
        <v>122</v>
      </c>
      <c r="D768" t="s">
        <v>583</v>
      </c>
      <c r="E768" t="s">
        <v>228</v>
      </c>
      <c r="F768">
        <v>2</v>
      </c>
      <c r="G768">
        <v>60</v>
      </c>
      <c r="H768" s="705">
        <v>826</v>
      </c>
      <c r="I768" s="705">
        <v>7540</v>
      </c>
      <c r="J768" s="706">
        <v>6855</v>
      </c>
      <c r="K768" s="705">
        <v>80</v>
      </c>
      <c r="L768" s="705">
        <v>1472</v>
      </c>
      <c r="M768">
        <v>545</v>
      </c>
      <c r="N768">
        <v>731</v>
      </c>
      <c r="O768">
        <v>271</v>
      </c>
      <c r="P768" s="705">
        <v>1242</v>
      </c>
      <c r="Q768">
        <v>460</v>
      </c>
      <c r="R768" s="705">
        <v>13783</v>
      </c>
      <c r="S768" s="705">
        <v>5105</v>
      </c>
      <c r="T768">
        <v>0</v>
      </c>
      <c r="U768">
        <v>0</v>
      </c>
      <c r="V768" s="705">
        <v>13235</v>
      </c>
      <c r="W768" s="705">
        <f t="shared" si="38"/>
        <v>13236</v>
      </c>
      <c r="X768" s="705">
        <f t="shared" si="39"/>
        <v>24768</v>
      </c>
      <c r="Y768" s="705"/>
    </row>
    <row r="769" spans="2:25">
      <c r="B769" t="s">
        <v>687</v>
      </c>
      <c r="C769" t="s">
        <v>122</v>
      </c>
      <c r="D769" t="s">
        <v>583</v>
      </c>
      <c r="E769" t="s">
        <v>583</v>
      </c>
      <c r="F769" s="705">
        <v>1</v>
      </c>
      <c r="G769" s="705">
        <v>130</v>
      </c>
      <c r="H769" s="705">
        <v>414</v>
      </c>
      <c r="I769" s="705">
        <v>33260</v>
      </c>
      <c r="J769" s="706">
        <v>30236</v>
      </c>
      <c r="K769" s="705">
        <v>65</v>
      </c>
      <c r="L769" s="705">
        <v>7613</v>
      </c>
      <c r="M769" s="705">
        <v>6921</v>
      </c>
      <c r="N769" s="705">
        <v>3170</v>
      </c>
      <c r="O769" s="705">
        <v>1174</v>
      </c>
      <c r="P769">
        <v>621</v>
      </c>
      <c r="Q769">
        <v>230</v>
      </c>
      <c r="R769" s="705">
        <v>9186</v>
      </c>
      <c r="S769" s="705">
        <v>8351</v>
      </c>
      <c r="T769">
        <v>0</v>
      </c>
      <c r="U769">
        <v>0</v>
      </c>
      <c r="V769" s="705">
        <v>46912</v>
      </c>
      <c r="W769" s="705">
        <f t="shared" si="38"/>
        <v>46912</v>
      </c>
      <c r="X769" s="705">
        <f t="shared" si="39"/>
        <v>53850</v>
      </c>
      <c r="Y769" s="705"/>
    </row>
    <row r="770" spans="2:25">
      <c r="B770" t="s">
        <v>687</v>
      </c>
      <c r="C770" t="s">
        <v>122</v>
      </c>
      <c r="D770" t="s">
        <v>666</v>
      </c>
      <c r="E770" t="s">
        <v>666</v>
      </c>
      <c r="F770">
        <v>1</v>
      </c>
      <c r="G770">
        <v>139</v>
      </c>
      <c r="H770" s="705">
        <v>418</v>
      </c>
      <c r="I770" s="705">
        <v>38217</v>
      </c>
      <c r="J770" s="706">
        <v>34743</v>
      </c>
      <c r="K770" s="705">
        <v>65</v>
      </c>
      <c r="L770" s="705">
        <v>9200</v>
      </c>
      <c r="M770" s="705">
        <v>8364</v>
      </c>
      <c r="N770" s="705">
        <v>2319</v>
      </c>
      <c r="O770">
        <v>859</v>
      </c>
      <c r="P770">
        <v>0</v>
      </c>
      <c r="Q770">
        <v>0</v>
      </c>
      <c r="R770" s="705">
        <v>4944</v>
      </c>
      <c r="S770" s="705">
        <v>4495</v>
      </c>
      <c r="T770" s="705">
        <v>3342</v>
      </c>
      <c r="U770" s="705">
        <v>1238</v>
      </c>
      <c r="V770" s="705">
        <v>49699</v>
      </c>
      <c r="W770" s="705">
        <f t="shared" si="38"/>
        <v>49699</v>
      </c>
      <c r="X770" s="705">
        <f t="shared" si="39"/>
        <v>58022</v>
      </c>
      <c r="Y770" s="705"/>
    </row>
    <row r="771" spans="2:25">
      <c r="B771" t="s">
        <v>687</v>
      </c>
      <c r="C771" t="s">
        <v>122</v>
      </c>
      <c r="D771" t="s">
        <v>584</v>
      </c>
      <c r="E771" t="s">
        <v>584</v>
      </c>
      <c r="F771" s="705">
        <v>17</v>
      </c>
      <c r="G771" s="705">
        <v>1203</v>
      </c>
      <c r="H771" s="705">
        <v>7100</v>
      </c>
      <c r="I771" s="705">
        <v>302115</v>
      </c>
      <c r="J771" s="706">
        <v>274650</v>
      </c>
      <c r="K771" s="705">
        <v>72</v>
      </c>
      <c r="L771" s="705">
        <v>73074</v>
      </c>
      <c r="M771" s="705">
        <v>63082</v>
      </c>
      <c r="N771" s="705">
        <v>25120</v>
      </c>
      <c r="O771" s="705">
        <v>9304</v>
      </c>
      <c r="P771" s="705">
        <v>7911</v>
      </c>
      <c r="Q771" s="705">
        <v>2930</v>
      </c>
      <c r="R771" s="705">
        <v>77300</v>
      </c>
      <c r="S771" s="705">
        <v>70273</v>
      </c>
      <c r="T771" s="705">
        <v>25629</v>
      </c>
      <c r="U771" s="705">
        <v>9492</v>
      </c>
      <c r="V771" s="705">
        <v>429732</v>
      </c>
      <c r="W771" s="705">
        <f t="shared" si="38"/>
        <v>429731</v>
      </c>
      <c r="X771" s="705">
        <f t="shared" si="39"/>
        <v>511149</v>
      </c>
      <c r="Y771" s="705"/>
    </row>
    <row r="772" spans="2:25">
      <c r="B772" t="s">
        <v>687</v>
      </c>
      <c r="C772" t="s">
        <v>122</v>
      </c>
      <c r="D772" t="s">
        <v>665</v>
      </c>
      <c r="E772" t="s">
        <v>228</v>
      </c>
      <c r="F772">
        <v>1</v>
      </c>
      <c r="G772" s="705">
        <v>55</v>
      </c>
      <c r="H772" s="705">
        <v>414</v>
      </c>
      <c r="I772" s="705">
        <v>13811</v>
      </c>
      <c r="J772" s="706">
        <v>12556</v>
      </c>
      <c r="K772" s="705">
        <v>50</v>
      </c>
      <c r="L772" s="705">
        <v>1883</v>
      </c>
      <c r="M772">
        <v>698</v>
      </c>
      <c r="N772" s="705">
        <v>1172</v>
      </c>
      <c r="O772">
        <v>434</v>
      </c>
      <c r="P772">
        <v>351</v>
      </c>
      <c r="Q772">
        <v>130</v>
      </c>
      <c r="R772" s="705">
        <v>5510</v>
      </c>
      <c r="S772" s="705">
        <v>2041</v>
      </c>
      <c r="T772">
        <v>0</v>
      </c>
      <c r="U772">
        <v>0</v>
      </c>
      <c r="V772" s="705">
        <v>15858</v>
      </c>
      <c r="W772" s="705">
        <f t="shared" si="38"/>
        <v>15859</v>
      </c>
      <c r="X772" s="705">
        <f t="shared" si="39"/>
        <v>22727</v>
      </c>
      <c r="Y772" s="705"/>
    </row>
    <row r="773" spans="2:25">
      <c r="B773" t="s">
        <v>687</v>
      </c>
      <c r="C773" t="s">
        <v>124</v>
      </c>
      <c r="F773">
        <v>4</v>
      </c>
      <c r="G773">
        <v>145</v>
      </c>
      <c r="H773" s="705">
        <v>2212</v>
      </c>
      <c r="J773" s="429">
        <v>0</v>
      </c>
      <c r="M773">
        <v>0</v>
      </c>
      <c r="N773" s="705">
        <v>2879</v>
      </c>
      <c r="O773" s="705">
        <v>1066</v>
      </c>
      <c r="P773">
        <v>473</v>
      </c>
      <c r="Q773">
        <v>175</v>
      </c>
      <c r="S773">
        <v>0</v>
      </c>
      <c r="T773" s="705">
        <v>1087</v>
      </c>
      <c r="U773">
        <v>403</v>
      </c>
      <c r="V773" s="705">
        <v>1644</v>
      </c>
      <c r="W773" s="705">
        <f t="shared" si="38"/>
        <v>1644</v>
      </c>
      <c r="X773" s="705">
        <f t="shared" si="39"/>
        <v>4439</v>
      </c>
      <c r="Y773" s="705"/>
    </row>
    <row r="774" spans="2:25">
      <c r="B774" t="s">
        <v>687</v>
      </c>
      <c r="C774" t="s">
        <v>124</v>
      </c>
      <c r="D774" t="s">
        <v>228</v>
      </c>
      <c r="E774" t="s">
        <v>228</v>
      </c>
      <c r="F774">
        <v>68</v>
      </c>
      <c r="G774" s="705">
        <v>3049</v>
      </c>
      <c r="H774" s="705">
        <v>40970</v>
      </c>
      <c r="I774" s="705">
        <v>1259255</v>
      </c>
      <c r="J774" s="706">
        <v>466391</v>
      </c>
      <c r="K774" s="705">
        <v>100</v>
      </c>
      <c r="L774" s="705">
        <v>130887</v>
      </c>
      <c r="M774" s="705">
        <v>62356</v>
      </c>
      <c r="N774" s="705">
        <v>59089</v>
      </c>
      <c r="O774" s="705">
        <v>21885</v>
      </c>
      <c r="P774">
        <v>947</v>
      </c>
      <c r="Q774">
        <v>351</v>
      </c>
      <c r="R774" s="705">
        <v>388956</v>
      </c>
      <c r="S774" s="705">
        <v>144058</v>
      </c>
      <c r="T774" s="705">
        <v>3817</v>
      </c>
      <c r="U774" s="705">
        <v>1414</v>
      </c>
      <c r="V774" s="705">
        <v>696454</v>
      </c>
      <c r="W774" s="705">
        <f t="shared" si="38"/>
        <v>696455</v>
      </c>
      <c r="X774" s="705">
        <f t="shared" si="39"/>
        <v>1842951</v>
      </c>
      <c r="Y774" s="705"/>
    </row>
    <row r="775" spans="2:25">
      <c r="B775" t="s">
        <v>687</v>
      </c>
      <c r="C775" t="s">
        <v>124</v>
      </c>
      <c r="D775" t="s">
        <v>583</v>
      </c>
      <c r="E775" t="s">
        <v>583</v>
      </c>
      <c r="F775" s="705">
        <v>2</v>
      </c>
      <c r="G775" s="705">
        <v>164</v>
      </c>
      <c r="H775" s="705">
        <v>982</v>
      </c>
      <c r="I775" s="705">
        <v>49872</v>
      </c>
      <c r="J775" s="706">
        <v>45338</v>
      </c>
      <c r="K775" s="705">
        <v>72</v>
      </c>
      <c r="L775" s="705">
        <v>13629</v>
      </c>
      <c r="M775" s="705">
        <v>11357</v>
      </c>
      <c r="N775" s="705">
        <v>3373</v>
      </c>
      <c r="O775" s="705">
        <v>1249</v>
      </c>
      <c r="P775" s="705">
        <v>1242</v>
      </c>
      <c r="Q775">
        <v>460</v>
      </c>
      <c r="R775" s="705">
        <v>10197</v>
      </c>
      <c r="S775" s="705">
        <v>9270</v>
      </c>
      <c r="T775" s="705">
        <v>1557</v>
      </c>
      <c r="U775">
        <v>577</v>
      </c>
      <c r="V775" s="705">
        <v>68251</v>
      </c>
      <c r="W775" s="705">
        <f t="shared" ref="W775:W838" si="40">SUM(ABS(J775),ABS(M775),ABS(O775),ABS(Q775),ABS(S775),ABS(U775))</f>
        <v>68251</v>
      </c>
      <c r="X775" s="705">
        <f t="shared" ref="X775:X838" si="41">SUM(ABS(I775),ABS(N775),ABS(P775),ABS(R775),ABS(T775),ABS(L775))</f>
        <v>79870</v>
      </c>
      <c r="Y775" s="705"/>
    </row>
    <row r="776" spans="2:25">
      <c r="B776" t="s">
        <v>687</v>
      </c>
      <c r="C776" t="s">
        <v>124</v>
      </c>
      <c r="D776" t="s">
        <v>584</v>
      </c>
      <c r="E776" t="s">
        <v>228</v>
      </c>
      <c r="F776" s="705">
        <v>3</v>
      </c>
      <c r="G776" s="705">
        <v>107</v>
      </c>
      <c r="H776" s="705">
        <v>1649</v>
      </c>
      <c r="I776" s="705">
        <v>35085</v>
      </c>
      <c r="J776" s="706">
        <v>31895</v>
      </c>
      <c r="K776" s="705">
        <v>75</v>
      </c>
      <c r="L776" s="705">
        <v>6570</v>
      </c>
      <c r="M776" s="705">
        <v>2433</v>
      </c>
      <c r="N776" s="705">
        <v>2485</v>
      </c>
      <c r="O776">
        <v>920</v>
      </c>
      <c r="P776">
        <v>473</v>
      </c>
      <c r="Q776">
        <v>175</v>
      </c>
      <c r="R776" s="705">
        <v>12931</v>
      </c>
      <c r="S776" s="705">
        <v>4789</v>
      </c>
      <c r="T776">
        <v>0</v>
      </c>
      <c r="U776">
        <v>0</v>
      </c>
      <c r="V776" s="705">
        <v>40213</v>
      </c>
      <c r="W776" s="705">
        <f t="shared" si="40"/>
        <v>40212</v>
      </c>
      <c r="X776" s="705">
        <f t="shared" si="41"/>
        <v>57544</v>
      </c>
      <c r="Y776" s="705"/>
    </row>
    <row r="777" spans="2:25">
      <c r="B777" t="s">
        <v>687</v>
      </c>
      <c r="C777" t="s">
        <v>124</v>
      </c>
      <c r="D777" t="s">
        <v>584</v>
      </c>
      <c r="E777" t="s">
        <v>584</v>
      </c>
      <c r="F777" s="705">
        <v>16</v>
      </c>
      <c r="G777" s="705">
        <v>884</v>
      </c>
      <c r="H777" s="705">
        <v>8640</v>
      </c>
      <c r="I777" s="705">
        <v>303413</v>
      </c>
      <c r="J777" s="706">
        <v>275830</v>
      </c>
      <c r="K777" s="705">
        <v>70</v>
      </c>
      <c r="L777" s="705">
        <v>49094</v>
      </c>
      <c r="M777" s="705">
        <v>44290</v>
      </c>
      <c r="N777" s="705">
        <v>19457</v>
      </c>
      <c r="O777" s="705">
        <v>7206</v>
      </c>
      <c r="P777" s="705">
        <v>7439</v>
      </c>
      <c r="Q777" s="705">
        <v>2755</v>
      </c>
      <c r="R777" s="705">
        <v>64247</v>
      </c>
      <c r="S777" s="705">
        <v>58406</v>
      </c>
      <c r="T777" s="705">
        <v>28126</v>
      </c>
      <c r="U777" s="705">
        <v>10417</v>
      </c>
      <c r="V777" s="705">
        <v>398905</v>
      </c>
      <c r="W777" s="705">
        <f t="shared" si="40"/>
        <v>398904</v>
      </c>
      <c r="X777" s="705">
        <f t="shared" si="41"/>
        <v>471776</v>
      </c>
      <c r="Y777" s="705"/>
    </row>
    <row r="778" spans="2:25">
      <c r="B778" t="s">
        <v>687</v>
      </c>
      <c r="C778" t="s">
        <v>124</v>
      </c>
      <c r="D778" t="s">
        <v>669</v>
      </c>
      <c r="E778" t="s">
        <v>228</v>
      </c>
      <c r="F778" s="705">
        <v>1</v>
      </c>
      <c r="G778" s="705">
        <v>80</v>
      </c>
      <c r="H778" s="705">
        <v>1008</v>
      </c>
      <c r="I778" s="705">
        <v>74758</v>
      </c>
      <c r="J778" s="706">
        <v>62298</v>
      </c>
      <c r="K778" s="705">
        <v>30</v>
      </c>
      <c r="L778">
        <v>0</v>
      </c>
      <c r="M778">
        <v>0</v>
      </c>
      <c r="N778" s="705">
        <v>1741</v>
      </c>
      <c r="O778">
        <v>645</v>
      </c>
      <c r="P778">
        <v>0</v>
      </c>
      <c r="Q778">
        <v>0</v>
      </c>
      <c r="R778" s="705">
        <v>4442</v>
      </c>
      <c r="S778" s="705">
        <v>1645</v>
      </c>
      <c r="T778">
        <v>0</v>
      </c>
      <c r="U778">
        <v>0</v>
      </c>
      <c r="V778" s="705">
        <v>64589</v>
      </c>
      <c r="W778" s="705">
        <f t="shared" si="40"/>
        <v>64588</v>
      </c>
      <c r="X778" s="705">
        <f t="shared" si="41"/>
        <v>80941</v>
      </c>
      <c r="Y778" s="705"/>
    </row>
    <row r="779" spans="2:25">
      <c r="B779" t="s">
        <v>687</v>
      </c>
      <c r="C779" t="s">
        <v>124</v>
      </c>
      <c r="D779" t="s">
        <v>669</v>
      </c>
      <c r="E779" t="s">
        <v>669</v>
      </c>
      <c r="F779">
        <v>2</v>
      </c>
      <c r="G779">
        <v>82</v>
      </c>
      <c r="H779" s="705">
        <v>1280</v>
      </c>
      <c r="I779" s="705">
        <v>28260</v>
      </c>
      <c r="J779" s="706">
        <v>23550</v>
      </c>
      <c r="K779">
        <v>53</v>
      </c>
      <c r="L779" s="705">
        <v>4230</v>
      </c>
      <c r="M779" s="705">
        <v>3525</v>
      </c>
      <c r="N779" s="705">
        <v>1778</v>
      </c>
      <c r="O779">
        <v>659</v>
      </c>
      <c r="P779">
        <v>702</v>
      </c>
      <c r="Q779">
        <v>260</v>
      </c>
      <c r="R779" s="705">
        <v>11748</v>
      </c>
      <c r="S779" s="705">
        <v>9790</v>
      </c>
      <c r="T779" s="705">
        <v>4653</v>
      </c>
      <c r="U779" s="705">
        <v>1723</v>
      </c>
      <c r="V779" s="705">
        <v>39507</v>
      </c>
      <c r="W779" s="705">
        <f t="shared" si="40"/>
        <v>39507</v>
      </c>
      <c r="X779" s="705">
        <f t="shared" si="41"/>
        <v>51371</v>
      </c>
      <c r="Y779" s="705"/>
    </row>
    <row r="780" spans="2:25">
      <c r="B780" t="s">
        <v>687</v>
      </c>
      <c r="C780" t="s">
        <v>124</v>
      </c>
      <c r="D780" t="s">
        <v>665</v>
      </c>
      <c r="E780" t="s">
        <v>665</v>
      </c>
      <c r="F780">
        <v>1</v>
      </c>
      <c r="G780">
        <v>33</v>
      </c>
      <c r="H780" s="705">
        <v>516</v>
      </c>
      <c r="I780" s="705">
        <v>7282</v>
      </c>
      <c r="J780" s="706">
        <v>6620</v>
      </c>
      <c r="K780" s="705">
        <v>55</v>
      </c>
      <c r="L780" s="705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705">
        <v>5226</v>
      </c>
      <c r="S780" s="705">
        <v>4751</v>
      </c>
      <c r="T780" s="705">
        <v>2388</v>
      </c>
      <c r="U780">
        <v>884</v>
      </c>
      <c r="V780" s="705">
        <v>13077</v>
      </c>
      <c r="W780" s="705">
        <f t="shared" si="40"/>
        <v>13077</v>
      </c>
      <c r="X780" s="705">
        <f t="shared" si="41"/>
        <v>17114</v>
      </c>
      <c r="Y780" s="705"/>
    </row>
    <row r="781" spans="2:25">
      <c r="B781" t="s">
        <v>688</v>
      </c>
      <c r="C781" t="s">
        <v>110</v>
      </c>
      <c r="D781" t="s">
        <v>584</v>
      </c>
      <c r="E781" t="s">
        <v>584</v>
      </c>
      <c r="F781">
        <v>1</v>
      </c>
      <c r="G781">
        <v>63</v>
      </c>
      <c r="H781" s="705">
        <v>98</v>
      </c>
      <c r="I781">
        <v>682</v>
      </c>
      <c r="J781" s="429">
        <v>620</v>
      </c>
      <c r="K781" s="705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705">
        <v>3759</v>
      </c>
      <c r="S781" s="705">
        <v>3418</v>
      </c>
      <c r="T781">
        <v>0</v>
      </c>
      <c r="U781">
        <v>0</v>
      </c>
      <c r="V781" s="705">
        <v>4680</v>
      </c>
      <c r="W781" s="705">
        <f t="shared" si="40"/>
        <v>4680</v>
      </c>
      <c r="X781" s="705">
        <f t="shared" si="41"/>
        <v>6175</v>
      </c>
      <c r="Y781" s="705"/>
    </row>
    <row r="782" spans="2:25">
      <c r="B782" t="s">
        <v>688</v>
      </c>
      <c r="C782" t="s">
        <v>112</v>
      </c>
      <c r="D782" t="s">
        <v>584</v>
      </c>
      <c r="E782" t="s">
        <v>584</v>
      </c>
      <c r="F782" s="705">
        <v>11</v>
      </c>
      <c r="G782" s="705">
        <v>821</v>
      </c>
      <c r="H782" s="705">
        <v>1250</v>
      </c>
      <c r="I782" s="705">
        <v>28162</v>
      </c>
      <c r="J782" s="706">
        <v>25601</v>
      </c>
      <c r="K782" s="705">
        <v>85</v>
      </c>
      <c r="L782" s="705">
        <v>1718</v>
      </c>
      <c r="M782">
        <v>636</v>
      </c>
      <c r="N782" s="705">
        <v>14810</v>
      </c>
      <c r="O782" s="705">
        <v>5485</v>
      </c>
      <c r="P782" s="705">
        <v>5198</v>
      </c>
      <c r="Q782" s="705">
        <v>1925</v>
      </c>
      <c r="R782" s="705">
        <v>42997</v>
      </c>
      <c r="S782" s="705">
        <v>39088</v>
      </c>
      <c r="T782">
        <v>0</v>
      </c>
      <c r="U782">
        <v>0</v>
      </c>
      <c r="V782" s="705">
        <v>72736</v>
      </c>
      <c r="W782" s="705">
        <f t="shared" si="40"/>
        <v>72735</v>
      </c>
      <c r="X782" s="705">
        <f t="shared" si="41"/>
        <v>92885</v>
      </c>
      <c r="Y782" s="705"/>
    </row>
    <row r="783" spans="2:25">
      <c r="B783" t="s">
        <v>688</v>
      </c>
      <c r="C783" t="s">
        <v>114</v>
      </c>
      <c r="D783" t="s">
        <v>228</v>
      </c>
      <c r="E783" t="s">
        <v>228</v>
      </c>
      <c r="F783" s="705">
        <v>2</v>
      </c>
      <c r="G783" s="705">
        <v>157</v>
      </c>
      <c r="H783" s="705">
        <v>292</v>
      </c>
      <c r="I783" s="705">
        <v>6365</v>
      </c>
      <c r="J783" s="706">
        <v>2357</v>
      </c>
      <c r="K783" s="705">
        <v>100</v>
      </c>
      <c r="L783" s="705">
        <v>1349</v>
      </c>
      <c r="M783">
        <v>500</v>
      </c>
      <c r="N783" s="705">
        <v>2503</v>
      </c>
      <c r="O783">
        <v>927</v>
      </c>
      <c r="P783">
        <v>0</v>
      </c>
      <c r="Q783">
        <v>0</v>
      </c>
      <c r="R783" s="705">
        <v>12684</v>
      </c>
      <c r="S783" s="705">
        <v>4698</v>
      </c>
      <c r="T783">
        <v>0</v>
      </c>
      <c r="U783">
        <v>0</v>
      </c>
      <c r="V783" s="705">
        <v>8482</v>
      </c>
      <c r="W783" s="705">
        <f t="shared" si="40"/>
        <v>8482</v>
      </c>
      <c r="X783" s="705">
        <f t="shared" si="41"/>
        <v>22901</v>
      </c>
      <c r="Y783" s="705"/>
    </row>
    <row r="784" spans="2:25">
      <c r="B784" t="s">
        <v>688</v>
      </c>
      <c r="C784" t="s">
        <v>114</v>
      </c>
      <c r="D784" t="s">
        <v>584</v>
      </c>
      <c r="E784" t="s">
        <v>584</v>
      </c>
      <c r="F784">
        <v>26</v>
      </c>
      <c r="G784" s="705">
        <v>1579</v>
      </c>
      <c r="H784" s="705">
        <v>3582</v>
      </c>
      <c r="I784" s="705">
        <v>62106</v>
      </c>
      <c r="J784" s="706">
        <v>56460</v>
      </c>
      <c r="K784" s="705">
        <v>84</v>
      </c>
      <c r="L784" s="705">
        <v>6862</v>
      </c>
      <c r="M784" s="705">
        <v>2541</v>
      </c>
      <c r="N784" s="705">
        <v>31331</v>
      </c>
      <c r="O784" s="705">
        <v>11604</v>
      </c>
      <c r="P784" s="705">
        <v>12285</v>
      </c>
      <c r="Q784" s="705">
        <v>4550</v>
      </c>
      <c r="R784" s="705">
        <v>102583</v>
      </c>
      <c r="S784" s="705">
        <v>93257</v>
      </c>
      <c r="T784" s="705">
        <v>1834</v>
      </c>
      <c r="U784">
        <v>679</v>
      </c>
      <c r="V784" s="705">
        <v>169092</v>
      </c>
      <c r="W784" s="705">
        <f t="shared" si="40"/>
        <v>169091</v>
      </c>
      <c r="X784" s="705">
        <f t="shared" si="41"/>
        <v>217001</v>
      </c>
      <c r="Y784" s="705"/>
    </row>
    <row r="785" spans="2:25">
      <c r="B785" t="s">
        <v>688</v>
      </c>
      <c r="C785" t="s">
        <v>116</v>
      </c>
      <c r="F785">
        <v>11</v>
      </c>
      <c r="G785" s="705">
        <v>523</v>
      </c>
      <c r="H785" s="705">
        <v>2213</v>
      </c>
      <c r="J785" s="706">
        <v>0</v>
      </c>
      <c r="K785" s="705"/>
      <c r="M785">
        <v>0</v>
      </c>
      <c r="N785" s="705">
        <v>10421</v>
      </c>
      <c r="O785" s="705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705">
        <v>3860</v>
      </c>
      <c r="W785" s="705">
        <f t="shared" si="40"/>
        <v>3860</v>
      </c>
      <c r="X785" s="705">
        <f t="shared" si="41"/>
        <v>10421</v>
      </c>
      <c r="Y785" s="705"/>
    </row>
    <row r="786" spans="2:25">
      <c r="B786" t="s">
        <v>688</v>
      </c>
      <c r="C786" t="s">
        <v>116</v>
      </c>
      <c r="D786" t="s">
        <v>228</v>
      </c>
      <c r="E786" t="s">
        <v>228</v>
      </c>
      <c r="F786">
        <v>43</v>
      </c>
      <c r="G786" s="705">
        <v>2624</v>
      </c>
      <c r="H786" s="705">
        <v>8342</v>
      </c>
      <c r="I786" s="705">
        <v>185565</v>
      </c>
      <c r="J786" s="706">
        <v>68728</v>
      </c>
      <c r="K786">
        <v>100</v>
      </c>
      <c r="L786" s="705">
        <v>28106</v>
      </c>
      <c r="M786" s="705">
        <v>10410</v>
      </c>
      <c r="N786" s="705">
        <v>52567</v>
      </c>
      <c r="O786" s="705">
        <v>19469</v>
      </c>
      <c r="P786">
        <v>0</v>
      </c>
      <c r="Q786">
        <v>0</v>
      </c>
      <c r="R786" s="705">
        <v>244962</v>
      </c>
      <c r="S786" s="705">
        <v>90727</v>
      </c>
      <c r="T786">
        <v>0</v>
      </c>
      <c r="U786">
        <v>0</v>
      </c>
      <c r="V786" s="705">
        <v>189333</v>
      </c>
      <c r="W786" s="705">
        <f t="shared" si="40"/>
        <v>189334</v>
      </c>
      <c r="X786" s="705">
        <f t="shared" si="41"/>
        <v>511200</v>
      </c>
      <c r="Y786" s="705"/>
    </row>
    <row r="787" spans="2:25">
      <c r="B787" t="s">
        <v>688</v>
      </c>
      <c r="C787" t="s">
        <v>116</v>
      </c>
      <c r="D787" t="s">
        <v>584</v>
      </c>
      <c r="E787" t="s">
        <v>584</v>
      </c>
      <c r="F787">
        <v>73</v>
      </c>
      <c r="G787" s="705">
        <v>4149</v>
      </c>
      <c r="H787" s="705">
        <v>13427</v>
      </c>
      <c r="I787" s="705">
        <v>336882</v>
      </c>
      <c r="J787" s="706">
        <v>306257</v>
      </c>
      <c r="K787" s="705">
        <v>82</v>
      </c>
      <c r="L787" s="705">
        <v>13324</v>
      </c>
      <c r="M787" s="705">
        <v>8986</v>
      </c>
      <c r="N787" s="705">
        <v>79356</v>
      </c>
      <c r="O787" s="705">
        <v>29391</v>
      </c>
      <c r="P787" s="705">
        <v>34419</v>
      </c>
      <c r="Q787" s="705">
        <v>12748</v>
      </c>
      <c r="R787" s="705">
        <v>278418</v>
      </c>
      <c r="S787" s="705">
        <v>253107</v>
      </c>
      <c r="T787" s="705">
        <v>16503</v>
      </c>
      <c r="U787" s="705">
        <v>6112</v>
      </c>
      <c r="V787" s="705">
        <v>616601</v>
      </c>
      <c r="W787" s="705">
        <f t="shared" si="40"/>
        <v>616601</v>
      </c>
      <c r="X787" s="705">
        <f t="shared" si="41"/>
        <v>758902</v>
      </c>
      <c r="Y787" s="705"/>
    </row>
    <row r="788" spans="2:25">
      <c r="B788" t="s">
        <v>688</v>
      </c>
      <c r="C788" t="s">
        <v>118</v>
      </c>
      <c r="F788" s="705">
        <v>7</v>
      </c>
      <c r="G788" s="705">
        <v>312</v>
      </c>
      <c r="H788" s="705">
        <v>1789</v>
      </c>
      <c r="J788" s="706">
        <v>0</v>
      </c>
      <c r="K788" s="705"/>
      <c r="M788">
        <v>0</v>
      </c>
      <c r="N788" s="705">
        <v>6520</v>
      </c>
      <c r="O788" s="705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705">
        <v>2545</v>
      </c>
      <c r="W788" s="705">
        <f t="shared" si="40"/>
        <v>2545</v>
      </c>
      <c r="X788" s="705">
        <f t="shared" si="41"/>
        <v>6871</v>
      </c>
      <c r="Y788" s="705"/>
    </row>
    <row r="789" spans="2:25">
      <c r="B789" t="s">
        <v>688</v>
      </c>
      <c r="C789" t="s">
        <v>118</v>
      </c>
      <c r="D789" t="s">
        <v>228</v>
      </c>
      <c r="E789" t="s">
        <v>228</v>
      </c>
      <c r="F789" s="705">
        <v>57</v>
      </c>
      <c r="G789" s="705">
        <v>3416</v>
      </c>
      <c r="H789" s="705">
        <v>15045</v>
      </c>
      <c r="I789" s="705">
        <v>448650</v>
      </c>
      <c r="J789" s="706">
        <v>166167</v>
      </c>
      <c r="K789" s="705">
        <v>100</v>
      </c>
      <c r="L789" s="705">
        <v>41369</v>
      </c>
      <c r="M789" s="705">
        <v>15322</v>
      </c>
      <c r="N789" s="705">
        <v>71671</v>
      </c>
      <c r="O789" s="705">
        <v>26545</v>
      </c>
      <c r="P789" s="705">
        <v>1404</v>
      </c>
      <c r="Q789">
        <v>520</v>
      </c>
      <c r="R789" s="705">
        <v>339433</v>
      </c>
      <c r="S789" s="705">
        <v>125716</v>
      </c>
      <c r="T789">
        <v>0</v>
      </c>
      <c r="U789">
        <v>0</v>
      </c>
      <c r="V789" s="705">
        <v>334269</v>
      </c>
      <c r="W789" s="705">
        <f t="shared" si="40"/>
        <v>334270</v>
      </c>
      <c r="X789" s="705">
        <f t="shared" si="41"/>
        <v>902527</v>
      </c>
      <c r="Y789" s="705"/>
    </row>
    <row r="790" spans="2:25">
      <c r="B790" t="s">
        <v>688</v>
      </c>
      <c r="C790" t="s">
        <v>118</v>
      </c>
      <c r="D790" t="s">
        <v>584</v>
      </c>
      <c r="E790" t="s">
        <v>584</v>
      </c>
      <c r="F790">
        <v>27</v>
      </c>
      <c r="G790" s="705">
        <v>1547</v>
      </c>
      <c r="H790" s="705">
        <v>7044</v>
      </c>
      <c r="I790" s="705">
        <v>202139</v>
      </c>
      <c r="J790" s="706">
        <v>183763</v>
      </c>
      <c r="K790" s="705">
        <v>79</v>
      </c>
      <c r="L790" s="705">
        <v>35385</v>
      </c>
      <c r="M790" s="705">
        <v>30118</v>
      </c>
      <c r="N790" s="705">
        <v>32272</v>
      </c>
      <c r="O790" s="705">
        <v>11952</v>
      </c>
      <c r="P790" s="705">
        <v>12523</v>
      </c>
      <c r="Q790" s="705">
        <v>4638</v>
      </c>
      <c r="R790" s="705">
        <v>118865</v>
      </c>
      <c r="S790" s="705">
        <v>108059</v>
      </c>
      <c r="T790" s="705">
        <v>7001</v>
      </c>
      <c r="U790" s="705">
        <v>2593</v>
      </c>
      <c r="V790" s="705">
        <v>341123</v>
      </c>
      <c r="W790" s="705">
        <f t="shared" si="40"/>
        <v>341123</v>
      </c>
      <c r="X790" s="705">
        <f t="shared" si="41"/>
        <v>408185</v>
      </c>
      <c r="Y790" s="705"/>
    </row>
    <row r="791" spans="2:25">
      <c r="B791" t="s">
        <v>688</v>
      </c>
      <c r="C791" t="s">
        <v>120</v>
      </c>
      <c r="D791" t="s">
        <v>228</v>
      </c>
      <c r="E791" t="s">
        <v>228</v>
      </c>
      <c r="F791">
        <v>17</v>
      </c>
      <c r="G791">
        <v>912</v>
      </c>
      <c r="H791" s="705">
        <v>5593</v>
      </c>
      <c r="I791" s="705">
        <v>163744</v>
      </c>
      <c r="J791" s="706">
        <v>60646</v>
      </c>
      <c r="K791" s="705">
        <v>100</v>
      </c>
      <c r="L791" s="705">
        <v>18517</v>
      </c>
      <c r="M791" s="705">
        <v>6858</v>
      </c>
      <c r="N791" s="705">
        <v>19151</v>
      </c>
      <c r="O791" s="705">
        <v>7093</v>
      </c>
      <c r="P791">
        <v>0</v>
      </c>
      <c r="Q791">
        <v>0</v>
      </c>
      <c r="R791" s="705">
        <v>97708</v>
      </c>
      <c r="S791" s="705">
        <v>36188</v>
      </c>
      <c r="T791">
        <v>0</v>
      </c>
      <c r="U791">
        <v>0</v>
      </c>
      <c r="V791" s="705">
        <v>110785</v>
      </c>
      <c r="W791" s="705">
        <f t="shared" si="40"/>
        <v>110785</v>
      </c>
      <c r="X791" s="705">
        <f t="shared" si="41"/>
        <v>299120</v>
      </c>
      <c r="Y791" s="705"/>
    </row>
    <row r="792" spans="2:25">
      <c r="B792" t="s">
        <v>688</v>
      </c>
      <c r="C792" t="s">
        <v>120</v>
      </c>
      <c r="D792" t="s">
        <v>584</v>
      </c>
      <c r="E792" t="s">
        <v>584</v>
      </c>
      <c r="F792">
        <v>12</v>
      </c>
      <c r="G792">
        <v>710</v>
      </c>
      <c r="H792" s="705">
        <v>4046</v>
      </c>
      <c r="I792" s="705">
        <v>127064</v>
      </c>
      <c r="J792" s="706">
        <v>115513</v>
      </c>
      <c r="K792" s="705">
        <v>71</v>
      </c>
      <c r="L792" s="705">
        <v>28154</v>
      </c>
      <c r="M792" s="705">
        <v>22988</v>
      </c>
      <c r="N792" s="705">
        <v>14408</v>
      </c>
      <c r="O792" s="705">
        <v>5336</v>
      </c>
      <c r="P792" s="705">
        <v>5670</v>
      </c>
      <c r="Q792" s="705">
        <v>2100</v>
      </c>
      <c r="R792" s="705">
        <v>60717</v>
      </c>
      <c r="S792" s="705">
        <v>55197</v>
      </c>
      <c r="T792" s="705">
        <v>1643</v>
      </c>
      <c r="U792">
        <v>609</v>
      </c>
      <c r="V792" s="705">
        <v>201743</v>
      </c>
      <c r="W792" s="705">
        <f t="shared" si="40"/>
        <v>201743</v>
      </c>
      <c r="X792" s="705">
        <f t="shared" si="41"/>
        <v>237656</v>
      </c>
      <c r="Y792" s="705"/>
    </row>
    <row r="793" spans="2:25">
      <c r="B793" t="s">
        <v>688</v>
      </c>
      <c r="C793" t="s">
        <v>122</v>
      </c>
      <c r="D793" t="s">
        <v>228</v>
      </c>
      <c r="E793" t="s">
        <v>228</v>
      </c>
      <c r="F793">
        <v>2</v>
      </c>
      <c r="G793">
        <v>88</v>
      </c>
      <c r="H793">
        <v>786</v>
      </c>
      <c r="I793" s="705">
        <v>20354</v>
      </c>
      <c r="J793" s="706">
        <v>7538</v>
      </c>
      <c r="K793" s="705">
        <v>100</v>
      </c>
      <c r="L793" s="705">
        <v>1451</v>
      </c>
      <c r="M793" s="705">
        <v>1209</v>
      </c>
      <c r="N793" s="705">
        <v>2155</v>
      </c>
      <c r="O793">
        <v>798</v>
      </c>
      <c r="P793">
        <v>351</v>
      </c>
      <c r="Q793">
        <v>130</v>
      </c>
      <c r="R793" s="705">
        <v>10478</v>
      </c>
      <c r="S793" s="705">
        <v>3881</v>
      </c>
      <c r="T793">
        <v>0</v>
      </c>
      <c r="U793">
        <v>0</v>
      </c>
      <c r="V793" s="705">
        <v>13556</v>
      </c>
      <c r="W793" s="705">
        <f t="shared" si="40"/>
        <v>13556</v>
      </c>
      <c r="X793" s="705">
        <f t="shared" si="41"/>
        <v>34789</v>
      </c>
      <c r="Y793" s="705"/>
    </row>
    <row r="794" spans="2:25">
      <c r="B794" t="s">
        <v>688</v>
      </c>
      <c r="C794" t="s">
        <v>122</v>
      </c>
      <c r="D794" t="s">
        <v>584</v>
      </c>
      <c r="E794" t="s">
        <v>584</v>
      </c>
      <c r="F794" s="705">
        <v>4</v>
      </c>
      <c r="G794" s="705">
        <v>272</v>
      </c>
      <c r="H794" s="705">
        <v>1611</v>
      </c>
      <c r="I794" s="705">
        <v>68060</v>
      </c>
      <c r="J794" s="706">
        <v>61873</v>
      </c>
      <c r="K794" s="705">
        <v>75</v>
      </c>
      <c r="L794" s="705">
        <v>12916</v>
      </c>
      <c r="M794" s="705">
        <v>11215</v>
      </c>
      <c r="N794" s="705">
        <v>5753</v>
      </c>
      <c r="O794" s="705">
        <v>2131</v>
      </c>
      <c r="P794" s="705">
        <v>1890</v>
      </c>
      <c r="Q794">
        <v>700</v>
      </c>
      <c r="R794" s="705">
        <v>19788</v>
      </c>
      <c r="S794" s="705">
        <v>17989</v>
      </c>
      <c r="T794" s="705">
        <v>1924</v>
      </c>
      <c r="U794">
        <v>713</v>
      </c>
      <c r="V794" s="705">
        <v>94620</v>
      </c>
      <c r="W794" s="705">
        <f t="shared" si="40"/>
        <v>94621</v>
      </c>
      <c r="X794" s="705">
        <f t="shared" si="41"/>
        <v>110331</v>
      </c>
      <c r="Y794" s="705"/>
    </row>
    <row r="795" spans="2:25">
      <c r="B795" t="s">
        <v>688</v>
      </c>
      <c r="C795" t="s">
        <v>122</v>
      </c>
      <c r="D795" t="s">
        <v>669</v>
      </c>
      <c r="E795" t="s">
        <v>669</v>
      </c>
      <c r="F795">
        <v>1</v>
      </c>
      <c r="G795" s="705">
        <v>71</v>
      </c>
      <c r="H795" s="705">
        <v>418</v>
      </c>
      <c r="I795" s="705">
        <v>18963</v>
      </c>
      <c r="J795" s="706">
        <v>15802</v>
      </c>
      <c r="K795" s="705">
        <v>65</v>
      </c>
      <c r="L795" s="705">
        <v>2107</v>
      </c>
      <c r="M795" s="705">
        <v>1756</v>
      </c>
      <c r="N795" s="705">
        <v>1410</v>
      </c>
      <c r="O795">
        <v>522</v>
      </c>
      <c r="P795">
        <v>351</v>
      </c>
      <c r="Q795">
        <v>130</v>
      </c>
      <c r="R795" s="705">
        <v>4725</v>
      </c>
      <c r="S795" s="705">
        <v>3938</v>
      </c>
      <c r="T795" s="705">
        <v>2317</v>
      </c>
      <c r="U795">
        <v>858</v>
      </c>
      <c r="V795" s="705">
        <v>23006</v>
      </c>
      <c r="W795" s="705">
        <f t="shared" si="40"/>
        <v>23006</v>
      </c>
      <c r="X795" s="705">
        <f t="shared" si="41"/>
        <v>29873</v>
      </c>
      <c r="Y795" s="705"/>
    </row>
    <row r="796" spans="2:25">
      <c r="B796" t="s">
        <v>688</v>
      </c>
      <c r="C796" t="s">
        <v>124</v>
      </c>
      <c r="D796" t="s">
        <v>228</v>
      </c>
      <c r="E796" t="s">
        <v>228</v>
      </c>
      <c r="F796">
        <v>5</v>
      </c>
      <c r="G796">
        <v>212</v>
      </c>
      <c r="H796" s="705">
        <v>2732</v>
      </c>
      <c r="I796" s="705">
        <v>84631</v>
      </c>
      <c r="J796" s="706">
        <v>31345</v>
      </c>
      <c r="K796" s="705">
        <v>100</v>
      </c>
      <c r="L796" s="705">
        <v>2806</v>
      </c>
      <c r="M796" s="705">
        <v>1039</v>
      </c>
      <c r="N796" s="705">
        <v>4628</v>
      </c>
      <c r="O796" s="705">
        <v>1714</v>
      </c>
      <c r="P796">
        <v>351</v>
      </c>
      <c r="Q796">
        <v>130</v>
      </c>
      <c r="R796" s="705">
        <v>24764</v>
      </c>
      <c r="S796" s="705">
        <v>9172</v>
      </c>
      <c r="T796">
        <v>0</v>
      </c>
      <c r="U796">
        <v>0</v>
      </c>
      <c r="V796" s="705">
        <v>43400</v>
      </c>
      <c r="W796" s="705">
        <f t="shared" si="40"/>
        <v>43400</v>
      </c>
      <c r="X796" s="705">
        <f t="shared" si="41"/>
        <v>117180</v>
      </c>
      <c r="Y796" s="705"/>
    </row>
    <row r="797" spans="2:25">
      <c r="B797" t="s">
        <v>688</v>
      </c>
      <c r="C797" t="s">
        <v>124</v>
      </c>
      <c r="D797" t="s">
        <v>584</v>
      </c>
      <c r="E797" t="s">
        <v>584</v>
      </c>
      <c r="F797">
        <v>1</v>
      </c>
      <c r="G797">
        <v>81</v>
      </c>
      <c r="H797" s="705">
        <v>470</v>
      </c>
      <c r="I797" s="705">
        <v>27674</v>
      </c>
      <c r="J797" s="706">
        <v>25158</v>
      </c>
      <c r="K797" s="705">
        <v>78</v>
      </c>
      <c r="L797" s="705">
        <v>3622</v>
      </c>
      <c r="M797" s="705">
        <v>3292</v>
      </c>
      <c r="N797" s="705">
        <v>1567</v>
      </c>
      <c r="O797">
        <v>580</v>
      </c>
      <c r="P797">
        <v>473</v>
      </c>
      <c r="Q797">
        <v>175</v>
      </c>
      <c r="R797" s="705">
        <v>3151</v>
      </c>
      <c r="S797" s="705">
        <v>2864</v>
      </c>
      <c r="T797" s="705">
        <v>1739</v>
      </c>
      <c r="U797">
        <v>644</v>
      </c>
      <c r="V797" s="705">
        <v>32715</v>
      </c>
      <c r="W797" s="705">
        <f t="shared" si="40"/>
        <v>32713</v>
      </c>
      <c r="X797" s="705">
        <f t="shared" si="41"/>
        <v>38226</v>
      </c>
      <c r="Y797" s="705"/>
    </row>
    <row r="798" spans="2:25">
      <c r="B798" t="s">
        <v>689</v>
      </c>
      <c r="C798" t="s">
        <v>108</v>
      </c>
      <c r="F798">
        <v>12</v>
      </c>
      <c r="G798" s="705">
        <v>746</v>
      </c>
      <c r="H798">
        <v>769</v>
      </c>
      <c r="J798" s="429">
        <v>0</v>
      </c>
      <c r="K798" s="705"/>
      <c r="M798">
        <v>0</v>
      </c>
      <c r="N798" s="705">
        <v>9084</v>
      </c>
      <c r="O798" s="705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705">
        <v>3365</v>
      </c>
      <c r="W798" s="705">
        <f t="shared" si="40"/>
        <v>3365</v>
      </c>
      <c r="X798" s="705">
        <f t="shared" si="41"/>
        <v>9084</v>
      </c>
      <c r="Y798" s="705"/>
    </row>
    <row r="799" spans="2:25">
      <c r="B799" t="s">
        <v>689</v>
      </c>
      <c r="C799" t="s">
        <v>108</v>
      </c>
      <c r="D799" t="s">
        <v>228</v>
      </c>
      <c r="E799" t="s">
        <v>228</v>
      </c>
      <c r="F799" s="705">
        <v>176</v>
      </c>
      <c r="G799" s="705">
        <v>11936</v>
      </c>
      <c r="H799" s="705">
        <v>9727</v>
      </c>
      <c r="I799" s="705">
        <v>-168429</v>
      </c>
      <c r="J799" s="706">
        <v>-62381</v>
      </c>
      <c r="K799" s="705">
        <v>447</v>
      </c>
      <c r="L799">
        <v>0</v>
      </c>
      <c r="M799">
        <v>0</v>
      </c>
      <c r="N799" s="705">
        <v>145424</v>
      </c>
      <c r="O799" s="705">
        <v>53861</v>
      </c>
      <c r="P799" s="705">
        <v>160461</v>
      </c>
      <c r="Q799" s="705">
        <v>59430</v>
      </c>
      <c r="R799" s="705">
        <v>502007</v>
      </c>
      <c r="S799" s="705">
        <v>185928</v>
      </c>
      <c r="T799">
        <v>0</v>
      </c>
      <c r="U799">
        <v>0</v>
      </c>
      <c r="V799" s="705">
        <v>236838</v>
      </c>
      <c r="W799" s="705">
        <f t="shared" si="40"/>
        <v>361600</v>
      </c>
      <c r="X799" s="705">
        <f t="shared" si="41"/>
        <v>976321</v>
      </c>
      <c r="Y799" s="705"/>
    </row>
    <row r="800" spans="2:25">
      <c r="B800" t="s">
        <v>689</v>
      </c>
      <c r="C800" t="s">
        <v>108</v>
      </c>
      <c r="D800" t="s">
        <v>584</v>
      </c>
      <c r="E800" t="s">
        <v>584</v>
      </c>
      <c r="F800" s="705">
        <v>33</v>
      </c>
      <c r="G800" s="705">
        <v>2865</v>
      </c>
      <c r="H800" s="705">
        <v>1895</v>
      </c>
      <c r="I800" s="705">
        <v>20264</v>
      </c>
      <c r="J800" s="706">
        <v>18422</v>
      </c>
      <c r="K800" s="705">
        <v>91</v>
      </c>
      <c r="L800">
        <v>0</v>
      </c>
      <c r="M800">
        <v>0</v>
      </c>
      <c r="N800" s="705">
        <v>39190</v>
      </c>
      <c r="O800" s="705">
        <v>14515</v>
      </c>
      <c r="P800" s="705">
        <v>39812</v>
      </c>
      <c r="Q800" s="705">
        <v>14745</v>
      </c>
      <c r="R800" s="705">
        <v>60139</v>
      </c>
      <c r="S800" s="705">
        <v>54672</v>
      </c>
      <c r="T800">
        <v>0</v>
      </c>
      <c r="U800">
        <v>0</v>
      </c>
      <c r="V800" s="705">
        <v>102354</v>
      </c>
      <c r="W800" s="705">
        <f t="shared" si="40"/>
        <v>102354</v>
      </c>
      <c r="X800" s="705">
        <f t="shared" si="41"/>
        <v>159405</v>
      </c>
      <c r="Y800" s="705"/>
    </row>
    <row r="801" spans="2:25">
      <c r="B801" t="s">
        <v>689</v>
      </c>
      <c r="C801" t="s">
        <v>110</v>
      </c>
      <c r="F801">
        <v>8</v>
      </c>
      <c r="G801" s="705">
        <v>468</v>
      </c>
      <c r="H801" s="705">
        <v>696</v>
      </c>
      <c r="J801" s="706">
        <v>0</v>
      </c>
      <c r="K801" s="705"/>
      <c r="M801">
        <v>0</v>
      </c>
      <c r="N801" s="705">
        <v>5699</v>
      </c>
      <c r="O801" s="705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705">
        <v>2111</v>
      </c>
      <c r="W801" s="705">
        <f t="shared" si="40"/>
        <v>2111</v>
      </c>
      <c r="X801" s="705">
        <f t="shared" si="41"/>
        <v>5699</v>
      </c>
      <c r="Y801" s="705"/>
    </row>
    <row r="802" spans="2:25">
      <c r="B802" t="s">
        <v>689</v>
      </c>
      <c r="C802" t="s">
        <v>110</v>
      </c>
      <c r="D802" t="s">
        <v>584</v>
      </c>
      <c r="E802" t="s">
        <v>584</v>
      </c>
      <c r="F802">
        <v>34</v>
      </c>
      <c r="G802" s="705">
        <v>2424</v>
      </c>
      <c r="H802" s="705">
        <v>3132</v>
      </c>
      <c r="I802" s="705">
        <v>79391</v>
      </c>
      <c r="J802" s="706">
        <v>72174</v>
      </c>
      <c r="K802" s="705">
        <v>87</v>
      </c>
      <c r="L802">
        <v>0</v>
      </c>
      <c r="M802">
        <v>0</v>
      </c>
      <c r="N802" s="705">
        <v>39519</v>
      </c>
      <c r="O802" s="705">
        <v>14637</v>
      </c>
      <c r="P802" s="705">
        <v>16065</v>
      </c>
      <c r="Q802" s="705">
        <v>5950</v>
      </c>
      <c r="R802" s="705">
        <v>93974</v>
      </c>
      <c r="S802" s="705">
        <v>85431</v>
      </c>
      <c r="T802">
        <v>0</v>
      </c>
      <c r="U802">
        <v>0</v>
      </c>
      <c r="V802" s="705">
        <v>178191</v>
      </c>
      <c r="W802" s="705">
        <f t="shared" si="40"/>
        <v>178192</v>
      </c>
      <c r="X802" s="705">
        <f t="shared" si="41"/>
        <v>228949</v>
      </c>
      <c r="Y802" s="705"/>
    </row>
    <row r="803" spans="2:25">
      <c r="B803" t="s">
        <v>689</v>
      </c>
      <c r="C803" t="s">
        <v>112</v>
      </c>
      <c r="F803">
        <v>1</v>
      </c>
      <c r="G803">
        <v>71</v>
      </c>
      <c r="H803" s="705">
        <v>121</v>
      </c>
      <c r="J803" s="706">
        <v>0</v>
      </c>
      <c r="K803" s="705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705">
        <f t="shared" si="40"/>
        <v>452</v>
      </c>
      <c r="X803" s="705">
        <f t="shared" si="41"/>
        <v>1221</v>
      </c>
      <c r="Y803" s="705"/>
    </row>
    <row r="804" spans="2:25">
      <c r="B804" t="s">
        <v>689</v>
      </c>
      <c r="C804" t="s">
        <v>112</v>
      </c>
      <c r="D804" t="s">
        <v>228</v>
      </c>
      <c r="E804" t="s">
        <v>228</v>
      </c>
      <c r="F804" s="705">
        <v>4</v>
      </c>
      <c r="G804" s="705">
        <v>293</v>
      </c>
      <c r="H804" s="705">
        <v>477</v>
      </c>
      <c r="I804" s="705">
        <v>5293</v>
      </c>
      <c r="J804" s="706">
        <v>1960</v>
      </c>
      <c r="K804" s="705">
        <v>175</v>
      </c>
      <c r="L804" s="705">
        <v>1097</v>
      </c>
      <c r="M804">
        <v>406</v>
      </c>
      <c r="N804" s="705">
        <v>5425</v>
      </c>
      <c r="O804" s="705">
        <v>2009</v>
      </c>
      <c r="P804">
        <v>702</v>
      </c>
      <c r="Q804">
        <v>260</v>
      </c>
      <c r="R804" s="705">
        <v>22288</v>
      </c>
      <c r="S804" s="705">
        <v>8255</v>
      </c>
      <c r="T804">
        <v>0</v>
      </c>
      <c r="U804">
        <v>0</v>
      </c>
      <c r="V804" s="705">
        <v>12890</v>
      </c>
      <c r="W804" s="705">
        <f t="shared" si="40"/>
        <v>12890</v>
      </c>
      <c r="X804" s="705">
        <f t="shared" si="41"/>
        <v>34805</v>
      </c>
      <c r="Y804" s="705"/>
    </row>
    <row r="805" spans="2:25">
      <c r="B805" t="s">
        <v>689</v>
      </c>
      <c r="C805" t="s">
        <v>112</v>
      </c>
      <c r="D805" t="s">
        <v>583</v>
      </c>
      <c r="E805" t="s">
        <v>583</v>
      </c>
      <c r="F805">
        <v>1</v>
      </c>
      <c r="G805">
        <v>54</v>
      </c>
      <c r="H805">
        <v>122</v>
      </c>
      <c r="I805" s="705">
        <v>1943</v>
      </c>
      <c r="J805" s="706">
        <v>1767</v>
      </c>
      <c r="K805" s="705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705">
        <v>3379</v>
      </c>
      <c r="S805" s="705">
        <v>3072</v>
      </c>
      <c r="T805">
        <v>0</v>
      </c>
      <c r="U805">
        <v>0</v>
      </c>
      <c r="V805" s="705">
        <v>5314</v>
      </c>
      <c r="W805" s="705">
        <f t="shared" si="40"/>
        <v>5314</v>
      </c>
      <c r="X805" s="705">
        <f t="shared" si="41"/>
        <v>6604</v>
      </c>
      <c r="Y805" s="705"/>
    </row>
    <row r="806" spans="2:25">
      <c r="B806" t="s">
        <v>689</v>
      </c>
      <c r="C806" t="s">
        <v>112</v>
      </c>
      <c r="D806" t="s">
        <v>584</v>
      </c>
      <c r="E806" t="s">
        <v>584</v>
      </c>
      <c r="F806">
        <v>250</v>
      </c>
      <c r="G806" s="705">
        <v>18794</v>
      </c>
      <c r="H806" s="705">
        <v>29001</v>
      </c>
      <c r="I806" s="705">
        <v>915577</v>
      </c>
      <c r="J806" s="706">
        <v>832342</v>
      </c>
      <c r="K806" s="705">
        <v>83</v>
      </c>
      <c r="L806" s="705">
        <v>5149</v>
      </c>
      <c r="M806" s="705">
        <v>3383</v>
      </c>
      <c r="N806" s="705">
        <v>338628</v>
      </c>
      <c r="O806" s="705">
        <v>125418</v>
      </c>
      <c r="P806" s="705">
        <v>119417</v>
      </c>
      <c r="Q806" s="705">
        <v>44229</v>
      </c>
      <c r="R806" s="705">
        <v>788435</v>
      </c>
      <c r="S806" s="705">
        <v>716759</v>
      </c>
      <c r="T806" s="705">
        <v>13541</v>
      </c>
      <c r="U806" s="705">
        <v>5015</v>
      </c>
      <c r="V806" s="705">
        <v>1727147</v>
      </c>
      <c r="W806" s="705">
        <f t="shared" si="40"/>
        <v>1727146</v>
      </c>
      <c r="X806" s="705">
        <f t="shared" si="41"/>
        <v>2180747</v>
      </c>
      <c r="Y806" s="705"/>
    </row>
    <row r="807" spans="2:25">
      <c r="B807" t="s">
        <v>689</v>
      </c>
      <c r="C807" t="s">
        <v>114</v>
      </c>
      <c r="F807">
        <v>6</v>
      </c>
      <c r="G807" s="705">
        <v>358</v>
      </c>
      <c r="H807" s="705">
        <v>852</v>
      </c>
      <c r="J807" s="706">
        <v>0</v>
      </c>
      <c r="K807" s="705"/>
      <c r="M807">
        <v>0</v>
      </c>
      <c r="N807" s="705">
        <v>5759</v>
      </c>
      <c r="O807" s="705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705">
        <v>2483</v>
      </c>
      <c r="W807" s="705">
        <f t="shared" si="40"/>
        <v>2483</v>
      </c>
      <c r="X807" s="705">
        <f t="shared" si="41"/>
        <v>6704</v>
      </c>
      <c r="Y807" s="705"/>
    </row>
    <row r="808" spans="2:25">
      <c r="B808" t="s">
        <v>689</v>
      </c>
      <c r="C808" t="s">
        <v>114</v>
      </c>
      <c r="D808" t="s">
        <v>228</v>
      </c>
      <c r="E808" t="s">
        <v>228</v>
      </c>
      <c r="F808">
        <v>15</v>
      </c>
      <c r="G808" s="705">
        <v>1041</v>
      </c>
      <c r="H808" s="705">
        <v>2138</v>
      </c>
      <c r="I808" s="705">
        <v>35878</v>
      </c>
      <c r="J808" s="706">
        <v>13288</v>
      </c>
      <c r="K808" s="705">
        <v>140</v>
      </c>
      <c r="L808" s="705">
        <v>6474</v>
      </c>
      <c r="M808" s="705">
        <v>2398</v>
      </c>
      <c r="N808" s="705">
        <v>18704</v>
      </c>
      <c r="O808" s="705">
        <v>6927</v>
      </c>
      <c r="P808" s="705">
        <v>1755</v>
      </c>
      <c r="Q808">
        <v>650</v>
      </c>
      <c r="R808" s="705">
        <v>85015</v>
      </c>
      <c r="S808" s="705">
        <v>31487</v>
      </c>
      <c r="T808">
        <v>0</v>
      </c>
      <c r="U808">
        <v>0</v>
      </c>
      <c r="V808" s="705">
        <v>54750</v>
      </c>
      <c r="W808" s="705">
        <f t="shared" si="40"/>
        <v>54750</v>
      </c>
      <c r="X808" s="705">
        <f t="shared" si="41"/>
        <v>147826</v>
      </c>
      <c r="Y808" s="705"/>
    </row>
    <row r="809" spans="2:25">
      <c r="B809" t="s">
        <v>689</v>
      </c>
      <c r="C809" t="s">
        <v>114</v>
      </c>
      <c r="D809" t="s">
        <v>584</v>
      </c>
      <c r="E809" t="s">
        <v>584</v>
      </c>
      <c r="F809" s="705">
        <v>513</v>
      </c>
      <c r="G809" s="705">
        <v>34632</v>
      </c>
      <c r="H809" s="705">
        <v>71120</v>
      </c>
      <c r="I809" s="705">
        <v>2101567</v>
      </c>
      <c r="J809" s="706">
        <v>1910516</v>
      </c>
      <c r="K809" s="705">
        <v>83</v>
      </c>
      <c r="L809" s="705">
        <v>40665</v>
      </c>
      <c r="M809" s="705">
        <v>39114</v>
      </c>
      <c r="N809" s="705">
        <v>647794</v>
      </c>
      <c r="O809" s="705">
        <v>239924</v>
      </c>
      <c r="P809" s="705">
        <v>240287</v>
      </c>
      <c r="Q809" s="705">
        <v>88995</v>
      </c>
      <c r="R809" s="705">
        <v>1721494</v>
      </c>
      <c r="S809" s="705">
        <v>1564995</v>
      </c>
      <c r="T809" s="705">
        <v>65080</v>
      </c>
      <c r="U809" s="705">
        <v>24104</v>
      </c>
      <c r="V809" s="705">
        <v>3867646</v>
      </c>
      <c r="W809" s="705">
        <f t="shared" si="40"/>
        <v>3867648</v>
      </c>
      <c r="X809" s="705">
        <f t="shared" si="41"/>
        <v>4816887</v>
      </c>
      <c r="Y809" s="705"/>
    </row>
    <row r="810" spans="2:25">
      <c r="B810" t="s">
        <v>689</v>
      </c>
      <c r="C810" t="s">
        <v>114</v>
      </c>
      <c r="D810" t="s">
        <v>585</v>
      </c>
      <c r="E810" t="s">
        <v>585</v>
      </c>
      <c r="F810">
        <v>5</v>
      </c>
      <c r="G810" s="705">
        <v>347</v>
      </c>
      <c r="H810">
        <v>694</v>
      </c>
      <c r="I810" s="705">
        <v>19036</v>
      </c>
      <c r="J810" s="706">
        <v>17305</v>
      </c>
      <c r="K810" s="705">
        <v>75</v>
      </c>
      <c r="L810">
        <v>0</v>
      </c>
      <c r="M810">
        <v>0</v>
      </c>
      <c r="N810" s="705">
        <v>8448</v>
      </c>
      <c r="O810" s="705">
        <v>3129</v>
      </c>
      <c r="P810" s="705">
        <v>1755</v>
      </c>
      <c r="Q810">
        <v>650</v>
      </c>
      <c r="R810" s="705">
        <v>18903</v>
      </c>
      <c r="S810" s="705">
        <v>17185</v>
      </c>
      <c r="T810">
        <v>0</v>
      </c>
      <c r="U810">
        <v>0</v>
      </c>
      <c r="V810" s="705">
        <v>38269</v>
      </c>
      <c r="W810" s="705">
        <f t="shared" si="40"/>
        <v>38269</v>
      </c>
      <c r="X810" s="705">
        <f t="shared" si="41"/>
        <v>48142</v>
      </c>
      <c r="Y810" s="705"/>
    </row>
    <row r="811" spans="2:25">
      <c r="B811" t="s">
        <v>689</v>
      </c>
      <c r="C811" t="s">
        <v>116</v>
      </c>
      <c r="F811">
        <v>37</v>
      </c>
      <c r="G811" s="705">
        <v>1749</v>
      </c>
      <c r="H811" s="705">
        <v>7257</v>
      </c>
      <c r="J811" s="706">
        <v>0</v>
      </c>
      <c r="K811" s="705"/>
      <c r="M811">
        <v>0</v>
      </c>
      <c r="N811" s="705">
        <v>28853</v>
      </c>
      <c r="O811" s="705">
        <v>10686</v>
      </c>
      <c r="P811" s="705">
        <v>2241</v>
      </c>
      <c r="Q811">
        <v>830</v>
      </c>
      <c r="S811">
        <v>0</v>
      </c>
      <c r="T811" s="705">
        <v>11710</v>
      </c>
      <c r="U811" s="705">
        <v>4337</v>
      </c>
      <c r="V811" s="705">
        <v>15853</v>
      </c>
      <c r="W811" s="705">
        <f t="shared" si="40"/>
        <v>15853</v>
      </c>
      <c r="X811" s="705">
        <f t="shared" si="41"/>
        <v>42804</v>
      </c>
      <c r="Y811" s="705"/>
    </row>
    <row r="812" spans="2:25">
      <c r="B812" t="s">
        <v>689</v>
      </c>
      <c r="C812" t="s">
        <v>116</v>
      </c>
      <c r="D812" t="s">
        <v>228</v>
      </c>
      <c r="E812" t="s">
        <v>228</v>
      </c>
      <c r="F812">
        <v>296</v>
      </c>
      <c r="G812" s="705">
        <v>19438</v>
      </c>
      <c r="H812" s="705">
        <v>58485</v>
      </c>
      <c r="I812" s="705">
        <v>1476164</v>
      </c>
      <c r="J812" s="706">
        <v>546728</v>
      </c>
      <c r="K812" s="705">
        <v>110</v>
      </c>
      <c r="L812" s="705">
        <v>203872</v>
      </c>
      <c r="M812" s="705">
        <v>82224</v>
      </c>
      <c r="N812" s="705">
        <v>366670</v>
      </c>
      <c r="O812" s="705">
        <v>135804</v>
      </c>
      <c r="P812" s="705">
        <v>7925</v>
      </c>
      <c r="Q812" s="705">
        <v>2935</v>
      </c>
      <c r="R812" s="705">
        <v>1767981</v>
      </c>
      <c r="S812" s="705">
        <v>654808</v>
      </c>
      <c r="T812" s="705">
        <v>5797</v>
      </c>
      <c r="U812" s="705">
        <v>2147</v>
      </c>
      <c r="V812" s="705">
        <v>1424645</v>
      </c>
      <c r="W812" s="705">
        <f t="shared" si="40"/>
        <v>1424646</v>
      </c>
      <c r="X812" s="705">
        <f t="shared" si="41"/>
        <v>3828409</v>
      </c>
      <c r="Y812" s="705"/>
    </row>
    <row r="813" spans="2:25">
      <c r="B813" t="s">
        <v>689</v>
      </c>
      <c r="C813" t="s">
        <v>116</v>
      </c>
      <c r="D813" t="s">
        <v>583</v>
      </c>
      <c r="E813" t="s">
        <v>583</v>
      </c>
      <c r="F813" s="705">
        <v>1</v>
      </c>
      <c r="G813" s="705">
        <v>51</v>
      </c>
      <c r="H813" s="705">
        <v>157</v>
      </c>
      <c r="I813" s="705">
        <v>3476</v>
      </c>
      <c r="J813" s="706">
        <v>3160</v>
      </c>
      <c r="K813" s="705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705">
        <v>3320</v>
      </c>
      <c r="S813" s="705">
        <v>3018</v>
      </c>
      <c r="T813">
        <v>0</v>
      </c>
      <c r="U813">
        <v>0</v>
      </c>
      <c r="V813" s="705">
        <v>6639</v>
      </c>
      <c r="W813" s="705">
        <f t="shared" si="40"/>
        <v>6639</v>
      </c>
      <c r="X813" s="705">
        <f t="shared" si="41"/>
        <v>8041</v>
      </c>
      <c r="Y813" s="705"/>
    </row>
    <row r="814" spans="2:25">
      <c r="B814" t="s">
        <v>689</v>
      </c>
      <c r="C814" t="s">
        <v>116</v>
      </c>
      <c r="D814" t="s">
        <v>584</v>
      </c>
      <c r="E814" t="s">
        <v>228</v>
      </c>
      <c r="F814" s="705">
        <v>1</v>
      </c>
      <c r="G814" s="705">
        <v>68</v>
      </c>
      <c r="H814" s="705">
        <v>221</v>
      </c>
      <c r="I814" s="705">
        <v>6770</v>
      </c>
      <c r="J814" s="706">
        <v>6155</v>
      </c>
      <c r="K814" s="705">
        <v>77</v>
      </c>
      <c r="L814">
        <v>0</v>
      </c>
      <c r="M814">
        <v>0</v>
      </c>
      <c r="N814" s="705">
        <v>1481</v>
      </c>
      <c r="O814">
        <v>549</v>
      </c>
      <c r="P814">
        <v>473</v>
      </c>
      <c r="Q814">
        <v>175</v>
      </c>
      <c r="R814" s="705">
        <v>6399</v>
      </c>
      <c r="S814" s="705">
        <v>2370</v>
      </c>
      <c r="T814">
        <v>0</v>
      </c>
      <c r="U814">
        <v>0</v>
      </c>
      <c r="V814" s="705">
        <v>9248</v>
      </c>
      <c r="W814" s="705">
        <f t="shared" si="40"/>
        <v>9249</v>
      </c>
      <c r="X814" s="705">
        <f t="shared" si="41"/>
        <v>15123</v>
      </c>
      <c r="Y814" s="705"/>
    </row>
    <row r="815" spans="2:25">
      <c r="B815" t="s">
        <v>689</v>
      </c>
      <c r="C815" t="s">
        <v>116</v>
      </c>
      <c r="D815" t="s">
        <v>584</v>
      </c>
      <c r="E815" t="s">
        <v>584</v>
      </c>
      <c r="F815" s="705">
        <v>740</v>
      </c>
      <c r="G815" s="705">
        <v>45679</v>
      </c>
      <c r="H815" s="705">
        <v>130640</v>
      </c>
      <c r="I815" s="705">
        <v>3939753</v>
      </c>
      <c r="J815" s="706">
        <v>3581594</v>
      </c>
      <c r="K815" s="705">
        <v>81</v>
      </c>
      <c r="L815" s="705">
        <v>117912</v>
      </c>
      <c r="M815" s="705">
        <v>83541</v>
      </c>
      <c r="N815" s="705">
        <v>892543</v>
      </c>
      <c r="O815" s="705">
        <v>330572</v>
      </c>
      <c r="P815" s="705">
        <v>346059</v>
      </c>
      <c r="Q815" s="705">
        <v>128170</v>
      </c>
      <c r="R815" s="705">
        <v>2503435</v>
      </c>
      <c r="S815" s="705">
        <v>2275850</v>
      </c>
      <c r="T815" s="705">
        <v>236825</v>
      </c>
      <c r="U815" s="705">
        <v>87713</v>
      </c>
      <c r="V815" s="705">
        <v>6487439</v>
      </c>
      <c r="W815" s="705">
        <f t="shared" si="40"/>
        <v>6487440</v>
      </c>
      <c r="X815" s="705">
        <f t="shared" si="41"/>
        <v>8036527</v>
      </c>
      <c r="Y815" s="705"/>
    </row>
    <row r="816" spans="2:25">
      <c r="B816" t="s">
        <v>689</v>
      </c>
      <c r="C816" t="s">
        <v>116</v>
      </c>
      <c r="D816" t="s">
        <v>585</v>
      </c>
      <c r="E816" t="s">
        <v>585</v>
      </c>
      <c r="F816">
        <v>13</v>
      </c>
      <c r="G816">
        <v>901</v>
      </c>
      <c r="H816" s="705">
        <v>2330</v>
      </c>
      <c r="I816" s="705">
        <v>85840</v>
      </c>
      <c r="J816" s="705">
        <v>78036</v>
      </c>
      <c r="K816" s="705">
        <v>75</v>
      </c>
      <c r="L816">
        <v>0</v>
      </c>
      <c r="M816">
        <v>0</v>
      </c>
      <c r="N816" s="705">
        <v>21965</v>
      </c>
      <c r="O816" s="705">
        <v>8135</v>
      </c>
      <c r="P816" s="705">
        <v>4563</v>
      </c>
      <c r="Q816" s="705">
        <v>1690</v>
      </c>
      <c r="R816" s="705">
        <v>49148</v>
      </c>
      <c r="S816" s="705">
        <v>44680</v>
      </c>
      <c r="T816">
        <v>0</v>
      </c>
      <c r="U816">
        <v>0</v>
      </c>
      <c r="V816" s="705">
        <v>132542</v>
      </c>
      <c r="W816" s="705">
        <f t="shared" si="40"/>
        <v>132541</v>
      </c>
      <c r="X816" s="705">
        <f t="shared" si="41"/>
        <v>161516</v>
      </c>
      <c r="Y816" s="705"/>
    </row>
    <row r="817" spans="2:25">
      <c r="B817" t="s">
        <v>689</v>
      </c>
      <c r="C817" t="s">
        <v>118</v>
      </c>
      <c r="F817">
        <v>22</v>
      </c>
      <c r="G817" s="705">
        <v>1115</v>
      </c>
      <c r="H817" s="705">
        <v>5498</v>
      </c>
      <c r="J817">
        <v>0</v>
      </c>
      <c r="K817" s="705"/>
      <c r="M817">
        <v>0</v>
      </c>
      <c r="N817" s="705">
        <v>24119</v>
      </c>
      <c r="O817" s="705">
        <v>8933</v>
      </c>
      <c r="P817" s="705">
        <v>1296</v>
      </c>
      <c r="Q817">
        <v>480</v>
      </c>
      <c r="S817">
        <v>0</v>
      </c>
      <c r="T817" s="705">
        <v>7382</v>
      </c>
      <c r="U817" s="705">
        <v>2734</v>
      </c>
      <c r="V817" s="705">
        <v>12147</v>
      </c>
      <c r="W817" s="705">
        <f t="shared" si="40"/>
        <v>12147</v>
      </c>
      <c r="X817" s="705">
        <f t="shared" si="41"/>
        <v>32797</v>
      </c>
      <c r="Y817" s="705"/>
    </row>
    <row r="818" spans="2:25">
      <c r="B818" t="s">
        <v>689</v>
      </c>
      <c r="C818" t="s">
        <v>118</v>
      </c>
      <c r="D818" t="s">
        <v>228</v>
      </c>
      <c r="E818" t="s">
        <v>228</v>
      </c>
      <c r="F818" s="705">
        <v>328</v>
      </c>
      <c r="G818" s="705">
        <v>21209</v>
      </c>
      <c r="H818" s="705">
        <v>85383</v>
      </c>
      <c r="I818" s="705">
        <v>2745726</v>
      </c>
      <c r="J818" s="705">
        <v>1016936</v>
      </c>
      <c r="K818" s="705">
        <v>100</v>
      </c>
      <c r="L818" s="705">
        <v>331596</v>
      </c>
      <c r="M818" s="705">
        <v>127458</v>
      </c>
      <c r="N818" s="705">
        <v>427282</v>
      </c>
      <c r="O818" s="705">
        <v>158252</v>
      </c>
      <c r="P818" s="705">
        <v>4127</v>
      </c>
      <c r="Q818" s="705">
        <v>1528</v>
      </c>
      <c r="R818" s="705">
        <v>2000756</v>
      </c>
      <c r="S818" s="705">
        <v>741021</v>
      </c>
      <c r="T818" s="705">
        <v>7050</v>
      </c>
      <c r="U818" s="705">
        <v>2611</v>
      </c>
      <c r="V818" s="705">
        <v>2047806</v>
      </c>
      <c r="W818" s="705">
        <f t="shared" si="40"/>
        <v>2047806</v>
      </c>
      <c r="X818" s="705">
        <f t="shared" si="41"/>
        <v>5516537</v>
      </c>
      <c r="Y818" s="705"/>
    </row>
    <row r="819" spans="2:25">
      <c r="B819" t="s">
        <v>689</v>
      </c>
      <c r="C819" t="s">
        <v>118</v>
      </c>
      <c r="D819" t="s">
        <v>583</v>
      </c>
      <c r="E819" t="s">
        <v>583</v>
      </c>
      <c r="F819" s="705">
        <v>1</v>
      </c>
      <c r="G819" s="705">
        <v>81</v>
      </c>
      <c r="H819" s="705">
        <v>232</v>
      </c>
      <c r="I819" s="705">
        <v>11986</v>
      </c>
      <c r="J819" s="705">
        <v>10896</v>
      </c>
      <c r="K819" s="705">
        <v>86</v>
      </c>
      <c r="L819" s="705">
        <v>3942</v>
      </c>
      <c r="M819" s="705">
        <v>3285</v>
      </c>
      <c r="N819" s="705">
        <v>2025</v>
      </c>
      <c r="O819">
        <v>750</v>
      </c>
      <c r="P819">
        <v>621</v>
      </c>
      <c r="Q819">
        <v>230</v>
      </c>
      <c r="R819" s="705">
        <v>4656</v>
      </c>
      <c r="S819" s="705">
        <v>4233</v>
      </c>
      <c r="T819">
        <v>0</v>
      </c>
      <c r="U819">
        <v>0</v>
      </c>
      <c r="V819" s="705">
        <v>19394</v>
      </c>
      <c r="W819" s="705">
        <f t="shared" si="40"/>
        <v>19394</v>
      </c>
      <c r="X819" s="705">
        <f t="shared" si="41"/>
        <v>23230</v>
      </c>
      <c r="Y819" s="705"/>
    </row>
    <row r="820" spans="2:25">
      <c r="B820" t="s">
        <v>689</v>
      </c>
      <c r="C820" t="s">
        <v>118</v>
      </c>
      <c r="D820" t="s">
        <v>584</v>
      </c>
      <c r="E820" t="s">
        <v>584</v>
      </c>
      <c r="F820">
        <v>72</v>
      </c>
      <c r="G820" s="705">
        <v>4438</v>
      </c>
      <c r="H820" s="705">
        <v>18250</v>
      </c>
      <c r="I820" s="705">
        <v>574761</v>
      </c>
      <c r="J820" s="705">
        <v>522510</v>
      </c>
      <c r="K820" s="705">
        <v>76</v>
      </c>
      <c r="L820" s="705">
        <v>71060</v>
      </c>
      <c r="M820" s="705">
        <v>59557</v>
      </c>
      <c r="N820" s="705">
        <v>80478</v>
      </c>
      <c r="O820" s="705">
        <v>29807</v>
      </c>
      <c r="P820" s="705">
        <v>33318</v>
      </c>
      <c r="Q820" s="705">
        <v>12340</v>
      </c>
      <c r="R820" s="705">
        <v>283414</v>
      </c>
      <c r="S820" s="705">
        <v>257650</v>
      </c>
      <c r="T820" s="705">
        <v>85658</v>
      </c>
      <c r="U820" s="705">
        <v>31725</v>
      </c>
      <c r="V820" s="705">
        <v>913589</v>
      </c>
      <c r="W820" s="705">
        <f t="shared" si="40"/>
        <v>913589</v>
      </c>
      <c r="X820" s="705">
        <f t="shared" si="41"/>
        <v>1128689</v>
      </c>
      <c r="Y820" s="705"/>
    </row>
    <row r="821" spans="2:25">
      <c r="B821" t="s">
        <v>689</v>
      </c>
      <c r="C821" t="s">
        <v>120</v>
      </c>
      <c r="F821">
        <v>12</v>
      </c>
      <c r="G821" s="705">
        <v>745</v>
      </c>
      <c r="H821" s="705">
        <v>4020</v>
      </c>
      <c r="J821" s="705">
        <v>0</v>
      </c>
      <c r="K821" s="705"/>
      <c r="M821">
        <v>0</v>
      </c>
      <c r="N821" s="705">
        <v>17251</v>
      </c>
      <c r="O821" s="705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705">
        <v>6389</v>
      </c>
      <c r="W821" s="705">
        <f t="shared" si="40"/>
        <v>6389</v>
      </c>
      <c r="X821" s="705">
        <f t="shared" si="41"/>
        <v>17251</v>
      </c>
      <c r="Y821" s="705"/>
    </row>
    <row r="822" spans="2:25">
      <c r="B822" t="s">
        <v>689</v>
      </c>
      <c r="C822" t="s">
        <v>120</v>
      </c>
      <c r="D822" t="s">
        <v>228</v>
      </c>
      <c r="E822" t="s">
        <v>228</v>
      </c>
      <c r="F822">
        <v>91</v>
      </c>
      <c r="G822" s="705">
        <v>5556</v>
      </c>
      <c r="H822" s="705">
        <v>29986</v>
      </c>
      <c r="I822" s="705">
        <v>1072563</v>
      </c>
      <c r="J822" s="705">
        <v>397246</v>
      </c>
      <c r="K822" s="705">
        <v>100</v>
      </c>
      <c r="L822" s="705">
        <v>112722</v>
      </c>
      <c r="M822" s="705">
        <v>44605</v>
      </c>
      <c r="N822" s="705">
        <v>109007</v>
      </c>
      <c r="O822" s="705">
        <v>40373</v>
      </c>
      <c r="P822" s="705">
        <v>1404</v>
      </c>
      <c r="Q822">
        <v>520</v>
      </c>
      <c r="R822" s="705">
        <v>532923</v>
      </c>
      <c r="S822" s="705">
        <v>197379</v>
      </c>
      <c r="T822" s="705">
        <v>1552</v>
      </c>
      <c r="U822">
        <v>575</v>
      </c>
      <c r="V822" s="705">
        <v>680697</v>
      </c>
      <c r="W822" s="705">
        <f t="shared" si="40"/>
        <v>680698</v>
      </c>
      <c r="X822" s="705">
        <f t="shared" si="41"/>
        <v>1830171</v>
      </c>
      <c r="Y822" s="705"/>
    </row>
    <row r="823" spans="2:25">
      <c r="B823" t="s">
        <v>689</v>
      </c>
      <c r="C823" t="s">
        <v>120</v>
      </c>
      <c r="D823" t="s">
        <v>583</v>
      </c>
      <c r="E823" t="s">
        <v>583</v>
      </c>
      <c r="F823" s="705">
        <v>3</v>
      </c>
      <c r="G823" s="705">
        <v>209</v>
      </c>
      <c r="H823" s="705">
        <v>1034</v>
      </c>
      <c r="I823" s="705">
        <v>43702</v>
      </c>
      <c r="J823" s="705">
        <v>39729</v>
      </c>
      <c r="K823" s="705">
        <v>68</v>
      </c>
      <c r="L823" s="705">
        <v>4472</v>
      </c>
      <c r="M823" s="705">
        <v>4065</v>
      </c>
      <c r="N823" s="705">
        <v>5102</v>
      </c>
      <c r="O823" s="705">
        <v>1890</v>
      </c>
      <c r="P823" s="705">
        <v>1863</v>
      </c>
      <c r="Q823">
        <v>690</v>
      </c>
      <c r="R823" s="705">
        <v>10551</v>
      </c>
      <c r="S823" s="705">
        <v>9592</v>
      </c>
      <c r="T823" s="705">
        <v>6680</v>
      </c>
      <c r="U823" s="705">
        <v>2474</v>
      </c>
      <c r="V823" s="705">
        <v>58440</v>
      </c>
      <c r="W823" s="705">
        <f t="shared" si="40"/>
        <v>58440</v>
      </c>
      <c r="X823" s="705">
        <f t="shared" si="41"/>
        <v>72370</v>
      </c>
      <c r="Y823" s="705"/>
    </row>
    <row r="824" spans="2:25">
      <c r="B824" t="s">
        <v>689</v>
      </c>
      <c r="C824" t="s">
        <v>120</v>
      </c>
      <c r="D824" t="s">
        <v>584</v>
      </c>
      <c r="E824" t="s">
        <v>228</v>
      </c>
      <c r="F824">
        <v>1</v>
      </c>
      <c r="G824" s="705">
        <v>36</v>
      </c>
      <c r="H824" s="705">
        <v>314</v>
      </c>
      <c r="I824" s="705">
        <v>5875</v>
      </c>
      <c r="J824" s="705">
        <v>5341</v>
      </c>
      <c r="K824" s="705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705">
        <v>4462</v>
      </c>
      <c r="S824" s="705">
        <v>1652</v>
      </c>
      <c r="T824">
        <v>0</v>
      </c>
      <c r="U824">
        <v>0</v>
      </c>
      <c r="V824" s="705">
        <v>7330</v>
      </c>
      <c r="W824" s="705">
        <f t="shared" si="40"/>
        <v>7330</v>
      </c>
      <c r="X824" s="705">
        <f t="shared" si="41"/>
        <v>11247</v>
      </c>
      <c r="Y824" s="705"/>
    </row>
    <row r="825" spans="2:25">
      <c r="B825" t="s">
        <v>689</v>
      </c>
      <c r="C825" t="s">
        <v>120</v>
      </c>
      <c r="D825" t="s">
        <v>584</v>
      </c>
      <c r="E825" t="s">
        <v>584</v>
      </c>
      <c r="F825">
        <v>12</v>
      </c>
      <c r="G825">
        <v>699</v>
      </c>
      <c r="H825" s="705">
        <v>4210</v>
      </c>
      <c r="I825" s="705">
        <v>147501</v>
      </c>
      <c r="J825" s="705">
        <v>134092</v>
      </c>
      <c r="K825" s="705">
        <v>80</v>
      </c>
      <c r="L825" s="705">
        <v>18480</v>
      </c>
      <c r="M825" s="705">
        <v>18047</v>
      </c>
      <c r="N825" s="705">
        <v>13916</v>
      </c>
      <c r="O825" s="705">
        <v>5154</v>
      </c>
      <c r="P825" s="705">
        <v>5670</v>
      </c>
      <c r="Q825" s="705">
        <v>2100</v>
      </c>
      <c r="R825" s="705">
        <v>53548</v>
      </c>
      <c r="S825" s="705">
        <v>48680</v>
      </c>
      <c r="T825" s="705">
        <v>11469</v>
      </c>
      <c r="U825" s="705">
        <v>4248</v>
      </c>
      <c r="V825" s="705">
        <v>212320</v>
      </c>
      <c r="W825" s="705">
        <f t="shared" si="40"/>
        <v>212321</v>
      </c>
      <c r="X825" s="705">
        <f t="shared" si="41"/>
        <v>250584</v>
      </c>
      <c r="Y825" s="705"/>
    </row>
    <row r="826" spans="2:25">
      <c r="B826" t="s">
        <v>689</v>
      </c>
      <c r="C826" t="s">
        <v>120</v>
      </c>
      <c r="D826" t="s">
        <v>673</v>
      </c>
      <c r="E826" t="s">
        <v>228</v>
      </c>
      <c r="F826">
        <v>1</v>
      </c>
      <c r="G826">
        <v>92</v>
      </c>
      <c r="H826" s="705">
        <v>360</v>
      </c>
      <c r="I826" s="705">
        <v>21882</v>
      </c>
      <c r="J826" s="705">
        <v>19892</v>
      </c>
      <c r="K826" s="705">
        <v>60</v>
      </c>
      <c r="L826" s="705">
        <v>2431</v>
      </c>
      <c r="M826" s="705">
        <v>2210</v>
      </c>
      <c r="N826" s="705">
        <v>1126</v>
      </c>
      <c r="O826">
        <v>417</v>
      </c>
      <c r="P826">
        <v>351</v>
      </c>
      <c r="Q826">
        <v>130</v>
      </c>
      <c r="R826" s="705">
        <v>7465</v>
      </c>
      <c r="S826" s="705">
        <v>2765</v>
      </c>
      <c r="T826">
        <v>0</v>
      </c>
      <c r="U826">
        <v>0</v>
      </c>
      <c r="V826" s="705">
        <v>25415</v>
      </c>
      <c r="W826" s="705">
        <f t="shared" si="40"/>
        <v>25414</v>
      </c>
      <c r="X826" s="705">
        <f t="shared" si="41"/>
        <v>33255</v>
      </c>
      <c r="Y826" s="705"/>
    </row>
    <row r="827" spans="2:25">
      <c r="B827" t="s">
        <v>689</v>
      </c>
      <c r="C827" t="s">
        <v>122</v>
      </c>
      <c r="F827">
        <v>9</v>
      </c>
      <c r="G827" s="705">
        <v>632</v>
      </c>
      <c r="H827" s="705">
        <v>3667</v>
      </c>
      <c r="J827" s="705">
        <v>0</v>
      </c>
      <c r="K827" s="705"/>
      <c r="M827">
        <v>0</v>
      </c>
      <c r="N827" s="705">
        <v>14182</v>
      </c>
      <c r="O827" s="705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705">
        <v>5253</v>
      </c>
      <c r="W827" s="705">
        <f t="shared" si="40"/>
        <v>5253</v>
      </c>
      <c r="X827" s="705">
        <f t="shared" si="41"/>
        <v>14182</v>
      </c>
      <c r="Y827" s="705"/>
    </row>
    <row r="828" spans="2:25">
      <c r="B828" t="s">
        <v>689</v>
      </c>
      <c r="C828" t="s">
        <v>122</v>
      </c>
      <c r="D828" t="s">
        <v>228</v>
      </c>
      <c r="E828" t="s">
        <v>228</v>
      </c>
      <c r="F828">
        <v>18</v>
      </c>
      <c r="G828" s="705">
        <v>1053</v>
      </c>
      <c r="H828" s="705">
        <v>7426</v>
      </c>
      <c r="I828" s="705">
        <v>274248</v>
      </c>
      <c r="J828" s="705">
        <v>101574</v>
      </c>
      <c r="K828">
        <v>100</v>
      </c>
      <c r="L828" s="705">
        <v>36776</v>
      </c>
      <c r="M828" s="705">
        <v>15466</v>
      </c>
      <c r="N828" s="705">
        <v>22445</v>
      </c>
      <c r="O828" s="705">
        <v>8313</v>
      </c>
      <c r="P828">
        <v>702</v>
      </c>
      <c r="Q828">
        <v>260</v>
      </c>
      <c r="R828" s="705">
        <v>99948</v>
      </c>
      <c r="S828" s="705">
        <v>37018</v>
      </c>
      <c r="T828">
        <v>0</v>
      </c>
      <c r="U828">
        <v>0</v>
      </c>
      <c r="V828" s="705">
        <v>162630</v>
      </c>
      <c r="W828" s="705">
        <f t="shared" si="40"/>
        <v>162631</v>
      </c>
      <c r="X828" s="705">
        <f t="shared" si="41"/>
        <v>434119</v>
      </c>
      <c r="Y828" s="705"/>
    </row>
    <row r="829" spans="2:25">
      <c r="B829" t="s">
        <v>689</v>
      </c>
      <c r="C829" t="s">
        <v>122</v>
      </c>
      <c r="D829" t="s">
        <v>583</v>
      </c>
      <c r="E829" t="s">
        <v>583</v>
      </c>
      <c r="F829" s="705">
        <v>2</v>
      </c>
      <c r="G829" s="705">
        <v>102</v>
      </c>
      <c r="H829" s="705">
        <v>811</v>
      </c>
      <c r="I829" s="705">
        <v>23904</v>
      </c>
      <c r="J829" s="705">
        <v>21731</v>
      </c>
      <c r="K829" s="705">
        <v>68</v>
      </c>
      <c r="L829" s="705">
        <v>4887</v>
      </c>
      <c r="M829" s="705">
        <v>3131</v>
      </c>
      <c r="N829" s="705">
        <v>2420</v>
      </c>
      <c r="O829">
        <v>896</v>
      </c>
      <c r="P829" s="705">
        <v>1242</v>
      </c>
      <c r="Q829">
        <v>460</v>
      </c>
      <c r="R829" s="705">
        <v>5810</v>
      </c>
      <c r="S829" s="705">
        <v>5282</v>
      </c>
      <c r="T829" s="705">
        <v>3434</v>
      </c>
      <c r="U829" s="705">
        <v>1272</v>
      </c>
      <c r="V829" s="705">
        <v>32771</v>
      </c>
      <c r="W829" s="705">
        <f t="shared" si="40"/>
        <v>32772</v>
      </c>
      <c r="X829" s="705">
        <f t="shared" si="41"/>
        <v>41697</v>
      </c>
      <c r="Y829" s="705"/>
    </row>
    <row r="830" spans="2:25">
      <c r="B830" t="s">
        <v>689</v>
      </c>
      <c r="C830" t="s">
        <v>122</v>
      </c>
      <c r="D830" t="s">
        <v>584</v>
      </c>
      <c r="E830" t="s">
        <v>584</v>
      </c>
      <c r="F830">
        <v>4</v>
      </c>
      <c r="G830" s="705">
        <v>272</v>
      </c>
      <c r="H830" s="705">
        <v>1607</v>
      </c>
      <c r="I830" s="705">
        <v>72204</v>
      </c>
      <c r="J830" s="705">
        <v>65640</v>
      </c>
      <c r="K830" s="705">
        <v>70</v>
      </c>
      <c r="L830" s="705">
        <v>7320</v>
      </c>
      <c r="M830" s="705">
        <v>6654</v>
      </c>
      <c r="N830" s="705">
        <v>4974</v>
      </c>
      <c r="O830" s="705">
        <v>1842</v>
      </c>
      <c r="P830" s="705">
        <v>1539</v>
      </c>
      <c r="Q830">
        <v>570</v>
      </c>
      <c r="R830" s="705">
        <v>15520</v>
      </c>
      <c r="S830" s="705">
        <v>14109</v>
      </c>
      <c r="T830" s="705">
        <v>8568</v>
      </c>
      <c r="U830" s="705">
        <v>3173</v>
      </c>
      <c r="V830" s="705">
        <v>91989</v>
      </c>
      <c r="W830" s="705">
        <f t="shared" si="40"/>
        <v>91988</v>
      </c>
      <c r="X830" s="705">
        <f t="shared" si="41"/>
        <v>110125</v>
      </c>
      <c r="Y830" s="705"/>
    </row>
    <row r="831" spans="2:25">
      <c r="B831" t="s">
        <v>689</v>
      </c>
      <c r="C831" t="s">
        <v>124</v>
      </c>
      <c r="F831">
        <v>16</v>
      </c>
      <c r="G831" s="705">
        <v>891</v>
      </c>
      <c r="H831" s="705">
        <v>8641</v>
      </c>
      <c r="J831" s="705">
        <v>0</v>
      </c>
      <c r="K831" s="705"/>
      <c r="M831">
        <v>0</v>
      </c>
      <c r="N831" s="705">
        <v>21713</v>
      </c>
      <c r="O831" s="705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705">
        <v>8042</v>
      </c>
      <c r="W831" s="705">
        <f t="shared" si="40"/>
        <v>8042</v>
      </c>
      <c r="X831" s="705">
        <f t="shared" si="41"/>
        <v>21713</v>
      </c>
      <c r="Y831" s="705"/>
    </row>
    <row r="832" spans="2:25">
      <c r="B832" t="s">
        <v>689</v>
      </c>
      <c r="C832" t="s">
        <v>124</v>
      </c>
      <c r="D832" t="s">
        <v>228</v>
      </c>
      <c r="E832" t="s">
        <v>228</v>
      </c>
      <c r="F832">
        <v>23</v>
      </c>
      <c r="G832" s="705">
        <v>1070</v>
      </c>
      <c r="H832" s="705">
        <v>13622</v>
      </c>
      <c r="I832" s="705">
        <v>429527</v>
      </c>
      <c r="J832" s="705">
        <v>159084</v>
      </c>
      <c r="K832" s="705">
        <v>100</v>
      </c>
      <c r="L832" s="705">
        <v>43654</v>
      </c>
      <c r="M832" s="705">
        <v>29463</v>
      </c>
      <c r="N832" s="705">
        <v>22735</v>
      </c>
      <c r="O832" s="705">
        <v>8420</v>
      </c>
      <c r="P832">
        <v>351</v>
      </c>
      <c r="Q832">
        <v>130</v>
      </c>
      <c r="R832" s="705">
        <v>136322</v>
      </c>
      <c r="S832" s="705">
        <v>50490</v>
      </c>
      <c r="T832">
        <v>0</v>
      </c>
      <c r="U832">
        <v>0</v>
      </c>
      <c r="V832" s="705">
        <v>247587</v>
      </c>
      <c r="W832" s="705">
        <f t="shared" si="40"/>
        <v>247587</v>
      </c>
      <c r="X832" s="705">
        <f t="shared" si="41"/>
        <v>632589</v>
      </c>
      <c r="Y832" s="705"/>
    </row>
    <row r="833" spans="2:25">
      <c r="B833" t="s">
        <v>689</v>
      </c>
      <c r="C833" t="s">
        <v>124</v>
      </c>
      <c r="D833" t="s">
        <v>666</v>
      </c>
      <c r="E833" t="s">
        <v>666</v>
      </c>
      <c r="F833">
        <v>1</v>
      </c>
      <c r="G833" s="705">
        <v>61</v>
      </c>
      <c r="H833" s="705">
        <v>688</v>
      </c>
      <c r="I833" s="705">
        <v>29374</v>
      </c>
      <c r="J833" s="705">
        <v>26704</v>
      </c>
      <c r="K833" s="705">
        <v>30</v>
      </c>
      <c r="L833" s="705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705">
        <v>9689</v>
      </c>
      <c r="S833" s="705">
        <v>8808</v>
      </c>
      <c r="T833">
        <v>0</v>
      </c>
      <c r="U833">
        <v>0</v>
      </c>
      <c r="V833" s="705">
        <v>36679</v>
      </c>
      <c r="W833" s="705">
        <f t="shared" si="40"/>
        <v>36679</v>
      </c>
      <c r="X833" s="705">
        <f t="shared" si="41"/>
        <v>42213</v>
      </c>
      <c r="Y833" s="705"/>
    </row>
    <row r="834" spans="2:25">
      <c r="B834" t="s">
        <v>689</v>
      </c>
      <c r="C834" t="s">
        <v>124</v>
      </c>
      <c r="D834" t="s">
        <v>584</v>
      </c>
      <c r="E834" t="s">
        <v>584</v>
      </c>
      <c r="F834">
        <v>6</v>
      </c>
      <c r="G834" s="705">
        <v>488</v>
      </c>
      <c r="H834" s="705">
        <v>3149</v>
      </c>
      <c r="I834" s="705">
        <v>158297</v>
      </c>
      <c r="J834" s="705">
        <v>143907</v>
      </c>
      <c r="K834" s="705">
        <v>73</v>
      </c>
      <c r="L834" s="705">
        <v>33511</v>
      </c>
      <c r="M834" s="705">
        <v>28825</v>
      </c>
      <c r="N834" s="705">
        <v>10665</v>
      </c>
      <c r="O834" s="705">
        <v>3950</v>
      </c>
      <c r="P834" s="705">
        <v>2835</v>
      </c>
      <c r="Q834" s="705">
        <v>1050</v>
      </c>
      <c r="R834" s="705">
        <v>36396</v>
      </c>
      <c r="S834" s="705">
        <v>33087</v>
      </c>
      <c r="T834" s="705">
        <v>10498</v>
      </c>
      <c r="U834" s="705">
        <v>3888</v>
      </c>
      <c r="V834" s="705">
        <v>214707</v>
      </c>
      <c r="W834" s="705">
        <f t="shared" si="40"/>
        <v>214707</v>
      </c>
      <c r="X834" s="705">
        <f t="shared" si="41"/>
        <v>252202</v>
      </c>
      <c r="Y834" s="705"/>
    </row>
    <row r="835" spans="2:25">
      <c r="B835" t="s">
        <v>689</v>
      </c>
      <c r="C835" t="s">
        <v>124</v>
      </c>
      <c r="D835" t="s">
        <v>665</v>
      </c>
      <c r="E835" t="s">
        <v>228</v>
      </c>
      <c r="F835" s="705">
        <v>1</v>
      </c>
      <c r="G835" s="705">
        <v>55</v>
      </c>
      <c r="H835" s="705">
        <v>1506</v>
      </c>
      <c r="I835" s="705">
        <v>61920</v>
      </c>
      <c r="J835" s="705">
        <v>56290</v>
      </c>
      <c r="K835" s="705">
        <v>30</v>
      </c>
      <c r="L835" s="705">
        <v>15480</v>
      </c>
      <c r="M835" s="705">
        <v>14073</v>
      </c>
      <c r="N835" s="705">
        <v>1341</v>
      </c>
      <c r="O835">
        <v>497</v>
      </c>
      <c r="P835">
        <v>0</v>
      </c>
      <c r="Q835">
        <v>0</v>
      </c>
      <c r="R835" s="705">
        <v>4163</v>
      </c>
      <c r="S835" s="705">
        <v>1542</v>
      </c>
      <c r="T835">
        <v>0</v>
      </c>
      <c r="U835">
        <v>0</v>
      </c>
      <c r="V835" s="705">
        <v>72401</v>
      </c>
      <c r="W835" s="705">
        <f t="shared" si="40"/>
        <v>72402</v>
      </c>
      <c r="X835" s="705">
        <f t="shared" si="41"/>
        <v>82904</v>
      </c>
      <c r="Y835" s="705"/>
    </row>
    <row r="836" spans="2:25">
      <c r="B836" t="s">
        <v>690</v>
      </c>
      <c r="C836" t="s">
        <v>108</v>
      </c>
      <c r="D836" t="s">
        <v>584</v>
      </c>
      <c r="E836" t="s">
        <v>584</v>
      </c>
      <c r="F836">
        <v>40</v>
      </c>
      <c r="G836" s="705">
        <v>2449</v>
      </c>
      <c r="H836" s="705">
        <v>2359</v>
      </c>
      <c r="I836" s="705">
        <v>3160</v>
      </c>
      <c r="J836" s="705">
        <v>2873</v>
      </c>
      <c r="K836" s="705">
        <v>90</v>
      </c>
      <c r="L836" s="705">
        <v>-2243</v>
      </c>
      <c r="M836">
        <v>-831</v>
      </c>
      <c r="N836" s="705">
        <v>31543</v>
      </c>
      <c r="O836" s="705">
        <v>11683</v>
      </c>
      <c r="P836" s="705">
        <v>22939</v>
      </c>
      <c r="Q836" s="705">
        <v>8496</v>
      </c>
      <c r="R836" s="705">
        <v>87272</v>
      </c>
      <c r="S836" s="705">
        <v>79338</v>
      </c>
      <c r="T836">
        <v>0</v>
      </c>
      <c r="U836">
        <v>0</v>
      </c>
      <c r="V836" s="705">
        <v>101559</v>
      </c>
      <c r="W836" s="705">
        <f t="shared" si="40"/>
        <v>103221</v>
      </c>
      <c r="X836" s="705">
        <f t="shared" si="41"/>
        <v>147157</v>
      </c>
      <c r="Y836" s="705"/>
    </row>
    <row r="837" spans="2:25">
      <c r="B837" t="s">
        <v>690</v>
      </c>
      <c r="C837" t="s">
        <v>110</v>
      </c>
      <c r="F837">
        <v>47</v>
      </c>
      <c r="G837" s="705">
        <v>3975</v>
      </c>
      <c r="H837" s="705">
        <v>4428</v>
      </c>
      <c r="J837" s="705">
        <v>0</v>
      </c>
      <c r="K837" s="705"/>
      <c r="M837">
        <v>0</v>
      </c>
      <c r="N837" s="705">
        <v>77417</v>
      </c>
      <c r="O837" s="705">
        <v>28673</v>
      </c>
      <c r="P837" s="705">
        <v>33778</v>
      </c>
      <c r="Q837" s="705">
        <v>12511</v>
      </c>
      <c r="S837">
        <v>0</v>
      </c>
      <c r="T837">
        <v>0</v>
      </c>
      <c r="U837">
        <v>0</v>
      </c>
      <c r="V837" s="705">
        <v>41183</v>
      </c>
      <c r="W837" s="705">
        <f t="shared" si="40"/>
        <v>41184</v>
      </c>
      <c r="X837" s="705">
        <f t="shared" si="41"/>
        <v>111195</v>
      </c>
      <c r="Y837" s="705"/>
    </row>
    <row r="838" spans="2:25">
      <c r="B838" t="s">
        <v>690</v>
      </c>
      <c r="C838" t="s">
        <v>112</v>
      </c>
      <c r="F838">
        <v>134</v>
      </c>
      <c r="G838" s="705">
        <v>10726</v>
      </c>
      <c r="H838" s="705">
        <v>14685</v>
      </c>
      <c r="J838" s="705">
        <v>0</v>
      </c>
      <c r="K838" s="705"/>
      <c r="M838">
        <v>0</v>
      </c>
      <c r="N838" s="705">
        <v>230227</v>
      </c>
      <c r="O838" s="705">
        <v>85269</v>
      </c>
      <c r="P838" s="705">
        <v>92825</v>
      </c>
      <c r="Q838" s="705">
        <v>34380</v>
      </c>
      <c r="S838">
        <v>0</v>
      </c>
      <c r="T838">
        <v>0</v>
      </c>
      <c r="U838">
        <v>0</v>
      </c>
      <c r="V838" s="705">
        <v>119649</v>
      </c>
      <c r="W838" s="705">
        <f t="shared" si="40"/>
        <v>119649</v>
      </c>
      <c r="X838" s="705">
        <f t="shared" si="41"/>
        <v>323052</v>
      </c>
      <c r="Y838" s="705"/>
    </row>
    <row r="839" spans="2:25">
      <c r="B839" t="s">
        <v>690</v>
      </c>
      <c r="C839" t="s">
        <v>112</v>
      </c>
      <c r="D839" t="s">
        <v>228</v>
      </c>
      <c r="E839" t="s">
        <v>228</v>
      </c>
      <c r="F839">
        <v>3</v>
      </c>
      <c r="G839">
        <v>218</v>
      </c>
      <c r="H839" s="705">
        <v>364</v>
      </c>
      <c r="I839" s="705">
        <v>5259</v>
      </c>
      <c r="J839" s="705">
        <v>1948</v>
      </c>
      <c r="K839" s="705">
        <v>150</v>
      </c>
      <c r="L839">
        <v>363</v>
      </c>
      <c r="M839">
        <v>134</v>
      </c>
      <c r="N839" s="705">
        <v>3360</v>
      </c>
      <c r="O839" s="705">
        <v>1245</v>
      </c>
      <c r="P839">
        <v>351</v>
      </c>
      <c r="Q839">
        <v>130</v>
      </c>
      <c r="R839" s="705">
        <v>17062</v>
      </c>
      <c r="S839" s="705">
        <v>6319</v>
      </c>
      <c r="T839">
        <v>0</v>
      </c>
      <c r="U839">
        <v>0</v>
      </c>
      <c r="V839" s="705">
        <v>9776</v>
      </c>
      <c r="W839" s="705">
        <f t="shared" ref="W839:W902" si="42">SUM(ABS(J839),ABS(M839),ABS(O839),ABS(Q839),ABS(S839),ABS(U839))</f>
        <v>9776</v>
      </c>
      <c r="X839" s="705">
        <f t="shared" ref="X839:X902" si="43">SUM(ABS(I839),ABS(N839),ABS(P839),ABS(R839),ABS(T839),ABS(L839))</f>
        <v>26395</v>
      </c>
      <c r="Y839" s="705"/>
    </row>
    <row r="840" spans="2:25">
      <c r="B840" t="s">
        <v>690</v>
      </c>
      <c r="C840" t="s">
        <v>112</v>
      </c>
      <c r="D840" t="s">
        <v>584</v>
      </c>
      <c r="E840" t="s">
        <v>584</v>
      </c>
      <c r="F840">
        <v>7</v>
      </c>
      <c r="G840">
        <v>457</v>
      </c>
      <c r="H840">
        <v>820</v>
      </c>
      <c r="I840" s="705">
        <v>16046</v>
      </c>
      <c r="J840" s="705">
        <v>14588</v>
      </c>
      <c r="K840" s="705">
        <v>90</v>
      </c>
      <c r="L840" s="705">
        <v>1936</v>
      </c>
      <c r="M840" s="705">
        <v>1613</v>
      </c>
      <c r="N840" s="705">
        <v>8208</v>
      </c>
      <c r="O840" s="705">
        <v>3040</v>
      </c>
      <c r="P840" s="705">
        <v>4801</v>
      </c>
      <c r="Q840" s="705">
        <v>1778</v>
      </c>
      <c r="R840" s="705">
        <v>22437</v>
      </c>
      <c r="S840" s="705">
        <v>20398</v>
      </c>
      <c r="T840">
        <v>0</v>
      </c>
      <c r="U840">
        <v>0</v>
      </c>
      <c r="V840" s="705">
        <v>41416</v>
      </c>
      <c r="W840" s="705">
        <f t="shared" si="42"/>
        <v>41417</v>
      </c>
      <c r="X840" s="705">
        <f t="shared" si="43"/>
        <v>53428</v>
      </c>
      <c r="Y840" s="705"/>
    </row>
    <row r="841" spans="2:25">
      <c r="B841" t="s">
        <v>690</v>
      </c>
      <c r="C841" t="s">
        <v>114</v>
      </c>
      <c r="F841">
        <v>100</v>
      </c>
      <c r="G841" s="705">
        <v>7453</v>
      </c>
      <c r="H841" s="705">
        <v>13491</v>
      </c>
      <c r="J841">
        <v>0</v>
      </c>
      <c r="K841" s="705"/>
      <c r="M841">
        <v>0</v>
      </c>
      <c r="N841" s="705">
        <v>170627</v>
      </c>
      <c r="O841" s="705">
        <v>63195</v>
      </c>
      <c r="P841" s="705">
        <v>64964</v>
      </c>
      <c r="Q841" s="705">
        <v>24061</v>
      </c>
      <c r="S841">
        <v>0</v>
      </c>
      <c r="T841">
        <v>0</v>
      </c>
      <c r="U841">
        <v>0</v>
      </c>
      <c r="V841" s="705">
        <v>87256</v>
      </c>
      <c r="W841" s="705">
        <f t="shared" si="42"/>
        <v>87256</v>
      </c>
      <c r="X841" s="705">
        <f t="shared" si="43"/>
        <v>235591</v>
      </c>
      <c r="Y841" s="705"/>
    </row>
    <row r="842" spans="2:25">
      <c r="B842" t="s">
        <v>690</v>
      </c>
      <c r="C842" t="s">
        <v>114</v>
      </c>
      <c r="D842" t="s">
        <v>228</v>
      </c>
      <c r="E842" t="s">
        <v>228</v>
      </c>
      <c r="F842">
        <v>21</v>
      </c>
      <c r="G842" s="705">
        <v>1761</v>
      </c>
      <c r="H842" s="705">
        <v>2934</v>
      </c>
      <c r="I842" s="705">
        <v>59700</v>
      </c>
      <c r="J842" s="705">
        <v>22111</v>
      </c>
      <c r="K842" s="705">
        <v>100</v>
      </c>
      <c r="L842" s="705">
        <v>10719</v>
      </c>
      <c r="M842" s="705">
        <v>3970</v>
      </c>
      <c r="N842" s="705">
        <v>34157</v>
      </c>
      <c r="O842" s="705">
        <v>12651</v>
      </c>
      <c r="P842">
        <v>0</v>
      </c>
      <c r="Q842">
        <v>0</v>
      </c>
      <c r="R842" s="705">
        <v>140128</v>
      </c>
      <c r="S842" s="705">
        <v>51899</v>
      </c>
      <c r="T842">
        <v>0</v>
      </c>
      <c r="U842">
        <v>0</v>
      </c>
      <c r="V842" s="705">
        <v>90631</v>
      </c>
      <c r="W842" s="705">
        <f t="shared" si="42"/>
        <v>90631</v>
      </c>
      <c r="X842" s="705">
        <f t="shared" si="43"/>
        <v>244704</v>
      </c>
      <c r="Y842" s="705"/>
    </row>
    <row r="843" spans="2:25">
      <c r="B843" t="s">
        <v>690</v>
      </c>
      <c r="C843" t="s">
        <v>114</v>
      </c>
      <c r="D843" t="s">
        <v>584</v>
      </c>
      <c r="E843" t="s">
        <v>584</v>
      </c>
      <c r="F843">
        <v>22</v>
      </c>
      <c r="G843" s="705">
        <v>1335</v>
      </c>
      <c r="H843" s="705">
        <v>3035</v>
      </c>
      <c r="I843" s="705">
        <v>72118</v>
      </c>
      <c r="J843" s="705">
        <v>65561</v>
      </c>
      <c r="K843" s="705">
        <v>88</v>
      </c>
      <c r="L843" s="705">
        <v>3213</v>
      </c>
      <c r="M843" s="705">
        <v>2545</v>
      </c>
      <c r="N843" s="705">
        <v>24209</v>
      </c>
      <c r="O843" s="705">
        <v>8966</v>
      </c>
      <c r="P843" s="705">
        <v>11553</v>
      </c>
      <c r="Q843" s="705">
        <v>4279</v>
      </c>
      <c r="R843" s="705">
        <v>73014</v>
      </c>
      <c r="S843" s="705">
        <v>66377</v>
      </c>
      <c r="T843">
        <v>0</v>
      </c>
      <c r="U843">
        <v>0</v>
      </c>
      <c r="V843" s="705">
        <v>147728</v>
      </c>
      <c r="W843" s="705">
        <f t="shared" si="42"/>
        <v>147728</v>
      </c>
      <c r="X843" s="705">
        <f t="shared" si="43"/>
        <v>184107</v>
      </c>
      <c r="Y843" s="705"/>
    </row>
    <row r="844" spans="2:25">
      <c r="B844" t="s">
        <v>690</v>
      </c>
      <c r="C844" t="s">
        <v>116</v>
      </c>
      <c r="F844" s="705">
        <v>43</v>
      </c>
      <c r="G844" s="705">
        <v>2312</v>
      </c>
      <c r="H844" s="705">
        <v>8232</v>
      </c>
      <c r="J844" s="705">
        <v>0</v>
      </c>
      <c r="K844" s="705"/>
      <c r="M844">
        <v>0</v>
      </c>
      <c r="N844" s="705">
        <v>50853</v>
      </c>
      <c r="O844" s="705">
        <v>18834</v>
      </c>
      <c r="P844" s="705">
        <v>19622</v>
      </c>
      <c r="Q844" s="705">
        <v>7267</v>
      </c>
      <c r="S844">
        <v>0</v>
      </c>
      <c r="T844" s="705">
        <v>5073</v>
      </c>
      <c r="U844" s="705">
        <v>1879</v>
      </c>
      <c r="V844" s="705">
        <v>27981</v>
      </c>
      <c r="W844" s="705">
        <f t="shared" si="42"/>
        <v>27980</v>
      </c>
      <c r="X844" s="705">
        <f t="shared" si="43"/>
        <v>75548</v>
      </c>
      <c r="Y844" s="705"/>
    </row>
    <row r="845" spans="2:25">
      <c r="B845" t="s">
        <v>690</v>
      </c>
      <c r="C845" t="s">
        <v>116</v>
      </c>
      <c r="D845" t="s">
        <v>228</v>
      </c>
      <c r="E845" t="s">
        <v>228</v>
      </c>
      <c r="F845" s="705">
        <v>162</v>
      </c>
      <c r="G845" s="705">
        <v>11450</v>
      </c>
      <c r="H845" s="705">
        <v>30510</v>
      </c>
      <c r="I845" s="705">
        <v>785507</v>
      </c>
      <c r="J845" s="705">
        <v>290928</v>
      </c>
      <c r="K845" s="705">
        <v>100</v>
      </c>
      <c r="L845" s="705">
        <v>102997</v>
      </c>
      <c r="M845" s="705">
        <v>38530</v>
      </c>
      <c r="N845" s="705">
        <v>230203</v>
      </c>
      <c r="O845" s="705">
        <v>85260</v>
      </c>
      <c r="P845" s="705">
        <v>2411</v>
      </c>
      <c r="Q845">
        <v>893</v>
      </c>
      <c r="R845" s="705">
        <v>1021001</v>
      </c>
      <c r="S845" s="705">
        <v>378148</v>
      </c>
      <c r="T845" s="705">
        <v>1567</v>
      </c>
      <c r="U845">
        <v>580</v>
      </c>
      <c r="V845" s="705">
        <v>794340</v>
      </c>
      <c r="W845" s="705">
        <f t="shared" si="42"/>
        <v>794339</v>
      </c>
      <c r="X845" s="705">
        <f t="shared" si="43"/>
        <v>2143686</v>
      </c>
      <c r="Y845" s="705"/>
    </row>
    <row r="846" spans="2:25">
      <c r="B846" t="s">
        <v>690</v>
      </c>
      <c r="C846" t="s">
        <v>116</v>
      </c>
      <c r="D846" t="s">
        <v>584</v>
      </c>
      <c r="E846" t="s">
        <v>582</v>
      </c>
      <c r="F846" s="705">
        <v>1</v>
      </c>
      <c r="G846" s="705">
        <v>66</v>
      </c>
      <c r="H846" s="705">
        <v>158</v>
      </c>
      <c r="I846" s="705">
        <v>3766</v>
      </c>
      <c r="J846" s="705">
        <v>3424</v>
      </c>
      <c r="K846" s="705">
        <v>91</v>
      </c>
      <c r="L846" s="705">
        <v>1386</v>
      </c>
      <c r="M846" s="705">
        <v>1155</v>
      </c>
      <c r="N846" s="705">
        <v>1484</v>
      </c>
      <c r="O846">
        <v>550</v>
      </c>
      <c r="P846">
        <v>473</v>
      </c>
      <c r="Q846">
        <v>175</v>
      </c>
      <c r="R846" s="705">
        <v>3221</v>
      </c>
      <c r="S846" s="705">
        <v>2929</v>
      </c>
      <c r="T846">
        <v>0</v>
      </c>
      <c r="U846">
        <v>0</v>
      </c>
      <c r="V846" s="705">
        <v>8233</v>
      </c>
      <c r="W846" s="705">
        <f t="shared" si="42"/>
        <v>8233</v>
      </c>
      <c r="X846" s="705">
        <f t="shared" si="43"/>
        <v>10330</v>
      </c>
      <c r="Y846" s="705"/>
    </row>
    <row r="847" spans="2:25">
      <c r="B847" t="s">
        <v>690</v>
      </c>
      <c r="C847" t="s">
        <v>116</v>
      </c>
      <c r="D847" t="s">
        <v>584</v>
      </c>
      <c r="E847" t="s">
        <v>584</v>
      </c>
      <c r="F847" s="705">
        <v>142</v>
      </c>
      <c r="G847" s="705">
        <v>8475</v>
      </c>
      <c r="H847" s="705">
        <v>26873</v>
      </c>
      <c r="I847" s="705">
        <v>706203</v>
      </c>
      <c r="J847" s="705">
        <v>642003</v>
      </c>
      <c r="K847" s="705">
        <v>83</v>
      </c>
      <c r="L847" s="705">
        <v>67720</v>
      </c>
      <c r="M847" s="705">
        <v>51784</v>
      </c>
      <c r="N847" s="705">
        <v>158432</v>
      </c>
      <c r="O847" s="705">
        <v>58678</v>
      </c>
      <c r="P847" s="705">
        <v>70621</v>
      </c>
      <c r="Q847" s="705">
        <v>26156</v>
      </c>
      <c r="R847" s="705">
        <v>532995</v>
      </c>
      <c r="S847" s="705">
        <v>484541</v>
      </c>
      <c r="T847" s="705">
        <v>63386</v>
      </c>
      <c r="U847" s="705">
        <v>23476</v>
      </c>
      <c r="V847" s="705">
        <v>1286638</v>
      </c>
      <c r="W847" s="705">
        <f t="shared" si="42"/>
        <v>1286638</v>
      </c>
      <c r="X847" s="705">
        <f t="shared" si="43"/>
        <v>1599357</v>
      </c>
      <c r="Y847" s="705"/>
    </row>
    <row r="848" spans="2:25">
      <c r="B848" t="s">
        <v>690</v>
      </c>
      <c r="C848" t="s">
        <v>118</v>
      </c>
      <c r="F848" s="705">
        <v>60</v>
      </c>
      <c r="G848" s="705">
        <v>2259</v>
      </c>
      <c r="H848" s="705">
        <v>14751</v>
      </c>
      <c r="J848" s="705">
        <v>0</v>
      </c>
      <c r="K848" s="705"/>
      <c r="M848">
        <v>0</v>
      </c>
      <c r="N848" s="705">
        <v>51165</v>
      </c>
      <c r="O848" s="705">
        <v>18950</v>
      </c>
      <c r="P848" s="705">
        <v>19939</v>
      </c>
      <c r="Q848" s="705">
        <v>7385</v>
      </c>
      <c r="S848">
        <v>0</v>
      </c>
      <c r="T848" s="705">
        <v>27676</v>
      </c>
      <c r="U848" s="705">
        <v>10250</v>
      </c>
      <c r="V848" s="705">
        <v>36585</v>
      </c>
      <c r="W848" s="705">
        <f t="shared" si="42"/>
        <v>36585</v>
      </c>
      <c r="X848" s="705">
        <f t="shared" si="43"/>
        <v>98780</v>
      </c>
      <c r="Y848" s="705"/>
    </row>
    <row r="849" spans="2:25">
      <c r="B849" t="s">
        <v>690</v>
      </c>
      <c r="C849" t="s">
        <v>118</v>
      </c>
      <c r="D849" t="s">
        <v>580</v>
      </c>
      <c r="E849" t="s">
        <v>228</v>
      </c>
      <c r="F849">
        <v>1</v>
      </c>
      <c r="G849">
        <v>58</v>
      </c>
      <c r="H849" s="705">
        <v>299</v>
      </c>
      <c r="I849" s="705">
        <v>9406</v>
      </c>
      <c r="J849" s="705">
        <v>3484</v>
      </c>
      <c r="K849" s="705">
        <v>100</v>
      </c>
      <c r="L849" s="705">
        <v>2352</v>
      </c>
      <c r="M849">
        <v>871</v>
      </c>
      <c r="N849" s="705">
        <v>1210</v>
      </c>
      <c r="O849">
        <v>448</v>
      </c>
      <c r="P849">
        <v>0</v>
      </c>
      <c r="Q849">
        <v>0</v>
      </c>
      <c r="R849" s="705">
        <v>4279</v>
      </c>
      <c r="S849" s="705">
        <v>1585</v>
      </c>
      <c r="T849">
        <v>0</v>
      </c>
      <c r="U849">
        <v>0</v>
      </c>
      <c r="V849" s="705">
        <v>6388</v>
      </c>
      <c r="W849" s="705">
        <f t="shared" si="42"/>
        <v>6388</v>
      </c>
      <c r="X849" s="705">
        <f t="shared" si="43"/>
        <v>17247</v>
      </c>
      <c r="Y849" s="705"/>
    </row>
    <row r="850" spans="2:25">
      <c r="B850" t="s">
        <v>690</v>
      </c>
      <c r="C850" t="s">
        <v>118</v>
      </c>
      <c r="D850" t="s">
        <v>228</v>
      </c>
      <c r="E850" t="s">
        <v>228</v>
      </c>
      <c r="F850">
        <v>127</v>
      </c>
      <c r="G850" s="705">
        <v>8684</v>
      </c>
      <c r="H850" s="705">
        <v>33263</v>
      </c>
      <c r="I850" s="705">
        <v>1160970</v>
      </c>
      <c r="J850" s="705">
        <v>429989</v>
      </c>
      <c r="K850" s="705">
        <v>100</v>
      </c>
      <c r="L850" s="705">
        <v>122031</v>
      </c>
      <c r="M850" s="705">
        <v>46492</v>
      </c>
      <c r="N850" s="705">
        <v>166262</v>
      </c>
      <c r="O850" s="705">
        <v>61579</v>
      </c>
      <c r="P850" s="705">
        <v>5616</v>
      </c>
      <c r="Q850" s="705">
        <v>2080</v>
      </c>
      <c r="R850" s="705">
        <v>815024</v>
      </c>
      <c r="S850" s="705">
        <v>301861</v>
      </c>
      <c r="T850">
        <v>0</v>
      </c>
      <c r="U850">
        <v>0</v>
      </c>
      <c r="V850" s="705">
        <v>842000</v>
      </c>
      <c r="W850" s="705">
        <f t="shared" si="42"/>
        <v>842001</v>
      </c>
      <c r="X850" s="705">
        <f t="shared" si="43"/>
        <v>2269903</v>
      </c>
      <c r="Y850" s="705"/>
    </row>
    <row r="851" spans="2:25">
      <c r="B851" t="s">
        <v>690</v>
      </c>
      <c r="C851" t="s">
        <v>118</v>
      </c>
      <c r="D851" t="s">
        <v>583</v>
      </c>
      <c r="E851" t="s">
        <v>228</v>
      </c>
      <c r="F851">
        <v>1</v>
      </c>
      <c r="G851">
        <v>54</v>
      </c>
      <c r="H851">
        <v>229</v>
      </c>
      <c r="I851" s="705">
        <v>3977</v>
      </c>
      <c r="J851" s="705">
        <v>3616</v>
      </c>
      <c r="K851">
        <v>86</v>
      </c>
      <c r="L851">
        <v>0</v>
      </c>
      <c r="M851">
        <v>0</v>
      </c>
      <c r="N851" s="705">
        <v>1308</v>
      </c>
      <c r="O851">
        <v>484</v>
      </c>
      <c r="P851">
        <v>621</v>
      </c>
      <c r="Q851">
        <v>230</v>
      </c>
      <c r="R851" s="705">
        <v>6363</v>
      </c>
      <c r="S851" s="705">
        <v>2357</v>
      </c>
      <c r="T851">
        <v>0</v>
      </c>
      <c r="U851">
        <v>0</v>
      </c>
      <c r="V851" s="705">
        <v>6686</v>
      </c>
      <c r="W851" s="705">
        <f t="shared" si="42"/>
        <v>6687</v>
      </c>
      <c r="X851" s="705">
        <f t="shared" si="43"/>
        <v>12269</v>
      </c>
      <c r="Y851" s="705"/>
    </row>
    <row r="852" spans="2:25">
      <c r="B852" t="s">
        <v>690</v>
      </c>
      <c r="C852" t="s">
        <v>118</v>
      </c>
      <c r="D852" t="s">
        <v>584</v>
      </c>
      <c r="E852" t="s">
        <v>582</v>
      </c>
      <c r="F852">
        <v>1</v>
      </c>
      <c r="G852">
        <v>75</v>
      </c>
      <c r="H852" s="705">
        <v>259</v>
      </c>
      <c r="I852" s="705">
        <v>8971</v>
      </c>
      <c r="J852" s="705">
        <v>8156</v>
      </c>
      <c r="K852" s="705">
        <v>80</v>
      </c>
      <c r="L852" s="705">
        <v>3768</v>
      </c>
      <c r="M852" s="705">
        <v>3425</v>
      </c>
      <c r="N852">
        <v>919</v>
      </c>
      <c r="O852">
        <v>340</v>
      </c>
      <c r="P852">
        <v>473</v>
      </c>
      <c r="Q852">
        <v>175</v>
      </c>
      <c r="R852" s="705">
        <v>5427</v>
      </c>
      <c r="S852" s="705">
        <v>4934</v>
      </c>
      <c r="T852">
        <v>0</v>
      </c>
      <c r="U852">
        <v>0</v>
      </c>
      <c r="V852" s="705">
        <v>17030</v>
      </c>
      <c r="W852" s="705">
        <f t="shared" si="42"/>
        <v>17030</v>
      </c>
      <c r="X852" s="705">
        <f t="shared" si="43"/>
        <v>19558</v>
      </c>
      <c r="Y852" s="705"/>
    </row>
    <row r="853" spans="2:25">
      <c r="B853" t="s">
        <v>690</v>
      </c>
      <c r="C853" t="s">
        <v>118</v>
      </c>
      <c r="D853" t="s">
        <v>584</v>
      </c>
      <c r="E853" t="s">
        <v>228</v>
      </c>
      <c r="F853" s="705">
        <v>1</v>
      </c>
      <c r="G853" s="705">
        <v>36</v>
      </c>
      <c r="H853" s="705">
        <v>281</v>
      </c>
      <c r="I853" s="705">
        <v>5707</v>
      </c>
      <c r="J853" s="705">
        <v>5188</v>
      </c>
      <c r="K853" s="705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705">
        <v>2951</v>
      </c>
      <c r="S853" s="705">
        <v>1093</v>
      </c>
      <c r="T853">
        <v>0</v>
      </c>
      <c r="U853">
        <v>0</v>
      </c>
      <c r="V853" s="705">
        <v>6777</v>
      </c>
      <c r="W853" s="705">
        <f t="shared" si="42"/>
        <v>6777</v>
      </c>
      <c r="X853" s="705">
        <f t="shared" si="43"/>
        <v>9998</v>
      </c>
      <c r="Y853" s="705"/>
    </row>
    <row r="854" spans="2:25">
      <c r="B854" t="s">
        <v>690</v>
      </c>
      <c r="C854" t="s">
        <v>118</v>
      </c>
      <c r="D854" t="s">
        <v>584</v>
      </c>
      <c r="E854" t="s">
        <v>584</v>
      </c>
      <c r="F854" s="705">
        <v>112</v>
      </c>
      <c r="G854" s="705">
        <v>6119</v>
      </c>
      <c r="H854" s="705">
        <v>28975</v>
      </c>
      <c r="I854" s="705">
        <v>790318</v>
      </c>
      <c r="J854" s="705">
        <v>718471</v>
      </c>
      <c r="K854" s="705">
        <v>79</v>
      </c>
      <c r="L854" s="705">
        <v>119198</v>
      </c>
      <c r="M854" s="705">
        <v>100985</v>
      </c>
      <c r="N854" s="705">
        <v>129347</v>
      </c>
      <c r="O854" s="705">
        <v>47906</v>
      </c>
      <c r="P854" s="705">
        <v>53744</v>
      </c>
      <c r="Q854" s="705">
        <v>19905</v>
      </c>
      <c r="R854" s="705">
        <v>438878</v>
      </c>
      <c r="S854" s="705">
        <v>398980</v>
      </c>
      <c r="T854" s="705">
        <v>60664</v>
      </c>
      <c r="U854" s="705">
        <v>22468</v>
      </c>
      <c r="V854" s="705">
        <v>1308716</v>
      </c>
      <c r="W854" s="705">
        <f t="shared" si="42"/>
        <v>1308715</v>
      </c>
      <c r="X854" s="705">
        <f t="shared" si="43"/>
        <v>1592149</v>
      </c>
      <c r="Y854" s="705"/>
    </row>
    <row r="855" spans="2:25">
      <c r="B855" t="s">
        <v>690</v>
      </c>
      <c r="C855" t="s">
        <v>120</v>
      </c>
      <c r="F855">
        <v>1</v>
      </c>
      <c r="G855">
        <v>34</v>
      </c>
      <c r="H855" s="705">
        <v>302</v>
      </c>
      <c r="J855" s="705">
        <v>0</v>
      </c>
      <c r="K855" s="705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705">
        <v>1780</v>
      </c>
      <c r="U855">
        <v>659</v>
      </c>
      <c r="V855">
        <v>852</v>
      </c>
      <c r="W855" s="705">
        <f t="shared" si="42"/>
        <v>852</v>
      </c>
      <c r="X855" s="705">
        <f t="shared" si="43"/>
        <v>2300</v>
      </c>
      <c r="Y855" s="705"/>
    </row>
    <row r="856" spans="2:25">
      <c r="B856" t="s">
        <v>690</v>
      </c>
      <c r="C856" t="s">
        <v>120</v>
      </c>
      <c r="D856" t="s">
        <v>228</v>
      </c>
      <c r="E856" t="s">
        <v>228</v>
      </c>
      <c r="F856" s="705">
        <v>68</v>
      </c>
      <c r="G856" s="705">
        <v>3762</v>
      </c>
      <c r="H856" s="705">
        <v>22777</v>
      </c>
      <c r="I856" s="705">
        <v>709570</v>
      </c>
      <c r="J856" s="705">
        <v>262804</v>
      </c>
      <c r="K856" s="705">
        <v>100</v>
      </c>
      <c r="L856" s="705">
        <v>78291</v>
      </c>
      <c r="M856" s="705">
        <v>30293</v>
      </c>
      <c r="N856" s="705">
        <v>76463</v>
      </c>
      <c r="O856" s="705">
        <v>28320</v>
      </c>
      <c r="P856">
        <v>702</v>
      </c>
      <c r="Q856">
        <v>260</v>
      </c>
      <c r="R856" s="705">
        <v>398976</v>
      </c>
      <c r="S856" s="705">
        <v>147769</v>
      </c>
      <c r="T856">
        <v>0</v>
      </c>
      <c r="U856">
        <v>0</v>
      </c>
      <c r="V856" s="705">
        <v>469446</v>
      </c>
      <c r="W856" s="705">
        <f t="shared" si="42"/>
        <v>469446</v>
      </c>
      <c r="X856" s="705">
        <f t="shared" si="43"/>
        <v>1264002</v>
      </c>
      <c r="Y856" s="705"/>
    </row>
    <row r="857" spans="2:25">
      <c r="B857" t="s">
        <v>690</v>
      </c>
      <c r="C857" t="s">
        <v>120</v>
      </c>
      <c r="D857" t="s">
        <v>584</v>
      </c>
      <c r="E857" t="s">
        <v>228</v>
      </c>
      <c r="F857" s="705">
        <v>2</v>
      </c>
      <c r="G857" s="705">
        <v>85</v>
      </c>
      <c r="H857" s="705">
        <v>674</v>
      </c>
      <c r="I857" s="705">
        <v>22230</v>
      </c>
      <c r="J857" s="705">
        <v>20209</v>
      </c>
      <c r="K857" s="705">
        <v>75</v>
      </c>
      <c r="L857" s="705">
        <v>2594</v>
      </c>
      <c r="M857" s="705">
        <v>2162</v>
      </c>
      <c r="N857" s="705">
        <v>2202</v>
      </c>
      <c r="O857">
        <v>816</v>
      </c>
      <c r="P857">
        <v>945</v>
      </c>
      <c r="Q857">
        <v>350</v>
      </c>
      <c r="R857" s="705">
        <v>9874</v>
      </c>
      <c r="S857" s="705">
        <v>3657</v>
      </c>
      <c r="T857">
        <v>0</v>
      </c>
      <c r="U857">
        <v>0</v>
      </c>
      <c r="V857" s="705">
        <v>27194</v>
      </c>
      <c r="W857" s="705">
        <f t="shared" si="42"/>
        <v>27194</v>
      </c>
      <c r="X857" s="705">
        <f t="shared" si="43"/>
        <v>37845</v>
      </c>
      <c r="Y857" s="705"/>
    </row>
    <row r="858" spans="2:25">
      <c r="B858" t="s">
        <v>690</v>
      </c>
      <c r="C858" t="s">
        <v>120</v>
      </c>
      <c r="D858" t="s">
        <v>584</v>
      </c>
      <c r="E858" t="s">
        <v>584</v>
      </c>
      <c r="F858">
        <v>53</v>
      </c>
      <c r="G858" s="705">
        <v>3352</v>
      </c>
      <c r="H858" s="705">
        <v>18272</v>
      </c>
      <c r="I858" s="705">
        <v>652597</v>
      </c>
      <c r="J858" s="705">
        <v>593270</v>
      </c>
      <c r="K858" s="705">
        <v>78</v>
      </c>
      <c r="L858" s="705">
        <v>135588</v>
      </c>
      <c r="M858" s="705">
        <v>107207</v>
      </c>
      <c r="N858" s="705">
        <v>74723</v>
      </c>
      <c r="O858" s="705">
        <v>27675</v>
      </c>
      <c r="P858" s="705">
        <v>24921</v>
      </c>
      <c r="Q858" s="705">
        <v>9230</v>
      </c>
      <c r="R858" s="705">
        <v>216846</v>
      </c>
      <c r="S858" s="705">
        <v>197133</v>
      </c>
      <c r="T858" s="705">
        <v>58996</v>
      </c>
      <c r="U858" s="705">
        <v>21850</v>
      </c>
      <c r="V858" s="705">
        <v>956365</v>
      </c>
      <c r="W858" s="705">
        <f t="shared" si="42"/>
        <v>956365</v>
      </c>
      <c r="X858" s="705">
        <f t="shared" si="43"/>
        <v>1163671</v>
      </c>
      <c r="Y858" s="705"/>
    </row>
    <row r="859" spans="2:25">
      <c r="B859" t="s">
        <v>690</v>
      </c>
      <c r="C859" t="s">
        <v>122</v>
      </c>
      <c r="D859" t="s">
        <v>228</v>
      </c>
      <c r="E859" t="s">
        <v>228</v>
      </c>
      <c r="F859" s="705">
        <v>14</v>
      </c>
      <c r="G859" s="705">
        <v>691</v>
      </c>
      <c r="H859" s="705">
        <v>5733</v>
      </c>
      <c r="I859" s="705">
        <v>180829</v>
      </c>
      <c r="J859" s="705">
        <v>66974</v>
      </c>
      <c r="K859" s="705">
        <v>100</v>
      </c>
      <c r="L859" s="705">
        <v>9518</v>
      </c>
      <c r="M859" s="705">
        <v>4489</v>
      </c>
      <c r="N859" s="705">
        <v>14439</v>
      </c>
      <c r="O859" s="705">
        <v>5348</v>
      </c>
      <c r="P859">
        <v>0</v>
      </c>
      <c r="Q859">
        <v>0</v>
      </c>
      <c r="R859" s="705">
        <v>77404</v>
      </c>
      <c r="S859" s="705">
        <v>28668</v>
      </c>
      <c r="T859">
        <v>0</v>
      </c>
      <c r="U859">
        <v>0</v>
      </c>
      <c r="V859" s="705">
        <v>105479</v>
      </c>
      <c r="W859" s="705">
        <f t="shared" si="42"/>
        <v>105479</v>
      </c>
      <c r="X859" s="705">
        <f t="shared" si="43"/>
        <v>282190</v>
      </c>
      <c r="Y859" s="705"/>
    </row>
    <row r="860" spans="2:25">
      <c r="B860" t="s">
        <v>690</v>
      </c>
      <c r="C860" t="s">
        <v>122</v>
      </c>
      <c r="D860" t="s">
        <v>583</v>
      </c>
      <c r="E860" t="s">
        <v>583</v>
      </c>
      <c r="F860">
        <v>1</v>
      </c>
      <c r="G860" s="705">
        <v>91</v>
      </c>
      <c r="H860" s="705">
        <v>434</v>
      </c>
      <c r="I860" s="705">
        <v>27102</v>
      </c>
      <c r="J860" s="705">
        <v>24639</v>
      </c>
      <c r="K860" s="705">
        <v>85</v>
      </c>
      <c r="L860" s="705">
        <v>5965</v>
      </c>
      <c r="M860" s="705">
        <v>2209</v>
      </c>
      <c r="N860" s="705">
        <v>1241</v>
      </c>
      <c r="O860">
        <v>460</v>
      </c>
      <c r="P860">
        <v>621</v>
      </c>
      <c r="Q860">
        <v>230</v>
      </c>
      <c r="R860" s="705">
        <v>4514</v>
      </c>
      <c r="S860" s="705">
        <v>4104</v>
      </c>
      <c r="T860">
        <v>0</v>
      </c>
      <c r="U860">
        <v>0</v>
      </c>
      <c r="V860" s="705">
        <v>31641</v>
      </c>
      <c r="W860" s="705">
        <f t="shared" si="42"/>
        <v>31642</v>
      </c>
      <c r="X860" s="705">
        <f t="shared" si="43"/>
        <v>39443</v>
      </c>
      <c r="Y860" s="705"/>
    </row>
    <row r="861" spans="2:25">
      <c r="B861" t="s">
        <v>690</v>
      </c>
      <c r="C861" t="s">
        <v>122</v>
      </c>
      <c r="D861" t="s">
        <v>584</v>
      </c>
      <c r="E861" t="s">
        <v>228</v>
      </c>
      <c r="F861" s="705">
        <v>2</v>
      </c>
      <c r="G861" s="705">
        <v>66</v>
      </c>
      <c r="H861" s="705">
        <v>786</v>
      </c>
      <c r="I861" s="705">
        <v>17983</v>
      </c>
      <c r="J861" s="705">
        <v>16348</v>
      </c>
      <c r="K861" s="705">
        <v>67</v>
      </c>
      <c r="L861">
        <v>0</v>
      </c>
      <c r="M861">
        <v>0</v>
      </c>
      <c r="N861" s="705">
        <v>1414</v>
      </c>
      <c r="O861">
        <v>524</v>
      </c>
      <c r="P861">
        <v>945</v>
      </c>
      <c r="Q861">
        <v>350</v>
      </c>
      <c r="R861" s="705">
        <v>5549</v>
      </c>
      <c r="S861" s="705">
        <v>2055</v>
      </c>
      <c r="T861">
        <v>0</v>
      </c>
      <c r="U861">
        <v>0</v>
      </c>
      <c r="V861" s="705">
        <v>19277</v>
      </c>
      <c r="W861" s="705">
        <f t="shared" si="42"/>
        <v>19277</v>
      </c>
      <c r="X861" s="705">
        <f t="shared" si="43"/>
        <v>25891</v>
      </c>
      <c r="Y861" s="705"/>
    </row>
    <row r="862" spans="2:25">
      <c r="B862" t="s">
        <v>690</v>
      </c>
      <c r="C862" t="s">
        <v>122</v>
      </c>
      <c r="D862" t="s">
        <v>584</v>
      </c>
      <c r="E862" t="s">
        <v>584</v>
      </c>
      <c r="F862">
        <v>22</v>
      </c>
      <c r="G862" s="705">
        <v>1388</v>
      </c>
      <c r="H862" s="705">
        <v>9021</v>
      </c>
      <c r="I862" s="705">
        <v>380085</v>
      </c>
      <c r="J862" s="705">
        <v>345532</v>
      </c>
      <c r="K862" s="705">
        <v>77</v>
      </c>
      <c r="L862" s="705">
        <v>51032</v>
      </c>
      <c r="M862" s="705">
        <v>38572</v>
      </c>
      <c r="N862" s="705">
        <v>29323</v>
      </c>
      <c r="O862" s="705">
        <v>10860</v>
      </c>
      <c r="P862" s="705">
        <v>10031</v>
      </c>
      <c r="Q862" s="705">
        <v>3715</v>
      </c>
      <c r="R862" s="705">
        <v>85499</v>
      </c>
      <c r="S862" s="705">
        <v>77727</v>
      </c>
      <c r="T862" s="705">
        <v>22398</v>
      </c>
      <c r="U862" s="705">
        <v>8296</v>
      </c>
      <c r="V862" s="705">
        <v>484702</v>
      </c>
      <c r="W862" s="705">
        <f t="shared" si="42"/>
        <v>484702</v>
      </c>
      <c r="X862" s="705">
        <f t="shared" si="43"/>
        <v>578368</v>
      </c>
      <c r="Y862" s="705"/>
    </row>
    <row r="863" spans="2:25">
      <c r="B863" t="s">
        <v>690</v>
      </c>
      <c r="C863" t="s">
        <v>124</v>
      </c>
      <c r="F863">
        <v>3</v>
      </c>
      <c r="G863">
        <v>110</v>
      </c>
      <c r="H863" s="705">
        <v>1941</v>
      </c>
      <c r="J863" s="705">
        <v>0</v>
      </c>
      <c r="K863" s="705"/>
      <c r="M863">
        <v>0</v>
      </c>
      <c r="N863" s="705">
        <v>2275</v>
      </c>
      <c r="O863">
        <v>843</v>
      </c>
      <c r="P863" s="705">
        <v>1242</v>
      </c>
      <c r="Q863">
        <v>460</v>
      </c>
      <c r="S863">
        <v>0</v>
      </c>
      <c r="T863">
        <v>0</v>
      </c>
      <c r="U863">
        <v>0</v>
      </c>
      <c r="V863" s="705">
        <v>1303</v>
      </c>
      <c r="W863" s="705">
        <f t="shared" si="42"/>
        <v>1303</v>
      </c>
      <c r="X863" s="705">
        <f t="shared" si="43"/>
        <v>3517</v>
      </c>
      <c r="Y863" s="705"/>
    </row>
    <row r="864" spans="2:25">
      <c r="B864" t="s">
        <v>690</v>
      </c>
      <c r="C864" t="s">
        <v>124</v>
      </c>
      <c r="D864" t="s">
        <v>228</v>
      </c>
      <c r="E864" t="s">
        <v>228</v>
      </c>
      <c r="F864">
        <v>34</v>
      </c>
      <c r="G864" s="705">
        <v>1594</v>
      </c>
      <c r="H864" s="705">
        <v>21328</v>
      </c>
      <c r="I864" s="705">
        <v>660889</v>
      </c>
      <c r="J864" s="705">
        <v>244774</v>
      </c>
      <c r="K864" s="705">
        <v>100</v>
      </c>
      <c r="L864" s="705">
        <v>89715</v>
      </c>
      <c r="M864" s="705">
        <v>43014</v>
      </c>
      <c r="N864" s="705">
        <v>32497</v>
      </c>
      <c r="O864" s="705">
        <v>12036</v>
      </c>
      <c r="P864">
        <v>0</v>
      </c>
      <c r="Q864">
        <v>0</v>
      </c>
      <c r="R864" s="705">
        <v>180405</v>
      </c>
      <c r="S864" s="705">
        <v>66817</v>
      </c>
      <c r="T864">
        <v>0</v>
      </c>
      <c r="U864">
        <v>0</v>
      </c>
      <c r="V864" s="705">
        <v>366640</v>
      </c>
      <c r="W864" s="705">
        <f t="shared" si="42"/>
        <v>366641</v>
      </c>
      <c r="X864" s="705">
        <f t="shared" si="43"/>
        <v>963506</v>
      </c>
      <c r="Y864" s="705"/>
    </row>
    <row r="865" spans="2:25">
      <c r="B865" t="s">
        <v>690</v>
      </c>
      <c r="C865" t="s">
        <v>124</v>
      </c>
      <c r="D865" t="s">
        <v>584</v>
      </c>
      <c r="E865" t="s">
        <v>228</v>
      </c>
      <c r="F865">
        <v>2</v>
      </c>
      <c r="G865">
        <v>74</v>
      </c>
      <c r="H865" s="705">
        <v>1191</v>
      </c>
      <c r="I865" s="705">
        <v>35437</v>
      </c>
      <c r="J865" s="705">
        <v>32215</v>
      </c>
      <c r="K865" s="705">
        <v>68</v>
      </c>
      <c r="L865">
        <v>0</v>
      </c>
      <c r="M865">
        <v>0</v>
      </c>
      <c r="N865" s="705">
        <v>1725</v>
      </c>
      <c r="O865">
        <v>639</v>
      </c>
      <c r="P865">
        <v>945</v>
      </c>
      <c r="Q865">
        <v>350</v>
      </c>
      <c r="R865" s="705">
        <v>5704</v>
      </c>
      <c r="S865" s="705">
        <v>2113</v>
      </c>
      <c r="T865">
        <v>0</v>
      </c>
      <c r="U865">
        <v>0</v>
      </c>
      <c r="V865" s="705">
        <v>35316</v>
      </c>
      <c r="W865" s="705">
        <f t="shared" si="42"/>
        <v>35317</v>
      </c>
      <c r="X865" s="705">
        <f t="shared" si="43"/>
        <v>43811</v>
      </c>
      <c r="Y865" s="705"/>
    </row>
    <row r="866" spans="2:25">
      <c r="B866" t="s">
        <v>690</v>
      </c>
      <c r="C866" t="s">
        <v>124</v>
      </c>
      <c r="D866" t="s">
        <v>584</v>
      </c>
      <c r="E866" t="s">
        <v>584</v>
      </c>
      <c r="F866">
        <v>22</v>
      </c>
      <c r="G866" s="705">
        <v>1160</v>
      </c>
      <c r="H866" s="705">
        <v>11462</v>
      </c>
      <c r="I866" s="705">
        <v>391699</v>
      </c>
      <c r="J866" s="705">
        <v>356090</v>
      </c>
      <c r="K866" s="705">
        <v>74</v>
      </c>
      <c r="L866" s="705">
        <v>51373</v>
      </c>
      <c r="M866" s="705">
        <v>44255</v>
      </c>
      <c r="N866" s="705">
        <v>25873</v>
      </c>
      <c r="O866" s="705">
        <v>9583</v>
      </c>
      <c r="P866" s="705">
        <v>10625</v>
      </c>
      <c r="Q866" s="705">
        <v>3935</v>
      </c>
      <c r="R866" s="705">
        <v>92613</v>
      </c>
      <c r="S866" s="705">
        <v>84194</v>
      </c>
      <c r="T866" s="705">
        <v>23080</v>
      </c>
      <c r="U866" s="705">
        <v>8548</v>
      </c>
      <c r="V866" s="705">
        <v>506605</v>
      </c>
      <c r="W866" s="705">
        <f t="shared" si="42"/>
        <v>506605</v>
      </c>
      <c r="X866" s="705">
        <f t="shared" si="43"/>
        <v>595263</v>
      </c>
      <c r="Y866" s="705"/>
    </row>
    <row r="867" spans="2:25">
      <c r="B867" t="s">
        <v>690</v>
      </c>
      <c r="C867" t="s">
        <v>124</v>
      </c>
      <c r="D867" t="s">
        <v>669</v>
      </c>
      <c r="E867" t="s">
        <v>228</v>
      </c>
      <c r="F867" s="705">
        <v>2</v>
      </c>
      <c r="G867" s="705">
        <v>83</v>
      </c>
      <c r="H867" s="705">
        <v>1891</v>
      </c>
      <c r="I867" s="705">
        <v>64810</v>
      </c>
      <c r="J867" s="705">
        <v>54008</v>
      </c>
      <c r="K867" s="705">
        <v>30</v>
      </c>
      <c r="L867" s="705">
        <v>4861</v>
      </c>
      <c r="M867" s="705">
        <v>1800</v>
      </c>
      <c r="N867" s="705">
        <v>2024</v>
      </c>
      <c r="O867">
        <v>750</v>
      </c>
      <c r="P867">
        <v>0</v>
      </c>
      <c r="Q867">
        <v>0</v>
      </c>
      <c r="R867" s="705">
        <v>6062</v>
      </c>
      <c r="S867" s="705">
        <v>2245</v>
      </c>
      <c r="T867">
        <v>0</v>
      </c>
      <c r="U867">
        <v>0</v>
      </c>
      <c r="V867" s="705">
        <v>58803</v>
      </c>
      <c r="W867" s="705">
        <f t="shared" si="42"/>
        <v>58803</v>
      </c>
      <c r="X867" s="705">
        <f t="shared" si="43"/>
        <v>77757</v>
      </c>
      <c r="Y867" s="705"/>
    </row>
    <row r="868" spans="2:25">
      <c r="B868" t="s">
        <v>691</v>
      </c>
      <c r="C868" t="s">
        <v>108</v>
      </c>
      <c r="F868">
        <v>62</v>
      </c>
      <c r="G868" s="705">
        <v>5174</v>
      </c>
      <c r="H868" s="705">
        <v>3136</v>
      </c>
      <c r="J868">
        <v>0</v>
      </c>
      <c r="K868" s="705"/>
      <c r="M868">
        <v>0</v>
      </c>
      <c r="N868" s="705">
        <v>63043</v>
      </c>
      <c r="O868" s="705">
        <v>23349</v>
      </c>
      <c r="P868" s="705">
        <v>69101</v>
      </c>
      <c r="Q868" s="705">
        <v>25593</v>
      </c>
      <c r="S868">
        <v>0</v>
      </c>
      <c r="T868">
        <v>0</v>
      </c>
      <c r="U868">
        <v>0</v>
      </c>
      <c r="V868" s="705">
        <v>48942</v>
      </c>
      <c r="W868" s="705">
        <f t="shared" si="42"/>
        <v>48942</v>
      </c>
      <c r="X868" s="705">
        <f t="shared" si="43"/>
        <v>132144</v>
      </c>
      <c r="Y868" s="705"/>
    </row>
    <row r="869" spans="2:25">
      <c r="B869" t="s">
        <v>691</v>
      </c>
      <c r="C869" t="s">
        <v>108</v>
      </c>
      <c r="D869" t="s">
        <v>584</v>
      </c>
      <c r="E869" t="s">
        <v>584</v>
      </c>
      <c r="F869">
        <v>221</v>
      </c>
      <c r="G869" s="705">
        <v>17507</v>
      </c>
      <c r="H869" s="705">
        <v>12473</v>
      </c>
      <c r="I869" s="705">
        <v>83526</v>
      </c>
      <c r="J869" s="705">
        <v>75933</v>
      </c>
      <c r="K869" s="705">
        <v>90</v>
      </c>
      <c r="L869">
        <v>-497</v>
      </c>
      <c r="M869">
        <v>-580</v>
      </c>
      <c r="N869" s="705">
        <v>213651</v>
      </c>
      <c r="O869" s="705">
        <v>79130</v>
      </c>
      <c r="P869" s="705">
        <v>160841</v>
      </c>
      <c r="Q869" s="705">
        <v>59571</v>
      </c>
      <c r="R869" s="705">
        <v>514142</v>
      </c>
      <c r="S869" s="705">
        <v>467402</v>
      </c>
      <c r="T869">
        <v>0</v>
      </c>
      <c r="U869">
        <v>0</v>
      </c>
      <c r="V869" s="705">
        <v>681455</v>
      </c>
      <c r="W869" s="705">
        <f t="shared" si="42"/>
        <v>682616</v>
      </c>
      <c r="X869" s="705">
        <f t="shared" si="43"/>
        <v>972657</v>
      </c>
      <c r="Y869" s="705"/>
    </row>
    <row r="870" spans="2:25">
      <c r="B870" t="s">
        <v>691</v>
      </c>
      <c r="C870" t="s">
        <v>110</v>
      </c>
      <c r="F870">
        <v>11</v>
      </c>
      <c r="G870" s="705">
        <v>1081</v>
      </c>
      <c r="H870" s="705">
        <v>1001</v>
      </c>
      <c r="J870">
        <v>0</v>
      </c>
      <c r="K870" s="705"/>
      <c r="M870">
        <v>0</v>
      </c>
      <c r="N870" s="705">
        <v>13168</v>
      </c>
      <c r="O870" s="705">
        <v>4877</v>
      </c>
      <c r="P870" s="705">
        <v>3861</v>
      </c>
      <c r="Q870" s="705">
        <v>1430</v>
      </c>
      <c r="S870">
        <v>0</v>
      </c>
      <c r="T870">
        <v>0</v>
      </c>
      <c r="U870">
        <v>0</v>
      </c>
      <c r="V870" s="705">
        <v>6307</v>
      </c>
      <c r="W870" s="705">
        <f t="shared" si="42"/>
        <v>6307</v>
      </c>
      <c r="X870" s="705">
        <f t="shared" si="43"/>
        <v>17029</v>
      </c>
      <c r="Y870" s="705"/>
    </row>
    <row r="871" spans="2:25">
      <c r="B871" t="s">
        <v>691</v>
      </c>
      <c r="C871" t="s">
        <v>110</v>
      </c>
      <c r="D871" t="s">
        <v>584</v>
      </c>
      <c r="E871" t="s">
        <v>584</v>
      </c>
      <c r="F871">
        <v>45</v>
      </c>
      <c r="G871" s="705">
        <v>3105</v>
      </c>
      <c r="H871" s="705">
        <v>4194</v>
      </c>
      <c r="I871" s="705">
        <v>98233</v>
      </c>
      <c r="J871" s="705">
        <v>89303</v>
      </c>
      <c r="K871" s="705">
        <v>90</v>
      </c>
      <c r="L871">
        <v>0</v>
      </c>
      <c r="M871">
        <v>0</v>
      </c>
      <c r="N871" s="705">
        <v>40885</v>
      </c>
      <c r="O871" s="705">
        <v>15142</v>
      </c>
      <c r="P871" s="705">
        <v>24085</v>
      </c>
      <c r="Q871" s="705">
        <v>8920</v>
      </c>
      <c r="R871" s="705">
        <v>126361</v>
      </c>
      <c r="S871" s="705">
        <v>114874</v>
      </c>
      <c r="T871">
        <v>0</v>
      </c>
      <c r="U871">
        <v>0</v>
      </c>
      <c r="V871" s="705">
        <v>228239</v>
      </c>
      <c r="W871" s="705">
        <f t="shared" si="42"/>
        <v>228239</v>
      </c>
      <c r="X871" s="705">
        <f t="shared" si="43"/>
        <v>289564</v>
      </c>
      <c r="Y871" s="705"/>
    </row>
    <row r="872" spans="2:25">
      <c r="B872" t="s">
        <v>691</v>
      </c>
      <c r="C872" t="s">
        <v>112</v>
      </c>
      <c r="F872" s="705">
        <v>10</v>
      </c>
      <c r="G872" s="705">
        <v>955</v>
      </c>
      <c r="H872" s="705">
        <v>1095</v>
      </c>
      <c r="J872" s="705">
        <v>0</v>
      </c>
      <c r="K872" s="705"/>
      <c r="M872">
        <v>0</v>
      </c>
      <c r="N872" s="705">
        <v>12434</v>
      </c>
      <c r="O872" s="705">
        <v>4605</v>
      </c>
      <c r="P872" s="705">
        <v>3159</v>
      </c>
      <c r="Q872" s="705">
        <v>1170</v>
      </c>
      <c r="S872">
        <v>0</v>
      </c>
      <c r="T872" s="705">
        <v>2215</v>
      </c>
      <c r="U872">
        <v>821</v>
      </c>
      <c r="V872" s="705">
        <v>6596</v>
      </c>
      <c r="W872" s="705">
        <f t="shared" si="42"/>
        <v>6596</v>
      </c>
      <c r="X872" s="705">
        <f t="shared" si="43"/>
        <v>17808</v>
      </c>
      <c r="Y872" s="705"/>
    </row>
    <row r="873" spans="2:25">
      <c r="B873" t="s">
        <v>691</v>
      </c>
      <c r="C873" t="s">
        <v>112</v>
      </c>
      <c r="D873" t="s">
        <v>584</v>
      </c>
      <c r="E873" t="s">
        <v>584</v>
      </c>
      <c r="F873" s="705">
        <v>178</v>
      </c>
      <c r="G873" s="705">
        <v>14508</v>
      </c>
      <c r="H873" s="705">
        <v>19939</v>
      </c>
      <c r="I873" s="705">
        <v>702589</v>
      </c>
      <c r="J873" s="705">
        <v>638717</v>
      </c>
      <c r="K873" s="705">
        <v>88</v>
      </c>
      <c r="L873" s="705">
        <v>16213</v>
      </c>
      <c r="M873" s="705">
        <v>10833</v>
      </c>
      <c r="N873" s="705">
        <v>258190</v>
      </c>
      <c r="O873" s="705">
        <v>95626</v>
      </c>
      <c r="P873" s="705">
        <v>87966</v>
      </c>
      <c r="Q873" s="705">
        <v>32580</v>
      </c>
      <c r="R873" s="705">
        <v>559275</v>
      </c>
      <c r="S873" s="705">
        <v>508431</v>
      </c>
      <c r="T873" s="705">
        <v>8111</v>
      </c>
      <c r="U873" s="705">
        <v>3004</v>
      </c>
      <c r="V873" s="705">
        <v>1289192</v>
      </c>
      <c r="W873" s="705">
        <f t="shared" si="42"/>
        <v>1289191</v>
      </c>
      <c r="X873" s="705">
        <f t="shared" si="43"/>
        <v>1632344</v>
      </c>
      <c r="Y873" s="705"/>
    </row>
    <row r="874" spans="2:25">
      <c r="B874" t="s">
        <v>691</v>
      </c>
      <c r="C874" t="s">
        <v>114</v>
      </c>
      <c r="F874">
        <v>6</v>
      </c>
      <c r="G874">
        <v>519</v>
      </c>
      <c r="H874" s="705">
        <v>834</v>
      </c>
      <c r="J874" s="705">
        <v>0</v>
      </c>
      <c r="K874" s="705"/>
      <c r="M874">
        <v>0</v>
      </c>
      <c r="N874" s="705">
        <v>6318</v>
      </c>
      <c r="O874" s="705">
        <v>2340</v>
      </c>
      <c r="P874" s="705">
        <v>2106</v>
      </c>
      <c r="Q874">
        <v>780</v>
      </c>
      <c r="S874">
        <v>0</v>
      </c>
      <c r="T874">
        <v>0</v>
      </c>
      <c r="U874">
        <v>0</v>
      </c>
      <c r="V874" s="705">
        <v>3120</v>
      </c>
      <c r="W874" s="705">
        <f t="shared" si="42"/>
        <v>3120</v>
      </c>
      <c r="X874" s="705">
        <f t="shared" si="43"/>
        <v>8424</v>
      </c>
      <c r="Y874" s="705"/>
    </row>
    <row r="875" spans="2:25">
      <c r="B875" t="s">
        <v>691</v>
      </c>
      <c r="C875" t="s">
        <v>114</v>
      </c>
      <c r="D875" t="s">
        <v>228</v>
      </c>
      <c r="E875" t="s">
        <v>228</v>
      </c>
      <c r="F875">
        <v>2</v>
      </c>
      <c r="G875" s="705">
        <v>132</v>
      </c>
      <c r="H875" s="705">
        <v>290</v>
      </c>
      <c r="I875" s="705">
        <v>1616</v>
      </c>
      <c r="J875" s="705">
        <v>598</v>
      </c>
      <c r="K875" s="705">
        <v>100</v>
      </c>
      <c r="L875">
        <v>-29</v>
      </c>
      <c r="M875">
        <v>-11</v>
      </c>
      <c r="N875" s="705">
        <v>2909</v>
      </c>
      <c r="O875" s="705">
        <v>1077</v>
      </c>
      <c r="P875">
        <v>0</v>
      </c>
      <c r="Q875">
        <v>0</v>
      </c>
      <c r="R875" s="705">
        <v>14670</v>
      </c>
      <c r="S875" s="705">
        <v>5433</v>
      </c>
      <c r="T875">
        <v>0</v>
      </c>
      <c r="U875">
        <v>0</v>
      </c>
      <c r="V875" s="705">
        <v>7099</v>
      </c>
      <c r="W875" s="705">
        <f t="shared" si="42"/>
        <v>7119</v>
      </c>
      <c r="X875" s="705">
        <f t="shared" si="43"/>
        <v>19224</v>
      </c>
      <c r="Y875" s="705"/>
    </row>
    <row r="876" spans="2:25">
      <c r="B876" t="s">
        <v>691</v>
      </c>
      <c r="C876" t="s">
        <v>114</v>
      </c>
      <c r="D876" t="s">
        <v>584</v>
      </c>
      <c r="E876" t="s">
        <v>584</v>
      </c>
      <c r="F876" s="705">
        <v>282</v>
      </c>
      <c r="G876" s="705">
        <v>24025</v>
      </c>
      <c r="H876" s="705">
        <v>39008</v>
      </c>
      <c r="I876" s="705">
        <v>1557283</v>
      </c>
      <c r="J876" s="705">
        <v>1415712</v>
      </c>
      <c r="K876" s="705">
        <v>86</v>
      </c>
      <c r="L876" s="705">
        <v>72486</v>
      </c>
      <c r="M876" s="705">
        <v>43477</v>
      </c>
      <c r="N876" s="705">
        <v>505093</v>
      </c>
      <c r="O876" s="705">
        <v>187072</v>
      </c>
      <c r="P876" s="705">
        <v>141548</v>
      </c>
      <c r="Q876" s="705">
        <v>52425</v>
      </c>
      <c r="R876" s="705">
        <v>1000435</v>
      </c>
      <c r="S876" s="705">
        <v>909487</v>
      </c>
      <c r="T876" s="705">
        <v>36974</v>
      </c>
      <c r="U876" s="705">
        <v>13694</v>
      </c>
      <c r="V876" s="705">
        <v>2621866</v>
      </c>
      <c r="W876" s="705">
        <f t="shared" si="42"/>
        <v>2621867</v>
      </c>
      <c r="X876" s="705">
        <f t="shared" si="43"/>
        <v>3313819</v>
      </c>
      <c r="Y876" s="705"/>
    </row>
    <row r="877" spans="2:25">
      <c r="B877" t="s">
        <v>691</v>
      </c>
      <c r="C877" t="s">
        <v>116</v>
      </c>
      <c r="F877" s="705">
        <v>3</v>
      </c>
      <c r="G877" s="705">
        <v>201</v>
      </c>
      <c r="H877" s="705">
        <v>483</v>
      </c>
      <c r="J877" s="705">
        <v>0</v>
      </c>
      <c r="K877" s="705"/>
      <c r="M877">
        <v>0</v>
      </c>
      <c r="N877" s="705">
        <v>2443</v>
      </c>
      <c r="O877">
        <v>905</v>
      </c>
      <c r="P877" s="705">
        <v>1053</v>
      </c>
      <c r="Q877">
        <v>390</v>
      </c>
      <c r="S877">
        <v>0</v>
      </c>
      <c r="T877">
        <v>0</v>
      </c>
      <c r="U877">
        <v>0</v>
      </c>
      <c r="V877" s="705">
        <v>1295</v>
      </c>
      <c r="W877" s="705">
        <f t="shared" si="42"/>
        <v>1295</v>
      </c>
      <c r="X877" s="705">
        <f t="shared" si="43"/>
        <v>3496</v>
      </c>
      <c r="Y877" s="705"/>
    </row>
    <row r="878" spans="2:25">
      <c r="B878" t="s">
        <v>691</v>
      </c>
      <c r="C878" t="s">
        <v>116</v>
      </c>
      <c r="D878" t="s">
        <v>228</v>
      </c>
      <c r="E878" t="s">
        <v>228</v>
      </c>
      <c r="F878" s="705">
        <v>99</v>
      </c>
      <c r="G878" s="705">
        <v>6502</v>
      </c>
      <c r="H878" s="705">
        <v>19440</v>
      </c>
      <c r="I878" s="705">
        <v>469341</v>
      </c>
      <c r="J878" s="705">
        <v>173830</v>
      </c>
      <c r="K878" s="705">
        <v>113</v>
      </c>
      <c r="L878" s="705">
        <v>65979</v>
      </c>
      <c r="M878" s="705">
        <v>26254</v>
      </c>
      <c r="N878" s="705">
        <v>126900</v>
      </c>
      <c r="O878" s="705">
        <v>47000</v>
      </c>
      <c r="P878" s="705">
        <v>1404</v>
      </c>
      <c r="Q878">
        <v>520</v>
      </c>
      <c r="R878" s="705">
        <v>612409</v>
      </c>
      <c r="S878" s="705">
        <v>226818</v>
      </c>
      <c r="T878">
        <v>0</v>
      </c>
      <c r="U878">
        <v>0</v>
      </c>
      <c r="V878" s="705">
        <v>474422</v>
      </c>
      <c r="W878" s="705">
        <f t="shared" si="42"/>
        <v>474422</v>
      </c>
      <c r="X878" s="705">
        <f t="shared" si="43"/>
        <v>1276033</v>
      </c>
      <c r="Y878" s="705"/>
    </row>
    <row r="879" spans="2:25">
      <c r="B879" t="s">
        <v>691</v>
      </c>
      <c r="C879" t="s">
        <v>116</v>
      </c>
      <c r="D879" t="s">
        <v>583</v>
      </c>
      <c r="E879" t="s">
        <v>583</v>
      </c>
      <c r="F879" s="705">
        <v>1</v>
      </c>
      <c r="G879" s="705">
        <v>110</v>
      </c>
      <c r="H879" s="705">
        <v>225</v>
      </c>
      <c r="I879" s="705">
        <v>16326</v>
      </c>
      <c r="J879" s="705">
        <v>14842</v>
      </c>
      <c r="K879" s="705">
        <v>95</v>
      </c>
      <c r="L879" s="705">
        <v>2886</v>
      </c>
      <c r="M879" s="705">
        <v>2405</v>
      </c>
      <c r="N879" s="705">
        <v>1446</v>
      </c>
      <c r="O879">
        <v>536</v>
      </c>
      <c r="P879">
        <v>621</v>
      </c>
      <c r="Q879">
        <v>230</v>
      </c>
      <c r="R879" s="705">
        <v>3430</v>
      </c>
      <c r="S879" s="705">
        <v>3118</v>
      </c>
      <c r="T879">
        <v>0</v>
      </c>
      <c r="U879">
        <v>0</v>
      </c>
      <c r="V879" s="705">
        <v>21131</v>
      </c>
      <c r="W879" s="705">
        <f t="shared" si="42"/>
        <v>21131</v>
      </c>
      <c r="X879" s="705">
        <f t="shared" si="43"/>
        <v>24709</v>
      </c>
      <c r="Y879" s="705"/>
    </row>
    <row r="880" spans="2:25">
      <c r="B880" t="s">
        <v>691</v>
      </c>
      <c r="C880" t="s">
        <v>116</v>
      </c>
      <c r="D880" t="s">
        <v>584</v>
      </c>
      <c r="E880" t="s">
        <v>228</v>
      </c>
      <c r="F880">
        <v>3</v>
      </c>
      <c r="G880">
        <v>280</v>
      </c>
      <c r="H880" s="705">
        <v>517</v>
      </c>
      <c r="I880" s="705">
        <v>14680</v>
      </c>
      <c r="J880" s="705">
        <v>13345</v>
      </c>
      <c r="K880" s="705">
        <v>75</v>
      </c>
      <c r="L880" s="705">
        <v>1074</v>
      </c>
      <c r="M880" s="705">
        <v>1383</v>
      </c>
      <c r="N880" s="705">
        <v>4693</v>
      </c>
      <c r="O880" s="705">
        <v>1738</v>
      </c>
      <c r="P880" s="705">
        <v>1418</v>
      </c>
      <c r="Q880">
        <v>525</v>
      </c>
      <c r="R880" s="705">
        <v>25851</v>
      </c>
      <c r="S880" s="705">
        <v>9575</v>
      </c>
      <c r="T880">
        <v>0</v>
      </c>
      <c r="U880">
        <v>0</v>
      </c>
      <c r="V880" s="705">
        <v>26566</v>
      </c>
      <c r="W880" s="705">
        <f t="shared" si="42"/>
        <v>26566</v>
      </c>
      <c r="X880" s="705">
        <f t="shared" si="43"/>
        <v>47716</v>
      </c>
      <c r="Y880" s="705"/>
    </row>
    <row r="881" spans="2:25">
      <c r="B881" t="s">
        <v>691</v>
      </c>
      <c r="C881" t="s">
        <v>116</v>
      </c>
      <c r="D881" t="s">
        <v>584</v>
      </c>
      <c r="E881" t="s">
        <v>584</v>
      </c>
      <c r="F881">
        <v>425</v>
      </c>
      <c r="G881" s="705">
        <v>33375</v>
      </c>
      <c r="H881" s="705">
        <v>76502</v>
      </c>
      <c r="I881" s="705">
        <v>2813753</v>
      </c>
      <c r="J881" s="705">
        <v>2557957</v>
      </c>
      <c r="K881" s="705">
        <v>81</v>
      </c>
      <c r="L881" s="705">
        <v>311670</v>
      </c>
      <c r="M881" s="705">
        <v>230596</v>
      </c>
      <c r="N881" s="705">
        <v>719254</v>
      </c>
      <c r="O881" s="705">
        <v>266390</v>
      </c>
      <c r="P881" s="705">
        <v>198869</v>
      </c>
      <c r="Q881" s="705">
        <v>73655</v>
      </c>
      <c r="R881" s="705">
        <v>1739420</v>
      </c>
      <c r="S881" s="705">
        <v>1581291</v>
      </c>
      <c r="T881" s="705">
        <v>269576</v>
      </c>
      <c r="U881" s="705">
        <v>99843</v>
      </c>
      <c r="V881" s="705">
        <v>4809732</v>
      </c>
      <c r="W881" s="705">
        <f t="shared" si="42"/>
        <v>4809732</v>
      </c>
      <c r="X881" s="705">
        <f t="shared" si="43"/>
        <v>6052542</v>
      </c>
      <c r="Y881" s="705"/>
    </row>
    <row r="882" spans="2:25">
      <c r="B882" t="s">
        <v>691</v>
      </c>
      <c r="C882" t="s">
        <v>118</v>
      </c>
      <c r="D882" t="s">
        <v>228</v>
      </c>
      <c r="E882" t="s">
        <v>228</v>
      </c>
      <c r="F882">
        <v>123</v>
      </c>
      <c r="G882" s="705">
        <v>7479</v>
      </c>
      <c r="H882" s="705">
        <v>31908</v>
      </c>
      <c r="I882" s="705">
        <v>931093</v>
      </c>
      <c r="J882" s="705">
        <v>344849</v>
      </c>
      <c r="K882" s="705">
        <v>147</v>
      </c>
      <c r="L882" s="705">
        <v>119475</v>
      </c>
      <c r="M882" s="705">
        <v>46375</v>
      </c>
      <c r="N882" s="705">
        <v>137549</v>
      </c>
      <c r="O882" s="705">
        <v>50944</v>
      </c>
      <c r="P882" s="705">
        <v>7142</v>
      </c>
      <c r="Q882" s="705">
        <v>2645</v>
      </c>
      <c r="R882" s="705">
        <v>761095</v>
      </c>
      <c r="S882" s="705">
        <v>281887</v>
      </c>
      <c r="T882">
        <v>0</v>
      </c>
      <c r="U882">
        <v>0</v>
      </c>
      <c r="V882" s="705">
        <v>726700</v>
      </c>
      <c r="W882" s="705">
        <f t="shared" si="42"/>
        <v>726700</v>
      </c>
      <c r="X882" s="705">
        <f t="shared" si="43"/>
        <v>1956354</v>
      </c>
      <c r="Y882" s="705"/>
    </row>
    <row r="883" spans="2:25">
      <c r="B883" t="s">
        <v>691</v>
      </c>
      <c r="C883" t="s">
        <v>118</v>
      </c>
      <c r="D883" t="s">
        <v>583</v>
      </c>
      <c r="E883" t="s">
        <v>583</v>
      </c>
      <c r="F883" s="705">
        <v>2</v>
      </c>
      <c r="G883" s="705">
        <v>317</v>
      </c>
      <c r="H883" s="705">
        <v>572</v>
      </c>
      <c r="I883" s="705">
        <v>59033</v>
      </c>
      <c r="J883" s="705">
        <v>53667</v>
      </c>
      <c r="K883" s="705">
        <v>82</v>
      </c>
      <c r="L883" s="705">
        <v>10405</v>
      </c>
      <c r="M883" s="705">
        <v>9459</v>
      </c>
      <c r="N883" s="705">
        <v>7694</v>
      </c>
      <c r="O883" s="705">
        <v>2850</v>
      </c>
      <c r="P883" s="705">
        <v>1242</v>
      </c>
      <c r="Q883">
        <v>460</v>
      </c>
      <c r="R883" s="705">
        <v>9649</v>
      </c>
      <c r="S883" s="705">
        <v>8772</v>
      </c>
      <c r="T883" s="705">
        <v>2651</v>
      </c>
      <c r="U883">
        <v>982</v>
      </c>
      <c r="V883" s="705">
        <v>76189</v>
      </c>
      <c r="W883" s="705">
        <f t="shared" si="42"/>
        <v>76190</v>
      </c>
      <c r="X883" s="705">
        <f t="shared" si="43"/>
        <v>90674</v>
      </c>
      <c r="Y883" s="705"/>
    </row>
    <row r="884" spans="2:25">
      <c r="B884" t="s">
        <v>691</v>
      </c>
      <c r="C884" t="s">
        <v>118</v>
      </c>
      <c r="D884" t="s">
        <v>584</v>
      </c>
      <c r="E884" t="s">
        <v>584</v>
      </c>
      <c r="F884" s="705">
        <v>75</v>
      </c>
      <c r="G884" s="705">
        <v>5545</v>
      </c>
      <c r="H884" s="705">
        <v>19184</v>
      </c>
      <c r="I884" s="705">
        <v>710924</v>
      </c>
      <c r="J884" s="705">
        <v>646295</v>
      </c>
      <c r="K884" s="705">
        <v>74</v>
      </c>
      <c r="L884" s="705">
        <v>150224</v>
      </c>
      <c r="M884" s="705">
        <v>131896</v>
      </c>
      <c r="N884" s="705">
        <v>109220</v>
      </c>
      <c r="O884" s="705">
        <v>40452</v>
      </c>
      <c r="P884" s="705">
        <v>34223</v>
      </c>
      <c r="Q884" s="705">
        <v>12675</v>
      </c>
      <c r="R884" s="705">
        <v>340848</v>
      </c>
      <c r="S884" s="705">
        <v>309862</v>
      </c>
      <c r="T884" s="705">
        <v>97260</v>
      </c>
      <c r="U884" s="705">
        <v>36022</v>
      </c>
      <c r="V884" s="705">
        <v>1177202</v>
      </c>
      <c r="W884" s="705">
        <f t="shared" si="42"/>
        <v>1177202</v>
      </c>
      <c r="X884" s="705">
        <f t="shared" si="43"/>
        <v>1442699</v>
      </c>
      <c r="Y884" s="705"/>
    </row>
    <row r="885" spans="2:25">
      <c r="B885" t="s">
        <v>691</v>
      </c>
      <c r="C885" t="s">
        <v>120</v>
      </c>
      <c r="D885" t="s">
        <v>228</v>
      </c>
      <c r="E885" t="s">
        <v>228</v>
      </c>
      <c r="F885">
        <v>36</v>
      </c>
      <c r="G885" s="705">
        <v>2093</v>
      </c>
      <c r="H885" s="705">
        <v>12078</v>
      </c>
      <c r="I885" s="705">
        <v>395331</v>
      </c>
      <c r="J885" s="705">
        <v>146419</v>
      </c>
      <c r="K885" s="705">
        <v>100</v>
      </c>
      <c r="L885" s="705">
        <v>49574</v>
      </c>
      <c r="M885" s="705">
        <v>23407</v>
      </c>
      <c r="N885" s="705">
        <v>43841</v>
      </c>
      <c r="O885" s="705">
        <v>16237</v>
      </c>
      <c r="P885">
        <v>351</v>
      </c>
      <c r="Q885">
        <v>130</v>
      </c>
      <c r="R885" s="705">
        <v>208569</v>
      </c>
      <c r="S885" s="705">
        <v>77248</v>
      </c>
      <c r="T885">
        <v>0</v>
      </c>
      <c r="U885">
        <v>0</v>
      </c>
      <c r="V885" s="705">
        <v>263441</v>
      </c>
      <c r="W885" s="705">
        <f t="shared" si="42"/>
        <v>263441</v>
      </c>
      <c r="X885" s="705">
        <f t="shared" si="43"/>
        <v>697666</v>
      </c>
      <c r="Y885" s="705"/>
    </row>
    <row r="886" spans="2:25">
      <c r="B886" t="s">
        <v>691</v>
      </c>
      <c r="C886" t="s">
        <v>120</v>
      </c>
      <c r="D886" t="s">
        <v>584</v>
      </c>
      <c r="E886" t="s">
        <v>584</v>
      </c>
      <c r="F886">
        <v>17</v>
      </c>
      <c r="G886" s="705">
        <v>1069</v>
      </c>
      <c r="H886" s="705">
        <v>5808</v>
      </c>
      <c r="I886" s="705">
        <v>215436</v>
      </c>
      <c r="J886" s="705">
        <v>195851</v>
      </c>
      <c r="K886" s="705">
        <v>75</v>
      </c>
      <c r="L886" s="705">
        <v>28348</v>
      </c>
      <c r="M886" s="705">
        <v>24147</v>
      </c>
      <c r="N886" s="705">
        <v>22971</v>
      </c>
      <c r="O886" s="705">
        <v>8508</v>
      </c>
      <c r="P886" s="705">
        <v>7668</v>
      </c>
      <c r="Q886" s="705">
        <v>2840</v>
      </c>
      <c r="R886" s="705">
        <v>72488</v>
      </c>
      <c r="S886" s="705">
        <v>65898</v>
      </c>
      <c r="T886" s="705">
        <v>20129</v>
      </c>
      <c r="U886" s="705">
        <v>7455</v>
      </c>
      <c r="V886" s="705">
        <v>304700</v>
      </c>
      <c r="W886" s="705">
        <f t="shared" si="42"/>
        <v>304699</v>
      </c>
      <c r="X886" s="705">
        <f t="shared" si="43"/>
        <v>367040</v>
      </c>
      <c r="Y886" s="705"/>
    </row>
    <row r="887" spans="2:25">
      <c r="B887" t="s">
        <v>691</v>
      </c>
      <c r="C887" t="s">
        <v>122</v>
      </c>
      <c r="D887" t="s">
        <v>228</v>
      </c>
      <c r="E887" t="s">
        <v>228</v>
      </c>
      <c r="F887">
        <v>17</v>
      </c>
      <c r="G887" s="705">
        <v>1079</v>
      </c>
      <c r="H887" s="705">
        <v>6940</v>
      </c>
      <c r="I887" s="705">
        <v>267699</v>
      </c>
      <c r="J887" s="705">
        <v>99148</v>
      </c>
      <c r="K887" s="705">
        <v>100</v>
      </c>
      <c r="L887" s="705">
        <v>34316</v>
      </c>
      <c r="M887" s="705">
        <v>18099</v>
      </c>
      <c r="N887" s="705">
        <v>24016</v>
      </c>
      <c r="O887" s="705">
        <v>8895</v>
      </c>
      <c r="P887">
        <v>0</v>
      </c>
      <c r="Q887">
        <v>0</v>
      </c>
      <c r="R887" s="705">
        <v>112634</v>
      </c>
      <c r="S887" s="705">
        <v>41716</v>
      </c>
      <c r="T887">
        <v>0</v>
      </c>
      <c r="U887">
        <v>0</v>
      </c>
      <c r="V887" s="705">
        <v>167857</v>
      </c>
      <c r="W887" s="705">
        <f t="shared" si="42"/>
        <v>167858</v>
      </c>
      <c r="X887" s="705">
        <f t="shared" si="43"/>
        <v>438665</v>
      </c>
      <c r="Y887" s="705"/>
    </row>
    <row r="888" spans="2:25">
      <c r="B888" t="s">
        <v>691</v>
      </c>
      <c r="C888" t="s">
        <v>122</v>
      </c>
      <c r="D888" t="s">
        <v>584</v>
      </c>
      <c r="E888" t="s">
        <v>584</v>
      </c>
      <c r="F888">
        <v>6</v>
      </c>
      <c r="G888" s="705">
        <v>353</v>
      </c>
      <c r="H888" s="705">
        <v>2523</v>
      </c>
      <c r="I888" s="705">
        <v>88465</v>
      </c>
      <c r="J888" s="705">
        <v>80423</v>
      </c>
      <c r="K888" s="705">
        <v>72</v>
      </c>
      <c r="L888" s="705">
        <v>8753</v>
      </c>
      <c r="M888" s="705">
        <v>6510</v>
      </c>
      <c r="N888" s="705">
        <v>7804</v>
      </c>
      <c r="O888" s="705">
        <v>2890</v>
      </c>
      <c r="P888" s="705">
        <v>2835</v>
      </c>
      <c r="Q888" s="705">
        <v>1050</v>
      </c>
      <c r="R888" s="705">
        <v>31137</v>
      </c>
      <c r="S888" s="705">
        <v>28307</v>
      </c>
      <c r="T888" s="705">
        <v>9086</v>
      </c>
      <c r="U888" s="705">
        <v>3365</v>
      </c>
      <c r="V888" s="705">
        <v>122545</v>
      </c>
      <c r="W888" s="705">
        <f t="shared" si="42"/>
        <v>122545</v>
      </c>
      <c r="X888" s="705">
        <f t="shared" si="43"/>
        <v>148080</v>
      </c>
      <c r="Y888" s="705"/>
    </row>
    <row r="889" spans="2:25">
      <c r="B889" t="s">
        <v>691</v>
      </c>
      <c r="C889" t="s">
        <v>122</v>
      </c>
      <c r="D889" t="s">
        <v>669</v>
      </c>
      <c r="E889" t="s">
        <v>228</v>
      </c>
      <c r="F889" s="705">
        <v>1</v>
      </c>
      <c r="G889" s="705">
        <v>44</v>
      </c>
      <c r="H889" s="705">
        <v>418</v>
      </c>
      <c r="I889" s="705">
        <v>11321</v>
      </c>
      <c r="J889" s="705">
        <v>9434</v>
      </c>
      <c r="K889" s="705">
        <v>30</v>
      </c>
      <c r="L889">
        <v>849</v>
      </c>
      <c r="M889">
        <v>314</v>
      </c>
      <c r="N889" s="705">
        <v>1064</v>
      </c>
      <c r="O889">
        <v>394</v>
      </c>
      <c r="P889">
        <v>0</v>
      </c>
      <c r="Q889">
        <v>0</v>
      </c>
      <c r="R889" s="705">
        <v>5012</v>
      </c>
      <c r="S889" s="705">
        <v>1856</v>
      </c>
      <c r="T889">
        <v>0</v>
      </c>
      <c r="U889">
        <v>0</v>
      </c>
      <c r="V889" s="705">
        <v>11999</v>
      </c>
      <c r="W889" s="705">
        <f t="shared" si="42"/>
        <v>11998</v>
      </c>
      <c r="X889" s="705">
        <f t="shared" si="43"/>
        <v>18246</v>
      </c>
      <c r="Y889" s="705"/>
    </row>
    <row r="890" spans="2:25">
      <c r="B890" t="s">
        <v>691</v>
      </c>
      <c r="C890" t="s">
        <v>124</v>
      </c>
      <c r="D890" t="s">
        <v>228</v>
      </c>
      <c r="E890" t="s">
        <v>228</v>
      </c>
      <c r="F890">
        <v>3</v>
      </c>
      <c r="G890" s="705">
        <v>151</v>
      </c>
      <c r="H890" s="705">
        <v>1474</v>
      </c>
      <c r="I890" s="705">
        <v>50069</v>
      </c>
      <c r="J890" s="705">
        <v>18544</v>
      </c>
      <c r="K890" s="705">
        <v>100</v>
      </c>
      <c r="L890" s="705">
        <v>5477</v>
      </c>
      <c r="M890" s="705">
        <v>3264</v>
      </c>
      <c r="N890" s="705">
        <v>2270</v>
      </c>
      <c r="O890">
        <v>841</v>
      </c>
      <c r="P890">
        <v>0</v>
      </c>
      <c r="Q890">
        <v>0</v>
      </c>
      <c r="R890" s="705">
        <v>16615</v>
      </c>
      <c r="S890" s="705">
        <v>6154</v>
      </c>
      <c r="T890">
        <v>0</v>
      </c>
      <c r="U890">
        <v>0</v>
      </c>
      <c r="V890" s="705">
        <v>28802</v>
      </c>
      <c r="W890" s="705">
        <f t="shared" si="42"/>
        <v>28803</v>
      </c>
      <c r="X890" s="705">
        <f t="shared" si="43"/>
        <v>74431</v>
      </c>
      <c r="Y890" s="705"/>
    </row>
    <row r="891" spans="2:25">
      <c r="B891" t="s">
        <v>691</v>
      </c>
      <c r="C891" t="s">
        <v>124</v>
      </c>
      <c r="D891" t="s">
        <v>584</v>
      </c>
      <c r="E891" t="s">
        <v>584</v>
      </c>
      <c r="F891">
        <v>6</v>
      </c>
      <c r="G891">
        <v>318</v>
      </c>
      <c r="H891" s="705">
        <v>3075</v>
      </c>
      <c r="I891" s="705">
        <v>115402</v>
      </c>
      <c r="J891" s="705">
        <v>104911</v>
      </c>
      <c r="K891" s="705">
        <v>77</v>
      </c>
      <c r="L891" s="705">
        <v>9492</v>
      </c>
      <c r="M891" s="705">
        <v>6496</v>
      </c>
      <c r="N891" s="705">
        <v>6391</v>
      </c>
      <c r="O891" s="705">
        <v>2367</v>
      </c>
      <c r="P891" s="705">
        <v>2835</v>
      </c>
      <c r="Q891" s="705">
        <v>1050</v>
      </c>
      <c r="R891" s="705">
        <v>22963</v>
      </c>
      <c r="S891" s="705">
        <v>20875</v>
      </c>
      <c r="T891" s="705">
        <v>4546</v>
      </c>
      <c r="U891" s="705">
        <v>1684</v>
      </c>
      <c r="V891" s="705">
        <v>137384</v>
      </c>
      <c r="W891" s="705">
        <f t="shared" si="42"/>
        <v>137383</v>
      </c>
      <c r="X891" s="705">
        <f t="shared" si="43"/>
        <v>161629</v>
      </c>
      <c r="Y891" s="705"/>
    </row>
    <row r="892" spans="2:25">
      <c r="B892" t="s">
        <v>691</v>
      </c>
      <c r="C892" t="s">
        <v>124</v>
      </c>
      <c r="D892" t="s">
        <v>669</v>
      </c>
      <c r="E892" t="s">
        <v>228</v>
      </c>
      <c r="F892">
        <v>1</v>
      </c>
      <c r="G892" s="705">
        <v>38</v>
      </c>
      <c r="H892" s="705">
        <v>483</v>
      </c>
      <c r="I892" s="705">
        <v>11120</v>
      </c>
      <c r="J892" s="705">
        <v>9267</v>
      </c>
      <c r="K892" s="705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705">
        <v>5577</v>
      </c>
      <c r="S892" s="705">
        <v>2065</v>
      </c>
      <c r="T892">
        <v>0</v>
      </c>
      <c r="U892">
        <v>0</v>
      </c>
      <c r="V892" s="705">
        <v>11986</v>
      </c>
      <c r="W892" s="705">
        <f t="shared" si="42"/>
        <v>11986</v>
      </c>
      <c r="X892" s="705">
        <f t="shared" si="43"/>
        <v>18462</v>
      </c>
      <c r="Y892" s="705"/>
    </row>
    <row r="893" spans="2:25">
      <c r="B893" t="s">
        <v>691</v>
      </c>
      <c r="C893" t="s">
        <v>124</v>
      </c>
      <c r="D893" t="s">
        <v>665</v>
      </c>
      <c r="E893" t="s">
        <v>228</v>
      </c>
      <c r="F893" s="705">
        <v>2</v>
      </c>
      <c r="G893" s="705">
        <v>71</v>
      </c>
      <c r="H893" s="705">
        <v>1134</v>
      </c>
      <c r="I893" s="705">
        <v>26275</v>
      </c>
      <c r="J893" s="705">
        <v>23887</v>
      </c>
      <c r="K893" s="705">
        <v>30</v>
      </c>
      <c r="L893" s="705">
        <v>2150</v>
      </c>
      <c r="M893">
        <v>796</v>
      </c>
      <c r="N893" s="705">
        <v>1730</v>
      </c>
      <c r="O893">
        <v>641</v>
      </c>
      <c r="P893">
        <v>0</v>
      </c>
      <c r="Q893">
        <v>0</v>
      </c>
      <c r="R893" s="705">
        <v>10098</v>
      </c>
      <c r="S893" s="705">
        <v>3740</v>
      </c>
      <c r="T893">
        <v>0</v>
      </c>
      <c r="U893">
        <v>0</v>
      </c>
      <c r="V893" s="705">
        <v>29064</v>
      </c>
      <c r="W893" s="705">
        <f t="shared" si="42"/>
        <v>29064</v>
      </c>
      <c r="X893" s="705">
        <f t="shared" si="43"/>
        <v>40253</v>
      </c>
      <c r="Y893" s="705"/>
    </row>
    <row r="894" spans="2:25">
      <c r="B894" t="s">
        <v>692</v>
      </c>
      <c r="C894" t="s">
        <v>108</v>
      </c>
      <c r="F894">
        <v>368</v>
      </c>
      <c r="G894" s="705">
        <v>32199</v>
      </c>
      <c r="H894" s="705">
        <v>20148</v>
      </c>
      <c r="J894" s="705">
        <v>0</v>
      </c>
      <c r="K894" s="705"/>
      <c r="M894">
        <v>0</v>
      </c>
      <c r="N894" s="705">
        <v>425485</v>
      </c>
      <c r="O894" s="705">
        <v>157587</v>
      </c>
      <c r="P894" s="705">
        <v>238288</v>
      </c>
      <c r="Q894" s="705">
        <v>88255</v>
      </c>
      <c r="S894">
        <v>0</v>
      </c>
      <c r="T894">
        <v>0</v>
      </c>
      <c r="U894">
        <v>0</v>
      </c>
      <c r="V894" s="705">
        <v>245842</v>
      </c>
      <c r="W894" s="705">
        <f t="shared" si="42"/>
        <v>245842</v>
      </c>
      <c r="X894" s="705">
        <f t="shared" si="43"/>
        <v>663773</v>
      </c>
      <c r="Y894" s="705"/>
    </row>
    <row r="895" spans="2:25">
      <c r="B895" t="s">
        <v>692</v>
      </c>
      <c r="C895" t="s">
        <v>108</v>
      </c>
      <c r="D895" t="s">
        <v>228</v>
      </c>
      <c r="E895" t="s">
        <v>228</v>
      </c>
      <c r="F895">
        <v>19</v>
      </c>
      <c r="G895" s="705">
        <v>1913</v>
      </c>
      <c r="H895" s="705">
        <v>1090</v>
      </c>
      <c r="I895" s="705">
        <v>3413</v>
      </c>
      <c r="J895" s="705">
        <v>1264</v>
      </c>
      <c r="K895" s="705">
        <v>477</v>
      </c>
      <c r="L895" s="705">
        <v>1756</v>
      </c>
      <c r="M895">
        <v>650</v>
      </c>
      <c r="N895" s="705">
        <v>23307</v>
      </c>
      <c r="O895" s="705">
        <v>8632</v>
      </c>
      <c r="P895" s="705">
        <v>24425</v>
      </c>
      <c r="Q895" s="705">
        <v>9046</v>
      </c>
      <c r="R895" s="705">
        <v>55051</v>
      </c>
      <c r="S895" s="705">
        <v>20389</v>
      </c>
      <c r="T895">
        <v>0</v>
      </c>
      <c r="U895">
        <v>0</v>
      </c>
      <c r="V895" s="705">
        <v>39982</v>
      </c>
      <c r="W895" s="705">
        <f t="shared" si="42"/>
        <v>39981</v>
      </c>
      <c r="X895" s="705">
        <f t="shared" si="43"/>
        <v>107952</v>
      </c>
      <c r="Y895" s="705"/>
    </row>
    <row r="896" spans="2:25">
      <c r="B896" t="s">
        <v>692</v>
      </c>
      <c r="C896" t="s">
        <v>108</v>
      </c>
      <c r="D896" t="s">
        <v>584</v>
      </c>
      <c r="E896" t="s">
        <v>584</v>
      </c>
      <c r="F896">
        <v>98</v>
      </c>
      <c r="G896" s="705">
        <v>9285</v>
      </c>
      <c r="H896" s="705">
        <v>4908</v>
      </c>
      <c r="I896" s="705">
        <v>-86641</v>
      </c>
      <c r="J896" s="705">
        <v>-78764</v>
      </c>
      <c r="K896" s="705">
        <v>90</v>
      </c>
      <c r="L896">
        <v>0</v>
      </c>
      <c r="M896">
        <v>0</v>
      </c>
      <c r="N896" s="705">
        <v>119585</v>
      </c>
      <c r="O896" s="705">
        <v>44291</v>
      </c>
      <c r="P896" s="705">
        <v>126719</v>
      </c>
      <c r="Q896" s="705">
        <v>46933</v>
      </c>
      <c r="R896" s="705">
        <v>302415</v>
      </c>
      <c r="S896" s="705">
        <v>274922</v>
      </c>
      <c r="T896">
        <v>0</v>
      </c>
      <c r="U896">
        <v>0</v>
      </c>
      <c r="V896" s="705">
        <v>287382</v>
      </c>
      <c r="W896" s="705">
        <f t="shared" si="42"/>
        <v>444910</v>
      </c>
      <c r="X896" s="705">
        <f t="shared" si="43"/>
        <v>635360</v>
      </c>
      <c r="Y896" s="705"/>
    </row>
    <row r="897" spans="2:25">
      <c r="B897" t="s">
        <v>692</v>
      </c>
      <c r="C897" t="s">
        <v>110</v>
      </c>
      <c r="F897">
        <v>29</v>
      </c>
      <c r="G897" s="705">
        <v>2483</v>
      </c>
      <c r="H897" s="705">
        <v>2327</v>
      </c>
      <c r="J897">
        <v>0</v>
      </c>
      <c r="K897" s="705"/>
      <c r="M897">
        <v>0</v>
      </c>
      <c r="N897" s="705">
        <v>30576</v>
      </c>
      <c r="O897" s="705">
        <v>11325</v>
      </c>
      <c r="P897" s="705">
        <v>4563</v>
      </c>
      <c r="Q897" s="705">
        <v>1690</v>
      </c>
      <c r="S897">
        <v>0</v>
      </c>
      <c r="T897">
        <v>0</v>
      </c>
      <c r="U897">
        <v>0</v>
      </c>
      <c r="V897" s="705">
        <v>13015</v>
      </c>
      <c r="W897" s="705">
        <f t="shared" si="42"/>
        <v>13015</v>
      </c>
      <c r="X897" s="705">
        <f t="shared" si="43"/>
        <v>35139</v>
      </c>
      <c r="Y897" s="705"/>
    </row>
    <row r="898" spans="2:25">
      <c r="B898" t="s">
        <v>692</v>
      </c>
      <c r="C898" t="s">
        <v>110</v>
      </c>
      <c r="D898" t="s">
        <v>584</v>
      </c>
      <c r="E898" t="s">
        <v>584</v>
      </c>
      <c r="F898">
        <v>140</v>
      </c>
      <c r="G898" s="705">
        <v>12367</v>
      </c>
      <c r="H898" s="705">
        <v>12741</v>
      </c>
      <c r="I898" s="705">
        <v>264544</v>
      </c>
      <c r="J898" s="705">
        <v>240494</v>
      </c>
      <c r="K898" s="705">
        <v>89</v>
      </c>
      <c r="L898" s="705">
        <v>40640</v>
      </c>
      <c r="M898" s="705">
        <v>15773</v>
      </c>
      <c r="N898" s="705">
        <v>190030</v>
      </c>
      <c r="O898" s="705">
        <v>70381</v>
      </c>
      <c r="P898" s="705">
        <v>138180</v>
      </c>
      <c r="Q898" s="705">
        <v>51178</v>
      </c>
      <c r="R898" s="705">
        <v>489760</v>
      </c>
      <c r="S898" s="705">
        <v>445236</v>
      </c>
      <c r="T898">
        <v>0</v>
      </c>
      <c r="U898">
        <v>0</v>
      </c>
      <c r="V898" s="705">
        <v>823063</v>
      </c>
      <c r="W898" s="705">
        <f t="shared" si="42"/>
        <v>823062</v>
      </c>
      <c r="X898" s="705">
        <f t="shared" si="43"/>
        <v>1123154</v>
      </c>
      <c r="Y898" s="705"/>
    </row>
    <row r="899" spans="2:25">
      <c r="B899" t="s">
        <v>692</v>
      </c>
      <c r="C899" t="s">
        <v>112</v>
      </c>
      <c r="D899" t="s">
        <v>584</v>
      </c>
      <c r="E899" t="s">
        <v>584</v>
      </c>
      <c r="F899">
        <v>283</v>
      </c>
      <c r="G899" s="705">
        <v>21875</v>
      </c>
      <c r="H899" s="705">
        <v>31944</v>
      </c>
      <c r="I899" s="705">
        <v>755907</v>
      </c>
      <c r="J899" s="705">
        <v>687189</v>
      </c>
      <c r="K899" s="705">
        <v>86</v>
      </c>
      <c r="L899" s="705">
        <v>77823</v>
      </c>
      <c r="M899" s="705">
        <v>38742</v>
      </c>
      <c r="N899" s="705">
        <v>412388</v>
      </c>
      <c r="O899" s="705">
        <v>152736</v>
      </c>
      <c r="P899" s="705">
        <v>194454</v>
      </c>
      <c r="Q899" s="705">
        <v>72020</v>
      </c>
      <c r="R899" s="705">
        <v>1013132</v>
      </c>
      <c r="S899" s="705">
        <v>921029</v>
      </c>
      <c r="T899" s="705">
        <v>12679</v>
      </c>
      <c r="U899" s="705">
        <v>4696</v>
      </c>
      <c r="V899" s="705">
        <v>1876411</v>
      </c>
      <c r="W899" s="705">
        <f t="shared" si="42"/>
        <v>1876412</v>
      </c>
      <c r="X899" s="705">
        <f t="shared" si="43"/>
        <v>2466383</v>
      </c>
      <c r="Y899" s="705"/>
    </row>
    <row r="900" spans="2:25">
      <c r="B900" t="s">
        <v>692</v>
      </c>
      <c r="C900" t="s">
        <v>114</v>
      </c>
      <c r="D900" t="s">
        <v>228</v>
      </c>
      <c r="E900" t="s">
        <v>228</v>
      </c>
      <c r="F900">
        <v>2</v>
      </c>
      <c r="G900" s="705">
        <v>187</v>
      </c>
      <c r="H900" s="705">
        <v>289</v>
      </c>
      <c r="I900" s="705">
        <v>6533</v>
      </c>
      <c r="J900" s="705">
        <v>2420</v>
      </c>
      <c r="K900" s="705">
        <v>244</v>
      </c>
      <c r="L900" s="705">
        <v>1796</v>
      </c>
      <c r="M900" s="705">
        <v>1497</v>
      </c>
      <c r="N900" s="705">
        <v>3668</v>
      </c>
      <c r="O900" s="705">
        <v>1358</v>
      </c>
      <c r="P900" s="705">
        <v>1172</v>
      </c>
      <c r="Q900">
        <v>434</v>
      </c>
      <c r="R900" s="705">
        <v>13920</v>
      </c>
      <c r="S900" s="705">
        <v>5155</v>
      </c>
      <c r="T900">
        <v>0</v>
      </c>
      <c r="U900">
        <v>0</v>
      </c>
      <c r="V900" s="705">
        <v>10864</v>
      </c>
      <c r="W900" s="705">
        <f t="shared" si="42"/>
        <v>10864</v>
      </c>
      <c r="X900" s="705">
        <f t="shared" si="43"/>
        <v>27089</v>
      </c>
      <c r="Y900" s="705"/>
    </row>
    <row r="901" spans="2:25">
      <c r="B901" t="s">
        <v>692</v>
      </c>
      <c r="C901" t="s">
        <v>114</v>
      </c>
      <c r="D901" t="s">
        <v>584</v>
      </c>
      <c r="E901" t="s">
        <v>584</v>
      </c>
      <c r="F901" s="705">
        <v>269</v>
      </c>
      <c r="G901" s="705">
        <v>19895</v>
      </c>
      <c r="H901" s="705">
        <v>37232</v>
      </c>
      <c r="I901" s="705">
        <v>1021928</v>
      </c>
      <c r="J901" s="705">
        <v>929026</v>
      </c>
      <c r="K901" s="705">
        <v>83</v>
      </c>
      <c r="L901" s="705">
        <v>88121</v>
      </c>
      <c r="M901" s="705">
        <v>59924</v>
      </c>
      <c r="N901" s="705">
        <v>419321</v>
      </c>
      <c r="O901" s="705">
        <v>155304</v>
      </c>
      <c r="P901" s="705">
        <v>153676</v>
      </c>
      <c r="Q901" s="705">
        <v>56917</v>
      </c>
      <c r="R901" s="705">
        <v>1013135</v>
      </c>
      <c r="S901" s="705">
        <v>921032</v>
      </c>
      <c r="T901" s="705">
        <v>61508</v>
      </c>
      <c r="U901" s="705">
        <v>22781</v>
      </c>
      <c r="V901" s="705">
        <v>2144983</v>
      </c>
      <c r="W901" s="705">
        <f t="shared" si="42"/>
        <v>2144984</v>
      </c>
      <c r="X901" s="705">
        <f t="shared" si="43"/>
        <v>2757689</v>
      </c>
      <c r="Y901" s="705"/>
    </row>
    <row r="902" spans="2:25">
      <c r="B902" t="s">
        <v>692</v>
      </c>
      <c r="C902" t="s">
        <v>116</v>
      </c>
      <c r="F902">
        <v>2</v>
      </c>
      <c r="G902" s="705">
        <v>151</v>
      </c>
      <c r="H902" s="705">
        <v>331</v>
      </c>
      <c r="J902" s="705">
        <v>0</v>
      </c>
      <c r="K902" s="705"/>
      <c r="M902">
        <v>0</v>
      </c>
      <c r="N902" s="705">
        <v>2823</v>
      </c>
      <c r="O902" s="705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705">
        <v>1176</v>
      </c>
      <c r="W902" s="705">
        <f t="shared" si="42"/>
        <v>1176</v>
      </c>
      <c r="X902" s="705">
        <f t="shared" si="43"/>
        <v>3174</v>
      </c>
      <c r="Y902" s="705"/>
    </row>
    <row r="903" spans="2:25">
      <c r="B903" t="s">
        <v>692</v>
      </c>
      <c r="C903" t="s">
        <v>116</v>
      </c>
      <c r="D903" t="s">
        <v>228</v>
      </c>
      <c r="E903" t="s">
        <v>228</v>
      </c>
      <c r="F903">
        <v>88</v>
      </c>
      <c r="G903" s="705">
        <v>6280</v>
      </c>
      <c r="H903" s="705">
        <v>17577</v>
      </c>
      <c r="I903" s="705">
        <v>528896</v>
      </c>
      <c r="J903" s="705">
        <v>195887</v>
      </c>
      <c r="K903" s="705">
        <v>100</v>
      </c>
      <c r="L903" s="705">
        <v>52629</v>
      </c>
      <c r="M903" s="705">
        <v>23544</v>
      </c>
      <c r="N903" s="705">
        <v>129200</v>
      </c>
      <c r="O903" s="705">
        <v>47852</v>
      </c>
      <c r="P903" s="705">
        <v>1053</v>
      </c>
      <c r="Q903">
        <v>390</v>
      </c>
      <c r="R903" s="705">
        <v>552043</v>
      </c>
      <c r="S903" s="705">
        <v>204460</v>
      </c>
      <c r="T903">
        <v>0</v>
      </c>
      <c r="U903">
        <v>0</v>
      </c>
      <c r="V903" s="705">
        <v>472134</v>
      </c>
      <c r="W903" s="705">
        <f t="shared" ref="W903:W938" si="44">SUM(ABS(J903),ABS(M903),ABS(O903),ABS(Q903),ABS(S903),ABS(U903))</f>
        <v>472133</v>
      </c>
      <c r="X903" s="705">
        <f t="shared" ref="X903:X938" si="45">SUM(ABS(I903),ABS(N903),ABS(P903),ABS(R903),ABS(T903),ABS(L903))</f>
        <v>1263821</v>
      </c>
      <c r="Y903" s="705"/>
    </row>
    <row r="904" spans="2:25">
      <c r="B904" t="s">
        <v>692</v>
      </c>
      <c r="C904" t="s">
        <v>116</v>
      </c>
      <c r="D904" t="s">
        <v>583</v>
      </c>
      <c r="E904" t="s">
        <v>583</v>
      </c>
      <c r="F904">
        <v>2</v>
      </c>
      <c r="G904" s="705">
        <v>293</v>
      </c>
      <c r="H904" s="705">
        <v>384</v>
      </c>
      <c r="I904" s="705">
        <v>31378</v>
      </c>
      <c r="J904" s="705">
        <v>28526</v>
      </c>
      <c r="K904" s="705">
        <v>82</v>
      </c>
      <c r="L904" s="705">
        <v>7379</v>
      </c>
      <c r="M904" s="705">
        <v>5141</v>
      </c>
      <c r="N904" s="705">
        <v>4576</v>
      </c>
      <c r="O904" s="705">
        <v>1695</v>
      </c>
      <c r="P904" s="705">
        <v>1242</v>
      </c>
      <c r="Q904">
        <v>460</v>
      </c>
      <c r="R904" s="705">
        <v>9624</v>
      </c>
      <c r="S904" s="705">
        <v>8749</v>
      </c>
      <c r="T904" s="705">
        <v>3352</v>
      </c>
      <c r="U904" s="705">
        <v>1241</v>
      </c>
      <c r="V904" s="705">
        <v>45813</v>
      </c>
      <c r="W904" s="705">
        <f t="shared" si="44"/>
        <v>45812</v>
      </c>
      <c r="X904" s="705">
        <f t="shared" si="45"/>
        <v>57551</v>
      </c>
      <c r="Y904" s="705"/>
    </row>
    <row r="905" spans="2:25">
      <c r="B905" t="s">
        <v>692</v>
      </c>
      <c r="C905" t="s">
        <v>116</v>
      </c>
      <c r="D905" t="s">
        <v>584</v>
      </c>
      <c r="E905" t="s">
        <v>228</v>
      </c>
      <c r="F905">
        <v>1</v>
      </c>
      <c r="G905">
        <v>69</v>
      </c>
      <c r="H905">
        <v>171</v>
      </c>
      <c r="I905" s="705">
        <v>3651</v>
      </c>
      <c r="J905" s="705">
        <v>3320</v>
      </c>
      <c r="K905">
        <v>90</v>
      </c>
      <c r="L905">
        <v>0</v>
      </c>
      <c r="M905">
        <v>315</v>
      </c>
      <c r="N905" s="705">
        <v>1673</v>
      </c>
      <c r="O905">
        <v>620</v>
      </c>
      <c r="P905">
        <v>473</v>
      </c>
      <c r="Q905">
        <v>175</v>
      </c>
      <c r="R905" s="705">
        <v>5959</v>
      </c>
      <c r="S905" s="705">
        <v>2207</v>
      </c>
      <c r="T905">
        <v>0</v>
      </c>
      <c r="U905">
        <v>0</v>
      </c>
      <c r="V905" s="705">
        <v>6637</v>
      </c>
      <c r="W905" s="705">
        <f t="shared" si="44"/>
        <v>6637</v>
      </c>
      <c r="X905" s="705">
        <f t="shared" si="45"/>
        <v>11756</v>
      </c>
      <c r="Y905" s="705"/>
    </row>
    <row r="906" spans="2:25">
      <c r="B906" t="s">
        <v>692</v>
      </c>
      <c r="C906" t="s">
        <v>116</v>
      </c>
      <c r="D906" t="s">
        <v>584</v>
      </c>
      <c r="E906" t="s">
        <v>584</v>
      </c>
      <c r="F906">
        <v>553</v>
      </c>
      <c r="G906" s="705">
        <v>40956</v>
      </c>
      <c r="H906" s="705">
        <v>101025</v>
      </c>
      <c r="I906" s="705">
        <v>3273389</v>
      </c>
      <c r="J906" s="705">
        <v>2975808</v>
      </c>
      <c r="K906" s="705">
        <v>80</v>
      </c>
      <c r="L906" s="705">
        <v>479052</v>
      </c>
      <c r="M906" s="705">
        <v>332251</v>
      </c>
      <c r="N906" s="705">
        <v>837480</v>
      </c>
      <c r="O906" s="705">
        <v>310178</v>
      </c>
      <c r="P906" s="705">
        <v>269831</v>
      </c>
      <c r="Q906" s="705">
        <v>99937</v>
      </c>
      <c r="R906" s="705">
        <v>2357789</v>
      </c>
      <c r="S906" s="705">
        <v>2143445</v>
      </c>
      <c r="T906" s="705">
        <v>282701</v>
      </c>
      <c r="U906" s="705">
        <v>104704</v>
      </c>
      <c r="V906" s="705">
        <v>5966323</v>
      </c>
      <c r="W906" s="705">
        <f t="shared" si="44"/>
        <v>5966323</v>
      </c>
      <c r="X906" s="705">
        <f t="shared" si="45"/>
        <v>7500242</v>
      </c>
      <c r="Y906" s="705"/>
    </row>
    <row r="907" spans="2:25">
      <c r="B907" t="s">
        <v>692</v>
      </c>
      <c r="C907" t="s">
        <v>118</v>
      </c>
      <c r="F907">
        <v>1</v>
      </c>
      <c r="G907">
        <v>30</v>
      </c>
      <c r="H907">
        <v>287</v>
      </c>
      <c r="J907">
        <v>0</v>
      </c>
      <c r="K907" s="705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705">
        <f t="shared" si="44"/>
        <v>405</v>
      </c>
      <c r="X907" s="705">
        <f t="shared" si="45"/>
        <v>1094</v>
      </c>
      <c r="Y907" s="705"/>
    </row>
    <row r="908" spans="2:25">
      <c r="B908" t="s">
        <v>692</v>
      </c>
      <c r="C908" t="s">
        <v>118</v>
      </c>
      <c r="D908" t="s">
        <v>228</v>
      </c>
      <c r="E908" t="s">
        <v>228</v>
      </c>
      <c r="F908">
        <v>176</v>
      </c>
      <c r="G908" s="705">
        <v>11659</v>
      </c>
      <c r="H908" s="705">
        <v>46694</v>
      </c>
      <c r="I908" s="705">
        <v>1600716</v>
      </c>
      <c r="J908" s="705">
        <v>592858</v>
      </c>
      <c r="K908" s="705">
        <v>100</v>
      </c>
      <c r="L908" s="705">
        <v>184993</v>
      </c>
      <c r="M908" s="705">
        <v>84865</v>
      </c>
      <c r="N908" s="705">
        <v>242922</v>
      </c>
      <c r="O908" s="705">
        <v>89971</v>
      </c>
      <c r="P908" s="705">
        <v>3356</v>
      </c>
      <c r="Q908" s="705">
        <v>1243</v>
      </c>
      <c r="R908" s="705">
        <v>1065395</v>
      </c>
      <c r="S908" s="705">
        <v>394591</v>
      </c>
      <c r="T908">
        <v>0</v>
      </c>
      <c r="U908">
        <v>0</v>
      </c>
      <c r="V908" s="705">
        <v>1163528</v>
      </c>
      <c r="W908" s="705">
        <f t="shared" si="44"/>
        <v>1163528</v>
      </c>
      <c r="X908" s="705">
        <f t="shared" si="45"/>
        <v>3097382</v>
      </c>
      <c r="Y908" s="705"/>
    </row>
    <row r="909" spans="2:25">
      <c r="B909" t="s">
        <v>692</v>
      </c>
      <c r="C909" t="s">
        <v>118</v>
      </c>
      <c r="D909" t="s">
        <v>583</v>
      </c>
      <c r="E909" t="s">
        <v>583</v>
      </c>
      <c r="F909">
        <v>2</v>
      </c>
      <c r="G909">
        <v>384</v>
      </c>
      <c r="H909" s="705">
        <v>548</v>
      </c>
      <c r="I909" s="705">
        <v>72228</v>
      </c>
      <c r="J909" s="705">
        <v>65661</v>
      </c>
      <c r="K909" s="705">
        <v>84</v>
      </c>
      <c r="L909" s="705">
        <v>11753</v>
      </c>
      <c r="M909" s="705">
        <v>10685</v>
      </c>
      <c r="N909" s="705">
        <v>7177</v>
      </c>
      <c r="O909" s="705">
        <v>2658</v>
      </c>
      <c r="P909" s="705">
        <v>1863</v>
      </c>
      <c r="Q909">
        <v>690</v>
      </c>
      <c r="R909" s="705">
        <v>13435</v>
      </c>
      <c r="S909" s="705">
        <v>12213</v>
      </c>
      <c r="T909">
        <v>0</v>
      </c>
      <c r="U909">
        <v>0</v>
      </c>
      <c r="V909" s="705">
        <v>91908</v>
      </c>
      <c r="W909" s="705">
        <f t="shared" si="44"/>
        <v>91907</v>
      </c>
      <c r="X909" s="705">
        <f t="shared" si="45"/>
        <v>106456</v>
      </c>
      <c r="Y909" s="705"/>
    </row>
    <row r="910" spans="2:25">
      <c r="B910" t="s">
        <v>692</v>
      </c>
      <c r="C910" t="s">
        <v>118</v>
      </c>
      <c r="D910" t="s">
        <v>584</v>
      </c>
      <c r="E910" t="s">
        <v>228</v>
      </c>
      <c r="F910">
        <v>1</v>
      </c>
      <c r="G910">
        <v>96</v>
      </c>
      <c r="H910" s="705">
        <v>275</v>
      </c>
      <c r="I910" s="705">
        <v>12490</v>
      </c>
      <c r="J910" s="705">
        <v>11355</v>
      </c>
      <c r="K910" s="705">
        <v>77</v>
      </c>
      <c r="L910" s="705">
        <v>3896</v>
      </c>
      <c r="M910" s="705">
        <v>3247</v>
      </c>
      <c r="N910" s="705">
        <v>2339</v>
      </c>
      <c r="O910">
        <v>866</v>
      </c>
      <c r="P910">
        <v>473</v>
      </c>
      <c r="Q910">
        <v>175</v>
      </c>
      <c r="R910" s="705">
        <v>7201</v>
      </c>
      <c r="S910" s="705">
        <v>2667</v>
      </c>
      <c r="T910">
        <v>0</v>
      </c>
      <c r="U910">
        <v>0</v>
      </c>
      <c r="V910" s="705">
        <v>18310</v>
      </c>
      <c r="W910" s="705">
        <f t="shared" si="44"/>
        <v>18310</v>
      </c>
      <c r="X910" s="705">
        <f t="shared" si="45"/>
        <v>26399</v>
      </c>
      <c r="Y910" s="705"/>
    </row>
    <row r="911" spans="2:25">
      <c r="B911" t="s">
        <v>692</v>
      </c>
      <c r="C911" t="s">
        <v>118</v>
      </c>
      <c r="D911" t="s">
        <v>584</v>
      </c>
      <c r="E911" t="s">
        <v>584</v>
      </c>
      <c r="F911">
        <v>151</v>
      </c>
      <c r="G911" s="705">
        <v>10226</v>
      </c>
      <c r="H911" s="705">
        <v>38765</v>
      </c>
      <c r="I911" s="705">
        <v>1305471</v>
      </c>
      <c r="J911" s="705">
        <v>1186792</v>
      </c>
      <c r="K911" s="705">
        <v>77</v>
      </c>
      <c r="L911" s="705">
        <v>290930</v>
      </c>
      <c r="M911" s="705">
        <v>238992</v>
      </c>
      <c r="N911" s="705">
        <v>213739</v>
      </c>
      <c r="O911" s="705">
        <v>79163</v>
      </c>
      <c r="P911" s="705">
        <v>69431</v>
      </c>
      <c r="Q911" s="705">
        <v>25715</v>
      </c>
      <c r="R911" s="705">
        <v>671792</v>
      </c>
      <c r="S911" s="705">
        <v>610720</v>
      </c>
      <c r="T911" s="705">
        <v>123799</v>
      </c>
      <c r="U911" s="705">
        <v>45851</v>
      </c>
      <c r="V911" s="705">
        <v>2187233</v>
      </c>
      <c r="W911" s="705">
        <f t="shared" si="44"/>
        <v>2187233</v>
      </c>
      <c r="X911" s="705">
        <f t="shared" si="45"/>
        <v>2675162</v>
      </c>
      <c r="Y911" s="705"/>
    </row>
    <row r="912" spans="2:25">
      <c r="B912" t="s">
        <v>692</v>
      </c>
      <c r="C912" t="s">
        <v>118</v>
      </c>
      <c r="D912" t="s">
        <v>669</v>
      </c>
      <c r="E912" t="s">
        <v>669</v>
      </c>
      <c r="F912" s="705">
        <v>1</v>
      </c>
      <c r="G912" s="705">
        <v>88</v>
      </c>
      <c r="H912" s="705">
        <v>240</v>
      </c>
      <c r="I912" s="705">
        <v>11398</v>
      </c>
      <c r="J912" s="705">
        <v>9499</v>
      </c>
      <c r="K912" s="705">
        <v>65</v>
      </c>
      <c r="L912" s="705">
        <v>1372</v>
      </c>
      <c r="M912" s="705">
        <v>1143</v>
      </c>
      <c r="N912" s="705">
        <v>1073</v>
      </c>
      <c r="O912">
        <v>397</v>
      </c>
      <c r="P912">
        <v>351</v>
      </c>
      <c r="Q912">
        <v>130</v>
      </c>
      <c r="R912" s="705">
        <v>4664</v>
      </c>
      <c r="S912" s="705">
        <v>3887</v>
      </c>
      <c r="T912" s="705">
        <v>2273</v>
      </c>
      <c r="U912">
        <v>842</v>
      </c>
      <c r="V912" s="705">
        <v>15898</v>
      </c>
      <c r="W912" s="705">
        <f t="shared" si="44"/>
        <v>15898</v>
      </c>
      <c r="X912" s="705">
        <f t="shared" si="45"/>
        <v>21131</v>
      </c>
      <c r="Y912" s="705"/>
    </row>
    <row r="913" spans="2:25">
      <c r="B913" t="s">
        <v>692</v>
      </c>
      <c r="C913" t="s">
        <v>120</v>
      </c>
      <c r="D913" t="s">
        <v>228</v>
      </c>
      <c r="E913" t="s">
        <v>228</v>
      </c>
      <c r="F913" s="705">
        <v>130</v>
      </c>
      <c r="G913" s="705">
        <v>7386</v>
      </c>
      <c r="H913" s="705">
        <v>43742</v>
      </c>
      <c r="I913" s="705">
        <v>1415040</v>
      </c>
      <c r="J913" s="705">
        <v>524089</v>
      </c>
      <c r="K913" s="705">
        <v>100</v>
      </c>
      <c r="L913" s="705">
        <v>175551</v>
      </c>
      <c r="M913" s="705">
        <v>102336</v>
      </c>
      <c r="N913" s="705">
        <v>147162</v>
      </c>
      <c r="O913" s="705">
        <v>54504</v>
      </c>
      <c r="P913" s="705">
        <v>1803</v>
      </c>
      <c r="Q913">
        <v>668</v>
      </c>
      <c r="R913" s="705">
        <v>749578</v>
      </c>
      <c r="S913" s="705">
        <v>277621</v>
      </c>
      <c r="T913" s="705">
        <v>2492</v>
      </c>
      <c r="U913">
        <v>923</v>
      </c>
      <c r="V913" s="705">
        <v>960141</v>
      </c>
      <c r="W913" s="705">
        <f t="shared" si="44"/>
        <v>960141</v>
      </c>
      <c r="X913" s="705">
        <f t="shared" si="45"/>
        <v>2491626</v>
      </c>
      <c r="Y913" s="705"/>
    </row>
    <row r="914" spans="2:25">
      <c r="B914" t="s">
        <v>692</v>
      </c>
      <c r="C914" t="s">
        <v>120</v>
      </c>
      <c r="D914" t="s">
        <v>228</v>
      </c>
      <c r="E914" t="s">
        <v>666</v>
      </c>
      <c r="F914">
        <v>1</v>
      </c>
      <c r="G914" s="705">
        <v>71</v>
      </c>
      <c r="H914" s="705">
        <v>344</v>
      </c>
      <c r="I914" s="705">
        <v>13414</v>
      </c>
      <c r="J914" s="705">
        <v>4968</v>
      </c>
      <c r="K914" s="705">
        <v>100</v>
      </c>
      <c r="L914" s="705">
        <v>1214</v>
      </c>
      <c r="M914" s="705">
        <v>1104</v>
      </c>
      <c r="N914" s="705">
        <v>1404</v>
      </c>
      <c r="O914">
        <v>520</v>
      </c>
      <c r="P914">
        <v>0</v>
      </c>
      <c r="Q914">
        <v>0</v>
      </c>
      <c r="R914" s="705">
        <v>5919</v>
      </c>
      <c r="S914" s="705">
        <v>5381</v>
      </c>
      <c r="T914" s="705">
        <v>2491</v>
      </c>
      <c r="U914">
        <v>922</v>
      </c>
      <c r="V914" s="705">
        <v>12895</v>
      </c>
      <c r="W914" s="705">
        <f t="shared" si="44"/>
        <v>12895</v>
      </c>
      <c r="X914" s="705">
        <f t="shared" si="45"/>
        <v>24442</v>
      </c>
      <c r="Y914" s="705"/>
    </row>
    <row r="915" spans="2:25">
      <c r="B915" t="s">
        <v>692</v>
      </c>
      <c r="C915" t="s">
        <v>120</v>
      </c>
      <c r="D915" t="s">
        <v>583</v>
      </c>
      <c r="E915" t="s">
        <v>583</v>
      </c>
      <c r="F915">
        <v>2</v>
      </c>
      <c r="G915">
        <v>142</v>
      </c>
      <c r="H915">
        <v>677</v>
      </c>
      <c r="I915" s="705">
        <v>26578</v>
      </c>
      <c r="J915" s="705">
        <v>24162</v>
      </c>
      <c r="K915">
        <v>70</v>
      </c>
      <c r="L915" s="705">
        <v>5166</v>
      </c>
      <c r="M915" s="705">
        <v>4305</v>
      </c>
      <c r="N915" s="705">
        <v>2341</v>
      </c>
      <c r="O915">
        <v>867</v>
      </c>
      <c r="P915" s="705">
        <v>1242</v>
      </c>
      <c r="Q915">
        <v>460</v>
      </c>
      <c r="R915" s="705">
        <v>10476</v>
      </c>
      <c r="S915" s="705">
        <v>9524</v>
      </c>
      <c r="T915" s="705">
        <v>2870</v>
      </c>
      <c r="U915" s="705">
        <v>1063</v>
      </c>
      <c r="V915" s="705">
        <v>40380</v>
      </c>
      <c r="W915" s="705">
        <f t="shared" si="44"/>
        <v>40381</v>
      </c>
      <c r="X915" s="705">
        <f t="shared" si="45"/>
        <v>48673</v>
      </c>
      <c r="Y915" s="705"/>
    </row>
    <row r="916" spans="2:25">
      <c r="B916" t="s">
        <v>692</v>
      </c>
      <c r="C916" t="s">
        <v>120</v>
      </c>
      <c r="D916" t="s">
        <v>584</v>
      </c>
      <c r="E916" t="s">
        <v>584</v>
      </c>
      <c r="F916">
        <v>42</v>
      </c>
      <c r="G916" s="705">
        <v>2749</v>
      </c>
      <c r="H916" s="705">
        <v>14165</v>
      </c>
      <c r="I916" s="705">
        <v>505743</v>
      </c>
      <c r="J916" s="705">
        <v>459767</v>
      </c>
      <c r="K916" s="705">
        <v>75</v>
      </c>
      <c r="L916" s="705">
        <v>117382</v>
      </c>
      <c r="M916" s="705">
        <v>100391</v>
      </c>
      <c r="N916" s="705">
        <v>54778</v>
      </c>
      <c r="O916" s="705">
        <v>20288</v>
      </c>
      <c r="P916" s="705">
        <v>19359</v>
      </c>
      <c r="Q916" s="705">
        <v>7170</v>
      </c>
      <c r="R916" s="705">
        <v>186495</v>
      </c>
      <c r="S916" s="705">
        <v>169541</v>
      </c>
      <c r="T916" s="705">
        <v>47410</v>
      </c>
      <c r="U916" s="705">
        <v>17559</v>
      </c>
      <c r="V916" s="705">
        <v>774717</v>
      </c>
      <c r="W916" s="705">
        <f t="shared" si="44"/>
        <v>774716</v>
      </c>
      <c r="X916" s="705">
        <f t="shared" si="45"/>
        <v>931167</v>
      </c>
      <c r="Y916" s="705"/>
    </row>
    <row r="917" spans="2:25">
      <c r="B917" t="s">
        <v>692</v>
      </c>
      <c r="C917" t="s">
        <v>122</v>
      </c>
      <c r="F917" s="705">
        <v>1</v>
      </c>
      <c r="G917" s="705">
        <v>38</v>
      </c>
      <c r="H917" s="705">
        <v>385</v>
      </c>
      <c r="J917" s="705">
        <v>0</v>
      </c>
      <c r="K917" s="705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705">
        <f t="shared" si="44"/>
        <v>287</v>
      </c>
      <c r="X917" s="705">
        <f t="shared" si="45"/>
        <v>774</v>
      </c>
      <c r="Y917" s="705"/>
    </row>
    <row r="918" spans="2:25">
      <c r="B918" t="s">
        <v>692</v>
      </c>
      <c r="C918" t="s">
        <v>122</v>
      </c>
      <c r="D918" t="s">
        <v>228</v>
      </c>
      <c r="E918" t="s">
        <v>228</v>
      </c>
      <c r="F918" s="705">
        <v>40</v>
      </c>
      <c r="G918" s="705">
        <v>2260</v>
      </c>
      <c r="H918" s="705">
        <v>16447</v>
      </c>
      <c r="I918" s="705">
        <v>559307</v>
      </c>
      <c r="J918" s="705">
        <v>207151</v>
      </c>
      <c r="K918" s="705">
        <v>100</v>
      </c>
      <c r="L918" s="705">
        <v>87754</v>
      </c>
      <c r="M918" s="705">
        <v>65205</v>
      </c>
      <c r="N918" s="705">
        <v>45476</v>
      </c>
      <c r="O918" s="705">
        <v>16843</v>
      </c>
      <c r="P918">
        <v>702</v>
      </c>
      <c r="Q918">
        <v>260</v>
      </c>
      <c r="R918" s="705">
        <v>238152</v>
      </c>
      <c r="S918" s="705">
        <v>88205</v>
      </c>
      <c r="T918">
        <v>0</v>
      </c>
      <c r="U918">
        <v>0</v>
      </c>
      <c r="V918" s="705">
        <v>377663</v>
      </c>
      <c r="W918" s="705">
        <f t="shared" si="44"/>
        <v>377664</v>
      </c>
      <c r="X918" s="705">
        <f t="shared" si="45"/>
        <v>931391</v>
      </c>
      <c r="Y918" s="705"/>
    </row>
    <row r="919" spans="2:25">
      <c r="B919" t="s">
        <v>692</v>
      </c>
      <c r="C919" t="s">
        <v>122</v>
      </c>
      <c r="D919" t="s">
        <v>584</v>
      </c>
      <c r="E919" t="s">
        <v>584</v>
      </c>
      <c r="F919" s="705">
        <v>6</v>
      </c>
      <c r="G919" s="705">
        <v>484</v>
      </c>
      <c r="H919" s="705">
        <v>2444</v>
      </c>
      <c r="I919" s="705">
        <v>107691</v>
      </c>
      <c r="J919" s="705">
        <v>97901</v>
      </c>
      <c r="K919" s="705">
        <v>82</v>
      </c>
      <c r="L919" s="705">
        <v>37959</v>
      </c>
      <c r="M919" s="705">
        <v>33198</v>
      </c>
      <c r="N919" s="705">
        <v>9269</v>
      </c>
      <c r="O919" s="705">
        <v>3433</v>
      </c>
      <c r="P919" s="705">
        <v>2835</v>
      </c>
      <c r="Q919" s="705">
        <v>1050</v>
      </c>
      <c r="R919" s="705">
        <v>26196</v>
      </c>
      <c r="S919" s="705">
        <v>23814</v>
      </c>
      <c r="T919" s="705">
        <v>9905</v>
      </c>
      <c r="U919" s="705">
        <v>3669</v>
      </c>
      <c r="V919" s="705">
        <v>163065</v>
      </c>
      <c r="W919" s="705">
        <f t="shared" si="44"/>
        <v>163065</v>
      </c>
      <c r="X919" s="705">
        <f t="shared" si="45"/>
        <v>193855</v>
      </c>
      <c r="Y919" s="705"/>
    </row>
    <row r="920" spans="2:25">
      <c r="B920" t="s">
        <v>692</v>
      </c>
      <c r="C920" t="s">
        <v>124</v>
      </c>
      <c r="D920" t="s">
        <v>228</v>
      </c>
      <c r="E920" t="s">
        <v>228</v>
      </c>
      <c r="F920">
        <v>19</v>
      </c>
      <c r="G920">
        <v>902</v>
      </c>
      <c r="H920" s="705">
        <v>11136</v>
      </c>
      <c r="I920" s="705">
        <v>351991</v>
      </c>
      <c r="J920" s="705">
        <v>130367</v>
      </c>
      <c r="K920" s="705">
        <v>100</v>
      </c>
      <c r="L920" s="705">
        <v>58755</v>
      </c>
      <c r="M920" s="705">
        <v>36934</v>
      </c>
      <c r="N920" s="705">
        <v>17926</v>
      </c>
      <c r="O920" s="705">
        <v>6639</v>
      </c>
      <c r="P920">
        <v>0</v>
      </c>
      <c r="Q920">
        <v>0</v>
      </c>
      <c r="R920" s="705">
        <v>101694</v>
      </c>
      <c r="S920" s="705">
        <v>37665</v>
      </c>
      <c r="T920">
        <v>0</v>
      </c>
      <c r="U920">
        <v>0</v>
      </c>
      <c r="V920" s="705">
        <v>211605</v>
      </c>
      <c r="W920" s="705">
        <f t="shared" si="44"/>
        <v>211605</v>
      </c>
      <c r="X920" s="705">
        <f t="shared" si="45"/>
        <v>530366</v>
      </c>
      <c r="Y920" s="705"/>
    </row>
    <row r="921" spans="2:25">
      <c r="B921" t="s">
        <v>692</v>
      </c>
      <c r="C921" t="s">
        <v>124</v>
      </c>
      <c r="D921" t="s">
        <v>584</v>
      </c>
      <c r="E921" t="s">
        <v>584</v>
      </c>
      <c r="F921">
        <v>8</v>
      </c>
      <c r="G921">
        <v>361</v>
      </c>
      <c r="H921" s="705">
        <v>4474</v>
      </c>
      <c r="I921" s="705">
        <v>108798</v>
      </c>
      <c r="J921" s="705">
        <v>98908</v>
      </c>
      <c r="K921" s="705">
        <v>70</v>
      </c>
      <c r="L921" s="705">
        <v>32703</v>
      </c>
      <c r="M921" s="705">
        <v>28241</v>
      </c>
      <c r="N921" s="705">
        <v>7163</v>
      </c>
      <c r="O921" s="705">
        <v>2653</v>
      </c>
      <c r="P921" s="705">
        <v>3780</v>
      </c>
      <c r="Q921" s="705">
        <v>1400</v>
      </c>
      <c r="R921" s="705">
        <v>32740</v>
      </c>
      <c r="S921" s="705">
        <v>29763</v>
      </c>
      <c r="T921" s="705">
        <v>16986</v>
      </c>
      <c r="U921" s="705">
        <v>6291</v>
      </c>
      <c r="V921" s="705">
        <v>167255</v>
      </c>
      <c r="W921" s="705">
        <f t="shared" si="44"/>
        <v>167256</v>
      </c>
      <c r="X921" s="705">
        <f t="shared" si="45"/>
        <v>202170</v>
      </c>
      <c r="Y921" s="705"/>
    </row>
    <row r="922" spans="2:25">
      <c r="B922" t="s">
        <v>692</v>
      </c>
      <c r="C922" t="s">
        <v>124</v>
      </c>
      <c r="D922" t="s">
        <v>669</v>
      </c>
      <c r="E922" t="s">
        <v>228</v>
      </c>
      <c r="F922">
        <v>1</v>
      </c>
      <c r="G922">
        <v>44</v>
      </c>
      <c r="H922" s="705">
        <v>561</v>
      </c>
      <c r="I922" s="705">
        <v>16714</v>
      </c>
      <c r="J922" s="705">
        <v>13928</v>
      </c>
      <c r="K922" s="705">
        <v>30</v>
      </c>
      <c r="L922" s="705">
        <v>1254</v>
      </c>
      <c r="M922">
        <v>464</v>
      </c>
      <c r="N922" s="705">
        <v>1020</v>
      </c>
      <c r="O922">
        <v>378</v>
      </c>
      <c r="P922">
        <v>0</v>
      </c>
      <c r="Q922">
        <v>0</v>
      </c>
      <c r="R922" s="705">
        <v>5850</v>
      </c>
      <c r="S922" s="705">
        <v>2167</v>
      </c>
      <c r="T922">
        <v>0</v>
      </c>
      <c r="U922">
        <v>0</v>
      </c>
      <c r="V922" s="705">
        <v>16937</v>
      </c>
      <c r="W922" s="705">
        <f t="shared" si="44"/>
        <v>16937</v>
      </c>
      <c r="X922" s="705">
        <f t="shared" si="45"/>
        <v>24838</v>
      </c>
      <c r="Y922" s="705"/>
    </row>
    <row r="923" spans="2:25">
      <c r="B923" t="s">
        <v>692</v>
      </c>
      <c r="C923" t="s">
        <v>124</v>
      </c>
      <c r="D923" t="s">
        <v>669</v>
      </c>
      <c r="E923" t="s">
        <v>669</v>
      </c>
      <c r="F923" s="705">
        <v>2</v>
      </c>
      <c r="G923" s="705">
        <v>110</v>
      </c>
      <c r="H923" s="705">
        <v>983</v>
      </c>
      <c r="I923" s="705">
        <v>33477</v>
      </c>
      <c r="J923" s="705">
        <v>27897</v>
      </c>
      <c r="K923" s="705">
        <v>58</v>
      </c>
      <c r="L923" s="705">
        <v>5249</v>
      </c>
      <c r="M923" s="705">
        <v>3204</v>
      </c>
      <c r="N923" s="705">
        <v>2046</v>
      </c>
      <c r="O923">
        <v>758</v>
      </c>
      <c r="P923">
        <v>351</v>
      </c>
      <c r="Q923">
        <v>130</v>
      </c>
      <c r="R923" s="705">
        <v>9366</v>
      </c>
      <c r="S923" s="705">
        <v>7805</v>
      </c>
      <c r="T923" s="705">
        <v>3633</v>
      </c>
      <c r="U923" s="705">
        <v>1346</v>
      </c>
      <c r="V923" s="705">
        <v>41139</v>
      </c>
      <c r="W923" s="705">
        <f t="shared" si="44"/>
        <v>41140</v>
      </c>
      <c r="X923" s="705">
        <f t="shared" si="45"/>
        <v>54122</v>
      </c>
      <c r="Y923" s="705"/>
    </row>
    <row r="924" spans="2:25">
      <c r="B924" t="s">
        <v>693</v>
      </c>
      <c r="C924" t="s">
        <v>108</v>
      </c>
      <c r="F924" s="705">
        <v>70</v>
      </c>
      <c r="G924" s="705">
        <v>5766</v>
      </c>
      <c r="H924" s="705">
        <v>3585</v>
      </c>
      <c r="J924" s="705">
        <v>0</v>
      </c>
      <c r="K924" s="705"/>
      <c r="M924">
        <v>0</v>
      </c>
      <c r="N924" s="705">
        <v>70253</v>
      </c>
      <c r="O924" s="705">
        <v>26020</v>
      </c>
      <c r="P924" s="705">
        <v>53574</v>
      </c>
      <c r="Q924" s="705">
        <v>19842</v>
      </c>
      <c r="S924">
        <v>0</v>
      </c>
      <c r="T924">
        <v>0</v>
      </c>
      <c r="U924">
        <v>0</v>
      </c>
      <c r="V924" s="705">
        <v>45862</v>
      </c>
      <c r="W924" s="705">
        <f t="shared" si="44"/>
        <v>45862</v>
      </c>
      <c r="X924" s="705">
        <f t="shared" si="45"/>
        <v>123827</v>
      </c>
      <c r="Y924" s="705"/>
    </row>
    <row r="925" spans="2:25">
      <c r="B925" t="s">
        <v>693</v>
      </c>
      <c r="C925" t="s">
        <v>108</v>
      </c>
      <c r="D925" t="s">
        <v>228</v>
      </c>
      <c r="E925" t="s">
        <v>228</v>
      </c>
      <c r="F925" s="705">
        <v>167</v>
      </c>
      <c r="G925" s="705">
        <v>12943</v>
      </c>
      <c r="H925" s="705">
        <v>8663</v>
      </c>
      <c r="I925" s="705">
        <v>-126747</v>
      </c>
      <c r="J925" s="705">
        <v>-46943</v>
      </c>
      <c r="K925" s="705">
        <v>562</v>
      </c>
      <c r="L925">
        <v>0</v>
      </c>
      <c r="M925">
        <v>0</v>
      </c>
      <c r="N925" s="705">
        <v>176862</v>
      </c>
      <c r="O925" s="705">
        <v>65504</v>
      </c>
      <c r="P925" s="705">
        <v>116396</v>
      </c>
      <c r="Q925" s="705">
        <v>43110</v>
      </c>
      <c r="R925" s="705">
        <v>500492</v>
      </c>
      <c r="S925" s="705">
        <v>185367</v>
      </c>
      <c r="T925">
        <v>0</v>
      </c>
      <c r="U925">
        <v>0</v>
      </c>
      <c r="V925" s="705">
        <v>247038</v>
      </c>
      <c r="W925" s="705">
        <f t="shared" si="44"/>
        <v>340924</v>
      </c>
      <c r="X925" s="705">
        <f t="shared" si="45"/>
        <v>920497</v>
      </c>
      <c r="Y925" s="705"/>
    </row>
    <row r="926" spans="2:25">
      <c r="B926" t="s">
        <v>693</v>
      </c>
      <c r="C926" t="s">
        <v>108</v>
      </c>
      <c r="D926" t="s">
        <v>584</v>
      </c>
      <c r="E926" t="s">
        <v>584</v>
      </c>
      <c r="F926">
        <v>201</v>
      </c>
      <c r="G926" s="705">
        <v>16413</v>
      </c>
      <c r="H926" s="705">
        <v>10793</v>
      </c>
      <c r="I926" s="705">
        <v>-116481</v>
      </c>
      <c r="J926" s="705">
        <v>-105892</v>
      </c>
      <c r="K926" s="705">
        <v>91</v>
      </c>
      <c r="L926">
        <v>152</v>
      </c>
      <c r="M926">
        <v>56</v>
      </c>
      <c r="N926" s="705">
        <v>200904</v>
      </c>
      <c r="O926" s="705">
        <v>74409</v>
      </c>
      <c r="P926" s="705">
        <v>231547</v>
      </c>
      <c r="Q926" s="705">
        <v>85758</v>
      </c>
      <c r="R926" s="705">
        <v>559195</v>
      </c>
      <c r="S926" s="705">
        <v>508359</v>
      </c>
      <c r="T926">
        <v>0</v>
      </c>
      <c r="U926">
        <v>0</v>
      </c>
      <c r="V926" s="705">
        <v>562690</v>
      </c>
      <c r="W926" s="705">
        <f t="shared" si="44"/>
        <v>774474</v>
      </c>
      <c r="X926" s="705">
        <f t="shared" si="45"/>
        <v>1108279</v>
      </c>
      <c r="Y926" s="705"/>
    </row>
    <row r="927" spans="2:25">
      <c r="B927" t="s">
        <v>693</v>
      </c>
      <c r="C927" t="s">
        <v>110</v>
      </c>
      <c r="F927">
        <v>4</v>
      </c>
      <c r="G927" s="705">
        <v>282</v>
      </c>
      <c r="H927">
        <v>360</v>
      </c>
      <c r="J927">
        <v>0</v>
      </c>
      <c r="M927">
        <v>0</v>
      </c>
      <c r="N927" s="705">
        <v>4727</v>
      </c>
      <c r="O927" s="705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705">
        <v>1751</v>
      </c>
      <c r="W927" s="705">
        <f t="shared" si="44"/>
        <v>1751</v>
      </c>
      <c r="X927" s="705">
        <f t="shared" si="45"/>
        <v>4727</v>
      </c>
      <c r="Y927" s="705"/>
    </row>
    <row r="928" spans="2:25">
      <c r="B928" t="s">
        <v>693</v>
      </c>
      <c r="C928" t="s">
        <v>110</v>
      </c>
      <c r="D928" t="s">
        <v>228</v>
      </c>
      <c r="E928" t="s">
        <v>228</v>
      </c>
      <c r="F928">
        <v>1</v>
      </c>
      <c r="G928">
        <v>92</v>
      </c>
      <c r="H928" s="705">
        <v>100</v>
      </c>
      <c r="I928" s="705">
        <v>1917</v>
      </c>
      <c r="J928" s="705">
        <v>710</v>
      </c>
      <c r="K928" s="705">
        <v>100</v>
      </c>
      <c r="L928">
        <v>0</v>
      </c>
      <c r="M928">
        <v>0</v>
      </c>
      <c r="N928" s="705">
        <v>1778</v>
      </c>
      <c r="O928">
        <v>659</v>
      </c>
      <c r="P928">
        <v>0</v>
      </c>
      <c r="Q928">
        <v>0</v>
      </c>
      <c r="R928" s="705">
        <v>5527</v>
      </c>
      <c r="S928" s="705">
        <v>2047</v>
      </c>
      <c r="T928">
        <v>0</v>
      </c>
      <c r="U928">
        <v>0</v>
      </c>
      <c r="V928" s="705">
        <v>3416</v>
      </c>
      <c r="W928" s="705">
        <f t="shared" si="44"/>
        <v>3416</v>
      </c>
      <c r="X928" s="705">
        <f t="shared" si="45"/>
        <v>9222</v>
      </c>
      <c r="Y928" s="705"/>
    </row>
    <row r="929" spans="2:25">
      <c r="B929" t="s">
        <v>693</v>
      </c>
      <c r="C929" t="s">
        <v>110</v>
      </c>
      <c r="D929" t="s">
        <v>584</v>
      </c>
      <c r="E929" t="s">
        <v>584</v>
      </c>
      <c r="F929" s="705">
        <v>149</v>
      </c>
      <c r="G929" s="705">
        <v>11780</v>
      </c>
      <c r="H929" s="705">
        <v>13577</v>
      </c>
      <c r="I929" s="705">
        <v>411735</v>
      </c>
      <c r="J929" s="705">
        <v>374305</v>
      </c>
      <c r="K929" s="705">
        <v>89</v>
      </c>
      <c r="L929" s="705">
        <v>14950</v>
      </c>
      <c r="M929" s="705">
        <v>8932</v>
      </c>
      <c r="N929" s="705">
        <v>202999</v>
      </c>
      <c r="O929" s="705">
        <v>75185</v>
      </c>
      <c r="P929" s="705">
        <v>72283</v>
      </c>
      <c r="Q929" s="705">
        <v>26771</v>
      </c>
      <c r="R929" s="705">
        <v>371943</v>
      </c>
      <c r="S929" s="705">
        <v>338130</v>
      </c>
      <c r="T929" s="705">
        <v>2459</v>
      </c>
      <c r="U929">
        <v>911</v>
      </c>
      <c r="V929" s="705">
        <v>824233</v>
      </c>
      <c r="W929" s="705">
        <f t="shared" si="44"/>
        <v>824234</v>
      </c>
      <c r="X929" s="705">
        <f t="shared" si="45"/>
        <v>1076369</v>
      </c>
      <c r="Y929" s="705"/>
    </row>
    <row r="930" spans="2:25">
      <c r="B930" t="s">
        <v>693</v>
      </c>
      <c r="C930" t="s">
        <v>112</v>
      </c>
      <c r="F930" s="705">
        <v>6</v>
      </c>
      <c r="G930" s="705">
        <v>423</v>
      </c>
      <c r="H930" s="705">
        <v>692</v>
      </c>
      <c r="J930" s="705">
        <v>0</v>
      </c>
      <c r="K930" s="705"/>
      <c r="M930">
        <v>0</v>
      </c>
      <c r="N930" s="705">
        <v>6852</v>
      </c>
      <c r="O930" s="705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705">
        <v>2538</v>
      </c>
      <c r="W930" s="705">
        <f t="shared" si="44"/>
        <v>2538</v>
      </c>
      <c r="X930" s="705">
        <f t="shared" si="45"/>
        <v>6852</v>
      </c>
      <c r="Y930" s="705"/>
    </row>
    <row r="931" spans="2:25">
      <c r="B931" t="s">
        <v>693</v>
      </c>
      <c r="C931" t="s">
        <v>112</v>
      </c>
      <c r="D931" t="s">
        <v>582</v>
      </c>
      <c r="E931" t="s">
        <v>584</v>
      </c>
      <c r="F931">
        <v>1</v>
      </c>
      <c r="G931" s="705">
        <v>72</v>
      </c>
      <c r="H931" s="705">
        <v>120</v>
      </c>
      <c r="I931" s="705">
        <v>2285</v>
      </c>
      <c r="J931" s="705">
        <v>2077</v>
      </c>
      <c r="K931" s="705">
        <v>79</v>
      </c>
      <c r="L931">
        <v>467</v>
      </c>
      <c r="M931">
        <v>173</v>
      </c>
      <c r="N931" s="705">
        <v>1093</v>
      </c>
      <c r="O931">
        <v>405</v>
      </c>
      <c r="P931">
        <v>473</v>
      </c>
      <c r="Q931">
        <v>175</v>
      </c>
      <c r="R931" s="705">
        <v>4285</v>
      </c>
      <c r="S931" s="705">
        <v>3895</v>
      </c>
      <c r="T931">
        <v>0</v>
      </c>
      <c r="U931">
        <v>0</v>
      </c>
      <c r="V931" s="705">
        <v>6725</v>
      </c>
      <c r="W931" s="705">
        <f t="shared" si="44"/>
        <v>6725</v>
      </c>
      <c r="X931" s="705">
        <f t="shared" si="45"/>
        <v>8603</v>
      </c>
      <c r="Y931" s="705"/>
    </row>
    <row r="932" spans="2:25">
      <c r="B932" t="s">
        <v>693</v>
      </c>
      <c r="C932" t="s">
        <v>112</v>
      </c>
      <c r="D932" t="s">
        <v>228</v>
      </c>
      <c r="E932" t="s">
        <v>228</v>
      </c>
      <c r="F932">
        <v>10</v>
      </c>
      <c r="G932" s="705">
        <v>775</v>
      </c>
      <c r="H932" s="705">
        <v>1190</v>
      </c>
      <c r="I932" s="705">
        <v>16284</v>
      </c>
      <c r="J932" s="705">
        <v>6031</v>
      </c>
      <c r="K932" s="705">
        <v>100</v>
      </c>
      <c r="L932" s="705">
        <v>1902</v>
      </c>
      <c r="M932">
        <v>790</v>
      </c>
      <c r="N932" s="705">
        <v>14935</v>
      </c>
      <c r="O932" s="705">
        <v>5532</v>
      </c>
      <c r="P932">
        <v>0</v>
      </c>
      <c r="Q932">
        <v>0</v>
      </c>
      <c r="R932" s="705">
        <v>59075</v>
      </c>
      <c r="S932" s="705">
        <v>21880</v>
      </c>
      <c r="T932">
        <v>0</v>
      </c>
      <c r="U932">
        <v>0</v>
      </c>
      <c r="V932" s="705">
        <v>34233</v>
      </c>
      <c r="W932" s="705">
        <f t="shared" si="44"/>
        <v>34233</v>
      </c>
      <c r="X932" s="705">
        <f t="shared" si="45"/>
        <v>92196</v>
      </c>
      <c r="Y932" s="705"/>
    </row>
    <row r="933" spans="2:25">
      <c r="B933" t="s">
        <v>693</v>
      </c>
      <c r="C933" t="s">
        <v>112</v>
      </c>
      <c r="D933" t="s">
        <v>584</v>
      </c>
      <c r="E933" t="s">
        <v>584</v>
      </c>
      <c r="F933">
        <v>351</v>
      </c>
      <c r="G933" s="705">
        <v>28922</v>
      </c>
      <c r="H933" s="705">
        <v>40358</v>
      </c>
      <c r="I933" s="705">
        <v>1201469</v>
      </c>
      <c r="J933" s="705">
        <v>1092244</v>
      </c>
      <c r="K933">
        <v>85</v>
      </c>
      <c r="L933" s="705">
        <v>127980</v>
      </c>
      <c r="M933" s="705">
        <v>87612</v>
      </c>
      <c r="N933" s="705">
        <v>534535</v>
      </c>
      <c r="O933" s="705">
        <v>197976</v>
      </c>
      <c r="P933" s="705">
        <v>167522</v>
      </c>
      <c r="Q933" s="705">
        <v>62045</v>
      </c>
      <c r="R933" s="705">
        <v>1270851</v>
      </c>
      <c r="S933" s="705">
        <v>1155319</v>
      </c>
      <c r="T933" s="705">
        <v>28512</v>
      </c>
      <c r="U933" s="705">
        <v>10560</v>
      </c>
      <c r="V933" s="705">
        <v>2605757</v>
      </c>
      <c r="W933" s="705">
        <f t="shared" si="44"/>
        <v>2605756</v>
      </c>
      <c r="X933" s="705">
        <f t="shared" si="45"/>
        <v>3330869</v>
      </c>
      <c r="Y933" s="705"/>
    </row>
    <row r="934" spans="2:25">
      <c r="B934" t="s">
        <v>693</v>
      </c>
      <c r="C934" t="s">
        <v>114</v>
      </c>
      <c r="D934" t="s">
        <v>228</v>
      </c>
      <c r="E934" t="s">
        <v>228</v>
      </c>
      <c r="F934" s="705">
        <v>62</v>
      </c>
      <c r="G934" s="705">
        <v>4849</v>
      </c>
      <c r="H934" s="705">
        <v>8673</v>
      </c>
      <c r="I934" s="705">
        <v>153774</v>
      </c>
      <c r="J934" s="705">
        <v>56953</v>
      </c>
      <c r="K934" s="705">
        <v>100</v>
      </c>
      <c r="L934" s="705">
        <v>18048</v>
      </c>
      <c r="M934" s="705">
        <v>6684</v>
      </c>
      <c r="N934" s="705">
        <v>103109</v>
      </c>
      <c r="O934" s="705">
        <v>38189</v>
      </c>
      <c r="P934">
        <v>0</v>
      </c>
      <c r="Q934">
        <v>0</v>
      </c>
      <c r="R934" s="705">
        <v>402843</v>
      </c>
      <c r="S934" s="705">
        <v>149201</v>
      </c>
      <c r="T934">
        <v>0</v>
      </c>
      <c r="U934">
        <v>0</v>
      </c>
      <c r="V934" s="705">
        <v>251027</v>
      </c>
      <c r="W934" s="705">
        <f t="shared" si="44"/>
        <v>251027</v>
      </c>
      <c r="X934" s="705">
        <f t="shared" si="45"/>
        <v>677774</v>
      </c>
      <c r="Y934" s="705"/>
    </row>
    <row r="935" spans="2:25">
      <c r="B935" t="s">
        <v>693</v>
      </c>
      <c r="C935" t="s">
        <v>114</v>
      </c>
      <c r="D935" t="s">
        <v>584</v>
      </c>
      <c r="E935" t="s">
        <v>584</v>
      </c>
      <c r="F935" s="705">
        <v>602</v>
      </c>
      <c r="G935" s="705">
        <v>50489</v>
      </c>
      <c r="H935" s="705">
        <v>83699</v>
      </c>
      <c r="I935" s="705">
        <v>2770069</v>
      </c>
      <c r="J935" s="705">
        <v>2518245</v>
      </c>
      <c r="K935" s="705">
        <v>82</v>
      </c>
      <c r="L935" s="705">
        <v>302363</v>
      </c>
      <c r="M935" s="705">
        <v>196130</v>
      </c>
      <c r="N935" s="705">
        <v>1027569</v>
      </c>
      <c r="O935" s="705">
        <v>380581</v>
      </c>
      <c r="P935" s="705">
        <v>287741</v>
      </c>
      <c r="Q935" s="705">
        <v>106571</v>
      </c>
      <c r="R935" s="705">
        <v>2452614</v>
      </c>
      <c r="S935" s="705">
        <v>2229649</v>
      </c>
      <c r="T935" s="705">
        <v>184243</v>
      </c>
      <c r="U935" s="705">
        <v>68238</v>
      </c>
      <c r="V935" s="705">
        <v>5499414</v>
      </c>
      <c r="W935" s="705">
        <f t="shared" si="44"/>
        <v>5499414</v>
      </c>
      <c r="X935" s="705">
        <f t="shared" si="45"/>
        <v>7024599</v>
      </c>
      <c r="Y935" s="705"/>
    </row>
    <row r="936" spans="2:25">
      <c r="B936" t="s">
        <v>693</v>
      </c>
      <c r="C936" t="s">
        <v>116</v>
      </c>
      <c r="F936">
        <v>10</v>
      </c>
      <c r="G936" s="705">
        <v>546</v>
      </c>
      <c r="H936" s="705">
        <v>1685</v>
      </c>
      <c r="J936" s="705">
        <v>0</v>
      </c>
      <c r="K936" s="705"/>
      <c r="M936">
        <v>0</v>
      </c>
      <c r="N936" s="705">
        <v>6656</v>
      </c>
      <c r="O936" s="705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705">
        <v>2815</v>
      </c>
      <c r="W936" s="705">
        <f t="shared" si="44"/>
        <v>2815</v>
      </c>
      <c r="X936" s="705">
        <f t="shared" si="45"/>
        <v>7601</v>
      </c>
      <c r="Y936" s="705"/>
    </row>
    <row r="937" spans="2:25">
      <c r="B937" t="s">
        <v>693</v>
      </c>
      <c r="C937" t="s">
        <v>116</v>
      </c>
      <c r="D937" t="s">
        <v>228</v>
      </c>
      <c r="E937" t="s">
        <v>228</v>
      </c>
      <c r="F937">
        <v>712</v>
      </c>
      <c r="G937" s="705">
        <v>51451</v>
      </c>
      <c r="H937" s="705">
        <v>136577</v>
      </c>
      <c r="I937" s="705">
        <v>3740971</v>
      </c>
      <c r="J937" s="705">
        <v>1385545</v>
      </c>
      <c r="K937" s="705">
        <v>100</v>
      </c>
      <c r="L937" s="705">
        <v>490711</v>
      </c>
      <c r="M937" s="705">
        <v>184325</v>
      </c>
      <c r="N937" s="705">
        <v>1060734</v>
      </c>
      <c r="O937" s="705">
        <v>392864</v>
      </c>
      <c r="P937" s="705">
        <v>19237</v>
      </c>
      <c r="Q937" s="705">
        <v>7125</v>
      </c>
      <c r="R937" s="705">
        <v>4550876</v>
      </c>
      <c r="S937" s="705">
        <v>1685509</v>
      </c>
      <c r="T937" s="705">
        <v>1858</v>
      </c>
      <c r="U937">
        <v>688</v>
      </c>
      <c r="V937" s="705">
        <v>3656056</v>
      </c>
      <c r="W937" s="705">
        <f t="shared" si="44"/>
        <v>3656056</v>
      </c>
      <c r="X937" s="705">
        <f t="shared" si="45"/>
        <v>9864387</v>
      </c>
      <c r="Y937" s="705"/>
    </row>
    <row r="938" spans="2:25">
      <c r="B938" t="s">
        <v>693</v>
      </c>
      <c r="C938" t="s">
        <v>116</v>
      </c>
      <c r="D938" t="s">
        <v>228</v>
      </c>
      <c r="E938" t="s">
        <v>584</v>
      </c>
      <c r="F938">
        <v>1</v>
      </c>
      <c r="G938" s="705">
        <v>77</v>
      </c>
      <c r="H938">
        <v>223</v>
      </c>
      <c r="I938" s="705">
        <v>13015</v>
      </c>
      <c r="J938" s="705">
        <v>4820</v>
      </c>
      <c r="K938" s="705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705">
        <v>3098</v>
      </c>
      <c r="S938" s="705">
        <v>2817</v>
      </c>
      <c r="T938">
        <v>0</v>
      </c>
      <c r="U938">
        <v>0</v>
      </c>
      <c r="V938" s="705">
        <v>8030</v>
      </c>
      <c r="W938" s="705">
        <f t="shared" si="44"/>
        <v>8030</v>
      </c>
      <c r="X938" s="705">
        <f t="shared" si="45"/>
        <v>17175</v>
      </c>
      <c r="Y938" s="705"/>
    </row>
    <row r="939" spans="2:25">
      <c r="B939" t="s">
        <v>693</v>
      </c>
      <c r="C939" t="s">
        <v>116</v>
      </c>
      <c r="D939" t="s">
        <v>584</v>
      </c>
      <c r="E939" t="s">
        <v>582</v>
      </c>
      <c r="F939">
        <v>1</v>
      </c>
      <c r="G939">
        <v>69</v>
      </c>
      <c r="H939" s="705">
        <v>199</v>
      </c>
      <c r="I939" s="705">
        <v>5455</v>
      </c>
      <c r="J939" s="705">
        <v>4960</v>
      </c>
      <c r="K939" s="705">
        <v>79</v>
      </c>
      <c r="L939" s="705">
        <v>1177</v>
      </c>
      <c r="M939">
        <v>436</v>
      </c>
      <c r="N939" s="705">
        <v>1671</v>
      </c>
      <c r="O939">
        <v>619</v>
      </c>
      <c r="P939">
        <v>473</v>
      </c>
      <c r="Q939">
        <v>175</v>
      </c>
      <c r="R939" s="705">
        <v>4833</v>
      </c>
      <c r="S939" s="705">
        <v>4394</v>
      </c>
      <c r="T939">
        <v>0</v>
      </c>
      <c r="U939">
        <v>0</v>
      </c>
      <c r="V939" s="705">
        <v>10583</v>
      </c>
      <c r="W939" s="705">
        <f t="shared" ref="W939:W1002" si="46">SUM(ABS(J939),ABS(M939),ABS(O939),ABS(Q939),ABS(S939),ABS(U939))</f>
        <v>10584</v>
      </c>
      <c r="X939" s="705">
        <f t="shared" ref="X939:X1002" si="47">SUM(ABS(I939),ABS(N939),ABS(P939),ABS(R939),ABS(T939),ABS(L939))</f>
        <v>13609</v>
      </c>
    </row>
    <row r="940" spans="2:25">
      <c r="B940" t="s">
        <v>693</v>
      </c>
      <c r="C940" t="s">
        <v>116</v>
      </c>
      <c r="D940" t="s">
        <v>584</v>
      </c>
      <c r="E940" t="s">
        <v>228</v>
      </c>
      <c r="F940" s="705">
        <v>1</v>
      </c>
      <c r="G940" s="705">
        <v>81</v>
      </c>
      <c r="H940" s="705">
        <v>218</v>
      </c>
      <c r="I940" s="705">
        <v>6476</v>
      </c>
      <c r="J940" s="705">
        <v>5888</v>
      </c>
      <c r="K940" s="705">
        <v>80</v>
      </c>
      <c r="L940">
        <v>0</v>
      </c>
      <c r="M940">
        <v>0</v>
      </c>
      <c r="N940" s="705">
        <v>1962</v>
      </c>
      <c r="O940">
        <v>727</v>
      </c>
      <c r="P940">
        <v>473</v>
      </c>
      <c r="Q940">
        <v>175</v>
      </c>
      <c r="R940" s="705">
        <v>8619</v>
      </c>
      <c r="S940" s="705">
        <v>3192</v>
      </c>
      <c r="T940">
        <v>0</v>
      </c>
      <c r="U940">
        <v>0</v>
      </c>
      <c r="V940" s="705">
        <v>9981</v>
      </c>
      <c r="W940" s="705">
        <f t="shared" si="46"/>
        <v>9982</v>
      </c>
      <c r="X940" s="705">
        <f t="shared" si="47"/>
        <v>17530</v>
      </c>
    </row>
    <row r="941" spans="2:25">
      <c r="B941" t="s">
        <v>693</v>
      </c>
      <c r="C941" t="s">
        <v>116</v>
      </c>
      <c r="D941" t="s">
        <v>584</v>
      </c>
      <c r="E941" t="s">
        <v>584</v>
      </c>
      <c r="F941" s="705">
        <v>1153</v>
      </c>
      <c r="G941" s="705">
        <v>87712</v>
      </c>
      <c r="H941" s="705">
        <v>204540</v>
      </c>
      <c r="I941" s="705">
        <v>7016695</v>
      </c>
      <c r="J941" s="705">
        <v>6378814</v>
      </c>
      <c r="K941" s="705">
        <v>80</v>
      </c>
      <c r="L941" s="705">
        <v>798226</v>
      </c>
      <c r="M941" s="705">
        <v>508191</v>
      </c>
      <c r="N941" s="705">
        <v>1823404</v>
      </c>
      <c r="O941" s="705">
        <v>675335</v>
      </c>
      <c r="P941" s="705">
        <v>548707</v>
      </c>
      <c r="Q941" s="705">
        <v>203225</v>
      </c>
      <c r="R941" s="705">
        <v>4903628</v>
      </c>
      <c r="S941" s="705">
        <v>4457844</v>
      </c>
      <c r="T941" s="705">
        <v>560906</v>
      </c>
      <c r="U941" s="705">
        <v>207743</v>
      </c>
      <c r="V941" s="705">
        <v>12431150</v>
      </c>
      <c r="W941" s="705">
        <f t="shared" si="46"/>
        <v>12431152</v>
      </c>
      <c r="X941" s="705">
        <f t="shared" si="47"/>
        <v>15651566</v>
      </c>
    </row>
    <row r="942" spans="2:25">
      <c r="B942" t="s">
        <v>693</v>
      </c>
      <c r="C942" t="s">
        <v>118</v>
      </c>
      <c r="D942" t="s">
        <v>228</v>
      </c>
      <c r="E942" t="s">
        <v>228</v>
      </c>
      <c r="F942">
        <v>647</v>
      </c>
      <c r="G942" s="705">
        <v>44416</v>
      </c>
      <c r="H942" s="705">
        <v>168546</v>
      </c>
      <c r="I942" s="705">
        <v>5823890</v>
      </c>
      <c r="J942" s="705">
        <v>2156996</v>
      </c>
      <c r="K942" s="705">
        <v>100</v>
      </c>
      <c r="L942" s="705">
        <v>612416</v>
      </c>
      <c r="M942" s="705">
        <v>236441</v>
      </c>
      <c r="N942" s="705">
        <v>914522</v>
      </c>
      <c r="O942" s="705">
        <v>338712</v>
      </c>
      <c r="P942" s="705">
        <v>14508</v>
      </c>
      <c r="Q942" s="705">
        <v>5373</v>
      </c>
      <c r="R942" s="705">
        <v>4197974</v>
      </c>
      <c r="S942" s="705">
        <v>1554805</v>
      </c>
      <c r="T942" s="705">
        <v>4115</v>
      </c>
      <c r="U942" s="705">
        <v>1524</v>
      </c>
      <c r="V942" s="705">
        <v>4293851</v>
      </c>
      <c r="W942" s="705">
        <f t="shared" si="46"/>
        <v>4293851</v>
      </c>
      <c r="X942" s="705">
        <f t="shared" si="47"/>
        <v>11567425</v>
      </c>
    </row>
    <row r="943" spans="2:25">
      <c r="B943" t="s">
        <v>693</v>
      </c>
      <c r="C943" t="s">
        <v>118</v>
      </c>
      <c r="D943" t="s">
        <v>228</v>
      </c>
      <c r="E943" t="s">
        <v>584</v>
      </c>
      <c r="F943">
        <v>1</v>
      </c>
      <c r="G943">
        <v>43</v>
      </c>
      <c r="H943" s="705">
        <v>233</v>
      </c>
      <c r="I943" s="705">
        <v>6074</v>
      </c>
      <c r="J943" s="705">
        <v>2249</v>
      </c>
      <c r="K943" s="705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705">
        <v>3377</v>
      </c>
      <c r="S943" s="705">
        <v>3070</v>
      </c>
      <c r="T943">
        <v>0</v>
      </c>
      <c r="U943">
        <v>0</v>
      </c>
      <c r="V943" s="705">
        <v>5564</v>
      </c>
      <c r="W943" s="705">
        <f t="shared" si="46"/>
        <v>5563</v>
      </c>
      <c r="X943" s="705">
        <f t="shared" si="47"/>
        <v>10110</v>
      </c>
    </row>
    <row r="944" spans="2:25">
      <c r="B944" t="s">
        <v>693</v>
      </c>
      <c r="C944" t="s">
        <v>118</v>
      </c>
      <c r="D944" t="s">
        <v>583</v>
      </c>
      <c r="E944" t="s">
        <v>583</v>
      </c>
      <c r="F944">
        <v>1</v>
      </c>
      <c r="G944" s="705">
        <v>111</v>
      </c>
      <c r="H944" s="705">
        <v>291</v>
      </c>
      <c r="I944" s="705">
        <v>20197</v>
      </c>
      <c r="J944" s="705">
        <v>18361</v>
      </c>
      <c r="K944" s="705">
        <v>85</v>
      </c>
      <c r="L944" s="705">
        <v>3951</v>
      </c>
      <c r="M944" s="705">
        <v>3293</v>
      </c>
      <c r="N944" s="705">
        <v>2239</v>
      </c>
      <c r="O944">
        <v>829</v>
      </c>
      <c r="P944">
        <v>621</v>
      </c>
      <c r="Q944">
        <v>230</v>
      </c>
      <c r="R944" s="705">
        <v>3290</v>
      </c>
      <c r="S944" s="705">
        <v>2991</v>
      </c>
      <c r="T944" s="705">
        <v>2125</v>
      </c>
      <c r="U944">
        <v>787</v>
      </c>
      <c r="V944" s="705">
        <v>26491</v>
      </c>
      <c r="W944" s="705">
        <f t="shared" si="46"/>
        <v>26491</v>
      </c>
      <c r="X944" s="705">
        <f t="shared" si="47"/>
        <v>32423</v>
      </c>
    </row>
    <row r="945" spans="2:24">
      <c r="B945" t="s">
        <v>693</v>
      </c>
      <c r="C945" t="s">
        <v>118</v>
      </c>
      <c r="D945" t="s">
        <v>584</v>
      </c>
      <c r="E945" t="s">
        <v>584</v>
      </c>
      <c r="F945">
        <v>131</v>
      </c>
      <c r="G945" s="705">
        <v>8674</v>
      </c>
      <c r="H945" s="705">
        <v>32441</v>
      </c>
      <c r="I945" s="705">
        <v>1085763</v>
      </c>
      <c r="J945" s="705">
        <v>987057</v>
      </c>
      <c r="K945">
        <v>78</v>
      </c>
      <c r="L945" s="705">
        <v>171078</v>
      </c>
      <c r="M945" s="705">
        <v>119006</v>
      </c>
      <c r="N945" s="705">
        <v>180883</v>
      </c>
      <c r="O945" s="705">
        <v>66994</v>
      </c>
      <c r="P945" s="705">
        <v>61553</v>
      </c>
      <c r="Q945" s="705">
        <v>22798</v>
      </c>
      <c r="R945" s="705">
        <v>541573</v>
      </c>
      <c r="S945" s="705">
        <v>492339</v>
      </c>
      <c r="T945" s="705">
        <v>125241</v>
      </c>
      <c r="U945" s="705">
        <v>46386</v>
      </c>
      <c r="V945" s="705">
        <v>1734579</v>
      </c>
      <c r="W945" s="705">
        <f t="shared" si="46"/>
        <v>1734580</v>
      </c>
      <c r="X945" s="705">
        <f t="shared" si="47"/>
        <v>2166091</v>
      </c>
    </row>
    <row r="946" spans="2:24">
      <c r="B946" t="s">
        <v>693</v>
      </c>
      <c r="C946" t="s">
        <v>120</v>
      </c>
      <c r="D946" t="s">
        <v>228</v>
      </c>
      <c r="E946" t="s">
        <v>228</v>
      </c>
      <c r="F946" s="705">
        <v>230</v>
      </c>
      <c r="G946" s="705">
        <v>13844</v>
      </c>
      <c r="H946" s="705">
        <v>76906</v>
      </c>
      <c r="I946" s="705">
        <v>2613057</v>
      </c>
      <c r="J946" s="705">
        <v>967799</v>
      </c>
      <c r="K946" s="705">
        <v>100</v>
      </c>
      <c r="L946" s="705">
        <v>280301</v>
      </c>
      <c r="M946" s="705">
        <v>115175</v>
      </c>
      <c r="N946" s="705">
        <v>287735</v>
      </c>
      <c r="O946" s="705">
        <v>106568</v>
      </c>
      <c r="P946" s="705">
        <v>3159</v>
      </c>
      <c r="Q946" s="705">
        <v>1170</v>
      </c>
      <c r="R946" s="705">
        <v>1433530</v>
      </c>
      <c r="S946" s="705">
        <v>530937</v>
      </c>
      <c r="T946">
        <v>0</v>
      </c>
      <c r="U946">
        <v>0</v>
      </c>
      <c r="V946" s="705">
        <v>1721649</v>
      </c>
      <c r="W946" s="705">
        <f t="shared" si="46"/>
        <v>1721649</v>
      </c>
      <c r="X946" s="705">
        <f t="shared" si="47"/>
        <v>4617782</v>
      </c>
    </row>
    <row r="947" spans="2:24">
      <c r="B947" t="s">
        <v>693</v>
      </c>
      <c r="C947" t="s">
        <v>120</v>
      </c>
      <c r="D947" t="s">
        <v>583</v>
      </c>
      <c r="E947" t="s">
        <v>583</v>
      </c>
      <c r="F947" s="705">
        <v>6</v>
      </c>
      <c r="G947">
        <v>580</v>
      </c>
      <c r="H947" s="705">
        <v>2083</v>
      </c>
      <c r="I947" s="705">
        <v>125768</v>
      </c>
      <c r="J947" s="705">
        <v>114334</v>
      </c>
      <c r="K947" s="705">
        <v>70</v>
      </c>
      <c r="L947" s="705">
        <v>20817</v>
      </c>
      <c r="M947" s="705">
        <v>18150</v>
      </c>
      <c r="N947" s="705">
        <v>11110</v>
      </c>
      <c r="O947" s="705">
        <v>4115</v>
      </c>
      <c r="P947" s="705">
        <v>3105</v>
      </c>
      <c r="Q947" s="705">
        <v>1150</v>
      </c>
      <c r="R947" s="705">
        <v>28715</v>
      </c>
      <c r="S947" s="705">
        <v>26104</v>
      </c>
      <c r="T947" s="705">
        <v>11354</v>
      </c>
      <c r="U947" s="705">
        <v>4205</v>
      </c>
      <c r="V947" s="705">
        <v>168059</v>
      </c>
      <c r="W947" s="705">
        <f t="shared" si="46"/>
        <v>168058</v>
      </c>
      <c r="X947" s="705">
        <f t="shared" si="47"/>
        <v>200869</v>
      </c>
    </row>
    <row r="948" spans="2:24">
      <c r="B948" t="s">
        <v>693</v>
      </c>
      <c r="C948" t="s">
        <v>120</v>
      </c>
      <c r="D948" t="s">
        <v>584</v>
      </c>
      <c r="E948" t="s">
        <v>584</v>
      </c>
      <c r="F948">
        <v>9</v>
      </c>
      <c r="G948">
        <v>503</v>
      </c>
      <c r="H948" s="705">
        <v>2943</v>
      </c>
      <c r="I948" s="705">
        <v>104066</v>
      </c>
      <c r="J948" s="705">
        <v>94605</v>
      </c>
      <c r="K948" s="705">
        <v>77</v>
      </c>
      <c r="L948" s="705">
        <v>14349</v>
      </c>
      <c r="M948" s="705">
        <v>11607</v>
      </c>
      <c r="N948" s="705">
        <v>10438</v>
      </c>
      <c r="O948" s="705">
        <v>3866</v>
      </c>
      <c r="P948" s="705">
        <v>4253</v>
      </c>
      <c r="Q948" s="705">
        <v>1575</v>
      </c>
      <c r="R948" s="705">
        <v>32291</v>
      </c>
      <c r="S948" s="705">
        <v>29355</v>
      </c>
      <c r="T948" s="705">
        <v>7070</v>
      </c>
      <c r="U948" s="705">
        <v>2618</v>
      </c>
      <c r="V948" s="705">
        <v>143627</v>
      </c>
      <c r="W948" s="705">
        <f t="shared" si="46"/>
        <v>143626</v>
      </c>
      <c r="X948" s="705">
        <f t="shared" si="47"/>
        <v>172467</v>
      </c>
    </row>
    <row r="949" spans="2:24">
      <c r="B949" t="s">
        <v>693</v>
      </c>
      <c r="C949" t="s">
        <v>120</v>
      </c>
      <c r="D949" t="s">
        <v>669</v>
      </c>
      <c r="E949" t="s">
        <v>228</v>
      </c>
      <c r="F949">
        <v>1</v>
      </c>
      <c r="G949">
        <v>59</v>
      </c>
      <c r="H949" s="705">
        <v>362</v>
      </c>
      <c r="I949" s="705">
        <v>12100</v>
      </c>
      <c r="J949" s="705">
        <v>10084</v>
      </c>
      <c r="K949" s="705">
        <v>55</v>
      </c>
      <c r="L949" s="705">
        <v>1664</v>
      </c>
      <c r="M949">
        <v>616</v>
      </c>
      <c r="N949" s="705">
        <v>1073</v>
      </c>
      <c r="O949">
        <v>397</v>
      </c>
      <c r="P949">
        <v>351</v>
      </c>
      <c r="Q949">
        <v>130</v>
      </c>
      <c r="R949" s="705">
        <v>6076</v>
      </c>
      <c r="S949" s="705">
        <v>2250</v>
      </c>
      <c r="T949">
        <v>0</v>
      </c>
      <c r="U949">
        <v>0</v>
      </c>
      <c r="V949" s="705">
        <v>13478</v>
      </c>
      <c r="W949" s="705">
        <f t="shared" si="46"/>
        <v>13477</v>
      </c>
      <c r="X949" s="705">
        <f t="shared" si="47"/>
        <v>21264</v>
      </c>
    </row>
    <row r="950" spans="2:24">
      <c r="B950" t="s">
        <v>693</v>
      </c>
      <c r="C950" t="s">
        <v>122</v>
      </c>
      <c r="D950" t="s">
        <v>228</v>
      </c>
      <c r="E950" t="s">
        <v>228</v>
      </c>
      <c r="F950">
        <v>49</v>
      </c>
      <c r="G950" s="705">
        <v>2442</v>
      </c>
      <c r="H950" s="705">
        <v>20070</v>
      </c>
      <c r="I950" s="705">
        <v>603199</v>
      </c>
      <c r="J950" s="705">
        <v>223407</v>
      </c>
      <c r="K950" s="705">
        <v>100</v>
      </c>
      <c r="L950" s="705">
        <v>77073</v>
      </c>
      <c r="M950" s="705">
        <v>30279</v>
      </c>
      <c r="N950" s="705">
        <v>47916</v>
      </c>
      <c r="O950" s="705">
        <v>17747</v>
      </c>
      <c r="P950" s="705">
        <v>1404</v>
      </c>
      <c r="Q950">
        <v>520</v>
      </c>
      <c r="R950" s="705">
        <v>271089</v>
      </c>
      <c r="S950" s="705">
        <v>100403</v>
      </c>
      <c r="T950">
        <v>0</v>
      </c>
      <c r="U950">
        <v>0</v>
      </c>
      <c r="V950" s="705">
        <v>372357</v>
      </c>
      <c r="W950" s="705">
        <f t="shared" si="46"/>
        <v>372356</v>
      </c>
      <c r="X950" s="705">
        <f t="shared" si="47"/>
        <v>1000681</v>
      </c>
    </row>
    <row r="951" spans="2:24">
      <c r="B951" t="s">
        <v>693</v>
      </c>
      <c r="C951" t="s">
        <v>124</v>
      </c>
      <c r="D951" t="s">
        <v>228</v>
      </c>
      <c r="E951" t="s">
        <v>228</v>
      </c>
      <c r="F951">
        <v>10</v>
      </c>
      <c r="G951" s="705">
        <v>512</v>
      </c>
      <c r="H951" s="705">
        <v>5688</v>
      </c>
      <c r="I951" s="705">
        <v>203919</v>
      </c>
      <c r="J951" s="705">
        <v>75525</v>
      </c>
      <c r="K951" s="705">
        <v>100</v>
      </c>
      <c r="L951" s="705">
        <v>21060</v>
      </c>
      <c r="M951" s="705">
        <v>14187</v>
      </c>
      <c r="N951" s="705">
        <v>10576</v>
      </c>
      <c r="O951" s="705">
        <v>3917</v>
      </c>
      <c r="P951">
        <v>702</v>
      </c>
      <c r="Q951">
        <v>260</v>
      </c>
      <c r="R951" s="705">
        <v>62262</v>
      </c>
      <c r="S951" s="705">
        <v>23060</v>
      </c>
      <c r="T951">
        <v>0</v>
      </c>
      <c r="U951">
        <v>0</v>
      </c>
      <c r="V951" s="705">
        <v>116949</v>
      </c>
      <c r="W951" s="705">
        <f t="shared" si="46"/>
        <v>116949</v>
      </c>
      <c r="X951" s="705">
        <f t="shared" si="47"/>
        <v>298519</v>
      </c>
    </row>
    <row r="952" spans="2:24">
      <c r="B952" t="s">
        <v>693</v>
      </c>
      <c r="C952" t="s">
        <v>124</v>
      </c>
      <c r="D952" t="s">
        <v>583</v>
      </c>
      <c r="E952" t="s">
        <v>583</v>
      </c>
      <c r="F952">
        <v>1</v>
      </c>
      <c r="G952" s="705">
        <v>83</v>
      </c>
      <c r="H952" s="705">
        <v>451</v>
      </c>
      <c r="I952" s="705">
        <v>23994</v>
      </c>
      <c r="J952" s="705">
        <v>21813</v>
      </c>
      <c r="K952" s="705">
        <v>65</v>
      </c>
      <c r="L952" s="705">
        <v>5991</v>
      </c>
      <c r="M952" s="705">
        <v>4993</v>
      </c>
      <c r="N952" s="705">
        <v>1348</v>
      </c>
      <c r="O952">
        <v>499</v>
      </c>
      <c r="P952">
        <v>621</v>
      </c>
      <c r="Q952">
        <v>230</v>
      </c>
      <c r="R952" s="705">
        <v>3818</v>
      </c>
      <c r="S952" s="705">
        <v>3471</v>
      </c>
      <c r="T952" s="705">
        <v>1763</v>
      </c>
      <c r="U952">
        <v>653</v>
      </c>
      <c r="V952" s="705">
        <v>31659</v>
      </c>
      <c r="W952" s="705">
        <f t="shared" si="46"/>
        <v>31659</v>
      </c>
      <c r="X952" s="705">
        <f t="shared" si="47"/>
        <v>37535</v>
      </c>
    </row>
    <row r="953" spans="2:24">
      <c r="B953" t="s">
        <v>694</v>
      </c>
      <c r="C953" t="s">
        <v>108</v>
      </c>
      <c r="F953" s="705">
        <v>106</v>
      </c>
      <c r="G953" s="705">
        <v>8907</v>
      </c>
      <c r="H953" s="705">
        <v>5409</v>
      </c>
      <c r="J953" s="705">
        <v>0</v>
      </c>
      <c r="K953" s="705"/>
      <c r="M953">
        <v>0</v>
      </c>
      <c r="N953" s="705">
        <v>112135</v>
      </c>
      <c r="O953" s="705">
        <v>41531</v>
      </c>
      <c r="P953" s="705">
        <v>68895</v>
      </c>
      <c r="Q953" s="705">
        <v>25517</v>
      </c>
      <c r="S953">
        <v>0</v>
      </c>
      <c r="T953">
        <v>0</v>
      </c>
      <c r="U953">
        <v>0</v>
      </c>
      <c r="V953" s="705">
        <v>67048</v>
      </c>
      <c r="W953" s="705">
        <f t="shared" si="46"/>
        <v>67048</v>
      </c>
      <c r="X953" s="705">
        <f t="shared" si="47"/>
        <v>181030</v>
      </c>
    </row>
    <row r="954" spans="2:24">
      <c r="B954" t="s">
        <v>694</v>
      </c>
      <c r="C954" t="s">
        <v>108</v>
      </c>
      <c r="D954" t="s">
        <v>584</v>
      </c>
      <c r="E954" t="s">
        <v>584</v>
      </c>
      <c r="F954">
        <v>36</v>
      </c>
      <c r="G954" s="705">
        <v>3161</v>
      </c>
      <c r="H954" s="705">
        <v>1792</v>
      </c>
      <c r="I954" s="705">
        <v>-47813</v>
      </c>
      <c r="J954" s="705">
        <v>-43466</v>
      </c>
      <c r="K954" s="705">
        <v>91</v>
      </c>
      <c r="L954">
        <v>0</v>
      </c>
      <c r="M954">
        <v>0</v>
      </c>
      <c r="N954" s="705">
        <v>40908</v>
      </c>
      <c r="O954" s="705">
        <v>15151</v>
      </c>
      <c r="P954" s="705">
        <v>43902</v>
      </c>
      <c r="Q954" s="705">
        <v>16260</v>
      </c>
      <c r="R954" s="705">
        <v>118064</v>
      </c>
      <c r="S954" s="705">
        <v>107331</v>
      </c>
      <c r="T954">
        <v>0</v>
      </c>
      <c r="U954">
        <v>0</v>
      </c>
      <c r="V954" s="705">
        <v>95276</v>
      </c>
      <c r="W954" s="705">
        <f t="shared" si="46"/>
        <v>182208</v>
      </c>
      <c r="X954" s="705">
        <f t="shared" si="47"/>
        <v>250687</v>
      </c>
    </row>
    <row r="955" spans="2:24">
      <c r="B955" t="s">
        <v>694</v>
      </c>
      <c r="C955" t="s">
        <v>110</v>
      </c>
      <c r="F955">
        <v>7</v>
      </c>
      <c r="G955">
        <v>608</v>
      </c>
      <c r="H955" s="705">
        <v>684</v>
      </c>
      <c r="J955">
        <v>0</v>
      </c>
      <c r="K955" s="705"/>
      <c r="M955">
        <v>0</v>
      </c>
      <c r="N955" s="705">
        <v>14809</v>
      </c>
      <c r="O955" s="705">
        <v>5485</v>
      </c>
      <c r="P955" s="705">
        <v>7620</v>
      </c>
      <c r="Q955" s="705">
        <v>2822</v>
      </c>
      <c r="S955">
        <v>0</v>
      </c>
      <c r="T955">
        <v>0</v>
      </c>
      <c r="U955">
        <v>0</v>
      </c>
      <c r="V955" s="705">
        <v>8307</v>
      </c>
      <c r="W955" s="705">
        <f t="shared" si="46"/>
        <v>8307</v>
      </c>
      <c r="X955" s="705">
        <f t="shared" si="47"/>
        <v>22429</v>
      </c>
    </row>
    <row r="956" spans="2:24">
      <c r="B956" t="s">
        <v>694</v>
      </c>
      <c r="C956" t="s">
        <v>110</v>
      </c>
      <c r="D956" t="s">
        <v>584</v>
      </c>
      <c r="E956" t="s">
        <v>584</v>
      </c>
      <c r="F956" s="705">
        <v>12</v>
      </c>
      <c r="G956" s="705">
        <v>1180</v>
      </c>
      <c r="H956" s="705">
        <v>1114</v>
      </c>
      <c r="I956" s="705">
        <v>24116</v>
      </c>
      <c r="J956" s="705">
        <v>21923</v>
      </c>
      <c r="K956" s="705">
        <v>83</v>
      </c>
      <c r="L956" s="705">
        <v>3849</v>
      </c>
      <c r="M956" s="705">
        <v>1652</v>
      </c>
      <c r="N956" s="705">
        <v>24338</v>
      </c>
      <c r="O956" s="705">
        <v>9014</v>
      </c>
      <c r="P956" s="705">
        <v>7416</v>
      </c>
      <c r="Q956" s="705">
        <v>2747</v>
      </c>
      <c r="R956" s="705">
        <v>50777</v>
      </c>
      <c r="S956" s="705">
        <v>46160</v>
      </c>
      <c r="T956">
        <v>0</v>
      </c>
      <c r="U956">
        <v>0</v>
      </c>
      <c r="V956" s="705">
        <v>81497</v>
      </c>
      <c r="W956" s="705">
        <f t="shared" si="46"/>
        <v>81496</v>
      </c>
      <c r="X956" s="705">
        <f t="shared" si="47"/>
        <v>110496</v>
      </c>
    </row>
    <row r="957" spans="2:24">
      <c r="B957" t="s">
        <v>694</v>
      </c>
      <c r="C957" t="s">
        <v>112</v>
      </c>
      <c r="F957">
        <v>26</v>
      </c>
      <c r="G957" s="705">
        <v>2333</v>
      </c>
      <c r="H957" s="705">
        <v>2924</v>
      </c>
      <c r="J957" s="705">
        <v>0</v>
      </c>
      <c r="K957" s="705"/>
      <c r="M957">
        <v>0</v>
      </c>
      <c r="N957" s="705">
        <v>56841</v>
      </c>
      <c r="O957" s="705">
        <v>21052</v>
      </c>
      <c r="P957" s="705">
        <v>29232</v>
      </c>
      <c r="Q957" s="705">
        <v>10827</v>
      </c>
      <c r="S957">
        <v>0</v>
      </c>
      <c r="T957">
        <v>0</v>
      </c>
      <c r="U957">
        <v>0</v>
      </c>
      <c r="V957" s="705">
        <v>31879</v>
      </c>
      <c r="W957" s="705">
        <f t="shared" si="46"/>
        <v>31879</v>
      </c>
      <c r="X957" s="705">
        <f t="shared" si="47"/>
        <v>86073</v>
      </c>
    </row>
    <row r="958" spans="2:24">
      <c r="B958" t="s">
        <v>694</v>
      </c>
      <c r="C958" t="s">
        <v>112</v>
      </c>
      <c r="D958" t="s">
        <v>228</v>
      </c>
      <c r="E958" t="s">
        <v>228</v>
      </c>
      <c r="F958" s="705">
        <v>1</v>
      </c>
      <c r="G958" s="705">
        <v>87</v>
      </c>
      <c r="H958" s="705">
        <v>123</v>
      </c>
      <c r="I958" s="705">
        <v>2381</v>
      </c>
      <c r="J958" s="705">
        <v>882</v>
      </c>
      <c r="K958" s="705">
        <v>100</v>
      </c>
      <c r="L958">
        <v>0</v>
      </c>
      <c r="M958">
        <v>0</v>
      </c>
      <c r="N958" s="705">
        <v>1478</v>
      </c>
      <c r="O958">
        <v>547</v>
      </c>
      <c r="P958">
        <v>0</v>
      </c>
      <c r="Q958">
        <v>0</v>
      </c>
      <c r="R958" s="705">
        <v>6832</v>
      </c>
      <c r="S958" s="705">
        <v>2530</v>
      </c>
      <c r="T958">
        <v>0</v>
      </c>
      <c r="U958">
        <v>0</v>
      </c>
      <c r="V958" s="705">
        <v>3959</v>
      </c>
      <c r="W958" s="705">
        <f t="shared" si="46"/>
        <v>3959</v>
      </c>
      <c r="X958" s="705">
        <f t="shared" si="47"/>
        <v>10691</v>
      </c>
    </row>
    <row r="959" spans="2:24">
      <c r="B959" t="s">
        <v>694</v>
      </c>
      <c r="C959" t="s">
        <v>112</v>
      </c>
      <c r="D959" t="s">
        <v>584</v>
      </c>
      <c r="E959" t="s">
        <v>584</v>
      </c>
      <c r="F959">
        <v>146</v>
      </c>
      <c r="G959" s="705">
        <v>13043</v>
      </c>
      <c r="H959" s="705">
        <v>17017</v>
      </c>
      <c r="I959" s="705">
        <v>475150</v>
      </c>
      <c r="J959" s="705">
        <v>431954</v>
      </c>
      <c r="K959" s="705">
        <v>83</v>
      </c>
      <c r="L959" s="705">
        <v>55592</v>
      </c>
      <c r="M959" s="705">
        <v>36365</v>
      </c>
      <c r="N959" s="705">
        <v>269862</v>
      </c>
      <c r="O959" s="705">
        <v>99949</v>
      </c>
      <c r="P959" s="705">
        <v>73712</v>
      </c>
      <c r="Q959" s="705">
        <v>27301</v>
      </c>
      <c r="R959" s="705">
        <v>609230</v>
      </c>
      <c r="S959" s="705">
        <v>553846</v>
      </c>
      <c r="T959" s="705">
        <v>34837</v>
      </c>
      <c r="U959" s="705">
        <v>12903</v>
      </c>
      <c r="V959" s="705">
        <v>1162317</v>
      </c>
      <c r="W959" s="705">
        <f t="shared" si="46"/>
        <v>1162318</v>
      </c>
      <c r="X959" s="705">
        <f t="shared" si="47"/>
        <v>1518383</v>
      </c>
    </row>
    <row r="960" spans="2:24">
      <c r="B960" t="s">
        <v>694</v>
      </c>
      <c r="C960" t="s">
        <v>114</v>
      </c>
      <c r="F960" s="705">
        <v>15</v>
      </c>
      <c r="G960" s="705">
        <v>1305</v>
      </c>
      <c r="H960" s="705">
        <v>2055</v>
      </c>
      <c r="J960">
        <v>0</v>
      </c>
      <c r="K960" s="705"/>
      <c r="M960">
        <v>0</v>
      </c>
      <c r="N960" s="705">
        <v>31792</v>
      </c>
      <c r="O960" s="705">
        <v>11775</v>
      </c>
      <c r="P960" s="705">
        <v>18262</v>
      </c>
      <c r="Q960" s="705">
        <v>6764</v>
      </c>
      <c r="S960">
        <v>0</v>
      </c>
      <c r="T960">
        <v>0</v>
      </c>
      <c r="U960">
        <v>0</v>
      </c>
      <c r="V960" s="705">
        <v>18538</v>
      </c>
      <c r="W960" s="705">
        <f t="shared" si="46"/>
        <v>18539</v>
      </c>
      <c r="X960" s="705">
        <f t="shared" si="47"/>
        <v>50054</v>
      </c>
    </row>
    <row r="961" spans="2:24">
      <c r="B961" t="s">
        <v>694</v>
      </c>
      <c r="C961" t="s">
        <v>114</v>
      </c>
      <c r="D961" t="s">
        <v>228</v>
      </c>
      <c r="E961" t="s">
        <v>228</v>
      </c>
      <c r="F961" s="705">
        <v>3</v>
      </c>
      <c r="G961" s="705">
        <v>246</v>
      </c>
      <c r="H961" s="705">
        <v>415</v>
      </c>
      <c r="I961" s="705">
        <v>7863</v>
      </c>
      <c r="J961" s="705">
        <v>2912</v>
      </c>
      <c r="K961" s="705">
        <v>100</v>
      </c>
      <c r="L961">
        <v>729</v>
      </c>
      <c r="M961">
        <v>270</v>
      </c>
      <c r="N961" s="705">
        <v>4951</v>
      </c>
      <c r="O961" s="705">
        <v>1834</v>
      </c>
      <c r="P961">
        <v>0</v>
      </c>
      <c r="Q961">
        <v>0</v>
      </c>
      <c r="R961" s="705">
        <v>20339</v>
      </c>
      <c r="S961" s="705">
        <v>7533</v>
      </c>
      <c r="T961">
        <v>0</v>
      </c>
      <c r="U961">
        <v>0</v>
      </c>
      <c r="V961" s="705">
        <v>12549</v>
      </c>
      <c r="W961" s="705">
        <f t="shared" si="46"/>
        <v>12549</v>
      </c>
      <c r="X961" s="705">
        <f t="shared" si="47"/>
        <v>33882</v>
      </c>
    </row>
    <row r="962" spans="2:24">
      <c r="B962" t="s">
        <v>694</v>
      </c>
      <c r="C962" t="s">
        <v>114</v>
      </c>
      <c r="D962" t="s">
        <v>584</v>
      </c>
      <c r="E962" t="s">
        <v>584</v>
      </c>
      <c r="F962" s="705">
        <v>304</v>
      </c>
      <c r="G962" s="705">
        <v>22796</v>
      </c>
      <c r="H962" s="705">
        <v>41933</v>
      </c>
      <c r="I962" s="705">
        <v>1088431</v>
      </c>
      <c r="J962" s="705">
        <v>989482</v>
      </c>
      <c r="K962" s="705">
        <v>81</v>
      </c>
      <c r="L962" s="705">
        <v>89623</v>
      </c>
      <c r="M962" s="705">
        <v>43737</v>
      </c>
      <c r="N962" s="705">
        <v>491971</v>
      </c>
      <c r="O962" s="705">
        <v>182212</v>
      </c>
      <c r="P962" s="705">
        <v>146519</v>
      </c>
      <c r="Q962" s="705">
        <v>54266</v>
      </c>
      <c r="R962" s="705">
        <v>1223501</v>
      </c>
      <c r="S962" s="705">
        <v>1112274</v>
      </c>
      <c r="T962" s="705">
        <v>101147</v>
      </c>
      <c r="U962" s="705">
        <v>37462</v>
      </c>
      <c r="V962" s="705">
        <v>2419433</v>
      </c>
      <c r="W962" s="705">
        <f t="shared" si="46"/>
        <v>2419433</v>
      </c>
      <c r="X962" s="705">
        <f t="shared" si="47"/>
        <v>3141192</v>
      </c>
    </row>
    <row r="963" spans="2:24">
      <c r="B963" t="s">
        <v>694</v>
      </c>
      <c r="C963" t="s">
        <v>116</v>
      </c>
      <c r="F963" s="705">
        <v>4</v>
      </c>
      <c r="G963" s="705">
        <v>207</v>
      </c>
      <c r="H963" s="705">
        <v>721</v>
      </c>
      <c r="J963" s="705">
        <v>0</v>
      </c>
      <c r="K963" s="705"/>
      <c r="M963">
        <v>0</v>
      </c>
      <c r="N963" s="705">
        <v>5038</v>
      </c>
      <c r="O963" s="705">
        <v>1866</v>
      </c>
      <c r="P963" s="705">
        <v>2168</v>
      </c>
      <c r="Q963">
        <v>803</v>
      </c>
      <c r="S963">
        <v>0</v>
      </c>
      <c r="T963">
        <v>0</v>
      </c>
      <c r="U963">
        <v>0</v>
      </c>
      <c r="V963" s="705">
        <v>2669</v>
      </c>
      <c r="W963" s="705">
        <f t="shared" si="46"/>
        <v>2669</v>
      </c>
      <c r="X963" s="705">
        <f t="shared" si="47"/>
        <v>7206</v>
      </c>
    </row>
    <row r="964" spans="2:24">
      <c r="B964" t="s">
        <v>694</v>
      </c>
      <c r="C964" t="s">
        <v>116</v>
      </c>
      <c r="D964" t="s">
        <v>228</v>
      </c>
      <c r="E964" t="s">
        <v>228</v>
      </c>
      <c r="F964" s="705">
        <v>93</v>
      </c>
      <c r="G964" s="705">
        <v>6793</v>
      </c>
      <c r="H964" s="705">
        <v>18216</v>
      </c>
      <c r="I964" s="705">
        <v>523501</v>
      </c>
      <c r="J964" s="705">
        <v>193889</v>
      </c>
      <c r="K964" s="705">
        <v>100</v>
      </c>
      <c r="L964" s="705">
        <v>74850</v>
      </c>
      <c r="M964" s="705">
        <v>28453</v>
      </c>
      <c r="N964" s="705">
        <v>127844</v>
      </c>
      <c r="O964" s="705">
        <v>47349</v>
      </c>
      <c r="P964" s="705">
        <v>1755</v>
      </c>
      <c r="Q964">
        <v>650</v>
      </c>
      <c r="R964" s="705">
        <v>602449</v>
      </c>
      <c r="S964" s="705">
        <v>223129</v>
      </c>
      <c r="T964">
        <v>0</v>
      </c>
      <c r="U964">
        <v>0</v>
      </c>
      <c r="V964" s="705">
        <v>493471</v>
      </c>
      <c r="W964" s="705">
        <f t="shared" si="46"/>
        <v>493470</v>
      </c>
      <c r="X964" s="705">
        <f t="shared" si="47"/>
        <v>1330399</v>
      </c>
    </row>
    <row r="965" spans="2:24">
      <c r="B965" t="s">
        <v>694</v>
      </c>
      <c r="C965" t="s">
        <v>116</v>
      </c>
      <c r="D965" t="s">
        <v>583</v>
      </c>
      <c r="E965" t="s">
        <v>583</v>
      </c>
      <c r="F965">
        <v>4</v>
      </c>
      <c r="G965" s="705">
        <v>408</v>
      </c>
      <c r="H965">
        <v>802</v>
      </c>
      <c r="I965" s="705">
        <v>42084</v>
      </c>
      <c r="J965" s="705">
        <v>38258</v>
      </c>
      <c r="K965" s="705">
        <v>87</v>
      </c>
      <c r="L965" s="705">
        <v>7478</v>
      </c>
      <c r="M965" s="705">
        <v>6508</v>
      </c>
      <c r="N965" s="705">
        <v>6895</v>
      </c>
      <c r="O965" s="705">
        <v>2554</v>
      </c>
      <c r="P965" s="705">
        <v>2484</v>
      </c>
      <c r="Q965">
        <v>920</v>
      </c>
      <c r="R965" s="705">
        <v>18132</v>
      </c>
      <c r="S965" s="705">
        <v>16484</v>
      </c>
      <c r="T965" s="705">
        <v>5547</v>
      </c>
      <c r="U965" s="705">
        <v>2054</v>
      </c>
      <c r="V965" s="705">
        <v>66778</v>
      </c>
      <c r="W965" s="705">
        <f t="shared" si="46"/>
        <v>66778</v>
      </c>
      <c r="X965" s="705">
        <f t="shared" si="47"/>
        <v>82620</v>
      </c>
    </row>
    <row r="966" spans="2:24">
      <c r="B966" t="s">
        <v>694</v>
      </c>
      <c r="C966" t="s">
        <v>116</v>
      </c>
      <c r="D966" t="s">
        <v>584</v>
      </c>
      <c r="E966" t="s">
        <v>228</v>
      </c>
      <c r="F966">
        <v>1</v>
      </c>
      <c r="G966">
        <v>78</v>
      </c>
      <c r="H966" s="705">
        <v>213</v>
      </c>
      <c r="I966" s="705">
        <v>8593</v>
      </c>
      <c r="J966" s="705">
        <v>7812</v>
      </c>
      <c r="K966" s="705">
        <v>80</v>
      </c>
      <c r="L966" s="705">
        <v>1201</v>
      </c>
      <c r="M966" s="705">
        <v>1092</v>
      </c>
      <c r="N966">
        <v>950</v>
      </c>
      <c r="O966">
        <v>352</v>
      </c>
      <c r="P966">
        <v>473</v>
      </c>
      <c r="Q966">
        <v>175</v>
      </c>
      <c r="R966" s="705">
        <v>5402</v>
      </c>
      <c r="S966" s="705">
        <v>2001</v>
      </c>
      <c r="T966">
        <v>0</v>
      </c>
      <c r="U966">
        <v>0</v>
      </c>
      <c r="V966" s="705">
        <v>11431</v>
      </c>
      <c r="W966" s="705">
        <f t="shared" si="46"/>
        <v>11432</v>
      </c>
      <c r="X966" s="705">
        <f t="shared" si="47"/>
        <v>16619</v>
      </c>
    </row>
    <row r="967" spans="2:24">
      <c r="B967" t="s">
        <v>694</v>
      </c>
      <c r="C967" t="s">
        <v>116</v>
      </c>
      <c r="D967" t="s">
        <v>584</v>
      </c>
      <c r="E967" t="s">
        <v>584</v>
      </c>
      <c r="F967" s="705">
        <v>453</v>
      </c>
      <c r="G967" s="705">
        <v>33133</v>
      </c>
      <c r="H967" s="705">
        <v>81698</v>
      </c>
      <c r="I967" s="705">
        <v>2573880</v>
      </c>
      <c r="J967" s="705">
        <v>2339891</v>
      </c>
      <c r="K967" s="705">
        <v>82</v>
      </c>
      <c r="L967" s="705">
        <v>374427</v>
      </c>
      <c r="M967" s="705">
        <v>251909</v>
      </c>
      <c r="N967" s="705">
        <v>728756</v>
      </c>
      <c r="O967" s="705">
        <v>269910</v>
      </c>
      <c r="P967" s="705">
        <v>216891</v>
      </c>
      <c r="Q967" s="705">
        <v>80330</v>
      </c>
      <c r="R967" s="705">
        <v>1791356</v>
      </c>
      <c r="S967" s="705">
        <v>1628505</v>
      </c>
      <c r="T967" s="705">
        <v>312280</v>
      </c>
      <c r="U967" s="705">
        <v>115659</v>
      </c>
      <c r="V967" s="705">
        <v>4686204</v>
      </c>
      <c r="W967" s="705">
        <f t="shared" si="46"/>
        <v>4686204</v>
      </c>
      <c r="X967" s="705">
        <f t="shared" si="47"/>
        <v>5997590</v>
      </c>
    </row>
    <row r="968" spans="2:24">
      <c r="B968" t="s">
        <v>694</v>
      </c>
      <c r="C968" t="s">
        <v>118</v>
      </c>
      <c r="D968" t="s">
        <v>228</v>
      </c>
      <c r="E968" t="s">
        <v>228</v>
      </c>
      <c r="F968" s="705">
        <v>105</v>
      </c>
      <c r="G968" s="705">
        <v>7281</v>
      </c>
      <c r="H968" s="705">
        <v>27908</v>
      </c>
      <c r="I968" s="705">
        <v>992390</v>
      </c>
      <c r="J968" s="705">
        <v>367552</v>
      </c>
      <c r="K968" s="705">
        <v>100</v>
      </c>
      <c r="L968" s="705">
        <v>151798</v>
      </c>
      <c r="M968" s="705">
        <v>61418</v>
      </c>
      <c r="N968" s="705">
        <v>142092</v>
      </c>
      <c r="O968" s="705">
        <v>52627</v>
      </c>
      <c r="P968" s="705">
        <v>1664</v>
      </c>
      <c r="Q968">
        <v>616</v>
      </c>
      <c r="R968" s="705">
        <v>653182</v>
      </c>
      <c r="S968" s="705">
        <v>241919</v>
      </c>
      <c r="T968">
        <v>0</v>
      </c>
      <c r="U968">
        <v>0</v>
      </c>
      <c r="V968" s="705">
        <v>724132</v>
      </c>
      <c r="W968" s="705">
        <f t="shared" si="46"/>
        <v>724132</v>
      </c>
      <c r="X968" s="705">
        <f t="shared" si="47"/>
        <v>1941126</v>
      </c>
    </row>
    <row r="969" spans="2:24">
      <c r="B969" t="s">
        <v>694</v>
      </c>
      <c r="C969" t="s">
        <v>118</v>
      </c>
      <c r="D969" t="s">
        <v>583</v>
      </c>
      <c r="E969" t="s">
        <v>583</v>
      </c>
      <c r="F969">
        <v>3</v>
      </c>
      <c r="G969">
        <v>638</v>
      </c>
      <c r="H969" s="705">
        <v>777</v>
      </c>
      <c r="I969" s="705">
        <v>102927</v>
      </c>
      <c r="J969" s="705">
        <v>93570</v>
      </c>
      <c r="K969" s="705">
        <v>74</v>
      </c>
      <c r="L969" s="705">
        <v>25398</v>
      </c>
      <c r="M969" s="705">
        <v>21747</v>
      </c>
      <c r="N969" s="705">
        <v>12786</v>
      </c>
      <c r="O969" s="705">
        <v>4735</v>
      </c>
      <c r="P969" s="705">
        <v>1863</v>
      </c>
      <c r="Q969">
        <v>690</v>
      </c>
      <c r="R969" s="705">
        <v>18241</v>
      </c>
      <c r="S969" s="705">
        <v>16583</v>
      </c>
      <c r="T969" s="705">
        <v>7550</v>
      </c>
      <c r="U969" s="705">
        <v>2796</v>
      </c>
      <c r="V969" s="705">
        <v>140121</v>
      </c>
      <c r="W969" s="705">
        <f t="shared" si="46"/>
        <v>140121</v>
      </c>
      <c r="X969" s="705">
        <f t="shared" si="47"/>
        <v>168765</v>
      </c>
    </row>
    <row r="970" spans="2:24">
      <c r="B970" t="s">
        <v>694</v>
      </c>
      <c r="C970" t="s">
        <v>118</v>
      </c>
      <c r="D970" t="s">
        <v>584</v>
      </c>
      <c r="E970" t="s">
        <v>228</v>
      </c>
      <c r="F970" s="705">
        <v>1</v>
      </c>
      <c r="G970" s="705">
        <v>39</v>
      </c>
      <c r="H970" s="705">
        <v>233</v>
      </c>
      <c r="I970" s="705">
        <v>3888</v>
      </c>
      <c r="J970" s="705">
        <v>3534</v>
      </c>
      <c r="K970" s="705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705">
        <v>3804</v>
      </c>
      <c r="S970" s="705">
        <v>1409</v>
      </c>
      <c r="T970">
        <v>0</v>
      </c>
      <c r="U970">
        <v>0</v>
      </c>
      <c r="V970" s="705">
        <v>5460</v>
      </c>
      <c r="W970" s="705">
        <f t="shared" si="46"/>
        <v>5460</v>
      </c>
      <c r="X970" s="705">
        <f t="shared" si="47"/>
        <v>9089</v>
      </c>
    </row>
    <row r="971" spans="2:24">
      <c r="B971" t="s">
        <v>694</v>
      </c>
      <c r="C971" t="s">
        <v>118</v>
      </c>
      <c r="D971" t="s">
        <v>584</v>
      </c>
      <c r="E971" t="s">
        <v>584</v>
      </c>
      <c r="F971">
        <v>60</v>
      </c>
      <c r="G971" s="705">
        <v>4053</v>
      </c>
      <c r="H971" s="705">
        <v>15387</v>
      </c>
      <c r="I971" s="705">
        <v>519864</v>
      </c>
      <c r="J971" s="705">
        <v>472604</v>
      </c>
      <c r="K971" s="705">
        <v>79</v>
      </c>
      <c r="L971" s="705">
        <v>110723</v>
      </c>
      <c r="M971" s="705">
        <v>91544</v>
      </c>
      <c r="N971" s="705">
        <v>81222</v>
      </c>
      <c r="O971" s="705">
        <v>30082</v>
      </c>
      <c r="P971" s="705">
        <v>28611</v>
      </c>
      <c r="Q971" s="705">
        <v>10597</v>
      </c>
      <c r="R971" s="705">
        <v>258543</v>
      </c>
      <c r="S971" s="705">
        <v>235039</v>
      </c>
      <c r="T971" s="705">
        <v>42931</v>
      </c>
      <c r="U971" s="705">
        <v>15900</v>
      </c>
      <c r="V971" s="705">
        <v>855766</v>
      </c>
      <c r="W971" s="705">
        <f t="shared" si="46"/>
        <v>855766</v>
      </c>
      <c r="X971" s="705">
        <f t="shared" si="47"/>
        <v>1041894</v>
      </c>
    </row>
    <row r="972" spans="2:24">
      <c r="B972" t="s">
        <v>694</v>
      </c>
      <c r="C972" t="s">
        <v>118</v>
      </c>
      <c r="D972" t="s">
        <v>669</v>
      </c>
      <c r="E972" t="s">
        <v>228</v>
      </c>
      <c r="F972">
        <v>1</v>
      </c>
      <c r="G972" s="705">
        <v>50</v>
      </c>
      <c r="H972">
        <v>278</v>
      </c>
      <c r="I972" s="705">
        <v>5669</v>
      </c>
      <c r="J972" s="705">
        <v>4724</v>
      </c>
      <c r="K972" s="705">
        <v>55</v>
      </c>
      <c r="L972">
        <v>779</v>
      </c>
      <c r="M972">
        <v>289</v>
      </c>
      <c r="N972" s="705">
        <v>1134</v>
      </c>
      <c r="O972">
        <v>420</v>
      </c>
      <c r="P972">
        <v>351</v>
      </c>
      <c r="Q972">
        <v>130</v>
      </c>
      <c r="R972" s="705">
        <v>5810</v>
      </c>
      <c r="S972" s="705">
        <v>2152</v>
      </c>
      <c r="T972">
        <v>0</v>
      </c>
      <c r="U972">
        <v>0</v>
      </c>
      <c r="V972" s="705">
        <v>7715</v>
      </c>
      <c r="W972" s="705">
        <f t="shared" si="46"/>
        <v>7715</v>
      </c>
      <c r="X972" s="705">
        <f t="shared" si="47"/>
        <v>13743</v>
      </c>
    </row>
    <row r="973" spans="2:24">
      <c r="B973" t="s">
        <v>694</v>
      </c>
      <c r="C973" t="s">
        <v>120</v>
      </c>
      <c r="F973" s="705">
        <v>1</v>
      </c>
      <c r="G973" s="705">
        <v>40</v>
      </c>
      <c r="H973" s="705">
        <v>341</v>
      </c>
      <c r="J973" s="705">
        <v>0</v>
      </c>
      <c r="K973" s="705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705">
        <f t="shared" si="46"/>
        <v>374</v>
      </c>
      <c r="X973" s="705">
        <f t="shared" si="47"/>
        <v>1010</v>
      </c>
    </row>
    <row r="974" spans="2:24">
      <c r="B974" t="s">
        <v>694</v>
      </c>
      <c r="C974" t="s">
        <v>120</v>
      </c>
      <c r="D974" t="s">
        <v>228</v>
      </c>
      <c r="E974" t="s">
        <v>228</v>
      </c>
      <c r="F974">
        <v>43</v>
      </c>
      <c r="G974" s="705">
        <v>2753</v>
      </c>
      <c r="H974" s="705">
        <v>14403</v>
      </c>
      <c r="I974" s="705">
        <v>531121</v>
      </c>
      <c r="J974" s="705">
        <v>196711</v>
      </c>
      <c r="K974" s="705">
        <v>100</v>
      </c>
      <c r="L974" s="705">
        <v>66430</v>
      </c>
      <c r="M974" s="705">
        <v>29243</v>
      </c>
      <c r="N974" s="705">
        <v>58550</v>
      </c>
      <c r="O974" s="705">
        <v>21685</v>
      </c>
      <c r="P974">
        <v>824</v>
      </c>
      <c r="Q974">
        <v>305</v>
      </c>
      <c r="R974" s="705">
        <v>261319</v>
      </c>
      <c r="S974" s="705">
        <v>96785</v>
      </c>
      <c r="T974">
        <v>0</v>
      </c>
      <c r="U974">
        <v>0</v>
      </c>
      <c r="V974" s="705">
        <v>344730</v>
      </c>
      <c r="W974" s="705">
        <f t="shared" si="46"/>
        <v>344729</v>
      </c>
      <c r="X974" s="705">
        <f t="shared" si="47"/>
        <v>918244</v>
      </c>
    </row>
    <row r="975" spans="2:24">
      <c r="B975" t="s">
        <v>694</v>
      </c>
      <c r="C975" t="s">
        <v>120</v>
      </c>
      <c r="D975" t="s">
        <v>583</v>
      </c>
      <c r="E975" t="s">
        <v>583</v>
      </c>
      <c r="F975">
        <v>1</v>
      </c>
      <c r="G975">
        <v>75</v>
      </c>
      <c r="H975" s="705">
        <v>319</v>
      </c>
      <c r="I975" s="705">
        <v>13311</v>
      </c>
      <c r="J975" s="705">
        <v>12101</v>
      </c>
      <c r="K975" s="705">
        <v>93</v>
      </c>
      <c r="L975" s="705">
        <v>4980</v>
      </c>
      <c r="M975" s="705">
        <v>4150</v>
      </c>
      <c r="N975" s="705">
        <v>1480</v>
      </c>
      <c r="O975">
        <v>548</v>
      </c>
      <c r="P975">
        <v>621</v>
      </c>
      <c r="Q975">
        <v>230</v>
      </c>
      <c r="R975" s="705">
        <v>3708</v>
      </c>
      <c r="S975" s="705">
        <v>3371</v>
      </c>
      <c r="T975">
        <v>0</v>
      </c>
      <c r="U975">
        <v>0</v>
      </c>
      <c r="V975" s="705">
        <v>20399</v>
      </c>
      <c r="W975" s="705">
        <f t="shared" si="46"/>
        <v>20400</v>
      </c>
      <c r="X975" s="705">
        <f t="shared" si="47"/>
        <v>24100</v>
      </c>
    </row>
    <row r="976" spans="2:24">
      <c r="B976" t="s">
        <v>694</v>
      </c>
      <c r="C976" t="s">
        <v>120</v>
      </c>
      <c r="D976" t="s">
        <v>584</v>
      </c>
      <c r="E976" t="s">
        <v>584</v>
      </c>
      <c r="F976" s="705">
        <v>8</v>
      </c>
      <c r="G976" s="705">
        <v>502</v>
      </c>
      <c r="H976" s="705">
        <v>2656</v>
      </c>
      <c r="I976" s="705">
        <v>77396</v>
      </c>
      <c r="J976" s="705">
        <v>70360</v>
      </c>
      <c r="K976" s="705">
        <v>71</v>
      </c>
      <c r="L976" s="705">
        <v>23706</v>
      </c>
      <c r="M976" s="705">
        <v>20541</v>
      </c>
      <c r="N976" s="705">
        <v>10928</v>
      </c>
      <c r="O976" s="705">
        <v>4047</v>
      </c>
      <c r="P976" s="705">
        <v>3780</v>
      </c>
      <c r="Q976" s="705">
        <v>1400</v>
      </c>
      <c r="R976" s="705">
        <v>37538</v>
      </c>
      <c r="S976" s="705">
        <v>34125</v>
      </c>
      <c r="T976" s="705">
        <v>14027</v>
      </c>
      <c r="U976" s="705">
        <v>5195</v>
      </c>
      <c r="V976" s="705">
        <v>135669</v>
      </c>
      <c r="W976" s="705">
        <f t="shared" si="46"/>
        <v>135668</v>
      </c>
      <c r="X976" s="705">
        <f t="shared" si="47"/>
        <v>167375</v>
      </c>
    </row>
    <row r="977" spans="2:24">
      <c r="B977" t="s">
        <v>694</v>
      </c>
      <c r="C977" t="s">
        <v>120</v>
      </c>
      <c r="D977" t="s">
        <v>669</v>
      </c>
      <c r="E977" t="s">
        <v>228</v>
      </c>
      <c r="F977">
        <v>1</v>
      </c>
      <c r="G977" s="705">
        <v>45</v>
      </c>
      <c r="H977" s="705">
        <v>362</v>
      </c>
      <c r="I977" s="705">
        <v>9883</v>
      </c>
      <c r="J977" s="705">
        <v>8236</v>
      </c>
      <c r="K977" s="705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705">
        <v>5067</v>
      </c>
      <c r="S977" s="705">
        <v>1877</v>
      </c>
      <c r="T977">
        <v>0</v>
      </c>
      <c r="U977">
        <v>0</v>
      </c>
      <c r="V977" s="705">
        <v>10590</v>
      </c>
      <c r="W977" s="705">
        <f t="shared" si="46"/>
        <v>10591</v>
      </c>
      <c r="X977" s="705">
        <f t="shared" si="47"/>
        <v>16238</v>
      </c>
    </row>
    <row r="978" spans="2:24">
      <c r="B978" t="s">
        <v>694</v>
      </c>
      <c r="C978" t="s">
        <v>122</v>
      </c>
      <c r="D978" t="s">
        <v>228</v>
      </c>
      <c r="E978" t="s">
        <v>228</v>
      </c>
      <c r="F978">
        <v>1</v>
      </c>
      <c r="G978" s="705">
        <v>43</v>
      </c>
      <c r="H978" s="705">
        <v>438</v>
      </c>
      <c r="I978" s="705">
        <v>8682</v>
      </c>
      <c r="J978" s="705">
        <v>3215</v>
      </c>
      <c r="K978" s="705">
        <v>100</v>
      </c>
      <c r="L978" s="705">
        <v>3215</v>
      </c>
      <c r="M978" s="705">
        <v>2680</v>
      </c>
      <c r="N978" s="705">
        <v>1058</v>
      </c>
      <c r="O978">
        <v>392</v>
      </c>
      <c r="P978">
        <v>0</v>
      </c>
      <c r="Q978">
        <v>0</v>
      </c>
      <c r="R978" s="705">
        <v>6081</v>
      </c>
      <c r="S978" s="705">
        <v>2252</v>
      </c>
      <c r="T978">
        <v>0</v>
      </c>
      <c r="U978">
        <v>0</v>
      </c>
      <c r="V978" s="705">
        <v>8539</v>
      </c>
      <c r="W978" s="705">
        <f t="shared" si="46"/>
        <v>8539</v>
      </c>
      <c r="X978" s="705">
        <f t="shared" si="47"/>
        <v>19036</v>
      </c>
    </row>
    <row r="979" spans="2:24">
      <c r="B979" t="s">
        <v>694</v>
      </c>
      <c r="C979" t="s">
        <v>122</v>
      </c>
      <c r="D979" t="s">
        <v>583</v>
      </c>
      <c r="E979" t="s">
        <v>583</v>
      </c>
      <c r="F979">
        <v>1</v>
      </c>
      <c r="G979">
        <v>91</v>
      </c>
      <c r="H979">
        <v>440</v>
      </c>
      <c r="I979" s="705">
        <v>31000</v>
      </c>
      <c r="J979" s="705">
        <v>28182</v>
      </c>
      <c r="K979" s="705">
        <v>79</v>
      </c>
      <c r="L979">
        <v>0</v>
      </c>
      <c r="M979">
        <v>0</v>
      </c>
      <c r="N979" s="705">
        <v>2225</v>
      </c>
      <c r="O979">
        <v>824</v>
      </c>
      <c r="P979">
        <v>621</v>
      </c>
      <c r="Q979">
        <v>230</v>
      </c>
      <c r="R979" s="705">
        <v>6330</v>
      </c>
      <c r="S979" s="705">
        <v>5755</v>
      </c>
      <c r="T979">
        <v>0</v>
      </c>
      <c r="U979">
        <v>0</v>
      </c>
      <c r="V979" s="705">
        <v>34991</v>
      </c>
      <c r="W979" s="705">
        <f t="shared" si="46"/>
        <v>34991</v>
      </c>
      <c r="X979" s="705">
        <f t="shared" si="47"/>
        <v>40176</v>
      </c>
    </row>
    <row r="980" spans="2:24">
      <c r="B980" t="s">
        <v>694</v>
      </c>
      <c r="C980" t="s">
        <v>122</v>
      </c>
      <c r="D980" t="s">
        <v>584</v>
      </c>
      <c r="E980" t="s">
        <v>584</v>
      </c>
      <c r="F980">
        <v>3</v>
      </c>
      <c r="G980">
        <v>245</v>
      </c>
      <c r="H980" s="705">
        <v>1189</v>
      </c>
      <c r="I980" s="705">
        <v>59767</v>
      </c>
      <c r="J980" s="705">
        <v>54334</v>
      </c>
      <c r="K980" s="705">
        <v>71</v>
      </c>
      <c r="L980" s="705">
        <v>13047</v>
      </c>
      <c r="M980" s="705">
        <v>11404</v>
      </c>
      <c r="N980" s="705">
        <v>5196</v>
      </c>
      <c r="O980" s="705">
        <v>1924</v>
      </c>
      <c r="P980" s="705">
        <v>1296</v>
      </c>
      <c r="Q980">
        <v>480</v>
      </c>
      <c r="R980" s="705">
        <v>16641</v>
      </c>
      <c r="S980" s="705">
        <v>15128</v>
      </c>
      <c r="T980" s="705">
        <v>1292</v>
      </c>
      <c r="U980">
        <v>479</v>
      </c>
      <c r="V980" s="705">
        <v>83749</v>
      </c>
      <c r="W980" s="705">
        <f t="shared" si="46"/>
        <v>83749</v>
      </c>
      <c r="X980" s="705">
        <f t="shared" si="47"/>
        <v>97239</v>
      </c>
    </row>
    <row r="981" spans="2:24">
      <c r="B981" t="s">
        <v>694</v>
      </c>
      <c r="C981" t="s">
        <v>122</v>
      </c>
      <c r="D981" t="s">
        <v>665</v>
      </c>
      <c r="E981" t="s">
        <v>665</v>
      </c>
      <c r="F981" s="705">
        <v>1</v>
      </c>
      <c r="G981" s="705">
        <v>59</v>
      </c>
      <c r="H981" s="705">
        <v>390</v>
      </c>
      <c r="I981" s="705">
        <v>10739</v>
      </c>
      <c r="J981" s="705">
        <v>9763</v>
      </c>
      <c r="K981" s="705">
        <v>55</v>
      </c>
      <c r="L981" s="705">
        <v>2558</v>
      </c>
      <c r="M981">
        <v>948</v>
      </c>
      <c r="N981" s="705">
        <v>1070</v>
      </c>
      <c r="O981">
        <v>396</v>
      </c>
      <c r="P981">
        <v>351</v>
      </c>
      <c r="Q981">
        <v>130</v>
      </c>
      <c r="R981" s="705">
        <v>5518</v>
      </c>
      <c r="S981" s="705">
        <v>5017</v>
      </c>
      <c r="T981" s="705">
        <v>2582</v>
      </c>
      <c r="U981">
        <v>956</v>
      </c>
      <c r="V981" s="705">
        <v>17210</v>
      </c>
      <c r="W981" s="705">
        <f t="shared" si="46"/>
        <v>17210</v>
      </c>
      <c r="X981" s="705">
        <f t="shared" si="47"/>
        <v>22818</v>
      </c>
    </row>
    <row r="982" spans="2:24">
      <c r="B982" t="s">
        <v>694</v>
      </c>
      <c r="C982" t="s">
        <v>124</v>
      </c>
      <c r="F982">
        <v>1</v>
      </c>
      <c r="G982" s="705">
        <v>39</v>
      </c>
      <c r="H982" s="705">
        <v>503</v>
      </c>
      <c r="J982" s="705">
        <v>0</v>
      </c>
      <c r="K982" s="705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705">
        <f t="shared" si="46"/>
        <v>320</v>
      </c>
      <c r="X982" s="705">
        <f t="shared" si="47"/>
        <v>864</v>
      </c>
    </row>
    <row r="983" spans="2:24">
      <c r="B983" t="s">
        <v>694</v>
      </c>
      <c r="C983" t="s">
        <v>124</v>
      </c>
      <c r="D983" t="s">
        <v>228</v>
      </c>
      <c r="E983" t="s">
        <v>228</v>
      </c>
      <c r="F983">
        <v>14</v>
      </c>
      <c r="G983" s="705">
        <v>602</v>
      </c>
      <c r="H983" s="705">
        <v>9595</v>
      </c>
      <c r="I983" s="705">
        <v>267174</v>
      </c>
      <c r="J983" s="705">
        <v>98953</v>
      </c>
      <c r="K983" s="705">
        <v>100</v>
      </c>
      <c r="L983" s="705">
        <v>45772</v>
      </c>
      <c r="M983" s="705">
        <v>24620</v>
      </c>
      <c r="N983" s="705">
        <v>10734</v>
      </c>
      <c r="O983" s="705">
        <v>3975</v>
      </c>
      <c r="P983">
        <v>351</v>
      </c>
      <c r="Q983">
        <v>130</v>
      </c>
      <c r="R983" s="705">
        <v>90108</v>
      </c>
      <c r="S983" s="705">
        <v>33373</v>
      </c>
      <c r="T983" s="705">
        <v>1484</v>
      </c>
      <c r="U983">
        <v>550</v>
      </c>
      <c r="V983" s="705">
        <v>161602</v>
      </c>
      <c r="W983" s="705">
        <f t="shared" si="46"/>
        <v>161601</v>
      </c>
      <c r="X983" s="705">
        <f t="shared" si="47"/>
        <v>415623</v>
      </c>
    </row>
    <row r="984" spans="2:24">
      <c r="B984" t="s">
        <v>694</v>
      </c>
      <c r="C984" t="s">
        <v>124</v>
      </c>
      <c r="D984" t="s">
        <v>583</v>
      </c>
      <c r="E984" t="s">
        <v>583</v>
      </c>
      <c r="F984">
        <v>1</v>
      </c>
      <c r="G984">
        <v>73</v>
      </c>
      <c r="H984" s="705">
        <v>455</v>
      </c>
      <c r="I984" s="705">
        <v>27053</v>
      </c>
      <c r="J984" s="705">
        <v>24594</v>
      </c>
      <c r="K984" s="705">
        <v>93</v>
      </c>
      <c r="L984">
        <v>0</v>
      </c>
      <c r="M984">
        <v>0</v>
      </c>
      <c r="N984" s="705">
        <v>1774</v>
      </c>
      <c r="O984">
        <v>657</v>
      </c>
      <c r="P984">
        <v>621</v>
      </c>
      <c r="Q984">
        <v>230</v>
      </c>
      <c r="R984" s="705">
        <v>3650</v>
      </c>
      <c r="S984" s="705">
        <v>3318</v>
      </c>
      <c r="T984">
        <v>0</v>
      </c>
      <c r="U984">
        <v>0</v>
      </c>
      <c r="V984" s="705">
        <v>28799</v>
      </c>
      <c r="W984" s="705">
        <f t="shared" si="46"/>
        <v>28799</v>
      </c>
      <c r="X984" s="705">
        <f t="shared" si="47"/>
        <v>33098</v>
      </c>
    </row>
    <row r="985" spans="2:24">
      <c r="B985" t="s">
        <v>694</v>
      </c>
      <c r="C985" t="s">
        <v>124</v>
      </c>
      <c r="D985" t="s">
        <v>584</v>
      </c>
      <c r="E985" t="s">
        <v>228</v>
      </c>
      <c r="F985">
        <v>1</v>
      </c>
      <c r="G985" s="705">
        <v>38</v>
      </c>
      <c r="H985">
        <v>637</v>
      </c>
      <c r="I985" s="705">
        <v>15220</v>
      </c>
      <c r="J985" s="705">
        <v>13837</v>
      </c>
      <c r="K985" s="705">
        <v>68</v>
      </c>
      <c r="L985" s="705">
        <v>3973</v>
      </c>
      <c r="M985" s="705">
        <v>3311</v>
      </c>
      <c r="N985">
        <v>924</v>
      </c>
      <c r="O985">
        <v>342</v>
      </c>
      <c r="P985">
        <v>473</v>
      </c>
      <c r="Q985">
        <v>175</v>
      </c>
      <c r="R985" s="705">
        <v>3584</v>
      </c>
      <c r="S985" s="705">
        <v>1327</v>
      </c>
      <c r="T985">
        <v>0</v>
      </c>
      <c r="U985">
        <v>0</v>
      </c>
      <c r="V985" s="705">
        <v>18992</v>
      </c>
      <c r="W985" s="705">
        <f t="shared" si="46"/>
        <v>18992</v>
      </c>
      <c r="X985" s="705">
        <f t="shared" si="47"/>
        <v>24174</v>
      </c>
    </row>
    <row r="986" spans="2:24">
      <c r="B986" t="s">
        <v>694</v>
      </c>
      <c r="C986" t="s">
        <v>124</v>
      </c>
      <c r="D986" t="s">
        <v>584</v>
      </c>
      <c r="E986" t="s">
        <v>584</v>
      </c>
      <c r="F986" s="705">
        <v>2</v>
      </c>
      <c r="G986" s="705">
        <v>109</v>
      </c>
      <c r="H986" s="705">
        <v>1217</v>
      </c>
      <c r="I986" s="705">
        <v>40046</v>
      </c>
      <c r="J986" s="705">
        <v>36405</v>
      </c>
      <c r="K986" s="705">
        <v>65</v>
      </c>
      <c r="L986" s="705">
        <v>11047</v>
      </c>
      <c r="M986" s="705">
        <v>10043</v>
      </c>
      <c r="N986" s="705">
        <v>2350</v>
      </c>
      <c r="O986">
        <v>870</v>
      </c>
      <c r="P986">
        <v>824</v>
      </c>
      <c r="Q986">
        <v>305</v>
      </c>
      <c r="R986" s="705">
        <v>8115</v>
      </c>
      <c r="S986" s="705">
        <v>7377</v>
      </c>
      <c r="T986" s="705">
        <v>3884</v>
      </c>
      <c r="U986" s="705">
        <v>1439</v>
      </c>
      <c r="V986" s="705">
        <v>56439</v>
      </c>
      <c r="W986" s="705">
        <f t="shared" si="46"/>
        <v>56439</v>
      </c>
      <c r="X986" s="705">
        <f t="shared" si="47"/>
        <v>66266</v>
      </c>
    </row>
    <row r="987" spans="2:24">
      <c r="B987" t="s">
        <v>695</v>
      </c>
      <c r="C987" t="s">
        <v>110</v>
      </c>
      <c r="D987" t="s">
        <v>584</v>
      </c>
      <c r="E987" t="s">
        <v>584</v>
      </c>
      <c r="F987">
        <v>18</v>
      </c>
      <c r="G987" s="705">
        <v>1365</v>
      </c>
      <c r="H987" s="705">
        <v>1642</v>
      </c>
      <c r="I987" s="705">
        <v>52192</v>
      </c>
      <c r="J987" s="705">
        <v>47447</v>
      </c>
      <c r="K987" s="705">
        <v>83</v>
      </c>
      <c r="L987">
        <v>0</v>
      </c>
      <c r="M987">
        <v>0</v>
      </c>
      <c r="N987" s="705">
        <v>20151</v>
      </c>
      <c r="O987" s="705">
        <v>7463</v>
      </c>
      <c r="P987" s="705">
        <v>8505</v>
      </c>
      <c r="Q987" s="705">
        <v>3150</v>
      </c>
      <c r="R987" s="705">
        <v>41310</v>
      </c>
      <c r="S987" s="705">
        <v>37555</v>
      </c>
      <c r="T987" s="705">
        <v>1631</v>
      </c>
      <c r="U987">
        <v>604</v>
      </c>
      <c r="V987" s="705">
        <v>96219</v>
      </c>
      <c r="W987" s="705">
        <f t="shared" si="46"/>
        <v>96219</v>
      </c>
      <c r="X987" s="705">
        <f t="shared" si="47"/>
        <v>123789</v>
      </c>
    </row>
    <row r="988" spans="2:24">
      <c r="B988" t="s">
        <v>695</v>
      </c>
      <c r="C988" t="s">
        <v>112</v>
      </c>
      <c r="D988" t="s">
        <v>228</v>
      </c>
      <c r="E988" t="s">
        <v>228</v>
      </c>
      <c r="F988">
        <v>1</v>
      </c>
      <c r="G988">
        <v>71</v>
      </c>
      <c r="H988" s="705">
        <v>123</v>
      </c>
      <c r="I988">
        <v>937</v>
      </c>
      <c r="J988">
        <v>347</v>
      </c>
      <c r="K988" s="705">
        <v>100</v>
      </c>
      <c r="L988">
        <v>234</v>
      </c>
      <c r="M988">
        <v>87</v>
      </c>
      <c r="N988" s="705">
        <v>1391</v>
      </c>
      <c r="O988">
        <v>515</v>
      </c>
      <c r="P988">
        <v>0</v>
      </c>
      <c r="Q988">
        <v>0</v>
      </c>
      <c r="R988" s="705">
        <v>6189</v>
      </c>
      <c r="S988" s="705">
        <v>2292</v>
      </c>
      <c r="T988">
        <v>0</v>
      </c>
      <c r="U988">
        <v>0</v>
      </c>
      <c r="V988" s="705">
        <v>3241</v>
      </c>
      <c r="W988" s="705">
        <f t="shared" si="46"/>
        <v>3241</v>
      </c>
      <c r="X988" s="705">
        <f t="shared" si="47"/>
        <v>8751</v>
      </c>
    </row>
    <row r="989" spans="2:24">
      <c r="B989" t="s">
        <v>695</v>
      </c>
      <c r="C989" t="s">
        <v>112</v>
      </c>
      <c r="D989" t="s">
        <v>584</v>
      </c>
      <c r="E989" t="s">
        <v>584</v>
      </c>
      <c r="F989">
        <v>127</v>
      </c>
      <c r="G989" s="705">
        <v>11302</v>
      </c>
      <c r="H989" s="705">
        <v>14503</v>
      </c>
      <c r="I989" s="705">
        <v>567895</v>
      </c>
      <c r="J989" s="705">
        <v>516268</v>
      </c>
      <c r="K989" s="705">
        <v>84</v>
      </c>
      <c r="L989" s="705">
        <v>1814</v>
      </c>
      <c r="M989" s="705">
        <v>1303</v>
      </c>
      <c r="N989" s="705">
        <v>253017</v>
      </c>
      <c r="O989" s="705">
        <v>93710</v>
      </c>
      <c r="P989" s="705">
        <v>60008</v>
      </c>
      <c r="Q989" s="705">
        <v>22225</v>
      </c>
      <c r="R989" s="705">
        <v>385668</v>
      </c>
      <c r="S989" s="705">
        <v>350607</v>
      </c>
      <c r="T989" s="705">
        <v>18288</v>
      </c>
      <c r="U989" s="705">
        <v>6773</v>
      </c>
      <c r="V989" s="705">
        <v>990887</v>
      </c>
      <c r="W989" s="705">
        <f t="shared" si="46"/>
        <v>990886</v>
      </c>
      <c r="X989" s="705">
        <f t="shared" si="47"/>
        <v>1286690</v>
      </c>
    </row>
    <row r="990" spans="2:24">
      <c r="B990" t="s">
        <v>695</v>
      </c>
      <c r="C990" t="s">
        <v>114</v>
      </c>
      <c r="F990">
        <v>2</v>
      </c>
      <c r="G990" s="705">
        <v>123</v>
      </c>
      <c r="H990" s="705">
        <v>285</v>
      </c>
      <c r="J990" s="705">
        <v>0</v>
      </c>
      <c r="K990" s="705"/>
      <c r="M990">
        <v>0</v>
      </c>
      <c r="N990" s="705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705">
        <v>1104</v>
      </c>
      <c r="W990" s="705">
        <f t="shared" si="46"/>
        <v>1104</v>
      </c>
      <c r="X990" s="705">
        <f t="shared" si="47"/>
        <v>2981</v>
      </c>
    </row>
    <row r="991" spans="2:24">
      <c r="B991" t="s">
        <v>695</v>
      </c>
      <c r="C991" t="s">
        <v>114</v>
      </c>
      <c r="D991" t="s">
        <v>228</v>
      </c>
      <c r="E991" t="s">
        <v>228</v>
      </c>
      <c r="F991">
        <v>27</v>
      </c>
      <c r="G991" s="705">
        <v>2080</v>
      </c>
      <c r="H991" s="705">
        <v>3835</v>
      </c>
      <c r="I991" s="705">
        <v>61352</v>
      </c>
      <c r="J991" s="705">
        <v>22723</v>
      </c>
      <c r="K991" s="705">
        <v>100</v>
      </c>
      <c r="L991" s="705">
        <v>14537</v>
      </c>
      <c r="M991" s="705">
        <v>5384</v>
      </c>
      <c r="N991" s="705">
        <v>43113</v>
      </c>
      <c r="O991" s="705">
        <v>15968</v>
      </c>
      <c r="P991">
        <v>0</v>
      </c>
      <c r="Q991">
        <v>0</v>
      </c>
      <c r="R991" s="705">
        <v>176159</v>
      </c>
      <c r="S991" s="705">
        <v>65244</v>
      </c>
      <c r="T991">
        <v>0</v>
      </c>
      <c r="U991">
        <v>0</v>
      </c>
      <c r="V991" s="705">
        <v>109319</v>
      </c>
      <c r="W991" s="705">
        <f t="shared" si="46"/>
        <v>109319</v>
      </c>
      <c r="X991" s="705">
        <f t="shared" si="47"/>
        <v>295161</v>
      </c>
    </row>
    <row r="992" spans="2:24">
      <c r="B992" t="s">
        <v>695</v>
      </c>
      <c r="C992" t="s">
        <v>114</v>
      </c>
      <c r="D992" t="s">
        <v>584</v>
      </c>
      <c r="E992" t="s">
        <v>584</v>
      </c>
      <c r="F992">
        <v>181</v>
      </c>
      <c r="G992" s="705">
        <v>15385</v>
      </c>
      <c r="H992" s="705">
        <v>24922</v>
      </c>
      <c r="I992" s="705">
        <v>1050839</v>
      </c>
      <c r="J992" s="705">
        <v>955308</v>
      </c>
      <c r="K992" s="705">
        <v>82</v>
      </c>
      <c r="L992" s="705">
        <v>25133</v>
      </c>
      <c r="M992" s="705">
        <v>12416</v>
      </c>
      <c r="N992" s="705">
        <v>318137</v>
      </c>
      <c r="O992" s="705">
        <v>117829</v>
      </c>
      <c r="P992" s="705">
        <v>85725</v>
      </c>
      <c r="Q992" s="705">
        <v>31750</v>
      </c>
      <c r="R992" s="705">
        <v>584945</v>
      </c>
      <c r="S992" s="705">
        <v>531769</v>
      </c>
      <c r="T992" s="705">
        <v>58296</v>
      </c>
      <c r="U992" s="705">
        <v>21591</v>
      </c>
      <c r="V992" s="705">
        <v>1670662</v>
      </c>
      <c r="W992" s="705">
        <f t="shared" si="46"/>
        <v>1670663</v>
      </c>
      <c r="X992" s="705">
        <f t="shared" si="47"/>
        <v>2123075</v>
      </c>
    </row>
    <row r="993" spans="2:24">
      <c r="B993" t="s">
        <v>695</v>
      </c>
      <c r="C993" t="s">
        <v>116</v>
      </c>
      <c r="F993">
        <v>6</v>
      </c>
      <c r="G993">
        <v>309</v>
      </c>
      <c r="H993" s="705">
        <v>1082</v>
      </c>
      <c r="J993">
        <v>0</v>
      </c>
      <c r="K993" s="705"/>
      <c r="M993">
        <v>0</v>
      </c>
      <c r="N993" s="705">
        <v>6689</v>
      </c>
      <c r="O993" s="705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705">
        <v>2477</v>
      </c>
      <c r="W993" s="705">
        <f t="shared" si="46"/>
        <v>2477</v>
      </c>
      <c r="X993" s="705">
        <f t="shared" si="47"/>
        <v>6689</v>
      </c>
    </row>
    <row r="994" spans="2:24">
      <c r="B994" t="s">
        <v>695</v>
      </c>
      <c r="C994" t="s">
        <v>116</v>
      </c>
      <c r="D994" t="s">
        <v>228</v>
      </c>
      <c r="E994" t="s">
        <v>228</v>
      </c>
      <c r="F994" s="705">
        <v>253</v>
      </c>
      <c r="G994" s="705">
        <v>18825</v>
      </c>
      <c r="H994" s="705">
        <v>48171</v>
      </c>
      <c r="I994" s="705">
        <v>1380061</v>
      </c>
      <c r="J994" s="705">
        <v>511134</v>
      </c>
      <c r="K994" s="705">
        <v>100</v>
      </c>
      <c r="L994" s="705">
        <v>218333</v>
      </c>
      <c r="M994" s="705">
        <v>80977</v>
      </c>
      <c r="N994" s="705">
        <v>403881</v>
      </c>
      <c r="O994" s="705">
        <v>149585</v>
      </c>
      <c r="P994">
        <v>899</v>
      </c>
      <c r="Q994">
        <v>333</v>
      </c>
      <c r="R994" s="705">
        <v>1567208</v>
      </c>
      <c r="S994" s="705">
        <v>580447</v>
      </c>
      <c r="T994" s="705">
        <v>2467</v>
      </c>
      <c r="U994">
        <v>914</v>
      </c>
      <c r="V994" s="705">
        <v>1323389</v>
      </c>
      <c r="W994" s="705">
        <f t="shared" si="46"/>
        <v>1323390</v>
      </c>
      <c r="X994" s="705">
        <f t="shared" si="47"/>
        <v>3572849</v>
      </c>
    </row>
    <row r="995" spans="2:24">
      <c r="B995" t="s">
        <v>695</v>
      </c>
      <c r="C995" t="s">
        <v>116</v>
      </c>
      <c r="D995" t="s">
        <v>583</v>
      </c>
      <c r="E995" t="s">
        <v>583</v>
      </c>
      <c r="F995">
        <v>1</v>
      </c>
      <c r="G995">
        <v>122</v>
      </c>
      <c r="H995" s="705">
        <v>196</v>
      </c>
      <c r="I995" s="705">
        <v>11234</v>
      </c>
      <c r="J995" s="705">
        <v>10213</v>
      </c>
      <c r="K995" s="705">
        <v>70</v>
      </c>
      <c r="L995" s="705">
        <v>2038</v>
      </c>
      <c r="M995">
        <v>755</v>
      </c>
      <c r="N995" s="705">
        <v>2970</v>
      </c>
      <c r="O995" s="705">
        <v>1100</v>
      </c>
      <c r="P995">
        <v>621</v>
      </c>
      <c r="Q995">
        <v>230</v>
      </c>
      <c r="R995" s="705">
        <v>7026</v>
      </c>
      <c r="S995" s="705">
        <v>6387</v>
      </c>
      <c r="T995">
        <v>0</v>
      </c>
      <c r="U995">
        <v>0</v>
      </c>
      <c r="V995" s="705">
        <v>18685</v>
      </c>
      <c r="W995" s="705">
        <f t="shared" si="46"/>
        <v>18685</v>
      </c>
      <c r="X995" s="705">
        <f t="shared" si="47"/>
        <v>23889</v>
      </c>
    </row>
    <row r="996" spans="2:24">
      <c r="B996" t="s">
        <v>695</v>
      </c>
      <c r="C996" t="s">
        <v>116</v>
      </c>
      <c r="D996" t="s">
        <v>584</v>
      </c>
      <c r="E996" t="s">
        <v>228</v>
      </c>
      <c r="F996">
        <v>1</v>
      </c>
      <c r="G996">
        <v>65</v>
      </c>
      <c r="H996" s="705">
        <v>185</v>
      </c>
      <c r="I996" s="705">
        <v>1157</v>
      </c>
      <c r="J996" s="705">
        <v>1051</v>
      </c>
      <c r="K996" s="705">
        <v>91</v>
      </c>
      <c r="L996">
        <v>645</v>
      </c>
      <c r="M996">
        <v>239</v>
      </c>
      <c r="N996" s="705">
        <v>1430</v>
      </c>
      <c r="O996">
        <v>530</v>
      </c>
      <c r="P996">
        <v>473</v>
      </c>
      <c r="Q996">
        <v>175</v>
      </c>
      <c r="R996" s="705">
        <v>8357</v>
      </c>
      <c r="S996" s="705">
        <v>3095</v>
      </c>
      <c r="T996">
        <v>0</v>
      </c>
      <c r="U996">
        <v>0</v>
      </c>
      <c r="V996" s="705">
        <v>5090</v>
      </c>
      <c r="W996" s="705">
        <f t="shared" si="46"/>
        <v>5090</v>
      </c>
      <c r="X996" s="705">
        <f t="shared" si="47"/>
        <v>12062</v>
      </c>
    </row>
    <row r="997" spans="2:24">
      <c r="B997" t="s">
        <v>695</v>
      </c>
      <c r="C997" t="s">
        <v>116</v>
      </c>
      <c r="D997" t="s">
        <v>584</v>
      </c>
      <c r="E997" t="s">
        <v>584</v>
      </c>
      <c r="F997">
        <v>214</v>
      </c>
      <c r="G997" s="705">
        <v>14692</v>
      </c>
      <c r="H997" s="705">
        <v>38151</v>
      </c>
      <c r="I997" s="705">
        <v>1322306</v>
      </c>
      <c r="J997" s="705">
        <v>1202096</v>
      </c>
      <c r="K997" s="705">
        <v>79</v>
      </c>
      <c r="L997" s="705">
        <v>44426</v>
      </c>
      <c r="M997" s="705">
        <v>37644</v>
      </c>
      <c r="N997" s="705">
        <v>292959</v>
      </c>
      <c r="O997" s="705">
        <v>108503</v>
      </c>
      <c r="P997" s="705">
        <v>100764</v>
      </c>
      <c r="Q997" s="705">
        <v>37320</v>
      </c>
      <c r="R997" s="705">
        <v>737799</v>
      </c>
      <c r="S997" s="705">
        <v>670726</v>
      </c>
      <c r="T997" s="705">
        <v>114182</v>
      </c>
      <c r="U997" s="705">
        <v>42290</v>
      </c>
      <c r="V997" s="705">
        <v>2098579</v>
      </c>
      <c r="W997" s="705">
        <f t="shared" si="46"/>
        <v>2098579</v>
      </c>
      <c r="X997" s="705">
        <f t="shared" si="47"/>
        <v>2612436</v>
      </c>
    </row>
    <row r="998" spans="2:24">
      <c r="B998" t="s">
        <v>695</v>
      </c>
      <c r="C998" t="s">
        <v>118</v>
      </c>
      <c r="F998" s="705">
        <v>4</v>
      </c>
      <c r="G998" s="705">
        <v>244</v>
      </c>
      <c r="H998" s="705">
        <v>1098</v>
      </c>
      <c r="J998" s="705">
        <v>0</v>
      </c>
      <c r="K998" s="705"/>
      <c r="M998">
        <v>0</v>
      </c>
      <c r="N998" s="705">
        <v>5129</v>
      </c>
      <c r="O998" s="705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705">
        <v>1900</v>
      </c>
      <c r="W998" s="705">
        <f t="shared" si="46"/>
        <v>1900</v>
      </c>
      <c r="X998" s="705">
        <f t="shared" si="47"/>
        <v>5129</v>
      </c>
    </row>
    <row r="999" spans="2:24">
      <c r="B999" t="s">
        <v>695</v>
      </c>
      <c r="C999" t="s">
        <v>118</v>
      </c>
      <c r="D999" t="s">
        <v>228</v>
      </c>
      <c r="E999" t="s">
        <v>228</v>
      </c>
      <c r="F999" s="705">
        <v>217</v>
      </c>
      <c r="G999" s="705">
        <v>14504</v>
      </c>
      <c r="H999" s="705">
        <v>56144</v>
      </c>
      <c r="I999" s="705">
        <v>1841041</v>
      </c>
      <c r="J999" s="705">
        <v>681867</v>
      </c>
      <c r="K999" s="705">
        <v>100</v>
      </c>
      <c r="L999" s="705">
        <v>318105</v>
      </c>
      <c r="M999" s="705">
        <v>117817</v>
      </c>
      <c r="N999" s="705">
        <v>313010</v>
      </c>
      <c r="O999" s="705">
        <v>115930</v>
      </c>
      <c r="P999">
        <v>624</v>
      </c>
      <c r="Q999">
        <v>231</v>
      </c>
      <c r="R999" s="705">
        <v>1270292</v>
      </c>
      <c r="S999" s="705">
        <v>470479</v>
      </c>
      <c r="T999">
        <v>0</v>
      </c>
      <c r="U999">
        <v>0</v>
      </c>
      <c r="V999" s="705">
        <v>1386323</v>
      </c>
      <c r="W999" s="705">
        <f t="shared" si="46"/>
        <v>1386324</v>
      </c>
      <c r="X999" s="705">
        <f t="shared" si="47"/>
        <v>3743072</v>
      </c>
    </row>
    <row r="1000" spans="2:24">
      <c r="B1000" t="s">
        <v>695</v>
      </c>
      <c r="C1000" t="s">
        <v>118</v>
      </c>
      <c r="D1000" t="s">
        <v>584</v>
      </c>
      <c r="E1000" t="s">
        <v>584</v>
      </c>
      <c r="F1000" s="705">
        <v>22</v>
      </c>
      <c r="G1000" s="705">
        <v>1304</v>
      </c>
      <c r="H1000" s="705">
        <v>5638</v>
      </c>
      <c r="I1000" s="705">
        <v>181344</v>
      </c>
      <c r="J1000" s="705">
        <v>164858</v>
      </c>
      <c r="K1000" s="705">
        <v>75</v>
      </c>
      <c r="L1000" s="705">
        <v>16791</v>
      </c>
      <c r="M1000" s="705">
        <v>13915</v>
      </c>
      <c r="N1000" s="705">
        <v>27115</v>
      </c>
      <c r="O1000" s="705">
        <v>10042</v>
      </c>
      <c r="P1000" s="705">
        <v>10044</v>
      </c>
      <c r="Q1000" s="705">
        <v>3720</v>
      </c>
      <c r="R1000" s="705">
        <v>77664</v>
      </c>
      <c r="S1000" s="705">
        <v>70603</v>
      </c>
      <c r="T1000" s="705">
        <v>27051</v>
      </c>
      <c r="U1000" s="705">
        <v>10019</v>
      </c>
      <c r="V1000" s="705">
        <v>273157</v>
      </c>
      <c r="W1000" s="705">
        <f t="shared" si="46"/>
        <v>273157</v>
      </c>
      <c r="X1000" s="705">
        <f t="shared" si="47"/>
        <v>340009</v>
      </c>
    </row>
    <row r="1001" spans="2:24">
      <c r="B1001" t="s">
        <v>695</v>
      </c>
      <c r="C1001" t="s">
        <v>120</v>
      </c>
      <c r="D1001" t="s">
        <v>228</v>
      </c>
      <c r="E1001" t="s">
        <v>228</v>
      </c>
      <c r="F1001">
        <v>68</v>
      </c>
      <c r="G1001" s="705">
        <v>4372</v>
      </c>
      <c r="H1001" s="705">
        <v>22263</v>
      </c>
      <c r="I1001" s="705">
        <v>801443</v>
      </c>
      <c r="J1001" s="705">
        <v>296831</v>
      </c>
      <c r="K1001" s="705">
        <v>100</v>
      </c>
      <c r="L1001" s="705">
        <v>134574</v>
      </c>
      <c r="M1001" s="705">
        <v>49842</v>
      </c>
      <c r="N1001" s="705">
        <v>85238</v>
      </c>
      <c r="O1001" s="705">
        <v>31570</v>
      </c>
      <c r="P1001">
        <v>614</v>
      </c>
      <c r="Q1001">
        <v>228</v>
      </c>
      <c r="R1001" s="705">
        <v>406115</v>
      </c>
      <c r="S1001" s="705">
        <v>150413</v>
      </c>
      <c r="T1001" s="705">
        <v>1986</v>
      </c>
      <c r="U1001">
        <v>736</v>
      </c>
      <c r="V1001" s="705">
        <v>529619</v>
      </c>
      <c r="W1001" s="705">
        <f t="shared" si="46"/>
        <v>529620</v>
      </c>
      <c r="X1001" s="705">
        <f t="shared" si="47"/>
        <v>1429970</v>
      </c>
    </row>
    <row r="1002" spans="2:24">
      <c r="B1002" t="s">
        <v>695</v>
      </c>
      <c r="C1002" t="s">
        <v>120</v>
      </c>
      <c r="D1002" t="s">
        <v>583</v>
      </c>
      <c r="E1002" t="s">
        <v>583</v>
      </c>
      <c r="F1002" s="705">
        <v>1</v>
      </c>
      <c r="G1002" s="705">
        <v>89</v>
      </c>
      <c r="H1002" s="705">
        <v>324</v>
      </c>
      <c r="I1002" s="705">
        <v>16493</v>
      </c>
      <c r="J1002" s="705">
        <v>14994</v>
      </c>
      <c r="K1002" s="705">
        <v>84</v>
      </c>
      <c r="L1002" s="705">
        <v>5291</v>
      </c>
      <c r="M1002" s="705">
        <v>4409</v>
      </c>
      <c r="N1002" s="705">
        <v>1923</v>
      </c>
      <c r="O1002">
        <v>712</v>
      </c>
      <c r="P1002">
        <v>473</v>
      </c>
      <c r="Q1002">
        <v>175</v>
      </c>
      <c r="R1002" s="705">
        <v>4543</v>
      </c>
      <c r="S1002" s="705">
        <v>4130</v>
      </c>
      <c r="T1002">
        <v>0</v>
      </c>
      <c r="U1002">
        <v>0</v>
      </c>
      <c r="V1002" s="705">
        <v>24421</v>
      </c>
      <c r="W1002" s="705">
        <f t="shared" si="46"/>
        <v>24420</v>
      </c>
      <c r="X1002" s="705">
        <f t="shared" si="47"/>
        <v>28723</v>
      </c>
    </row>
    <row r="1003" spans="2:24">
      <c r="B1003" t="s">
        <v>695</v>
      </c>
      <c r="C1003" t="s">
        <v>120</v>
      </c>
      <c r="D1003" t="s">
        <v>584</v>
      </c>
      <c r="E1003" t="s">
        <v>584</v>
      </c>
      <c r="F1003">
        <v>6</v>
      </c>
      <c r="G1003">
        <v>435</v>
      </c>
      <c r="H1003" s="705">
        <v>1953</v>
      </c>
      <c r="I1003" s="705">
        <v>77174</v>
      </c>
      <c r="J1003" s="705">
        <v>70158</v>
      </c>
      <c r="K1003" s="705">
        <v>76</v>
      </c>
      <c r="L1003" s="705">
        <v>24349</v>
      </c>
      <c r="M1003" s="705">
        <v>16905</v>
      </c>
      <c r="N1003" s="705">
        <v>8439</v>
      </c>
      <c r="O1003" s="705">
        <v>3126</v>
      </c>
      <c r="P1003" s="705">
        <v>2835</v>
      </c>
      <c r="Q1003" s="705">
        <v>1050</v>
      </c>
      <c r="R1003" s="705">
        <v>22313</v>
      </c>
      <c r="S1003" s="705">
        <v>20285</v>
      </c>
      <c r="T1003" s="705">
        <v>8184</v>
      </c>
      <c r="U1003" s="705">
        <v>3031</v>
      </c>
      <c r="V1003" s="705">
        <v>114554</v>
      </c>
      <c r="W1003" s="705">
        <f t="shared" ref="W1003:W1066" si="48">SUM(ABS(J1003),ABS(M1003),ABS(O1003),ABS(Q1003),ABS(S1003),ABS(U1003))</f>
        <v>114555</v>
      </c>
      <c r="X1003" s="705">
        <f t="shared" ref="X1003:X1066" si="49">SUM(ABS(I1003),ABS(N1003),ABS(P1003),ABS(R1003),ABS(T1003),ABS(L1003))</f>
        <v>143294</v>
      </c>
    </row>
    <row r="1004" spans="2:24">
      <c r="B1004" t="s">
        <v>695</v>
      </c>
      <c r="C1004" t="s">
        <v>122</v>
      </c>
      <c r="D1004" t="s">
        <v>228</v>
      </c>
      <c r="E1004" t="s">
        <v>228</v>
      </c>
      <c r="F1004">
        <v>5</v>
      </c>
      <c r="G1004">
        <v>266</v>
      </c>
      <c r="H1004" s="705">
        <v>2001</v>
      </c>
      <c r="I1004" s="705">
        <v>67679</v>
      </c>
      <c r="J1004" s="705">
        <v>25066</v>
      </c>
      <c r="K1004" s="705">
        <v>100</v>
      </c>
      <c r="L1004" s="705">
        <v>2415</v>
      </c>
      <c r="M1004" s="705">
        <v>2454</v>
      </c>
      <c r="N1004" s="705">
        <v>6033</v>
      </c>
      <c r="O1004" s="705">
        <v>2235</v>
      </c>
      <c r="P1004">
        <v>0</v>
      </c>
      <c r="Q1004">
        <v>0</v>
      </c>
      <c r="R1004" s="705">
        <v>29957</v>
      </c>
      <c r="S1004" s="705">
        <v>11095</v>
      </c>
      <c r="T1004">
        <v>0</v>
      </c>
      <c r="U1004">
        <v>0</v>
      </c>
      <c r="V1004" s="705">
        <v>40850</v>
      </c>
      <c r="W1004" s="705">
        <f t="shared" si="48"/>
        <v>40850</v>
      </c>
      <c r="X1004" s="705">
        <f t="shared" si="49"/>
        <v>106084</v>
      </c>
    </row>
    <row r="1005" spans="2:24">
      <c r="B1005" t="s">
        <v>696</v>
      </c>
      <c r="C1005" t="s">
        <v>108</v>
      </c>
      <c r="D1005" t="s">
        <v>228</v>
      </c>
      <c r="E1005" t="s">
        <v>228</v>
      </c>
      <c r="F1005" s="705">
        <v>37</v>
      </c>
      <c r="G1005" s="705">
        <v>3472</v>
      </c>
      <c r="H1005" s="705">
        <v>1993</v>
      </c>
      <c r="I1005" s="705">
        <v>-17918</v>
      </c>
      <c r="J1005" s="705">
        <v>-6636</v>
      </c>
      <c r="K1005" s="705">
        <v>465</v>
      </c>
      <c r="L1005">
        <v>0</v>
      </c>
      <c r="M1005">
        <v>0</v>
      </c>
      <c r="N1005" s="705">
        <v>42303</v>
      </c>
      <c r="O1005" s="705">
        <v>15668</v>
      </c>
      <c r="P1005" s="705">
        <v>42281</v>
      </c>
      <c r="Q1005" s="705">
        <v>15660</v>
      </c>
      <c r="R1005" s="705">
        <v>116381</v>
      </c>
      <c r="S1005" s="705">
        <v>43104</v>
      </c>
      <c r="T1005">
        <v>0</v>
      </c>
      <c r="U1005">
        <v>0</v>
      </c>
      <c r="V1005" s="705">
        <v>67795</v>
      </c>
      <c r="W1005" s="705">
        <f t="shared" si="48"/>
        <v>81068</v>
      </c>
      <c r="X1005" s="705">
        <f t="shared" si="49"/>
        <v>218883</v>
      </c>
    </row>
    <row r="1006" spans="2:24">
      <c r="B1006" t="s">
        <v>696</v>
      </c>
      <c r="C1006" t="s">
        <v>108</v>
      </c>
      <c r="D1006" t="s">
        <v>584</v>
      </c>
      <c r="E1006" t="s">
        <v>584</v>
      </c>
      <c r="F1006" s="705">
        <v>172</v>
      </c>
      <c r="G1006" s="705">
        <v>14690</v>
      </c>
      <c r="H1006" s="705">
        <v>8594</v>
      </c>
      <c r="I1006" s="705">
        <v>-187590</v>
      </c>
      <c r="J1006" s="705">
        <v>-170536</v>
      </c>
      <c r="K1006" s="705">
        <v>91</v>
      </c>
      <c r="L1006">
        <v>0</v>
      </c>
      <c r="M1006">
        <v>0</v>
      </c>
      <c r="N1006" s="705">
        <v>185479</v>
      </c>
      <c r="O1006" s="705">
        <v>68696</v>
      </c>
      <c r="P1006" s="705">
        <v>195659</v>
      </c>
      <c r="Q1006" s="705">
        <v>72466</v>
      </c>
      <c r="R1006" s="705">
        <v>534274</v>
      </c>
      <c r="S1006" s="705">
        <v>485704</v>
      </c>
      <c r="T1006">
        <v>0</v>
      </c>
      <c r="U1006">
        <v>0</v>
      </c>
      <c r="V1006" s="705">
        <v>456330</v>
      </c>
      <c r="W1006" s="705">
        <f t="shared" si="48"/>
        <v>797402</v>
      </c>
      <c r="X1006" s="705">
        <f t="shared" si="49"/>
        <v>1103002</v>
      </c>
    </row>
    <row r="1007" spans="2:24">
      <c r="B1007" t="s">
        <v>696</v>
      </c>
      <c r="C1007" t="s">
        <v>110</v>
      </c>
      <c r="F1007" s="705">
        <v>14</v>
      </c>
      <c r="G1007" s="705">
        <v>1140</v>
      </c>
      <c r="H1007" s="705">
        <v>1289</v>
      </c>
      <c r="J1007" s="705">
        <v>0</v>
      </c>
      <c r="K1007" s="705"/>
      <c r="M1007">
        <v>0</v>
      </c>
      <c r="N1007" s="705">
        <v>17421</v>
      </c>
      <c r="O1007" s="705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705">
        <v>6582</v>
      </c>
      <c r="W1007" s="705">
        <f t="shared" si="48"/>
        <v>6582</v>
      </c>
      <c r="X1007" s="705">
        <f t="shared" si="49"/>
        <v>17772</v>
      </c>
    </row>
    <row r="1008" spans="2:24">
      <c r="B1008" t="s">
        <v>696</v>
      </c>
      <c r="C1008" t="s">
        <v>110</v>
      </c>
      <c r="D1008" t="s">
        <v>584</v>
      </c>
      <c r="E1008" t="s">
        <v>584</v>
      </c>
      <c r="F1008" s="705">
        <v>451</v>
      </c>
      <c r="G1008" s="705">
        <v>37103</v>
      </c>
      <c r="H1008" s="705">
        <v>41764</v>
      </c>
      <c r="I1008" s="705">
        <v>1046974</v>
      </c>
      <c r="J1008" s="705">
        <v>951794</v>
      </c>
      <c r="K1008" s="705">
        <v>89</v>
      </c>
      <c r="L1008" s="705">
        <v>11127</v>
      </c>
      <c r="M1008" s="705">
        <v>10010</v>
      </c>
      <c r="N1008" s="705">
        <v>721623</v>
      </c>
      <c r="O1008" s="705">
        <v>267268</v>
      </c>
      <c r="P1008" s="705">
        <v>305696</v>
      </c>
      <c r="Q1008" s="705">
        <v>113221</v>
      </c>
      <c r="R1008" s="705">
        <v>1342529</v>
      </c>
      <c r="S1008" s="705">
        <v>1220481</v>
      </c>
      <c r="T1008">
        <v>0</v>
      </c>
      <c r="U1008">
        <v>0</v>
      </c>
      <c r="V1008" s="705">
        <v>2562774</v>
      </c>
      <c r="W1008" s="705">
        <f t="shared" si="48"/>
        <v>2562774</v>
      </c>
      <c r="X1008" s="705">
        <f t="shared" si="49"/>
        <v>3427949</v>
      </c>
    </row>
    <row r="1009" spans="2:24">
      <c r="B1009" t="s">
        <v>696</v>
      </c>
      <c r="C1009" t="s">
        <v>112</v>
      </c>
      <c r="F1009">
        <v>35</v>
      </c>
      <c r="G1009" s="705">
        <v>2478</v>
      </c>
      <c r="H1009" s="705">
        <v>3931</v>
      </c>
      <c r="J1009">
        <v>0</v>
      </c>
      <c r="K1009" s="705"/>
      <c r="M1009">
        <v>0</v>
      </c>
      <c r="N1009" s="705">
        <v>37907</v>
      </c>
      <c r="O1009" s="705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705">
        <v>14040</v>
      </c>
      <c r="W1009" s="705">
        <f t="shared" si="48"/>
        <v>14040</v>
      </c>
      <c r="X1009" s="705">
        <f t="shared" si="49"/>
        <v>37907</v>
      </c>
    </row>
    <row r="1010" spans="2:24">
      <c r="B1010" t="s">
        <v>696</v>
      </c>
      <c r="C1010" t="s">
        <v>112</v>
      </c>
      <c r="D1010" t="s">
        <v>228</v>
      </c>
      <c r="E1010" t="s">
        <v>228</v>
      </c>
      <c r="F1010">
        <v>1</v>
      </c>
      <c r="G1010">
        <v>81</v>
      </c>
      <c r="H1010" s="705">
        <v>125</v>
      </c>
      <c r="I1010" s="705">
        <v>1987</v>
      </c>
      <c r="J1010" s="705">
        <v>736</v>
      </c>
      <c r="K1010" s="705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705">
        <v>6595</v>
      </c>
      <c r="S1010" s="705">
        <v>2443</v>
      </c>
      <c r="T1010">
        <v>0</v>
      </c>
      <c r="U1010">
        <v>0</v>
      </c>
      <c r="V1010" s="705">
        <v>3727</v>
      </c>
      <c r="W1010" s="705">
        <f t="shared" si="48"/>
        <v>3728</v>
      </c>
      <c r="X1010" s="705">
        <f t="shared" si="49"/>
        <v>10063</v>
      </c>
    </row>
    <row r="1011" spans="2:24">
      <c r="B1011" t="s">
        <v>696</v>
      </c>
      <c r="C1011" t="s">
        <v>112</v>
      </c>
      <c r="D1011" t="s">
        <v>584</v>
      </c>
      <c r="E1011" t="s">
        <v>584</v>
      </c>
      <c r="F1011">
        <v>900</v>
      </c>
      <c r="G1011" s="705">
        <v>70768</v>
      </c>
      <c r="H1011" s="705">
        <v>101832</v>
      </c>
      <c r="I1011" s="705">
        <v>2975576</v>
      </c>
      <c r="J1011" s="705">
        <v>2705069</v>
      </c>
      <c r="K1011" s="705">
        <v>86</v>
      </c>
      <c r="L1011" s="705">
        <v>61499</v>
      </c>
      <c r="M1011" s="705">
        <v>44587</v>
      </c>
      <c r="N1011" s="705">
        <v>1461377</v>
      </c>
      <c r="O1011" s="705">
        <v>541251</v>
      </c>
      <c r="P1011" s="705">
        <v>533081</v>
      </c>
      <c r="Q1011" s="705">
        <v>197437</v>
      </c>
      <c r="R1011" s="705">
        <v>2925279</v>
      </c>
      <c r="S1011" s="705">
        <v>2659345</v>
      </c>
      <c r="T1011" s="705">
        <v>54220</v>
      </c>
      <c r="U1011" s="705">
        <v>20082</v>
      </c>
      <c r="V1011" s="705">
        <v>6167771</v>
      </c>
      <c r="W1011" s="705">
        <f t="shared" si="48"/>
        <v>6167771</v>
      </c>
      <c r="X1011" s="705">
        <f t="shared" si="49"/>
        <v>8011032</v>
      </c>
    </row>
    <row r="1012" spans="2:24">
      <c r="B1012" t="s">
        <v>696</v>
      </c>
      <c r="C1012" t="s">
        <v>114</v>
      </c>
      <c r="F1012" s="705">
        <v>6</v>
      </c>
      <c r="G1012" s="705">
        <v>533</v>
      </c>
      <c r="H1012" s="705">
        <v>820</v>
      </c>
      <c r="J1012" s="705">
        <v>0</v>
      </c>
      <c r="K1012" s="705"/>
      <c r="M1012">
        <v>0</v>
      </c>
      <c r="N1012" s="705">
        <v>7629</v>
      </c>
      <c r="O1012" s="705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705">
        <v>3000</v>
      </c>
      <c r="W1012" s="705">
        <f t="shared" si="48"/>
        <v>3000</v>
      </c>
      <c r="X1012" s="705">
        <f t="shared" si="49"/>
        <v>8102</v>
      </c>
    </row>
    <row r="1013" spans="2:24">
      <c r="B1013" t="s">
        <v>696</v>
      </c>
      <c r="C1013" t="s">
        <v>114</v>
      </c>
      <c r="D1013" t="s">
        <v>228</v>
      </c>
      <c r="E1013" t="s">
        <v>228</v>
      </c>
      <c r="F1013" s="705">
        <v>5</v>
      </c>
      <c r="G1013" s="705">
        <v>369</v>
      </c>
      <c r="H1013" s="705">
        <v>715</v>
      </c>
      <c r="I1013" s="705">
        <v>12554</v>
      </c>
      <c r="J1013" s="705">
        <v>4650</v>
      </c>
      <c r="K1013" s="705">
        <v>100</v>
      </c>
      <c r="L1013" s="705">
        <v>1768</v>
      </c>
      <c r="M1013">
        <v>949</v>
      </c>
      <c r="N1013" s="705">
        <v>7088</v>
      </c>
      <c r="O1013" s="705">
        <v>2625</v>
      </c>
      <c r="P1013">
        <v>0</v>
      </c>
      <c r="Q1013">
        <v>0</v>
      </c>
      <c r="R1013" s="705">
        <v>31400</v>
      </c>
      <c r="S1013" s="705">
        <v>11630</v>
      </c>
      <c r="T1013">
        <v>0</v>
      </c>
      <c r="U1013">
        <v>0</v>
      </c>
      <c r="V1013" s="705">
        <v>19854</v>
      </c>
      <c r="W1013" s="705">
        <f t="shared" si="48"/>
        <v>19854</v>
      </c>
      <c r="X1013" s="705">
        <f t="shared" si="49"/>
        <v>52810</v>
      </c>
    </row>
    <row r="1014" spans="2:24">
      <c r="B1014" t="s">
        <v>696</v>
      </c>
      <c r="C1014" t="s">
        <v>114</v>
      </c>
      <c r="D1014" t="s">
        <v>584</v>
      </c>
      <c r="E1014" t="s">
        <v>584</v>
      </c>
      <c r="F1014">
        <v>945</v>
      </c>
      <c r="G1014" s="705">
        <v>75665</v>
      </c>
      <c r="H1014" s="705">
        <v>130138</v>
      </c>
      <c r="I1014" s="705">
        <v>4350780</v>
      </c>
      <c r="J1014" s="705">
        <v>3955254</v>
      </c>
      <c r="K1014" s="705">
        <v>82</v>
      </c>
      <c r="L1014" s="705">
        <v>201599</v>
      </c>
      <c r="M1014" s="705">
        <v>152021</v>
      </c>
      <c r="N1014" s="705">
        <v>1563879</v>
      </c>
      <c r="O1014" s="705">
        <v>579214</v>
      </c>
      <c r="P1014" s="705">
        <v>515634</v>
      </c>
      <c r="Q1014" s="705">
        <v>190976</v>
      </c>
      <c r="R1014" s="705">
        <v>3606944</v>
      </c>
      <c r="S1014" s="705">
        <v>3279040</v>
      </c>
      <c r="T1014" s="705">
        <v>175820</v>
      </c>
      <c r="U1014" s="705">
        <v>65118</v>
      </c>
      <c r="V1014" s="705">
        <v>8221624</v>
      </c>
      <c r="W1014" s="705">
        <f t="shared" si="48"/>
        <v>8221623</v>
      </c>
      <c r="X1014" s="705">
        <f t="shared" si="49"/>
        <v>10414656</v>
      </c>
    </row>
    <row r="1015" spans="2:24">
      <c r="B1015" t="s">
        <v>696</v>
      </c>
      <c r="C1015" t="s">
        <v>116</v>
      </c>
      <c r="F1015" s="705">
        <v>15</v>
      </c>
      <c r="G1015" s="705">
        <v>955</v>
      </c>
      <c r="H1015" s="705">
        <v>3041</v>
      </c>
      <c r="J1015" s="705">
        <v>0</v>
      </c>
      <c r="K1015" s="705"/>
      <c r="M1015">
        <v>0</v>
      </c>
      <c r="N1015" s="705">
        <v>16134</v>
      </c>
      <c r="O1015" s="705">
        <v>5975</v>
      </c>
      <c r="P1015" s="705">
        <v>2835</v>
      </c>
      <c r="Q1015" s="705">
        <v>1050</v>
      </c>
      <c r="S1015">
        <v>0</v>
      </c>
      <c r="T1015" s="705">
        <v>4529</v>
      </c>
      <c r="U1015" s="705">
        <v>1678</v>
      </c>
      <c r="V1015" s="705">
        <v>8703</v>
      </c>
      <c r="W1015" s="705">
        <f t="shared" si="48"/>
        <v>8703</v>
      </c>
      <c r="X1015" s="705">
        <f t="shared" si="49"/>
        <v>23498</v>
      </c>
    </row>
    <row r="1016" spans="2:24">
      <c r="B1016" t="s">
        <v>696</v>
      </c>
      <c r="C1016" t="s">
        <v>116</v>
      </c>
      <c r="D1016" t="s">
        <v>228</v>
      </c>
      <c r="E1016" t="s">
        <v>228</v>
      </c>
      <c r="F1016">
        <v>80</v>
      </c>
      <c r="G1016" s="705">
        <v>6105</v>
      </c>
      <c r="H1016" s="705">
        <v>15396</v>
      </c>
      <c r="I1016" s="705">
        <v>460804</v>
      </c>
      <c r="J1016" s="705">
        <v>170668</v>
      </c>
      <c r="K1016" s="705">
        <v>100</v>
      </c>
      <c r="L1016" s="705">
        <v>59318</v>
      </c>
      <c r="M1016" s="705">
        <v>21970</v>
      </c>
      <c r="N1016" s="705">
        <v>129995</v>
      </c>
      <c r="O1016" s="705">
        <v>48146</v>
      </c>
      <c r="P1016">
        <v>351</v>
      </c>
      <c r="Q1016">
        <v>130</v>
      </c>
      <c r="R1016" s="705">
        <v>526725</v>
      </c>
      <c r="S1016" s="705">
        <v>195083</v>
      </c>
      <c r="T1016">
        <v>0</v>
      </c>
      <c r="U1016">
        <v>0</v>
      </c>
      <c r="V1016" s="705">
        <v>435997</v>
      </c>
      <c r="W1016" s="705">
        <f t="shared" si="48"/>
        <v>435997</v>
      </c>
      <c r="X1016" s="705">
        <f t="shared" si="49"/>
        <v>1177193</v>
      </c>
    </row>
    <row r="1017" spans="2:24">
      <c r="B1017" t="s">
        <v>696</v>
      </c>
      <c r="C1017" t="s">
        <v>116</v>
      </c>
      <c r="D1017" t="s">
        <v>583</v>
      </c>
      <c r="E1017" t="s">
        <v>583</v>
      </c>
      <c r="F1017">
        <v>1</v>
      </c>
      <c r="G1017" s="705">
        <v>150</v>
      </c>
      <c r="H1017">
        <v>185</v>
      </c>
      <c r="I1017" s="705">
        <v>14670</v>
      </c>
      <c r="J1017" s="705">
        <v>13336</v>
      </c>
      <c r="K1017" s="705">
        <v>86</v>
      </c>
      <c r="L1017" s="705">
        <v>2406</v>
      </c>
      <c r="M1017" s="705">
        <v>2005</v>
      </c>
      <c r="N1017" s="705">
        <v>3655</v>
      </c>
      <c r="O1017" s="705">
        <v>1354</v>
      </c>
      <c r="P1017">
        <v>621</v>
      </c>
      <c r="Q1017">
        <v>230</v>
      </c>
      <c r="R1017" s="705">
        <v>6445</v>
      </c>
      <c r="S1017" s="705">
        <v>5859</v>
      </c>
      <c r="T1017">
        <v>0</v>
      </c>
      <c r="U1017">
        <v>0</v>
      </c>
      <c r="V1017" s="705">
        <v>22785</v>
      </c>
      <c r="W1017" s="705">
        <f t="shared" si="48"/>
        <v>22784</v>
      </c>
      <c r="X1017" s="705">
        <f t="shared" si="49"/>
        <v>27797</v>
      </c>
    </row>
    <row r="1018" spans="2:24">
      <c r="B1018" t="s">
        <v>696</v>
      </c>
      <c r="C1018" t="s">
        <v>116</v>
      </c>
      <c r="D1018" t="s">
        <v>583</v>
      </c>
      <c r="E1018" t="s">
        <v>665</v>
      </c>
      <c r="F1018">
        <v>1</v>
      </c>
      <c r="G1018">
        <v>259</v>
      </c>
      <c r="H1018" s="705">
        <v>215</v>
      </c>
      <c r="I1018" s="705">
        <v>30710</v>
      </c>
      <c r="J1018" s="705">
        <v>27918</v>
      </c>
      <c r="K1018" s="705">
        <v>86</v>
      </c>
      <c r="L1018" s="705">
        <v>5555</v>
      </c>
      <c r="M1018" s="705">
        <v>5050</v>
      </c>
      <c r="N1018" s="705">
        <v>6323</v>
      </c>
      <c r="O1018" s="705">
        <v>2342</v>
      </c>
      <c r="P1018">
        <v>621</v>
      </c>
      <c r="Q1018">
        <v>230</v>
      </c>
      <c r="R1018" s="705">
        <v>8388</v>
      </c>
      <c r="S1018" s="705">
        <v>7626</v>
      </c>
      <c r="T1018" s="705">
        <v>4273</v>
      </c>
      <c r="U1018" s="705">
        <v>1583</v>
      </c>
      <c r="V1018" s="705">
        <v>44749</v>
      </c>
      <c r="W1018" s="705">
        <f t="shared" si="48"/>
        <v>44749</v>
      </c>
      <c r="X1018" s="705">
        <f t="shared" si="49"/>
        <v>55870</v>
      </c>
    </row>
    <row r="1019" spans="2:24">
      <c r="B1019" t="s">
        <v>696</v>
      </c>
      <c r="C1019" t="s">
        <v>116</v>
      </c>
      <c r="D1019" t="s">
        <v>584</v>
      </c>
      <c r="E1019" t="s">
        <v>582</v>
      </c>
      <c r="F1019" s="705">
        <v>3</v>
      </c>
      <c r="G1019" s="705">
        <v>251</v>
      </c>
      <c r="H1019" s="705">
        <v>522</v>
      </c>
      <c r="I1019" s="705">
        <v>22129</v>
      </c>
      <c r="J1019" s="705">
        <v>20117</v>
      </c>
      <c r="K1019" s="705">
        <v>86</v>
      </c>
      <c r="L1019" s="705">
        <v>2468</v>
      </c>
      <c r="M1019" s="705">
        <v>2244</v>
      </c>
      <c r="N1019" s="705">
        <v>5758</v>
      </c>
      <c r="O1019" s="705">
        <v>2133</v>
      </c>
      <c r="P1019" s="705">
        <v>1418</v>
      </c>
      <c r="Q1019">
        <v>525</v>
      </c>
      <c r="R1019" s="705">
        <v>7859</v>
      </c>
      <c r="S1019" s="705">
        <v>7144</v>
      </c>
      <c r="T1019" s="705">
        <v>4564</v>
      </c>
      <c r="U1019" s="705">
        <v>1691</v>
      </c>
      <c r="V1019" s="705">
        <v>33854</v>
      </c>
      <c r="W1019" s="705">
        <f t="shared" si="48"/>
        <v>33854</v>
      </c>
      <c r="X1019" s="705">
        <f t="shared" si="49"/>
        <v>44196</v>
      </c>
    </row>
    <row r="1020" spans="2:24">
      <c r="B1020" t="s">
        <v>696</v>
      </c>
      <c r="C1020" t="s">
        <v>116</v>
      </c>
      <c r="D1020" t="s">
        <v>584</v>
      </c>
      <c r="E1020" t="s">
        <v>228</v>
      </c>
      <c r="F1020" s="705">
        <v>3</v>
      </c>
      <c r="G1020" s="705">
        <v>204</v>
      </c>
      <c r="H1020" s="705">
        <v>537</v>
      </c>
      <c r="I1020" s="705">
        <v>13695</v>
      </c>
      <c r="J1020" s="705">
        <v>12450</v>
      </c>
      <c r="K1020" s="705">
        <v>75</v>
      </c>
      <c r="L1020">
        <v>745</v>
      </c>
      <c r="M1020">
        <v>276</v>
      </c>
      <c r="N1020" s="705">
        <v>3116</v>
      </c>
      <c r="O1020" s="705">
        <v>1154</v>
      </c>
      <c r="P1020" s="705">
        <v>1418</v>
      </c>
      <c r="Q1020">
        <v>525</v>
      </c>
      <c r="R1020" s="705">
        <v>17902</v>
      </c>
      <c r="S1020" s="705">
        <v>6630</v>
      </c>
      <c r="T1020">
        <v>0</v>
      </c>
      <c r="U1020">
        <v>0</v>
      </c>
      <c r="V1020" s="705">
        <v>21035</v>
      </c>
      <c r="W1020" s="705">
        <f t="shared" si="48"/>
        <v>21035</v>
      </c>
      <c r="X1020" s="705">
        <f t="shared" si="49"/>
        <v>36876</v>
      </c>
    </row>
    <row r="1021" spans="2:24">
      <c r="B1021" t="s">
        <v>696</v>
      </c>
      <c r="C1021" t="s">
        <v>116</v>
      </c>
      <c r="D1021" t="s">
        <v>584</v>
      </c>
      <c r="E1021" t="s">
        <v>584</v>
      </c>
      <c r="F1021" s="705">
        <v>1478</v>
      </c>
      <c r="G1021" s="705">
        <v>112384</v>
      </c>
      <c r="H1021" s="705">
        <v>265792</v>
      </c>
      <c r="I1021" s="705">
        <v>9621269</v>
      </c>
      <c r="J1021" s="705">
        <v>8746608</v>
      </c>
      <c r="K1021" s="705">
        <v>79</v>
      </c>
      <c r="L1021" s="705">
        <v>750101</v>
      </c>
      <c r="M1021" s="705">
        <v>579768</v>
      </c>
      <c r="N1021" s="705">
        <v>2377582</v>
      </c>
      <c r="O1021" s="705">
        <v>880586</v>
      </c>
      <c r="P1021" s="705">
        <v>752679</v>
      </c>
      <c r="Q1021" s="705">
        <v>278770</v>
      </c>
      <c r="R1021" s="705">
        <v>6031009</v>
      </c>
      <c r="S1021" s="705">
        <v>5482736</v>
      </c>
      <c r="T1021" s="705">
        <v>617739</v>
      </c>
      <c r="U1021" s="705">
        <v>228792</v>
      </c>
      <c r="V1021" s="705">
        <v>16197260</v>
      </c>
      <c r="W1021" s="705">
        <f t="shared" si="48"/>
        <v>16197260</v>
      </c>
      <c r="X1021" s="705">
        <f t="shared" si="49"/>
        <v>20150379</v>
      </c>
    </row>
    <row r="1022" spans="2:24">
      <c r="B1022" t="s">
        <v>696</v>
      </c>
      <c r="C1022" t="s">
        <v>118</v>
      </c>
      <c r="D1022" t="s">
        <v>228</v>
      </c>
      <c r="E1022" t="s">
        <v>228</v>
      </c>
      <c r="F1022">
        <v>96</v>
      </c>
      <c r="G1022" s="705">
        <v>7432</v>
      </c>
      <c r="H1022" s="705">
        <v>24644</v>
      </c>
      <c r="I1022" s="705">
        <v>1010977</v>
      </c>
      <c r="J1022" s="705">
        <v>374436</v>
      </c>
      <c r="K1022" s="705">
        <v>100</v>
      </c>
      <c r="L1022" s="705">
        <v>107571</v>
      </c>
      <c r="M1022" s="705">
        <v>42940</v>
      </c>
      <c r="N1022" s="705">
        <v>155567</v>
      </c>
      <c r="O1022" s="705">
        <v>57618</v>
      </c>
      <c r="P1022" s="705">
        <v>2457</v>
      </c>
      <c r="Q1022">
        <v>910</v>
      </c>
      <c r="R1022" s="705">
        <v>630073</v>
      </c>
      <c r="S1022" s="705">
        <v>233360</v>
      </c>
      <c r="T1022">
        <v>0</v>
      </c>
      <c r="U1022">
        <v>0</v>
      </c>
      <c r="V1022" s="705">
        <v>709264</v>
      </c>
      <c r="W1022" s="705">
        <f t="shared" si="48"/>
        <v>709264</v>
      </c>
      <c r="X1022" s="705">
        <f t="shared" si="49"/>
        <v>1906645</v>
      </c>
    </row>
    <row r="1023" spans="2:24">
      <c r="B1023" t="s">
        <v>696</v>
      </c>
      <c r="C1023" t="s">
        <v>118</v>
      </c>
      <c r="D1023" t="s">
        <v>583</v>
      </c>
      <c r="E1023" t="s">
        <v>583</v>
      </c>
      <c r="F1023">
        <v>3</v>
      </c>
      <c r="G1023">
        <v>400</v>
      </c>
      <c r="H1023" s="705">
        <v>796</v>
      </c>
      <c r="I1023" s="705">
        <v>58770</v>
      </c>
      <c r="J1023" s="705">
        <v>53427</v>
      </c>
      <c r="K1023" s="705">
        <v>91</v>
      </c>
      <c r="L1023" s="705">
        <v>20262</v>
      </c>
      <c r="M1023" s="705">
        <v>17556</v>
      </c>
      <c r="N1023" s="705">
        <v>8702</v>
      </c>
      <c r="O1023" s="705">
        <v>3223</v>
      </c>
      <c r="P1023" s="705">
        <v>1863</v>
      </c>
      <c r="Q1023">
        <v>690</v>
      </c>
      <c r="R1023" s="705">
        <v>14703</v>
      </c>
      <c r="S1023" s="705">
        <v>13366</v>
      </c>
      <c r="T1023" s="705">
        <v>2845</v>
      </c>
      <c r="U1023" s="705">
        <v>1054</v>
      </c>
      <c r="V1023" s="705">
        <v>89315</v>
      </c>
      <c r="W1023" s="705">
        <f t="shared" si="48"/>
        <v>89316</v>
      </c>
      <c r="X1023" s="705">
        <f t="shared" si="49"/>
        <v>107145</v>
      </c>
    </row>
    <row r="1024" spans="2:24">
      <c r="B1024" t="s">
        <v>696</v>
      </c>
      <c r="C1024" t="s">
        <v>118</v>
      </c>
      <c r="D1024" t="s">
        <v>584</v>
      </c>
      <c r="E1024" t="s">
        <v>584</v>
      </c>
      <c r="F1024">
        <v>164</v>
      </c>
      <c r="G1024" s="705">
        <v>11440</v>
      </c>
      <c r="H1024" s="705">
        <v>41356</v>
      </c>
      <c r="I1024" s="705">
        <v>1485131</v>
      </c>
      <c r="J1024" s="705">
        <v>1350119</v>
      </c>
      <c r="K1024" s="705">
        <v>75</v>
      </c>
      <c r="L1024" s="705">
        <v>236413</v>
      </c>
      <c r="M1024" s="705">
        <v>199282</v>
      </c>
      <c r="N1024" s="705">
        <v>248711</v>
      </c>
      <c r="O1024" s="705">
        <v>92115</v>
      </c>
      <c r="P1024" s="705">
        <v>79293</v>
      </c>
      <c r="Q1024" s="705">
        <v>29368</v>
      </c>
      <c r="R1024" s="705">
        <v>729960</v>
      </c>
      <c r="S1024" s="705">
        <v>663600</v>
      </c>
      <c r="T1024" s="705">
        <v>121790</v>
      </c>
      <c r="U1024" s="705">
        <v>45107</v>
      </c>
      <c r="V1024" s="705">
        <v>2379592</v>
      </c>
      <c r="W1024" s="705">
        <f t="shared" si="48"/>
        <v>2379591</v>
      </c>
      <c r="X1024" s="705">
        <f t="shared" si="49"/>
        <v>2901298</v>
      </c>
    </row>
    <row r="1025" spans="2:24">
      <c r="B1025" t="s">
        <v>696</v>
      </c>
      <c r="C1025" t="s">
        <v>120</v>
      </c>
      <c r="D1025" t="s">
        <v>228</v>
      </c>
      <c r="E1025" t="s">
        <v>228</v>
      </c>
      <c r="F1025">
        <v>29</v>
      </c>
      <c r="G1025" s="705">
        <v>1783</v>
      </c>
      <c r="H1025" s="705">
        <v>9504</v>
      </c>
      <c r="I1025" s="705">
        <v>339687</v>
      </c>
      <c r="J1025" s="705">
        <v>125810</v>
      </c>
      <c r="K1025" s="705">
        <v>100</v>
      </c>
      <c r="L1025" s="705">
        <v>32398</v>
      </c>
      <c r="M1025" s="705">
        <v>13786</v>
      </c>
      <c r="N1025" s="705">
        <v>38878</v>
      </c>
      <c r="O1025" s="705">
        <v>14399</v>
      </c>
      <c r="P1025">
        <v>526</v>
      </c>
      <c r="Q1025">
        <v>195</v>
      </c>
      <c r="R1025" s="705">
        <v>168766</v>
      </c>
      <c r="S1025" s="705">
        <v>62506</v>
      </c>
      <c r="T1025">
        <v>0</v>
      </c>
      <c r="U1025">
        <v>0</v>
      </c>
      <c r="V1025" s="705">
        <v>216696</v>
      </c>
      <c r="W1025" s="705">
        <f t="shared" si="48"/>
        <v>216696</v>
      </c>
      <c r="X1025" s="705">
        <f t="shared" si="49"/>
        <v>580255</v>
      </c>
    </row>
    <row r="1026" spans="2:24">
      <c r="B1026" t="s">
        <v>696</v>
      </c>
      <c r="C1026" t="s">
        <v>120</v>
      </c>
      <c r="D1026" t="s">
        <v>583</v>
      </c>
      <c r="E1026" t="s">
        <v>583</v>
      </c>
      <c r="F1026">
        <v>1</v>
      </c>
      <c r="G1026">
        <v>219</v>
      </c>
      <c r="H1026" s="705">
        <v>355</v>
      </c>
      <c r="I1026" s="705">
        <v>43155</v>
      </c>
      <c r="J1026" s="705">
        <v>39232</v>
      </c>
      <c r="K1026" s="705">
        <v>70</v>
      </c>
      <c r="L1026" s="705">
        <v>17393</v>
      </c>
      <c r="M1026" s="705">
        <v>14494</v>
      </c>
      <c r="N1026" s="705">
        <v>5337</v>
      </c>
      <c r="O1026" s="705">
        <v>1977</v>
      </c>
      <c r="P1026">
        <v>621</v>
      </c>
      <c r="Q1026">
        <v>230</v>
      </c>
      <c r="R1026" s="705">
        <v>6830</v>
      </c>
      <c r="S1026" s="705">
        <v>6209</v>
      </c>
      <c r="T1026" s="705">
        <v>4404</v>
      </c>
      <c r="U1026" s="705">
        <v>1631</v>
      </c>
      <c r="V1026" s="705">
        <v>63773</v>
      </c>
      <c r="W1026" s="705">
        <f t="shared" si="48"/>
        <v>63773</v>
      </c>
      <c r="X1026" s="705">
        <f t="shared" si="49"/>
        <v>77740</v>
      </c>
    </row>
    <row r="1027" spans="2:24">
      <c r="B1027" t="s">
        <v>696</v>
      </c>
      <c r="C1027" t="s">
        <v>120</v>
      </c>
      <c r="D1027" t="s">
        <v>584</v>
      </c>
      <c r="E1027" t="s">
        <v>584</v>
      </c>
      <c r="F1027" s="705">
        <v>8</v>
      </c>
      <c r="G1027" s="705">
        <v>528</v>
      </c>
      <c r="H1027" s="705">
        <v>2629</v>
      </c>
      <c r="I1027" s="705">
        <v>99855</v>
      </c>
      <c r="J1027" s="705">
        <v>90777</v>
      </c>
      <c r="K1027" s="705">
        <v>76</v>
      </c>
      <c r="L1027" s="705">
        <v>19473</v>
      </c>
      <c r="M1027" s="705">
        <v>15550</v>
      </c>
      <c r="N1027" s="705">
        <v>12061</v>
      </c>
      <c r="O1027" s="705">
        <v>4467</v>
      </c>
      <c r="P1027" s="705">
        <v>4022</v>
      </c>
      <c r="Q1027" s="705">
        <v>1489</v>
      </c>
      <c r="R1027" s="705">
        <v>27985</v>
      </c>
      <c r="S1027" s="705">
        <v>25440</v>
      </c>
      <c r="T1027" s="705">
        <v>9863</v>
      </c>
      <c r="U1027" s="705">
        <v>3653</v>
      </c>
      <c r="V1027" s="705">
        <v>141377</v>
      </c>
      <c r="W1027" s="705">
        <f t="shared" si="48"/>
        <v>141376</v>
      </c>
      <c r="X1027" s="705">
        <f t="shared" si="49"/>
        <v>173259</v>
      </c>
    </row>
    <row r="1028" spans="2:24">
      <c r="B1028" t="s">
        <v>696</v>
      </c>
      <c r="C1028" t="s">
        <v>122</v>
      </c>
      <c r="D1028" t="s">
        <v>228</v>
      </c>
      <c r="E1028" t="s">
        <v>228</v>
      </c>
      <c r="F1028">
        <v>3</v>
      </c>
      <c r="G1028" s="705">
        <v>133</v>
      </c>
      <c r="H1028" s="705">
        <v>1233</v>
      </c>
      <c r="I1028" s="705">
        <v>30516</v>
      </c>
      <c r="J1028" s="705">
        <v>11302</v>
      </c>
      <c r="K1028" s="705">
        <v>100</v>
      </c>
      <c r="L1028" s="705">
        <v>5011</v>
      </c>
      <c r="M1028" s="705">
        <v>2936</v>
      </c>
      <c r="N1028" s="705">
        <v>2488</v>
      </c>
      <c r="O1028">
        <v>921</v>
      </c>
      <c r="P1028">
        <v>0</v>
      </c>
      <c r="Q1028">
        <v>0</v>
      </c>
      <c r="R1028" s="705">
        <v>16673</v>
      </c>
      <c r="S1028" s="705">
        <v>6175</v>
      </c>
      <c r="T1028">
        <v>0</v>
      </c>
      <c r="U1028">
        <v>0</v>
      </c>
      <c r="V1028" s="705">
        <v>21334</v>
      </c>
      <c r="W1028" s="705">
        <f t="shared" si="48"/>
        <v>21334</v>
      </c>
      <c r="X1028" s="705">
        <f t="shared" si="49"/>
        <v>54688</v>
      </c>
    </row>
    <row r="1029" spans="2:24">
      <c r="B1029" t="s">
        <v>696</v>
      </c>
      <c r="C1029" t="s">
        <v>124</v>
      </c>
      <c r="D1029" t="s">
        <v>228</v>
      </c>
      <c r="E1029" t="s">
        <v>228</v>
      </c>
      <c r="F1029">
        <v>4</v>
      </c>
      <c r="G1029">
        <v>190</v>
      </c>
      <c r="H1029" s="705">
        <v>2210</v>
      </c>
      <c r="I1029" s="705">
        <v>71834</v>
      </c>
      <c r="J1029" s="705">
        <v>26605</v>
      </c>
      <c r="K1029" s="705">
        <v>100</v>
      </c>
      <c r="L1029" s="705">
        <v>6005</v>
      </c>
      <c r="M1029" s="705">
        <v>4480</v>
      </c>
      <c r="N1029" s="705">
        <v>4053</v>
      </c>
      <c r="O1029" s="705">
        <v>1501</v>
      </c>
      <c r="P1029">
        <v>351</v>
      </c>
      <c r="Q1029">
        <v>130</v>
      </c>
      <c r="R1029" s="705">
        <v>23280</v>
      </c>
      <c r="S1029" s="705">
        <v>8622</v>
      </c>
      <c r="T1029">
        <v>0</v>
      </c>
      <c r="U1029">
        <v>0</v>
      </c>
      <c r="V1029" s="705">
        <v>41339</v>
      </c>
      <c r="W1029" s="705">
        <f t="shared" si="48"/>
        <v>41338</v>
      </c>
      <c r="X1029" s="705">
        <f t="shared" si="49"/>
        <v>105523</v>
      </c>
    </row>
    <row r="1030" spans="2:24">
      <c r="B1030" t="s">
        <v>696</v>
      </c>
      <c r="C1030" t="s">
        <v>124</v>
      </c>
      <c r="D1030" t="s">
        <v>584</v>
      </c>
      <c r="E1030" t="s">
        <v>584</v>
      </c>
      <c r="F1030">
        <v>1</v>
      </c>
      <c r="G1030" s="705">
        <v>277</v>
      </c>
      <c r="H1030" s="705">
        <v>497</v>
      </c>
      <c r="I1030" s="705">
        <v>94143</v>
      </c>
      <c r="J1030" s="705">
        <v>85584</v>
      </c>
      <c r="K1030" s="705">
        <v>74</v>
      </c>
      <c r="L1030" s="705">
        <v>26893</v>
      </c>
      <c r="M1030" s="705">
        <v>22410</v>
      </c>
      <c r="N1030" s="705">
        <v>6569</v>
      </c>
      <c r="O1030" s="705">
        <v>2433</v>
      </c>
      <c r="P1030">
        <v>473</v>
      </c>
      <c r="Q1030">
        <v>175</v>
      </c>
      <c r="R1030" s="705">
        <v>5574</v>
      </c>
      <c r="S1030" s="705">
        <v>5067</v>
      </c>
      <c r="T1030" s="705">
        <v>3676</v>
      </c>
      <c r="U1030" s="705">
        <v>1361</v>
      </c>
      <c r="V1030" s="705">
        <v>117031</v>
      </c>
      <c r="W1030" s="705">
        <f t="shared" si="48"/>
        <v>117030</v>
      </c>
      <c r="X1030" s="705">
        <f t="shared" si="49"/>
        <v>137328</v>
      </c>
    </row>
    <row r="1031" spans="2:24">
      <c r="B1031" t="s">
        <v>697</v>
      </c>
      <c r="C1031" t="s">
        <v>112</v>
      </c>
      <c r="F1031">
        <v>1</v>
      </c>
      <c r="G1031">
        <v>87</v>
      </c>
      <c r="H1031" s="705">
        <v>110</v>
      </c>
      <c r="J1031">
        <v>0</v>
      </c>
      <c r="K1031" s="705"/>
      <c r="M1031">
        <v>0</v>
      </c>
      <c r="N1031" s="705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705">
        <f t="shared" si="48"/>
        <v>411</v>
      </c>
      <c r="X1031" s="705">
        <f t="shared" si="49"/>
        <v>1110</v>
      </c>
    </row>
    <row r="1032" spans="2:24">
      <c r="B1032" t="s">
        <v>697</v>
      </c>
      <c r="C1032" t="s">
        <v>116</v>
      </c>
      <c r="D1032" t="s">
        <v>584</v>
      </c>
      <c r="E1032" t="s">
        <v>584</v>
      </c>
      <c r="F1032">
        <v>1</v>
      </c>
      <c r="G1032">
        <v>140</v>
      </c>
      <c r="H1032" s="705">
        <v>197</v>
      </c>
      <c r="I1032" s="705">
        <v>13458</v>
      </c>
      <c r="J1032" s="705">
        <v>12235</v>
      </c>
      <c r="K1032" s="705">
        <v>79</v>
      </c>
      <c r="L1032" s="705">
        <v>2789</v>
      </c>
      <c r="M1032" s="705">
        <v>2535</v>
      </c>
      <c r="N1032" s="705">
        <v>3285</v>
      </c>
      <c r="O1032" s="705">
        <v>1217</v>
      </c>
      <c r="P1032">
        <v>473</v>
      </c>
      <c r="Q1032">
        <v>175</v>
      </c>
      <c r="R1032" s="705">
        <v>4328</v>
      </c>
      <c r="S1032" s="705">
        <v>3935</v>
      </c>
      <c r="T1032" s="705">
        <v>3359</v>
      </c>
      <c r="U1032" s="705">
        <v>1244</v>
      </c>
      <c r="V1032" s="705">
        <v>21340</v>
      </c>
      <c r="W1032" s="705">
        <f t="shared" si="48"/>
        <v>21341</v>
      </c>
      <c r="X1032" s="705">
        <f t="shared" si="49"/>
        <v>27692</v>
      </c>
    </row>
    <row r="1033" spans="2:24">
      <c r="B1033" t="s">
        <v>698</v>
      </c>
      <c r="C1033" t="s">
        <v>108</v>
      </c>
      <c r="D1033" t="s">
        <v>228</v>
      </c>
      <c r="E1033" t="s">
        <v>228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705">
        <v>436</v>
      </c>
      <c r="L1033">
        <v>0</v>
      </c>
      <c r="M1033">
        <v>0</v>
      </c>
      <c r="N1033" s="705">
        <v>1431</v>
      </c>
      <c r="O1033">
        <v>530</v>
      </c>
      <c r="P1033" s="705">
        <v>1675</v>
      </c>
      <c r="Q1033">
        <v>620</v>
      </c>
      <c r="R1033" s="705">
        <v>3761</v>
      </c>
      <c r="S1033" s="705">
        <v>1393</v>
      </c>
      <c r="T1033">
        <v>0</v>
      </c>
      <c r="U1033">
        <v>0</v>
      </c>
      <c r="V1033" s="705">
        <v>2461</v>
      </c>
      <c r="W1033" s="705">
        <f t="shared" si="48"/>
        <v>2625</v>
      </c>
      <c r="X1033" s="705">
        <f t="shared" si="49"/>
        <v>7089</v>
      </c>
    </row>
    <row r="1034" spans="2:24">
      <c r="B1034" t="s">
        <v>698</v>
      </c>
      <c r="C1034" t="s">
        <v>108</v>
      </c>
      <c r="D1034" t="s">
        <v>584</v>
      </c>
      <c r="E1034" t="s">
        <v>584</v>
      </c>
      <c r="F1034" s="705">
        <v>70</v>
      </c>
      <c r="G1034" s="705">
        <v>3973</v>
      </c>
      <c r="H1034" s="705">
        <v>4566</v>
      </c>
      <c r="I1034" s="705">
        <v>37628</v>
      </c>
      <c r="J1034" s="705">
        <v>34207</v>
      </c>
      <c r="K1034" s="705">
        <v>91</v>
      </c>
      <c r="L1034">
        <v>0</v>
      </c>
      <c r="M1034">
        <v>0</v>
      </c>
      <c r="N1034" s="705">
        <v>48410</v>
      </c>
      <c r="O1034" s="705">
        <v>17930</v>
      </c>
      <c r="P1034" s="705">
        <v>33075</v>
      </c>
      <c r="Q1034" s="705">
        <v>12250</v>
      </c>
      <c r="R1034" s="705">
        <v>139757</v>
      </c>
      <c r="S1034" s="705">
        <v>127052</v>
      </c>
      <c r="T1034">
        <v>0</v>
      </c>
      <c r="U1034">
        <v>0</v>
      </c>
      <c r="V1034" s="705">
        <v>191438</v>
      </c>
      <c r="W1034" s="705">
        <f t="shared" si="48"/>
        <v>191439</v>
      </c>
      <c r="X1034" s="705">
        <f t="shared" si="49"/>
        <v>258870</v>
      </c>
    </row>
    <row r="1035" spans="2:24">
      <c r="B1035" t="s">
        <v>698</v>
      </c>
      <c r="C1035" t="s">
        <v>110</v>
      </c>
      <c r="D1035" t="s">
        <v>584</v>
      </c>
      <c r="E1035" t="s">
        <v>584</v>
      </c>
      <c r="F1035" s="705">
        <v>68</v>
      </c>
      <c r="G1035" s="705">
        <v>5053</v>
      </c>
      <c r="H1035" s="705">
        <v>5897</v>
      </c>
      <c r="I1035" s="705">
        <v>44518</v>
      </c>
      <c r="J1035" s="705">
        <v>40471</v>
      </c>
      <c r="K1035" s="705">
        <v>90</v>
      </c>
      <c r="L1035">
        <v>0</v>
      </c>
      <c r="M1035">
        <v>0</v>
      </c>
      <c r="N1035" s="705">
        <v>80917</v>
      </c>
      <c r="O1035" s="705">
        <v>29969</v>
      </c>
      <c r="P1035" s="705">
        <v>32832</v>
      </c>
      <c r="Q1035" s="705">
        <v>12160</v>
      </c>
      <c r="R1035" s="705">
        <v>148348</v>
      </c>
      <c r="S1035" s="705">
        <v>134862</v>
      </c>
      <c r="T1035" s="705">
        <v>131863</v>
      </c>
      <c r="U1035" s="705">
        <v>48838</v>
      </c>
      <c r="V1035" s="705">
        <v>266300</v>
      </c>
      <c r="W1035" s="705">
        <f t="shared" si="48"/>
        <v>266300</v>
      </c>
      <c r="X1035" s="705">
        <f t="shared" si="49"/>
        <v>438478</v>
      </c>
    </row>
    <row r="1036" spans="2:24">
      <c r="B1036" t="s">
        <v>698</v>
      </c>
      <c r="C1036" t="s">
        <v>112</v>
      </c>
      <c r="D1036" t="s">
        <v>584</v>
      </c>
      <c r="E1036" t="s">
        <v>584</v>
      </c>
      <c r="F1036">
        <v>112</v>
      </c>
      <c r="G1036" s="705">
        <v>8535</v>
      </c>
      <c r="H1036" s="705">
        <v>12480</v>
      </c>
      <c r="I1036" s="705">
        <v>299287</v>
      </c>
      <c r="J1036" s="705">
        <v>272079</v>
      </c>
      <c r="K1036" s="705">
        <v>84</v>
      </c>
      <c r="L1036">
        <v>0</v>
      </c>
      <c r="M1036">
        <v>0</v>
      </c>
      <c r="N1036" s="705">
        <v>133879</v>
      </c>
      <c r="O1036" s="705">
        <v>49585</v>
      </c>
      <c r="P1036" s="705">
        <v>61188</v>
      </c>
      <c r="Q1036" s="705">
        <v>22662</v>
      </c>
      <c r="R1036" s="705">
        <v>362118</v>
      </c>
      <c r="S1036" s="705">
        <v>329198</v>
      </c>
      <c r="T1036" s="705">
        <v>96396</v>
      </c>
      <c r="U1036" s="705">
        <v>35702</v>
      </c>
      <c r="V1036" s="705">
        <v>709227</v>
      </c>
      <c r="W1036" s="705">
        <f t="shared" si="48"/>
        <v>709226</v>
      </c>
      <c r="X1036" s="705">
        <f t="shared" si="49"/>
        <v>952868</v>
      </c>
    </row>
    <row r="1037" spans="2:24">
      <c r="B1037" t="s">
        <v>698</v>
      </c>
      <c r="C1037" t="s">
        <v>114</v>
      </c>
      <c r="D1037" t="s">
        <v>228</v>
      </c>
      <c r="E1037" t="s">
        <v>228</v>
      </c>
      <c r="F1037">
        <v>1</v>
      </c>
      <c r="G1037" s="705">
        <v>58</v>
      </c>
      <c r="H1037" s="705">
        <v>146</v>
      </c>
      <c r="I1037" s="705">
        <v>1770</v>
      </c>
      <c r="J1037">
        <v>655</v>
      </c>
      <c r="K1037" s="705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705">
        <v>5526</v>
      </c>
      <c r="S1037" s="705">
        <v>2047</v>
      </c>
      <c r="T1037">
        <v>0</v>
      </c>
      <c r="U1037">
        <v>0</v>
      </c>
      <c r="V1037" s="705">
        <v>3169</v>
      </c>
      <c r="W1037" s="705">
        <f t="shared" si="48"/>
        <v>3169</v>
      </c>
      <c r="X1037" s="705">
        <f t="shared" si="49"/>
        <v>8555</v>
      </c>
    </row>
    <row r="1038" spans="2:24">
      <c r="B1038" t="s">
        <v>698</v>
      </c>
      <c r="C1038" t="s">
        <v>114</v>
      </c>
      <c r="D1038" t="s">
        <v>584</v>
      </c>
      <c r="E1038" t="s">
        <v>584</v>
      </c>
      <c r="F1038">
        <v>98</v>
      </c>
      <c r="G1038" s="705">
        <v>7415</v>
      </c>
      <c r="H1038" s="705">
        <v>13650</v>
      </c>
      <c r="I1038" s="705">
        <v>479914</v>
      </c>
      <c r="J1038" s="705">
        <v>436285</v>
      </c>
      <c r="K1038" s="705">
        <v>81</v>
      </c>
      <c r="L1038" s="705">
        <v>4538</v>
      </c>
      <c r="M1038" s="705">
        <v>2581</v>
      </c>
      <c r="N1038" s="705">
        <v>128717</v>
      </c>
      <c r="O1038" s="705">
        <v>47673</v>
      </c>
      <c r="P1038" s="705">
        <v>59233</v>
      </c>
      <c r="Q1038" s="705">
        <v>21938</v>
      </c>
      <c r="R1038" s="705">
        <v>345539</v>
      </c>
      <c r="S1038" s="705">
        <v>314127</v>
      </c>
      <c r="T1038" s="705">
        <v>20998</v>
      </c>
      <c r="U1038" s="705">
        <v>7777</v>
      </c>
      <c r="V1038" s="705">
        <v>830381</v>
      </c>
      <c r="W1038" s="705">
        <f t="shared" si="48"/>
        <v>830381</v>
      </c>
      <c r="X1038" s="705">
        <f t="shared" si="49"/>
        <v>1038939</v>
      </c>
    </row>
    <row r="1039" spans="2:24">
      <c r="B1039" t="s">
        <v>698</v>
      </c>
      <c r="C1039" t="s">
        <v>116</v>
      </c>
      <c r="D1039" t="s">
        <v>228</v>
      </c>
      <c r="E1039" t="s">
        <v>228</v>
      </c>
      <c r="F1039">
        <v>45</v>
      </c>
      <c r="G1039" s="705">
        <v>2972</v>
      </c>
      <c r="H1039" s="705">
        <v>8865</v>
      </c>
      <c r="I1039" s="705">
        <v>217894</v>
      </c>
      <c r="J1039" s="705">
        <v>80701</v>
      </c>
      <c r="K1039" s="705">
        <v>103</v>
      </c>
      <c r="L1039" s="705">
        <v>34809</v>
      </c>
      <c r="M1039" s="705">
        <v>13417</v>
      </c>
      <c r="N1039" s="705">
        <v>55741</v>
      </c>
      <c r="O1039" s="705">
        <v>20645</v>
      </c>
      <c r="P1039">
        <v>0</v>
      </c>
      <c r="Q1039">
        <v>0</v>
      </c>
      <c r="R1039" s="705">
        <v>277848</v>
      </c>
      <c r="S1039" s="705">
        <v>102907</v>
      </c>
      <c r="T1039">
        <v>0</v>
      </c>
      <c r="U1039">
        <v>0</v>
      </c>
      <c r="V1039" s="705">
        <v>217670</v>
      </c>
      <c r="W1039" s="705">
        <f t="shared" si="48"/>
        <v>217670</v>
      </c>
      <c r="X1039" s="705">
        <f t="shared" si="49"/>
        <v>586292</v>
      </c>
    </row>
    <row r="1040" spans="2:24">
      <c r="B1040" t="s">
        <v>698</v>
      </c>
      <c r="C1040" t="s">
        <v>116</v>
      </c>
      <c r="D1040" t="s">
        <v>584</v>
      </c>
      <c r="E1040" t="s">
        <v>584</v>
      </c>
      <c r="F1040" s="705">
        <v>100</v>
      </c>
      <c r="G1040" s="705">
        <v>6456</v>
      </c>
      <c r="H1040" s="705">
        <v>17675</v>
      </c>
      <c r="I1040" s="705">
        <v>541445</v>
      </c>
      <c r="J1040" s="705">
        <v>492223</v>
      </c>
      <c r="K1040" s="705">
        <v>81</v>
      </c>
      <c r="L1040" s="705">
        <v>23184</v>
      </c>
      <c r="M1040" s="705">
        <v>17376</v>
      </c>
      <c r="N1040" s="705">
        <v>128549</v>
      </c>
      <c r="O1040" s="705">
        <v>47611</v>
      </c>
      <c r="P1040" s="705">
        <v>48001</v>
      </c>
      <c r="Q1040" s="705">
        <v>17778</v>
      </c>
      <c r="R1040" s="705">
        <v>374666</v>
      </c>
      <c r="S1040" s="705">
        <v>340605</v>
      </c>
      <c r="T1040" s="705">
        <v>35105</v>
      </c>
      <c r="U1040" s="705">
        <v>13002</v>
      </c>
      <c r="V1040" s="705">
        <v>928594</v>
      </c>
      <c r="W1040" s="705">
        <f t="shared" si="48"/>
        <v>928595</v>
      </c>
      <c r="X1040" s="705">
        <f t="shared" si="49"/>
        <v>1150950</v>
      </c>
    </row>
    <row r="1041" spans="2:24">
      <c r="B1041" t="s">
        <v>698</v>
      </c>
      <c r="C1041" t="s">
        <v>118</v>
      </c>
      <c r="D1041" t="s">
        <v>228</v>
      </c>
      <c r="E1041" t="s">
        <v>228</v>
      </c>
      <c r="F1041">
        <v>109</v>
      </c>
      <c r="G1041" s="705">
        <v>6476</v>
      </c>
      <c r="H1041" s="705">
        <v>28777</v>
      </c>
      <c r="I1041" s="705">
        <v>821582</v>
      </c>
      <c r="J1041" s="705">
        <v>304290</v>
      </c>
      <c r="K1041" s="705">
        <v>100</v>
      </c>
      <c r="L1041" s="705">
        <v>100219</v>
      </c>
      <c r="M1041" s="705">
        <v>39179</v>
      </c>
      <c r="N1041" s="705">
        <v>127429</v>
      </c>
      <c r="O1041" s="705">
        <v>47196</v>
      </c>
      <c r="P1041" s="705">
        <v>2228</v>
      </c>
      <c r="Q1041">
        <v>825</v>
      </c>
      <c r="R1041" s="705">
        <v>651711</v>
      </c>
      <c r="S1041" s="705">
        <v>241374</v>
      </c>
      <c r="T1041" s="705">
        <v>1816</v>
      </c>
      <c r="U1041">
        <v>673</v>
      </c>
      <c r="V1041" s="705">
        <v>633537</v>
      </c>
      <c r="W1041" s="705">
        <f t="shared" si="48"/>
        <v>633537</v>
      </c>
      <c r="X1041" s="705">
        <f t="shared" si="49"/>
        <v>1704985</v>
      </c>
    </row>
    <row r="1042" spans="2:24">
      <c r="B1042" t="s">
        <v>698</v>
      </c>
      <c r="C1042" t="s">
        <v>118</v>
      </c>
      <c r="D1042" t="s">
        <v>583</v>
      </c>
      <c r="E1042" t="s">
        <v>583</v>
      </c>
      <c r="F1042">
        <v>1</v>
      </c>
      <c r="G1042">
        <v>57</v>
      </c>
      <c r="H1042" s="705">
        <v>247</v>
      </c>
      <c r="I1042" s="705">
        <v>7197</v>
      </c>
      <c r="J1042" s="705">
        <v>6543</v>
      </c>
      <c r="K1042" s="705">
        <v>79</v>
      </c>
      <c r="L1042">
        <v>0</v>
      </c>
      <c r="M1042">
        <v>0</v>
      </c>
      <c r="N1042" s="705">
        <v>1091</v>
      </c>
      <c r="O1042">
        <v>404</v>
      </c>
      <c r="P1042">
        <v>621</v>
      </c>
      <c r="Q1042">
        <v>230</v>
      </c>
      <c r="R1042" s="705">
        <v>3229</v>
      </c>
      <c r="S1042" s="705">
        <v>2936</v>
      </c>
      <c r="T1042" s="705">
        <v>1843</v>
      </c>
      <c r="U1042">
        <v>683</v>
      </c>
      <c r="V1042" s="705">
        <v>10795</v>
      </c>
      <c r="W1042" s="705">
        <f t="shared" si="48"/>
        <v>10796</v>
      </c>
      <c r="X1042" s="705">
        <f t="shared" si="49"/>
        <v>13981</v>
      </c>
    </row>
    <row r="1043" spans="2:24">
      <c r="B1043" t="s">
        <v>698</v>
      </c>
      <c r="C1043" t="s">
        <v>118</v>
      </c>
      <c r="D1043" t="s">
        <v>584</v>
      </c>
      <c r="E1043" t="s">
        <v>228</v>
      </c>
      <c r="F1043" s="705">
        <v>1</v>
      </c>
      <c r="G1043" s="705">
        <v>59</v>
      </c>
      <c r="H1043">
        <v>229</v>
      </c>
      <c r="I1043" s="705">
        <v>4920</v>
      </c>
      <c r="J1043" s="705">
        <v>4472</v>
      </c>
      <c r="K1043" s="705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705">
        <v>7338</v>
      </c>
      <c r="S1043" s="705">
        <v>2718</v>
      </c>
      <c r="T1043">
        <v>0</v>
      </c>
      <c r="U1043">
        <v>0</v>
      </c>
      <c r="V1043" s="705">
        <v>7630</v>
      </c>
      <c r="W1043" s="705">
        <f t="shared" si="48"/>
        <v>7630</v>
      </c>
      <c r="X1043" s="705">
        <f t="shared" si="49"/>
        <v>13447</v>
      </c>
    </row>
    <row r="1044" spans="2:24">
      <c r="B1044" t="s">
        <v>698</v>
      </c>
      <c r="C1044" t="s">
        <v>118</v>
      </c>
      <c r="D1044" t="s">
        <v>584</v>
      </c>
      <c r="E1044" t="s">
        <v>584</v>
      </c>
      <c r="F1044" s="705">
        <v>18</v>
      </c>
      <c r="G1044" s="705">
        <v>1091</v>
      </c>
      <c r="H1044" s="705">
        <v>4615</v>
      </c>
      <c r="I1044" s="705">
        <v>132121</v>
      </c>
      <c r="J1044" s="705">
        <v>120110</v>
      </c>
      <c r="K1044" s="705">
        <v>79</v>
      </c>
      <c r="L1044" s="705">
        <v>23708</v>
      </c>
      <c r="M1044" s="705">
        <v>18525</v>
      </c>
      <c r="N1044" s="705">
        <v>21376</v>
      </c>
      <c r="O1044" s="705">
        <v>7917</v>
      </c>
      <c r="P1044" s="705">
        <v>8505</v>
      </c>
      <c r="Q1044" s="705">
        <v>3150</v>
      </c>
      <c r="R1044" s="705">
        <v>72781</v>
      </c>
      <c r="S1044" s="705">
        <v>66164</v>
      </c>
      <c r="T1044" s="705">
        <v>17660</v>
      </c>
      <c r="U1044" s="705">
        <v>6541</v>
      </c>
      <c r="V1044" s="705">
        <v>222407</v>
      </c>
      <c r="W1044" s="705">
        <f t="shared" si="48"/>
        <v>222407</v>
      </c>
      <c r="X1044" s="705">
        <f t="shared" si="49"/>
        <v>276151</v>
      </c>
    </row>
    <row r="1045" spans="2:24">
      <c r="B1045" t="s">
        <v>698</v>
      </c>
      <c r="C1045" t="s">
        <v>120</v>
      </c>
      <c r="D1045" t="s">
        <v>228</v>
      </c>
      <c r="E1045" t="s">
        <v>228</v>
      </c>
      <c r="F1045">
        <v>57</v>
      </c>
      <c r="G1045" s="705">
        <v>2943</v>
      </c>
      <c r="H1045" s="705">
        <v>19152</v>
      </c>
      <c r="I1045" s="705">
        <v>557218</v>
      </c>
      <c r="J1045" s="705">
        <v>206377</v>
      </c>
      <c r="K1045" s="705">
        <v>100</v>
      </c>
      <c r="L1045" s="705">
        <v>58801</v>
      </c>
      <c r="M1045" s="705">
        <v>26464</v>
      </c>
      <c r="N1045" s="705">
        <v>57130</v>
      </c>
      <c r="O1045" s="705">
        <v>21159</v>
      </c>
      <c r="P1045" s="705">
        <v>1053</v>
      </c>
      <c r="Q1045">
        <v>390</v>
      </c>
      <c r="R1045" s="705">
        <v>318511</v>
      </c>
      <c r="S1045" s="705">
        <v>117967</v>
      </c>
      <c r="T1045">
        <v>0</v>
      </c>
      <c r="U1045">
        <v>0</v>
      </c>
      <c r="V1045" s="705">
        <v>372358</v>
      </c>
      <c r="W1045" s="705">
        <f t="shared" si="48"/>
        <v>372357</v>
      </c>
      <c r="X1045" s="705">
        <f t="shared" si="49"/>
        <v>992713</v>
      </c>
    </row>
    <row r="1046" spans="2:24">
      <c r="B1046" t="s">
        <v>698</v>
      </c>
      <c r="C1046" t="s">
        <v>120</v>
      </c>
      <c r="D1046" t="s">
        <v>584</v>
      </c>
      <c r="E1046" t="s">
        <v>584</v>
      </c>
      <c r="F1046">
        <v>2</v>
      </c>
      <c r="G1046">
        <v>149</v>
      </c>
      <c r="H1046" s="705">
        <v>639</v>
      </c>
      <c r="I1046" s="705">
        <v>32956</v>
      </c>
      <c r="J1046" s="705">
        <v>29960</v>
      </c>
      <c r="K1046" s="705">
        <v>81</v>
      </c>
      <c r="L1046">
        <v>0</v>
      </c>
      <c r="M1046">
        <v>0</v>
      </c>
      <c r="N1046" s="705">
        <v>3397</v>
      </c>
      <c r="O1046" s="705">
        <v>1258</v>
      </c>
      <c r="P1046">
        <v>945</v>
      </c>
      <c r="Q1046">
        <v>350</v>
      </c>
      <c r="R1046" s="705">
        <v>6295</v>
      </c>
      <c r="S1046" s="705">
        <v>5723</v>
      </c>
      <c r="T1046" s="705">
        <v>4445</v>
      </c>
      <c r="U1046" s="705">
        <v>1646</v>
      </c>
      <c r="V1046" s="705">
        <v>38937</v>
      </c>
      <c r="W1046" s="705">
        <f t="shared" si="48"/>
        <v>38937</v>
      </c>
      <c r="X1046" s="705">
        <f t="shared" si="49"/>
        <v>48038</v>
      </c>
    </row>
    <row r="1047" spans="2:24">
      <c r="B1047" t="s">
        <v>698</v>
      </c>
      <c r="C1047" t="s">
        <v>122</v>
      </c>
      <c r="D1047" t="s">
        <v>228</v>
      </c>
      <c r="E1047" t="s">
        <v>228</v>
      </c>
      <c r="F1047">
        <v>15</v>
      </c>
      <c r="G1047">
        <v>751</v>
      </c>
      <c r="H1047" s="705">
        <v>6136</v>
      </c>
      <c r="I1047" s="705">
        <v>184430</v>
      </c>
      <c r="J1047" s="705">
        <v>68307</v>
      </c>
      <c r="K1047" s="705">
        <v>100</v>
      </c>
      <c r="L1047" s="705">
        <v>21667</v>
      </c>
      <c r="M1047" s="705">
        <v>15614</v>
      </c>
      <c r="N1047" s="705">
        <v>17196</v>
      </c>
      <c r="O1047" s="705">
        <v>6369</v>
      </c>
      <c r="P1047" s="705">
        <v>1053</v>
      </c>
      <c r="Q1047">
        <v>390</v>
      </c>
      <c r="R1047" s="705">
        <v>86098</v>
      </c>
      <c r="S1047" s="705">
        <v>31888</v>
      </c>
      <c r="T1047" s="705">
        <v>1692</v>
      </c>
      <c r="U1047">
        <v>627</v>
      </c>
      <c r="V1047" s="705">
        <v>123195</v>
      </c>
      <c r="W1047" s="705">
        <f t="shared" si="48"/>
        <v>123195</v>
      </c>
      <c r="X1047" s="705">
        <f t="shared" si="49"/>
        <v>312136</v>
      </c>
    </row>
    <row r="1048" spans="2:24">
      <c r="B1048" t="s">
        <v>698</v>
      </c>
      <c r="C1048" t="s">
        <v>122</v>
      </c>
      <c r="D1048" t="s">
        <v>584</v>
      </c>
      <c r="E1048" t="s">
        <v>584</v>
      </c>
      <c r="F1048" s="705">
        <v>1</v>
      </c>
      <c r="G1048" s="705">
        <v>37</v>
      </c>
      <c r="H1048">
        <v>404</v>
      </c>
      <c r="I1048" s="705">
        <v>9776</v>
      </c>
      <c r="J1048" s="705">
        <v>8887</v>
      </c>
      <c r="K1048" s="705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705">
        <v>2810</v>
      </c>
      <c r="S1048" s="705">
        <v>2554</v>
      </c>
      <c r="T1048" s="705">
        <v>1107</v>
      </c>
      <c r="U1048">
        <v>410</v>
      </c>
      <c r="V1048" s="705">
        <v>12292</v>
      </c>
      <c r="W1048" s="705">
        <f t="shared" si="48"/>
        <v>12292</v>
      </c>
      <c r="X1048" s="705">
        <f t="shared" si="49"/>
        <v>14885</v>
      </c>
    </row>
    <row r="1049" spans="2:24">
      <c r="B1049" t="s">
        <v>698</v>
      </c>
      <c r="C1049" t="s">
        <v>124</v>
      </c>
      <c r="D1049" t="s">
        <v>228</v>
      </c>
      <c r="E1049" t="s">
        <v>228</v>
      </c>
      <c r="F1049" s="705">
        <v>4</v>
      </c>
      <c r="G1049" s="705">
        <v>244</v>
      </c>
      <c r="H1049" s="705">
        <v>1973</v>
      </c>
      <c r="I1049" s="705">
        <v>91115</v>
      </c>
      <c r="J1049" s="705">
        <v>33746</v>
      </c>
      <c r="K1049" s="705">
        <v>100</v>
      </c>
      <c r="L1049">
        <v>0</v>
      </c>
      <c r="M1049">
        <v>0</v>
      </c>
      <c r="N1049" s="705">
        <v>4955</v>
      </c>
      <c r="O1049" s="705">
        <v>1835</v>
      </c>
      <c r="P1049" s="705">
        <v>1404</v>
      </c>
      <c r="Q1049">
        <v>520</v>
      </c>
      <c r="R1049" s="705">
        <v>21677</v>
      </c>
      <c r="S1049" s="705">
        <v>8029</v>
      </c>
      <c r="T1049">
        <v>0</v>
      </c>
      <c r="U1049">
        <v>0</v>
      </c>
      <c r="V1049" s="705">
        <v>44130</v>
      </c>
      <c r="W1049" s="705">
        <f t="shared" si="48"/>
        <v>44130</v>
      </c>
      <c r="X1049" s="705">
        <f t="shared" si="49"/>
        <v>119151</v>
      </c>
    </row>
    <row r="1050" spans="2:24">
      <c r="B1050" t="s">
        <v>698</v>
      </c>
      <c r="C1050" t="s">
        <v>124</v>
      </c>
      <c r="D1050" t="s">
        <v>669</v>
      </c>
      <c r="E1050" t="s">
        <v>228</v>
      </c>
      <c r="F1050" s="705">
        <v>1</v>
      </c>
      <c r="G1050" s="705">
        <v>42</v>
      </c>
      <c r="H1050" s="705">
        <v>623</v>
      </c>
      <c r="I1050" s="705">
        <v>14100</v>
      </c>
      <c r="J1050" s="705">
        <v>11750</v>
      </c>
      <c r="K1050" s="705">
        <v>30</v>
      </c>
      <c r="L1050" s="705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705">
        <v>9032</v>
      </c>
      <c r="S1050" s="705">
        <v>3345</v>
      </c>
      <c r="T1050">
        <v>0</v>
      </c>
      <c r="U1050">
        <v>0</v>
      </c>
      <c r="V1050" s="705">
        <v>16165</v>
      </c>
      <c r="W1050" s="705">
        <f t="shared" si="48"/>
        <v>16165</v>
      </c>
      <c r="X1050" s="705">
        <f t="shared" si="49"/>
        <v>26020</v>
      </c>
    </row>
    <row r="1051" spans="2:24">
      <c r="B1051" t="s">
        <v>699</v>
      </c>
      <c r="C1051" t="s">
        <v>114</v>
      </c>
      <c r="D1051" t="s">
        <v>584</v>
      </c>
      <c r="E1051" t="s">
        <v>584</v>
      </c>
      <c r="F1051" s="705">
        <v>1</v>
      </c>
      <c r="G1051" s="705">
        <v>84</v>
      </c>
      <c r="H1051" s="705">
        <v>148</v>
      </c>
      <c r="I1051" s="705">
        <v>5296</v>
      </c>
      <c r="J1051" s="705">
        <v>4815</v>
      </c>
      <c r="K1051" s="705">
        <v>75</v>
      </c>
      <c r="L1051">
        <v>0</v>
      </c>
      <c r="M1051">
        <v>0</v>
      </c>
      <c r="N1051" s="705">
        <v>1021</v>
      </c>
      <c r="O1051">
        <v>378</v>
      </c>
      <c r="P1051">
        <v>473</v>
      </c>
      <c r="Q1051">
        <v>175</v>
      </c>
      <c r="R1051" s="705">
        <v>5602</v>
      </c>
      <c r="S1051" s="705">
        <v>5093</v>
      </c>
      <c r="T1051">
        <v>0</v>
      </c>
      <c r="U1051">
        <v>0</v>
      </c>
      <c r="V1051" s="705">
        <v>10461</v>
      </c>
      <c r="W1051" s="705">
        <f t="shared" si="48"/>
        <v>10461</v>
      </c>
      <c r="X1051" s="705">
        <f t="shared" si="49"/>
        <v>12392</v>
      </c>
    </row>
    <row r="1052" spans="2:24">
      <c r="B1052" t="s">
        <v>699</v>
      </c>
      <c r="C1052" t="s">
        <v>118</v>
      </c>
      <c r="D1052" t="s">
        <v>228</v>
      </c>
      <c r="E1052" t="s">
        <v>228</v>
      </c>
      <c r="F1052" s="705">
        <v>1</v>
      </c>
      <c r="G1052" s="705">
        <v>46</v>
      </c>
      <c r="H1052" s="705">
        <v>252</v>
      </c>
      <c r="I1052" s="705">
        <v>6102</v>
      </c>
      <c r="J1052" s="705">
        <v>2260</v>
      </c>
      <c r="K1052" s="705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705">
        <v>4995</v>
      </c>
      <c r="S1052" s="705">
        <v>1850</v>
      </c>
      <c r="T1052">
        <v>0</v>
      </c>
      <c r="U1052">
        <v>0</v>
      </c>
      <c r="V1052" s="705">
        <v>4319</v>
      </c>
      <c r="W1052" s="705">
        <f t="shared" si="48"/>
        <v>4319</v>
      </c>
      <c r="X1052" s="705">
        <f t="shared" si="49"/>
        <v>11661</v>
      </c>
    </row>
    <row r="1053" spans="2:24">
      <c r="B1053" t="s">
        <v>700</v>
      </c>
      <c r="C1053" t="s">
        <v>108</v>
      </c>
      <c r="F1053" s="705">
        <v>11</v>
      </c>
      <c r="G1053" s="705">
        <v>680</v>
      </c>
      <c r="H1053">
        <v>604</v>
      </c>
      <c r="J1053">
        <v>0</v>
      </c>
      <c r="K1053" s="705"/>
      <c r="M1053">
        <v>0</v>
      </c>
      <c r="N1053" s="705">
        <v>8285</v>
      </c>
      <c r="O1053" s="705">
        <v>3068</v>
      </c>
      <c r="P1053" s="705">
        <v>10604</v>
      </c>
      <c r="Q1053" s="705">
        <v>3927</v>
      </c>
      <c r="S1053">
        <v>0</v>
      </c>
      <c r="T1053">
        <v>0</v>
      </c>
      <c r="U1053">
        <v>0</v>
      </c>
      <c r="V1053" s="705">
        <v>6996</v>
      </c>
      <c r="W1053" s="705">
        <f t="shared" si="48"/>
        <v>6995</v>
      </c>
      <c r="X1053" s="705">
        <f t="shared" si="49"/>
        <v>18889</v>
      </c>
    </row>
    <row r="1054" spans="2:24">
      <c r="B1054" t="s">
        <v>700</v>
      </c>
      <c r="C1054" t="s">
        <v>108</v>
      </c>
      <c r="D1054" t="s">
        <v>228</v>
      </c>
      <c r="E1054" t="s">
        <v>228</v>
      </c>
      <c r="F1054">
        <v>19</v>
      </c>
      <c r="G1054" s="705">
        <v>1421</v>
      </c>
      <c r="H1054" s="705">
        <v>1195</v>
      </c>
      <c r="I1054" s="705">
        <v>-19783</v>
      </c>
      <c r="J1054" s="705">
        <v>-7327</v>
      </c>
      <c r="K1054" s="705">
        <v>495</v>
      </c>
      <c r="L1054">
        <v>0</v>
      </c>
      <c r="M1054">
        <v>0</v>
      </c>
      <c r="N1054" s="705">
        <v>17316</v>
      </c>
      <c r="O1054" s="705">
        <v>6413</v>
      </c>
      <c r="P1054" s="705">
        <v>18505</v>
      </c>
      <c r="Q1054" s="705">
        <v>6854</v>
      </c>
      <c r="R1054" s="705">
        <v>71517</v>
      </c>
      <c r="S1054" s="705">
        <v>26488</v>
      </c>
      <c r="T1054">
        <v>0</v>
      </c>
      <c r="U1054">
        <v>0</v>
      </c>
      <c r="V1054" s="705">
        <v>32428</v>
      </c>
      <c r="W1054" s="705">
        <f t="shared" si="48"/>
        <v>47082</v>
      </c>
      <c r="X1054" s="705">
        <f t="shared" si="49"/>
        <v>127121</v>
      </c>
    </row>
    <row r="1055" spans="2:24">
      <c r="B1055" t="s">
        <v>700</v>
      </c>
      <c r="C1055" t="s">
        <v>108</v>
      </c>
      <c r="D1055" t="s">
        <v>584</v>
      </c>
      <c r="E1055" t="s">
        <v>584</v>
      </c>
      <c r="F1055" s="705">
        <v>5</v>
      </c>
      <c r="G1055" s="705">
        <v>487</v>
      </c>
      <c r="H1055" s="705">
        <v>255</v>
      </c>
      <c r="I1055" s="705">
        <v>-2321</v>
      </c>
      <c r="J1055" s="705">
        <v>-2110</v>
      </c>
      <c r="K1055" s="705">
        <v>90</v>
      </c>
      <c r="L1055">
        <v>0</v>
      </c>
      <c r="M1055">
        <v>0</v>
      </c>
      <c r="N1055" s="705">
        <v>5935</v>
      </c>
      <c r="O1055" s="705">
        <v>2198</v>
      </c>
      <c r="P1055" s="705">
        <v>6742</v>
      </c>
      <c r="Q1055" s="705">
        <v>2497</v>
      </c>
      <c r="R1055" s="705">
        <v>14519</v>
      </c>
      <c r="S1055" s="705">
        <v>13199</v>
      </c>
      <c r="T1055">
        <v>0</v>
      </c>
      <c r="U1055">
        <v>0</v>
      </c>
      <c r="V1055" s="705">
        <v>15784</v>
      </c>
      <c r="W1055" s="705">
        <f t="shared" si="48"/>
        <v>20004</v>
      </c>
      <c r="X1055" s="705">
        <f t="shared" si="49"/>
        <v>29517</v>
      </c>
    </row>
    <row r="1056" spans="2:24">
      <c r="B1056" t="s">
        <v>700</v>
      </c>
      <c r="C1056" t="s">
        <v>112</v>
      </c>
      <c r="D1056" t="s">
        <v>584</v>
      </c>
      <c r="E1056" t="s">
        <v>584</v>
      </c>
      <c r="F1056" s="705">
        <v>12</v>
      </c>
      <c r="G1056" s="705">
        <v>935</v>
      </c>
      <c r="H1056" s="705">
        <v>1420</v>
      </c>
      <c r="I1056" s="705">
        <v>32871</v>
      </c>
      <c r="J1056" s="705">
        <v>29883</v>
      </c>
      <c r="K1056" s="705">
        <v>85</v>
      </c>
      <c r="L1056">
        <v>970</v>
      </c>
      <c r="M1056">
        <v>359</v>
      </c>
      <c r="N1056" s="705">
        <v>17411</v>
      </c>
      <c r="O1056" s="705">
        <v>6448</v>
      </c>
      <c r="P1056" s="705">
        <v>5670</v>
      </c>
      <c r="Q1056" s="705">
        <v>2100</v>
      </c>
      <c r="R1056" s="705">
        <v>49870</v>
      </c>
      <c r="S1056" s="705">
        <v>45336</v>
      </c>
      <c r="T1056" s="705">
        <v>4068</v>
      </c>
      <c r="U1056" s="705">
        <v>1507</v>
      </c>
      <c r="V1056" s="705">
        <v>85633</v>
      </c>
      <c r="W1056" s="705">
        <f t="shared" si="48"/>
        <v>85633</v>
      </c>
      <c r="X1056" s="705">
        <f t="shared" si="49"/>
        <v>110860</v>
      </c>
    </row>
    <row r="1057" spans="2:24">
      <c r="B1057" t="s">
        <v>700</v>
      </c>
      <c r="C1057" t="s">
        <v>114</v>
      </c>
      <c r="D1057" t="s">
        <v>228</v>
      </c>
      <c r="E1057" t="s">
        <v>228</v>
      </c>
      <c r="F1057" s="705">
        <v>4</v>
      </c>
      <c r="G1057" s="705">
        <v>311</v>
      </c>
      <c r="H1057" s="705">
        <v>550</v>
      </c>
      <c r="I1057" s="705">
        <v>9913</v>
      </c>
      <c r="J1057" s="705">
        <v>3671</v>
      </c>
      <c r="K1057" s="705">
        <v>100</v>
      </c>
      <c r="L1057" s="705">
        <v>1298</v>
      </c>
      <c r="M1057">
        <v>481</v>
      </c>
      <c r="N1057" s="705">
        <v>5702</v>
      </c>
      <c r="O1057" s="705">
        <v>2112</v>
      </c>
      <c r="P1057">
        <v>0</v>
      </c>
      <c r="Q1057">
        <v>0</v>
      </c>
      <c r="R1057" s="705">
        <v>25864</v>
      </c>
      <c r="S1057" s="705">
        <v>9579</v>
      </c>
      <c r="T1057">
        <v>0</v>
      </c>
      <c r="U1057">
        <v>0</v>
      </c>
      <c r="V1057" s="705">
        <v>15843</v>
      </c>
      <c r="W1057" s="705">
        <f t="shared" si="48"/>
        <v>15843</v>
      </c>
      <c r="X1057" s="705">
        <f t="shared" si="49"/>
        <v>42777</v>
      </c>
    </row>
    <row r="1058" spans="2:24">
      <c r="B1058" t="s">
        <v>700</v>
      </c>
      <c r="C1058" t="s">
        <v>114</v>
      </c>
      <c r="D1058" t="s">
        <v>584</v>
      </c>
      <c r="E1058" t="s">
        <v>584</v>
      </c>
      <c r="F1058" s="705">
        <v>37</v>
      </c>
      <c r="G1058" s="705">
        <v>2945</v>
      </c>
      <c r="H1058" s="705">
        <v>5070</v>
      </c>
      <c r="I1058" s="705">
        <v>133890</v>
      </c>
      <c r="J1058" s="705">
        <v>121718</v>
      </c>
      <c r="K1058" s="705">
        <v>80</v>
      </c>
      <c r="L1058" s="705">
        <v>4686</v>
      </c>
      <c r="M1058" s="705">
        <v>2677</v>
      </c>
      <c r="N1058" s="705">
        <v>59680</v>
      </c>
      <c r="O1058" s="705">
        <v>22104</v>
      </c>
      <c r="P1058" s="705">
        <v>17834</v>
      </c>
      <c r="Q1058" s="705">
        <v>6605</v>
      </c>
      <c r="R1058" s="705">
        <v>166193</v>
      </c>
      <c r="S1058" s="705">
        <v>151085</v>
      </c>
      <c r="T1058" s="705">
        <v>23908</v>
      </c>
      <c r="U1058" s="705">
        <v>8855</v>
      </c>
      <c r="V1058" s="705">
        <v>313043</v>
      </c>
      <c r="W1058" s="705">
        <f t="shared" si="48"/>
        <v>313044</v>
      </c>
      <c r="X1058" s="705">
        <f t="shared" si="49"/>
        <v>406191</v>
      </c>
    </row>
    <row r="1059" spans="2:24">
      <c r="B1059" t="s">
        <v>700</v>
      </c>
      <c r="C1059" t="s">
        <v>116</v>
      </c>
      <c r="F1059">
        <v>11</v>
      </c>
      <c r="G1059">
        <v>764</v>
      </c>
      <c r="H1059" s="705">
        <v>2040</v>
      </c>
      <c r="J1059">
        <v>0</v>
      </c>
      <c r="K1059" s="705"/>
      <c r="M1059">
        <v>0</v>
      </c>
      <c r="N1059" s="705">
        <v>11507</v>
      </c>
      <c r="O1059" s="705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705">
        <v>4392</v>
      </c>
      <c r="W1059" s="705">
        <f t="shared" si="48"/>
        <v>4392</v>
      </c>
      <c r="X1059" s="705">
        <f t="shared" si="49"/>
        <v>11858</v>
      </c>
    </row>
    <row r="1060" spans="2:24">
      <c r="B1060" t="s">
        <v>700</v>
      </c>
      <c r="C1060" t="s">
        <v>116</v>
      </c>
      <c r="D1060" t="s">
        <v>228</v>
      </c>
      <c r="E1060" t="s">
        <v>228</v>
      </c>
      <c r="F1060">
        <v>155</v>
      </c>
      <c r="G1060" s="705">
        <v>9951</v>
      </c>
      <c r="H1060" s="705">
        <v>31469</v>
      </c>
      <c r="I1060" s="705">
        <v>824456</v>
      </c>
      <c r="J1060" s="705">
        <v>305354</v>
      </c>
      <c r="K1060" s="705">
        <v>100</v>
      </c>
      <c r="L1060" s="705">
        <v>92021</v>
      </c>
      <c r="M1060" s="705">
        <v>119279</v>
      </c>
      <c r="N1060" s="705">
        <v>188989</v>
      </c>
      <c r="O1060" s="705">
        <v>69996</v>
      </c>
      <c r="P1060">
        <v>702</v>
      </c>
      <c r="Q1060">
        <v>260</v>
      </c>
      <c r="R1060" s="705">
        <v>912748</v>
      </c>
      <c r="S1060" s="705">
        <v>338055</v>
      </c>
      <c r="T1060" s="705">
        <v>1849</v>
      </c>
      <c r="U1060">
        <v>685</v>
      </c>
      <c r="V1060" s="705">
        <v>833629</v>
      </c>
      <c r="W1060" s="705">
        <f t="shared" si="48"/>
        <v>833629</v>
      </c>
      <c r="X1060" s="705">
        <f t="shared" si="49"/>
        <v>2020765</v>
      </c>
    </row>
    <row r="1061" spans="2:24">
      <c r="B1061" t="s">
        <v>700</v>
      </c>
      <c r="C1061" t="s">
        <v>116</v>
      </c>
      <c r="D1061" t="s">
        <v>583</v>
      </c>
      <c r="E1061" t="s">
        <v>228</v>
      </c>
      <c r="F1061">
        <v>1</v>
      </c>
      <c r="G1061">
        <v>54</v>
      </c>
      <c r="H1061" s="705">
        <v>223</v>
      </c>
      <c r="I1061" s="705">
        <v>7320</v>
      </c>
      <c r="J1061" s="705">
        <v>6655</v>
      </c>
      <c r="K1061" s="705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705">
        <v>3518</v>
      </c>
      <c r="S1061" s="705">
        <v>1303</v>
      </c>
      <c r="T1061">
        <v>0</v>
      </c>
      <c r="U1061">
        <v>0</v>
      </c>
      <c r="V1061" s="705">
        <v>8433</v>
      </c>
      <c r="W1061" s="705">
        <f t="shared" si="48"/>
        <v>8434</v>
      </c>
      <c r="X1061" s="705">
        <f t="shared" si="49"/>
        <v>12123</v>
      </c>
    </row>
    <row r="1062" spans="2:24">
      <c r="B1062" t="s">
        <v>700</v>
      </c>
      <c r="C1062" t="s">
        <v>116</v>
      </c>
      <c r="D1062" t="s">
        <v>584</v>
      </c>
      <c r="E1062" t="s">
        <v>584</v>
      </c>
      <c r="F1062">
        <v>291</v>
      </c>
      <c r="G1062" s="705">
        <v>19693</v>
      </c>
      <c r="H1062" s="705">
        <v>54277</v>
      </c>
      <c r="I1062" s="705">
        <v>1591479</v>
      </c>
      <c r="J1062" s="705">
        <v>1446799</v>
      </c>
      <c r="K1062" s="705">
        <v>80</v>
      </c>
      <c r="L1062" s="705">
        <v>136156</v>
      </c>
      <c r="M1062" s="705">
        <v>97200</v>
      </c>
      <c r="N1062" s="705">
        <v>406814</v>
      </c>
      <c r="O1062" s="705">
        <v>150672</v>
      </c>
      <c r="P1062" s="705">
        <v>138443</v>
      </c>
      <c r="Q1062" s="705">
        <v>51275</v>
      </c>
      <c r="R1062" s="705">
        <v>1195978</v>
      </c>
      <c r="S1062" s="705">
        <v>1087253</v>
      </c>
      <c r="T1062" s="705">
        <v>199692</v>
      </c>
      <c r="U1062" s="705">
        <v>73960</v>
      </c>
      <c r="V1062" s="705">
        <v>2907159</v>
      </c>
      <c r="W1062" s="705">
        <f t="shared" si="48"/>
        <v>2907159</v>
      </c>
      <c r="X1062" s="705">
        <f t="shared" si="49"/>
        <v>3668562</v>
      </c>
    </row>
    <row r="1063" spans="2:24">
      <c r="B1063" t="s">
        <v>700</v>
      </c>
      <c r="C1063" t="s">
        <v>118</v>
      </c>
      <c r="F1063" s="705">
        <v>4</v>
      </c>
      <c r="G1063" s="705">
        <v>207</v>
      </c>
      <c r="H1063" s="705">
        <v>941</v>
      </c>
      <c r="J1063" s="705">
        <v>0</v>
      </c>
      <c r="K1063" s="705"/>
      <c r="M1063">
        <v>0</v>
      </c>
      <c r="N1063" s="705">
        <v>2810</v>
      </c>
      <c r="O1063" s="705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705">
        <v>1216</v>
      </c>
      <c r="W1063" s="705">
        <f t="shared" si="48"/>
        <v>1216</v>
      </c>
      <c r="X1063" s="705">
        <f t="shared" si="49"/>
        <v>3283</v>
      </c>
    </row>
    <row r="1064" spans="2:24">
      <c r="B1064" t="s">
        <v>700</v>
      </c>
      <c r="C1064" t="s">
        <v>118</v>
      </c>
      <c r="D1064" t="s">
        <v>228</v>
      </c>
      <c r="E1064" t="s">
        <v>228</v>
      </c>
      <c r="F1064" s="705">
        <v>249</v>
      </c>
      <c r="G1064" s="705">
        <v>15542</v>
      </c>
      <c r="H1064" s="705">
        <v>65503</v>
      </c>
      <c r="I1064" s="705">
        <v>2025576</v>
      </c>
      <c r="J1064" s="705">
        <v>750213</v>
      </c>
      <c r="K1064" s="705">
        <v>100</v>
      </c>
      <c r="L1064" s="705">
        <v>258770</v>
      </c>
      <c r="M1064" s="705">
        <v>103704</v>
      </c>
      <c r="N1064" s="705">
        <v>319060</v>
      </c>
      <c r="O1064" s="705">
        <v>118170</v>
      </c>
      <c r="P1064" s="705">
        <v>3022</v>
      </c>
      <c r="Q1064" s="705">
        <v>1119</v>
      </c>
      <c r="R1064" s="705">
        <v>1476424</v>
      </c>
      <c r="S1064" s="705">
        <v>546824</v>
      </c>
      <c r="T1064">
        <v>0</v>
      </c>
      <c r="U1064">
        <v>0</v>
      </c>
      <c r="V1064" s="705">
        <v>1520031</v>
      </c>
      <c r="W1064" s="705">
        <f t="shared" si="48"/>
        <v>1520030</v>
      </c>
      <c r="X1064" s="705">
        <f t="shared" si="49"/>
        <v>4082852</v>
      </c>
    </row>
    <row r="1065" spans="2:24">
      <c r="B1065" t="s">
        <v>700</v>
      </c>
      <c r="C1065" t="s">
        <v>118</v>
      </c>
      <c r="D1065" t="s">
        <v>583</v>
      </c>
      <c r="E1065" t="s">
        <v>583</v>
      </c>
      <c r="F1065">
        <v>1</v>
      </c>
      <c r="G1065" s="705">
        <v>102</v>
      </c>
      <c r="H1065" s="705">
        <v>256</v>
      </c>
      <c r="I1065" s="705">
        <v>13522</v>
      </c>
      <c r="J1065" s="705">
        <v>12293</v>
      </c>
      <c r="K1065" s="705">
        <v>65</v>
      </c>
      <c r="L1065" s="705">
        <v>1548</v>
      </c>
      <c r="M1065" s="705">
        <v>1407</v>
      </c>
      <c r="N1065" s="705">
        <v>2485</v>
      </c>
      <c r="O1065">
        <v>921</v>
      </c>
      <c r="P1065">
        <v>621</v>
      </c>
      <c r="Q1065">
        <v>230</v>
      </c>
      <c r="R1065" s="705">
        <v>7968</v>
      </c>
      <c r="S1065" s="705">
        <v>7243</v>
      </c>
      <c r="T1065">
        <v>0</v>
      </c>
      <c r="U1065">
        <v>0</v>
      </c>
      <c r="V1065" s="705">
        <v>22094</v>
      </c>
      <c r="W1065" s="705">
        <f t="shared" si="48"/>
        <v>22094</v>
      </c>
      <c r="X1065" s="705">
        <f t="shared" si="49"/>
        <v>26144</v>
      </c>
    </row>
    <row r="1066" spans="2:24">
      <c r="B1066" t="s">
        <v>700</v>
      </c>
      <c r="C1066" t="s">
        <v>118</v>
      </c>
      <c r="D1066" t="s">
        <v>584</v>
      </c>
      <c r="E1066" t="s">
        <v>584</v>
      </c>
      <c r="F1066">
        <v>55</v>
      </c>
      <c r="G1066" s="705">
        <v>3430</v>
      </c>
      <c r="H1066" s="705">
        <v>13953</v>
      </c>
      <c r="I1066" s="705">
        <v>424742</v>
      </c>
      <c r="J1066" s="705">
        <v>386129</v>
      </c>
      <c r="K1066" s="705">
        <v>77</v>
      </c>
      <c r="L1066" s="705">
        <v>64283</v>
      </c>
      <c r="M1066" s="705">
        <v>48936</v>
      </c>
      <c r="N1066" s="705">
        <v>72283</v>
      </c>
      <c r="O1066" s="705">
        <v>26772</v>
      </c>
      <c r="P1066" s="705">
        <v>25988</v>
      </c>
      <c r="Q1066" s="705">
        <v>9625</v>
      </c>
      <c r="R1066" s="705">
        <v>244491</v>
      </c>
      <c r="S1066" s="705">
        <v>222265</v>
      </c>
      <c r="T1066" s="705">
        <v>38357</v>
      </c>
      <c r="U1066" s="705">
        <v>14206</v>
      </c>
      <c r="V1066" s="705">
        <v>707933</v>
      </c>
      <c r="W1066" s="705">
        <f t="shared" si="48"/>
        <v>707933</v>
      </c>
      <c r="X1066" s="705">
        <f t="shared" si="49"/>
        <v>870144</v>
      </c>
    </row>
    <row r="1067" spans="2:24">
      <c r="B1067" t="s">
        <v>700</v>
      </c>
      <c r="C1067" t="s">
        <v>120</v>
      </c>
      <c r="F1067">
        <v>1</v>
      </c>
      <c r="G1067" s="705">
        <v>51</v>
      </c>
      <c r="H1067" s="705">
        <v>300</v>
      </c>
      <c r="J1067" s="705">
        <v>0</v>
      </c>
      <c r="K1067" s="705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705">
        <f t="shared" ref="W1067:W1130" si="50">SUM(ABS(J1067),ABS(M1067),ABS(O1067),ABS(Q1067),ABS(S1067),ABS(U1067))</f>
        <v>229</v>
      </c>
      <c r="X1067" s="705">
        <f t="shared" ref="X1067:X1130" si="51">SUM(ABS(I1067),ABS(N1067),ABS(P1067),ABS(R1067),ABS(T1067),ABS(L1067))</f>
        <v>617</v>
      </c>
    </row>
    <row r="1068" spans="2:24">
      <c r="B1068" t="s">
        <v>700</v>
      </c>
      <c r="C1068" t="s">
        <v>120</v>
      </c>
      <c r="D1068" t="s">
        <v>228</v>
      </c>
      <c r="E1068" t="s">
        <v>228</v>
      </c>
      <c r="F1068">
        <v>118</v>
      </c>
      <c r="G1068" s="705">
        <v>6982</v>
      </c>
      <c r="H1068" s="705">
        <v>39928</v>
      </c>
      <c r="I1068" s="705">
        <v>1354231</v>
      </c>
      <c r="J1068" s="705">
        <v>501567</v>
      </c>
      <c r="K1068" s="705">
        <v>100</v>
      </c>
      <c r="L1068" s="705">
        <v>144991</v>
      </c>
      <c r="M1068" s="705">
        <v>60898</v>
      </c>
      <c r="N1068" s="705">
        <v>147510</v>
      </c>
      <c r="O1068" s="705">
        <v>54633</v>
      </c>
      <c r="P1068" s="705">
        <v>1855</v>
      </c>
      <c r="Q1068">
        <v>687</v>
      </c>
      <c r="R1068" s="705">
        <v>712821</v>
      </c>
      <c r="S1068" s="705">
        <v>264008</v>
      </c>
      <c r="T1068">
        <v>0</v>
      </c>
      <c r="U1068">
        <v>0</v>
      </c>
      <c r="V1068" s="705">
        <v>881794</v>
      </c>
      <c r="W1068" s="705">
        <f t="shared" si="50"/>
        <v>881793</v>
      </c>
      <c r="X1068" s="705">
        <f t="shared" si="51"/>
        <v>2361408</v>
      </c>
    </row>
    <row r="1069" spans="2:24">
      <c r="B1069" t="s">
        <v>700</v>
      </c>
      <c r="C1069" t="s">
        <v>120</v>
      </c>
      <c r="D1069" t="s">
        <v>583</v>
      </c>
      <c r="E1069" t="s">
        <v>228</v>
      </c>
      <c r="F1069">
        <v>1</v>
      </c>
      <c r="G1069">
        <v>45</v>
      </c>
      <c r="H1069" s="705">
        <v>343</v>
      </c>
      <c r="I1069" s="705">
        <v>9144</v>
      </c>
      <c r="J1069" s="705">
        <v>8313</v>
      </c>
      <c r="K1069" s="705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705">
        <v>4917</v>
      </c>
      <c r="S1069" s="705">
        <v>1821</v>
      </c>
      <c r="T1069">
        <v>0</v>
      </c>
      <c r="U1069">
        <v>0</v>
      </c>
      <c r="V1069" s="705">
        <v>10636</v>
      </c>
      <c r="W1069" s="705">
        <f t="shared" si="50"/>
        <v>10636</v>
      </c>
      <c r="X1069" s="705">
        <f t="shared" si="51"/>
        <v>15416</v>
      </c>
    </row>
    <row r="1070" spans="2:24">
      <c r="B1070" t="s">
        <v>700</v>
      </c>
      <c r="C1070" t="s">
        <v>120</v>
      </c>
      <c r="D1070" t="s">
        <v>584</v>
      </c>
      <c r="E1070" t="s">
        <v>584</v>
      </c>
      <c r="F1070">
        <v>12</v>
      </c>
      <c r="G1070">
        <v>707</v>
      </c>
      <c r="H1070" s="705">
        <v>3896</v>
      </c>
      <c r="I1070" s="705">
        <v>131815</v>
      </c>
      <c r="J1070" s="705">
        <v>119832</v>
      </c>
      <c r="K1070" s="705">
        <v>78</v>
      </c>
      <c r="L1070" s="705">
        <v>20478</v>
      </c>
      <c r="M1070" s="705">
        <v>18233</v>
      </c>
      <c r="N1070" s="705">
        <v>15252</v>
      </c>
      <c r="O1070" s="705">
        <v>5649</v>
      </c>
      <c r="P1070" s="705">
        <v>5670</v>
      </c>
      <c r="Q1070" s="705">
        <v>2100</v>
      </c>
      <c r="R1070" s="705">
        <v>47923</v>
      </c>
      <c r="S1070" s="705">
        <v>43567</v>
      </c>
      <c r="T1070" s="705">
        <v>7372</v>
      </c>
      <c r="U1070" s="705">
        <v>2730</v>
      </c>
      <c r="V1070" s="705">
        <v>192111</v>
      </c>
      <c r="W1070" s="705">
        <f t="shared" si="50"/>
        <v>192111</v>
      </c>
      <c r="X1070" s="705">
        <f t="shared" si="51"/>
        <v>228510</v>
      </c>
    </row>
    <row r="1071" spans="2:24">
      <c r="B1071" t="s">
        <v>700</v>
      </c>
      <c r="C1071" t="s">
        <v>122</v>
      </c>
      <c r="D1071" t="s">
        <v>228</v>
      </c>
      <c r="E1071" t="s">
        <v>228</v>
      </c>
      <c r="F1071">
        <v>21</v>
      </c>
      <c r="G1071" s="705">
        <v>1207</v>
      </c>
      <c r="H1071" s="705">
        <v>8561</v>
      </c>
      <c r="I1071" s="705">
        <v>309206</v>
      </c>
      <c r="J1071" s="705">
        <v>114521</v>
      </c>
      <c r="K1071" s="705">
        <v>100</v>
      </c>
      <c r="L1071" s="705">
        <v>36818</v>
      </c>
      <c r="M1071" s="705">
        <v>18323</v>
      </c>
      <c r="N1071" s="705">
        <v>27112</v>
      </c>
      <c r="O1071" s="705">
        <v>10042</v>
      </c>
      <c r="P1071">
        <v>702</v>
      </c>
      <c r="Q1071">
        <v>260</v>
      </c>
      <c r="R1071" s="705">
        <v>121198</v>
      </c>
      <c r="S1071" s="705">
        <v>44888</v>
      </c>
      <c r="T1071">
        <v>0</v>
      </c>
      <c r="U1071">
        <v>0</v>
      </c>
      <c r="V1071" s="705">
        <v>188034</v>
      </c>
      <c r="W1071" s="705">
        <f t="shared" si="50"/>
        <v>188034</v>
      </c>
      <c r="X1071" s="705">
        <f t="shared" si="51"/>
        <v>495036</v>
      </c>
    </row>
    <row r="1072" spans="2:24">
      <c r="B1072" t="s">
        <v>700</v>
      </c>
      <c r="C1072" t="s">
        <v>122</v>
      </c>
      <c r="D1072" t="s">
        <v>583</v>
      </c>
      <c r="E1072" t="s">
        <v>228</v>
      </c>
      <c r="F1072" s="705">
        <v>1</v>
      </c>
      <c r="G1072" s="705">
        <v>69</v>
      </c>
      <c r="H1072" s="705">
        <v>398</v>
      </c>
      <c r="I1072" s="705">
        <v>18012</v>
      </c>
      <c r="J1072" s="705">
        <v>16375</v>
      </c>
      <c r="K1072" s="705">
        <v>70</v>
      </c>
      <c r="L1072" s="705">
        <v>2420</v>
      </c>
      <c r="M1072" s="705">
        <v>2016</v>
      </c>
      <c r="N1072" s="705">
        <v>1314</v>
      </c>
      <c r="O1072">
        <v>487</v>
      </c>
      <c r="P1072">
        <v>621</v>
      </c>
      <c r="Q1072">
        <v>230</v>
      </c>
      <c r="R1072" s="705">
        <v>4996</v>
      </c>
      <c r="S1072" s="705">
        <v>1850</v>
      </c>
      <c r="T1072">
        <v>0</v>
      </c>
      <c r="U1072">
        <v>0</v>
      </c>
      <c r="V1072" s="705">
        <v>20958</v>
      </c>
      <c r="W1072" s="705">
        <f t="shared" si="50"/>
        <v>20958</v>
      </c>
      <c r="X1072" s="705">
        <f t="shared" si="51"/>
        <v>27363</v>
      </c>
    </row>
    <row r="1073" spans="2:24">
      <c r="B1073" t="s">
        <v>700</v>
      </c>
      <c r="C1073" t="s">
        <v>124</v>
      </c>
      <c r="D1073" t="s">
        <v>228</v>
      </c>
      <c r="E1073" t="s">
        <v>228</v>
      </c>
      <c r="F1073" s="705">
        <v>8</v>
      </c>
      <c r="G1073" s="705">
        <v>484</v>
      </c>
      <c r="H1073" s="705">
        <v>4326</v>
      </c>
      <c r="I1073" s="705">
        <v>187258</v>
      </c>
      <c r="J1073" s="705">
        <v>69355</v>
      </c>
      <c r="K1073" s="705">
        <v>100</v>
      </c>
      <c r="L1073" s="705">
        <v>8476</v>
      </c>
      <c r="M1073" s="705">
        <v>3139</v>
      </c>
      <c r="N1073" s="705">
        <v>10427</v>
      </c>
      <c r="O1073" s="705">
        <v>3862</v>
      </c>
      <c r="P1073">
        <v>0</v>
      </c>
      <c r="Q1073">
        <v>0</v>
      </c>
      <c r="R1073" s="705">
        <v>45454</v>
      </c>
      <c r="S1073" s="705">
        <v>16835</v>
      </c>
      <c r="T1073">
        <v>0</v>
      </c>
      <c r="U1073">
        <v>0</v>
      </c>
      <c r="V1073" s="705">
        <v>93190</v>
      </c>
      <c r="W1073" s="705">
        <f t="shared" si="50"/>
        <v>93191</v>
      </c>
      <c r="X1073" s="705">
        <f t="shared" si="51"/>
        <v>251615</v>
      </c>
    </row>
    <row r="1074" spans="2:24">
      <c r="B1074" t="s">
        <v>700</v>
      </c>
      <c r="C1074" t="s">
        <v>124</v>
      </c>
      <c r="D1074" t="s">
        <v>583</v>
      </c>
      <c r="E1074" t="s">
        <v>583</v>
      </c>
      <c r="F1074">
        <v>1</v>
      </c>
      <c r="G1074" s="705">
        <v>90</v>
      </c>
      <c r="H1074" s="705">
        <v>513</v>
      </c>
      <c r="I1074" s="705">
        <v>29356</v>
      </c>
      <c r="J1074" s="705">
        <v>26688</v>
      </c>
      <c r="K1074" s="705">
        <v>65</v>
      </c>
      <c r="L1074" s="705">
        <v>7330</v>
      </c>
      <c r="M1074" s="705">
        <v>6109</v>
      </c>
      <c r="N1074" s="705">
        <v>2026</v>
      </c>
      <c r="O1074">
        <v>750</v>
      </c>
      <c r="P1074">
        <v>621</v>
      </c>
      <c r="Q1074">
        <v>230</v>
      </c>
      <c r="R1074" s="705">
        <v>6765</v>
      </c>
      <c r="S1074" s="705">
        <v>6150</v>
      </c>
      <c r="T1074">
        <v>0</v>
      </c>
      <c r="U1074">
        <v>0</v>
      </c>
      <c r="V1074" s="705">
        <v>39927</v>
      </c>
      <c r="W1074" s="705">
        <f t="shared" si="50"/>
        <v>39927</v>
      </c>
      <c r="X1074" s="705">
        <f t="shared" si="51"/>
        <v>46098</v>
      </c>
    </row>
    <row r="1075" spans="2:24">
      <c r="B1075" t="s">
        <v>700</v>
      </c>
      <c r="C1075" t="s">
        <v>124</v>
      </c>
      <c r="D1075" t="s">
        <v>584</v>
      </c>
      <c r="E1075" t="s">
        <v>584</v>
      </c>
      <c r="F1075">
        <v>2</v>
      </c>
      <c r="G1075" s="705">
        <v>206</v>
      </c>
      <c r="H1075" s="705">
        <v>1110</v>
      </c>
      <c r="I1075" s="705">
        <v>86900</v>
      </c>
      <c r="J1075" s="705">
        <v>79000</v>
      </c>
      <c r="K1075" s="705">
        <v>67</v>
      </c>
      <c r="L1075" s="705">
        <v>13754</v>
      </c>
      <c r="M1075" s="705">
        <v>11849</v>
      </c>
      <c r="N1075" s="705">
        <v>5008</v>
      </c>
      <c r="O1075" s="705">
        <v>1855</v>
      </c>
      <c r="P1075">
        <v>824</v>
      </c>
      <c r="Q1075">
        <v>305</v>
      </c>
      <c r="R1075" s="705">
        <v>9316</v>
      </c>
      <c r="S1075" s="705">
        <v>8469</v>
      </c>
      <c r="T1075" s="705">
        <v>4710</v>
      </c>
      <c r="U1075" s="705">
        <v>1744</v>
      </c>
      <c r="V1075" s="705">
        <v>103222</v>
      </c>
      <c r="W1075" s="705">
        <f t="shared" si="50"/>
        <v>103222</v>
      </c>
      <c r="X1075" s="705">
        <f t="shared" si="51"/>
        <v>120512</v>
      </c>
    </row>
    <row r="1076" spans="2:24">
      <c r="B1076" t="s">
        <v>701</v>
      </c>
      <c r="C1076" t="s">
        <v>108</v>
      </c>
      <c r="D1076" t="s">
        <v>228</v>
      </c>
      <c r="E1076" t="s">
        <v>228</v>
      </c>
      <c r="F1076" s="705">
        <v>41</v>
      </c>
      <c r="G1076" s="705">
        <v>2829</v>
      </c>
      <c r="H1076" s="705">
        <v>2700</v>
      </c>
      <c r="I1076" s="705">
        <v>1353</v>
      </c>
      <c r="J1076" s="705">
        <v>501</v>
      </c>
      <c r="K1076" s="705">
        <v>408</v>
      </c>
      <c r="L1076">
        <v>170</v>
      </c>
      <c r="M1076">
        <v>63</v>
      </c>
      <c r="N1076" s="705">
        <v>41026</v>
      </c>
      <c r="O1076" s="705">
        <v>15195</v>
      </c>
      <c r="P1076" s="705">
        <v>19160</v>
      </c>
      <c r="Q1076" s="705">
        <v>7096</v>
      </c>
      <c r="R1076" s="705">
        <v>122055</v>
      </c>
      <c r="S1076" s="705">
        <v>45205</v>
      </c>
      <c r="T1076">
        <v>0</v>
      </c>
      <c r="U1076">
        <v>0</v>
      </c>
      <c r="V1076" s="705">
        <v>68061</v>
      </c>
      <c r="W1076" s="705">
        <f t="shared" si="50"/>
        <v>68060</v>
      </c>
      <c r="X1076" s="705">
        <f t="shared" si="51"/>
        <v>183764</v>
      </c>
    </row>
    <row r="1077" spans="2:24">
      <c r="B1077" t="s">
        <v>701</v>
      </c>
      <c r="C1077" t="s">
        <v>108</v>
      </c>
      <c r="D1077" t="s">
        <v>584</v>
      </c>
      <c r="E1077" t="s">
        <v>584</v>
      </c>
      <c r="F1077">
        <v>42</v>
      </c>
      <c r="G1077" s="705">
        <v>3571</v>
      </c>
      <c r="H1077" s="705">
        <v>2580</v>
      </c>
      <c r="I1077" s="705">
        <v>-20867</v>
      </c>
      <c r="J1077" s="705">
        <v>-18970</v>
      </c>
      <c r="K1077" s="705">
        <v>91</v>
      </c>
      <c r="L1077">
        <v>0</v>
      </c>
      <c r="M1077">
        <v>0</v>
      </c>
      <c r="N1077" s="705">
        <v>43511</v>
      </c>
      <c r="O1077" s="705">
        <v>16115</v>
      </c>
      <c r="P1077" s="705">
        <v>43136</v>
      </c>
      <c r="Q1077" s="705">
        <v>15976</v>
      </c>
      <c r="R1077" s="705">
        <v>150750</v>
      </c>
      <c r="S1077" s="705">
        <v>137045</v>
      </c>
      <c r="T1077">
        <v>0</v>
      </c>
      <c r="U1077">
        <v>0</v>
      </c>
      <c r="V1077" s="705">
        <v>150166</v>
      </c>
      <c r="W1077" s="705">
        <f t="shared" si="50"/>
        <v>188106</v>
      </c>
      <c r="X1077" s="705">
        <f t="shared" si="51"/>
        <v>258264</v>
      </c>
    </row>
    <row r="1078" spans="2:24">
      <c r="B1078" t="s">
        <v>701</v>
      </c>
      <c r="C1078" t="s">
        <v>110</v>
      </c>
      <c r="D1078" t="s">
        <v>228</v>
      </c>
      <c r="E1078" t="s">
        <v>228</v>
      </c>
      <c r="F1078">
        <v>57</v>
      </c>
      <c r="G1078" s="705">
        <v>3057</v>
      </c>
      <c r="H1078" s="705">
        <v>4893</v>
      </c>
      <c r="I1078" s="705">
        <v>93347</v>
      </c>
      <c r="J1078" s="705">
        <v>34573</v>
      </c>
      <c r="K1078" s="705">
        <v>337</v>
      </c>
      <c r="L1078">
        <v>483</v>
      </c>
      <c r="M1078">
        <v>179</v>
      </c>
      <c r="N1078" s="705">
        <v>40828</v>
      </c>
      <c r="O1078" s="705">
        <v>15121</v>
      </c>
      <c r="P1078" s="705">
        <v>20129</v>
      </c>
      <c r="Q1078" s="705">
        <v>7455</v>
      </c>
      <c r="R1078" s="705">
        <v>105922</v>
      </c>
      <c r="S1078" s="705">
        <v>39231</v>
      </c>
      <c r="T1078">
        <v>0</v>
      </c>
      <c r="U1078">
        <v>0</v>
      </c>
      <c r="V1078" s="705">
        <v>96559</v>
      </c>
      <c r="W1078" s="705">
        <f t="shared" si="50"/>
        <v>96559</v>
      </c>
      <c r="X1078" s="705">
        <f t="shared" si="51"/>
        <v>260709</v>
      </c>
    </row>
    <row r="1079" spans="2:24">
      <c r="B1079" t="s">
        <v>701</v>
      </c>
      <c r="C1079" t="s">
        <v>110</v>
      </c>
      <c r="D1079" t="s">
        <v>584</v>
      </c>
      <c r="E1079" t="s">
        <v>584</v>
      </c>
      <c r="F1079" s="705">
        <v>140</v>
      </c>
      <c r="G1079" s="705">
        <v>10083</v>
      </c>
      <c r="H1079" s="705">
        <v>12245</v>
      </c>
      <c r="I1079" s="705">
        <v>148945</v>
      </c>
      <c r="J1079" s="705">
        <v>135405</v>
      </c>
      <c r="K1079" s="705">
        <v>87</v>
      </c>
      <c r="L1079" s="705">
        <v>1134</v>
      </c>
      <c r="M1079">
        <v>420</v>
      </c>
      <c r="N1079" s="705">
        <v>164836</v>
      </c>
      <c r="O1079" s="705">
        <v>61050</v>
      </c>
      <c r="P1079" s="705">
        <v>66943</v>
      </c>
      <c r="Q1079" s="705">
        <v>24794</v>
      </c>
      <c r="R1079" s="705">
        <v>494726</v>
      </c>
      <c r="S1079" s="705">
        <v>449751</v>
      </c>
      <c r="T1079">
        <v>0</v>
      </c>
      <c r="U1079">
        <v>0</v>
      </c>
      <c r="V1079" s="705">
        <v>671420</v>
      </c>
      <c r="W1079" s="705">
        <f t="shared" si="50"/>
        <v>671420</v>
      </c>
      <c r="X1079" s="705">
        <f t="shared" si="51"/>
        <v>876584</v>
      </c>
    </row>
    <row r="1080" spans="2:24">
      <c r="B1080" t="s">
        <v>701</v>
      </c>
      <c r="C1080" t="s">
        <v>112</v>
      </c>
      <c r="D1080" t="s">
        <v>228</v>
      </c>
      <c r="E1080" t="s">
        <v>228</v>
      </c>
      <c r="F1080" s="705">
        <v>17</v>
      </c>
      <c r="G1080" s="705">
        <v>925</v>
      </c>
      <c r="H1080" s="705">
        <v>1901</v>
      </c>
      <c r="I1080" s="705">
        <v>45407</v>
      </c>
      <c r="J1080" s="705">
        <v>16817</v>
      </c>
      <c r="K1080" s="705">
        <v>299</v>
      </c>
      <c r="L1080">
        <v>853</v>
      </c>
      <c r="M1080">
        <v>316</v>
      </c>
      <c r="N1080" s="705">
        <v>12231</v>
      </c>
      <c r="O1080" s="705">
        <v>4530</v>
      </c>
      <c r="P1080" s="705">
        <v>5265</v>
      </c>
      <c r="Q1080" s="705">
        <v>1950</v>
      </c>
      <c r="R1080" s="705">
        <v>40492</v>
      </c>
      <c r="S1080" s="705">
        <v>14997</v>
      </c>
      <c r="T1080">
        <v>0</v>
      </c>
      <c r="U1080">
        <v>0</v>
      </c>
      <c r="V1080" s="705">
        <v>38611</v>
      </c>
      <c r="W1080" s="705">
        <f t="shared" si="50"/>
        <v>38610</v>
      </c>
      <c r="X1080" s="705">
        <f t="shared" si="51"/>
        <v>104248</v>
      </c>
    </row>
    <row r="1081" spans="2:24">
      <c r="B1081" t="s">
        <v>701</v>
      </c>
      <c r="C1081" t="s">
        <v>112</v>
      </c>
      <c r="D1081" t="s">
        <v>584</v>
      </c>
      <c r="E1081" t="s">
        <v>584</v>
      </c>
      <c r="F1081">
        <v>173</v>
      </c>
      <c r="G1081" s="705">
        <v>13363</v>
      </c>
      <c r="H1081" s="705">
        <v>19629</v>
      </c>
      <c r="I1081" s="705">
        <v>539748</v>
      </c>
      <c r="J1081" s="705">
        <v>490680</v>
      </c>
      <c r="K1081" s="705">
        <v>83</v>
      </c>
      <c r="L1081" s="705">
        <v>36254</v>
      </c>
      <c r="M1081" s="705">
        <v>24715</v>
      </c>
      <c r="N1081" s="705">
        <v>263130</v>
      </c>
      <c r="O1081" s="705">
        <v>97456</v>
      </c>
      <c r="P1081" s="705">
        <v>81945</v>
      </c>
      <c r="Q1081" s="705">
        <v>30350</v>
      </c>
      <c r="R1081" s="705">
        <v>592016</v>
      </c>
      <c r="S1081" s="705">
        <v>538196</v>
      </c>
      <c r="T1081" s="705">
        <v>1976</v>
      </c>
      <c r="U1081">
        <v>732</v>
      </c>
      <c r="V1081" s="705">
        <v>1182128</v>
      </c>
      <c r="W1081" s="705">
        <f t="shared" si="50"/>
        <v>1182129</v>
      </c>
      <c r="X1081" s="705">
        <f t="shared" si="51"/>
        <v>1515069</v>
      </c>
    </row>
    <row r="1082" spans="2:24">
      <c r="B1082" t="s">
        <v>701</v>
      </c>
      <c r="C1082" t="s">
        <v>114</v>
      </c>
      <c r="D1082" t="s">
        <v>228</v>
      </c>
      <c r="E1082" t="s">
        <v>228</v>
      </c>
      <c r="F1082">
        <v>84</v>
      </c>
      <c r="G1082" s="705">
        <v>6591</v>
      </c>
      <c r="H1082" s="705">
        <v>11717</v>
      </c>
      <c r="I1082" s="705">
        <v>231701</v>
      </c>
      <c r="J1082" s="705">
        <v>85815</v>
      </c>
      <c r="K1082" s="705">
        <v>142</v>
      </c>
      <c r="L1082" s="705">
        <v>30006</v>
      </c>
      <c r="M1082" s="705">
        <v>11113</v>
      </c>
      <c r="N1082" s="705">
        <v>119686</v>
      </c>
      <c r="O1082" s="705">
        <v>44328</v>
      </c>
      <c r="P1082" s="705">
        <v>16917</v>
      </c>
      <c r="Q1082" s="705">
        <v>6266</v>
      </c>
      <c r="R1082" s="705">
        <v>523046</v>
      </c>
      <c r="S1082" s="705">
        <v>193721</v>
      </c>
      <c r="T1082">
        <v>0</v>
      </c>
      <c r="U1082">
        <v>0</v>
      </c>
      <c r="V1082" s="705">
        <v>341243</v>
      </c>
      <c r="W1082" s="705">
        <f t="shared" si="50"/>
        <v>341243</v>
      </c>
      <c r="X1082" s="705">
        <f t="shared" si="51"/>
        <v>921356</v>
      </c>
    </row>
    <row r="1083" spans="2:24">
      <c r="B1083" t="s">
        <v>701</v>
      </c>
      <c r="C1083" t="s">
        <v>114</v>
      </c>
      <c r="D1083" t="s">
        <v>584</v>
      </c>
      <c r="E1083" t="s">
        <v>584</v>
      </c>
      <c r="F1083">
        <v>181</v>
      </c>
      <c r="G1083" s="705">
        <v>12812</v>
      </c>
      <c r="H1083" s="705">
        <v>25056</v>
      </c>
      <c r="I1083" s="705">
        <v>737412</v>
      </c>
      <c r="J1083" s="705">
        <v>670374</v>
      </c>
      <c r="K1083" s="705">
        <v>83</v>
      </c>
      <c r="L1083" s="705">
        <v>36940</v>
      </c>
      <c r="M1083" s="705">
        <v>23535</v>
      </c>
      <c r="N1083" s="705">
        <v>241548</v>
      </c>
      <c r="O1083" s="705">
        <v>89462</v>
      </c>
      <c r="P1083" s="705">
        <v>86259</v>
      </c>
      <c r="Q1083" s="705">
        <v>31948</v>
      </c>
      <c r="R1083" s="705">
        <v>637832</v>
      </c>
      <c r="S1083" s="705">
        <v>579847</v>
      </c>
      <c r="T1083" s="705">
        <v>31258</v>
      </c>
      <c r="U1083" s="705">
        <v>11577</v>
      </c>
      <c r="V1083" s="705">
        <v>1406743</v>
      </c>
      <c r="W1083" s="705">
        <f t="shared" si="50"/>
        <v>1406743</v>
      </c>
      <c r="X1083" s="705">
        <f t="shared" si="51"/>
        <v>1771249</v>
      </c>
    </row>
    <row r="1084" spans="2:24">
      <c r="B1084" t="s">
        <v>701</v>
      </c>
      <c r="C1084" t="s">
        <v>116</v>
      </c>
      <c r="D1084" t="s">
        <v>228</v>
      </c>
      <c r="E1084" t="s">
        <v>228</v>
      </c>
      <c r="F1084" s="705">
        <v>1020</v>
      </c>
      <c r="G1084" s="705">
        <v>71601</v>
      </c>
      <c r="H1084" s="705">
        <v>194329</v>
      </c>
      <c r="I1084" s="705">
        <v>4816340</v>
      </c>
      <c r="J1084" s="705">
        <v>1783830</v>
      </c>
      <c r="K1084" s="705">
        <v>100</v>
      </c>
      <c r="L1084" s="705">
        <v>734022</v>
      </c>
      <c r="M1084" s="705">
        <v>279556</v>
      </c>
      <c r="N1084" s="705">
        <v>1486568</v>
      </c>
      <c r="O1084" s="705">
        <v>550581</v>
      </c>
      <c r="P1084" s="705">
        <v>174260</v>
      </c>
      <c r="Q1084" s="705">
        <v>64541</v>
      </c>
      <c r="R1084" s="705">
        <v>6341868</v>
      </c>
      <c r="S1084" s="705">
        <v>2348840</v>
      </c>
      <c r="T1084" s="705">
        <v>6104</v>
      </c>
      <c r="U1084" s="705">
        <v>2261</v>
      </c>
      <c r="V1084" s="705">
        <v>5029608</v>
      </c>
      <c r="W1084" s="705">
        <f t="shared" si="50"/>
        <v>5029609</v>
      </c>
      <c r="X1084" s="705">
        <f t="shared" si="51"/>
        <v>13559162</v>
      </c>
    </row>
    <row r="1085" spans="2:24">
      <c r="B1085" t="s">
        <v>701</v>
      </c>
      <c r="C1085" t="s">
        <v>116</v>
      </c>
      <c r="D1085" t="s">
        <v>583</v>
      </c>
      <c r="E1085" t="s">
        <v>583</v>
      </c>
      <c r="F1085">
        <v>4</v>
      </c>
      <c r="G1085">
        <v>422</v>
      </c>
      <c r="H1085" s="705">
        <v>850</v>
      </c>
      <c r="I1085" s="705">
        <v>44702</v>
      </c>
      <c r="J1085" s="705">
        <v>40638</v>
      </c>
      <c r="K1085" s="705">
        <v>89</v>
      </c>
      <c r="L1085" s="705">
        <v>11514</v>
      </c>
      <c r="M1085" s="705">
        <v>5277</v>
      </c>
      <c r="N1085" s="705">
        <v>7851</v>
      </c>
      <c r="O1085" s="705">
        <v>2908</v>
      </c>
      <c r="P1085" s="705">
        <v>2484</v>
      </c>
      <c r="Q1085">
        <v>920</v>
      </c>
      <c r="R1085" s="705">
        <v>15083</v>
      </c>
      <c r="S1085" s="705">
        <v>13712</v>
      </c>
      <c r="T1085" s="705">
        <v>7873</v>
      </c>
      <c r="U1085" s="705">
        <v>2916</v>
      </c>
      <c r="V1085" s="705">
        <v>66371</v>
      </c>
      <c r="W1085" s="705">
        <f t="shared" si="50"/>
        <v>66371</v>
      </c>
      <c r="X1085" s="705">
        <f t="shared" si="51"/>
        <v>89507</v>
      </c>
    </row>
    <row r="1086" spans="2:24">
      <c r="B1086" t="s">
        <v>701</v>
      </c>
      <c r="C1086" t="s">
        <v>116</v>
      </c>
      <c r="D1086" t="s">
        <v>584</v>
      </c>
      <c r="E1086" t="s">
        <v>228</v>
      </c>
      <c r="F1086">
        <v>1</v>
      </c>
      <c r="G1086">
        <v>62</v>
      </c>
      <c r="H1086">
        <v>187</v>
      </c>
      <c r="I1086" s="705">
        <v>3960</v>
      </c>
      <c r="J1086" s="705">
        <v>3600</v>
      </c>
      <c r="K1086" s="705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705">
        <v>6449</v>
      </c>
      <c r="S1086" s="705">
        <v>2388</v>
      </c>
      <c r="T1086">
        <v>0</v>
      </c>
      <c r="U1086">
        <v>0</v>
      </c>
      <c r="V1086" s="705">
        <v>6444</v>
      </c>
      <c r="W1086" s="705">
        <f t="shared" si="50"/>
        <v>6444</v>
      </c>
      <c r="X1086" s="705">
        <f t="shared" si="51"/>
        <v>11640</v>
      </c>
    </row>
    <row r="1087" spans="2:24">
      <c r="B1087" t="s">
        <v>701</v>
      </c>
      <c r="C1087" t="s">
        <v>116</v>
      </c>
      <c r="D1087" t="s">
        <v>584</v>
      </c>
      <c r="E1087" t="s">
        <v>584</v>
      </c>
      <c r="F1087">
        <v>520</v>
      </c>
      <c r="G1087" s="705">
        <v>34670</v>
      </c>
      <c r="H1087" s="705">
        <v>95947</v>
      </c>
      <c r="I1087" s="705">
        <v>2829565</v>
      </c>
      <c r="J1087" s="705">
        <v>2572331</v>
      </c>
      <c r="K1087" s="705">
        <v>80</v>
      </c>
      <c r="L1087" s="705">
        <v>254277</v>
      </c>
      <c r="M1087" s="705">
        <v>151369</v>
      </c>
      <c r="N1087" s="705">
        <v>739662</v>
      </c>
      <c r="O1087" s="705">
        <v>273949</v>
      </c>
      <c r="P1087" s="705">
        <v>247145</v>
      </c>
      <c r="Q1087" s="705">
        <v>91535</v>
      </c>
      <c r="R1087" s="705">
        <v>2081016</v>
      </c>
      <c r="S1087" s="705">
        <v>1891833</v>
      </c>
      <c r="T1087" s="705">
        <v>216938</v>
      </c>
      <c r="U1087" s="705">
        <v>80347</v>
      </c>
      <c r="V1087" s="705">
        <v>5061365</v>
      </c>
      <c r="W1087" s="705">
        <f t="shared" si="50"/>
        <v>5061364</v>
      </c>
      <c r="X1087" s="705">
        <f t="shared" si="51"/>
        <v>6368603</v>
      </c>
    </row>
    <row r="1088" spans="2:24">
      <c r="B1088" t="s">
        <v>701</v>
      </c>
      <c r="C1088" t="s">
        <v>118</v>
      </c>
      <c r="F1088" s="705">
        <v>1</v>
      </c>
      <c r="G1088" s="705">
        <v>55</v>
      </c>
      <c r="H1088" s="705">
        <v>253</v>
      </c>
      <c r="J1088" s="705">
        <v>0</v>
      </c>
      <c r="K1088" s="705"/>
      <c r="M1088">
        <v>0</v>
      </c>
      <c r="N1088" s="705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705">
        <f t="shared" si="50"/>
        <v>426</v>
      </c>
      <c r="X1088" s="705">
        <f t="shared" si="51"/>
        <v>1150</v>
      </c>
    </row>
    <row r="1089" spans="2:24">
      <c r="B1089" t="s">
        <v>701</v>
      </c>
      <c r="C1089" t="s">
        <v>118</v>
      </c>
      <c r="D1089" t="s">
        <v>228</v>
      </c>
      <c r="E1089" t="s">
        <v>228</v>
      </c>
      <c r="F1089" s="705">
        <v>880</v>
      </c>
      <c r="G1089" s="705">
        <v>54995</v>
      </c>
      <c r="H1089" s="705">
        <v>228210</v>
      </c>
      <c r="I1089" s="705">
        <v>6843694</v>
      </c>
      <c r="J1089" s="705">
        <v>2534701</v>
      </c>
      <c r="K1089" s="705">
        <v>100</v>
      </c>
      <c r="L1089" s="705">
        <v>903640</v>
      </c>
      <c r="M1089" s="705">
        <v>343369</v>
      </c>
      <c r="N1089" s="705">
        <v>1148979</v>
      </c>
      <c r="O1089" s="705">
        <v>425548</v>
      </c>
      <c r="P1089" s="705">
        <v>84383</v>
      </c>
      <c r="Q1089" s="705">
        <v>31253</v>
      </c>
      <c r="R1089" s="705">
        <v>5267120</v>
      </c>
      <c r="S1089" s="705">
        <v>1950785</v>
      </c>
      <c r="T1089" s="705">
        <v>2162</v>
      </c>
      <c r="U1089">
        <v>801</v>
      </c>
      <c r="V1089" s="705">
        <v>5286458</v>
      </c>
      <c r="W1089" s="705">
        <f t="shared" si="50"/>
        <v>5286457</v>
      </c>
      <c r="X1089" s="705">
        <f t="shared" si="51"/>
        <v>14249978</v>
      </c>
    </row>
    <row r="1090" spans="2:24">
      <c r="B1090" t="s">
        <v>701</v>
      </c>
      <c r="C1090" t="s">
        <v>118</v>
      </c>
      <c r="D1090" t="s">
        <v>583</v>
      </c>
      <c r="E1090" t="s">
        <v>583</v>
      </c>
      <c r="F1090">
        <v>4</v>
      </c>
      <c r="G1090">
        <v>316</v>
      </c>
      <c r="H1090" s="705">
        <v>1032</v>
      </c>
      <c r="I1090" s="705">
        <v>39808</v>
      </c>
      <c r="J1090" s="705">
        <v>36189</v>
      </c>
      <c r="K1090" s="705">
        <v>78</v>
      </c>
      <c r="L1090" s="705">
        <v>6799</v>
      </c>
      <c r="M1090" s="705">
        <v>5837</v>
      </c>
      <c r="N1090" s="705">
        <v>5679</v>
      </c>
      <c r="O1090" s="705">
        <v>2103</v>
      </c>
      <c r="P1090" s="705">
        <v>2484</v>
      </c>
      <c r="Q1090">
        <v>920</v>
      </c>
      <c r="R1090" s="705">
        <v>20099</v>
      </c>
      <c r="S1090" s="705">
        <v>18272</v>
      </c>
      <c r="T1090" s="705">
        <v>5057</v>
      </c>
      <c r="U1090" s="705">
        <v>1873</v>
      </c>
      <c r="V1090" s="705">
        <v>65195</v>
      </c>
      <c r="W1090" s="705">
        <f t="shared" si="50"/>
        <v>65194</v>
      </c>
      <c r="X1090" s="705">
        <f t="shared" si="51"/>
        <v>79926</v>
      </c>
    </row>
    <row r="1091" spans="2:24">
      <c r="B1091" t="s">
        <v>701</v>
      </c>
      <c r="C1091" t="s">
        <v>118</v>
      </c>
      <c r="D1091" t="s">
        <v>584</v>
      </c>
      <c r="E1091" t="s">
        <v>584</v>
      </c>
      <c r="F1091">
        <v>96</v>
      </c>
      <c r="G1091" s="705">
        <v>6215</v>
      </c>
      <c r="H1091" s="705">
        <v>23788</v>
      </c>
      <c r="I1091" s="705">
        <v>781691</v>
      </c>
      <c r="J1091" s="705">
        <v>710628</v>
      </c>
      <c r="K1091" s="705">
        <v>79</v>
      </c>
      <c r="L1091" s="705">
        <v>116777</v>
      </c>
      <c r="M1091" s="705">
        <v>88057</v>
      </c>
      <c r="N1091" s="705">
        <v>126302</v>
      </c>
      <c r="O1091" s="705">
        <v>46779</v>
      </c>
      <c r="P1091" s="705">
        <v>46980</v>
      </c>
      <c r="Q1091" s="705">
        <v>17400</v>
      </c>
      <c r="R1091" s="705">
        <v>405491</v>
      </c>
      <c r="S1091" s="705">
        <v>368628</v>
      </c>
      <c r="T1091" s="705">
        <v>53247</v>
      </c>
      <c r="U1091" s="705">
        <v>19721</v>
      </c>
      <c r="V1091" s="705">
        <v>1251213</v>
      </c>
      <c r="W1091" s="705">
        <f t="shared" si="50"/>
        <v>1251213</v>
      </c>
      <c r="X1091" s="705">
        <f t="shared" si="51"/>
        <v>1530488</v>
      </c>
    </row>
    <row r="1092" spans="2:24">
      <c r="B1092" t="s">
        <v>701</v>
      </c>
      <c r="C1092" t="s">
        <v>120</v>
      </c>
      <c r="D1092" t="s">
        <v>228</v>
      </c>
      <c r="E1092" t="s">
        <v>228</v>
      </c>
      <c r="F1092">
        <v>381</v>
      </c>
      <c r="G1092" s="705">
        <v>22915</v>
      </c>
      <c r="H1092" s="705">
        <v>127489</v>
      </c>
      <c r="I1092" s="705">
        <v>4193380</v>
      </c>
      <c r="J1092" s="705">
        <v>1553104</v>
      </c>
      <c r="K1092" s="705">
        <v>100</v>
      </c>
      <c r="L1092" s="705">
        <v>641007</v>
      </c>
      <c r="M1092" s="705">
        <v>371590</v>
      </c>
      <c r="N1092" s="705">
        <v>495285</v>
      </c>
      <c r="O1092" s="705">
        <v>183439</v>
      </c>
      <c r="P1092" s="705">
        <v>43155</v>
      </c>
      <c r="Q1092" s="705">
        <v>15983</v>
      </c>
      <c r="R1092" s="705">
        <v>2282775</v>
      </c>
      <c r="S1092" s="705">
        <v>845472</v>
      </c>
      <c r="T1092" s="705">
        <v>1910</v>
      </c>
      <c r="U1092">
        <v>707</v>
      </c>
      <c r="V1092" s="705">
        <v>2970296</v>
      </c>
      <c r="W1092" s="705">
        <f t="shared" si="50"/>
        <v>2970295</v>
      </c>
      <c r="X1092" s="705">
        <f t="shared" si="51"/>
        <v>7657512</v>
      </c>
    </row>
    <row r="1093" spans="2:24">
      <c r="B1093" t="s">
        <v>701</v>
      </c>
      <c r="C1093" t="s">
        <v>120</v>
      </c>
      <c r="D1093" t="s">
        <v>583</v>
      </c>
      <c r="E1093" t="s">
        <v>583</v>
      </c>
      <c r="F1093">
        <v>4</v>
      </c>
      <c r="G1093">
        <v>437</v>
      </c>
      <c r="H1093" s="705">
        <v>1321</v>
      </c>
      <c r="I1093" s="705">
        <v>94051</v>
      </c>
      <c r="J1093" s="705">
        <v>85501</v>
      </c>
      <c r="K1093" s="705">
        <v>70</v>
      </c>
      <c r="L1093" s="705">
        <v>15281</v>
      </c>
      <c r="M1093" s="705">
        <v>7946</v>
      </c>
      <c r="N1093" s="705">
        <v>10524</v>
      </c>
      <c r="O1093" s="705">
        <v>3898</v>
      </c>
      <c r="P1093" s="705">
        <v>2484</v>
      </c>
      <c r="Q1093">
        <v>920</v>
      </c>
      <c r="R1093" s="705">
        <v>18984</v>
      </c>
      <c r="S1093" s="705">
        <v>17258</v>
      </c>
      <c r="T1093" s="705">
        <v>10947</v>
      </c>
      <c r="U1093" s="705">
        <v>4054</v>
      </c>
      <c r="V1093" s="705">
        <v>119578</v>
      </c>
      <c r="W1093" s="705">
        <f t="shared" si="50"/>
        <v>119577</v>
      </c>
      <c r="X1093" s="705">
        <f t="shared" si="51"/>
        <v>152271</v>
      </c>
    </row>
    <row r="1094" spans="2:24">
      <c r="B1094" t="s">
        <v>701</v>
      </c>
      <c r="C1094" t="s">
        <v>120</v>
      </c>
      <c r="D1094" t="s">
        <v>584</v>
      </c>
      <c r="E1094" t="s">
        <v>584</v>
      </c>
      <c r="F1094" s="705">
        <v>8</v>
      </c>
      <c r="G1094" s="705">
        <v>487</v>
      </c>
      <c r="H1094" s="705">
        <v>2605</v>
      </c>
      <c r="I1094" s="705">
        <v>91142</v>
      </c>
      <c r="J1094" s="705">
        <v>82857</v>
      </c>
      <c r="K1094" s="705">
        <v>75</v>
      </c>
      <c r="L1094" s="705">
        <v>12967</v>
      </c>
      <c r="M1094" s="705">
        <v>8531</v>
      </c>
      <c r="N1094" s="705">
        <v>11226</v>
      </c>
      <c r="O1094" s="705">
        <v>4158</v>
      </c>
      <c r="P1094" s="705">
        <v>3780</v>
      </c>
      <c r="Q1094" s="705">
        <v>1400</v>
      </c>
      <c r="R1094" s="705">
        <v>27640</v>
      </c>
      <c r="S1094" s="705">
        <v>25127</v>
      </c>
      <c r="T1094" s="705">
        <v>11984</v>
      </c>
      <c r="U1094" s="705">
        <v>4438</v>
      </c>
      <c r="V1094" s="705">
        <v>126511</v>
      </c>
      <c r="W1094" s="705">
        <f t="shared" si="50"/>
        <v>126511</v>
      </c>
      <c r="X1094" s="705">
        <f t="shared" si="51"/>
        <v>158739</v>
      </c>
    </row>
    <row r="1095" spans="2:24">
      <c r="B1095" t="s">
        <v>701</v>
      </c>
      <c r="C1095" t="s">
        <v>122</v>
      </c>
      <c r="D1095" t="s">
        <v>228</v>
      </c>
      <c r="E1095" t="s">
        <v>228</v>
      </c>
      <c r="F1095" s="705">
        <v>88</v>
      </c>
      <c r="G1095" s="705">
        <v>4756</v>
      </c>
      <c r="H1095" s="705">
        <v>36209</v>
      </c>
      <c r="I1095" s="705">
        <v>1172537</v>
      </c>
      <c r="J1095" s="705">
        <v>434273</v>
      </c>
      <c r="K1095" s="705">
        <v>100</v>
      </c>
      <c r="L1095" s="705">
        <v>168118</v>
      </c>
      <c r="M1095" s="705">
        <v>62266</v>
      </c>
      <c r="N1095" s="705">
        <v>103865</v>
      </c>
      <c r="O1095" s="705">
        <v>38468</v>
      </c>
      <c r="P1095" s="705">
        <v>9353</v>
      </c>
      <c r="Q1095" s="705">
        <v>3464</v>
      </c>
      <c r="R1095" s="705">
        <v>502246</v>
      </c>
      <c r="S1095" s="705">
        <v>186017</v>
      </c>
      <c r="T1095">
        <v>0</v>
      </c>
      <c r="U1095">
        <v>0</v>
      </c>
      <c r="V1095" s="705">
        <v>724489</v>
      </c>
      <c r="W1095" s="705">
        <f t="shared" si="50"/>
        <v>724488</v>
      </c>
      <c r="X1095" s="705">
        <f t="shared" si="51"/>
        <v>1956119</v>
      </c>
    </row>
    <row r="1096" spans="2:24">
      <c r="B1096" t="s">
        <v>701</v>
      </c>
      <c r="C1096" t="s">
        <v>122</v>
      </c>
      <c r="D1096" t="s">
        <v>583</v>
      </c>
      <c r="E1096" t="s">
        <v>583</v>
      </c>
      <c r="F1096">
        <v>2</v>
      </c>
      <c r="G1096">
        <v>118</v>
      </c>
      <c r="H1096" s="705">
        <v>787</v>
      </c>
      <c r="I1096" s="705">
        <v>27836</v>
      </c>
      <c r="J1096" s="705">
        <v>25306</v>
      </c>
      <c r="K1096" s="705">
        <v>84</v>
      </c>
      <c r="L1096" s="705">
        <v>5877</v>
      </c>
      <c r="M1096" s="705">
        <v>4898</v>
      </c>
      <c r="N1096" s="705">
        <v>2503</v>
      </c>
      <c r="O1096">
        <v>927</v>
      </c>
      <c r="P1096" s="705">
        <v>1242</v>
      </c>
      <c r="Q1096">
        <v>460</v>
      </c>
      <c r="R1096" s="705">
        <v>5644</v>
      </c>
      <c r="S1096" s="705">
        <v>5131</v>
      </c>
      <c r="T1096" s="705">
        <v>3283</v>
      </c>
      <c r="U1096" s="705">
        <v>1216</v>
      </c>
      <c r="V1096" s="705">
        <v>37937</v>
      </c>
      <c r="W1096" s="705">
        <f t="shared" si="50"/>
        <v>37938</v>
      </c>
      <c r="X1096" s="705">
        <f t="shared" si="51"/>
        <v>46385</v>
      </c>
    </row>
    <row r="1097" spans="2:24">
      <c r="B1097" t="s">
        <v>701</v>
      </c>
      <c r="C1097" t="s">
        <v>122</v>
      </c>
      <c r="D1097" t="s">
        <v>584</v>
      </c>
      <c r="E1097" t="s">
        <v>584</v>
      </c>
      <c r="F1097">
        <v>3</v>
      </c>
      <c r="G1097" s="705">
        <v>184</v>
      </c>
      <c r="H1097" s="705">
        <v>1236</v>
      </c>
      <c r="I1097" s="705">
        <v>49201</v>
      </c>
      <c r="J1097" s="705">
        <v>44728</v>
      </c>
      <c r="K1097" s="705">
        <v>71</v>
      </c>
      <c r="L1097" s="705">
        <v>1639</v>
      </c>
      <c r="M1097" s="705">
        <v>1366</v>
      </c>
      <c r="N1097" s="705">
        <v>3646</v>
      </c>
      <c r="O1097" s="705">
        <v>1350</v>
      </c>
      <c r="P1097" s="705">
        <v>1418</v>
      </c>
      <c r="Q1097">
        <v>525</v>
      </c>
      <c r="R1097" s="705">
        <v>14346</v>
      </c>
      <c r="S1097" s="705">
        <v>13042</v>
      </c>
      <c r="T1097" s="705">
        <v>5229</v>
      </c>
      <c r="U1097" s="705">
        <v>1936</v>
      </c>
      <c r="V1097" s="705">
        <v>62948</v>
      </c>
      <c r="W1097" s="705">
        <f t="shared" si="50"/>
        <v>62947</v>
      </c>
      <c r="X1097" s="705">
        <f t="shared" si="51"/>
        <v>75479</v>
      </c>
    </row>
    <row r="1098" spans="2:24">
      <c r="B1098" t="s">
        <v>701</v>
      </c>
      <c r="C1098" t="s">
        <v>124</v>
      </c>
      <c r="D1098" t="s">
        <v>228</v>
      </c>
      <c r="E1098" t="s">
        <v>228</v>
      </c>
      <c r="F1098">
        <v>16</v>
      </c>
      <c r="G1098">
        <v>775</v>
      </c>
      <c r="H1098" s="705">
        <v>8440</v>
      </c>
      <c r="I1098" s="705">
        <v>276457</v>
      </c>
      <c r="J1098" s="705">
        <v>102391</v>
      </c>
      <c r="K1098" s="705">
        <v>100</v>
      </c>
      <c r="L1098" s="705">
        <v>20117</v>
      </c>
      <c r="M1098" s="705">
        <v>7451</v>
      </c>
      <c r="N1098" s="705">
        <v>16022</v>
      </c>
      <c r="O1098" s="705">
        <v>5934</v>
      </c>
      <c r="P1098" s="705">
        <v>1445</v>
      </c>
      <c r="Q1098">
        <v>535</v>
      </c>
      <c r="R1098" s="705">
        <v>95069</v>
      </c>
      <c r="S1098" s="705">
        <v>35211</v>
      </c>
      <c r="T1098">
        <v>0</v>
      </c>
      <c r="U1098">
        <v>0</v>
      </c>
      <c r="V1098" s="705">
        <v>151522</v>
      </c>
      <c r="W1098" s="705">
        <f t="shared" si="50"/>
        <v>151522</v>
      </c>
      <c r="X1098" s="705">
        <f t="shared" si="51"/>
        <v>409110</v>
      </c>
    </row>
    <row r="1099" spans="2:24">
      <c r="B1099" t="s">
        <v>701</v>
      </c>
      <c r="C1099" t="s">
        <v>124</v>
      </c>
      <c r="D1099" t="s">
        <v>583</v>
      </c>
      <c r="E1099" t="s">
        <v>583</v>
      </c>
      <c r="F1099" s="705">
        <v>2</v>
      </c>
      <c r="G1099" s="705">
        <v>92</v>
      </c>
      <c r="H1099" s="705">
        <v>932</v>
      </c>
      <c r="I1099" s="705">
        <v>24899</v>
      </c>
      <c r="J1099" s="705">
        <v>22636</v>
      </c>
      <c r="K1099" s="705">
        <v>85</v>
      </c>
      <c r="L1099" s="705">
        <v>8119</v>
      </c>
      <c r="M1099" s="705">
        <v>6766</v>
      </c>
      <c r="N1099" s="705">
        <v>1544</v>
      </c>
      <c r="O1099">
        <v>572</v>
      </c>
      <c r="P1099" s="705">
        <v>1242</v>
      </c>
      <c r="Q1099">
        <v>460</v>
      </c>
      <c r="R1099" s="705">
        <v>4780</v>
      </c>
      <c r="S1099" s="705">
        <v>4346</v>
      </c>
      <c r="T1099" s="705">
        <v>2493</v>
      </c>
      <c r="U1099">
        <v>923</v>
      </c>
      <c r="V1099" s="705">
        <v>35702</v>
      </c>
      <c r="W1099" s="705">
        <f t="shared" si="50"/>
        <v>35703</v>
      </c>
      <c r="X1099" s="705">
        <f t="shared" si="51"/>
        <v>43077</v>
      </c>
    </row>
    <row r="1100" spans="2:24">
      <c r="B1100" t="s">
        <v>702</v>
      </c>
      <c r="C1100" t="s">
        <v>108</v>
      </c>
      <c r="F1100" s="705">
        <v>1793</v>
      </c>
      <c r="G1100" s="705">
        <v>148320</v>
      </c>
      <c r="H1100" s="705">
        <v>87546</v>
      </c>
      <c r="J1100">
        <v>0</v>
      </c>
      <c r="M1100">
        <v>0</v>
      </c>
      <c r="N1100" s="705">
        <v>1869601</v>
      </c>
      <c r="O1100" s="705">
        <v>692445</v>
      </c>
      <c r="P1100" s="705">
        <v>1347174</v>
      </c>
      <c r="Q1100" s="705">
        <v>498953</v>
      </c>
      <c r="S1100">
        <v>0</v>
      </c>
      <c r="T1100" s="705">
        <v>1742</v>
      </c>
      <c r="U1100">
        <v>645</v>
      </c>
      <c r="V1100" s="705">
        <v>1192043</v>
      </c>
      <c r="W1100" s="705">
        <f t="shared" si="50"/>
        <v>1192043</v>
      </c>
      <c r="X1100" s="705">
        <f t="shared" si="51"/>
        <v>3218517</v>
      </c>
    </row>
    <row r="1101" spans="2:24">
      <c r="B1101" t="s">
        <v>702</v>
      </c>
      <c r="C1101" t="s">
        <v>108</v>
      </c>
      <c r="D1101" t="s">
        <v>228</v>
      </c>
      <c r="E1101" t="s">
        <v>228</v>
      </c>
      <c r="F1101">
        <v>125</v>
      </c>
      <c r="G1101" s="705">
        <v>10956</v>
      </c>
      <c r="H1101" s="705">
        <v>6733</v>
      </c>
      <c r="I1101" s="705">
        <v>-97746</v>
      </c>
      <c r="J1101" s="705">
        <v>-36202</v>
      </c>
      <c r="K1101" s="705">
        <v>384</v>
      </c>
      <c r="L1101" s="705">
        <v>2118</v>
      </c>
      <c r="M1101" s="705">
        <v>1103</v>
      </c>
      <c r="N1101" s="705">
        <v>138237</v>
      </c>
      <c r="O1101" s="705">
        <v>51199</v>
      </c>
      <c r="P1101" s="705">
        <v>102063</v>
      </c>
      <c r="Q1101" s="705">
        <v>37801</v>
      </c>
      <c r="R1101" s="705">
        <v>448536</v>
      </c>
      <c r="S1101" s="705">
        <v>166125</v>
      </c>
      <c r="T1101">
        <v>0</v>
      </c>
      <c r="U1101">
        <v>0</v>
      </c>
      <c r="V1101" s="705">
        <v>220026</v>
      </c>
      <c r="W1101" s="705">
        <f t="shared" si="50"/>
        <v>292430</v>
      </c>
      <c r="X1101" s="705">
        <f t="shared" si="51"/>
        <v>788700</v>
      </c>
    </row>
    <row r="1102" spans="2:24">
      <c r="B1102" t="s">
        <v>702</v>
      </c>
      <c r="C1102" t="s">
        <v>108</v>
      </c>
      <c r="D1102" t="s">
        <v>584</v>
      </c>
      <c r="E1102" t="s">
        <v>584</v>
      </c>
      <c r="F1102">
        <v>225</v>
      </c>
      <c r="G1102" s="705">
        <v>20124</v>
      </c>
      <c r="H1102" s="705">
        <v>12438</v>
      </c>
      <c r="I1102" s="705">
        <v>-12141</v>
      </c>
      <c r="J1102" s="705">
        <v>-11037</v>
      </c>
      <c r="K1102" s="705">
        <v>90</v>
      </c>
      <c r="L1102">
        <v>135</v>
      </c>
      <c r="M1102">
        <v>134</v>
      </c>
      <c r="N1102" s="705">
        <v>249432</v>
      </c>
      <c r="O1102" s="705">
        <v>92382</v>
      </c>
      <c r="P1102" s="705">
        <v>215719</v>
      </c>
      <c r="Q1102" s="705">
        <v>79896</v>
      </c>
      <c r="R1102" s="705">
        <v>648381</v>
      </c>
      <c r="S1102" s="705">
        <v>589437</v>
      </c>
      <c r="T1102">
        <v>0</v>
      </c>
      <c r="U1102">
        <v>0</v>
      </c>
      <c r="V1102" s="705">
        <v>750812</v>
      </c>
      <c r="W1102" s="705">
        <f t="shared" si="50"/>
        <v>772886</v>
      </c>
      <c r="X1102" s="705">
        <f t="shared" si="51"/>
        <v>1125808</v>
      </c>
    </row>
    <row r="1103" spans="2:24">
      <c r="B1103" t="s">
        <v>702</v>
      </c>
      <c r="C1103" t="s">
        <v>110</v>
      </c>
      <c r="F1103" s="705">
        <v>83</v>
      </c>
      <c r="G1103" s="705">
        <v>5549</v>
      </c>
      <c r="H1103" s="705">
        <v>7041</v>
      </c>
      <c r="J1103" s="705">
        <v>0</v>
      </c>
      <c r="K1103" s="705"/>
      <c r="M1103">
        <v>0</v>
      </c>
      <c r="N1103" s="705">
        <v>87350</v>
      </c>
      <c r="O1103" s="705">
        <v>32352</v>
      </c>
      <c r="P1103" s="705">
        <v>39367</v>
      </c>
      <c r="Q1103" s="705">
        <v>14580</v>
      </c>
      <c r="S1103">
        <v>0</v>
      </c>
      <c r="T1103" s="705">
        <v>20288</v>
      </c>
      <c r="U1103" s="705">
        <v>7514</v>
      </c>
      <c r="V1103" s="705">
        <v>54446</v>
      </c>
      <c r="W1103" s="705">
        <f t="shared" si="50"/>
        <v>54446</v>
      </c>
      <c r="X1103" s="705">
        <f t="shared" si="51"/>
        <v>147005</v>
      </c>
    </row>
    <row r="1104" spans="2:24">
      <c r="B1104" t="s">
        <v>702</v>
      </c>
      <c r="C1104" t="s">
        <v>110</v>
      </c>
      <c r="D1104" t="s">
        <v>228</v>
      </c>
      <c r="E1104" t="s">
        <v>228</v>
      </c>
      <c r="F1104">
        <v>9</v>
      </c>
      <c r="G1104">
        <v>874</v>
      </c>
      <c r="H1104" s="705">
        <v>798</v>
      </c>
      <c r="I1104" s="705">
        <v>12535</v>
      </c>
      <c r="J1104" s="705">
        <v>4642</v>
      </c>
      <c r="K1104" s="705">
        <v>230</v>
      </c>
      <c r="L1104" s="705">
        <v>2459</v>
      </c>
      <c r="M1104" s="705">
        <v>2235</v>
      </c>
      <c r="N1104" s="705">
        <v>10685</v>
      </c>
      <c r="O1104" s="705">
        <v>3957</v>
      </c>
      <c r="P1104" s="705">
        <v>2071</v>
      </c>
      <c r="Q1104">
        <v>767</v>
      </c>
      <c r="R1104" s="705">
        <v>48302</v>
      </c>
      <c r="S1104" s="705">
        <v>17890</v>
      </c>
      <c r="T1104">
        <v>0</v>
      </c>
      <c r="U1104">
        <v>0</v>
      </c>
      <c r="V1104" s="705">
        <v>29492</v>
      </c>
      <c r="W1104" s="705">
        <f t="shared" si="50"/>
        <v>29491</v>
      </c>
      <c r="X1104" s="705">
        <f t="shared" si="51"/>
        <v>76052</v>
      </c>
    </row>
    <row r="1105" spans="2:24">
      <c r="B1105" t="s">
        <v>702</v>
      </c>
      <c r="C1105" t="s">
        <v>110</v>
      </c>
      <c r="D1105" t="s">
        <v>583</v>
      </c>
      <c r="E1105" t="s">
        <v>228</v>
      </c>
      <c r="F1105">
        <v>1</v>
      </c>
      <c r="G1105">
        <v>237</v>
      </c>
      <c r="H1105" s="705">
        <v>83</v>
      </c>
      <c r="I1105" s="705">
        <v>7700</v>
      </c>
      <c r="J1105" s="705">
        <v>7000</v>
      </c>
      <c r="K1105" s="705">
        <v>95</v>
      </c>
      <c r="L1105" s="705">
        <v>1493</v>
      </c>
      <c r="M1105" s="705">
        <v>1245</v>
      </c>
      <c r="N1105" s="705">
        <v>2888</v>
      </c>
      <c r="O1105" s="705">
        <v>1069</v>
      </c>
      <c r="P1105" s="705">
        <v>2757</v>
      </c>
      <c r="Q1105" s="705">
        <v>1021</v>
      </c>
      <c r="R1105" s="705">
        <v>4837</v>
      </c>
      <c r="S1105" s="705">
        <v>1791</v>
      </c>
      <c r="T1105">
        <v>0</v>
      </c>
      <c r="U1105">
        <v>0</v>
      </c>
      <c r="V1105" s="705">
        <v>12127</v>
      </c>
      <c r="W1105" s="705">
        <f t="shared" si="50"/>
        <v>12126</v>
      </c>
      <c r="X1105" s="705">
        <f t="shared" si="51"/>
        <v>19675</v>
      </c>
    </row>
    <row r="1106" spans="2:24">
      <c r="B1106" t="s">
        <v>702</v>
      </c>
      <c r="C1106" t="s">
        <v>110</v>
      </c>
      <c r="D1106" t="s">
        <v>584</v>
      </c>
      <c r="E1106" t="s">
        <v>584</v>
      </c>
      <c r="F1106">
        <v>317</v>
      </c>
      <c r="G1106" s="705">
        <v>28055</v>
      </c>
      <c r="H1106" s="705">
        <v>29227</v>
      </c>
      <c r="I1106" s="705">
        <v>821129</v>
      </c>
      <c r="J1106" s="705">
        <v>746481</v>
      </c>
      <c r="K1106" s="705">
        <v>86</v>
      </c>
      <c r="L1106" s="705">
        <v>18617</v>
      </c>
      <c r="M1106" s="705">
        <v>15044</v>
      </c>
      <c r="N1106" s="705">
        <v>475649</v>
      </c>
      <c r="O1106" s="705">
        <v>176166</v>
      </c>
      <c r="P1106" s="705">
        <v>195451</v>
      </c>
      <c r="Q1106" s="705">
        <v>72389</v>
      </c>
      <c r="R1106" s="705">
        <v>1072391</v>
      </c>
      <c r="S1106" s="705">
        <v>974901</v>
      </c>
      <c r="T1106" s="705">
        <v>2185</v>
      </c>
      <c r="U1106">
        <v>809</v>
      </c>
      <c r="V1106" s="705">
        <v>1985791</v>
      </c>
      <c r="W1106" s="705">
        <f t="shared" si="50"/>
        <v>1985790</v>
      </c>
      <c r="X1106" s="705">
        <f t="shared" si="51"/>
        <v>2585422</v>
      </c>
    </row>
    <row r="1107" spans="2:24">
      <c r="B1107" t="s">
        <v>702</v>
      </c>
      <c r="C1107" t="s">
        <v>112</v>
      </c>
      <c r="F1107" s="705">
        <v>70</v>
      </c>
      <c r="G1107" s="705">
        <v>5366</v>
      </c>
      <c r="H1107" s="705">
        <v>8105</v>
      </c>
      <c r="J1107" s="705">
        <v>0</v>
      </c>
      <c r="K1107" s="705"/>
      <c r="M1107">
        <v>0</v>
      </c>
      <c r="N1107" s="705">
        <v>108920</v>
      </c>
      <c r="O1107" s="705">
        <v>40341</v>
      </c>
      <c r="P1107" s="705">
        <v>37360</v>
      </c>
      <c r="Q1107" s="705">
        <v>13837</v>
      </c>
      <c r="S1107">
        <v>0</v>
      </c>
      <c r="T1107" s="705">
        <v>12081</v>
      </c>
      <c r="U1107" s="705">
        <v>4474</v>
      </c>
      <c r="V1107" s="705">
        <v>58652</v>
      </c>
      <c r="W1107" s="705">
        <f t="shared" si="50"/>
        <v>58652</v>
      </c>
      <c r="X1107" s="705">
        <f t="shared" si="51"/>
        <v>158361</v>
      </c>
    </row>
    <row r="1108" spans="2:24">
      <c r="B1108" t="s">
        <v>702</v>
      </c>
      <c r="C1108" t="s">
        <v>112</v>
      </c>
      <c r="D1108" t="s">
        <v>228</v>
      </c>
      <c r="E1108" t="s">
        <v>228</v>
      </c>
      <c r="F1108">
        <v>27</v>
      </c>
      <c r="G1108" s="705">
        <v>1753</v>
      </c>
      <c r="H1108" s="705">
        <v>3061</v>
      </c>
      <c r="I1108" s="705">
        <v>36655</v>
      </c>
      <c r="J1108" s="705">
        <v>13576</v>
      </c>
      <c r="K1108" s="705">
        <v>113</v>
      </c>
      <c r="L1108">
        <v>0</v>
      </c>
      <c r="M1108">
        <v>0</v>
      </c>
      <c r="N1108" s="705">
        <v>21358</v>
      </c>
      <c r="O1108" s="705">
        <v>7911</v>
      </c>
      <c r="P1108">
        <v>351</v>
      </c>
      <c r="Q1108">
        <v>130</v>
      </c>
      <c r="R1108" s="705">
        <v>140511</v>
      </c>
      <c r="S1108" s="705">
        <v>52041</v>
      </c>
      <c r="T1108">
        <v>0</v>
      </c>
      <c r="U1108">
        <v>0</v>
      </c>
      <c r="V1108" s="705">
        <v>73658</v>
      </c>
      <c r="W1108" s="705">
        <f t="shared" si="50"/>
        <v>73658</v>
      </c>
      <c r="X1108" s="705">
        <f t="shared" si="51"/>
        <v>198875</v>
      </c>
    </row>
    <row r="1109" spans="2:24">
      <c r="B1109" t="s">
        <v>702</v>
      </c>
      <c r="C1109" t="s">
        <v>112</v>
      </c>
      <c r="D1109" t="s">
        <v>583</v>
      </c>
      <c r="E1109" t="s">
        <v>583</v>
      </c>
      <c r="F1109">
        <v>2</v>
      </c>
      <c r="G1109">
        <v>229</v>
      </c>
      <c r="H1109" s="705">
        <v>223</v>
      </c>
      <c r="I1109" s="705">
        <v>20580</v>
      </c>
      <c r="J1109" s="705">
        <v>18709</v>
      </c>
      <c r="K1109" s="705">
        <v>95</v>
      </c>
      <c r="L1109" s="705">
        <v>3936</v>
      </c>
      <c r="M1109" s="705">
        <v>3330</v>
      </c>
      <c r="N1109" s="705">
        <v>5443</v>
      </c>
      <c r="O1109" s="705">
        <v>2016</v>
      </c>
      <c r="P1109" s="705">
        <v>1593</v>
      </c>
      <c r="Q1109">
        <v>590</v>
      </c>
      <c r="R1109" s="705">
        <v>7383</v>
      </c>
      <c r="S1109" s="705">
        <v>6711</v>
      </c>
      <c r="T1109">
        <v>0</v>
      </c>
      <c r="U1109">
        <v>0</v>
      </c>
      <c r="V1109" s="705">
        <v>31356</v>
      </c>
      <c r="W1109" s="705">
        <f t="shared" si="50"/>
        <v>31356</v>
      </c>
      <c r="X1109" s="705">
        <f t="shared" si="51"/>
        <v>38935</v>
      </c>
    </row>
    <row r="1110" spans="2:24">
      <c r="B1110" t="s">
        <v>702</v>
      </c>
      <c r="C1110" t="s">
        <v>112</v>
      </c>
      <c r="D1110" t="s">
        <v>584</v>
      </c>
      <c r="E1110" t="s">
        <v>584</v>
      </c>
      <c r="F1110" s="705">
        <v>1065</v>
      </c>
      <c r="G1110" s="705">
        <v>93734</v>
      </c>
      <c r="H1110" s="705">
        <v>121643</v>
      </c>
      <c r="I1110" s="705">
        <v>4137845</v>
      </c>
      <c r="J1110" s="705">
        <v>3761677</v>
      </c>
      <c r="K1110" s="705">
        <v>86</v>
      </c>
      <c r="L1110" s="705">
        <v>182268</v>
      </c>
      <c r="M1110" s="705">
        <v>163756</v>
      </c>
      <c r="N1110" s="705">
        <v>1731520</v>
      </c>
      <c r="O1110" s="705">
        <v>641304</v>
      </c>
      <c r="P1110" s="705">
        <v>584094</v>
      </c>
      <c r="Q1110" s="705">
        <v>216331</v>
      </c>
      <c r="R1110" s="705">
        <v>3955348</v>
      </c>
      <c r="S1110" s="705">
        <v>3595771</v>
      </c>
      <c r="T1110" s="705">
        <v>121140</v>
      </c>
      <c r="U1110" s="705">
        <v>44867</v>
      </c>
      <c r="V1110" s="705">
        <v>8423704</v>
      </c>
      <c r="W1110" s="705">
        <f t="shared" si="50"/>
        <v>8423706</v>
      </c>
      <c r="X1110" s="705">
        <f t="shared" si="51"/>
        <v>10712215</v>
      </c>
    </row>
    <row r="1111" spans="2:24">
      <c r="B1111" t="s">
        <v>702</v>
      </c>
      <c r="C1111" t="s">
        <v>114</v>
      </c>
      <c r="F1111" s="705">
        <v>71</v>
      </c>
      <c r="G1111" s="705">
        <v>5440</v>
      </c>
      <c r="H1111" s="705">
        <v>9618</v>
      </c>
      <c r="J1111" s="705">
        <v>0</v>
      </c>
      <c r="K1111" s="705"/>
      <c r="M1111">
        <v>0</v>
      </c>
      <c r="N1111" s="705">
        <v>108214</v>
      </c>
      <c r="O1111" s="705">
        <v>40079</v>
      </c>
      <c r="P1111" s="705">
        <v>44676</v>
      </c>
      <c r="Q1111" s="705">
        <v>16547</v>
      </c>
      <c r="S1111">
        <v>0</v>
      </c>
      <c r="T1111" s="705">
        <v>14721</v>
      </c>
      <c r="U1111" s="705">
        <v>5452</v>
      </c>
      <c r="V1111" s="705">
        <v>62079</v>
      </c>
      <c r="W1111" s="705">
        <f t="shared" si="50"/>
        <v>62078</v>
      </c>
      <c r="X1111" s="705">
        <f t="shared" si="51"/>
        <v>167611</v>
      </c>
    </row>
    <row r="1112" spans="2:24">
      <c r="B1112" t="s">
        <v>702</v>
      </c>
      <c r="C1112" t="s">
        <v>114</v>
      </c>
      <c r="D1112" t="s">
        <v>582</v>
      </c>
      <c r="E1112" t="s">
        <v>582</v>
      </c>
      <c r="F1112" s="705">
        <v>2</v>
      </c>
      <c r="G1112" s="705">
        <v>179</v>
      </c>
      <c r="H1112" s="705">
        <v>297</v>
      </c>
      <c r="I1112" s="705">
        <v>10081</v>
      </c>
      <c r="J1112" s="705">
        <v>9165</v>
      </c>
      <c r="K1112" s="705">
        <v>87</v>
      </c>
      <c r="L1112" s="705">
        <v>1195</v>
      </c>
      <c r="M1112" s="705">
        <v>1086</v>
      </c>
      <c r="N1112" s="705">
        <v>2340</v>
      </c>
      <c r="O1112">
        <v>867</v>
      </c>
      <c r="P1112">
        <v>945</v>
      </c>
      <c r="Q1112">
        <v>350</v>
      </c>
      <c r="R1112" s="705">
        <v>8682</v>
      </c>
      <c r="S1112" s="705">
        <v>7893</v>
      </c>
      <c r="T1112" s="705">
        <v>3394</v>
      </c>
      <c r="U1112" s="705">
        <v>1257</v>
      </c>
      <c r="V1112" s="705">
        <v>20617</v>
      </c>
      <c r="W1112" s="705">
        <f t="shared" si="50"/>
        <v>20618</v>
      </c>
      <c r="X1112" s="705">
        <f t="shared" si="51"/>
        <v>26637</v>
      </c>
    </row>
    <row r="1113" spans="2:24">
      <c r="B1113" t="s">
        <v>702</v>
      </c>
      <c r="C1113" t="s">
        <v>114</v>
      </c>
      <c r="D1113" t="s">
        <v>228</v>
      </c>
      <c r="E1113" t="s">
        <v>228</v>
      </c>
      <c r="F1113">
        <v>55</v>
      </c>
      <c r="G1113" s="705">
        <v>4133</v>
      </c>
      <c r="H1113" s="705">
        <v>7715</v>
      </c>
      <c r="I1113" s="705">
        <v>195973</v>
      </c>
      <c r="J1113" s="705">
        <v>72583</v>
      </c>
      <c r="K1113" s="705">
        <v>158</v>
      </c>
      <c r="L1113" s="705">
        <v>12717</v>
      </c>
      <c r="M1113" s="705">
        <v>6157</v>
      </c>
      <c r="N1113" s="705">
        <v>64153</v>
      </c>
      <c r="O1113" s="705">
        <v>23760</v>
      </c>
      <c r="P1113" s="705">
        <v>4507</v>
      </c>
      <c r="Q1113" s="705">
        <v>1669</v>
      </c>
      <c r="R1113" s="705">
        <v>302000</v>
      </c>
      <c r="S1113" s="705">
        <v>111852</v>
      </c>
      <c r="T1113">
        <v>0</v>
      </c>
      <c r="U1113">
        <v>0</v>
      </c>
      <c r="V1113" s="705">
        <v>216021</v>
      </c>
      <c r="W1113" s="705">
        <f t="shared" si="50"/>
        <v>216021</v>
      </c>
      <c r="X1113" s="705">
        <f t="shared" si="51"/>
        <v>579350</v>
      </c>
    </row>
    <row r="1114" spans="2:24">
      <c r="B1114" t="s">
        <v>702</v>
      </c>
      <c r="C1114" t="s">
        <v>114</v>
      </c>
      <c r="D1114" t="s">
        <v>583</v>
      </c>
      <c r="E1114" t="s">
        <v>583</v>
      </c>
      <c r="F1114">
        <v>2</v>
      </c>
      <c r="G1114" s="705">
        <v>574</v>
      </c>
      <c r="H1114">
        <v>260</v>
      </c>
      <c r="I1114" s="705">
        <v>37408</v>
      </c>
      <c r="J1114" s="705">
        <v>34008</v>
      </c>
      <c r="K1114" s="705">
        <v>87</v>
      </c>
      <c r="L1114" s="705">
        <v>10250</v>
      </c>
      <c r="M1114" s="705">
        <v>9319</v>
      </c>
      <c r="N1114" s="705">
        <v>13488</v>
      </c>
      <c r="O1114" s="705">
        <v>4996</v>
      </c>
      <c r="P1114" s="705">
        <v>1512</v>
      </c>
      <c r="Q1114">
        <v>560</v>
      </c>
      <c r="R1114" s="705">
        <v>11613</v>
      </c>
      <c r="S1114" s="705">
        <v>10557</v>
      </c>
      <c r="T1114">
        <v>0</v>
      </c>
      <c r="U1114">
        <v>0</v>
      </c>
      <c r="V1114" s="705">
        <v>59439</v>
      </c>
      <c r="W1114" s="705">
        <f t="shared" si="50"/>
        <v>59440</v>
      </c>
      <c r="X1114" s="705">
        <f t="shared" si="51"/>
        <v>74271</v>
      </c>
    </row>
    <row r="1115" spans="2:24">
      <c r="B1115" t="s">
        <v>702</v>
      </c>
      <c r="C1115" t="s">
        <v>114</v>
      </c>
      <c r="D1115" t="s">
        <v>584</v>
      </c>
      <c r="E1115" t="s">
        <v>584</v>
      </c>
      <c r="F1115" s="705">
        <v>1622</v>
      </c>
      <c r="G1115" s="705">
        <v>133242</v>
      </c>
      <c r="H1115" s="705">
        <v>224165</v>
      </c>
      <c r="I1115" s="705">
        <v>7726462</v>
      </c>
      <c r="J1115" s="705">
        <v>7024056</v>
      </c>
      <c r="K1115" s="705">
        <v>84</v>
      </c>
      <c r="L1115" s="705">
        <v>540151</v>
      </c>
      <c r="M1115" s="705">
        <v>407463</v>
      </c>
      <c r="N1115" s="705">
        <v>2606946</v>
      </c>
      <c r="O1115" s="705">
        <v>965535</v>
      </c>
      <c r="P1115" s="705">
        <v>833035</v>
      </c>
      <c r="Q1115" s="705">
        <v>308531</v>
      </c>
      <c r="R1115" s="705">
        <v>6382370</v>
      </c>
      <c r="S1115" s="705">
        <v>5802155</v>
      </c>
      <c r="T1115" s="705">
        <v>396411</v>
      </c>
      <c r="U1115" s="705">
        <v>146819</v>
      </c>
      <c r="V1115" s="705">
        <v>14654560</v>
      </c>
      <c r="W1115" s="705">
        <f t="shared" si="50"/>
        <v>14654559</v>
      </c>
      <c r="X1115" s="705">
        <f t="shared" si="51"/>
        <v>18485375</v>
      </c>
    </row>
    <row r="1116" spans="2:24">
      <c r="B1116" t="s">
        <v>702</v>
      </c>
      <c r="C1116" t="s">
        <v>116</v>
      </c>
      <c r="F1116" s="705">
        <v>87</v>
      </c>
      <c r="G1116" s="705">
        <v>6071</v>
      </c>
      <c r="H1116" s="705">
        <v>15581</v>
      </c>
      <c r="J1116" s="705">
        <v>0</v>
      </c>
      <c r="K1116" s="705"/>
      <c r="M1116">
        <v>0</v>
      </c>
      <c r="N1116" s="705">
        <v>122685</v>
      </c>
      <c r="O1116" s="705">
        <v>45439</v>
      </c>
      <c r="P1116" s="705">
        <v>34957</v>
      </c>
      <c r="Q1116" s="705">
        <v>12947</v>
      </c>
      <c r="S1116">
        <v>0</v>
      </c>
      <c r="T1116" s="705">
        <v>18342</v>
      </c>
      <c r="U1116" s="705">
        <v>6793</v>
      </c>
      <c r="V1116" s="705">
        <v>65179</v>
      </c>
      <c r="W1116" s="705">
        <f t="shared" si="50"/>
        <v>65179</v>
      </c>
      <c r="X1116" s="705">
        <f t="shared" si="51"/>
        <v>175984</v>
      </c>
    </row>
    <row r="1117" spans="2:24">
      <c r="B1117" t="s">
        <v>702</v>
      </c>
      <c r="C1117" t="s">
        <v>116</v>
      </c>
      <c r="D1117" t="s">
        <v>582</v>
      </c>
      <c r="E1117" t="s">
        <v>582</v>
      </c>
      <c r="F1117" s="705">
        <v>7</v>
      </c>
      <c r="G1117" s="705">
        <v>516</v>
      </c>
      <c r="H1117" s="705">
        <v>1321</v>
      </c>
      <c r="I1117" s="705">
        <v>39219</v>
      </c>
      <c r="J1117" s="705">
        <v>35654</v>
      </c>
      <c r="K1117" s="705">
        <v>81</v>
      </c>
      <c r="L1117" s="705">
        <v>9684</v>
      </c>
      <c r="M1117" s="705">
        <v>8804</v>
      </c>
      <c r="N1117" s="705">
        <v>9135</v>
      </c>
      <c r="O1117" s="705">
        <v>3383</v>
      </c>
      <c r="P1117" s="705">
        <v>3308</v>
      </c>
      <c r="Q1117" s="705">
        <v>1225</v>
      </c>
      <c r="R1117" s="705">
        <v>36036</v>
      </c>
      <c r="S1117" s="705">
        <v>32760</v>
      </c>
      <c r="T1117">
        <v>0</v>
      </c>
      <c r="U1117">
        <v>0</v>
      </c>
      <c r="V1117" s="705">
        <v>81826</v>
      </c>
      <c r="W1117" s="705">
        <f t="shared" si="50"/>
        <v>81826</v>
      </c>
      <c r="X1117" s="705">
        <f t="shared" si="51"/>
        <v>97382</v>
      </c>
    </row>
    <row r="1118" spans="2:24">
      <c r="B1118" t="s">
        <v>702</v>
      </c>
      <c r="C1118" t="s">
        <v>116</v>
      </c>
      <c r="D1118" t="s">
        <v>228</v>
      </c>
      <c r="E1118" t="s">
        <v>228</v>
      </c>
      <c r="F1118">
        <v>682</v>
      </c>
      <c r="G1118" s="705">
        <v>49239</v>
      </c>
      <c r="H1118" s="705">
        <v>134558</v>
      </c>
      <c r="I1118" s="705">
        <v>3939653</v>
      </c>
      <c r="J1118" s="705">
        <v>1459131</v>
      </c>
      <c r="K1118" s="705">
        <v>100</v>
      </c>
      <c r="L1118" s="705">
        <v>490242</v>
      </c>
      <c r="M1118" s="705">
        <v>195824</v>
      </c>
      <c r="N1118" s="705">
        <v>991705</v>
      </c>
      <c r="O1118" s="705">
        <v>367298</v>
      </c>
      <c r="P1118" s="705">
        <v>11974</v>
      </c>
      <c r="Q1118" s="705">
        <v>4435</v>
      </c>
      <c r="R1118" s="705">
        <v>4316671</v>
      </c>
      <c r="S1118" s="705">
        <v>1598767</v>
      </c>
      <c r="T1118" s="705">
        <v>7603</v>
      </c>
      <c r="U1118" s="705">
        <v>2816</v>
      </c>
      <c r="V1118" s="705">
        <v>3628270</v>
      </c>
      <c r="W1118" s="705">
        <f t="shared" si="50"/>
        <v>3628271</v>
      </c>
      <c r="X1118" s="705">
        <f t="shared" si="51"/>
        <v>9757848</v>
      </c>
    </row>
    <row r="1119" spans="2:24">
      <c r="B1119" t="s">
        <v>702</v>
      </c>
      <c r="C1119" t="s">
        <v>116</v>
      </c>
      <c r="D1119" t="s">
        <v>228</v>
      </c>
      <c r="E1119" t="s">
        <v>584</v>
      </c>
      <c r="F1119">
        <v>1</v>
      </c>
      <c r="G1119" s="705">
        <v>69</v>
      </c>
      <c r="H1119">
        <v>182</v>
      </c>
      <c r="I1119" s="705">
        <v>8115</v>
      </c>
      <c r="J1119" s="705">
        <v>3005</v>
      </c>
      <c r="K1119" s="705">
        <v>100</v>
      </c>
      <c r="L1119">
        <v>0</v>
      </c>
      <c r="M1119">
        <v>0</v>
      </c>
      <c r="N1119" s="705">
        <v>1230</v>
      </c>
      <c r="O1119">
        <v>456</v>
      </c>
      <c r="P1119">
        <v>473</v>
      </c>
      <c r="Q1119">
        <v>175</v>
      </c>
      <c r="R1119" s="705">
        <v>2799</v>
      </c>
      <c r="S1119" s="705">
        <v>2545</v>
      </c>
      <c r="T1119">
        <v>0</v>
      </c>
      <c r="U1119">
        <v>0</v>
      </c>
      <c r="V1119" s="705">
        <v>6181</v>
      </c>
      <c r="W1119" s="705">
        <f t="shared" si="50"/>
        <v>6181</v>
      </c>
      <c r="X1119" s="705">
        <f t="shared" si="51"/>
        <v>12617</v>
      </c>
    </row>
    <row r="1120" spans="2:24">
      <c r="B1120" t="s">
        <v>702</v>
      </c>
      <c r="C1120" t="s">
        <v>116</v>
      </c>
      <c r="D1120" t="s">
        <v>228</v>
      </c>
      <c r="E1120" t="s">
        <v>665</v>
      </c>
      <c r="F1120">
        <v>2</v>
      </c>
      <c r="G1120">
        <v>137</v>
      </c>
      <c r="H1120" s="705">
        <v>378</v>
      </c>
      <c r="I1120" s="705">
        <v>14132</v>
      </c>
      <c r="J1120" s="705">
        <v>5234</v>
      </c>
      <c r="K1120" s="705">
        <v>100</v>
      </c>
      <c r="L1120" s="705">
        <v>3533</v>
      </c>
      <c r="M1120" s="705">
        <v>1309</v>
      </c>
      <c r="N1120" s="705">
        <v>3269</v>
      </c>
      <c r="O1120" s="705">
        <v>1211</v>
      </c>
      <c r="P1120">
        <v>0</v>
      </c>
      <c r="Q1120">
        <v>0</v>
      </c>
      <c r="R1120" s="705">
        <v>4964</v>
      </c>
      <c r="S1120" s="705">
        <v>4513</v>
      </c>
      <c r="T1120">
        <v>0</v>
      </c>
      <c r="U1120">
        <v>0</v>
      </c>
      <c r="V1120" s="705">
        <v>12266</v>
      </c>
      <c r="W1120" s="705">
        <f t="shared" si="50"/>
        <v>12267</v>
      </c>
      <c r="X1120" s="705">
        <f t="shared" si="51"/>
        <v>25898</v>
      </c>
    </row>
    <row r="1121" spans="2:24">
      <c r="B1121" t="s">
        <v>702</v>
      </c>
      <c r="C1121" t="s">
        <v>116</v>
      </c>
      <c r="D1121" t="s">
        <v>583</v>
      </c>
      <c r="E1121" t="s">
        <v>583</v>
      </c>
      <c r="F1121" s="705">
        <v>26</v>
      </c>
      <c r="G1121" s="705">
        <v>3484</v>
      </c>
      <c r="H1121" s="705">
        <v>5046</v>
      </c>
      <c r="I1121" s="705">
        <v>362886</v>
      </c>
      <c r="J1121" s="705">
        <v>329897</v>
      </c>
      <c r="K1121" s="705">
        <v>83</v>
      </c>
      <c r="L1121" s="705">
        <v>62925</v>
      </c>
      <c r="M1121" s="705">
        <v>50284</v>
      </c>
      <c r="N1121" s="705">
        <v>72488</v>
      </c>
      <c r="O1121" s="705">
        <v>26848</v>
      </c>
      <c r="P1121" s="705">
        <v>16781</v>
      </c>
      <c r="Q1121" s="705">
        <v>6215</v>
      </c>
      <c r="R1121" s="705">
        <v>131520</v>
      </c>
      <c r="S1121" s="705">
        <v>119563</v>
      </c>
      <c r="T1121" s="705">
        <v>20309</v>
      </c>
      <c r="U1121" s="705">
        <v>7522</v>
      </c>
      <c r="V1121" s="705">
        <v>540328</v>
      </c>
      <c r="W1121" s="705">
        <f t="shared" si="50"/>
        <v>540329</v>
      </c>
      <c r="X1121" s="705">
        <f t="shared" si="51"/>
        <v>666909</v>
      </c>
    </row>
    <row r="1122" spans="2:24">
      <c r="B1122" t="s">
        <v>702</v>
      </c>
      <c r="C1122" t="s">
        <v>116</v>
      </c>
      <c r="D1122" t="s">
        <v>584</v>
      </c>
      <c r="E1122" t="s">
        <v>228</v>
      </c>
      <c r="F1122" s="705">
        <v>8</v>
      </c>
      <c r="G1122" s="705">
        <v>720</v>
      </c>
      <c r="H1122" s="705">
        <v>1667</v>
      </c>
      <c r="I1122" s="705">
        <v>48865</v>
      </c>
      <c r="J1122" s="705">
        <v>44423</v>
      </c>
      <c r="K1122" s="705">
        <v>81</v>
      </c>
      <c r="L1122" s="705">
        <v>5812</v>
      </c>
      <c r="M1122" s="705">
        <v>4516</v>
      </c>
      <c r="N1122" s="705">
        <v>13947</v>
      </c>
      <c r="O1122" s="705">
        <v>5166</v>
      </c>
      <c r="P1122" s="705">
        <v>3308</v>
      </c>
      <c r="Q1122" s="705">
        <v>1225</v>
      </c>
      <c r="R1122" s="705">
        <v>77112</v>
      </c>
      <c r="S1122" s="705">
        <v>28560</v>
      </c>
      <c r="T1122">
        <v>0</v>
      </c>
      <c r="U1122">
        <v>0</v>
      </c>
      <c r="V1122" s="705">
        <v>83890</v>
      </c>
      <c r="W1122" s="705">
        <f t="shared" si="50"/>
        <v>83890</v>
      </c>
      <c r="X1122" s="705">
        <f t="shared" si="51"/>
        <v>149044</v>
      </c>
    </row>
    <row r="1123" spans="2:24">
      <c r="B1123" t="s">
        <v>702</v>
      </c>
      <c r="C1123" t="s">
        <v>116</v>
      </c>
      <c r="D1123" t="s">
        <v>584</v>
      </c>
      <c r="E1123" t="s">
        <v>584</v>
      </c>
      <c r="F1123" s="705">
        <v>3906</v>
      </c>
      <c r="G1123" s="705">
        <v>290252</v>
      </c>
      <c r="H1123" s="705">
        <v>714873</v>
      </c>
      <c r="I1123" s="705">
        <v>23224772</v>
      </c>
      <c r="J1123" s="705">
        <v>21113429</v>
      </c>
      <c r="K1123" s="705">
        <v>80</v>
      </c>
      <c r="L1123" s="705">
        <v>3205972</v>
      </c>
      <c r="M1123" s="705">
        <v>2677959</v>
      </c>
      <c r="N1123" s="705">
        <v>6026673</v>
      </c>
      <c r="O1123" s="705">
        <v>2232101</v>
      </c>
      <c r="P1123" s="705">
        <v>1876718</v>
      </c>
      <c r="Q1123" s="705">
        <v>695081</v>
      </c>
      <c r="R1123" s="705">
        <v>16408463</v>
      </c>
      <c r="S1123" s="705">
        <v>14916784</v>
      </c>
      <c r="T1123" s="705">
        <v>2255243</v>
      </c>
      <c r="U1123" s="705">
        <v>835275</v>
      </c>
      <c r="V1123" s="705">
        <v>42470629</v>
      </c>
      <c r="W1123" s="705">
        <f t="shared" si="50"/>
        <v>42470629</v>
      </c>
      <c r="X1123" s="705">
        <f t="shared" si="51"/>
        <v>52997841</v>
      </c>
    </row>
    <row r="1124" spans="2:24">
      <c r="B1124" t="s">
        <v>702</v>
      </c>
      <c r="C1124" t="s">
        <v>116</v>
      </c>
      <c r="D1124" t="s">
        <v>665</v>
      </c>
      <c r="E1124" t="s">
        <v>228</v>
      </c>
      <c r="F1124">
        <v>1</v>
      </c>
      <c r="G1124">
        <v>50</v>
      </c>
      <c r="H1124" s="705">
        <v>177</v>
      </c>
      <c r="I1124" s="705">
        <v>2462</v>
      </c>
      <c r="J1124" s="705">
        <v>2238</v>
      </c>
      <c r="K1124" s="705">
        <v>100</v>
      </c>
      <c r="L1124">
        <v>0</v>
      </c>
      <c r="M1124">
        <v>0</v>
      </c>
      <c r="N1124" s="705">
        <v>1211</v>
      </c>
      <c r="O1124">
        <v>448</v>
      </c>
      <c r="P1124">
        <v>0</v>
      </c>
      <c r="Q1124">
        <v>0</v>
      </c>
      <c r="R1124" s="705">
        <v>5144</v>
      </c>
      <c r="S1124" s="705">
        <v>1905</v>
      </c>
      <c r="T1124">
        <v>0</v>
      </c>
      <c r="U1124">
        <v>0</v>
      </c>
      <c r="V1124" s="705">
        <v>4592</v>
      </c>
      <c r="W1124" s="705">
        <f t="shared" si="50"/>
        <v>4591</v>
      </c>
      <c r="X1124" s="705">
        <f t="shared" si="51"/>
        <v>8817</v>
      </c>
    </row>
    <row r="1125" spans="2:24">
      <c r="B1125" t="s">
        <v>702</v>
      </c>
      <c r="C1125" t="s">
        <v>118</v>
      </c>
      <c r="F1125">
        <v>43</v>
      </c>
      <c r="G1125" s="705">
        <v>2575</v>
      </c>
      <c r="H1125" s="705">
        <v>10863</v>
      </c>
      <c r="J1125">
        <v>0</v>
      </c>
      <c r="K1125" s="705"/>
      <c r="M1125">
        <v>0</v>
      </c>
      <c r="N1125" s="705">
        <v>51812</v>
      </c>
      <c r="O1125" s="705">
        <v>19190</v>
      </c>
      <c r="P1125" s="705">
        <v>11023</v>
      </c>
      <c r="Q1125" s="705">
        <v>4083</v>
      </c>
      <c r="S1125">
        <v>0</v>
      </c>
      <c r="T1125" s="705">
        <v>33318</v>
      </c>
      <c r="U1125" s="705">
        <v>12340</v>
      </c>
      <c r="V1125" s="705">
        <v>35612</v>
      </c>
      <c r="W1125" s="705">
        <f t="shared" si="50"/>
        <v>35613</v>
      </c>
      <c r="X1125" s="705">
        <f t="shared" si="51"/>
        <v>96153</v>
      </c>
    </row>
    <row r="1126" spans="2:24">
      <c r="B1126" t="s">
        <v>702</v>
      </c>
      <c r="C1126" t="s">
        <v>118</v>
      </c>
      <c r="D1126" t="s">
        <v>228</v>
      </c>
      <c r="E1126" t="s">
        <v>581</v>
      </c>
      <c r="F1126">
        <v>1</v>
      </c>
      <c r="G1126">
        <v>188</v>
      </c>
      <c r="H1126" s="705">
        <v>226</v>
      </c>
      <c r="I1126" s="705">
        <v>24085</v>
      </c>
      <c r="J1126" s="705">
        <v>8920</v>
      </c>
      <c r="K1126" s="705">
        <v>100</v>
      </c>
      <c r="L1126" s="705">
        <v>2676</v>
      </c>
      <c r="M1126">
        <v>991</v>
      </c>
      <c r="N1126" s="705">
        <v>4359</v>
      </c>
      <c r="O1126" s="705">
        <v>1614</v>
      </c>
      <c r="P1126">
        <v>702</v>
      </c>
      <c r="Q1126">
        <v>260</v>
      </c>
      <c r="R1126" s="705">
        <v>10747</v>
      </c>
      <c r="S1126" s="705">
        <v>3981</v>
      </c>
      <c r="T1126">
        <v>0</v>
      </c>
      <c r="U1126">
        <v>0</v>
      </c>
      <c r="V1126" s="705">
        <v>15766</v>
      </c>
      <c r="W1126" s="705">
        <f t="shared" si="50"/>
        <v>15766</v>
      </c>
      <c r="X1126" s="705">
        <f t="shared" si="51"/>
        <v>42569</v>
      </c>
    </row>
    <row r="1127" spans="2:24">
      <c r="B1127" t="s">
        <v>702</v>
      </c>
      <c r="C1127" t="s">
        <v>118</v>
      </c>
      <c r="D1127" t="s">
        <v>228</v>
      </c>
      <c r="E1127" t="s">
        <v>228</v>
      </c>
      <c r="F1127" s="705">
        <v>1128</v>
      </c>
      <c r="G1127" s="705">
        <v>75151</v>
      </c>
      <c r="H1127" s="705">
        <v>296017</v>
      </c>
      <c r="I1127" s="705">
        <v>10011379</v>
      </c>
      <c r="J1127" s="705">
        <v>3707918</v>
      </c>
      <c r="K1127" s="705">
        <v>100</v>
      </c>
      <c r="L1127" s="705">
        <v>1157438</v>
      </c>
      <c r="M1127" s="705">
        <v>537792</v>
      </c>
      <c r="N1127" s="705">
        <v>1544044</v>
      </c>
      <c r="O1127" s="705">
        <v>571868</v>
      </c>
      <c r="P1127" s="705">
        <v>24848</v>
      </c>
      <c r="Q1127" s="705">
        <v>9203</v>
      </c>
      <c r="R1127" s="705">
        <v>6977625</v>
      </c>
      <c r="S1127" s="705">
        <v>2584306</v>
      </c>
      <c r="T1127" s="705">
        <v>9718</v>
      </c>
      <c r="U1127" s="705">
        <v>3599</v>
      </c>
      <c r="V1127" s="705">
        <v>7414686</v>
      </c>
      <c r="W1127" s="705">
        <f t="shared" si="50"/>
        <v>7414686</v>
      </c>
      <c r="X1127" s="705">
        <f t="shared" si="51"/>
        <v>19725052</v>
      </c>
    </row>
    <row r="1128" spans="2:24">
      <c r="B1128" t="s">
        <v>702</v>
      </c>
      <c r="C1128" t="s">
        <v>118</v>
      </c>
      <c r="D1128" t="s">
        <v>228</v>
      </c>
      <c r="E1128" t="s">
        <v>665</v>
      </c>
      <c r="F1128" s="705">
        <v>1</v>
      </c>
      <c r="G1128" s="705">
        <v>74</v>
      </c>
      <c r="H1128" s="705">
        <v>283</v>
      </c>
      <c r="I1128" s="705">
        <v>13708</v>
      </c>
      <c r="J1128" s="705">
        <v>5077</v>
      </c>
      <c r="K1128" s="705">
        <v>100</v>
      </c>
      <c r="L1128" s="705">
        <v>2068</v>
      </c>
      <c r="M1128" s="705">
        <v>1880</v>
      </c>
      <c r="N1128" s="705">
        <v>1813</v>
      </c>
      <c r="O1128">
        <v>672</v>
      </c>
      <c r="P1128">
        <v>0</v>
      </c>
      <c r="Q1128">
        <v>0</v>
      </c>
      <c r="R1128" s="705">
        <v>3460</v>
      </c>
      <c r="S1128" s="705">
        <v>3146</v>
      </c>
      <c r="T1128">
        <v>0</v>
      </c>
      <c r="U1128">
        <v>0</v>
      </c>
      <c r="V1128" s="705">
        <v>10775</v>
      </c>
      <c r="W1128" s="705">
        <f t="shared" si="50"/>
        <v>10775</v>
      </c>
      <c r="X1128" s="705">
        <f t="shared" si="51"/>
        <v>21049</v>
      </c>
    </row>
    <row r="1129" spans="2:24">
      <c r="B1129" t="s">
        <v>702</v>
      </c>
      <c r="C1129" t="s">
        <v>118</v>
      </c>
      <c r="D1129" t="s">
        <v>583</v>
      </c>
      <c r="E1129" t="s">
        <v>228</v>
      </c>
      <c r="F1129" s="705">
        <v>2</v>
      </c>
      <c r="G1129" s="705">
        <v>160</v>
      </c>
      <c r="H1129" s="705">
        <v>494</v>
      </c>
      <c r="I1129" s="705">
        <v>19285</v>
      </c>
      <c r="J1129" s="705">
        <v>17532</v>
      </c>
      <c r="K1129" s="705">
        <v>70</v>
      </c>
      <c r="L1129" s="705">
        <v>2963</v>
      </c>
      <c r="M1129" s="705">
        <v>1804</v>
      </c>
      <c r="N1129" s="705">
        <v>3853</v>
      </c>
      <c r="O1129" s="705">
        <v>1427</v>
      </c>
      <c r="P1129" s="705">
        <v>1242</v>
      </c>
      <c r="Q1129">
        <v>460</v>
      </c>
      <c r="R1129" s="705">
        <v>11752</v>
      </c>
      <c r="S1129" s="705">
        <v>4353</v>
      </c>
      <c r="T1129">
        <v>0</v>
      </c>
      <c r="U1129">
        <v>0</v>
      </c>
      <c r="V1129" s="705">
        <v>25576</v>
      </c>
      <c r="W1129" s="705">
        <f t="shared" si="50"/>
        <v>25576</v>
      </c>
      <c r="X1129" s="705">
        <f t="shared" si="51"/>
        <v>39095</v>
      </c>
    </row>
    <row r="1130" spans="2:24">
      <c r="B1130" t="s">
        <v>702</v>
      </c>
      <c r="C1130" t="s">
        <v>118</v>
      </c>
      <c r="D1130" t="s">
        <v>583</v>
      </c>
      <c r="E1130" t="s">
        <v>583</v>
      </c>
      <c r="F1130">
        <v>25</v>
      </c>
      <c r="G1130" s="705">
        <v>2419</v>
      </c>
      <c r="H1130" s="705">
        <v>6600</v>
      </c>
      <c r="I1130" s="705">
        <v>352416</v>
      </c>
      <c r="J1130" s="705">
        <v>320378</v>
      </c>
      <c r="K1130" s="705">
        <v>83</v>
      </c>
      <c r="L1130" s="705">
        <v>81072</v>
      </c>
      <c r="M1130" s="705">
        <v>67287</v>
      </c>
      <c r="N1130" s="705">
        <v>52015</v>
      </c>
      <c r="O1130" s="705">
        <v>19265</v>
      </c>
      <c r="P1130" s="705">
        <v>14985</v>
      </c>
      <c r="Q1130" s="705">
        <v>5550</v>
      </c>
      <c r="R1130" s="705">
        <v>116705</v>
      </c>
      <c r="S1130" s="705">
        <v>106096</v>
      </c>
      <c r="T1130" s="705">
        <v>20519</v>
      </c>
      <c r="U1130" s="705">
        <v>7600</v>
      </c>
      <c r="V1130" s="705">
        <v>526175</v>
      </c>
      <c r="W1130" s="705">
        <f t="shared" si="50"/>
        <v>526176</v>
      </c>
      <c r="X1130" s="705">
        <f t="shared" si="51"/>
        <v>637712</v>
      </c>
    </row>
    <row r="1131" spans="2:24">
      <c r="B1131" t="s">
        <v>702</v>
      </c>
      <c r="C1131" t="s">
        <v>118</v>
      </c>
      <c r="D1131" t="s">
        <v>584</v>
      </c>
      <c r="E1131" t="s">
        <v>228</v>
      </c>
      <c r="F1131">
        <v>7</v>
      </c>
      <c r="G1131" s="705">
        <v>400</v>
      </c>
      <c r="H1131" s="705">
        <v>1863</v>
      </c>
      <c r="I1131" s="705">
        <v>42294</v>
      </c>
      <c r="J1131" s="705">
        <v>38449</v>
      </c>
      <c r="K1131" s="705">
        <v>80</v>
      </c>
      <c r="L1131" s="705">
        <v>1818</v>
      </c>
      <c r="M1131" s="705">
        <v>1965</v>
      </c>
      <c r="N1131" s="705">
        <v>8421</v>
      </c>
      <c r="O1131" s="705">
        <v>3119</v>
      </c>
      <c r="P1131" s="705">
        <v>2835</v>
      </c>
      <c r="Q1131" s="705">
        <v>1050</v>
      </c>
      <c r="R1131" s="705">
        <v>54843</v>
      </c>
      <c r="S1131" s="705">
        <v>20312</v>
      </c>
      <c r="T1131" s="705">
        <v>1958</v>
      </c>
      <c r="U1131">
        <v>725</v>
      </c>
      <c r="V1131" s="705">
        <v>65620</v>
      </c>
      <c r="W1131" s="705">
        <f t="shared" ref="W1131:W1194" si="52">SUM(ABS(J1131),ABS(M1131),ABS(O1131),ABS(Q1131),ABS(S1131),ABS(U1131))</f>
        <v>65620</v>
      </c>
      <c r="X1131" s="705">
        <f t="shared" ref="X1131:X1194" si="53">SUM(ABS(I1131),ABS(N1131),ABS(P1131),ABS(R1131),ABS(T1131),ABS(L1131))</f>
        <v>112169</v>
      </c>
    </row>
    <row r="1132" spans="2:24">
      <c r="B1132" t="s">
        <v>702</v>
      </c>
      <c r="C1132" t="s">
        <v>118</v>
      </c>
      <c r="D1132" t="s">
        <v>584</v>
      </c>
      <c r="E1132" t="s">
        <v>584</v>
      </c>
      <c r="F1132">
        <v>879</v>
      </c>
      <c r="G1132" s="705">
        <v>58960</v>
      </c>
      <c r="H1132" s="705">
        <v>223827</v>
      </c>
      <c r="I1132" s="705">
        <v>7283290</v>
      </c>
      <c r="J1132" s="705">
        <v>6621172</v>
      </c>
      <c r="K1132" s="705">
        <v>78</v>
      </c>
      <c r="L1132" s="705">
        <v>1577055</v>
      </c>
      <c r="M1132" s="705">
        <v>1536114</v>
      </c>
      <c r="N1132" s="705">
        <v>1249558</v>
      </c>
      <c r="O1132" s="705">
        <v>462799</v>
      </c>
      <c r="P1132" s="705">
        <v>414590</v>
      </c>
      <c r="Q1132" s="705">
        <v>153552</v>
      </c>
      <c r="R1132" s="705">
        <v>3748183</v>
      </c>
      <c r="S1132" s="705">
        <v>3407439</v>
      </c>
      <c r="T1132" s="705">
        <v>774987</v>
      </c>
      <c r="U1132" s="705">
        <v>287032</v>
      </c>
      <c r="V1132" s="705">
        <v>12468109</v>
      </c>
      <c r="W1132" s="705">
        <f t="shared" si="52"/>
        <v>12468108</v>
      </c>
      <c r="X1132" s="705">
        <f t="shared" si="53"/>
        <v>15047663</v>
      </c>
    </row>
    <row r="1133" spans="2:24">
      <c r="B1133" t="s">
        <v>702</v>
      </c>
      <c r="C1133" t="s">
        <v>118</v>
      </c>
      <c r="D1133" t="s">
        <v>584</v>
      </c>
      <c r="E1133" t="s">
        <v>669</v>
      </c>
      <c r="F1133" s="705">
        <v>1</v>
      </c>
      <c r="G1133" s="705">
        <v>79</v>
      </c>
      <c r="H1133" s="705">
        <v>270</v>
      </c>
      <c r="I1133" s="705">
        <v>11159</v>
      </c>
      <c r="J1133" s="705">
        <v>10145</v>
      </c>
      <c r="K1133" s="705">
        <v>79</v>
      </c>
      <c r="L1133" s="705">
        <v>3386</v>
      </c>
      <c r="M1133" s="705">
        <v>2822</v>
      </c>
      <c r="N1133" s="705">
        <v>1318</v>
      </c>
      <c r="O1133">
        <v>488</v>
      </c>
      <c r="P1133">
        <v>473</v>
      </c>
      <c r="Q1133">
        <v>175</v>
      </c>
      <c r="R1133" s="705">
        <v>5006</v>
      </c>
      <c r="S1133" s="705">
        <v>4172</v>
      </c>
      <c r="T1133">
        <v>0</v>
      </c>
      <c r="U1133">
        <v>0</v>
      </c>
      <c r="V1133" s="705">
        <v>17802</v>
      </c>
      <c r="W1133" s="705">
        <f t="shared" si="52"/>
        <v>17802</v>
      </c>
      <c r="X1133" s="705">
        <f t="shared" si="53"/>
        <v>21342</v>
      </c>
    </row>
    <row r="1134" spans="2:24">
      <c r="B1134" t="s">
        <v>702</v>
      </c>
      <c r="C1134" t="s">
        <v>118</v>
      </c>
      <c r="D1134" t="s">
        <v>585</v>
      </c>
      <c r="E1134" t="s">
        <v>585</v>
      </c>
      <c r="F1134">
        <v>1</v>
      </c>
      <c r="G1134" s="705">
        <v>108</v>
      </c>
      <c r="H1134" s="705">
        <v>280</v>
      </c>
      <c r="I1134" s="705">
        <v>19050</v>
      </c>
      <c r="J1134" s="705">
        <v>17318</v>
      </c>
      <c r="K1134" s="705">
        <v>93</v>
      </c>
      <c r="L1134" s="705">
        <v>3135</v>
      </c>
      <c r="M1134" s="705">
        <v>2850</v>
      </c>
      <c r="N1134" s="705">
        <v>2016</v>
      </c>
      <c r="O1134">
        <v>747</v>
      </c>
      <c r="P1134">
        <v>351</v>
      </c>
      <c r="Q1134">
        <v>130</v>
      </c>
      <c r="R1134" s="705">
        <v>3207</v>
      </c>
      <c r="S1134" s="705">
        <v>2915</v>
      </c>
      <c r="T1134" s="705">
        <v>2530</v>
      </c>
      <c r="U1134">
        <v>937</v>
      </c>
      <c r="V1134" s="705">
        <v>24897</v>
      </c>
      <c r="W1134" s="705">
        <f t="shared" si="52"/>
        <v>24897</v>
      </c>
      <c r="X1134" s="705">
        <f t="shared" si="53"/>
        <v>30289</v>
      </c>
    </row>
    <row r="1135" spans="2:24">
      <c r="B1135" t="s">
        <v>702</v>
      </c>
      <c r="C1135" t="s">
        <v>120</v>
      </c>
      <c r="F1135">
        <v>9</v>
      </c>
      <c r="G1135">
        <v>496</v>
      </c>
      <c r="H1135" s="705">
        <v>2905</v>
      </c>
      <c r="J1135">
        <v>0</v>
      </c>
      <c r="K1135" s="705"/>
      <c r="M1135">
        <v>0</v>
      </c>
      <c r="N1135" s="705">
        <v>8873</v>
      </c>
      <c r="O1135" s="705">
        <v>3286</v>
      </c>
      <c r="P1135" s="705">
        <v>1769</v>
      </c>
      <c r="Q1135">
        <v>655</v>
      </c>
      <c r="S1135">
        <v>0</v>
      </c>
      <c r="T1135" s="705">
        <v>7385</v>
      </c>
      <c r="U1135" s="705">
        <v>2735</v>
      </c>
      <c r="V1135" s="705">
        <v>6676</v>
      </c>
      <c r="W1135" s="705">
        <f t="shared" si="52"/>
        <v>6676</v>
      </c>
      <c r="X1135" s="705">
        <f t="shared" si="53"/>
        <v>18027</v>
      </c>
    </row>
    <row r="1136" spans="2:24">
      <c r="B1136" t="s">
        <v>702</v>
      </c>
      <c r="C1136" t="s">
        <v>120</v>
      </c>
      <c r="D1136" t="s">
        <v>228</v>
      </c>
      <c r="E1136" t="s">
        <v>228</v>
      </c>
      <c r="F1136">
        <v>594</v>
      </c>
      <c r="G1136" s="705">
        <v>35151</v>
      </c>
      <c r="H1136" s="705">
        <v>200127</v>
      </c>
      <c r="I1136" s="705">
        <v>6725374</v>
      </c>
      <c r="J1136" s="705">
        <v>2490879</v>
      </c>
      <c r="K1136" s="705">
        <v>100</v>
      </c>
      <c r="L1136" s="705">
        <v>846764</v>
      </c>
      <c r="M1136" s="705">
        <v>471350</v>
      </c>
      <c r="N1136" s="705">
        <v>727569</v>
      </c>
      <c r="O1136" s="705">
        <v>269470</v>
      </c>
      <c r="P1136" s="705">
        <v>10503</v>
      </c>
      <c r="Q1136" s="705">
        <v>3890</v>
      </c>
      <c r="R1136" s="705">
        <v>3542925</v>
      </c>
      <c r="S1136" s="705">
        <v>1312194</v>
      </c>
      <c r="T1136" s="705">
        <v>8960</v>
      </c>
      <c r="U1136" s="705">
        <v>3319</v>
      </c>
      <c r="V1136" s="705">
        <v>4551102</v>
      </c>
      <c r="W1136" s="705">
        <f t="shared" si="52"/>
        <v>4551102</v>
      </c>
      <c r="X1136" s="705">
        <f t="shared" si="53"/>
        <v>11862095</v>
      </c>
    </row>
    <row r="1137" spans="2:24">
      <c r="B1137" t="s">
        <v>702</v>
      </c>
      <c r="C1137" t="s">
        <v>120</v>
      </c>
      <c r="D1137" t="s">
        <v>583</v>
      </c>
      <c r="E1137" t="s">
        <v>228</v>
      </c>
      <c r="F1137">
        <v>1</v>
      </c>
      <c r="G1137" s="705">
        <v>112</v>
      </c>
      <c r="H1137" s="705">
        <v>367</v>
      </c>
      <c r="I1137" s="705">
        <v>32715</v>
      </c>
      <c r="J1137" s="705">
        <v>29741</v>
      </c>
      <c r="K1137" s="705">
        <v>85</v>
      </c>
      <c r="L1137">
        <v>0</v>
      </c>
      <c r="M1137">
        <v>0</v>
      </c>
      <c r="N1137" s="705">
        <v>2177</v>
      </c>
      <c r="O1137">
        <v>806</v>
      </c>
      <c r="P1137">
        <v>621</v>
      </c>
      <c r="Q1137">
        <v>230</v>
      </c>
      <c r="R1137" s="705">
        <v>5482</v>
      </c>
      <c r="S1137" s="705">
        <v>2030</v>
      </c>
      <c r="T1137">
        <v>0</v>
      </c>
      <c r="U1137">
        <v>0</v>
      </c>
      <c r="V1137" s="705">
        <v>32808</v>
      </c>
      <c r="W1137" s="705">
        <f t="shared" si="52"/>
        <v>32807</v>
      </c>
      <c r="X1137" s="705">
        <f t="shared" si="53"/>
        <v>40995</v>
      </c>
    </row>
    <row r="1138" spans="2:24">
      <c r="B1138" t="s">
        <v>702</v>
      </c>
      <c r="C1138" t="s">
        <v>120</v>
      </c>
      <c r="D1138" t="s">
        <v>583</v>
      </c>
      <c r="E1138" t="s">
        <v>583</v>
      </c>
      <c r="F1138">
        <v>14</v>
      </c>
      <c r="G1138" s="705">
        <v>1547</v>
      </c>
      <c r="H1138" s="705">
        <v>4728</v>
      </c>
      <c r="I1138" s="705">
        <v>307047</v>
      </c>
      <c r="J1138" s="705">
        <v>279134</v>
      </c>
      <c r="K1138" s="705">
        <v>74</v>
      </c>
      <c r="L1138" s="705">
        <v>77762</v>
      </c>
      <c r="M1138" s="705">
        <v>66836</v>
      </c>
      <c r="N1138" s="705">
        <v>31302</v>
      </c>
      <c r="O1138" s="705">
        <v>11593</v>
      </c>
      <c r="P1138" s="705">
        <v>8694</v>
      </c>
      <c r="Q1138" s="705">
        <v>3220</v>
      </c>
      <c r="R1138" s="705">
        <v>86552</v>
      </c>
      <c r="S1138" s="705">
        <v>78683</v>
      </c>
      <c r="T1138" s="705">
        <v>7711</v>
      </c>
      <c r="U1138" s="705">
        <v>2856</v>
      </c>
      <c r="V1138" s="705">
        <v>442322</v>
      </c>
      <c r="W1138" s="705">
        <f t="shared" si="52"/>
        <v>442322</v>
      </c>
      <c r="X1138" s="705">
        <f t="shared" si="53"/>
        <v>519068</v>
      </c>
    </row>
    <row r="1139" spans="2:24">
      <c r="B1139" t="s">
        <v>702</v>
      </c>
      <c r="C1139" t="s">
        <v>120</v>
      </c>
      <c r="D1139" t="s">
        <v>584</v>
      </c>
      <c r="E1139" t="s">
        <v>228</v>
      </c>
      <c r="F1139">
        <v>7</v>
      </c>
      <c r="G1139">
        <v>377</v>
      </c>
      <c r="H1139" s="705">
        <v>2490</v>
      </c>
      <c r="I1139" s="705">
        <v>74815</v>
      </c>
      <c r="J1139" s="705">
        <v>68014</v>
      </c>
      <c r="K1139">
        <v>81</v>
      </c>
      <c r="L1139" s="705">
        <v>8183</v>
      </c>
      <c r="M1139" s="705">
        <v>5521</v>
      </c>
      <c r="N1139" s="705">
        <v>7314</v>
      </c>
      <c r="O1139" s="705">
        <v>2709</v>
      </c>
      <c r="P1139" s="705">
        <v>2363</v>
      </c>
      <c r="Q1139">
        <v>875</v>
      </c>
      <c r="R1139" s="705">
        <v>41160</v>
      </c>
      <c r="S1139" s="705">
        <v>15244</v>
      </c>
      <c r="T1139">
        <v>0</v>
      </c>
      <c r="U1139">
        <v>0</v>
      </c>
      <c r="V1139" s="705">
        <v>92363</v>
      </c>
      <c r="W1139" s="705">
        <f t="shared" si="52"/>
        <v>92363</v>
      </c>
      <c r="X1139" s="705">
        <f t="shared" si="53"/>
        <v>133835</v>
      </c>
    </row>
    <row r="1140" spans="2:24">
      <c r="B1140" t="s">
        <v>702</v>
      </c>
      <c r="C1140" t="s">
        <v>120</v>
      </c>
      <c r="D1140" t="s">
        <v>584</v>
      </c>
      <c r="E1140" t="s">
        <v>584</v>
      </c>
      <c r="F1140">
        <v>242</v>
      </c>
      <c r="G1140" s="705">
        <v>15007</v>
      </c>
      <c r="H1140" s="705">
        <v>80985</v>
      </c>
      <c r="I1140" s="705">
        <v>2773703</v>
      </c>
      <c r="J1140" s="705">
        <v>2521548</v>
      </c>
      <c r="K1140">
        <v>80</v>
      </c>
      <c r="L1140" s="705">
        <v>675947</v>
      </c>
      <c r="M1140" s="705">
        <v>572051</v>
      </c>
      <c r="N1140" s="705">
        <v>323046</v>
      </c>
      <c r="O1140" s="705">
        <v>119647</v>
      </c>
      <c r="P1140" s="705">
        <v>113009</v>
      </c>
      <c r="Q1140" s="705">
        <v>41855</v>
      </c>
      <c r="R1140" s="705">
        <v>965034</v>
      </c>
      <c r="S1140" s="705">
        <v>877303</v>
      </c>
      <c r="T1140" s="705">
        <v>179756</v>
      </c>
      <c r="U1140" s="705">
        <v>66576</v>
      </c>
      <c r="V1140" s="705">
        <v>4198981</v>
      </c>
      <c r="W1140" s="705">
        <f t="shared" si="52"/>
        <v>4198980</v>
      </c>
      <c r="X1140" s="705">
        <f t="shared" si="53"/>
        <v>5030495</v>
      </c>
    </row>
    <row r="1141" spans="2:24">
      <c r="B1141" t="s">
        <v>702</v>
      </c>
      <c r="C1141" t="s">
        <v>120</v>
      </c>
      <c r="D1141" t="s">
        <v>669</v>
      </c>
      <c r="E1141" t="s">
        <v>669</v>
      </c>
      <c r="F1141">
        <v>1</v>
      </c>
      <c r="G1141">
        <v>82</v>
      </c>
      <c r="H1141">
        <v>330</v>
      </c>
      <c r="I1141" s="705">
        <v>13417</v>
      </c>
      <c r="J1141" s="705">
        <v>11181</v>
      </c>
      <c r="K1141">
        <v>55</v>
      </c>
      <c r="L1141" s="705">
        <v>2733</v>
      </c>
      <c r="M1141" s="705">
        <v>2278</v>
      </c>
      <c r="N1141" s="705">
        <v>1994</v>
      </c>
      <c r="O1141">
        <v>739</v>
      </c>
      <c r="P1141">
        <v>351</v>
      </c>
      <c r="Q1141">
        <v>130</v>
      </c>
      <c r="R1141" s="705">
        <v>5962</v>
      </c>
      <c r="S1141" s="705">
        <v>4969</v>
      </c>
      <c r="T1141" s="705">
        <v>2547</v>
      </c>
      <c r="U1141">
        <v>943</v>
      </c>
      <c r="V1141" s="705">
        <v>20239</v>
      </c>
      <c r="W1141" s="705">
        <f t="shared" si="52"/>
        <v>20240</v>
      </c>
      <c r="X1141" s="705">
        <f t="shared" si="53"/>
        <v>27004</v>
      </c>
    </row>
    <row r="1142" spans="2:24">
      <c r="B1142" t="s">
        <v>702</v>
      </c>
      <c r="C1142" t="s">
        <v>122</v>
      </c>
      <c r="F1142">
        <v>5</v>
      </c>
      <c r="G1142">
        <v>245</v>
      </c>
      <c r="H1142" s="705">
        <v>2057</v>
      </c>
      <c r="J1142">
        <v>0</v>
      </c>
      <c r="M1142">
        <v>0</v>
      </c>
      <c r="N1142" s="705">
        <v>5807</v>
      </c>
      <c r="O1142" s="705">
        <v>2151</v>
      </c>
      <c r="P1142" s="705">
        <v>1418</v>
      </c>
      <c r="Q1142">
        <v>525</v>
      </c>
      <c r="S1142">
        <v>0</v>
      </c>
      <c r="T1142" s="705">
        <v>1072</v>
      </c>
      <c r="U1142">
        <v>397</v>
      </c>
      <c r="V1142" s="705">
        <v>3073</v>
      </c>
      <c r="W1142" s="705">
        <f t="shared" si="52"/>
        <v>3073</v>
      </c>
      <c r="X1142" s="705">
        <f t="shared" si="53"/>
        <v>8297</v>
      </c>
    </row>
    <row r="1143" spans="2:24">
      <c r="B1143" t="s">
        <v>702</v>
      </c>
      <c r="C1143" t="s">
        <v>122</v>
      </c>
      <c r="D1143" t="s">
        <v>228</v>
      </c>
      <c r="E1143" t="s">
        <v>228</v>
      </c>
      <c r="F1143">
        <v>183</v>
      </c>
      <c r="G1143" s="705">
        <v>9845</v>
      </c>
      <c r="H1143" s="705">
        <v>76009</v>
      </c>
      <c r="I1143" s="705">
        <v>2467427</v>
      </c>
      <c r="J1143" s="705">
        <v>913862</v>
      </c>
      <c r="K1143">
        <v>100</v>
      </c>
      <c r="L1143" s="705">
        <v>332479</v>
      </c>
      <c r="M1143" s="705">
        <v>199908</v>
      </c>
      <c r="N1143" s="705">
        <v>205473</v>
      </c>
      <c r="O1143" s="705">
        <v>76101</v>
      </c>
      <c r="P1143" s="705">
        <v>3224</v>
      </c>
      <c r="Q1143" s="705">
        <v>1194</v>
      </c>
      <c r="R1143" s="705">
        <v>1088126</v>
      </c>
      <c r="S1143" s="705">
        <v>403009</v>
      </c>
      <c r="T1143" s="705">
        <v>1684</v>
      </c>
      <c r="U1143">
        <v>624</v>
      </c>
      <c r="V1143" s="705">
        <v>1594698</v>
      </c>
      <c r="W1143" s="705">
        <f t="shared" si="52"/>
        <v>1594698</v>
      </c>
      <c r="X1143" s="705">
        <f t="shared" si="53"/>
        <v>4098413</v>
      </c>
    </row>
    <row r="1144" spans="2:24">
      <c r="B1144" t="s">
        <v>702</v>
      </c>
      <c r="C1144" t="s">
        <v>122</v>
      </c>
      <c r="D1144" t="s">
        <v>583</v>
      </c>
      <c r="E1144" t="s">
        <v>583</v>
      </c>
      <c r="F1144">
        <v>4</v>
      </c>
      <c r="G1144">
        <v>536</v>
      </c>
      <c r="H1144" s="705">
        <v>1649</v>
      </c>
      <c r="I1144" s="705">
        <v>147596</v>
      </c>
      <c r="J1144" s="705">
        <v>134178</v>
      </c>
      <c r="K1144">
        <v>70</v>
      </c>
      <c r="L1144" s="705">
        <v>19890</v>
      </c>
      <c r="M1144" s="705">
        <v>18082</v>
      </c>
      <c r="N1144" s="705">
        <v>11560</v>
      </c>
      <c r="O1144" s="705">
        <v>4281</v>
      </c>
      <c r="P1144" s="705">
        <v>2484</v>
      </c>
      <c r="Q1144">
        <v>920</v>
      </c>
      <c r="R1144" s="705">
        <v>21856</v>
      </c>
      <c r="S1144" s="705">
        <v>19869</v>
      </c>
      <c r="T1144" s="705">
        <v>12782</v>
      </c>
      <c r="U1144" s="705">
        <v>4734</v>
      </c>
      <c r="V1144" s="705">
        <v>182064</v>
      </c>
      <c r="W1144" s="705">
        <f t="shared" si="52"/>
        <v>182064</v>
      </c>
      <c r="X1144" s="705">
        <f t="shared" si="53"/>
        <v>216168</v>
      </c>
    </row>
    <row r="1145" spans="2:24">
      <c r="B1145" t="s">
        <v>702</v>
      </c>
      <c r="C1145" t="s">
        <v>122</v>
      </c>
      <c r="D1145" t="s">
        <v>584</v>
      </c>
      <c r="E1145" t="s">
        <v>228</v>
      </c>
      <c r="F1145">
        <v>1</v>
      </c>
      <c r="G1145">
        <v>36</v>
      </c>
      <c r="H1145">
        <v>404</v>
      </c>
      <c r="I1145" s="705">
        <v>8816</v>
      </c>
      <c r="J1145" s="705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705">
        <v>5347</v>
      </c>
      <c r="S1145" s="705">
        <v>1981</v>
      </c>
      <c r="T1145">
        <v>0</v>
      </c>
      <c r="U1145">
        <v>0</v>
      </c>
      <c r="V1145" s="705">
        <v>10158</v>
      </c>
      <c r="W1145" s="705">
        <f t="shared" si="52"/>
        <v>10159</v>
      </c>
      <c r="X1145" s="705">
        <f t="shared" si="53"/>
        <v>14603</v>
      </c>
    </row>
    <row r="1146" spans="2:24">
      <c r="B1146" t="s">
        <v>702</v>
      </c>
      <c r="C1146" t="s">
        <v>122</v>
      </c>
      <c r="D1146" t="s">
        <v>584</v>
      </c>
      <c r="E1146" t="s">
        <v>584</v>
      </c>
      <c r="F1146">
        <v>114</v>
      </c>
      <c r="G1146" s="705">
        <v>7171</v>
      </c>
      <c r="H1146" s="705">
        <v>46905</v>
      </c>
      <c r="I1146" s="705">
        <v>1748627</v>
      </c>
      <c r="J1146" s="705">
        <v>1589661</v>
      </c>
      <c r="K1146">
        <v>76</v>
      </c>
      <c r="L1146" s="705">
        <v>423625</v>
      </c>
      <c r="M1146" s="705">
        <v>369284</v>
      </c>
      <c r="N1146" s="705">
        <v>151687</v>
      </c>
      <c r="O1146" s="705">
        <v>56181</v>
      </c>
      <c r="P1146" s="705">
        <v>54751</v>
      </c>
      <c r="Q1146" s="705">
        <v>20278</v>
      </c>
      <c r="R1146" s="705">
        <v>478664</v>
      </c>
      <c r="S1146" s="705">
        <v>435149</v>
      </c>
      <c r="T1146" s="705">
        <v>105042</v>
      </c>
      <c r="U1146" s="705">
        <v>38904</v>
      </c>
      <c r="V1146" s="705">
        <v>2509457</v>
      </c>
      <c r="W1146" s="705">
        <f t="shared" si="52"/>
        <v>2509457</v>
      </c>
      <c r="X1146" s="705">
        <f t="shared" si="53"/>
        <v>2962396</v>
      </c>
    </row>
    <row r="1147" spans="2:24">
      <c r="B1147" t="s">
        <v>702</v>
      </c>
      <c r="C1147" t="s">
        <v>122</v>
      </c>
      <c r="D1147" t="s">
        <v>665</v>
      </c>
      <c r="E1147" t="s">
        <v>228</v>
      </c>
      <c r="F1147">
        <v>1</v>
      </c>
      <c r="G1147">
        <v>41</v>
      </c>
      <c r="H1147">
        <v>450</v>
      </c>
      <c r="I1147" s="705">
        <v>6033</v>
      </c>
      <c r="J1147" s="705">
        <v>5485</v>
      </c>
      <c r="K1147">
        <v>50</v>
      </c>
      <c r="L1147" s="705">
        <v>1117</v>
      </c>
      <c r="M1147" s="705">
        <v>1016</v>
      </c>
      <c r="N1147">
        <v>503</v>
      </c>
      <c r="O1147">
        <v>186</v>
      </c>
      <c r="P1147">
        <v>0</v>
      </c>
      <c r="Q1147">
        <v>0</v>
      </c>
      <c r="R1147" s="705">
        <v>10900</v>
      </c>
      <c r="S1147" s="705">
        <v>4037</v>
      </c>
      <c r="T1147">
        <v>0</v>
      </c>
      <c r="U1147">
        <v>0</v>
      </c>
      <c r="V1147" s="705">
        <v>10723</v>
      </c>
      <c r="W1147" s="705">
        <f t="shared" si="52"/>
        <v>10724</v>
      </c>
      <c r="X1147" s="705">
        <f t="shared" si="53"/>
        <v>18553</v>
      </c>
    </row>
    <row r="1148" spans="2:24">
      <c r="B1148" t="s">
        <v>702</v>
      </c>
      <c r="C1148" t="s">
        <v>124</v>
      </c>
      <c r="F1148">
        <v>5</v>
      </c>
      <c r="G1148">
        <v>340</v>
      </c>
      <c r="H1148" s="705">
        <v>2993</v>
      </c>
      <c r="J1148">
        <v>0</v>
      </c>
      <c r="M1148">
        <v>0</v>
      </c>
      <c r="N1148" s="705">
        <v>7666</v>
      </c>
      <c r="O1148" s="705">
        <v>2839</v>
      </c>
      <c r="P1148">
        <v>473</v>
      </c>
      <c r="Q1148">
        <v>175</v>
      </c>
      <c r="S1148">
        <v>0</v>
      </c>
      <c r="T1148" s="705">
        <v>6261</v>
      </c>
      <c r="U1148" s="705">
        <v>2319</v>
      </c>
      <c r="V1148" s="705">
        <v>5333</v>
      </c>
      <c r="W1148" s="705">
        <f t="shared" si="52"/>
        <v>5333</v>
      </c>
      <c r="X1148" s="705">
        <f t="shared" si="53"/>
        <v>14400</v>
      </c>
    </row>
    <row r="1149" spans="2:24">
      <c r="B1149" t="s">
        <v>702</v>
      </c>
      <c r="C1149" t="s">
        <v>124</v>
      </c>
      <c r="D1149" t="s">
        <v>228</v>
      </c>
      <c r="E1149" t="s">
        <v>228</v>
      </c>
      <c r="F1149">
        <v>169</v>
      </c>
      <c r="G1149" s="705">
        <v>8892</v>
      </c>
      <c r="H1149" s="705">
        <v>105140</v>
      </c>
      <c r="I1149" s="705">
        <v>3816032</v>
      </c>
      <c r="J1149" s="705">
        <v>1413345</v>
      </c>
      <c r="K1149">
        <v>100</v>
      </c>
      <c r="L1149" s="705">
        <v>500041</v>
      </c>
      <c r="M1149" s="705">
        <v>307403</v>
      </c>
      <c r="N1149" s="705">
        <v>192690</v>
      </c>
      <c r="O1149" s="705">
        <v>71367</v>
      </c>
      <c r="P1149" s="705">
        <v>2331</v>
      </c>
      <c r="Q1149">
        <v>863</v>
      </c>
      <c r="R1149" s="705">
        <v>994340</v>
      </c>
      <c r="S1149" s="705">
        <v>368274</v>
      </c>
      <c r="T1149" s="705">
        <v>1278</v>
      </c>
      <c r="U1149">
        <v>473</v>
      </c>
      <c r="V1149" s="705">
        <v>2161726</v>
      </c>
      <c r="W1149" s="705">
        <f t="shared" si="52"/>
        <v>2161725</v>
      </c>
      <c r="X1149" s="705">
        <f t="shared" si="53"/>
        <v>5506712</v>
      </c>
    </row>
    <row r="1150" spans="2:24">
      <c r="B1150" t="s">
        <v>702</v>
      </c>
      <c r="C1150" t="s">
        <v>124</v>
      </c>
      <c r="D1150" t="s">
        <v>228</v>
      </c>
      <c r="E1150" t="s">
        <v>584</v>
      </c>
      <c r="F1150">
        <v>1</v>
      </c>
      <c r="G1150">
        <v>55</v>
      </c>
      <c r="H1150">
        <v>606</v>
      </c>
      <c r="I1150" s="705">
        <v>29666</v>
      </c>
      <c r="J1150" s="705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705">
        <v>2609</v>
      </c>
      <c r="S1150" s="705">
        <v>2372</v>
      </c>
      <c r="T1150">
        <v>0</v>
      </c>
      <c r="U1150">
        <v>0</v>
      </c>
      <c r="V1150" s="705">
        <v>13745</v>
      </c>
      <c r="W1150" s="705">
        <f t="shared" si="52"/>
        <v>13744</v>
      </c>
      <c r="X1150" s="705">
        <f t="shared" si="53"/>
        <v>33315</v>
      </c>
    </row>
    <row r="1151" spans="2:24">
      <c r="B1151" t="s">
        <v>702</v>
      </c>
      <c r="C1151" t="s">
        <v>124</v>
      </c>
      <c r="D1151" t="s">
        <v>583</v>
      </c>
      <c r="E1151" t="s">
        <v>228</v>
      </c>
      <c r="F1151">
        <v>1</v>
      </c>
      <c r="G1151">
        <v>74</v>
      </c>
      <c r="H1151">
        <v>557</v>
      </c>
      <c r="I1151" s="705">
        <v>27858</v>
      </c>
      <c r="J1151" s="705">
        <v>25325</v>
      </c>
      <c r="K1151">
        <v>65</v>
      </c>
      <c r="L1151" s="705">
        <v>6956</v>
      </c>
      <c r="M1151" s="705">
        <v>5797</v>
      </c>
      <c r="N1151" s="705">
        <v>1306</v>
      </c>
      <c r="O1151">
        <v>484</v>
      </c>
      <c r="P1151">
        <v>621</v>
      </c>
      <c r="Q1151">
        <v>230</v>
      </c>
      <c r="R1151" s="705">
        <v>4442</v>
      </c>
      <c r="S1151" s="705">
        <v>1645</v>
      </c>
      <c r="T1151">
        <v>0</v>
      </c>
      <c r="U1151">
        <v>0</v>
      </c>
      <c r="V1151" s="705">
        <v>33481</v>
      </c>
      <c r="W1151" s="705">
        <f t="shared" si="52"/>
        <v>33481</v>
      </c>
      <c r="X1151" s="705">
        <f t="shared" si="53"/>
        <v>41183</v>
      </c>
    </row>
    <row r="1152" spans="2:24">
      <c r="B1152" t="s">
        <v>702</v>
      </c>
      <c r="C1152" t="s">
        <v>124</v>
      </c>
      <c r="D1152" t="s">
        <v>583</v>
      </c>
      <c r="E1152" t="s">
        <v>583</v>
      </c>
      <c r="F1152">
        <v>10</v>
      </c>
      <c r="G1152" s="705">
        <v>1009</v>
      </c>
      <c r="H1152" s="705">
        <v>5447</v>
      </c>
      <c r="I1152" s="705">
        <v>356101</v>
      </c>
      <c r="J1152" s="705">
        <v>323728</v>
      </c>
      <c r="K1152">
        <v>70</v>
      </c>
      <c r="L1152" s="705">
        <v>88414</v>
      </c>
      <c r="M1152" s="705">
        <v>74883</v>
      </c>
      <c r="N1152" s="705">
        <v>22023</v>
      </c>
      <c r="O1152" s="705">
        <v>8157</v>
      </c>
      <c r="P1152" s="705">
        <v>6210</v>
      </c>
      <c r="Q1152" s="705">
        <v>2300</v>
      </c>
      <c r="R1152" s="705">
        <v>47939</v>
      </c>
      <c r="S1152" s="705">
        <v>43581</v>
      </c>
      <c r="T1152" s="705">
        <v>22455</v>
      </c>
      <c r="U1152" s="705">
        <v>8317</v>
      </c>
      <c r="V1152" s="705">
        <v>460966</v>
      </c>
      <c r="W1152" s="705">
        <f t="shared" si="52"/>
        <v>460966</v>
      </c>
      <c r="X1152" s="705">
        <f t="shared" si="53"/>
        <v>543142</v>
      </c>
    </row>
    <row r="1153" spans="2:24">
      <c r="B1153" t="s">
        <v>702</v>
      </c>
      <c r="C1153" t="s">
        <v>124</v>
      </c>
      <c r="D1153" t="s">
        <v>666</v>
      </c>
      <c r="E1153" t="s">
        <v>666</v>
      </c>
      <c r="F1153">
        <v>1</v>
      </c>
      <c r="G1153">
        <v>150</v>
      </c>
      <c r="H1153">
        <v>746</v>
      </c>
      <c r="I1153" s="705">
        <v>82988</v>
      </c>
      <c r="J1153" s="705">
        <v>75443</v>
      </c>
      <c r="K1153">
        <v>55</v>
      </c>
      <c r="L1153" s="705">
        <v>16905</v>
      </c>
      <c r="M1153" s="705">
        <v>15368</v>
      </c>
      <c r="N1153" s="705">
        <v>3660</v>
      </c>
      <c r="O1153" s="705">
        <v>1355</v>
      </c>
      <c r="P1153">
        <v>351</v>
      </c>
      <c r="Q1153">
        <v>130</v>
      </c>
      <c r="R1153" s="705">
        <v>5509</v>
      </c>
      <c r="S1153" s="705">
        <v>5008</v>
      </c>
      <c r="T1153" s="705">
        <v>2576</v>
      </c>
      <c r="U1153">
        <v>954</v>
      </c>
      <c r="V1153" s="705">
        <v>98259</v>
      </c>
      <c r="W1153" s="705">
        <f t="shared" si="52"/>
        <v>98258</v>
      </c>
      <c r="X1153" s="705">
        <f t="shared" si="53"/>
        <v>111989</v>
      </c>
    </row>
    <row r="1154" spans="2:24">
      <c r="B1154" t="s">
        <v>702</v>
      </c>
      <c r="C1154" t="s">
        <v>124</v>
      </c>
      <c r="D1154" t="s">
        <v>584</v>
      </c>
      <c r="E1154" t="s">
        <v>228</v>
      </c>
      <c r="F1154">
        <v>3</v>
      </c>
      <c r="G1154">
        <v>128</v>
      </c>
      <c r="H1154" s="705">
        <v>1525</v>
      </c>
      <c r="I1154" s="705">
        <v>50404</v>
      </c>
      <c r="J1154" s="705">
        <v>45822</v>
      </c>
      <c r="K1154">
        <v>73</v>
      </c>
      <c r="L1154" s="705">
        <v>2596</v>
      </c>
      <c r="M1154" s="705">
        <v>2360</v>
      </c>
      <c r="N1154" s="705">
        <v>2968</v>
      </c>
      <c r="O1154" s="705">
        <v>1099</v>
      </c>
      <c r="P1154" s="705">
        <v>1296</v>
      </c>
      <c r="Q1154">
        <v>480</v>
      </c>
      <c r="R1154" s="705">
        <v>14344</v>
      </c>
      <c r="S1154" s="705">
        <v>5313</v>
      </c>
      <c r="T1154">
        <v>0</v>
      </c>
      <c r="U1154">
        <v>0</v>
      </c>
      <c r="V1154" s="705">
        <v>55074</v>
      </c>
      <c r="W1154" s="705">
        <f t="shared" si="52"/>
        <v>55074</v>
      </c>
      <c r="X1154" s="705">
        <f t="shared" si="53"/>
        <v>71608</v>
      </c>
    </row>
    <row r="1155" spans="2:24">
      <c r="B1155" t="s">
        <v>702</v>
      </c>
      <c r="C1155" t="s">
        <v>124</v>
      </c>
      <c r="D1155" t="s">
        <v>584</v>
      </c>
      <c r="E1155" t="s">
        <v>584</v>
      </c>
      <c r="F1155">
        <v>50</v>
      </c>
      <c r="G1155" s="705">
        <v>3411</v>
      </c>
      <c r="H1155" s="705">
        <v>25869</v>
      </c>
      <c r="I1155" s="705">
        <v>1098272</v>
      </c>
      <c r="J1155" s="705">
        <v>998429</v>
      </c>
      <c r="K1155">
        <v>74</v>
      </c>
      <c r="L1155" s="705">
        <v>289666</v>
      </c>
      <c r="M1155" s="705">
        <v>245422</v>
      </c>
      <c r="N1155" s="705">
        <v>74435</v>
      </c>
      <c r="O1155" s="705">
        <v>27568</v>
      </c>
      <c r="P1155" s="705">
        <v>23261</v>
      </c>
      <c r="Q1155" s="705">
        <v>8615</v>
      </c>
      <c r="R1155" s="705">
        <v>198982</v>
      </c>
      <c r="S1155" s="705">
        <v>180893</v>
      </c>
      <c r="T1155" s="705">
        <v>65775</v>
      </c>
      <c r="U1155" s="705">
        <v>24361</v>
      </c>
      <c r="V1155" s="705">
        <v>1485288</v>
      </c>
      <c r="W1155" s="705">
        <f t="shared" si="52"/>
        <v>1485288</v>
      </c>
      <c r="X1155" s="705">
        <f t="shared" si="53"/>
        <v>1750391</v>
      </c>
    </row>
    <row r="1156" spans="2:24">
      <c r="B1156" t="s">
        <v>702</v>
      </c>
      <c r="C1156" t="s">
        <v>124</v>
      </c>
      <c r="D1156" t="s">
        <v>669</v>
      </c>
      <c r="E1156" t="s">
        <v>228</v>
      </c>
      <c r="F1156">
        <v>2</v>
      </c>
      <c r="G1156">
        <v>99</v>
      </c>
      <c r="H1156" s="705">
        <v>1444</v>
      </c>
      <c r="I1156" s="705">
        <v>46559</v>
      </c>
      <c r="J1156" s="705">
        <v>38799</v>
      </c>
      <c r="K1156">
        <v>60</v>
      </c>
      <c r="L1156" s="705">
        <v>11229</v>
      </c>
      <c r="M1156" s="705">
        <v>4159</v>
      </c>
      <c r="N1156" s="705">
        <v>2402</v>
      </c>
      <c r="O1156">
        <v>890</v>
      </c>
      <c r="P1156">
        <v>0</v>
      </c>
      <c r="Q1156">
        <v>0</v>
      </c>
      <c r="R1156" s="705">
        <v>10928</v>
      </c>
      <c r="S1156" s="705">
        <v>4047</v>
      </c>
      <c r="T1156">
        <v>0</v>
      </c>
      <c r="U1156">
        <v>0</v>
      </c>
      <c r="V1156" s="705">
        <v>47895</v>
      </c>
      <c r="W1156" s="705">
        <f t="shared" si="52"/>
        <v>47895</v>
      </c>
      <c r="X1156" s="705">
        <f t="shared" si="53"/>
        <v>71118</v>
      </c>
    </row>
    <row r="1157" spans="2:24">
      <c r="B1157" t="s">
        <v>702</v>
      </c>
      <c r="C1157" t="s">
        <v>124</v>
      </c>
      <c r="D1157" t="s">
        <v>669</v>
      </c>
      <c r="E1157" t="s">
        <v>669</v>
      </c>
      <c r="F1157">
        <v>1</v>
      </c>
      <c r="G1157">
        <v>50</v>
      </c>
      <c r="H1157">
        <v>589</v>
      </c>
      <c r="I1157" s="705">
        <v>19030</v>
      </c>
      <c r="J1157" s="705">
        <v>15858</v>
      </c>
      <c r="K1157">
        <v>55</v>
      </c>
      <c r="L1157" s="705">
        <v>3876</v>
      </c>
      <c r="M1157" s="705">
        <v>3230</v>
      </c>
      <c r="N1157" s="705">
        <v>1214</v>
      </c>
      <c r="O1157">
        <v>449</v>
      </c>
      <c r="P1157">
        <v>0</v>
      </c>
      <c r="Q1157">
        <v>0</v>
      </c>
      <c r="R1157" s="705">
        <v>3913</v>
      </c>
      <c r="S1157" s="705">
        <v>3261</v>
      </c>
      <c r="T1157" s="705">
        <v>1298</v>
      </c>
      <c r="U1157">
        <v>481</v>
      </c>
      <c r="V1157" s="705">
        <v>23280</v>
      </c>
      <c r="W1157" s="705">
        <f t="shared" si="52"/>
        <v>23279</v>
      </c>
      <c r="X1157" s="705">
        <f t="shared" si="53"/>
        <v>29331</v>
      </c>
    </row>
    <row r="1158" spans="2:24">
      <c r="B1158" t="s">
        <v>702</v>
      </c>
      <c r="C1158" t="s">
        <v>124</v>
      </c>
      <c r="D1158" t="s">
        <v>665</v>
      </c>
      <c r="E1158" t="s">
        <v>228</v>
      </c>
      <c r="F1158">
        <v>5</v>
      </c>
      <c r="G1158">
        <v>257</v>
      </c>
      <c r="H1158" s="705">
        <v>3142</v>
      </c>
      <c r="I1158" s="705">
        <v>121843</v>
      </c>
      <c r="J1158" s="705">
        <v>110766</v>
      </c>
      <c r="K1158">
        <v>30</v>
      </c>
      <c r="L1158" s="705">
        <v>5798</v>
      </c>
      <c r="M1158" s="705">
        <v>2147</v>
      </c>
      <c r="N1158" s="705">
        <v>4952</v>
      </c>
      <c r="O1158" s="705">
        <v>1834</v>
      </c>
      <c r="P1158">
        <v>0</v>
      </c>
      <c r="Q1158">
        <v>0</v>
      </c>
      <c r="R1158" s="705">
        <v>26923</v>
      </c>
      <c r="S1158" s="705">
        <v>9972</v>
      </c>
      <c r="T1158" s="705">
        <v>2113</v>
      </c>
      <c r="U1158">
        <v>783</v>
      </c>
      <c r="V1158" s="705">
        <v>125502</v>
      </c>
      <c r="W1158" s="705">
        <f t="shared" si="52"/>
        <v>125502</v>
      </c>
      <c r="X1158" s="705">
        <f t="shared" si="53"/>
        <v>161629</v>
      </c>
    </row>
    <row r="1159" spans="2:24">
      <c r="B1159" t="s">
        <v>703</v>
      </c>
      <c r="C1159" t="s">
        <v>108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705">
        <v>1485</v>
      </c>
      <c r="O1159">
        <v>550</v>
      </c>
      <c r="P1159" s="705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705">
        <f t="shared" si="52"/>
        <v>928</v>
      </c>
      <c r="X1159" s="705">
        <f t="shared" si="53"/>
        <v>2507</v>
      </c>
    </row>
    <row r="1160" spans="2:24">
      <c r="B1160" t="s">
        <v>703</v>
      </c>
      <c r="C1160" t="s">
        <v>108</v>
      </c>
      <c r="D1160" t="s">
        <v>228</v>
      </c>
      <c r="E1160" t="s">
        <v>228</v>
      </c>
      <c r="F1160">
        <v>44</v>
      </c>
      <c r="G1160" s="705">
        <v>3438</v>
      </c>
      <c r="H1160" s="705">
        <v>2505</v>
      </c>
      <c r="I1160" s="705">
        <v>-25169</v>
      </c>
      <c r="J1160" s="705">
        <v>-9322</v>
      </c>
      <c r="K1160">
        <v>558</v>
      </c>
      <c r="L1160">
        <v>0</v>
      </c>
      <c r="M1160">
        <v>0</v>
      </c>
      <c r="N1160" s="705">
        <v>42854</v>
      </c>
      <c r="O1160" s="705">
        <v>15872</v>
      </c>
      <c r="P1160" s="705">
        <v>26660</v>
      </c>
      <c r="Q1160" s="705">
        <v>9874</v>
      </c>
      <c r="R1160" s="705">
        <v>153950</v>
      </c>
      <c r="S1160" s="705">
        <v>57018</v>
      </c>
      <c r="T1160">
        <v>0</v>
      </c>
      <c r="U1160">
        <v>0</v>
      </c>
      <c r="V1160" s="705">
        <v>73443</v>
      </c>
      <c r="W1160" s="705">
        <f t="shared" si="52"/>
        <v>92086</v>
      </c>
      <c r="X1160" s="705">
        <f t="shared" si="53"/>
        <v>248633</v>
      </c>
    </row>
    <row r="1161" spans="2:24">
      <c r="B1161" t="s">
        <v>703</v>
      </c>
      <c r="C1161" t="s">
        <v>108</v>
      </c>
      <c r="D1161" t="s">
        <v>584</v>
      </c>
      <c r="E1161" t="s">
        <v>584</v>
      </c>
      <c r="F1161">
        <v>9</v>
      </c>
      <c r="G1161">
        <v>671</v>
      </c>
      <c r="H1161">
        <v>525</v>
      </c>
      <c r="I1161" s="705">
        <v>-2683</v>
      </c>
      <c r="J1161" s="705">
        <v>-2439</v>
      </c>
      <c r="K1161">
        <v>92</v>
      </c>
      <c r="L1161">
        <v>129</v>
      </c>
      <c r="M1161">
        <v>117</v>
      </c>
      <c r="N1161" s="705">
        <v>8178</v>
      </c>
      <c r="O1161" s="705">
        <v>3029</v>
      </c>
      <c r="P1161" s="705">
        <v>8731</v>
      </c>
      <c r="Q1161" s="705">
        <v>3234</v>
      </c>
      <c r="R1161" s="705">
        <v>24759</v>
      </c>
      <c r="S1161" s="705">
        <v>22508</v>
      </c>
      <c r="T1161">
        <v>0</v>
      </c>
      <c r="U1161">
        <v>0</v>
      </c>
      <c r="V1161" s="705">
        <v>26449</v>
      </c>
      <c r="W1161" s="705">
        <f t="shared" si="52"/>
        <v>31327</v>
      </c>
      <c r="X1161" s="705">
        <f t="shared" si="53"/>
        <v>44480</v>
      </c>
    </row>
    <row r="1162" spans="2:24">
      <c r="B1162" t="s">
        <v>703</v>
      </c>
      <c r="C1162" t="s">
        <v>110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705">
        <v>7342</v>
      </c>
      <c r="O1162" s="705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705">
        <v>2719</v>
      </c>
      <c r="W1162" s="705">
        <f t="shared" si="52"/>
        <v>2719</v>
      </c>
      <c r="X1162" s="705">
        <f t="shared" si="53"/>
        <v>7342</v>
      </c>
    </row>
    <row r="1163" spans="2:24">
      <c r="B1163" t="s">
        <v>703</v>
      </c>
      <c r="C1163" t="s">
        <v>110</v>
      </c>
      <c r="D1163" t="s">
        <v>582</v>
      </c>
      <c r="E1163" t="s">
        <v>582</v>
      </c>
      <c r="F1163">
        <v>2</v>
      </c>
      <c r="G1163">
        <v>269</v>
      </c>
      <c r="H1163">
        <v>177</v>
      </c>
      <c r="I1163" s="705">
        <v>11395</v>
      </c>
      <c r="J1163" s="705">
        <v>10359</v>
      </c>
      <c r="K1163">
        <v>87</v>
      </c>
      <c r="L1163">
        <v>0</v>
      </c>
      <c r="M1163">
        <v>0</v>
      </c>
      <c r="N1163" s="705">
        <v>4310</v>
      </c>
      <c r="O1163" s="705">
        <v>1596</v>
      </c>
      <c r="P1163">
        <v>945</v>
      </c>
      <c r="Q1163">
        <v>350</v>
      </c>
      <c r="R1163" s="705">
        <v>8586</v>
      </c>
      <c r="S1163" s="705">
        <v>7805</v>
      </c>
      <c r="T1163">
        <v>0</v>
      </c>
      <c r="U1163">
        <v>0</v>
      </c>
      <c r="V1163" s="705">
        <v>20111</v>
      </c>
      <c r="W1163" s="705">
        <f t="shared" si="52"/>
        <v>20110</v>
      </c>
      <c r="X1163" s="705">
        <f t="shared" si="53"/>
        <v>25236</v>
      </c>
    </row>
    <row r="1164" spans="2:24">
      <c r="B1164" t="s">
        <v>703</v>
      </c>
      <c r="C1164" t="s">
        <v>110</v>
      </c>
      <c r="D1164" t="s">
        <v>228</v>
      </c>
      <c r="E1164" t="s">
        <v>228</v>
      </c>
      <c r="F1164">
        <v>2</v>
      </c>
      <c r="G1164">
        <v>179</v>
      </c>
      <c r="H1164">
        <v>157</v>
      </c>
      <c r="I1164" s="705">
        <v>3208</v>
      </c>
      <c r="J1164" s="705">
        <v>1188</v>
      </c>
      <c r="K1164">
        <v>483</v>
      </c>
      <c r="L1164">
        <v>0</v>
      </c>
      <c r="M1164">
        <v>0</v>
      </c>
      <c r="N1164" s="705">
        <v>2185</v>
      </c>
      <c r="O1164">
        <v>809</v>
      </c>
      <c r="P1164" s="705">
        <v>2149</v>
      </c>
      <c r="Q1164">
        <v>796</v>
      </c>
      <c r="R1164" s="705">
        <v>6475</v>
      </c>
      <c r="S1164" s="705">
        <v>2398</v>
      </c>
      <c r="T1164">
        <v>0</v>
      </c>
      <c r="U1164">
        <v>0</v>
      </c>
      <c r="V1164" s="705">
        <v>5191</v>
      </c>
      <c r="W1164" s="705">
        <f t="shared" si="52"/>
        <v>5191</v>
      </c>
      <c r="X1164" s="705">
        <f t="shared" si="53"/>
        <v>14017</v>
      </c>
    </row>
    <row r="1165" spans="2:24">
      <c r="B1165" t="s">
        <v>703</v>
      </c>
      <c r="C1165" t="s">
        <v>110</v>
      </c>
      <c r="D1165" t="s">
        <v>583</v>
      </c>
      <c r="E1165" t="s">
        <v>583</v>
      </c>
      <c r="F1165">
        <v>1</v>
      </c>
      <c r="G1165">
        <v>160</v>
      </c>
      <c r="H1165">
        <v>94</v>
      </c>
      <c r="I1165" s="705">
        <v>2928</v>
      </c>
      <c r="J1165" s="705">
        <v>2662</v>
      </c>
      <c r="K1165">
        <v>94</v>
      </c>
      <c r="L1165">
        <v>503</v>
      </c>
      <c r="M1165">
        <v>457</v>
      </c>
      <c r="N1165" s="705">
        <v>3907</v>
      </c>
      <c r="O1165" s="705">
        <v>1447</v>
      </c>
      <c r="P1165" s="705">
        <v>1973</v>
      </c>
      <c r="Q1165">
        <v>731</v>
      </c>
      <c r="R1165" s="705">
        <v>5806</v>
      </c>
      <c r="S1165" s="705">
        <v>5278</v>
      </c>
      <c r="T1165">
        <v>0</v>
      </c>
      <c r="U1165">
        <v>0</v>
      </c>
      <c r="V1165" s="705">
        <v>10576</v>
      </c>
      <c r="W1165" s="705">
        <f t="shared" si="52"/>
        <v>10575</v>
      </c>
      <c r="X1165" s="705">
        <f t="shared" si="53"/>
        <v>15117</v>
      </c>
    </row>
    <row r="1166" spans="2:24">
      <c r="B1166" t="s">
        <v>703</v>
      </c>
      <c r="C1166" t="s">
        <v>110</v>
      </c>
      <c r="D1166" t="s">
        <v>584</v>
      </c>
      <c r="E1166" t="s">
        <v>584</v>
      </c>
      <c r="F1166">
        <v>7</v>
      </c>
      <c r="G1166">
        <v>688</v>
      </c>
      <c r="H1166">
        <v>658</v>
      </c>
      <c r="I1166" s="705">
        <v>24301</v>
      </c>
      <c r="J1166" s="705">
        <v>22091</v>
      </c>
      <c r="K1166">
        <v>88</v>
      </c>
      <c r="L1166">
        <v>206</v>
      </c>
      <c r="M1166">
        <v>187</v>
      </c>
      <c r="N1166" s="705">
        <v>11359</v>
      </c>
      <c r="O1166" s="705">
        <v>4207</v>
      </c>
      <c r="P1166" s="705">
        <v>3794</v>
      </c>
      <c r="Q1166" s="705">
        <v>1405</v>
      </c>
      <c r="R1166" s="705">
        <v>25104</v>
      </c>
      <c r="S1166" s="705">
        <v>22822</v>
      </c>
      <c r="T1166">
        <v>0</v>
      </c>
      <c r="U1166">
        <v>0</v>
      </c>
      <c r="V1166" s="705">
        <v>50712</v>
      </c>
      <c r="W1166" s="705">
        <f t="shared" si="52"/>
        <v>50712</v>
      </c>
      <c r="X1166" s="705">
        <f t="shared" si="53"/>
        <v>64764</v>
      </c>
    </row>
    <row r="1167" spans="2:24">
      <c r="B1167" t="s">
        <v>703</v>
      </c>
      <c r="C1167" t="s">
        <v>112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705">
        <v>6131</v>
      </c>
      <c r="O1167" s="705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705">
        <v>2271</v>
      </c>
      <c r="W1167" s="705">
        <f t="shared" si="52"/>
        <v>2271</v>
      </c>
      <c r="X1167" s="705">
        <f t="shared" si="53"/>
        <v>6131</v>
      </c>
    </row>
    <row r="1168" spans="2:24">
      <c r="B1168" t="s">
        <v>703</v>
      </c>
      <c r="C1168" t="s">
        <v>112</v>
      </c>
      <c r="D1168" t="s">
        <v>582</v>
      </c>
      <c r="E1168" t="s">
        <v>582</v>
      </c>
      <c r="F1168">
        <v>2</v>
      </c>
      <c r="G1168">
        <v>151</v>
      </c>
      <c r="H1168">
        <v>240</v>
      </c>
      <c r="I1168" s="705">
        <v>8767</v>
      </c>
      <c r="J1168" s="705">
        <v>7970</v>
      </c>
      <c r="K1168">
        <v>88</v>
      </c>
      <c r="L1168">
        <v>0</v>
      </c>
      <c r="M1168">
        <v>0</v>
      </c>
      <c r="N1168" s="705">
        <v>3440</v>
      </c>
      <c r="O1168" s="705">
        <v>1274</v>
      </c>
      <c r="P1168">
        <v>945</v>
      </c>
      <c r="Q1168">
        <v>350</v>
      </c>
      <c r="R1168" s="705">
        <v>4958</v>
      </c>
      <c r="S1168" s="705">
        <v>4507</v>
      </c>
      <c r="T1168">
        <v>0</v>
      </c>
      <c r="U1168">
        <v>0</v>
      </c>
      <c r="V1168" s="705">
        <v>14101</v>
      </c>
      <c r="W1168" s="705">
        <f t="shared" si="52"/>
        <v>14101</v>
      </c>
      <c r="X1168" s="705">
        <f t="shared" si="53"/>
        <v>18110</v>
      </c>
    </row>
    <row r="1169" spans="2:24">
      <c r="B1169" t="s">
        <v>703</v>
      </c>
      <c r="C1169" t="s">
        <v>112</v>
      </c>
      <c r="D1169" t="s">
        <v>228</v>
      </c>
      <c r="E1169" t="s">
        <v>228</v>
      </c>
      <c r="F1169">
        <v>24</v>
      </c>
      <c r="G1169" s="705">
        <v>1857</v>
      </c>
      <c r="H1169" s="705">
        <v>2792</v>
      </c>
      <c r="I1169" s="705">
        <v>29652</v>
      </c>
      <c r="J1169" s="705">
        <v>10982</v>
      </c>
      <c r="K1169">
        <v>100</v>
      </c>
      <c r="L1169" s="705">
        <v>5219</v>
      </c>
      <c r="M1169" s="705">
        <v>1933</v>
      </c>
      <c r="N1169" s="705">
        <v>29541</v>
      </c>
      <c r="O1169" s="705">
        <v>10941</v>
      </c>
      <c r="P1169">
        <v>0</v>
      </c>
      <c r="Q1169">
        <v>0</v>
      </c>
      <c r="R1169" s="705">
        <v>151367</v>
      </c>
      <c r="S1169" s="705">
        <v>56062</v>
      </c>
      <c r="T1169">
        <v>0</v>
      </c>
      <c r="U1169">
        <v>0</v>
      </c>
      <c r="V1169" s="705">
        <v>79918</v>
      </c>
      <c r="W1169" s="705">
        <f t="shared" si="52"/>
        <v>79918</v>
      </c>
      <c r="X1169" s="705">
        <f t="shared" si="53"/>
        <v>215779</v>
      </c>
    </row>
    <row r="1170" spans="2:24">
      <c r="B1170" t="s">
        <v>703</v>
      </c>
      <c r="C1170" t="s">
        <v>112</v>
      </c>
      <c r="D1170" t="s">
        <v>584</v>
      </c>
      <c r="E1170" t="s">
        <v>584</v>
      </c>
      <c r="F1170">
        <v>101</v>
      </c>
      <c r="G1170" s="705">
        <v>8788</v>
      </c>
      <c r="H1170" s="705">
        <v>11757</v>
      </c>
      <c r="I1170" s="705">
        <v>382430</v>
      </c>
      <c r="J1170" s="705">
        <v>347663</v>
      </c>
      <c r="K1170">
        <v>86</v>
      </c>
      <c r="L1170" s="705">
        <v>26991</v>
      </c>
      <c r="M1170" s="705">
        <v>12307</v>
      </c>
      <c r="N1170" s="705">
        <v>161726</v>
      </c>
      <c r="O1170" s="705">
        <v>59899</v>
      </c>
      <c r="P1170" s="705">
        <v>47844</v>
      </c>
      <c r="Q1170" s="705">
        <v>17720</v>
      </c>
      <c r="R1170" s="705">
        <v>354781</v>
      </c>
      <c r="S1170" s="705">
        <v>322528</v>
      </c>
      <c r="T1170" s="705">
        <v>51222</v>
      </c>
      <c r="U1170" s="705">
        <v>18971</v>
      </c>
      <c r="V1170" s="705">
        <v>779088</v>
      </c>
      <c r="W1170" s="705">
        <f t="shared" si="52"/>
        <v>779088</v>
      </c>
      <c r="X1170" s="705">
        <f t="shared" si="53"/>
        <v>1024994</v>
      </c>
    </row>
    <row r="1171" spans="2:24">
      <c r="B1171" t="s">
        <v>703</v>
      </c>
      <c r="C1171" t="s">
        <v>114</v>
      </c>
      <c r="F1171">
        <v>11</v>
      </c>
      <c r="G1171">
        <v>745</v>
      </c>
      <c r="H1171" s="705">
        <v>1528</v>
      </c>
      <c r="J1171">
        <v>0</v>
      </c>
      <c r="M1171">
        <v>0</v>
      </c>
      <c r="N1171" s="705">
        <v>13390</v>
      </c>
      <c r="O1171" s="705">
        <v>4959</v>
      </c>
      <c r="P1171" s="705">
        <v>1593</v>
      </c>
      <c r="Q1171">
        <v>590</v>
      </c>
      <c r="S1171">
        <v>0</v>
      </c>
      <c r="T1171" s="705">
        <v>1784</v>
      </c>
      <c r="U1171">
        <v>661</v>
      </c>
      <c r="V1171" s="705">
        <v>6210</v>
      </c>
      <c r="W1171" s="705">
        <f t="shared" si="52"/>
        <v>6210</v>
      </c>
      <c r="X1171" s="705">
        <f t="shared" si="53"/>
        <v>16767</v>
      </c>
    </row>
    <row r="1172" spans="2:24">
      <c r="B1172" t="s">
        <v>703</v>
      </c>
      <c r="C1172" t="s">
        <v>114</v>
      </c>
      <c r="D1172" t="s">
        <v>582</v>
      </c>
      <c r="E1172" t="s">
        <v>582</v>
      </c>
      <c r="F1172">
        <v>8</v>
      </c>
      <c r="G1172">
        <v>524</v>
      </c>
      <c r="H1172" s="705">
        <v>1155</v>
      </c>
      <c r="I1172" s="705">
        <v>32159</v>
      </c>
      <c r="J1172" s="705">
        <v>29236</v>
      </c>
      <c r="K1172">
        <v>82</v>
      </c>
      <c r="L1172" s="705">
        <v>1494</v>
      </c>
      <c r="M1172" s="705">
        <v>1358</v>
      </c>
      <c r="N1172" s="705">
        <v>8250</v>
      </c>
      <c r="O1172" s="705">
        <v>3056</v>
      </c>
      <c r="P1172" s="705">
        <v>3780</v>
      </c>
      <c r="Q1172" s="705">
        <v>1400</v>
      </c>
      <c r="R1172" s="705">
        <v>30026</v>
      </c>
      <c r="S1172" s="705">
        <v>27297</v>
      </c>
      <c r="T1172">
        <v>0</v>
      </c>
      <c r="U1172">
        <v>0</v>
      </c>
      <c r="V1172" s="705">
        <v>62346</v>
      </c>
      <c r="W1172" s="705">
        <f t="shared" si="52"/>
        <v>62347</v>
      </c>
      <c r="X1172" s="705">
        <f t="shared" si="53"/>
        <v>75709</v>
      </c>
    </row>
    <row r="1173" spans="2:24">
      <c r="B1173" t="s">
        <v>703</v>
      </c>
      <c r="C1173" t="s">
        <v>114</v>
      </c>
      <c r="D1173" t="s">
        <v>228</v>
      </c>
      <c r="E1173" t="s">
        <v>228</v>
      </c>
      <c r="F1173">
        <v>116</v>
      </c>
      <c r="G1173" s="705">
        <v>8433</v>
      </c>
      <c r="H1173" s="705">
        <v>16190</v>
      </c>
      <c r="I1173" s="705">
        <v>262803</v>
      </c>
      <c r="J1173" s="705">
        <v>97334</v>
      </c>
      <c r="K1173">
        <v>100</v>
      </c>
      <c r="L1173" s="705">
        <v>43743</v>
      </c>
      <c r="M1173" s="705">
        <v>16998</v>
      </c>
      <c r="N1173" s="705">
        <v>143831</v>
      </c>
      <c r="O1173" s="705">
        <v>53271</v>
      </c>
      <c r="P1173">
        <v>287</v>
      </c>
      <c r="Q1173">
        <v>106</v>
      </c>
      <c r="R1173" s="705">
        <v>725335</v>
      </c>
      <c r="S1173" s="705">
        <v>268643</v>
      </c>
      <c r="T1173">
        <v>0</v>
      </c>
      <c r="U1173">
        <v>0</v>
      </c>
      <c r="V1173" s="705">
        <v>436352</v>
      </c>
      <c r="W1173" s="705">
        <f t="shared" si="52"/>
        <v>436352</v>
      </c>
      <c r="X1173" s="705">
        <f t="shared" si="53"/>
        <v>1175999</v>
      </c>
    </row>
    <row r="1174" spans="2:24">
      <c r="B1174" t="s">
        <v>703</v>
      </c>
      <c r="C1174" t="s">
        <v>114</v>
      </c>
      <c r="D1174" t="s">
        <v>583</v>
      </c>
      <c r="E1174" t="s">
        <v>583</v>
      </c>
      <c r="F1174">
        <v>3</v>
      </c>
      <c r="G1174">
        <v>769</v>
      </c>
      <c r="H1174">
        <v>433</v>
      </c>
      <c r="I1174" s="705">
        <v>69674</v>
      </c>
      <c r="J1174" s="705">
        <v>63340</v>
      </c>
      <c r="K1174">
        <v>83</v>
      </c>
      <c r="L1174" s="705">
        <v>9786</v>
      </c>
      <c r="M1174" s="705">
        <v>8896</v>
      </c>
      <c r="N1174" s="705">
        <v>12746</v>
      </c>
      <c r="O1174" s="705">
        <v>4721</v>
      </c>
      <c r="P1174" s="705">
        <v>2214</v>
      </c>
      <c r="Q1174">
        <v>820</v>
      </c>
      <c r="R1174" s="705">
        <v>16688</v>
      </c>
      <c r="S1174" s="705">
        <v>15171</v>
      </c>
      <c r="T1174">
        <v>0</v>
      </c>
      <c r="U1174">
        <v>0</v>
      </c>
      <c r="V1174" s="705">
        <v>92948</v>
      </c>
      <c r="W1174" s="705">
        <f t="shared" si="52"/>
        <v>92948</v>
      </c>
      <c r="X1174" s="705">
        <f t="shared" si="53"/>
        <v>111108</v>
      </c>
    </row>
    <row r="1175" spans="2:24">
      <c r="B1175" t="s">
        <v>703</v>
      </c>
      <c r="C1175" t="s">
        <v>114</v>
      </c>
      <c r="D1175" t="s">
        <v>584</v>
      </c>
      <c r="E1175" t="s">
        <v>584</v>
      </c>
      <c r="F1175">
        <v>145</v>
      </c>
      <c r="G1175" s="705">
        <v>11970</v>
      </c>
      <c r="H1175" s="705">
        <v>20147</v>
      </c>
      <c r="I1175" s="705">
        <v>706963</v>
      </c>
      <c r="J1175" s="705">
        <v>642694</v>
      </c>
      <c r="K1175">
        <v>84</v>
      </c>
      <c r="L1175" s="705">
        <v>63598</v>
      </c>
      <c r="M1175" s="705">
        <v>44494</v>
      </c>
      <c r="N1175" s="705">
        <v>233322</v>
      </c>
      <c r="O1175" s="705">
        <v>86416</v>
      </c>
      <c r="P1175" s="705">
        <v>69863</v>
      </c>
      <c r="Q1175" s="705">
        <v>25875</v>
      </c>
      <c r="R1175" s="705">
        <v>557838</v>
      </c>
      <c r="S1175" s="705">
        <v>507126</v>
      </c>
      <c r="T1175" s="705">
        <v>23700</v>
      </c>
      <c r="U1175" s="705">
        <v>8778</v>
      </c>
      <c r="V1175" s="705">
        <v>1315381</v>
      </c>
      <c r="W1175" s="705">
        <f t="shared" si="52"/>
        <v>1315383</v>
      </c>
      <c r="X1175" s="705">
        <f t="shared" si="53"/>
        <v>1655284</v>
      </c>
    </row>
    <row r="1176" spans="2:24">
      <c r="B1176" t="s">
        <v>703</v>
      </c>
      <c r="C1176" t="s">
        <v>116</v>
      </c>
      <c r="F1176">
        <v>11</v>
      </c>
      <c r="G1176">
        <v>616</v>
      </c>
      <c r="H1176" s="705">
        <v>2145</v>
      </c>
      <c r="J1176">
        <v>0</v>
      </c>
      <c r="M1176">
        <v>0</v>
      </c>
      <c r="N1176" s="705">
        <v>9607</v>
      </c>
      <c r="O1176" s="705">
        <v>3558</v>
      </c>
      <c r="P1176" s="705">
        <v>2214</v>
      </c>
      <c r="Q1176">
        <v>820</v>
      </c>
      <c r="S1176">
        <v>0</v>
      </c>
      <c r="T1176">
        <v>0</v>
      </c>
      <c r="U1176">
        <v>0</v>
      </c>
      <c r="V1176" s="705">
        <v>4378</v>
      </c>
      <c r="W1176" s="705">
        <f t="shared" si="52"/>
        <v>4378</v>
      </c>
      <c r="X1176" s="705">
        <f t="shared" si="53"/>
        <v>11821</v>
      </c>
    </row>
    <row r="1177" spans="2:24">
      <c r="B1177" t="s">
        <v>703</v>
      </c>
      <c r="C1177" t="s">
        <v>116</v>
      </c>
      <c r="D1177" t="s">
        <v>582</v>
      </c>
      <c r="E1177" t="s">
        <v>582</v>
      </c>
      <c r="F1177">
        <v>30</v>
      </c>
      <c r="G1177" s="705">
        <v>2296</v>
      </c>
      <c r="H1177" s="705">
        <v>5754</v>
      </c>
      <c r="I1177" s="705">
        <v>192052</v>
      </c>
      <c r="J1177" s="705">
        <v>174592</v>
      </c>
      <c r="K1177">
        <v>81</v>
      </c>
      <c r="L1177" s="705">
        <v>38298</v>
      </c>
      <c r="M1177" s="705">
        <v>31763</v>
      </c>
      <c r="N1177" s="705">
        <v>49434</v>
      </c>
      <c r="O1177" s="705">
        <v>18309</v>
      </c>
      <c r="P1177" s="705">
        <v>14054</v>
      </c>
      <c r="Q1177" s="705">
        <v>5205</v>
      </c>
      <c r="R1177" s="705">
        <v>122282</v>
      </c>
      <c r="S1177" s="705">
        <v>111166</v>
      </c>
      <c r="T1177" s="705">
        <v>19452</v>
      </c>
      <c r="U1177" s="705">
        <v>7204</v>
      </c>
      <c r="V1177" s="705">
        <v>348239</v>
      </c>
      <c r="W1177" s="705">
        <f t="shared" si="52"/>
        <v>348239</v>
      </c>
      <c r="X1177" s="705">
        <f t="shared" si="53"/>
        <v>435572</v>
      </c>
    </row>
    <row r="1178" spans="2:24">
      <c r="B1178" t="s">
        <v>703</v>
      </c>
      <c r="C1178" t="s">
        <v>116</v>
      </c>
      <c r="D1178" t="s">
        <v>228</v>
      </c>
      <c r="E1178" t="s">
        <v>228</v>
      </c>
      <c r="F1178">
        <v>870</v>
      </c>
      <c r="G1178" s="705">
        <v>66014</v>
      </c>
      <c r="H1178" s="705">
        <v>167738</v>
      </c>
      <c r="I1178" s="705">
        <v>5028854</v>
      </c>
      <c r="J1178" s="705">
        <v>1862539</v>
      </c>
      <c r="K1178">
        <v>100</v>
      </c>
      <c r="L1178" s="705">
        <v>846080</v>
      </c>
      <c r="M1178" s="705">
        <v>318932</v>
      </c>
      <c r="N1178" s="705">
        <v>1279407</v>
      </c>
      <c r="O1178" s="705">
        <v>473855</v>
      </c>
      <c r="P1178" s="705">
        <v>4139</v>
      </c>
      <c r="Q1178" s="705">
        <v>1533</v>
      </c>
      <c r="R1178" s="705">
        <v>5609082</v>
      </c>
      <c r="S1178" s="705">
        <v>2077438</v>
      </c>
      <c r="T1178" s="705">
        <v>1862</v>
      </c>
      <c r="U1178">
        <v>690</v>
      </c>
      <c r="V1178" s="705">
        <v>4734986</v>
      </c>
      <c r="W1178" s="705">
        <f t="shared" si="52"/>
        <v>4734987</v>
      </c>
      <c r="X1178" s="705">
        <f t="shared" si="53"/>
        <v>12769424</v>
      </c>
    </row>
    <row r="1179" spans="2:24">
      <c r="B1179" t="s">
        <v>703</v>
      </c>
      <c r="C1179" t="s">
        <v>116</v>
      </c>
      <c r="D1179" t="s">
        <v>228</v>
      </c>
      <c r="E1179" t="s">
        <v>584</v>
      </c>
      <c r="F1179">
        <v>2</v>
      </c>
      <c r="G1179">
        <v>454</v>
      </c>
      <c r="H1179">
        <v>387</v>
      </c>
      <c r="I1179" s="705">
        <v>49308</v>
      </c>
      <c r="J1179" s="705">
        <v>18262</v>
      </c>
      <c r="K1179">
        <v>100</v>
      </c>
      <c r="L1179" s="705">
        <v>12327</v>
      </c>
      <c r="M1179" s="705">
        <v>4566</v>
      </c>
      <c r="N1179" s="705">
        <v>11051</v>
      </c>
      <c r="O1179" s="705">
        <v>4093</v>
      </c>
      <c r="P1179">
        <v>0</v>
      </c>
      <c r="Q1179">
        <v>0</v>
      </c>
      <c r="R1179" s="705">
        <v>14958</v>
      </c>
      <c r="S1179" s="705">
        <v>13598</v>
      </c>
      <c r="T1179">
        <v>0</v>
      </c>
      <c r="U1179">
        <v>0</v>
      </c>
      <c r="V1179" s="705">
        <v>40519</v>
      </c>
      <c r="W1179" s="705">
        <f t="shared" si="52"/>
        <v>40519</v>
      </c>
      <c r="X1179" s="705">
        <f t="shared" si="53"/>
        <v>87644</v>
      </c>
    </row>
    <row r="1180" spans="2:24">
      <c r="B1180" t="s">
        <v>703</v>
      </c>
      <c r="C1180" t="s">
        <v>116</v>
      </c>
      <c r="D1180" t="s">
        <v>583</v>
      </c>
      <c r="E1180" t="s">
        <v>228</v>
      </c>
      <c r="F1180">
        <v>2</v>
      </c>
      <c r="G1180">
        <v>139</v>
      </c>
      <c r="H1180">
        <v>426</v>
      </c>
      <c r="I1180" s="705">
        <v>13934</v>
      </c>
      <c r="J1180" s="705">
        <v>12668</v>
      </c>
      <c r="K1180">
        <v>75</v>
      </c>
      <c r="L1180">
        <v>0</v>
      </c>
      <c r="M1180">
        <v>0</v>
      </c>
      <c r="N1180" s="705">
        <v>2785</v>
      </c>
      <c r="O1180" s="705">
        <v>1032</v>
      </c>
      <c r="P1180">
        <v>621</v>
      </c>
      <c r="Q1180">
        <v>230</v>
      </c>
      <c r="R1180" s="705">
        <v>12186</v>
      </c>
      <c r="S1180" s="705">
        <v>4513</v>
      </c>
      <c r="T1180">
        <v>0</v>
      </c>
      <c r="U1180">
        <v>0</v>
      </c>
      <c r="V1180" s="705">
        <v>18442</v>
      </c>
      <c r="W1180" s="705">
        <f t="shared" si="52"/>
        <v>18443</v>
      </c>
      <c r="X1180" s="705">
        <f t="shared" si="53"/>
        <v>29526</v>
      </c>
    </row>
    <row r="1181" spans="2:24">
      <c r="B1181" t="s">
        <v>703</v>
      </c>
      <c r="C1181" t="s">
        <v>116</v>
      </c>
      <c r="D1181" t="s">
        <v>583</v>
      </c>
      <c r="E1181" t="s">
        <v>583</v>
      </c>
      <c r="F1181">
        <v>31</v>
      </c>
      <c r="G1181" s="705">
        <v>2448</v>
      </c>
      <c r="H1181" s="705">
        <v>6134</v>
      </c>
      <c r="I1181" s="705">
        <v>218316</v>
      </c>
      <c r="J1181" s="705">
        <v>198469</v>
      </c>
      <c r="K1181">
        <v>84</v>
      </c>
      <c r="L1181" s="705">
        <v>50240</v>
      </c>
      <c r="M1181" s="705">
        <v>35000</v>
      </c>
      <c r="N1181" s="705">
        <v>53227</v>
      </c>
      <c r="O1181" s="705">
        <v>19714</v>
      </c>
      <c r="P1181" s="705">
        <v>18630</v>
      </c>
      <c r="Q1181" s="705">
        <v>6900</v>
      </c>
      <c r="R1181" s="705">
        <v>118390</v>
      </c>
      <c r="S1181" s="705">
        <v>107627</v>
      </c>
      <c r="T1181" s="705">
        <v>32846</v>
      </c>
      <c r="U1181" s="705">
        <v>12165</v>
      </c>
      <c r="V1181" s="705">
        <v>379875</v>
      </c>
      <c r="W1181" s="705">
        <f t="shared" si="52"/>
        <v>379875</v>
      </c>
      <c r="X1181" s="705">
        <f t="shared" si="53"/>
        <v>491649</v>
      </c>
    </row>
    <row r="1182" spans="2:24">
      <c r="B1182" t="s">
        <v>703</v>
      </c>
      <c r="C1182" t="s">
        <v>116</v>
      </c>
      <c r="D1182" t="s">
        <v>584</v>
      </c>
      <c r="E1182" t="s">
        <v>584</v>
      </c>
      <c r="F1182">
        <v>352</v>
      </c>
      <c r="G1182" s="705">
        <v>25144</v>
      </c>
      <c r="H1182" s="705">
        <v>64733</v>
      </c>
      <c r="I1182" s="705">
        <v>2272629</v>
      </c>
      <c r="J1182" s="705">
        <v>2066026</v>
      </c>
      <c r="K1182">
        <v>81</v>
      </c>
      <c r="L1182" s="705">
        <v>246620</v>
      </c>
      <c r="M1182" s="705">
        <v>176807</v>
      </c>
      <c r="N1182" s="705">
        <v>492791</v>
      </c>
      <c r="O1182" s="705">
        <v>182515</v>
      </c>
      <c r="P1182" s="705">
        <v>172873</v>
      </c>
      <c r="Q1182" s="705">
        <v>64027</v>
      </c>
      <c r="R1182" s="705">
        <v>1347793</v>
      </c>
      <c r="S1182" s="705">
        <v>1225267</v>
      </c>
      <c r="T1182" s="705">
        <v>58699</v>
      </c>
      <c r="U1182" s="705">
        <v>21741</v>
      </c>
      <c r="V1182" s="705">
        <v>3736382</v>
      </c>
      <c r="W1182" s="705">
        <f t="shared" si="52"/>
        <v>3736383</v>
      </c>
      <c r="X1182" s="705">
        <f t="shared" si="53"/>
        <v>4591405</v>
      </c>
    </row>
    <row r="1183" spans="2:24">
      <c r="B1183" t="s">
        <v>703</v>
      </c>
      <c r="C1183" t="s">
        <v>118</v>
      </c>
      <c r="F1183">
        <v>12</v>
      </c>
      <c r="G1183">
        <v>566</v>
      </c>
      <c r="H1183" s="705">
        <v>3180</v>
      </c>
      <c r="J1183">
        <v>0</v>
      </c>
      <c r="M1183">
        <v>0</v>
      </c>
      <c r="N1183" s="705">
        <v>10314</v>
      </c>
      <c r="O1183" s="705">
        <v>3820</v>
      </c>
      <c r="P1183" s="705">
        <v>4347</v>
      </c>
      <c r="Q1183" s="705">
        <v>1610</v>
      </c>
      <c r="S1183">
        <v>0</v>
      </c>
      <c r="T1183" s="705">
        <v>1702</v>
      </c>
      <c r="U1183">
        <v>630</v>
      </c>
      <c r="V1183" s="705">
        <v>6060</v>
      </c>
      <c r="W1183" s="705">
        <f t="shared" si="52"/>
        <v>6060</v>
      </c>
      <c r="X1183" s="705">
        <f t="shared" si="53"/>
        <v>16363</v>
      </c>
    </row>
    <row r="1184" spans="2:24">
      <c r="B1184" t="s">
        <v>703</v>
      </c>
      <c r="C1184" t="s">
        <v>118</v>
      </c>
      <c r="D1184" t="s">
        <v>582</v>
      </c>
      <c r="E1184" t="s">
        <v>582</v>
      </c>
      <c r="F1184">
        <v>14</v>
      </c>
      <c r="G1184" s="705">
        <v>1008</v>
      </c>
      <c r="H1184" s="705">
        <v>3646</v>
      </c>
      <c r="I1184" s="705">
        <v>130107</v>
      </c>
      <c r="J1184" s="705">
        <v>118279</v>
      </c>
      <c r="K1184">
        <v>72</v>
      </c>
      <c r="L1184" s="705">
        <v>25337</v>
      </c>
      <c r="M1184" s="705">
        <v>20997</v>
      </c>
      <c r="N1184" s="705">
        <v>22576</v>
      </c>
      <c r="O1184" s="705">
        <v>8361</v>
      </c>
      <c r="P1184" s="705">
        <v>6615</v>
      </c>
      <c r="Q1184" s="705">
        <v>2450</v>
      </c>
      <c r="R1184" s="705">
        <v>59599</v>
      </c>
      <c r="S1184" s="705">
        <v>54180</v>
      </c>
      <c r="T1184" s="705">
        <v>20635</v>
      </c>
      <c r="U1184" s="705">
        <v>7643</v>
      </c>
      <c r="V1184" s="705">
        <v>211910</v>
      </c>
      <c r="W1184" s="705">
        <f t="shared" si="52"/>
        <v>211910</v>
      </c>
      <c r="X1184" s="705">
        <f t="shared" si="53"/>
        <v>264869</v>
      </c>
    </row>
    <row r="1185" spans="2:24">
      <c r="B1185" t="s">
        <v>703</v>
      </c>
      <c r="C1185" t="s">
        <v>118</v>
      </c>
      <c r="D1185" t="s">
        <v>228</v>
      </c>
      <c r="E1185" t="s">
        <v>228</v>
      </c>
      <c r="F1185" s="705">
        <v>1083</v>
      </c>
      <c r="G1185" s="705">
        <v>74300</v>
      </c>
      <c r="H1185" s="705">
        <v>283409</v>
      </c>
      <c r="I1185" s="705">
        <v>9862849</v>
      </c>
      <c r="J1185" s="705">
        <v>3652907</v>
      </c>
      <c r="K1185">
        <v>100</v>
      </c>
      <c r="L1185" s="705">
        <v>1552382</v>
      </c>
      <c r="M1185" s="705">
        <v>630301</v>
      </c>
      <c r="N1185" s="705">
        <v>1480409</v>
      </c>
      <c r="O1185" s="705">
        <v>548300</v>
      </c>
      <c r="P1185" s="705">
        <v>6072</v>
      </c>
      <c r="Q1185" s="705">
        <v>2249</v>
      </c>
      <c r="R1185" s="705">
        <v>6684301</v>
      </c>
      <c r="S1185" s="705">
        <v>2475667</v>
      </c>
      <c r="T1185" s="705">
        <v>3925</v>
      </c>
      <c r="U1185" s="705">
        <v>1454</v>
      </c>
      <c r="V1185" s="705">
        <v>7310878</v>
      </c>
      <c r="W1185" s="705">
        <f t="shared" si="52"/>
        <v>7310878</v>
      </c>
      <c r="X1185" s="705">
        <f t="shared" si="53"/>
        <v>19589938</v>
      </c>
    </row>
    <row r="1186" spans="2:24">
      <c r="B1186" t="s">
        <v>703</v>
      </c>
      <c r="C1186" t="s">
        <v>118</v>
      </c>
      <c r="D1186" t="s">
        <v>583</v>
      </c>
      <c r="E1186" t="s">
        <v>228</v>
      </c>
      <c r="F1186">
        <v>3</v>
      </c>
      <c r="G1186">
        <v>172</v>
      </c>
      <c r="H1186">
        <v>859</v>
      </c>
      <c r="I1186" s="705">
        <v>20189</v>
      </c>
      <c r="J1186" s="705">
        <v>18353</v>
      </c>
      <c r="K1186">
        <v>79</v>
      </c>
      <c r="L1186" s="705">
        <v>6917</v>
      </c>
      <c r="M1186" s="705">
        <v>4186</v>
      </c>
      <c r="N1186" s="705">
        <v>4114</v>
      </c>
      <c r="O1186" s="705">
        <v>1524</v>
      </c>
      <c r="P1186" s="705">
        <v>1242</v>
      </c>
      <c r="Q1186">
        <v>460</v>
      </c>
      <c r="R1186" s="705">
        <v>16927</v>
      </c>
      <c r="S1186" s="705">
        <v>6269</v>
      </c>
      <c r="T1186">
        <v>0</v>
      </c>
      <c r="U1186">
        <v>0</v>
      </c>
      <c r="V1186" s="705">
        <v>30792</v>
      </c>
      <c r="W1186" s="705">
        <f t="shared" si="52"/>
        <v>30792</v>
      </c>
      <c r="X1186" s="705">
        <f t="shared" si="53"/>
        <v>49389</v>
      </c>
    </row>
    <row r="1187" spans="2:24">
      <c r="B1187" t="s">
        <v>703</v>
      </c>
      <c r="C1187" t="s">
        <v>118</v>
      </c>
      <c r="D1187" t="s">
        <v>583</v>
      </c>
      <c r="E1187" t="s">
        <v>583</v>
      </c>
      <c r="F1187">
        <v>34</v>
      </c>
      <c r="G1187" s="705">
        <v>3068</v>
      </c>
      <c r="H1187" s="705">
        <v>8723</v>
      </c>
      <c r="I1187" s="705">
        <v>409384</v>
      </c>
      <c r="J1187" s="705">
        <v>372167</v>
      </c>
      <c r="K1187">
        <v>79</v>
      </c>
      <c r="L1187" s="705">
        <v>88969</v>
      </c>
      <c r="M1187" s="705">
        <v>68881</v>
      </c>
      <c r="N1187" s="705">
        <v>62076</v>
      </c>
      <c r="O1187" s="705">
        <v>22991</v>
      </c>
      <c r="P1187" s="705">
        <v>20844</v>
      </c>
      <c r="Q1187" s="705">
        <v>7720</v>
      </c>
      <c r="R1187" s="705">
        <v>161545</v>
      </c>
      <c r="S1187" s="705">
        <v>146859</v>
      </c>
      <c r="T1187" s="705">
        <v>42302</v>
      </c>
      <c r="U1187" s="705">
        <v>15667</v>
      </c>
      <c r="V1187" s="705">
        <v>634285</v>
      </c>
      <c r="W1187" s="705">
        <f t="shared" si="52"/>
        <v>634285</v>
      </c>
      <c r="X1187" s="705">
        <f t="shared" si="53"/>
        <v>785120</v>
      </c>
    </row>
    <row r="1188" spans="2:24">
      <c r="B1188" t="s">
        <v>703</v>
      </c>
      <c r="C1188" t="s">
        <v>118</v>
      </c>
      <c r="D1188" t="s">
        <v>584</v>
      </c>
      <c r="E1188" t="s">
        <v>584</v>
      </c>
      <c r="F1188">
        <v>53</v>
      </c>
      <c r="G1188" s="705">
        <v>3224</v>
      </c>
      <c r="H1188" s="705">
        <v>12813</v>
      </c>
      <c r="I1188" s="705">
        <v>449341</v>
      </c>
      <c r="J1188" s="705">
        <v>408492</v>
      </c>
      <c r="K1188">
        <v>77</v>
      </c>
      <c r="L1188" s="705">
        <v>35277</v>
      </c>
      <c r="M1188" s="705">
        <v>28816</v>
      </c>
      <c r="N1188" s="705">
        <v>62414</v>
      </c>
      <c r="O1188" s="705">
        <v>23116</v>
      </c>
      <c r="P1188" s="705">
        <v>25871</v>
      </c>
      <c r="Q1188" s="705">
        <v>9582</v>
      </c>
      <c r="R1188" s="705">
        <v>198056</v>
      </c>
      <c r="S1188" s="705">
        <v>180051</v>
      </c>
      <c r="T1188" s="705">
        <v>6037</v>
      </c>
      <c r="U1188" s="705">
        <v>2236</v>
      </c>
      <c r="V1188" s="705">
        <v>652293</v>
      </c>
      <c r="W1188" s="705">
        <f t="shared" si="52"/>
        <v>652293</v>
      </c>
      <c r="X1188" s="705">
        <f t="shared" si="53"/>
        <v>776996</v>
      </c>
    </row>
    <row r="1189" spans="2:24">
      <c r="B1189" t="s">
        <v>703</v>
      </c>
      <c r="C1189" t="s">
        <v>118</v>
      </c>
      <c r="D1189" t="s">
        <v>669</v>
      </c>
      <c r="E1189" t="s">
        <v>669</v>
      </c>
      <c r="F1189">
        <v>3</v>
      </c>
      <c r="G1189">
        <v>131</v>
      </c>
      <c r="H1189">
        <v>854</v>
      </c>
      <c r="I1189" s="705">
        <v>17019</v>
      </c>
      <c r="J1189" s="705">
        <v>14182</v>
      </c>
      <c r="K1189">
        <v>63</v>
      </c>
      <c r="L1189" s="705">
        <v>2685</v>
      </c>
      <c r="M1189">
        <v>994</v>
      </c>
      <c r="N1189" s="705">
        <v>2191</v>
      </c>
      <c r="O1189">
        <v>812</v>
      </c>
      <c r="P1189">
        <v>702</v>
      </c>
      <c r="Q1189">
        <v>260</v>
      </c>
      <c r="R1189" s="705">
        <v>11250</v>
      </c>
      <c r="S1189" s="705">
        <v>9375</v>
      </c>
      <c r="T1189" s="705">
        <v>3256</v>
      </c>
      <c r="U1189" s="705">
        <v>1206</v>
      </c>
      <c r="V1189" s="705">
        <v>26829</v>
      </c>
      <c r="W1189" s="705">
        <f t="shared" si="52"/>
        <v>26829</v>
      </c>
      <c r="X1189" s="705">
        <f t="shared" si="53"/>
        <v>37103</v>
      </c>
    </row>
    <row r="1190" spans="2:24">
      <c r="B1190" t="s">
        <v>703</v>
      </c>
      <c r="C1190" t="s">
        <v>120</v>
      </c>
      <c r="F1190">
        <v>4</v>
      </c>
      <c r="G1190">
        <v>168</v>
      </c>
      <c r="H1190" s="705">
        <v>1289</v>
      </c>
      <c r="J1190">
        <v>0</v>
      </c>
      <c r="M1190">
        <v>0</v>
      </c>
      <c r="N1190" s="705">
        <v>3964</v>
      </c>
      <c r="O1190" s="705">
        <v>1468</v>
      </c>
      <c r="P1190" s="705">
        <v>1863</v>
      </c>
      <c r="Q1190">
        <v>690</v>
      </c>
      <c r="S1190">
        <v>0</v>
      </c>
      <c r="T1190">
        <v>0</v>
      </c>
      <c r="U1190">
        <v>0</v>
      </c>
      <c r="V1190" s="705">
        <v>2158</v>
      </c>
      <c r="W1190" s="705">
        <f t="shared" si="52"/>
        <v>2158</v>
      </c>
      <c r="X1190" s="705">
        <f t="shared" si="53"/>
        <v>5827</v>
      </c>
    </row>
    <row r="1191" spans="2:24">
      <c r="B1191" t="s">
        <v>703</v>
      </c>
      <c r="C1191" t="s">
        <v>120</v>
      </c>
      <c r="D1191" t="s">
        <v>228</v>
      </c>
      <c r="E1191" t="s">
        <v>228</v>
      </c>
      <c r="F1191">
        <v>478</v>
      </c>
      <c r="G1191" s="705">
        <v>29737</v>
      </c>
      <c r="H1191" s="705">
        <v>159675</v>
      </c>
      <c r="I1191" s="705">
        <v>5787595</v>
      </c>
      <c r="J1191" s="705">
        <v>2143554</v>
      </c>
      <c r="K1191">
        <v>100</v>
      </c>
      <c r="L1191" s="705">
        <v>818564</v>
      </c>
      <c r="M1191" s="705">
        <v>370643</v>
      </c>
      <c r="N1191" s="705">
        <v>616320</v>
      </c>
      <c r="O1191" s="705">
        <v>228267</v>
      </c>
      <c r="P1191" s="705">
        <v>6449</v>
      </c>
      <c r="Q1191" s="705">
        <v>2388</v>
      </c>
      <c r="R1191" s="705">
        <v>2852429</v>
      </c>
      <c r="S1191" s="705">
        <v>1056455</v>
      </c>
      <c r="T1191" s="705">
        <v>1777</v>
      </c>
      <c r="U1191">
        <v>658</v>
      </c>
      <c r="V1191" s="705">
        <v>3801965</v>
      </c>
      <c r="W1191" s="705">
        <f t="shared" si="52"/>
        <v>3801965</v>
      </c>
      <c r="X1191" s="705">
        <f t="shared" si="53"/>
        <v>10083134</v>
      </c>
    </row>
    <row r="1192" spans="2:24">
      <c r="B1192" t="s">
        <v>703</v>
      </c>
      <c r="C1192" t="s">
        <v>120</v>
      </c>
      <c r="D1192" t="s">
        <v>583</v>
      </c>
      <c r="E1192" t="s">
        <v>228</v>
      </c>
      <c r="F1192">
        <v>1</v>
      </c>
      <c r="G1192">
        <v>49</v>
      </c>
      <c r="H1192">
        <v>327</v>
      </c>
      <c r="I1192" s="705">
        <v>8195</v>
      </c>
      <c r="J1192" s="705">
        <v>7450</v>
      </c>
      <c r="K1192">
        <v>86</v>
      </c>
      <c r="L1192" s="705">
        <v>2890</v>
      </c>
      <c r="M1192" s="705">
        <v>1070</v>
      </c>
      <c r="N1192" s="705">
        <v>1023</v>
      </c>
      <c r="O1192">
        <v>379</v>
      </c>
      <c r="P1192">
        <v>621</v>
      </c>
      <c r="Q1192">
        <v>230</v>
      </c>
      <c r="R1192" s="705">
        <v>3318</v>
      </c>
      <c r="S1192" s="705">
        <v>1229</v>
      </c>
      <c r="T1192">
        <v>0</v>
      </c>
      <c r="U1192">
        <v>0</v>
      </c>
      <c r="V1192" s="705">
        <v>10359</v>
      </c>
      <c r="W1192" s="705">
        <f t="shared" si="52"/>
        <v>10358</v>
      </c>
      <c r="X1192" s="705">
        <f t="shared" si="53"/>
        <v>16047</v>
      </c>
    </row>
    <row r="1193" spans="2:24">
      <c r="B1193" t="s">
        <v>703</v>
      </c>
      <c r="C1193" t="s">
        <v>120</v>
      </c>
      <c r="D1193" t="s">
        <v>583</v>
      </c>
      <c r="E1193" t="s">
        <v>583</v>
      </c>
      <c r="F1193">
        <v>7</v>
      </c>
      <c r="G1193">
        <v>521</v>
      </c>
      <c r="H1193" s="705">
        <v>2445</v>
      </c>
      <c r="I1193" s="705">
        <v>106815</v>
      </c>
      <c r="J1193" s="705">
        <v>97104</v>
      </c>
      <c r="K1193">
        <v>76</v>
      </c>
      <c r="L1193" s="705">
        <v>14295</v>
      </c>
      <c r="M1193" s="705">
        <v>8061</v>
      </c>
      <c r="N1193" s="705">
        <v>11618</v>
      </c>
      <c r="O1193" s="705">
        <v>4303</v>
      </c>
      <c r="P1193" s="705">
        <v>4347</v>
      </c>
      <c r="Q1193" s="705">
        <v>1610</v>
      </c>
      <c r="R1193" s="705">
        <v>33394</v>
      </c>
      <c r="S1193" s="705">
        <v>30359</v>
      </c>
      <c r="T1193" s="705">
        <v>8754</v>
      </c>
      <c r="U1193" s="705">
        <v>3242</v>
      </c>
      <c r="V1193" s="705">
        <v>144679</v>
      </c>
      <c r="W1193" s="705">
        <f t="shared" si="52"/>
        <v>144679</v>
      </c>
      <c r="X1193" s="705">
        <f t="shared" si="53"/>
        <v>179223</v>
      </c>
    </row>
    <row r="1194" spans="2:24">
      <c r="B1194" t="s">
        <v>703</v>
      </c>
      <c r="C1194" t="s">
        <v>120</v>
      </c>
      <c r="D1194" t="s">
        <v>584</v>
      </c>
      <c r="E1194" t="s">
        <v>228</v>
      </c>
      <c r="F1194">
        <v>1</v>
      </c>
      <c r="G1194">
        <v>82</v>
      </c>
      <c r="H1194">
        <v>334</v>
      </c>
      <c r="I1194" s="705">
        <v>17261</v>
      </c>
      <c r="J1194" s="705">
        <v>15692</v>
      </c>
      <c r="K1194">
        <v>80</v>
      </c>
      <c r="L1194" s="705">
        <v>3389</v>
      </c>
      <c r="M1194" s="705">
        <v>1255</v>
      </c>
      <c r="N1194" s="705">
        <v>1426</v>
      </c>
      <c r="O1194">
        <v>528</v>
      </c>
      <c r="P1194">
        <v>0</v>
      </c>
      <c r="Q1194">
        <v>0</v>
      </c>
      <c r="R1194" s="705">
        <v>5289</v>
      </c>
      <c r="S1194" s="705">
        <v>1959</v>
      </c>
      <c r="T1194">
        <v>0</v>
      </c>
      <c r="U1194">
        <v>0</v>
      </c>
      <c r="V1194" s="705">
        <v>19434</v>
      </c>
      <c r="W1194" s="705">
        <f t="shared" si="52"/>
        <v>19434</v>
      </c>
      <c r="X1194" s="705">
        <f t="shared" si="53"/>
        <v>27365</v>
      </c>
    </row>
    <row r="1195" spans="2:24">
      <c r="B1195" t="s">
        <v>703</v>
      </c>
      <c r="C1195" t="s">
        <v>120</v>
      </c>
      <c r="D1195" t="s">
        <v>584</v>
      </c>
      <c r="E1195" t="s">
        <v>584</v>
      </c>
      <c r="F1195">
        <v>2</v>
      </c>
      <c r="G1195">
        <v>96</v>
      </c>
      <c r="H1195">
        <v>610</v>
      </c>
      <c r="I1195" s="705">
        <v>16317</v>
      </c>
      <c r="J1195" s="705">
        <v>14833</v>
      </c>
      <c r="K1195">
        <v>82</v>
      </c>
      <c r="L1195" s="705">
        <v>2371</v>
      </c>
      <c r="M1195" s="705">
        <v>2156</v>
      </c>
      <c r="N1195" s="705">
        <v>2345</v>
      </c>
      <c r="O1195">
        <v>868</v>
      </c>
      <c r="P1195">
        <v>945</v>
      </c>
      <c r="Q1195">
        <v>350</v>
      </c>
      <c r="R1195" s="705">
        <v>7339</v>
      </c>
      <c r="S1195" s="705">
        <v>6672</v>
      </c>
      <c r="T1195">
        <v>0</v>
      </c>
      <c r="U1195">
        <v>0</v>
      </c>
      <c r="V1195" s="705">
        <v>24879</v>
      </c>
      <c r="W1195" s="705">
        <f t="shared" ref="W1195:W1258" si="54">SUM(ABS(J1195),ABS(M1195),ABS(O1195),ABS(Q1195),ABS(S1195),ABS(U1195))</f>
        <v>24879</v>
      </c>
      <c r="X1195" s="705">
        <f t="shared" ref="X1195:X1258" si="55">SUM(ABS(I1195),ABS(N1195),ABS(P1195),ABS(R1195),ABS(T1195),ABS(L1195))</f>
        <v>29317</v>
      </c>
    </row>
    <row r="1196" spans="2:24">
      <c r="B1196" t="s">
        <v>703</v>
      </c>
      <c r="C1196" t="s">
        <v>120</v>
      </c>
      <c r="D1196" t="s">
        <v>669</v>
      </c>
      <c r="E1196" t="s">
        <v>669</v>
      </c>
      <c r="F1196">
        <v>2</v>
      </c>
      <c r="G1196">
        <v>77</v>
      </c>
      <c r="H1196">
        <v>680</v>
      </c>
      <c r="I1196" s="705">
        <v>10919</v>
      </c>
      <c r="J1196" s="705">
        <v>9099</v>
      </c>
      <c r="K1196">
        <v>65</v>
      </c>
      <c r="L1196" s="705">
        <v>2761</v>
      </c>
      <c r="M1196" s="705">
        <v>1023</v>
      </c>
      <c r="N1196" s="705">
        <v>1203</v>
      </c>
      <c r="O1196">
        <v>445</v>
      </c>
      <c r="P1196">
        <v>702</v>
      </c>
      <c r="Q1196">
        <v>260</v>
      </c>
      <c r="R1196" s="705">
        <v>7396</v>
      </c>
      <c r="S1196" s="705">
        <v>6163</v>
      </c>
      <c r="T1196" s="705">
        <v>3153</v>
      </c>
      <c r="U1196" s="705">
        <v>1168</v>
      </c>
      <c r="V1196" s="705">
        <v>18158</v>
      </c>
      <c r="W1196" s="705">
        <f t="shared" si="54"/>
        <v>18158</v>
      </c>
      <c r="X1196" s="705">
        <f t="shared" si="55"/>
        <v>26134</v>
      </c>
    </row>
    <row r="1197" spans="2:24">
      <c r="B1197" t="s">
        <v>703</v>
      </c>
      <c r="C1197" t="s">
        <v>122</v>
      </c>
      <c r="F1197">
        <v>4</v>
      </c>
      <c r="G1197">
        <v>182</v>
      </c>
      <c r="H1197" s="705">
        <v>1731</v>
      </c>
      <c r="J1197">
        <v>0</v>
      </c>
      <c r="M1197">
        <v>0</v>
      </c>
      <c r="N1197" s="705">
        <v>3704</v>
      </c>
      <c r="O1197" s="705">
        <v>1372</v>
      </c>
      <c r="P1197" s="705">
        <v>1242</v>
      </c>
      <c r="Q1197">
        <v>460</v>
      </c>
      <c r="S1197">
        <v>0</v>
      </c>
      <c r="T1197" s="705">
        <v>1506</v>
      </c>
      <c r="U1197">
        <v>558</v>
      </c>
      <c r="V1197" s="705">
        <v>2390</v>
      </c>
      <c r="W1197" s="705">
        <f t="shared" si="54"/>
        <v>2390</v>
      </c>
      <c r="X1197" s="705">
        <f t="shared" si="55"/>
        <v>6452</v>
      </c>
    </row>
    <row r="1198" spans="2:24">
      <c r="B1198" t="s">
        <v>703</v>
      </c>
      <c r="C1198" t="s">
        <v>122</v>
      </c>
      <c r="D1198" t="s">
        <v>228</v>
      </c>
      <c r="E1198" t="s">
        <v>228</v>
      </c>
      <c r="F1198">
        <v>118</v>
      </c>
      <c r="G1198" s="705">
        <v>6406</v>
      </c>
      <c r="H1198" s="705">
        <v>48579</v>
      </c>
      <c r="I1198" s="705">
        <v>1665984</v>
      </c>
      <c r="J1198" s="705">
        <v>617031</v>
      </c>
      <c r="K1198">
        <v>100</v>
      </c>
      <c r="L1198" s="705">
        <v>189580</v>
      </c>
      <c r="M1198" s="705">
        <v>81921</v>
      </c>
      <c r="N1198" s="705">
        <v>128616</v>
      </c>
      <c r="O1198" s="705">
        <v>47635</v>
      </c>
      <c r="P1198">
        <v>351</v>
      </c>
      <c r="Q1198">
        <v>130</v>
      </c>
      <c r="R1198" s="705">
        <v>684055</v>
      </c>
      <c r="S1198" s="705">
        <v>253354</v>
      </c>
      <c r="T1198" s="705">
        <v>2191</v>
      </c>
      <c r="U1198">
        <v>812</v>
      </c>
      <c r="V1198" s="705">
        <v>1000883</v>
      </c>
      <c r="W1198" s="705">
        <f t="shared" si="54"/>
        <v>1000883</v>
      </c>
      <c r="X1198" s="705">
        <f t="shared" si="55"/>
        <v>2670777</v>
      </c>
    </row>
    <row r="1199" spans="2:24">
      <c r="B1199" t="s">
        <v>703</v>
      </c>
      <c r="C1199" t="s">
        <v>122</v>
      </c>
      <c r="D1199" t="s">
        <v>583</v>
      </c>
      <c r="E1199" t="s">
        <v>583</v>
      </c>
      <c r="F1199">
        <v>3</v>
      </c>
      <c r="G1199">
        <v>274</v>
      </c>
      <c r="H1199" s="705">
        <v>1235</v>
      </c>
      <c r="I1199" s="705">
        <v>69834</v>
      </c>
      <c r="J1199" s="705">
        <v>63486</v>
      </c>
      <c r="K1199">
        <v>81</v>
      </c>
      <c r="L1199" s="705">
        <v>14197</v>
      </c>
      <c r="M1199" s="705">
        <v>11047</v>
      </c>
      <c r="N1199" s="705">
        <v>5812</v>
      </c>
      <c r="O1199" s="705">
        <v>2153</v>
      </c>
      <c r="P1199" s="705">
        <v>1863</v>
      </c>
      <c r="Q1199">
        <v>690</v>
      </c>
      <c r="R1199" s="705">
        <v>13836</v>
      </c>
      <c r="S1199" s="705">
        <v>12578</v>
      </c>
      <c r="T1199" s="705">
        <v>5940</v>
      </c>
      <c r="U1199" s="705">
        <v>2200</v>
      </c>
      <c r="V1199" s="705">
        <v>92154</v>
      </c>
      <c r="W1199" s="705">
        <f t="shared" si="54"/>
        <v>92154</v>
      </c>
      <c r="X1199" s="705">
        <f t="shared" si="55"/>
        <v>111482</v>
      </c>
    </row>
    <row r="1200" spans="2:24">
      <c r="B1200" t="s">
        <v>703</v>
      </c>
      <c r="C1200" t="s">
        <v>122</v>
      </c>
      <c r="D1200" t="s">
        <v>669</v>
      </c>
      <c r="E1200" t="s">
        <v>669</v>
      </c>
      <c r="F1200">
        <v>2</v>
      </c>
      <c r="G1200">
        <v>85</v>
      </c>
      <c r="H1200">
        <v>774</v>
      </c>
      <c r="I1200" s="705">
        <v>16559</v>
      </c>
      <c r="J1200" s="705">
        <v>13799</v>
      </c>
      <c r="K1200">
        <v>55</v>
      </c>
      <c r="L1200" s="705">
        <v>2277</v>
      </c>
      <c r="M1200">
        <v>843</v>
      </c>
      <c r="N1200" s="705">
        <v>1408</v>
      </c>
      <c r="O1200">
        <v>521</v>
      </c>
      <c r="P1200">
        <v>702</v>
      </c>
      <c r="Q1200">
        <v>260</v>
      </c>
      <c r="R1200" s="705">
        <v>8795</v>
      </c>
      <c r="S1200" s="705">
        <v>7329</v>
      </c>
      <c r="T1200" s="705">
        <v>3187</v>
      </c>
      <c r="U1200" s="705">
        <v>1180</v>
      </c>
      <c r="V1200" s="705">
        <v>23933</v>
      </c>
      <c r="W1200" s="705">
        <f t="shared" si="54"/>
        <v>23932</v>
      </c>
      <c r="X1200" s="705">
        <f t="shared" si="55"/>
        <v>32928</v>
      </c>
    </row>
    <row r="1201" spans="2:24">
      <c r="B1201" t="s">
        <v>703</v>
      </c>
      <c r="C1201" t="s">
        <v>122</v>
      </c>
      <c r="D1201" t="s">
        <v>665</v>
      </c>
      <c r="E1201" t="s">
        <v>665</v>
      </c>
      <c r="F1201">
        <v>2</v>
      </c>
      <c r="G1201">
        <v>100</v>
      </c>
      <c r="H1201">
        <v>864</v>
      </c>
      <c r="I1201" s="705">
        <v>27687</v>
      </c>
      <c r="J1201" s="705">
        <v>25170</v>
      </c>
      <c r="K1201">
        <v>55</v>
      </c>
      <c r="L1201" s="705">
        <v>1754</v>
      </c>
      <c r="M1201">
        <v>649</v>
      </c>
      <c r="N1201" s="705">
        <v>2070</v>
      </c>
      <c r="O1201">
        <v>767</v>
      </c>
      <c r="P1201">
        <v>702</v>
      </c>
      <c r="Q1201">
        <v>260</v>
      </c>
      <c r="R1201" s="705">
        <v>7855</v>
      </c>
      <c r="S1201" s="705">
        <v>7141</v>
      </c>
      <c r="T1201" s="705">
        <v>3049</v>
      </c>
      <c r="U1201" s="705">
        <v>1129</v>
      </c>
      <c r="V1201" s="705">
        <v>35116</v>
      </c>
      <c r="W1201" s="705">
        <f t="shared" si="54"/>
        <v>35116</v>
      </c>
      <c r="X1201" s="705">
        <f t="shared" si="55"/>
        <v>43117</v>
      </c>
    </row>
    <row r="1202" spans="2:24">
      <c r="B1202" t="s">
        <v>703</v>
      </c>
      <c r="C1202" t="s">
        <v>124</v>
      </c>
      <c r="F1202">
        <v>5</v>
      </c>
      <c r="G1202">
        <v>250</v>
      </c>
      <c r="H1202" s="705">
        <v>2576</v>
      </c>
      <c r="J1202">
        <v>0</v>
      </c>
      <c r="M1202">
        <v>0</v>
      </c>
      <c r="N1202" s="705">
        <v>6540</v>
      </c>
      <c r="O1202" s="705">
        <v>2422</v>
      </c>
      <c r="P1202">
        <v>621</v>
      </c>
      <c r="Q1202">
        <v>230</v>
      </c>
      <c r="S1202">
        <v>0</v>
      </c>
      <c r="T1202" s="705">
        <v>2291</v>
      </c>
      <c r="U1202">
        <v>849</v>
      </c>
      <c r="V1202" s="705">
        <v>3501</v>
      </c>
      <c r="W1202" s="705">
        <f t="shared" si="54"/>
        <v>3501</v>
      </c>
      <c r="X1202" s="705">
        <f t="shared" si="55"/>
        <v>9452</v>
      </c>
    </row>
    <row r="1203" spans="2:24">
      <c r="B1203" t="s">
        <v>703</v>
      </c>
      <c r="C1203" t="s">
        <v>124</v>
      </c>
      <c r="D1203" t="s">
        <v>228</v>
      </c>
      <c r="E1203" t="s">
        <v>228</v>
      </c>
      <c r="F1203">
        <v>74</v>
      </c>
      <c r="G1203" s="705">
        <v>3503</v>
      </c>
      <c r="H1203" s="705">
        <v>44459</v>
      </c>
      <c r="I1203" s="705">
        <v>1469771</v>
      </c>
      <c r="J1203" s="705">
        <v>544360</v>
      </c>
      <c r="K1203">
        <v>100</v>
      </c>
      <c r="L1203" s="705">
        <v>168814</v>
      </c>
      <c r="M1203" s="705">
        <v>87592</v>
      </c>
      <c r="N1203" s="705">
        <v>72918</v>
      </c>
      <c r="O1203" s="705">
        <v>27007</v>
      </c>
      <c r="P1203">
        <v>351</v>
      </c>
      <c r="Q1203">
        <v>130</v>
      </c>
      <c r="R1203" s="705">
        <v>409761</v>
      </c>
      <c r="S1203" s="705">
        <v>151763</v>
      </c>
      <c r="T1203">
        <v>0</v>
      </c>
      <c r="U1203">
        <v>0</v>
      </c>
      <c r="V1203" s="705">
        <v>810851</v>
      </c>
      <c r="W1203" s="705">
        <f t="shared" si="54"/>
        <v>810852</v>
      </c>
      <c r="X1203" s="705">
        <f t="shared" si="55"/>
        <v>2121615</v>
      </c>
    </row>
    <row r="1204" spans="2:24">
      <c r="B1204" t="s">
        <v>703</v>
      </c>
      <c r="C1204" t="s">
        <v>124</v>
      </c>
      <c r="D1204" t="s">
        <v>583</v>
      </c>
      <c r="E1204" t="s">
        <v>583</v>
      </c>
      <c r="F1204">
        <v>2</v>
      </c>
      <c r="G1204">
        <v>205</v>
      </c>
      <c r="H1204" s="705">
        <v>1343</v>
      </c>
      <c r="I1204" s="705">
        <v>93924</v>
      </c>
      <c r="J1204" s="705">
        <v>85385</v>
      </c>
      <c r="K1204">
        <v>56</v>
      </c>
      <c r="L1204" s="705">
        <v>20367</v>
      </c>
      <c r="M1204" s="705">
        <v>16973</v>
      </c>
      <c r="N1204" s="705">
        <v>4771</v>
      </c>
      <c r="O1204" s="705">
        <v>1767</v>
      </c>
      <c r="P1204" s="705">
        <v>1242</v>
      </c>
      <c r="Q1204">
        <v>460</v>
      </c>
      <c r="R1204" s="705">
        <v>10709</v>
      </c>
      <c r="S1204" s="705">
        <v>9735</v>
      </c>
      <c r="T1204" s="705">
        <v>4459</v>
      </c>
      <c r="U1204" s="705">
        <v>1651</v>
      </c>
      <c r="V1204" s="705">
        <v>115972</v>
      </c>
      <c r="W1204" s="705">
        <f t="shared" si="54"/>
        <v>115971</v>
      </c>
      <c r="X1204" s="705">
        <f t="shared" si="55"/>
        <v>135472</v>
      </c>
    </row>
    <row r="1205" spans="2:24">
      <c r="B1205" t="s">
        <v>703</v>
      </c>
      <c r="C1205" t="s">
        <v>124</v>
      </c>
      <c r="D1205" t="s">
        <v>669</v>
      </c>
      <c r="E1205" t="s">
        <v>669</v>
      </c>
      <c r="F1205">
        <v>1</v>
      </c>
      <c r="G1205">
        <v>34</v>
      </c>
      <c r="H1205">
        <v>461</v>
      </c>
      <c r="I1205" s="705">
        <v>7933</v>
      </c>
      <c r="J1205" s="705">
        <v>6611</v>
      </c>
      <c r="K1205">
        <v>55</v>
      </c>
      <c r="L1205" s="705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705">
        <v>4178</v>
      </c>
      <c r="S1205" s="705">
        <v>3481</v>
      </c>
      <c r="T1205" s="705">
        <v>1459</v>
      </c>
      <c r="U1205">
        <v>540</v>
      </c>
      <c r="V1205" s="705">
        <v>11349</v>
      </c>
      <c r="W1205" s="705">
        <f t="shared" si="54"/>
        <v>11348</v>
      </c>
      <c r="X1205" s="705">
        <f t="shared" si="55"/>
        <v>15503</v>
      </c>
    </row>
    <row r="1206" spans="2:24">
      <c r="B1206" t="s">
        <v>704</v>
      </c>
      <c r="C1206" t="s">
        <v>108</v>
      </c>
      <c r="D1206" t="s">
        <v>228</v>
      </c>
      <c r="E1206" t="s">
        <v>228</v>
      </c>
      <c r="F1206">
        <v>6</v>
      </c>
      <c r="G1206">
        <v>913</v>
      </c>
      <c r="H1206">
        <v>392</v>
      </c>
      <c r="I1206" s="705">
        <v>8087</v>
      </c>
      <c r="J1206" s="705">
        <v>2995</v>
      </c>
      <c r="K1206">
        <v>408</v>
      </c>
      <c r="L1206">
        <v>339</v>
      </c>
      <c r="M1206">
        <v>308</v>
      </c>
      <c r="N1206" s="705">
        <v>15296</v>
      </c>
      <c r="O1206" s="705">
        <v>5665</v>
      </c>
      <c r="P1206" s="705">
        <v>9388</v>
      </c>
      <c r="Q1206" s="705">
        <v>3477</v>
      </c>
      <c r="R1206" s="705">
        <v>23195</v>
      </c>
      <c r="S1206" s="705">
        <v>8591</v>
      </c>
      <c r="T1206">
        <v>0</v>
      </c>
      <c r="U1206">
        <v>0</v>
      </c>
      <c r="V1206" s="705">
        <v>21036</v>
      </c>
      <c r="W1206" s="705">
        <f t="shared" si="54"/>
        <v>21036</v>
      </c>
      <c r="X1206" s="705">
        <f t="shared" si="55"/>
        <v>56305</v>
      </c>
    </row>
    <row r="1207" spans="2:24">
      <c r="B1207" t="s">
        <v>704</v>
      </c>
      <c r="C1207" t="s">
        <v>108</v>
      </c>
      <c r="D1207" t="s">
        <v>583</v>
      </c>
      <c r="E1207" t="s">
        <v>583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705">
        <v>3231</v>
      </c>
      <c r="S1207" s="705">
        <v>2937</v>
      </c>
      <c r="T1207">
        <v>0</v>
      </c>
      <c r="U1207">
        <v>0</v>
      </c>
      <c r="V1207" s="705">
        <v>3804</v>
      </c>
      <c r="W1207" s="705">
        <f t="shared" si="54"/>
        <v>3804</v>
      </c>
      <c r="X1207" s="705">
        <f t="shared" si="55"/>
        <v>5092</v>
      </c>
    </row>
    <row r="1208" spans="2:24">
      <c r="B1208" t="s">
        <v>704</v>
      </c>
      <c r="C1208" t="s">
        <v>108</v>
      </c>
      <c r="D1208" t="s">
        <v>584</v>
      </c>
      <c r="E1208" t="s">
        <v>584</v>
      </c>
      <c r="F1208">
        <v>5</v>
      </c>
      <c r="G1208">
        <v>328</v>
      </c>
      <c r="H1208">
        <v>339</v>
      </c>
      <c r="I1208" s="705">
        <v>4411</v>
      </c>
      <c r="J1208" s="705">
        <v>4010</v>
      </c>
      <c r="K1208">
        <v>91</v>
      </c>
      <c r="L1208">
        <v>0</v>
      </c>
      <c r="M1208">
        <v>0</v>
      </c>
      <c r="N1208" s="705">
        <v>6398</v>
      </c>
      <c r="O1208" s="705">
        <v>2370</v>
      </c>
      <c r="P1208" s="705">
        <v>2363</v>
      </c>
      <c r="Q1208">
        <v>875</v>
      </c>
      <c r="R1208" s="705">
        <v>9074</v>
      </c>
      <c r="S1208" s="705">
        <v>8249</v>
      </c>
      <c r="T1208">
        <v>0</v>
      </c>
      <c r="U1208">
        <v>0</v>
      </c>
      <c r="V1208" s="705">
        <v>15503</v>
      </c>
      <c r="W1208" s="705">
        <f t="shared" si="54"/>
        <v>15504</v>
      </c>
      <c r="X1208" s="705">
        <f t="shared" si="55"/>
        <v>22246</v>
      </c>
    </row>
    <row r="1209" spans="2:24">
      <c r="B1209" t="s">
        <v>704</v>
      </c>
      <c r="C1209" t="s">
        <v>110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705">
        <v>12756</v>
      </c>
      <c r="O1209" s="705">
        <v>4725</v>
      </c>
      <c r="P1209" s="705">
        <v>2457</v>
      </c>
      <c r="Q1209">
        <v>910</v>
      </c>
      <c r="S1209">
        <v>0</v>
      </c>
      <c r="T1209">
        <v>0</v>
      </c>
      <c r="U1209">
        <v>0</v>
      </c>
      <c r="V1209" s="705">
        <v>5635</v>
      </c>
      <c r="W1209" s="705">
        <f t="shared" si="54"/>
        <v>5635</v>
      </c>
      <c r="X1209" s="705">
        <f t="shared" si="55"/>
        <v>15213</v>
      </c>
    </row>
    <row r="1210" spans="2:24">
      <c r="B1210" t="s">
        <v>704</v>
      </c>
      <c r="C1210" t="s">
        <v>110</v>
      </c>
      <c r="D1210" t="s">
        <v>582</v>
      </c>
      <c r="E1210" t="s">
        <v>582</v>
      </c>
      <c r="F1210">
        <v>1</v>
      </c>
      <c r="G1210">
        <v>87</v>
      </c>
      <c r="H1210">
        <v>100</v>
      </c>
      <c r="I1210" s="705">
        <v>3372</v>
      </c>
      <c r="J1210" s="705">
        <v>3066</v>
      </c>
      <c r="K1210">
        <v>91</v>
      </c>
      <c r="L1210">
        <v>841</v>
      </c>
      <c r="M1210">
        <v>311</v>
      </c>
      <c r="N1210" s="705">
        <v>2009</v>
      </c>
      <c r="O1210">
        <v>744</v>
      </c>
      <c r="P1210">
        <v>473</v>
      </c>
      <c r="Q1210">
        <v>175</v>
      </c>
      <c r="R1210" s="705">
        <v>1958</v>
      </c>
      <c r="S1210" s="705">
        <v>1780</v>
      </c>
      <c r="T1210">
        <v>0</v>
      </c>
      <c r="U1210">
        <v>0</v>
      </c>
      <c r="V1210" s="705">
        <v>6076</v>
      </c>
      <c r="W1210" s="705">
        <f t="shared" si="54"/>
        <v>6076</v>
      </c>
      <c r="X1210" s="705">
        <f t="shared" si="55"/>
        <v>8653</v>
      </c>
    </row>
    <row r="1211" spans="2:24">
      <c r="B1211" t="s">
        <v>704</v>
      </c>
      <c r="C1211" t="s">
        <v>110</v>
      </c>
      <c r="D1211" t="s">
        <v>228</v>
      </c>
      <c r="E1211" t="s">
        <v>228</v>
      </c>
      <c r="F1211">
        <v>7</v>
      </c>
      <c r="G1211">
        <v>695</v>
      </c>
      <c r="H1211">
        <v>642</v>
      </c>
      <c r="I1211" s="705">
        <v>15955</v>
      </c>
      <c r="J1211" s="705">
        <v>5909</v>
      </c>
      <c r="K1211">
        <v>451</v>
      </c>
      <c r="L1211" s="705">
        <v>1964</v>
      </c>
      <c r="M1211" s="705">
        <v>1785</v>
      </c>
      <c r="N1211" s="705">
        <v>12608</v>
      </c>
      <c r="O1211" s="705">
        <v>4670</v>
      </c>
      <c r="P1211" s="705">
        <v>8323</v>
      </c>
      <c r="Q1211" s="705">
        <v>3082</v>
      </c>
      <c r="R1211" s="705">
        <v>24416</v>
      </c>
      <c r="S1211" s="705">
        <v>9043</v>
      </c>
      <c r="T1211">
        <v>0</v>
      </c>
      <c r="U1211">
        <v>0</v>
      </c>
      <c r="V1211" s="705">
        <v>24490</v>
      </c>
      <c r="W1211" s="705">
        <f t="shared" si="54"/>
        <v>24489</v>
      </c>
      <c r="X1211" s="705">
        <f t="shared" si="55"/>
        <v>63266</v>
      </c>
    </row>
    <row r="1212" spans="2:24">
      <c r="B1212" t="s">
        <v>704</v>
      </c>
      <c r="C1212" t="s">
        <v>110</v>
      </c>
      <c r="D1212" t="s">
        <v>583</v>
      </c>
      <c r="E1212" t="s">
        <v>583</v>
      </c>
      <c r="F1212">
        <v>3</v>
      </c>
      <c r="G1212">
        <v>416</v>
      </c>
      <c r="H1212">
        <v>286</v>
      </c>
      <c r="I1212" s="705">
        <v>20081</v>
      </c>
      <c r="J1212" s="705">
        <v>18255</v>
      </c>
      <c r="K1212">
        <v>94</v>
      </c>
      <c r="L1212" s="705">
        <v>1701</v>
      </c>
      <c r="M1212" s="705">
        <v>1546</v>
      </c>
      <c r="N1212" s="705">
        <v>5190</v>
      </c>
      <c r="O1212" s="705">
        <v>1922</v>
      </c>
      <c r="P1212" s="705">
        <v>2565</v>
      </c>
      <c r="Q1212">
        <v>950</v>
      </c>
      <c r="R1212" s="705">
        <v>9243</v>
      </c>
      <c r="S1212" s="705">
        <v>8403</v>
      </c>
      <c r="T1212">
        <v>0</v>
      </c>
      <c r="U1212">
        <v>0</v>
      </c>
      <c r="V1212" s="705">
        <v>31077</v>
      </c>
      <c r="W1212" s="705">
        <f t="shared" si="54"/>
        <v>31076</v>
      </c>
      <c r="X1212" s="705">
        <f t="shared" si="55"/>
        <v>38780</v>
      </c>
    </row>
    <row r="1213" spans="2:24">
      <c r="B1213" t="s">
        <v>704</v>
      </c>
      <c r="C1213" t="s">
        <v>110</v>
      </c>
      <c r="D1213" t="s">
        <v>584</v>
      </c>
      <c r="E1213" t="s">
        <v>584</v>
      </c>
      <c r="F1213">
        <v>15</v>
      </c>
      <c r="G1213" s="705">
        <v>1223</v>
      </c>
      <c r="H1213" s="705">
        <v>1309</v>
      </c>
      <c r="I1213" s="705">
        <v>32963</v>
      </c>
      <c r="J1213" s="705">
        <v>29966</v>
      </c>
      <c r="K1213">
        <v>90</v>
      </c>
      <c r="L1213" s="705">
        <v>2425</v>
      </c>
      <c r="M1213">
        <v>898</v>
      </c>
      <c r="N1213" s="705">
        <v>22470</v>
      </c>
      <c r="O1213" s="705">
        <v>8322</v>
      </c>
      <c r="P1213" s="705">
        <v>7088</v>
      </c>
      <c r="Q1213" s="705">
        <v>2625</v>
      </c>
      <c r="R1213" s="705">
        <v>43178</v>
      </c>
      <c r="S1213" s="705">
        <v>39253</v>
      </c>
      <c r="T1213">
        <v>0</v>
      </c>
      <c r="U1213">
        <v>0</v>
      </c>
      <c r="V1213" s="705">
        <v>81065</v>
      </c>
      <c r="W1213" s="705">
        <f t="shared" si="54"/>
        <v>81064</v>
      </c>
      <c r="X1213" s="705">
        <f t="shared" si="55"/>
        <v>108124</v>
      </c>
    </row>
    <row r="1214" spans="2:24">
      <c r="B1214" t="s">
        <v>704</v>
      </c>
      <c r="C1214" t="s">
        <v>112</v>
      </c>
      <c r="F1214">
        <v>15</v>
      </c>
      <c r="G1214" s="705">
        <v>1447</v>
      </c>
      <c r="H1214" s="705">
        <v>1689</v>
      </c>
      <c r="J1214">
        <v>0</v>
      </c>
      <c r="M1214">
        <v>0</v>
      </c>
      <c r="N1214" s="705">
        <v>24561</v>
      </c>
      <c r="O1214" s="705">
        <v>9097</v>
      </c>
      <c r="P1214" s="705">
        <v>5616</v>
      </c>
      <c r="Q1214" s="705">
        <v>2080</v>
      </c>
      <c r="S1214">
        <v>0</v>
      </c>
      <c r="T1214">
        <v>0</v>
      </c>
      <c r="U1214">
        <v>0</v>
      </c>
      <c r="V1214" s="705">
        <v>11177</v>
      </c>
      <c r="W1214" s="705">
        <f t="shared" si="54"/>
        <v>11177</v>
      </c>
      <c r="X1214" s="705">
        <f t="shared" si="55"/>
        <v>30177</v>
      </c>
    </row>
    <row r="1215" spans="2:24">
      <c r="B1215" t="s">
        <v>704</v>
      </c>
      <c r="C1215" t="s">
        <v>112</v>
      </c>
      <c r="D1215" t="s">
        <v>582</v>
      </c>
      <c r="E1215" t="s">
        <v>582</v>
      </c>
      <c r="F1215">
        <v>4</v>
      </c>
      <c r="G1215">
        <v>676</v>
      </c>
      <c r="H1215">
        <v>479</v>
      </c>
      <c r="I1215" s="705">
        <v>40185</v>
      </c>
      <c r="J1215" s="705">
        <v>36532</v>
      </c>
      <c r="K1215">
        <v>89</v>
      </c>
      <c r="L1215" s="705">
        <v>4201</v>
      </c>
      <c r="M1215" s="705">
        <v>3540</v>
      </c>
      <c r="N1215" s="705">
        <v>13978</v>
      </c>
      <c r="O1215" s="705">
        <v>5177</v>
      </c>
      <c r="P1215" s="705">
        <v>2592</v>
      </c>
      <c r="Q1215">
        <v>960</v>
      </c>
      <c r="R1215" s="705">
        <v>18673</v>
      </c>
      <c r="S1215" s="705">
        <v>16975</v>
      </c>
      <c r="T1215">
        <v>0</v>
      </c>
      <c r="U1215">
        <v>0</v>
      </c>
      <c r="V1215" s="705">
        <v>63184</v>
      </c>
      <c r="W1215" s="705">
        <f t="shared" si="54"/>
        <v>63184</v>
      </c>
      <c r="X1215" s="705">
        <f t="shared" si="55"/>
        <v>79629</v>
      </c>
    </row>
    <row r="1216" spans="2:24">
      <c r="B1216" t="s">
        <v>704</v>
      </c>
      <c r="C1216" t="s">
        <v>112</v>
      </c>
      <c r="D1216" t="s">
        <v>228</v>
      </c>
      <c r="E1216" t="s">
        <v>228</v>
      </c>
      <c r="F1216">
        <v>8</v>
      </c>
      <c r="G1216">
        <v>551</v>
      </c>
      <c r="H1216">
        <v>901</v>
      </c>
      <c r="I1216" s="705">
        <v>16147</v>
      </c>
      <c r="J1216" s="705">
        <v>5980</v>
      </c>
      <c r="K1216">
        <v>295</v>
      </c>
      <c r="L1216" s="705">
        <v>4105</v>
      </c>
      <c r="M1216" s="705">
        <v>2324</v>
      </c>
      <c r="N1216" s="705">
        <v>12126</v>
      </c>
      <c r="O1216" s="705">
        <v>4491</v>
      </c>
      <c r="P1216" s="705">
        <v>3404</v>
      </c>
      <c r="Q1216" s="705">
        <v>1261</v>
      </c>
      <c r="R1216" s="705">
        <v>26526</v>
      </c>
      <c r="S1216" s="705">
        <v>9824</v>
      </c>
      <c r="T1216">
        <v>0</v>
      </c>
      <c r="U1216">
        <v>0</v>
      </c>
      <c r="V1216" s="705">
        <v>23881</v>
      </c>
      <c r="W1216" s="705">
        <f t="shared" si="54"/>
        <v>23880</v>
      </c>
      <c r="X1216" s="705">
        <f t="shared" si="55"/>
        <v>62308</v>
      </c>
    </row>
    <row r="1217" spans="2:24">
      <c r="B1217" t="s">
        <v>704</v>
      </c>
      <c r="C1217" t="s">
        <v>112</v>
      </c>
      <c r="D1217" t="s">
        <v>583</v>
      </c>
      <c r="E1217" t="s">
        <v>583</v>
      </c>
      <c r="F1217">
        <v>4</v>
      </c>
      <c r="G1217">
        <v>463</v>
      </c>
      <c r="H1217">
        <v>464</v>
      </c>
      <c r="I1217" s="705">
        <v>32136</v>
      </c>
      <c r="J1217" s="705">
        <v>29215</v>
      </c>
      <c r="K1217">
        <v>94</v>
      </c>
      <c r="L1217" s="705">
        <v>5552</v>
      </c>
      <c r="M1217" s="705">
        <v>5048</v>
      </c>
      <c r="N1217" s="705">
        <v>6519</v>
      </c>
      <c r="O1217" s="705">
        <v>2414</v>
      </c>
      <c r="P1217" s="705">
        <v>2484</v>
      </c>
      <c r="Q1217">
        <v>920</v>
      </c>
      <c r="R1217" s="705">
        <v>13783</v>
      </c>
      <c r="S1217" s="705">
        <v>12530</v>
      </c>
      <c r="T1217">
        <v>0</v>
      </c>
      <c r="U1217">
        <v>0</v>
      </c>
      <c r="V1217" s="705">
        <v>50127</v>
      </c>
      <c r="W1217" s="705">
        <f t="shared" si="54"/>
        <v>50127</v>
      </c>
      <c r="X1217" s="705">
        <f t="shared" si="55"/>
        <v>60474</v>
      </c>
    </row>
    <row r="1218" spans="2:24">
      <c r="B1218" t="s">
        <v>704</v>
      </c>
      <c r="C1218" t="s">
        <v>112</v>
      </c>
      <c r="D1218" t="s">
        <v>584</v>
      </c>
      <c r="E1218" t="s">
        <v>584</v>
      </c>
      <c r="F1218">
        <v>35</v>
      </c>
      <c r="G1218" s="705">
        <v>3558</v>
      </c>
      <c r="H1218" s="705">
        <v>4059</v>
      </c>
      <c r="I1218" s="705">
        <v>178837</v>
      </c>
      <c r="J1218" s="705">
        <v>162579</v>
      </c>
      <c r="K1218">
        <v>88</v>
      </c>
      <c r="L1218" s="705">
        <v>9241</v>
      </c>
      <c r="M1218" s="705">
        <v>7394</v>
      </c>
      <c r="N1218" s="705">
        <v>67543</v>
      </c>
      <c r="O1218" s="705">
        <v>25016</v>
      </c>
      <c r="P1218" s="705">
        <v>20642</v>
      </c>
      <c r="Q1218" s="705">
        <v>7645</v>
      </c>
      <c r="R1218" s="705">
        <v>140364</v>
      </c>
      <c r="S1218" s="705">
        <v>127603</v>
      </c>
      <c r="T1218" s="705">
        <v>4924</v>
      </c>
      <c r="U1218" s="705">
        <v>1824</v>
      </c>
      <c r="V1218" s="705">
        <v>332061</v>
      </c>
      <c r="W1218" s="705">
        <f t="shared" si="54"/>
        <v>332061</v>
      </c>
      <c r="X1218" s="705">
        <f t="shared" si="55"/>
        <v>421551</v>
      </c>
    </row>
    <row r="1219" spans="2:24">
      <c r="B1219" t="s">
        <v>704</v>
      </c>
      <c r="C1219" t="s">
        <v>114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705">
        <v>5759</v>
      </c>
      <c r="O1219" s="705">
        <v>2133</v>
      </c>
      <c r="P1219" s="705">
        <v>2106</v>
      </c>
      <c r="Q1219">
        <v>780</v>
      </c>
      <c r="S1219">
        <v>0</v>
      </c>
      <c r="T1219">
        <v>0</v>
      </c>
      <c r="U1219">
        <v>0</v>
      </c>
      <c r="V1219" s="705">
        <v>2913</v>
      </c>
      <c r="W1219" s="705">
        <f t="shared" si="54"/>
        <v>2913</v>
      </c>
      <c r="X1219" s="705">
        <f t="shared" si="55"/>
        <v>7865</v>
      </c>
    </row>
    <row r="1220" spans="2:24">
      <c r="B1220" t="s">
        <v>704</v>
      </c>
      <c r="C1220" t="s">
        <v>114</v>
      </c>
      <c r="D1220" t="s">
        <v>582</v>
      </c>
      <c r="E1220" t="s">
        <v>582</v>
      </c>
      <c r="F1220">
        <v>16</v>
      </c>
      <c r="G1220" s="705">
        <v>1617</v>
      </c>
      <c r="H1220" s="705">
        <v>2208</v>
      </c>
      <c r="I1220" s="705">
        <v>113507</v>
      </c>
      <c r="J1220" s="705">
        <v>103188</v>
      </c>
      <c r="K1220">
        <v>86</v>
      </c>
      <c r="L1220" s="705">
        <v>8083</v>
      </c>
      <c r="M1220" s="705">
        <v>7091</v>
      </c>
      <c r="N1220" s="705">
        <v>30785</v>
      </c>
      <c r="O1220" s="705">
        <v>11402</v>
      </c>
      <c r="P1220" s="705">
        <v>6953</v>
      </c>
      <c r="Q1220" s="705">
        <v>2575</v>
      </c>
      <c r="R1220" s="705">
        <v>59496</v>
      </c>
      <c r="S1220" s="705">
        <v>54087</v>
      </c>
      <c r="T1220" s="705">
        <v>3578</v>
      </c>
      <c r="U1220" s="705">
        <v>1325</v>
      </c>
      <c r="V1220" s="705">
        <v>179668</v>
      </c>
      <c r="W1220" s="705">
        <f t="shared" si="54"/>
        <v>179668</v>
      </c>
      <c r="X1220" s="705">
        <f t="shared" si="55"/>
        <v>222402</v>
      </c>
    </row>
    <row r="1221" spans="2:24">
      <c r="B1221" t="s">
        <v>704</v>
      </c>
      <c r="C1221" t="s">
        <v>114</v>
      </c>
      <c r="D1221" t="s">
        <v>228</v>
      </c>
      <c r="E1221" t="s">
        <v>228</v>
      </c>
      <c r="F1221">
        <v>13</v>
      </c>
      <c r="G1221">
        <v>933</v>
      </c>
      <c r="H1221" s="705">
        <v>1828</v>
      </c>
      <c r="I1221" s="705">
        <v>43888</v>
      </c>
      <c r="J1221" s="705">
        <v>16255</v>
      </c>
      <c r="K1221">
        <v>193</v>
      </c>
      <c r="L1221" s="705">
        <v>6032</v>
      </c>
      <c r="M1221" s="705">
        <v>3721</v>
      </c>
      <c r="N1221" s="705">
        <v>15967</v>
      </c>
      <c r="O1221" s="705">
        <v>5914</v>
      </c>
      <c r="P1221" s="705">
        <v>1670</v>
      </c>
      <c r="Q1221">
        <v>618</v>
      </c>
      <c r="R1221" s="705">
        <v>64397</v>
      </c>
      <c r="S1221" s="705">
        <v>23851</v>
      </c>
      <c r="T1221">
        <v>0</v>
      </c>
      <c r="U1221">
        <v>0</v>
      </c>
      <c r="V1221" s="705">
        <v>50359</v>
      </c>
      <c r="W1221" s="705">
        <f t="shared" si="54"/>
        <v>50359</v>
      </c>
      <c r="X1221" s="705">
        <f t="shared" si="55"/>
        <v>131954</v>
      </c>
    </row>
    <row r="1222" spans="2:24">
      <c r="B1222" t="s">
        <v>704</v>
      </c>
      <c r="C1222" t="s">
        <v>114</v>
      </c>
      <c r="D1222" t="s">
        <v>583</v>
      </c>
      <c r="E1222" t="s">
        <v>583</v>
      </c>
      <c r="F1222">
        <v>9</v>
      </c>
      <c r="G1222" s="705">
        <v>1819</v>
      </c>
      <c r="H1222" s="705">
        <v>1264</v>
      </c>
      <c r="I1222" s="705">
        <v>146932</v>
      </c>
      <c r="J1222" s="705">
        <v>133575</v>
      </c>
      <c r="K1222">
        <v>90</v>
      </c>
      <c r="L1222" s="705">
        <v>24397</v>
      </c>
      <c r="M1222" s="705">
        <v>22179</v>
      </c>
      <c r="N1222" s="705">
        <v>34580</v>
      </c>
      <c r="O1222" s="705">
        <v>12807</v>
      </c>
      <c r="P1222" s="705">
        <v>5049</v>
      </c>
      <c r="Q1222" s="705">
        <v>1870</v>
      </c>
      <c r="R1222" s="705">
        <v>49935</v>
      </c>
      <c r="S1222" s="705">
        <v>45395</v>
      </c>
      <c r="T1222" s="705">
        <v>6155</v>
      </c>
      <c r="U1222" s="705">
        <v>2280</v>
      </c>
      <c r="V1222" s="705">
        <v>218106</v>
      </c>
      <c r="W1222" s="705">
        <f t="shared" si="54"/>
        <v>218106</v>
      </c>
      <c r="X1222" s="705">
        <f t="shared" si="55"/>
        <v>267048</v>
      </c>
    </row>
    <row r="1223" spans="2:24">
      <c r="B1223" t="s">
        <v>704</v>
      </c>
      <c r="C1223" t="s">
        <v>114</v>
      </c>
      <c r="D1223" t="s">
        <v>584</v>
      </c>
      <c r="E1223" t="s">
        <v>584</v>
      </c>
      <c r="F1223">
        <v>88</v>
      </c>
      <c r="G1223" s="705">
        <v>7109</v>
      </c>
      <c r="H1223" s="705">
        <v>12297</v>
      </c>
      <c r="I1223" s="705">
        <v>402770</v>
      </c>
      <c r="J1223" s="705">
        <v>366155</v>
      </c>
      <c r="K1223">
        <v>85</v>
      </c>
      <c r="L1223" s="705">
        <v>54405</v>
      </c>
      <c r="M1223" s="705">
        <v>39339</v>
      </c>
      <c r="N1223" s="705">
        <v>141065</v>
      </c>
      <c r="O1223" s="705">
        <v>52246</v>
      </c>
      <c r="P1223" s="705">
        <v>44687</v>
      </c>
      <c r="Q1223" s="705">
        <v>16551</v>
      </c>
      <c r="R1223" s="705">
        <v>343180</v>
      </c>
      <c r="S1223" s="705">
        <v>311982</v>
      </c>
      <c r="T1223" s="705">
        <v>17453</v>
      </c>
      <c r="U1223" s="705">
        <v>6464</v>
      </c>
      <c r="V1223" s="705">
        <v>792737</v>
      </c>
      <c r="W1223" s="705">
        <f t="shared" si="54"/>
        <v>792737</v>
      </c>
      <c r="X1223" s="705">
        <f t="shared" si="55"/>
        <v>1003560</v>
      </c>
    </row>
    <row r="1224" spans="2:24">
      <c r="B1224" t="s">
        <v>704</v>
      </c>
      <c r="C1224" t="s">
        <v>116</v>
      </c>
      <c r="F1224">
        <v>9</v>
      </c>
      <c r="G1224">
        <v>570</v>
      </c>
      <c r="H1224" s="705">
        <v>1720</v>
      </c>
      <c r="J1224">
        <v>0</v>
      </c>
      <c r="M1224">
        <v>0</v>
      </c>
      <c r="N1224" s="705">
        <v>9220</v>
      </c>
      <c r="O1224" s="705">
        <v>3415</v>
      </c>
      <c r="P1224" s="705">
        <v>3279</v>
      </c>
      <c r="Q1224" s="705">
        <v>1215</v>
      </c>
      <c r="S1224">
        <v>0</v>
      </c>
      <c r="T1224">
        <v>0</v>
      </c>
      <c r="U1224">
        <v>0</v>
      </c>
      <c r="V1224" s="705">
        <v>4629</v>
      </c>
      <c r="W1224" s="705">
        <f t="shared" si="54"/>
        <v>4630</v>
      </c>
      <c r="X1224" s="705">
        <f t="shared" si="55"/>
        <v>12499</v>
      </c>
    </row>
    <row r="1225" spans="2:24">
      <c r="B1225" t="s">
        <v>704</v>
      </c>
      <c r="C1225" t="s">
        <v>116</v>
      </c>
      <c r="D1225" t="s">
        <v>664</v>
      </c>
      <c r="E1225" t="s">
        <v>664</v>
      </c>
      <c r="F1225">
        <v>1</v>
      </c>
      <c r="G1225">
        <v>63</v>
      </c>
      <c r="H1225">
        <v>216</v>
      </c>
      <c r="I1225" s="705">
        <v>6471</v>
      </c>
      <c r="J1225" s="705">
        <v>5883</v>
      </c>
      <c r="K1225">
        <v>79</v>
      </c>
      <c r="L1225">
        <v>0</v>
      </c>
      <c r="M1225">
        <v>0</v>
      </c>
      <c r="N1225" s="705">
        <v>1375</v>
      </c>
      <c r="O1225">
        <v>509</v>
      </c>
      <c r="P1225">
        <v>473</v>
      </c>
      <c r="Q1225">
        <v>175</v>
      </c>
      <c r="R1225" s="705">
        <v>5200</v>
      </c>
      <c r="S1225" s="705">
        <v>4727</v>
      </c>
      <c r="T1225">
        <v>0</v>
      </c>
      <c r="U1225">
        <v>0</v>
      </c>
      <c r="V1225" s="705">
        <v>11294</v>
      </c>
      <c r="W1225" s="705">
        <f t="shared" si="54"/>
        <v>11294</v>
      </c>
      <c r="X1225" s="705">
        <f t="shared" si="55"/>
        <v>13519</v>
      </c>
    </row>
    <row r="1226" spans="2:24">
      <c r="B1226" t="s">
        <v>704</v>
      </c>
      <c r="C1226" t="s">
        <v>116</v>
      </c>
      <c r="D1226" t="s">
        <v>582</v>
      </c>
      <c r="E1226" t="s">
        <v>582</v>
      </c>
      <c r="F1226">
        <v>43</v>
      </c>
      <c r="G1226" s="705">
        <v>3027</v>
      </c>
      <c r="H1226" s="705">
        <v>7847</v>
      </c>
      <c r="I1226" s="705">
        <v>286463</v>
      </c>
      <c r="J1226" s="705">
        <v>260421</v>
      </c>
      <c r="K1226">
        <v>85</v>
      </c>
      <c r="L1226" s="705">
        <v>44786</v>
      </c>
      <c r="M1226" s="705">
        <v>26462</v>
      </c>
      <c r="N1226" s="705">
        <v>54251</v>
      </c>
      <c r="O1226" s="705">
        <v>20093</v>
      </c>
      <c r="P1226" s="705">
        <v>19589</v>
      </c>
      <c r="Q1226" s="705">
        <v>7255</v>
      </c>
      <c r="R1226" s="705">
        <v>126986</v>
      </c>
      <c r="S1226" s="705">
        <v>115442</v>
      </c>
      <c r="T1226" s="705">
        <v>19917</v>
      </c>
      <c r="U1226" s="705">
        <v>7377</v>
      </c>
      <c r="V1226" s="705">
        <v>437050</v>
      </c>
      <c r="W1226" s="705">
        <f t="shared" si="54"/>
        <v>437050</v>
      </c>
      <c r="X1226" s="705">
        <f t="shared" si="55"/>
        <v>551992</v>
      </c>
    </row>
    <row r="1227" spans="2:24">
      <c r="B1227" t="s">
        <v>704</v>
      </c>
      <c r="C1227" t="s">
        <v>116</v>
      </c>
      <c r="D1227" t="s">
        <v>228</v>
      </c>
      <c r="E1227" t="s">
        <v>228</v>
      </c>
      <c r="F1227">
        <v>379</v>
      </c>
      <c r="G1227" s="705">
        <v>29081</v>
      </c>
      <c r="H1227" s="705">
        <v>76810</v>
      </c>
      <c r="I1227" s="705">
        <v>2547218</v>
      </c>
      <c r="J1227" s="705">
        <v>943414</v>
      </c>
      <c r="K1227">
        <v>103</v>
      </c>
      <c r="L1227" s="705">
        <v>334869</v>
      </c>
      <c r="M1227" s="705">
        <v>137950</v>
      </c>
      <c r="N1227" s="705">
        <v>578893</v>
      </c>
      <c r="O1227" s="705">
        <v>214405</v>
      </c>
      <c r="P1227" s="705">
        <v>12069</v>
      </c>
      <c r="Q1227" s="705">
        <v>4470</v>
      </c>
      <c r="R1227" s="705">
        <v>2513591</v>
      </c>
      <c r="S1227" s="705">
        <v>930960</v>
      </c>
      <c r="T1227">
        <v>0</v>
      </c>
      <c r="U1227">
        <v>0</v>
      </c>
      <c r="V1227" s="705">
        <v>2231199</v>
      </c>
      <c r="W1227" s="705">
        <f t="shared" si="54"/>
        <v>2231199</v>
      </c>
      <c r="X1227" s="705">
        <f t="shared" si="55"/>
        <v>5986640</v>
      </c>
    </row>
    <row r="1228" spans="2:24">
      <c r="B1228" t="s">
        <v>704</v>
      </c>
      <c r="C1228" t="s">
        <v>116</v>
      </c>
      <c r="D1228" t="s">
        <v>670</v>
      </c>
      <c r="E1228" t="s">
        <v>228</v>
      </c>
      <c r="F1228">
        <v>1</v>
      </c>
      <c r="G1228">
        <v>62</v>
      </c>
      <c r="H1228">
        <v>207</v>
      </c>
      <c r="I1228" s="705">
        <v>5372</v>
      </c>
      <c r="J1228" s="705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705">
        <v>5681</v>
      </c>
      <c r="S1228" s="705">
        <v>2104</v>
      </c>
      <c r="T1228">
        <v>0</v>
      </c>
      <c r="U1228">
        <v>0</v>
      </c>
      <c r="V1228" s="705">
        <v>4764</v>
      </c>
      <c r="W1228" s="705">
        <f t="shared" si="54"/>
        <v>4764</v>
      </c>
      <c r="X1228" s="705">
        <f t="shared" si="55"/>
        <v>12864</v>
      </c>
    </row>
    <row r="1229" spans="2:24">
      <c r="B1229" t="s">
        <v>704</v>
      </c>
      <c r="C1229" t="s">
        <v>116</v>
      </c>
      <c r="D1229" t="s">
        <v>583</v>
      </c>
      <c r="E1229" t="s">
        <v>228</v>
      </c>
      <c r="F1229">
        <v>1</v>
      </c>
      <c r="G1229">
        <v>71</v>
      </c>
      <c r="H1229">
        <v>196</v>
      </c>
      <c r="I1229" s="705">
        <v>5841</v>
      </c>
      <c r="J1229" s="705">
        <v>5310</v>
      </c>
      <c r="K1229">
        <v>95</v>
      </c>
      <c r="L1229">
        <v>0</v>
      </c>
      <c r="M1229">
        <v>0</v>
      </c>
      <c r="N1229" s="705">
        <v>1353</v>
      </c>
      <c r="O1229">
        <v>501</v>
      </c>
      <c r="P1229">
        <v>621</v>
      </c>
      <c r="Q1229">
        <v>230</v>
      </c>
      <c r="R1229" s="705">
        <v>6045</v>
      </c>
      <c r="S1229" s="705">
        <v>2239</v>
      </c>
      <c r="T1229">
        <v>0</v>
      </c>
      <c r="U1229">
        <v>0</v>
      </c>
      <c r="V1229" s="705">
        <v>8280</v>
      </c>
      <c r="W1229" s="705">
        <f t="shared" si="54"/>
        <v>8280</v>
      </c>
      <c r="X1229" s="705">
        <f t="shared" si="55"/>
        <v>13860</v>
      </c>
    </row>
    <row r="1230" spans="2:24">
      <c r="B1230" t="s">
        <v>704</v>
      </c>
      <c r="C1230" t="s">
        <v>116</v>
      </c>
      <c r="D1230" t="s">
        <v>583</v>
      </c>
      <c r="E1230" t="s">
        <v>583</v>
      </c>
      <c r="F1230">
        <v>102</v>
      </c>
      <c r="G1230" s="705">
        <v>11563</v>
      </c>
      <c r="H1230" s="705">
        <v>19523</v>
      </c>
      <c r="I1230" s="705">
        <v>1156218</v>
      </c>
      <c r="J1230" s="705">
        <v>1051107</v>
      </c>
      <c r="K1230">
        <v>85</v>
      </c>
      <c r="L1230" s="705">
        <v>246300</v>
      </c>
      <c r="M1230" s="705">
        <v>215393</v>
      </c>
      <c r="N1230" s="705">
        <v>227312</v>
      </c>
      <c r="O1230" s="705">
        <v>84190</v>
      </c>
      <c r="P1230" s="705">
        <v>67517</v>
      </c>
      <c r="Q1230" s="705">
        <v>25006</v>
      </c>
      <c r="R1230" s="705">
        <v>467256</v>
      </c>
      <c r="S1230" s="705">
        <v>424778</v>
      </c>
      <c r="T1230" s="705">
        <v>106817</v>
      </c>
      <c r="U1230" s="705">
        <v>39562</v>
      </c>
      <c r="V1230" s="705">
        <v>1840037</v>
      </c>
      <c r="W1230" s="705">
        <f t="shared" si="54"/>
        <v>1840036</v>
      </c>
      <c r="X1230" s="705">
        <f t="shared" si="55"/>
        <v>2271420</v>
      </c>
    </row>
    <row r="1231" spans="2:24">
      <c r="B1231" t="s">
        <v>704</v>
      </c>
      <c r="C1231" t="s">
        <v>116</v>
      </c>
      <c r="D1231" t="s">
        <v>584</v>
      </c>
      <c r="E1231" t="s">
        <v>228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705">
        <v>1608</v>
      </c>
      <c r="O1231">
        <v>596</v>
      </c>
      <c r="P1231">
        <v>473</v>
      </c>
      <c r="Q1231">
        <v>175</v>
      </c>
      <c r="R1231" s="705">
        <v>9764</v>
      </c>
      <c r="S1231" s="705">
        <v>3616</v>
      </c>
      <c r="T1231">
        <v>0</v>
      </c>
      <c r="U1231">
        <v>0</v>
      </c>
      <c r="V1231" s="705">
        <v>5023</v>
      </c>
      <c r="W1231" s="705">
        <f t="shared" si="54"/>
        <v>5023</v>
      </c>
      <c r="X1231" s="705">
        <f t="shared" si="55"/>
        <v>12545</v>
      </c>
    </row>
    <row r="1232" spans="2:24">
      <c r="B1232" t="s">
        <v>704</v>
      </c>
      <c r="C1232" t="s">
        <v>116</v>
      </c>
      <c r="D1232" t="s">
        <v>584</v>
      </c>
      <c r="E1232" t="s">
        <v>584</v>
      </c>
      <c r="F1232">
        <v>361</v>
      </c>
      <c r="G1232" s="705">
        <v>25602</v>
      </c>
      <c r="H1232" s="705">
        <v>65986</v>
      </c>
      <c r="I1232" s="705">
        <v>2237584</v>
      </c>
      <c r="J1232" s="705">
        <v>2034168</v>
      </c>
      <c r="K1232">
        <v>80</v>
      </c>
      <c r="L1232" s="705">
        <v>191240</v>
      </c>
      <c r="M1232" s="705">
        <v>124813</v>
      </c>
      <c r="N1232" s="705">
        <v>518346</v>
      </c>
      <c r="O1232" s="705">
        <v>191980</v>
      </c>
      <c r="P1232" s="705">
        <v>171843</v>
      </c>
      <c r="Q1232" s="705">
        <v>63646</v>
      </c>
      <c r="R1232" s="705">
        <v>1484325</v>
      </c>
      <c r="S1232" s="705">
        <v>1349386</v>
      </c>
      <c r="T1232" s="705">
        <v>90639</v>
      </c>
      <c r="U1232" s="705">
        <v>33570</v>
      </c>
      <c r="V1232" s="705">
        <v>3797562</v>
      </c>
      <c r="W1232" s="705">
        <f t="shared" si="54"/>
        <v>3797563</v>
      </c>
      <c r="X1232" s="705">
        <f t="shared" si="55"/>
        <v>4693977</v>
      </c>
    </row>
    <row r="1233" spans="2:24">
      <c r="B1233" t="s">
        <v>704</v>
      </c>
      <c r="C1233" t="s">
        <v>118</v>
      </c>
      <c r="F1233">
        <v>12</v>
      </c>
      <c r="G1233">
        <v>371</v>
      </c>
      <c r="H1233" s="705">
        <v>3043</v>
      </c>
      <c r="J1233">
        <v>0</v>
      </c>
      <c r="M1233">
        <v>0</v>
      </c>
      <c r="N1233" s="705">
        <v>5996</v>
      </c>
      <c r="O1233" s="705">
        <v>2221</v>
      </c>
      <c r="P1233" s="705">
        <v>5670</v>
      </c>
      <c r="Q1233" s="705">
        <v>2100</v>
      </c>
      <c r="S1233">
        <v>0</v>
      </c>
      <c r="T1233">
        <v>0</v>
      </c>
      <c r="U1233">
        <v>0</v>
      </c>
      <c r="V1233" s="705">
        <v>4321</v>
      </c>
      <c r="W1233" s="705">
        <f t="shared" si="54"/>
        <v>4321</v>
      </c>
      <c r="X1233" s="705">
        <f t="shared" si="55"/>
        <v>11666</v>
      </c>
    </row>
    <row r="1234" spans="2:24">
      <c r="B1234" t="s">
        <v>704</v>
      </c>
      <c r="C1234" t="s">
        <v>118</v>
      </c>
      <c r="D1234" t="s">
        <v>582</v>
      </c>
      <c r="E1234" t="s">
        <v>582</v>
      </c>
      <c r="F1234">
        <v>11</v>
      </c>
      <c r="G1234">
        <v>695</v>
      </c>
      <c r="H1234" s="705">
        <v>2679</v>
      </c>
      <c r="I1234" s="705">
        <v>108581</v>
      </c>
      <c r="J1234" s="705">
        <v>98710</v>
      </c>
      <c r="K1234">
        <v>82</v>
      </c>
      <c r="L1234" s="705">
        <v>2028</v>
      </c>
      <c r="M1234">
        <v>751</v>
      </c>
      <c r="N1234" s="705">
        <v>12655</v>
      </c>
      <c r="O1234" s="705">
        <v>4687</v>
      </c>
      <c r="P1234" s="705">
        <v>4833</v>
      </c>
      <c r="Q1234" s="705">
        <v>1790</v>
      </c>
      <c r="R1234" s="705">
        <v>38882</v>
      </c>
      <c r="S1234" s="705">
        <v>35348</v>
      </c>
      <c r="T1234" s="705">
        <v>2817</v>
      </c>
      <c r="U1234" s="705">
        <v>1043</v>
      </c>
      <c r="V1234" s="705">
        <v>142328</v>
      </c>
      <c r="W1234" s="705">
        <f t="shared" si="54"/>
        <v>142329</v>
      </c>
      <c r="X1234" s="705">
        <f t="shared" si="55"/>
        <v>169796</v>
      </c>
    </row>
    <row r="1235" spans="2:24">
      <c r="B1235" t="s">
        <v>704</v>
      </c>
      <c r="C1235" t="s">
        <v>118</v>
      </c>
      <c r="D1235" t="s">
        <v>228</v>
      </c>
      <c r="E1235" t="s">
        <v>228</v>
      </c>
      <c r="F1235">
        <v>902</v>
      </c>
      <c r="G1235" s="705">
        <v>62527</v>
      </c>
      <c r="H1235" s="705">
        <v>239437</v>
      </c>
      <c r="I1235" s="705">
        <v>8634241</v>
      </c>
      <c r="J1235" s="705">
        <v>3197867</v>
      </c>
      <c r="K1235">
        <v>100</v>
      </c>
      <c r="L1235" s="705">
        <v>1182816</v>
      </c>
      <c r="M1235" s="705">
        <v>511510</v>
      </c>
      <c r="N1235" s="705">
        <v>1283720</v>
      </c>
      <c r="O1235" s="705">
        <v>475452</v>
      </c>
      <c r="P1235" s="705">
        <v>14925</v>
      </c>
      <c r="Q1235" s="705">
        <v>5528</v>
      </c>
      <c r="R1235" s="705">
        <v>5699395</v>
      </c>
      <c r="S1235" s="705">
        <v>2110887</v>
      </c>
      <c r="T1235" s="705">
        <v>2209</v>
      </c>
      <c r="U1235">
        <v>818</v>
      </c>
      <c r="V1235" s="705">
        <v>6302062</v>
      </c>
      <c r="W1235" s="705">
        <f t="shared" si="54"/>
        <v>6302062</v>
      </c>
      <c r="X1235" s="705">
        <f t="shared" si="55"/>
        <v>16817306</v>
      </c>
    </row>
    <row r="1236" spans="2:24">
      <c r="B1236" t="s">
        <v>704</v>
      </c>
      <c r="C1236" t="s">
        <v>118</v>
      </c>
      <c r="D1236" t="s">
        <v>228</v>
      </c>
      <c r="E1236" t="s">
        <v>583</v>
      </c>
      <c r="F1236">
        <v>1</v>
      </c>
      <c r="G1236">
        <v>53</v>
      </c>
      <c r="H1236">
        <v>242</v>
      </c>
      <c r="I1236" s="705">
        <v>7224</v>
      </c>
      <c r="J1236" s="705">
        <v>2676</v>
      </c>
      <c r="K1236">
        <v>100</v>
      </c>
      <c r="L1236">
        <v>0</v>
      </c>
      <c r="M1236">
        <v>0</v>
      </c>
      <c r="N1236" s="705">
        <v>1301</v>
      </c>
      <c r="O1236">
        <v>482</v>
      </c>
      <c r="P1236">
        <v>0</v>
      </c>
      <c r="Q1236">
        <v>0</v>
      </c>
      <c r="R1236" s="705">
        <v>4407</v>
      </c>
      <c r="S1236" s="705">
        <v>4006</v>
      </c>
      <c r="T1236">
        <v>0</v>
      </c>
      <c r="U1236">
        <v>0</v>
      </c>
      <c r="V1236" s="705">
        <v>7164</v>
      </c>
      <c r="W1236" s="705">
        <f t="shared" si="54"/>
        <v>7164</v>
      </c>
      <c r="X1236" s="705">
        <f t="shared" si="55"/>
        <v>12932</v>
      </c>
    </row>
    <row r="1237" spans="2:24">
      <c r="B1237" t="s">
        <v>704</v>
      </c>
      <c r="C1237" t="s">
        <v>118</v>
      </c>
      <c r="D1237" t="s">
        <v>583</v>
      </c>
      <c r="E1237" t="s">
        <v>583</v>
      </c>
      <c r="F1237">
        <v>71</v>
      </c>
      <c r="G1237" s="705">
        <v>6651</v>
      </c>
      <c r="H1237" s="705">
        <v>18847</v>
      </c>
      <c r="I1237" s="705">
        <v>983680</v>
      </c>
      <c r="J1237" s="705">
        <v>894254</v>
      </c>
      <c r="K1237">
        <v>80</v>
      </c>
      <c r="L1237" s="705">
        <v>186847</v>
      </c>
      <c r="M1237" s="705">
        <v>160164</v>
      </c>
      <c r="N1237" s="705">
        <v>127069</v>
      </c>
      <c r="O1237" s="705">
        <v>47063</v>
      </c>
      <c r="P1237" s="705">
        <v>47239</v>
      </c>
      <c r="Q1237" s="705">
        <v>17496</v>
      </c>
      <c r="R1237" s="705">
        <v>319155</v>
      </c>
      <c r="S1237" s="705">
        <v>290141</v>
      </c>
      <c r="T1237" s="705">
        <v>102559</v>
      </c>
      <c r="U1237" s="705">
        <v>37985</v>
      </c>
      <c r="V1237" s="705">
        <v>1447103</v>
      </c>
      <c r="W1237" s="705">
        <f t="shared" si="54"/>
        <v>1447103</v>
      </c>
      <c r="X1237" s="705">
        <f t="shared" si="55"/>
        <v>1766549</v>
      </c>
    </row>
    <row r="1238" spans="2:24">
      <c r="B1238" t="s">
        <v>704</v>
      </c>
      <c r="C1238" t="s">
        <v>118</v>
      </c>
      <c r="D1238" t="s">
        <v>666</v>
      </c>
      <c r="E1238" t="s">
        <v>666</v>
      </c>
      <c r="F1238">
        <v>1</v>
      </c>
      <c r="G1238">
        <v>88</v>
      </c>
      <c r="H1238">
        <v>271</v>
      </c>
      <c r="I1238" s="705">
        <v>13413</v>
      </c>
      <c r="J1238" s="705">
        <v>12193</v>
      </c>
      <c r="K1238">
        <v>65</v>
      </c>
      <c r="L1238" s="705">
        <v>2768</v>
      </c>
      <c r="M1238" s="705">
        <v>2516</v>
      </c>
      <c r="N1238" s="705">
        <v>1078</v>
      </c>
      <c r="O1238">
        <v>399</v>
      </c>
      <c r="P1238">
        <v>351</v>
      </c>
      <c r="Q1238">
        <v>130</v>
      </c>
      <c r="R1238" s="705">
        <v>6391</v>
      </c>
      <c r="S1238" s="705">
        <v>5810</v>
      </c>
      <c r="T1238">
        <v>0</v>
      </c>
      <c r="U1238">
        <v>0</v>
      </c>
      <c r="V1238" s="705">
        <v>21049</v>
      </c>
      <c r="W1238" s="705">
        <f t="shared" si="54"/>
        <v>21048</v>
      </c>
      <c r="X1238" s="705">
        <f t="shared" si="55"/>
        <v>24001</v>
      </c>
    </row>
    <row r="1239" spans="2:24">
      <c r="B1239" t="s">
        <v>704</v>
      </c>
      <c r="C1239" t="s">
        <v>118</v>
      </c>
      <c r="D1239" t="s">
        <v>584</v>
      </c>
      <c r="E1239" t="s">
        <v>584</v>
      </c>
      <c r="F1239">
        <v>63</v>
      </c>
      <c r="G1239" s="705">
        <v>3683</v>
      </c>
      <c r="H1239" s="705">
        <v>15606</v>
      </c>
      <c r="I1239" s="705">
        <v>493735</v>
      </c>
      <c r="J1239" s="705">
        <v>448850</v>
      </c>
      <c r="K1239">
        <v>78</v>
      </c>
      <c r="L1239" s="705">
        <v>38322</v>
      </c>
      <c r="M1239" s="705">
        <v>26338</v>
      </c>
      <c r="N1239" s="705">
        <v>76706</v>
      </c>
      <c r="O1239" s="705">
        <v>28410</v>
      </c>
      <c r="P1239" s="705">
        <v>29646</v>
      </c>
      <c r="Q1239" s="705">
        <v>10980</v>
      </c>
      <c r="R1239" s="705">
        <v>230516</v>
      </c>
      <c r="S1239" s="705">
        <v>209560</v>
      </c>
      <c r="T1239" s="705">
        <v>39933</v>
      </c>
      <c r="U1239" s="705">
        <v>14790</v>
      </c>
      <c r="V1239" s="705">
        <v>738927</v>
      </c>
      <c r="W1239" s="705">
        <f t="shared" si="54"/>
        <v>738928</v>
      </c>
      <c r="X1239" s="705">
        <f t="shared" si="55"/>
        <v>908858</v>
      </c>
    </row>
    <row r="1240" spans="2:24">
      <c r="B1240" t="s">
        <v>704</v>
      </c>
      <c r="C1240" t="s">
        <v>118</v>
      </c>
      <c r="D1240" t="s">
        <v>669</v>
      </c>
      <c r="E1240" t="s">
        <v>669</v>
      </c>
      <c r="F1240">
        <v>6</v>
      </c>
      <c r="G1240">
        <v>258</v>
      </c>
      <c r="H1240" s="705">
        <v>1564</v>
      </c>
      <c r="I1240" s="705">
        <v>24378</v>
      </c>
      <c r="J1240" s="705">
        <v>20315</v>
      </c>
      <c r="K1240">
        <v>65</v>
      </c>
      <c r="L1240" s="705">
        <v>3961</v>
      </c>
      <c r="M1240" s="705">
        <v>1467</v>
      </c>
      <c r="N1240" s="705">
        <v>4108</v>
      </c>
      <c r="O1240" s="705">
        <v>1522</v>
      </c>
      <c r="P1240" s="705">
        <v>2106</v>
      </c>
      <c r="Q1240">
        <v>780</v>
      </c>
      <c r="R1240" s="705">
        <v>22738</v>
      </c>
      <c r="S1240" s="705">
        <v>18949</v>
      </c>
      <c r="T1240" s="705">
        <v>9857</v>
      </c>
      <c r="U1240" s="705">
        <v>3651</v>
      </c>
      <c r="V1240" s="705">
        <v>46683</v>
      </c>
      <c r="W1240" s="705">
        <f t="shared" si="54"/>
        <v>46684</v>
      </c>
      <c r="X1240" s="705">
        <f t="shared" si="55"/>
        <v>67148</v>
      </c>
    </row>
    <row r="1241" spans="2:24">
      <c r="B1241" t="s">
        <v>704</v>
      </c>
      <c r="C1241" t="s">
        <v>118</v>
      </c>
      <c r="D1241" t="s">
        <v>667</v>
      </c>
      <c r="E1241" t="s">
        <v>228</v>
      </c>
      <c r="F1241">
        <v>1</v>
      </c>
      <c r="G1241">
        <v>50</v>
      </c>
      <c r="H1241">
        <v>244</v>
      </c>
      <c r="I1241" s="705">
        <v>4940</v>
      </c>
      <c r="J1241" s="705">
        <v>4491</v>
      </c>
      <c r="K1241">
        <v>30</v>
      </c>
      <c r="L1241">
        <v>404</v>
      </c>
      <c r="M1241">
        <v>150</v>
      </c>
      <c r="N1241" s="705">
        <v>1224</v>
      </c>
      <c r="O1241">
        <v>453</v>
      </c>
      <c r="P1241">
        <v>0</v>
      </c>
      <c r="Q1241">
        <v>0</v>
      </c>
      <c r="R1241" s="705">
        <v>5708</v>
      </c>
      <c r="S1241" s="705">
        <v>2114</v>
      </c>
      <c r="T1241">
        <v>0</v>
      </c>
      <c r="U1241">
        <v>0</v>
      </c>
      <c r="V1241" s="705">
        <v>7209</v>
      </c>
      <c r="W1241" s="705">
        <f t="shared" si="54"/>
        <v>7208</v>
      </c>
      <c r="X1241" s="705">
        <f t="shared" si="55"/>
        <v>12276</v>
      </c>
    </row>
    <row r="1242" spans="2:24">
      <c r="B1242" t="s">
        <v>704</v>
      </c>
      <c r="C1242" t="s">
        <v>118</v>
      </c>
      <c r="D1242" t="s">
        <v>665</v>
      </c>
      <c r="E1242" t="s">
        <v>665</v>
      </c>
      <c r="F1242">
        <v>3</v>
      </c>
      <c r="G1242">
        <v>278</v>
      </c>
      <c r="H1242">
        <v>810</v>
      </c>
      <c r="I1242" s="705">
        <v>38793</v>
      </c>
      <c r="J1242" s="705">
        <v>35266</v>
      </c>
      <c r="K1242">
        <v>62</v>
      </c>
      <c r="L1242" s="705">
        <v>6016</v>
      </c>
      <c r="M1242" s="705">
        <v>4017</v>
      </c>
      <c r="N1242" s="705">
        <v>6558</v>
      </c>
      <c r="O1242" s="705">
        <v>2429</v>
      </c>
      <c r="P1242" s="705">
        <v>1053</v>
      </c>
      <c r="Q1242">
        <v>390</v>
      </c>
      <c r="R1242" s="705">
        <v>14187</v>
      </c>
      <c r="S1242" s="705">
        <v>12897</v>
      </c>
      <c r="T1242" s="705">
        <v>7243</v>
      </c>
      <c r="U1242" s="705">
        <v>2682</v>
      </c>
      <c r="V1242" s="705">
        <v>57682</v>
      </c>
      <c r="W1242" s="705">
        <f t="shared" si="54"/>
        <v>57681</v>
      </c>
      <c r="X1242" s="705">
        <f t="shared" si="55"/>
        <v>73850</v>
      </c>
    </row>
    <row r="1243" spans="2:24">
      <c r="B1243" t="s">
        <v>704</v>
      </c>
      <c r="C1243" t="s">
        <v>120</v>
      </c>
      <c r="F1243">
        <v>8</v>
      </c>
      <c r="G1243">
        <v>295</v>
      </c>
      <c r="H1243" s="705">
        <v>2601</v>
      </c>
      <c r="J1243">
        <v>0</v>
      </c>
      <c r="M1243">
        <v>0</v>
      </c>
      <c r="N1243" s="705">
        <v>5626</v>
      </c>
      <c r="O1243" s="705">
        <v>2084</v>
      </c>
      <c r="P1243" s="705">
        <v>3132</v>
      </c>
      <c r="Q1243" s="705">
        <v>1160</v>
      </c>
      <c r="S1243">
        <v>0</v>
      </c>
      <c r="T1243">
        <v>0</v>
      </c>
      <c r="U1243">
        <v>0</v>
      </c>
      <c r="V1243" s="705">
        <v>3244</v>
      </c>
      <c r="W1243" s="705">
        <f t="shared" si="54"/>
        <v>3244</v>
      </c>
      <c r="X1243" s="705">
        <f t="shared" si="55"/>
        <v>8758</v>
      </c>
    </row>
    <row r="1244" spans="2:24">
      <c r="B1244" t="s">
        <v>704</v>
      </c>
      <c r="C1244" t="s">
        <v>120</v>
      </c>
      <c r="D1244" t="s">
        <v>582</v>
      </c>
      <c r="E1244" t="s">
        <v>582</v>
      </c>
      <c r="F1244">
        <v>1</v>
      </c>
      <c r="G1244">
        <v>51</v>
      </c>
      <c r="H1244">
        <v>351</v>
      </c>
      <c r="I1244" s="705">
        <v>13849</v>
      </c>
      <c r="J1244" s="705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705">
        <v>2430</v>
      </c>
      <c r="S1244" s="705">
        <v>2209</v>
      </c>
      <c r="T1244">
        <v>0</v>
      </c>
      <c r="U1244">
        <v>0</v>
      </c>
      <c r="V1244" s="705">
        <v>15339</v>
      </c>
      <c r="W1244" s="705">
        <f t="shared" si="54"/>
        <v>15339</v>
      </c>
      <c r="X1244" s="705">
        <f t="shared" si="55"/>
        <v>17737</v>
      </c>
    </row>
    <row r="1245" spans="2:24">
      <c r="B1245" t="s">
        <v>704</v>
      </c>
      <c r="C1245" t="s">
        <v>120</v>
      </c>
      <c r="D1245" t="s">
        <v>228</v>
      </c>
      <c r="E1245" t="s">
        <v>228</v>
      </c>
      <c r="F1245">
        <v>694</v>
      </c>
      <c r="G1245" s="705">
        <v>46040</v>
      </c>
      <c r="H1245" s="705">
        <v>236000</v>
      </c>
      <c r="I1245" s="705">
        <v>9158148</v>
      </c>
      <c r="J1245" s="705">
        <v>3391907</v>
      </c>
      <c r="K1245">
        <v>100</v>
      </c>
      <c r="L1245" s="705">
        <v>1312423</v>
      </c>
      <c r="M1245" s="705">
        <v>552747</v>
      </c>
      <c r="N1245" s="705">
        <v>1000626</v>
      </c>
      <c r="O1245" s="705">
        <v>370602</v>
      </c>
      <c r="P1245" s="705">
        <v>6917</v>
      </c>
      <c r="Q1245" s="705">
        <v>2562</v>
      </c>
      <c r="R1245" s="705">
        <v>4286498</v>
      </c>
      <c r="S1245" s="705">
        <v>1587592</v>
      </c>
      <c r="T1245" s="705">
        <v>1787</v>
      </c>
      <c r="U1245">
        <v>662</v>
      </c>
      <c r="V1245" s="705">
        <v>5906072</v>
      </c>
      <c r="W1245" s="705">
        <f t="shared" si="54"/>
        <v>5906072</v>
      </c>
      <c r="X1245" s="705">
        <f t="shared" si="55"/>
        <v>15766399</v>
      </c>
    </row>
    <row r="1246" spans="2:24">
      <c r="B1246" t="s">
        <v>704</v>
      </c>
      <c r="C1246" t="s">
        <v>120</v>
      </c>
      <c r="D1246" t="s">
        <v>228</v>
      </c>
      <c r="E1246" t="s">
        <v>583</v>
      </c>
      <c r="F1246">
        <v>1</v>
      </c>
      <c r="G1246">
        <v>54</v>
      </c>
      <c r="H1246">
        <v>314</v>
      </c>
      <c r="I1246" s="705">
        <v>9596</v>
      </c>
      <c r="J1246" s="705">
        <v>3554</v>
      </c>
      <c r="K1246">
        <v>100</v>
      </c>
      <c r="L1246">
        <v>0</v>
      </c>
      <c r="M1246">
        <v>0</v>
      </c>
      <c r="N1246" s="705">
        <v>1281</v>
      </c>
      <c r="O1246">
        <v>475</v>
      </c>
      <c r="P1246">
        <v>0</v>
      </c>
      <c r="Q1246">
        <v>0</v>
      </c>
      <c r="R1246" s="705">
        <v>4048</v>
      </c>
      <c r="S1246" s="705">
        <v>3680</v>
      </c>
      <c r="T1246" s="705">
        <v>2168</v>
      </c>
      <c r="U1246">
        <v>803</v>
      </c>
      <c r="V1246" s="705">
        <v>8512</v>
      </c>
      <c r="W1246" s="705">
        <f t="shared" si="54"/>
        <v>8512</v>
      </c>
      <c r="X1246" s="705">
        <f t="shared" si="55"/>
        <v>17093</v>
      </c>
    </row>
    <row r="1247" spans="2:24">
      <c r="B1247" t="s">
        <v>704</v>
      </c>
      <c r="C1247" t="s">
        <v>120</v>
      </c>
      <c r="D1247" t="s">
        <v>583</v>
      </c>
      <c r="E1247" t="s">
        <v>228</v>
      </c>
      <c r="F1247">
        <v>2</v>
      </c>
      <c r="G1247">
        <v>120</v>
      </c>
      <c r="H1247">
        <v>691</v>
      </c>
      <c r="I1247" s="705">
        <v>26569</v>
      </c>
      <c r="J1247" s="705">
        <v>24154</v>
      </c>
      <c r="K1247">
        <v>75</v>
      </c>
      <c r="L1247" s="705">
        <v>2698</v>
      </c>
      <c r="M1247" s="705">
        <v>2453</v>
      </c>
      <c r="N1247" s="705">
        <v>2749</v>
      </c>
      <c r="O1247" s="705">
        <v>1018</v>
      </c>
      <c r="P1247" s="705">
        <v>1593</v>
      </c>
      <c r="Q1247">
        <v>590</v>
      </c>
      <c r="R1247" s="705">
        <v>8933</v>
      </c>
      <c r="S1247" s="705">
        <v>3308</v>
      </c>
      <c r="T1247">
        <v>0</v>
      </c>
      <c r="U1247">
        <v>0</v>
      </c>
      <c r="V1247" s="705">
        <v>31523</v>
      </c>
      <c r="W1247" s="705">
        <f t="shared" si="54"/>
        <v>31523</v>
      </c>
      <c r="X1247" s="705">
        <f t="shared" si="55"/>
        <v>42542</v>
      </c>
    </row>
    <row r="1248" spans="2:24">
      <c r="B1248" t="s">
        <v>704</v>
      </c>
      <c r="C1248" t="s">
        <v>120</v>
      </c>
      <c r="D1248" t="s">
        <v>583</v>
      </c>
      <c r="E1248" t="s">
        <v>583</v>
      </c>
      <c r="F1248">
        <v>30</v>
      </c>
      <c r="G1248" s="705">
        <v>2876</v>
      </c>
      <c r="H1248" s="705">
        <v>10172</v>
      </c>
      <c r="I1248" s="705">
        <v>589247</v>
      </c>
      <c r="J1248" s="705">
        <v>535679</v>
      </c>
      <c r="K1248">
        <v>73</v>
      </c>
      <c r="L1248" s="705">
        <v>93318</v>
      </c>
      <c r="M1248" s="705">
        <v>76344</v>
      </c>
      <c r="N1248" s="705">
        <v>60974</v>
      </c>
      <c r="O1248" s="705">
        <v>22583</v>
      </c>
      <c r="P1248" s="705">
        <v>19332</v>
      </c>
      <c r="Q1248" s="705">
        <v>7160</v>
      </c>
      <c r="R1248" s="705">
        <v>151965</v>
      </c>
      <c r="S1248" s="705">
        <v>138150</v>
      </c>
      <c r="T1248" s="705">
        <v>52448</v>
      </c>
      <c r="U1248" s="705">
        <v>19425</v>
      </c>
      <c r="V1248" s="705">
        <v>799342</v>
      </c>
      <c r="W1248" s="705">
        <f t="shared" si="54"/>
        <v>799341</v>
      </c>
      <c r="X1248" s="705">
        <f t="shared" si="55"/>
        <v>967284</v>
      </c>
    </row>
    <row r="1249" spans="2:24">
      <c r="B1249" t="s">
        <v>704</v>
      </c>
      <c r="C1249" t="s">
        <v>120</v>
      </c>
      <c r="D1249" t="s">
        <v>584</v>
      </c>
      <c r="E1249" t="s">
        <v>584</v>
      </c>
      <c r="F1249">
        <v>4</v>
      </c>
      <c r="G1249">
        <v>347</v>
      </c>
      <c r="H1249" s="705">
        <v>1281</v>
      </c>
      <c r="I1249" s="705">
        <v>74410</v>
      </c>
      <c r="J1249" s="705">
        <v>67645</v>
      </c>
      <c r="K1249">
        <v>77</v>
      </c>
      <c r="L1249" s="705">
        <v>8522</v>
      </c>
      <c r="M1249" s="705">
        <v>7513</v>
      </c>
      <c r="N1249" s="705">
        <v>6140</v>
      </c>
      <c r="O1249" s="705">
        <v>2274</v>
      </c>
      <c r="P1249" s="705">
        <v>1890</v>
      </c>
      <c r="Q1249">
        <v>700</v>
      </c>
      <c r="R1249" s="705">
        <v>21305</v>
      </c>
      <c r="S1249" s="705">
        <v>19368</v>
      </c>
      <c r="T1249" s="705">
        <v>1994</v>
      </c>
      <c r="U1249">
        <v>739</v>
      </c>
      <c r="V1249" s="705">
        <v>98239</v>
      </c>
      <c r="W1249" s="705">
        <f t="shared" si="54"/>
        <v>98239</v>
      </c>
      <c r="X1249" s="705">
        <f t="shared" si="55"/>
        <v>114261</v>
      </c>
    </row>
    <row r="1250" spans="2:24">
      <c r="B1250" t="s">
        <v>704</v>
      </c>
      <c r="C1250" t="s">
        <v>120</v>
      </c>
      <c r="D1250" t="s">
        <v>669</v>
      </c>
      <c r="E1250" t="s">
        <v>669</v>
      </c>
      <c r="F1250">
        <v>7</v>
      </c>
      <c r="G1250">
        <v>246</v>
      </c>
      <c r="H1250" s="705">
        <v>2362</v>
      </c>
      <c r="I1250" s="705">
        <v>35204</v>
      </c>
      <c r="J1250" s="705">
        <v>29336</v>
      </c>
      <c r="K1250">
        <v>65</v>
      </c>
      <c r="L1250" s="705">
        <v>5721</v>
      </c>
      <c r="M1250" s="705">
        <v>2119</v>
      </c>
      <c r="N1250" s="705">
        <v>3908</v>
      </c>
      <c r="O1250" s="705">
        <v>1448</v>
      </c>
      <c r="P1250" s="705">
        <v>2457</v>
      </c>
      <c r="Q1250">
        <v>910</v>
      </c>
      <c r="R1250" s="705">
        <v>25408</v>
      </c>
      <c r="S1250" s="705">
        <v>21173</v>
      </c>
      <c r="T1250" s="705">
        <v>10693</v>
      </c>
      <c r="U1250" s="705">
        <v>3960</v>
      </c>
      <c r="V1250" s="705">
        <v>58946</v>
      </c>
      <c r="W1250" s="705">
        <f t="shared" si="54"/>
        <v>58946</v>
      </c>
      <c r="X1250" s="705">
        <f t="shared" si="55"/>
        <v>83391</v>
      </c>
    </row>
    <row r="1251" spans="2:24">
      <c r="B1251" t="s">
        <v>704</v>
      </c>
      <c r="C1251" t="s">
        <v>120</v>
      </c>
      <c r="D1251" t="s">
        <v>665</v>
      </c>
      <c r="E1251" t="s">
        <v>665</v>
      </c>
      <c r="F1251">
        <v>4</v>
      </c>
      <c r="G1251">
        <v>331</v>
      </c>
      <c r="H1251" s="705">
        <v>1379</v>
      </c>
      <c r="I1251" s="705">
        <v>66281</v>
      </c>
      <c r="J1251" s="705">
        <v>60256</v>
      </c>
      <c r="K1251">
        <v>60</v>
      </c>
      <c r="L1251" s="705">
        <v>7000</v>
      </c>
      <c r="M1251" s="705">
        <v>5663</v>
      </c>
      <c r="N1251" s="705">
        <v>7240</v>
      </c>
      <c r="O1251" s="705">
        <v>2682</v>
      </c>
      <c r="P1251" s="705">
        <v>2025</v>
      </c>
      <c r="Q1251">
        <v>750</v>
      </c>
      <c r="R1251" s="705">
        <v>18518</v>
      </c>
      <c r="S1251" s="705">
        <v>16835</v>
      </c>
      <c r="T1251" s="705">
        <v>10334</v>
      </c>
      <c r="U1251" s="705">
        <v>3827</v>
      </c>
      <c r="V1251" s="705">
        <v>90012</v>
      </c>
      <c r="W1251" s="705">
        <f t="shared" si="54"/>
        <v>90013</v>
      </c>
      <c r="X1251" s="705">
        <f t="shared" si="55"/>
        <v>111398</v>
      </c>
    </row>
    <row r="1252" spans="2:24">
      <c r="B1252" t="s">
        <v>704</v>
      </c>
      <c r="C1252" t="s">
        <v>122</v>
      </c>
      <c r="F1252">
        <v>3</v>
      </c>
      <c r="G1252">
        <v>245</v>
      </c>
      <c r="H1252" s="705">
        <v>1281</v>
      </c>
      <c r="J1252">
        <v>0</v>
      </c>
      <c r="M1252">
        <v>0</v>
      </c>
      <c r="N1252" s="705">
        <v>4491</v>
      </c>
      <c r="O1252" s="705">
        <v>1663</v>
      </c>
      <c r="P1252" s="705">
        <v>1863</v>
      </c>
      <c r="Q1252">
        <v>690</v>
      </c>
      <c r="S1252">
        <v>0</v>
      </c>
      <c r="T1252" s="705">
        <v>1219</v>
      </c>
      <c r="U1252">
        <v>452</v>
      </c>
      <c r="V1252" s="705">
        <v>2805</v>
      </c>
      <c r="W1252" s="705">
        <f t="shared" si="54"/>
        <v>2805</v>
      </c>
      <c r="X1252" s="705">
        <f t="shared" si="55"/>
        <v>7573</v>
      </c>
    </row>
    <row r="1253" spans="2:24">
      <c r="B1253" t="s">
        <v>704</v>
      </c>
      <c r="C1253" t="s">
        <v>122</v>
      </c>
      <c r="D1253" t="s">
        <v>582</v>
      </c>
      <c r="E1253" t="s">
        <v>582</v>
      </c>
      <c r="F1253">
        <v>1</v>
      </c>
      <c r="G1253">
        <v>39</v>
      </c>
      <c r="H1253">
        <v>388</v>
      </c>
      <c r="I1253" s="705">
        <v>5096</v>
      </c>
      <c r="J1253" s="705">
        <v>4633</v>
      </c>
      <c r="K1253">
        <v>68</v>
      </c>
      <c r="L1253" s="705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705">
        <v>4329</v>
      </c>
      <c r="S1253" s="705">
        <v>3935</v>
      </c>
      <c r="T1253" s="705">
        <v>2294</v>
      </c>
      <c r="U1253">
        <v>850</v>
      </c>
      <c r="V1253" s="705">
        <v>10645</v>
      </c>
      <c r="W1253" s="705">
        <f t="shared" si="54"/>
        <v>10645</v>
      </c>
      <c r="X1253" s="705">
        <f t="shared" si="55"/>
        <v>15034</v>
      </c>
    </row>
    <row r="1254" spans="2:24">
      <c r="B1254" t="s">
        <v>704</v>
      </c>
      <c r="C1254" t="s">
        <v>122</v>
      </c>
      <c r="D1254" t="s">
        <v>228</v>
      </c>
      <c r="E1254" t="s">
        <v>228</v>
      </c>
      <c r="F1254">
        <v>187</v>
      </c>
      <c r="G1254" s="705">
        <v>10616</v>
      </c>
      <c r="H1254" s="705">
        <v>76558</v>
      </c>
      <c r="I1254" s="705">
        <v>2685784</v>
      </c>
      <c r="J1254" s="705">
        <v>994735</v>
      </c>
      <c r="K1254">
        <v>100</v>
      </c>
      <c r="L1254" s="705">
        <v>374253</v>
      </c>
      <c r="M1254" s="705">
        <v>165945</v>
      </c>
      <c r="N1254" s="705">
        <v>222519</v>
      </c>
      <c r="O1254" s="705">
        <v>82414</v>
      </c>
      <c r="P1254" s="705">
        <v>1865</v>
      </c>
      <c r="Q1254">
        <v>691</v>
      </c>
      <c r="R1254" s="705">
        <v>1069734</v>
      </c>
      <c r="S1254" s="705">
        <v>396198</v>
      </c>
      <c r="T1254">
        <v>0</v>
      </c>
      <c r="U1254">
        <v>0</v>
      </c>
      <c r="V1254" s="705">
        <v>1639983</v>
      </c>
      <c r="W1254" s="705">
        <f t="shared" si="54"/>
        <v>1639983</v>
      </c>
      <c r="X1254" s="705">
        <f t="shared" si="55"/>
        <v>4354155</v>
      </c>
    </row>
    <row r="1255" spans="2:24">
      <c r="B1255" t="s">
        <v>704</v>
      </c>
      <c r="C1255" t="s">
        <v>122</v>
      </c>
      <c r="D1255" t="s">
        <v>228</v>
      </c>
      <c r="E1255" t="s">
        <v>583</v>
      </c>
      <c r="F1255">
        <v>1</v>
      </c>
      <c r="G1255">
        <v>30</v>
      </c>
      <c r="H1255">
        <v>386</v>
      </c>
      <c r="I1255" s="705">
        <v>8499</v>
      </c>
      <c r="J1255" s="705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705">
        <v>2884</v>
      </c>
      <c r="S1255" s="705">
        <v>2622</v>
      </c>
      <c r="T1255">
        <v>0</v>
      </c>
      <c r="U1255">
        <v>0</v>
      </c>
      <c r="V1255" s="705">
        <v>5907</v>
      </c>
      <c r="W1255" s="705">
        <f t="shared" si="54"/>
        <v>5907</v>
      </c>
      <c r="X1255" s="705">
        <f t="shared" si="55"/>
        <v>11754</v>
      </c>
    </row>
    <row r="1256" spans="2:24">
      <c r="B1256" t="s">
        <v>704</v>
      </c>
      <c r="C1256" t="s">
        <v>122</v>
      </c>
      <c r="D1256" t="s">
        <v>583</v>
      </c>
      <c r="E1256" t="s">
        <v>228</v>
      </c>
      <c r="F1256">
        <v>1</v>
      </c>
      <c r="G1256">
        <v>60</v>
      </c>
      <c r="H1256">
        <v>391</v>
      </c>
      <c r="I1256" s="705">
        <v>14790</v>
      </c>
      <c r="J1256" s="705">
        <v>13445</v>
      </c>
      <c r="K1256">
        <v>65</v>
      </c>
      <c r="L1256" s="705">
        <v>2493</v>
      </c>
      <c r="M1256">
        <v>923</v>
      </c>
      <c r="N1256" s="705">
        <v>1460</v>
      </c>
      <c r="O1256">
        <v>541</v>
      </c>
      <c r="P1256">
        <v>972</v>
      </c>
      <c r="Q1256">
        <v>360</v>
      </c>
      <c r="R1256" s="705">
        <v>3717</v>
      </c>
      <c r="S1256" s="705">
        <v>1377</v>
      </c>
      <c r="T1256">
        <v>0</v>
      </c>
      <c r="U1256">
        <v>0</v>
      </c>
      <c r="V1256" s="705">
        <v>16646</v>
      </c>
      <c r="W1256" s="705">
        <f t="shared" si="54"/>
        <v>16646</v>
      </c>
      <c r="X1256" s="705">
        <f t="shared" si="55"/>
        <v>23432</v>
      </c>
    </row>
    <row r="1257" spans="2:24">
      <c r="B1257" t="s">
        <v>704</v>
      </c>
      <c r="C1257" t="s">
        <v>122</v>
      </c>
      <c r="D1257" t="s">
        <v>583</v>
      </c>
      <c r="E1257" t="s">
        <v>583</v>
      </c>
      <c r="F1257">
        <v>14</v>
      </c>
      <c r="G1257" s="705">
        <v>1340</v>
      </c>
      <c r="H1257" s="705">
        <v>5742</v>
      </c>
      <c r="I1257" s="705">
        <v>380700</v>
      </c>
      <c r="J1257" s="705">
        <v>346091</v>
      </c>
      <c r="K1257">
        <v>73</v>
      </c>
      <c r="L1257" s="705">
        <v>41185</v>
      </c>
      <c r="M1257" s="705">
        <v>33452</v>
      </c>
      <c r="N1257" s="705">
        <v>28865</v>
      </c>
      <c r="O1257" s="705">
        <v>10691</v>
      </c>
      <c r="P1257" s="705">
        <v>9045</v>
      </c>
      <c r="Q1257" s="705">
        <v>3350</v>
      </c>
      <c r="R1257" s="705">
        <v>67286</v>
      </c>
      <c r="S1257" s="705">
        <v>61169</v>
      </c>
      <c r="T1257" s="705">
        <v>27522</v>
      </c>
      <c r="U1257" s="705">
        <v>10193</v>
      </c>
      <c r="V1257" s="705">
        <v>464946</v>
      </c>
      <c r="W1257" s="705">
        <f t="shared" si="54"/>
        <v>464946</v>
      </c>
      <c r="X1257" s="705">
        <f t="shared" si="55"/>
        <v>554603</v>
      </c>
    </row>
    <row r="1258" spans="2:24">
      <c r="B1258" t="s">
        <v>704</v>
      </c>
      <c r="C1258" t="s">
        <v>122</v>
      </c>
      <c r="D1258" t="s">
        <v>666</v>
      </c>
      <c r="E1258" t="s">
        <v>666</v>
      </c>
      <c r="F1258">
        <v>1</v>
      </c>
      <c r="G1258">
        <v>146</v>
      </c>
      <c r="H1258">
        <v>444</v>
      </c>
      <c r="I1258" s="705">
        <v>43923</v>
      </c>
      <c r="J1258" s="705">
        <v>39930</v>
      </c>
      <c r="K1258">
        <v>45</v>
      </c>
      <c r="L1258" s="705">
        <v>7321</v>
      </c>
      <c r="M1258" s="705">
        <v>6655</v>
      </c>
      <c r="N1258" s="705">
        <v>3086</v>
      </c>
      <c r="O1258" s="705">
        <v>1143</v>
      </c>
      <c r="P1258">
        <v>351</v>
      </c>
      <c r="Q1258">
        <v>130</v>
      </c>
      <c r="R1258" s="705">
        <v>9911</v>
      </c>
      <c r="S1258" s="705">
        <v>9010</v>
      </c>
      <c r="T1258">
        <v>0</v>
      </c>
      <c r="U1258">
        <v>0</v>
      </c>
      <c r="V1258" s="705">
        <v>56868</v>
      </c>
      <c r="W1258" s="705">
        <f t="shared" si="54"/>
        <v>56868</v>
      </c>
      <c r="X1258" s="705">
        <f t="shared" si="55"/>
        <v>64592</v>
      </c>
    </row>
    <row r="1259" spans="2:24">
      <c r="B1259" t="s">
        <v>704</v>
      </c>
      <c r="C1259" t="s">
        <v>122</v>
      </c>
      <c r="D1259" t="s">
        <v>665</v>
      </c>
      <c r="E1259" t="s">
        <v>228</v>
      </c>
      <c r="F1259">
        <v>1</v>
      </c>
      <c r="G1259">
        <v>46</v>
      </c>
      <c r="H1259">
        <v>411</v>
      </c>
      <c r="I1259" s="705">
        <v>11923</v>
      </c>
      <c r="J1259" s="705">
        <v>10839</v>
      </c>
      <c r="K1259">
        <v>60</v>
      </c>
      <c r="L1259" s="705">
        <v>1951</v>
      </c>
      <c r="M1259">
        <v>723</v>
      </c>
      <c r="N1259" s="705">
        <v>1112</v>
      </c>
      <c r="O1259">
        <v>412</v>
      </c>
      <c r="P1259">
        <v>0</v>
      </c>
      <c r="Q1259">
        <v>0</v>
      </c>
      <c r="R1259" s="705">
        <v>3750</v>
      </c>
      <c r="S1259" s="705">
        <v>1389</v>
      </c>
      <c r="T1259">
        <v>0</v>
      </c>
      <c r="U1259">
        <v>0</v>
      </c>
      <c r="V1259" s="705">
        <v>13363</v>
      </c>
      <c r="W1259" s="705">
        <f t="shared" ref="W1259:W1322" si="56">SUM(ABS(J1259),ABS(M1259),ABS(O1259),ABS(Q1259),ABS(S1259),ABS(U1259))</f>
        <v>13363</v>
      </c>
      <c r="X1259" s="705">
        <f t="shared" ref="X1259:X1322" si="57">SUM(ABS(I1259),ABS(N1259),ABS(P1259),ABS(R1259),ABS(T1259),ABS(L1259))</f>
        <v>18736</v>
      </c>
    </row>
    <row r="1260" spans="2:24">
      <c r="B1260" t="s">
        <v>704</v>
      </c>
      <c r="C1260" t="s">
        <v>122</v>
      </c>
      <c r="D1260" t="s">
        <v>665</v>
      </c>
      <c r="E1260" t="s">
        <v>665</v>
      </c>
      <c r="F1260">
        <v>2</v>
      </c>
      <c r="G1260">
        <v>236</v>
      </c>
      <c r="H1260">
        <v>821</v>
      </c>
      <c r="I1260" s="705">
        <v>65994</v>
      </c>
      <c r="J1260" s="705">
        <v>59994</v>
      </c>
      <c r="K1260">
        <v>45</v>
      </c>
      <c r="L1260" s="705">
        <v>7609</v>
      </c>
      <c r="M1260" s="705">
        <v>6918</v>
      </c>
      <c r="N1260" s="705">
        <v>5405</v>
      </c>
      <c r="O1260" s="705">
        <v>2002</v>
      </c>
      <c r="P1260">
        <v>702</v>
      </c>
      <c r="Q1260">
        <v>260</v>
      </c>
      <c r="R1260" s="705">
        <v>12926</v>
      </c>
      <c r="S1260" s="705">
        <v>11751</v>
      </c>
      <c r="T1260" s="705">
        <v>4858</v>
      </c>
      <c r="U1260" s="705">
        <v>1799</v>
      </c>
      <c r="V1260" s="705">
        <v>82724</v>
      </c>
      <c r="W1260" s="705">
        <f t="shared" si="56"/>
        <v>82724</v>
      </c>
      <c r="X1260" s="705">
        <f t="shared" si="57"/>
        <v>97494</v>
      </c>
    </row>
    <row r="1261" spans="2:24">
      <c r="B1261" t="s">
        <v>704</v>
      </c>
      <c r="C1261" t="s">
        <v>124</v>
      </c>
      <c r="F1261">
        <v>4</v>
      </c>
      <c r="G1261">
        <v>319</v>
      </c>
      <c r="H1261" s="705">
        <v>2944</v>
      </c>
      <c r="J1261">
        <v>0</v>
      </c>
      <c r="M1261">
        <v>0</v>
      </c>
      <c r="N1261" s="705">
        <v>6776</v>
      </c>
      <c r="O1261" s="705">
        <v>2510</v>
      </c>
      <c r="P1261" s="705">
        <v>1863</v>
      </c>
      <c r="Q1261">
        <v>690</v>
      </c>
      <c r="S1261">
        <v>0</v>
      </c>
      <c r="T1261" s="705">
        <v>1185</v>
      </c>
      <c r="U1261">
        <v>439</v>
      </c>
      <c r="V1261" s="705">
        <v>3639</v>
      </c>
      <c r="W1261" s="705">
        <f t="shared" si="56"/>
        <v>3639</v>
      </c>
      <c r="X1261" s="705">
        <f t="shared" si="57"/>
        <v>9824</v>
      </c>
    </row>
    <row r="1262" spans="2:24">
      <c r="B1262" t="s">
        <v>704</v>
      </c>
      <c r="C1262" t="s">
        <v>124</v>
      </c>
      <c r="D1262" t="s">
        <v>228</v>
      </c>
      <c r="E1262" t="s">
        <v>228</v>
      </c>
      <c r="F1262">
        <v>141</v>
      </c>
      <c r="G1262" s="705">
        <v>7329</v>
      </c>
      <c r="H1262" s="705">
        <v>87562</v>
      </c>
      <c r="I1262" s="705">
        <v>3190045</v>
      </c>
      <c r="J1262" s="705">
        <v>1181498</v>
      </c>
      <c r="K1262">
        <v>100</v>
      </c>
      <c r="L1262" s="705">
        <v>393053</v>
      </c>
      <c r="M1262" s="705">
        <v>218903</v>
      </c>
      <c r="N1262" s="705">
        <v>156881</v>
      </c>
      <c r="O1262" s="705">
        <v>58104</v>
      </c>
      <c r="P1262">
        <v>972</v>
      </c>
      <c r="Q1262">
        <v>360</v>
      </c>
      <c r="R1262" s="705">
        <v>698534</v>
      </c>
      <c r="S1262" s="705">
        <v>258716</v>
      </c>
      <c r="T1262">
        <v>0</v>
      </c>
      <c r="U1262">
        <v>0</v>
      </c>
      <c r="V1262" s="705">
        <v>1717582</v>
      </c>
      <c r="W1262" s="705">
        <f t="shared" si="56"/>
        <v>1717581</v>
      </c>
      <c r="X1262" s="705">
        <f t="shared" si="57"/>
        <v>4439485</v>
      </c>
    </row>
    <row r="1263" spans="2:24">
      <c r="B1263" t="s">
        <v>704</v>
      </c>
      <c r="C1263" t="s">
        <v>124</v>
      </c>
      <c r="D1263" t="s">
        <v>228</v>
      </c>
      <c r="E1263" t="s">
        <v>665</v>
      </c>
      <c r="F1263">
        <v>1</v>
      </c>
      <c r="G1263">
        <v>83</v>
      </c>
      <c r="H1263">
        <v>746</v>
      </c>
      <c r="I1263" s="705">
        <v>39403</v>
      </c>
      <c r="J1263" s="705">
        <v>14594</v>
      </c>
      <c r="K1263">
        <v>100</v>
      </c>
      <c r="L1263" s="705">
        <v>5648</v>
      </c>
      <c r="M1263" s="705">
        <v>5135</v>
      </c>
      <c r="N1263" s="705">
        <v>2032</v>
      </c>
      <c r="O1263">
        <v>753</v>
      </c>
      <c r="P1263">
        <v>0</v>
      </c>
      <c r="Q1263">
        <v>0</v>
      </c>
      <c r="R1263" s="705">
        <v>10691</v>
      </c>
      <c r="S1263" s="705">
        <v>9719</v>
      </c>
      <c r="T1263" s="705">
        <v>4438</v>
      </c>
      <c r="U1263" s="705">
        <v>1644</v>
      </c>
      <c r="V1263" s="705">
        <v>31844</v>
      </c>
      <c r="W1263" s="705">
        <f t="shared" si="56"/>
        <v>31845</v>
      </c>
      <c r="X1263" s="705">
        <f t="shared" si="57"/>
        <v>62212</v>
      </c>
    </row>
    <row r="1264" spans="2:24">
      <c r="B1264" t="s">
        <v>704</v>
      </c>
      <c r="C1264" t="s">
        <v>124</v>
      </c>
      <c r="D1264" t="s">
        <v>583</v>
      </c>
      <c r="E1264" t="s">
        <v>583</v>
      </c>
      <c r="F1264">
        <v>10</v>
      </c>
      <c r="G1264">
        <v>667</v>
      </c>
      <c r="H1264" s="705">
        <v>6171</v>
      </c>
      <c r="I1264" s="705">
        <v>285939</v>
      </c>
      <c r="J1264" s="705">
        <v>259944</v>
      </c>
      <c r="K1264">
        <v>68</v>
      </c>
      <c r="L1264" s="705">
        <v>41864</v>
      </c>
      <c r="M1264" s="705">
        <v>33669</v>
      </c>
      <c r="N1264" s="705">
        <v>14979</v>
      </c>
      <c r="O1264" s="705">
        <v>5548</v>
      </c>
      <c r="P1264" s="705">
        <v>6210</v>
      </c>
      <c r="Q1264" s="705">
        <v>2300</v>
      </c>
      <c r="R1264" s="705">
        <v>45742</v>
      </c>
      <c r="S1264" s="705">
        <v>41584</v>
      </c>
      <c r="T1264" s="705">
        <v>13881</v>
      </c>
      <c r="U1264" s="705">
        <v>5141</v>
      </c>
      <c r="V1264" s="705">
        <v>348186</v>
      </c>
      <c r="W1264" s="705">
        <f t="shared" si="56"/>
        <v>348186</v>
      </c>
      <c r="X1264" s="705">
        <f t="shared" si="57"/>
        <v>408615</v>
      </c>
    </row>
    <row r="1265" spans="2:24">
      <c r="B1265" t="s">
        <v>704</v>
      </c>
      <c r="C1265" t="s">
        <v>124</v>
      </c>
      <c r="D1265" t="s">
        <v>584</v>
      </c>
      <c r="E1265" t="s">
        <v>584</v>
      </c>
      <c r="F1265">
        <v>1</v>
      </c>
      <c r="G1265">
        <v>89</v>
      </c>
      <c r="H1265">
        <v>565</v>
      </c>
      <c r="I1265" s="705">
        <v>33570</v>
      </c>
      <c r="J1265" s="705">
        <v>30518</v>
      </c>
      <c r="K1265">
        <v>73</v>
      </c>
      <c r="L1265" s="705">
        <v>8629</v>
      </c>
      <c r="M1265" s="705">
        <v>7844</v>
      </c>
      <c r="N1265" s="705">
        <v>1324</v>
      </c>
      <c r="O1265">
        <v>490</v>
      </c>
      <c r="P1265">
        <v>473</v>
      </c>
      <c r="Q1265">
        <v>175</v>
      </c>
      <c r="R1265" s="705">
        <v>4023</v>
      </c>
      <c r="S1265" s="705">
        <v>3657</v>
      </c>
      <c r="T1265" s="705">
        <v>2286</v>
      </c>
      <c r="U1265">
        <v>847</v>
      </c>
      <c r="V1265" s="705">
        <v>43532</v>
      </c>
      <c r="W1265" s="705">
        <f t="shared" si="56"/>
        <v>43531</v>
      </c>
      <c r="X1265" s="705">
        <f t="shared" si="57"/>
        <v>50305</v>
      </c>
    </row>
    <row r="1266" spans="2:24">
      <c r="B1266" t="s">
        <v>704</v>
      </c>
      <c r="C1266" t="s">
        <v>124</v>
      </c>
      <c r="D1266" t="s">
        <v>667</v>
      </c>
      <c r="E1266" t="s">
        <v>667</v>
      </c>
      <c r="F1266">
        <v>1</v>
      </c>
      <c r="G1266">
        <v>115</v>
      </c>
      <c r="H1266">
        <v>859</v>
      </c>
      <c r="I1266" s="705">
        <v>72131</v>
      </c>
      <c r="J1266" s="705">
        <v>65573</v>
      </c>
      <c r="K1266">
        <v>45</v>
      </c>
      <c r="L1266" s="705">
        <v>12022</v>
      </c>
      <c r="M1266" s="705">
        <v>10929</v>
      </c>
      <c r="N1266" s="705">
        <v>2802</v>
      </c>
      <c r="O1266" s="705">
        <v>1038</v>
      </c>
      <c r="P1266">
        <v>351</v>
      </c>
      <c r="Q1266">
        <v>130</v>
      </c>
      <c r="R1266" s="705">
        <v>8114</v>
      </c>
      <c r="S1266" s="705">
        <v>7377</v>
      </c>
      <c r="T1266" s="705">
        <v>3327</v>
      </c>
      <c r="U1266" s="705">
        <v>1232</v>
      </c>
      <c r="V1266" s="705">
        <v>86279</v>
      </c>
      <c r="W1266" s="705">
        <f t="shared" si="56"/>
        <v>86279</v>
      </c>
      <c r="X1266" s="705">
        <f t="shared" si="57"/>
        <v>98747</v>
      </c>
    </row>
    <row r="1267" spans="2:24">
      <c r="B1267" t="s">
        <v>704</v>
      </c>
      <c r="C1267" t="s">
        <v>124</v>
      </c>
      <c r="D1267" t="s">
        <v>671</v>
      </c>
      <c r="E1267" t="s">
        <v>671</v>
      </c>
      <c r="F1267">
        <v>2</v>
      </c>
      <c r="G1267">
        <v>187</v>
      </c>
      <c r="H1267" s="705">
        <v>1682</v>
      </c>
      <c r="I1267" s="705">
        <v>114033</v>
      </c>
      <c r="J1267" s="705">
        <v>103666</v>
      </c>
      <c r="K1267">
        <v>55</v>
      </c>
      <c r="L1267" s="705">
        <v>21087</v>
      </c>
      <c r="M1267" s="705">
        <v>19170</v>
      </c>
      <c r="N1267" s="705">
        <v>4408</v>
      </c>
      <c r="O1267" s="705">
        <v>1632</v>
      </c>
      <c r="P1267">
        <v>702</v>
      </c>
      <c r="Q1267">
        <v>260</v>
      </c>
      <c r="R1267" s="705">
        <v>12504</v>
      </c>
      <c r="S1267" s="705">
        <v>11368</v>
      </c>
      <c r="T1267" s="705">
        <v>2384</v>
      </c>
      <c r="U1267">
        <v>883</v>
      </c>
      <c r="V1267" s="705">
        <v>136980</v>
      </c>
      <c r="W1267" s="705">
        <f t="shared" si="56"/>
        <v>136979</v>
      </c>
      <c r="X1267" s="705">
        <f t="shared" si="57"/>
        <v>155118</v>
      </c>
    </row>
    <row r="1268" spans="2:24">
      <c r="B1268" t="s">
        <v>704</v>
      </c>
      <c r="C1268" t="s">
        <v>124</v>
      </c>
      <c r="D1268" t="s">
        <v>665</v>
      </c>
      <c r="E1268" t="s">
        <v>228</v>
      </c>
      <c r="F1268">
        <v>1</v>
      </c>
      <c r="G1268">
        <v>56</v>
      </c>
      <c r="H1268">
        <v>737</v>
      </c>
      <c r="I1268" s="705">
        <v>33390</v>
      </c>
      <c r="J1268" s="705">
        <v>30355</v>
      </c>
      <c r="K1268">
        <v>30</v>
      </c>
      <c r="L1268" s="705">
        <v>2732</v>
      </c>
      <c r="M1268" s="705">
        <v>1012</v>
      </c>
      <c r="N1268" s="705">
        <v>1357</v>
      </c>
      <c r="O1268">
        <v>503</v>
      </c>
      <c r="P1268">
        <v>0</v>
      </c>
      <c r="Q1268">
        <v>0</v>
      </c>
      <c r="R1268" s="705">
        <v>3562</v>
      </c>
      <c r="S1268" s="705">
        <v>1319</v>
      </c>
      <c r="T1268">
        <v>0</v>
      </c>
      <c r="U1268">
        <v>0</v>
      </c>
      <c r="V1268" s="705">
        <v>33189</v>
      </c>
      <c r="W1268" s="705">
        <f t="shared" si="56"/>
        <v>33189</v>
      </c>
      <c r="X1268" s="705">
        <f t="shared" si="57"/>
        <v>41041</v>
      </c>
    </row>
    <row r="1269" spans="2:24">
      <c r="B1269" t="s">
        <v>704</v>
      </c>
      <c r="C1269" t="s">
        <v>124</v>
      </c>
      <c r="D1269" t="s">
        <v>665</v>
      </c>
      <c r="E1269" t="s">
        <v>665</v>
      </c>
      <c r="F1269">
        <v>6</v>
      </c>
      <c r="G1269">
        <v>433</v>
      </c>
      <c r="H1269" s="705">
        <v>6108</v>
      </c>
      <c r="I1269" s="705">
        <v>355232</v>
      </c>
      <c r="J1269" s="705">
        <v>322938</v>
      </c>
      <c r="K1269">
        <v>48</v>
      </c>
      <c r="L1269" s="705">
        <v>30649</v>
      </c>
      <c r="M1269" s="705">
        <v>18680</v>
      </c>
      <c r="N1269" s="705">
        <v>9621</v>
      </c>
      <c r="O1269" s="705">
        <v>3563</v>
      </c>
      <c r="P1269" s="705">
        <v>2106</v>
      </c>
      <c r="Q1269">
        <v>780</v>
      </c>
      <c r="R1269" s="705">
        <v>31694</v>
      </c>
      <c r="S1269" s="705">
        <v>28812</v>
      </c>
      <c r="T1269" s="705">
        <v>8298</v>
      </c>
      <c r="U1269" s="705">
        <v>3073</v>
      </c>
      <c r="V1269" s="705">
        <v>377847</v>
      </c>
      <c r="W1269" s="705">
        <f t="shared" si="56"/>
        <v>377846</v>
      </c>
      <c r="X1269" s="705">
        <f t="shared" si="57"/>
        <v>437600</v>
      </c>
    </row>
    <row r="1270" spans="2:24">
      <c r="B1270" t="s">
        <v>705</v>
      </c>
      <c r="C1270" t="s">
        <v>108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705">
        <v>3508</v>
      </c>
      <c r="O1270" s="705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705">
        <v>1299</v>
      </c>
      <c r="W1270" s="705">
        <f t="shared" si="56"/>
        <v>1299</v>
      </c>
      <c r="X1270" s="705">
        <f t="shared" si="57"/>
        <v>3508</v>
      </c>
    </row>
    <row r="1271" spans="2:24">
      <c r="B1271" t="s">
        <v>705</v>
      </c>
      <c r="C1271" t="s">
        <v>108</v>
      </c>
      <c r="D1271" t="s">
        <v>228</v>
      </c>
      <c r="E1271" t="s">
        <v>228</v>
      </c>
      <c r="F1271">
        <v>15</v>
      </c>
      <c r="G1271" s="705">
        <v>1088</v>
      </c>
      <c r="H1271">
        <v>744</v>
      </c>
      <c r="I1271" s="705">
        <v>-6260</v>
      </c>
      <c r="J1271" s="705">
        <v>-2318</v>
      </c>
      <c r="K1271">
        <v>544</v>
      </c>
      <c r="L1271">
        <v>0</v>
      </c>
      <c r="M1271">
        <v>0</v>
      </c>
      <c r="N1271" s="705">
        <v>15371</v>
      </c>
      <c r="O1271" s="705">
        <v>5693</v>
      </c>
      <c r="P1271" s="705">
        <v>5265</v>
      </c>
      <c r="Q1271" s="705">
        <v>1950</v>
      </c>
      <c r="R1271" s="705">
        <v>37981</v>
      </c>
      <c r="S1271" s="705">
        <v>14067</v>
      </c>
      <c r="T1271">
        <v>0</v>
      </c>
      <c r="U1271">
        <v>0</v>
      </c>
      <c r="V1271" s="705">
        <v>19392</v>
      </c>
      <c r="W1271" s="705">
        <f t="shared" si="56"/>
        <v>24028</v>
      </c>
      <c r="X1271" s="705">
        <f t="shared" si="57"/>
        <v>64877</v>
      </c>
    </row>
    <row r="1272" spans="2:24">
      <c r="B1272" t="s">
        <v>705</v>
      </c>
      <c r="C1272" t="s">
        <v>110</v>
      </c>
      <c r="F1272">
        <v>20</v>
      </c>
      <c r="G1272">
        <v>985</v>
      </c>
      <c r="H1272" s="705">
        <v>1772</v>
      </c>
      <c r="J1272">
        <v>0</v>
      </c>
      <c r="M1272">
        <v>0</v>
      </c>
      <c r="N1272" s="705">
        <v>12003</v>
      </c>
      <c r="O1272" s="705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705">
        <v>4446</v>
      </c>
      <c r="W1272" s="705">
        <f t="shared" si="56"/>
        <v>4446</v>
      </c>
      <c r="X1272" s="705">
        <f t="shared" si="57"/>
        <v>12003</v>
      </c>
    </row>
    <row r="1273" spans="2:24">
      <c r="B1273" t="s">
        <v>705</v>
      </c>
      <c r="C1273" t="s">
        <v>110</v>
      </c>
      <c r="D1273" t="s">
        <v>582</v>
      </c>
      <c r="E1273" t="s">
        <v>582</v>
      </c>
      <c r="F1273">
        <v>8</v>
      </c>
      <c r="G1273" s="705">
        <v>1026</v>
      </c>
      <c r="H1273">
        <v>698</v>
      </c>
      <c r="I1273" s="705">
        <v>36620</v>
      </c>
      <c r="J1273" s="705">
        <v>33291</v>
      </c>
      <c r="K1273">
        <v>92</v>
      </c>
      <c r="L1273" s="705">
        <v>3707</v>
      </c>
      <c r="M1273" s="705">
        <v>3370</v>
      </c>
      <c r="N1273" s="705">
        <v>14494</v>
      </c>
      <c r="O1273" s="705">
        <v>5368</v>
      </c>
      <c r="P1273" s="705">
        <v>3780</v>
      </c>
      <c r="Q1273" s="705">
        <v>1400</v>
      </c>
      <c r="R1273" s="705">
        <v>31049</v>
      </c>
      <c r="S1273" s="705">
        <v>28226</v>
      </c>
      <c r="T1273">
        <v>0</v>
      </c>
      <c r="U1273">
        <v>0</v>
      </c>
      <c r="V1273" s="705">
        <v>71655</v>
      </c>
      <c r="W1273" s="705">
        <f t="shared" si="56"/>
        <v>71655</v>
      </c>
      <c r="X1273" s="705">
        <f t="shared" si="57"/>
        <v>89650</v>
      </c>
    </row>
    <row r="1274" spans="2:24">
      <c r="B1274" t="s">
        <v>705</v>
      </c>
      <c r="C1274" t="s">
        <v>110</v>
      </c>
      <c r="D1274" t="s">
        <v>228</v>
      </c>
      <c r="E1274" t="s">
        <v>228</v>
      </c>
      <c r="F1274">
        <v>6</v>
      </c>
      <c r="G1274">
        <v>484</v>
      </c>
      <c r="H1274">
        <v>544</v>
      </c>
      <c r="I1274" s="705">
        <v>9881</v>
      </c>
      <c r="J1274" s="705">
        <v>3660</v>
      </c>
      <c r="K1274">
        <v>353</v>
      </c>
      <c r="L1274">
        <v>0</v>
      </c>
      <c r="M1274">
        <v>0</v>
      </c>
      <c r="N1274" s="705">
        <v>7963</v>
      </c>
      <c r="O1274" s="705">
        <v>2949</v>
      </c>
      <c r="P1274" s="705">
        <v>2851</v>
      </c>
      <c r="Q1274" s="705">
        <v>1056</v>
      </c>
      <c r="R1274" s="705">
        <v>21242</v>
      </c>
      <c r="S1274" s="705">
        <v>7867</v>
      </c>
      <c r="T1274">
        <v>0</v>
      </c>
      <c r="U1274">
        <v>0</v>
      </c>
      <c r="V1274" s="705">
        <v>15532</v>
      </c>
      <c r="W1274" s="705">
        <f t="shared" si="56"/>
        <v>15532</v>
      </c>
      <c r="X1274" s="705">
        <f t="shared" si="57"/>
        <v>41937</v>
      </c>
    </row>
    <row r="1275" spans="2:24">
      <c r="B1275" t="s">
        <v>705</v>
      </c>
      <c r="C1275" t="s">
        <v>112</v>
      </c>
      <c r="F1275">
        <v>10</v>
      </c>
      <c r="G1275">
        <v>859</v>
      </c>
      <c r="H1275" s="705">
        <v>1111</v>
      </c>
      <c r="J1275">
        <v>0</v>
      </c>
      <c r="M1275">
        <v>0</v>
      </c>
      <c r="N1275" s="705">
        <v>11860</v>
      </c>
      <c r="O1275" s="705">
        <v>4393</v>
      </c>
      <c r="P1275" s="705">
        <v>11141</v>
      </c>
      <c r="Q1275" s="705">
        <v>4126</v>
      </c>
      <c r="S1275">
        <v>0</v>
      </c>
      <c r="T1275">
        <v>0</v>
      </c>
      <c r="U1275">
        <v>0</v>
      </c>
      <c r="V1275" s="705">
        <v>8519</v>
      </c>
      <c r="W1275" s="705">
        <f t="shared" si="56"/>
        <v>8519</v>
      </c>
      <c r="X1275" s="705">
        <f t="shared" si="57"/>
        <v>23001</v>
      </c>
    </row>
    <row r="1276" spans="2:24">
      <c r="B1276" t="s">
        <v>705</v>
      </c>
      <c r="C1276" t="s">
        <v>112</v>
      </c>
      <c r="D1276" t="s">
        <v>664</v>
      </c>
      <c r="E1276" t="s">
        <v>664</v>
      </c>
      <c r="F1276">
        <v>2</v>
      </c>
      <c r="G1276">
        <v>134</v>
      </c>
      <c r="H1276">
        <v>233</v>
      </c>
      <c r="I1276" s="705">
        <v>6997</v>
      </c>
      <c r="J1276" s="705">
        <v>6361</v>
      </c>
      <c r="K1276">
        <v>91</v>
      </c>
      <c r="L1276">
        <v>0</v>
      </c>
      <c r="M1276">
        <v>0</v>
      </c>
      <c r="N1276" s="705">
        <v>3272</v>
      </c>
      <c r="O1276" s="705">
        <v>1212</v>
      </c>
      <c r="P1276">
        <v>945</v>
      </c>
      <c r="Q1276">
        <v>350</v>
      </c>
      <c r="R1276" s="705">
        <v>4401</v>
      </c>
      <c r="S1276" s="705">
        <v>4001</v>
      </c>
      <c r="T1276">
        <v>0</v>
      </c>
      <c r="U1276">
        <v>0</v>
      </c>
      <c r="V1276" s="705">
        <v>11924</v>
      </c>
      <c r="W1276" s="705">
        <f t="shared" si="56"/>
        <v>11924</v>
      </c>
      <c r="X1276" s="705">
        <f t="shared" si="57"/>
        <v>15615</v>
      </c>
    </row>
    <row r="1277" spans="2:24">
      <c r="B1277" t="s">
        <v>705</v>
      </c>
      <c r="C1277" t="s">
        <v>112</v>
      </c>
      <c r="D1277" t="s">
        <v>582</v>
      </c>
      <c r="E1277" t="s">
        <v>582</v>
      </c>
      <c r="F1277">
        <v>11</v>
      </c>
      <c r="G1277" s="705">
        <v>1159</v>
      </c>
      <c r="H1277" s="705">
        <v>1321</v>
      </c>
      <c r="I1277" s="705">
        <v>65140</v>
      </c>
      <c r="J1277" s="705">
        <v>59218</v>
      </c>
      <c r="K1277">
        <v>92</v>
      </c>
      <c r="L1277" s="705">
        <v>12355</v>
      </c>
      <c r="M1277" s="705">
        <v>11231</v>
      </c>
      <c r="N1277" s="705">
        <v>22920</v>
      </c>
      <c r="O1277" s="705">
        <v>8489</v>
      </c>
      <c r="P1277" s="705">
        <v>5198</v>
      </c>
      <c r="Q1277" s="705">
        <v>1925</v>
      </c>
      <c r="R1277" s="705">
        <v>32898</v>
      </c>
      <c r="S1277" s="705">
        <v>29907</v>
      </c>
      <c r="T1277">
        <v>0</v>
      </c>
      <c r="U1277">
        <v>0</v>
      </c>
      <c r="V1277" s="705">
        <v>110771</v>
      </c>
      <c r="W1277" s="705">
        <f t="shared" si="56"/>
        <v>110770</v>
      </c>
      <c r="X1277" s="705">
        <f t="shared" si="57"/>
        <v>138511</v>
      </c>
    </row>
    <row r="1278" spans="2:24">
      <c r="B1278" t="s">
        <v>705</v>
      </c>
      <c r="C1278" t="s">
        <v>112</v>
      </c>
      <c r="D1278" t="s">
        <v>228</v>
      </c>
      <c r="E1278" t="s">
        <v>228</v>
      </c>
      <c r="F1278">
        <v>19</v>
      </c>
      <c r="G1278" s="705">
        <v>1849</v>
      </c>
      <c r="H1278" s="705">
        <v>2180</v>
      </c>
      <c r="I1278" s="705">
        <v>35414</v>
      </c>
      <c r="J1278" s="705">
        <v>13116</v>
      </c>
      <c r="K1278">
        <v>201</v>
      </c>
      <c r="L1278" s="705">
        <v>3720</v>
      </c>
      <c r="M1278" s="705">
        <v>2167</v>
      </c>
      <c r="N1278" s="705">
        <v>37963</v>
      </c>
      <c r="O1278" s="705">
        <v>14060</v>
      </c>
      <c r="P1278">
        <v>702</v>
      </c>
      <c r="Q1278">
        <v>260</v>
      </c>
      <c r="R1278" s="705">
        <v>132281</v>
      </c>
      <c r="S1278" s="705">
        <v>48993</v>
      </c>
      <c r="T1278">
        <v>0</v>
      </c>
      <c r="U1278">
        <v>0</v>
      </c>
      <c r="V1278" s="705">
        <v>78597</v>
      </c>
      <c r="W1278" s="705">
        <f t="shared" si="56"/>
        <v>78596</v>
      </c>
      <c r="X1278" s="705">
        <f t="shared" si="57"/>
        <v>210080</v>
      </c>
    </row>
    <row r="1279" spans="2:24">
      <c r="B1279" t="s">
        <v>705</v>
      </c>
      <c r="C1279" t="s">
        <v>112</v>
      </c>
      <c r="D1279" t="s">
        <v>583</v>
      </c>
      <c r="E1279" t="s">
        <v>583</v>
      </c>
      <c r="F1279">
        <v>6</v>
      </c>
      <c r="G1279">
        <v>937</v>
      </c>
      <c r="H1279">
        <v>690</v>
      </c>
      <c r="I1279" s="705">
        <v>57364</v>
      </c>
      <c r="J1279" s="705">
        <v>52149</v>
      </c>
      <c r="K1279">
        <v>93</v>
      </c>
      <c r="L1279" s="705">
        <v>7076</v>
      </c>
      <c r="M1279" s="705">
        <v>5198</v>
      </c>
      <c r="N1279" s="705">
        <v>13407</v>
      </c>
      <c r="O1279" s="705">
        <v>4965</v>
      </c>
      <c r="P1279" s="705">
        <v>4779</v>
      </c>
      <c r="Q1279" s="705">
        <v>1770</v>
      </c>
      <c r="R1279" s="705">
        <v>25315</v>
      </c>
      <c r="S1279" s="705">
        <v>23014</v>
      </c>
      <c r="T1279">
        <v>0</v>
      </c>
      <c r="U1279">
        <v>0</v>
      </c>
      <c r="V1279" s="705">
        <v>87096</v>
      </c>
      <c r="W1279" s="705">
        <f t="shared" si="56"/>
        <v>87096</v>
      </c>
      <c r="X1279" s="705">
        <f t="shared" si="57"/>
        <v>107941</v>
      </c>
    </row>
    <row r="1280" spans="2:24">
      <c r="B1280" t="s">
        <v>705</v>
      </c>
      <c r="C1280" t="s">
        <v>114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705">
        <v>7674</v>
      </c>
      <c r="O1280" s="705">
        <v>2842</v>
      </c>
      <c r="P1280" s="705">
        <v>7306</v>
      </c>
      <c r="Q1280" s="705">
        <v>2706</v>
      </c>
      <c r="S1280">
        <v>0</v>
      </c>
      <c r="T1280">
        <v>0</v>
      </c>
      <c r="U1280">
        <v>0</v>
      </c>
      <c r="V1280" s="705">
        <v>5548</v>
      </c>
      <c r="W1280" s="705">
        <f t="shared" si="56"/>
        <v>5548</v>
      </c>
      <c r="X1280" s="705">
        <f t="shared" si="57"/>
        <v>14980</v>
      </c>
    </row>
    <row r="1281" spans="2:24">
      <c r="B1281" t="s">
        <v>705</v>
      </c>
      <c r="C1281" t="s">
        <v>114</v>
      </c>
      <c r="D1281" t="s">
        <v>664</v>
      </c>
      <c r="E1281" t="s">
        <v>664</v>
      </c>
      <c r="F1281">
        <v>3</v>
      </c>
      <c r="G1281">
        <v>215</v>
      </c>
      <c r="H1281">
        <v>411</v>
      </c>
      <c r="I1281" s="705">
        <v>16864</v>
      </c>
      <c r="J1281" s="705">
        <v>15331</v>
      </c>
      <c r="K1281">
        <v>91</v>
      </c>
      <c r="L1281">
        <v>0</v>
      </c>
      <c r="M1281">
        <v>0</v>
      </c>
      <c r="N1281" s="705">
        <v>4384</v>
      </c>
      <c r="O1281" s="705">
        <v>1624</v>
      </c>
      <c r="P1281" s="705">
        <v>1296</v>
      </c>
      <c r="Q1281">
        <v>480</v>
      </c>
      <c r="R1281" s="705">
        <v>6866</v>
      </c>
      <c r="S1281" s="705">
        <v>6242</v>
      </c>
      <c r="T1281">
        <v>0</v>
      </c>
      <c r="U1281">
        <v>0</v>
      </c>
      <c r="V1281" s="705">
        <v>23677</v>
      </c>
      <c r="W1281" s="705">
        <f t="shared" si="56"/>
        <v>23677</v>
      </c>
      <c r="X1281" s="705">
        <f t="shared" si="57"/>
        <v>29410</v>
      </c>
    </row>
    <row r="1282" spans="2:24">
      <c r="B1282" t="s">
        <v>705</v>
      </c>
      <c r="C1282" t="s">
        <v>114</v>
      </c>
      <c r="D1282" t="s">
        <v>582</v>
      </c>
      <c r="E1282" t="s">
        <v>582</v>
      </c>
      <c r="F1282">
        <v>41</v>
      </c>
      <c r="G1282" s="705">
        <v>2972</v>
      </c>
      <c r="H1282" s="705">
        <v>5774</v>
      </c>
      <c r="I1282" s="705">
        <v>173140</v>
      </c>
      <c r="J1282" s="705">
        <v>157400</v>
      </c>
      <c r="K1282">
        <v>90</v>
      </c>
      <c r="L1282" s="705">
        <v>14480</v>
      </c>
      <c r="M1282" s="705">
        <v>12629</v>
      </c>
      <c r="N1282" s="705">
        <v>62858</v>
      </c>
      <c r="O1282" s="705">
        <v>23281</v>
      </c>
      <c r="P1282" s="705">
        <v>30092</v>
      </c>
      <c r="Q1282" s="705">
        <v>11145</v>
      </c>
      <c r="R1282" s="705">
        <v>135245</v>
      </c>
      <c r="S1282" s="705">
        <v>122950</v>
      </c>
      <c r="T1282" s="705">
        <v>4067</v>
      </c>
      <c r="U1282" s="705">
        <v>1506</v>
      </c>
      <c r="V1282" s="705">
        <v>328911</v>
      </c>
      <c r="W1282" s="705">
        <f t="shared" si="56"/>
        <v>328911</v>
      </c>
      <c r="X1282" s="705">
        <f t="shared" si="57"/>
        <v>419882</v>
      </c>
    </row>
    <row r="1283" spans="2:24">
      <c r="B1283" t="s">
        <v>705</v>
      </c>
      <c r="C1283" t="s">
        <v>114</v>
      </c>
      <c r="D1283" t="s">
        <v>228</v>
      </c>
      <c r="E1283" t="s">
        <v>664</v>
      </c>
      <c r="F1283">
        <v>2</v>
      </c>
      <c r="G1283">
        <v>134</v>
      </c>
      <c r="H1283">
        <v>299</v>
      </c>
      <c r="I1283" s="705">
        <v>13817</v>
      </c>
      <c r="J1283" s="705">
        <v>5118</v>
      </c>
      <c r="K1283">
        <v>100</v>
      </c>
      <c r="L1283">
        <v>0</v>
      </c>
      <c r="M1283">
        <v>0</v>
      </c>
      <c r="N1283" s="705">
        <v>1636</v>
      </c>
      <c r="O1283">
        <v>606</v>
      </c>
      <c r="P1283">
        <v>243</v>
      </c>
      <c r="Q1283">
        <v>90</v>
      </c>
      <c r="R1283" s="705">
        <v>4403</v>
      </c>
      <c r="S1283" s="705">
        <v>4003</v>
      </c>
      <c r="T1283">
        <v>0</v>
      </c>
      <c r="U1283">
        <v>0</v>
      </c>
      <c r="V1283" s="705">
        <v>9816</v>
      </c>
      <c r="W1283" s="705">
        <f t="shared" si="56"/>
        <v>9817</v>
      </c>
      <c r="X1283" s="705">
        <f t="shared" si="57"/>
        <v>20099</v>
      </c>
    </row>
    <row r="1284" spans="2:24">
      <c r="B1284" t="s">
        <v>705</v>
      </c>
      <c r="C1284" t="s">
        <v>114</v>
      </c>
      <c r="D1284" t="s">
        <v>228</v>
      </c>
      <c r="E1284" t="s">
        <v>228</v>
      </c>
      <c r="F1284">
        <v>45</v>
      </c>
      <c r="G1284" s="705">
        <v>3936</v>
      </c>
      <c r="H1284" s="705">
        <v>6363</v>
      </c>
      <c r="I1284" s="705">
        <v>136122</v>
      </c>
      <c r="J1284" s="705">
        <v>50416</v>
      </c>
      <c r="K1284">
        <v>112</v>
      </c>
      <c r="L1284" s="705">
        <v>28577</v>
      </c>
      <c r="M1284" s="705">
        <v>12702</v>
      </c>
      <c r="N1284" s="705">
        <v>81774</v>
      </c>
      <c r="O1284" s="705">
        <v>30287</v>
      </c>
      <c r="P1284" s="705">
        <v>1402</v>
      </c>
      <c r="Q1284">
        <v>519</v>
      </c>
      <c r="R1284" s="705">
        <v>300134</v>
      </c>
      <c r="S1284" s="705">
        <v>111161</v>
      </c>
      <c r="T1284" s="705">
        <v>9226</v>
      </c>
      <c r="U1284" s="705">
        <v>3417</v>
      </c>
      <c r="V1284" s="705">
        <v>208501</v>
      </c>
      <c r="W1284" s="705">
        <f t="shared" si="56"/>
        <v>208502</v>
      </c>
      <c r="X1284" s="705">
        <f t="shared" si="57"/>
        <v>557235</v>
      </c>
    </row>
    <row r="1285" spans="2:24">
      <c r="B1285" t="s">
        <v>705</v>
      </c>
      <c r="C1285" t="s">
        <v>114</v>
      </c>
      <c r="D1285" t="s">
        <v>583</v>
      </c>
      <c r="E1285" t="s">
        <v>583</v>
      </c>
      <c r="F1285">
        <v>13</v>
      </c>
      <c r="G1285" s="705">
        <v>2108</v>
      </c>
      <c r="H1285" s="705">
        <v>1839</v>
      </c>
      <c r="I1285" s="705">
        <v>155774</v>
      </c>
      <c r="J1285" s="705">
        <v>141613</v>
      </c>
      <c r="K1285">
        <v>90</v>
      </c>
      <c r="L1285" s="705">
        <v>26842</v>
      </c>
      <c r="M1285" s="705">
        <v>22590</v>
      </c>
      <c r="N1285" s="705">
        <v>36932</v>
      </c>
      <c r="O1285" s="705">
        <v>13679</v>
      </c>
      <c r="P1285" s="705">
        <v>8775</v>
      </c>
      <c r="Q1285" s="705">
        <v>3250</v>
      </c>
      <c r="R1285" s="705">
        <v>61064</v>
      </c>
      <c r="S1285" s="705">
        <v>55513</v>
      </c>
      <c r="T1285" s="705">
        <v>8391</v>
      </c>
      <c r="U1285" s="705">
        <v>3108</v>
      </c>
      <c r="V1285" s="705">
        <v>239752</v>
      </c>
      <c r="W1285" s="705">
        <f t="shared" si="56"/>
        <v>239753</v>
      </c>
      <c r="X1285" s="705">
        <f t="shared" si="57"/>
        <v>297778</v>
      </c>
    </row>
    <row r="1286" spans="2:24">
      <c r="B1286" t="s">
        <v>705</v>
      </c>
      <c r="C1286" t="s">
        <v>114</v>
      </c>
      <c r="D1286" t="s">
        <v>584</v>
      </c>
      <c r="E1286" t="s">
        <v>584</v>
      </c>
      <c r="F1286">
        <v>23</v>
      </c>
      <c r="G1286" s="705">
        <v>1630</v>
      </c>
      <c r="H1286" s="705">
        <v>3209</v>
      </c>
      <c r="I1286" s="705">
        <v>89748</v>
      </c>
      <c r="J1286" s="705">
        <v>81589</v>
      </c>
      <c r="K1286">
        <v>84</v>
      </c>
      <c r="L1286">
        <v>0</v>
      </c>
      <c r="M1286">
        <v>0</v>
      </c>
      <c r="N1286" s="705">
        <v>38805</v>
      </c>
      <c r="O1286" s="705">
        <v>14372</v>
      </c>
      <c r="P1286" s="705">
        <v>10746</v>
      </c>
      <c r="Q1286" s="705">
        <v>3980</v>
      </c>
      <c r="R1286" s="705">
        <v>85554</v>
      </c>
      <c r="S1286" s="705">
        <v>77776</v>
      </c>
      <c r="T1286" s="705">
        <v>2219</v>
      </c>
      <c r="U1286">
        <v>822</v>
      </c>
      <c r="V1286" s="705">
        <v>178539</v>
      </c>
      <c r="W1286" s="705">
        <f t="shared" si="56"/>
        <v>178539</v>
      </c>
      <c r="X1286" s="705">
        <f t="shared" si="57"/>
        <v>227072</v>
      </c>
    </row>
    <row r="1287" spans="2:24">
      <c r="B1287" t="s">
        <v>705</v>
      </c>
      <c r="C1287" t="s">
        <v>116</v>
      </c>
      <c r="F1287">
        <v>9</v>
      </c>
      <c r="G1287">
        <v>542</v>
      </c>
      <c r="H1287" s="705">
        <v>1581</v>
      </c>
      <c r="J1287">
        <v>0</v>
      </c>
      <c r="M1287">
        <v>0</v>
      </c>
      <c r="N1287" s="705">
        <v>7190</v>
      </c>
      <c r="O1287" s="705">
        <v>2663</v>
      </c>
      <c r="P1287" s="705">
        <v>3956</v>
      </c>
      <c r="Q1287" s="705">
        <v>1465</v>
      </c>
      <c r="S1287">
        <v>0</v>
      </c>
      <c r="T1287">
        <v>0</v>
      </c>
      <c r="U1287">
        <v>0</v>
      </c>
      <c r="V1287" s="705">
        <v>4128</v>
      </c>
      <c r="W1287" s="705">
        <f t="shared" si="56"/>
        <v>4128</v>
      </c>
      <c r="X1287" s="705">
        <f t="shared" si="57"/>
        <v>11146</v>
      </c>
    </row>
    <row r="1288" spans="2:24">
      <c r="B1288" t="s">
        <v>705</v>
      </c>
      <c r="C1288" t="s">
        <v>116</v>
      </c>
      <c r="D1288" t="s">
        <v>664</v>
      </c>
      <c r="E1288" t="s">
        <v>664</v>
      </c>
      <c r="F1288">
        <v>1</v>
      </c>
      <c r="G1288">
        <v>90</v>
      </c>
      <c r="H1288">
        <v>173</v>
      </c>
      <c r="I1288" s="705">
        <v>8875</v>
      </c>
      <c r="J1288" s="705">
        <v>8068</v>
      </c>
      <c r="K1288">
        <v>92</v>
      </c>
      <c r="L1288" s="705">
        <v>1428</v>
      </c>
      <c r="M1288" s="705">
        <v>1298</v>
      </c>
      <c r="N1288" s="705">
        <v>2088</v>
      </c>
      <c r="O1288">
        <v>773</v>
      </c>
      <c r="P1288">
        <v>473</v>
      </c>
      <c r="Q1288">
        <v>175</v>
      </c>
      <c r="R1288" s="705">
        <v>2627</v>
      </c>
      <c r="S1288" s="705">
        <v>2388</v>
      </c>
      <c r="T1288">
        <v>0</v>
      </c>
      <c r="U1288">
        <v>0</v>
      </c>
      <c r="V1288" s="705">
        <v>12703</v>
      </c>
      <c r="W1288" s="705">
        <f t="shared" si="56"/>
        <v>12702</v>
      </c>
      <c r="X1288" s="705">
        <f t="shared" si="57"/>
        <v>15491</v>
      </c>
    </row>
    <row r="1289" spans="2:24">
      <c r="B1289" t="s">
        <v>705</v>
      </c>
      <c r="C1289" t="s">
        <v>116</v>
      </c>
      <c r="D1289" t="s">
        <v>582</v>
      </c>
      <c r="E1289" t="s">
        <v>582</v>
      </c>
      <c r="F1289">
        <v>70</v>
      </c>
      <c r="G1289" s="705">
        <v>5196</v>
      </c>
      <c r="H1289" s="705">
        <v>12164</v>
      </c>
      <c r="I1289" s="705">
        <v>445433</v>
      </c>
      <c r="J1289" s="705">
        <v>404939</v>
      </c>
      <c r="K1289">
        <v>87</v>
      </c>
      <c r="L1289" s="705">
        <v>56647</v>
      </c>
      <c r="M1289" s="705">
        <v>49329</v>
      </c>
      <c r="N1289" s="705">
        <v>110825</v>
      </c>
      <c r="O1289" s="705">
        <v>41046</v>
      </c>
      <c r="P1289" s="705">
        <v>50599</v>
      </c>
      <c r="Q1289" s="705">
        <v>18740</v>
      </c>
      <c r="R1289" s="705">
        <v>241629</v>
      </c>
      <c r="S1289" s="705">
        <v>219663</v>
      </c>
      <c r="T1289" s="705">
        <v>7748</v>
      </c>
      <c r="U1289" s="705">
        <v>2870</v>
      </c>
      <c r="V1289" s="705">
        <v>736587</v>
      </c>
      <c r="W1289" s="705">
        <f t="shared" si="56"/>
        <v>736587</v>
      </c>
      <c r="X1289" s="705">
        <f t="shared" si="57"/>
        <v>912881</v>
      </c>
    </row>
    <row r="1290" spans="2:24">
      <c r="B1290" t="s">
        <v>705</v>
      </c>
      <c r="C1290" t="s">
        <v>116</v>
      </c>
      <c r="D1290" t="s">
        <v>228</v>
      </c>
      <c r="E1290" t="s">
        <v>664</v>
      </c>
      <c r="F1290">
        <v>4</v>
      </c>
      <c r="G1290">
        <v>291</v>
      </c>
      <c r="H1290">
        <v>674</v>
      </c>
      <c r="I1290" s="705">
        <v>36243</v>
      </c>
      <c r="J1290" s="705">
        <v>13423</v>
      </c>
      <c r="K1290">
        <v>100</v>
      </c>
      <c r="L1290">
        <v>0</v>
      </c>
      <c r="M1290">
        <v>0</v>
      </c>
      <c r="N1290" s="705">
        <v>3547</v>
      </c>
      <c r="O1290" s="705">
        <v>1314</v>
      </c>
      <c r="P1290">
        <v>486</v>
      </c>
      <c r="Q1290">
        <v>180</v>
      </c>
      <c r="R1290" s="705">
        <v>8785</v>
      </c>
      <c r="S1290" s="705">
        <v>7986</v>
      </c>
      <c r="T1290">
        <v>0</v>
      </c>
      <c r="U1290">
        <v>0</v>
      </c>
      <c r="V1290" s="705">
        <v>22903</v>
      </c>
      <c r="W1290" s="705">
        <f t="shared" si="56"/>
        <v>22903</v>
      </c>
      <c r="X1290" s="705">
        <f t="shared" si="57"/>
        <v>49061</v>
      </c>
    </row>
    <row r="1291" spans="2:24">
      <c r="B1291" t="s">
        <v>705</v>
      </c>
      <c r="C1291" t="s">
        <v>116</v>
      </c>
      <c r="D1291" t="s">
        <v>228</v>
      </c>
      <c r="E1291" t="s">
        <v>582</v>
      </c>
      <c r="F1291">
        <v>1</v>
      </c>
      <c r="G1291">
        <v>72</v>
      </c>
      <c r="H1291">
        <v>214</v>
      </c>
      <c r="I1291" s="705">
        <v>10036</v>
      </c>
      <c r="J1291" s="705">
        <v>3717</v>
      </c>
      <c r="K1291">
        <v>100</v>
      </c>
      <c r="L1291">
        <v>0</v>
      </c>
      <c r="M1291">
        <v>0</v>
      </c>
      <c r="N1291" s="705">
        <v>1559</v>
      </c>
      <c r="O1291">
        <v>578</v>
      </c>
      <c r="P1291">
        <v>0</v>
      </c>
      <c r="Q1291">
        <v>0</v>
      </c>
      <c r="R1291" s="705">
        <v>3875</v>
      </c>
      <c r="S1291" s="705">
        <v>3522</v>
      </c>
      <c r="T1291">
        <v>0</v>
      </c>
      <c r="U1291">
        <v>0</v>
      </c>
      <c r="V1291" s="705">
        <v>7817</v>
      </c>
      <c r="W1291" s="705">
        <f t="shared" si="56"/>
        <v>7817</v>
      </c>
      <c r="X1291" s="705">
        <f t="shared" si="57"/>
        <v>15470</v>
      </c>
    </row>
    <row r="1292" spans="2:24">
      <c r="B1292" t="s">
        <v>705</v>
      </c>
      <c r="C1292" t="s">
        <v>116</v>
      </c>
      <c r="D1292" t="s">
        <v>228</v>
      </c>
      <c r="E1292" t="s">
        <v>228</v>
      </c>
      <c r="F1292">
        <v>562</v>
      </c>
      <c r="G1292" s="705">
        <v>45991</v>
      </c>
      <c r="H1292" s="705">
        <v>108399</v>
      </c>
      <c r="I1292" s="705">
        <v>3532799</v>
      </c>
      <c r="J1292" s="705">
        <v>1308444</v>
      </c>
      <c r="K1292">
        <v>101</v>
      </c>
      <c r="L1292" s="705">
        <v>567886</v>
      </c>
      <c r="M1292" s="705">
        <v>215495</v>
      </c>
      <c r="N1292" s="705">
        <v>925172</v>
      </c>
      <c r="O1292" s="705">
        <v>342656</v>
      </c>
      <c r="P1292" s="705">
        <v>7142</v>
      </c>
      <c r="Q1292" s="705">
        <v>2645</v>
      </c>
      <c r="R1292" s="705">
        <v>3780450</v>
      </c>
      <c r="S1292" s="705">
        <v>1400166</v>
      </c>
      <c r="T1292" s="705">
        <v>56938</v>
      </c>
      <c r="U1292" s="705">
        <v>21088</v>
      </c>
      <c r="V1292" s="705">
        <v>3290495</v>
      </c>
      <c r="W1292" s="705">
        <f t="shared" si="56"/>
        <v>3290494</v>
      </c>
      <c r="X1292" s="705">
        <f t="shared" si="57"/>
        <v>8870387</v>
      </c>
    </row>
    <row r="1293" spans="2:24">
      <c r="B1293" t="s">
        <v>705</v>
      </c>
      <c r="C1293" t="s">
        <v>116</v>
      </c>
      <c r="D1293" t="s">
        <v>228</v>
      </c>
      <c r="E1293" t="s">
        <v>584</v>
      </c>
      <c r="F1293">
        <v>3</v>
      </c>
      <c r="G1293">
        <v>223</v>
      </c>
      <c r="H1293">
        <v>589</v>
      </c>
      <c r="I1293" s="705">
        <v>22190</v>
      </c>
      <c r="J1293" s="705">
        <v>8219</v>
      </c>
      <c r="K1293">
        <v>100</v>
      </c>
      <c r="L1293" s="705">
        <v>5548</v>
      </c>
      <c r="M1293" s="705">
        <v>2055</v>
      </c>
      <c r="N1293" s="705">
        <v>5203</v>
      </c>
      <c r="O1293" s="705">
        <v>1927</v>
      </c>
      <c r="P1293">
        <v>0</v>
      </c>
      <c r="Q1293">
        <v>0</v>
      </c>
      <c r="R1293" s="705">
        <v>10774</v>
      </c>
      <c r="S1293" s="705">
        <v>9794</v>
      </c>
      <c r="T1293">
        <v>0</v>
      </c>
      <c r="U1293">
        <v>0</v>
      </c>
      <c r="V1293" s="705">
        <v>21995</v>
      </c>
      <c r="W1293" s="705">
        <f t="shared" si="56"/>
        <v>21995</v>
      </c>
      <c r="X1293" s="705">
        <f t="shared" si="57"/>
        <v>43715</v>
      </c>
    </row>
    <row r="1294" spans="2:24">
      <c r="B1294" t="s">
        <v>705</v>
      </c>
      <c r="C1294" t="s">
        <v>116</v>
      </c>
      <c r="D1294" t="s">
        <v>228</v>
      </c>
      <c r="E1294" t="s">
        <v>669</v>
      </c>
      <c r="F1294">
        <v>1</v>
      </c>
      <c r="G1294">
        <v>41</v>
      </c>
      <c r="H1294">
        <v>197</v>
      </c>
      <c r="I1294" s="705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705">
        <v>3554</v>
      </c>
      <c r="S1294" s="705">
        <v>2962</v>
      </c>
      <c r="T1294" s="705">
        <v>1473</v>
      </c>
      <c r="U1294">
        <v>546</v>
      </c>
      <c r="V1294" s="705">
        <v>4823</v>
      </c>
      <c r="W1294" s="705">
        <f t="shared" si="56"/>
        <v>4825</v>
      </c>
      <c r="X1294" s="705">
        <f t="shared" si="57"/>
        <v>7971</v>
      </c>
    </row>
    <row r="1295" spans="2:24">
      <c r="B1295" t="s">
        <v>705</v>
      </c>
      <c r="C1295" t="s">
        <v>116</v>
      </c>
      <c r="D1295" t="s">
        <v>583</v>
      </c>
      <c r="E1295" t="s">
        <v>583</v>
      </c>
      <c r="F1295">
        <v>85</v>
      </c>
      <c r="G1295" s="705">
        <v>10333</v>
      </c>
      <c r="H1295" s="705">
        <v>16273</v>
      </c>
      <c r="I1295" s="705">
        <v>1041750</v>
      </c>
      <c r="J1295" s="705">
        <v>947046</v>
      </c>
      <c r="K1295">
        <v>85</v>
      </c>
      <c r="L1295" s="705">
        <v>238700</v>
      </c>
      <c r="M1295" s="705">
        <v>200809</v>
      </c>
      <c r="N1295" s="705">
        <v>208419</v>
      </c>
      <c r="O1295" s="705">
        <v>77192</v>
      </c>
      <c r="P1295" s="705">
        <v>53833</v>
      </c>
      <c r="Q1295" s="705">
        <v>19938</v>
      </c>
      <c r="R1295" s="705">
        <v>417140</v>
      </c>
      <c r="S1295" s="705">
        <v>379218</v>
      </c>
      <c r="T1295" s="705">
        <v>63310</v>
      </c>
      <c r="U1295" s="705">
        <v>23448</v>
      </c>
      <c r="V1295" s="705">
        <v>1647651</v>
      </c>
      <c r="W1295" s="705">
        <f t="shared" si="56"/>
        <v>1647651</v>
      </c>
      <c r="X1295" s="705">
        <f t="shared" si="57"/>
        <v>2023152</v>
      </c>
    </row>
    <row r="1296" spans="2:24">
      <c r="B1296" t="s">
        <v>705</v>
      </c>
      <c r="C1296" t="s">
        <v>116</v>
      </c>
      <c r="D1296" t="s">
        <v>584</v>
      </c>
      <c r="E1296" t="s">
        <v>584</v>
      </c>
      <c r="F1296">
        <v>41</v>
      </c>
      <c r="G1296" s="705">
        <v>2816</v>
      </c>
      <c r="H1296" s="705">
        <v>7430</v>
      </c>
      <c r="I1296" s="705">
        <v>222587</v>
      </c>
      <c r="J1296" s="705">
        <v>202352</v>
      </c>
      <c r="K1296">
        <v>79</v>
      </c>
      <c r="L1296" s="705">
        <v>9198</v>
      </c>
      <c r="M1296" s="705">
        <v>8362</v>
      </c>
      <c r="N1296" s="705">
        <v>66438</v>
      </c>
      <c r="O1296" s="705">
        <v>24607</v>
      </c>
      <c r="P1296" s="705">
        <v>19251</v>
      </c>
      <c r="Q1296" s="705">
        <v>7130</v>
      </c>
      <c r="R1296" s="705">
        <v>188730</v>
      </c>
      <c r="S1296" s="705">
        <v>171572</v>
      </c>
      <c r="T1296" s="705">
        <v>4824</v>
      </c>
      <c r="U1296" s="705">
        <v>1787</v>
      </c>
      <c r="V1296" s="705">
        <v>415810</v>
      </c>
      <c r="W1296" s="705">
        <f t="shared" si="56"/>
        <v>415810</v>
      </c>
      <c r="X1296" s="705">
        <f t="shared" si="57"/>
        <v>511028</v>
      </c>
    </row>
    <row r="1297" spans="2:24">
      <c r="B1297" t="s">
        <v>705</v>
      </c>
      <c r="C1297" t="s">
        <v>116</v>
      </c>
      <c r="D1297" t="s">
        <v>665</v>
      </c>
      <c r="E1297" t="s">
        <v>665</v>
      </c>
      <c r="F1297">
        <v>1</v>
      </c>
      <c r="G1297">
        <v>143</v>
      </c>
      <c r="H1297">
        <v>201</v>
      </c>
      <c r="I1297" s="705">
        <v>15062</v>
      </c>
      <c r="J1297" s="705">
        <v>13693</v>
      </c>
      <c r="K1297">
        <v>65</v>
      </c>
      <c r="L1297" s="705">
        <v>2670</v>
      </c>
      <c r="M1297">
        <v>989</v>
      </c>
      <c r="N1297" s="705">
        <v>2688</v>
      </c>
      <c r="O1297">
        <v>995</v>
      </c>
      <c r="P1297">
        <v>351</v>
      </c>
      <c r="Q1297">
        <v>130</v>
      </c>
      <c r="R1297" s="705">
        <v>5131</v>
      </c>
      <c r="S1297" s="705">
        <v>4664</v>
      </c>
      <c r="T1297" s="705">
        <v>2945</v>
      </c>
      <c r="U1297" s="705">
        <v>1091</v>
      </c>
      <c r="V1297" s="705">
        <v>21562</v>
      </c>
      <c r="W1297" s="705">
        <f t="shared" si="56"/>
        <v>21562</v>
      </c>
      <c r="X1297" s="705">
        <f t="shared" si="57"/>
        <v>28847</v>
      </c>
    </row>
    <row r="1298" spans="2:24">
      <c r="B1298" t="s">
        <v>705</v>
      </c>
      <c r="C1298" t="s">
        <v>116</v>
      </c>
      <c r="D1298" t="s">
        <v>585</v>
      </c>
      <c r="E1298" t="s">
        <v>585</v>
      </c>
      <c r="F1298">
        <v>1</v>
      </c>
      <c r="G1298">
        <v>136</v>
      </c>
      <c r="H1298">
        <v>173</v>
      </c>
      <c r="I1298" s="705">
        <v>11715</v>
      </c>
      <c r="J1298" s="705">
        <v>10650</v>
      </c>
      <c r="K1298">
        <v>85</v>
      </c>
      <c r="L1298" s="705">
        <v>4033</v>
      </c>
      <c r="M1298" s="705">
        <v>3361</v>
      </c>
      <c r="N1298" s="705">
        <v>1655</v>
      </c>
      <c r="O1298">
        <v>613</v>
      </c>
      <c r="P1298">
        <v>351</v>
      </c>
      <c r="Q1298">
        <v>130</v>
      </c>
      <c r="R1298" s="705">
        <v>5721</v>
      </c>
      <c r="S1298" s="705">
        <v>5200</v>
      </c>
      <c r="T1298">
        <v>0</v>
      </c>
      <c r="U1298">
        <v>0</v>
      </c>
      <c r="V1298" s="705">
        <v>19954</v>
      </c>
      <c r="W1298" s="705">
        <f t="shared" si="56"/>
        <v>19954</v>
      </c>
      <c r="X1298" s="705">
        <f t="shared" si="57"/>
        <v>23475</v>
      </c>
    </row>
    <row r="1299" spans="2:24">
      <c r="B1299" t="s">
        <v>705</v>
      </c>
      <c r="C1299" t="s">
        <v>118</v>
      </c>
      <c r="F1299">
        <v>9</v>
      </c>
      <c r="G1299">
        <v>440</v>
      </c>
      <c r="H1299" s="705">
        <v>2349</v>
      </c>
      <c r="J1299">
        <v>0</v>
      </c>
      <c r="M1299">
        <v>0</v>
      </c>
      <c r="N1299" s="705">
        <v>6869</v>
      </c>
      <c r="O1299" s="705">
        <v>2544</v>
      </c>
      <c r="P1299" s="705">
        <v>2025</v>
      </c>
      <c r="Q1299">
        <v>750</v>
      </c>
      <c r="S1299">
        <v>0</v>
      </c>
      <c r="T1299">
        <v>0</v>
      </c>
      <c r="U1299">
        <v>0</v>
      </c>
      <c r="V1299" s="705">
        <v>3294</v>
      </c>
      <c r="W1299" s="705">
        <f t="shared" si="56"/>
        <v>3294</v>
      </c>
      <c r="X1299" s="705">
        <f t="shared" si="57"/>
        <v>8894</v>
      </c>
    </row>
    <row r="1300" spans="2:24">
      <c r="B1300" t="s">
        <v>705</v>
      </c>
      <c r="C1300" t="s">
        <v>118</v>
      </c>
      <c r="D1300" t="s">
        <v>664</v>
      </c>
      <c r="E1300" t="s">
        <v>664</v>
      </c>
      <c r="F1300">
        <v>1</v>
      </c>
      <c r="G1300">
        <v>67</v>
      </c>
      <c r="H1300">
        <v>257</v>
      </c>
      <c r="I1300" s="705">
        <v>10873</v>
      </c>
      <c r="J1300" s="705">
        <v>9885</v>
      </c>
      <c r="K1300">
        <v>92</v>
      </c>
      <c r="L1300" s="705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705">
        <v>2175</v>
      </c>
      <c r="S1300" s="705">
        <v>1977</v>
      </c>
      <c r="T1300">
        <v>0</v>
      </c>
      <c r="U1300">
        <v>0</v>
      </c>
      <c r="V1300" s="705">
        <v>13433</v>
      </c>
      <c r="W1300" s="705">
        <f t="shared" si="56"/>
        <v>13433</v>
      </c>
      <c r="X1300" s="705">
        <f t="shared" si="57"/>
        <v>17291</v>
      </c>
    </row>
    <row r="1301" spans="2:24">
      <c r="B1301" t="s">
        <v>705</v>
      </c>
      <c r="C1301" t="s">
        <v>118</v>
      </c>
      <c r="D1301" t="s">
        <v>582</v>
      </c>
      <c r="E1301" t="s">
        <v>582</v>
      </c>
      <c r="F1301">
        <v>19</v>
      </c>
      <c r="G1301" s="705">
        <v>1060</v>
      </c>
      <c r="H1301" s="705">
        <v>4790</v>
      </c>
      <c r="I1301" s="705">
        <v>118484</v>
      </c>
      <c r="J1301" s="705">
        <v>107713</v>
      </c>
      <c r="K1301">
        <v>80</v>
      </c>
      <c r="L1301" s="705">
        <v>29962</v>
      </c>
      <c r="M1301" s="705">
        <v>24696</v>
      </c>
      <c r="N1301" s="705">
        <v>20516</v>
      </c>
      <c r="O1301" s="705">
        <v>7598</v>
      </c>
      <c r="P1301" s="705">
        <v>8640</v>
      </c>
      <c r="Q1301" s="705">
        <v>3200</v>
      </c>
      <c r="R1301" s="705">
        <v>65243</v>
      </c>
      <c r="S1301" s="705">
        <v>59311</v>
      </c>
      <c r="T1301" s="705">
        <v>23360</v>
      </c>
      <c r="U1301" s="705">
        <v>8652</v>
      </c>
      <c r="V1301" s="705">
        <v>211171</v>
      </c>
      <c r="W1301" s="705">
        <f t="shared" si="56"/>
        <v>211170</v>
      </c>
      <c r="X1301" s="705">
        <f t="shared" si="57"/>
        <v>266205</v>
      </c>
    </row>
    <row r="1302" spans="2:24">
      <c r="B1302" t="s">
        <v>705</v>
      </c>
      <c r="C1302" t="s">
        <v>118</v>
      </c>
      <c r="D1302" t="s">
        <v>228</v>
      </c>
      <c r="E1302" t="s">
        <v>582</v>
      </c>
      <c r="F1302">
        <v>20</v>
      </c>
      <c r="G1302" s="705">
        <v>1194</v>
      </c>
      <c r="H1302" s="705">
        <v>5318</v>
      </c>
      <c r="I1302" s="705">
        <v>208618</v>
      </c>
      <c r="J1302" s="705">
        <v>77266</v>
      </c>
      <c r="K1302">
        <v>100</v>
      </c>
      <c r="L1302">
        <v>0</v>
      </c>
      <c r="M1302">
        <v>0</v>
      </c>
      <c r="N1302" s="705">
        <v>22339</v>
      </c>
      <c r="O1302" s="705">
        <v>8274</v>
      </c>
      <c r="P1302">
        <v>0</v>
      </c>
      <c r="Q1302">
        <v>0</v>
      </c>
      <c r="R1302" s="705">
        <v>84862</v>
      </c>
      <c r="S1302" s="705">
        <v>77148</v>
      </c>
      <c r="T1302">
        <v>0</v>
      </c>
      <c r="U1302">
        <v>0</v>
      </c>
      <c r="V1302" s="705">
        <v>162687</v>
      </c>
      <c r="W1302" s="705">
        <f t="shared" si="56"/>
        <v>162688</v>
      </c>
      <c r="X1302" s="705">
        <f t="shared" si="57"/>
        <v>315819</v>
      </c>
    </row>
    <row r="1303" spans="2:24">
      <c r="B1303" t="s">
        <v>705</v>
      </c>
      <c r="C1303" t="s">
        <v>118</v>
      </c>
      <c r="D1303" t="s">
        <v>228</v>
      </c>
      <c r="E1303" t="s">
        <v>228</v>
      </c>
      <c r="F1303">
        <v>566</v>
      </c>
      <c r="G1303" s="705">
        <v>42094</v>
      </c>
      <c r="H1303" s="705">
        <v>147328</v>
      </c>
      <c r="I1303" s="705">
        <v>5538876</v>
      </c>
      <c r="J1303" s="705">
        <v>2051435</v>
      </c>
      <c r="K1303">
        <v>100</v>
      </c>
      <c r="L1303" s="705">
        <v>763779</v>
      </c>
      <c r="M1303" s="705">
        <v>315452</v>
      </c>
      <c r="N1303" s="705">
        <v>823609</v>
      </c>
      <c r="O1303" s="705">
        <v>305040</v>
      </c>
      <c r="P1303" s="705">
        <v>17535</v>
      </c>
      <c r="Q1303" s="705">
        <v>6495</v>
      </c>
      <c r="R1303" s="705">
        <v>3789840</v>
      </c>
      <c r="S1303" s="705">
        <v>1403644</v>
      </c>
      <c r="T1303" s="705">
        <v>5898</v>
      </c>
      <c r="U1303" s="705">
        <v>2184</v>
      </c>
      <c r="V1303" s="705">
        <v>4084251</v>
      </c>
      <c r="W1303" s="705">
        <f t="shared" si="56"/>
        <v>4084250</v>
      </c>
      <c r="X1303" s="705">
        <f t="shared" si="57"/>
        <v>10939537</v>
      </c>
    </row>
    <row r="1304" spans="2:24">
      <c r="B1304" t="s">
        <v>705</v>
      </c>
      <c r="C1304" t="s">
        <v>118</v>
      </c>
      <c r="D1304" t="s">
        <v>228</v>
      </c>
      <c r="E1304" t="s">
        <v>584</v>
      </c>
      <c r="F1304">
        <v>12</v>
      </c>
      <c r="G1304">
        <v>895</v>
      </c>
      <c r="H1304" s="705">
        <v>3266</v>
      </c>
      <c r="I1304" s="705">
        <v>143416</v>
      </c>
      <c r="J1304" s="705">
        <v>53117</v>
      </c>
      <c r="K1304">
        <v>100</v>
      </c>
      <c r="L1304" s="705">
        <v>35854</v>
      </c>
      <c r="M1304" s="705">
        <v>13279</v>
      </c>
      <c r="N1304" s="705">
        <v>21227</v>
      </c>
      <c r="O1304" s="705">
        <v>7862</v>
      </c>
      <c r="P1304">
        <v>0</v>
      </c>
      <c r="Q1304">
        <v>0</v>
      </c>
      <c r="R1304" s="705">
        <v>43202</v>
      </c>
      <c r="S1304" s="705">
        <v>39274</v>
      </c>
      <c r="T1304">
        <v>0</v>
      </c>
      <c r="U1304">
        <v>0</v>
      </c>
      <c r="V1304" s="705">
        <v>113532</v>
      </c>
      <c r="W1304" s="705">
        <f t="shared" si="56"/>
        <v>113532</v>
      </c>
      <c r="X1304" s="705">
        <f t="shared" si="57"/>
        <v>243699</v>
      </c>
    </row>
    <row r="1305" spans="2:24">
      <c r="B1305" t="s">
        <v>705</v>
      </c>
      <c r="C1305" t="s">
        <v>118</v>
      </c>
      <c r="D1305" t="s">
        <v>228</v>
      </c>
      <c r="E1305" t="s">
        <v>669</v>
      </c>
      <c r="F1305">
        <v>2</v>
      </c>
      <c r="G1305">
        <v>81</v>
      </c>
      <c r="H1305">
        <v>462</v>
      </c>
      <c r="I1305" s="705">
        <v>3167</v>
      </c>
      <c r="J1305" s="705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705">
        <v>9724</v>
      </c>
      <c r="S1305" s="705">
        <v>8103</v>
      </c>
      <c r="T1305" s="705">
        <v>3214</v>
      </c>
      <c r="U1305" s="705">
        <v>1190</v>
      </c>
      <c r="V1305" s="705">
        <v>11881</v>
      </c>
      <c r="W1305" s="705">
        <f t="shared" si="56"/>
        <v>11880</v>
      </c>
      <c r="X1305" s="705">
        <f t="shared" si="57"/>
        <v>18723</v>
      </c>
    </row>
    <row r="1306" spans="2:24">
      <c r="B1306" t="s">
        <v>705</v>
      </c>
      <c r="C1306" t="s">
        <v>118</v>
      </c>
      <c r="D1306" t="s">
        <v>583</v>
      </c>
      <c r="E1306" t="s">
        <v>228</v>
      </c>
      <c r="F1306">
        <v>1</v>
      </c>
      <c r="G1306">
        <v>54</v>
      </c>
      <c r="H1306">
        <v>253</v>
      </c>
      <c r="I1306" s="705">
        <v>6850</v>
      </c>
      <c r="J1306" s="705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705">
        <v>5474</v>
      </c>
      <c r="S1306" s="705">
        <v>2027</v>
      </c>
      <c r="T1306">
        <v>0</v>
      </c>
      <c r="U1306">
        <v>0</v>
      </c>
      <c r="V1306" s="705">
        <v>8768</v>
      </c>
      <c r="W1306" s="705">
        <f t="shared" si="56"/>
        <v>8768</v>
      </c>
      <c r="X1306" s="705">
        <f t="shared" si="57"/>
        <v>13710</v>
      </c>
    </row>
    <row r="1307" spans="2:24">
      <c r="B1307" t="s">
        <v>705</v>
      </c>
      <c r="C1307" t="s">
        <v>118</v>
      </c>
      <c r="D1307" t="s">
        <v>583</v>
      </c>
      <c r="E1307" t="s">
        <v>583</v>
      </c>
      <c r="F1307">
        <v>46</v>
      </c>
      <c r="G1307" s="705">
        <v>4270</v>
      </c>
      <c r="H1307" s="705">
        <v>12103</v>
      </c>
      <c r="I1307" s="705">
        <v>624603</v>
      </c>
      <c r="J1307" s="705">
        <v>567821</v>
      </c>
      <c r="K1307">
        <v>81</v>
      </c>
      <c r="L1307" s="705">
        <v>121210</v>
      </c>
      <c r="M1307" s="705">
        <v>96980</v>
      </c>
      <c r="N1307" s="705">
        <v>83557</v>
      </c>
      <c r="O1307" s="705">
        <v>30947</v>
      </c>
      <c r="P1307" s="705">
        <v>28566</v>
      </c>
      <c r="Q1307" s="705">
        <v>10580</v>
      </c>
      <c r="R1307" s="705">
        <v>222996</v>
      </c>
      <c r="S1307" s="705">
        <v>202724</v>
      </c>
      <c r="T1307" s="705">
        <v>37468</v>
      </c>
      <c r="U1307" s="705">
        <v>13877</v>
      </c>
      <c r="V1307" s="705">
        <v>922929</v>
      </c>
      <c r="W1307" s="705">
        <f t="shared" si="56"/>
        <v>922929</v>
      </c>
      <c r="X1307" s="705">
        <f t="shared" si="57"/>
        <v>1118400</v>
      </c>
    </row>
    <row r="1308" spans="2:24">
      <c r="B1308" t="s">
        <v>705</v>
      </c>
      <c r="C1308" t="s">
        <v>118</v>
      </c>
      <c r="D1308" t="s">
        <v>584</v>
      </c>
      <c r="E1308" t="s">
        <v>584</v>
      </c>
      <c r="F1308">
        <v>1</v>
      </c>
      <c r="G1308">
        <v>56</v>
      </c>
      <c r="H1308">
        <v>255</v>
      </c>
      <c r="I1308" s="705">
        <v>8031</v>
      </c>
      <c r="J1308" s="705">
        <v>7301</v>
      </c>
      <c r="K1308">
        <v>91</v>
      </c>
      <c r="L1308">
        <v>0</v>
      </c>
      <c r="M1308">
        <v>0</v>
      </c>
      <c r="N1308" s="705">
        <v>1196</v>
      </c>
      <c r="O1308">
        <v>443</v>
      </c>
      <c r="P1308">
        <v>473</v>
      </c>
      <c r="Q1308">
        <v>175</v>
      </c>
      <c r="R1308" s="705">
        <v>2789</v>
      </c>
      <c r="S1308" s="705">
        <v>2536</v>
      </c>
      <c r="T1308" s="705">
        <v>1834</v>
      </c>
      <c r="U1308">
        <v>679</v>
      </c>
      <c r="V1308" s="705">
        <v>11134</v>
      </c>
      <c r="W1308" s="705">
        <f t="shared" si="56"/>
        <v>11134</v>
      </c>
      <c r="X1308" s="705">
        <f t="shared" si="57"/>
        <v>14323</v>
      </c>
    </row>
    <row r="1309" spans="2:24">
      <c r="B1309" t="s">
        <v>705</v>
      </c>
      <c r="C1309" t="s">
        <v>118</v>
      </c>
      <c r="D1309" t="s">
        <v>669</v>
      </c>
      <c r="E1309" t="s">
        <v>669</v>
      </c>
      <c r="F1309">
        <v>1</v>
      </c>
      <c r="G1309">
        <v>54</v>
      </c>
      <c r="H1309">
        <v>253</v>
      </c>
      <c r="I1309" s="705">
        <v>7078</v>
      </c>
      <c r="J1309" s="705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705">
        <v>3822</v>
      </c>
      <c r="S1309" s="705">
        <v>3185</v>
      </c>
      <c r="T1309" s="705">
        <v>1666</v>
      </c>
      <c r="U1309">
        <v>617</v>
      </c>
      <c r="V1309" s="705">
        <v>10073</v>
      </c>
      <c r="W1309" s="705">
        <f t="shared" si="56"/>
        <v>10073</v>
      </c>
      <c r="X1309" s="705">
        <f t="shared" si="57"/>
        <v>13571</v>
      </c>
    </row>
    <row r="1310" spans="2:24">
      <c r="B1310" t="s">
        <v>705</v>
      </c>
      <c r="C1310" t="s">
        <v>118</v>
      </c>
      <c r="D1310" t="s">
        <v>665</v>
      </c>
      <c r="E1310" t="s">
        <v>665</v>
      </c>
      <c r="F1310">
        <v>5</v>
      </c>
      <c r="G1310">
        <v>313</v>
      </c>
      <c r="H1310" s="705">
        <v>1312</v>
      </c>
      <c r="I1310" s="705">
        <v>45628</v>
      </c>
      <c r="J1310" s="705">
        <v>41480</v>
      </c>
      <c r="K1310">
        <v>63</v>
      </c>
      <c r="L1310">
        <v>0</v>
      </c>
      <c r="M1310">
        <v>0</v>
      </c>
      <c r="N1310" s="705">
        <v>3811</v>
      </c>
      <c r="O1310" s="705">
        <v>1411</v>
      </c>
      <c r="P1310" s="705">
        <v>1755</v>
      </c>
      <c r="Q1310">
        <v>650</v>
      </c>
      <c r="R1310" s="705">
        <v>20474</v>
      </c>
      <c r="S1310" s="705">
        <v>18612</v>
      </c>
      <c r="T1310" s="705">
        <v>9934</v>
      </c>
      <c r="U1310" s="705">
        <v>3679</v>
      </c>
      <c r="V1310" s="705">
        <v>65833</v>
      </c>
      <c r="W1310" s="705">
        <f t="shared" si="56"/>
        <v>65832</v>
      </c>
      <c r="X1310" s="705">
        <f t="shared" si="57"/>
        <v>81602</v>
      </c>
    </row>
    <row r="1311" spans="2:24">
      <c r="B1311" t="s">
        <v>705</v>
      </c>
      <c r="C1311" t="s">
        <v>118</v>
      </c>
      <c r="D1311" t="s">
        <v>585</v>
      </c>
      <c r="E1311" t="s">
        <v>228</v>
      </c>
      <c r="F1311">
        <v>2</v>
      </c>
      <c r="G1311">
        <v>241</v>
      </c>
      <c r="H1311">
        <v>551</v>
      </c>
      <c r="I1311" s="705">
        <v>47999</v>
      </c>
      <c r="J1311" s="705">
        <v>43635</v>
      </c>
      <c r="K1311">
        <v>78</v>
      </c>
      <c r="L1311" s="705">
        <v>3744</v>
      </c>
      <c r="M1311" s="705">
        <v>3403</v>
      </c>
      <c r="N1311" s="705">
        <v>3720</v>
      </c>
      <c r="O1311" s="705">
        <v>1378</v>
      </c>
      <c r="P1311">
        <v>351</v>
      </c>
      <c r="Q1311">
        <v>130</v>
      </c>
      <c r="R1311" s="705">
        <v>9624</v>
      </c>
      <c r="S1311" s="705">
        <v>3564</v>
      </c>
      <c r="T1311">
        <v>0</v>
      </c>
      <c r="U1311">
        <v>0</v>
      </c>
      <c r="V1311" s="705">
        <v>52110</v>
      </c>
      <c r="W1311" s="705">
        <f t="shared" si="56"/>
        <v>52110</v>
      </c>
      <c r="X1311" s="705">
        <f t="shared" si="57"/>
        <v>65438</v>
      </c>
    </row>
    <row r="1312" spans="2:24">
      <c r="B1312" t="s">
        <v>705</v>
      </c>
      <c r="C1312" t="s">
        <v>120</v>
      </c>
      <c r="F1312">
        <v>6</v>
      </c>
      <c r="G1312">
        <v>257</v>
      </c>
      <c r="H1312" s="705">
        <v>2023</v>
      </c>
      <c r="J1312">
        <v>0</v>
      </c>
      <c r="M1312">
        <v>0</v>
      </c>
      <c r="N1312" s="705">
        <v>5226</v>
      </c>
      <c r="O1312" s="705">
        <v>1935</v>
      </c>
      <c r="P1312" s="705">
        <v>1323</v>
      </c>
      <c r="Q1312">
        <v>490</v>
      </c>
      <c r="S1312">
        <v>0</v>
      </c>
      <c r="T1312">
        <v>0</v>
      </c>
      <c r="U1312">
        <v>0</v>
      </c>
      <c r="V1312" s="705">
        <v>2425</v>
      </c>
      <c r="W1312" s="705">
        <f t="shared" si="56"/>
        <v>2425</v>
      </c>
      <c r="X1312" s="705">
        <f t="shared" si="57"/>
        <v>6549</v>
      </c>
    </row>
    <row r="1313" spans="2:24">
      <c r="B1313" t="s">
        <v>705</v>
      </c>
      <c r="C1313" t="s">
        <v>120</v>
      </c>
      <c r="D1313" t="s">
        <v>582</v>
      </c>
      <c r="E1313" t="s">
        <v>582</v>
      </c>
      <c r="F1313">
        <v>8</v>
      </c>
      <c r="G1313">
        <v>493</v>
      </c>
      <c r="H1313" s="705">
        <v>2603</v>
      </c>
      <c r="I1313" s="705">
        <v>84760</v>
      </c>
      <c r="J1313" s="705">
        <v>77055</v>
      </c>
      <c r="K1313">
        <v>73</v>
      </c>
      <c r="L1313" s="705">
        <v>21730</v>
      </c>
      <c r="M1313" s="705">
        <v>19142</v>
      </c>
      <c r="N1313" s="705">
        <v>11091</v>
      </c>
      <c r="O1313" s="705">
        <v>4108</v>
      </c>
      <c r="P1313" s="705">
        <v>3780</v>
      </c>
      <c r="Q1313" s="705">
        <v>1400</v>
      </c>
      <c r="R1313" s="705">
        <v>29353</v>
      </c>
      <c r="S1313" s="705">
        <v>26685</v>
      </c>
      <c r="T1313" s="705">
        <v>11474</v>
      </c>
      <c r="U1313" s="705">
        <v>4250</v>
      </c>
      <c r="V1313" s="705">
        <v>132639</v>
      </c>
      <c r="W1313" s="705">
        <f t="shared" si="56"/>
        <v>132640</v>
      </c>
      <c r="X1313" s="705">
        <f t="shared" si="57"/>
        <v>162188</v>
      </c>
    </row>
    <row r="1314" spans="2:24">
      <c r="B1314" t="s">
        <v>705</v>
      </c>
      <c r="C1314" t="s">
        <v>120</v>
      </c>
      <c r="D1314" t="s">
        <v>228</v>
      </c>
      <c r="E1314" t="s">
        <v>582</v>
      </c>
      <c r="F1314">
        <v>2</v>
      </c>
      <c r="G1314">
        <v>126</v>
      </c>
      <c r="H1314">
        <v>684</v>
      </c>
      <c r="I1314" s="705">
        <v>30969</v>
      </c>
      <c r="J1314" s="705">
        <v>11470</v>
      </c>
      <c r="K1314">
        <v>100</v>
      </c>
      <c r="L1314">
        <v>0</v>
      </c>
      <c r="M1314">
        <v>0</v>
      </c>
      <c r="N1314" s="705">
        <v>2311</v>
      </c>
      <c r="O1314">
        <v>856</v>
      </c>
      <c r="P1314">
        <v>0</v>
      </c>
      <c r="Q1314">
        <v>0</v>
      </c>
      <c r="R1314" s="705">
        <v>9057</v>
      </c>
      <c r="S1314" s="705">
        <v>8233</v>
      </c>
      <c r="T1314">
        <v>0</v>
      </c>
      <c r="U1314">
        <v>0</v>
      </c>
      <c r="V1314" s="705">
        <v>20559</v>
      </c>
      <c r="W1314" s="705">
        <f t="shared" si="56"/>
        <v>20559</v>
      </c>
      <c r="X1314" s="705">
        <f t="shared" si="57"/>
        <v>42337</v>
      </c>
    </row>
    <row r="1315" spans="2:24">
      <c r="B1315" t="s">
        <v>705</v>
      </c>
      <c r="C1315" t="s">
        <v>120</v>
      </c>
      <c r="D1315" t="s">
        <v>228</v>
      </c>
      <c r="E1315" t="s">
        <v>228</v>
      </c>
      <c r="F1315">
        <v>289</v>
      </c>
      <c r="G1315" s="705">
        <v>17478</v>
      </c>
      <c r="H1315" s="705">
        <v>97093</v>
      </c>
      <c r="I1315" s="705">
        <v>3332422</v>
      </c>
      <c r="J1315" s="705">
        <v>1234230</v>
      </c>
      <c r="K1315">
        <v>100</v>
      </c>
      <c r="L1315" s="705">
        <v>399330</v>
      </c>
      <c r="M1315" s="705">
        <v>176308</v>
      </c>
      <c r="N1315" s="705">
        <v>347857</v>
      </c>
      <c r="O1315" s="705">
        <v>128836</v>
      </c>
      <c r="P1315" s="705">
        <v>4491</v>
      </c>
      <c r="Q1315" s="705">
        <v>1663</v>
      </c>
      <c r="R1315" s="705">
        <v>1825630</v>
      </c>
      <c r="S1315" s="705">
        <v>676159</v>
      </c>
      <c r="T1315">
        <v>0</v>
      </c>
      <c r="U1315">
        <v>0</v>
      </c>
      <c r="V1315" s="705">
        <v>2217197</v>
      </c>
      <c r="W1315" s="705">
        <f t="shared" si="56"/>
        <v>2217196</v>
      </c>
      <c r="X1315" s="705">
        <f t="shared" si="57"/>
        <v>5909730</v>
      </c>
    </row>
    <row r="1316" spans="2:24">
      <c r="B1316" t="s">
        <v>705</v>
      </c>
      <c r="C1316" t="s">
        <v>120</v>
      </c>
      <c r="D1316" t="s">
        <v>583</v>
      </c>
      <c r="E1316" t="s">
        <v>583</v>
      </c>
      <c r="F1316">
        <v>18</v>
      </c>
      <c r="G1316" s="705">
        <v>2192</v>
      </c>
      <c r="H1316" s="705">
        <v>6097</v>
      </c>
      <c r="I1316" s="705">
        <v>465501</v>
      </c>
      <c r="J1316" s="705">
        <v>423183</v>
      </c>
      <c r="K1316">
        <v>79</v>
      </c>
      <c r="L1316" s="705">
        <v>98236</v>
      </c>
      <c r="M1316" s="705">
        <v>83872</v>
      </c>
      <c r="N1316" s="705">
        <v>45717</v>
      </c>
      <c r="O1316" s="705">
        <v>16932</v>
      </c>
      <c r="P1316" s="705">
        <v>11381</v>
      </c>
      <c r="Q1316" s="705">
        <v>4215</v>
      </c>
      <c r="R1316" s="705">
        <v>106611</v>
      </c>
      <c r="S1316" s="705">
        <v>96919</v>
      </c>
      <c r="T1316" s="705">
        <v>12868</v>
      </c>
      <c r="U1316" s="705">
        <v>4766</v>
      </c>
      <c r="V1316" s="705">
        <v>629887</v>
      </c>
      <c r="W1316" s="705">
        <f t="shared" si="56"/>
        <v>629887</v>
      </c>
      <c r="X1316" s="705">
        <f t="shared" si="57"/>
        <v>740314</v>
      </c>
    </row>
    <row r="1317" spans="2:24">
      <c r="B1317" t="s">
        <v>705</v>
      </c>
      <c r="C1317" t="s">
        <v>120</v>
      </c>
      <c r="D1317" t="s">
        <v>665</v>
      </c>
      <c r="E1317" t="s">
        <v>665</v>
      </c>
      <c r="F1317">
        <v>3</v>
      </c>
      <c r="G1317">
        <v>177</v>
      </c>
      <c r="H1317">
        <v>987</v>
      </c>
      <c r="I1317" s="705">
        <v>33962</v>
      </c>
      <c r="J1317" s="705">
        <v>30874</v>
      </c>
      <c r="K1317">
        <v>55</v>
      </c>
      <c r="L1317" s="705">
        <v>1435</v>
      </c>
      <c r="M1317">
        <v>531</v>
      </c>
      <c r="N1317" s="705">
        <v>2825</v>
      </c>
      <c r="O1317" s="705">
        <v>1046</v>
      </c>
      <c r="P1317" s="705">
        <v>1053</v>
      </c>
      <c r="Q1317">
        <v>390</v>
      </c>
      <c r="R1317" s="705">
        <v>13376</v>
      </c>
      <c r="S1317" s="705">
        <v>12160</v>
      </c>
      <c r="T1317" s="705">
        <v>5633</v>
      </c>
      <c r="U1317" s="705">
        <v>2086</v>
      </c>
      <c r="V1317" s="705">
        <v>47088</v>
      </c>
      <c r="W1317" s="705">
        <f t="shared" si="56"/>
        <v>47087</v>
      </c>
      <c r="X1317" s="705">
        <f t="shared" si="57"/>
        <v>58284</v>
      </c>
    </row>
    <row r="1318" spans="2:24">
      <c r="B1318" t="s">
        <v>705</v>
      </c>
      <c r="C1318" t="s">
        <v>122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705">
        <f t="shared" si="56"/>
        <v>357</v>
      </c>
      <c r="X1318" s="705">
        <f t="shared" si="57"/>
        <v>963</v>
      </c>
    </row>
    <row r="1319" spans="2:24">
      <c r="B1319" t="s">
        <v>705</v>
      </c>
      <c r="C1319" t="s">
        <v>122</v>
      </c>
      <c r="D1319" t="s">
        <v>582</v>
      </c>
      <c r="E1319" t="s">
        <v>582</v>
      </c>
      <c r="F1319">
        <v>4</v>
      </c>
      <c r="G1319">
        <v>202</v>
      </c>
      <c r="H1319" s="705">
        <v>1682</v>
      </c>
      <c r="I1319" s="705">
        <v>41530</v>
      </c>
      <c r="J1319" s="705">
        <v>37755</v>
      </c>
      <c r="K1319">
        <v>70</v>
      </c>
      <c r="L1319" s="705">
        <v>11025</v>
      </c>
      <c r="M1319" s="705">
        <v>9291</v>
      </c>
      <c r="N1319" s="705">
        <v>4798</v>
      </c>
      <c r="O1319" s="705">
        <v>1777</v>
      </c>
      <c r="P1319" s="705">
        <v>1404</v>
      </c>
      <c r="Q1319">
        <v>520</v>
      </c>
      <c r="R1319" s="705">
        <v>16265</v>
      </c>
      <c r="S1319" s="705">
        <v>14786</v>
      </c>
      <c r="T1319" s="705">
        <v>9369</v>
      </c>
      <c r="U1319" s="705">
        <v>3470</v>
      </c>
      <c r="V1319" s="705">
        <v>67598</v>
      </c>
      <c r="W1319" s="705">
        <f t="shared" si="56"/>
        <v>67599</v>
      </c>
      <c r="X1319" s="705">
        <f t="shared" si="57"/>
        <v>84391</v>
      </c>
    </row>
    <row r="1320" spans="2:24">
      <c r="B1320" t="s">
        <v>705</v>
      </c>
      <c r="C1320" t="s">
        <v>122</v>
      </c>
      <c r="D1320" t="s">
        <v>228</v>
      </c>
      <c r="E1320" t="s">
        <v>228</v>
      </c>
      <c r="F1320">
        <v>84</v>
      </c>
      <c r="G1320" s="705">
        <v>4493</v>
      </c>
      <c r="H1320" s="705">
        <v>34611</v>
      </c>
      <c r="I1320" s="705">
        <v>1114356</v>
      </c>
      <c r="J1320" s="705">
        <v>412724</v>
      </c>
      <c r="K1320">
        <v>100</v>
      </c>
      <c r="L1320" s="705">
        <v>147315</v>
      </c>
      <c r="M1320" s="705">
        <v>66853</v>
      </c>
      <c r="N1320" s="705">
        <v>85523</v>
      </c>
      <c r="O1320" s="705">
        <v>31675</v>
      </c>
      <c r="P1320" s="705">
        <v>1235</v>
      </c>
      <c r="Q1320">
        <v>457</v>
      </c>
      <c r="R1320" s="705">
        <v>494005</v>
      </c>
      <c r="S1320" s="705">
        <v>182965</v>
      </c>
      <c r="T1320" s="705">
        <v>5105</v>
      </c>
      <c r="U1320" s="705">
        <v>1891</v>
      </c>
      <c r="V1320" s="705">
        <v>696565</v>
      </c>
      <c r="W1320" s="705">
        <f t="shared" si="56"/>
        <v>696565</v>
      </c>
      <c r="X1320" s="705">
        <f t="shared" si="57"/>
        <v>1847539</v>
      </c>
    </row>
    <row r="1321" spans="2:24">
      <c r="B1321" t="s">
        <v>705</v>
      </c>
      <c r="C1321" t="s">
        <v>122</v>
      </c>
      <c r="D1321" t="s">
        <v>583</v>
      </c>
      <c r="E1321" t="s">
        <v>583</v>
      </c>
      <c r="F1321">
        <v>4</v>
      </c>
      <c r="G1321">
        <v>868</v>
      </c>
      <c r="H1321" s="705">
        <v>1636</v>
      </c>
      <c r="I1321" s="705">
        <v>249378</v>
      </c>
      <c r="J1321" s="705">
        <v>226707</v>
      </c>
      <c r="K1321">
        <v>65</v>
      </c>
      <c r="L1321" s="705">
        <v>42889</v>
      </c>
      <c r="M1321" s="705">
        <v>23598</v>
      </c>
      <c r="N1321" s="705">
        <v>20737</v>
      </c>
      <c r="O1321" s="705">
        <v>7680</v>
      </c>
      <c r="P1321" s="705">
        <v>2484</v>
      </c>
      <c r="Q1321">
        <v>920</v>
      </c>
      <c r="R1321" s="705">
        <v>23849</v>
      </c>
      <c r="S1321" s="705">
        <v>21681</v>
      </c>
      <c r="T1321" s="705">
        <v>7483</v>
      </c>
      <c r="U1321" s="705">
        <v>2771</v>
      </c>
      <c r="V1321" s="705">
        <v>283357</v>
      </c>
      <c r="W1321" s="705">
        <f t="shared" si="56"/>
        <v>283357</v>
      </c>
      <c r="X1321" s="705">
        <f t="shared" si="57"/>
        <v>346820</v>
      </c>
    </row>
    <row r="1322" spans="2:24">
      <c r="B1322" t="s">
        <v>705</v>
      </c>
      <c r="C1322" t="s">
        <v>122</v>
      </c>
      <c r="D1322" t="s">
        <v>584</v>
      </c>
      <c r="E1322" t="s">
        <v>584</v>
      </c>
      <c r="F1322">
        <v>1</v>
      </c>
      <c r="G1322">
        <v>37</v>
      </c>
      <c r="H1322">
        <v>450</v>
      </c>
      <c r="I1322" s="705">
        <v>7573</v>
      </c>
      <c r="J1322" s="705">
        <v>6884</v>
      </c>
      <c r="K1322">
        <v>65</v>
      </c>
      <c r="L1322" s="705">
        <v>1733</v>
      </c>
      <c r="M1322" s="705">
        <v>1576</v>
      </c>
      <c r="N1322">
        <v>913</v>
      </c>
      <c r="O1322">
        <v>338</v>
      </c>
      <c r="P1322">
        <v>473</v>
      </c>
      <c r="Q1322">
        <v>175</v>
      </c>
      <c r="R1322" s="705">
        <v>4145</v>
      </c>
      <c r="S1322" s="705">
        <v>3768</v>
      </c>
      <c r="T1322" s="705">
        <v>2007</v>
      </c>
      <c r="U1322">
        <v>743</v>
      </c>
      <c r="V1322" s="705">
        <v>13485</v>
      </c>
      <c r="W1322" s="705">
        <f t="shared" si="56"/>
        <v>13484</v>
      </c>
      <c r="X1322" s="705">
        <f t="shared" si="57"/>
        <v>16844</v>
      </c>
    </row>
    <row r="1323" spans="2:24">
      <c r="B1323" t="s">
        <v>705</v>
      </c>
      <c r="C1323" t="s">
        <v>122</v>
      </c>
      <c r="D1323" t="s">
        <v>669</v>
      </c>
      <c r="E1323" t="s">
        <v>669</v>
      </c>
      <c r="F1323">
        <v>1</v>
      </c>
      <c r="G1323">
        <v>37</v>
      </c>
      <c r="H1323">
        <v>412</v>
      </c>
      <c r="I1323" s="705">
        <v>6985</v>
      </c>
      <c r="J1323" s="705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705">
        <v>5262</v>
      </c>
      <c r="S1323" s="705">
        <v>4385</v>
      </c>
      <c r="T1323" s="705">
        <v>1828</v>
      </c>
      <c r="U1323">
        <v>677</v>
      </c>
      <c r="V1323" s="705">
        <v>11375</v>
      </c>
      <c r="W1323" s="705">
        <f t="shared" ref="W1323:W1386" si="58">SUM(ABS(J1323),ABS(M1323),ABS(O1323),ABS(Q1323),ABS(S1323),ABS(U1323))</f>
        <v>11375</v>
      </c>
      <c r="X1323" s="705">
        <f t="shared" ref="X1323:X1386" si="59">SUM(ABS(I1323),ABS(N1323),ABS(P1323),ABS(R1323),ABS(T1323),ABS(L1323))</f>
        <v>15404</v>
      </c>
    </row>
    <row r="1324" spans="2:24">
      <c r="B1324" t="s">
        <v>705</v>
      </c>
      <c r="C1324" t="s">
        <v>122</v>
      </c>
      <c r="D1324" t="s">
        <v>665</v>
      </c>
      <c r="E1324" t="s">
        <v>228</v>
      </c>
      <c r="F1324">
        <v>1</v>
      </c>
      <c r="G1324">
        <v>59</v>
      </c>
      <c r="H1324">
        <v>449</v>
      </c>
      <c r="I1324" s="705">
        <v>21968</v>
      </c>
      <c r="J1324" s="705">
        <v>19971</v>
      </c>
      <c r="K1324">
        <v>30</v>
      </c>
      <c r="L1324">
        <v>0</v>
      </c>
      <c r="M1324" s="705">
        <v>1498</v>
      </c>
      <c r="N1324">
        <v>715</v>
      </c>
      <c r="O1324">
        <v>265</v>
      </c>
      <c r="P1324">
        <v>0</v>
      </c>
      <c r="Q1324">
        <v>0</v>
      </c>
      <c r="R1324" s="705">
        <v>3673</v>
      </c>
      <c r="S1324" s="705">
        <v>1360</v>
      </c>
      <c r="T1324">
        <v>0</v>
      </c>
      <c r="U1324">
        <v>0</v>
      </c>
      <c r="V1324" s="705">
        <v>23094</v>
      </c>
      <c r="W1324" s="705">
        <f t="shared" si="58"/>
        <v>23094</v>
      </c>
      <c r="X1324" s="705">
        <f t="shared" si="59"/>
        <v>26356</v>
      </c>
    </row>
    <row r="1325" spans="2:24">
      <c r="B1325" t="s">
        <v>705</v>
      </c>
      <c r="C1325" t="s">
        <v>122</v>
      </c>
      <c r="D1325" t="s">
        <v>665</v>
      </c>
      <c r="E1325" t="s">
        <v>665</v>
      </c>
      <c r="F1325">
        <v>3</v>
      </c>
      <c r="G1325">
        <v>153</v>
      </c>
      <c r="H1325" s="705">
        <v>1244</v>
      </c>
      <c r="I1325" s="705">
        <v>39299</v>
      </c>
      <c r="J1325" s="705">
        <v>35726</v>
      </c>
      <c r="K1325">
        <v>55</v>
      </c>
      <c r="L1325" s="705">
        <v>2701</v>
      </c>
      <c r="M1325" s="705">
        <v>1001</v>
      </c>
      <c r="N1325" s="705">
        <v>3718</v>
      </c>
      <c r="O1325" s="705">
        <v>1377</v>
      </c>
      <c r="P1325">
        <v>702</v>
      </c>
      <c r="Q1325">
        <v>260</v>
      </c>
      <c r="R1325" s="705">
        <v>11924</v>
      </c>
      <c r="S1325" s="705">
        <v>10840</v>
      </c>
      <c r="T1325" s="705">
        <v>4911</v>
      </c>
      <c r="U1325" s="705">
        <v>1819</v>
      </c>
      <c r="V1325" s="705">
        <v>51023</v>
      </c>
      <c r="W1325" s="705">
        <f t="shared" si="58"/>
        <v>51023</v>
      </c>
      <c r="X1325" s="705">
        <f t="shared" si="59"/>
        <v>63255</v>
      </c>
    </row>
    <row r="1326" spans="2:24">
      <c r="B1326" t="s">
        <v>705</v>
      </c>
      <c r="C1326" t="s">
        <v>124</v>
      </c>
      <c r="F1326">
        <v>4</v>
      </c>
      <c r="G1326">
        <v>135</v>
      </c>
      <c r="H1326" s="705">
        <v>2805</v>
      </c>
      <c r="J1326">
        <v>0</v>
      </c>
      <c r="M1326">
        <v>0</v>
      </c>
      <c r="N1326" s="705">
        <v>2769</v>
      </c>
      <c r="O1326" s="705">
        <v>1026</v>
      </c>
      <c r="P1326" s="705">
        <v>1242</v>
      </c>
      <c r="Q1326">
        <v>460</v>
      </c>
      <c r="S1326">
        <v>0</v>
      </c>
      <c r="T1326" s="705">
        <v>1024</v>
      </c>
      <c r="U1326">
        <v>379</v>
      </c>
      <c r="V1326" s="705">
        <v>1865</v>
      </c>
      <c r="W1326" s="705">
        <f t="shared" si="58"/>
        <v>1865</v>
      </c>
      <c r="X1326" s="705">
        <f t="shared" si="59"/>
        <v>5035</v>
      </c>
    </row>
    <row r="1327" spans="2:24">
      <c r="B1327" t="s">
        <v>705</v>
      </c>
      <c r="C1327" t="s">
        <v>124</v>
      </c>
      <c r="D1327" t="s">
        <v>582</v>
      </c>
      <c r="E1327" t="s">
        <v>582</v>
      </c>
      <c r="F1327">
        <v>2</v>
      </c>
      <c r="G1327">
        <v>418</v>
      </c>
      <c r="H1327" s="705">
        <v>1095</v>
      </c>
      <c r="I1327" s="705">
        <v>159457</v>
      </c>
      <c r="J1327" s="705">
        <v>144961</v>
      </c>
      <c r="K1327">
        <v>67</v>
      </c>
      <c r="L1327" s="705">
        <v>34171</v>
      </c>
      <c r="M1327" s="705">
        <v>31065</v>
      </c>
      <c r="N1327" s="705">
        <v>10175</v>
      </c>
      <c r="O1327" s="705">
        <v>3769</v>
      </c>
      <c r="P1327">
        <v>945</v>
      </c>
      <c r="Q1327">
        <v>350</v>
      </c>
      <c r="R1327" s="705">
        <v>15382</v>
      </c>
      <c r="S1327" s="705">
        <v>13983</v>
      </c>
      <c r="T1327" s="705">
        <v>2101</v>
      </c>
      <c r="U1327">
        <v>778</v>
      </c>
      <c r="V1327" s="705">
        <v>194906</v>
      </c>
      <c r="W1327" s="705">
        <f t="shared" si="58"/>
        <v>194906</v>
      </c>
      <c r="X1327" s="705">
        <f t="shared" si="59"/>
        <v>222231</v>
      </c>
    </row>
    <row r="1328" spans="2:24">
      <c r="B1328" t="s">
        <v>705</v>
      </c>
      <c r="C1328" t="s">
        <v>124</v>
      </c>
      <c r="D1328" t="s">
        <v>228</v>
      </c>
      <c r="E1328" t="s">
        <v>228</v>
      </c>
      <c r="F1328">
        <v>125</v>
      </c>
      <c r="G1328" s="705">
        <v>6138</v>
      </c>
      <c r="H1328" s="705">
        <v>75534</v>
      </c>
      <c r="I1328" s="705">
        <v>2590342</v>
      </c>
      <c r="J1328" s="705">
        <v>959386</v>
      </c>
      <c r="K1328">
        <v>100</v>
      </c>
      <c r="L1328" s="705">
        <v>319025</v>
      </c>
      <c r="M1328" s="705">
        <v>185254</v>
      </c>
      <c r="N1328" s="705">
        <v>128729</v>
      </c>
      <c r="O1328" s="705">
        <v>47677</v>
      </c>
      <c r="P1328">
        <v>0</v>
      </c>
      <c r="Q1328">
        <v>0</v>
      </c>
      <c r="R1328" s="705">
        <v>680700</v>
      </c>
      <c r="S1328" s="705">
        <v>252111</v>
      </c>
      <c r="T1328" s="705">
        <v>1431</v>
      </c>
      <c r="U1328">
        <v>530</v>
      </c>
      <c r="V1328" s="705">
        <v>1444958</v>
      </c>
      <c r="W1328" s="705">
        <f t="shared" si="58"/>
        <v>1444958</v>
      </c>
      <c r="X1328" s="705">
        <f t="shared" si="59"/>
        <v>3720227</v>
      </c>
    </row>
    <row r="1329" spans="2:24">
      <c r="B1329" t="s">
        <v>705</v>
      </c>
      <c r="C1329" t="s">
        <v>124</v>
      </c>
      <c r="D1329" t="s">
        <v>228</v>
      </c>
      <c r="E1329" t="s">
        <v>669</v>
      </c>
      <c r="F1329">
        <v>1</v>
      </c>
      <c r="G1329">
        <v>46</v>
      </c>
      <c r="H1329">
        <v>514</v>
      </c>
      <c r="I1329" s="705">
        <v>9047</v>
      </c>
      <c r="J1329" s="705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705">
        <v>9018</v>
      </c>
      <c r="S1329" s="705">
        <v>7515</v>
      </c>
      <c r="T1329" s="705">
        <v>3910</v>
      </c>
      <c r="U1329" s="705">
        <v>1448</v>
      </c>
      <c r="V1329" s="705">
        <v>13265</v>
      </c>
      <c r="W1329" s="705">
        <f t="shared" si="58"/>
        <v>13265</v>
      </c>
      <c r="X1329" s="705">
        <f t="shared" si="59"/>
        <v>23425</v>
      </c>
    </row>
    <row r="1330" spans="2:24">
      <c r="B1330" t="s">
        <v>705</v>
      </c>
      <c r="C1330" t="s">
        <v>124</v>
      </c>
      <c r="D1330" t="s">
        <v>583</v>
      </c>
      <c r="E1330" t="s">
        <v>228</v>
      </c>
      <c r="F1330">
        <v>1</v>
      </c>
      <c r="G1330">
        <v>44</v>
      </c>
      <c r="H1330">
        <v>482</v>
      </c>
      <c r="I1330" s="705">
        <v>16395</v>
      </c>
      <c r="J1330" s="705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705">
        <v>3894</v>
      </c>
      <c r="S1330" s="705">
        <v>1442</v>
      </c>
      <c r="T1330">
        <v>0</v>
      </c>
      <c r="U1330">
        <v>0</v>
      </c>
      <c r="V1330" s="705">
        <v>16778</v>
      </c>
      <c r="W1330" s="705">
        <f t="shared" si="58"/>
        <v>16778</v>
      </c>
      <c r="X1330" s="705">
        <f t="shared" si="59"/>
        <v>21452</v>
      </c>
    </row>
    <row r="1331" spans="2:24">
      <c r="B1331" t="s">
        <v>705</v>
      </c>
      <c r="C1331" t="s">
        <v>124</v>
      </c>
      <c r="D1331" t="s">
        <v>583</v>
      </c>
      <c r="E1331" t="s">
        <v>583</v>
      </c>
      <c r="F1331">
        <v>8</v>
      </c>
      <c r="G1331">
        <v>815</v>
      </c>
      <c r="H1331" s="705">
        <v>4969</v>
      </c>
      <c r="I1331" s="705">
        <v>353395</v>
      </c>
      <c r="J1331" s="705">
        <v>321268</v>
      </c>
      <c r="K1331">
        <v>66</v>
      </c>
      <c r="L1331" s="705">
        <v>66449</v>
      </c>
      <c r="M1331" s="705">
        <v>46088</v>
      </c>
      <c r="N1331" s="705">
        <v>18169</v>
      </c>
      <c r="O1331" s="705">
        <v>6729</v>
      </c>
      <c r="P1331" s="705">
        <v>5319</v>
      </c>
      <c r="Q1331" s="705">
        <v>1970</v>
      </c>
      <c r="R1331" s="705">
        <v>51264</v>
      </c>
      <c r="S1331" s="705">
        <v>46603</v>
      </c>
      <c r="T1331" s="705">
        <v>11714</v>
      </c>
      <c r="U1331" s="705">
        <v>4338</v>
      </c>
      <c r="V1331" s="705">
        <v>426997</v>
      </c>
      <c r="W1331" s="705">
        <f t="shared" si="58"/>
        <v>426996</v>
      </c>
      <c r="X1331" s="705">
        <f t="shared" si="59"/>
        <v>506310</v>
      </c>
    </row>
    <row r="1332" spans="2:24">
      <c r="B1332" t="s">
        <v>705</v>
      </c>
      <c r="C1332" t="s">
        <v>124</v>
      </c>
      <c r="D1332" t="s">
        <v>665</v>
      </c>
      <c r="E1332" t="s">
        <v>228</v>
      </c>
      <c r="F1332">
        <v>5</v>
      </c>
      <c r="G1332">
        <v>311</v>
      </c>
      <c r="H1332" s="705">
        <v>4318</v>
      </c>
      <c r="I1332" s="705">
        <v>225591</v>
      </c>
      <c r="J1332" s="705">
        <v>205083</v>
      </c>
      <c r="K1332">
        <v>48</v>
      </c>
      <c r="L1332" s="705">
        <v>26960</v>
      </c>
      <c r="M1332" s="705">
        <v>14867</v>
      </c>
      <c r="N1332" s="705">
        <v>7427</v>
      </c>
      <c r="O1332" s="705">
        <v>2751</v>
      </c>
      <c r="P1332">
        <v>0</v>
      </c>
      <c r="Q1332">
        <v>0</v>
      </c>
      <c r="R1332" s="705">
        <v>26814</v>
      </c>
      <c r="S1332" s="705">
        <v>9931</v>
      </c>
      <c r="T1332">
        <v>0</v>
      </c>
      <c r="U1332">
        <v>0</v>
      </c>
      <c r="V1332" s="705">
        <v>232632</v>
      </c>
      <c r="W1332" s="705">
        <f t="shared" si="58"/>
        <v>232632</v>
      </c>
      <c r="X1332" s="705">
        <f t="shared" si="59"/>
        <v>286792</v>
      </c>
    </row>
    <row r="1333" spans="2:24">
      <c r="B1333" t="s">
        <v>705</v>
      </c>
      <c r="C1333" t="s">
        <v>124</v>
      </c>
      <c r="D1333" t="s">
        <v>665</v>
      </c>
      <c r="E1333" t="s">
        <v>665</v>
      </c>
      <c r="F1333">
        <v>6</v>
      </c>
      <c r="G1333">
        <v>343</v>
      </c>
      <c r="H1333" s="705">
        <v>4753</v>
      </c>
      <c r="I1333" s="705">
        <v>251606</v>
      </c>
      <c r="J1333" s="705">
        <v>228733</v>
      </c>
      <c r="K1333">
        <v>52</v>
      </c>
      <c r="L1333" s="705">
        <v>12886</v>
      </c>
      <c r="M1333" s="705">
        <v>8750</v>
      </c>
      <c r="N1333" s="705">
        <v>7191</v>
      </c>
      <c r="O1333" s="705">
        <v>2663</v>
      </c>
      <c r="P1333" s="705">
        <v>1755</v>
      </c>
      <c r="Q1333">
        <v>650</v>
      </c>
      <c r="R1333" s="705">
        <v>30181</v>
      </c>
      <c r="S1333" s="705">
        <v>27437</v>
      </c>
      <c r="T1333" s="705">
        <v>10600</v>
      </c>
      <c r="U1333" s="705">
        <v>3926</v>
      </c>
      <c r="V1333" s="705">
        <v>272158</v>
      </c>
      <c r="W1333" s="705">
        <f t="shared" si="58"/>
        <v>272159</v>
      </c>
      <c r="X1333" s="705">
        <f t="shared" si="59"/>
        <v>314219</v>
      </c>
    </row>
    <row r="1334" spans="2:24">
      <c r="B1334" t="s">
        <v>706</v>
      </c>
      <c r="C1334" t="s">
        <v>108</v>
      </c>
      <c r="D1334" t="s">
        <v>228</v>
      </c>
      <c r="E1334" t="s">
        <v>228</v>
      </c>
      <c r="F1334">
        <v>53</v>
      </c>
      <c r="G1334" s="705">
        <v>4738</v>
      </c>
      <c r="H1334" s="705">
        <v>2640</v>
      </c>
      <c r="I1334" s="705">
        <v>5462</v>
      </c>
      <c r="J1334" s="705">
        <v>2023</v>
      </c>
      <c r="K1334">
        <v>510</v>
      </c>
      <c r="L1334" s="705">
        <v>3793</v>
      </c>
      <c r="M1334" s="705">
        <v>3448</v>
      </c>
      <c r="N1334" s="705">
        <v>57976</v>
      </c>
      <c r="O1334" s="705">
        <v>21473</v>
      </c>
      <c r="P1334" s="705">
        <v>39118</v>
      </c>
      <c r="Q1334" s="705">
        <v>14488</v>
      </c>
      <c r="R1334" s="705">
        <v>131100</v>
      </c>
      <c r="S1334" s="705">
        <v>48555</v>
      </c>
      <c r="T1334">
        <v>0</v>
      </c>
      <c r="U1334">
        <v>0</v>
      </c>
      <c r="V1334" s="705">
        <v>89987</v>
      </c>
      <c r="W1334" s="705">
        <f t="shared" si="58"/>
        <v>89987</v>
      </c>
      <c r="X1334" s="705">
        <f t="shared" si="59"/>
        <v>237449</v>
      </c>
    </row>
    <row r="1335" spans="2:24">
      <c r="B1335" t="s">
        <v>706</v>
      </c>
      <c r="C1335" t="s">
        <v>108</v>
      </c>
      <c r="D1335" t="s">
        <v>584</v>
      </c>
      <c r="E1335" t="s">
        <v>584</v>
      </c>
      <c r="F1335">
        <v>132</v>
      </c>
      <c r="G1335" s="705">
        <v>11881</v>
      </c>
      <c r="H1335" s="705">
        <v>7003</v>
      </c>
      <c r="I1335" s="705">
        <v>-17372</v>
      </c>
      <c r="J1335" s="705">
        <v>-15792</v>
      </c>
      <c r="K1335">
        <v>90</v>
      </c>
      <c r="L1335" s="705">
        <v>2353</v>
      </c>
      <c r="M1335" s="705">
        <v>1550</v>
      </c>
      <c r="N1335" s="705">
        <v>144984</v>
      </c>
      <c r="O1335" s="705">
        <v>53698</v>
      </c>
      <c r="P1335" s="705">
        <v>116536</v>
      </c>
      <c r="Q1335" s="705">
        <v>43162</v>
      </c>
      <c r="R1335" s="705">
        <v>382602</v>
      </c>
      <c r="S1335" s="705">
        <v>347820</v>
      </c>
      <c r="T1335">
        <v>0</v>
      </c>
      <c r="U1335">
        <v>0</v>
      </c>
      <c r="V1335" s="705">
        <v>430437</v>
      </c>
      <c r="W1335" s="705">
        <f t="shared" si="58"/>
        <v>462022</v>
      </c>
      <c r="X1335" s="705">
        <f t="shared" si="59"/>
        <v>663847</v>
      </c>
    </row>
    <row r="1336" spans="2:24">
      <c r="B1336" t="s">
        <v>706</v>
      </c>
      <c r="C1336" t="s">
        <v>110</v>
      </c>
      <c r="D1336" t="s">
        <v>228</v>
      </c>
      <c r="E1336" t="s">
        <v>228</v>
      </c>
      <c r="F1336">
        <v>1</v>
      </c>
      <c r="G1336">
        <v>473</v>
      </c>
      <c r="H1336">
        <v>95</v>
      </c>
      <c r="I1336" s="705">
        <v>26083</v>
      </c>
      <c r="J1336" s="705">
        <v>9660</v>
      </c>
      <c r="K1336">
        <v>362</v>
      </c>
      <c r="L1336" s="705">
        <v>7123</v>
      </c>
      <c r="M1336" s="705">
        <v>6476</v>
      </c>
      <c r="N1336" s="705">
        <v>5763</v>
      </c>
      <c r="O1336" s="705">
        <v>2134</v>
      </c>
      <c r="P1336">
        <v>351</v>
      </c>
      <c r="Q1336">
        <v>130</v>
      </c>
      <c r="R1336" s="705">
        <v>5846</v>
      </c>
      <c r="S1336" s="705">
        <v>2165</v>
      </c>
      <c r="T1336">
        <v>0</v>
      </c>
      <c r="U1336">
        <v>0</v>
      </c>
      <c r="V1336" s="705">
        <v>20566</v>
      </c>
      <c r="W1336" s="705">
        <f t="shared" si="58"/>
        <v>20565</v>
      </c>
      <c r="X1336" s="705">
        <f t="shared" si="59"/>
        <v>45166</v>
      </c>
    </row>
    <row r="1337" spans="2:24">
      <c r="B1337" t="s">
        <v>706</v>
      </c>
      <c r="C1337" t="s">
        <v>110</v>
      </c>
      <c r="D1337" t="s">
        <v>584</v>
      </c>
      <c r="E1337" t="s">
        <v>584</v>
      </c>
      <c r="F1337">
        <v>10</v>
      </c>
      <c r="G1337">
        <v>928</v>
      </c>
      <c r="H1337">
        <v>945</v>
      </c>
      <c r="I1337" s="705">
        <v>35637</v>
      </c>
      <c r="J1337" s="705">
        <v>32397</v>
      </c>
      <c r="K1337">
        <v>85</v>
      </c>
      <c r="L1337">
        <v>0</v>
      </c>
      <c r="M1337" s="705">
        <v>1325</v>
      </c>
      <c r="N1337" s="705">
        <v>17844</v>
      </c>
      <c r="O1337" s="705">
        <v>6609</v>
      </c>
      <c r="P1337" s="705">
        <v>4725</v>
      </c>
      <c r="Q1337" s="705">
        <v>1750</v>
      </c>
      <c r="R1337" s="705">
        <v>35284</v>
      </c>
      <c r="S1337" s="705">
        <v>32076</v>
      </c>
      <c r="T1337">
        <v>0</v>
      </c>
      <c r="U1337">
        <v>0</v>
      </c>
      <c r="V1337" s="705">
        <v>74157</v>
      </c>
      <c r="W1337" s="705">
        <f t="shared" si="58"/>
        <v>74157</v>
      </c>
      <c r="X1337" s="705">
        <f t="shared" si="59"/>
        <v>93490</v>
      </c>
    </row>
    <row r="1338" spans="2:24">
      <c r="B1338" t="s">
        <v>706</v>
      </c>
      <c r="C1338" t="s">
        <v>112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705">
        <v>3970</v>
      </c>
      <c r="O1338" s="705">
        <v>1471</v>
      </c>
      <c r="P1338" s="705">
        <v>1053</v>
      </c>
      <c r="Q1338">
        <v>390</v>
      </c>
      <c r="S1338">
        <v>0</v>
      </c>
      <c r="T1338">
        <v>0</v>
      </c>
      <c r="U1338">
        <v>0</v>
      </c>
      <c r="V1338" s="705">
        <v>1861</v>
      </c>
      <c r="W1338" s="705">
        <f t="shared" si="58"/>
        <v>1861</v>
      </c>
      <c r="X1338" s="705">
        <f t="shared" si="59"/>
        <v>5023</v>
      </c>
    </row>
    <row r="1339" spans="2:24">
      <c r="B1339" t="s">
        <v>706</v>
      </c>
      <c r="C1339" t="s">
        <v>112</v>
      </c>
      <c r="D1339" t="s">
        <v>228</v>
      </c>
      <c r="E1339" t="s">
        <v>228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705">
        <v>3581</v>
      </c>
      <c r="S1339" s="705">
        <v>1326</v>
      </c>
      <c r="T1339">
        <v>0</v>
      </c>
      <c r="U1339">
        <v>0</v>
      </c>
      <c r="V1339" s="705">
        <v>1757</v>
      </c>
      <c r="W1339" s="705">
        <f t="shared" si="58"/>
        <v>1757</v>
      </c>
      <c r="X1339" s="705">
        <f t="shared" si="59"/>
        <v>4745</v>
      </c>
    </row>
    <row r="1340" spans="2:24">
      <c r="B1340" t="s">
        <v>706</v>
      </c>
      <c r="C1340" t="s">
        <v>112</v>
      </c>
      <c r="D1340" t="s">
        <v>583</v>
      </c>
      <c r="E1340" t="s">
        <v>583</v>
      </c>
      <c r="F1340">
        <v>1</v>
      </c>
      <c r="G1340">
        <v>281</v>
      </c>
      <c r="H1340">
        <v>120</v>
      </c>
      <c r="I1340" s="705">
        <v>18139</v>
      </c>
      <c r="J1340" s="705">
        <v>16490</v>
      </c>
      <c r="K1340">
        <v>95</v>
      </c>
      <c r="L1340" s="705">
        <v>2584</v>
      </c>
      <c r="M1340" s="705">
        <v>2349</v>
      </c>
      <c r="N1340" s="705">
        <v>3425</v>
      </c>
      <c r="O1340" s="705">
        <v>1268</v>
      </c>
      <c r="P1340" s="705">
        <v>3411</v>
      </c>
      <c r="Q1340" s="705">
        <v>1263</v>
      </c>
      <c r="R1340" s="705">
        <v>6158</v>
      </c>
      <c r="S1340" s="705">
        <v>5598</v>
      </c>
      <c r="T1340">
        <v>0</v>
      </c>
      <c r="U1340">
        <v>0</v>
      </c>
      <c r="V1340" s="705">
        <v>26969</v>
      </c>
      <c r="W1340" s="705">
        <f t="shared" si="58"/>
        <v>26968</v>
      </c>
      <c r="X1340" s="705">
        <f t="shared" si="59"/>
        <v>33717</v>
      </c>
    </row>
    <row r="1341" spans="2:24">
      <c r="B1341" t="s">
        <v>706</v>
      </c>
      <c r="C1341" t="s">
        <v>112</v>
      </c>
      <c r="D1341" t="s">
        <v>584</v>
      </c>
      <c r="E1341" t="s">
        <v>584</v>
      </c>
      <c r="F1341">
        <v>130</v>
      </c>
      <c r="G1341" s="705">
        <v>10434</v>
      </c>
      <c r="H1341" s="705">
        <v>15309</v>
      </c>
      <c r="I1341" s="705">
        <v>452032</v>
      </c>
      <c r="J1341" s="705">
        <v>410939</v>
      </c>
      <c r="K1341">
        <v>85</v>
      </c>
      <c r="L1341" s="705">
        <v>36793</v>
      </c>
      <c r="M1341" s="705">
        <v>31429</v>
      </c>
      <c r="N1341" s="705">
        <v>181219</v>
      </c>
      <c r="O1341" s="705">
        <v>67118</v>
      </c>
      <c r="P1341" s="705">
        <v>74086</v>
      </c>
      <c r="Q1341" s="705">
        <v>27439</v>
      </c>
      <c r="R1341" s="705">
        <v>478354</v>
      </c>
      <c r="S1341" s="705">
        <v>434867</v>
      </c>
      <c r="T1341" s="705">
        <v>17972</v>
      </c>
      <c r="U1341" s="705">
        <v>6656</v>
      </c>
      <c r="V1341" s="705">
        <v>978448</v>
      </c>
      <c r="W1341" s="705">
        <f t="shared" si="58"/>
        <v>978448</v>
      </c>
      <c r="X1341" s="705">
        <f t="shared" si="59"/>
        <v>1240456</v>
      </c>
    </row>
    <row r="1342" spans="2:24">
      <c r="B1342" t="s">
        <v>706</v>
      </c>
      <c r="C1342" t="s">
        <v>114</v>
      </c>
      <c r="F1342">
        <v>38</v>
      </c>
      <c r="G1342" s="705">
        <v>2592</v>
      </c>
      <c r="H1342" s="705">
        <v>5373</v>
      </c>
      <c r="J1342">
        <v>0</v>
      </c>
      <c r="M1342">
        <v>0</v>
      </c>
      <c r="N1342" s="705">
        <v>59694</v>
      </c>
      <c r="O1342" s="705">
        <v>22109</v>
      </c>
      <c r="P1342" s="705">
        <v>13338</v>
      </c>
      <c r="Q1342" s="705">
        <v>4940</v>
      </c>
      <c r="S1342">
        <v>0</v>
      </c>
      <c r="T1342">
        <v>0</v>
      </c>
      <c r="U1342">
        <v>0</v>
      </c>
      <c r="V1342" s="705">
        <v>27049</v>
      </c>
      <c r="W1342" s="705">
        <f t="shared" si="58"/>
        <v>27049</v>
      </c>
      <c r="X1342" s="705">
        <f t="shared" si="59"/>
        <v>73032</v>
      </c>
    </row>
    <row r="1343" spans="2:24">
      <c r="B1343" t="s">
        <v>706</v>
      </c>
      <c r="C1343" t="s">
        <v>114</v>
      </c>
      <c r="D1343" t="s">
        <v>582</v>
      </c>
      <c r="E1343" t="s">
        <v>664</v>
      </c>
      <c r="F1343">
        <v>1</v>
      </c>
      <c r="G1343">
        <v>304</v>
      </c>
      <c r="H1343">
        <v>142</v>
      </c>
      <c r="I1343" s="705">
        <v>26078</v>
      </c>
      <c r="J1343" s="705">
        <v>23707</v>
      </c>
      <c r="K1343">
        <v>92</v>
      </c>
      <c r="L1343" s="705">
        <v>4462</v>
      </c>
      <c r="M1343" s="705">
        <v>4057</v>
      </c>
      <c r="N1343" s="705">
        <v>5811</v>
      </c>
      <c r="O1343" s="705">
        <v>2152</v>
      </c>
      <c r="P1343">
        <v>473</v>
      </c>
      <c r="Q1343">
        <v>175</v>
      </c>
      <c r="R1343" s="705">
        <v>6451</v>
      </c>
      <c r="S1343" s="705">
        <v>5864</v>
      </c>
      <c r="T1343">
        <v>0</v>
      </c>
      <c r="U1343">
        <v>0</v>
      </c>
      <c r="V1343" s="705">
        <v>35956</v>
      </c>
      <c r="W1343" s="705">
        <f t="shared" si="58"/>
        <v>35955</v>
      </c>
      <c r="X1343" s="705">
        <f t="shared" si="59"/>
        <v>43275</v>
      </c>
    </row>
    <row r="1344" spans="2:24">
      <c r="B1344" t="s">
        <v>706</v>
      </c>
      <c r="C1344" t="s">
        <v>114</v>
      </c>
      <c r="D1344" t="s">
        <v>582</v>
      </c>
      <c r="E1344" t="s">
        <v>582</v>
      </c>
      <c r="F1344">
        <v>1</v>
      </c>
      <c r="G1344">
        <v>59</v>
      </c>
      <c r="H1344">
        <v>143</v>
      </c>
      <c r="I1344" s="705">
        <v>3024</v>
      </c>
      <c r="J1344" s="705">
        <v>2749</v>
      </c>
      <c r="K1344">
        <v>90</v>
      </c>
      <c r="L1344">
        <v>0</v>
      </c>
      <c r="M1344">
        <v>0</v>
      </c>
      <c r="N1344" s="705">
        <v>1442</v>
      </c>
      <c r="O1344">
        <v>534</v>
      </c>
      <c r="P1344">
        <v>473</v>
      </c>
      <c r="Q1344">
        <v>175</v>
      </c>
      <c r="R1344" s="705">
        <v>3501</v>
      </c>
      <c r="S1344" s="705">
        <v>3183</v>
      </c>
      <c r="T1344">
        <v>0</v>
      </c>
      <c r="U1344">
        <v>0</v>
      </c>
      <c r="V1344" s="705">
        <v>6641</v>
      </c>
      <c r="W1344" s="705">
        <f t="shared" si="58"/>
        <v>6641</v>
      </c>
      <c r="X1344" s="705">
        <f t="shared" si="59"/>
        <v>8440</v>
      </c>
    </row>
    <row r="1345" spans="2:24">
      <c r="B1345" t="s">
        <v>706</v>
      </c>
      <c r="C1345" t="s">
        <v>114</v>
      </c>
      <c r="D1345" t="s">
        <v>228</v>
      </c>
      <c r="E1345" t="s">
        <v>228</v>
      </c>
      <c r="F1345">
        <v>4</v>
      </c>
      <c r="G1345">
        <v>483</v>
      </c>
      <c r="H1345">
        <v>571</v>
      </c>
      <c r="I1345" s="705">
        <v>28304</v>
      </c>
      <c r="J1345" s="705">
        <v>10483</v>
      </c>
      <c r="K1345">
        <v>138</v>
      </c>
      <c r="L1345" s="705">
        <v>5267</v>
      </c>
      <c r="M1345" s="705">
        <v>4119</v>
      </c>
      <c r="N1345" s="705">
        <v>7155</v>
      </c>
      <c r="O1345" s="705">
        <v>2650</v>
      </c>
      <c r="P1345" s="705">
        <v>4623</v>
      </c>
      <c r="Q1345" s="705">
        <v>1712</v>
      </c>
      <c r="R1345" s="705">
        <v>22958</v>
      </c>
      <c r="S1345" s="705">
        <v>8503</v>
      </c>
      <c r="T1345">
        <v>0</v>
      </c>
      <c r="U1345">
        <v>0</v>
      </c>
      <c r="V1345" s="705">
        <v>27467</v>
      </c>
      <c r="W1345" s="705">
        <f t="shared" si="58"/>
        <v>27467</v>
      </c>
      <c r="X1345" s="705">
        <f t="shared" si="59"/>
        <v>68307</v>
      </c>
    </row>
    <row r="1346" spans="2:24">
      <c r="B1346" t="s">
        <v>706</v>
      </c>
      <c r="C1346" t="s">
        <v>114</v>
      </c>
      <c r="D1346" t="s">
        <v>583</v>
      </c>
      <c r="E1346" t="s">
        <v>583</v>
      </c>
      <c r="F1346">
        <v>2</v>
      </c>
      <c r="G1346">
        <v>342</v>
      </c>
      <c r="H1346">
        <v>295</v>
      </c>
      <c r="I1346" s="705">
        <v>34991</v>
      </c>
      <c r="J1346" s="705">
        <v>31810</v>
      </c>
      <c r="K1346">
        <v>85</v>
      </c>
      <c r="L1346" s="705">
        <v>5059</v>
      </c>
      <c r="M1346" s="705">
        <v>4599</v>
      </c>
      <c r="N1346" s="705">
        <v>6351</v>
      </c>
      <c r="O1346" s="705">
        <v>2352</v>
      </c>
      <c r="P1346" s="705">
        <v>1593</v>
      </c>
      <c r="Q1346">
        <v>590</v>
      </c>
      <c r="R1346" s="705">
        <v>12274</v>
      </c>
      <c r="S1346" s="705">
        <v>11158</v>
      </c>
      <c r="T1346">
        <v>0</v>
      </c>
      <c r="U1346">
        <v>0</v>
      </c>
      <c r="V1346" s="705">
        <v>50510</v>
      </c>
      <c r="W1346" s="705">
        <f t="shared" si="58"/>
        <v>50509</v>
      </c>
      <c r="X1346" s="705">
        <f t="shared" si="59"/>
        <v>60268</v>
      </c>
    </row>
    <row r="1347" spans="2:24">
      <c r="B1347" t="s">
        <v>706</v>
      </c>
      <c r="C1347" t="s">
        <v>114</v>
      </c>
      <c r="D1347" t="s">
        <v>584</v>
      </c>
      <c r="E1347" t="s">
        <v>584</v>
      </c>
      <c r="F1347">
        <v>333</v>
      </c>
      <c r="G1347" s="705">
        <v>26485</v>
      </c>
      <c r="H1347" s="705">
        <v>46708</v>
      </c>
      <c r="I1347" s="705">
        <v>1580160</v>
      </c>
      <c r="J1347" s="705">
        <v>1436510</v>
      </c>
      <c r="K1347">
        <v>83</v>
      </c>
      <c r="L1347" s="705">
        <v>128870</v>
      </c>
      <c r="M1347" s="705">
        <v>96495</v>
      </c>
      <c r="N1347" s="705">
        <v>525542</v>
      </c>
      <c r="O1347" s="705">
        <v>194645</v>
      </c>
      <c r="P1347" s="705">
        <v>158104</v>
      </c>
      <c r="Q1347" s="705">
        <v>58557</v>
      </c>
      <c r="R1347" s="705">
        <v>1309706</v>
      </c>
      <c r="S1347" s="705">
        <v>1190642</v>
      </c>
      <c r="T1347" s="705">
        <v>62319</v>
      </c>
      <c r="U1347" s="705">
        <v>23081</v>
      </c>
      <c r="V1347" s="705">
        <v>2999929</v>
      </c>
      <c r="W1347" s="705">
        <f t="shared" si="58"/>
        <v>2999930</v>
      </c>
      <c r="X1347" s="705">
        <f t="shared" si="59"/>
        <v>3764701</v>
      </c>
    </row>
    <row r="1348" spans="2:24">
      <c r="B1348" t="s">
        <v>706</v>
      </c>
      <c r="C1348" t="s">
        <v>116</v>
      </c>
      <c r="F1348">
        <v>44</v>
      </c>
      <c r="G1348" s="705">
        <v>2667</v>
      </c>
      <c r="H1348" s="705">
        <v>7487</v>
      </c>
      <c r="J1348">
        <v>0</v>
      </c>
      <c r="M1348">
        <v>0</v>
      </c>
      <c r="N1348" s="705">
        <v>60637</v>
      </c>
      <c r="O1348" s="705">
        <v>22458</v>
      </c>
      <c r="P1348" s="705">
        <v>15012</v>
      </c>
      <c r="Q1348" s="705">
        <v>5560</v>
      </c>
      <c r="S1348">
        <v>0</v>
      </c>
      <c r="T1348">
        <v>0</v>
      </c>
      <c r="U1348">
        <v>0</v>
      </c>
      <c r="V1348" s="705">
        <v>28018</v>
      </c>
      <c r="W1348" s="705">
        <f t="shared" si="58"/>
        <v>28018</v>
      </c>
      <c r="X1348" s="705">
        <f t="shared" si="59"/>
        <v>75649</v>
      </c>
    </row>
    <row r="1349" spans="2:24">
      <c r="B1349" t="s">
        <v>706</v>
      </c>
      <c r="C1349" t="s">
        <v>116</v>
      </c>
      <c r="D1349" t="s">
        <v>582</v>
      </c>
      <c r="E1349" t="s">
        <v>582</v>
      </c>
      <c r="F1349">
        <v>12</v>
      </c>
      <c r="G1349">
        <v>810</v>
      </c>
      <c r="H1349" s="705">
        <v>2336</v>
      </c>
      <c r="I1349" s="705">
        <v>82319</v>
      </c>
      <c r="J1349" s="705">
        <v>74835</v>
      </c>
      <c r="K1349">
        <v>82</v>
      </c>
      <c r="L1349" s="705">
        <v>2299</v>
      </c>
      <c r="M1349" s="705">
        <v>2090</v>
      </c>
      <c r="N1349" s="705">
        <v>19300</v>
      </c>
      <c r="O1349" s="705">
        <v>7148</v>
      </c>
      <c r="P1349" s="705">
        <v>5670</v>
      </c>
      <c r="Q1349" s="705">
        <v>2100</v>
      </c>
      <c r="R1349" s="705">
        <v>47576</v>
      </c>
      <c r="S1349" s="705">
        <v>43251</v>
      </c>
      <c r="T1349">
        <v>0</v>
      </c>
      <c r="U1349">
        <v>0</v>
      </c>
      <c r="V1349" s="705">
        <v>129424</v>
      </c>
      <c r="W1349" s="705">
        <f t="shared" si="58"/>
        <v>129424</v>
      </c>
      <c r="X1349" s="705">
        <f t="shared" si="59"/>
        <v>157164</v>
      </c>
    </row>
    <row r="1350" spans="2:24">
      <c r="B1350" t="s">
        <v>706</v>
      </c>
      <c r="C1350" t="s">
        <v>116</v>
      </c>
      <c r="D1350" t="s">
        <v>228</v>
      </c>
      <c r="E1350" t="s">
        <v>228</v>
      </c>
      <c r="F1350">
        <v>300</v>
      </c>
      <c r="G1350" s="705">
        <v>22379</v>
      </c>
      <c r="H1350" s="705">
        <v>59890</v>
      </c>
      <c r="I1350" s="705">
        <v>1850473</v>
      </c>
      <c r="J1350" s="705">
        <v>685360</v>
      </c>
      <c r="K1350">
        <v>100</v>
      </c>
      <c r="L1350" s="705">
        <v>235776</v>
      </c>
      <c r="M1350" s="705">
        <v>90874</v>
      </c>
      <c r="N1350" s="705">
        <v>434551</v>
      </c>
      <c r="O1350" s="705">
        <v>160945</v>
      </c>
      <c r="P1350" s="705">
        <v>2970</v>
      </c>
      <c r="Q1350" s="705">
        <v>1100</v>
      </c>
      <c r="R1350" s="705">
        <v>1903773</v>
      </c>
      <c r="S1350" s="705">
        <v>705101</v>
      </c>
      <c r="T1350" s="705">
        <v>35828</v>
      </c>
      <c r="U1350" s="705">
        <v>13270</v>
      </c>
      <c r="V1350" s="705">
        <v>1656650</v>
      </c>
      <c r="W1350" s="705">
        <f t="shared" si="58"/>
        <v>1656650</v>
      </c>
      <c r="X1350" s="705">
        <f t="shared" si="59"/>
        <v>4463371</v>
      </c>
    </row>
    <row r="1351" spans="2:24">
      <c r="B1351" t="s">
        <v>706</v>
      </c>
      <c r="C1351" t="s">
        <v>116</v>
      </c>
      <c r="D1351" t="s">
        <v>583</v>
      </c>
      <c r="E1351" t="s">
        <v>583</v>
      </c>
      <c r="F1351">
        <v>52</v>
      </c>
      <c r="G1351" s="705">
        <v>8245</v>
      </c>
      <c r="H1351" s="705">
        <v>9955</v>
      </c>
      <c r="I1351" s="705">
        <v>879629</v>
      </c>
      <c r="J1351" s="705">
        <v>799662</v>
      </c>
      <c r="K1351">
        <v>87</v>
      </c>
      <c r="L1351" s="705">
        <v>208468</v>
      </c>
      <c r="M1351" s="705">
        <v>184397</v>
      </c>
      <c r="N1351" s="705">
        <v>173558</v>
      </c>
      <c r="O1351" s="705">
        <v>64281</v>
      </c>
      <c r="P1351" s="705">
        <v>35222</v>
      </c>
      <c r="Q1351" s="705">
        <v>13045</v>
      </c>
      <c r="R1351" s="705">
        <v>272250</v>
      </c>
      <c r="S1351" s="705">
        <v>247500</v>
      </c>
      <c r="T1351" s="705">
        <v>50287</v>
      </c>
      <c r="U1351" s="705">
        <v>18625</v>
      </c>
      <c r="V1351" s="705">
        <v>1327510</v>
      </c>
      <c r="W1351" s="705">
        <f t="shared" si="58"/>
        <v>1327510</v>
      </c>
      <c r="X1351" s="705">
        <f t="shared" si="59"/>
        <v>1619414</v>
      </c>
    </row>
    <row r="1352" spans="2:24">
      <c r="B1352" t="s">
        <v>706</v>
      </c>
      <c r="C1352" t="s">
        <v>116</v>
      </c>
      <c r="D1352" t="s">
        <v>584</v>
      </c>
      <c r="E1352" t="s">
        <v>584</v>
      </c>
      <c r="F1352" s="705">
        <v>1275</v>
      </c>
      <c r="G1352" s="705">
        <v>93493</v>
      </c>
      <c r="H1352" s="705">
        <v>232563</v>
      </c>
      <c r="I1352" s="705">
        <v>7906633</v>
      </c>
      <c r="J1352" s="705">
        <v>7187848</v>
      </c>
      <c r="K1352">
        <v>80</v>
      </c>
      <c r="L1352" s="705">
        <v>830193</v>
      </c>
      <c r="M1352" s="705">
        <v>623760</v>
      </c>
      <c r="N1352" s="705">
        <v>1845447</v>
      </c>
      <c r="O1352" s="705">
        <v>683499</v>
      </c>
      <c r="P1352" s="705">
        <v>606335</v>
      </c>
      <c r="Q1352" s="705">
        <v>224569</v>
      </c>
      <c r="R1352" s="705">
        <v>5144364</v>
      </c>
      <c r="S1352" s="705">
        <v>4676695</v>
      </c>
      <c r="T1352" s="705">
        <v>680100</v>
      </c>
      <c r="U1352" s="705">
        <v>251889</v>
      </c>
      <c r="V1352" s="705">
        <v>13648258</v>
      </c>
      <c r="W1352" s="705">
        <f t="shared" si="58"/>
        <v>13648260</v>
      </c>
      <c r="X1352" s="705">
        <f t="shared" si="59"/>
        <v>17013072</v>
      </c>
    </row>
    <row r="1353" spans="2:24">
      <c r="B1353" t="s">
        <v>706</v>
      </c>
      <c r="C1353" t="s">
        <v>116</v>
      </c>
      <c r="D1353" t="s">
        <v>585</v>
      </c>
      <c r="E1353" t="s">
        <v>228</v>
      </c>
      <c r="F1353">
        <v>1</v>
      </c>
      <c r="G1353">
        <v>65</v>
      </c>
      <c r="H1353">
        <v>182</v>
      </c>
      <c r="I1353" s="705">
        <v>6441</v>
      </c>
      <c r="J1353" s="705">
        <v>5856</v>
      </c>
      <c r="K1353">
        <v>89</v>
      </c>
      <c r="L1353">
        <v>0</v>
      </c>
      <c r="M1353">
        <v>0</v>
      </c>
      <c r="N1353" s="705">
        <v>1109</v>
      </c>
      <c r="O1353">
        <v>411</v>
      </c>
      <c r="P1353">
        <v>351</v>
      </c>
      <c r="Q1353">
        <v>130</v>
      </c>
      <c r="R1353" s="705">
        <v>3902</v>
      </c>
      <c r="S1353" s="705">
        <v>1445</v>
      </c>
      <c r="T1353">
        <v>0</v>
      </c>
      <c r="U1353">
        <v>0</v>
      </c>
      <c r="V1353" s="705">
        <v>7841</v>
      </c>
      <c r="W1353" s="705">
        <f t="shared" si="58"/>
        <v>7842</v>
      </c>
      <c r="X1353" s="705">
        <f t="shared" si="59"/>
        <v>11803</v>
      </c>
    </row>
    <row r="1354" spans="2:24">
      <c r="B1354" t="s">
        <v>706</v>
      </c>
      <c r="C1354" t="s">
        <v>118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705">
        <v>6941</v>
      </c>
      <c r="O1354" s="705">
        <v>2571</v>
      </c>
      <c r="P1354" s="705">
        <v>1053</v>
      </c>
      <c r="Q1354">
        <v>390</v>
      </c>
      <c r="S1354">
        <v>0</v>
      </c>
      <c r="T1354">
        <v>0</v>
      </c>
      <c r="U1354">
        <v>0</v>
      </c>
      <c r="V1354" s="705">
        <v>2961</v>
      </c>
      <c r="W1354" s="705">
        <f t="shared" si="58"/>
        <v>2961</v>
      </c>
      <c r="X1354" s="705">
        <f t="shared" si="59"/>
        <v>7994</v>
      </c>
    </row>
    <row r="1355" spans="2:24">
      <c r="B1355" t="s">
        <v>706</v>
      </c>
      <c r="C1355" t="s">
        <v>118</v>
      </c>
      <c r="D1355" t="s">
        <v>582</v>
      </c>
      <c r="E1355" t="s">
        <v>582</v>
      </c>
      <c r="F1355">
        <v>6</v>
      </c>
      <c r="G1355">
        <v>609</v>
      </c>
      <c r="H1355" s="705">
        <v>1485</v>
      </c>
      <c r="I1355" s="705">
        <v>93633</v>
      </c>
      <c r="J1355" s="705">
        <v>85121</v>
      </c>
      <c r="K1355">
        <v>80</v>
      </c>
      <c r="L1355" s="705">
        <v>7384</v>
      </c>
      <c r="M1355" s="705">
        <v>6713</v>
      </c>
      <c r="N1355" s="705">
        <v>12501</v>
      </c>
      <c r="O1355" s="705">
        <v>4630</v>
      </c>
      <c r="P1355" s="705">
        <v>2835</v>
      </c>
      <c r="Q1355" s="705">
        <v>1050</v>
      </c>
      <c r="R1355" s="705">
        <v>26373</v>
      </c>
      <c r="S1355" s="705">
        <v>23976</v>
      </c>
      <c r="T1355" s="705">
        <v>4431</v>
      </c>
      <c r="U1355" s="705">
        <v>1641</v>
      </c>
      <c r="V1355" s="705">
        <v>123131</v>
      </c>
      <c r="W1355" s="705">
        <f t="shared" si="58"/>
        <v>123131</v>
      </c>
      <c r="X1355" s="705">
        <f t="shared" si="59"/>
        <v>147157</v>
      </c>
    </row>
    <row r="1356" spans="2:24">
      <c r="B1356" t="s">
        <v>706</v>
      </c>
      <c r="C1356" t="s">
        <v>118</v>
      </c>
      <c r="D1356" t="s">
        <v>228</v>
      </c>
      <c r="E1356" t="s">
        <v>228</v>
      </c>
      <c r="F1356">
        <v>650</v>
      </c>
      <c r="G1356" s="705">
        <v>42446</v>
      </c>
      <c r="H1356" s="705">
        <v>170653</v>
      </c>
      <c r="I1356" s="705">
        <v>5505305</v>
      </c>
      <c r="J1356" s="705">
        <v>2039002</v>
      </c>
      <c r="K1356">
        <v>100</v>
      </c>
      <c r="L1356" s="705">
        <v>781743</v>
      </c>
      <c r="M1356" s="705">
        <v>311308</v>
      </c>
      <c r="N1356" s="705">
        <v>847147</v>
      </c>
      <c r="O1356" s="705">
        <v>313758</v>
      </c>
      <c r="P1356" s="705">
        <v>8463</v>
      </c>
      <c r="Q1356" s="705">
        <v>3135</v>
      </c>
      <c r="R1356" s="705">
        <v>3958396</v>
      </c>
      <c r="S1356" s="705">
        <v>1466073</v>
      </c>
      <c r="T1356" s="705">
        <v>45881</v>
      </c>
      <c r="U1356" s="705">
        <v>16993</v>
      </c>
      <c r="V1356" s="705">
        <v>4150268</v>
      </c>
      <c r="W1356" s="705">
        <f t="shared" si="58"/>
        <v>4150269</v>
      </c>
      <c r="X1356" s="705">
        <f t="shared" si="59"/>
        <v>11146935</v>
      </c>
    </row>
    <row r="1357" spans="2:24">
      <c r="B1357" t="s">
        <v>706</v>
      </c>
      <c r="C1357" t="s">
        <v>118</v>
      </c>
      <c r="D1357" t="s">
        <v>583</v>
      </c>
      <c r="E1357" t="s">
        <v>583</v>
      </c>
      <c r="F1357">
        <v>36</v>
      </c>
      <c r="G1357" s="705">
        <v>3686</v>
      </c>
      <c r="H1357" s="705">
        <v>9634</v>
      </c>
      <c r="I1357" s="705">
        <v>563359</v>
      </c>
      <c r="J1357" s="705">
        <v>512144</v>
      </c>
      <c r="K1357">
        <v>80</v>
      </c>
      <c r="L1357" s="705">
        <v>114457</v>
      </c>
      <c r="M1357" s="705">
        <v>100615</v>
      </c>
      <c r="N1357" s="705">
        <v>76139</v>
      </c>
      <c r="O1357" s="705">
        <v>28200</v>
      </c>
      <c r="P1357" s="705">
        <v>22356</v>
      </c>
      <c r="Q1357" s="705">
        <v>8280</v>
      </c>
      <c r="R1357" s="705">
        <v>167409</v>
      </c>
      <c r="S1357" s="705">
        <v>152190</v>
      </c>
      <c r="T1357" s="705">
        <v>57402</v>
      </c>
      <c r="U1357" s="705">
        <v>21260</v>
      </c>
      <c r="V1357" s="705">
        <v>822688</v>
      </c>
      <c r="W1357" s="705">
        <f t="shared" si="58"/>
        <v>822689</v>
      </c>
      <c r="X1357" s="705">
        <f t="shared" si="59"/>
        <v>1001122</v>
      </c>
    </row>
    <row r="1358" spans="2:24">
      <c r="B1358" t="s">
        <v>706</v>
      </c>
      <c r="C1358" t="s">
        <v>118</v>
      </c>
      <c r="D1358" t="s">
        <v>584</v>
      </c>
      <c r="E1358" t="s">
        <v>228</v>
      </c>
      <c r="F1358">
        <v>1</v>
      </c>
      <c r="G1358">
        <v>91</v>
      </c>
      <c r="H1358">
        <v>264</v>
      </c>
      <c r="I1358" s="705">
        <v>15359</v>
      </c>
      <c r="J1358" s="705">
        <v>13962</v>
      </c>
      <c r="K1358">
        <v>79</v>
      </c>
      <c r="L1358">
        <v>0</v>
      </c>
      <c r="M1358">
        <v>0</v>
      </c>
      <c r="N1358" s="705">
        <v>2213</v>
      </c>
      <c r="O1358">
        <v>820</v>
      </c>
      <c r="P1358">
        <v>473</v>
      </c>
      <c r="Q1358">
        <v>175</v>
      </c>
      <c r="R1358" s="705">
        <v>5945</v>
      </c>
      <c r="S1358" s="705">
        <v>2202</v>
      </c>
      <c r="T1358">
        <v>0</v>
      </c>
      <c r="U1358">
        <v>0</v>
      </c>
      <c r="V1358" s="705">
        <v>17159</v>
      </c>
      <c r="W1358" s="705">
        <f t="shared" si="58"/>
        <v>17159</v>
      </c>
      <c r="X1358" s="705">
        <f t="shared" si="59"/>
        <v>23990</v>
      </c>
    </row>
    <row r="1359" spans="2:24">
      <c r="B1359" t="s">
        <v>706</v>
      </c>
      <c r="C1359" t="s">
        <v>118</v>
      </c>
      <c r="D1359" t="s">
        <v>584</v>
      </c>
      <c r="E1359" t="s">
        <v>584</v>
      </c>
      <c r="F1359">
        <v>246</v>
      </c>
      <c r="G1359" s="705">
        <v>16071</v>
      </c>
      <c r="H1359" s="705">
        <v>62021</v>
      </c>
      <c r="I1359" s="705">
        <v>1965662</v>
      </c>
      <c r="J1359" s="705">
        <v>1786966</v>
      </c>
      <c r="K1359">
        <v>77</v>
      </c>
      <c r="L1359" s="705">
        <v>365908</v>
      </c>
      <c r="M1359" s="705">
        <v>301831</v>
      </c>
      <c r="N1359" s="705">
        <v>339957</v>
      </c>
      <c r="O1359" s="705">
        <v>125910</v>
      </c>
      <c r="P1359" s="705">
        <v>115641</v>
      </c>
      <c r="Q1359" s="705">
        <v>42830</v>
      </c>
      <c r="R1359" s="705">
        <v>990773</v>
      </c>
      <c r="S1359" s="705">
        <v>900703</v>
      </c>
      <c r="T1359" s="705">
        <v>271532</v>
      </c>
      <c r="U1359" s="705">
        <v>100568</v>
      </c>
      <c r="V1359" s="705">
        <v>3258808</v>
      </c>
      <c r="W1359" s="705">
        <f t="shared" si="58"/>
        <v>3258808</v>
      </c>
      <c r="X1359" s="705">
        <f t="shared" si="59"/>
        <v>4049473</v>
      </c>
    </row>
    <row r="1360" spans="2:24">
      <c r="B1360" t="s">
        <v>706</v>
      </c>
      <c r="C1360" t="s">
        <v>118</v>
      </c>
      <c r="D1360" t="s">
        <v>669</v>
      </c>
      <c r="E1360" t="s">
        <v>669</v>
      </c>
      <c r="F1360">
        <v>1</v>
      </c>
      <c r="G1360">
        <v>59</v>
      </c>
      <c r="H1360">
        <v>293</v>
      </c>
      <c r="I1360" s="705">
        <v>8088</v>
      </c>
      <c r="J1360" s="705">
        <v>6740</v>
      </c>
      <c r="K1360">
        <v>65</v>
      </c>
      <c r="L1360" s="705">
        <v>1314</v>
      </c>
      <c r="M1360">
        <v>487</v>
      </c>
      <c r="N1360" s="705">
        <v>1303</v>
      </c>
      <c r="O1360">
        <v>483</v>
      </c>
      <c r="P1360">
        <v>351</v>
      </c>
      <c r="Q1360">
        <v>130</v>
      </c>
      <c r="R1360" s="705">
        <v>4306</v>
      </c>
      <c r="S1360" s="705">
        <v>3589</v>
      </c>
      <c r="T1360" s="705">
        <v>2015</v>
      </c>
      <c r="U1360">
        <v>746</v>
      </c>
      <c r="V1360" s="705">
        <v>12174</v>
      </c>
      <c r="W1360" s="705">
        <f t="shared" si="58"/>
        <v>12175</v>
      </c>
      <c r="X1360" s="705">
        <f t="shared" si="59"/>
        <v>17377</v>
      </c>
    </row>
    <row r="1361" spans="2:24">
      <c r="B1361" t="s">
        <v>706</v>
      </c>
      <c r="C1361" t="s">
        <v>118</v>
      </c>
      <c r="D1361" t="s">
        <v>665</v>
      </c>
      <c r="E1361" t="s">
        <v>228</v>
      </c>
      <c r="F1361">
        <v>1</v>
      </c>
      <c r="G1361">
        <v>43</v>
      </c>
      <c r="H1361">
        <v>255</v>
      </c>
      <c r="I1361" s="705">
        <v>5648</v>
      </c>
      <c r="J1361" s="705">
        <v>5134</v>
      </c>
      <c r="K1361">
        <v>75</v>
      </c>
      <c r="L1361" s="705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705">
        <v>3627</v>
      </c>
      <c r="S1361" s="705">
        <v>1343</v>
      </c>
      <c r="T1361">
        <v>0</v>
      </c>
      <c r="U1361">
        <v>0</v>
      </c>
      <c r="V1361" s="705">
        <v>7098</v>
      </c>
      <c r="W1361" s="705">
        <f t="shared" si="58"/>
        <v>7097</v>
      </c>
      <c r="X1361" s="705">
        <f t="shared" si="59"/>
        <v>10951</v>
      </c>
    </row>
    <row r="1362" spans="2:24">
      <c r="B1362" t="s">
        <v>706</v>
      </c>
      <c r="C1362" t="s">
        <v>118</v>
      </c>
      <c r="D1362" t="s">
        <v>665</v>
      </c>
      <c r="E1362" t="s">
        <v>665</v>
      </c>
      <c r="F1362">
        <v>1</v>
      </c>
      <c r="G1362">
        <v>180</v>
      </c>
      <c r="H1362">
        <v>296</v>
      </c>
      <c r="I1362" s="705">
        <v>34203</v>
      </c>
      <c r="J1362" s="705">
        <v>31094</v>
      </c>
      <c r="K1362">
        <v>65</v>
      </c>
      <c r="L1362" s="705">
        <v>5489</v>
      </c>
      <c r="M1362" s="705">
        <v>4990</v>
      </c>
      <c r="N1362" s="705">
        <v>3954</v>
      </c>
      <c r="O1362" s="705">
        <v>1464</v>
      </c>
      <c r="P1362">
        <v>702</v>
      </c>
      <c r="Q1362">
        <v>260</v>
      </c>
      <c r="R1362" s="705">
        <v>5628</v>
      </c>
      <c r="S1362" s="705">
        <v>5116</v>
      </c>
      <c r="T1362" s="705">
        <v>3336</v>
      </c>
      <c r="U1362" s="705">
        <v>1235</v>
      </c>
      <c r="V1362" s="705">
        <v>44160</v>
      </c>
      <c r="W1362" s="705">
        <f t="shared" si="58"/>
        <v>44159</v>
      </c>
      <c r="X1362" s="705">
        <f t="shared" si="59"/>
        <v>53312</v>
      </c>
    </row>
    <row r="1363" spans="2:24">
      <c r="B1363" t="s">
        <v>706</v>
      </c>
      <c r="C1363" t="s">
        <v>120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705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705">
        <v>1218</v>
      </c>
      <c r="W1363" s="705">
        <f t="shared" si="58"/>
        <v>1218</v>
      </c>
      <c r="X1363" s="705">
        <f t="shared" si="59"/>
        <v>3289</v>
      </c>
    </row>
    <row r="1364" spans="2:24">
      <c r="B1364" t="s">
        <v>706</v>
      </c>
      <c r="C1364" t="s">
        <v>120</v>
      </c>
      <c r="D1364" t="s">
        <v>228</v>
      </c>
      <c r="E1364" t="s">
        <v>228</v>
      </c>
      <c r="F1364">
        <v>447</v>
      </c>
      <c r="G1364" s="705">
        <v>25598</v>
      </c>
      <c r="H1364" s="705">
        <v>151060</v>
      </c>
      <c r="I1364" s="705">
        <v>4892229</v>
      </c>
      <c r="J1364" s="705">
        <v>1811936</v>
      </c>
      <c r="K1364">
        <v>100</v>
      </c>
      <c r="L1364" s="705">
        <v>584518</v>
      </c>
      <c r="M1364" s="705">
        <v>292716</v>
      </c>
      <c r="N1364" s="705">
        <v>507957</v>
      </c>
      <c r="O1364" s="705">
        <v>188132</v>
      </c>
      <c r="P1364" s="705">
        <v>5616</v>
      </c>
      <c r="Q1364" s="705">
        <v>2080</v>
      </c>
      <c r="R1364" s="705">
        <v>2634971</v>
      </c>
      <c r="S1364" s="705">
        <v>975915</v>
      </c>
      <c r="T1364" s="705">
        <v>18595</v>
      </c>
      <c r="U1364" s="705">
        <v>6887</v>
      </c>
      <c r="V1364" s="705">
        <v>3277667</v>
      </c>
      <c r="W1364" s="705">
        <f t="shared" si="58"/>
        <v>3277666</v>
      </c>
      <c r="X1364" s="705">
        <f t="shared" si="59"/>
        <v>8643886</v>
      </c>
    </row>
    <row r="1365" spans="2:24">
      <c r="B1365" t="s">
        <v>706</v>
      </c>
      <c r="C1365" t="s">
        <v>120</v>
      </c>
      <c r="D1365" t="s">
        <v>583</v>
      </c>
      <c r="E1365" t="s">
        <v>228</v>
      </c>
      <c r="F1365">
        <v>2</v>
      </c>
      <c r="G1365">
        <v>103</v>
      </c>
      <c r="H1365">
        <v>680</v>
      </c>
      <c r="I1365" s="705">
        <v>19920</v>
      </c>
      <c r="J1365" s="705">
        <v>18109</v>
      </c>
      <c r="K1365">
        <v>81</v>
      </c>
      <c r="L1365" s="705">
        <v>2076</v>
      </c>
      <c r="M1365" s="705">
        <v>1730</v>
      </c>
      <c r="N1365" s="705">
        <v>2034</v>
      </c>
      <c r="O1365">
        <v>753</v>
      </c>
      <c r="P1365" s="705">
        <v>1364</v>
      </c>
      <c r="Q1365">
        <v>505</v>
      </c>
      <c r="R1365" s="705">
        <v>9317</v>
      </c>
      <c r="S1365" s="705">
        <v>3451</v>
      </c>
      <c r="T1365">
        <v>0</v>
      </c>
      <c r="U1365">
        <v>0</v>
      </c>
      <c r="V1365" s="705">
        <v>24548</v>
      </c>
      <c r="W1365" s="705">
        <f t="shared" si="58"/>
        <v>24548</v>
      </c>
      <c r="X1365" s="705">
        <f t="shared" si="59"/>
        <v>34711</v>
      </c>
    </row>
    <row r="1366" spans="2:24">
      <c r="B1366" t="s">
        <v>706</v>
      </c>
      <c r="C1366" t="s">
        <v>120</v>
      </c>
      <c r="D1366" t="s">
        <v>583</v>
      </c>
      <c r="E1366" t="s">
        <v>583</v>
      </c>
      <c r="F1366">
        <v>10</v>
      </c>
      <c r="G1366">
        <v>966</v>
      </c>
      <c r="H1366" s="705">
        <v>3343</v>
      </c>
      <c r="I1366" s="705">
        <v>200774</v>
      </c>
      <c r="J1366" s="705">
        <v>182521</v>
      </c>
      <c r="K1366">
        <v>76</v>
      </c>
      <c r="L1366" s="705">
        <v>41417</v>
      </c>
      <c r="M1366" s="705">
        <v>35131</v>
      </c>
      <c r="N1366" s="705">
        <v>19634</v>
      </c>
      <c r="O1366" s="705">
        <v>7272</v>
      </c>
      <c r="P1366" s="705">
        <v>5940</v>
      </c>
      <c r="Q1366" s="705">
        <v>2200</v>
      </c>
      <c r="R1366" s="705">
        <v>44050</v>
      </c>
      <c r="S1366" s="705">
        <v>40046</v>
      </c>
      <c r="T1366" s="705">
        <v>13499</v>
      </c>
      <c r="U1366" s="705">
        <v>5000</v>
      </c>
      <c r="V1366" s="705">
        <v>272170</v>
      </c>
      <c r="W1366" s="705">
        <f t="shared" si="58"/>
        <v>272170</v>
      </c>
      <c r="X1366" s="705">
        <f t="shared" si="59"/>
        <v>325314</v>
      </c>
    </row>
    <row r="1367" spans="2:24">
      <c r="B1367" t="s">
        <v>706</v>
      </c>
      <c r="C1367" t="s">
        <v>120</v>
      </c>
      <c r="D1367" t="s">
        <v>584</v>
      </c>
      <c r="E1367" t="s">
        <v>583</v>
      </c>
      <c r="F1367">
        <v>1</v>
      </c>
      <c r="G1367">
        <v>86</v>
      </c>
      <c r="H1367">
        <v>347</v>
      </c>
      <c r="I1367" s="705">
        <v>15455</v>
      </c>
      <c r="J1367" s="705">
        <v>14050</v>
      </c>
      <c r="K1367">
        <v>86</v>
      </c>
      <c r="L1367" s="705">
        <v>7748</v>
      </c>
      <c r="M1367" s="705">
        <v>2870</v>
      </c>
      <c r="N1367" s="705">
        <v>1671</v>
      </c>
      <c r="O1367">
        <v>619</v>
      </c>
      <c r="P1367">
        <v>473</v>
      </c>
      <c r="Q1367">
        <v>175</v>
      </c>
      <c r="R1367" s="705">
        <v>4357</v>
      </c>
      <c r="S1367" s="705">
        <v>3961</v>
      </c>
      <c r="T1367">
        <v>0</v>
      </c>
      <c r="U1367">
        <v>0</v>
      </c>
      <c r="V1367" s="705">
        <v>21675</v>
      </c>
      <c r="W1367" s="705">
        <f t="shared" si="58"/>
        <v>21675</v>
      </c>
      <c r="X1367" s="705">
        <f t="shared" si="59"/>
        <v>29704</v>
      </c>
    </row>
    <row r="1368" spans="2:24">
      <c r="B1368" t="s">
        <v>706</v>
      </c>
      <c r="C1368" t="s">
        <v>120</v>
      </c>
      <c r="D1368" t="s">
        <v>584</v>
      </c>
      <c r="E1368" t="s">
        <v>584</v>
      </c>
      <c r="F1368">
        <v>48</v>
      </c>
      <c r="G1368" s="705">
        <v>2690</v>
      </c>
      <c r="H1368" s="705">
        <v>16158</v>
      </c>
      <c r="I1368" s="705">
        <v>501505</v>
      </c>
      <c r="J1368" s="705">
        <v>455914</v>
      </c>
      <c r="K1368">
        <v>76</v>
      </c>
      <c r="L1368" s="705">
        <v>89657</v>
      </c>
      <c r="M1368" s="705">
        <v>72895</v>
      </c>
      <c r="N1368" s="705">
        <v>53066</v>
      </c>
      <c r="O1368" s="705">
        <v>19654</v>
      </c>
      <c r="P1368" s="705">
        <v>22437</v>
      </c>
      <c r="Q1368" s="705">
        <v>8310</v>
      </c>
      <c r="R1368" s="705">
        <v>178082</v>
      </c>
      <c r="S1368" s="705">
        <v>161893</v>
      </c>
      <c r="T1368" s="705">
        <v>57183</v>
      </c>
      <c r="U1368" s="705">
        <v>21179</v>
      </c>
      <c r="V1368" s="705">
        <v>739845</v>
      </c>
      <c r="W1368" s="705">
        <f t="shared" si="58"/>
        <v>739845</v>
      </c>
      <c r="X1368" s="705">
        <f t="shared" si="59"/>
        <v>901930</v>
      </c>
    </row>
    <row r="1369" spans="2:24">
      <c r="B1369" t="s">
        <v>706</v>
      </c>
      <c r="C1369" t="s">
        <v>120</v>
      </c>
      <c r="D1369" t="s">
        <v>665</v>
      </c>
      <c r="E1369" t="s">
        <v>228</v>
      </c>
      <c r="F1369">
        <v>1</v>
      </c>
      <c r="G1369">
        <v>40</v>
      </c>
      <c r="H1369">
        <v>300</v>
      </c>
      <c r="I1369" s="705">
        <v>5327</v>
      </c>
      <c r="J1369" s="705">
        <v>4843</v>
      </c>
      <c r="K1369">
        <v>70</v>
      </c>
      <c r="L1369" s="705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705">
        <v>4577</v>
      </c>
      <c r="S1369" s="705">
        <v>1695</v>
      </c>
      <c r="T1369">
        <v>0</v>
      </c>
      <c r="U1369">
        <v>0</v>
      </c>
      <c r="V1369" s="705">
        <v>7316</v>
      </c>
      <c r="W1369" s="705">
        <f t="shared" si="58"/>
        <v>7316</v>
      </c>
      <c r="X1369" s="705">
        <f t="shared" si="59"/>
        <v>12003</v>
      </c>
    </row>
    <row r="1370" spans="2:24">
      <c r="B1370" t="s">
        <v>706</v>
      </c>
      <c r="C1370" t="s">
        <v>120</v>
      </c>
      <c r="D1370" t="s">
        <v>665</v>
      </c>
      <c r="E1370" t="s">
        <v>665</v>
      </c>
      <c r="F1370">
        <v>14</v>
      </c>
      <c r="G1370" s="705">
        <v>1435</v>
      </c>
      <c r="H1370" s="705">
        <v>4523</v>
      </c>
      <c r="I1370" s="705">
        <v>257116</v>
      </c>
      <c r="J1370" s="705">
        <v>233742</v>
      </c>
      <c r="K1370">
        <v>47</v>
      </c>
      <c r="L1370" s="705">
        <v>44674</v>
      </c>
      <c r="M1370" s="705">
        <v>40613</v>
      </c>
      <c r="N1370" s="705">
        <v>26338</v>
      </c>
      <c r="O1370" s="705">
        <v>9755</v>
      </c>
      <c r="P1370" s="705">
        <v>4914</v>
      </c>
      <c r="Q1370" s="705">
        <v>1820</v>
      </c>
      <c r="R1370" s="705">
        <v>93117</v>
      </c>
      <c r="S1370" s="705">
        <v>84652</v>
      </c>
      <c r="T1370" s="705">
        <v>37275</v>
      </c>
      <c r="U1370" s="705">
        <v>13805</v>
      </c>
      <c r="V1370" s="705">
        <v>384387</v>
      </c>
      <c r="W1370" s="705">
        <f t="shared" si="58"/>
        <v>384387</v>
      </c>
      <c r="X1370" s="705">
        <f t="shared" si="59"/>
        <v>463434</v>
      </c>
    </row>
    <row r="1371" spans="2:24">
      <c r="B1371" t="s">
        <v>706</v>
      </c>
      <c r="C1371" t="s">
        <v>122</v>
      </c>
      <c r="D1371" t="s">
        <v>228</v>
      </c>
      <c r="E1371" t="s">
        <v>228</v>
      </c>
      <c r="F1371">
        <v>148</v>
      </c>
      <c r="G1371" s="705">
        <v>8678</v>
      </c>
      <c r="H1371" s="705">
        <v>61070</v>
      </c>
      <c r="I1371" s="705">
        <v>2257197</v>
      </c>
      <c r="J1371" s="705">
        <v>835999</v>
      </c>
      <c r="K1371">
        <v>100</v>
      </c>
      <c r="L1371" s="705">
        <v>223880</v>
      </c>
      <c r="M1371" s="705">
        <v>128776</v>
      </c>
      <c r="N1371" s="705">
        <v>169486</v>
      </c>
      <c r="O1371" s="705">
        <v>62772</v>
      </c>
      <c r="P1371" s="705">
        <v>1542</v>
      </c>
      <c r="Q1371">
        <v>571</v>
      </c>
      <c r="R1371" s="705">
        <v>901886</v>
      </c>
      <c r="S1371" s="705">
        <v>334032</v>
      </c>
      <c r="T1371" s="705">
        <v>5523</v>
      </c>
      <c r="U1371" s="705">
        <v>2045</v>
      </c>
      <c r="V1371" s="705">
        <v>1364196</v>
      </c>
      <c r="W1371" s="705">
        <f t="shared" si="58"/>
        <v>1364195</v>
      </c>
      <c r="X1371" s="705">
        <f t="shared" si="59"/>
        <v>3559514</v>
      </c>
    </row>
    <row r="1372" spans="2:24">
      <c r="B1372" t="s">
        <v>706</v>
      </c>
      <c r="C1372" t="s">
        <v>122</v>
      </c>
      <c r="D1372" t="s">
        <v>583</v>
      </c>
      <c r="E1372" t="s">
        <v>228</v>
      </c>
      <c r="F1372">
        <v>1</v>
      </c>
      <c r="G1372">
        <v>39</v>
      </c>
      <c r="H1372">
        <v>433</v>
      </c>
      <c r="I1372" s="705">
        <v>10744</v>
      </c>
      <c r="J1372" s="705">
        <v>9767</v>
      </c>
      <c r="K1372">
        <v>65</v>
      </c>
      <c r="L1372" s="705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705">
        <v>2951</v>
      </c>
      <c r="S1372" s="705">
        <v>1093</v>
      </c>
      <c r="T1372">
        <v>0</v>
      </c>
      <c r="U1372">
        <v>0</v>
      </c>
      <c r="V1372" s="705">
        <v>12117</v>
      </c>
      <c r="W1372" s="705">
        <f t="shared" si="58"/>
        <v>12117</v>
      </c>
      <c r="X1372" s="705">
        <f t="shared" si="59"/>
        <v>17088</v>
      </c>
    </row>
    <row r="1373" spans="2:24">
      <c r="B1373" t="s">
        <v>706</v>
      </c>
      <c r="C1373" t="s">
        <v>122</v>
      </c>
      <c r="D1373" t="s">
        <v>583</v>
      </c>
      <c r="E1373" t="s">
        <v>583</v>
      </c>
      <c r="F1373">
        <v>15</v>
      </c>
      <c r="G1373" s="705">
        <v>1228</v>
      </c>
      <c r="H1373" s="705">
        <v>6202</v>
      </c>
      <c r="I1373" s="705">
        <v>325096</v>
      </c>
      <c r="J1373" s="705">
        <v>295542</v>
      </c>
      <c r="K1373">
        <v>73</v>
      </c>
      <c r="L1373" s="705">
        <v>59102</v>
      </c>
      <c r="M1373" s="705">
        <v>51008</v>
      </c>
      <c r="N1373" s="705">
        <v>25063</v>
      </c>
      <c r="O1373" s="705">
        <v>9283</v>
      </c>
      <c r="P1373" s="705">
        <v>9315</v>
      </c>
      <c r="Q1373" s="705">
        <v>3450</v>
      </c>
      <c r="R1373" s="705">
        <v>76555</v>
      </c>
      <c r="S1373" s="705">
        <v>69595</v>
      </c>
      <c r="T1373" s="705">
        <v>26925</v>
      </c>
      <c r="U1373" s="705">
        <v>9972</v>
      </c>
      <c r="V1373" s="705">
        <v>438850</v>
      </c>
      <c r="W1373" s="705">
        <f t="shared" si="58"/>
        <v>438850</v>
      </c>
      <c r="X1373" s="705">
        <f t="shared" si="59"/>
        <v>522056</v>
      </c>
    </row>
    <row r="1374" spans="2:24">
      <c r="B1374" t="s">
        <v>706</v>
      </c>
      <c r="C1374" t="s">
        <v>122</v>
      </c>
      <c r="D1374" t="s">
        <v>584</v>
      </c>
      <c r="E1374" t="s">
        <v>584</v>
      </c>
      <c r="F1374">
        <v>7</v>
      </c>
      <c r="G1374">
        <v>323</v>
      </c>
      <c r="H1374" s="705">
        <v>2948</v>
      </c>
      <c r="I1374" s="705">
        <v>89244</v>
      </c>
      <c r="J1374" s="705">
        <v>81131</v>
      </c>
      <c r="K1374">
        <v>77</v>
      </c>
      <c r="L1374" s="705">
        <v>1947</v>
      </c>
      <c r="M1374">
        <v>721</v>
      </c>
      <c r="N1374" s="705">
        <v>6742</v>
      </c>
      <c r="O1374" s="705">
        <v>2497</v>
      </c>
      <c r="P1374" s="705">
        <v>3308</v>
      </c>
      <c r="Q1374" s="705">
        <v>1225</v>
      </c>
      <c r="R1374" s="705">
        <v>25353</v>
      </c>
      <c r="S1374" s="705">
        <v>23048</v>
      </c>
      <c r="T1374" s="705">
        <v>9873</v>
      </c>
      <c r="U1374" s="705">
        <v>3657</v>
      </c>
      <c r="V1374" s="705">
        <v>112279</v>
      </c>
      <c r="W1374" s="705">
        <f t="shared" si="58"/>
        <v>112279</v>
      </c>
      <c r="X1374" s="705">
        <f t="shared" si="59"/>
        <v>136467</v>
      </c>
    </row>
    <row r="1375" spans="2:24">
      <c r="B1375" t="s">
        <v>706</v>
      </c>
      <c r="C1375" t="s">
        <v>122</v>
      </c>
      <c r="D1375" t="s">
        <v>665</v>
      </c>
      <c r="E1375" t="s">
        <v>665</v>
      </c>
      <c r="F1375">
        <v>1</v>
      </c>
      <c r="G1375">
        <v>71</v>
      </c>
      <c r="H1375">
        <v>437</v>
      </c>
      <c r="I1375" s="705">
        <v>19129</v>
      </c>
      <c r="J1375" s="705">
        <v>17390</v>
      </c>
      <c r="K1375">
        <v>65</v>
      </c>
      <c r="L1375" s="705">
        <v>4605</v>
      </c>
      <c r="M1375" s="705">
        <v>4187</v>
      </c>
      <c r="N1375" s="705">
        <v>1739</v>
      </c>
      <c r="O1375">
        <v>644</v>
      </c>
      <c r="P1375">
        <v>351</v>
      </c>
      <c r="Q1375">
        <v>130</v>
      </c>
      <c r="R1375" s="705">
        <v>3299</v>
      </c>
      <c r="S1375" s="705">
        <v>2999</v>
      </c>
      <c r="T1375" s="705">
        <v>2049</v>
      </c>
      <c r="U1375">
        <v>759</v>
      </c>
      <c r="V1375" s="705">
        <v>26108</v>
      </c>
      <c r="W1375" s="705">
        <f t="shared" si="58"/>
        <v>26109</v>
      </c>
      <c r="X1375" s="705">
        <f t="shared" si="59"/>
        <v>31172</v>
      </c>
    </row>
    <row r="1376" spans="2:24">
      <c r="B1376" t="s">
        <v>706</v>
      </c>
      <c r="C1376" t="s">
        <v>124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705">
        <v>4769</v>
      </c>
      <c r="O1376" s="705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705">
        <v>1941</v>
      </c>
      <c r="W1376" s="705">
        <f t="shared" si="58"/>
        <v>1941</v>
      </c>
      <c r="X1376" s="705">
        <f t="shared" si="59"/>
        <v>5242</v>
      </c>
    </row>
    <row r="1377" spans="2:24">
      <c r="B1377" t="s">
        <v>706</v>
      </c>
      <c r="C1377" t="s">
        <v>124</v>
      </c>
      <c r="D1377" t="s">
        <v>228</v>
      </c>
      <c r="E1377" t="s">
        <v>228</v>
      </c>
      <c r="F1377">
        <v>121</v>
      </c>
      <c r="G1377" s="705">
        <v>6235</v>
      </c>
      <c r="H1377" s="705">
        <v>69391</v>
      </c>
      <c r="I1377" s="705">
        <v>2383432</v>
      </c>
      <c r="J1377" s="705">
        <v>882753</v>
      </c>
      <c r="K1377">
        <v>100</v>
      </c>
      <c r="L1377" s="705">
        <v>233692</v>
      </c>
      <c r="M1377" s="705">
        <v>146352</v>
      </c>
      <c r="N1377" s="705">
        <v>133064</v>
      </c>
      <c r="O1377" s="705">
        <v>49283</v>
      </c>
      <c r="P1377" s="705">
        <v>1001</v>
      </c>
      <c r="Q1377">
        <v>371</v>
      </c>
      <c r="R1377" s="705">
        <v>760408</v>
      </c>
      <c r="S1377" s="705">
        <v>281633</v>
      </c>
      <c r="T1377" s="705">
        <v>1343</v>
      </c>
      <c r="U1377">
        <v>497</v>
      </c>
      <c r="V1377" s="705">
        <v>1360889</v>
      </c>
      <c r="W1377" s="705">
        <f t="shared" si="58"/>
        <v>1360889</v>
      </c>
      <c r="X1377" s="705">
        <f t="shared" si="59"/>
        <v>3512940</v>
      </c>
    </row>
    <row r="1378" spans="2:24">
      <c r="B1378" t="s">
        <v>706</v>
      </c>
      <c r="C1378" t="s">
        <v>124</v>
      </c>
      <c r="D1378" t="s">
        <v>583</v>
      </c>
      <c r="E1378" t="s">
        <v>228</v>
      </c>
      <c r="F1378">
        <v>3</v>
      </c>
      <c r="G1378">
        <v>147</v>
      </c>
      <c r="H1378" s="705">
        <v>1582</v>
      </c>
      <c r="I1378" s="705">
        <v>45084</v>
      </c>
      <c r="J1378" s="705">
        <v>40986</v>
      </c>
      <c r="K1378">
        <v>67</v>
      </c>
      <c r="L1378" s="705">
        <v>4359</v>
      </c>
      <c r="M1378" s="705">
        <v>3963</v>
      </c>
      <c r="N1378" s="705">
        <v>3448</v>
      </c>
      <c r="O1378" s="705">
        <v>1277</v>
      </c>
      <c r="P1378">
        <v>621</v>
      </c>
      <c r="Q1378">
        <v>230</v>
      </c>
      <c r="R1378" s="705">
        <v>24124</v>
      </c>
      <c r="S1378" s="705">
        <v>8935</v>
      </c>
      <c r="T1378">
        <v>0</v>
      </c>
      <c r="U1378">
        <v>0</v>
      </c>
      <c r="V1378" s="705">
        <v>55390</v>
      </c>
      <c r="W1378" s="705">
        <f t="shared" si="58"/>
        <v>55391</v>
      </c>
      <c r="X1378" s="705">
        <f t="shared" si="59"/>
        <v>77636</v>
      </c>
    </row>
    <row r="1379" spans="2:24">
      <c r="B1379" t="s">
        <v>706</v>
      </c>
      <c r="C1379" t="s">
        <v>124</v>
      </c>
      <c r="D1379" t="s">
        <v>583</v>
      </c>
      <c r="E1379" t="s">
        <v>583</v>
      </c>
      <c r="F1379">
        <v>8</v>
      </c>
      <c r="G1379">
        <v>517</v>
      </c>
      <c r="H1379" s="705">
        <v>4386</v>
      </c>
      <c r="I1379" s="705">
        <v>192817</v>
      </c>
      <c r="J1379" s="705">
        <v>175288</v>
      </c>
      <c r="K1379">
        <v>73</v>
      </c>
      <c r="L1379" s="705">
        <v>22737</v>
      </c>
      <c r="M1379" s="705">
        <v>18418</v>
      </c>
      <c r="N1379" s="705">
        <v>9997</v>
      </c>
      <c r="O1379" s="705">
        <v>3703</v>
      </c>
      <c r="P1379" s="705">
        <v>4968</v>
      </c>
      <c r="Q1379" s="705">
        <v>1840</v>
      </c>
      <c r="R1379" s="705">
        <v>29383</v>
      </c>
      <c r="S1379" s="705">
        <v>26711</v>
      </c>
      <c r="T1379" s="705">
        <v>16942</v>
      </c>
      <c r="U1379" s="705">
        <v>6275</v>
      </c>
      <c r="V1379" s="705">
        <v>232235</v>
      </c>
      <c r="W1379" s="705">
        <f t="shared" si="58"/>
        <v>232235</v>
      </c>
      <c r="X1379" s="705">
        <f t="shared" si="59"/>
        <v>276844</v>
      </c>
    </row>
    <row r="1380" spans="2:24">
      <c r="B1380" t="s">
        <v>706</v>
      </c>
      <c r="C1380" t="s">
        <v>124</v>
      </c>
      <c r="D1380" t="s">
        <v>666</v>
      </c>
      <c r="E1380" t="s">
        <v>666</v>
      </c>
      <c r="F1380">
        <v>2</v>
      </c>
      <c r="G1380">
        <v>74</v>
      </c>
      <c r="H1380" s="705">
        <v>1921</v>
      </c>
      <c r="I1380" s="705">
        <v>38522</v>
      </c>
      <c r="J1380" s="705">
        <v>35020</v>
      </c>
      <c r="K1380">
        <v>45</v>
      </c>
      <c r="L1380" s="705">
        <v>4728</v>
      </c>
      <c r="M1380" s="705">
        <v>1751</v>
      </c>
      <c r="N1380" s="705">
        <v>1711</v>
      </c>
      <c r="O1380">
        <v>634</v>
      </c>
      <c r="P1380">
        <v>702</v>
      </c>
      <c r="Q1380">
        <v>260</v>
      </c>
      <c r="R1380" s="705">
        <v>17902</v>
      </c>
      <c r="S1380" s="705">
        <v>16275</v>
      </c>
      <c r="T1380" s="705">
        <v>7565</v>
      </c>
      <c r="U1380" s="705">
        <v>2802</v>
      </c>
      <c r="V1380" s="705">
        <v>56741</v>
      </c>
      <c r="W1380" s="705">
        <f t="shared" si="58"/>
        <v>56742</v>
      </c>
      <c r="X1380" s="705">
        <f t="shared" si="59"/>
        <v>71130</v>
      </c>
    </row>
    <row r="1381" spans="2:24">
      <c r="B1381" t="s">
        <v>706</v>
      </c>
      <c r="C1381" t="s">
        <v>124</v>
      </c>
      <c r="D1381" t="s">
        <v>584</v>
      </c>
      <c r="E1381" t="s">
        <v>584</v>
      </c>
      <c r="F1381">
        <v>9</v>
      </c>
      <c r="G1381">
        <v>474</v>
      </c>
      <c r="H1381" s="705">
        <v>4677</v>
      </c>
      <c r="I1381" s="705">
        <v>168269</v>
      </c>
      <c r="J1381" s="705">
        <v>152972</v>
      </c>
      <c r="K1381">
        <v>79</v>
      </c>
      <c r="L1381" s="705">
        <v>13975</v>
      </c>
      <c r="M1381" s="705">
        <v>12057</v>
      </c>
      <c r="N1381" s="705">
        <v>10286</v>
      </c>
      <c r="O1381" s="705">
        <v>3810</v>
      </c>
      <c r="P1381" s="705">
        <v>4253</v>
      </c>
      <c r="Q1381" s="705">
        <v>1575</v>
      </c>
      <c r="R1381" s="705">
        <v>31024</v>
      </c>
      <c r="S1381" s="705">
        <v>28204</v>
      </c>
      <c r="T1381" s="705">
        <v>17147</v>
      </c>
      <c r="U1381" s="705">
        <v>6351</v>
      </c>
      <c r="V1381" s="705">
        <v>204968</v>
      </c>
      <c r="W1381" s="705">
        <f t="shared" si="58"/>
        <v>204969</v>
      </c>
      <c r="X1381" s="705">
        <f t="shared" si="59"/>
        <v>244954</v>
      </c>
    </row>
    <row r="1382" spans="2:24">
      <c r="B1382" t="s">
        <v>706</v>
      </c>
      <c r="C1382" t="s">
        <v>124</v>
      </c>
      <c r="D1382" t="s">
        <v>669</v>
      </c>
      <c r="E1382" t="s">
        <v>669</v>
      </c>
      <c r="F1382">
        <v>1</v>
      </c>
      <c r="G1382">
        <v>76</v>
      </c>
      <c r="H1382" s="705">
        <v>1230</v>
      </c>
      <c r="I1382" s="705">
        <v>82618</v>
      </c>
      <c r="J1382" s="705">
        <v>68848</v>
      </c>
      <c r="K1382">
        <v>30</v>
      </c>
      <c r="L1382" s="705">
        <v>6196</v>
      </c>
      <c r="M1382" s="705">
        <v>2295</v>
      </c>
      <c r="N1382" s="705">
        <v>1856</v>
      </c>
      <c r="O1382">
        <v>687</v>
      </c>
      <c r="P1382">
        <v>0</v>
      </c>
      <c r="Q1382">
        <v>0</v>
      </c>
      <c r="R1382" s="705">
        <v>3027</v>
      </c>
      <c r="S1382" s="705">
        <v>2523</v>
      </c>
      <c r="T1382">
        <v>0</v>
      </c>
      <c r="U1382">
        <v>0</v>
      </c>
      <c r="V1382" s="705">
        <v>74353</v>
      </c>
      <c r="W1382" s="705">
        <f t="shared" si="58"/>
        <v>74353</v>
      </c>
      <c r="X1382" s="705">
        <f t="shared" si="59"/>
        <v>93697</v>
      </c>
    </row>
    <row r="1383" spans="2:24">
      <c r="B1383" t="s">
        <v>706</v>
      </c>
      <c r="C1383" t="s">
        <v>124</v>
      </c>
      <c r="D1383" t="s">
        <v>665</v>
      </c>
      <c r="E1383" t="s">
        <v>228</v>
      </c>
      <c r="F1383">
        <v>1</v>
      </c>
      <c r="G1383">
        <v>56</v>
      </c>
      <c r="H1383">
        <v>458</v>
      </c>
      <c r="I1383" s="705">
        <v>16387</v>
      </c>
      <c r="J1383" s="705">
        <v>14897</v>
      </c>
      <c r="K1383">
        <v>60</v>
      </c>
      <c r="L1383" s="705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705">
        <v>5538</v>
      </c>
      <c r="S1383" s="705">
        <v>2051</v>
      </c>
      <c r="T1383">
        <v>0</v>
      </c>
      <c r="U1383">
        <v>0</v>
      </c>
      <c r="V1383" s="705">
        <v>18265</v>
      </c>
      <c r="W1383" s="705">
        <f t="shared" si="58"/>
        <v>18265</v>
      </c>
      <c r="X1383" s="705">
        <f t="shared" si="59"/>
        <v>25480</v>
      </c>
    </row>
    <row r="1384" spans="2:24">
      <c r="B1384" t="s">
        <v>707</v>
      </c>
      <c r="C1384" t="s">
        <v>108</v>
      </c>
      <c r="D1384" t="s">
        <v>228</v>
      </c>
      <c r="E1384" t="s">
        <v>228</v>
      </c>
      <c r="F1384">
        <v>15</v>
      </c>
      <c r="G1384" s="705">
        <v>1285</v>
      </c>
      <c r="H1384">
        <v>800</v>
      </c>
      <c r="I1384" s="705">
        <v>16516</v>
      </c>
      <c r="J1384" s="705">
        <v>6117</v>
      </c>
      <c r="K1384">
        <v>483</v>
      </c>
      <c r="L1384">
        <v>0</v>
      </c>
      <c r="M1384">
        <v>0</v>
      </c>
      <c r="N1384" s="705">
        <v>15659</v>
      </c>
      <c r="O1384" s="705">
        <v>5800</v>
      </c>
      <c r="P1384" s="705">
        <v>5265</v>
      </c>
      <c r="Q1384" s="705">
        <v>1950</v>
      </c>
      <c r="R1384" s="705">
        <v>31043</v>
      </c>
      <c r="S1384" s="705">
        <v>11498</v>
      </c>
      <c r="T1384">
        <v>0</v>
      </c>
      <c r="U1384">
        <v>0</v>
      </c>
      <c r="V1384" s="705">
        <v>25364</v>
      </c>
      <c r="W1384" s="705">
        <f t="shared" si="58"/>
        <v>25365</v>
      </c>
      <c r="X1384" s="705">
        <f t="shared" si="59"/>
        <v>68483</v>
      </c>
    </row>
    <row r="1385" spans="2:24">
      <c r="B1385" t="s">
        <v>707</v>
      </c>
      <c r="C1385" t="s">
        <v>108</v>
      </c>
      <c r="D1385" t="s">
        <v>584</v>
      </c>
      <c r="E1385" t="s">
        <v>584</v>
      </c>
      <c r="F1385">
        <v>2</v>
      </c>
      <c r="G1385">
        <v>97</v>
      </c>
      <c r="H1385">
        <v>134</v>
      </c>
      <c r="I1385" s="705">
        <v>1212</v>
      </c>
      <c r="J1385" s="705">
        <v>1102</v>
      </c>
      <c r="K1385">
        <v>90</v>
      </c>
      <c r="L1385">
        <v>152</v>
      </c>
      <c r="M1385">
        <v>138</v>
      </c>
      <c r="N1385" s="705">
        <v>1665</v>
      </c>
      <c r="O1385">
        <v>617</v>
      </c>
      <c r="P1385">
        <v>945</v>
      </c>
      <c r="Q1385">
        <v>350</v>
      </c>
      <c r="R1385" s="705">
        <v>2565</v>
      </c>
      <c r="S1385" s="705">
        <v>2332</v>
      </c>
      <c r="T1385">
        <v>0</v>
      </c>
      <c r="U1385">
        <v>0</v>
      </c>
      <c r="V1385" s="705">
        <v>4539</v>
      </c>
      <c r="W1385" s="705">
        <f t="shared" si="58"/>
        <v>4539</v>
      </c>
      <c r="X1385" s="705">
        <f t="shared" si="59"/>
        <v>6539</v>
      </c>
    </row>
    <row r="1386" spans="2:24">
      <c r="B1386" t="s">
        <v>707</v>
      </c>
      <c r="C1386" t="s">
        <v>110</v>
      </c>
      <c r="D1386" t="s">
        <v>228</v>
      </c>
      <c r="E1386" t="s">
        <v>228</v>
      </c>
      <c r="F1386">
        <v>1</v>
      </c>
      <c r="G1386">
        <v>72</v>
      </c>
      <c r="H1386">
        <v>80</v>
      </c>
      <c r="I1386" s="705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705">
        <v>2365</v>
      </c>
      <c r="S1386">
        <v>876</v>
      </c>
      <c r="T1386">
        <v>0</v>
      </c>
      <c r="U1386">
        <v>0</v>
      </c>
      <c r="V1386" s="705">
        <v>2132</v>
      </c>
      <c r="W1386" s="705">
        <f t="shared" si="58"/>
        <v>2133</v>
      </c>
      <c r="X1386" s="705">
        <f t="shared" si="59"/>
        <v>5757</v>
      </c>
    </row>
    <row r="1387" spans="2:24">
      <c r="B1387" t="s">
        <v>707</v>
      </c>
      <c r="C1387" t="s">
        <v>110</v>
      </c>
      <c r="D1387" t="s">
        <v>583</v>
      </c>
      <c r="E1387" t="s">
        <v>583</v>
      </c>
      <c r="F1387">
        <v>1</v>
      </c>
      <c r="G1387">
        <v>195</v>
      </c>
      <c r="H1387">
        <v>100</v>
      </c>
      <c r="I1387" s="705">
        <v>9270</v>
      </c>
      <c r="J1387" s="705">
        <v>8428</v>
      </c>
      <c r="K1387">
        <v>94</v>
      </c>
      <c r="L1387" s="705">
        <v>1621</v>
      </c>
      <c r="M1387" s="705">
        <v>1473</v>
      </c>
      <c r="N1387" s="705">
        <v>3057</v>
      </c>
      <c r="O1387" s="705">
        <v>1132</v>
      </c>
      <c r="P1387">
        <v>621</v>
      </c>
      <c r="Q1387">
        <v>230</v>
      </c>
      <c r="R1387" s="705">
        <v>4808</v>
      </c>
      <c r="S1387" s="705">
        <v>4371</v>
      </c>
      <c r="T1387">
        <v>0</v>
      </c>
      <c r="U1387">
        <v>0</v>
      </c>
      <c r="V1387" s="705">
        <v>15634</v>
      </c>
      <c r="W1387" s="705">
        <f t="shared" ref="W1387:W1450" si="60">SUM(ABS(J1387),ABS(M1387),ABS(O1387),ABS(Q1387),ABS(S1387),ABS(U1387))</f>
        <v>15634</v>
      </c>
      <c r="X1387" s="705">
        <f t="shared" ref="X1387:X1450" si="61">SUM(ABS(I1387),ABS(N1387),ABS(P1387),ABS(R1387),ABS(T1387),ABS(L1387))</f>
        <v>19377</v>
      </c>
    </row>
    <row r="1388" spans="2:24">
      <c r="B1388" t="s">
        <v>707</v>
      </c>
      <c r="C1388" t="s">
        <v>110</v>
      </c>
      <c r="D1388" t="s">
        <v>584</v>
      </c>
      <c r="E1388" t="s">
        <v>584</v>
      </c>
      <c r="F1388">
        <v>7</v>
      </c>
      <c r="G1388">
        <v>590</v>
      </c>
      <c r="H1388">
        <v>665</v>
      </c>
      <c r="I1388" s="705">
        <v>18046</v>
      </c>
      <c r="J1388" s="705">
        <v>16406</v>
      </c>
      <c r="K1388">
        <v>89</v>
      </c>
      <c r="L1388" s="705">
        <v>1455</v>
      </c>
      <c r="M1388" s="705">
        <v>1323</v>
      </c>
      <c r="N1388" s="705">
        <v>9708</v>
      </c>
      <c r="O1388" s="705">
        <v>3595</v>
      </c>
      <c r="P1388" s="705">
        <v>3308</v>
      </c>
      <c r="Q1388" s="705">
        <v>1225</v>
      </c>
      <c r="R1388" s="705">
        <v>23474</v>
      </c>
      <c r="S1388" s="705">
        <v>21340</v>
      </c>
      <c r="T1388">
        <v>0</v>
      </c>
      <c r="U1388">
        <v>0</v>
      </c>
      <c r="V1388" s="705">
        <v>43889</v>
      </c>
      <c r="W1388" s="705">
        <f t="shared" si="60"/>
        <v>43889</v>
      </c>
      <c r="X1388" s="705">
        <f t="shared" si="61"/>
        <v>55991</v>
      </c>
    </row>
    <row r="1389" spans="2:24">
      <c r="B1389" t="s">
        <v>707</v>
      </c>
      <c r="C1389" t="s">
        <v>112</v>
      </c>
      <c r="D1389" t="s">
        <v>228</v>
      </c>
      <c r="E1389" t="s">
        <v>228</v>
      </c>
      <c r="F1389">
        <v>4</v>
      </c>
      <c r="G1389">
        <v>409</v>
      </c>
      <c r="H1389">
        <v>451</v>
      </c>
      <c r="I1389" s="705">
        <v>17359</v>
      </c>
      <c r="J1389" s="705">
        <v>6429</v>
      </c>
      <c r="K1389">
        <v>138</v>
      </c>
      <c r="L1389" s="705">
        <v>1598</v>
      </c>
      <c r="M1389" s="705">
        <v>1466</v>
      </c>
      <c r="N1389" s="705">
        <v>6734</v>
      </c>
      <c r="O1389" s="705">
        <v>2494</v>
      </c>
      <c r="P1389">
        <v>621</v>
      </c>
      <c r="Q1389">
        <v>230</v>
      </c>
      <c r="R1389" s="705">
        <v>27373</v>
      </c>
      <c r="S1389" s="705">
        <v>10138</v>
      </c>
      <c r="T1389">
        <v>0</v>
      </c>
      <c r="U1389">
        <v>0</v>
      </c>
      <c r="V1389" s="705">
        <v>20758</v>
      </c>
      <c r="W1389" s="705">
        <f t="shared" si="60"/>
        <v>20757</v>
      </c>
      <c r="X1389" s="705">
        <f t="shared" si="61"/>
        <v>53685</v>
      </c>
    </row>
    <row r="1390" spans="2:24">
      <c r="B1390" t="s">
        <v>707</v>
      </c>
      <c r="C1390" t="s">
        <v>112</v>
      </c>
      <c r="D1390" t="s">
        <v>583</v>
      </c>
      <c r="E1390" t="s">
        <v>583</v>
      </c>
      <c r="F1390">
        <v>1</v>
      </c>
      <c r="G1390">
        <v>237</v>
      </c>
      <c r="H1390">
        <v>114</v>
      </c>
      <c r="I1390" s="705">
        <v>14489</v>
      </c>
      <c r="J1390" s="705">
        <v>13172</v>
      </c>
      <c r="K1390">
        <v>95</v>
      </c>
      <c r="L1390" s="705">
        <v>2418</v>
      </c>
      <c r="M1390" s="705">
        <v>2198</v>
      </c>
      <c r="N1390" s="705">
        <v>3461</v>
      </c>
      <c r="O1390" s="705">
        <v>1282</v>
      </c>
      <c r="P1390">
        <v>621</v>
      </c>
      <c r="Q1390">
        <v>230</v>
      </c>
      <c r="R1390" s="705">
        <v>6004</v>
      </c>
      <c r="S1390" s="705">
        <v>5458</v>
      </c>
      <c r="T1390">
        <v>0</v>
      </c>
      <c r="U1390">
        <v>0</v>
      </c>
      <c r="V1390" s="705">
        <v>22340</v>
      </c>
      <c r="W1390" s="705">
        <f t="shared" si="60"/>
        <v>22340</v>
      </c>
      <c r="X1390" s="705">
        <f t="shared" si="61"/>
        <v>26993</v>
      </c>
    </row>
    <row r="1391" spans="2:24">
      <c r="B1391" t="s">
        <v>707</v>
      </c>
      <c r="C1391" t="s">
        <v>112</v>
      </c>
      <c r="D1391" t="s">
        <v>584</v>
      </c>
      <c r="E1391" t="s">
        <v>584</v>
      </c>
      <c r="F1391">
        <v>37</v>
      </c>
      <c r="G1391" s="705">
        <v>3510</v>
      </c>
      <c r="H1391" s="705">
        <v>4225</v>
      </c>
      <c r="I1391" s="705">
        <v>149690</v>
      </c>
      <c r="J1391" s="705">
        <v>136082</v>
      </c>
      <c r="K1391">
        <v>83</v>
      </c>
      <c r="L1391" s="705">
        <v>30218</v>
      </c>
      <c r="M1391" s="705">
        <v>27106</v>
      </c>
      <c r="N1391" s="705">
        <v>64831</v>
      </c>
      <c r="O1391" s="705">
        <v>24011</v>
      </c>
      <c r="P1391" s="705">
        <v>17483</v>
      </c>
      <c r="Q1391" s="705">
        <v>6475</v>
      </c>
      <c r="R1391" s="705">
        <v>147773</v>
      </c>
      <c r="S1391" s="705">
        <v>134339</v>
      </c>
      <c r="T1391" s="705">
        <v>6742</v>
      </c>
      <c r="U1391" s="705">
        <v>2497</v>
      </c>
      <c r="V1391" s="705">
        <v>330511</v>
      </c>
      <c r="W1391" s="705">
        <f t="shared" si="60"/>
        <v>330510</v>
      </c>
      <c r="X1391" s="705">
        <f t="shared" si="61"/>
        <v>416737</v>
      </c>
    </row>
    <row r="1392" spans="2:24">
      <c r="B1392" t="s">
        <v>707</v>
      </c>
      <c r="C1392" t="s">
        <v>114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705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705">
        <f t="shared" si="60"/>
        <v>795</v>
      </c>
      <c r="X1392" s="705">
        <f t="shared" si="61"/>
        <v>2146</v>
      </c>
    </row>
    <row r="1393" spans="2:24">
      <c r="B1393" t="s">
        <v>707</v>
      </c>
      <c r="C1393" t="s">
        <v>114</v>
      </c>
      <c r="D1393" t="s">
        <v>228</v>
      </c>
      <c r="E1393" t="s">
        <v>228</v>
      </c>
      <c r="F1393">
        <v>5</v>
      </c>
      <c r="G1393">
        <v>391</v>
      </c>
      <c r="H1393">
        <v>676</v>
      </c>
      <c r="I1393" s="705">
        <v>3296</v>
      </c>
      <c r="J1393" s="705">
        <v>1221</v>
      </c>
      <c r="K1393">
        <v>100</v>
      </c>
      <c r="L1393">
        <v>824</v>
      </c>
      <c r="M1393">
        <v>305</v>
      </c>
      <c r="N1393" s="705">
        <v>9243</v>
      </c>
      <c r="O1393" s="705">
        <v>3423</v>
      </c>
      <c r="P1393">
        <v>0</v>
      </c>
      <c r="Q1393">
        <v>0</v>
      </c>
      <c r="R1393" s="705">
        <v>39840</v>
      </c>
      <c r="S1393" s="705">
        <v>14756</v>
      </c>
      <c r="T1393">
        <v>0</v>
      </c>
      <c r="U1393">
        <v>0</v>
      </c>
      <c r="V1393" s="705">
        <v>19705</v>
      </c>
      <c r="W1393" s="705">
        <f t="shared" si="60"/>
        <v>19705</v>
      </c>
      <c r="X1393" s="705">
        <f t="shared" si="61"/>
        <v>53203</v>
      </c>
    </row>
    <row r="1394" spans="2:24">
      <c r="B1394" t="s">
        <v>707</v>
      </c>
      <c r="C1394" t="s">
        <v>114</v>
      </c>
      <c r="D1394" t="s">
        <v>583</v>
      </c>
      <c r="E1394" t="s">
        <v>583</v>
      </c>
      <c r="F1394">
        <v>3</v>
      </c>
      <c r="G1394">
        <v>429</v>
      </c>
      <c r="H1394">
        <v>417</v>
      </c>
      <c r="I1394" s="705">
        <v>40448</v>
      </c>
      <c r="J1394" s="705">
        <v>36771</v>
      </c>
      <c r="K1394">
        <v>89</v>
      </c>
      <c r="L1394" s="705">
        <v>5521</v>
      </c>
      <c r="M1394" s="705">
        <v>5019</v>
      </c>
      <c r="N1394" s="705">
        <v>10588</v>
      </c>
      <c r="O1394" s="705">
        <v>3921</v>
      </c>
      <c r="P1394" s="705">
        <v>1863</v>
      </c>
      <c r="Q1394">
        <v>690</v>
      </c>
      <c r="R1394" s="705">
        <v>13823</v>
      </c>
      <c r="S1394" s="705">
        <v>12567</v>
      </c>
      <c r="T1394" s="705">
        <v>4047</v>
      </c>
      <c r="U1394" s="705">
        <v>1499</v>
      </c>
      <c r="V1394" s="705">
        <v>60467</v>
      </c>
      <c r="W1394" s="705">
        <f t="shared" si="60"/>
        <v>60467</v>
      </c>
      <c r="X1394" s="705">
        <f t="shared" si="61"/>
        <v>76290</v>
      </c>
    </row>
    <row r="1395" spans="2:24">
      <c r="B1395" t="s">
        <v>707</v>
      </c>
      <c r="C1395" t="s">
        <v>114</v>
      </c>
      <c r="D1395" t="s">
        <v>584</v>
      </c>
      <c r="E1395" t="s">
        <v>584</v>
      </c>
      <c r="F1395">
        <v>86</v>
      </c>
      <c r="G1395" s="705">
        <v>7412</v>
      </c>
      <c r="H1395" s="705">
        <v>11997</v>
      </c>
      <c r="I1395" s="705">
        <v>456930</v>
      </c>
      <c r="J1395" s="705">
        <v>415391</v>
      </c>
      <c r="K1395">
        <v>82</v>
      </c>
      <c r="L1395" s="705">
        <v>39760</v>
      </c>
      <c r="M1395" s="705">
        <v>37543</v>
      </c>
      <c r="N1395" s="705">
        <v>144470</v>
      </c>
      <c r="O1395" s="705">
        <v>53507</v>
      </c>
      <c r="P1395" s="705">
        <v>40163</v>
      </c>
      <c r="Q1395" s="705">
        <v>14875</v>
      </c>
      <c r="R1395" s="705">
        <v>333148</v>
      </c>
      <c r="S1395" s="705">
        <v>302861</v>
      </c>
      <c r="T1395" s="705">
        <v>29732</v>
      </c>
      <c r="U1395" s="705">
        <v>11012</v>
      </c>
      <c r="V1395" s="705">
        <v>835190</v>
      </c>
      <c r="W1395" s="705">
        <f t="shared" si="60"/>
        <v>835189</v>
      </c>
      <c r="X1395" s="705">
        <f t="shared" si="61"/>
        <v>1044203</v>
      </c>
    </row>
    <row r="1396" spans="2:24">
      <c r="B1396" t="s">
        <v>707</v>
      </c>
      <c r="C1396" t="s">
        <v>116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705">
        <v>4810</v>
      </c>
      <c r="O1396" s="705">
        <v>1781</v>
      </c>
      <c r="P1396" s="705">
        <v>1755</v>
      </c>
      <c r="Q1396">
        <v>650</v>
      </c>
      <c r="S1396">
        <v>0</v>
      </c>
      <c r="T1396">
        <v>0</v>
      </c>
      <c r="U1396">
        <v>0</v>
      </c>
      <c r="V1396" s="705">
        <v>2431</v>
      </c>
      <c r="W1396" s="705">
        <f t="shared" si="60"/>
        <v>2431</v>
      </c>
      <c r="X1396" s="705">
        <f t="shared" si="61"/>
        <v>6565</v>
      </c>
    </row>
    <row r="1397" spans="2:24">
      <c r="B1397" t="s">
        <v>707</v>
      </c>
      <c r="C1397" t="s">
        <v>116</v>
      </c>
      <c r="D1397" t="s">
        <v>582</v>
      </c>
      <c r="E1397" t="s">
        <v>582</v>
      </c>
      <c r="F1397">
        <v>8</v>
      </c>
      <c r="G1397">
        <v>752</v>
      </c>
      <c r="H1397" s="705">
        <v>1515</v>
      </c>
      <c r="I1397" s="705">
        <v>75459</v>
      </c>
      <c r="J1397" s="705">
        <v>68599</v>
      </c>
      <c r="K1397">
        <v>86</v>
      </c>
      <c r="L1397" s="705">
        <v>17525</v>
      </c>
      <c r="M1397" s="705">
        <v>15932</v>
      </c>
      <c r="N1397" s="705">
        <v>13284</v>
      </c>
      <c r="O1397" s="705">
        <v>4920</v>
      </c>
      <c r="P1397" s="705">
        <v>3780</v>
      </c>
      <c r="Q1397" s="705">
        <v>1400</v>
      </c>
      <c r="R1397" s="705">
        <v>27060</v>
      </c>
      <c r="S1397" s="705">
        <v>24600</v>
      </c>
      <c r="T1397" s="705">
        <v>3936</v>
      </c>
      <c r="U1397" s="705">
        <v>1458</v>
      </c>
      <c r="V1397" s="705">
        <v>116908</v>
      </c>
      <c r="W1397" s="705">
        <f t="shared" si="60"/>
        <v>116909</v>
      </c>
      <c r="X1397" s="705">
        <f t="shared" si="61"/>
        <v>141044</v>
      </c>
    </row>
    <row r="1398" spans="2:24">
      <c r="B1398" t="s">
        <v>707</v>
      </c>
      <c r="C1398" t="s">
        <v>116</v>
      </c>
      <c r="D1398" t="s">
        <v>228</v>
      </c>
      <c r="E1398" t="s">
        <v>228</v>
      </c>
      <c r="F1398">
        <v>90</v>
      </c>
      <c r="G1398" s="705">
        <v>6522</v>
      </c>
      <c r="H1398" s="705">
        <v>17293</v>
      </c>
      <c r="I1398" s="705">
        <v>458432</v>
      </c>
      <c r="J1398" s="705">
        <v>169790</v>
      </c>
      <c r="K1398">
        <v>110</v>
      </c>
      <c r="L1398" s="705">
        <v>69659</v>
      </c>
      <c r="M1398" s="705">
        <v>26926</v>
      </c>
      <c r="N1398" s="705">
        <v>130719</v>
      </c>
      <c r="O1398" s="705">
        <v>48414</v>
      </c>
      <c r="P1398" s="705">
        <v>1053</v>
      </c>
      <c r="Q1398">
        <v>390</v>
      </c>
      <c r="R1398" s="705">
        <v>607884</v>
      </c>
      <c r="S1398" s="705">
        <v>225142</v>
      </c>
      <c r="T1398" s="705">
        <v>1947</v>
      </c>
      <c r="U1398">
        <v>721</v>
      </c>
      <c r="V1398" s="705">
        <v>471384</v>
      </c>
      <c r="W1398" s="705">
        <f t="shared" si="60"/>
        <v>471383</v>
      </c>
      <c r="X1398" s="705">
        <f t="shared" si="61"/>
        <v>1269694</v>
      </c>
    </row>
    <row r="1399" spans="2:24">
      <c r="B1399" t="s">
        <v>707</v>
      </c>
      <c r="C1399" t="s">
        <v>116</v>
      </c>
      <c r="D1399" t="s">
        <v>583</v>
      </c>
      <c r="E1399" t="s">
        <v>583</v>
      </c>
      <c r="F1399">
        <v>26</v>
      </c>
      <c r="G1399" s="705">
        <v>3098</v>
      </c>
      <c r="H1399" s="705">
        <v>4941</v>
      </c>
      <c r="I1399" s="705">
        <v>330132</v>
      </c>
      <c r="J1399" s="705">
        <v>300120</v>
      </c>
      <c r="K1399">
        <v>87</v>
      </c>
      <c r="L1399" s="705">
        <v>57795</v>
      </c>
      <c r="M1399" s="705">
        <v>51307</v>
      </c>
      <c r="N1399" s="705">
        <v>59771</v>
      </c>
      <c r="O1399" s="705">
        <v>22137</v>
      </c>
      <c r="P1399" s="705">
        <v>17062</v>
      </c>
      <c r="Q1399" s="705">
        <v>6319</v>
      </c>
      <c r="R1399" s="705">
        <v>114002</v>
      </c>
      <c r="S1399" s="705">
        <v>103638</v>
      </c>
      <c r="T1399" s="705">
        <v>29293</v>
      </c>
      <c r="U1399" s="705">
        <v>10849</v>
      </c>
      <c r="V1399" s="705">
        <v>494372</v>
      </c>
      <c r="W1399" s="705">
        <f t="shared" si="60"/>
        <v>494370</v>
      </c>
      <c r="X1399" s="705">
        <f t="shared" si="61"/>
        <v>608055</v>
      </c>
    </row>
    <row r="1400" spans="2:24">
      <c r="B1400" t="s">
        <v>707</v>
      </c>
      <c r="C1400" t="s">
        <v>116</v>
      </c>
      <c r="D1400" t="s">
        <v>584</v>
      </c>
      <c r="E1400" t="s">
        <v>584</v>
      </c>
      <c r="F1400">
        <v>306</v>
      </c>
      <c r="G1400" s="705">
        <v>23114</v>
      </c>
      <c r="H1400" s="705">
        <v>57145</v>
      </c>
      <c r="I1400" s="705">
        <v>1959864</v>
      </c>
      <c r="J1400" s="705">
        <v>1781695</v>
      </c>
      <c r="K1400">
        <v>80</v>
      </c>
      <c r="L1400" s="705">
        <v>289854</v>
      </c>
      <c r="M1400" s="705">
        <v>243129</v>
      </c>
      <c r="N1400" s="705">
        <v>452880</v>
      </c>
      <c r="O1400" s="705">
        <v>167733</v>
      </c>
      <c r="P1400" s="705">
        <v>140009</v>
      </c>
      <c r="Q1400" s="705">
        <v>51855</v>
      </c>
      <c r="R1400" s="705">
        <v>1268482</v>
      </c>
      <c r="S1400" s="705">
        <v>1153166</v>
      </c>
      <c r="T1400" s="705">
        <v>225907</v>
      </c>
      <c r="U1400" s="705">
        <v>83669</v>
      </c>
      <c r="V1400" s="705">
        <v>3481247</v>
      </c>
      <c r="W1400" s="705">
        <f t="shared" si="60"/>
        <v>3481247</v>
      </c>
      <c r="X1400" s="705">
        <f t="shared" si="61"/>
        <v>4336996</v>
      </c>
    </row>
    <row r="1401" spans="2:24">
      <c r="B1401" t="s">
        <v>707</v>
      </c>
      <c r="C1401" t="s">
        <v>116</v>
      </c>
      <c r="D1401" t="s">
        <v>665</v>
      </c>
      <c r="E1401" t="s">
        <v>665</v>
      </c>
      <c r="F1401">
        <v>1</v>
      </c>
      <c r="G1401">
        <v>51</v>
      </c>
      <c r="H1401">
        <v>216</v>
      </c>
      <c r="I1401" s="705">
        <v>5183</v>
      </c>
      <c r="J1401" s="705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705">
        <v>2940</v>
      </c>
      <c r="S1401" s="705">
        <v>2673</v>
      </c>
      <c r="T1401" s="705">
        <v>1767</v>
      </c>
      <c r="U1401">
        <v>654</v>
      </c>
      <c r="V1401" s="705">
        <v>8493</v>
      </c>
      <c r="W1401" s="705">
        <f t="shared" si="60"/>
        <v>8493</v>
      </c>
      <c r="X1401" s="705">
        <f t="shared" si="61"/>
        <v>11117</v>
      </c>
    </row>
    <row r="1402" spans="2:24">
      <c r="B1402" t="s">
        <v>707</v>
      </c>
      <c r="C1402" t="s">
        <v>118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705">
        <v>4220</v>
      </c>
      <c r="O1402" s="705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705">
        <v>1693</v>
      </c>
      <c r="W1402" s="705">
        <f t="shared" si="60"/>
        <v>1693</v>
      </c>
      <c r="X1402" s="705">
        <f t="shared" si="61"/>
        <v>4571</v>
      </c>
    </row>
    <row r="1403" spans="2:24">
      <c r="B1403" t="s">
        <v>707</v>
      </c>
      <c r="C1403" t="s">
        <v>118</v>
      </c>
      <c r="D1403" t="s">
        <v>582</v>
      </c>
      <c r="E1403" t="s">
        <v>582</v>
      </c>
      <c r="F1403">
        <v>5</v>
      </c>
      <c r="G1403">
        <v>531</v>
      </c>
      <c r="H1403" s="705">
        <v>1264</v>
      </c>
      <c r="I1403" s="705">
        <v>73824</v>
      </c>
      <c r="J1403" s="705">
        <v>67113</v>
      </c>
      <c r="K1403">
        <v>88</v>
      </c>
      <c r="L1403" s="705">
        <v>30406</v>
      </c>
      <c r="M1403" s="705">
        <v>25603</v>
      </c>
      <c r="N1403" s="705">
        <v>9074</v>
      </c>
      <c r="O1403" s="705">
        <v>3361</v>
      </c>
      <c r="P1403" s="705">
        <v>2363</v>
      </c>
      <c r="Q1403">
        <v>875</v>
      </c>
      <c r="R1403" s="705">
        <v>17819</v>
      </c>
      <c r="S1403" s="705">
        <v>16199</v>
      </c>
      <c r="T1403" s="705">
        <v>1852</v>
      </c>
      <c r="U1403">
        <v>686</v>
      </c>
      <c r="V1403" s="705">
        <v>113836</v>
      </c>
      <c r="W1403" s="705">
        <f t="shared" si="60"/>
        <v>113837</v>
      </c>
      <c r="X1403" s="705">
        <f t="shared" si="61"/>
        <v>135338</v>
      </c>
    </row>
    <row r="1404" spans="2:24">
      <c r="B1404" t="s">
        <v>707</v>
      </c>
      <c r="C1404" t="s">
        <v>118</v>
      </c>
      <c r="D1404" t="s">
        <v>228</v>
      </c>
      <c r="E1404" t="s">
        <v>228</v>
      </c>
      <c r="F1404">
        <v>105</v>
      </c>
      <c r="G1404" s="705">
        <v>6777</v>
      </c>
      <c r="H1404" s="705">
        <v>28018</v>
      </c>
      <c r="I1404" s="705">
        <v>923008</v>
      </c>
      <c r="J1404" s="705">
        <v>341855</v>
      </c>
      <c r="K1404">
        <v>100</v>
      </c>
      <c r="L1404" s="705">
        <v>107339</v>
      </c>
      <c r="M1404" s="705">
        <v>44429</v>
      </c>
      <c r="N1404" s="705">
        <v>135742</v>
      </c>
      <c r="O1404" s="705">
        <v>50275</v>
      </c>
      <c r="P1404">
        <v>340</v>
      </c>
      <c r="Q1404">
        <v>126</v>
      </c>
      <c r="R1404" s="705">
        <v>643894</v>
      </c>
      <c r="S1404" s="705">
        <v>238479</v>
      </c>
      <c r="T1404">
        <v>0</v>
      </c>
      <c r="U1404">
        <v>0</v>
      </c>
      <c r="V1404" s="705">
        <v>675164</v>
      </c>
      <c r="W1404" s="705">
        <f t="shared" si="60"/>
        <v>675164</v>
      </c>
      <c r="X1404" s="705">
        <f t="shared" si="61"/>
        <v>1810323</v>
      </c>
    </row>
    <row r="1405" spans="2:24">
      <c r="B1405" t="s">
        <v>707</v>
      </c>
      <c r="C1405" t="s">
        <v>118</v>
      </c>
      <c r="D1405" t="s">
        <v>583</v>
      </c>
      <c r="E1405" t="s">
        <v>583</v>
      </c>
      <c r="F1405">
        <v>9</v>
      </c>
      <c r="G1405">
        <v>949</v>
      </c>
      <c r="H1405" s="705">
        <v>2372</v>
      </c>
      <c r="I1405" s="705">
        <v>132177</v>
      </c>
      <c r="J1405" s="705">
        <v>120161</v>
      </c>
      <c r="K1405">
        <v>80</v>
      </c>
      <c r="L1405" s="705">
        <v>30169</v>
      </c>
      <c r="M1405" s="705">
        <v>26828</v>
      </c>
      <c r="N1405" s="705">
        <v>20270</v>
      </c>
      <c r="O1405" s="705">
        <v>7507</v>
      </c>
      <c r="P1405" s="705">
        <v>5589</v>
      </c>
      <c r="Q1405" s="705">
        <v>2070</v>
      </c>
      <c r="R1405" s="705">
        <v>44334</v>
      </c>
      <c r="S1405" s="705">
        <v>40304</v>
      </c>
      <c r="T1405" s="705">
        <v>10657</v>
      </c>
      <c r="U1405" s="705">
        <v>3947</v>
      </c>
      <c r="V1405" s="705">
        <v>200818</v>
      </c>
      <c r="W1405" s="705">
        <f t="shared" si="60"/>
        <v>200817</v>
      </c>
      <c r="X1405" s="705">
        <f t="shared" si="61"/>
        <v>243196</v>
      </c>
    </row>
    <row r="1406" spans="2:24">
      <c r="B1406" t="s">
        <v>707</v>
      </c>
      <c r="C1406" t="s">
        <v>118</v>
      </c>
      <c r="D1406" t="s">
        <v>584</v>
      </c>
      <c r="E1406" t="s">
        <v>228</v>
      </c>
      <c r="F1406">
        <v>2</v>
      </c>
      <c r="G1406">
        <v>95</v>
      </c>
      <c r="H1406">
        <v>587</v>
      </c>
      <c r="I1406" s="705">
        <v>13708</v>
      </c>
      <c r="J1406" s="705">
        <v>12462</v>
      </c>
      <c r="K1406">
        <v>79</v>
      </c>
      <c r="L1406" s="705">
        <v>2411</v>
      </c>
      <c r="M1406" s="705">
        <v>2192</v>
      </c>
      <c r="N1406" s="705">
        <v>2016</v>
      </c>
      <c r="O1406">
        <v>747</v>
      </c>
      <c r="P1406">
        <v>945</v>
      </c>
      <c r="Q1406">
        <v>350</v>
      </c>
      <c r="R1406" s="705">
        <v>8739</v>
      </c>
      <c r="S1406" s="705">
        <v>3237</v>
      </c>
      <c r="T1406">
        <v>0</v>
      </c>
      <c r="U1406">
        <v>0</v>
      </c>
      <c r="V1406" s="705">
        <v>18987</v>
      </c>
      <c r="W1406" s="705">
        <f t="shared" si="60"/>
        <v>18988</v>
      </c>
      <c r="X1406" s="705">
        <f t="shared" si="61"/>
        <v>27819</v>
      </c>
    </row>
    <row r="1407" spans="2:24">
      <c r="B1407" t="s">
        <v>707</v>
      </c>
      <c r="C1407" t="s">
        <v>118</v>
      </c>
      <c r="D1407" t="s">
        <v>584</v>
      </c>
      <c r="E1407" t="s">
        <v>584</v>
      </c>
      <c r="F1407">
        <v>88</v>
      </c>
      <c r="G1407" s="705">
        <v>5416</v>
      </c>
      <c r="H1407" s="705">
        <v>22845</v>
      </c>
      <c r="I1407" s="705">
        <v>764631</v>
      </c>
      <c r="J1407" s="705">
        <v>695119</v>
      </c>
      <c r="K1407">
        <v>76</v>
      </c>
      <c r="L1407" s="705">
        <v>101952</v>
      </c>
      <c r="M1407" s="705">
        <v>86071</v>
      </c>
      <c r="N1407" s="705">
        <v>109881</v>
      </c>
      <c r="O1407" s="705">
        <v>40697</v>
      </c>
      <c r="P1407" s="705">
        <v>41000</v>
      </c>
      <c r="Q1407" s="705">
        <v>15185</v>
      </c>
      <c r="R1407" s="705">
        <v>320655</v>
      </c>
      <c r="S1407" s="705">
        <v>291504</v>
      </c>
      <c r="T1407" s="705">
        <v>72125</v>
      </c>
      <c r="U1407" s="705">
        <v>26713</v>
      </c>
      <c r="V1407" s="705">
        <v>1155289</v>
      </c>
      <c r="W1407" s="705">
        <f t="shared" si="60"/>
        <v>1155289</v>
      </c>
      <c r="X1407" s="705">
        <f t="shared" si="61"/>
        <v>1410244</v>
      </c>
    </row>
    <row r="1408" spans="2:24">
      <c r="B1408" t="s">
        <v>707</v>
      </c>
      <c r="C1408" t="s">
        <v>118</v>
      </c>
      <c r="D1408" t="s">
        <v>669</v>
      </c>
      <c r="E1408" t="s">
        <v>669</v>
      </c>
      <c r="F1408">
        <v>2</v>
      </c>
      <c r="G1408">
        <v>169</v>
      </c>
      <c r="H1408">
        <v>528</v>
      </c>
      <c r="I1408" s="705">
        <v>24817</v>
      </c>
      <c r="J1408" s="705">
        <v>20681</v>
      </c>
      <c r="K1408">
        <v>63</v>
      </c>
      <c r="L1408" s="705">
        <v>2911</v>
      </c>
      <c r="M1408" s="705">
        <v>2426</v>
      </c>
      <c r="N1408" s="705">
        <v>3744</v>
      </c>
      <c r="O1408" s="705">
        <v>1387</v>
      </c>
      <c r="P1408">
        <v>702</v>
      </c>
      <c r="Q1408">
        <v>260</v>
      </c>
      <c r="R1408" s="705">
        <v>10618</v>
      </c>
      <c r="S1408" s="705">
        <v>8848</v>
      </c>
      <c r="T1408" s="705">
        <v>2358</v>
      </c>
      <c r="U1408">
        <v>873</v>
      </c>
      <c r="V1408" s="705">
        <v>34475</v>
      </c>
      <c r="W1408" s="705">
        <f t="shared" si="60"/>
        <v>34475</v>
      </c>
      <c r="X1408" s="705">
        <f t="shared" si="61"/>
        <v>45150</v>
      </c>
    </row>
    <row r="1409" spans="2:24">
      <c r="B1409" t="s">
        <v>707</v>
      </c>
      <c r="C1409" t="s">
        <v>118</v>
      </c>
      <c r="D1409" t="s">
        <v>665</v>
      </c>
      <c r="E1409" t="s">
        <v>665</v>
      </c>
      <c r="F1409">
        <v>3</v>
      </c>
      <c r="G1409">
        <v>273</v>
      </c>
      <c r="H1409">
        <v>775</v>
      </c>
      <c r="I1409" s="705">
        <v>39299</v>
      </c>
      <c r="J1409" s="705">
        <v>35727</v>
      </c>
      <c r="K1409">
        <v>65</v>
      </c>
      <c r="L1409" s="705">
        <v>2493</v>
      </c>
      <c r="M1409" s="705">
        <v>2907</v>
      </c>
      <c r="N1409" s="705">
        <v>5171</v>
      </c>
      <c r="O1409" s="705">
        <v>1915</v>
      </c>
      <c r="P1409" s="705">
        <v>1323</v>
      </c>
      <c r="Q1409">
        <v>490</v>
      </c>
      <c r="R1409" s="705">
        <v>15551</v>
      </c>
      <c r="S1409" s="705">
        <v>14137</v>
      </c>
      <c r="T1409" s="705">
        <v>4773</v>
      </c>
      <c r="U1409" s="705">
        <v>1768</v>
      </c>
      <c r="V1409" s="705">
        <v>56944</v>
      </c>
      <c r="W1409" s="705">
        <f t="shared" si="60"/>
        <v>56944</v>
      </c>
      <c r="X1409" s="705">
        <f t="shared" si="61"/>
        <v>68610</v>
      </c>
    </row>
    <row r="1410" spans="2:24">
      <c r="B1410" t="s">
        <v>707</v>
      </c>
      <c r="C1410" t="s">
        <v>118</v>
      </c>
      <c r="D1410" t="s">
        <v>585</v>
      </c>
      <c r="E1410" t="s">
        <v>585</v>
      </c>
      <c r="F1410">
        <v>1</v>
      </c>
      <c r="G1410">
        <v>175</v>
      </c>
      <c r="H1410">
        <v>248</v>
      </c>
      <c r="I1410" s="705">
        <v>28320</v>
      </c>
      <c r="J1410" s="705">
        <v>25745</v>
      </c>
      <c r="K1410">
        <v>77</v>
      </c>
      <c r="L1410" s="705">
        <v>3475</v>
      </c>
      <c r="M1410" s="705">
        <v>3159</v>
      </c>
      <c r="N1410" s="705">
        <v>3129</v>
      </c>
      <c r="O1410" s="705">
        <v>1159</v>
      </c>
      <c r="P1410">
        <v>972</v>
      </c>
      <c r="Q1410">
        <v>360</v>
      </c>
      <c r="R1410" s="705">
        <v>4089</v>
      </c>
      <c r="S1410" s="705">
        <v>3717</v>
      </c>
      <c r="T1410" s="705">
        <v>3280</v>
      </c>
      <c r="U1410" s="705">
        <v>1215</v>
      </c>
      <c r="V1410" s="705">
        <v>35355</v>
      </c>
      <c r="W1410" s="705">
        <f t="shared" si="60"/>
        <v>35355</v>
      </c>
      <c r="X1410" s="705">
        <f t="shared" si="61"/>
        <v>43265</v>
      </c>
    </row>
    <row r="1411" spans="2:24">
      <c r="B1411" t="s">
        <v>707</v>
      </c>
      <c r="C1411" t="s">
        <v>120</v>
      </c>
      <c r="D1411" t="s">
        <v>582</v>
      </c>
      <c r="E1411" t="s">
        <v>582</v>
      </c>
      <c r="F1411">
        <v>1</v>
      </c>
      <c r="G1411">
        <v>104</v>
      </c>
      <c r="H1411">
        <v>313</v>
      </c>
      <c r="I1411" s="705">
        <v>18168</v>
      </c>
      <c r="J1411" s="705">
        <v>16516</v>
      </c>
      <c r="K1411">
        <v>78</v>
      </c>
      <c r="L1411" s="705">
        <v>5013</v>
      </c>
      <c r="M1411" s="705">
        <v>4557</v>
      </c>
      <c r="N1411" s="705">
        <v>2303</v>
      </c>
      <c r="O1411">
        <v>853</v>
      </c>
      <c r="P1411">
        <v>473</v>
      </c>
      <c r="Q1411">
        <v>175</v>
      </c>
      <c r="R1411" s="705">
        <v>4114</v>
      </c>
      <c r="S1411" s="705">
        <v>3740</v>
      </c>
      <c r="T1411" s="705">
        <v>2617</v>
      </c>
      <c r="U1411">
        <v>969</v>
      </c>
      <c r="V1411" s="705">
        <v>26811</v>
      </c>
      <c r="W1411" s="705">
        <f t="shared" si="60"/>
        <v>26810</v>
      </c>
      <c r="X1411" s="705">
        <f t="shared" si="61"/>
        <v>32688</v>
      </c>
    </row>
    <row r="1412" spans="2:24">
      <c r="B1412" t="s">
        <v>707</v>
      </c>
      <c r="C1412" t="s">
        <v>120</v>
      </c>
      <c r="D1412" t="s">
        <v>228</v>
      </c>
      <c r="E1412" t="s">
        <v>228</v>
      </c>
      <c r="F1412">
        <v>82</v>
      </c>
      <c r="G1412" s="705">
        <v>4877</v>
      </c>
      <c r="H1412" s="705">
        <v>27844</v>
      </c>
      <c r="I1412" s="705">
        <v>938102</v>
      </c>
      <c r="J1412" s="705">
        <v>347445</v>
      </c>
      <c r="K1412">
        <v>100</v>
      </c>
      <c r="L1412" s="705">
        <v>106416</v>
      </c>
      <c r="M1412" s="705">
        <v>54976</v>
      </c>
      <c r="N1412" s="705">
        <v>96236</v>
      </c>
      <c r="O1412" s="705">
        <v>35643</v>
      </c>
      <c r="P1412">
        <v>702</v>
      </c>
      <c r="Q1412">
        <v>260</v>
      </c>
      <c r="R1412" s="705">
        <v>508616</v>
      </c>
      <c r="S1412" s="705">
        <v>188376</v>
      </c>
      <c r="T1412">
        <v>0</v>
      </c>
      <c r="U1412">
        <v>0</v>
      </c>
      <c r="V1412" s="705">
        <v>626700</v>
      </c>
      <c r="W1412" s="705">
        <f t="shared" si="60"/>
        <v>626700</v>
      </c>
      <c r="X1412" s="705">
        <f t="shared" si="61"/>
        <v>1650072</v>
      </c>
    </row>
    <row r="1413" spans="2:24">
      <c r="B1413" t="s">
        <v>707</v>
      </c>
      <c r="C1413" t="s">
        <v>120</v>
      </c>
      <c r="D1413" t="s">
        <v>583</v>
      </c>
      <c r="E1413" t="s">
        <v>228</v>
      </c>
      <c r="F1413">
        <v>1</v>
      </c>
      <c r="G1413">
        <v>36</v>
      </c>
      <c r="H1413">
        <v>349</v>
      </c>
      <c r="I1413" s="705">
        <v>7400</v>
      </c>
      <c r="J1413" s="705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705">
        <v>4043</v>
      </c>
      <c r="S1413" s="705">
        <v>1497</v>
      </c>
      <c r="T1413">
        <v>0</v>
      </c>
      <c r="U1413">
        <v>0</v>
      </c>
      <c r="V1413" s="705">
        <v>8672</v>
      </c>
      <c r="W1413" s="705">
        <f t="shared" si="60"/>
        <v>8672</v>
      </c>
      <c r="X1413" s="705">
        <f t="shared" si="61"/>
        <v>12651</v>
      </c>
    </row>
    <row r="1414" spans="2:24">
      <c r="B1414" t="s">
        <v>707</v>
      </c>
      <c r="C1414" t="s">
        <v>120</v>
      </c>
      <c r="D1414" t="s">
        <v>583</v>
      </c>
      <c r="E1414" t="s">
        <v>583</v>
      </c>
      <c r="F1414">
        <v>8</v>
      </c>
      <c r="G1414">
        <v>783</v>
      </c>
      <c r="H1414" s="705">
        <v>2670</v>
      </c>
      <c r="I1414" s="705">
        <v>159494</v>
      </c>
      <c r="J1414" s="705">
        <v>144994</v>
      </c>
      <c r="K1414">
        <v>77</v>
      </c>
      <c r="L1414" s="705">
        <v>32029</v>
      </c>
      <c r="M1414" s="705">
        <v>29118</v>
      </c>
      <c r="N1414" s="705">
        <v>16212</v>
      </c>
      <c r="O1414" s="705">
        <v>6004</v>
      </c>
      <c r="P1414" s="705">
        <v>4968</v>
      </c>
      <c r="Q1414" s="705">
        <v>1840</v>
      </c>
      <c r="R1414" s="705">
        <v>37453</v>
      </c>
      <c r="S1414" s="705">
        <v>34048</v>
      </c>
      <c r="T1414" s="705">
        <v>8457</v>
      </c>
      <c r="U1414" s="705">
        <v>3132</v>
      </c>
      <c r="V1414" s="705">
        <v>219137</v>
      </c>
      <c r="W1414" s="705">
        <f t="shared" si="60"/>
        <v>219136</v>
      </c>
      <c r="X1414" s="705">
        <f t="shared" si="61"/>
        <v>258613</v>
      </c>
    </row>
    <row r="1415" spans="2:24">
      <c r="B1415" t="s">
        <v>707</v>
      </c>
      <c r="C1415" t="s">
        <v>120</v>
      </c>
      <c r="D1415" t="s">
        <v>584</v>
      </c>
      <c r="E1415" t="s">
        <v>584</v>
      </c>
      <c r="F1415">
        <v>7</v>
      </c>
      <c r="G1415">
        <v>432</v>
      </c>
      <c r="H1415" s="705">
        <v>2337</v>
      </c>
      <c r="I1415" s="705">
        <v>94420</v>
      </c>
      <c r="J1415" s="705">
        <v>85836</v>
      </c>
      <c r="K1415">
        <v>77</v>
      </c>
      <c r="L1415" s="705">
        <v>9003</v>
      </c>
      <c r="M1415" s="705">
        <v>7855</v>
      </c>
      <c r="N1415" s="705">
        <v>9516</v>
      </c>
      <c r="O1415" s="705">
        <v>3524</v>
      </c>
      <c r="P1415" s="705">
        <v>3308</v>
      </c>
      <c r="Q1415" s="705">
        <v>1225</v>
      </c>
      <c r="R1415" s="705">
        <v>24193</v>
      </c>
      <c r="S1415" s="705">
        <v>21994</v>
      </c>
      <c r="T1415" s="705">
        <v>4708</v>
      </c>
      <c r="U1415" s="705">
        <v>1744</v>
      </c>
      <c r="V1415" s="705">
        <v>122178</v>
      </c>
      <c r="W1415" s="705">
        <f t="shared" si="60"/>
        <v>122178</v>
      </c>
      <c r="X1415" s="705">
        <f t="shared" si="61"/>
        <v>145148</v>
      </c>
    </row>
    <row r="1416" spans="2:24">
      <c r="B1416" t="s">
        <v>707</v>
      </c>
      <c r="C1416" t="s">
        <v>120</v>
      </c>
      <c r="D1416" t="s">
        <v>665</v>
      </c>
      <c r="E1416" t="s">
        <v>665</v>
      </c>
      <c r="F1416">
        <v>2</v>
      </c>
      <c r="G1416">
        <v>92</v>
      </c>
      <c r="H1416">
        <v>673</v>
      </c>
      <c r="I1416" s="705">
        <v>15034</v>
      </c>
      <c r="J1416" s="705">
        <v>13667</v>
      </c>
      <c r="K1416">
        <v>65</v>
      </c>
      <c r="L1416" s="705">
        <v>1810</v>
      </c>
      <c r="M1416" s="705">
        <v>1645</v>
      </c>
      <c r="N1416" s="705">
        <v>1796</v>
      </c>
      <c r="O1416">
        <v>665</v>
      </c>
      <c r="P1416">
        <v>702</v>
      </c>
      <c r="Q1416">
        <v>260</v>
      </c>
      <c r="R1416" s="705">
        <v>7747</v>
      </c>
      <c r="S1416" s="705">
        <v>7042</v>
      </c>
      <c r="T1416" s="705">
        <v>3913</v>
      </c>
      <c r="U1416" s="705">
        <v>1449</v>
      </c>
      <c r="V1416" s="705">
        <v>24729</v>
      </c>
      <c r="W1416" s="705">
        <f t="shared" si="60"/>
        <v>24728</v>
      </c>
      <c r="X1416" s="705">
        <f t="shared" si="61"/>
        <v>31002</v>
      </c>
    </row>
    <row r="1417" spans="2:24">
      <c r="B1417" t="s">
        <v>707</v>
      </c>
      <c r="C1417" t="s">
        <v>122</v>
      </c>
      <c r="D1417" t="s">
        <v>228</v>
      </c>
      <c r="E1417" t="s">
        <v>228</v>
      </c>
      <c r="F1417">
        <v>36</v>
      </c>
      <c r="G1417" s="705">
        <v>2044</v>
      </c>
      <c r="H1417" s="705">
        <v>14891</v>
      </c>
      <c r="I1417" s="705">
        <v>514563</v>
      </c>
      <c r="J1417" s="705">
        <v>190579</v>
      </c>
      <c r="K1417">
        <v>100</v>
      </c>
      <c r="L1417" s="705">
        <v>55219</v>
      </c>
      <c r="M1417" s="705">
        <v>27307</v>
      </c>
      <c r="N1417" s="705">
        <v>42901</v>
      </c>
      <c r="O1417" s="705">
        <v>15889</v>
      </c>
      <c r="P1417">
        <v>702</v>
      </c>
      <c r="Q1417">
        <v>260</v>
      </c>
      <c r="R1417" s="705">
        <v>229306</v>
      </c>
      <c r="S1417" s="705">
        <v>84928</v>
      </c>
      <c r="T1417">
        <v>0</v>
      </c>
      <c r="U1417">
        <v>0</v>
      </c>
      <c r="V1417" s="705">
        <v>318962</v>
      </c>
      <c r="W1417" s="705">
        <f t="shared" si="60"/>
        <v>318963</v>
      </c>
      <c r="X1417" s="705">
        <f t="shared" si="61"/>
        <v>842691</v>
      </c>
    </row>
    <row r="1418" spans="2:24">
      <c r="B1418" t="s">
        <v>707</v>
      </c>
      <c r="C1418" t="s">
        <v>122</v>
      </c>
      <c r="D1418" t="s">
        <v>583</v>
      </c>
      <c r="E1418" t="s">
        <v>583</v>
      </c>
      <c r="F1418">
        <v>5</v>
      </c>
      <c r="G1418">
        <v>357</v>
      </c>
      <c r="H1418" s="705">
        <v>2063</v>
      </c>
      <c r="I1418" s="705">
        <v>100805</v>
      </c>
      <c r="J1418" s="705">
        <v>91641</v>
      </c>
      <c r="K1418">
        <v>75</v>
      </c>
      <c r="L1418" s="705">
        <v>15476</v>
      </c>
      <c r="M1418" s="705">
        <v>14069</v>
      </c>
      <c r="N1418" s="705">
        <v>7480</v>
      </c>
      <c r="O1418" s="705">
        <v>2770</v>
      </c>
      <c r="P1418" s="705">
        <v>3105</v>
      </c>
      <c r="Q1418" s="705">
        <v>1150</v>
      </c>
      <c r="R1418" s="705">
        <v>18423</v>
      </c>
      <c r="S1418" s="705">
        <v>16748</v>
      </c>
      <c r="T1418">
        <v>306</v>
      </c>
      <c r="U1418">
        <v>114</v>
      </c>
      <c r="V1418" s="705">
        <v>126492</v>
      </c>
      <c r="W1418" s="705">
        <f t="shared" si="60"/>
        <v>126492</v>
      </c>
      <c r="X1418" s="705">
        <f t="shared" si="61"/>
        <v>145595</v>
      </c>
    </row>
    <row r="1419" spans="2:24">
      <c r="B1419" t="s">
        <v>707</v>
      </c>
      <c r="C1419" t="s">
        <v>122</v>
      </c>
      <c r="D1419" t="s">
        <v>584</v>
      </c>
      <c r="E1419" t="s">
        <v>584</v>
      </c>
      <c r="F1419">
        <v>1</v>
      </c>
      <c r="G1419">
        <v>48</v>
      </c>
      <c r="H1419">
        <v>416</v>
      </c>
      <c r="I1419" s="705">
        <v>9574</v>
      </c>
      <c r="J1419" s="705">
        <v>8703</v>
      </c>
      <c r="K1419">
        <v>73</v>
      </c>
      <c r="L1419" s="705">
        <v>3691</v>
      </c>
      <c r="M1419" s="705">
        <v>3356</v>
      </c>
      <c r="N1419">
        <v>928</v>
      </c>
      <c r="O1419">
        <v>344</v>
      </c>
      <c r="P1419">
        <v>473</v>
      </c>
      <c r="Q1419">
        <v>175</v>
      </c>
      <c r="R1419" s="705">
        <v>5141</v>
      </c>
      <c r="S1419" s="705">
        <v>4673</v>
      </c>
      <c r="T1419">
        <v>0</v>
      </c>
      <c r="U1419">
        <v>0</v>
      </c>
      <c r="V1419" s="705">
        <v>17251</v>
      </c>
      <c r="W1419" s="705">
        <f t="shared" si="60"/>
        <v>17251</v>
      </c>
      <c r="X1419" s="705">
        <f t="shared" si="61"/>
        <v>19807</v>
      </c>
    </row>
    <row r="1420" spans="2:24">
      <c r="B1420" t="s">
        <v>707</v>
      </c>
      <c r="C1420" t="s">
        <v>122</v>
      </c>
      <c r="D1420" t="s">
        <v>665</v>
      </c>
      <c r="E1420" t="s">
        <v>665</v>
      </c>
      <c r="F1420">
        <v>1</v>
      </c>
      <c r="G1420">
        <v>91</v>
      </c>
      <c r="H1420">
        <v>431</v>
      </c>
      <c r="I1420" s="705">
        <v>24839</v>
      </c>
      <c r="J1420" s="705">
        <v>22581</v>
      </c>
      <c r="K1420">
        <v>55</v>
      </c>
      <c r="L1420" s="705">
        <v>5060</v>
      </c>
      <c r="M1420" s="705">
        <v>4600</v>
      </c>
      <c r="N1420" s="705">
        <v>1669</v>
      </c>
      <c r="O1420">
        <v>618</v>
      </c>
      <c r="P1420">
        <v>351</v>
      </c>
      <c r="Q1420">
        <v>130</v>
      </c>
      <c r="R1420" s="705">
        <v>5117</v>
      </c>
      <c r="S1420" s="705">
        <v>4652</v>
      </c>
      <c r="T1420" s="705">
        <v>2316</v>
      </c>
      <c r="U1420">
        <v>858</v>
      </c>
      <c r="V1420" s="705">
        <v>33438</v>
      </c>
      <c r="W1420" s="705">
        <f t="shared" si="60"/>
        <v>33439</v>
      </c>
      <c r="X1420" s="705">
        <f t="shared" si="61"/>
        <v>39352</v>
      </c>
    </row>
    <row r="1421" spans="2:24">
      <c r="B1421" t="s">
        <v>707</v>
      </c>
      <c r="C1421" t="s">
        <v>124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705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705">
        <f t="shared" si="60"/>
        <v>617</v>
      </c>
      <c r="X1421" s="705">
        <f t="shared" si="61"/>
        <v>1665</v>
      </c>
    </row>
    <row r="1422" spans="2:24">
      <c r="B1422" t="s">
        <v>707</v>
      </c>
      <c r="C1422" t="s">
        <v>124</v>
      </c>
      <c r="D1422" t="s">
        <v>228</v>
      </c>
      <c r="E1422" t="s">
        <v>228</v>
      </c>
      <c r="F1422">
        <v>46</v>
      </c>
      <c r="G1422" s="705">
        <v>2561</v>
      </c>
      <c r="H1422" s="705">
        <v>28637</v>
      </c>
      <c r="I1422" s="705">
        <v>1131492</v>
      </c>
      <c r="J1422" s="705">
        <v>419071</v>
      </c>
      <c r="K1422">
        <v>100</v>
      </c>
      <c r="L1422" s="705">
        <v>120043</v>
      </c>
      <c r="M1422" s="705">
        <v>77477</v>
      </c>
      <c r="N1422" s="705">
        <v>52530</v>
      </c>
      <c r="O1422" s="705">
        <v>19456</v>
      </c>
      <c r="P1422" s="705">
        <v>1404</v>
      </c>
      <c r="Q1422">
        <v>520</v>
      </c>
      <c r="R1422" s="705">
        <v>291573</v>
      </c>
      <c r="S1422" s="705">
        <v>107990</v>
      </c>
      <c r="T1422">
        <v>0</v>
      </c>
      <c r="U1422">
        <v>0</v>
      </c>
      <c r="V1422" s="705">
        <v>624514</v>
      </c>
      <c r="W1422" s="705">
        <f t="shared" si="60"/>
        <v>624514</v>
      </c>
      <c r="X1422" s="705">
        <f t="shared" si="61"/>
        <v>1597042</v>
      </c>
    </row>
    <row r="1423" spans="2:24">
      <c r="B1423" t="s">
        <v>707</v>
      </c>
      <c r="C1423" t="s">
        <v>124</v>
      </c>
      <c r="D1423" t="s">
        <v>583</v>
      </c>
      <c r="E1423" t="s">
        <v>583</v>
      </c>
      <c r="F1423">
        <v>17</v>
      </c>
      <c r="G1423" s="705">
        <v>1462</v>
      </c>
      <c r="H1423" s="705">
        <v>9769</v>
      </c>
      <c r="I1423" s="705">
        <v>551496</v>
      </c>
      <c r="J1423" s="705">
        <v>501360</v>
      </c>
      <c r="K1423">
        <v>68</v>
      </c>
      <c r="L1423" s="705">
        <v>110268</v>
      </c>
      <c r="M1423" s="705">
        <v>93714</v>
      </c>
      <c r="N1423" s="705">
        <v>31947</v>
      </c>
      <c r="O1423" s="705">
        <v>11832</v>
      </c>
      <c r="P1423" s="705">
        <v>10557</v>
      </c>
      <c r="Q1423" s="705">
        <v>3910</v>
      </c>
      <c r="R1423" s="705">
        <v>76522</v>
      </c>
      <c r="S1423" s="705">
        <v>69566</v>
      </c>
      <c r="T1423" s="705">
        <v>31900</v>
      </c>
      <c r="U1423" s="705">
        <v>11815</v>
      </c>
      <c r="V1423" s="705">
        <v>692197</v>
      </c>
      <c r="W1423" s="705">
        <f t="shared" si="60"/>
        <v>692197</v>
      </c>
      <c r="X1423" s="705">
        <f t="shared" si="61"/>
        <v>812690</v>
      </c>
    </row>
    <row r="1424" spans="2:24">
      <c r="B1424" t="s">
        <v>707</v>
      </c>
      <c r="C1424" t="s">
        <v>124</v>
      </c>
      <c r="D1424" t="s">
        <v>584</v>
      </c>
      <c r="E1424" t="s">
        <v>584</v>
      </c>
      <c r="F1424">
        <v>3</v>
      </c>
      <c r="G1424">
        <v>285</v>
      </c>
      <c r="H1424" s="705">
        <v>1593</v>
      </c>
      <c r="I1424" s="705">
        <v>95539</v>
      </c>
      <c r="J1424" s="705">
        <v>86854</v>
      </c>
      <c r="K1424">
        <v>75</v>
      </c>
      <c r="L1424" s="705">
        <v>43731</v>
      </c>
      <c r="M1424" s="705">
        <v>21186</v>
      </c>
      <c r="N1424" s="705">
        <v>5770</v>
      </c>
      <c r="O1424" s="705">
        <v>2137</v>
      </c>
      <c r="P1424" s="705">
        <v>1418</v>
      </c>
      <c r="Q1424">
        <v>525</v>
      </c>
      <c r="R1424" s="705">
        <v>14563</v>
      </c>
      <c r="S1424" s="705">
        <v>13239</v>
      </c>
      <c r="T1424" s="705">
        <v>2151</v>
      </c>
      <c r="U1424">
        <v>797</v>
      </c>
      <c r="V1424" s="705">
        <v>124737</v>
      </c>
      <c r="W1424" s="705">
        <f t="shared" si="60"/>
        <v>124738</v>
      </c>
      <c r="X1424" s="705">
        <f t="shared" si="61"/>
        <v>163172</v>
      </c>
    </row>
    <row r="1425" spans="2:24">
      <c r="B1425" t="s">
        <v>544</v>
      </c>
      <c r="C1425" t="s">
        <v>108</v>
      </c>
      <c r="D1425" t="s">
        <v>228</v>
      </c>
      <c r="E1425" t="s">
        <v>228</v>
      </c>
      <c r="F1425">
        <v>1</v>
      </c>
      <c r="G1425">
        <v>209</v>
      </c>
      <c r="H1425">
        <v>46</v>
      </c>
      <c r="I1425" s="705">
        <v>1534</v>
      </c>
      <c r="J1425">
        <v>568</v>
      </c>
      <c r="K1425">
        <v>435</v>
      </c>
      <c r="L1425">
        <v>0</v>
      </c>
      <c r="M1425">
        <v>0</v>
      </c>
      <c r="N1425" s="705">
        <v>3050</v>
      </c>
      <c r="O1425" s="705">
        <v>1130</v>
      </c>
      <c r="P1425">
        <v>351</v>
      </c>
      <c r="Q1425">
        <v>130</v>
      </c>
      <c r="R1425" s="705">
        <v>4745</v>
      </c>
      <c r="S1425" s="705">
        <v>1757</v>
      </c>
      <c r="T1425">
        <v>0</v>
      </c>
      <c r="U1425">
        <v>0</v>
      </c>
      <c r="V1425" s="705">
        <v>3585</v>
      </c>
      <c r="W1425" s="705">
        <f t="shared" si="60"/>
        <v>3585</v>
      </c>
      <c r="X1425" s="705">
        <f t="shared" si="61"/>
        <v>9680</v>
      </c>
    </row>
    <row r="1426" spans="2:24">
      <c r="B1426" t="s">
        <v>544</v>
      </c>
      <c r="C1426" t="s">
        <v>110</v>
      </c>
      <c r="D1426" t="s">
        <v>584</v>
      </c>
      <c r="E1426" t="s">
        <v>584</v>
      </c>
      <c r="F1426">
        <v>5</v>
      </c>
      <c r="G1426">
        <v>390</v>
      </c>
      <c r="H1426">
        <v>472</v>
      </c>
      <c r="I1426" s="705">
        <v>12870</v>
      </c>
      <c r="J1426" s="705">
        <v>11700</v>
      </c>
      <c r="K1426">
        <v>88</v>
      </c>
      <c r="L1426" s="705">
        <v>1101</v>
      </c>
      <c r="M1426">
        <v>408</v>
      </c>
      <c r="N1426" s="705">
        <v>6367</v>
      </c>
      <c r="O1426" s="705">
        <v>2358</v>
      </c>
      <c r="P1426" s="705">
        <v>2363</v>
      </c>
      <c r="Q1426">
        <v>875</v>
      </c>
      <c r="R1426" s="705">
        <v>14183</v>
      </c>
      <c r="S1426" s="705">
        <v>12894</v>
      </c>
      <c r="T1426">
        <v>0</v>
      </c>
      <c r="U1426">
        <v>0</v>
      </c>
      <c r="V1426" s="705">
        <v>28235</v>
      </c>
      <c r="W1426" s="705">
        <f t="shared" si="60"/>
        <v>28235</v>
      </c>
      <c r="X1426" s="705">
        <f t="shared" si="61"/>
        <v>36884</v>
      </c>
    </row>
    <row r="1427" spans="2:24">
      <c r="B1427" t="s">
        <v>544</v>
      </c>
      <c r="C1427" t="s">
        <v>112</v>
      </c>
      <c r="D1427" t="s">
        <v>583</v>
      </c>
      <c r="E1427" t="s">
        <v>583</v>
      </c>
      <c r="F1427">
        <v>3</v>
      </c>
      <c r="G1427">
        <v>751</v>
      </c>
      <c r="H1427">
        <v>343</v>
      </c>
      <c r="I1427" s="705">
        <v>51434</v>
      </c>
      <c r="J1427" s="705">
        <v>46758</v>
      </c>
      <c r="K1427">
        <v>92</v>
      </c>
      <c r="L1427" s="705">
        <v>11499</v>
      </c>
      <c r="M1427" s="705">
        <v>10454</v>
      </c>
      <c r="N1427" s="705">
        <v>10031</v>
      </c>
      <c r="O1427" s="705">
        <v>3715</v>
      </c>
      <c r="P1427" s="705">
        <v>1863</v>
      </c>
      <c r="Q1427">
        <v>690</v>
      </c>
      <c r="R1427" s="705">
        <v>18816</v>
      </c>
      <c r="S1427" s="705">
        <v>17105</v>
      </c>
      <c r="T1427">
        <v>0</v>
      </c>
      <c r="U1427">
        <v>0</v>
      </c>
      <c r="V1427" s="705">
        <v>78723</v>
      </c>
      <c r="W1427" s="705">
        <f t="shared" si="60"/>
        <v>78722</v>
      </c>
      <c r="X1427" s="705">
        <f t="shared" si="61"/>
        <v>93643</v>
      </c>
    </row>
    <row r="1428" spans="2:24">
      <c r="B1428" t="s">
        <v>544</v>
      </c>
      <c r="C1428" t="s">
        <v>112</v>
      </c>
      <c r="D1428" t="s">
        <v>584</v>
      </c>
      <c r="E1428" t="s">
        <v>584</v>
      </c>
      <c r="F1428">
        <v>66</v>
      </c>
      <c r="G1428" s="705">
        <v>5137</v>
      </c>
      <c r="H1428" s="705">
        <v>7636</v>
      </c>
      <c r="I1428" s="705">
        <v>265142</v>
      </c>
      <c r="J1428" s="705">
        <v>241038</v>
      </c>
      <c r="K1428">
        <v>87</v>
      </c>
      <c r="L1428" s="705">
        <v>21806</v>
      </c>
      <c r="M1428" s="705">
        <v>17772</v>
      </c>
      <c r="N1428" s="705">
        <v>82254</v>
      </c>
      <c r="O1428" s="705">
        <v>30465</v>
      </c>
      <c r="P1428" s="705">
        <v>32940</v>
      </c>
      <c r="Q1428" s="705">
        <v>12200</v>
      </c>
      <c r="R1428" s="705">
        <v>201180</v>
      </c>
      <c r="S1428" s="705">
        <v>182891</v>
      </c>
      <c r="T1428" s="705">
        <v>11908</v>
      </c>
      <c r="U1428" s="705">
        <v>4410</v>
      </c>
      <c r="V1428" s="705">
        <v>488776</v>
      </c>
      <c r="W1428" s="705">
        <f t="shared" si="60"/>
        <v>488776</v>
      </c>
      <c r="X1428" s="705">
        <f t="shared" si="61"/>
        <v>615230</v>
      </c>
    </row>
    <row r="1429" spans="2:24">
      <c r="B1429" t="s">
        <v>544</v>
      </c>
      <c r="C1429" t="s">
        <v>114</v>
      </c>
      <c r="D1429" t="s">
        <v>582</v>
      </c>
      <c r="E1429" t="s">
        <v>582</v>
      </c>
      <c r="F1429">
        <v>1</v>
      </c>
      <c r="G1429">
        <v>172</v>
      </c>
      <c r="H1429">
        <v>133</v>
      </c>
      <c r="I1429" s="705">
        <v>18875</v>
      </c>
      <c r="J1429" s="705">
        <v>17159</v>
      </c>
      <c r="K1429">
        <v>92</v>
      </c>
      <c r="L1429" s="705">
        <v>2830</v>
      </c>
      <c r="M1429" s="705">
        <v>2572</v>
      </c>
      <c r="N1429" s="705">
        <v>3062</v>
      </c>
      <c r="O1429" s="705">
        <v>1134</v>
      </c>
      <c r="P1429">
        <v>824</v>
      </c>
      <c r="Q1429">
        <v>305</v>
      </c>
      <c r="R1429" s="705">
        <v>7715</v>
      </c>
      <c r="S1429" s="705">
        <v>7014</v>
      </c>
      <c r="T1429">
        <v>0</v>
      </c>
      <c r="U1429">
        <v>0</v>
      </c>
      <c r="V1429" s="705">
        <v>28184</v>
      </c>
      <c r="W1429" s="705">
        <f t="shared" si="60"/>
        <v>28184</v>
      </c>
      <c r="X1429" s="705">
        <f t="shared" si="61"/>
        <v>33306</v>
      </c>
    </row>
    <row r="1430" spans="2:24">
      <c r="B1430" t="s">
        <v>544</v>
      </c>
      <c r="C1430" t="s">
        <v>114</v>
      </c>
      <c r="D1430" t="s">
        <v>228</v>
      </c>
      <c r="E1430" t="s">
        <v>228</v>
      </c>
      <c r="F1430">
        <v>6</v>
      </c>
      <c r="G1430">
        <v>389</v>
      </c>
      <c r="H1430">
        <v>845</v>
      </c>
      <c r="I1430" s="705">
        <v>9950</v>
      </c>
      <c r="J1430" s="705">
        <v>3685</v>
      </c>
      <c r="K1430">
        <v>125</v>
      </c>
      <c r="L1430" s="705">
        <v>2234</v>
      </c>
      <c r="M1430" s="705">
        <v>1017</v>
      </c>
      <c r="N1430" s="705">
        <v>8609</v>
      </c>
      <c r="O1430" s="705">
        <v>3188</v>
      </c>
      <c r="P1430">
        <v>351</v>
      </c>
      <c r="Q1430">
        <v>130</v>
      </c>
      <c r="R1430" s="705">
        <v>33693</v>
      </c>
      <c r="S1430" s="705">
        <v>12479</v>
      </c>
      <c r="T1430">
        <v>0</v>
      </c>
      <c r="U1430">
        <v>0</v>
      </c>
      <c r="V1430" s="705">
        <v>20499</v>
      </c>
      <c r="W1430" s="705">
        <f t="shared" si="60"/>
        <v>20499</v>
      </c>
      <c r="X1430" s="705">
        <f t="shared" si="61"/>
        <v>54837</v>
      </c>
    </row>
    <row r="1431" spans="2:24">
      <c r="B1431" t="s">
        <v>544</v>
      </c>
      <c r="C1431" t="s">
        <v>114</v>
      </c>
      <c r="D1431" t="s">
        <v>583</v>
      </c>
      <c r="E1431" t="s">
        <v>583</v>
      </c>
      <c r="F1431">
        <v>4</v>
      </c>
      <c r="G1431" s="705">
        <v>1033</v>
      </c>
      <c r="H1431">
        <v>566</v>
      </c>
      <c r="I1431" s="705">
        <v>75420</v>
      </c>
      <c r="J1431" s="705">
        <v>68564</v>
      </c>
      <c r="K1431">
        <v>89</v>
      </c>
      <c r="L1431" s="705">
        <v>21462</v>
      </c>
      <c r="M1431" s="705">
        <v>19511</v>
      </c>
      <c r="N1431" s="705">
        <v>18537</v>
      </c>
      <c r="O1431" s="705">
        <v>6866</v>
      </c>
      <c r="P1431" s="705">
        <v>2484</v>
      </c>
      <c r="Q1431">
        <v>920</v>
      </c>
      <c r="R1431" s="705">
        <v>29783</v>
      </c>
      <c r="S1431" s="705">
        <v>27075</v>
      </c>
      <c r="T1431">
        <v>0</v>
      </c>
      <c r="U1431">
        <v>0</v>
      </c>
      <c r="V1431" s="705">
        <v>122936</v>
      </c>
      <c r="W1431" s="705">
        <f t="shared" si="60"/>
        <v>122936</v>
      </c>
      <c r="X1431" s="705">
        <f t="shared" si="61"/>
        <v>147686</v>
      </c>
    </row>
    <row r="1432" spans="2:24">
      <c r="B1432" t="s">
        <v>544</v>
      </c>
      <c r="C1432" t="s">
        <v>114</v>
      </c>
      <c r="D1432" t="s">
        <v>584</v>
      </c>
      <c r="E1432" t="s">
        <v>228</v>
      </c>
      <c r="F1432">
        <v>1</v>
      </c>
      <c r="G1432">
        <v>116</v>
      </c>
      <c r="H1432">
        <v>148</v>
      </c>
      <c r="I1432" s="705">
        <v>7760</v>
      </c>
      <c r="J1432" s="705">
        <v>7055</v>
      </c>
      <c r="K1432">
        <v>90</v>
      </c>
      <c r="L1432">
        <v>0</v>
      </c>
      <c r="M1432">
        <v>0</v>
      </c>
      <c r="N1432" s="705">
        <v>1411</v>
      </c>
      <c r="O1432">
        <v>522</v>
      </c>
      <c r="P1432" s="705">
        <v>2000</v>
      </c>
      <c r="Q1432">
        <v>741</v>
      </c>
      <c r="R1432" s="705">
        <v>6007</v>
      </c>
      <c r="S1432" s="705">
        <v>2225</v>
      </c>
      <c r="T1432">
        <v>0</v>
      </c>
      <c r="U1432">
        <v>0</v>
      </c>
      <c r="V1432" s="705">
        <v>10543</v>
      </c>
      <c r="W1432" s="705">
        <f t="shared" si="60"/>
        <v>10543</v>
      </c>
      <c r="X1432" s="705">
        <f t="shared" si="61"/>
        <v>17178</v>
      </c>
    </row>
    <row r="1433" spans="2:24">
      <c r="B1433" t="s">
        <v>544</v>
      </c>
      <c r="C1433" t="s">
        <v>114</v>
      </c>
      <c r="D1433" t="s">
        <v>584</v>
      </c>
      <c r="E1433" t="s">
        <v>584</v>
      </c>
      <c r="F1433">
        <v>82</v>
      </c>
      <c r="G1433" s="705">
        <v>6527</v>
      </c>
      <c r="H1433" s="705">
        <v>11355</v>
      </c>
      <c r="I1433" s="705">
        <v>426944</v>
      </c>
      <c r="J1433" s="705">
        <v>388131</v>
      </c>
      <c r="K1433">
        <v>84</v>
      </c>
      <c r="L1433" s="705">
        <v>34505</v>
      </c>
      <c r="M1433" s="705">
        <v>25472</v>
      </c>
      <c r="N1433" s="705">
        <v>111186</v>
      </c>
      <c r="O1433" s="705">
        <v>41180</v>
      </c>
      <c r="P1433" s="705">
        <v>39947</v>
      </c>
      <c r="Q1433" s="705">
        <v>14795</v>
      </c>
      <c r="R1433" s="705">
        <v>285593</v>
      </c>
      <c r="S1433" s="705">
        <v>259630</v>
      </c>
      <c r="T1433" s="705">
        <v>16491</v>
      </c>
      <c r="U1433" s="705">
        <v>6108</v>
      </c>
      <c r="V1433" s="705">
        <v>735315</v>
      </c>
      <c r="W1433" s="705">
        <f t="shared" si="60"/>
        <v>735316</v>
      </c>
      <c r="X1433" s="705">
        <f t="shared" si="61"/>
        <v>914666</v>
      </c>
    </row>
    <row r="1434" spans="2:24">
      <c r="B1434" t="s">
        <v>544</v>
      </c>
      <c r="C1434" t="s">
        <v>116</v>
      </c>
      <c r="D1434" t="s">
        <v>582</v>
      </c>
      <c r="E1434" t="s">
        <v>582</v>
      </c>
      <c r="F1434">
        <v>9</v>
      </c>
      <c r="G1434" s="705">
        <v>1076</v>
      </c>
      <c r="H1434" s="705">
        <v>1841</v>
      </c>
      <c r="I1434" s="705">
        <v>119031</v>
      </c>
      <c r="J1434" s="705">
        <v>108210</v>
      </c>
      <c r="K1434">
        <v>78</v>
      </c>
      <c r="L1434" s="705">
        <v>21219</v>
      </c>
      <c r="M1434" s="705">
        <v>19290</v>
      </c>
      <c r="N1434" s="705">
        <v>13106</v>
      </c>
      <c r="O1434" s="705">
        <v>4854</v>
      </c>
      <c r="P1434" s="705">
        <v>4253</v>
      </c>
      <c r="Q1434" s="705">
        <v>1575</v>
      </c>
      <c r="R1434" s="705">
        <v>54254</v>
      </c>
      <c r="S1434" s="705">
        <v>49322</v>
      </c>
      <c r="T1434">
        <v>0</v>
      </c>
      <c r="U1434">
        <v>0</v>
      </c>
      <c r="V1434" s="705">
        <v>183251</v>
      </c>
      <c r="W1434" s="705">
        <f t="shared" si="60"/>
        <v>183251</v>
      </c>
      <c r="X1434" s="705">
        <f t="shared" si="61"/>
        <v>211863</v>
      </c>
    </row>
    <row r="1435" spans="2:24">
      <c r="B1435" t="s">
        <v>544</v>
      </c>
      <c r="C1435" t="s">
        <v>116</v>
      </c>
      <c r="D1435" t="s">
        <v>228</v>
      </c>
      <c r="E1435" t="s">
        <v>228</v>
      </c>
      <c r="F1435">
        <v>84</v>
      </c>
      <c r="G1435" s="705">
        <v>6093</v>
      </c>
      <c r="H1435" s="705">
        <v>16928</v>
      </c>
      <c r="I1435" s="705">
        <v>505275</v>
      </c>
      <c r="J1435" s="705">
        <v>187139</v>
      </c>
      <c r="K1435">
        <v>100</v>
      </c>
      <c r="L1435" s="705">
        <v>53881</v>
      </c>
      <c r="M1435" s="705">
        <v>20207</v>
      </c>
      <c r="N1435" s="705">
        <v>125521</v>
      </c>
      <c r="O1435" s="705">
        <v>46489</v>
      </c>
      <c r="P1435">
        <v>0</v>
      </c>
      <c r="Q1435">
        <v>0</v>
      </c>
      <c r="R1435" s="705">
        <v>548293</v>
      </c>
      <c r="S1435" s="705">
        <v>203071</v>
      </c>
      <c r="T1435" s="705">
        <v>2349</v>
      </c>
      <c r="U1435">
        <v>870</v>
      </c>
      <c r="V1435" s="705">
        <v>457776</v>
      </c>
      <c r="W1435" s="705">
        <f t="shared" si="60"/>
        <v>457776</v>
      </c>
      <c r="X1435" s="705">
        <f t="shared" si="61"/>
        <v>1235319</v>
      </c>
    </row>
    <row r="1436" spans="2:24">
      <c r="B1436" t="s">
        <v>544</v>
      </c>
      <c r="C1436" t="s">
        <v>116</v>
      </c>
      <c r="D1436" t="s">
        <v>583</v>
      </c>
      <c r="E1436" t="s">
        <v>228</v>
      </c>
      <c r="F1436">
        <v>1</v>
      </c>
      <c r="G1436">
        <v>46</v>
      </c>
      <c r="H1436">
        <v>203</v>
      </c>
      <c r="I1436" s="705">
        <v>4382</v>
      </c>
      <c r="J1436" s="705">
        <v>3984</v>
      </c>
      <c r="K1436">
        <v>79</v>
      </c>
      <c r="L1436">
        <v>0</v>
      </c>
      <c r="M1436">
        <v>0</v>
      </c>
      <c r="N1436" s="705">
        <v>1123</v>
      </c>
      <c r="O1436">
        <v>416</v>
      </c>
      <c r="P1436">
        <v>621</v>
      </c>
      <c r="Q1436">
        <v>230</v>
      </c>
      <c r="R1436" s="705">
        <v>3204</v>
      </c>
      <c r="S1436" s="705">
        <v>1187</v>
      </c>
      <c r="T1436">
        <v>0</v>
      </c>
      <c r="U1436">
        <v>0</v>
      </c>
      <c r="V1436" s="705">
        <v>5816</v>
      </c>
      <c r="W1436" s="705">
        <f t="shared" si="60"/>
        <v>5817</v>
      </c>
      <c r="X1436" s="705">
        <f t="shared" si="61"/>
        <v>9330</v>
      </c>
    </row>
    <row r="1437" spans="2:24">
      <c r="B1437" t="s">
        <v>544</v>
      </c>
      <c r="C1437" t="s">
        <v>116</v>
      </c>
      <c r="D1437" t="s">
        <v>583</v>
      </c>
      <c r="E1437" t="s">
        <v>583</v>
      </c>
      <c r="F1437">
        <v>26</v>
      </c>
      <c r="G1437" s="705">
        <v>3362</v>
      </c>
      <c r="H1437" s="705">
        <v>4943</v>
      </c>
      <c r="I1437" s="705">
        <v>378844</v>
      </c>
      <c r="J1437" s="705">
        <v>344404</v>
      </c>
      <c r="K1437">
        <v>86</v>
      </c>
      <c r="L1437" s="705">
        <v>75501</v>
      </c>
      <c r="M1437" s="705">
        <v>66370</v>
      </c>
      <c r="N1437" s="705">
        <v>57072</v>
      </c>
      <c r="O1437" s="705">
        <v>21138</v>
      </c>
      <c r="P1437" s="705">
        <v>17753</v>
      </c>
      <c r="Q1437" s="705">
        <v>6575</v>
      </c>
      <c r="R1437" s="705">
        <v>134864</v>
      </c>
      <c r="S1437" s="705">
        <v>122603</v>
      </c>
      <c r="T1437" s="705">
        <v>16260</v>
      </c>
      <c r="U1437" s="705">
        <v>6022</v>
      </c>
      <c r="V1437" s="705">
        <v>567113</v>
      </c>
      <c r="W1437" s="705">
        <f t="shared" si="60"/>
        <v>567112</v>
      </c>
      <c r="X1437" s="705">
        <f t="shared" si="61"/>
        <v>680294</v>
      </c>
    </row>
    <row r="1438" spans="2:24">
      <c r="B1438" t="s">
        <v>544</v>
      </c>
      <c r="C1438" t="s">
        <v>116</v>
      </c>
      <c r="D1438" t="s">
        <v>583</v>
      </c>
      <c r="E1438" t="s">
        <v>669</v>
      </c>
      <c r="F1438">
        <v>1</v>
      </c>
      <c r="G1438">
        <v>94</v>
      </c>
      <c r="H1438">
        <v>159</v>
      </c>
      <c r="I1438" s="705">
        <v>7480</v>
      </c>
      <c r="J1438" s="705">
        <v>6800</v>
      </c>
      <c r="K1438">
        <v>85</v>
      </c>
      <c r="L1438" s="705">
        <v>1032</v>
      </c>
      <c r="M1438">
        <v>938</v>
      </c>
      <c r="N1438" s="705">
        <v>1150</v>
      </c>
      <c r="O1438">
        <v>426</v>
      </c>
      <c r="P1438">
        <v>621</v>
      </c>
      <c r="Q1438">
        <v>230</v>
      </c>
      <c r="R1438" s="705">
        <v>4687</v>
      </c>
      <c r="S1438" s="705">
        <v>3906</v>
      </c>
      <c r="T1438">
        <v>0</v>
      </c>
      <c r="U1438">
        <v>0</v>
      </c>
      <c r="V1438" s="705">
        <v>12299</v>
      </c>
      <c r="W1438" s="705">
        <f t="shared" si="60"/>
        <v>12300</v>
      </c>
      <c r="X1438" s="705">
        <f t="shared" si="61"/>
        <v>14970</v>
      </c>
    </row>
    <row r="1439" spans="2:24">
      <c r="B1439" t="s">
        <v>544</v>
      </c>
      <c r="C1439" t="s">
        <v>116</v>
      </c>
      <c r="D1439" t="s">
        <v>584</v>
      </c>
      <c r="E1439" t="s">
        <v>228</v>
      </c>
      <c r="F1439">
        <v>6</v>
      </c>
      <c r="G1439">
        <v>383</v>
      </c>
      <c r="H1439" s="705">
        <v>1209</v>
      </c>
      <c r="I1439" s="705">
        <v>41472</v>
      </c>
      <c r="J1439" s="705">
        <v>37702</v>
      </c>
      <c r="K1439">
        <v>79</v>
      </c>
      <c r="L1439">
        <v>0</v>
      </c>
      <c r="M1439">
        <v>0</v>
      </c>
      <c r="N1439" s="705">
        <v>8545</v>
      </c>
      <c r="O1439" s="705">
        <v>3165</v>
      </c>
      <c r="P1439" s="705">
        <v>2835</v>
      </c>
      <c r="Q1439" s="705">
        <v>1050</v>
      </c>
      <c r="R1439" s="705">
        <v>24499</v>
      </c>
      <c r="S1439" s="705">
        <v>9074</v>
      </c>
      <c r="T1439">
        <v>0</v>
      </c>
      <c r="U1439">
        <v>0</v>
      </c>
      <c r="V1439" s="705">
        <v>50990</v>
      </c>
      <c r="W1439" s="705">
        <f t="shared" si="60"/>
        <v>50991</v>
      </c>
      <c r="X1439" s="705">
        <f t="shared" si="61"/>
        <v>77351</v>
      </c>
    </row>
    <row r="1440" spans="2:24">
      <c r="B1440" t="s">
        <v>544</v>
      </c>
      <c r="C1440" t="s">
        <v>116</v>
      </c>
      <c r="D1440" t="s">
        <v>584</v>
      </c>
      <c r="E1440" t="s">
        <v>584</v>
      </c>
      <c r="F1440">
        <v>158</v>
      </c>
      <c r="G1440" s="705">
        <v>11743</v>
      </c>
      <c r="H1440" s="705">
        <v>29232</v>
      </c>
      <c r="I1440" s="705">
        <v>1056536</v>
      </c>
      <c r="J1440" s="705">
        <v>960487</v>
      </c>
      <c r="K1440">
        <v>80</v>
      </c>
      <c r="L1440" s="705">
        <v>127572</v>
      </c>
      <c r="M1440" s="705">
        <v>97102</v>
      </c>
      <c r="N1440" s="705">
        <v>228666</v>
      </c>
      <c r="O1440" s="705">
        <v>84691</v>
      </c>
      <c r="P1440" s="705">
        <v>75344</v>
      </c>
      <c r="Q1440" s="705">
        <v>27905</v>
      </c>
      <c r="R1440" s="705">
        <v>578870</v>
      </c>
      <c r="S1440" s="705">
        <v>526245</v>
      </c>
      <c r="T1440" s="705">
        <v>82447</v>
      </c>
      <c r="U1440" s="705">
        <v>30536</v>
      </c>
      <c r="V1440" s="705">
        <v>1726966</v>
      </c>
      <c r="W1440" s="705">
        <f t="shared" si="60"/>
        <v>1726966</v>
      </c>
      <c r="X1440" s="705">
        <f t="shared" si="61"/>
        <v>2149435</v>
      </c>
    </row>
    <row r="1441" spans="2:24">
      <c r="B1441" t="s">
        <v>544</v>
      </c>
      <c r="C1441" t="s">
        <v>118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705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705">
        <f t="shared" si="60"/>
        <v>548</v>
      </c>
      <c r="X1441" s="705">
        <f t="shared" si="61"/>
        <v>1480</v>
      </c>
    </row>
    <row r="1442" spans="2:24">
      <c r="B1442" t="s">
        <v>544</v>
      </c>
      <c r="C1442" t="s">
        <v>118</v>
      </c>
      <c r="D1442" t="s">
        <v>582</v>
      </c>
      <c r="E1442" t="s">
        <v>582</v>
      </c>
      <c r="F1442">
        <v>1</v>
      </c>
      <c r="G1442">
        <v>83</v>
      </c>
      <c r="H1442">
        <v>250</v>
      </c>
      <c r="I1442" s="705">
        <v>13411</v>
      </c>
      <c r="J1442" s="705">
        <v>12192</v>
      </c>
      <c r="K1442">
        <v>81</v>
      </c>
      <c r="L1442">
        <v>0</v>
      </c>
      <c r="M1442">
        <v>0</v>
      </c>
      <c r="N1442" s="705">
        <v>1513</v>
      </c>
      <c r="O1442">
        <v>560</v>
      </c>
      <c r="P1442">
        <v>473</v>
      </c>
      <c r="Q1442">
        <v>175</v>
      </c>
      <c r="R1442" s="705">
        <v>5266</v>
      </c>
      <c r="S1442" s="705">
        <v>4787</v>
      </c>
      <c r="T1442">
        <v>0</v>
      </c>
      <c r="U1442">
        <v>0</v>
      </c>
      <c r="V1442" s="705">
        <v>17714</v>
      </c>
      <c r="W1442" s="705">
        <f t="shared" si="60"/>
        <v>17714</v>
      </c>
      <c r="X1442" s="705">
        <f t="shared" si="61"/>
        <v>20663</v>
      </c>
    </row>
    <row r="1443" spans="2:24">
      <c r="B1443" t="s">
        <v>544</v>
      </c>
      <c r="C1443" t="s">
        <v>118</v>
      </c>
      <c r="D1443" t="s">
        <v>228</v>
      </c>
      <c r="E1443" t="s">
        <v>228</v>
      </c>
      <c r="F1443">
        <v>172</v>
      </c>
      <c r="G1443" s="705">
        <v>11310</v>
      </c>
      <c r="H1443" s="705">
        <v>44902</v>
      </c>
      <c r="I1443" s="705">
        <v>1489465</v>
      </c>
      <c r="J1443" s="705">
        <v>551654</v>
      </c>
      <c r="K1443">
        <v>100</v>
      </c>
      <c r="L1443" s="705">
        <v>165772</v>
      </c>
      <c r="M1443" s="705">
        <v>66394</v>
      </c>
      <c r="N1443" s="705">
        <v>230666</v>
      </c>
      <c r="O1443" s="705">
        <v>85432</v>
      </c>
      <c r="P1443">
        <v>621</v>
      </c>
      <c r="Q1443">
        <v>230</v>
      </c>
      <c r="R1443" s="705">
        <v>1048313</v>
      </c>
      <c r="S1443" s="705">
        <v>388264</v>
      </c>
      <c r="T1443" s="705">
        <v>2087</v>
      </c>
      <c r="U1443">
        <v>773</v>
      </c>
      <c r="V1443" s="705">
        <v>1092746</v>
      </c>
      <c r="W1443" s="705">
        <f t="shared" si="60"/>
        <v>1092747</v>
      </c>
      <c r="X1443" s="705">
        <f t="shared" si="61"/>
        <v>2936924</v>
      </c>
    </row>
    <row r="1444" spans="2:24">
      <c r="B1444" t="s">
        <v>544</v>
      </c>
      <c r="C1444" t="s">
        <v>118</v>
      </c>
      <c r="D1444" t="s">
        <v>583</v>
      </c>
      <c r="E1444" t="s">
        <v>583</v>
      </c>
      <c r="F1444">
        <v>25</v>
      </c>
      <c r="G1444" s="705">
        <v>2514</v>
      </c>
      <c r="H1444" s="705">
        <v>6390</v>
      </c>
      <c r="I1444" s="705">
        <v>421262</v>
      </c>
      <c r="J1444" s="705">
        <v>382966</v>
      </c>
      <c r="K1444">
        <v>83</v>
      </c>
      <c r="L1444" s="705">
        <v>67261</v>
      </c>
      <c r="M1444" s="705">
        <v>60171</v>
      </c>
      <c r="N1444" s="705">
        <v>49630</v>
      </c>
      <c r="O1444" s="705">
        <v>18381</v>
      </c>
      <c r="P1444" s="705">
        <v>17327</v>
      </c>
      <c r="Q1444" s="705">
        <v>6417</v>
      </c>
      <c r="R1444" s="705">
        <v>114889</v>
      </c>
      <c r="S1444" s="705">
        <v>104444</v>
      </c>
      <c r="T1444" s="705">
        <v>29061</v>
      </c>
      <c r="U1444" s="705">
        <v>10763</v>
      </c>
      <c r="V1444" s="705">
        <v>583144</v>
      </c>
      <c r="W1444" s="705">
        <f t="shared" si="60"/>
        <v>583142</v>
      </c>
      <c r="X1444" s="705">
        <f t="shared" si="61"/>
        <v>699430</v>
      </c>
    </row>
    <row r="1445" spans="2:24">
      <c r="B1445" t="s">
        <v>544</v>
      </c>
      <c r="C1445" t="s">
        <v>118</v>
      </c>
      <c r="D1445" t="s">
        <v>584</v>
      </c>
      <c r="E1445" t="s">
        <v>228</v>
      </c>
      <c r="F1445">
        <v>3</v>
      </c>
      <c r="G1445">
        <v>185</v>
      </c>
      <c r="H1445">
        <v>703</v>
      </c>
      <c r="I1445" s="705">
        <v>26292</v>
      </c>
      <c r="J1445" s="705">
        <v>23901</v>
      </c>
      <c r="K1445">
        <v>79</v>
      </c>
      <c r="L1445">
        <v>0</v>
      </c>
      <c r="M1445">
        <v>0</v>
      </c>
      <c r="N1445" s="705">
        <v>4368</v>
      </c>
      <c r="O1445" s="705">
        <v>1618</v>
      </c>
      <c r="P1445" s="705">
        <v>1418</v>
      </c>
      <c r="Q1445">
        <v>525</v>
      </c>
      <c r="R1445" s="705">
        <v>11332</v>
      </c>
      <c r="S1445" s="705">
        <v>4197</v>
      </c>
      <c r="T1445">
        <v>0</v>
      </c>
      <c r="U1445">
        <v>0</v>
      </c>
      <c r="V1445" s="705">
        <v>30241</v>
      </c>
      <c r="W1445" s="705">
        <f t="shared" si="60"/>
        <v>30241</v>
      </c>
      <c r="X1445" s="705">
        <f t="shared" si="61"/>
        <v>43410</v>
      </c>
    </row>
    <row r="1446" spans="2:24">
      <c r="B1446" t="s">
        <v>544</v>
      </c>
      <c r="C1446" t="s">
        <v>118</v>
      </c>
      <c r="D1446" t="s">
        <v>584</v>
      </c>
      <c r="E1446" t="s">
        <v>584</v>
      </c>
      <c r="F1446">
        <v>26</v>
      </c>
      <c r="G1446" s="705">
        <v>2012</v>
      </c>
      <c r="H1446" s="705">
        <v>6572</v>
      </c>
      <c r="I1446" s="705">
        <v>304652</v>
      </c>
      <c r="J1446" s="705">
        <v>276957</v>
      </c>
      <c r="K1446">
        <v>81</v>
      </c>
      <c r="L1446" s="705">
        <v>29708</v>
      </c>
      <c r="M1446" s="705">
        <v>32980</v>
      </c>
      <c r="N1446" s="705">
        <v>40132</v>
      </c>
      <c r="O1446" s="705">
        <v>14864</v>
      </c>
      <c r="P1446" s="705">
        <v>12285</v>
      </c>
      <c r="Q1446" s="705">
        <v>4550</v>
      </c>
      <c r="R1446" s="705">
        <v>100172</v>
      </c>
      <c r="S1446" s="705">
        <v>91065</v>
      </c>
      <c r="T1446" s="705">
        <v>28429</v>
      </c>
      <c r="U1446" s="705">
        <v>10529</v>
      </c>
      <c r="V1446" s="705">
        <v>430945</v>
      </c>
      <c r="W1446" s="705">
        <f t="shared" si="60"/>
        <v>430945</v>
      </c>
      <c r="X1446" s="705">
        <f t="shared" si="61"/>
        <v>515378</v>
      </c>
    </row>
    <row r="1447" spans="2:24">
      <c r="B1447" t="s">
        <v>544</v>
      </c>
      <c r="C1447" t="s">
        <v>118</v>
      </c>
      <c r="D1447" t="s">
        <v>669</v>
      </c>
      <c r="E1447" t="s">
        <v>669</v>
      </c>
      <c r="F1447">
        <v>6</v>
      </c>
      <c r="G1447">
        <v>398</v>
      </c>
      <c r="H1447" s="705">
        <v>1490</v>
      </c>
      <c r="I1447" s="705">
        <v>45900</v>
      </c>
      <c r="J1447" s="705">
        <v>38250</v>
      </c>
      <c r="K1447">
        <v>55</v>
      </c>
      <c r="L1447">
        <v>0</v>
      </c>
      <c r="M1447">
        <v>0</v>
      </c>
      <c r="N1447" s="705">
        <v>7405</v>
      </c>
      <c r="O1447" s="705">
        <v>2743</v>
      </c>
      <c r="P1447" s="705">
        <v>2106</v>
      </c>
      <c r="Q1447">
        <v>780</v>
      </c>
      <c r="R1447" s="705">
        <v>31063</v>
      </c>
      <c r="S1447" s="705">
        <v>25885</v>
      </c>
      <c r="T1447" s="705">
        <v>12411</v>
      </c>
      <c r="U1447" s="705">
        <v>4597</v>
      </c>
      <c r="V1447" s="705">
        <v>72255</v>
      </c>
      <c r="W1447" s="705">
        <f t="shared" si="60"/>
        <v>72255</v>
      </c>
      <c r="X1447" s="705">
        <f t="shared" si="61"/>
        <v>98885</v>
      </c>
    </row>
    <row r="1448" spans="2:24">
      <c r="B1448" t="s">
        <v>544</v>
      </c>
      <c r="C1448" t="s">
        <v>118</v>
      </c>
      <c r="D1448" t="s">
        <v>665</v>
      </c>
      <c r="E1448" t="s">
        <v>665</v>
      </c>
      <c r="F1448">
        <v>5</v>
      </c>
      <c r="G1448">
        <v>389</v>
      </c>
      <c r="H1448" s="705">
        <v>1450</v>
      </c>
      <c r="I1448" s="705">
        <v>59469</v>
      </c>
      <c r="J1448" s="705">
        <v>54063</v>
      </c>
      <c r="K1448">
        <v>63</v>
      </c>
      <c r="L1448" s="705">
        <v>12335</v>
      </c>
      <c r="M1448" s="705">
        <v>11214</v>
      </c>
      <c r="N1448" s="705">
        <v>7033</v>
      </c>
      <c r="O1448" s="705">
        <v>2605</v>
      </c>
      <c r="P1448" s="705">
        <v>2025</v>
      </c>
      <c r="Q1448">
        <v>750</v>
      </c>
      <c r="R1448" s="705">
        <v>23561</v>
      </c>
      <c r="S1448" s="705">
        <v>21419</v>
      </c>
      <c r="T1448" s="705">
        <v>8837</v>
      </c>
      <c r="U1448" s="705">
        <v>3273</v>
      </c>
      <c r="V1448" s="705">
        <v>93324</v>
      </c>
      <c r="W1448" s="705">
        <f t="shared" si="60"/>
        <v>93324</v>
      </c>
      <c r="X1448" s="705">
        <f t="shared" si="61"/>
        <v>113260</v>
      </c>
    </row>
    <row r="1449" spans="2:24">
      <c r="B1449" t="s">
        <v>544</v>
      </c>
      <c r="C1449" t="s">
        <v>120</v>
      </c>
      <c r="D1449" t="s">
        <v>228</v>
      </c>
      <c r="E1449" t="s">
        <v>228</v>
      </c>
      <c r="F1449">
        <v>75</v>
      </c>
      <c r="G1449" s="705">
        <v>4308</v>
      </c>
      <c r="H1449" s="705">
        <v>25056</v>
      </c>
      <c r="I1449" s="705">
        <v>803624</v>
      </c>
      <c r="J1449" s="705">
        <v>297638</v>
      </c>
      <c r="K1449">
        <v>100</v>
      </c>
      <c r="L1449" s="705">
        <v>87303</v>
      </c>
      <c r="M1449" s="705">
        <v>41522</v>
      </c>
      <c r="N1449" s="705">
        <v>89606</v>
      </c>
      <c r="O1449" s="705">
        <v>33187</v>
      </c>
      <c r="P1449">
        <v>351</v>
      </c>
      <c r="Q1449">
        <v>130</v>
      </c>
      <c r="R1449" s="705">
        <v>449911</v>
      </c>
      <c r="S1449" s="705">
        <v>166634</v>
      </c>
      <c r="T1449" s="705">
        <v>4144</v>
      </c>
      <c r="U1449" s="705">
        <v>1535</v>
      </c>
      <c r="V1449" s="705">
        <v>540646</v>
      </c>
      <c r="W1449" s="705">
        <f t="shared" si="60"/>
        <v>540646</v>
      </c>
      <c r="X1449" s="705">
        <f t="shared" si="61"/>
        <v>1434939</v>
      </c>
    </row>
    <row r="1450" spans="2:24">
      <c r="B1450" t="s">
        <v>544</v>
      </c>
      <c r="C1450" t="s">
        <v>120</v>
      </c>
      <c r="D1450" t="s">
        <v>228</v>
      </c>
      <c r="E1450" t="s">
        <v>665</v>
      </c>
      <c r="F1450">
        <v>1</v>
      </c>
      <c r="G1450">
        <v>79</v>
      </c>
      <c r="H1450">
        <v>319</v>
      </c>
      <c r="I1450" s="705">
        <v>15029</v>
      </c>
      <c r="J1450" s="705">
        <v>5566</v>
      </c>
      <c r="K1450">
        <v>100</v>
      </c>
      <c r="L1450" s="705">
        <v>1237</v>
      </c>
      <c r="M1450" s="705">
        <v>1124</v>
      </c>
      <c r="N1450" s="705">
        <v>1496</v>
      </c>
      <c r="O1450">
        <v>554</v>
      </c>
      <c r="P1450">
        <v>351</v>
      </c>
      <c r="Q1450">
        <v>130</v>
      </c>
      <c r="R1450" s="705">
        <v>4866</v>
      </c>
      <c r="S1450" s="705">
        <v>4423</v>
      </c>
      <c r="T1450" s="705">
        <v>2148</v>
      </c>
      <c r="U1450">
        <v>796</v>
      </c>
      <c r="V1450" s="705">
        <v>12594</v>
      </c>
      <c r="W1450" s="705">
        <f t="shared" si="60"/>
        <v>12593</v>
      </c>
      <c r="X1450" s="705">
        <f t="shared" si="61"/>
        <v>25127</v>
      </c>
    </row>
    <row r="1451" spans="2:24">
      <c r="B1451" t="s">
        <v>544</v>
      </c>
      <c r="C1451" t="s">
        <v>120</v>
      </c>
      <c r="D1451" t="s">
        <v>583</v>
      </c>
      <c r="E1451" t="s">
        <v>583</v>
      </c>
      <c r="F1451">
        <v>9</v>
      </c>
      <c r="G1451">
        <v>821</v>
      </c>
      <c r="H1451" s="705">
        <v>3209</v>
      </c>
      <c r="I1451" s="705">
        <v>194909</v>
      </c>
      <c r="J1451" s="705">
        <v>177190</v>
      </c>
      <c r="K1451">
        <v>78</v>
      </c>
      <c r="L1451" s="705">
        <v>20449</v>
      </c>
      <c r="M1451" s="705">
        <v>18258</v>
      </c>
      <c r="N1451" s="705">
        <v>14986</v>
      </c>
      <c r="O1451" s="705">
        <v>5550</v>
      </c>
      <c r="P1451" s="705">
        <v>5670</v>
      </c>
      <c r="Q1451" s="705">
        <v>2100</v>
      </c>
      <c r="R1451" s="705">
        <v>42419</v>
      </c>
      <c r="S1451" s="705">
        <v>38563</v>
      </c>
      <c r="T1451" s="705">
        <v>10728</v>
      </c>
      <c r="U1451" s="705">
        <v>3973</v>
      </c>
      <c r="V1451" s="705">
        <v>245635</v>
      </c>
      <c r="W1451" s="705">
        <f t="shared" ref="W1451:W1514" si="62">SUM(ABS(J1451),ABS(M1451),ABS(O1451),ABS(Q1451),ABS(S1451),ABS(U1451))</f>
        <v>245634</v>
      </c>
      <c r="X1451" s="705">
        <f t="shared" ref="X1451:X1514" si="63">SUM(ABS(I1451),ABS(N1451),ABS(P1451),ABS(R1451),ABS(T1451),ABS(L1451))</f>
        <v>289161</v>
      </c>
    </row>
    <row r="1452" spans="2:24">
      <c r="B1452" t="s">
        <v>544</v>
      </c>
      <c r="C1452" t="s">
        <v>120</v>
      </c>
      <c r="D1452" t="s">
        <v>584</v>
      </c>
      <c r="E1452" t="s">
        <v>584</v>
      </c>
      <c r="F1452">
        <v>6</v>
      </c>
      <c r="G1452">
        <v>310</v>
      </c>
      <c r="H1452" s="705">
        <v>1984</v>
      </c>
      <c r="I1452" s="705">
        <v>57408</v>
      </c>
      <c r="J1452" s="705">
        <v>52189</v>
      </c>
      <c r="K1452">
        <v>75</v>
      </c>
      <c r="L1452" s="705">
        <v>4659</v>
      </c>
      <c r="M1452" s="705">
        <v>9887</v>
      </c>
      <c r="N1452" s="705">
        <v>6405</v>
      </c>
      <c r="O1452" s="705">
        <v>2372</v>
      </c>
      <c r="P1452" s="705">
        <v>2835</v>
      </c>
      <c r="Q1452" s="705">
        <v>1050</v>
      </c>
      <c r="R1452" s="705">
        <v>20888</v>
      </c>
      <c r="S1452" s="705">
        <v>18989</v>
      </c>
      <c r="T1452" s="705">
        <v>9747</v>
      </c>
      <c r="U1452" s="705">
        <v>3610</v>
      </c>
      <c r="V1452" s="705">
        <v>88097</v>
      </c>
      <c r="W1452" s="705">
        <f t="shared" si="62"/>
        <v>88097</v>
      </c>
      <c r="X1452" s="705">
        <f t="shared" si="63"/>
        <v>101942</v>
      </c>
    </row>
    <row r="1453" spans="2:24">
      <c r="B1453" t="s">
        <v>544</v>
      </c>
      <c r="C1453" t="s">
        <v>120</v>
      </c>
      <c r="D1453" t="s">
        <v>669</v>
      </c>
      <c r="E1453" t="s">
        <v>669</v>
      </c>
      <c r="F1453">
        <v>1</v>
      </c>
      <c r="G1453">
        <v>67</v>
      </c>
      <c r="H1453">
        <v>321</v>
      </c>
      <c r="I1453" s="705">
        <v>14485</v>
      </c>
      <c r="J1453" s="705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705">
        <v>4322</v>
      </c>
      <c r="S1453" s="705">
        <v>3602</v>
      </c>
      <c r="T1453" s="705">
        <v>1547</v>
      </c>
      <c r="U1453">
        <v>573</v>
      </c>
      <c r="V1453" s="705">
        <v>16722</v>
      </c>
      <c r="W1453" s="705">
        <f t="shared" si="62"/>
        <v>16722</v>
      </c>
      <c r="X1453" s="705">
        <f t="shared" si="63"/>
        <v>21640</v>
      </c>
    </row>
    <row r="1454" spans="2:24">
      <c r="B1454" t="s">
        <v>544</v>
      </c>
      <c r="C1454" t="s">
        <v>120</v>
      </c>
      <c r="D1454" t="s">
        <v>665</v>
      </c>
      <c r="E1454" t="s">
        <v>665</v>
      </c>
      <c r="F1454">
        <v>1</v>
      </c>
      <c r="G1454">
        <v>97</v>
      </c>
      <c r="H1454">
        <v>314</v>
      </c>
      <c r="I1454" s="705">
        <v>19445</v>
      </c>
      <c r="J1454" s="705">
        <v>17677</v>
      </c>
      <c r="K1454">
        <v>55</v>
      </c>
      <c r="L1454">
        <v>0</v>
      </c>
      <c r="M1454">
        <v>0</v>
      </c>
      <c r="N1454" s="705">
        <v>2004</v>
      </c>
      <c r="O1454">
        <v>742</v>
      </c>
      <c r="P1454">
        <v>351</v>
      </c>
      <c r="Q1454">
        <v>130</v>
      </c>
      <c r="R1454" s="705">
        <v>5905</v>
      </c>
      <c r="S1454" s="705">
        <v>5368</v>
      </c>
      <c r="T1454" s="705">
        <v>2839</v>
      </c>
      <c r="U1454" s="705">
        <v>1051</v>
      </c>
      <c r="V1454" s="705">
        <v>24968</v>
      </c>
      <c r="W1454" s="705">
        <f t="shared" si="62"/>
        <v>24968</v>
      </c>
      <c r="X1454" s="705">
        <f t="shared" si="63"/>
        <v>30544</v>
      </c>
    </row>
    <row r="1455" spans="2:24">
      <c r="B1455" t="s">
        <v>544</v>
      </c>
      <c r="C1455" t="s">
        <v>122</v>
      </c>
      <c r="F1455">
        <v>3</v>
      </c>
      <c r="G1455">
        <v>131</v>
      </c>
      <c r="H1455" s="705">
        <v>1297</v>
      </c>
      <c r="J1455">
        <v>0</v>
      </c>
      <c r="M1455">
        <v>0</v>
      </c>
      <c r="N1455" s="705">
        <v>2747</v>
      </c>
      <c r="O1455" s="705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705">
        <v>1017</v>
      </c>
      <c r="W1455" s="705">
        <f t="shared" si="62"/>
        <v>1017</v>
      </c>
      <c r="X1455" s="705">
        <f t="shared" si="63"/>
        <v>2747</v>
      </c>
    </row>
    <row r="1456" spans="2:24">
      <c r="B1456" t="s">
        <v>544</v>
      </c>
      <c r="C1456" t="s">
        <v>122</v>
      </c>
      <c r="D1456" t="s">
        <v>228</v>
      </c>
      <c r="E1456" t="s">
        <v>228</v>
      </c>
      <c r="F1456">
        <v>24</v>
      </c>
      <c r="G1456" s="705">
        <v>1216</v>
      </c>
      <c r="H1456" s="705">
        <v>9832</v>
      </c>
      <c r="I1456" s="705">
        <v>309742</v>
      </c>
      <c r="J1456" s="705">
        <v>114719</v>
      </c>
      <c r="K1456">
        <v>100</v>
      </c>
      <c r="L1456" s="705">
        <v>23566</v>
      </c>
      <c r="M1456" s="705">
        <v>11898</v>
      </c>
      <c r="N1456" s="705">
        <v>24732</v>
      </c>
      <c r="O1456" s="705">
        <v>9160</v>
      </c>
      <c r="P1456">
        <v>0</v>
      </c>
      <c r="Q1456">
        <v>0</v>
      </c>
      <c r="R1456" s="705">
        <v>140411</v>
      </c>
      <c r="S1456" s="705">
        <v>52004</v>
      </c>
      <c r="T1456">
        <v>0</v>
      </c>
      <c r="U1456">
        <v>0</v>
      </c>
      <c r="V1456" s="705">
        <v>187781</v>
      </c>
      <c r="W1456" s="705">
        <f t="shared" si="62"/>
        <v>187781</v>
      </c>
      <c r="X1456" s="705">
        <f t="shared" si="63"/>
        <v>498451</v>
      </c>
    </row>
    <row r="1457" spans="2:24">
      <c r="B1457" t="s">
        <v>544</v>
      </c>
      <c r="C1457" t="s">
        <v>122</v>
      </c>
      <c r="D1457" t="s">
        <v>583</v>
      </c>
      <c r="E1457" t="s">
        <v>583</v>
      </c>
      <c r="F1457">
        <v>2</v>
      </c>
      <c r="G1457">
        <v>244</v>
      </c>
      <c r="H1457">
        <v>781</v>
      </c>
      <c r="I1457" s="705">
        <v>67164</v>
      </c>
      <c r="J1457" s="705">
        <v>61058</v>
      </c>
      <c r="K1457">
        <v>82</v>
      </c>
      <c r="L1457" s="705">
        <v>8768</v>
      </c>
      <c r="M1457" s="705">
        <v>7971</v>
      </c>
      <c r="N1457" s="705">
        <v>5563</v>
      </c>
      <c r="O1457" s="705">
        <v>2060</v>
      </c>
      <c r="P1457" s="705">
        <v>1242</v>
      </c>
      <c r="Q1457">
        <v>460</v>
      </c>
      <c r="R1457" s="705">
        <v>7636</v>
      </c>
      <c r="S1457" s="705">
        <v>6942</v>
      </c>
      <c r="T1457" s="705">
        <v>5624</v>
      </c>
      <c r="U1457" s="705">
        <v>2083</v>
      </c>
      <c r="V1457" s="705">
        <v>80574</v>
      </c>
      <c r="W1457" s="705">
        <f t="shared" si="62"/>
        <v>80574</v>
      </c>
      <c r="X1457" s="705">
        <f t="shared" si="63"/>
        <v>95997</v>
      </c>
    </row>
    <row r="1458" spans="2:24">
      <c r="B1458" t="s">
        <v>544</v>
      </c>
      <c r="C1458" t="s">
        <v>122</v>
      </c>
      <c r="D1458" t="s">
        <v>584</v>
      </c>
      <c r="E1458" t="s">
        <v>584</v>
      </c>
      <c r="F1458">
        <v>2</v>
      </c>
      <c r="G1458">
        <v>266</v>
      </c>
      <c r="H1458">
        <v>782</v>
      </c>
      <c r="I1458" s="705">
        <v>62054</v>
      </c>
      <c r="J1458" s="705">
        <v>56412</v>
      </c>
      <c r="K1458">
        <v>78</v>
      </c>
      <c r="L1458" s="705">
        <v>21485</v>
      </c>
      <c r="M1458" s="705">
        <v>18708</v>
      </c>
      <c r="N1458" s="705">
        <v>5489</v>
      </c>
      <c r="O1458" s="705">
        <v>2033</v>
      </c>
      <c r="P1458">
        <v>945</v>
      </c>
      <c r="Q1458">
        <v>350</v>
      </c>
      <c r="R1458" s="705">
        <v>10291</v>
      </c>
      <c r="S1458" s="705">
        <v>9355</v>
      </c>
      <c r="T1458" s="705">
        <v>3324</v>
      </c>
      <c r="U1458" s="705">
        <v>1231</v>
      </c>
      <c r="V1458" s="705">
        <v>88089</v>
      </c>
      <c r="W1458" s="705">
        <f t="shared" si="62"/>
        <v>88089</v>
      </c>
      <c r="X1458" s="705">
        <f t="shared" si="63"/>
        <v>103588</v>
      </c>
    </row>
    <row r="1459" spans="2:24">
      <c r="B1459" t="s">
        <v>544</v>
      </c>
      <c r="C1459" t="s">
        <v>122</v>
      </c>
      <c r="D1459" t="s">
        <v>665</v>
      </c>
      <c r="E1459" t="s">
        <v>228</v>
      </c>
      <c r="F1459">
        <v>1</v>
      </c>
      <c r="G1459">
        <v>41</v>
      </c>
      <c r="H1459">
        <v>424</v>
      </c>
      <c r="I1459" s="705">
        <v>10261</v>
      </c>
      <c r="J1459" s="705">
        <v>9328</v>
      </c>
      <c r="K1459">
        <v>55</v>
      </c>
      <c r="L1459" s="705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705">
        <v>4214</v>
      </c>
      <c r="S1459" s="705">
        <v>1561</v>
      </c>
      <c r="T1459">
        <v>0</v>
      </c>
      <c r="U1459">
        <v>0</v>
      </c>
      <c r="V1459" s="705">
        <v>11958</v>
      </c>
      <c r="W1459" s="705">
        <f t="shared" si="62"/>
        <v>11958</v>
      </c>
      <c r="X1459" s="705">
        <f t="shared" si="63"/>
        <v>17362</v>
      </c>
    </row>
    <row r="1460" spans="2:24">
      <c r="B1460" t="s">
        <v>544</v>
      </c>
      <c r="C1460" t="s">
        <v>124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705">
        <f t="shared" si="62"/>
        <v>352</v>
      </c>
      <c r="X1460" s="705">
        <f t="shared" si="63"/>
        <v>950</v>
      </c>
    </row>
    <row r="1461" spans="2:24">
      <c r="B1461" t="s">
        <v>544</v>
      </c>
      <c r="C1461" t="s">
        <v>124</v>
      </c>
      <c r="D1461" t="s">
        <v>228</v>
      </c>
      <c r="E1461" t="s">
        <v>228</v>
      </c>
      <c r="F1461">
        <v>33</v>
      </c>
      <c r="G1461" s="705">
        <v>1618</v>
      </c>
      <c r="H1461" s="705">
        <v>21553</v>
      </c>
      <c r="I1461" s="705">
        <v>758740</v>
      </c>
      <c r="J1461" s="705">
        <v>281015</v>
      </c>
      <c r="K1461">
        <v>100</v>
      </c>
      <c r="L1461" s="705">
        <v>67479</v>
      </c>
      <c r="M1461" s="705">
        <v>42965</v>
      </c>
      <c r="N1461" s="705">
        <v>35072</v>
      </c>
      <c r="O1461" s="705">
        <v>12990</v>
      </c>
      <c r="P1461">
        <v>0</v>
      </c>
      <c r="Q1461">
        <v>0</v>
      </c>
      <c r="R1461" s="705">
        <v>185601</v>
      </c>
      <c r="S1461" s="705">
        <v>68741</v>
      </c>
      <c r="T1461">
        <v>0</v>
      </c>
      <c r="U1461">
        <v>0</v>
      </c>
      <c r="V1461" s="705">
        <v>405710</v>
      </c>
      <c r="W1461" s="705">
        <f t="shared" si="62"/>
        <v>405711</v>
      </c>
      <c r="X1461" s="705">
        <f t="shared" si="63"/>
        <v>1046892</v>
      </c>
    </row>
    <row r="1462" spans="2:24">
      <c r="B1462" t="s">
        <v>544</v>
      </c>
      <c r="C1462" t="s">
        <v>124</v>
      </c>
      <c r="D1462" t="s">
        <v>228</v>
      </c>
      <c r="E1462" t="s">
        <v>583</v>
      </c>
      <c r="F1462">
        <v>1</v>
      </c>
      <c r="G1462">
        <v>71</v>
      </c>
      <c r="H1462">
        <v>487</v>
      </c>
      <c r="I1462" s="705">
        <v>23721</v>
      </c>
      <c r="J1462" s="705">
        <v>8785</v>
      </c>
      <c r="K1462">
        <v>100</v>
      </c>
      <c r="L1462" s="705">
        <v>4027</v>
      </c>
      <c r="M1462" s="705">
        <v>3661</v>
      </c>
      <c r="N1462" s="705">
        <v>1740</v>
      </c>
      <c r="O1462">
        <v>644</v>
      </c>
      <c r="P1462">
        <v>0</v>
      </c>
      <c r="Q1462">
        <v>0</v>
      </c>
      <c r="R1462" s="705">
        <v>3709</v>
      </c>
      <c r="S1462" s="705">
        <v>3372</v>
      </c>
      <c r="T1462" s="705">
        <v>1604</v>
      </c>
      <c r="U1462">
        <v>594</v>
      </c>
      <c r="V1462" s="705">
        <v>17057</v>
      </c>
      <c r="W1462" s="705">
        <f t="shared" si="62"/>
        <v>17056</v>
      </c>
      <c r="X1462" s="705">
        <f t="shared" si="63"/>
        <v>34801</v>
      </c>
    </row>
    <row r="1463" spans="2:24">
      <c r="B1463" t="s">
        <v>544</v>
      </c>
      <c r="C1463" t="s">
        <v>124</v>
      </c>
      <c r="D1463" t="s">
        <v>583</v>
      </c>
      <c r="E1463" t="s">
        <v>583</v>
      </c>
      <c r="F1463">
        <v>6</v>
      </c>
      <c r="G1463">
        <v>639</v>
      </c>
      <c r="H1463" s="705">
        <v>2992</v>
      </c>
      <c r="I1463" s="705">
        <v>210542</v>
      </c>
      <c r="J1463" s="705">
        <v>191402</v>
      </c>
      <c r="K1463">
        <v>73</v>
      </c>
      <c r="L1463" s="705">
        <v>44534</v>
      </c>
      <c r="M1463" s="705">
        <v>40485</v>
      </c>
      <c r="N1463" s="705">
        <v>14810</v>
      </c>
      <c r="O1463" s="705">
        <v>5485</v>
      </c>
      <c r="P1463" s="705">
        <v>3726</v>
      </c>
      <c r="Q1463" s="705">
        <v>1380</v>
      </c>
      <c r="R1463" s="705">
        <v>33673</v>
      </c>
      <c r="S1463" s="705">
        <v>30612</v>
      </c>
      <c r="T1463" s="705">
        <v>10870</v>
      </c>
      <c r="U1463" s="705">
        <v>4026</v>
      </c>
      <c r="V1463" s="705">
        <v>273390</v>
      </c>
      <c r="W1463" s="705">
        <f t="shared" si="62"/>
        <v>273390</v>
      </c>
      <c r="X1463" s="705">
        <f t="shared" si="63"/>
        <v>318155</v>
      </c>
    </row>
    <row r="1464" spans="2:24">
      <c r="B1464" t="s">
        <v>544</v>
      </c>
      <c r="C1464" t="s">
        <v>124</v>
      </c>
      <c r="D1464" t="s">
        <v>584</v>
      </c>
      <c r="E1464" t="s">
        <v>584</v>
      </c>
      <c r="F1464">
        <v>1</v>
      </c>
      <c r="G1464">
        <v>70</v>
      </c>
      <c r="H1464">
        <v>666</v>
      </c>
      <c r="I1464" s="705">
        <v>30586</v>
      </c>
      <c r="J1464" s="705">
        <v>27805</v>
      </c>
      <c r="K1464">
        <v>80</v>
      </c>
      <c r="L1464" s="705">
        <v>9343</v>
      </c>
      <c r="M1464" s="705">
        <v>7785</v>
      </c>
      <c r="N1464" s="705">
        <v>1699</v>
      </c>
      <c r="O1464">
        <v>629</v>
      </c>
      <c r="P1464">
        <v>473</v>
      </c>
      <c r="Q1464">
        <v>175</v>
      </c>
      <c r="R1464" s="705">
        <v>4355</v>
      </c>
      <c r="S1464" s="705">
        <v>3959</v>
      </c>
      <c r="T1464">
        <v>0</v>
      </c>
      <c r="U1464">
        <v>0</v>
      </c>
      <c r="V1464" s="705">
        <v>40354</v>
      </c>
      <c r="W1464" s="705">
        <f t="shared" si="62"/>
        <v>40353</v>
      </c>
      <c r="X1464" s="705">
        <f t="shared" si="63"/>
        <v>46456</v>
      </c>
    </row>
    <row r="1465" spans="2:24">
      <c r="B1465" t="s">
        <v>544</v>
      </c>
      <c r="C1465" t="s">
        <v>124</v>
      </c>
      <c r="D1465" t="s">
        <v>669</v>
      </c>
      <c r="E1465" t="s">
        <v>228</v>
      </c>
      <c r="F1465">
        <v>1</v>
      </c>
      <c r="G1465">
        <v>43</v>
      </c>
      <c r="H1465">
        <v>763</v>
      </c>
      <c r="I1465" s="705">
        <v>26835</v>
      </c>
      <c r="J1465" s="705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705">
        <v>5670</v>
      </c>
      <c r="S1465" s="705">
        <v>2100</v>
      </c>
      <c r="T1465">
        <v>0</v>
      </c>
      <c r="U1465">
        <v>0</v>
      </c>
      <c r="V1465" s="705">
        <v>24658</v>
      </c>
      <c r="W1465" s="705">
        <f t="shared" si="62"/>
        <v>24657</v>
      </c>
      <c r="X1465" s="705">
        <f t="shared" si="63"/>
        <v>33033</v>
      </c>
    </row>
    <row r="1466" spans="2:24">
      <c r="B1466" t="s">
        <v>544</v>
      </c>
      <c r="C1466" t="s">
        <v>124</v>
      </c>
      <c r="D1466" t="s">
        <v>669</v>
      </c>
      <c r="E1466" t="s">
        <v>669</v>
      </c>
      <c r="F1466">
        <v>1</v>
      </c>
      <c r="G1466">
        <v>101</v>
      </c>
      <c r="H1466">
        <v>569</v>
      </c>
      <c r="I1466" s="705">
        <v>39937</v>
      </c>
      <c r="J1466" s="705">
        <v>33281</v>
      </c>
      <c r="K1466">
        <v>65</v>
      </c>
      <c r="L1466" s="705">
        <v>9614</v>
      </c>
      <c r="M1466" s="705">
        <v>8012</v>
      </c>
      <c r="N1466" s="705">
        <v>1233</v>
      </c>
      <c r="O1466">
        <v>457</v>
      </c>
      <c r="P1466">
        <v>351</v>
      </c>
      <c r="Q1466">
        <v>130</v>
      </c>
      <c r="R1466" s="705">
        <v>6391</v>
      </c>
      <c r="S1466" s="705">
        <v>5326</v>
      </c>
      <c r="T1466">
        <v>0</v>
      </c>
      <c r="U1466">
        <v>0</v>
      </c>
      <c r="V1466" s="705">
        <v>47205</v>
      </c>
      <c r="W1466" s="705">
        <f t="shared" si="62"/>
        <v>47206</v>
      </c>
      <c r="X1466" s="705">
        <f t="shared" si="63"/>
        <v>57526</v>
      </c>
    </row>
    <row r="1467" spans="2:24">
      <c r="B1467" t="s">
        <v>544</v>
      </c>
      <c r="C1467" t="s">
        <v>124</v>
      </c>
      <c r="D1467" t="s">
        <v>665</v>
      </c>
      <c r="E1467" t="s">
        <v>228</v>
      </c>
      <c r="F1467">
        <v>1</v>
      </c>
      <c r="G1467">
        <v>30</v>
      </c>
      <c r="H1467" s="705">
        <v>1030</v>
      </c>
      <c r="I1467" s="705">
        <v>27960</v>
      </c>
      <c r="J1467" s="705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705">
        <v>2600</v>
      </c>
      <c r="S1467">
        <v>963</v>
      </c>
      <c r="T1467">
        <v>0</v>
      </c>
      <c r="U1467">
        <v>0</v>
      </c>
      <c r="V1467" s="705">
        <v>26655</v>
      </c>
      <c r="W1467" s="705">
        <f t="shared" si="62"/>
        <v>26655</v>
      </c>
      <c r="X1467" s="705">
        <f t="shared" si="63"/>
        <v>31300</v>
      </c>
    </row>
    <row r="1468" spans="2:24">
      <c r="B1468" t="s">
        <v>544</v>
      </c>
      <c r="C1468" t="s">
        <v>124</v>
      </c>
      <c r="D1468" t="s">
        <v>665</v>
      </c>
      <c r="E1468" t="s">
        <v>665</v>
      </c>
      <c r="F1468">
        <v>4</v>
      </c>
      <c r="G1468">
        <v>363</v>
      </c>
      <c r="H1468" s="705">
        <v>2481</v>
      </c>
      <c r="I1468" s="705">
        <v>162853</v>
      </c>
      <c r="J1468" s="705">
        <v>148048</v>
      </c>
      <c r="K1468">
        <v>50</v>
      </c>
      <c r="L1468" s="705">
        <v>26177</v>
      </c>
      <c r="M1468" s="705">
        <v>23798</v>
      </c>
      <c r="N1468" s="705">
        <v>7309</v>
      </c>
      <c r="O1468" s="705">
        <v>2707</v>
      </c>
      <c r="P1468" s="705">
        <v>1404</v>
      </c>
      <c r="Q1468">
        <v>520</v>
      </c>
      <c r="R1468" s="705">
        <v>22915</v>
      </c>
      <c r="S1468" s="705">
        <v>20832</v>
      </c>
      <c r="T1468" s="705">
        <v>9142</v>
      </c>
      <c r="U1468" s="705">
        <v>3386</v>
      </c>
      <c r="V1468" s="705">
        <v>199291</v>
      </c>
      <c r="W1468" s="705">
        <f t="shared" si="62"/>
        <v>199291</v>
      </c>
      <c r="X1468" s="705">
        <f t="shared" si="63"/>
        <v>229800</v>
      </c>
    </row>
    <row r="1469" spans="2:24">
      <c r="B1469" t="s">
        <v>708</v>
      </c>
      <c r="C1469" t="s">
        <v>110</v>
      </c>
      <c r="D1469" t="s">
        <v>584</v>
      </c>
      <c r="E1469" t="s">
        <v>584</v>
      </c>
      <c r="F1469">
        <v>1</v>
      </c>
      <c r="G1469">
        <v>128</v>
      </c>
      <c r="H1469">
        <v>99</v>
      </c>
      <c r="I1469" s="705">
        <v>3284</v>
      </c>
      <c r="J1469" s="705">
        <v>2985</v>
      </c>
      <c r="K1469">
        <v>80</v>
      </c>
      <c r="L1469">
        <v>682</v>
      </c>
      <c r="M1469">
        <v>253</v>
      </c>
      <c r="N1469" s="705">
        <v>2666</v>
      </c>
      <c r="O1469">
        <v>988</v>
      </c>
      <c r="P1469">
        <v>473</v>
      </c>
      <c r="Q1469">
        <v>175</v>
      </c>
      <c r="R1469" s="705">
        <v>5586</v>
      </c>
      <c r="S1469" s="705">
        <v>5078</v>
      </c>
      <c r="T1469">
        <v>0</v>
      </c>
      <c r="U1469">
        <v>0</v>
      </c>
      <c r="V1469" s="705">
        <v>9479</v>
      </c>
      <c r="W1469" s="705">
        <f t="shared" si="62"/>
        <v>9479</v>
      </c>
      <c r="X1469" s="705">
        <f t="shared" si="63"/>
        <v>12691</v>
      </c>
    </row>
    <row r="1470" spans="2:24">
      <c r="B1470" t="s">
        <v>708</v>
      </c>
      <c r="C1470" t="s">
        <v>112</v>
      </c>
      <c r="D1470" t="s">
        <v>582</v>
      </c>
      <c r="E1470" t="s">
        <v>582</v>
      </c>
      <c r="F1470">
        <v>4</v>
      </c>
      <c r="G1470">
        <v>472</v>
      </c>
      <c r="H1470">
        <v>452</v>
      </c>
      <c r="I1470" s="705">
        <v>19752</v>
      </c>
      <c r="J1470" s="705">
        <v>17957</v>
      </c>
      <c r="K1470">
        <v>83</v>
      </c>
      <c r="L1470" s="705">
        <v>3578</v>
      </c>
      <c r="M1470" s="705">
        <v>1325</v>
      </c>
      <c r="N1470" s="705">
        <v>10552</v>
      </c>
      <c r="O1470" s="705">
        <v>3908</v>
      </c>
      <c r="P1470" s="705">
        <v>1526</v>
      </c>
      <c r="Q1470">
        <v>565</v>
      </c>
      <c r="R1470" s="705">
        <v>17558</v>
      </c>
      <c r="S1470" s="705">
        <v>15962</v>
      </c>
      <c r="T1470">
        <v>0</v>
      </c>
      <c r="U1470">
        <v>0</v>
      </c>
      <c r="V1470" s="705">
        <v>39716</v>
      </c>
      <c r="W1470" s="705">
        <f t="shared" si="62"/>
        <v>39717</v>
      </c>
      <c r="X1470" s="705">
        <f t="shared" si="63"/>
        <v>52966</v>
      </c>
    </row>
    <row r="1471" spans="2:24">
      <c r="B1471" t="s">
        <v>708</v>
      </c>
      <c r="C1471" t="s">
        <v>112</v>
      </c>
      <c r="D1471" t="s">
        <v>228</v>
      </c>
      <c r="E1471" t="s">
        <v>228</v>
      </c>
      <c r="F1471">
        <v>4</v>
      </c>
      <c r="G1471">
        <v>348</v>
      </c>
      <c r="H1471">
        <v>472</v>
      </c>
      <c r="I1471" s="705">
        <v>8079</v>
      </c>
      <c r="J1471" s="705">
        <v>2992</v>
      </c>
      <c r="K1471">
        <v>176</v>
      </c>
      <c r="L1471" s="705">
        <v>1653</v>
      </c>
      <c r="M1471" s="705">
        <v>1089</v>
      </c>
      <c r="N1471" s="705">
        <v>7029</v>
      </c>
      <c r="O1471" s="705">
        <v>2603</v>
      </c>
      <c r="P1471">
        <v>351</v>
      </c>
      <c r="Q1471">
        <v>130</v>
      </c>
      <c r="R1471" s="705">
        <v>23920</v>
      </c>
      <c r="S1471" s="705">
        <v>8859</v>
      </c>
      <c r="T1471">
        <v>0</v>
      </c>
      <c r="U1471">
        <v>0</v>
      </c>
      <c r="V1471" s="705">
        <v>15673</v>
      </c>
      <c r="W1471" s="705">
        <f t="shared" si="62"/>
        <v>15673</v>
      </c>
      <c r="X1471" s="705">
        <f t="shared" si="63"/>
        <v>41032</v>
      </c>
    </row>
    <row r="1472" spans="2:24">
      <c r="B1472" t="s">
        <v>708</v>
      </c>
      <c r="C1472" t="s">
        <v>114</v>
      </c>
      <c r="D1472" t="s">
        <v>582</v>
      </c>
      <c r="E1472" t="s">
        <v>582</v>
      </c>
      <c r="F1472">
        <v>10</v>
      </c>
      <c r="G1472" s="705">
        <v>1219</v>
      </c>
      <c r="H1472" s="705">
        <v>1330</v>
      </c>
      <c r="I1472" s="705">
        <v>73816</v>
      </c>
      <c r="J1472" s="705">
        <v>67105</v>
      </c>
      <c r="K1472">
        <v>82</v>
      </c>
      <c r="L1472" s="705">
        <v>12752</v>
      </c>
      <c r="M1472" s="705">
        <v>4723</v>
      </c>
      <c r="N1472" s="705">
        <v>26397</v>
      </c>
      <c r="O1472" s="705">
        <v>9777</v>
      </c>
      <c r="P1472" s="705">
        <v>4482</v>
      </c>
      <c r="Q1472" s="705">
        <v>1660</v>
      </c>
      <c r="R1472" s="705">
        <v>42687</v>
      </c>
      <c r="S1472" s="705">
        <v>38807</v>
      </c>
      <c r="T1472" s="705">
        <v>2333</v>
      </c>
      <c r="U1472">
        <v>864</v>
      </c>
      <c r="V1472" s="705">
        <v>122936</v>
      </c>
      <c r="W1472" s="705">
        <f t="shared" si="62"/>
        <v>122936</v>
      </c>
      <c r="X1472" s="705">
        <f t="shared" si="63"/>
        <v>162467</v>
      </c>
    </row>
    <row r="1473" spans="2:24">
      <c r="B1473" t="s">
        <v>708</v>
      </c>
      <c r="C1473" t="s">
        <v>114</v>
      </c>
      <c r="D1473" t="s">
        <v>228</v>
      </c>
      <c r="E1473" t="s">
        <v>228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705">
        <v>5257</v>
      </c>
      <c r="S1473" s="705">
        <v>1947</v>
      </c>
      <c r="T1473">
        <v>0</v>
      </c>
      <c r="U1473">
        <v>0</v>
      </c>
      <c r="V1473" s="705">
        <v>2503</v>
      </c>
      <c r="W1473" s="705">
        <f t="shared" si="62"/>
        <v>2502</v>
      </c>
      <c r="X1473" s="705">
        <f t="shared" si="63"/>
        <v>6758</v>
      </c>
    </row>
    <row r="1474" spans="2:24">
      <c r="B1474" t="s">
        <v>708</v>
      </c>
      <c r="C1474" t="s">
        <v>114</v>
      </c>
      <c r="D1474" t="s">
        <v>583</v>
      </c>
      <c r="E1474" t="s">
        <v>583</v>
      </c>
      <c r="F1474">
        <v>1</v>
      </c>
      <c r="G1474">
        <v>210</v>
      </c>
      <c r="H1474">
        <v>134</v>
      </c>
      <c r="I1474" s="705">
        <v>13185</v>
      </c>
      <c r="J1474" s="705">
        <v>11986</v>
      </c>
      <c r="K1474">
        <v>95</v>
      </c>
      <c r="L1474" s="705">
        <v>2200</v>
      </c>
      <c r="M1474" s="705">
        <v>2000</v>
      </c>
      <c r="N1474" s="705">
        <v>5126</v>
      </c>
      <c r="O1474" s="705">
        <v>1898</v>
      </c>
      <c r="P1474">
        <v>621</v>
      </c>
      <c r="Q1474">
        <v>230</v>
      </c>
      <c r="R1474" s="705">
        <v>7058</v>
      </c>
      <c r="S1474" s="705">
        <v>6416</v>
      </c>
      <c r="T1474">
        <v>0</v>
      </c>
      <c r="U1474">
        <v>0</v>
      </c>
      <c r="V1474" s="705">
        <v>22531</v>
      </c>
      <c r="W1474" s="705">
        <f t="shared" si="62"/>
        <v>22530</v>
      </c>
      <c r="X1474" s="705">
        <f t="shared" si="63"/>
        <v>28190</v>
      </c>
    </row>
    <row r="1475" spans="2:24">
      <c r="B1475" t="s">
        <v>708</v>
      </c>
      <c r="C1475" t="s">
        <v>114</v>
      </c>
      <c r="D1475" t="s">
        <v>584</v>
      </c>
      <c r="E1475" t="s">
        <v>584</v>
      </c>
      <c r="F1475">
        <v>1</v>
      </c>
      <c r="G1475">
        <v>127</v>
      </c>
      <c r="H1475">
        <v>139</v>
      </c>
      <c r="I1475" s="705">
        <v>10747</v>
      </c>
      <c r="J1475" s="705">
        <v>9770</v>
      </c>
      <c r="K1475">
        <v>80</v>
      </c>
      <c r="L1475">
        <v>0</v>
      </c>
      <c r="M1475">
        <v>0</v>
      </c>
      <c r="N1475" s="705">
        <v>2700</v>
      </c>
      <c r="O1475" s="705">
        <v>1000</v>
      </c>
      <c r="P1475">
        <v>473</v>
      </c>
      <c r="Q1475">
        <v>175</v>
      </c>
      <c r="R1475" s="705">
        <v>3741</v>
      </c>
      <c r="S1475" s="705">
        <v>3401</v>
      </c>
      <c r="T1475">
        <v>0</v>
      </c>
      <c r="U1475">
        <v>0</v>
      </c>
      <c r="V1475" s="705">
        <v>14346</v>
      </c>
      <c r="W1475" s="705">
        <f t="shared" si="62"/>
        <v>14346</v>
      </c>
      <c r="X1475" s="705">
        <f t="shared" si="63"/>
        <v>17661</v>
      </c>
    </row>
    <row r="1476" spans="2:24">
      <c r="B1476" t="s">
        <v>708</v>
      </c>
      <c r="C1476" t="s">
        <v>116</v>
      </c>
      <c r="D1476" t="s">
        <v>582</v>
      </c>
      <c r="E1476" t="s">
        <v>582</v>
      </c>
      <c r="F1476">
        <v>29</v>
      </c>
      <c r="G1476" s="705">
        <v>2689</v>
      </c>
      <c r="H1476" s="705">
        <v>5116</v>
      </c>
      <c r="I1476" s="705">
        <v>236032</v>
      </c>
      <c r="J1476" s="705">
        <v>214575</v>
      </c>
      <c r="K1476">
        <v>80</v>
      </c>
      <c r="L1476" s="705">
        <v>47292</v>
      </c>
      <c r="M1476" s="705">
        <v>19458</v>
      </c>
      <c r="N1476" s="705">
        <v>60776</v>
      </c>
      <c r="O1476" s="705">
        <v>22510</v>
      </c>
      <c r="P1476" s="705">
        <v>11786</v>
      </c>
      <c r="Q1476" s="705">
        <v>4365</v>
      </c>
      <c r="R1476" s="705">
        <v>102809</v>
      </c>
      <c r="S1476" s="705">
        <v>93462</v>
      </c>
      <c r="T1476" s="705">
        <v>10920</v>
      </c>
      <c r="U1476" s="705">
        <v>4045</v>
      </c>
      <c r="V1476" s="705">
        <v>358415</v>
      </c>
      <c r="W1476" s="705">
        <f t="shared" si="62"/>
        <v>358415</v>
      </c>
      <c r="X1476" s="705">
        <f t="shared" si="63"/>
        <v>469615</v>
      </c>
    </row>
    <row r="1477" spans="2:24">
      <c r="B1477" t="s">
        <v>708</v>
      </c>
      <c r="C1477" t="s">
        <v>116</v>
      </c>
      <c r="D1477" t="s">
        <v>228</v>
      </c>
      <c r="E1477" t="s">
        <v>228</v>
      </c>
      <c r="F1477">
        <v>142</v>
      </c>
      <c r="G1477" s="705">
        <v>11100</v>
      </c>
      <c r="H1477" s="705">
        <v>28114</v>
      </c>
      <c r="I1477" s="705">
        <v>922456</v>
      </c>
      <c r="J1477" s="705">
        <v>341650</v>
      </c>
      <c r="K1477">
        <v>100</v>
      </c>
      <c r="L1477" s="705">
        <v>125352</v>
      </c>
      <c r="M1477" s="705">
        <v>46427</v>
      </c>
      <c r="N1477" s="705">
        <v>226541</v>
      </c>
      <c r="O1477" s="705">
        <v>83904</v>
      </c>
      <c r="P1477" s="705">
        <v>1053</v>
      </c>
      <c r="Q1477">
        <v>390</v>
      </c>
      <c r="R1477" s="705">
        <v>916871</v>
      </c>
      <c r="S1477" s="705">
        <v>339582</v>
      </c>
      <c r="T1477">
        <v>0</v>
      </c>
      <c r="U1477">
        <v>0</v>
      </c>
      <c r="V1477" s="705">
        <v>811953</v>
      </c>
      <c r="W1477" s="705">
        <f t="shared" si="62"/>
        <v>811953</v>
      </c>
      <c r="X1477" s="705">
        <f t="shared" si="63"/>
        <v>2192273</v>
      </c>
    </row>
    <row r="1478" spans="2:24">
      <c r="B1478" t="s">
        <v>708</v>
      </c>
      <c r="C1478" t="s">
        <v>116</v>
      </c>
      <c r="D1478" t="s">
        <v>583</v>
      </c>
      <c r="E1478" t="s">
        <v>583</v>
      </c>
      <c r="F1478">
        <v>24</v>
      </c>
      <c r="G1478" s="705">
        <v>3238</v>
      </c>
      <c r="H1478" s="705">
        <v>4701</v>
      </c>
      <c r="I1478" s="705">
        <v>329897</v>
      </c>
      <c r="J1478" s="705">
        <v>299906</v>
      </c>
      <c r="K1478">
        <v>85</v>
      </c>
      <c r="L1478" s="705">
        <v>88021</v>
      </c>
      <c r="M1478" s="705">
        <v>78610</v>
      </c>
      <c r="N1478" s="705">
        <v>69953</v>
      </c>
      <c r="O1478" s="705">
        <v>25909</v>
      </c>
      <c r="P1478" s="705">
        <v>15606</v>
      </c>
      <c r="Q1478" s="705">
        <v>5780</v>
      </c>
      <c r="R1478" s="705">
        <v>124598</v>
      </c>
      <c r="S1478" s="705">
        <v>113271</v>
      </c>
      <c r="T1478" s="705">
        <v>24521</v>
      </c>
      <c r="U1478" s="705">
        <v>9082</v>
      </c>
      <c r="V1478" s="705">
        <v>532557</v>
      </c>
      <c r="W1478" s="705">
        <f t="shared" si="62"/>
        <v>532558</v>
      </c>
      <c r="X1478" s="705">
        <f t="shared" si="63"/>
        <v>652596</v>
      </c>
    </row>
    <row r="1479" spans="2:24">
      <c r="B1479" t="s">
        <v>708</v>
      </c>
      <c r="C1479" t="s">
        <v>118</v>
      </c>
      <c r="D1479" t="s">
        <v>582</v>
      </c>
      <c r="E1479" t="s">
        <v>582</v>
      </c>
      <c r="F1479">
        <v>2</v>
      </c>
      <c r="G1479">
        <v>155</v>
      </c>
      <c r="H1479">
        <v>526</v>
      </c>
      <c r="I1479" s="705">
        <v>24860</v>
      </c>
      <c r="J1479" s="705">
        <v>22600</v>
      </c>
      <c r="K1479">
        <v>85</v>
      </c>
      <c r="L1479" s="705">
        <v>6568</v>
      </c>
      <c r="M1479" s="705">
        <v>4505</v>
      </c>
      <c r="N1479" s="705">
        <v>3782</v>
      </c>
      <c r="O1479" s="705">
        <v>1401</v>
      </c>
      <c r="P1479">
        <v>945</v>
      </c>
      <c r="Q1479">
        <v>350</v>
      </c>
      <c r="R1479" s="705">
        <v>4672</v>
      </c>
      <c r="S1479" s="705">
        <v>4247</v>
      </c>
      <c r="T1479">
        <v>0</v>
      </c>
      <c r="U1479">
        <v>0</v>
      </c>
      <c r="V1479" s="705">
        <v>33103</v>
      </c>
      <c r="W1479" s="705">
        <f t="shared" si="62"/>
        <v>33103</v>
      </c>
      <c r="X1479" s="705">
        <f t="shared" si="63"/>
        <v>40827</v>
      </c>
    </row>
    <row r="1480" spans="2:24">
      <c r="B1480" t="s">
        <v>708</v>
      </c>
      <c r="C1480" t="s">
        <v>118</v>
      </c>
      <c r="D1480" t="s">
        <v>228</v>
      </c>
      <c r="E1480" t="s">
        <v>228</v>
      </c>
      <c r="F1480">
        <v>182</v>
      </c>
      <c r="G1480" s="705">
        <v>13351</v>
      </c>
      <c r="H1480" s="705">
        <v>47534</v>
      </c>
      <c r="I1480" s="705">
        <v>1774340</v>
      </c>
      <c r="J1480" s="705">
        <v>657163</v>
      </c>
      <c r="K1480">
        <v>100</v>
      </c>
      <c r="L1480" s="705">
        <v>245943</v>
      </c>
      <c r="M1480" s="705">
        <v>95872</v>
      </c>
      <c r="N1480" s="705">
        <v>287506</v>
      </c>
      <c r="O1480" s="705">
        <v>106484</v>
      </c>
      <c r="P1480" s="705">
        <v>1053</v>
      </c>
      <c r="Q1480">
        <v>390</v>
      </c>
      <c r="R1480" s="705">
        <v>1190403</v>
      </c>
      <c r="S1480" s="705">
        <v>440890</v>
      </c>
      <c r="T1480">
        <v>0</v>
      </c>
      <c r="U1480">
        <v>0</v>
      </c>
      <c r="V1480" s="705">
        <v>1300799</v>
      </c>
      <c r="W1480" s="705">
        <f t="shared" si="62"/>
        <v>1300799</v>
      </c>
      <c r="X1480" s="705">
        <f t="shared" si="63"/>
        <v>3499245</v>
      </c>
    </row>
    <row r="1481" spans="2:24">
      <c r="B1481" t="s">
        <v>708</v>
      </c>
      <c r="C1481" t="s">
        <v>118</v>
      </c>
      <c r="D1481" t="s">
        <v>583</v>
      </c>
      <c r="E1481" t="s">
        <v>583</v>
      </c>
      <c r="F1481">
        <v>12</v>
      </c>
      <c r="G1481" s="705">
        <v>1113</v>
      </c>
      <c r="H1481" s="705">
        <v>3072</v>
      </c>
      <c r="I1481" s="705">
        <v>151195</v>
      </c>
      <c r="J1481" s="705">
        <v>137450</v>
      </c>
      <c r="K1481">
        <v>80</v>
      </c>
      <c r="L1481" s="705">
        <v>33300</v>
      </c>
      <c r="M1481" s="705">
        <v>30272</v>
      </c>
      <c r="N1481" s="705">
        <v>22879</v>
      </c>
      <c r="O1481" s="705">
        <v>8474</v>
      </c>
      <c r="P1481" s="705">
        <v>7803</v>
      </c>
      <c r="Q1481" s="705">
        <v>2890</v>
      </c>
      <c r="R1481" s="705">
        <v>62671</v>
      </c>
      <c r="S1481" s="705">
        <v>56974</v>
      </c>
      <c r="T1481" s="705">
        <v>10056</v>
      </c>
      <c r="U1481" s="705">
        <v>3725</v>
      </c>
      <c r="V1481" s="705">
        <v>239785</v>
      </c>
      <c r="W1481" s="705">
        <f t="shared" si="62"/>
        <v>239785</v>
      </c>
      <c r="X1481" s="705">
        <f t="shared" si="63"/>
        <v>287904</v>
      </c>
    </row>
    <row r="1482" spans="2:24">
      <c r="B1482" t="s">
        <v>708</v>
      </c>
      <c r="C1482" t="s">
        <v>118</v>
      </c>
      <c r="D1482" t="s">
        <v>584</v>
      </c>
      <c r="E1482" t="s">
        <v>584</v>
      </c>
      <c r="F1482">
        <v>4</v>
      </c>
      <c r="G1482">
        <v>312</v>
      </c>
      <c r="H1482" s="705">
        <v>1074</v>
      </c>
      <c r="I1482" s="705">
        <v>60919</v>
      </c>
      <c r="J1482" s="705">
        <v>55381</v>
      </c>
      <c r="K1482">
        <v>73</v>
      </c>
      <c r="L1482" s="705">
        <v>1317</v>
      </c>
      <c r="M1482" s="705">
        <v>1198</v>
      </c>
      <c r="N1482" s="705">
        <v>7263</v>
      </c>
      <c r="O1482" s="705">
        <v>2690</v>
      </c>
      <c r="P1482" s="705">
        <v>1890</v>
      </c>
      <c r="Q1482">
        <v>700</v>
      </c>
      <c r="R1482" s="705">
        <v>12277</v>
      </c>
      <c r="S1482" s="705">
        <v>11161</v>
      </c>
      <c r="T1482">
        <v>0</v>
      </c>
      <c r="U1482">
        <v>0</v>
      </c>
      <c r="V1482" s="705">
        <v>71129</v>
      </c>
      <c r="W1482" s="705">
        <f t="shared" si="62"/>
        <v>71130</v>
      </c>
      <c r="X1482" s="705">
        <f t="shared" si="63"/>
        <v>83666</v>
      </c>
    </row>
    <row r="1483" spans="2:24">
      <c r="B1483" t="s">
        <v>708</v>
      </c>
      <c r="C1483" t="s">
        <v>120</v>
      </c>
      <c r="D1483" t="s">
        <v>228</v>
      </c>
      <c r="E1483" t="s">
        <v>228</v>
      </c>
      <c r="F1483">
        <v>60</v>
      </c>
      <c r="G1483" s="705">
        <v>4002</v>
      </c>
      <c r="H1483" s="705">
        <v>20300</v>
      </c>
      <c r="I1483" s="705">
        <v>787647</v>
      </c>
      <c r="J1483" s="705">
        <v>291721</v>
      </c>
      <c r="K1483">
        <v>100</v>
      </c>
      <c r="L1483" s="705">
        <v>95924</v>
      </c>
      <c r="M1483" s="705">
        <v>35527</v>
      </c>
      <c r="N1483" s="705">
        <v>86225</v>
      </c>
      <c r="O1483" s="705">
        <v>31935</v>
      </c>
      <c r="P1483" s="705">
        <v>1014</v>
      </c>
      <c r="Q1483">
        <v>376</v>
      </c>
      <c r="R1483" s="705">
        <v>377204</v>
      </c>
      <c r="S1483" s="705">
        <v>139705</v>
      </c>
      <c r="T1483">
        <v>0</v>
      </c>
      <c r="U1483">
        <v>0</v>
      </c>
      <c r="V1483" s="705">
        <v>499264</v>
      </c>
      <c r="W1483" s="705">
        <f t="shared" si="62"/>
        <v>499264</v>
      </c>
      <c r="X1483" s="705">
        <f t="shared" si="63"/>
        <v>1348014</v>
      </c>
    </row>
    <row r="1484" spans="2:24">
      <c r="B1484" t="s">
        <v>708</v>
      </c>
      <c r="C1484" t="s">
        <v>120</v>
      </c>
      <c r="D1484" t="s">
        <v>583</v>
      </c>
      <c r="E1484" t="s">
        <v>583</v>
      </c>
      <c r="F1484">
        <v>6</v>
      </c>
      <c r="G1484">
        <v>675</v>
      </c>
      <c r="H1484" s="705">
        <v>1989</v>
      </c>
      <c r="I1484" s="705">
        <v>138298</v>
      </c>
      <c r="J1484" s="705">
        <v>125726</v>
      </c>
      <c r="K1484">
        <v>72</v>
      </c>
      <c r="L1484" s="705">
        <v>25984</v>
      </c>
      <c r="M1484" s="705">
        <v>23622</v>
      </c>
      <c r="N1484" s="705">
        <v>13499</v>
      </c>
      <c r="O1484" s="705">
        <v>5000</v>
      </c>
      <c r="P1484" s="705">
        <v>4428</v>
      </c>
      <c r="Q1484" s="705">
        <v>1640</v>
      </c>
      <c r="R1484" s="705">
        <v>26740</v>
      </c>
      <c r="S1484" s="705">
        <v>24309</v>
      </c>
      <c r="T1484" s="705">
        <v>14467</v>
      </c>
      <c r="U1484" s="705">
        <v>5358</v>
      </c>
      <c r="V1484" s="705">
        <v>185655</v>
      </c>
      <c r="W1484" s="705">
        <f t="shared" si="62"/>
        <v>185655</v>
      </c>
      <c r="X1484" s="705">
        <f t="shared" si="63"/>
        <v>223416</v>
      </c>
    </row>
    <row r="1485" spans="2:24">
      <c r="B1485" t="s">
        <v>708</v>
      </c>
      <c r="C1485" t="s">
        <v>122</v>
      </c>
      <c r="D1485" t="s">
        <v>228</v>
      </c>
      <c r="E1485" t="s">
        <v>228</v>
      </c>
      <c r="F1485">
        <v>22</v>
      </c>
      <c r="G1485" s="705">
        <v>1330</v>
      </c>
      <c r="H1485" s="705">
        <v>9059</v>
      </c>
      <c r="I1485" s="705">
        <v>324738</v>
      </c>
      <c r="J1485" s="705">
        <v>120273</v>
      </c>
      <c r="K1485">
        <v>100</v>
      </c>
      <c r="L1485" s="705">
        <v>57384</v>
      </c>
      <c r="M1485" s="705">
        <v>21253</v>
      </c>
      <c r="N1485" s="705">
        <v>25131</v>
      </c>
      <c r="O1485" s="705">
        <v>9308</v>
      </c>
      <c r="P1485" s="705">
        <v>1540</v>
      </c>
      <c r="Q1485">
        <v>571</v>
      </c>
      <c r="R1485" s="705">
        <v>135991</v>
      </c>
      <c r="S1485" s="705">
        <v>50367</v>
      </c>
      <c r="T1485">
        <v>0</v>
      </c>
      <c r="U1485">
        <v>0</v>
      </c>
      <c r="V1485" s="705">
        <v>201772</v>
      </c>
      <c r="W1485" s="705">
        <f t="shared" si="62"/>
        <v>201772</v>
      </c>
      <c r="X1485" s="705">
        <f t="shared" si="63"/>
        <v>544784</v>
      </c>
    </row>
    <row r="1486" spans="2:24">
      <c r="B1486" t="s">
        <v>708</v>
      </c>
      <c r="C1486" t="s">
        <v>122</v>
      </c>
      <c r="D1486" t="s">
        <v>583</v>
      </c>
      <c r="E1486" t="s">
        <v>583</v>
      </c>
      <c r="F1486">
        <v>3</v>
      </c>
      <c r="G1486">
        <v>271</v>
      </c>
      <c r="H1486" s="705">
        <v>1284</v>
      </c>
      <c r="I1486" s="705">
        <v>95003</v>
      </c>
      <c r="J1486" s="705">
        <v>86366</v>
      </c>
      <c r="K1486">
        <v>80</v>
      </c>
      <c r="L1486" s="705">
        <v>23381</v>
      </c>
      <c r="M1486" s="705">
        <v>21255</v>
      </c>
      <c r="N1486" s="705">
        <v>7683</v>
      </c>
      <c r="O1486" s="705">
        <v>2845</v>
      </c>
      <c r="P1486" s="705">
        <v>1863</v>
      </c>
      <c r="Q1486">
        <v>690</v>
      </c>
      <c r="R1486" s="705">
        <v>17937</v>
      </c>
      <c r="S1486" s="705">
        <v>16306</v>
      </c>
      <c r="T1486" s="705">
        <v>4086</v>
      </c>
      <c r="U1486" s="705">
        <v>1513</v>
      </c>
      <c r="V1486" s="705">
        <v>128977</v>
      </c>
      <c r="W1486" s="705">
        <f t="shared" si="62"/>
        <v>128975</v>
      </c>
      <c r="X1486" s="705">
        <f t="shared" si="63"/>
        <v>149953</v>
      </c>
    </row>
    <row r="1487" spans="2:24">
      <c r="B1487" t="s">
        <v>708</v>
      </c>
      <c r="C1487" t="s">
        <v>124</v>
      </c>
      <c r="D1487" t="s">
        <v>228</v>
      </c>
      <c r="E1487" t="s">
        <v>228</v>
      </c>
      <c r="F1487">
        <v>12</v>
      </c>
      <c r="G1487">
        <v>904</v>
      </c>
      <c r="H1487" s="705">
        <v>7798</v>
      </c>
      <c r="I1487" s="705">
        <v>435658</v>
      </c>
      <c r="J1487" s="705">
        <v>161355</v>
      </c>
      <c r="K1487">
        <v>100</v>
      </c>
      <c r="L1487" s="705">
        <v>44773</v>
      </c>
      <c r="M1487" s="705">
        <v>30384</v>
      </c>
      <c r="N1487" s="705">
        <v>19977</v>
      </c>
      <c r="O1487" s="705">
        <v>7399</v>
      </c>
      <c r="P1487">
        <v>351</v>
      </c>
      <c r="Q1487">
        <v>130</v>
      </c>
      <c r="R1487" s="705">
        <v>78837</v>
      </c>
      <c r="S1487" s="705">
        <v>29199</v>
      </c>
      <c r="T1487" s="705">
        <v>1767</v>
      </c>
      <c r="U1487">
        <v>654</v>
      </c>
      <c r="V1487" s="705">
        <v>229121</v>
      </c>
      <c r="W1487" s="705">
        <f t="shared" si="62"/>
        <v>229121</v>
      </c>
      <c r="X1487" s="705">
        <f t="shared" si="63"/>
        <v>581363</v>
      </c>
    </row>
    <row r="1488" spans="2:24">
      <c r="B1488" t="s">
        <v>708</v>
      </c>
      <c r="C1488" t="s">
        <v>124</v>
      </c>
      <c r="D1488" t="s">
        <v>583</v>
      </c>
      <c r="E1488" t="s">
        <v>583</v>
      </c>
      <c r="F1488">
        <v>7</v>
      </c>
      <c r="G1488">
        <v>611</v>
      </c>
      <c r="H1488" s="705">
        <v>3816</v>
      </c>
      <c r="I1488" s="705">
        <v>228116</v>
      </c>
      <c r="J1488" s="705">
        <v>207378</v>
      </c>
      <c r="K1488">
        <v>73</v>
      </c>
      <c r="L1488" s="705">
        <v>42990</v>
      </c>
      <c r="M1488" s="705">
        <v>39082</v>
      </c>
      <c r="N1488" s="705">
        <v>12819</v>
      </c>
      <c r="O1488" s="705">
        <v>4748</v>
      </c>
      <c r="P1488" s="705">
        <v>5400</v>
      </c>
      <c r="Q1488" s="705">
        <v>2000</v>
      </c>
      <c r="R1488" s="705">
        <v>38590</v>
      </c>
      <c r="S1488" s="705">
        <v>35082</v>
      </c>
      <c r="T1488" s="705">
        <v>6587</v>
      </c>
      <c r="U1488" s="705">
        <v>2440</v>
      </c>
      <c r="V1488" s="705">
        <v>290728</v>
      </c>
      <c r="W1488" s="705">
        <f t="shared" si="62"/>
        <v>290730</v>
      </c>
      <c r="X1488" s="705">
        <f t="shared" si="63"/>
        <v>334502</v>
      </c>
    </row>
    <row r="1489" spans="2:24">
      <c r="B1489" t="s">
        <v>708</v>
      </c>
      <c r="C1489" t="s">
        <v>124</v>
      </c>
      <c r="D1489" t="s">
        <v>666</v>
      </c>
      <c r="E1489" t="s">
        <v>666</v>
      </c>
      <c r="F1489">
        <v>2</v>
      </c>
      <c r="G1489">
        <v>132</v>
      </c>
      <c r="H1489" s="705">
        <v>1083</v>
      </c>
      <c r="I1489" s="705">
        <v>50238</v>
      </c>
      <c r="J1489" s="705">
        <v>45671</v>
      </c>
      <c r="K1489">
        <v>63</v>
      </c>
      <c r="L1489" s="705">
        <v>7004</v>
      </c>
      <c r="M1489" s="705">
        <v>6368</v>
      </c>
      <c r="N1489" s="705">
        <v>2574</v>
      </c>
      <c r="O1489">
        <v>953</v>
      </c>
      <c r="P1489">
        <v>702</v>
      </c>
      <c r="Q1489">
        <v>260</v>
      </c>
      <c r="R1489" s="705">
        <v>13754</v>
      </c>
      <c r="S1489" s="705">
        <v>12503</v>
      </c>
      <c r="T1489">
        <v>0</v>
      </c>
      <c r="U1489">
        <v>0</v>
      </c>
      <c r="V1489" s="705">
        <v>65755</v>
      </c>
      <c r="W1489" s="705">
        <f t="shared" si="62"/>
        <v>65755</v>
      </c>
      <c r="X1489" s="705">
        <f t="shared" si="63"/>
        <v>74272</v>
      </c>
    </row>
    <row r="1490" spans="2:24">
      <c r="B1490" t="s">
        <v>708</v>
      </c>
      <c r="C1490" t="s">
        <v>124</v>
      </c>
      <c r="D1490" t="s">
        <v>665</v>
      </c>
      <c r="E1490" t="s">
        <v>665</v>
      </c>
      <c r="F1490">
        <v>3</v>
      </c>
      <c r="G1490">
        <v>246</v>
      </c>
      <c r="H1490" s="705">
        <v>1802</v>
      </c>
      <c r="I1490" s="705">
        <v>102174</v>
      </c>
      <c r="J1490" s="705">
        <v>92885</v>
      </c>
      <c r="K1490">
        <v>48</v>
      </c>
      <c r="L1490" s="705">
        <v>18117</v>
      </c>
      <c r="M1490" s="705">
        <v>16470</v>
      </c>
      <c r="N1490" s="705">
        <v>4459</v>
      </c>
      <c r="O1490" s="705">
        <v>1651</v>
      </c>
      <c r="P1490" s="705">
        <v>1053</v>
      </c>
      <c r="Q1490">
        <v>390</v>
      </c>
      <c r="R1490" s="705">
        <v>14717</v>
      </c>
      <c r="S1490" s="705">
        <v>13379</v>
      </c>
      <c r="T1490" s="705">
        <v>6047</v>
      </c>
      <c r="U1490" s="705">
        <v>2239</v>
      </c>
      <c r="V1490" s="705">
        <v>127015</v>
      </c>
      <c r="W1490" s="705">
        <f t="shared" si="62"/>
        <v>127014</v>
      </c>
      <c r="X1490" s="705">
        <f t="shared" si="63"/>
        <v>146567</v>
      </c>
    </row>
    <row r="1491" spans="2:24">
      <c r="B1491" t="s">
        <v>709</v>
      </c>
      <c r="C1491" t="s">
        <v>108</v>
      </c>
      <c r="F1491">
        <v>19</v>
      </c>
      <c r="G1491" s="705">
        <v>1324</v>
      </c>
      <c r="H1491" s="705">
        <v>1343</v>
      </c>
      <c r="J1491">
        <v>0</v>
      </c>
      <c r="M1491">
        <v>0</v>
      </c>
      <c r="N1491" s="705">
        <v>16128</v>
      </c>
      <c r="O1491" s="705">
        <v>5973</v>
      </c>
      <c r="P1491" s="705">
        <v>11530</v>
      </c>
      <c r="Q1491" s="705">
        <v>4270</v>
      </c>
      <c r="S1491">
        <v>0</v>
      </c>
      <c r="T1491">
        <v>0</v>
      </c>
      <c r="U1491">
        <v>0</v>
      </c>
      <c r="V1491" s="705">
        <v>10243</v>
      </c>
      <c r="W1491" s="705">
        <f t="shared" si="62"/>
        <v>10243</v>
      </c>
      <c r="X1491" s="705">
        <f t="shared" si="63"/>
        <v>27658</v>
      </c>
    </row>
    <row r="1492" spans="2:24">
      <c r="B1492" t="s">
        <v>709</v>
      </c>
      <c r="C1492" t="s">
        <v>108</v>
      </c>
      <c r="D1492" t="s">
        <v>584</v>
      </c>
      <c r="E1492" t="s">
        <v>584</v>
      </c>
      <c r="F1492">
        <v>6</v>
      </c>
      <c r="G1492">
        <v>359</v>
      </c>
      <c r="H1492">
        <v>419</v>
      </c>
      <c r="I1492" s="705">
        <v>3093</v>
      </c>
      <c r="J1492" s="705">
        <v>2812</v>
      </c>
      <c r="K1492">
        <v>90</v>
      </c>
      <c r="L1492">
        <v>0</v>
      </c>
      <c r="M1492">
        <v>0</v>
      </c>
      <c r="N1492" s="705">
        <v>8016</v>
      </c>
      <c r="O1492" s="705">
        <v>2969</v>
      </c>
      <c r="P1492" s="705">
        <v>2835</v>
      </c>
      <c r="Q1492" s="705">
        <v>1050</v>
      </c>
      <c r="R1492" s="705">
        <v>10950</v>
      </c>
      <c r="S1492" s="705">
        <v>9955</v>
      </c>
      <c r="T1492">
        <v>0</v>
      </c>
      <c r="U1492">
        <v>0</v>
      </c>
      <c r="V1492" s="705">
        <v>16786</v>
      </c>
      <c r="W1492" s="705">
        <f t="shared" si="62"/>
        <v>16786</v>
      </c>
      <c r="X1492" s="705">
        <f t="shared" si="63"/>
        <v>24894</v>
      </c>
    </row>
    <row r="1493" spans="2:24">
      <c r="B1493" t="s">
        <v>709</v>
      </c>
      <c r="C1493" t="s">
        <v>110</v>
      </c>
      <c r="F1493">
        <v>21</v>
      </c>
      <c r="G1493" s="705">
        <v>2279</v>
      </c>
      <c r="H1493" s="705">
        <v>1879</v>
      </c>
      <c r="J1493">
        <v>0</v>
      </c>
      <c r="M1493">
        <v>0</v>
      </c>
      <c r="N1493" s="705">
        <v>27763</v>
      </c>
      <c r="O1493" s="705">
        <v>10283</v>
      </c>
      <c r="P1493" s="705">
        <v>9926</v>
      </c>
      <c r="Q1493" s="705">
        <v>3676</v>
      </c>
      <c r="S1493">
        <v>0</v>
      </c>
      <c r="T1493">
        <v>0</v>
      </c>
      <c r="U1493">
        <v>0</v>
      </c>
      <c r="V1493" s="705">
        <v>13959</v>
      </c>
      <c r="W1493" s="705">
        <f t="shared" si="62"/>
        <v>13959</v>
      </c>
      <c r="X1493" s="705">
        <f t="shared" si="63"/>
        <v>37689</v>
      </c>
    </row>
    <row r="1494" spans="2:24">
      <c r="B1494" t="s">
        <v>709</v>
      </c>
      <c r="C1494" t="s">
        <v>110</v>
      </c>
      <c r="D1494" t="s">
        <v>584</v>
      </c>
      <c r="E1494" t="s">
        <v>584</v>
      </c>
      <c r="F1494">
        <v>25</v>
      </c>
      <c r="G1494" s="705">
        <v>1729</v>
      </c>
      <c r="H1494" s="705">
        <v>2237</v>
      </c>
      <c r="I1494" s="705">
        <v>49672</v>
      </c>
      <c r="J1494" s="705">
        <v>45156</v>
      </c>
      <c r="K1494">
        <v>90</v>
      </c>
      <c r="L1494">
        <v>983</v>
      </c>
      <c r="M1494">
        <v>364</v>
      </c>
      <c r="N1494" s="705">
        <v>30294</v>
      </c>
      <c r="O1494" s="705">
        <v>11220</v>
      </c>
      <c r="P1494" s="705">
        <v>11813</v>
      </c>
      <c r="Q1494" s="705">
        <v>4375</v>
      </c>
      <c r="R1494" s="705">
        <v>60115</v>
      </c>
      <c r="S1494" s="705">
        <v>54650</v>
      </c>
      <c r="T1494">
        <v>0</v>
      </c>
      <c r="U1494">
        <v>0</v>
      </c>
      <c r="V1494" s="705">
        <v>115765</v>
      </c>
      <c r="W1494" s="705">
        <f t="shared" si="62"/>
        <v>115765</v>
      </c>
      <c r="X1494" s="705">
        <f t="shared" si="63"/>
        <v>152877</v>
      </c>
    </row>
    <row r="1495" spans="2:24">
      <c r="B1495" t="s">
        <v>709</v>
      </c>
      <c r="C1495" t="s">
        <v>112</v>
      </c>
      <c r="F1495">
        <v>15</v>
      </c>
      <c r="G1495" s="705">
        <v>1611</v>
      </c>
      <c r="H1495" s="705">
        <v>1798</v>
      </c>
      <c r="J1495">
        <v>0</v>
      </c>
      <c r="M1495">
        <v>0</v>
      </c>
      <c r="N1495" s="705">
        <v>25721</v>
      </c>
      <c r="O1495" s="705">
        <v>9526</v>
      </c>
      <c r="P1495" s="705">
        <v>3308</v>
      </c>
      <c r="Q1495" s="705">
        <v>1225</v>
      </c>
      <c r="S1495">
        <v>0</v>
      </c>
      <c r="T1495">
        <v>0</v>
      </c>
      <c r="U1495">
        <v>0</v>
      </c>
      <c r="V1495" s="705">
        <v>10751</v>
      </c>
      <c r="W1495" s="705">
        <f t="shared" si="62"/>
        <v>10751</v>
      </c>
      <c r="X1495" s="705">
        <f t="shared" si="63"/>
        <v>29029</v>
      </c>
    </row>
    <row r="1496" spans="2:24">
      <c r="B1496" t="s">
        <v>709</v>
      </c>
      <c r="C1496" t="s">
        <v>112</v>
      </c>
      <c r="D1496" t="s">
        <v>228</v>
      </c>
      <c r="E1496" t="s">
        <v>228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705">
        <v>1016</v>
      </c>
      <c r="O1496">
        <v>376</v>
      </c>
      <c r="P1496">
        <v>0</v>
      </c>
      <c r="Q1496">
        <v>0</v>
      </c>
      <c r="R1496" s="705">
        <v>6154</v>
      </c>
      <c r="S1496" s="705">
        <v>2279</v>
      </c>
      <c r="T1496">
        <v>0</v>
      </c>
      <c r="U1496">
        <v>0</v>
      </c>
      <c r="V1496" s="705">
        <v>2774</v>
      </c>
      <c r="W1496" s="705">
        <f t="shared" si="62"/>
        <v>2774</v>
      </c>
      <c r="X1496" s="705">
        <f t="shared" si="63"/>
        <v>7490</v>
      </c>
    </row>
    <row r="1497" spans="2:24">
      <c r="B1497" t="s">
        <v>709</v>
      </c>
      <c r="C1497" t="s">
        <v>112</v>
      </c>
      <c r="D1497" t="s">
        <v>584</v>
      </c>
      <c r="E1497" t="s">
        <v>584</v>
      </c>
      <c r="F1497">
        <v>79</v>
      </c>
      <c r="G1497" s="705">
        <v>6381</v>
      </c>
      <c r="H1497" s="705">
        <v>9088</v>
      </c>
      <c r="I1497" s="705">
        <v>265794</v>
      </c>
      <c r="J1497" s="705">
        <v>241631</v>
      </c>
      <c r="K1497">
        <v>87</v>
      </c>
      <c r="L1497" s="705">
        <v>24959</v>
      </c>
      <c r="M1497" s="705">
        <v>18634</v>
      </c>
      <c r="N1497" s="705">
        <v>122185</v>
      </c>
      <c r="O1497" s="705">
        <v>45254</v>
      </c>
      <c r="P1497" s="705">
        <v>37328</v>
      </c>
      <c r="Q1497" s="705">
        <v>13825</v>
      </c>
      <c r="R1497" s="705">
        <v>276340</v>
      </c>
      <c r="S1497" s="705">
        <v>251218</v>
      </c>
      <c r="T1497" s="705">
        <v>6931</v>
      </c>
      <c r="U1497" s="705">
        <v>2567</v>
      </c>
      <c r="V1497" s="705">
        <v>573129</v>
      </c>
      <c r="W1497" s="705">
        <f t="shared" si="62"/>
        <v>573129</v>
      </c>
      <c r="X1497" s="705">
        <f t="shared" si="63"/>
        <v>733537</v>
      </c>
    </row>
    <row r="1498" spans="2:24">
      <c r="B1498" t="s">
        <v>709</v>
      </c>
      <c r="C1498" t="s">
        <v>114</v>
      </c>
      <c r="F1498">
        <v>18</v>
      </c>
      <c r="G1498" s="705">
        <v>1391</v>
      </c>
      <c r="H1498" s="705">
        <v>2474</v>
      </c>
      <c r="J1498">
        <v>0</v>
      </c>
      <c r="M1498">
        <v>0</v>
      </c>
      <c r="N1498" s="705">
        <v>24404</v>
      </c>
      <c r="O1498" s="705">
        <v>9038</v>
      </c>
      <c r="P1498" s="705">
        <v>2835</v>
      </c>
      <c r="Q1498" s="705">
        <v>1050</v>
      </c>
      <c r="S1498">
        <v>0</v>
      </c>
      <c r="T1498">
        <v>0</v>
      </c>
      <c r="U1498">
        <v>0</v>
      </c>
      <c r="V1498" s="705">
        <v>10088</v>
      </c>
      <c r="W1498" s="705">
        <f t="shared" si="62"/>
        <v>10088</v>
      </c>
      <c r="X1498" s="705">
        <f t="shared" si="63"/>
        <v>27239</v>
      </c>
    </row>
    <row r="1499" spans="2:24">
      <c r="B1499" t="s">
        <v>709</v>
      </c>
      <c r="C1499" t="s">
        <v>114</v>
      </c>
      <c r="D1499" t="s">
        <v>228</v>
      </c>
      <c r="E1499" t="s">
        <v>228</v>
      </c>
      <c r="F1499">
        <v>63</v>
      </c>
      <c r="G1499" s="705">
        <v>5157</v>
      </c>
      <c r="H1499" s="705">
        <v>8933</v>
      </c>
      <c r="I1499" s="705">
        <v>186823</v>
      </c>
      <c r="J1499" s="705">
        <v>69194</v>
      </c>
      <c r="K1499">
        <v>108</v>
      </c>
      <c r="L1499" s="705">
        <v>20910</v>
      </c>
      <c r="M1499" s="705">
        <v>7744</v>
      </c>
      <c r="N1499" s="705">
        <v>107213</v>
      </c>
      <c r="O1499" s="705">
        <v>39708</v>
      </c>
      <c r="P1499" s="705">
        <v>1156</v>
      </c>
      <c r="Q1499">
        <v>428</v>
      </c>
      <c r="R1499" s="705">
        <v>416346</v>
      </c>
      <c r="S1499" s="705">
        <v>154202</v>
      </c>
      <c r="T1499">
        <v>0</v>
      </c>
      <c r="U1499">
        <v>0</v>
      </c>
      <c r="V1499" s="705">
        <v>271277</v>
      </c>
      <c r="W1499" s="705">
        <f t="shared" si="62"/>
        <v>271276</v>
      </c>
      <c r="X1499" s="705">
        <f t="shared" si="63"/>
        <v>732448</v>
      </c>
    </row>
    <row r="1500" spans="2:24">
      <c r="B1500" t="s">
        <v>709</v>
      </c>
      <c r="C1500" t="s">
        <v>114</v>
      </c>
      <c r="D1500" t="s">
        <v>584</v>
      </c>
      <c r="E1500" t="s">
        <v>664</v>
      </c>
      <c r="F1500">
        <v>1</v>
      </c>
      <c r="G1500">
        <v>105</v>
      </c>
      <c r="H1500">
        <v>146</v>
      </c>
      <c r="I1500" s="705">
        <v>5011</v>
      </c>
      <c r="J1500" s="705">
        <v>4555</v>
      </c>
      <c r="K1500">
        <v>80</v>
      </c>
      <c r="L1500" s="705">
        <v>1052</v>
      </c>
      <c r="M1500">
        <v>957</v>
      </c>
      <c r="N1500" s="705">
        <v>2382</v>
      </c>
      <c r="O1500">
        <v>882</v>
      </c>
      <c r="P1500">
        <v>473</v>
      </c>
      <c r="Q1500">
        <v>175</v>
      </c>
      <c r="R1500" s="705">
        <v>3908</v>
      </c>
      <c r="S1500" s="705">
        <v>3552</v>
      </c>
      <c r="T1500" s="705">
        <v>2485</v>
      </c>
      <c r="U1500">
        <v>920</v>
      </c>
      <c r="V1500" s="705">
        <v>11042</v>
      </c>
      <c r="W1500" s="705">
        <f t="shared" si="62"/>
        <v>11041</v>
      </c>
      <c r="X1500" s="705">
        <f t="shared" si="63"/>
        <v>15311</v>
      </c>
    </row>
    <row r="1501" spans="2:24">
      <c r="B1501" t="s">
        <v>709</v>
      </c>
      <c r="C1501" t="s">
        <v>114</v>
      </c>
      <c r="D1501" t="s">
        <v>584</v>
      </c>
      <c r="E1501" t="s">
        <v>584</v>
      </c>
      <c r="F1501">
        <v>163</v>
      </c>
      <c r="G1501" s="705">
        <v>13293</v>
      </c>
      <c r="H1501" s="705">
        <v>22408</v>
      </c>
      <c r="I1501" s="705">
        <v>689037</v>
      </c>
      <c r="J1501" s="705">
        <v>626397</v>
      </c>
      <c r="K1501">
        <v>84</v>
      </c>
      <c r="L1501" s="705">
        <v>62938</v>
      </c>
      <c r="M1501" s="705">
        <v>43469</v>
      </c>
      <c r="N1501" s="705">
        <v>284549</v>
      </c>
      <c r="O1501" s="705">
        <v>105389</v>
      </c>
      <c r="P1501" s="705">
        <v>77247</v>
      </c>
      <c r="Q1501" s="705">
        <v>28610</v>
      </c>
      <c r="R1501" s="705">
        <v>665718</v>
      </c>
      <c r="S1501" s="705">
        <v>605198</v>
      </c>
      <c r="T1501" s="705">
        <v>55625</v>
      </c>
      <c r="U1501" s="705">
        <v>20602</v>
      </c>
      <c r="V1501" s="705">
        <v>1429665</v>
      </c>
      <c r="W1501" s="705">
        <f t="shared" si="62"/>
        <v>1429665</v>
      </c>
      <c r="X1501" s="705">
        <f t="shared" si="63"/>
        <v>1835114</v>
      </c>
    </row>
    <row r="1502" spans="2:24">
      <c r="B1502" t="s">
        <v>709</v>
      </c>
      <c r="C1502" t="s">
        <v>116</v>
      </c>
      <c r="F1502">
        <v>26</v>
      </c>
      <c r="G1502" s="705">
        <v>1477</v>
      </c>
      <c r="H1502" s="705">
        <v>4355</v>
      </c>
      <c r="J1502">
        <v>0</v>
      </c>
      <c r="M1502">
        <v>0</v>
      </c>
      <c r="N1502" s="705">
        <v>34587</v>
      </c>
      <c r="O1502" s="705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705">
        <v>12810</v>
      </c>
      <c r="W1502" s="705">
        <f t="shared" si="62"/>
        <v>12810</v>
      </c>
      <c r="X1502" s="705">
        <f t="shared" si="63"/>
        <v>34587</v>
      </c>
    </row>
    <row r="1503" spans="2:24">
      <c r="B1503" t="s">
        <v>709</v>
      </c>
      <c r="C1503" t="s">
        <v>116</v>
      </c>
      <c r="D1503" t="s">
        <v>228</v>
      </c>
      <c r="E1503" t="s">
        <v>228</v>
      </c>
      <c r="F1503">
        <v>939</v>
      </c>
      <c r="G1503" s="705">
        <v>66555</v>
      </c>
      <c r="H1503" s="705">
        <v>180729</v>
      </c>
      <c r="I1503" s="705">
        <v>4843439</v>
      </c>
      <c r="J1503" s="705">
        <v>1793866</v>
      </c>
      <c r="K1503">
        <v>104</v>
      </c>
      <c r="L1503" s="705">
        <v>668402</v>
      </c>
      <c r="M1503" s="705">
        <v>284014</v>
      </c>
      <c r="N1503" s="705">
        <v>1397197</v>
      </c>
      <c r="O1503" s="705">
        <v>517480</v>
      </c>
      <c r="P1503" s="705">
        <v>39076</v>
      </c>
      <c r="Q1503" s="705">
        <v>14473</v>
      </c>
      <c r="R1503" s="705">
        <v>5864986</v>
      </c>
      <c r="S1503" s="705">
        <v>2172217</v>
      </c>
      <c r="T1503" s="705">
        <v>5622</v>
      </c>
      <c r="U1503" s="705">
        <v>2082</v>
      </c>
      <c r="V1503" s="705">
        <v>4784133</v>
      </c>
      <c r="W1503" s="705">
        <f t="shared" si="62"/>
        <v>4784132</v>
      </c>
      <c r="X1503" s="705">
        <f t="shared" si="63"/>
        <v>12818722</v>
      </c>
    </row>
    <row r="1504" spans="2:24">
      <c r="B1504" t="s">
        <v>709</v>
      </c>
      <c r="C1504" t="s">
        <v>116</v>
      </c>
      <c r="D1504" t="s">
        <v>583</v>
      </c>
      <c r="E1504" t="s">
        <v>583</v>
      </c>
      <c r="F1504">
        <v>14</v>
      </c>
      <c r="G1504" s="705">
        <v>1834</v>
      </c>
      <c r="H1504" s="705">
        <v>2680</v>
      </c>
      <c r="I1504" s="705">
        <v>186941</v>
      </c>
      <c r="J1504" s="705">
        <v>169946</v>
      </c>
      <c r="K1504">
        <v>88</v>
      </c>
      <c r="L1504" s="705">
        <v>40427</v>
      </c>
      <c r="M1504" s="705">
        <v>35018</v>
      </c>
      <c r="N1504" s="705">
        <v>35658</v>
      </c>
      <c r="O1504" s="705">
        <v>13207</v>
      </c>
      <c r="P1504" s="705">
        <v>9045</v>
      </c>
      <c r="Q1504" s="705">
        <v>3350</v>
      </c>
      <c r="R1504" s="705">
        <v>63446</v>
      </c>
      <c r="S1504" s="705">
        <v>57679</v>
      </c>
      <c r="T1504" s="705">
        <v>8450</v>
      </c>
      <c r="U1504" s="705">
        <v>3130</v>
      </c>
      <c r="V1504" s="705">
        <v>282329</v>
      </c>
      <c r="W1504" s="705">
        <f t="shared" si="62"/>
        <v>282330</v>
      </c>
      <c r="X1504" s="705">
        <f t="shared" si="63"/>
        <v>343967</v>
      </c>
    </row>
    <row r="1505" spans="2:24">
      <c r="B1505" t="s">
        <v>709</v>
      </c>
      <c r="C1505" t="s">
        <v>116</v>
      </c>
      <c r="D1505" t="s">
        <v>584</v>
      </c>
      <c r="E1505" t="s">
        <v>228</v>
      </c>
      <c r="F1505">
        <v>35</v>
      </c>
      <c r="G1505" s="705">
        <v>2631</v>
      </c>
      <c r="H1505" s="705">
        <v>6903</v>
      </c>
      <c r="I1505" s="705">
        <v>151680</v>
      </c>
      <c r="J1505" s="705">
        <v>137891</v>
      </c>
      <c r="K1505">
        <v>80</v>
      </c>
      <c r="L1505" s="705">
        <v>1073</v>
      </c>
      <c r="M1505">
        <v>975</v>
      </c>
      <c r="N1505" s="705">
        <v>61392</v>
      </c>
      <c r="O1505" s="705">
        <v>22738</v>
      </c>
      <c r="P1505" s="705">
        <v>16538</v>
      </c>
      <c r="Q1505" s="705">
        <v>6125</v>
      </c>
      <c r="R1505" s="705">
        <v>288340</v>
      </c>
      <c r="S1505" s="705">
        <v>106793</v>
      </c>
      <c r="T1505">
        <v>0</v>
      </c>
      <c r="U1505">
        <v>0</v>
      </c>
      <c r="V1505" s="705">
        <v>274522</v>
      </c>
      <c r="W1505" s="705">
        <f t="shared" si="62"/>
        <v>274522</v>
      </c>
      <c r="X1505" s="705">
        <f t="shared" si="63"/>
        <v>519023</v>
      </c>
    </row>
    <row r="1506" spans="2:24">
      <c r="B1506" t="s">
        <v>709</v>
      </c>
      <c r="C1506" t="s">
        <v>116</v>
      </c>
      <c r="D1506" t="s">
        <v>584</v>
      </c>
      <c r="E1506" t="s">
        <v>584</v>
      </c>
      <c r="F1506">
        <v>665</v>
      </c>
      <c r="G1506" s="705">
        <v>49849</v>
      </c>
      <c r="H1506" s="705">
        <v>121878</v>
      </c>
      <c r="I1506" s="705">
        <v>4083702</v>
      </c>
      <c r="J1506" s="705">
        <v>3712456</v>
      </c>
      <c r="K1506">
        <v>80</v>
      </c>
      <c r="L1506" s="705">
        <v>431426</v>
      </c>
      <c r="M1506" s="705">
        <v>331888</v>
      </c>
      <c r="N1506" s="705">
        <v>1055907</v>
      </c>
      <c r="O1506" s="705">
        <v>391077</v>
      </c>
      <c r="P1506" s="705">
        <v>315819</v>
      </c>
      <c r="Q1506" s="705">
        <v>116970</v>
      </c>
      <c r="R1506" s="705">
        <v>2671942</v>
      </c>
      <c r="S1506" s="705">
        <v>2429038</v>
      </c>
      <c r="T1506" s="705">
        <v>544655</v>
      </c>
      <c r="U1506" s="705">
        <v>201724</v>
      </c>
      <c r="V1506" s="705">
        <v>7183153</v>
      </c>
      <c r="W1506" s="705">
        <f t="shared" si="62"/>
        <v>7183153</v>
      </c>
      <c r="X1506" s="705">
        <f t="shared" si="63"/>
        <v>9103451</v>
      </c>
    </row>
    <row r="1507" spans="2:24">
      <c r="B1507" t="s">
        <v>709</v>
      </c>
      <c r="C1507" t="s">
        <v>118</v>
      </c>
      <c r="F1507">
        <v>10</v>
      </c>
      <c r="G1507">
        <v>551</v>
      </c>
      <c r="H1507" s="705">
        <v>2871</v>
      </c>
      <c r="J1507">
        <v>0</v>
      </c>
      <c r="M1507">
        <v>0</v>
      </c>
      <c r="N1507" s="705">
        <v>10539</v>
      </c>
      <c r="O1507" s="705">
        <v>3904</v>
      </c>
      <c r="P1507" s="705">
        <v>4361</v>
      </c>
      <c r="Q1507" s="705">
        <v>1615</v>
      </c>
      <c r="S1507">
        <v>0</v>
      </c>
      <c r="T1507" s="705">
        <v>19254</v>
      </c>
      <c r="U1507" s="705">
        <v>7131</v>
      </c>
      <c r="V1507" s="705">
        <v>12650</v>
      </c>
      <c r="W1507" s="705">
        <f t="shared" si="62"/>
        <v>12650</v>
      </c>
      <c r="X1507" s="705">
        <f t="shared" si="63"/>
        <v>34154</v>
      </c>
    </row>
    <row r="1508" spans="2:24">
      <c r="B1508" t="s">
        <v>709</v>
      </c>
      <c r="C1508" t="s">
        <v>118</v>
      </c>
      <c r="D1508" t="s">
        <v>664</v>
      </c>
      <c r="E1508" t="s">
        <v>583</v>
      </c>
      <c r="F1508">
        <v>1</v>
      </c>
      <c r="G1508">
        <v>138</v>
      </c>
      <c r="H1508">
        <v>247</v>
      </c>
      <c r="I1508" s="705">
        <v>26167</v>
      </c>
      <c r="J1508" s="705">
        <v>23788</v>
      </c>
      <c r="K1508">
        <v>60</v>
      </c>
      <c r="L1508" s="705">
        <v>6026</v>
      </c>
      <c r="M1508" s="705">
        <v>5022</v>
      </c>
      <c r="N1508" s="705">
        <v>3427</v>
      </c>
      <c r="O1508" s="705">
        <v>1269</v>
      </c>
      <c r="P1508">
        <v>621</v>
      </c>
      <c r="Q1508">
        <v>230</v>
      </c>
      <c r="R1508" s="705">
        <v>7220</v>
      </c>
      <c r="S1508" s="705">
        <v>6563</v>
      </c>
      <c r="T1508" s="705">
        <v>3888</v>
      </c>
      <c r="U1508" s="705">
        <v>1440</v>
      </c>
      <c r="V1508" s="705">
        <v>38313</v>
      </c>
      <c r="W1508" s="705">
        <f t="shared" si="62"/>
        <v>38312</v>
      </c>
      <c r="X1508" s="705">
        <f t="shared" si="63"/>
        <v>47349</v>
      </c>
    </row>
    <row r="1509" spans="2:24">
      <c r="B1509" t="s">
        <v>709</v>
      </c>
      <c r="C1509" t="s">
        <v>118</v>
      </c>
      <c r="D1509" t="s">
        <v>228</v>
      </c>
      <c r="E1509" t="s">
        <v>228</v>
      </c>
      <c r="F1509">
        <v>621</v>
      </c>
      <c r="G1509" s="705">
        <v>39809</v>
      </c>
      <c r="H1509" s="705">
        <v>162992</v>
      </c>
      <c r="I1509" s="705">
        <v>5174972</v>
      </c>
      <c r="J1509" s="705">
        <v>1916656</v>
      </c>
      <c r="K1509">
        <v>100</v>
      </c>
      <c r="L1509" s="705">
        <v>713803</v>
      </c>
      <c r="M1509" s="705">
        <v>274530</v>
      </c>
      <c r="N1509" s="705">
        <v>804889</v>
      </c>
      <c r="O1509" s="705">
        <v>298107</v>
      </c>
      <c r="P1509" s="705">
        <v>27458</v>
      </c>
      <c r="Q1509" s="705">
        <v>10169</v>
      </c>
      <c r="R1509" s="705">
        <v>3724166</v>
      </c>
      <c r="S1509" s="705">
        <v>1379321</v>
      </c>
      <c r="T1509">
        <v>0</v>
      </c>
      <c r="U1509">
        <v>0</v>
      </c>
      <c r="V1509" s="705">
        <v>3878783</v>
      </c>
      <c r="W1509" s="705">
        <f t="shared" si="62"/>
        <v>3878783</v>
      </c>
      <c r="X1509" s="705">
        <f t="shared" si="63"/>
        <v>10445288</v>
      </c>
    </row>
    <row r="1510" spans="2:24">
      <c r="B1510" t="s">
        <v>709</v>
      </c>
      <c r="C1510" t="s">
        <v>118</v>
      </c>
      <c r="D1510" t="s">
        <v>583</v>
      </c>
      <c r="E1510" t="s">
        <v>583</v>
      </c>
      <c r="F1510">
        <v>10</v>
      </c>
      <c r="G1510" s="705">
        <v>1147</v>
      </c>
      <c r="H1510" s="705">
        <v>2548</v>
      </c>
      <c r="I1510" s="705">
        <v>163582</v>
      </c>
      <c r="J1510" s="705">
        <v>148711</v>
      </c>
      <c r="K1510">
        <v>81</v>
      </c>
      <c r="L1510" s="705">
        <v>42118</v>
      </c>
      <c r="M1510" s="705">
        <v>36742</v>
      </c>
      <c r="N1510" s="705">
        <v>23735</v>
      </c>
      <c r="O1510" s="705">
        <v>8791</v>
      </c>
      <c r="P1510" s="705">
        <v>6561</v>
      </c>
      <c r="Q1510" s="705">
        <v>2430</v>
      </c>
      <c r="R1510" s="705">
        <v>49484</v>
      </c>
      <c r="S1510" s="705">
        <v>44985</v>
      </c>
      <c r="T1510" s="705">
        <v>11850</v>
      </c>
      <c r="U1510" s="705">
        <v>4389</v>
      </c>
      <c r="V1510" s="705">
        <v>246048</v>
      </c>
      <c r="W1510" s="705">
        <f t="shared" si="62"/>
        <v>246048</v>
      </c>
      <c r="X1510" s="705">
        <f t="shared" si="63"/>
        <v>297330</v>
      </c>
    </row>
    <row r="1511" spans="2:24">
      <c r="B1511" t="s">
        <v>709</v>
      </c>
      <c r="C1511" t="s">
        <v>118</v>
      </c>
      <c r="D1511" t="s">
        <v>584</v>
      </c>
      <c r="E1511" t="s">
        <v>584</v>
      </c>
      <c r="F1511">
        <v>144</v>
      </c>
      <c r="G1511" s="705">
        <v>9438</v>
      </c>
      <c r="H1511" s="705">
        <v>36781</v>
      </c>
      <c r="I1511" s="705">
        <v>1210647</v>
      </c>
      <c r="J1511" s="705">
        <v>1100588</v>
      </c>
      <c r="K1511">
        <v>77</v>
      </c>
      <c r="L1511" s="705">
        <v>220710</v>
      </c>
      <c r="M1511" s="705">
        <v>182664</v>
      </c>
      <c r="N1511" s="705">
        <v>197052</v>
      </c>
      <c r="O1511" s="705">
        <v>72982</v>
      </c>
      <c r="P1511" s="705">
        <v>67953</v>
      </c>
      <c r="Q1511" s="705">
        <v>25168</v>
      </c>
      <c r="R1511" s="705">
        <v>577501</v>
      </c>
      <c r="S1511" s="705">
        <v>525001</v>
      </c>
      <c r="T1511" s="705">
        <v>167430</v>
      </c>
      <c r="U1511" s="705">
        <v>62011</v>
      </c>
      <c r="V1511" s="705">
        <v>1968415</v>
      </c>
      <c r="W1511" s="705">
        <f t="shared" si="62"/>
        <v>1968414</v>
      </c>
      <c r="X1511" s="705">
        <f t="shared" si="63"/>
        <v>2441293</v>
      </c>
    </row>
    <row r="1512" spans="2:24">
      <c r="B1512" t="s">
        <v>709</v>
      </c>
      <c r="C1512" t="s">
        <v>118</v>
      </c>
      <c r="D1512" t="s">
        <v>669</v>
      </c>
      <c r="E1512" t="s">
        <v>228</v>
      </c>
      <c r="F1512">
        <v>1</v>
      </c>
      <c r="G1512">
        <v>60</v>
      </c>
      <c r="H1512">
        <v>293</v>
      </c>
      <c r="I1512" s="705">
        <v>9433</v>
      </c>
      <c r="J1512" s="705">
        <v>7861</v>
      </c>
      <c r="K1512">
        <v>60</v>
      </c>
      <c r="L1512" s="705">
        <v>1415</v>
      </c>
      <c r="M1512">
        <v>524</v>
      </c>
      <c r="N1512" s="705">
        <v>1361</v>
      </c>
      <c r="O1512">
        <v>504</v>
      </c>
      <c r="P1512">
        <v>0</v>
      </c>
      <c r="Q1512">
        <v>0</v>
      </c>
      <c r="R1512" s="705">
        <v>5311</v>
      </c>
      <c r="S1512" s="705">
        <v>1967</v>
      </c>
      <c r="T1512">
        <v>0</v>
      </c>
      <c r="U1512">
        <v>0</v>
      </c>
      <c r="V1512" s="705">
        <v>10856</v>
      </c>
      <c r="W1512" s="705">
        <f t="shared" si="62"/>
        <v>10856</v>
      </c>
      <c r="X1512" s="705">
        <f t="shared" si="63"/>
        <v>17520</v>
      </c>
    </row>
    <row r="1513" spans="2:24">
      <c r="B1513" t="s">
        <v>709</v>
      </c>
      <c r="C1513" t="s">
        <v>118</v>
      </c>
      <c r="D1513" t="s">
        <v>665</v>
      </c>
      <c r="E1513" t="s">
        <v>665</v>
      </c>
      <c r="F1513">
        <v>1</v>
      </c>
      <c r="G1513">
        <v>98</v>
      </c>
      <c r="H1513">
        <v>293</v>
      </c>
      <c r="I1513" s="705">
        <v>21410</v>
      </c>
      <c r="J1513" s="705">
        <v>19464</v>
      </c>
      <c r="K1513">
        <v>65</v>
      </c>
      <c r="L1513">
        <v>0</v>
      </c>
      <c r="M1513">
        <v>0</v>
      </c>
      <c r="N1513" s="705">
        <v>1196</v>
      </c>
      <c r="O1513">
        <v>443</v>
      </c>
      <c r="P1513">
        <v>351</v>
      </c>
      <c r="Q1513">
        <v>130</v>
      </c>
      <c r="R1513" s="705">
        <v>5785</v>
      </c>
      <c r="S1513" s="705">
        <v>5259</v>
      </c>
      <c r="T1513">
        <v>0</v>
      </c>
      <c r="U1513">
        <v>0</v>
      </c>
      <c r="V1513" s="705">
        <v>25296</v>
      </c>
      <c r="W1513" s="705">
        <f t="shared" si="62"/>
        <v>25296</v>
      </c>
      <c r="X1513" s="705">
        <f t="shared" si="63"/>
        <v>28742</v>
      </c>
    </row>
    <row r="1514" spans="2:24">
      <c r="B1514" t="s">
        <v>709</v>
      </c>
      <c r="C1514" t="s">
        <v>120</v>
      </c>
      <c r="F1514">
        <v>6</v>
      </c>
      <c r="G1514">
        <v>241</v>
      </c>
      <c r="H1514" s="705">
        <v>2137</v>
      </c>
      <c r="J1514">
        <v>0</v>
      </c>
      <c r="M1514">
        <v>0</v>
      </c>
      <c r="N1514" s="705">
        <v>5382</v>
      </c>
      <c r="O1514" s="705">
        <v>1993</v>
      </c>
      <c r="P1514" s="705">
        <v>2363</v>
      </c>
      <c r="Q1514">
        <v>875</v>
      </c>
      <c r="S1514">
        <v>0</v>
      </c>
      <c r="T1514">
        <v>0</v>
      </c>
      <c r="U1514">
        <v>0</v>
      </c>
      <c r="V1514" s="705">
        <v>2868</v>
      </c>
      <c r="W1514" s="705">
        <f t="shared" si="62"/>
        <v>2868</v>
      </c>
      <c r="X1514" s="705">
        <f t="shared" si="63"/>
        <v>7745</v>
      </c>
    </row>
    <row r="1515" spans="2:24">
      <c r="B1515" t="s">
        <v>709</v>
      </c>
      <c r="C1515" t="s">
        <v>120</v>
      </c>
      <c r="D1515" t="s">
        <v>228</v>
      </c>
      <c r="E1515" t="s">
        <v>228</v>
      </c>
      <c r="F1515">
        <v>256</v>
      </c>
      <c r="G1515" s="705">
        <v>15211</v>
      </c>
      <c r="H1515" s="705">
        <v>86508</v>
      </c>
      <c r="I1515" s="705">
        <v>2923682</v>
      </c>
      <c r="J1515" s="705">
        <v>1082845</v>
      </c>
      <c r="K1515">
        <v>100</v>
      </c>
      <c r="L1515" s="705">
        <v>388455</v>
      </c>
      <c r="M1515" s="705">
        <v>160907</v>
      </c>
      <c r="N1515" s="705">
        <v>315076</v>
      </c>
      <c r="O1515" s="705">
        <v>116695</v>
      </c>
      <c r="P1515" s="705">
        <v>7722</v>
      </c>
      <c r="Q1515" s="705">
        <v>2860</v>
      </c>
      <c r="R1515" s="705">
        <v>1500871</v>
      </c>
      <c r="S1515" s="705">
        <v>555878</v>
      </c>
      <c r="T1515" s="705">
        <v>4364</v>
      </c>
      <c r="U1515" s="705">
        <v>1616</v>
      </c>
      <c r="V1515" s="705">
        <v>1920802</v>
      </c>
      <c r="W1515" s="705">
        <f t="shared" ref="W1515:W1578" si="64">SUM(ABS(J1515),ABS(M1515),ABS(O1515),ABS(Q1515),ABS(S1515),ABS(U1515))</f>
        <v>1920801</v>
      </c>
      <c r="X1515" s="705">
        <f t="shared" ref="X1515:X1578" si="65">SUM(ABS(I1515),ABS(N1515),ABS(P1515),ABS(R1515),ABS(T1515),ABS(L1515))</f>
        <v>5140170</v>
      </c>
    </row>
    <row r="1516" spans="2:24">
      <c r="B1516" t="s">
        <v>709</v>
      </c>
      <c r="C1516" t="s">
        <v>120</v>
      </c>
      <c r="D1516" t="s">
        <v>583</v>
      </c>
      <c r="E1516" t="s">
        <v>583</v>
      </c>
      <c r="F1516">
        <v>6</v>
      </c>
      <c r="G1516">
        <v>563</v>
      </c>
      <c r="H1516" s="705">
        <v>2037</v>
      </c>
      <c r="I1516" s="705">
        <v>104969</v>
      </c>
      <c r="J1516" s="705">
        <v>95426</v>
      </c>
      <c r="K1516">
        <v>80</v>
      </c>
      <c r="L1516" s="705">
        <v>34113</v>
      </c>
      <c r="M1516" s="705">
        <v>25973</v>
      </c>
      <c r="N1516" s="705">
        <v>11175</v>
      </c>
      <c r="O1516" s="705">
        <v>4139</v>
      </c>
      <c r="P1516" s="705">
        <v>3726</v>
      </c>
      <c r="Q1516" s="705">
        <v>1380</v>
      </c>
      <c r="R1516" s="705">
        <v>25425</v>
      </c>
      <c r="S1516" s="705">
        <v>23114</v>
      </c>
      <c r="T1516" s="705">
        <v>10317</v>
      </c>
      <c r="U1516" s="705">
        <v>3821</v>
      </c>
      <c r="V1516" s="705">
        <v>153853</v>
      </c>
      <c r="W1516" s="705">
        <f t="shared" si="64"/>
        <v>153853</v>
      </c>
      <c r="X1516" s="705">
        <f t="shared" si="65"/>
        <v>189725</v>
      </c>
    </row>
    <row r="1517" spans="2:24">
      <c r="B1517" t="s">
        <v>709</v>
      </c>
      <c r="C1517" t="s">
        <v>120</v>
      </c>
      <c r="D1517" t="s">
        <v>584</v>
      </c>
      <c r="E1517" t="s">
        <v>228</v>
      </c>
      <c r="F1517">
        <v>4</v>
      </c>
      <c r="G1517">
        <v>172</v>
      </c>
      <c r="H1517" s="705">
        <v>1354</v>
      </c>
      <c r="I1517" s="705">
        <v>33625</v>
      </c>
      <c r="J1517" s="705">
        <v>30568</v>
      </c>
      <c r="K1517">
        <v>80</v>
      </c>
      <c r="L1517" s="705">
        <v>3211</v>
      </c>
      <c r="M1517" s="705">
        <v>2676</v>
      </c>
      <c r="N1517" s="705">
        <v>3050</v>
      </c>
      <c r="O1517" s="705">
        <v>1130</v>
      </c>
      <c r="P1517" s="705">
        <v>1890</v>
      </c>
      <c r="Q1517">
        <v>700</v>
      </c>
      <c r="R1517" s="705">
        <v>16712</v>
      </c>
      <c r="S1517" s="705">
        <v>6190</v>
      </c>
      <c r="T1517">
        <v>0</v>
      </c>
      <c r="U1517">
        <v>0</v>
      </c>
      <c r="V1517" s="705">
        <v>41263</v>
      </c>
      <c r="W1517" s="705">
        <f t="shared" si="64"/>
        <v>41264</v>
      </c>
      <c r="X1517" s="705">
        <f t="shared" si="65"/>
        <v>58488</v>
      </c>
    </row>
    <row r="1518" spans="2:24">
      <c r="B1518" t="s">
        <v>709</v>
      </c>
      <c r="C1518" t="s">
        <v>120</v>
      </c>
      <c r="D1518" t="s">
        <v>584</v>
      </c>
      <c r="E1518" t="s">
        <v>584</v>
      </c>
      <c r="F1518">
        <v>27</v>
      </c>
      <c r="G1518" s="705">
        <v>1616</v>
      </c>
      <c r="H1518" s="705">
        <v>9099</v>
      </c>
      <c r="I1518" s="705">
        <v>312375</v>
      </c>
      <c r="J1518" s="705">
        <v>283977</v>
      </c>
      <c r="K1518">
        <v>74</v>
      </c>
      <c r="L1518" s="705">
        <v>40689</v>
      </c>
      <c r="M1518" s="705">
        <v>35500</v>
      </c>
      <c r="N1518" s="705">
        <v>33246</v>
      </c>
      <c r="O1518" s="705">
        <v>12313</v>
      </c>
      <c r="P1518" s="705">
        <v>12952</v>
      </c>
      <c r="Q1518" s="705">
        <v>4797</v>
      </c>
      <c r="R1518" s="705">
        <v>114295</v>
      </c>
      <c r="S1518" s="705">
        <v>103905</v>
      </c>
      <c r="T1518" s="705">
        <v>28288</v>
      </c>
      <c r="U1518" s="705">
        <v>10477</v>
      </c>
      <c r="V1518" s="705">
        <v>450969</v>
      </c>
      <c r="W1518" s="705">
        <f t="shared" si="64"/>
        <v>450969</v>
      </c>
      <c r="X1518" s="705">
        <f t="shared" si="65"/>
        <v>541845</v>
      </c>
    </row>
    <row r="1519" spans="2:24">
      <c r="B1519" t="s">
        <v>709</v>
      </c>
      <c r="C1519" t="s">
        <v>120</v>
      </c>
      <c r="D1519" t="s">
        <v>669</v>
      </c>
      <c r="E1519" t="s">
        <v>228</v>
      </c>
      <c r="F1519">
        <v>1</v>
      </c>
      <c r="G1519">
        <v>49</v>
      </c>
      <c r="H1519">
        <v>312</v>
      </c>
      <c r="I1519" s="705">
        <v>9885</v>
      </c>
      <c r="J1519" s="705">
        <v>8238</v>
      </c>
      <c r="K1519">
        <v>65</v>
      </c>
      <c r="L1519">
        <v>0</v>
      </c>
      <c r="M1519">
        <v>0</v>
      </c>
      <c r="N1519" s="705">
        <v>1105</v>
      </c>
      <c r="O1519">
        <v>409</v>
      </c>
      <c r="P1519">
        <v>351</v>
      </c>
      <c r="Q1519">
        <v>130</v>
      </c>
      <c r="R1519" s="705">
        <v>3888</v>
      </c>
      <c r="S1519" s="705">
        <v>1440</v>
      </c>
      <c r="T1519">
        <v>0</v>
      </c>
      <c r="U1519">
        <v>0</v>
      </c>
      <c r="V1519" s="705">
        <v>10217</v>
      </c>
      <c r="W1519" s="705">
        <f t="shared" si="64"/>
        <v>10217</v>
      </c>
      <c r="X1519" s="705">
        <f t="shared" si="65"/>
        <v>15229</v>
      </c>
    </row>
    <row r="1520" spans="2:24">
      <c r="B1520" t="s">
        <v>709</v>
      </c>
      <c r="C1520" t="s">
        <v>122</v>
      </c>
      <c r="D1520" t="s">
        <v>228</v>
      </c>
      <c r="E1520" t="s">
        <v>228</v>
      </c>
      <c r="F1520">
        <v>106</v>
      </c>
      <c r="G1520" s="705">
        <v>6129</v>
      </c>
      <c r="H1520" s="705">
        <v>43504</v>
      </c>
      <c r="I1520" s="705">
        <v>1588403</v>
      </c>
      <c r="J1520" s="705">
        <v>588297</v>
      </c>
      <c r="K1520">
        <v>100</v>
      </c>
      <c r="L1520" s="705">
        <v>197242</v>
      </c>
      <c r="M1520" s="705">
        <v>83478</v>
      </c>
      <c r="N1520" s="705">
        <v>129633</v>
      </c>
      <c r="O1520" s="705">
        <v>48012</v>
      </c>
      <c r="P1520" s="705">
        <v>1053</v>
      </c>
      <c r="Q1520">
        <v>390</v>
      </c>
      <c r="R1520" s="705">
        <v>594172</v>
      </c>
      <c r="S1520" s="705">
        <v>220064</v>
      </c>
      <c r="T1520" s="705">
        <v>1877</v>
      </c>
      <c r="U1520">
        <v>695</v>
      </c>
      <c r="V1520" s="705">
        <v>940937</v>
      </c>
      <c r="W1520" s="705">
        <f t="shared" si="64"/>
        <v>940936</v>
      </c>
      <c r="X1520" s="705">
        <f t="shared" si="65"/>
        <v>2512380</v>
      </c>
    </row>
    <row r="1521" spans="2:24">
      <c r="B1521" t="s">
        <v>709</v>
      </c>
      <c r="C1521" t="s">
        <v>122</v>
      </c>
      <c r="D1521" t="s">
        <v>583</v>
      </c>
      <c r="E1521" t="s">
        <v>583</v>
      </c>
      <c r="F1521">
        <v>3</v>
      </c>
      <c r="G1521">
        <v>314</v>
      </c>
      <c r="H1521" s="705">
        <v>1274</v>
      </c>
      <c r="I1521" s="705">
        <v>84638</v>
      </c>
      <c r="J1521" s="705">
        <v>76944</v>
      </c>
      <c r="K1521">
        <v>65</v>
      </c>
      <c r="L1521" s="705">
        <v>14951</v>
      </c>
      <c r="M1521" s="705">
        <v>12963</v>
      </c>
      <c r="N1521" s="705">
        <v>5576</v>
      </c>
      <c r="O1521" s="705">
        <v>2065</v>
      </c>
      <c r="P1521" s="705">
        <v>1863</v>
      </c>
      <c r="Q1521">
        <v>690</v>
      </c>
      <c r="R1521" s="705">
        <v>16914</v>
      </c>
      <c r="S1521" s="705">
        <v>15377</v>
      </c>
      <c r="T1521" s="705">
        <v>9327</v>
      </c>
      <c r="U1521" s="705">
        <v>3454</v>
      </c>
      <c r="V1521" s="705">
        <v>111493</v>
      </c>
      <c r="W1521" s="705">
        <f t="shared" si="64"/>
        <v>111493</v>
      </c>
      <c r="X1521" s="705">
        <f t="shared" si="65"/>
        <v>133269</v>
      </c>
    </row>
    <row r="1522" spans="2:24">
      <c r="B1522" t="s">
        <v>709</v>
      </c>
      <c r="C1522" t="s">
        <v>122</v>
      </c>
      <c r="D1522" t="s">
        <v>584</v>
      </c>
      <c r="E1522" t="s">
        <v>584</v>
      </c>
      <c r="F1522">
        <v>14</v>
      </c>
      <c r="G1522">
        <v>895</v>
      </c>
      <c r="H1522" s="705">
        <v>5775</v>
      </c>
      <c r="I1522" s="705">
        <v>233414</v>
      </c>
      <c r="J1522" s="705">
        <v>212195</v>
      </c>
      <c r="K1522">
        <v>72</v>
      </c>
      <c r="L1522" s="705">
        <v>32656</v>
      </c>
      <c r="M1522" s="705">
        <v>26221</v>
      </c>
      <c r="N1522" s="705">
        <v>19209</v>
      </c>
      <c r="O1522" s="705">
        <v>7115</v>
      </c>
      <c r="P1522" s="705">
        <v>7074</v>
      </c>
      <c r="Q1522" s="705">
        <v>2620</v>
      </c>
      <c r="R1522" s="705">
        <v>59598</v>
      </c>
      <c r="S1522" s="705">
        <v>54180</v>
      </c>
      <c r="T1522" s="705">
        <v>14015</v>
      </c>
      <c r="U1522" s="705">
        <v>5191</v>
      </c>
      <c r="V1522" s="705">
        <v>307521</v>
      </c>
      <c r="W1522" s="705">
        <f t="shared" si="64"/>
        <v>307522</v>
      </c>
      <c r="X1522" s="705">
        <f t="shared" si="65"/>
        <v>365966</v>
      </c>
    </row>
    <row r="1523" spans="2:24">
      <c r="B1523" t="s">
        <v>709</v>
      </c>
      <c r="C1523" t="s">
        <v>122</v>
      </c>
      <c r="D1523" t="s">
        <v>669</v>
      </c>
      <c r="E1523" t="s">
        <v>228</v>
      </c>
      <c r="F1523">
        <v>1</v>
      </c>
      <c r="G1523">
        <v>58</v>
      </c>
      <c r="H1523">
        <v>423</v>
      </c>
      <c r="I1523" s="705">
        <v>13668</v>
      </c>
      <c r="J1523" s="705">
        <v>11390</v>
      </c>
      <c r="K1523">
        <v>60</v>
      </c>
      <c r="L1523" s="705">
        <v>4613</v>
      </c>
      <c r="M1523" s="705">
        <v>1709</v>
      </c>
      <c r="N1523" s="705">
        <v>1283</v>
      </c>
      <c r="O1523">
        <v>475</v>
      </c>
      <c r="P1523">
        <v>0</v>
      </c>
      <c r="Q1523">
        <v>0</v>
      </c>
      <c r="R1523" s="705">
        <v>5190</v>
      </c>
      <c r="S1523" s="705">
        <v>1922</v>
      </c>
      <c r="T1523">
        <v>0</v>
      </c>
      <c r="U1523">
        <v>0</v>
      </c>
      <c r="V1523" s="705">
        <v>15496</v>
      </c>
      <c r="W1523" s="705">
        <f t="shared" si="64"/>
        <v>15496</v>
      </c>
      <c r="X1523" s="705">
        <f t="shared" si="65"/>
        <v>24754</v>
      </c>
    </row>
    <row r="1524" spans="2:24">
      <c r="B1524" t="s">
        <v>709</v>
      </c>
      <c r="C1524" t="s">
        <v>122</v>
      </c>
      <c r="D1524" t="s">
        <v>669</v>
      </c>
      <c r="E1524" t="s">
        <v>669</v>
      </c>
      <c r="F1524">
        <v>1</v>
      </c>
      <c r="G1524">
        <v>109</v>
      </c>
      <c r="H1524">
        <v>443</v>
      </c>
      <c r="I1524" s="705">
        <v>30127</v>
      </c>
      <c r="J1524" s="705">
        <v>25106</v>
      </c>
      <c r="K1524">
        <v>55</v>
      </c>
      <c r="L1524" s="705">
        <v>9321</v>
      </c>
      <c r="M1524" s="705">
        <v>3452</v>
      </c>
      <c r="N1524" s="705">
        <v>1334</v>
      </c>
      <c r="O1524">
        <v>494</v>
      </c>
      <c r="P1524">
        <v>351</v>
      </c>
      <c r="Q1524">
        <v>130</v>
      </c>
      <c r="R1524" s="705">
        <v>5230</v>
      </c>
      <c r="S1524" s="705">
        <v>4359</v>
      </c>
      <c r="T1524" s="705">
        <v>2101</v>
      </c>
      <c r="U1524">
        <v>778</v>
      </c>
      <c r="V1524" s="705">
        <v>34319</v>
      </c>
      <c r="W1524" s="705">
        <f t="shared" si="64"/>
        <v>34319</v>
      </c>
      <c r="X1524" s="705">
        <f t="shared" si="65"/>
        <v>48464</v>
      </c>
    </row>
    <row r="1525" spans="2:24">
      <c r="B1525" t="s">
        <v>709</v>
      </c>
      <c r="C1525" t="s">
        <v>124</v>
      </c>
      <c r="D1525" t="s">
        <v>228</v>
      </c>
      <c r="E1525" t="s">
        <v>228</v>
      </c>
      <c r="F1525">
        <v>119</v>
      </c>
      <c r="G1525" s="705">
        <v>6073</v>
      </c>
      <c r="H1525" s="705">
        <v>74011</v>
      </c>
      <c r="I1525" s="705">
        <v>2655198</v>
      </c>
      <c r="J1525" s="705">
        <v>983407</v>
      </c>
      <c r="K1525">
        <v>100</v>
      </c>
      <c r="L1525" s="705">
        <v>362570</v>
      </c>
      <c r="M1525" s="705">
        <v>163122</v>
      </c>
      <c r="N1525" s="705">
        <v>133138</v>
      </c>
      <c r="O1525" s="705">
        <v>49310</v>
      </c>
      <c r="P1525">
        <v>702</v>
      </c>
      <c r="Q1525">
        <v>260</v>
      </c>
      <c r="R1525" s="705">
        <v>602906</v>
      </c>
      <c r="S1525" s="705">
        <v>223299</v>
      </c>
      <c r="T1525" s="705">
        <v>2663</v>
      </c>
      <c r="U1525">
        <v>986</v>
      </c>
      <c r="V1525" s="705">
        <v>1420384</v>
      </c>
      <c r="W1525" s="705">
        <f t="shared" si="64"/>
        <v>1420384</v>
      </c>
      <c r="X1525" s="705">
        <f t="shared" si="65"/>
        <v>3757177</v>
      </c>
    </row>
    <row r="1526" spans="2:24">
      <c r="B1526" t="s">
        <v>709</v>
      </c>
      <c r="C1526" t="s">
        <v>124</v>
      </c>
      <c r="D1526" t="s">
        <v>583</v>
      </c>
      <c r="E1526" t="s">
        <v>583</v>
      </c>
      <c r="F1526">
        <v>8</v>
      </c>
      <c r="G1526" s="705">
        <v>1129</v>
      </c>
      <c r="H1526" s="705">
        <v>4462</v>
      </c>
      <c r="I1526" s="705">
        <v>416759</v>
      </c>
      <c r="J1526" s="705">
        <v>378872</v>
      </c>
      <c r="K1526">
        <v>70</v>
      </c>
      <c r="L1526" s="705">
        <v>94291</v>
      </c>
      <c r="M1526" s="705">
        <v>83136</v>
      </c>
      <c r="N1526" s="705">
        <v>24276</v>
      </c>
      <c r="O1526" s="705">
        <v>8991</v>
      </c>
      <c r="P1526" s="705">
        <v>4968</v>
      </c>
      <c r="Q1526" s="705">
        <v>1840</v>
      </c>
      <c r="R1526" s="705">
        <v>35551</v>
      </c>
      <c r="S1526" s="705">
        <v>32319</v>
      </c>
      <c r="T1526" s="705">
        <v>13810</v>
      </c>
      <c r="U1526" s="705">
        <v>5115</v>
      </c>
      <c r="V1526" s="705">
        <v>510273</v>
      </c>
      <c r="W1526" s="705">
        <f t="shared" si="64"/>
        <v>510273</v>
      </c>
      <c r="X1526" s="705">
        <f t="shared" si="65"/>
        <v>589655</v>
      </c>
    </row>
    <row r="1527" spans="2:24">
      <c r="B1527" t="s">
        <v>709</v>
      </c>
      <c r="C1527" t="s">
        <v>124</v>
      </c>
      <c r="D1527" t="s">
        <v>666</v>
      </c>
      <c r="E1527" t="s">
        <v>228</v>
      </c>
      <c r="F1527">
        <v>1</v>
      </c>
      <c r="G1527">
        <v>182</v>
      </c>
      <c r="H1527" s="705">
        <v>1284</v>
      </c>
      <c r="I1527" s="705">
        <v>222962</v>
      </c>
      <c r="J1527" s="705">
        <v>202692</v>
      </c>
      <c r="K1527">
        <v>30</v>
      </c>
      <c r="L1527">
        <v>0</v>
      </c>
      <c r="M1527">
        <v>0</v>
      </c>
      <c r="N1527" s="705">
        <v>3801</v>
      </c>
      <c r="O1527" s="705">
        <v>1408</v>
      </c>
      <c r="P1527">
        <v>0</v>
      </c>
      <c r="Q1527">
        <v>0</v>
      </c>
      <c r="R1527" s="705">
        <v>7497</v>
      </c>
      <c r="S1527" s="705">
        <v>2777</v>
      </c>
      <c r="T1527">
        <v>0</v>
      </c>
      <c r="U1527">
        <v>0</v>
      </c>
      <c r="V1527" s="705">
        <v>206877</v>
      </c>
      <c r="W1527" s="705">
        <f t="shared" si="64"/>
        <v>206877</v>
      </c>
      <c r="X1527" s="705">
        <f t="shared" si="65"/>
        <v>234260</v>
      </c>
    </row>
    <row r="1528" spans="2:24">
      <c r="B1528" t="s">
        <v>709</v>
      </c>
      <c r="C1528" t="s">
        <v>124</v>
      </c>
      <c r="D1528" t="s">
        <v>584</v>
      </c>
      <c r="E1528" t="s">
        <v>228</v>
      </c>
      <c r="F1528">
        <v>1</v>
      </c>
      <c r="G1528">
        <v>32</v>
      </c>
      <c r="H1528">
        <v>650</v>
      </c>
      <c r="I1528" s="705">
        <v>8427</v>
      </c>
      <c r="J1528" s="705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705">
        <v>11220</v>
      </c>
      <c r="S1528" s="705">
        <v>4156</v>
      </c>
      <c r="T1528">
        <v>0</v>
      </c>
      <c r="U1528">
        <v>0</v>
      </c>
      <c r="V1528" s="705">
        <v>12170</v>
      </c>
      <c r="W1528" s="705">
        <f t="shared" si="64"/>
        <v>12171</v>
      </c>
      <c r="X1528" s="705">
        <f t="shared" si="65"/>
        <v>20603</v>
      </c>
    </row>
    <row r="1529" spans="2:24">
      <c r="B1529" t="s">
        <v>709</v>
      </c>
      <c r="C1529" t="s">
        <v>124</v>
      </c>
      <c r="D1529" t="s">
        <v>584</v>
      </c>
      <c r="E1529" t="s">
        <v>584</v>
      </c>
      <c r="F1529">
        <v>9</v>
      </c>
      <c r="G1529">
        <v>455</v>
      </c>
      <c r="H1529" s="705">
        <v>4774</v>
      </c>
      <c r="I1529" s="705">
        <v>153405</v>
      </c>
      <c r="J1529" s="705">
        <v>139459</v>
      </c>
      <c r="K1529">
        <v>70</v>
      </c>
      <c r="L1529" s="705">
        <v>19291</v>
      </c>
      <c r="M1529" s="705">
        <v>16488</v>
      </c>
      <c r="N1529" s="705">
        <v>9859</v>
      </c>
      <c r="O1529" s="705">
        <v>3652</v>
      </c>
      <c r="P1529" s="705">
        <v>4131</v>
      </c>
      <c r="Q1529" s="705">
        <v>1530</v>
      </c>
      <c r="R1529" s="705">
        <v>32213</v>
      </c>
      <c r="S1529" s="705">
        <v>29284</v>
      </c>
      <c r="T1529" s="705">
        <v>14878</v>
      </c>
      <c r="U1529" s="705">
        <v>5510</v>
      </c>
      <c r="V1529" s="705">
        <v>195923</v>
      </c>
      <c r="W1529" s="705">
        <f t="shared" si="64"/>
        <v>195923</v>
      </c>
      <c r="X1529" s="705">
        <f t="shared" si="65"/>
        <v>233777</v>
      </c>
    </row>
    <row r="1530" spans="2:24">
      <c r="B1530" t="s">
        <v>709</v>
      </c>
      <c r="C1530" t="s">
        <v>124</v>
      </c>
      <c r="D1530" t="s">
        <v>669</v>
      </c>
      <c r="E1530" t="s">
        <v>228</v>
      </c>
      <c r="F1530">
        <v>4</v>
      </c>
      <c r="G1530">
        <v>189</v>
      </c>
      <c r="H1530" s="705">
        <v>2863</v>
      </c>
      <c r="I1530" s="705">
        <v>105281</v>
      </c>
      <c r="J1530" s="705">
        <v>87734</v>
      </c>
      <c r="K1530">
        <v>30</v>
      </c>
      <c r="L1530" s="705">
        <v>7896</v>
      </c>
      <c r="M1530" s="705">
        <v>2924</v>
      </c>
      <c r="N1530" s="705">
        <v>4064</v>
      </c>
      <c r="O1530" s="705">
        <v>1505</v>
      </c>
      <c r="P1530">
        <v>0</v>
      </c>
      <c r="Q1530">
        <v>0</v>
      </c>
      <c r="R1530" s="705">
        <v>22674</v>
      </c>
      <c r="S1530" s="705">
        <v>8398</v>
      </c>
      <c r="T1530">
        <v>0</v>
      </c>
      <c r="U1530">
        <v>0</v>
      </c>
      <c r="V1530" s="705">
        <v>100561</v>
      </c>
      <c r="W1530" s="705">
        <f t="shared" si="64"/>
        <v>100561</v>
      </c>
      <c r="X1530" s="705">
        <f t="shared" si="65"/>
        <v>139915</v>
      </c>
    </row>
    <row r="1531" spans="2:24">
      <c r="B1531" t="s">
        <v>709</v>
      </c>
      <c r="C1531" t="s">
        <v>124</v>
      </c>
      <c r="D1531" t="s">
        <v>669</v>
      </c>
      <c r="E1531" t="s">
        <v>669</v>
      </c>
      <c r="F1531">
        <v>3</v>
      </c>
      <c r="G1531">
        <v>171</v>
      </c>
      <c r="H1531" s="705">
        <v>1474</v>
      </c>
      <c r="I1531" s="705">
        <v>57173</v>
      </c>
      <c r="J1531" s="705">
        <v>47645</v>
      </c>
      <c r="K1531">
        <v>58</v>
      </c>
      <c r="L1531" s="705">
        <v>5439</v>
      </c>
      <c r="M1531" s="705">
        <v>2014</v>
      </c>
      <c r="N1531" s="705">
        <v>3347</v>
      </c>
      <c r="O1531" s="705">
        <v>1240</v>
      </c>
      <c r="P1531" s="705">
        <v>1053</v>
      </c>
      <c r="Q1531">
        <v>390</v>
      </c>
      <c r="R1531" s="705">
        <v>12574</v>
      </c>
      <c r="S1531" s="705">
        <v>10478</v>
      </c>
      <c r="T1531" s="705">
        <v>4770</v>
      </c>
      <c r="U1531" s="705">
        <v>1767</v>
      </c>
      <c r="V1531" s="705">
        <v>63533</v>
      </c>
      <c r="W1531" s="705">
        <f t="shared" si="64"/>
        <v>63534</v>
      </c>
      <c r="X1531" s="705">
        <f t="shared" si="65"/>
        <v>84356</v>
      </c>
    </row>
    <row r="1532" spans="2:24">
      <c r="B1532" t="s">
        <v>709</v>
      </c>
      <c r="C1532" t="s">
        <v>124</v>
      </c>
      <c r="D1532" t="s">
        <v>665</v>
      </c>
      <c r="E1532" t="s">
        <v>665</v>
      </c>
      <c r="F1532">
        <v>3</v>
      </c>
      <c r="G1532">
        <v>353</v>
      </c>
      <c r="H1532" s="705">
        <v>1951</v>
      </c>
      <c r="I1532" s="705">
        <v>160972</v>
      </c>
      <c r="J1532" s="705">
        <v>146338</v>
      </c>
      <c r="K1532">
        <v>58</v>
      </c>
      <c r="L1532" s="705">
        <v>34790</v>
      </c>
      <c r="M1532" s="705">
        <v>31627</v>
      </c>
      <c r="N1532" s="705">
        <v>7950</v>
      </c>
      <c r="O1532" s="705">
        <v>2945</v>
      </c>
      <c r="P1532" s="705">
        <v>1053</v>
      </c>
      <c r="Q1532">
        <v>390</v>
      </c>
      <c r="R1532" s="705">
        <v>15173</v>
      </c>
      <c r="S1532" s="705">
        <v>13794</v>
      </c>
      <c r="T1532" s="705">
        <v>7276</v>
      </c>
      <c r="U1532" s="705">
        <v>2695</v>
      </c>
      <c r="V1532" s="705">
        <v>197789</v>
      </c>
      <c r="W1532" s="705">
        <f t="shared" si="64"/>
        <v>197789</v>
      </c>
      <c r="X1532" s="705">
        <f t="shared" si="65"/>
        <v>227214</v>
      </c>
    </row>
    <row r="1533" spans="2:24">
      <c r="B1533" t="s">
        <v>710</v>
      </c>
      <c r="C1533" t="s">
        <v>108</v>
      </c>
      <c r="D1533" t="s">
        <v>228</v>
      </c>
      <c r="E1533" t="s">
        <v>228</v>
      </c>
      <c r="F1533">
        <v>1</v>
      </c>
      <c r="G1533">
        <v>197</v>
      </c>
      <c r="H1533">
        <v>73</v>
      </c>
      <c r="I1533" s="705">
        <v>3620</v>
      </c>
      <c r="J1533" s="705">
        <v>1341</v>
      </c>
      <c r="K1533">
        <v>471</v>
      </c>
      <c r="L1533" s="705">
        <v>1403</v>
      </c>
      <c r="M1533" s="705">
        <v>1169</v>
      </c>
      <c r="N1533" s="705">
        <v>2395</v>
      </c>
      <c r="O1533">
        <v>887</v>
      </c>
      <c r="P1533">
        <v>351</v>
      </c>
      <c r="Q1533">
        <v>130</v>
      </c>
      <c r="R1533" s="705">
        <v>6629</v>
      </c>
      <c r="S1533" s="705">
        <v>2455</v>
      </c>
      <c r="T1533">
        <v>0</v>
      </c>
      <c r="U1533">
        <v>0</v>
      </c>
      <c r="V1533" s="705">
        <v>5982</v>
      </c>
      <c r="W1533" s="705">
        <f t="shared" si="64"/>
        <v>5982</v>
      </c>
      <c r="X1533" s="705">
        <f t="shared" si="65"/>
        <v>14398</v>
      </c>
    </row>
    <row r="1534" spans="2:24">
      <c r="B1534" t="s">
        <v>710</v>
      </c>
      <c r="C1534" t="s">
        <v>108</v>
      </c>
      <c r="D1534" t="s">
        <v>584</v>
      </c>
      <c r="E1534" t="s">
        <v>584</v>
      </c>
      <c r="F1534">
        <v>1</v>
      </c>
      <c r="G1534">
        <v>116</v>
      </c>
      <c r="H1534">
        <v>73</v>
      </c>
      <c r="I1534" s="705">
        <v>3460</v>
      </c>
      <c r="J1534" s="705">
        <v>3145</v>
      </c>
      <c r="K1534">
        <v>90</v>
      </c>
      <c r="L1534">
        <v>0</v>
      </c>
      <c r="M1534">
        <v>0</v>
      </c>
      <c r="N1534" s="705">
        <v>1532</v>
      </c>
      <c r="O1534">
        <v>567</v>
      </c>
      <c r="P1534">
        <v>473</v>
      </c>
      <c r="Q1534">
        <v>175</v>
      </c>
      <c r="R1534" s="705">
        <v>2989</v>
      </c>
      <c r="S1534" s="705">
        <v>2717</v>
      </c>
      <c r="T1534">
        <v>0</v>
      </c>
      <c r="U1534">
        <v>0</v>
      </c>
      <c r="V1534" s="705">
        <v>6605</v>
      </c>
      <c r="W1534" s="705">
        <f t="shared" si="64"/>
        <v>6604</v>
      </c>
      <c r="X1534" s="705">
        <f t="shared" si="65"/>
        <v>8454</v>
      </c>
    </row>
    <row r="1535" spans="2:24">
      <c r="B1535" t="s">
        <v>710</v>
      </c>
      <c r="C1535" t="s">
        <v>110</v>
      </c>
      <c r="D1535" t="s">
        <v>583</v>
      </c>
      <c r="E1535" t="s">
        <v>583</v>
      </c>
      <c r="F1535">
        <v>1</v>
      </c>
      <c r="G1535">
        <v>281</v>
      </c>
      <c r="H1535">
        <v>100</v>
      </c>
      <c r="I1535" s="705">
        <v>12716</v>
      </c>
      <c r="J1535" s="705">
        <v>11560</v>
      </c>
      <c r="K1535">
        <v>95</v>
      </c>
      <c r="L1535" s="705">
        <v>2232</v>
      </c>
      <c r="M1535" s="705">
        <v>2029</v>
      </c>
      <c r="N1535" s="705">
        <v>3973</v>
      </c>
      <c r="O1535" s="705">
        <v>1472</v>
      </c>
      <c r="P1535" s="705">
        <v>2962</v>
      </c>
      <c r="Q1535" s="705">
        <v>1097</v>
      </c>
      <c r="R1535" s="705">
        <v>6183</v>
      </c>
      <c r="S1535" s="705">
        <v>5621</v>
      </c>
      <c r="T1535">
        <v>0</v>
      </c>
      <c r="U1535">
        <v>0</v>
      </c>
      <c r="V1535" s="705">
        <v>21779</v>
      </c>
      <c r="W1535" s="705">
        <f t="shared" si="64"/>
        <v>21779</v>
      </c>
      <c r="X1535" s="705">
        <f t="shared" si="65"/>
        <v>28066</v>
      </c>
    </row>
    <row r="1536" spans="2:24">
      <c r="B1536" t="s">
        <v>710</v>
      </c>
      <c r="C1536" t="s">
        <v>110</v>
      </c>
      <c r="D1536" t="s">
        <v>584</v>
      </c>
      <c r="E1536" t="s">
        <v>584</v>
      </c>
      <c r="F1536">
        <v>8</v>
      </c>
      <c r="G1536">
        <v>661</v>
      </c>
      <c r="H1536">
        <v>769</v>
      </c>
      <c r="I1536" s="705">
        <v>19624</v>
      </c>
      <c r="J1536" s="705">
        <v>17840</v>
      </c>
      <c r="K1536">
        <v>91</v>
      </c>
      <c r="L1536" s="705">
        <v>4844</v>
      </c>
      <c r="M1536" s="705">
        <v>1794</v>
      </c>
      <c r="N1536" s="705">
        <v>16063</v>
      </c>
      <c r="O1536" s="705">
        <v>5949</v>
      </c>
      <c r="P1536" s="705">
        <v>3780</v>
      </c>
      <c r="Q1536" s="705">
        <v>1400</v>
      </c>
      <c r="R1536" s="705">
        <v>19152</v>
      </c>
      <c r="S1536" s="705">
        <v>17411</v>
      </c>
      <c r="T1536">
        <v>0</v>
      </c>
      <c r="U1536">
        <v>0</v>
      </c>
      <c r="V1536" s="705">
        <v>44394</v>
      </c>
      <c r="W1536" s="705">
        <f t="shared" si="64"/>
        <v>44394</v>
      </c>
      <c r="X1536" s="705">
        <f t="shared" si="65"/>
        <v>63463</v>
      </c>
    </row>
    <row r="1537" spans="2:24">
      <c r="B1537" t="s">
        <v>710</v>
      </c>
      <c r="C1537" t="s">
        <v>112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705">
        <v>9240</v>
      </c>
      <c r="O1537" s="705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705">
        <v>3422</v>
      </c>
      <c r="W1537" s="705">
        <f t="shared" si="64"/>
        <v>3422</v>
      </c>
      <c r="X1537" s="705">
        <f t="shared" si="65"/>
        <v>9240</v>
      </c>
    </row>
    <row r="1538" spans="2:24">
      <c r="B1538" t="s">
        <v>710</v>
      </c>
      <c r="C1538" t="s">
        <v>112</v>
      </c>
      <c r="D1538" t="s">
        <v>584</v>
      </c>
      <c r="E1538" t="s">
        <v>584</v>
      </c>
      <c r="F1538">
        <v>66</v>
      </c>
      <c r="G1538" s="705">
        <v>5294</v>
      </c>
      <c r="H1538" s="705">
        <v>7532</v>
      </c>
      <c r="I1538" s="705">
        <v>225710</v>
      </c>
      <c r="J1538" s="705">
        <v>205191</v>
      </c>
      <c r="K1538">
        <v>90</v>
      </c>
      <c r="L1538" s="705">
        <v>47682</v>
      </c>
      <c r="M1538" s="705">
        <v>20627</v>
      </c>
      <c r="N1538" s="705">
        <v>123785</v>
      </c>
      <c r="O1538" s="705">
        <v>45846</v>
      </c>
      <c r="P1538" s="705">
        <v>31064</v>
      </c>
      <c r="Q1538" s="705">
        <v>11505</v>
      </c>
      <c r="R1538" s="705">
        <v>175975</v>
      </c>
      <c r="S1538" s="705">
        <v>159977</v>
      </c>
      <c r="T1538" s="705">
        <v>1806</v>
      </c>
      <c r="U1538">
        <v>669</v>
      </c>
      <c r="V1538" s="705">
        <v>443815</v>
      </c>
      <c r="W1538" s="705">
        <f t="shared" si="64"/>
        <v>443815</v>
      </c>
      <c r="X1538" s="705">
        <f t="shared" si="65"/>
        <v>606022</v>
      </c>
    </row>
    <row r="1539" spans="2:24">
      <c r="B1539" t="s">
        <v>710</v>
      </c>
      <c r="C1539" t="s">
        <v>114</v>
      </c>
      <c r="F1539">
        <v>13</v>
      </c>
      <c r="G1539">
        <v>703</v>
      </c>
      <c r="H1539" s="705">
        <v>1815</v>
      </c>
      <c r="J1539">
        <v>0</v>
      </c>
      <c r="M1539">
        <v>0</v>
      </c>
      <c r="N1539" s="705">
        <v>17129</v>
      </c>
      <c r="O1539" s="705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705">
        <v>6344</v>
      </c>
      <c r="W1539" s="705">
        <f t="shared" si="64"/>
        <v>6344</v>
      </c>
      <c r="X1539" s="705">
        <f t="shared" si="65"/>
        <v>17129</v>
      </c>
    </row>
    <row r="1540" spans="2:24">
      <c r="B1540" t="s">
        <v>710</v>
      </c>
      <c r="C1540" t="s">
        <v>114</v>
      </c>
      <c r="D1540" t="s">
        <v>228</v>
      </c>
      <c r="E1540" t="s">
        <v>228</v>
      </c>
      <c r="F1540">
        <v>32</v>
      </c>
      <c r="G1540" s="705">
        <v>2186</v>
      </c>
      <c r="H1540" s="705">
        <v>4575</v>
      </c>
      <c r="I1540" s="705">
        <v>76283</v>
      </c>
      <c r="J1540" s="705">
        <v>28253</v>
      </c>
      <c r="K1540">
        <v>119</v>
      </c>
      <c r="L1540" s="705">
        <v>14515</v>
      </c>
      <c r="M1540" s="705">
        <v>5376</v>
      </c>
      <c r="N1540" s="705">
        <v>38534</v>
      </c>
      <c r="O1540" s="705">
        <v>14272</v>
      </c>
      <c r="P1540">
        <v>205</v>
      </c>
      <c r="Q1540">
        <v>76</v>
      </c>
      <c r="R1540" s="705">
        <v>183146</v>
      </c>
      <c r="S1540" s="705">
        <v>67832</v>
      </c>
      <c r="T1540">
        <v>0</v>
      </c>
      <c r="U1540">
        <v>0</v>
      </c>
      <c r="V1540" s="705">
        <v>115808</v>
      </c>
      <c r="W1540" s="705">
        <f t="shared" si="64"/>
        <v>115809</v>
      </c>
      <c r="X1540" s="705">
        <f t="shared" si="65"/>
        <v>312683</v>
      </c>
    </row>
    <row r="1541" spans="2:24">
      <c r="B1541" t="s">
        <v>710</v>
      </c>
      <c r="C1541" t="s">
        <v>114</v>
      </c>
      <c r="D1541" t="s">
        <v>583</v>
      </c>
      <c r="E1541" t="s">
        <v>583</v>
      </c>
      <c r="F1541">
        <v>5</v>
      </c>
      <c r="G1541">
        <v>666</v>
      </c>
      <c r="H1541">
        <v>705</v>
      </c>
      <c r="I1541" s="705">
        <v>46111</v>
      </c>
      <c r="J1541" s="705">
        <v>41919</v>
      </c>
      <c r="K1541">
        <v>93</v>
      </c>
      <c r="L1541" s="705">
        <v>10656</v>
      </c>
      <c r="M1541" s="705">
        <v>9687</v>
      </c>
      <c r="N1541" s="705">
        <v>10149</v>
      </c>
      <c r="O1541" s="705">
        <v>3759</v>
      </c>
      <c r="P1541" s="705">
        <v>3807</v>
      </c>
      <c r="Q1541" s="705">
        <v>1410</v>
      </c>
      <c r="R1541" s="705">
        <v>22204</v>
      </c>
      <c r="S1541" s="705">
        <v>20185</v>
      </c>
      <c r="T1541">
        <v>0</v>
      </c>
      <c r="U1541">
        <v>0</v>
      </c>
      <c r="V1541" s="705">
        <v>76960</v>
      </c>
      <c r="W1541" s="705">
        <f t="shared" si="64"/>
        <v>76960</v>
      </c>
      <c r="X1541" s="705">
        <f t="shared" si="65"/>
        <v>92927</v>
      </c>
    </row>
    <row r="1542" spans="2:24">
      <c r="B1542" t="s">
        <v>710</v>
      </c>
      <c r="C1542" t="s">
        <v>114</v>
      </c>
      <c r="D1542" t="s">
        <v>584</v>
      </c>
      <c r="E1542" t="s">
        <v>584</v>
      </c>
      <c r="F1542">
        <v>88</v>
      </c>
      <c r="G1542" s="705">
        <v>7378</v>
      </c>
      <c r="H1542" s="705">
        <v>12220</v>
      </c>
      <c r="I1542" s="705">
        <v>441957</v>
      </c>
      <c r="J1542" s="705">
        <v>401779</v>
      </c>
      <c r="K1542">
        <v>87</v>
      </c>
      <c r="L1542" s="705">
        <v>71944</v>
      </c>
      <c r="M1542" s="705">
        <v>36323</v>
      </c>
      <c r="N1542" s="705">
        <v>161890</v>
      </c>
      <c r="O1542" s="705">
        <v>59959</v>
      </c>
      <c r="P1542" s="705">
        <v>41229</v>
      </c>
      <c r="Q1542" s="705">
        <v>15270</v>
      </c>
      <c r="R1542" s="705">
        <v>289881</v>
      </c>
      <c r="S1542" s="705">
        <v>263528</v>
      </c>
      <c r="T1542" s="705">
        <v>34696</v>
      </c>
      <c r="U1542" s="705">
        <v>12850</v>
      </c>
      <c r="V1542" s="705">
        <v>789709</v>
      </c>
      <c r="W1542" s="705">
        <f t="shared" si="64"/>
        <v>789709</v>
      </c>
      <c r="X1542" s="705">
        <f t="shared" si="65"/>
        <v>1041597</v>
      </c>
    </row>
    <row r="1543" spans="2:24">
      <c r="B1543" t="s">
        <v>710</v>
      </c>
      <c r="C1543" t="s">
        <v>116</v>
      </c>
      <c r="F1543">
        <v>31</v>
      </c>
      <c r="G1543" s="705">
        <v>1596</v>
      </c>
      <c r="H1543" s="705">
        <v>5491</v>
      </c>
      <c r="J1543">
        <v>0</v>
      </c>
      <c r="M1543">
        <v>0</v>
      </c>
      <c r="N1543" s="705">
        <v>37900</v>
      </c>
      <c r="O1543" s="705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705">
        <v>14167</v>
      </c>
      <c r="W1543" s="705">
        <f t="shared" si="64"/>
        <v>14167</v>
      </c>
      <c r="X1543" s="705">
        <f t="shared" si="65"/>
        <v>38251</v>
      </c>
    </row>
    <row r="1544" spans="2:24">
      <c r="B1544" t="s">
        <v>710</v>
      </c>
      <c r="C1544" t="s">
        <v>116</v>
      </c>
      <c r="D1544" t="s">
        <v>582</v>
      </c>
      <c r="E1544" t="s">
        <v>582</v>
      </c>
      <c r="F1544">
        <v>2</v>
      </c>
      <c r="G1544">
        <v>413</v>
      </c>
      <c r="H1544">
        <v>341</v>
      </c>
      <c r="I1544" s="705">
        <v>45214</v>
      </c>
      <c r="J1544" s="705">
        <v>41104</v>
      </c>
      <c r="K1544">
        <v>90</v>
      </c>
      <c r="L1544" s="705">
        <v>5130</v>
      </c>
      <c r="M1544" s="705">
        <v>4663</v>
      </c>
      <c r="N1544" s="705">
        <v>9342</v>
      </c>
      <c r="O1544" s="705">
        <v>3460</v>
      </c>
      <c r="P1544" s="705">
        <v>1418</v>
      </c>
      <c r="Q1544">
        <v>525</v>
      </c>
      <c r="R1544" s="705">
        <v>11515</v>
      </c>
      <c r="S1544" s="705">
        <v>10469</v>
      </c>
      <c r="T1544">
        <v>0</v>
      </c>
      <c r="U1544">
        <v>0</v>
      </c>
      <c r="V1544" s="705">
        <v>60220</v>
      </c>
      <c r="W1544" s="705">
        <f t="shared" si="64"/>
        <v>60221</v>
      </c>
      <c r="X1544" s="705">
        <f t="shared" si="65"/>
        <v>72619</v>
      </c>
    </row>
    <row r="1545" spans="2:24">
      <c r="B1545" t="s">
        <v>710</v>
      </c>
      <c r="C1545" t="s">
        <v>116</v>
      </c>
      <c r="D1545" t="s">
        <v>228</v>
      </c>
      <c r="E1545" t="s">
        <v>228</v>
      </c>
      <c r="F1545">
        <v>536</v>
      </c>
      <c r="G1545" s="705">
        <v>40057</v>
      </c>
      <c r="H1545" s="705">
        <v>103144</v>
      </c>
      <c r="I1545" s="705">
        <v>3215595</v>
      </c>
      <c r="J1545" s="705">
        <v>1190961</v>
      </c>
      <c r="K1545">
        <v>106</v>
      </c>
      <c r="L1545" s="705">
        <v>281982</v>
      </c>
      <c r="M1545" s="705">
        <v>128003</v>
      </c>
      <c r="N1545" s="705">
        <v>790940</v>
      </c>
      <c r="O1545" s="705">
        <v>292941</v>
      </c>
      <c r="P1545" s="705">
        <v>2575</v>
      </c>
      <c r="Q1545">
        <v>954</v>
      </c>
      <c r="R1545" s="705">
        <v>3391556</v>
      </c>
      <c r="S1545" s="705">
        <v>1256132</v>
      </c>
      <c r="T1545">
        <v>0</v>
      </c>
      <c r="U1545">
        <v>0</v>
      </c>
      <c r="V1545" s="705">
        <v>2868991</v>
      </c>
      <c r="W1545" s="705">
        <f t="shared" si="64"/>
        <v>2868991</v>
      </c>
      <c r="X1545" s="705">
        <f t="shared" si="65"/>
        <v>7682648</v>
      </c>
    </row>
    <row r="1546" spans="2:24">
      <c r="B1546" t="s">
        <v>710</v>
      </c>
      <c r="C1546" t="s">
        <v>116</v>
      </c>
      <c r="D1546" t="s">
        <v>583</v>
      </c>
      <c r="E1546" t="s">
        <v>583</v>
      </c>
      <c r="F1546">
        <v>38</v>
      </c>
      <c r="G1546" s="705">
        <v>4156</v>
      </c>
      <c r="H1546" s="705">
        <v>7537</v>
      </c>
      <c r="I1546" s="705">
        <v>434802</v>
      </c>
      <c r="J1546" s="705">
        <v>395274</v>
      </c>
      <c r="K1546">
        <v>88</v>
      </c>
      <c r="L1546" s="705">
        <v>79420</v>
      </c>
      <c r="M1546" s="705">
        <v>67342</v>
      </c>
      <c r="N1546" s="705">
        <v>81123</v>
      </c>
      <c r="O1546" s="705">
        <v>30046</v>
      </c>
      <c r="P1546" s="705">
        <v>24651</v>
      </c>
      <c r="Q1546" s="705">
        <v>9130</v>
      </c>
      <c r="R1546" s="705">
        <v>164682</v>
      </c>
      <c r="S1546" s="705">
        <v>149711</v>
      </c>
      <c r="T1546" s="705">
        <v>55710</v>
      </c>
      <c r="U1546" s="705">
        <v>20633</v>
      </c>
      <c r="V1546" s="705">
        <v>672136</v>
      </c>
      <c r="W1546" s="705">
        <f t="shared" si="64"/>
        <v>672136</v>
      </c>
      <c r="X1546" s="705">
        <f t="shared" si="65"/>
        <v>840388</v>
      </c>
    </row>
    <row r="1547" spans="2:24">
      <c r="B1547" t="s">
        <v>710</v>
      </c>
      <c r="C1547" t="s">
        <v>116</v>
      </c>
      <c r="D1547" t="s">
        <v>584</v>
      </c>
      <c r="E1547" t="s">
        <v>228</v>
      </c>
      <c r="F1547">
        <v>1</v>
      </c>
      <c r="G1547">
        <v>66</v>
      </c>
      <c r="H1547">
        <v>220</v>
      </c>
      <c r="I1547" s="705">
        <v>6255</v>
      </c>
      <c r="J1547" s="705">
        <v>5686</v>
      </c>
      <c r="K1547">
        <v>65</v>
      </c>
      <c r="L1547">
        <v>0</v>
      </c>
      <c r="M1547">
        <v>0</v>
      </c>
      <c r="N1547" s="705">
        <v>1048</v>
      </c>
      <c r="O1547">
        <v>388</v>
      </c>
      <c r="P1547">
        <v>473</v>
      </c>
      <c r="Q1547">
        <v>175</v>
      </c>
      <c r="R1547" s="705">
        <v>6800</v>
      </c>
      <c r="S1547" s="705">
        <v>2518</v>
      </c>
      <c r="T1547">
        <v>0</v>
      </c>
      <c r="U1547">
        <v>0</v>
      </c>
      <c r="V1547" s="705">
        <v>8768</v>
      </c>
      <c r="W1547" s="705">
        <f t="shared" si="64"/>
        <v>8767</v>
      </c>
      <c r="X1547" s="705">
        <f t="shared" si="65"/>
        <v>14576</v>
      </c>
    </row>
    <row r="1548" spans="2:24">
      <c r="B1548" t="s">
        <v>710</v>
      </c>
      <c r="C1548" t="s">
        <v>116</v>
      </c>
      <c r="D1548" t="s">
        <v>584</v>
      </c>
      <c r="E1548" t="s">
        <v>584</v>
      </c>
      <c r="F1548">
        <v>321</v>
      </c>
      <c r="G1548" s="705">
        <v>29015</v>
      </c>
      <c r="H1548" s="705">
        <v>60038</v>
      </c>
      <c r="I1548" s="705">
        <v>2704029</v>
      </c>
      <c r="J1548" s="705">
        <v>2458208</v>
      </c>
      <c r="K1548">
        <v>80</v>
      </c>
      <c r="L1548" s="705">
        <v>281192</v>
      </c>
      <c r="M1548" s="705">
        <v>207872</v>
      </c>
      <c r="N1548" s="705">
        <v>631560</v>
      </c>
      <c r="O1548" s="705">
        <v>233911</v>
      </c>
      <c r="P1548" s="705">
        <v>151821</v>
      </c>
      <c r="Q1548" s="705">
        <v>56230</v>
      </c>
      <c r="R1548" s="705">
        <v>1288418</v>
      </c>
      <c r="S1548" s="705">
        <v>1171289</v>
      </c>
      <c r="T1548" s="705">
        <v>348642</v>
      </c>
      <c r="U1548" s="705">
        <v>129127</v>
      </c>
      <c r="V1548" s="705">
        <v>4256637</v>
      </c>
      <c r="W1548" s="705">
        <f t="shared" si="64"/>
        <v>4256637</v>
      </c>
      <c r="X1548" s="705">
        <f t="shared" si="65"/>
        <v>5405662</v>
      </c>
    </row>
    <row r="1549" spans="2:24">
      <c r="B1549" t="s">
        <v>710</v>
      </c>
      <c r="C1549" t="s">
        <v>116</v>
      </c>
      <c r="D1549" t="s">
        <v>584</v>
      </c>
      <c r="E1549" t="s">
        <v>669</v>
      </c>
      <c r="F1549">
        <v>1</v>
      </c>
      <c r="G1549">
        <v>113</v>
      </c>
      <c r="H1549">
        <v>162</v>
      </c>
      <c r="I1549" s="705">
        <v>8806</v>
      </c>
      <c r="J1549" s="705">
        <v>8006</v>
      </c>
      <c r="K1549">
        <v>73</v>
      </c>
      <c r="L1549" s="705">
        <v>2264</v>
      </c>
      <c r="M1549" s="705">
        <v>2058</v>
      </c>
      <c r="N1549" s="705">
        <v>2511</v>
      </c>
      <c r="O1549">
        <v>930</v>
      </c>
      <c r="P1549">
        <v>473</v>
      </c>
      <c r="Q1549">
        <v>175</v>
      </c>
      <c r="R1549" s="705">
        <v>4156</v>
      </c>
      <c r="S1549" s="705">
        <v>3463</v>
      </c>
      <c r="T1549">
        <v>0</v>
      </c>
      <c r="U1549">
        <v>0</v>
      </c>
      <c r="V1549" s="705">
        <v>14632</v>
      </c>
      <c r="W1549" s="705">
        <f t="shared" si="64"/>
        <v>14632</v>
      </c>
      <c r="X1549" s="705">
        <f t="shared" si="65"/>
        <v>18210</v>
      </c>
    </row>
    <row r="1550" spans="2:24">
      <c r="B1550" t="s">
        <v>710</v>
      </c>
      <c r="C1550" t="s">
        <v>118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705">
        <v>2891</v>
      </c>
      <c r="O1550" s="705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705">
        <v>1071</v>
      </c>
      <c r="W1550" s="705">
        <f t="shared" si="64"/>
        <v>1071</v>
      </c>
      <c r="X1550" s="705">
        <f t="shared" si="65"/>
        <v>2891</v>
      </c>
    </row>
    <row r="1551" spans="2:24">
      <c r="B1551" t="s">
        <v>710</v>
      </c>
      <c r="C1551" t="s">
        <v>118</v>
      </c>
      <c r="D1551" t="s">
        <v>228</v>
      </c>
      <c r="E1551" t="s">
        <v>228</v>
      </c>
      <c r="F1551">
        <v>656</v>
      </c>
      <c r="G1551" s="705">
        <v>47768</v>
      </c>
      <c r="H1551" s="705">
        <v>172751</v>
      </c>
      <c r="I1551" s="705">
        <v>7136138</v>
      </c>
      <c r="J1551" s="705">
        <v>2643014</v>
      </c>
      <c r="K1551">
        <v>100</v>
      </c>
      <c r="L1551" s="705">
        <v>398426</v>
      </c>
      <c r="M1551" s="705">
        <v>173166</v>
      </c>
      <c r="N1551" s="705">
        <v>905676</v>
      </c>
      <c r="O1551" s="705">
        <v>335436</v>
      </c>
      <c r="P1551" s="705">
        <v>10383</v>
      </c>
      <c r="Q1551" s="705">
        <v>3846</v>
      </c>
      <c r="R1551" s="705">
        <v>4095651</v>
      </c>
      <c r="S1551" s="705">
        <v>1516908</v>
      </c>
      <c r="T1551" s="705">
        <v>3290</v>
      </c>
      <c r="U1551" s="705">
        <v>1219</v>
      </c>
      <c r="V1551" s="705">
        <v>4673588</v>
      </c>
      <c r="W1551" s="705">
        <f t="shared" si="64"/>
        <v>4673589</v>
      </c>
      <c r="X1551" s="705">
        <f t="shared" si="65"/>
        <v>12549564</v>
      </c>
    </row>
    <row r="1552" spans="2:24">
      <c r="B1552" t="s">
        <v>710</v>
      </c>
      <c r="C1552" t="s">
        <v>118</v>
      </c>
      <c r="D1552" t="s">
        <v>583</v>
      </c>
      <c r="E1552" t="s">
        <v>583</v>
      </c>
      <c r="F1552">
        <v>25</v>
      </c>
      <c r="G1552" s="705">
        <v>2495</v>
      </c>
      <c r="H1552" s="705">
        <v>6734</v>
      </c>
      <c r="I1552" s="705">
        <v>365587</v>
      </c>
      <c r="J1552" s="705">
        <v>332352</v>
      </c>
      <c r="K1552">
        <v>79</v>
      </c>
      <c r="L1552" s="705">
        <v>82904</v>
      </c>
      <c r="M1552" s="705">
        <v>68379</v>
      </c>
      <c r="N1552" s="705">
        <v>50012</v>
      </c>
      <c r="O1552" s="705">
        <v>18523</v>
      </c>
      <c r="P1552" s="705">
        <v>15525</v>
      </c>
      <c r="Q1552" s="705">
        <v>5750</v>
      </c>
      <c r="R1552" s="705">
        <v>116128</v>
      </c>
      <c r="S1552" s="705">
        <v>105571</v>
      </c>
      <c r="T1552" s="705">
        <v>41884</v>
      </c>
      <c r="U1552" s="705">
        <v>15512</v>
      </c>
      <c r="V1552" s="705">
        <v>546088</v>
      </c>
      <c r="W1552" s="705">
        <f t="shared" si="64"/>
        <v>546087</v>
      </c>
      <c r="X1552" s="705">
        <f t="shared" si="65"/>
        <v>672040</v>
      </c>
    </row>
    <row r="1553" spans="2:24">
      <c r="B1553" t="s">
        <v>710</v>
      </c>
      <c r="C1553" t="s">
        <v>118</v>
      </c>
      <c r="D1553" t="s">
        <v>584</v>
      </c>
      <c r="E1553" t="s">
        <v>228</v>
      </c>
      <c r="F1553">
        <v>2</v>
      </c>
      <c r="G1553">
        <v>82</v>
      </c>
      <c r="H1553">
        <v>544</v>
      </c>
      <c r="I1553" s="705">
        <v>10755</v>
      </c>
      <c r="J1553" s="705">
        <v>9777</v>
      </c>
      <c r="K1553">
        <v>73</v>
      </c>
      <c r="L1553">
        <v>752</v>
      </c>
      <c r="M1553">
        <v>279</v>
      </c>
      <c r="N1553" s="705">
        <v>1733</v>
      </c>
      <c r="O1553">
        <v>642</v>
      </c>
      <c r="P1553">
        <v>594</v>
      </c>
      <c r="Q1553">
        <v>220</v>
      </c>
      <c r="R1553" s="705">
        <v>8345</v>
      </c>
      <c r="S1553" s="705">
        <v>3091</v>
      </c>
      <c r="T1553">
        <v>0</v>
      </c>
      <c r="U1553">
        <v>0</v>
      </c>
      <c r="V1553" s="705">
        <v>14009</v>
      </c>
      <c r="W1553" s="705">
        <f t="shared" si="64"/>
        <v>14009</v>
      </c>
      <c r="X1553" s="705">
        <f t="shared" si="65"/>
        <v>22179</v>
      </c>
    </row>
    <row r="1554" spans="2:24">
      <c r="B1554" t="s">
        <v>710</v>
      </c>
      <c r="C1554" t="s">
        <v>118</v>
      </c>
      <c r="D1554" t="s">
        <v>584</v>
      </c>
      <c r="E1554" t="s">
        <v>584</v>
      </c>
      <c r="F1554">
        <v>65</v>
      </c>
      <c r="G1554" s="705">
        <v>4343</v>
      </c>
      <c r="H1554" s="705">
        <v>16712</v>
      </c>
      <c r="I1554" s="705">
        <v>616158</v>
      </c>
      <c r="J1554" s="705">
        <v>560143</v>
      </c>
      <c r="K1554">
        <v>79</v>
      </c>
      <c r="L1554" s="705">
        <v>81184</v>
      </c>
      <c r="M1554" s="705">
        <v>66989</v>
      </c>
      <c r="N1554" s="705">
        <v>89379</v>
      </c>
      <c r="O1554" s="705">
        <v>33103</v>
      </c>
      <c r="P1554" s="705">
        <v>30591</v>
      </c>
      <c r="Q1554" s="705">
        <v>11330</v>
      </c>
      <c r="R1554" s="705">
        <v>236088</v>
      </c>
      <c r="S1554" s="705">
        <v>214625</v>
      </c>
      <c r="T1554" s="705">
        <v>61338</v>
      </c>
      <c r="U1554" s="705">
        <v>22718</v>
      </c>
      <c r="V1554" s="705">
        <v>908908</v>
      </c>
      <c r="W1554" s="705">
        <f t="shared" si="64"/>
        <v>908908</v>
      </c>
      <c r="X1554" s="705">
        <f t="shared" si="65"/>
        <v>1114738</v>
      </c>
    </row>
    <row r="1555" spans="2:24">
      <c r="B1555" t="s">
        <v>710</v>
      </c>
      <c r="C1555" t="s">
        <v>118</v>
      </c>
      <c r="D1555" t="s">
        <v>665</v>
      </c>
      <c r="E1555" t="s">
        <v>228</v>
      </c>
      <c r="F1555">
        <v>2</v>
      </c>
      <c r="G1555">
        <v>92</v>
      </c>
      <c r="H1555">
        <v>571</v>
      </c>
      <c r="I1555" s="705">
        <v>6862</v>
      </c>
      <c r="J1555" s="705">
        <v>6238</v>
      </c>
      <c r="K1555">
        <v>100</v>
      </c>
      <c r="L1555" s="705">
        <v>7627</v>
      </c>
      <c r="M1555" s="705">
        <v>2825</v>
      </c>
      <c r="N1555" s="705">
        <v>1596</v>
      </c>
      <c r="O1555">
        <v>591</v>
      </c>
      <c r="P1555">
        <v>0</v>
      </c>
      <c r="Q1555">
        <v>0</v>
      </c>
      <c r="R1555" s="705">
        <v>10363</v>
      </c>
      <c r="S1555" s="705">
        <v>3838</v>
      </c>
      <c r="T1555">
        <v>0</v>
      </c>
      <c r="U1555">
        <v>0</v>
      </c>
      <c r="V1555" s="705">
        <v>13493</v>
      </c>
      <c r="W1555" s="705">
        <f t="shared" si="64"/>
        <v>13492</v>
      </c>
      <c r="X1555" s="705">
        <f t="shared" si="65"/>
        <v>26448</v>
      </c>
    </row>
    <row r="1556" spans="2:24">
      <c r="B1556" t="s">
        <v>710</v>
      </c>
      <c r="C1556" t="s">
        <v>118</v>
      </c>
      <c r="D1556" t="s">
        <v>665</v>
      </c>
      <c r="E1556" t="s">
        <v>665</v>
      </c>
      <c r="F1556">
        <v>8</v>
      </c>
      <c r="G1556">
        <v>469</v>
      </c>
      <c r="H1556" s="705">
        <v>2173</v>
      </c>
      <c r="I1556" s="705">
        <v>63647</v>
      </c>
      <c r="J1556" s="705">
        <v>57860</v>
      </c>
      <c r="K1556">
        <v>64</v>
      </c>
      <c r="L1556" s="705">
        <v>4483</v>
      </c>
      <c r="M1556" s="705">
        <v>4076</v>
      </c>
      <c r="N1556" s="705">
        <v>8302</v>
      </c>
      <c r="O1556" s="705">
        <v>3075</v>
      </c>
      <c r="P1556" s="705">
        <v>2808</v>
      </c>
      <c r="Q1556" s="705">
        <v>1040</v>
      </c>
      <c r="R1556" s="705">
        <v>32000</v>
      </c>
      <c r="S1556" s="705">
        <v>29091</v>
      </c>
      <c r="T1556" s="705">
        <v>15373</v>
      </c>
      <c r="U1556" s="705">
        <v>5694</v>
      </c>
      <c r="V1556" s="705">
        <v>100835</v>
      </c>
      <c r="W1556" s="705">
        <f t="shared" si="64"/>
        <v>100836</v>
      </c>
      <c r="X1556" s="705">
        <f t="shared" si="65"/>
        <v>126613</v>
      </c>
    </row>
    <row r="1557" spans="2:24">
      <c r="B1557" t="s">
        <v>710</v>
      </c>
      <c r="C1557" t="s">
        <v>120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705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705">
        <f t="shared" si="64"/>
        <v>467</v>
      </c>
      <c r="X1557" s="705">
        <f t="shared" si="65"/>
        <v>1261</v>
      </c>
    </row>
    <row r="1558" spans="2:24">
      <c r="B1558" t="s">
        <v>710</v>
      </c>
      <c r="C1558" t="s">
        <v>120</v>
      </c>
      <c r="D1558" t="s">
        <v>664</v>
      </c>
      <c r="E1558" t="s">
        <v>583</v>
      </c>
      <c r="F1558">
        <v>1</v>
      </c>
      <c r="G1558">
        <v>67</v>
      </c>
      <c r="H1558">
        <v>354</v>
      </c>
      <c r="I1558" s="705">
        <v>13216</v>
      </c>
      <c r="J1558" s="705">
        <v>12014</v>
      </c>
      <c r="K1558">
        <v>79</v>
      </c>
      <c r="L1558" s="705">
        <v>3671</v>
      </c>
      <c r="M1558" s="705">
        <v>3337</v>
      </c>
      <c r="N1558" s="705">
        <v>1224</v>
      </c>
      <c r="O1558">
        <v>454</v>
      </c>
      <c r="P1558">
        <v>621</v>
      </c>
      <c r="Q1558">
        <v>230</v>
      </c>
      <c r="R1558" s="705">
        <v>2849</v>
      </c>
      <c r="S1558" s="705">
        <v>2590</v>
      </c>
      <c r="T1558" s="705">
        <v>2166</v>
      </c>
      <c r="U1558">
        <v>802</v>
      </c>
      <c r="V1558" s="705">
        <v>19427</v>
      </c>
      <c r="W1558" s="705">
        <f t="shared" si="64"/>
        <v>19427</v>
      </c>
      <c r="X1558" s="705">
        <f t="shared" si="65"/>
        <v>23747</v>
      </c>
    </row>
    <row r="1559" spans="2:24">
      <c r="B1559" t="s">
        <v>710</v>
      </c>
      <c r="C1559" t="s">
        <v>120</v>
      </c>
      <c r="D1559" t="s">
        <v>228</v>
      </c>
      <c r="E1559" t="s">
        <v>228</v>
      </c>
      <c r="F1559">
        <v>289</v>
      </c>
      <c r="G1559" s="705">
        <v>18434</v>
      </c>
      <c r="H1559" s="705">
        <v>96299</v>
      </c>
      <c r="I1559" s="705">
        <v>3701808</v>
      </c>
      <c r="J1559" s="705">
        <v>1371040</v>
      </c>
      <c r="K1559">
        <v>100</v>
      </c>
      <c r="L1559" s="705">
        <v>314483</v>
      </c>
      <c r="M1559" s="705">
        <v>144558</v>
      </c>
      <c r="N1559" s="705">
        <v>383457</v>
      </c>
      <c r="O1559" s="705">
        <v>142021</v>
      </c>
      <c r="P1559" s="705">
        <v>5616</v>
      </c>
      <c r="Q1559" s="705">
        <v>2080</v>
      </c>
      <c r="R1559" s="705">
        <v>1727407</v>
      </c>
      <c r="S1559" s="705">
        <v>639780</v>
      </c>
      <c r="T1559" s="705">
        <v>1522</v>
      </c>
      <c r="U1559">
        <v>564</v>
      </c>
      <c r="V1559" s="705">
        <v>2300043</v>
      </c>
      <c r="W1559" s="705">
        <f t="shared" si="64"/>
        <v>2300043</v>
      </c>
      <c r="X1559" s="705">
        <f t="shared" si="65"/>
        <v>6134293</v>
      </c>
    </row>
    <row r="1560" spans="2:24">
      <c r="B1560" t="s">
        <v>710</v>
      </c>
      <c r="C1560" t="s">
        <v>120</v>
      </c>
      <c r="D1560" t="s">
        <v>583</v>
      </c>
      <c r="E1560" t="s">
        <v>583</v>
      </c>
      <c r="F1560">
        <v>14</v>
      </c>
      <c r="G1560" s="705">
        <v>1211</v>
      </c>
      <c r="H1560" s="705">
        <v>4712</v>
      </c>
      <c r="I1560" s="705">
        <v>245316</v>
      </c>
      <c r="J1560" s="705">
        <v>223015</v>
      </c>
      <c r="K1560">
        <v>77</v>
      </c>
      <c r="L1560" s="705">
        <v>48346</v>
      </c>
      <c r="M1560" s="705">
        <v>42651</v>
      </c>
      <c r="N1560" s="705">
        <v>25844</v>
      </c>
      <c r="O1560" s="705">
        <v>9572</v>
      </c>
      <c r="P1560" s="705">
        <v>8694</v>
      </c>
      <c r="Q1560" s="705">
        <v>3220</v>
      </c>
      <c r="R1560" s="705">
        <v>69886</v>
      </c>
      <c r="S1560" s="705">
        <v>63533</v>
      </c>
      <c r="T1560" s="705">
        <v>15380</v>
      </c>
      <c r="U1560" s="705">
        <v>5696</v>
      </c>
      <c r="V1560" s="705">
        <v>347687</v>
      </c>
      <c r="W1560" s="705">
        <f t="shared" si="64"/>
        <v>347687</v>
      </c>
      <c r="X1560" s="705">
        <f t="shared" si="65"/>
        <v>413466</v>
      </c>
    </row>
    <row r="1561" spans="2:24">
      <c r="B1561" t="s">
        <v>710</v>
      </c>
      <c r="C1561" t="s">
        <v>120</v>
      </c>
      <c r="D1561" t="s">
        <v>584</v>
      </c>
      <c r="E1561" t="s">
        <v>584</v>
      </c>
      <c r="F1561">
        <v>26</v>
      </c>
      <c r="G1561" s="705">
        <v>1463</v>
      </c>
      <c r="H1561" s="705">
        <v>8621</v>
      </c>
      <c r="I1561" s="705">
        <v>273100</v>
      </c>
      <c r="J1561" s="705">
        <v>248273</v>
      </c>
      <c r="K1561">
        <v>76</v>
      </c>
      <c r="L1561" s="705">
        <v>40210</v>
      </c>
      <c r="M1561" s="705">
        <v>30699</v>
      </c>
      <c r="N1561" s="705">
        <v>30095</v>
      </c>
      <c r="O1561" s="705">
        <v>11146</v>
      </c>
      <c r="P1561" s="705">
        <v>12515</v>
      </c>
      <c r="Q1561" s="705">
        <v>4635</v>
      </c>
      <c r="R1561" s="705">
        <v>101069</v>
      </c>
      <c r="S1561" s="705">
        <v>91881</v>
      </c>
      <c r="T1561" s="705">
        <v>26176</v>
      </c>
      <c r="U1561" s="705">
        <v>9695</v>
      </c>
      <c r="V1561" s="705">
        <v>396329</v>
      </c>
      <c r="W1561" s="705">
        <f t="shared" si="64"/>
        <v>396329</v>
      </c>
      <c r="X1561" s="705">
        <f t="shared" si="65"/>
        <v>483165</v>
      </c>
    </row>
    <row r="1562" spans="2:24">
      <c r="B1562" t="s">
        <v>710</v>
      </c>
      <c r="C1562" t="s">
        <v>120</v>
      </c>
      <c r="D1562" t="s">
        <v>669</v>
      </c>
      <c r="E1562" t="s">
        <v>669</v>
      </c>
      <c r="F1562">
        <v>1</v>
      </c>
      <c r="G1562">
        <v>49</v>
      </c>
      <c r="H1562">
        <v>376</v>
      </c>
      <c r="I1562" s="705">
        <v>8812</v>
      </c>
      <c r="J1562" s="705">
        <v>7343</v>
      </c>
      <c r="K1562">
        <v>55</v>
      </c>
      <c r="L1562" s="705">
        <v>1212</v>
      </c>
      <c r="M1562">
        <v>449</v>
      </c>
      <c r="N1562" s="705">
        <v>1135</v>
      </c>
      <c r="O1562">
        <v>420</v>
      </c>
      <c r="P1562">
        <v>351</v>
      </c>
      <c r="Q1562">
        <v>130</v>
      </c>
      <c r="R1562" s="705">
        <v>5045</v>
      </c>
      <c r="S1562" s="705">
        <v>4204</v>
      </c>
      <c r="T1562" s="705">
        <v>1988</v>
      </c>
      <c r="U1562">
        <v>736</v>
      </c>
      <c r="V1562" s="705">
        <v>13283</v>
      </c>
      <c r="W1562" s="705">
        <f t="shared" si="64"/>
        <v>13282</v>
      </c>
      <c r="X1562" s="705">
        <f t="shared" si="65"/>
        <v>18543</v>
      </c>
    </row>
    <row r="1563" spans="2:24">
      <c r="B1563" t="s">
        <v>710</v>
      </c>
      <c r="C1563" t="s">
        <v>120</v>
      </c>
      <c r="D1563" t="s">
        <v>665</v>
      </c>
      <c r="E1563" t="s">
        <v>665</v>
      </c>
      <c r="F1563">
        <v>4</v>
      </c>
      <c r="G1563">
        <v>204</v>
      </c>
      <c r="H1563" s="705">
        <v>1338</v>
      </c>
      <c r="I1563" s="705">
        <v>35568</v>
      </c>
      <c r="J1563" s="705">
        <v>32334</v>
      </c>
      <c r="K1563">
        <v>59</v>
      </c>
      <c r="L1563" s="705">
        <v>2717</v>
      </c>
      <c r="M1563" s="705">
        <v>2470</v>
      </c>
      <c r="N1563" s="705">
        <v>4892</v>
      </c>
      <c r="O1563" s="705">
        <v>1812</v>
      </c>
      <c r="P1563" s="705">
        <v>1404</v>
      </c>
      <c r="Q1563">
        <v>520</v>
      </c>
      <c r="R1563" s="705">
        <v>16625</v>
      </c>
      <c r="S1563" s="705">
        <v>15114</v>
      </c>
      <c r="T1563" s="705">
        <v>7396</v>
      </c>
      <c r="U1563" s="705">
        <v>2739</v>
      </c>
      <c r="V1563" s="705">
        <v>54989</v>
      </c>
      <c r="W1563" s="705">
        <f t="shared" si="64"/>
        <v>54989</v>
      </c>
      <c r="X1563" s="705">
        <f t="shared" si="65"/>
        <v>68602</v>
      </c>
    </row>
    <row r="1564" spans="2:24">
      <c r="B1564" t="s">
        <v>710</v>
      </c>
      <c r="C1564" t="s">
        <v>122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705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705">
        <f t="shared" si="64"/>
        <v>393</v>
      </c>
      <c r="X1564" s="705">
        <f t="shared" si="65"/>
        <v>1062</v>
      </c>
    </row>
    <row r="1565" spans="2:24">
      <c r="B1565" t="s">
        <v>710</v>
      </c>
      <c r="C1565" t="s">
        <v>122</v>
      </c>
      <c r="D1565" t="s">
        <v>228</v>
      </c>
      <c r="E1565" t="s">
        <v>228</v>
      </c>
      <c r="F1565">
        <v>71</v>
      </c>
      <c r="G1565" s="705">
        <v>4159</v>
      </c>
      <c r="H1565" s="705">
        <v>29383</v>
      </c>
      <c r="I1565" s="705">
        <v>1043732</v>
      </c>
      <c r="J1565" s="705">
        <v>386567</v>
      </c>
      <c r="K1565">
        <v>100</v>
      </c>
      <c r="L1565" s="705">
        <v>168257</v>
      </c>
      <c r="M1565" s="705">
        <v>75069</v>
      </c>
      <c r="N1565" s="705">
        <v>84031</v>
      </c>
      <c r="O1565" s="705">
        <v>31123</v>
      </c>
      <c r="P1565" s="705">
        <v>2457</v>
      </c>
      <c r="Q1565">
        <v>910</v>
      </c>
      <c r="R1565" s="705">
        <v>421880</v>
      </c>
      <c r="S1565" s="705">
        <v>156252</v>
      </c>
      <c r="T1565" s="705">
        <v>1835</v>
      </c>
      <c r="U1565">
        <v>680</v>
      </c>
      <c r="V1565" s="705">
        <v>650601</v>
      </c>
      <c r="W1565" s="705">
        <f t="shared" si="64"/>
        <v>650601</v>
      </c>
      <c r="X1565" s="705">
        <f t="shared" si="65"/>
        <v>1722192</v>
      </c>
    </row>
    <row r="1566" spans="2:24">
      <c r="B1566" t="s">
        <v>710</v>
      </c>
      <c r="C1566" t="s">
        <v>122</v>
      </c>
      <c r="D1566" t="s">
        <v>583</v>
      </c>
      <c r="E1566" t="s">
        <v>228</v>
      </c>
      <c r="F1566">
        <v>1</v>
      </c>
      <c r="G1566">
        <v>40</v>
      </c>
      <c r="H1566">
        <v>430</v>
      </c>
      <c r="I1566" s="705">
        <v>10682</v>
      </c>
      <c r="J1566" s="705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705">
        <v>4798</v>
      </c>
      <c r="S1566" s="705">
        <v>1777</v>
      </c>
      <c r="T1566">
        <v>0</v>
      </c>
      <c r="U1566">
        <v>0</v>
      </c>
      <c r="V1566" s="705">
        <v>12076</v>
      </c>
      <c r="W1566" s="705">
        <f t="shared" si="64"/>
        <v>12075</v>
      </c>
      <c r="X1566" s="705">
        <f t="shared" si="65"/>
        <v>17069</v>
      </c>
    </row>
    <row r="1567" spans="2:24">
      <c r="B1567" t="s">
        <v>710</v>
      </c>
      <c r="C1567" t="s">
        <v>122</v>
      </c>
      <c r="D1567" t="s">
        <v>583</v>
      </c>
      <c r="E1567" t="s">
        <v>583</v>
      </c>
      <c r="F1567">
        <v>4</v>
      </c>
      <c r="G1567">
        <v>370</v>
      </c>
      <c r="H1567" s="705">
        <v>1687</v>
      </c>
      <c r="I1567" s="705">
        <v>100289</v>
      </c>
      <c r="J1567" s="705">
        <v>91171</v>
      </c>
      <c r="K1567">
        <v>71</v>
      </c>
      <c r="L1567" s="705">
        <v>17013</v>
      </c>
      <c r="M1567" s="705">
        <v>15466</v>
      </c>
      <c r="N1567" s="705">
        <v>8761</v>
      </c>
      <c r="O1567" s="705">
        <v>3245</v>
      </c>
      <c r="P1567" s="705">
        <v>2835</v>
      </c>
      <c r="Q1567" s="705">
        <v>1050</v>
      </c>
      <c r="R1567" s="705">
        <v>24123</v>
      </c>
      <c r="S1567" s="705">
        <v>21930</v>
      </c>
      <c r="T1567" s="705">
        <v>2577</v>
      </c>
      <c r="U1567">
        <v>954</v>
      </c>
      <c r="V1567" s="705">
        <v>133817</v>
      </c>
      <c r="W1567" s="705">
        <f t="shared" si="64"/>
        <v>133816</v>
      </c>
      <c r="X1567" s="705">
        <f t="shared" si="65"/>
        <v>155598</v>
      </c>
    </row>
    <row r="1568" spans="2:24">
      <c r="B1568" t="s">
        <v>710</v>
      </c>
      <c r="C1568" t="s">
        <v>122</v>
      </c>
      <c r="D1568" t="s">
        <v>584</v>
      </c>
      <c r="E1568" t="s">
        <v>228</v>
      </c>
      <c r="F1568">
        <v>2</v>
      </c>
      <c r="G1568">
        <v>93</v>
      </c>
      <c r="H1568">
        <v>829</v>
      </c>
      <c r="I1568" s="705">
        <v>27523</v>
      </c>
      <c r="J1568" s="705">
        <v>25021</v>
      </c>
      <c r="K1568">
        <v>71</v>
      </c>
      <c r="L1568">
        <v>0</v>
      </c>
      <c r="M1568">
        <v>0</v>
      </c>
      <c r="N1568" s="705">
        <v>2013</v>
      </c>
      <c r="O1568">
        <v>745</v>
      </c>
      <c r="P1568">
        <v>945</v>
      </c>
      <c r="Q1568">
        <v>350</v>
      </c>
      <c r="R1568" s="705">
        <v>7742</v>
      </c>
      <c r="S1568" s="705">
        <v>2868</v>
      </c>
      <c r="T1568">
        <v>0</v>
      </c>
      <c r="U1568">
        <v>0</v>
      </c>
      <c r="V1568" s="705">
        <v>28984</v>
      </c>
      <c r="W1568" s="705">
        <f t="shared" si="64"/>
        <v>28984</v>
      </c>
      <c r="X1568" s="705">
        <f t="shared" si="65"/>
        <v>38223</v>
      </c>
    </row>
    <row r="1569" spans="2:24">
      <c r="B1569" t="s">
        <v>710</v>
      </c>
      <c r="C1569" t="s">
        <v>122</v>
      </c>
      <c r="D1569" t="s">
        <v>584</v>
      </c>
      <c r="E1569" t="s">
        <v>584</v>
      </c>
      <c r="F1569">
        <v>6</v>
      </c>
      <c r="G1569">
        <v>279</v>
      </c>
      <c r="H1569" s="705">
        <v>2444</v>
      </c>
      <c r="I1569" s="705">
        <v>70473</v>
      </c>
      <c r="J1569" s="705">
        <v>64067</v>
      </c>
      <c r="K1569">
        <v>71</v>
      </c>
      <c r="L1569" s="705">
        <v>3345</v>
      </c>
      <c r="M1569" s="705">
        <v>2787</v>
      </c>
      <c r="N1569" s="705">
        <v>6389</v>
      </c>
      <c r="O1569" s="705">
        <v>2366</v>
      </c>
      <c r="P1569" s="705">
        <v>2835</v>
      </c>
      <c r="Q1569" s="705">
        <v>1050</v>
      </c>
      <c r="R1569" s="705">
        <v>21555</v>
      </c>
      <c r="S1569" s="705">
        <v>19596</v>
      </c>
      <c r="T1569" s="705">
        <v>8176</v>
      </c>
      <c r="U1569" s="705">
        <v>3028</v>
      </c>
      <c r="V1569" s="705">
        <v>92894</v>
      </c>
      <c r="W1569" s="705">
        <f t="shared" si="64"/>
        <v>92894</v>
      </c>
      <c r="X1569" s="705">
        <f t="shared" si="65"/>
        <v>112773</v>
      </c>
    </row>
    <row r="1570" spans="2:24">
      <c r="B1570" t="s">
        <v>710</v>
      </c>
      <c r="C1570" t="s">
        <v>122</v>
      </c>
      <c r="D1570" t="s">
        <v>665</v>
      </c>
      <c r="E1570" t="s">
        <v>228</v>
      </c>
      <c r="F1570">
        <v>1</v>
      </c>
      <c r="G1570">
        <v>104</v>
      </c>
      <c r="H1570">
        <v>427</v>
      </c>
      <c r="I1570" s="705">
        <v>30126</v>
      </c>
      <c r="J1570" s="705">
        <v>27387</v>
      </c>
      <c r="K1570">
        <v>55</v>
      </c>
      <c r="L1570" s="705">
        <v>4519</v>
      </c>
      <c r="M1570" s="705">
        <v>1674</v>
      </c>
      <c r="N1570" s="705">
        <v>1900</v>
      </c>
      <c r="O1570">
        <v>704</v>
      </c>
      <c r="P1570">
        <v>351</v>
      </c>
      <c r="Q1570">
        <v>130</v>
      </c>
      <c r="R1570" s="705">
        <v>7509</v>
      </c>
      <c r="S1570" s="705">
        <v>2781</v>
      </c>
      <c r="T1570">
        <v>0</v>
      </c>
      <c r="U1570">
        <v>0</v>
      </c>
      <c r="V1570" s="705">
        <v>32675</v>
      </c>
      <c r="W1570" s="705">
        <f t="shared" si="64"/>
        <v>32676</v>
      </c>
      <c r="X1570" s="705">
        <f t="shared" si="65"/>
        <v>44405</v>
      </c>
    </row>
    <row r="1571" spans="2:24">
      <c r="B1571" t="s">
        <v>710</v>
      </c>
      <c r="C1571" t="s">
        <v>122</v>
      </c>
      <c r="D1571" t="s">
        <v>665</v>
      </c>
      <c r="E1571" t="s">
        <v>665</v>
      </c>
      <c r="F1571">
        <v>3</v>
      </c>
      <c r="G1571">
        <v>235</v>
      </c>
      <c r="H1571" s="705">
        <v>1249</v>
      </c>
      <c r="I1571" s="705">
        <v>60219</v>
      </c>
      <c r="J1571" s="705">
        <v>54744</v>
      </c>
      <c r="K1571">
        <v>58</v>
      </c>
      <c r="L1571" s="705">
        <v>4855</v>
      </c>
      <c r="M1571" s="705">
        <v>4414</v>
      </c>
      <c r="N1571" s="705">
        <v>5393</v>
      </c>
      <c r="O1571" s="705">
        <v>1998</v>
      </c>
      <c r="P1571" s="705">
        <v>1053</v>
      </c>
      <c r="Q1571">
        <v>390</v>
      </c>
      <c r="R1571" s="705">
        <v>17952</v>
      </c>
      <c r="S1571" s="705">
        <v>16320</v>
      </c>
      <c r="T1571" s="705">
        <v>9611</v>
      </c>
      <c r="U1571" s="705">
        <v>3560</v>
      </c>
      <c r="V1571" s="705">
        <v>81425</v>
      </c>
      <c r="W1571" s="705">
        <f t="shared" si="64"/>
        <v>81426</v>
      </c>
      <c r="X1571" s="705">
        <f t="shared" si="65"/>
        <v>99083</v>
      </c>
    </row>
    <row r="1572" spans="2:24">
      <c r="B1572" t="s">
        <v>710</v>
      </c>
      <c r="C1572" t="s">
        <v>124</v>
      </c>
      <c r="F1572">
        <v>3</v>
      </c>
      <c r="G1572">
        <v>139</v>
      </c>
      <c r="H1572" s="705">
        <v>1731</v>
      </c>
      <c r="J1572">
        <v>0</v>
      </c>
      <c r="M1572">
        <v>0</v>
      </c>
      <c r="N1572" s="705">
        <v>3206</v>
      </c>
      <c r="O1572" s="705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705">
        <v>1188</v>
      </c>
      <c r="W1572" s="705">
        <f t="shared" si="64"/>
        <v>1188</v>
      </c>
      <c r="X1572" s="705">
        <f t="shared" si="65"/>
        <v>3206</v>
      </c>
    </row>
    <row r="1573" spans="2:24">
      <c r="B1573" t="s">
        <v>710</v>
      </c>
      <c r="C1573" t="s">
        <v>124</v>
      </c>
      <c r="D1573" t="s">
        <v>228</v>
      </c>
      <c r="E1573" t="s">
        <v>228</v>
      </c>
      <c r="F1573">
        <v>83</v>
      </c>
      <c r="G1573" s="705">
        <v>4585</v>
      </c>
      <c r="H1573" s="705">
        <v>49666</v>
      </c>
      <c r="I1573" s="705">
        <v>1945462</v>
      </c>
      <c r="J1573" s="705">
        <v>720542</v>
      </c>
      <c r="K1573">
        <v>100</v>
      </c>
      <c r="L1573" s="705">
        <v>210420</v>
      </c>
      <c r="M1573" s="705">
        <v>116163</v>
      </c>
      <c r="N1573" s="705">
        <v>104742</v>
      </c>
      <c r="O1573" s="705">
        <v>38793</v>
      </c>
      <c r="P1573" s="705">
        <v>2066</v>
      </c>
      <c r="Q1573">
        <v>765</v>
      </c>
      <c r="R1573" s="705">
        <v>467017</v>
      </c>
      <c r="S1573" s="705">
        <v>172969</v>
      </c>
      <c r="T1573" s="705">
        <v>4142</v>
      </c>
      <c r="U1573" s="705">
        <v>1534</v>
      </c>
      <c r="V1573" s="705">
        <v>1050766</v>
      </c>
      <c r="W1573" s="705">
        <f t="shared" si="64"/>
        <v>1050766</v>
      </c>
      <c r="X1573" s="705">
        <f t="shared" si="65"/>
        <v>2733849</v>
      </c>
    </row>
    <row r="1574" spans="2:24">
      <c r="B1574" t="s">
        <v>710</v>
      </c>
      <c r="C1574" t="s">
        <v>124</v>
      </c>
      <c r="D1574" t="s">
        <v>583</v>
      </c>
      <c r="E1574" t="s">
        <v>228</v>
      </c>
      <c r="F1574">
        <v>2</v>
      </c>
      <c r="G1574">
        <v>108</v>
      </c>
      <c r="H1574">
        <v>999</v>
      </c>
      <c r="I1574" s="705">
        <v>36690</v>
      </c>
      <c r="J1574" s="705">
        <v>33354</v>
      </c>
      <c r="K1574">
        <v>65</v>
      </c>
      <c r="L1574">
        <v>0</v>
      </c>
      <c r="M1574">
        <v>0</v>
      </c>
      <c r="N1574" s="705">
        <v>2435</v>
      </c>
      <c r="O1574">
        <v>902</v>
      </c>
      <c r="P1574" s="705">
        <v>1242</v>
      </c>
      <c r="Q1574">
        <v>460</v>
      </c>
      <c r="R1574" s="705">
        <v>12474</v>
      </c>
      <c r="S1574" s="705">
        <v>4620</v>
      </c>
      <c r="T1574">
        <v>0</v>
      </c>
      <c r="U1574">
        <v>0</v>
      </c>
      <c r="V1574" s="705">
        <v>39336</v>
      </c>
      <c r="W1574" s="705">
        <f t="shared" si="64"/>
        <v>39336</v>
      </c>
      <c r="X1574" s="705">
        <f t="shared" si="65"/>
        <v>52841</v>
      </c>
    </row>
    <row r="1575" spans="2:24">
      <c r="B1575" t="s">
        <v>710</v>
      </c>
      <c r="C1575" t="s">
        <v>124</v>
      </c>
      <c r="D1575" t="s">
        <v>583</v>
      </c>
      <c r="E1575" t="s">
        <v>583</v>
      </c>
      <c r="F1575">
        <v>6</v>
      </c>
      <c r="G1575">
        <v>350</v>
      </c>
      <c r="H1575" s="705">
        <v>3062</v>
      </c>
      <c r="I1575" s="705">
        <v>135352</v>
      </c>
      <c r="J1575" s="705">
        <v>123047</v>
      </c>
      <c r="K1575">
        <v>78</v>
      </c>
      <c r="L1575" s="705">
        <v>26691</v>
      </c>
      <c r="M1575" s="705">
        <v>19290</v>
      </c>
      <c r="N1575" s="705">
        <v>6644</v>
      </c>
      <c r="O1575" s="705">
        <v>2461</v>
      </c>
      <c r="P1575" s="705">
        <v>3726</v>
      </c>
      <c r="Q1575" s="705">
        <v>1380</v>
      </c>
      <c r="R1575" s="705">
        <v>23358</v>
      </c>
      <c r="S1575" s="705">
        <v>21234</v>
      </c>
      <c r="T1575" s="705">
        <v>5496</v>
      </c>
      <c r="U1575" s="705">
        <v>2035</v>
      </c>
      <c r="V1575" s="705">
        <v>169448</v>
      </c>
      <c r="W1575" s="705">
        <f t="shared" si="64"/>
        <v>169447</v>
      </c>
      <c r="X1575" s="705">
        <f t="shared" si="65"/>
        <v>201267</v>
      </c>
    </row>
    <row r="1576" spans="2:24">
      <c r="B1576" t="s">
        <v>710</v>
      </c>
      <c r="C1576" t="s">
        <v>124</v>
      </c>
      <c r="D1576" t="s">
        <v>584</v>
      </c>
      <c r="E1576" t="s">
        <v>584</v>
      </c>
      <c r="F1576">
        <v>7</v>
      </c>
      <c r="G1576">
        <v>356</v>
      </c>
      <c r="H1576" s="705">
        <v>3758</v>
      </c>
      <c r="I1576" s="705">
        <v>140088</v>
      </c>
      <c r="J1576" s="705">
        <v>127352</v>
      </c>
      <c r="K1576">
        <v>72</v>
      </c>
      <c r="L1576" s="705">
        <v>6003</v>
      </c>
      <c r="M1576" s="705">
        <v>5002</v>
      </c>
      <c r="N1576" s="705">
        <v>8458</v>
      </c>
      <c r="O1576" s="705">
        <v>3133</v>
      </c>
      <c r="P1576" s="705">
        <v>5137</v>
      </c>
      <c r="Q1576" s="705">
        <v>1903</v>
      </c>
      <c r="R1576" s="705">
        <v>27050</v>
      </c>
      <c r="S1576" s="705">
        <v>24591</v>
      </c>
      <c r="T1576" s="705">
        <v>5420</v>
      </c>
      <c r="U1576" s="705">
        <v>2007</v>
      </c>
      <c r="V1576" s="705">
        <v>163989</v>
      </c>
      <c r="W1576" s="705">
        <f t="shared" si="64"/>
        <v>163988</v>
      </c>
      <c r="X1576" s="705">
        <f t="shared" si="65"/>
        <v>192156</v>
      </c>
    </row>
    <row r="1577" spans="2:24">
      <c r="B1577" t="s">
        <v>710</v>
      </c>
      <c r="C1577" t="s">
        <v>124</v>
      </c>
      <c r="D1577" t="s">
        <v>665</v>
      </c>
      <c r="E1577" t="s">
        <v>228</v>
      </c>
      <c r="F1577">
        <v>1</v>
      </c>
      <c r="G1577">
        <v>63</v>
      </c>
      <c r="H1577" s="705">
        <v>1832</v>
      </c>
      <c r="I1577" s="705">
        <v>110533</v>
      </c>
      <c r="J1577" s="705">
        <v>100484</v>
      </c>
      <c r="K1577">
        <v>30</v>
      </c>
      <c r="L1577">
        <v>0</v>
      </c>
      <c r="M1577">
        <v>0</v>
      </c>
      <c r="N1577" s="705">
        <v>1285</v>
      </c>
      <c r="O1577">
        <v>476</v>
      </c>
      <c r="P1577">
        <v>0</v>
      </c>
      <c r="Q1577">
        <v>0</v>
      </c>
      <c r="R1577" s="705">
        <v>3834</v>
      </c>
      <c r="S1577" s="705">
        <v>1420</v>
      </c>
      <c r="T1577">
        <v>0</v>
      </c>
      <c r="U1577">
        <v>0</v>
      </c>
      <c r="V1577" s="705">
        <v>102380</v>
      </c>
      <c r="W1577" s="705">
        <f t="shared" si="64"/>
        <v>102380</v>
      </c>
      <c r="X1577" s="705">
        <f t="shared" si="65"/>
        <v>115652</v>
      </c>
    </row>
    <row r="1578" spans="2:24">
      <c r="B1578" t="s">
        <v>710</v>
      </c>
      <c r="C1578" t="s">
        <v>124</v>
      </c>
      <c r="D1578" t="s">
        <v>665</v>
      </c>
      <c r="E1578" t="s">
        <v>665</v>
      </c>
      <c r="F1578">
        <v>2</v>
      </c>
      <c r="G1578">
        <v>136</v>
      </c>
      <c r="H1578" s="705">
        <v>1638</v>
      </c>
      <c r="I1578" s="705">
        <v>68449</v>
      </c>
      <c r="J1578" s="705">
        <v>62227</v>
      </c>
      <c r="K1578">
        <v>50</v>
      </c>
      <c r="L1578" s="705">
        <v>2819</v>
      </c>
      <c r="M1578" s="705">
        <v>2563</v>
      </c>
      <c r="N1578" s="705">
        <v>3205</v>
      </c>
      <c r="O1578" s="705">
        <v>1187</v>
      </c>
      <c r="P1578">
        <v>702</v>
      </c>
      <c r="Q1578">
        <v>260</v>
      </c>
      <c r="R1578" s="705">
        <v>8927</v>
      </c>
      <c r="S1578" s="705">
        <v>8116</v>
      </c>
      <c r="T1578" s="705">
        <v>3074</v>
      </c>
      <c r="U1578" s="705">
        <v>1139</v>
      </c>
      <c r="V1578" s="705">
        <v>75491</v>
      </c>
      <c r="W1578" s="705">
        <f t="shared" si="64"/>
        <v>75492</v>
      </c>
      <c r="X1578" s="705">
        <f t="shared" si="65"/>
        <v>87176</v>
      </c>
    </row>
    <row r="1579" spans="2:24">
      <c r="B1579" t="s">
        <v>710</v>
      </c>
      <c r="C1579" t="s">
        <v>124</v>
      </c>
      <c r="D1579" t="s">
        <v>673</v>
      </c>
      <c r="E1579" t="s">
        <v>673</v>
      </c>
      <c r="F1579">
        <v>1</v>
      </c>
      <c r="G1579">
        <v>73</v>
      </c>
      <c r="H1579">
        <v>468</v>
      </c>
      <c r="I1579" s="705">
        <v>26345</v>
      </c>
      <c r="J1579" s="705">
        <v>23950</v>
      </c>
      <c r="K1579">
        <v>68</v>
      </c>
      <c r="L1579">
        <v>0</v>
      </c>
      <c r="M1579">
        <v>0</v>
      </c>
      <c r="N1579" s="705">
        <v>1776</v>
      </c>
      <c r="O1579">
        <v>658</v>
      </c>
      <c r="P1579">
        <v>351</v>
      </c>
      <c r="Q1579">
        <v>130</v>
      </c>
      <c r="R1579" s="705">
        <v>3380</v>
      </c>
      <c r="S1579" s="705">
        <v>3073</v>
      </c>
      <c r="T1579" s="705">
        <v>2248</v>
      </c>
      <c r="U1579">
        <v>832</v>
      </c>
      <c r="V1579" s="705">
        <v>28643</v>
      </c>
      <c r="W1579" s="705">
        <f t="shared" ref="W1579:W1642" si="66">SUM(ABS(J1579),ABS(M1579),ABS(O1579),ABS(Q1579),ABS(S1579),ABS(U1579))</f>
        <v>28643</v>
      </c>
      <c r="X1579" s="705">
        <f t="shared" ref="X1579:X1642" si="67">SUM(ABS(I1579),ABS(N1579),ABS(P1579),ABS(R1579),ABS(T1579),ABS(L1579))</f>
        <v>34100</v>
      </c>
    </row>
    <row r="1580" spans="2:24">
      <c r="B1580" t="s">
        <v>710</v>
      </c>
      <c r="C1580" t="s">
        <v>124</v>
      </c>
      <c r="D1580" t="s">
        <v>668</v>
      </c>
      <c r="E1580" t="s">
        <v>228</v>
      </c>
      <c r="F1580">
        <v>1</v>
      </c>
      <c r="G1580">
        <v>38</v>
      </c>
      <c r="H1580">
        <v>818</v>
      </c>
      <c r="I1580" s="705">
        <v>25351</v>
      </c>
      <c r="J1580" s="705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705">
        <v>4456</v>
      </c>
      <c r="S1580" s="705">
        <v>1650</v>
      </c>
      <c r="T1580">
        <v>0</v>
      </c>
      <c r="U1580">
        <v>0</v>
      </c>
      <c r="V1580" s="705">
        <v>25170</v>
      </c>
      <c r="W1580" s="705">
        <f t="shared" si="66"/>
        <v>25169</v>
      </c>
      <c r="X1580" s="705">
        <f t="shared" si="67"/>
        <v>31084</v>
      </c>
    </row>
    <row r="1581" spans="2:24">
      <c r="B1581" t="s">
        <v>711</v>
      </c>
      <c r="C1581" t="s">
        <v>108</v>
      </c>
      <c r="D1581" t="s">
        <v>228</v>
      </c>
      <c r="E1581" t="s">
        <v>228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705">
        <v>4803</v>
      </c>
      <c r="O1581" s="705">
        <v>1779</v>
      </c>
      <c r="P1581" s="705">
        <v>1323</v>
      </c>
      <c r="Q1581">
        <v>490</v>
      </c>
      <c r="R1581" s="705">
        <v>8493</v>
      </c>
      <c r="S1581" s="705">
        <v>3145</v>
      </c>
      <c r="T1581">
        <v>0</v>
      </c>
      <c r="U1581">
        <v>0</v>
      </c>
      <c r="V1581" s="705">
        <v>4861</v>
      </c>
      <c r="W1581" s="705">
        <f t="shared" si="66"/>
        <v>5968</v>
      </c>
      <c r="X1581" s="705">
        <f t="shared" si="67"/>
        <v>15304</v>
      </c>
    </row>
    <row r="1582" spans="2:24">
      <c r="B1582" t="s">
        <v>711</v>
      </c>
      <c r="C1582" t="s">
        <v>108</v>
      </c>
      <c r="D1582" t="s">
        <v>584</v>
      </c>
      <c r="E1582" t="s">
        <v>584</v>
      </c>
      <c r="F1582">
        <v>6</v>
      </c>
      <c r="G1582">
        <v>500</v>
      </c>
      <c r="H1582">
        <v>437</v>
      </c>
      <c r="I1582" s="705">
        <v>12964</v>
      </c>
      <c r="J1582" s="705">
        <v>11786</v>
      </c>
      <c r="K1582">
        <v>90</v>
      </c>
      <c r="L1582">
        <v>0</v>
      </c>
      <c r="M1582">
        <v>0</v>
      </c>
      <c r="N1582" s="705">
        <v>6092</v>
      </c>
      <c r="O1582" s="705">
        <v>2256</v>
      </c>
      <c r="P1582" s="705">
        <v>2835</v>
      </c>
      <c r="Q1582" s="705">
        <v>1050</v>
      </c>
      <c r="R1582" s="705">
        <v>14510</v>
      </c>
      <c r="S1582" s="705">
        <v>13191</v>
      </c>
      <c r="T1582">
        <v>0</v>
      </c>
      <c r="U1582">
        <v>0</v>
      </c>
      <c r="V1582" s="705">
        <v>28284</v>
      </c>
      <c r="W1582" s="705">
        <f t="shared" si="66"/>
        <v>28283</v>
      </c>
      <c r="X1582" s="705">
        <f t="shared" si="67"/>
        <v>36401</v>
      </c>
    </row>
    <row r="1583" spans="2:24">
      <c r="B1583" t="s">
        <v>711</v>
      </c>
      <c r="C1583" t="s">
        <v>110</v>
      </c>
      <c r="D1583" t="s">
        <v>582</v>
      </c>
      <c r="E1583" t="s">
        <v>582</v>
      </c>
      <c r="F1583">
        <v>1</v>
      </c>
      <c r="G1583">
        <v>137</v>
      </c>
      <c r="H1583">
        <v>94</v>
      </c>
      <c r="I1583" s="705">
        <v>3689</v>
      </c>
      <c r="J1583" s="705">
        <v>3354</v>
      </c>
      <c r="K1583">
        <v>81</v>
      </c>
      <c r="L1583">
        <v>0</v>
      </c>
      <c r="M1583">
        <v>0</v>
      </c>
      <c r="N1583" s="705">
        <v>3233</v>
      </c>
      <c r="O1583" s="705">
        <v>1197</v>
      </c>
      <c r="P1583">
        <v>473</v>
      </c>
      <c r="Q1583">
        <v>175</v>
      </c>
      <c r="R1583" s="705">
        <v>5422</v>
      </c>
      <c r="S1583" s="705">
        <v>4929</v>
      </c>
      <c r="T1583">
        <v>0</v>
      </c>
      <c r="U1583">
        <v>0</v>
      </c>
      <c r="V1583" s="705">
        <v>9656</v>
      </c>
      <c r="W1583" s="705">
        <f t="shared" si="66"/>
        <v>9655</v>
      </c>
      <c r="X1583" s="705">
        <f t="shared" si="67"/>
        <v>12817</v>
      </c>
    </row>
    <row r="1584" spans="2:24">
      <c r="B1584" t="s">
        <v>711</v>
      </c>
      <c r="C1584" t="s">
        <v>110</v>
      </c>
      <c r="D1584" t="s">
        <v>584</v>
      </c>
      <c r="E1584" t="s">
        <v>584</v>
      </c>
      <c r="F1584">
        <v>2</v>
      </c>
      <c r="G1584">
        <v>167</v>
      </c>
      <c r="H1584">
        <v>182</v>
      </c>
      <c r="I1584" s="705">
        <v>7374</v>
      </c>
      <c r="J1584" s="705">
        <v>6704</v>
      </c>
      <c r="K1584">
        <v>90</v>
      </c>
      <c r="L1584">
        <v>0</v>
      </c>
      <c r="M1584">
        <v>0</v>
      </c>
      <c r="N1584" s="705">
        <v>2032</v>
      </c>
      <c r="O1584">
        <v>753</v>
      </c>
      <c r="P1584">
        <v>945</v>
      </c>
      <c r="Q1584">
        <v>350</v>
      </c>
      <c r="R1584" s="705">
        <v>4840</v>
      </c>
      <c r="S1584" s="705">
        <v>4400</v>
      </c>
      <c r="T1584">
        <v>0</v>
      </c>
      <c r="U1584">
        <v>0</v>
      </c>
      <c r="V1584" s="705">
        <v>12206</v>
      </c>
      <c r="W1584" s="705">
        <f t="shared" si="66"/>
        <v>12207</v>
      </c>
      <c r="X1584" s="705">
        <f t="shared" si="67"/>
        <v>15191</v>
      </c>
    </row>
    <row r="1585" spans="2:24">
      <c r="B1585" t="s">
        <v>711</v>
      </c>
      <c r="C1585" t="s">
        <v>112</v>
      </c>
      <c r="D1585" t="s">
        <v>664</v>
      </c>
      <c r="E1585" t="s">
        <v>664</v>
      </c>
      <c r="F1585">
        <v>1</v>
      </c>
      <c r="G1585">
        <v>130</v>
      </c>
      <c r="H1585">
        <v>119</v>
      </c>
      <c r="I1585" s="705">
        <v>6454</v>
      </c>
      <c r="J1585" s="705">
        <v>5868</v>
      </c>
      <c r="K1585">
        <v>81</v>
      </c>
      <c r="L1585">
        <v>0</v>
      </c>
      <c r="M1585">
        <v>0</v>
      </c>
      <c r="N1585" s="705">
        <v>3156</v>
      </c>
      <c r="O1585" s="705">
        <v>1169</v>
      </c>
      <c r="P1585">
        <v>473</v>
      </c>
      <c r="Q1585">
        <v>175</v>
      </c>
      <c r="R1585" s="705">
        <v>5294</v>
      </c>
      <c r="S1585" s="705">
        <v>4813</v>
      </c>
      <c r="T1585">
        <v>0</v>
      </c>
      <c r="U1585">
        <v>0</v>
      </c>
      <c r="V1585" s="705">
        <v>12024</v>
      </c>
      <c r="W1585" s="705">
        <f t="shared" si="66"/>
        <v>12025</v>
      </c>
      <c r="X1585" s="705">
        <f t="shared" si="67"/>
        <v>15377</v>
      </c>
    </row>
    <row r="1586" spans="2:24">
      <c r="B1586" t="s">
        <v>711</v>
      </c>
      <c r="C1586" t="s">
        <v>112</v>
      </c>
      <c r="D1586" t="s">
        <v>583</v>
      </c>
      <c r="E1586" t="s">
        <v>583</v>
      </c>
      <c r="F1586">
        <v>2</v>
      </c>
      <c r="G1586">
        <v>212</v>
      </c>
      <c r="H1586">
        <v>227</v>
      </c>
      <c r="I1586" s="705">
        <v>8427</v>
      </c>
      <c r="J1586" s="705">
        <v>7661</v>
      </c>
      <c r="K1586">
        <v>89</v>
      </c>
      <c r="L1586">
        <v>0</v>
      </c>
      <c r="M1586">
        <v>587</v>
      </c>
      <c r="N1586" s="705">
        <v>4287</v>
      </c>
      <c r="O1586" s="705">
        <v>1588</v>
      </c>
      <c r="P1586" s="705">
        <v>1242</v>
      </c>
      <c r="Q1586">
        <v>460</v>
      </c>
      <c r="R1586" s="705">
        <v>9877</v>
      </c>
      <c r="S1586" s="705">
        <v>8979</v>
      </c>
      <c r="T1586">
        <v>0</v>
      </c>
      <c r="U1586">
        <v>0</v>
      </c>
      <c r="V1586" s="705">
        <v>19275</v>
      </c>
      <c r="W1586" s="705">
        <f t="shared" si="66"/>
        <v>19275</v>
      </c>
      <c r="X1586" s="705">
        <f t="shared" si="67"/>
        <v>23833</v>
      </c>
    </row>
    <row r="1587" spans="2:24">
      <c r="B1587" t="s">
        <v>711</v>
      </c>
      <c r="C1587" t="s">
        <v>112</v>
      </c>
      <c r="D1587" t="s">
        <v>584</v>
      </c>
      <c r="E1587" t="s">
        <v>584</v>
      </c>
      <c r="F1587">
        <v>3</v>
      </c>
      <c r="G1587">
        <v>374</v>
      </c>
      <c r="H1587">
        <v>354</v>
      </c>
      <c r="I1587" s="705">
        <v>21598</v>
      </c>
      <c r="J1587" s="705">
        <v>19634</v>
      </c>
      <c r="K1587">
        <v>83</v>
      </c>
      <c r="L1587" s="705">
        <v>1073</v>
      </c>
      <c r="M1587">
        <v>398</v>
      </c>
      <c r="N1587" s="705">
        <v>7155</v>
      </c>
      <c r="O1587" s="705">
        <v>2650</v>
      </c>
      <c r="P1587" s="705">
        <v>1418</v>
      </c>
      <c r="Q1587">
        <v>525</v>
      </c>
      <c r="R1587" s="705">
        <v>12743</v>
      </c>
      <c r="S1587" s="705">
        <v>11584</v>
      </c>
      <c r="T1587">
        <v>0</v>
      </c>
      <c r="U1587">
        <v>0</v>
      </c>
      <c r="V1587" s="705">
        <v>34791</v>
      </c>
      <c r="W1587" s="705">
        <f t="shared" si="66"/>
        <v>34791</v>
      </c>
      <c r="X1587" s="705">
        <f t="shared" si="67"/>
        <v>43987</v>
      </c>
    </row>
    <row r="1588" spans="2:24">
      <c r="B1588" t="s">
        <v>711</v>
      </c>
      <c r="C1588" t="s">
        <v>114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705">
        <v>1655</v>
      </c>
      <c r="O1588">
        <v>613</v>
      </c>
      <c r="P1588">
        <v>0</v>
      </c>
      <c r="Q1588">
        <v>0</v>
      </c>
      <c r="S1588">
        <v>0</v>
      </c>
      <c r="T1588" s="705">
        <v>4898</v>
      </c>
      <c r="U1588" s="705">
        <v>1814</v>
      </c>
      <c r="V1588" s="705">
        <v>2427</v>
      </c>
      <c r="W1588" s="705">
        <f t="shared" si="66"/>
        <v>2427</v>
      </c>
      <c r="X1588" s="705">
        <f t="shared" si="67"/>
        <v>6553</v>
      </c>
    </row>
    <row r="1589" spans="2:24">
      <c r="B1589" t="s">
        <v>711</v>
      </c>
      <c r="C1589" t="s">
        <v>114</v>
      </c>
      <c r="D1589" t="s">
        <v>582</v>
      </c>
      <c r="E1589" t="s">
        <v>582</v>
      </c>
      <c r="F1589">
        <v>3</v>
      </c>
      <c r="G1589">
        <v>263</v>
      </c>
      <c r="H1589">
        <v>407</v>
      </c>
      <c r="I1589" s="705">
        <v>13225</v>
      </c>
      <c r="J1589" s="705">
        <v>12023</v>
      </c>
      <c r="K1589">
        <v>78</v>
      </c>
      <c r="L1589">
        <v>0</v>
      </c>
      <c r="M1589">
        <v>0</v>
      </c>
      <c r="N1589" s="705">
        <v>5733</v>
      </c>
      <c r="O1589" s="705">
        <v>2123</v>
      </c>
      <c r="P1589" s="705">
        <v>1418</v>
      </c>
      <c r="Q1589">
        <v>525</v>
      </c>
      <c r="R1589" s="705">
        <v>14647</v>
      </c>
      <c r="S1589" s="705">
        <v>13315</v>
      </c>
      <c r="T1589">
        <v>0</v>
      </c>
      <c r="U1589">
        <v>0</v>
      </c>
      <c r="V1589" s="705">
        <v>27986</v>
      </c>
      <c r="W1589" s="705">
        <f t="shared" si="66"/>
        <v>27986</v>
      </c>
      <c r="X1589" s="705">
        <f t="shared" si="67"/>
        <v>35023</v>
      </c>
    </row>
    <row r="1590" spans="2:24">
      <c r="B1590" t="s">
        <v>711</v>
      </c>
      <c r="C1590" t="s">
        <v>114</v>
      </c>
      <c r="D1590" t="s">
        <v>228</v>
      </c>
      <c r="E1590" t="s">
        <v>228</v>
      </c>
      <c r="F1590">
        <v>1</v>
      </c>
      <c r="G1590">
        <v>69</v>
      </c>
      <c r="H1590">
        <v>128</v>
      </c>
      <c r="I1590" s="705">
        <v>1554</v>
      </c>
      <c r="J1590">
        <v>576</v>
      </c>
      <c r="K1590">
        <v>100</v>
      </c>
      <c r="L1590">
        <v>0</v>
      </c>
      <c r="M1590">
        <v>0</v>
      </c>
      <c r="N1590" s="705">
        <v>1153</v>
      </c>
      <c r="O1590">
        <v>427</v>
      </c>
      <c r="P1590">
        <v>0</v>
      </c>
      <c r="Q1590">
        <v>0</v>
      </c>
      <c r="R1590" s="705">
        <v>6111</v>
      </c>
      <c r="S1590" s="705">
        <v>2263</v>
      </c>
      <c r="T1590">
        <v>0</v>
      </c>
      <c r="U1590">
        <v>0</v>
      </c>
      <c r="V1590" s="705">
        <v>3266</v>
      </c>
      <c r="W1590" s="705">
        <f t="shared" si="66"/>
        <v>3266</v>
      </c>
      <c r="X1590" s="705">
        <f t="shared" si="67"/>
        <v>8818</v>
      </c>
    </row>
    <row r="1591" spans="2:24">
      <c r="B1591" t="s">
        <v>711</v>
      </c>
      <c r="C1591" t="s">
        <v>114</v>
      </c>
      <c r="D1591" t="s">
        <v>583</v>
      </c>
      <c r="E1591" t="s">
        <v>583</v>
      </c>
      <c r="F1591">
        <v>4</v>
      </c>
      <c r="G1591">
        <v>474</v>
      </c>
      <c r="H1591">
        <v>576</v>
      </c>
      <c r="I1591" s="705">
        <v>30765</v>
      </c>
      <c r="J1591" s="705">
        <v>27969</v>
      </c>
      <c r="K1591">
        <v>87</v>
      </c>
      <c r="L1591" s="705">
        <v>6179</v>
      </c>
      <c r="M1591" s="705">
        <v>5617</v>
      </c>
      <c r="N1591" s="705">
        <v>8660</v>
      </c>
      <c r="O1591" s="705">
        <v>3207</v>
      </c>
      <c r="P1591" s="705">
        <v>2484</v>
      </c>
      <c r="Q1591">
        <v>920</v>
      </c>
      <c r="R1591" s="705">
        <v>20031</v>
      </c>
      <c r="S1591" s="705">
        <v>18210</v>
      </c>
      <c r="T1591">
        <v>0</v>
      </c>
      <c r="U1591">
        <v>0</v>
      </c>
      <c r="V1591" s="705">
        <v>55923</v>
      </c>
      <c r="W1591" s="705">
        <f t="shared" si="66"/>
        <v>55923</v>
      </c>
      <c r="X1591" s="705">
        <f t="shared" si="67"/>
        <v>68119</v>
      </c>
    </row>
    <row r="1592" spans="2:24">
      <c r="B1592" t="s">
        <v>711</v>
      </c>
      <c r="C1592" t="s">
        <v>114</v>
      </c>
      <c r="D1592" t="s">
        <v>584</v>
      </c>
      <c r="E1592" t="s">
        <v>584</v>
      </c>
      <c r="F1592">
        <v>1</v>
      </c>
      <c r="G1592">
        <v>86</v>
      </c>
      <c r="H1592">
        <v>129</v>
      </c>
      <c r="I1592" s="705">
        <v>7184</v>
      </c>
      <c r="J1592" s="705">
        <v>6531</v>
      </c>
      <c r="K1592">
        <v>90</v>
      </c>
      <c r="L1592">
        <v>0</v>
      </c>
      <c r="M1592">
        <v>0</v>
      </c>
      <c r="N1592" s="705">
        <v>1053</v>
      </c>
      <c r="O1592">
        <v>390</v>
      </c>
      <c r="P1592">
        <v>473</v>
      </c>
      <c r="Q1592">
        <v>175</v>
      </c>
      <c r="R1592" s="705">
        <v>2475</v>
      </c>
      <c r="S1592" s="705">
        <v>2250</v>
      </c>
      <c r="T1592">
        <v>0</v>
      </c>
      <c r="U1592">
        <v>0</v>
      </c>
      <c r="V1592" s="705">
        <v>9346</v>
      </c>
      <c r="W1592" s="705">
        <f t="shared" si="66"/>
        <v>9346</v>
      </c>
      <c r="X1592" s="705">
        <f t="shared" si="67"/>
        <v>11185</v>
      </c>
    </row>
    <row r="1593" spans="2:24">
      <c r="B1593" t="s">
        <v>711</v>
      </c>
      <c r="C1593" t="s">
        <v>116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705">
        <v>2582</v>
      </c>
      <c r="O1593">
        <v>956</v>
      </c>
      <c r="P1593">
        <v>0</v>
      </c>
      <c r="Q1593">
        <v>0</v>
      </c>
      <c r="S1593">
        <v>0</v>
      </c>
      <c r="T1593" s="705">
        <v>6144</v>
      </c>
      <c r="U1593" s="705">
        <v>2276</v>
      </c>
      <c r="V1593" s="705">
        <v>3232</v>
      </c>
      <c r="W1593" s="705">
        <f t="shared" si="66"/>
        <v>3232</v>
      </c>
      <c r="X1593" s="705">
        <f t="shared" si="67"/>
        <v>8726</v>
      </c>
    </row>
    <row r="1594" spans="2:24">
      <c r="B1594" t="s">
        <v>711</v>
      </c>
      <c r="C1594" t="s">
        <v>116</v>
      </c>
      <c r="D1594" t="s">
        <v>582</v>
      </c>
      <c r="E1594" t="s">
        <v>582</v>
      </c>
      <c r="F1594">
        <v>7</v>
      </c>
      <c r="G1594">
        <v>569</v>
      </c>
      <c r="H1594" s="705">
        <v>1287</v>
      </c>
      <c r="I1594" s="705">
        <v>44560</v>
      </c>
      <c r="J1594" s="705">
        <v>40509</v>
      </c>
      <c r="K1594">
        <v>77</v>
      </c>
      <c r="L1594" s="705">
        <v>9682</v>
      </c>
      <c r="M1594" s="705">
        <v>8551</v>
      </c>
      <c r="N1594" s="705">
        <v>12313</v>
      </c>
      <c r="O1594" s="705">
        <v>4560</v>
      </c>
      <c r="P1594" s="705">
        <v>3065</v>
      </c>
      <c r="Q1594" s="705">
        <v>1135</v>
      </c>
      <c r="R1594" s="705">
        <v>32488</v>
      </c>
      <c r="S1594" s="705">
        <v>29534</v>
      </c>
      <c r="T1594" s="705">
        <v>5441</v>
      </c>
      <c r="U1594" s="705">
        <v>2015</v>
      </c>
      <c r="V1594" s="705">
        <v>86304</v>
      </c>
      <c r="W1594" s="705">
        <f t="shared" si="66"/>
        <v>86304</v>
      </c>
      <c r="X1594" s="705">
        <f t="shared" si="67"/>
        <v>107549</v>
      </c>
    </row>
    <row r="1595" spans="2:24">
      <c r="B1595" t="s">
        <v>711</v>
      </c>
      <c r="C1595" t="s">
        <v>116</v>
      </c>
      <c r="D1595" t="s">
        <v>228</v>
      </c>
      <c r="E1595" t="s">
        <v>228</v>
      </c>
      <c r="F1595">
        <v>120</v>
      </c>
      <c r="G1595" s="705">
        <v>8657</v>
      </c>
      <c r="H1595" s="705">
        <v>23765</v>
      </c>
      <c r="I1595" s="705">
        <v>690044</v>
      </c>
      <c r="J1595" s="705">
        <v>255572</v>
      </c>
      <c r="K1595">
        <v>100</v>
      </c>
      <c r="L1595" s="705">
        <v>98457</v>
      </c>
      <c r="M1595" s="705">
        <v>37171</v>
      </c>
      <c r="N1595" s="705">
        <v>188006</v>
      </c>
      <c r="O1595" s="705">
        <v>69632</v>
      </c>
      <c r="P1595" s="705">
        <v>1404</v>
      </c>
      <c r="Q1595">
        <v>520</v>
      </c>
      <c r="R1595" s="705">
        <v>739922</v>
      </c>
      <c r="S1595" s="705">
        <v>274045</v>
      </c>
      <c r="T1595">
        <v>0</v>
      </c>
      <c r="U1595">
        <v>0</v>
      </c>
      <c r="V1595" s="705">
        <v>636941</v>
      </c>
      <c r="W1595" s="705">
        <f t="shared" si="66"/>
        <v>636940</v>
      </c>
      <c r="X1595" s="705">
        <f t="shared" si="67"/>
        <v>1717833</v>
      </c>
    </row>
    <row r="1596" spans="2:24">
      <c r="B1596" t="s">
        <v>711</v>
      </c>
      <c r="C1596" t="s">
        <v>116</v>
      </c>
      <c r="D1596" t="s">
        <v>583</v>
      </c>
      <c r="E1596" t="s">
        <v>583</v>
      </c>
      <c r="F1596">
        <v>19</v>
      </c>
      <c r="G1596" s="705">
        <v>2924</v>
      </c>
      <c r="H1596" s="705">
        <v>3617</v>
      </c>
      <c r="I1596" s="705">
        <v>305114</v>
      </c>
      <c r="J1596" s="705">
        <v>277376</v>
      </c>
      <c r="K1596">
        <v>84</v>
      </c>
      <c r="L1596" s="705">
        <v>59035</v>
      </c>
      <c r="M1596" s="705">
        <v>53484</v>
      </c>
      <c r="N1596" s="705">
        <v>62847</v>
      </c>
      <c r="O1596" s="705">
        <v>23277</v>
      </c>
      <c r="P1596" s="705">
        <v>12852</v>
      </c>
      <c r="Q1596" s="705">
        <v>4760</v>
      </c>
      <c r="R1596" s="705">
        <v>105995</v>
      </c>
      <c r="S1596" s="705">
        <v>96359</v>
      </c>
      <c r="T1596" s="705">
        <v>15724</v>
      </c>
      <c r="U1596" s="705">
        <v>5824</v>
      </c>
      <c r="V1596" s="705">
        <v>461079</v>
      </c>
      <c r="W1596" s="705">
        <f t="shared" si="66"/>
        <v>461080</v>
      </c>
      <c r="X1596" s="705">
        <f t="shared" si="67"/>
        <v>561567</v>
      </c>
    </row>
    <row r="1597" spans="2:24">
      <c r="B1597" t="s">
        <v>711</v>
      </c>
      <c r="C1597" t="s">
        <v>116</v>
      </c>
      <c r="D1597" t="s">
        <v>584</v>
      </c>
      <c r="E1597" t="s">
        <v>584</v>
      </c>
      <c r="F1597">
        <v>9</v>
      </c>
      <c r="G1597">
        <v>599</v>
      </c>
      <c r="H1597" s="705">
        <v>1588</v>
      </c>
      <c r="I1597" s="705">
        <v>42714</v>
      </c>
      <c r="J1597" s="705">
        <v>38830</v>
      </c>
      <c r="K1597">
        <v>80</v>
      </c>
      <c r="L1597" s="705">
        <v>3304</v>
      </c>
      <c r="M1597" s="705">
        <v>3004</v>
      </c>
      <c r="N1597" s="705">
        <v>11231</v>
      </c>
      <c r="O1597" s="705">
        <v>4160</v>
      </c>
      <c r="P1597" s="705">
        <v>4253</v>
      </c>
      <c r="Q1597" s="705">
        <v>1575</v>
      </c>
      <c r="R1597" s="705">
        <v>44280</v>
      </c>
      <c r="S1597" s="705">
        <v>40254</v>
      </c>
      <c r="T1597">
        <v>0</v>
      </c>
      <c r="U1597">
        <v>0</v>
      </c>
      <c r="V1597" s="705">
        <v>87823</v>
      </c>
      <c r="W1597" s="705">
        <f t="shared" si="66"/>
        <v>87823</v>
      </c>
      <c r="X1597" s="705">
        <f t="shared" si="67"/>
        <v>105782</v>
      </c>
    </row>
    <row r="1598" spans="2:24">
      <c r="B1598" t="s">
        <v>711</v>
      </c>
      <c r="C1598" t="s">
        <v>116</v>
      </c>
      <c r="D1598" t="s">
        <v>665</v>
      </c>
      <c r="E1598" t="s">
        <v>665</v>
      </c>
      <c r="F1598">
        <v>1</v>
      </c>
      <c r="G1598">
        <v>113</v>
      </c>
      <c r="H1598">
        <v>211</v>
      </c>
      <c r="I1598" s="705">
        <v>11292</v>
      </c>
      <c r="J1598" s="705">
        <v>10265</v>
      </c>
      <c r="K1598">
        <v>65</v>
      </c>
      <c r="L1598" s="705">
        <v>2002</v>
      </c>
      <c r="M1598">
        <v>741</v>
      </c>
      <c r="N1598" s="705">
        <v>2612</v>
      </c>
      <c r="O1598">
        <v>967</v>
      </c>
      <c r="P1598">
        <v>351</v>
      </c>
      <c r="Q1598">
        <v>130</v>
      </c>
      <c r="R1598" s="705">
        <v>4847</v>
      </c>
      <c r="S1598" s="705">
        <v>4406</v>
      </c>
      <c r="T1598" s="705">
        <v>2722</v>
      </c>
      <c r="U1598" s="705">
        <v>1008</v>
      </c>
      <c r="V1598" s="705">
        <v>17518</v>
      </c>
      <c r="W1598" s="705">
        <f t="shared" si="66"/>
        <v>17517</v>
      </c>
      <c r="X1598" s="705">
        <f t="shared" si="67"/>
        <v>23826</v>
      </c>
    </row>
    <row r="1599" spans="2:24">
      <c r="B1599" t="s">
        <v>711</v>
      </c>
      <c r="C1599" t="s">
        <v>118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705">
        <v>1398</v>
      </c>
      <c r="O1599">
        <v>518</v>
      </c>
      <c r="P1599">
        <v>621</v>
      </c>
      <c r="Q1599">
        <v>230</v>
      </c>
      <c r="S1599">
        <v>0</v>
      </c>
      <c r="T1599" s="705">
        <v>1895</v>
      </c>
      <c r="U1599">
        <v>702</v>
      </c>
      <c r="V1599" s="705">
        <v>1450</v>
      </c>
      <c r="W1599" s="705">
        <f t="shared" si="66"/>
        <v>1450</v>
      </c>
      <c r="X1599" s="705">
        <f t="shared" si="67"/>
        <v>3914</v>
      </c>
    </row>
    <row r="1600" spans="2:24">
      <c r="B1600" t="s">
        <v>711</v>
      </c>
      <c r="C1600" t="s">
        <v>118</v>
      </c>
      <c r="D1600" t="s">
        <v>582</v>
      </c>
      <c r="E1600" t="s">
        <v>582</v>
      </c>
      <c r="F1600">
        <v>4</v>
      </c>
      <c r="G1600">
        <v>310</v>
      </c>
      <c r="H1600" s="705">
        <v>1017</v>
      </c>
      <c r="I1600" s="705">
        <v>38961</v>
      </c>
      <c r="J1600" s="705">
        <v>35419</v>
      </c>
      <c r="K1600">
        <v>76</v>
      </c>
      <c r="L1600" s="705">
        <v>10436</v>
      </c>
      <c r="M1600" s="705">
        <v>9487</v>
      </c>
      <c r="N1600" s="705">
        <v>6530</v>
      </c>
      <c r="O1600" s="705">
        <v>2419</v>
      </c>
      <c r="P1600" s="705">
        <v>1890</v>
      </c>
      <c r="Q1600">
        <v>700</v>
      </c>
      <c r="R1600" s="705">
        <v>18138</v>
      </c>
      <c r="S1600" s="705">
        <v>16489</v>
      </c>
      <c r="T1600" s="705">
        <v>2860</v>
      </c>
      <c r="U1600" s="705">
        <v>1059</v>
      </c>
      <c r="V1600" s="705">
        <v>65574</v>
      </c>
      <c r="W1600" s="705">
        <f t="shared" si="66"/>
        <v>65573</v>
      </c>
      <c r="X1600" s="705">
        <f t="shared" si="67"/>
        <v>78815</v>
      </c>
    </row>
    <row r="1601" spans="2:24">
      <c r="B1601" t="s">
        <v>711</v>
      </c>
      <c r="C1601" t="s">
        <v>118</v>
      </c>
      <c r="D1601" t="s">
        <v>228</v>
      </c>
      <c r="E1601" t="s">
        <v>228</v>
      </c>
      <c r="F1601">
        <v>212</v>
      </c>
      <c r="G1601" s="705">
        <v>13778</v>
      </c>
      <c r="H1601" s="705">
        <v>55533</v>
      </c>
      <c r="I1601" s="705">
        <v>1803816</v>
      </c>
      <c r="J1601" s="705">
        <v>668080</v>
      </c>
      <c r="K1601">
        <v>100</v>
      </c>
      <c r="L1601" s="705">
        <v>245675</v>
      </c>
      <c r="M1601" s="705">
        <v>93482</v>
      </c>
      <c r="N1601" s="705">
        <v>298746</v>
      </c>
      <c r="O1601" s="705">
        <v>110647</v>
      </c>
      <c r="P1601" s="705">
        <v>1256</v>
      </c>
      <c r="Q1601">
        <v>465</v>
      </c>
      <c r="R1601" s="705">
        <v>1258342</v>
      </c>
      <c r="S1601" s="705">
        <v>466053</v>
      </c>
      <c r="T1601">
        <v>0</v>
      </c>
      <c r="U1601">
        <v>0</v>
      </c>
      <c r="V1601" s="705">
        <v>1338726</v>
      </c>
      <c r="W1601" s="705">
        <f t="shared" si="66"/>
        <v>1338727</v>
      </c>
      <c r="X1601" s="705">
        <f t="shared" si="67"/>
        <v>3607835</v>
      </c>
    </row>
    <row r="1602" spans="2:24">
      <c r="B1602" t="s">
        <v>711</v>
      </c>
      <c r="C1602" t="s">
        <v>118</v>
      </c>
      <c r="D1602" t="s">
        <v>583</v>
      </c>
      <c r="E1602" t="s">
        <v>583</v>
      </c>
      <c r="F1602">
        <v>4</v>
      </c>
      <c r="G1602">
        <v>447</v>
      </c>
      <c r="H1602" s="705">
        <v>1068</v>
      </c>
      <c r="I1602" s="705">
        <v>69571</v>
      </c>
      <c r="J1602" s="705">
        <v>63246</v>
      </c>
      <c r="K1602">
        <v>76</v>
      </c>
      <c r="L1602" s="705">
        <v>14877</v>
      </c>
      <c r="M1602" s="705">
        <v>12644</v>
      </c>
      <c r="N1602" s="705">
        <v>7466</v>
      </c>
      <c r="O1602" s="705">
        <v>2765</v>
      </c>
      <c r="P1602" s="705">
        <v>2484</v>
      </c>
      <c r="Q1602">
        <v>920</v>
      </c>
      <c r="R1602" s="705">
        <v>19210</v>
      </c>
      <c r="S1602" s="705">
        <v>17464</v>
      </c>
      <c r="T1602" s="705">
        <v>3768</v>
      </c>
      <c r="U1602" s="705">
        <v>1396</v>
      </c>
      <c r="V1602" s="705">
        <v>98435</v>
      </c>
      <c r="W1602" s="705">
        <f t="shared" si="66"/>
        <v>98435</v>
      </c>
      <c r="X1602" s="705">
        <f t="shared" si="67"/>
        <v>117376</v>
      </c>
    </row>
    <row r="1603" spans="2:24">
      <c r="B1603" t="s">
        <v>711</v>
      </c>
      <c r="C1603" t="s">
        <v>118</v>
      </c>
      <c r="D1603" t="s">
        <v>665</v>
      </c>
      <c r="E1603" t="s">
        <v>228</v>
      </c>
      <c r="F1603">
        <v>1</v>
      </c>
      <c r="G1603">
        <v>42</v>
      </c>
      <c r="H1603">
        <v>266</v>
      </c>
      <c r="I1603" s="705">
        <v>8155</v>
      </c>
      <c r="J1603" s="705">
        <v>7413</v>
      </c>
      <c r="K1603">
        <v>60</v>
      </c>
      <c r="L1603" s="705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705">
        <v>6113</v>
      </c>
      <c r="S1603" s="705">
        <v>2264</v>
      </c>
      <c r="T1603">
        <v>0</v>
      </c>
      <c r="U1603">
        <v>0</v>
      </c>
      <c r="V1603" s="705">
        <v>10496</v>
      </c>
      <c r="W1603" s="705">
        <f t="shared" si="66"/>
        <v>10496</v>
      </c>
      <c r="X1603" s="705">
        <f t="shared" si="67"/>
        <v>16478</v>
      </c>
    </row>
    <row r="1604" spans="2:24">
      <c r="B1604" t="s">
        <v>711</v>
      </c>
      <c r="C1604" t="s">
        <v>120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705">
        <f t="shared" si="66"/>
        <v>299</v>
      </c>
      <c r="X1604" s="705">
        <f t="shared" si="67"/>
        <v>808</v>
      </c>
    </row>
    <row r="1605" spans="2:24">
      <c r="B1605" t="s">
        <v>711</v>
      </c>
      <c r="C1605" t="s">
        <v>120</v>
      </c>
      <c r="D1605" t="s">
        <v>228</v>
      </c>
      <c r="E1605" t="s">
        <v>228</v>
      </c>
      <c r="F1605">
        <v>88</v>
      </c>
      <c r="G1605" s="705">
        <v>5355</v>
      </c>
      <c r="H1605" s="705">
        <v>29429</v>
      </c>
      <c r="I1605" s="705">
        <v>1049365</v>
      </c>
      <c r="J1605" s="705">
        <v>388654</v>
      </c>
      <c r="K1605">
        <v>100</v>
      </c>
      <c r="L1605" s="705">
        <v>108012</v>
      </c>
      <c r="M1605" s="705">
        <v>45609</v>
      </c>
      <c r="N1605" s="705">
        <v>114308</v>
      </c>
      <c r="O1605" s="705">
        <v>42336</v>
      </c>
      <c r="P1605">
        <v>702</v>
      </c>
      <c r="Q1605">
        <v>260</v>
      </c>
      <c r="R1605" s="705">
        <v>519713</v>
      </c>
      <c r="S1605" s="705">
        <v>192486</v>
      </c>
      <c r="T1605">
        <v>0</v>
      </c>
      <c r="U1605">
        <v>0</v>
      </c>
      <c r="V1605" s="705">
        <v>669344</v>
      </c>
      <c r="W1605" s="705">
        <f t="shared" si="66"/>
        <v>669345</v>
      </c>
      <c r="X1605" s="705">
        <f t="shared" si="67"/>
        <v>1792100</v>
      </c>
    </row>
    <row r="1606" spans="2:24">
      <c r="B1606" t="s">
        <v>711</v>
      </c>
      <c r="C1606" t="s">
        <v>120</v>
      </c>
      <c r="D1606" t="s">
        <v>583</v>
      </c>
      <c r="E1606" t="s">
        <v>583</v>
      </c>
      <c r="F1606">
        <v>6</v>
      </c>
      <c r="G1606">
        <v>728</v>
      </c>
      <c r="H1606" s="705">
        <v>2056</v>
      </c>
      <c r="I1606" s="705">
        <v>164047</v>
      </c>
      <c r="J1606" s="705">
        <v>149134</v>
      </c>
      <c r="K1606">
        <v>82</v>
      </c>
      <c r="L1606" s="705">
        <v>29372</v>
      </c>
      <c r="M1606" s="705">
        <v>25531</v>
      </c>
      <c r="N1606" s="705">
        <v>15095</v>
      </c>
      <c r="O1606" s="705">
        <v>5591</v>
      </c>
      <c r="P1606" s="705">
        <v>3456</v>
      </c>
      <c r="Q1606" s="705">
        <v>1280</v>
      </c>
      <c r="R1606" s="705">
        <v>31061</v>
      </c>
      <c r="S1606" s="705">
        <v>28238</v>
      </c>
      <c r="T1606" s="705">
        <v>7502</v>
      </c>
      <c r="U1606" s="705">
        <v>2779</v>
      </c>
      <c r="V1606" s="705">
        <v>212552</v>
      </c>
      <c r="W1606" s="705">
        <f t="shared" si="66"/>
        <v>212553</v>
      </c>
      <c r="X1606" s="705">
        <f t="shared" si="67"/>
        <v>250533</v>
      </c>
    </row>
    <row r="1607" spans="2:24">
      <c r="B1607" t="s">
        <v>711</v>
      </c>
      <c r="C1607" t="s">
        <v>120</v>
      </c>
      <c r="D1607" t="s">
        <v>665</v>
      </c>
      <c r="E1607" t="s">
        <v>665</v>
      </c>
      <c r="F1607">
        <v>1</v>
      </c>
      <c r="G1607">
        <v>132</v>
      </c>
      <c r="H1607">
        <v>306</v>
      </c>
      <c r="I1607" s="705">
        <v>24583</v>
      </c>
      <c r="J1607" s="705">
        <v>22348</v>
      </c>
      <c r="K1607">
        <v>45</v>
      </c>
      <c r="L1607" s="705">
        <v>2049</v>
      </c>
      <c r="M1607" s="705">
        <v>1862</v>
      </c>
      <c r="N1607" s="705">
        <v>2364</v>
      </c>
      <c r="O1607">
        <v>876</v>
      </c>
      <c r="P1607">
        <v>351</v>
      </c>
      <c r="Q1607">
        <v>130</v>
      </c>
      <c r="R1607" s="705">
        <v>7831</v>
      </c>
      <c r="S1607" s="705">
        <v>7119</v>
      </c>
      <c r="T1607" s="705">
        <v>3173</v>
      </c>
      <c r="U1607" s="705">
        <v>1175</v>
      </c>
      <c r="V1607" s="705">
        <v>33511</v>
      </c>
      <c r="W1607" s="705">
        <f t="shared" si="66"/>
        <v>33510</v>
      </c>
      <c r="X1607" s="705">
        <f t="shared" si="67"/>
        <v>40351</v>
      </c>
    </row>
    <row r="1608" spans="2:24">
      <c r="B1608" t="s">
        <v>711</v>
      </c>
      <c r="C1608" t="s">
        <v>122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705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705">
        <f t="shared" si="66"/>
        <v>504</v>
      </c>
      <c r="X1608" s="705">
        <f t="shared" si="67"/>
        <v>1360</v>
      </c>
    </row>
    <row r="1609" spans="2:24">
      <c r="B1609" t="s">
        <v>711</v>
      </c>
      <c r="C1609" t="s">
        <v>122</v>
      </c>
      <c r="D1609" t="s">
        <v>664</v>
      </c>
      <c r="E1609" t="s">
        <v>664</v>
      </c>
      <c r="F1609">
        <v>1</v>
      </c>
      <c r="G1609">
        <v>115</v>
      </c>
      <c r="H1609">
        <v>433</v>
      </c>
      <c r="I1609" s="705">
        <v>30803</v>
      </c>
      <c r="J1609" s="705">
        <v>28003</v>
      </c>
      <c r="K1609">
        <v>65</v>
      </c>
      <c r="L1609" s="705">
        <v>7050</v>
      </c>
      <c r="M1609" s="705">
        <v>6409</v>
      </c>
      <c r="N1609" s="705">
        <v>2652</v>
      </c>
      <c r="O1609">
        <v>982</v>
      </c>
      <c r="P1609">
        <v>473</v>
      </c>
      <c r="Q1609">
        <v>175</v>
      </c>
      <c r="R1609" s="705">
        <v>5548</v>
      </c>
      <c r="S1609" s="705">
        <v>5044</v>
      </c>
      <c r="T1609" s="705">
        <v>3055</v>
      </c>
      <c r="U1609" s="705">
        <v>1131</v>
      </c>
      <c r="V1609" s="705">
        <v>41744</v>
      </c>
      <c r="W1609" s="705">
        <f t="shared" si="66"/>
        <v>41744</v>
      </c>
      <c r="X1609" s="705">
        <f t="shared" si="67"/>
        <v>49581</v>
      </c>
    </row>
    <row r="1610" spans="2:24">
      <c r="B1610" t="s">
        <v>711</v>
      </c>
      <c r="C1610" t="s">
        <v>122</v>
      </c>
      <c r="D1610" t="s">
        <v>228</v>
      </c>
      <c r="E1610" t="s">
        <v>228</v>
      </c>
      <c r="F1610">
        <v>19</v>
      </c>
      <c r="G1610">
        <v>914</v>
      </c>
      <c r="H1610" s="705">
        <v>7756</v>
      </c>
      <c r="I1610" s="705">
        <v>238825</v>
      </c>
      <c r="J1610" s="705">
        <v>88454</v>
      </c>
      <c r="K1610">
        <v>100</v>
      </c>
      <c r="L1610" s="705">
        <v>12429</v>
      </c>
      <c r="M1610" s="705">
        <v>4603</v>
      </c>
      <c r="N1610" s="705">
        <v>17733</v>
      </c>
      <c r="O1610" s="705">
        <v>6568</v>
      </c>
      <c r="P1610">
        <v>0</v>
      </c>
      <c r="Q1610">
        <v>0</v>
      </c>
      <c r="R1610" s="705">
        <v>104055</v>
      </c>
      <c r="S1610" s="705">
        <v>38539</v>
      </c>
      <c r="T1610">
        <v>0</v>
      </c>
      <c r="U1610">
        <v>0</v>
      </c>
      <c r="V1610" s="705">
        <v>138164</v>
      </c>
      <c r="W1610" s="705">
        <f t="shared" si="66"/>
        <v>138164</v>
      </c>
      <c r="X1610" s="705">
        <f t="shared" si="67"/>
        <v>373042</v>
      </c>
    </row>
    <row r="1611" spans="2:24">
      <c r="B1611" t="s">
        <v>711</v>
      </c>
      <c r="C1611" t="s">
        <v>122</v>
      </c>
      <c r="D1611" t="s">
        <v>583</v>
      </c>
      <c r="E1611" t="s">
        <v>583</v>
      </c>
      <c r="F1611">
        <v>2</v>
      </c>
      <c r="G1611">
        <v>228</v>
      </c>
      <c r="H1611">
        <v>879</v>
      </c>
      <c r="I1611" s="705">
        <v>62840</v>
      </c>
      <c r="J1611" s="705">
        <v>57127</v>
      </c>
      <c r="K1611">
        <v>77</v>
      </c>
      <c r="L1611" s="705">
        <v>18536</v>
      </c>
      <c r="M1611" s="705">
        <v>16851</v>
      </c>
      <c r="N1611" s="705">
        <v>4753</v>
      </c>
      <c r="O1611" s="705">
        <v>1760</v>
      </c>
      <c r="P1611" s="705">
        <v>1242</v>
      </c>
      <c r="Q1611">
        <v>460</v>
      </c>
      <c r="R1611" s="705">
        <v>10697</v>
      </c>
      <c r="S1611" s="705">
        <v>9725</v>
      </c>
      <c r="T1611" s="705">
        <v>2235</v>
      </c>
      <c r="U1611">
        <v>828</v>
      </c>
      <c r="V1611" s="705">
        <v>86750</v>
      </c>
      <c r="W1611" s="705">
        <f t="shared" si="66"/>
        <v>86751</v>
      </c>
      <c r="X1611" s="705">
        <f t="shared" si="67"/>
        <v>100303</v>
      </c>
    </row>
    <row r="1612" spans="2:24">
      <c r="B1612" t="s">
        <v>711</v>
      </c>
      <c r="C1612" t="s">
        <v>122</v>
      </c>
      <c r="D1612" t="s">
        <v>666</v>
      </c>
      <c r="E1612" t="s">
        <v>666</v>
      </c>
      <c r="F1612">
        <v>1</v>
      </c>
      <c r="G1612">
        <v>109</v>
      </c>
      <c r="H1612">
        <v>390</v>
      </c>
      <c r="I1612" s="705">
        <v>24770</v>
      </c>
      <c r="J1612" s="705">
        <v>22519</v>
      </c>
      <c r="K1612">
        <v>65</v>
      </c>
      <c r="L1612" s="705">
        <v>5963</v>
      </c>
      <c r="M1612" s="705">
        <v>5421</v>
      </c>
      <c r="N1612" s="705">
        <v>2600</v>
      </c>
      <c r="O1612">
        <v>963</v>
      </c>
      <c r="P1612">
        <v>351</v>
      </c>
      <c r="Q1612">
        <v>130</v>
      </c>
      <c r="R1612" s="705">
        <v>5522</v>
      </c>
      <c r="S1612" s="705">
        <v>5020</v>
      </c>
      <c r="T1612" s="705">
        <v>3252</v>
      </c>
      <c r="U1612" s="705">
        <v>1204</v>
      </c>
      <c r="V1612" s="705">
        <v>35257</v>
      </c>
      <c r="W1612" s="705">
        <f t="shared" si="66"/>
        <v>35257</v>
      </c>
      <c r="X1612" s="705">
        <f t="shared" si="67"/>
        <v>42458</v>
      </c>
    </row>
    <row r="1613" spans="2:24">
      <c r="B1613" t="s">
        <v>711</v>
      </c>
      <c r="C1613" t="s">
        <v>122</v>
      </c>
      <c r="D1613" t="s">
        <v>665</v>
      </c>
      <c r="E1613" t="s">
        <v>665</v>
      </c>
      <c r="F1613">
        <v>1</v>
      </c>
      <c r="G1613">
        <v>37</v>
      </c>
      <c r="H1613">
        <v>446</v>
      </c>
      <c r="I1613" s="705">
        <v>8064</v>
      </c>
      <c r="J1613" s="705">
        <v>7331</v>
      </c>
      <c r="K1613">
        <v>65</v>
      </c>
      <c r="L1613" s="705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705">
        <v>3930</v>
      </c>
      <c r="S1613" s="705">
        <v>3573</v>
      </c>
      <c r="T1613" s="705">
        <v>2001</v>
      </c>
      <c r="U1613">
        <v>741</v>
      </c>
      <c r="V1613" s="705">
        <v>12584</v>
      </c>
      <c r="W1613" s="705">
        <f t="shared" si="66"/>
        <v>12583</v>
      </c>
      <c r="X1613" s="705">
        <f t="shared" si="67"/>
        <v>16529</v>
      </c>
    </row>
    <row r="1614" spans="2:24">
      <c r="B1614" t="s">
        <v>711</v>
      </c>
      <c r="C1614" t="s">
        <v>124</v>
      </c>
      <c r="D1614" t="s">
        <v>228</v>
      </c>
      <c r="E1614" t="s">
        <v>228</v>
      </c>
      <c r="F1614">
        <v>29</v>
      </c>
      <c r="G1614" s="705">
        <v>1372</v>
      </c>
      <c r="H1614" s="705">
        <v>17965</v>
      </c>
      <c r="I1614" s="705">
        <v>589381</v>
      </c>
      <c r="J1614" s="705">
        <v>218289</v>
      </c>
      <c r="K1614">
        <v>100</v>
      </c>
      <c r="L1614" s="705">
        <v>80972</v>
      </c>
      <c r="M1614" s="705">
        <v>44026</v>
      </c>
      <c r="N1614" s="705">
        <v>30310</v>
      </c>
      <c r="O1614" s="705">
        <v>11226</v>
      </c>
      <c r="P1614">
        <v>0</v>
      </c>
      <c r="Q1614">
        <v>0</v>
      </c>
      <c r="R1614" s="705">
        <v>131852</v>
      </c>
      <c r="S1614" s="705">
        <v>48834</v>
      </c>
      <c r="T1614">
        <v>0</v>
      </c>
      <c r="U1614">
        <v>0</v>
      </c>
      <c r="V1614" s="705">
        <v>322376</v>
      </c>
      <c r="W1614" s="705">
        <f t="shared" si="66"/>
        <v>322375</v>
      </c>
      <c r="X1614" s="705">
        <f t="shared" si="67"/>
        <v>832515</v>
      </c>
    </row>
    <row r="1615" spans="2:24">
      <c r="B1615" t="s">
        <v>711</v>
      </c>
      <c r="C1615" t="s">
        <v>124</v>
      </c>
      <c r="D1615" t="s">
        <v>583</v>
      </c>
      <c r="E1615" t="s">
        <v>583</v>
      </c>
      <c r="F1615">
        <v>3</v>
      </c>
      <c r="G1615">
        <v>262</v>
      </c>
      <c r="H1615" s="705">
        <v>1779</v>
      </c>
      <c r="I1615" s="705">
        <v>101558</v>
      </c>
      <c r="J1615" s="705">
        <v>92325</v>
      </c>
      <c r="K1615">
        <v>63</v>
      </c>
      <c r="L1615" s="705">
        <v>22481</v>
      </c>
      <c r="M1615" s="705">
        <v>20437</v>
      </c>
      <c r="N1615" s="705">
        <v>5867</v>
      </c>
      <c r="O1615" s="705">
        <v>2173</v>
      </c>
      <c r="P1615" s="705">
        <v>1863</v>
      </c>
      <c r="Q1615">
        <v>690</v>
      </c>
      <c r="R1615" s="705">
        <v>16814</v>
      </c>
      <c r="S1615" s="705">
        <v>15286</v>
      </c>
      <c r="T1615" s="705">
        <v>4347</v>
      </c>
      <c r="U1615" s="705">
        <v>1610</v>
      </c>
      <c r="V1615" s="705">
        <v>132522</v>
      </c>
      <c r="W1615" s="705">
        <f t="shared" si="66"/>
        <v>132521</v>
      </c>
      <c r="X1615" s="705">
        <f t="shared" si="67"/>
        <v>152930</v>
      </c>
    </row>
    <row r="1616" spans="2:24">
      <c r="B1616" t="s">
        <v>711</v>
      </c>
      <c r="C1616" t="s">
        <v>124</v>
      </c>
      <c r="D1616" t="s">
        <v>665</v>
      </c>
      <c r="E1616" t="s">
        <v>665</v>
      </c>
      <c r="F1616">
        <v>2</v>
      </c>
      <c r="G1616">
        <v>95</v>
      </c>
      <c r="H1616" s="705">
        <v>1328</v>
      </c>
      <c r="I1616" s="705">
        <v>37083</v>
      </c>
      <c r="J1616" s="705">
        <v>33711</v>
      </c>
      <c r="K1616">
        <v>60</v>
      </c>
      <c r="L1616" s="705">
        <v>9374</v>
      </c>
      <c r="M1616" s="705">
        <v>3472</v>
      </c>
      <c r="N1616" s="705">
        <v>2050</v>
      </c>
      <c r="O1616">
        <v>759</v>
      </c>
      <c r="P1616">
        <v>702</v>
      </c>
      <c r="Q1616">
        <v>260</v>
      </c>
      <c r="R1616" s="705">
        <v>9277</v>
      </c>
      <c r="S1616" s="705">
        <v>8434</v>
      </c>
      <c r="T1616" s="705">
        <v>4264</v>
      </c>
      <c r="U1616" s="705">
        <v>1579</v>
      </c>
      <c r="V1616" s="705">
        <v>48216</v>
      </c>
      <c r="W1616" s="705">
        <f t="shared" si="66"/>
        <v>48215</v>
      </c>
      <c r="X1616" s="705">
        <f t="shared" si="67"/>
        <v>62750</v>
      </c>
    </row>
    <row r="1617" spans="2:24">
      <c r="B1617" t="s">
        <v>712</v>
      </c>
      <c r="C1617" t="s">
        <v>108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705">
        <v>11229</v>
      </c>
      <c r="O1617" s="705">
        <v>4159</v>
      </c>
      <c r="P1617" s="705">
        <v>5891</v>
      </c>
      <c r="Q1617" s="705">
        <v>2182</v>
      </c>
      <c r="S1617">
        <v>0</v>
      </c>
      <c r="T1617" s="705">
        <v>19495</v>
      </c>
      <c r="U1617" s="705">
        <v>7220</v>
      </c>
      <c r="V1617" s="705">
        <v>13561</v>
      </c>
      <c r="W1617" s="705">
        <f t="shared" si="66"/>
        <v>13561</v>
      </c>
      <c r="X1617" s="705">
        <f t="shared" si="67"/>
        <v>36615</v>
      </c>
    </row>
    <row r="1618" spans="2:24">
      <c r="B1618" t="s">
        <v>712</v>
      </c>
      <c r="C1618" t="s">
        <v>108</v>
      </c>
      <c r="D1618" t="s">
        <v>228</v>
      </c>
      <c r="E1618" t="s">
        <v>228</v>
      </c>
      <c r="F1618">
        <v>10</v>
      </c>
      <c r="G1618">
        <v>893</v>
      </c>
      <c r="H1618">
        <v>462</v>
      </c>
      <c r="I1618" s="705">
        <v>-4223</v>
      </c>
      <c r="J1618" s="705">
        <v>-1564</v>
      </c>
      <c r="K1618">
        <v>531</v>
      </c>
      <c r="L1618" s="705">
        <v>1286</v>
      </c>
      <c r="M1618" s="705">
        <v>1169</v>
      </c>
      <c r="N1618" s="705">
        <v>13000</v>
      </c>
      <c r="O1618" s="705">
        <v>4815</v>
      </c>
      <c r="P1618" s="705">
        <v>8971</v>
      </c>
      <c r="Q1618" s="705">
        <v>3323</v>
      </c>
      <c r="R1618" s="705">
        <v>25549</v>
      </c>
      <c r="S1618" s="705">
        <v>9463</v>
      </c>
      <c r="T1618">
        <v>0</v>
      </c>
      <c r="U1618">
        <v>0</v>
      </c>
      <c r="V1618" s="705">
        <v>17205</v>
      </c>
      <c r="W1618" s="705">
        <f t="shared" si="66"/>
        <v>20334</v>
      </c>
      <c r="X1618" s="705">
        <f t="shared" si="67"/>
        <v>53029</v>
      </c>
    </row>
    <row r="1619" spans="2:24">
      <c r="B1619" t="s">
        <v>712</v>
      </c>
      <c r="C1619" t="s">
        <v>108</v>
      </c>
      <c r="D1619" t="s">
        <v>584</v>
      </c>
      <c r="E1619" t="s">
        <v>584</v>
      </c>
      <c r="F1619">
        <v>45</v>
      </c>
      <c r="G1619" s="705">
        <v>3368</v>
      </c>
      <c r="H1619" s="705">
        <v>2612</v>
      </c>
      <c r="I1619" s="705">
        <v>7786</v>
      </c>
      <c r="J1619" s="705">
        <v>7078</v>
      </c>
      <c r="K1619">
        <v>92</v>
      </c>
      <c r="L1619">
        <v>0</v>
      </c>
      <c r="M1619">
        <v>0</v>
      </c>
      <c r="N1619" s="705">
        <v>62378</v>
      </c>
      <c r="O1619" s="705">
        <v>23103</v>
      </c>
      <c r="P1619" s="705">
        <v>21263</v>
      </c>
      <c r="Q1619" s="705">
        <v>7875</v>
      </c>
      <c r="R1619" s="705">
        <v>104111</v>
      </c>
      <c r="S1619" s="705">
        <v>94646</v>
      </c>
      <c r="T1619">
        <v>0</v>
      </c>
      <c r="U1619">
        <v>0</v>
      </c>
      <c r="V1619" s="705">
        <v>132702</v>
      </c>
      <c r="W1619" s="705">
        <f t="shared" si="66"/>
        <v>132702</v>
      </c>
      <c r="X1619" s="705">
        <f t="shared" si="67"/>
        <v>195538</v>
      </c>
    </row>
    <row r="1620" spans="2:24">
      <c r="B1620" t="s">
        <v>712</v>
      </c>
      <c r="C1620" t="s">
        <v>110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705">
        <v>5072</v>
      </c>
      <c r="O1620" s="705">
        <v>1878</v>
      </c>
      <c r="P1620" s="705">
        <v>3936</v>
      </c>
      <c r="Q1620" s="705">
        <v>1458</v>
      </c>
      <c r="S1620">
        <v>0</v>
      </c>
      <c r="T1620" s="705">
        <v>11586</v>
      </c>
      <c r="U1620" s="705">
        <v>4291</v>
      </c>
      <c r="V1620" s="705">
        <v>7627</v>
      </c>
      <c r="W1620" s="705">
        <f t="shared" si="66"/>
        <v>7627</v>
      </c>
      <c r="X1620" s="705">
        <f t="shared" si="67"/>
        <v>20594</v>
      </c>
    </row>
    <row r="1621" spans="2:24">
      <c r="B1621" t="s">
        <v>712</v>
      </c>
      <c r="C1621" t="s">
        <v>110</v>
      </c>
      <c r="D1621" t="s">
        <v>584</v>
      </c>
      <c r="E1621" t="s">
        <v>584</v>
      </c>
      <c r="F1621">
        <v>33</v>
      </c>
      <c r="G1621" s="705">
        <v>2725</v>
      </c>
      <c r="H1621" s="705">
        <v>3009</v>
      </c>
      <c r="I1621" s="705">
        <v>94579</v>
      </c>
      <c r="J1621" s="705">
        <v>85981</v>
      </c>
      <c r="K1621">
        <v>89</v>
      </c>
      <c r="L1621" s="705">
        <v>1765</v>
      </c>
      <c r="M1621" s="705">
        <v>1605</v>
      </c>
      <c r="N1621" s="705">
        <v>45742</v>
      </c>
      <c r="O1621" s="705">
        <v>16942</v>
      </c>
      <c r="P1621" s="705">
        <v>15593</v>
      </c>
      <c r="Q1621" s="705">
        <v>5775</v>
      </c>
      <c r="R1621" s="705">
        <v>91421</v>
      </c>
      <c r="S1621" s="705">
        <v>83110</v>
      </c>
      <c r="T1621">
        <v>0</v>
      </c>
      <c r="U1621">
        <v>0</v>
      </c>
      <c r="V1621" s="705">
        <v>193412</v>
      </c>
      <c r="W1621" s="705">
        <f t="shared" si="66"/>
        <v>193413</v>
      </c>
      <c r="X1621" s="705">
        <f t="shared" si="67"/>
        <v>249100</v>
      </c>
    </row>
    <row r="1622" spans="2:24">
      <c r="B1622" t="s">
        <v>712</v>
      </c>
      <c r="C1622" t="s">
        <v>112</v>
      </c>
      <c r="D1622" t="s">
        <v>582</v>
      </c>
      <c r="E1622" t="s">
        <v>582</v>
      </c>
      <c r="F1622">
        <v>1</v>
      </c>
      <c r="G1622">
        <v>50</v>
      </c>
      <c r="H1622">
        <v>105</v>
      </c>
      <c r="I1622" s="705">
        <v>5558</v>
      </c>
      <c r="J1622" s="705">
        <v>5053</v>
      </c>
      <c r="K1622">
        <v>92</v>
      </c>
      <c r="L1622">
        <v>0</v>
      </c>
      <c r="M1622">
        <v>0</v>
      </c>
      <c r="N1622" s="705">
        <v>1151</v>
      </c>
      <c r="O1622">
        <v>426</v>
      </c>
      <c r="P1622">
        <v>473</v>
      </c>
      <c r="Q1622">
        <v>175</v>
      </c>
      <c r="R1622" s="705">
        <v>2707</v>
      </c>
      <c r="S1622" s="705">
        <v>2461</v>
      </c>
      <c r="T1622">
        <v>0</v>
      </c>
      <c r="U1622">
        <v>0</v>
      </c>
      <c r="V1622" s="705">
        <v>8115</v>
      </c>
      <c r="W1622" s="705">
        <f t="shared" si="66"/>
        <v>8115</v>
      </c>
      <c r="X1622" s="705">
        <f t="shared" si="67"/>
        <v>9889</v>
      </c>
    </row>
    <row r="1623" spans="2:24">
      <c r="B1623" t="s">
        <v>712</v>
      </c>
      <c r="C1623" t="s">
        <v>112</v>
      </c>
      <c r="D1623" t="s">
        <v>228</v>
      </c>
      <c r="E1623" t="s">
        <v>228</v>
      </c>
      <c r="F1623">
        <v>3</v>
      </c>
      <c r="G1623">
        <v>217</v>
      </c>
      <c r="H1623">
        <v>354</v>
      </c>
      <c r="I1623" s="705">
        <v>8358</v>
      </c>
      <c r="J1623" s="705">
        <v>3095</v>
      </c>
      <c r="K1623">
        <v>250</v>
      </c>
      <c r="L1623">
        <v>0</v>
      </c>
      <c r="M1623">
        <v>0</v>
      </c>
      <c r="N1623" s="705">
        <v>3958</v>
      </c>
      <c r="O1623" s="705">
        <v>1466</v>
      </c>
      <c r="P1623" s="705">
        <v>1053</v>
      </c>
      <c r="Q1623">
        <v>390</v>
      </c>
      <c r="R1623" s="705">
        <v>12130</v>
      </c>
      <c r="S1623" s="705">
        <v>4493</v>
      </c>
      <c r="T1623">
        <v>0</v>
      </c>
      <c r="U1623">
        <v>0</v>
      </c>
      <c r="V1623" s="705">
        <v>9444</v>
      </c>
      <c r="W1623" s="705">
        <f t="shared" si="66"/>
        <v>9444</v>
      </c>
      <c r="X1623" s="705">
        <f t="shared" si="67"/>
        <v>25499</v>
      </c>
    </row>
    <row r="1624" spans="2:24">
      <c r="B1624" t="s">
        <v>712</v>
      </c>
      <c r="C1624" t="s">
        <v>112</v>
      </c>
      <c r="D1624" t="s">
        <v>583</v>
      </c>
      <c r="E1624" t="s">
        <v>583</v>
      </c>
      <c r="F1624">
        <v>2</v>
      </c>
      <c r="G1624">
        <v>550</v>
      </c>
      <c r="H1624">
        <v>236</v>
      </c>
      <c r="I1624" s="705">
        <v>38030</v>
      </c>
      <c r="J1624" s="705">
        <v>34573</v>
      </c>
      <c r="K1624">
        <v>92</v>
      </c>
      <c r="L1624" s="705">
        <v>7064</v>
      </c>
      <c r="M1624" s="705">
        <v>6422</v>
      </c>
      <c r="N1624" s="705">
        <v>7222</v>
      </c>
      <c r="O1624" s="705">
        <v>2675</v>
      </c>
      <c r="P1624" s="705">
        <v>1242</v>
      </c>
      <c r="Q1624">
        <v>460</v>
      </c>
      <c r="R1624" s="705">
        <v>11122</v>
      </c>
      <c r="S1624" s="705">
        <v>10111</v>
      </c>
      <c r="T1624">
        <v>0</v>
      </c>
      <c r="U1624">
        <v>0</v>
      </c>
      <c r="V1624" s="705">
        <v>54240</v>
      </c>
      <c r="W1624" s="705">
        <f t="shared" si="66"/>
        <v>54241</v>
      </c>
      <c r="X1624" s="705">
        <f t="shared" si="67"/>
        <v>64680</v>
      </c>
    </row>
    <row r="1625" spans="2:24">
      <c r="B1625" t="s">
        <v>712</v>
      </c>
      <c r="C1625" t="s">
        <v>112</v>
      </c>
      <c r="D1625" t="s">
        <v>584</v>
      </c>
      <c r="E1625" t="s">
        <v>228</v>
      </c>
      <c r="F1625">
        <v>1</v>
      </c>
      <c r="G1625">
        <v>67</v>
      </c>
      <c r="H1625">
        <v>102</v>
      </c>
      <c r="I1625" s="705">
        <v>2793</v>
      </c>
      <c r="J1625" s="705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705">
        <v>2456</v>
      </c>
      <c r="S1625">
        <v>910</v>
      </c>
      <c r="T1625">
        <v>0</v>
      </c>
      <c r="U1625">
        <v>0</v>
      </c>
      <c r="V1625" s="705">
        <v>4211</v>
      </c>
      <c r="W1625" s="705">
        <f t="shared" si="66"/>
        <v>4211</v>
      </c>
      <c r="X1625" s="705">
        <f t="shared" si="67"/>
        <v>6852</v>
      </c>
    </row>
    <row r="1626" spans="2:24">
      <c r="B1626" t="s">
        <v>712</v>
      </c>
      <c r="C1626" t="s">
        <v>112</v>
      </c>
      <c r="D1626" t="s">
        <v>584</v>
      </c>
      <c r="E1626" t="s">
        <v>584</v>
      </c>
      <c r="F1626">
        <v>153</v>
      </c>
      <c r="G1626" s="705">
        <v>12847</v>
      </c>
      <c r="H1626" s="705">
        <v>17659</v>
      </c>
      <c r="I1626" s="705">
        <v>597249</v>
      </c>
      <c r="J1626" s="705">
        <v>542954</v>
      </c>
      <c r="K1626">
        <v>87</v>
      </c>
      <c r="L1626" s="705">
        <v>46549</v>
      </c>
      <c r="M1626" s="705">
        <v>36268</v>
      </c>
      <c r="N1626" s="705">
        <v>235205</v>
      </c>
      <c r="O1626" s="705">
        <v>87113</v>
      </c>
      <c r="P1626" s="705">
        <v>73594</v>
      </c>
      <c r="Q1626" s="705">
        <v>27257</v>
      </c>
      <c r="R1626" s="705">
        <v>533561</v>
      </c>
      <c r="S1626" s="705">
        <v>485055</v>
      </c>
      <c r="T1626" s="705">
        <v>6908</v>
      </c>
      <c r="U1626" s="705">
        <v>2558</v>
      </c>
      <c r="V1626" s="705">
        <v>1181205</v>
      </c>
      <c r="W1626" s="705">
        <f t="shared" si="66"/>
        <v>1181205</v>
      </c>
      <c r="X1626" s="705">
        <f t="shared" si="67"/>
        <v>1493066</v>
      </c>
    </row>
    <row r="1627" spans="2:24">
      <c r="B1627" t="s">
        <v>712</v>
      </c>
      <c r="C1627" t="s">
        <v>114</v>
      </c>
      <c r="D1627" t="s">
        <v>582</v>
      </c>
      <c r="E1627" t="s">
        <v>582</v>
      </c>
      <c r="F1627">
        <v>4</v>
      </c>
      <c r="G1627">
        <v>421</v>
      </c>
      <c r="H1627">
        <v>565</v>
      </c>
      <c r="I1627" s="705">
        <v>26967</v>
      </c>
      <c r="J1627" s="705">
        <v>24515</v>
      </c>
      <c r="K1627">
        <v>85</v>
      </c>
      <c r="L1627" s="705">
        <v>8396</v>
      </c>
      <c r="M1627" s="705">
        <v>7633</v>
      </c>
      <c r="N1627" s="705">
        <v>9975</v>
      </c>
      <c r="O1627" s="705">
        <v>3694</v>
      </c>
      <c r="P1627" s="705">
        <v>1890</v>
      </c>
      <c r="Q1627">
        <v>700</v>
      </c>
      <c r="R1627" s="705">
        <v>12558</v>
      </c>
      <c r="S1627" s="705">
        <v>11417</v>
      </c>
      <c r="T1627">
        <v>0</v>
      </c>
      <c r="U1627">
        <v>0</v>
      </c>
      <c r="V1627" s="705">
        <v>47959</v>
      </c>
      <c r="W1627" s="705">
        <f t="shared" si="66"/>
        <v>47959</v>
      </c>
      <c r="X1627" s="705">
        <f t="shared" si="67"/>
        <v>59786</v>
      </c>
    </row>
    <row r="1628" spans="2:24">
      <c r="B1628" t="s">
        <v>712</v>
      </c>
      <c r="C1628" t="s">
        <v>114</v>
      </c>
      <c r="D1628" t="s">
        <v>228</v>
      </c>
      <c r="E1628" t="s">
        <v>228</v>
      </c>
      <c r="F1628">
        <v>5</v>
      </c>
      <c r="G1628">
        <v>495</v>
      </c>
      <c r="H1628">
        <v>716</v>
      </c>
      <c r="I1628" s="705">
        <v>22447</v>
      </c>
      <c r="J1628" s="705">
        <v>8314</v>
      </c>
      <c r="K1628">
        <v>130</v>
      </c>
      <c r="L1628" s="705">
        <v>1987</v>
      </c>
      <c r="M1628">
        <v>736</v>
      </c>
      <c r="N1628" s="705">
        <v>11017</v>
      </c>
      <c r="O1628" s="705">
        <v>4081</v>
      </c>
      <c r="P1628" s="705">
        <v>2737</v>
      </c>
      <c r="Q1628" s="705">
        <v>1014</v>
      </c>
      <c r="R1628" s="705">
        <v>33214</v>
      </c>
      <c r="S1628" s="705">
        <v>12301</v>
      </c>
      <c r="T1628">
        <v>0</v>
      </c>
      <c r="U1628">
        <v>0</v>
      </c>
      <c r="V1628" s="705">
        <v>26445</v>
      </c>
      <c r="W1628" s="705">
        <f t="shared" si="66"/>
        <v>26446</v>
      </c>
      <c r="X1628" s="705">
        <f t="shared" si="67"/>
        <v>71402</v>
      </c>
    </row>
    <row r="1629" spans="2:24">
      <c r="B1629" t="s">
        <v>712</v>
      </c>
      <c r="C1629" t="s">
        <v>114</v>
      </c>
      <c r="D1629" t="s">
        <v>583</v>
      </c>
      <c r="E1629" t="s">
        <v>583</v>
      </c>
      <c r="F1629">
        <v>10</v>
      </c>
      <c r="G1629" s="705">
        <v>1287</v>
      </c>
      <c r="H1629" s="705">
        <v>1421</v>
      </c>
      <c r="I1629" s="705">
        <v>95521</v>
      </c>
      <c r="J1629" s="705">
        <v>86837</v>
      </c>
      <c r="K1629">
        <v>89</v>
      </c>
      <c r="L1629" s="705">
        <v>15328</v>
      </c>
      <c r="M1629" s="705">
        <v>13785</v>
      </c>
      <c r="N1629" s="705">
        <v>18159</v>
      </c>
      <c r="O1629" s="705">
        <v>6726</v>
      </c>
      <c r="P1629" s="705">
        <v>6210</v>
      </c>
      <c r="Q1629" s="705">
        <v>2300</v>
      </c>
      <c r="R1629" s="705">
        <v>46355</v>
      </c>
      <c r="S1629" s="705">
        <v>42141</v>
      </c>
      <c r="T1629">
        <v>0</v>
      </c>
      <c r="U1629">
        <v>0</v>
      </c>
      <c r="V1629" s="705">
        <v>151789</v>
      </c>
      <c r="W1629" s="705">
        <f t="shared" si="66"/>
        <v>151789</v>
      </c>
      <c r="X1629" s="705">
        <f t="shared" si="67"/>
        <v>181573</v>
      </c>
    </row>
    <row r="1630" spans="2:24">
      <c r="B1630" t="s">
        <v>712</v>
      </c>
      <c r="C1630" t="s">
        <v>114</v>
      </c>
      <c r="D1630" t="s">
        <v>584</v>
      </c>
      <c r="E1630" t="s">
        <v>584</v>
      </c>
      <c r="F1630">
        <v>249</v>
      </c>
      <c r="G1630" s="705">
        <v>20229</v>
      </c>
      <c r="H1630" s="705">
        <v>34364</v>
      </c>
      <c r="I1630" s="705">
        <v>1211959</v>
      </c>
      <c r="J1630" s="705">
        <v>1101781</v>
      </c>
      <c r="K1630">
        <v>84</v>
      </c>
      <c r="L1630" s="705">
        <v>146069</v>
      </c>
      <c r="M1630" s="705">
        <v>105018</v>
      </c>
      <c r="N1630" s="705">
        <v>381569</v>
      </c>
      <c r="O1630" s="705">
        <v>141322</v>
      </c>
      <c r="P1630" s="705">
        <v>121472</v>
      </c>
      <c r="Q1630" s="705">
        <v>44990</v>
      </c>
      <c r="R1630" s="705">
        <v>905227</v>
      </c>
      <c r="S1630" s="705">
        <v>822934</v>
      </c>
      <c r="T1630" s="705">
        <v>35028</v>
      </c>
      <c r="U1630" s="705">
        <v>12973</v>
      </c>
      <c r="V1630" s="705">
        <v>2229018</v>
      </c>
      <c r="W1630" s="705">
        <f t="shared" si="66"/>
        <v>2229018</v>
      </c>
      <c r="X1630" s="705">
        <f t="shared" si="67"/>
        <v>2801324</v>
      </c>
    </row>
    <row r="1631" spans="2:24">
      <c r="B1631" t="s">
        <v>712</v>
      </c>
      <c r="C1631" t="s">
        <v>116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705">
        <v>4024</v>
      </c>
      <c r="O1631" s="705">
        <v>1490</v>
      </c>
      <c r="P1631" s="705">
        <v>1013</v>
      </c>
      <c r="Q1631">
        <v>375</v>
      </c>
      <c r="S1631">
        <v>0</v>
      </c>
      <c r="T1631">
        <v>0</v>
      </c>
      <c r="U1631">
        <v>0</v>
      </c>
      <c r="V1631" s="705">
        <v>1865</v>
      </c>
      <c r="W1631" s="705">
        <f t="shared" si="66"/>
        <v>1865</v>
      </c>
      <c r="X1631" s="705">
        <f t="shared" si="67"/>
        <v>5037</v>
      </c>
    </row>
    <row r="1632" spans="2:24">
      <c r="B1632" t="s">
        <v>712</v>
      </c>
      <c r="C1632" t="s">
        <v>116</v>
      </c>
      <c r="D1632" t="s">
        <v>582</v>
      </c>
      <c r="E1632" t="s">
        <v>582</v>
      </c>
      <c r="F1632">
        <v>33</v>
      </c>
      <c r="G1632" s="705">
        <v>2357</v>
      </c>
      <c r="H1632" s="705">
        <v>6203</v>
      </c>
      <c r="I1632" s="705">
        <v>234398</v>
      </c>
      <c r="J1632" s="705">
        <v>213089</v>
      </c>
      <c r="K1632">
        <v>79</v>
      </c>
      <c r="L1632" s="705">
        <v>37482</v>
      </c>
      <c r="M1632" s="705">
        <v>29778</v>
      </c>
      <c r="N1632" s="705">
        <v>53831</v>
      </c>
      <c r="O1632" s="705">
        <v>19937</v>
      </c>
      <c r="P1632" s="705">
        <v>12758</v>
      </c>
      <c r="Q1632" s="705">
        <v>4725</v>
      </c>
      <c r="R1632" s="705">
        <v>89069</v>
      </c>
      <c r="S1632" s="705">
        <v>80972</v>
      </c>
      <c r="T1632" s="705">
        <v>2566</v>
      </c>
      <c r="U1632">
        <v>950</v>
      </c>
      <c r="V1632" s="705">
        <v>349452</v>
      </c>
      <c r="W1632" s="705">
        <f t="shared" si="66"/>
        <v>349451</v>
      </c>
      <c r="X1632" s="705">
        <f t="shared" si="67"/>
        <v>430104</v>
      </c>
    </row>
    <row r="1633" spans="2:24">
      <c r="B1633" t="s">
        <v>712</v>
      </c>
      <c r="C1633" t="s">
        <v>116</v>
      </c>
      <c r="D1633" t="s">
        <v>228</v>
      </c>
      <c r="E1633" t="s">
        <v>228</v>
      </c>
      <c r="F1633">
        <v>102</v>
      </c>
      <c r="G1633" s="705">
        <v>7916</v>
      </c>
      <c r="H1633" s="705">
        <v>19827</v>
      </c>
      <c r="I1633" s="705">
        <v>635084</v>
      </c>
      <c r="J1633" s="705">
        <v>235216</v>
      </c>
      <c r="K1633">
        <v>103</v>
      </c>
      <c r="L1633" s="705">
        <v>57083</v>
      </c>
      <c r="M1633" s="705">
        <v>21142</v>
      </c>
      <c r="N1633" s="705">
        <v>157285</v>
      </c>
      <c r="O1633" s="705">
        <v>58254</v>
      </c>
      <c r="P1633" s="705">
        <v>12612</v>
      </c>
      <c r="Q1633" s="705">
        <v>4671</v>
      </c>
      <c r="R1633" s="705">
        <v>666616</v>
      </c>
      <c r="S1633" s="705">
        <v>246895</v>
      </c>
      <c r="T1633">
        <v>0</v>
      </c>
      <c r="U1633">
        <v>0</v>
      </c>
      <c r="V1633" s="705">
        <v>566178</v>
      </c>
      <c r="W1633" s="705">
        <f t="shared" si="66"/>
        <v>566178</v>
      </c>
      <c r="X1633" s="705">
        <f t="shared" si="67"/>
        <v>1528680</v>
      </c>
    </row>
    <row r="1634" spans="2:24">
      <c r="B1634" t="s">
        <v>712</v>
      </c>
      <c r="C1634" t="s">
        <v>116</v>
      </c>
      <c r="D1634" t="s">
        <v>583</v>
      </c>
      <c r="E1634" t="s">
        <v>583</v>
      </c>
      <c r="F1634">
        <v>25</v>
      </c>
      <c r="G1634" s="705">
        <v>3937</v>
      </c>
      <c r="H1634" s="705">
        <v>4614</v>
      </c>
      <c r="I1634" s="705">
        <v>416430</v>
      </c>
      <c r="J1634" s="705">
        <v>378573</v>
      </c>
      <c r="K1634">
        <v>86</v>
      </c>
      <c r="L1634" s="705">
        <v>99615</v>
      </c>
      <c r="M1634" s="705">
        <v>87446</v>
      </c>
      <c r="N1634" s="705">
        <v>80418</v>
      </c>
      <c r="O1634" s="705">
        <v>29784</v>
      </c>
      <c r="P1634" s="705">
        <v>15525</v>
      </c>
      <c r="Q1634" s="705">
        <v>5750</v>
      </c>
      <c r="R1634" s="705">
        <v>120676</v>
      </c>
      <c r="S1634" s="705">
        <v>109705</v>
      </c>
      <c r="T1634" s="705">
        <v>26528</v>
      </c>
      <c r="U1634" s="705">
        <v>9825</v>
      </c>
      <c r="V1634" s="705">
        <v>621084</v>
      </c>
      <c r="W1634" s="705">
        <f t="shared" si="66"/>
        <v>621083</v>
      </c>
      <c r="X1634" s="705">
        <f t="shared" si="67"/>
        <v>759192</v>
      </c>
    </row>
    <row r="1635" spans="2:24">
      <c r="B1635" t="s">
        <v>712</v>
      </c>
      <c r="C1635" t="s">
        <v>116</v>
      </c>
      <c r="D1635" t="s">
        <v>584</v>
      </c>
      <c r="E1635" t="s">
        <v>228</v>
      </c>
      <c r="F1635">
        <v>2</v>
      </c>
      <c r="G1635">
        <v>167</v>
      </c>
      <c r="H1635">
        <v>416</v>
      </c>
      <c r="I1635" s="705">
        <v>8231</v>
      </c>
      <c r="J1635" s="705">
        <v>7483</v>
      </c>
      <c r="K1635">
        <v>73</v>
      </c>
      <c r="L1635" s="705">
        <v>1558</v>
      </c>
      <c r="M1635">
        <v>577</v>
      </c>
      <c r="N1635" s="705">
        <v>2776</v>
      </c>
      <c r="O1635" s="705">
        <v>1028</v>
      </c>
      <c r="P1635">
        <v>945</v>
      </c>
      <c r="Q1635">
        <v>350</v>
      </c>
      <c r="R1635" s="705">
        <v>21882</v>
      </c>
      <c r="S1635" s="705">
        <v>8104</v>
      </c>
      <c r="T1635">
        <v>0</v>
      </c>
      <c r="U1635">
        <v>0</v>
      </c>
      <c r="V1635" s="705">
        <v>17542</v>
      </c>
      <c r="W1635" s="705">
        <f t="shared" si="66"/>
        <v>17542</v>
      </c>
      <c r="X1635" s="705">
        <f t="shared" si="67"/>
        <v>35392</v>
      </c>
    </row>
    <row r="1636" spans="2:24">
      <c r="B1636" t="s">
        <v>712</v>
      </c>
      <c r="C1636" t="s">
        <v>116</v>
      </c>
      <c r="D1636" t="s">
        <v>584</v>
      </c>
      <c r="E1636" t="s">
        <v>584</v>
      </c>
      <c r="F1636">
        <v>715</v>
      </c>
      <c r="G1636" s="705">
        <v>54522</v>
      </c>
      <c r="H1636" s="705">
        <v>130634</v>
      </c>
      <c r="I1636" s="705">
        <v>4740204</v>
      </c>
      <c r="J1636" s="705">
        <v>4309277</v>
      </c>
      <c r="K1636">
        <v>81</v>
      </c>
      <c r="L1636" s="705">
        <v>645269</v>
      </c>
      <c r="M1636" s="705">
        <v>463354</v>
      </c>
      <c r="N1636" s="705">
        <v>1092747</v>
      </c>
      <c r="O1636" s="705">
        <v>404721</v>
      </c>
      <c r="P1636" s="705">
        <v>346503</v>
      </c>
      <c r="Q1636" s="705">
        <v>128335</v>
      </c>
      <c r="R1636" s="705">
        <v>2752156</v>
      </c>
      <c r="S1636" s="705">
        <v>2501960</v>
      </c>
      <c r="T1636" s="705">
        <v>343379</v>
      </c>
      <c r="U1636" s="705">
        <v>127177</v>
      </c>
      <c r="V1636" s="705">
        <v>7934824</v>
      </c>
      <c r="W1636" s="705">
        <f t="shared" si="66"/>
        <v>7934824</v>
      </c>
      <c r="X1636" s="705">
        <f t="shared" si="67"/>
        <v>9920258</v>
      </c>
    </row>
    <row r="1637" spans="2:24">
      <c r="B1637" t="s">
        <v>712</v>
      </c>
      <c r="C1637" t="s">
        <v>118</v>
      </c>
      <c r="F1637">
        <v>4</v>
      </c>
      <c r="G1637">
        <v>201</v>
      </c>
      <c r="H1637" s="705">
        <v>1123</v>
      </c>
      <c r="J1637">
        <v>0</v>
      </c>
      <c r="M1637">
        <v>0</v>
      </c>
      <c r="N1637" s="705">
        <v>3432</v>
      </c>
      <c r="O1637" s="705">
        <v>1271</v>
      </c>
      <c r="P1637" s="705">
        <v>1431</v>
      </c>
      <c r="Q1637">
        <v>530</v>
      </c>
      <c r="S1637">
        <v>0</v>
      </c>
      <c r="T1637" s="705">
        <v>1747</v>
      </c>
      <c r="U1637">
        <v>647</v>
      </c>
      <c r="V1637" s="705">
        <v>2448</v>
      </c>
      <c r="W1637" s="705">
        <f t="shared" si="66"/>
        <v>2448</v>
      </c>
      <c r="X1637" s="705">
        <f t="shared" si="67"/>
        <v>6610</v>
      </c>
    </row>
    <row r="1638" spans="2:24">
      <c r="B1638" t="s">
        <v>712</v>
      </c>
      <c r="C1638" t="s">
        <v>118</v>
      </c>
      <c r="D1638" t="s">
        <v>582</v>
      </c>
      <c r="E1638" t="s">
        <v>582</v>
      </c>
      <c r="F1638">
        <v>4</v>
      </c>
      <c r="G1638">
        <v>196</v>
      </c>
      <c r="H1638">
        <v>988</v>
      </c>
      <c r="I1638" s="705">
        <v>29088</v>
      </c>
      <c r="J1638" s="705">
        <v>26444</v>
      </c>
      <c r="K1638">
        <v>78</v>
      </c>
      <c r="L1638" s="705">
        <v>5010</v>
      </c>
      <c r="M1638" s="705">
        <v>2569</v>
      </c>
      <c r="N1638" s="705">
        <v>3853</v>
      </c>
      <c r="O1638" s="705">
        <v>1427</v>
      </c>
      <c r="P1638">
        <v>945</v>
      </c>
      <c r="Q1638">
        <v>350</v>
      </c>
      <c r="R1638" s="705">
        <v>9388</v>
      </c>
      <c r="S1638" s="705">
        <v>8535</v>
      </c>
      <c r="T1638">
        <v>0</v>
      </c>
      <c r="U1638">
        <v>0</v>
      </c>
      <c r="V1638" s="705">
        <v>39325</v>
      </c>
      <c r="W1638" s="705">
        <f t="shared" si="66"/>
        <v>39325</v>
      </c>
      <c r="X1638" s="705">
        <f t="shared" si="67"/>
        <v>48284</v>
      </c>
    </row>
    <row r="1639" spans="2:24">
      <c r="B1639" t="s">
        <v>712</v>
      </c>
      <c r="C1639" t="s">
        <v>118</v>
      </c>
      <c r="D1639" t="s">
        <v>228</v>
      </c>
      <c r="E1639" t="s">
        <v>228</v>
      </c>
      <c r="F1639">
        <v>198</v>
      </c>
      <c r="G1639" s="705">
        <v>12687</v>
      </c>
      <c r="H1639" s="705">
        <v>52138</v>
      </c>
      <c r="I1639" s="705">
        <v>1713101</v>
      </c>
      <c r="J1639" s="705">
        <v>634482</v>
      </c>
      <c r="K1639">
        <v>100</v>
      </c>
      <c r="L1639" s="705">
        <v>185273</v>
      </c>
      <c r="M1639" s="705">
        <v>82086</v>
      </c>
      <c r="N1639" s="705">
        <v>244608</v>
      </c>
      <c r="O1639" s="705">
        <v>90596</v>
      </c>
      <c r="P1639" s="705">
        <v>1053</v>
      </c>
      <c r="Q1639">
        <v>390</v>
      </c>
      <c r="R1639" s="705">
        <v>1198530</v>
      </c>
      <c r="S1639" s="705">
        <v>443900</v>
      </c>
      <c r="T1639">
        <v>0</v>
      </c>
      <c r="U1639">
        <v>0</v>
      </c>
      <c r="V1639" s="705">
        <v>1251454</v>
      </c>
      <c r="W1639" s="705">
        <f t="shared" si="66"/>
        <v>1251454</v>
      </c>
      <c r="X1639" s="705">
        <f t="shared" si="67"/>
        <v>3342565</v>
      </c>
    </row>
    <row r="1640" spans="2:24">
      <c r="B1640" t="s">
        <v>712</v>
      </c>
      <c r="C1640" t="s">
        <v>118</v>
      </c>
      <c r="D1640" t="s">
        <v>583</v>
      </c>
      <c r="E1640" t="s">
        <v>228</v>
      </c>
      <c r="F1640">
        <v>1</v>
      </c>
      <c r="G1640">
        <v>52</v>
      </c>
      <c r="H1640">
        <v>282</v>
      </c>
      <c r="I1640" s="705">
        <v>9482</v>
      </c>
      <c r="J1640" s="705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705">
        <v>4003</v>
      </c>
      <c r="S1640" s="705">
        <v>1483</v>
      </c>
      <c r="T1640">
        <v>0</v>
      </c>
      <c r="U1640">
        <v>0</v>
      </c>
      <c r="V1640" s="705">
        <v>10569</v>
      </c>
      <c r="W1640" s="705">
        <f t="shared" si="66"/>
        <v>10569</v>
      </c>
      <c r="X1640" s="705">
        <f t="shared" si="67"/>
        <v>14743</v>
      </c>
    </row>
    <row r="1641" spans="2:24">
      <c r="B1641" t="s">
        <v>712</v>
      </c>
      <c r="C1641" t="s">
        <v>118</v>
      </c>
      <c r="D1641" t="s">
        <v>583</v>
      </c>
      <c r="E1641" t="s">
        <v>583</v>
      </c>
      <c r="F1641">
        <v>21</v>
      </c>
      <c r="G1641" s="705">
        <v>2615</v>
      </c>
      <c r="H1641" s="705">
        <v>5650</v>
      </c>
      <c r="I1641" s="705">
        <v>403998</v>
      </c>
      <c r="J1641" s="705">
        <v>367271</v>
      </c>
      <c r="K1641">
        <v>79</v>
      </c>
      <c r="L1641" s="705">
        <v>79720</v>
      </c>
      <c r="M1641" s="705">
        <v>71017</v>
      </c>
      <c r="N1641" s="705">
        <v>48508</v>
      </c>
      <c r="O1641" s="705">
        <v>17966</v>
      </c>
      <c r="P1641" s="705">
        <v>13743</v>
      </c>
      <c r="Q1641" s="705">
        <v>5090</v>
      </c>
      <c r="R1641" s="705">
        <v>119278</v>
      </c>
      <c r="S1641" s="705">
        <v>108434</v>
      </c>
      <c r="T1641" s="705">
        <v>33582</v>
      </c>
      <c r="U1641" s="705">
        <v>12438</v>
      </c>
      <c r="V1641" s="705">
        <v>582216</v>
      </c>
      <c r="W1641" s="705">
        <f t="shared" si="66"/>
        <v>582216</v>
      </c>
      <c r="X1641" s="705">
        <f t="shared" si="67"/>
        <v>698829</v>
      </c>
    </row>
    <row r="1642" spans="2:24">
      <c r="B1642" t="s">
        <v>712</v>
      </c>
      <c r="C1642" t="s">
        <v>118</v>
      </c>
      <c r="D1642" t="s">
        <v>584</v>
      </c>
      <c r="E1642" t="s">
        <v>228</v>
      </c>
      <c r="F1642">
        <v>1</v>
      </c>
      <c r="G1642">
        <v>54</v>
      </c>
      <c r="H1642">
        <v>225</v>
      </c>
      <c r="I1642" s="705">
        <v>6489</v>
      </c>
      <c r="J1642" s="705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705">
        <v>4336</v>
      </c>
      <c r="S1642" s="705">
        <v>1606</v>
      </c>
      <c r="T1642">
        <v>0</v>
      </c>
      <c r="U1642">
        <v>0</v>
      </c>
      <c r="V1642" s="705">
        <v>8007</v>
      </c>
      <c r="W1642" s="705">
        <f t="shared" si="66"/>
        <v>8007</v>
      </c>
      <c r="X1642" s="705">
        <f t="shared" si="67"/>
        <v>12180</v>
      </c>
    </row>
    <row r="1643" spans="2:24">
      <c r="B1643" t="s">
        <v>712</v>
      </c>
      <c r="C1643" t="s">
        <v>118</v>
      </c>
      <c r="D1643" t="s">
        <v>584</v>
      </c>
      <c r="E1643" t="s">
        <v>584</v>
      </c>
      <c r="F1643">
        <v>150</v>
      </c>
      <c r="G1643" s="705">
        <v>9985</v>
      </c>
      <c r="H1643" s="705">
        <v>37573</v>
      </c>
      <c r="I1643" s="705">
        <v>1256518</v>
      </c>
      <c r="J1643" s="705">
        <v>1142289</v>
      </c>
      <c r="K1643">
        <v>78</v>
      </c>
      <c r="L1643" s="705">
        <v>245938</v>
      </c>
      <c r="M1643" s="705">
        <v>202948</v>
      </c>
      <c r="N1643" s="705">
        <v>201147</v>
      </c>
      <c r="O1643" s="705">
        <v>74499</v>
      </c>
      <c r="P1643" s="705">
        <v>71866</v>
      </c>
      <c r="Q1643" s="705">
        <v>26617</v>
      </c>
      <c r="R1643" s="705">
        <v>602561</v>
      </c>
      <c r="S1643" s="705">
        <v>547783</v>
      </c>
      <c r="T1643" s="705">
        <v>125418</v>
      </c>
      <c r="U1643" s="705">
        <v>46451</v>
      </c>
      <c r="V1643" s="705">
        <v>2040588</v>
      </c>
      <c r="W1643" s="705">
        <f t="shared" ref="W1643:W1706" si="68">SUM(ABS(J1643),ABS(M1643),ABS(O1643),ABS(Q1643),ABS(S1643),ABS(U1643))</f>
        <v>2040587</v>
      </c>
      <c r="X1643" s="705">
        <f t="shared" ref="X1643:X1706" si="69">SUM(ABS(I1643),ABS(N1643),ABS(P1643),ABS(R1643),ABS(T1643),ABS(L1643))</f>
        <v>2503448</v>
      </c>
    </row>
    <row r="1644" spans="2:24">
      <c r="B1644" t="s">
        <v>712</v>
      </c>
      <c r="C1644" t="s">
        <v>120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705">
        <v>1091</v>
      </c>
      <c r="U1644">
        <v>404</v>
      </c>
      <c r="V1644">
        <v>916</v>
      </c>
      <c r="W1644" s="705">
        <f t="shared" si="68"/>
        <v>916</v>
      </c>
      <c r="X1644" s="705">
        <f t="shared" si="69"/>
        <v>2474</v>
      </c>
    </row>
    <row r="1645" spans="2:24">
      <c r="B1645" t="s">
        <v>712</v>
      </c>
      <c r="C1645" t="s">
        <v>120</v>
      </c>
      <c r="D1645" t="s">
        <v>228</v>
      </c>
      <c r="E1645" t="s">
        <v>228</v>
      </c>
      <c r="F1645">
        <v>160</v>
      </c>
      <c r="G1645" s="705">
        <v>9451</v>
      </c>
      <c r="H1645" s="705">
        <v>53529</v>
      </c>
      <c r="I1645" s="705">
        <v>1782876</v>
      </c>
      <c r="J1645" s="705">
        <v>660325</v>
      </c>
      <c r="K1645">
        <v>100</v>
      </c>
      <c r="L1645" s="705">
        <v>222626</v>
      </c>
      <c r="M1645" s="705">
        <v>105662</v>
      </c>
      <c r="N1645" s="705">
        <v>181730</v>
      </c>
      <c r="O1645" s="705">
        <v>67308</v>
      </c>
      <c r="P1645" s="705">
        <v>3337</v>
      </c>
      <c r="Q1645" s="705">
        <v>1236</v>
      </c>
      <c r="R1645" s="705">
        <v>961008</v>
      </c>
      <c r="S1645" s="705">
        <v>355929</v>
      </c>
      <c r="T1645" s="705">
        <v>3488</v>
      </c>
      <c r="U1645" s="705">
        <v>1292</v>
      </c>
      <c r="V1645" s="705">
        <v>1191751</v>
      </c>
      <c r="W1645" s="705">
        <f t="shared" si="68"/>
        <v>1191752</v>
      </c>
      <c r="X1645" s="705">
        <f t="shared" si="69"/>
        <v>3155065</v>
      </c>
    </row>
    <row r="1646" spans="2:24">
      <c r="B1646" t="s">
        <v>712</v>
      </c>
      <c r="C1646" t="s">
        <v>120</v>
      </c>
      <c r="D1646" t="s">
        <v>583</v>
      </c>
      <c r="E1646" t="s">
        <v>582</v>
      </c>
      <c r="F1646">
        <v>1</v>
      </c>
      <c r="G1646">
        <v>103</v>
      </c>
      <c r="H1646">
        <v>344</v>
      </c>
      <c r="I1646" s="705">
        <v>19255</v>
      </c>
      <c r="J1646" s="705">
        <v>17504</v>
      </c>
      <c r="K1646">
        <v>83</v>
      </c>
      <c r="L1646" s="705">
        <v>5620</v>
      </c>
      <c r="M1646" s="705">
        <v>5109</v>
      </c>
      <c r="N1646" s="705">
        <v>1470</v>
      </c>
      <c r="O1646">
        <v>544</v>
      </c>
      <c r="P1646">
        <v>621</v>
      </c>
      <c r="Q1646">
        <v>230</v>
      </c>
      <c r="R1646" s="705">
        <v>8531</v>
      </c>
      <c r="S1646" s="705">
        <v>7755</v>
      </c>
      <c r="T1646">
        <v>0</v>
      </c>
      <c r="U1646">
        <v>0</v>
      </c>
      <c r="V1646" s="705">
        <v>31143</v>
      </c>
      <c r="W1646" s="705">
        <f t="shared" si="68"/>
        <v>31142</v>
      </c>
      <c r="X1646" s="705">
        <f t="shared" si="69"/>
        <v>35497</v>
      </c>
    </row>
    <row r="1647" spans="2:24">
      <c r="B1647" t="s">
        <v>712</v>
      </c>
      <c r="C1647" t="s">
        <v>120</v>
      </c>
      <c r="D1647" t="s">
        <v>583</v>
      </c>
      <c r="E1647" t="s">
        <v>583</v>
      </c>
      <c r="F1647">
        <v>10</v>
      </c>
      <c r="G1647">
        <v>984</v>
      </c>
      <c r="H1647" s="705">
        <v>3452</v>
      </c>
      <c r="I1647" s="705">
        <v>203369</v>
      </c>
      <c r="J1647" s="705">
        <v>184881</v>
      </c>
      <c r="K1647">
        <v>78</v>
      </c>
      <c r="L1647" s="705">
        <v>48676</v>
      </c>
      <c r="M1647" s="705">
        <v>43115</v>
      </c>
      <c r="N1647" s="705">
        <v>20368</v>
      </c>
      <c r="O1647" s="705">
        <v>7544</v>
      </c>
      <c r="P1647" s="705">
        <v>7067</v>
      </c>
      <c r="Q1647" s="705">
        <v>2618</v>
      </c>
      <c r="R1647" s="705">
        <v>46692</v>
      </c>
      <c r="S1647" s="705">
        <v>42447</v>
      </c>
      <c r="T1647" s="705">
        <v>15976</v>
      </c>
      <c r="U1647" s="705">
        <v>5917</v>
      </c>
      <c r="V1647" s="705">
        <v>286521</v>
      </c>
      <c r="W1647" s="705">
        <f t="shared" si="68"/>
        <v>286522</v>
      </c>
      <c r="X1647" s="705">
        <f t="shared" si="69"/>
        <v>342148</v>
      </c>
    </row>
    <row r="1648" spans="2:24">
      <c r="B1648" t="s">
        <v>712</v>
      </c>
      <c r="C1648" t="s">
        <v>120</v>
      </c>
      <c r="D1648" t="s">
        <v>584</v>
      </c>
      <c r="E1648" t="s">
        <v>228</v>
      </c>
      <c r="F1648">
        <v>1</v>
      </c>
      <c r="G1648">
        <v>51</v>
      </c>
      <c r="H1648">
        <v>364</v>
      </c>
      <c r="I1648" s="705">
        <v>12742</v>
      </c>
      <c r="J1648" s="705">
        <v>11584</v>
      </c>
      <c r="K1648">
        <v>73</v>
      </c>
      <c r="L1648">
        <v>0</v>
      </c>
      <c r="M1648">
        <v>0</v>
      </c>
      <c r="N1648" s="705">
        <v>1233</v>
      </c>
      <c r="O1648">
        <v>456</v>
      </c>
      <c r="P1648">
        <v>473</v>
      </c>
      <c r="Q1648">
        <v>175</v>
      </c>
      <c r="R1648" s="705">
        <v>3968</v>
      </c>
      <c r="S1648" s="705">
        <v>1470</v>
      </c>
      <c r="T1648">
        <v>0</v>
      </c>
      <c r="U1648">
        <v>0</v>
      </c>
      <c r="V1648" s="705">
        <v>13685</v>
      </c>
      <c r="W1648" s="705">
        <f t="shared" si="68"/>
        <v>13685</v>
      </c>
      <c r="X1648" s="705">
        <f t="shared" si="69"/>
        <v>18416</v>
      </c>
    </row>
    <row r="1649" spans="2:24">
      <c r="B1649" t="s">
        <v>712</v>
      </c>
      <c r="C1649" t="s">
        <v>120</v>
      </c>
      <c r="D1649" t="s">
        <v>584</v>
      </c>
      <c r="E1649" t="s">
        <v>584</v>
      </c>
      <c r="F1649">
        <v>44</v>
      </c>
      <c r="G1649" s="705">
        <v>2483</v>
      </c>
      <c r="H1649" s="705">
        <v>14499</v>
      </c>
      <c r="I1649" s="705">
        <v>470424</v>
      </c>
      <c r="J1649" s="705">
        <v>427658</v>
      </c>
      <c r="K1649">
        <v>78</v>
      </c>
      <c r="L1649" s="705">
        <v>78504</v>
      </c>
      <c r="M1649" s="705">
        <v>69011</v>
      </c>
      <c r="N1649" s="705">
        <v>52062</v>
      </c>
      <c r="O1649" s="705">
        <v>19282</v>
      </c>
      <c r="P1649" s="705">
        <v>20790</v>
      </c>
      <c r="Q1649" s="705">
        <v>7700</v>
      </c>
      <c r="R1649" s="705">
        <v>165227</v>
      </c>
      <c r="S1649" s="705">
        <v>150207</v>
      </c>
      <c r="T1649" s="705">
        <v>38416</v>
      </c>
      <c r="U1649" s="705">
        <v>14228</v>
      </c>
      <c r="V1649" s="705">
        <v>688086</v>
      </c>
      <c r="W1649" s="705">
        <f t="shared" si="68"/>
        <v>688086</v>
      </c>
      <c r="X1649" s="705">
        <f t="shared" si="69"/>
        <v>825423</v>
      </c>
    </row>
    <row r="1650" spans="2:24">
      <c r="B1650" t="s">
        <v>712</v>
      </c>
      <c r="C1650" t="s">
        <v>120</v>
      </c>
      <c r="D1650" t="s">
        <v>665</v>
      </c>
      <c r="E1650" t="s">
        <v>665</v>
      </c>
      <c r="F1650">
        <v>1</v>
      </c>
      <c r="G1650">
        <v>59</v>
      </c>
      <c r="H1650">
        <v>329</v>
      </c>
      <c r="I1650" s="705">
        <v>12522</v>
      </c>
      <c r="J1650" s="705">
        <v>11383</v>
      </c>
      <c r="K1650">
        <v>73</v>
      </c>
      <c r="L1650">
        <v>0</v>
      </c>
      <c r="M1650">
        <v>0</v>
      </c>
      <c r="N1650" s="705">
        <v>1448</v>
      </c>
      <c r="O1650">
        <v>536</v>
      </c>
      <c r="P1650">
        <v>351</v>
      </c>
      <c r="Q1650">
        <v>130</v>
      </c>
      <c r="R1650" s="705">
        <v>3349</v>
      </c>
      <c r="S1650" s="705">
        <v>3045</v>
      </c>
      <c r="T1650" s="705">
        <v>1882</v>
      </c>
      <c r="U1650">
        <v>697</v>
      </c>
      <c r="V1650" s="705">
        <v>15792</v>
      </c>
      <c r="W1650" s="705">
        <f t="shared" si="68"/>
        <v>15791</v>
      </c>
      <c r="X1650" s="705">
        <f t="shared" si="69"/>
        <v>19552</v>
      </c>
    </row>
    <row r="1651" spans="2:24">
      <c r="B1651" t="s">
        <v>712</v>
      </c>
      <c r="C1651" t="s">
        <v>122</v>
      </c>
      <c r="D1651" t="s">
        <v>228</v>
      </c>
      <c r="E1651" t="s">
        <v>228</v>
      </c>
      <c r="F1651">
        <v>55</v>
      </c>
      <c r="G1651" s="705">
        <v>2932</v>
      </c>
      <c r="H1651" s="705">
        <v>22505</v>
      </c>
      <c r="I1651" s="705">
        <v>730870</v>
      </c>
      <c r="J1651" s="705">
        <v>270693</v>
      </c>
      <c r="K1651">
        <v>100</v>
      </c>
      <c r="L1651" s="705">
        <v>73961</v>
      </c>
      <c r="M1651" s="705">
        <v>41070</v>
      </c>
      <c r="N1651" s="705">
        <v>59587</v>
      </c>
      <c r="O1651" s="705">
        <v>22069</v>
      </c>
      <c r="P1651" s="705">
        <v>1477</v>
      </c>
      <c r="Q1651">
        <v>547</v>
      </c>
      <c r="R1651" s="705">
        <v>335901</v>
      </c>
      <c r="S1651" s="705">
        <v>124408</v>
      </c>
      <c r="T1651">
        <v>0</v>
      </c>
      <c r="U1651">
        <v>0</v>
      </c>
      <c r="V1651" s="705">
        <v>458787</v>
      </c>
      <c r="W1651" s="705">
        <f t="shared" si="68"/>
        <v>458787</v>
      </c>
      <c r="X1651" s="705">
        <f t="shared" si="69"/>
        <v>1201796</v>
      </c>
    </row>
    <row r="1652" spans="2:24">
      <c r="B1652" t="s">
        <v>712</v>
      </c>
      <c r="C1652" t="s">
        <v>122</v>
      </c>
      <c r="D1652" t="s">
        <v>583</v>
      </c>
      <c r="E1652" t="s">
        <v>228</v>
      </c>
      <c r="F1652">
        <v>1</v>
      </c>
      <c r="G1652">
        <v>110</v>
      </c>
      <c r="H1652">
        <v>397</v>
      </c>
      <c r="I1652" s="705">
        <v>25659</v>
      </c>
      <c r="J1652" s="705">
        <v>23326</v>
      </c>
      <c r="K1652">
        <v>65</v>
      </c>
      <c r="L1652" s="705">
        <v>5873</v>
      </c>
      <c r="M1652" s="705">
        <v>5339</v>
      </c>
      <c r="N1652" s="705">
        <v>2674</v>
      </c>
      <c r="O1652">
        <v>990</v>
      </c>
      <c r="P1652">
        <v>621</v>
      </c>
      <c r="Q1652">
        <v>230</v>
      </c>
      <c r="R1652" s="705">
        <v>8778</v>
      </c>
      <c r="S1652" s="705">
        <v>3251</v>
      </c>
      <c r="T1652">
        <v>0</v>
      </c>
      <c r="U1652">
        <v>0</v>
      </c>
      <c r="V1652" s="705">
        <v>33137</v>
      </c>
      <c r="W1652" s="705">
        <f t="shared" si="68"/>
        <v>33136</v>
      </c>
      <c r="X1652" s="705">
        <f t="shared" si="69"/>
        <v>43605</v>
      </c>
    </row>
    <row r="1653" spans="2:24">
      <c r="B1653" t="s">
        <v>712</v>
      </c>
      <c r="C1653" t="s">
        <v>122</v>
      </c>
      <c r="D1653" t="s">
        <v>583</v>
      </c>
      <c r="E1653" t="s">
        <v>583</v>
      </c>
      <c r="F1653">
        <v>13</v>
      </c>
      <c r="G1653" s="705">
        <v>1086</v>
      </c>
      <c r="H1653" s="705">
        <v>5313</v>
      </c>
      <c r="I1653" s="705">
        <v>280672</v>
      </c>
      <c r="J1653" s="705">
        <v>255156</v>
      </c>
      <c r="K1653">
        <v>74</v>
      </c>
      <c r="L1653" s="705">
        <v>56920</v>
      </c>
      <c r="M1653" s="705">
        <v>48160</v>
      </c>
      <c r="N1653" s="705">
        <v>21427</v>
      </c>
      <c r="O1653" s="705">
        <v>7936</v>
      </c>
      <c r="P1653" s="705">
        <v>8073</v>
      </c>
      <c r="Q1653" s="705">
        <v>2990</v>
      </c>
      <c r="R1653" s="705">
        <v>56077</v>
      </c>
      <c r="S1653" s="705">
        <v>50979</v>
      </c>
      <c r="T1653" s="705">
        <v>28750</v>
      </c>
      <c r="U1653" s="705">
        <v>10648</v>
      </c>
      <c r="V1653" s="705">
        <v>375868</v>
      </c>
      <c r="W1653" s="705">
        <f t="shared" si="68"/>
        <v>375869</v>
      </c>
      <c r="X1653" s="705">
        <f t="shared" si="69"/>
        <v>451919</v>
      </c>
    </row>
    <row r="1654" spans="2:24">
      <c r="B1654" t="s">
        <v>712</v>
      </c>
      <c r="C1654" t="s">
        <v>122</v>
      </c>
      <c r="D1654" t="s">
        <v>584</v>
      </c>
      <c r="E1654" t="s">
        <v>584</v>
      </c>
      <c r="F1654">
        <v>12</v>
      </c>
      <c r="G1654">
        <v>742</v>
      </c>
      <c r="H1654" s="705">
        <v>4954</v>
      </c>
      <c r="I1654" s="705">
        <v>209421</v>
      </c>
      <c r="J1654" s="705">
        <v>190383</v>
      </c>
      <c r="K1654">
        <v>76</v>
      </c>
      <c r="L1654" s="705">
        <v>18604</v>
      </c>
      <c r="M1654" s="705">
        <v>16090</v>
      </c>
      <c r="N1654" s="705">
        <v>14402</v>
      </c>
      <c r="O1654" s="705">
        <v>5334</v>
      </c>
      <c r="P1654" s="705">
        <v>5670</v>
      </c>
      <c r="Q1654" s="705">
        <v>2100</v>
      </c>
      <c r="R1654" s="705">
        <v>43157</v>
      </c>
      <c r="S1654" s="705">
        <v>39233</v>
      </c>
      <c r="T1654" s="705">
        <v>14812</v>
      </c>
      <c r="U1654" s="705">
        <v>5486</v>
      </c>
      <c r="V1654" s="705">
        <v>258626</v>
      </c>
      <c r="W1654" s="705">
        <f t="shared" si="68"/>
        <v>258626</v>
      </c>
      <c r="X1654" s="705">
        <f t="shared" si="69"/>
        <v>306066</v>
      </c>
    </row>
    <row r="1655" spans="2:24">
      <c r="B1655" t="s">
        <v>712</v>
      </c>
      <c r="C1655" t="s">
        <v>122</v>
      </c>
      <c r="D1655" t="s">
        <v>669</v>
      </c>
      <c r="E1655" t="s">
        <v>669</v>
      </c>
      <c r="F1655">
        <v>2</v>
      </c>
      <c r="G1655">
        <v>186</v>
      </c>
      <c r="H1655">
        <v>851</v>
      </c>
      <c r="I1655" s="705">
        <v>53976</v>
      </c>
      <c r="J1655" s="705">
        <v>44980</v>
      </c>
      <c r="K1655">
        <v>53</v>
      </c>
      <c r="L1655" s="705">
        <v>5173</v>
      </c>
      <c r="M1655" s="705">
        <v>4311</v>
      </c>
      <c r="N1655" s="705">
        <v>3735</v>
      </c>
      <c r="O1655" s="705">
        <v>1383</v>
      </c>
      <c r="P1655">
        <v>351</v>
      </c>
      <c r="Q1655">
        <v>130</v>
      </c>
      <c r="R1655" s="705">
        <v>11439</v>
      </c>
      <c r="S1655" s="705">
        <v>9532</v>
      </c>
      <c r="T1655" s="705">
        <v>4493</v>
      </c>
      <c r="U1655" s="705">
        <v>1664</v>
      </c>
      <c r="V1655" s="705">
        <v>62001</v>
      </c>
      <c r="W1655" s="705">
        <f t="shared" si="68"/>
        <v>62000</v>
      </c>
      <c r="X1655" s="705">
        <f t="shared" si="69"/>
        <v>79167</v>
      </c>
    </row>
    <row r="1656" spans="2:24">
      <c r="B1656" t="s">
        <v>712</v>
      </c>
      <c r="C1656" t="s">
        <v>124</v>
      </c>
      <c r="D1656" t="s">
        <v>228</v>
      </c>
      <c r="E1656" t="s">
        <v>228</v>
      </c>
      <c r="F1656">
        <v>59</v>
      </c>
      <c r="G1656" s="705">
        <v>3257</v>
      </c>
      <c r="H1656" s="705">
        <v>37707</v>
      </c>
      <c r="I1656" s="705">
        <v>1457268</v>
      </c>
      <c r="J1656" s="705">
        <v>539729</v>
      </c>
      <c r="K1656">
        <v>100</v>
      </c>
      <c r="L1656" s="705">
        <v>147002</v>
      </c>
      <c r="M1656" s="705">
        <v>94945</v>
      </c>
      <c r="N1656" s="705">
        <v>70664</v>
      </c>
      <c r="O1656" s="705">
        <v>26172</v>
      </c>
      <c r="P1656" s="705">
        <v>2334</v>
      </c>
      <c r="Q1656">
        <v>864</v>
      </c>
      <c r="R1656" s="705">
        <v>333255</v>
      </c>
      <c r="S1656" s="705">
        <v>123428</v>
      </c>
      <c r="T1656">
        <v>0</v>
      </c>
      <c r="U1656">
        <v>0</v>
      </c>
      <c r="V1656" s="705">
        <v>785138</v>
      </c>
      <c r="W1656" s="705">
        <f t="shared" si="68"/>
        <v>785138</v>
      </c>
      <c r="X1656" s="705">
        <f t="shared" si="69"/>
        <v>2010523</v>
      </c>
    </row>
    <row r="1657" spans="2:24">
      <c r="B1657" t="s">
        <v>712</v>
      </c>
      <c r="C1657" t="s">
        <v>124</v>
      </c>
      <c r="D1657" t="s">
        <v>583</v>
      </c>
      <c r="E1657" t="s">
        <v>228</v>
      </c>
      <c r="F1657">
        <v>1</v>
      </c>
      <c r="G1657">
        <v>245</v>
      </c>
      <c r="H1657">
        <v>503</v>
      </c>
      <c r="I1657" s="705">
        <v>88209</v>
      </c>
      <c r="J1657" s="705">
        <v>80190</v>
      </c>
      <c r="K1657">
        <v>60</v>
      </c>
      <c r="L1657" s="705">
        <v>19602</v>
      </c>
      <c r="M1657" s="705">
        <v>17820</v>
      </c>
      <c r="N1657" s="705">
        <v>5970</v>
      </c>
      <c r="O1657" s="705">
        <v>2211</v>
      </c>
      <c r="P1657">
        <v>621</v>
      </c>
      <c r="Q1657">
        <v>230</v>
      </c>
      <c r="R1657" s="705">
        <v>8898</v>
      </c>
      <c r="S1657" s="705">
        <v>3296</v>
      </c>
      <c r="T1657">
        <v>0</v>
      </c>
      <c r="U1657">
        <v>0</v>
      </c>
      <c r="V1657" s="705">
        <v>103747</v>
      </c>
      <c r="W1657" s="705">
        <f t="shared" si="68"/>
        <v>103747</v>
      </c>
      <c r="X1657" s="705">
        <f t="shared" si="69"/>
        <v>123300</v>
      </c>
    </row>
    <row r="1658" spans="2:24">
      <c r="B1658" t="s">
        <v>712</v>
      </c>
      <c r="C1658" t="s">
        <v>124</v>
      </c>
      <c r="D1658" t="s">
        <v>583</v>
      </c>
      <c r="E1658" t="s">
        <v>583</v>
      </c>
      <c r="F1658">
        <v>21</v>
      </c>
      <c r="G1658" s="705">
        <v>1531</v>
      </c>
      <c r="H1658" s="705">
        <v>12506</v>
      </c>
      <c r="I1658" s="705">
        <v>633985</v>
      </c>
      <c r="J1658" s="705">
        <v>576350</v>
      </c>
      <c r="K1658">
        <v>68</v>
      </c>
      <c r="L1658" s="705">
        <v>91496</v>
      </c>
      <c r="M1658" s="705">
        <v>78543</v>
      </c>
      <c r="N1658" s="705">
        <v>33793</v>
      </c>
      <c r="O1658" s="705">
        <v>12516</v>
      </c>
      <c r="P1658" s="705">
        <v>13041</v>
      </c>
      <c r="Q1658" s="705">
        <v>4830</v>
      </c>
      <c r="R1658" s="705">
        <v>80976</v>
      </c>
      <c r="S1658" s="705">
        <v>73615</v>
      </c>
      <c r="T1658" s="705">
        <v>33090</v>
      </c>
      <c r="U1658" s="705">
        <v>12256</v>
      </c>
      <c r="V1658" s="705">
        <v>758109</v>
      </c>
      <c r="W1658" s="705">
        <f t="shared" si="68"/>
        <v>758110</v>
      </c>
      <c r="X1658" s="705">
        <f t="shared" si="69"/>
        <v>886381</v>
      </c>
    </row>
    <row r="1659" spans="2:24">
      <c r="B1659" t="s">
        <v>712</v>
      </c>
      <c r="C1659" t="s">
        <v>124</v>
      </c>
      <c r="D1659" t="s">
        <v>584</v>
      </c>
      <c r="E1659" t="s">
        <v>228</v>
      </c>
      <c r="F1659">
        <v>3</v>
      </c>
      <c r="G1659">
        <v>138</v>
      </c>
      <c r="H1659" s="705">
        <v>1817</v>
      </c>
      <c r="I1659" s="705">
        <v>64974</v>
      </c>
      <c r="J1659" s="705">
        <v>59067</v>
      </c>
      <c r="K1659">
        <v>65</v>
      </c>
      <c r="L1659">
        <v>0</v>
      </c>
      <c r="M1659">
        <v>0</v>
      </c>
      <c r="N1659" s="705">
        <v>2475</v>
      </c>
      <c r="O1659">
        <v>917</v>
      </c>
      <c r="P1659" s="705">
        <v>1418</v>
      </c>
      <c r="Q1659">
        <v>525</v>
      </c>
      <c r="R1659" s="705">
        <v>14934</v>
      </c>
      <c r="S1659" s="705">
        <v>5531</v>
      </c>
      <c r="T1659">
        <v>0</v>
      </c>
      <c r="U1659">
        <v>0</v>
      </c>
      <c r="V1659" s="705">
        <v>66040</v>
      </c>
      <c r="W1659" s="705">
        <f t="shared" si="68"/>
        <v>66040</v>
      </c>
      <c r="X1659" s="705">
        <f t="shared" si="69"/>
        <v>83801</v>
      </c>
    </row>
    <row r="1660" spans="2:24">
      <c r="B1660" t="s">
        <v>712</v>
      </c>
      <c r="C1660" t="s">
        <v>124</v>
      </c>
      <c r="D1660" t="s">
        <v>584</v>
      </c>
      <c r="E1660" t="s">
        <v>584</v>
      </c>
      <c r="F1660">
        <v>8</v>
      </c>
      <c r="G1660">
        <v>747</v>
      </c>
      <c r="H1660" s="705">
        <v>4150</v>
      </c>
      <c r="I1660" s="705">
        <v>276971</v>
      </c>
      <c r="J1660" s="705">
        <v>251792</v>
      </c>
      <c r="K1660">
        <v>74</v>
      </c>
      <c r="L1660" s="705">
        <v>58723</v>
      </c>
      <c r="M1660" s="705">
        <v>51097</v>
      </c>
      <c r="N1660" s="705">
        <v>13357</v>
      </c>
      <c r="O1660" s="705">
        <v>4947</v>
      </c>
      <c r="P1660" s="705">
        <v>3780</v>
      </c>
      <c r="Q1660" s="705">
        <v>1400</v>
      </c>
      <c r="R1660" s="705">
        <v>31505</v>
      </c>
      <c r="S1660" s="705">
        <v>28641</v>
      </c>
      <c r="T1660" s="705">
        <v>11764</v>
      </c>
      <c r="U1660" s="705">
        <v>4357</v>
      </c>
      <c r="V1660" s="705">
        <v>342234</v>
      </c>
      <c r="W1660" s="705">
        <f t="shared" si="68"/>
        <v>342234</v>
      </c>
      <c r="X1660" s="705">
        <f t="shared" si="69"/>
        <v>396100</v>
      </c>
    </row>
    <row r="1661" spans="2:24">
      <c r="B1661" t="s">
        <v>712</v>
      </c>
      <c r="C1661" t="s">
        <v>124</v>
      </c>
      <c r="D1661" t="s">
        <v>669</v>
      </c>
      <c r="E1661" t="s">
        <v>669</v>
      </c>
      <c r="F1661">
        <v>2</v>
      </c>
      <c r="G1661">
        <v>163</v>
      </c>
      <c r="H1661" s="705">
        <v>1516</v>
      </c>
      <c r="I1661" s="705">
        <v>76658</v>
      </c>
      <c r="J1661" s="705">
        <v>63882</v>
      </c>
      <c r="K1661">
        <v>50</v>
      </c>
      <c r="L1661" s="705">
        <v>8666</v>
      </c>
      <c r="M1661" s="705">
        <v>7222</v>
      </c>
      <c r="N1661" s="705">
        <v>2452</v>
      </c>
      <c r="O1661">
        <v>908</v>
      </c>
      <c r="P1661">
        <v>702</v>
      </c>
      <c r="Q1661">
        <v>260</v>
      </c>
      <c r="R1661" s="705">
        <v>11992</v>
      </c>
      <c r="S1661" s="705">
        <v>9994</v>
      </c>
      <c r="T1661" s="705">
        <v>4192</v>
      </c>
      <c r="U1661" s="705">
        <v>1553</v>
      </c>
      <c r="V1661" s="705">
        <v>83818</v>
      </c>
      <c r="W1661" s="705">
        <f t="shared" si="68"/>
        <v>83819</v>
      </c>
      <c r="X1661" s="705">
        <f t="shared" si="69"/>
        <v>104662</v>
      </c>
    </row>
    <row r="1662" spans="2:24">
      <c r="B1662" t="s">
        <v>712</v>
      </c>
      <c r="C1662" t="s">
        <v>124</v>
      </c>
      <c r="D1662" t="s">
        <v>665</v>
      </c>
      <c r="E1662" t="s">
        <v>665</v>
      </c>
      <c r="F1662">
        <v>1</v>
      </c>
      <c r="G1662">
        <v>50</v>
      </c>
      <c r="H1662" s="705">
        <v>1334</v>
      </c>
      <c r="I1662" s="705">
        <v>57657</v>
      </c>
      <c r="J1662" s="705">
        <v>52415</v>
      </c>
      <c r="K1662">
        <v>30</v>
      </c>
      <c r="L1662">
        <v>0</v>
      </c>
      <c r="M1662" s="705">
        <v>5824</v>
      </c>
      <c r="N1662" s="705">
        <v>1226</v>
      </c>
      <c r="O1662">
        <v>454</v>
      </c>
      <c r="P1662">
        <v>351</v>
      </c>
      <c r="Q1662">
        <v>130</v>
      </c>
      <c r="R1662" s="705">
        <v>6598</v>
      </c>
      <c r="S1662" s="705">
        <v>5998</v>
      </c>
      <c r="T1662" s="705">
        <v>1306</v>
      </c>
      <c r="U1662">
        <v>484</v>
      </c>
      <c r="V1662" s="705">
        <v>65306</v>
      </c>
      <c r="W1662" s="705">
        <f t="shared" si="68"/>
        <v>65305</v>
      </c>
      <c r="X1662" s="705">
        <f t="shared" si="69"/>
        <v>67138</v>
      </c>
    </row>
    <row r="1663" spans="2:24">
      <c r="B1663" t="s">
        <v>713</v>
      </c>
      <c r="C1663" t="s">
        <v>108</v>
      </c>
      <c r="D1663" t="s">
        <v>583</v>
      </c>
      <c r="E1663" t="s">
        <v>583</v>
      </c>
      <c r="F1663">
        <v>1</v>
      </c>
      <c r="G1663">
        <v>228</v>
      </c>
      <c r="H1663">
        <v>71</v>
      </c>
      <c r="I1663" s="705">
        <v>4436</v>
      </c>
      <c r="J1663" s="705">
        <v>4033</v>
      </c>
      <c r="K1663">
        <v>95</v>
      </c>
      <c r="L1663">
        <v>635</v>
      </c>
      <c r="M1663">
        <v>578</v>
      </c>
      <c r="N1663" s="705">
        <v>3938</v>
      </c>
      <c r="O1663" s="705">
        <v>1458</v>
      </c>
      <c r="P1663" s="705">
        <v>2628</v>
      </c>
      <c r="Q1663">
        <v>973</v>
      </c>
      <c r="R1663" s="705">
        <v>4449</v>
      </c>
      <c r="S1663" s="705">
        <v>4044</v>
      </c>
      <c r="T1663">
        <v>0</v>
      </c>
      <c r="U1663">
        <v>0</v>
      </c>
      <c r="V1663" s="705">
        <v>11086</v>
      </c>
      <c r="W1663" s="705">
        <f t="shared" si="68"/>
        <v>11086</v>
      </c>
      <c r="X1663" s="705">
        <f t="shared" si="69"/>
        <v>16086</v>
      </c>
    </row>
    <row r="1664" spans="2:24">
      <c r="B1664" t="s">
        <v>713</v>
      </c>
      <c r="C1664" t="s">
        <v>108</v>
      </c>
      <c r="D1664" t="s">
        <v>584</v>
      </c>
      <c r="E1664" t="s">
        <v>584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705">
        <v>9277</v>
      </c>
      <c r="O1664" s="705">
        <v>3436</v>
      </c>
      <c r="P1664" s="705">
        <v>9841</v>
      </c>
      <c r="Q1664" s="705">
        <v>3645</v>
      </c>
      <c r="R1664" s="705">
        <v>29491</v>
      </c>
      <c r="S1664" s="705">
        <v>26810</v>
      </c>
      <c r="T1664">
        <v>0</v>
      </c>
      <c r="U1664">
        <v>0</v>
      </c>
      <c r="V1664" s="705">
        <v>33057</v>
      </c>
      <c r="W1664" s="705">
        <f t="shared" si="68"/>
        <v>34725</v>
      </c>
      <c r="X1664" s="705">
        <f t="shared" si="69"/>
        <v>49527</v>
      </c>
    </row>
    <row r="1665" spans="2:24">
      <c r="B1665" t="s">
        <v>713</v>
      </c>
      <c r="C1665" t="s">
        <v>110</v>
      </c>
      <c r="D1665" t="s">
        <v>228</v>
      </c>
      <c r="E1665" t="s">
        <v>228</v>
      </c>
      <c r="F1665">
        <v>1</v>
      </c>
      <c r="G1665">
        <v>72</v>
      </c>
      <c r="H1665">
        <v>76</v>
      </c>
      <c r="I1665" s="705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705">
        <v>1813</v>
      </c>
      <c r="S1665">
        <v>671</v>
      </c>
      <c r="T1665">
        <v>0</v>
      </c>
      <c r="U1665">
        <v>0</v>
      </c>
      <c r="V1665" s="705">
        <v>2024</v>
      </c>
      <c r="W1665" s="705">
        <f t="shared" si="68"/>
        <v>2024</v>
      </c>
      <c r="X1665" s="705">
        <f t="shared" si="69"/>
        <v>5465</v>
      </c>
    </row>
    <row r="1666" spans="2:24">
      <c r="B1666" t="s">
        <v>713</v>
      </c>
      <c r="C1666" t="s">
        <v>110</v>
      </c>
      <c r="D1666" t="s">
        <v>584</v>
      </c>
      <c r="E1666" t="s">
        <v>584</v>
      </c>
      <c r="F1666">
        <v>7</v>
      </c>
      <c r="G1666">
        <v>542</v>
      </c>
      <c r="H1666">
        <v>637</v>
      </c>
      <c r="I1666" s="705">
        <v>13761</v>
      </c>
      <c r="J1666" s="705">
        <v>12510</v>
      </c>
      <c r="K1666">
        <v>87</v>
      </c>
      <c r="L1666">
        <v>-36</v>
      </c>
      <c r="M1666">
        <v>-33</v>
      </c>
      <c r="N1666" s="705">
        <v>9680</v>
      </c>
      <c r="O1666" s="705">
        <v>3585</v>
      </c>
      <c r="P1666" s="705">
        <v>3650</v>
      </c>
      <c r="Q1666" s="705">
        <v>1352</v>
      </c>
      <c r="R1666" s="705">
        <v>22489</v>
      </c>
      <c r="S1666" s="705">
        <v>20445</v>
      </c>
      <c r="T1666">
        <v>0</v>
      </c>
      <c r="U1666">
        <v>0</v>
      </c>
      <c r="V1666" s="705">
        <v>37859</v>
      </c>
      <c r="W1666" s="705">
        <f t="shared" si="68"/>
        <v>37925</v>
      </c>
      <c r="X1666" s="705">
        <f t="shared" si="69"/>
        <v>49616</v>
      </c>
    </row>
    <row r="1667" spans="2:24">
      <c r="B1667" t="s">
        <v>713</v>
      </c>
      <c r="C1667" t="s">
        <v>112</v>
      </c>
      <c r="D1667" t="s">
        <v>664</v>
      </c>
      <c r="E1667" t="s">
        <v>664</v>
      </c>
      <c r="F1667">
        <v>3</v>
      </c>
      <c r="G1667">
        <v>389</v>
      </c>
      <c r="H1667">
        <v>320</v>
      </c>
      <c r="I1667" s="705">
        <v>18309</v>
      </c>
      <c r="J1667" s="705">
        <v>16645</v>
      </c>
      <c r="K1667">
        <v>92</v>
      </c>
      <c r="L1667">
        <v>0</v>
      </c>
      <c r="M1667" s="705">
        <v>5357</v>
      </c>
      <c r="N1667" s="705">
        <v>4741</v>
      </c>
      <c r="O1667" s="705">
        <v>1756</v>
      </c>
      <c r="P1667" s="705">
        <v>1418</v>
      </c>
      <c r="Q1667">
        <v>525</v>
      </c>
      <c r="R1667" s="705">
        <v>17050</v>
      </c>
      <c r="S1667" s="705">
        <v>15500</v>
      </c>
      <c r="T1667">
        <v>0</v>
      </c>
      <c r="U1667">
        <v>0</v>
      </c>
      <c r="V1667" s="705">
        <v>39783</v>
      </c>
      <c r="W1667" s="705">
        <f t="shared" si="68"/>
        <v>39783</v>
      </c>
      <c r="X1667" s="705">
        <f t="shared" si="69"/>
        <v>41518</v>
      </c>
    </row>
    <row r="1668" spans="2:24">
      <c r="B1668" t="s">
        <v>713</v>
      </c>
      <c r="C1668" t="s">
        <v>112</v>
      </c>
      <c r="D1668" t="s">
        <v>582</v>
      </c>
      <c r="E1668" t="s">
        <v>582</v>
      </c>
      <c r="F1668">
        <v>11</v>
      </c>
      <c r="G1668" s="705">
        <v>1387</v>
      </c>
      <c r="H1668" s="705">
        <v>1262</v>
      </c>
      <c r="I1668" s="705">
        <v>71761</v>
      </c>
      <c r="J1668" s="705">
        <v>65237</v>
      </c>
      <c r="K1668">
        <v>91</v>
      </c>
      <c r="L1668" s="705">
        <v>14000</v>
      </c>
      <c r="M1668" s="705">
        <v>18960</v>
      </c>
      <c r="N1668" s="705">
        <v>17678</v>
      </c>
      <c r="O1668" s="705">
        <v>6547</v>
      </c>
      <c r="P1668" s="705">
        <v>5198</v>
      </c>
      <c r="Q1668" s="705">
        <v>1925</v>
      </c>
      <c r="R1668" s="705">
        <v>50538</v>
      </c>
      <c r="S1668" s="705">
        <v>45944</v>
      </c>
      <c r="T1668">
        <v>0</v>
      </c>
      <c r="U1668">
        <v>0</v>
      </c>
      <c r="V1668" s="705">
        <v>138613</v>
      </c>
      <c r="W1668" s="705">
        <f t="shared" si="68"/>
        <v>138613</v>
      </c>
      <c r="X1668" s="705">
        <f t="shared" si="69"/>
        <v>159175</v>
      </c>
    </row>
    <row r="1669" spans="2:24">
      <c r="B1669" t="s">
        <v>713</v>
      </c>
      <c r="C1669" t="s">
        <v>112</v>
      </c>
      <c r="D1669" t="s">
        <v>228</v>
      </c>
      <c r="E1669" t="s">
        <v>228</v>
      </c>
      <c r="F1669">
        <v>1</v>
      </c>
      <c r="G1669">
        <v>242</v>
      </c>
      <c r="H1669">
        <v>110</v>
      </c>
      <c r="I1669" s="705">
        <v>9320</v>
      </c>
      <c r="J1669" s="705">
        <v>3452</v>
      </c>
      <c r="K1669">
        <v>398</v>
      </c>
      <c r="L1669" s="705">
        <v>5597</v>
      </c>
      <c r="M1669" s="705">
        <v>5088</v>
      </c>
      <c r="N1669" s="705">
        <v>4454</v>
      </c>
      <c r="O1669" s="705">
        <v>1650</v>
      </c>
      <c r="P1669" s="705">
        <v>3222</v>
      </c>
      <c r="Q1669" s="705">
        <v>1193</v>
      </c>
      <c r="R1669" s="705">
        <v>4082</v>
      </c>
      <c r="S1669" s="705">
        <v>1512</v>
      </c>
      <c r="T1669">
        <v>0</v>
      </c>
      <c r="U1669">
        <v>0</v>
      </c>
      <c r="V1669" s="705">
        <v>12895</v>
      </c>
      <c r="W1669" s="705">
        <f t="shared" si="68"/>
        <v>12895</v>
      </c>
      <c r="X1669" s="705">
        <f t="shared" si="69"/>
        <v>26675</v>
      </c>
    </row>
    <row r="1670" spans="2:24">
      <c r="B1670" t="s">
        <v>713</v>
      </c>
      <c r="C1670" t="s">
        <v>112</v>
      </c>
      <c r="D1670" t="s">
        <v>583</v>
      </c>
      <c r="E1670" t="s">
        <v>583</v>
      </c>
      <c r="F1670">
        <v>2</v>
      </c>
      <c r="G1670">
        <v>380</v>
      </c>
      <c r="H1670">
        <v>241</v>
      </c>
      <c r="I1670" s="705">
        <v>28537</v>
      </c>
      <c r="J1670" s="705">
        <v>25943</v>
      </c>
      <c r="K1670">
        <v>96</v>
      </c>
      <c r="L1670" s="705">
        <v>4326</v>
      </c>
      <c r="M1670" s="705">
        <v>3933</v>
      </c>
      <c r="N1670" s="705">
        <v>9676</v>
      </c>
      <c r="O1670" s="705">
        <v>3584</v>
      </c>
      <c r="P1670" s="705">
        <v>2997</v>
      </c>
      <c r="Q1670" s="705">
        <v>1110</v>
      </c>
      <c r="R1670" s="705">
        <v>11515</v>
      </c>
      <c r="S1670" s="705">
        <v>10468</v>
      </c>
      <c r="T1670">
        <v>0</v>
      </c>
      <c r="U1670">
        <v>0</v>
      </c>
      <c r="V1670" s="705">
        <v>45038</v>
      </c>
      <c r="W1670" s="705">
        <f t="shared" si="68"/>
        <v>45038</v>
      </c>
      <c r="X1670" s="705">
        <f t="shared" si="69"/>
        <v>57051</v>
      </c>
    </row>
    <row r="1671" spans="2:24">
      <c r="B1671" t="s">
        <v>713</v>
      </c>
      <c r="C1671" t="s">
        <v>112</v>
      </c>
      <c r="D1671" t="s">
        <v>584</v>
      </c>
      <c r="E1671" t="s">
        <v>584</v>
      </c>
      <c r="F1671">
        <v>19</v>
      </c>
      <c r="G1671" s="705">
        <v>1268</v>
      </c>
      <c r="H1671" s="705">
        <v>2146</v>
      </c>
      <c r="I1671" s="705">
        <v>51803</v>
      </c>
      <c r="J1671" s="705">
        <v>47094</v>
      </c>
      <c r="K1671">
        <v>90</v>
      </c>
      <c r="L1671">
        <v>0</v>
      </c>
      <c r="M1671" s="705">
        <v>2365</v>
      </c>
      <c r="N1671" s="705">
        <v>16607</v>
      </c>
      <c r="O1671" s="705">
        <v>6151</v>
      </c>
      <c r="P1671" s="705">
        <v>12893</v>
      </c>
      <c r="Q1671" s="705">
        <v>4775</v>
      </c>
      <c r="R1671" s="705">
        <v>61546</v>
      </c>
      <c r="S1671" s="705">
        <v>55951</v>
      </c>
      <c r="T1671">
        <v>0</v>
      </c>
      <c r="U1671">
        <v>0</v>
      </c>
      <c r="V1671" s="705">
        <v>116335</v>
      </c>
      <c r="W1671" s="705">
        <f t="shared" si="68"/>
        <v>116336</v>
      </c>
      <c r="X1671" s="705">
        <f t="shared" si="69"/>
        <v>142849</v>
      </c>
    </row>
    <row r="1672" spans="2:24">
      <c r="B1672" t="s">
        <v>713</v>
      </c>
      <c r="C1672" t="s">
        <v>114</v>
      </c>
      <c r="D1672" t="s">
        <v>582</v>
      </c>
      <c r="E1672" t="s">
        <v>582</v>
      </c>
      <c r="F1672">
        <v>17</v>
      </c>
      <c r="G1672" s="705">
        <v>1342</v>
      </c>
      <c r="H1672" s="705">
        <v>2329</v>
      </c>
      <c r="I1672" s="705">
        <v>91736</v>
      </c>
      <c r="J1672" s="705">
        <v>83396</v>
      </c>
      <c r="K1672">
        <v>91</v>
      </c>
      <c r="L1672" s="705">
        <v>4028</v>
      </c>
      <c r="M1672" s="705">
        <v>2839</v>
      </c>
      <c r="N1672" s="705">
        <v>29253</v>
      </c>
      <c r="O1672" s="705">
        <v>10835</v>
      </c>
      <c r="P1672" s="705">
        <v>8033</v>
      </c>
      <c r="Q1672" s="705">
        <v>2975</v>
      </c>
      <c r="R1672" s="705">
        <v>50655</v>
      </c>
      <c r="S1672" s="705">
        <v>46050</v>
      </c>
      <c r="T1672">
        <v>0</v>
      </c>
      <c r="U1672">
        <v>0</v>
      </c>
      <c r="V1672" s="705">
        <v>146095</v>
      </c>
      <c r="W1672" s="705">
        <f t="shared" si="68"/>
        <v>146095</v>
      </c>
      <c r="X1672" s="705">
        <f t="shared" si="69"/>
        <v>183705</v>
      </c>
    </row>
    <row r="1673" spans="2:24">
      <c r="B1673" t="s">
        <v>713</v>
      </c>
      <c r="C1673" t="s">
        <v>114</v>
      </c>
      <c r="D1673" t="s">
        <v>228</v>
      </c>
      <c r="E1673" t="s">
        <v>228</v>
      </c>
      <c r="F1673">
        <v>22</v>
      </c>
      <c r="G1673" s="705">
        <v>1710</v>
      </c>
      <c r="H1673" s="705">
        <v>3109</v>
      </c>
      <c r="I1673" s="705">
        <v>57771</v>
      </c>
      <c r="J1673" s="705">
        <v>21397</v>
      </c>
      <c r="K1673">
        <v>213</v>
      </c>
      <c r="L1673" s="705">
        <v>6390</v>
      </c>
      <c r="M1673" s="705">
        <v>2367</v>
      </c>
      <c r="N1673" s="705">
        <v>33785</v>
      </c>
      <c r="O1673" s="705">
        <v>12513</v>
      </c>
      <c r="P1673" s="705">
        <v>2106</v>
      </c>
      <c r="Q1673">
        <v>780</v>
      </c>
      <c r="R1673" s="705">
        <v>140392</v>
      </c>
      <c r="S1673" s="705">
        <v>51997</v>
      </c>
      <c r="T1673">
        <v>0</v>
      </c>
      <c r="U1673">
        <v>0</v>
      </c>
      <c r="V1673" s="705">
        <v>89053</v>
      </c>
      <c r="W1673" s="705">
        <f t="shared" si="68"/>
        <v>89054</v>
      </c>
      <c r="X1673" s="705">
        <f t="shared" si="69"/>
        <v>240444</v>
      </c>
    </row>
    <row r="1674" spans="2:24">
      <c r="B1674" t="s">
        <v>713</v>
      </c>
      <c r="C1674" t="s">
        <v>114</v>
      </c>
      <c r="D1674" t="s">
        <v>583</v>
      </c>
      <c r="E1674" t="s">
        <v>583</v>
      </c>
      <c r="F1674">
        <v>10</v>
      </c>
      <c r="G1674" s="705">
        <v>1736</v>
      </c>
      <c r="H1674" s="705">
        <v>1414</v>
      </c>
      <c r="I1674" s="705">
        <v>155185</v>
      </c>
      <c r="J1674" s="705">
        <v>141077</v>
      </c>
      <c r="K1674">
        <v>90</v>
      </c>
      <c r="L1674" s="705">
        <v>28080</v>
      </c>
      <c r="M1674" s="705">
        <v>25527</v>
      </c>
      <c r="N1674" s="705">
        <v>33589</v>
      </c>
      <c r="O1674" s="705">
        <v>12440</v>
      </c>
      <c r="P1674" s="705">
        <v>6210</v>
      </c>
      <c r="Q1674" s="705">
        <v>2300</v>
      </c>
      <c r="R1674" s="705">
        <v>56099</v>
      </c>
      <c r="S1674" s="705">
        <v>50999</v>
      </c>
      <c r="T1674" s="705">
        <v>2644</v>
      </c>
      <c r="U1674">
        <v>979</v>
      </c>
      <c r="V1674" s="705">
        <v>233323</v>
      </c>
      <c r="W1674" s="705">
        <f t="shared" si="68"/>
        <v>233322</v>
      </c>
      <c r="X1674" s="705">
        <f t="shared" si="69"/>
        <v>281807</v>
      </c>
    </row>
    <row r="1675" spans="2:24">
      <c r="B1675" t="s">
        <v>713</v>
      </c>
      <c r="C1675" t="s">
        <v>114</v>
      </c>
      <c r="D1675" t="s">
        <v>584</v>
      </c>
      <c r="E1675" t="s">
        <v>584</v>
      </c>
      <c r="F1675">
        <v>18</v>
      </c>
      <c r="G1675" s="705">
        <v>1281</v>
      </c>
      <c r="H1675" s="705">
        <v>2442</v>
      </c>
      <c r="I1675" s="705">
        <v>75823</v>
      </c>
      <c r="J1675" s="705">
        <v>68930</v>
      </c>
      <c r="K1675">
        <v>90</v>
      </c>
      <c r="L1675" s="705">
        <v>3161</v>
      </c>
      <c r="M1675" s="705">
        <v>2874</v>
      </c>
      <c r="N1675" s="705">
        <v>19232</v>
      </c>
      <c r="O1675" s="705">
        <v>7123</v>
      </c>
      <c r="P1675" s="705">
        <v>13651</v>
      </c>
      <c r="Q1675" s="705">
        <v>5056</v>
      </c>
      <c r="R1675" s="705">
        <v>60272</v>
      </c>
      <c r="S1675" s="705">
        <v>54792</v>
      </c>
      <c r="T1675">
        <v>0</v>
      </c>
      <c r="U1675">
        <v>0</v>
      </c>
      <c r="V1675" s="705">
        <v>138775</v>
      </c>
      <c r="W1675" s="705">
        <f t="shared" si="68"/>
        <v>138775</v>
      </c>
      <c r="X1675" s="705">
        <f t="shared" si="69"/>
        <v>172139</v>
      </c>
    </row>
    <row r="1676" spans="2:24">
      <c r="B1676" t="s">
        <v>713</v>
      </c>
      <c r="C1676" t="s">
        <v>116</v>
      </c>
      <c r="F1676">
        <v>9</v>
      </c>
      <c r="G1676">
        <v>376</v>
      </c>
      <c r="H1676" s="705">
        <v>1853</v>
      </c>
      <c r="J1676">
        <v>0</v>
      </c>
      <c r="M1676">
        <v>0</v>
      </c>
      <c r="N1676" s="705">
        <v>7190</v>
      </c>
      <c r="O1676" s="705">
        <v>2663</v>
      </c>
      <c r="P1676">
        <v>621</v>
      </c>
      <c r="Q1676">
        <v>230</v>
      </c>
      <c r="S1676">
        <v>0</v>
      </c>
      <c r="T1676" s="705">
        <v>15814</v>
      </c>
      <c r="U1676" s="705">
        <v>5857</v>
      </c>
      <c r="V1676" s="705">
        <v>8750</v>
      </c>
      <c r="W1676" s="705">
        <f t="shared" si="68"/>
        <v>8750</v>
      </c>
      <c r="X1676" s="705">
        <f t="shared" si="69"/>
        <v>23625</v>
      </c>
    </row>
    <row r="1677" spans="2:24">
      <c r="B1677" t="s">
        <v>713</v>
      </c>
      <c r="C1677" t="s">
        <v>116</v>
      </c>
      <c r="D1677" t="s">
        <v>664</v>
      </c>
      <c r="E1677" t="s">
        <v>664</v>
      </c>
      <c r="F1677">
        <v>2</v>
      </c>
      <c r="G1677">
        <v>161</v>
      </c>
      <c r="H1677">
        <v>439</v>
      </c>
      <c r="I1677" s="705">
        <v>12381</v>
      </c>
      <c r="J1677" s="705">
        <v>11255</v>
      </c>
      <c r="K1677">
        <v>92</v>
      </c>
      <c r="L1677" s="705">
        <v>3998</v>
      </c>
      <c r="M1677" s="705">
        <v>3634</v>
      </c>
      <c r="N1677" s="705">
        <v>2882</v>
      </c>
      <c r="O1677" s="705">
        <v>1067</v>
      </c>
      <c r="P1677">
        <v>945</v>
      </c>
      <c r="Q1677">
        <v>350</v>
      </c>
      <c r="R1677" s="705">
        <v>8537</v>
      </c>
      <c r="S1677" s="705">
        <v>7761</v>
      </c>
      <c r="T1677" s="705">
        <v>6828</v>
      </c>
      <c r="U1677" s="705">
        <v>2529</v>
      </c>
      <c r="V1677" s="705">
        <v>26598</v>
      </c>
      <c r="W1677" s="705">
        <f t="shared" si="68"/>
        <v>26596</v>
      </c>
      <c r="X1677" s="705">
        <f t="shared" si="69"/>
        <v>35571</v>
      </c>
    </row>
    <row r="1678" spans="2:24">
      <c r="B1678" t="s">
        <v>713</v>
      </c>
      <c r="C1678" t="s">
        <v>116</v>
      </c>
      <c r="D1678" t="s">
        <v>582</v>
      </c>
      <c r="E1678" t="s">
        <v>582</v>
      </c>
      <c r="F1678">
        <v>30</v>
      </c>
      <c r="G1678" s="705">
        <v>2395</v>
      </c>
      <c r="H1678" s="705">
        <v>5193</v>
      </c>
      <c r="I1678" s="705">
        <v>216236</v>
      </c>
      <c r="J1678" s="705">
        <v>196578</v>
      </c>
      <c r="K1678">
        <v>84</v>
      </c>
      <c r="L1678" s="705">
        <v>24850</v>
      </c>
      <c r="M1678" s="705">
        <v>16893</v>
      </c>
      <c r="N1678" s="705">
        <v>50759</v>
      </c>
      <c r="O1678" s="705">
        <v>18800</v>
      </c>
      <c r="P1678" s="705">
        <v>14054</v>
      </c>
      <c r="Q1678" s="705">
        <v>5205</v>
      </c>
      <c r="R1678" s="705">
        <v>98446</v>
      </c>
      <c r="S1678" s="705">
        <v>89496</v>
      </c>
      <c r="T1678" s="705">
        <v>8101</v>
      </c>
      <c r="U1678" s="705">
        <v>3000</v>
      </c>
      <c r="V1678" s="705">
        <v>329972</v>
      </c>
      <c r="W1678" s="705">
        <f t="shared" si="68"/>
        <v>329972</v>
      </c>
      <c r="X1678" s="705">
        <f t="shared" si="69"/>
        <v>412446</v>
      </c>
    </row>
    <row r="1679" spans="2:24">
      <c r="B1679" t="s">
        <v>713</v>
      </c>
      <c r="C1679" t="s">
        <v>116</v>
      </c>
      <c r="D1679" t="s">
        <v>582</v>
      </c>
      <c r="E1679" t="s">
        <v>228</v>
      </c>
      <c r="F1679">
        <v>1</v>
      </c>
      <c r="G1679">
        <v>96</v>
      </c>
      <c r="H1679">
        <v>181</v>
      </c>
      <c r="I1679" s="705">
        <v>7612</v>
      </c>
      <c r="J1679" s="705">
        <v>6920</v>
      </c>
      <c r="K1679">
        <v>83</v>
      </c>
      <c r="L1679">
        <v>702</v>
      </c>
      <c r="M1679">
        <v>638</v>
      </c>
      <c r="N1679" s="705">
        <v>1516</v>
      </c>
      <c r="O1679">
        <v>561</v>
      </c>
      <c r="P1679">
        <v>473</v>
      </c>
      <c r="Q1679">
        <v>175</v>
      </c>
      <c r="R1679" s="705">
        <v>7035</v>
      </c>
      <c r="S1679" s="705">
        <v>2605</v>
      </c>
      <c r="T1679">
        <v>0</v>
      </c>
      <c r="U1679">
        <v>0</v>
      </c>
      <c r="V1679" s="705">
        <v>10900</v>
      </c>
      <c r="W1679" s="705">
        <f t="shared" si="68"/>
        <v>10899</v>
      </c>
      <c r="X1679" s="705">
        <f t="shared" si="69"/>
        <v>17338</v>
      </c>
    </row>
    <row r="1680" spans="2:24">
      <c r="B1680" t="s">
        <v>713</v>
      </c>
      <c r="C1680" t="s">
        <v>116</v>
      </c>
      <c r="D1680" t="s">
        <v>228</v>
      </c>
      <c r="E1680" t="s">
        <v>228</v>
      </c>
      <c r="F1680">
        <v>303</v>
      </c>
      <c r="G1680" s="705">
        <v>22839</v>
      </c>
      <c r="H1680" s="705">
        <v>59072</v>
      </c>
      <c r="I1680" s="705">
        <v>1893854</v>
      </c>
      <c r="J1680" s="705">
        <v>701428</v>
      </c>
      <c r="K1680">
        <v>112</v>
      </c>
      <c r="L1680" s="705">
        <v>179763</v>
      </c>
      <c r="M1680" s="705">
        <v>72585</v>
      </c>
      <c r="N1680" s="705">
        <v>458478</v>
      </c>
      <c r="O1680" s="705">
        <v>169807</v>
      </c>
      <c r="P1680" s="705">
        <v>2106</v>
      </c>
      <c r="Q1680">
        <v>780</v>
      </c>
      <c r="R1680" s="705">
        <v>1948886</v>
      </c>
      <c r="S1680" s="705">
        <v>721810</v>
      </c>
      <c r="T1680" s="705">
        <v>4783</v>
      </c>
      <c r="U1680" s="705">
        <v>1771</v>
      </c>
      <c r="V1680" s="705">
        <v>1668180</v>
      </c>
      <c r="W1680" s="705">
        <f t="shared" si="68"/>
        <v>1668181</v>
      </c>
      <c r="X1680" s="705">
        <f t="shared" si="69"/>
        <v>4487870</v>
      </c>
    </row>
    <row r="1681" spans="2:24">
      <c r="B1681" t="s">
        <v>713</v>
      </c>
      <c r="C1681" t="s">
        <v>116</v>
      </c>
      <c r="D1681" t="s">
        <v>583</v>
      </c>
      <c r="E1681" t="s">
        <v>228</v>
      </c>
      <c r="F1681">
        <v>2</v>
      </c>
      <c r="G1681">
        <v>123</v>
      </c>
      <c r="H1681">
        <v>382</v>
      </c>
      <c r="I1681" s="705">
        <v>8589</v>
      </c>
      <c r="J1681" s="705">
        <v>7808</v>
      </c>
      <c r="K1681">
        <v>95</v>
      </c>
      <c r="L1681">
        <v>0</v>
      </c>
      <c r="M1681">
        <v>0</v>
      </c>
      <c r="N1681" s="705">
        <v>2861</v>
      </c>
      <c r="O1681" s="705">
        <v>1059</v>
      </c>
      <c r="P1681" s="705">
        <v>1242</v>
      </c>
      <c r="Q1681">
        <v>460</v>
      </c>
      <c r="R1681" s="705">
        <v>10753</v>
      </c>
      <c r="S1681" s="705">
        <v>3983</v>
      </c>
      <c r="T1681">
        <v>0</v>
      </c>
      <c r="U1681">
        <v>0</v>
      </c>
      <c r="V1681" s="705">
        <v>13310</v>
      </c>
      <c r="W1681" s="705">
        <f t="shared" si="68"/>
        <v>13310</v>
      </c>
      <c r="X1681" s="705">
        <f t="shared" si="69"/>
        <v>23445</v>
      </c>
    </row>
    <row r="1682" spans="2:24">
      <c r="B1682" t="s">
        <v>713</v>
      </c>
      <c r="C1682" t="s">
        <v>116</v>
      </c>
      <c r="D1682" t="s">
        <v>583</v>
      </c>
      <c r="E1682" t="s">
        <v>583</v>
      </c>
      <c r="F1682">
        <v>63</v>
      </c>
      <c r="G1682" s="705">
        <v>8081</v>
      </c>
      <c r="H1682" s="705">
        <v>12021</v>
      </c>
      <c r="I1682" s="705">
        <v>824998</v>
      </c>
      <c r="J1682" s="705">
        <v>749998</v>
      </c>
      <c r="K1682">
        <v>84</v>
      </c>
      <c r="L1682" s="705">
        <v>160064</v>
      </c>
      <c r="M1682" s="705">
        <v>141296</v>
      </c>
      <c r="N1682" s="705">
        <v>160462</v>
      </c>
      <c r="O1682" s="705">
        <v>59430</v>
      </c>
      <c r="P1682" s="705">
        <v>40446</v>
      </c>
      <c r="Q1682" s="705">
        <v>14980</v>
      </c>
      <c r="R1682" s="705">
        <v>300076</v>
      </c>
      <c r="S1682" s="705">
        <v>272797</v>
      </c>
      <c r="T1682" s="705">
        <v>96709</v>
      </c>
      <c r="U1682" s="705">
        <v>35818</v>
      </c>
      <c r="V1682" s="705">
        <v>1274320</v>
      </c>
      <c r="W1682" s="705">
        <f t="shared" si="68"/>
        <v>1274319</v>
      </c>
      <c r="X1682" s="705">
        <f t="shared" si="69"/>
        <v>1582755</v>
      </c>
    </row>
    <row r="1683" spans="2:24">
      <c r="B1683" t="s">
        <v>713</v>
      </c>
      <c r="C1683" t="s">
        <v>116</v>
      </c>
      <c r="D1683" t="s">
        <v>584</v>
      </c>
      <c r="E1683" t="s">
        <v>584</v>
      </c>
      <c r="F1683">
        <v>52</v>
      </c>
      <c r="G1683" s="705">
        <v>3047</v>
      </c>
      <c r="H1683" s="705">
        <v>9527</v>
      </c>
      <c r="I1683" s="705">
        <v>278654</v>
      </c>
      <c r="J1683" s="705">
        <v>253322</v>
      </c>
      <c r="K1683">
        <v>89</v>
      </c>
      <c r="L1683" s="705">
        <v>54621</v>
      </c>
      <c r="M1683" s="705">
        <v>25746</v>
      </c>
      <c r="N1683" s="705">
        <v>53712</v>
      </c>
      <c r="O1683" s="705">
        <v>19893</v>
      </c>
      <c r="P1683" s="705">
        <v>25756</v>
      </c>
      <c r="Q1683" s="705">
        <v>9539</v>
      </c>
      <c r="R1683" s="705">
        <v>142804</v>
      </c>
      <c r="S1683" s="705">
        <v>129822</v>
      </c>
      <c r="T1683" s="705">
        <v>9046</v>
      </c>
      <c r="U1683" s="705">
        <v>3350</v>
      </c>
      <c r="V1683" s="705">
        <v>441672</v>
      </c>
      <c r="W1683" s="705">
        <f t="shared" si="68"/>
        <v>441672</v>
      </c>
      <c r="X1683" s="705">
        <f t="shared" si="69"/>
        <v>564593</v>
      </c>
    </row>
    <row r="1684" spans="2:24">
      <c r="B1684" t="s">
        <v>713</v>
      </c>
      <c r="C1684" t="s">
        <v>118</v>
      </c>
      <c r="F1684">
        <v>6</v>
      </c>
      <c r="G1684">
        <v>309</v>
      </c>
      <c r="H1684" s="705">
        <v>1559</v>
      </c>
      <c r="J1684">
        <v>0</v>
      </c>
      <c r="M1684">
        <v>0</v>
      </c>
      <c r="N1684" s="705">
        <v>5928</v>
      </c>
      <c r="O1684" s="705">
        <v>2196</v>
      </c>
      <c r="P1684" s="705">
        <v>1863</v>
      </c>
      <c r="Q1684">
        <v>690</v>
      </c>
      <c r="S1684">
        <v>0</v>
      </c>
      <c r="T1684" s="705">
        <v>6072</v>
      </c>
      <c r="U1684" s="705">
        <v>2249</v>
      </c>
      <c r="V1684" s="705">
        <v>5135</v>
      </c>
      <c r="W1684" s="705">
        <f t="shared" si="68"/>
        <v>5135</v>
      </c>
      <c r="X1684" s="705">
        <f t="shared" si="69"/>
        <v>13863</v>
      </c>
    </row>
    <row r="1685" spans="2:24">
      <c r="B1685" t="s">
        <v>713</v>
      </c>
      <c r="C1685" t="s">
        <v>118</v>
      </c>
      <c r="D1685" t="s">
        <v>664</v>
      </c>
      <c r="E1685" t="s">
        <v>664</v>
      </c>
      <c r="F1685">
        <v>2</v>
      </c>
      <c r="G1685">
        <v>111</v>
      </c>
      <c r="H1685">
        <v>481</v>
      </c>
      <c r="I1685" s="705">
        <v>9272</v>
      </c>
      <c r="J1685" s="705">
        <v>8429</v>
      </c>
      <c r="K1685">
        <v>83</v>
      </c>
      <c r="L1685" s="705">
        <v>2718</v>
      </c>
      <c r="M1685" s="705">
        <v>2471</v>
      </c>
      <c r="N1685" s="705">
        <v>2628</v>
      </c>
      <c r="O1685">
        <v>973</v>
      </c>
      <c r="P1685">
        <v>945</v>
      </c>
      <c r="Q1685">
        <v>350</v>
      </c>
      <c r="R1685" s="705">
        <v>6787</v>
      </c>
      <c r="S1685" s="705">
        <v>6170</v>
      </c>
      <c r="T1685" s="705">
        <v>4187</v>
      </c>
      <c r="U1685" s="705">
        <v>1551</v>
      </c>
      <c r="V1685" s="705">
        <v>19945</v>
      </c>
      <c r="W1685" s="705">
        <f t="shared" si="68"/>
        <v>19944</v>
      </c>
      <c r="X1685" s="705">
        <f t="shared" si="69"/>
        <v>26537</v>
      </c>
    </row>
    <row r="1686" spans="2:24">
      <c r="B1686" t="s">
        <v>713</v>
      </c>
      <c r="C1686" t="s">
        <v>118</v>
      </c>
      <c r="D1686" t="s">
        <v>582</v>
      </c>
      <c r="E1686" t="s">
        <v>582</v>
      </c>
      <c r="F1686">
        <v>7</v>
      </c>
      <c r="G1686">
        <v>426</v>
      </c>
      <c r="H1686" s="705">
        <v>1888</v>
      </c>
      <c r="I1686" s="705">
        <v>63300</v>
      </c>
      <c r="J1686" s="705">
        <v>57546</v>
      </c>
      <c r="K1686">
        <v>74</v>
      </c>
      <c r="L1686" s="705">
        <v>3431</v>
      </c>
      <c r="M1686" s="705">
        <v>2045</v>
      </c>
      <c r="N1686" s="705">
        <v>7700</v>
      </c>
      <c r="O1686" s="705">
        <v>2852</v>
      </c>
      <c r="P1686" s="705">
        <v>3186</v>
      </c>
      <c r="Q1686" s="705">
        <v>1180</v>
      </c>
      <c r="R1686" s="705">
        <v>24600</v>
      </c>
      <c r="S1686" s="705">
        <v>22363</v>
      </c>
      <c r="T1686" s="705">
        <v>11907</v>
      </c>
      <c r="U1686" s="705">
        <v>4410</v>
      </c>
      <c r="V1686" s="705">
        <v>90395</v>
      </c>
      <c r="W1686" s="705">
        <f t="shared" si="68"/>
        <v>90396</v>
      </c>
      <c r="X1686" s="705">
        <f t="shared" si="69"/>
        <v>114124</v>
      </c>
    </row>
    <row r="1687" spans="2:24">
      <c r="B1687" t="s">
        <v>713</v>
      </c>
      <c r="C1687" t="s">
        <v>118</v>
      </c>
      <c r="D1687" t="s">
        <v>228</v>
      </c>
      <c r="E1687" t="s">
        <v>664</v>
      </c>
      <c r="F1687">
        <v>1</v>
      </c>
      <c r="G1687">
        <v>48</v>
      </c>
      <c r="H1687">
        <v>280</v>
      </c>
      <c r="I1687" s="705">
        <v>11194</v>
      </c>
      <c r="J1687" s="705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705">
        <v>1474</v>
      </c>
      <c r="S1687" s="705">
        <v>1340</v>
      </c>
      <c r="T1687">
        <v>0</v>
      </c>
      <c r="U1687">
        <v>0</v>
      </c>
      <c r="V1687" s="705">
        <v>5746</v>
      </c>
      <c r="W1687" s="705">
        <f t="shared" si="68"/>
        <v>5746</v>
      </c>
      <c r="X1687" s="705">
        <f t="shared" si="69"/>
        <v>13372</v>
      </c>
    </row>
    <row r="1688" spans="2:24">
      <c r="B1688" t="s">
        <v>713</v>
      </c>
      <c r="C1688" t="s">
        <v>118</v>
      </c>
      <c r="D1688" t="s">
        <v>228</v>
      </c>
      <c r="E1688" t="s">
        <v>228</v>
      </c>
      <c r="F1688">
        <v>438</v>
      </c>
      <c r="G1688" s="705">
        <v>29865</v>
      </c>
      <c r="H1688" s="705">
        <v>115389</v>
      </c>
      <c r="I1688" s="705">
        <v>4073644</v>
      </c>
      <c r="J1688" s="705">
        <v>1508757</v>
      </c>
      <c r="K1688">
        <v>100</v>
      </c>
      <c r="L1688" s="705">
        <v>417226</v>
      </c>
      <c r="M1688" s="705">
        <v>176667</v>
      </c>
      <c r="N1688" s="705">
        <v>585649</v>
      </c>
      <c r="O1688" s="705">
        <v>216907</v>
      </c>
      <c r="P1688" s="705">
        <v>10342</v>
      </c>
      <c r="Q1688" s="705">
        <v>3830</v>
      </c>
      <c r="R1688" s="705">
        <v>2778029</v>
      </c>
      <c r="S1688" s="705">
        <v>1028900</v>
      </c>
      <c r="T1688" s="705">
        <v>2141</v>
      </c>
      <c r="U1688">
        <v>793</v>
      </c>
      <c r="V1688" s="705">
        <v>2935855</v>
      </c>
      <c r="W1688" s="705">
        <f t="shared" si="68"/>
        <v>2935854</v>
      </c>
      <c r="X1688" s="705">
        <f t="shared" si="69"/>
        <v>7867031</v>
      </c>
    </row>
    <row r="1689" spans="2:24">
      <c r="B1689" t="s">
        <v>713</v>
      </c>
      <c r="C1689" t="s">
        <v>118</v>
      </c>
      <c r="D1689" t="s">
        <v>228</v>
      </c>
      <c r="E1689" t="s">
        <v>583</v>
      </c>
      <c r="F1689">
        <v>1</v>
      </c>
      <c r="G1689">
        <v>80</v>
      </c>
      <c r="H1689">
        <v>229</v>
      </c>
      <c r="I1689" s="705">
        <v>12094</v>
      </c>
      <c r="J1689" s="705">
        <v>4479</v>
      </c>
      <c r="K1689">
        <v>100</v>
      </c>
      <c r="L1689">
        <v>0</v>
      </c>
      <c r="M1689">
        <v>0</v>
      </c>
      <c r="N1689" s="705">
        <v>1629</v>
      </c>
      <c r="O1689">
        <v>603</v>
      </c>
      <c r="P1689">
        <v>0</v>
      </c>
      <c r="Q1689">
        <v>0</v>
      </c>
      <c r="R1689" s="705">
        <v>4538</v>
      </c>
      <c r="S1689" s="705">
        <v>4125</v>
      </c>
      <c r="T1689">
        <v>0</v>
      </c>
      <c r="U1689">
        <v>0</v>
      </c>
      <c r="V1689" s="705">
        <v>9208</v>
      </c>
      <c r="W1689" s="705">
        <f t="shared" si="68"/>
        <v>9207</v>
      </c>
      <c r="X1689" s="705">
        <f t="shared" si="69"/>
        <v>18261</v>
      </c>
    </row>
    <row r="1690" spans="2:24">
      <c r="B1690" t="s">
        <v>713</v>
      </c>
      <c r="C1690" t="s">
        <v>118</v>
      </c>
      <c r="D1690" t="s">
        <v>583</v>
      </c>
      <c r="E1690" t="s">
        <v>228</v>
      </c>
      <c r="F1690">
        <v>1</v>
      </c>
      <c r="G1690">
        <v>46</v>
      </c>
      <c r="H1690">
        <v>249</v>
      </c>
      <c r="I1690" s="705">
        <v>5757</v>
      </c>
      <c r="J1690" s="705">
        <v>5234</v>
      </c>
      <c r="K1690">
        <v>70</v>
      </c>
      <c r="L1690" s="705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705">
        <v>3218</v>
      </c>
      <c r="S1690" s="705">
        <v>1192</v>
      </c>
      <c r="T1690">
        <v>0</v>
      </c>
      <c r="U1690">
        <v>0</v>
      </c>
      <c r="V1690" s="705">
        <v>7392</v>
      </c>
      <c r="W1690" s="705">
        <f t="shared" si="68"/>
        <v>7393</v>
      </c>
      <c r="X1690" s="705">
        <f t="shared" si="69"/>
        <v>11585</v>
      </c>
    </row>
    <row r="1691" spans="2:24">
      <c r="B1691" t="s">
        <v>713</v>
      </c>
      <c r="C1691" t="s">
        <v>118</v>
      </c>
      <c r="D1691" t="s">
        <v>583</v>
      </c>
      <c r="E1691" t="s">
        <v>583</v>
      </c>
      <c r="F1691">
        <v>71</v>
      </c>
      <c r="G1691" s="705">
        <v>7600</v>
      </c>
      <c r="H1691" s="705">
        <v>18563</v>
      </c>
      <c r="I1691" s="705">
        <v>1156936</v>
      </c>
      <c r="J1691" s="705">
        <v>1051760</v>
      </c>
      <c r="K1691">
        <v>81</v>
      </c>
      <c r="L1691" s="705">
        <v>206779</v>
      </c>
      <c r="M1691" s="705">
        <v>183335</v>
      </c>
      <c r="N1691" s="705">
        <v>156720</v>
      </c>
      <c r="O1691" s="705">
        <v>58045</v>
      </c>
      <c r="P1691" s="705">
        <v>49078</v>
      </c>
      <c r="Q1691" s="705">
        <v>18177</v>
      </c>
      <c r="R1691" s="705">
        <v>315523</v>
      </c>
      <c r="S1691" s="705">
        <v>286839</v>
      </c>
      <c r="T1691" s="705">
        <v>119140</v>
      </c>
      <c r="U1691" s="705">
        <v>44126</v>
      </c>
      <c r="V1691" s="705">
        <v>1642281</v>
      </c>
      <c r="W1691" s="705">
        <f t="shared" si="68"/>
        <v>1642282</v>
      </c>
      <c r="X1691" s="705">
        <f t="shared" si="69"/>
        <v>2004176</v>
      </c>
    </row>
    <row r="1692" spans="2:24">
      <c r="B1692" t="s">
        <v>713</v>
      </c>
      <c r="C1692" t="s">
        <v>118</v>
      </c>
      <c r="D1692" t="s">
        <v>584</v>
      </c>
      <c r="E1692" t="s">
        <v>584</v>
      </c>
      <c r="F1692">
        <v>14</v>
      </c>
      <c r="G1692">
        <v>708</v>
      </c>
      <c r="H1692" s="705">
        <v>3626</v>
      </c>
      <c r="I1692" s="705">
        <v>109996</v>
      </c>
      <c r="J1692" s="705">
        <v>99996</v>
      </c>
      <c r="K1692">
        <v>87</v>
      </c>
      <c r="L1692" s="705">
        <v>17620</v>
      </c>
      <c r="M1692" s="705">
        <v>8701</v>
      </c>
      <c r="N1692" s="705">
        <v>15520</v>
      </c>
      <c r="O1692" s="705">
        <v>5748</v>
      </c>
      <c r="P1692" s="705">
        <v>6615</v>
      </c>
      <c r="Q1692" s="705">
        <v>2450</v>
      </c>
      <c r="R1692" s="705">
        <v>32810</v>
      </c>
      <c r="S1692" s="705">
        <v>29827</v>
      </c>
      <c r="T1692" s="705">
        <v>2167</v>
      </c>
      <c r="U1692">
        <v>803</v>
      </c>
      <c r="V1692" s="705">
        <v>147525</v>
      </c>
      <c r="W1692" s="705">
        <f t="shared" si="68"/>
        <v>147525</v>
      </c>
      <c r="X1692" s="705">
        <f t="shared" si="69"/>
        <v>184728</v>
      </c>
    </row>
    <row r="1693" spans="2:24">
      <c r="B1693" t="s">
        <v>713</v>
      </c>
      <c r="C1693" t="s">
        <v>118</v>
      </c>
      <c r="D1693" t="s">
        <v>665</v>
      </c>
      <c r="E1693" t="s">
        <v>228</v>
      </c>
      <c r="F1693">
        <v>2</v>
      </c>
      <c r="G1693">
        <v>115</v>
      </c>
      <c r="H1693">
        <v>554</v>
      </c>
      <c r="I1693" s="705">
        <v>15508</v>
      </c>
      <c r="J1693" s="705">
        <v>14098</v>
      </c>
      <c r="K1693">
        <v>55</v>
      </c>
      <c r="L1693" s="705">
        <v>5234</v>
      </c>
      <c r="M1693" s="705">
        <v>1938</v>
      </c>
      <c r="N1693" s="705">
        <v>1675</v>
      </c>
      <c r="O1693">
        <v>620</v>
      </c>
      <c r="P1693">
        <v>702</v>
      </c>
      <c r="Q1693">
        <v>260</v>
      </c>
      <c r="R1693" s="705">
        <v>9016</v>
      </c>
      <c r="S1693" s="705">
        <v>3339</v>
      </c>
      <c r="T1693">
        <v>0</v>
      </c>
      <c r="U1693">
        <v>0</v>
      </c>
      <c r="V1693" s="705">
        <v>20256</v>
      </c>
      <c r="W1693" s="705">
        <f t="shared" si="68"/>
        <v>20255</v>
      </c>
      <c r="X1693" s="705">
        <f t="shared" si="69"/>
        <v>32135</v>
      </c>
    </row>
    <row r="1694" spans="2:24">
      <c r="B1694" t="s">
        <v>713</v>
      </c>
      <c r="C1694" t="s">
        <v>118</v>
      </c>
      <c r="D1694" t="s">
        <v>665</v>
      </c>
      <c r="E1694" t="s">
        <v>665</v>
      </c>
      <c r="F1694">
        <v>5</v>
      </c>
      <c r="G1694">
        <v>358</v>
      </c>
      <c r="H1694" s="705">
        <v>1349</v>
      </c>
      <c r="I1694" s="705">
        <v>52136</v>
      </c>
      <c r="J1694" s="705">
        <v>47396</v>
      </c>
      <c r="K1694">
        <v>61</v>
      </c>
      <c r="L1694" s="705">
        <v>6748</v>
      </c>
      <c r="M1694" s="705">
        <v>3726</v>
      </c>
      <c r="N1694" s="705">
        <v>7064</v>
      </c>
      <c r="O1694" s="705">
        <v>2616</v>
      </c>
      <c r="P1694" s="705">
        <v>2025</v>
      </c>
      <c r="Q1694">
        <v>750</v>
      </c>
      <c r="R1694" s="705">
        <v>19450</v>
      </c>
      <c r="S1694" s="705">
        <v>17682</v>
      </c>
      <c r="T1694" s="705">
        <v>8919</v>
      </c>
      <c r="U1694" s="705">
        <v>3303</v>
      </c>
      <c r="V1694" s="705">
        <v>75474</v>
      </c>
      <c r="W1694" s="705">
        <f t="shared" si="68"/>
        <v>75473</v>
      </c>
      <c r="X1694" s="705">
        <f t="shared" si="69"/>
        <v>96342</v>
      </c>
    </row>
    <row r="1695" spans="2:24">
      <c r="B1695" t="s">
        <v>713</v>
      </c>
      <c r="C1695" t="s">
        <v>120</v>
      </c>
      <c r="D1695" t="s">
        <v>664</v>
      </c>
      <c r="E1695" t="s">
        <v>664</v>
      </c>
      <c r="F1695">
        <v>3</v>
      </c>
      <c r="G1695">
        <v>150</v>
      </c>
      <c r="H1695">
        <v>978</v>
      </c>
      <c r="I1695" s="705">
        <v>22522</v>
      </c>
      <c r="J1695" s="705">
        <v>20475</v>
      </c>
      <c r="K1695">
        <v>68</v>
      </c>
      <c r="L1695" s="705">
        <v>6421</v>
      </c>
      <c r="M1695" s="705">
        <v>5838</v>
      </c>
      <c r="N1695" s="705">
        <v>3062</v>
      </c>
      <c r="O1695" s="705">
        <v>1134</v>
      </c>
      <c r="P1695" s="705">
        <v>1418</v>
      </c>
      <c r="Q1695">
        <v>525</v>
      </c>
      <c r="R1695" s="705">
        <v>10286</v>
      </c>
      <c r="S1695" s="705">
        <v>9351</v>
      </c>
      <c r="T1695" s="705">
        <v>4788</v>
      </c>
      <c r="U1695" s="705">
        <v>1773</v>
      </c>
      <c r="V1695" s="705">
        <v>39096</v>
      </c>
      <c r="W1695" s="705">
        <f t="shared" si="68"/>
        <v>39096</v>
      </c>
      <c r="X1695" s="705">
        <f t="shared" si="69"/>
        <v>48497</v>
      </c>
    </row>
    <row r="1696" spans="2:24">
      <c r="B1696" t="s">
        <v>713</v>
      </c>
      <c r="C1696" t="s">
        <v>120</v>
      </c>
      <c r="D1696" t="s">
        <v>228</v>
      </c>
      <c r="E1696" t="s">
        <v>228</v>
      </c>
      <c r="F1696">
        <v>194</v>
      </c>
      <c r="G1696" s="705">
        <v>12447</v>
      </c>
      <c r="H1696" s="705">
        <v>64670</v>
      </c>
      <c r="I1696" s="705">
        <v>2411099</v>
      </c>
      <c r="J1696" s="705">
        <v>892999</v>
      </c>
      <c r="K1696">
        <v>100</v>
      </c>
      <c r="L1696" s="705">
        <v>268285</v>
      </c>
      <c r="M1696" s="705">
        <v>130972</v>
      </c>
      <c r="N1696" s="705">
        <v>244123</v>
      </c>
      <c r="O1696" s="705">
        <v>90416</v>
      </c>
      <c r="P1696" s="705">
        <v>4603</v>
      </c>
      <c r="Q1696" s="705">
        <v>1705</v>
      </c>
      <c r="R1696" s="705">
        <v>1220338</v>
      </c>
      <c r="S1696" s="705">
        <v>451977</v>
      </c>
      <c r="T1696">
        <v>0</v>
      </c>
      <c r="U1696">
        <v>0</v>
      </c>
      <c r="V1696" s="705">
        <v>1568070</v>
      </c>
      <c r="W1696" s="705">
        <f t="shared" si="68"/>
        <v>1568069</v>
      </c>
      <c r="X1696" s="705">
        <f t="shared" si="69"/>
        <v>4148448</v>
      </c>
    </row>
    <row r="1697" spans="2:24">
      <c r="B1697" t="s">
        <v>713</v>
      </c>
      <c r="C1697" t="s">
        <v>120</v>
      </c>
      <c r="D1697" t="s">
        <v>583</v>
      </c>
      <c r="E1697" t="s">
        <v>228</v>
      </c>
      <c r="F1697">
        <v>1</v>
      </c>
      <c r="G1697">
        <v>40</v>
      </c>
      <c r="H1697">
        <v>312</v>
      </c>
      <c r="I1697" s="705">
        <v>6030</v>
      </c>
      <c r="J1697" s="705">
        <v>5481</v>
      </c>
      <c r="K1697">
        <v>79</v>
      </c>
      <c r="L1697" s="705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705">
        <v>3696</v>
      </c>
      <c r="S1697" s="705">
        <v>1369</v>
      </c>
      <c r="T1697">
        <v>0</v>
      </c>
      <c r="U1697">
        <v>0</v>
      </c>
      <c r="V1697" s="705">
        <v>7901</v>
      </c>
      <c r="W1697" s="705">
        <f t="shared" si="68"/>
        <v>7901</v>
      </c>
      <c r="X1697" s="705">
        <f t="shared" si="69"/>
        <v>12562</v>
      </c>
    </row>
    <row r="1698" spans="2:24">
      <c r="B1698" t="s">
        <v>713</v>
      </c>
      <c r="C1698" t="s">
        <v>120</v>
      </c>
      <c r="D1698" t="s">
        <v>583</v>
      </c>
      <c r="E1698" t="s">
        <v>583</v>
      </c>
      <c r="F1698">
        <v>21</v>
      </c>
      <c r="G1698" s="705">
        <v>1998</v>
      </c>
      <c r="H1698" s="705">
        <v>7191</v>
      </c>
      <c r="I1698" s="705">
        <v>420207</v>
      </c>
      <c r="J1698" s="705">
        <v>382006</v>
      </c>
      <c r="K1698">
        <v>76</v>
      </c>
      <c r="L1698" s="705">
        <v>73385</v>
      </c>
      <c r="M1698" s="705">
        <v>66482</v>
      </c>
      <c r="N1698" s="705">
        <v>39802</v>
      </c>
      <c r="O1698" s="705">
        <v>14741</v>
      </c>
      <c r="P1698" s="705">
        <v>13392</v>
      </c>
      <c r="Q1698" s="705">
        <v>4960</v>
      </c>
      <c r="R1698" s="705">
        <v>113446</v>
      </c>
      <c r="S1698" s="705">
        <v>103133</v>
      </c>
      <c r="T1698" s="705">
        <v>27051</v>
      </c>
      <c r="U1698" s="705">
        <v>10019</v>
      </c>
      <c r="V1698" s="705">
        <v>581341</v>
      </c>
      <c r="W1698" s="705">
        <f t="shared" si="68"/>
        <v>581341</v>
      </c>
      <c r="X1698" s="705">
        <f t="shared" si="69"/>
        <v>687283</v>
      </c>
    </row>
    <row r="1699" spans="2:24">
      <c r="B1699" t="s">
        <v>713</v>
      </c>
      <c r="C1699" t="s">
        <v>120</v>
      </c>
      <c r="D1699" t="s">
        <v>584</v>
      </c>
      <c r="E1699" t="s">
        <v>584</v>
      </c>
      <c r="F1699">
        <v>1</v>
      </c>
      <c r="G1699">
        <v>226</v>
      </c>
      <c r="H1699">
        <v>339</v>
      </c>
      <c r="I1699" s="705">
        <v>48905</v>
      </c>
      <c r="J1699" s="705">
        <v>44459</v>
      </c>
      <c r="K1699">
        <v>90</v>
      </c>
      <c r="L1699" s="705">
        <v>12031</v>
      </c>
      <c r="M1699" s="705">
        <v>4456</v>
      </c>
      <c r="N1699" s="705">
        <v>5083</v>
      </c>
      <c r="O1699" s="705">
        <v>1883</v>
      </c>
      <c r="P1699" s="705">
        <v>1773</v>
      </c>
      <c r="Q1699">
        <v>657</v>
      </c>
      <c r="R1699" s="705">
        <v>4342</v>
      </c>
      <c r="S1699" s="705">
        <v>3947</v>
      </c>
      <c r="T1699" s="705">
        <v>4191</v>
      </c>
      <c r="U1699" s="705">
        <v>1552</v>
      </c>
      <c r="V1699" s="705">
        <v>56953</v>
      </c>
      <c r="W1699" s="705">
        <f t="shared" si="68"/>
        <v>56954</v>
      </c>
      <c r="X1699" s="705">
        <f t="shared" si="69"/>
        <v>76325</v>
      </c>
    </row>
    <row r="1700" spans="2:24">
      <c r="B1700" t="s">
        <v>713</v>
      </c>
      <c r="C1700" t="s">
        <v>120</v>
      </c>
      <c r="D1700" t="s">
        <v>671</v>
      </c>
      <c r="E1700" t="s">
        <v>671</v>
      </c>
      <c r="F1700">
        <v>1</v>
      </c>
      <c r="G1700">
        <v>108</v>
      </c>
      <c r="H1700">
        <v>352</v>
      </c>
      <c r="I1700" s="705">
        <v>23392</v>
      </c>
      <c r="J1700" s="705">
        <v>21266</v>
      </c>
      <c r="K1700">
        <v>65</v>
      </c>
      <c r="L1700" s="705">
        <v>5631</v>
      </c>
      <c r="M1700" s="705">
        <v>5119</v>
      </c>
      <c r="N1700" s="705">
        <v>1712</v>
      </c>
      <c r="O1700">
        <v>634</v>
      </c>
      <c r="P1700">
        <v>351</v>
      </c>
      <c r="Q1700">
        <v>130</v>
      </c>
      <c r="R1700" s="705">
        <v>4489</v>
      </c>
      <c r="S1700" s="705">
        <v>4080</v>
      </c>
      <c r="T1700" s="705">
        <v>2440</v>
      </c>
      <c r="U1700">
        <v>904</v>
      </c>
      <c r="V1700" s="705">
        <v>32133</v>
      </c>
      <c r="W1700" s="705">
        <f t="shared" si="68"/>
        <v>32133</v>
      </c>
      <c r="X1700" s="705">
        <f t="shared" si="69"/>
        <v>38015</v>
      </c>
    </row>
    <row r="1701" spans="2:24">
      <c r="B1701" t="s">
        <v>713</v>
      </c>
      <c r="C1701" t="s">
        <v>120</v>
      </c>
      <c r="D1701" t="s">
        <v>665</v>
      </c>
      <c r="E1701" t="s">
        <v>228</v>
      </c>
      <c r="F1701">
        <v>2</v>
      </c>
      <c r="G1701">
        <v>83</v>
      </c>
      <c r="H1701">
        <v>700</v>
      </c>
      <c r="I1701" s="705">
        <v>19826</v>
      </c>
      <c r="J1701" s="705">
        <v>18024</v>
      </c>
      <c r="K1701">
        <v>48</v>
      </c>
      <c r="L1701" s="705">
        <v>1465</v>
      </c>
      <c r="M1701">
        <v>542</v>
      </c>
      <c r="N1701" s="705">
        <v>1645</v>
      </c>
      <c r="O1701">
        <v>609</v>
      </c>
      <c r="P1701">
        <v>0</v>
      </c>
      <c r="Q1701">
        <v>0</v>
      </c>
      <c r="R1701" s="705">
        <v>6242</v>
      </c>
      <c r="S1701" s="705">
        <v>2312</v>
      </c>
      <c r="T1701">
        <v>0</v>
      </c>
      <c r="U1701">
        <v>0</v>
      </c>
      <c r="V1701" s="705">
        <v>21487</v>
      </c>
      <c r="W1701" s="705">
        <f t="shared" si="68"/>
        <v>21487</v>
      </c>
      <c r="X1701" s="705">
        <f t="shared" si="69"/>
        <v>29178</v>
      </c>
    </row>
    <row r="1702" spans="2:24">
      <c r="B1702" t="s">
        <v>713</v>
      </c>
      <c r="C1702" t="s">
        <v>120</v>
      </c>
      <c r="D1702" t="s">
        <v>665</v>
      </c>
      <c r="E1702" t="s">
        <v>665</v>
      </c>
      <c r="F1702">
        <v>4</v>
      </c>
      <c r="G1702">
        <v>301</v>
      </c>
      <c r="H1702" s="705">
        <v>1438</v>
      </c>
      <c r="I1702" s="705">
        <v>63410</v>
      </c>
      <c r="J1702" s="705">
        <v>57646</v>
      </c>
      <c r="K1702">
        <v>58</v>
      </c>
      <c r="L1702" s="705">
        <v>7659</v>
      </c>
      <c r="M1702" s="705">
        <v>6053</v>
      </c>
      <c r="N1702" s="705">
        <v>6468</v>
      </c>
      <c r="O1702" s="705">
        <v>2396</v>
      </c>
      <c r="P1702" s="705">
        <v>1404</v>
      </c>
      <c r="Q1702">
        <v>520</v>
      </c>
      <c r="R1702" s="705">
        <v>21068</v>
      </c>
      <c r="S1702" s="705">
        <v>19152</v>
      </c>
      <c r="T1702" s="705">
        <v>6728</v>
      </c>
      <c r="U1702" s="705">
        <v>2492</v>
      </c>
      <c r="V1702" s="705">
        <v>88258</v>
      </c>
      <c r="W1702" s="705">
        <f t="shared" si="68"/>
        <v>88259</v>
      </c>
      <c r="X1702" s="705">
        <f t="shared" si="69"/>
        <v>106737</v>
      </c>
    </row>
    <row r="1703" spans="2:24">
      <c r="B1703" t="s">
        <v>713</v>
      </c>
      <c r="C1703" t="s">
        <v>122</v>
      </c>
      <c r="D1703" t="s">
        <v>228</v>
      </c>
      <c r="E1703" t="s">
        <v>581</v>
      </c>
      <c r="F1703">
        <v>1</v>
      </c>
      <c r="G1703">
        <v>71</v>
      </c>
      <c r="H1703">
        <v>411</v>
      </c>
      <c r="I1703" s="705">
        <v>18497</v>
      </c>
      <c r="J1703" s="705">
        <v>6851</v>
      </c>
      <c r="K1703">
        <v>100</v>
      </c>
      <c r="L1703" s="705">
        <v>3264</v>
      </c>
      <c r="M1703" s="705">
        <v>1209</v>
      </c>
      <c r="N1703" s="705">
        <v>1238</v>
      </c>
      <c r="O1703">
        <v>459</v>
      </c>
      <c r="P1703">
        <v>0</v>
      </c>
      <c r="Q1703">
        <v>0</v>
      </c>
      <c r="R1703" s="705">
        <v>6195</v>
      </c>
      <c r="S1703" s="705">
        <v>2294</v>
      </c>
      <c r="T1703">
        <v>0</v>
      </c>
      <c r="U1703">
        <v>0</v>
      </c>
      <c r="V1703" s="705">
        <v>10813</v>
      </c>
      <c r="W1703" s="705">
        <f t="shared" si="68"/>
        <v>10813</v>
      </c>
      <c r="X1703" s="705">
        <f t="shared" si="69"/>
        <v>29194</v>
      </c>
    </row>
    <row r="1704" spans="2:24">
      <c r="B1704" t="s">
        <v>713</v>
      </c>
      <c r="C1704" t="s">
        <v>122</v>
      </c>
      <c r="D1704" t="s">
        <v>228</v>
      </c>
      <c r="E1704" t="s">
        <v>228</v>
      </c>
      <c r="F1704">
        <v>63</v>
      </c>
      <c r="G1704" s="705">
        <v>3576</v>
      </c>
      <c r="H1704" s="705">
        <v>26057</v>
      </c>
      <c r="I1704" s="705">
        <v>939650</v>
      </c>
      <c r="J1704" s="705">
        <v>348019</v>
      </c>
      <c r="K1704">
        <v>100</v>
      </c>
      <c r="L1704" s="705">
        <v>93148</v>
      </c>
      <c r="M1704" s="705">
        <v>48327</v>
      </c>
      <c r="N1704" s="705">
        <v>71219</v>
      </c>
      <c r="O1704" s="705">
        <v>26377</v>
      </c>
      <c r="P1704">
        <v>317</v>
      </c>
      <c r="Q1704">
        <v>118</v>
      </c>
      <c r="R1704" s="705">
        <v>373279</v>
      </c>
      <c r="S1704" s="705">
        <v>138251</v>
      </c>
      <c r="T1704">
        <v>0</v>
      </c>
      <c r="U1704">
        <v>0</v>
      </c>
      <c r="V1704" s="705">
        <v>561092</v>
      </c>
      <c r="W1704" s="705">
        <f t="shared" si="68"/>
        <v>561092</v>
      </c>
      <c r="X1704" s="705">
        <f t="shared" si="69"/>
        <v>1477613</v>
      </c>
    </row>
    <row r="1705" spans="2:24">
      <c r="B1705" t="s">
        <v>713</v>
      </c>
      <c r="C1705" t="s">
        <v>122</v>
      </c>
      <c r="D1705" t="s">
        <v>583</v>
      </c>
      <c r="E1705" t="s">
        <v>583</v>
      </c>
      <c r="F1705">
        <v>18</v>
      </c>
      <c r="G1705" s="705">
        <v>1603</v>
      </c>
      <c r="H1705" s="705">
        <v>7531</v>
      </c>
      <c r="I1705" s="705">
        <v>436073</v>
      </c>
      <c r="J1705" s="705">
        <v>396430</v>
      </c>
      <c r="K1705">
        <v>76</v>
      </c>
      <c r="L1705" s="705">
        <v>83716</v>
      </c>
      <c r="M1705" s="705">
        <v>69616</v>
      </c>
      <c r="N1705" s="705">
        <v>35986</v>
      </c>
      <c r="O1705" s="705">
        <v>13328</v>
      </c>
      <c r="P1705" s="705">
        <v>11880</v>
      </c>
      <c r="Q1705" s="705">
        <v>4400</v>
      </c>
      <c r="R1705" s="705">
        <v>79274</v>
      </c>
      <c r="S1705" s="705">
        <v>72067</v>
      </c>
      <c r="T1705" s="705">
        <v>19560</v>
      </c>
      <c r="U1705" s="705">
        <v>7244</v>
      </c>
      <c r="V1705" s="705">
        <v>563085</v>
      </c>
      <c r="W1705" s="705">
        <f t="shared" si="68"/>
        <v>563085</v>
      </c>
      <c r="X1705" s="705">
        <f t="shared" si="69"/>
        <v>666489</v>
      </c>
    </row>
    <row r="1706" spans="2:24">
      <c r="B1706" t="s">
        <v>713</v>
      </c>
      <c r="C1706" t="s">
        <v>122</v>
      </c>
      <c r="D1706" t="s">
        <v>671</v>
      </c>
      <c r="E1706" t="s">
        <v>671</v>
      </c>
      <c r="F1706">
        <v>1</v>
      </c>
      <c r="G1706">
        <v>89</v>
      </c>
      <c r="H1706">
        <v>422</v>
      </c>
      <c r="I1706" s="705">
        <v>24775</v>
      </c>
      <c r="J1706" s="705">
        <v>22523</v>
      </c>
      <c r="K1706">
        <v>45</v>
      </c>
      <c r="L1706" s="705">
        <v>2065</v>
      </c>
      <c r="M1706" s="705">
        <v>1877</v>
      </c>
      <c r="N1706" s="705">
        <v>1896</v>
      </c>
      <c r="O1706">
        <v>702</v>
      </c>
      <c r="P1706">
        <v>351</v>
      </c>
      <c r="Q1706">
        <v>130</v>
      </c>
      <c r="R1706" s="705">
        <v>6196</v>
      </c>
      <c r="S1706" s="705">
        <v>5633</v>
      </c>
      <c r="T1706" s="705">
        <v>2284</v>
      </c>
      <c r="U1706">
        <v>846</v>
      </c>
      <c r="V1706" s="705">
        <v>31711</v>
      </c>
      <c r="W1706" s="705">
        <f t="shared" si="68"/>
        <v>31711</v>
      </c>
      <c r="X1706" s="705">
        <f t="shared" si="69"/>
        <v>37567</v>
      </c>
    </row>
    <row r="1707" spans="2:24">
      <c r="B1707" t="s">
        <v>713</v>
      </c>
      <c r="C1707" t="s">
        <v>122</v>
      </c>
      <c r="D1707" t="s">
        <v>665</v>
      </c>
      <c r="E1707" t="s">
        <v>665</v>
      </c>
      <c r="F1707">
        <v>4</v>
      </c>
      <c r="G1707">
        <v>300</v>
      </c>
      <c r="H1707" s="705">
        <v>1631</v>
      </c>
      <c r="I1707" s="705">
        <v>68024</v>
      </c>
      <c r="J1707" s="705">
        <v>61840</v>
      </c>
      <c r="K1707">
        <v>48</v>
      </c>
      <c r="L1707" s="705">
        <v>12101</v>
      </c>
      <c r="M1707" s="705">
        <v>9631</v>
      </c>
      <c r="N1707" s="705">
        <v>5408</v>
      </c>
      <c r="O1707" s="705">
        <v>2003</v>
      </c>
      <c r="P1707" s="705">
        <v>1404</v>
      </c>
      <c r="Q1707">
        <v>520</v>
      </c>
      <c r="R1707" s="705">
        <v>26627</v>
      </c>
      <c r="S1707" s="705">
        <v>24206</v>
      </c>
      <c r="T1707" s="705">
        <v>7729</v>
      </c>
      <c r="U1707" s="705">
        <v>2863</v>
      </c>
      <c r="V1707" s="705">
        <v>101063</v>
      </c>
      <c r="W1707" s="705">
        <f t="shared" ref="W1707:W1770" si="70">SUM(ABS(J1707),ABS(M1707),ABS(O1707),ABS(Q1707),ABS(S1707),ABS(U1707))</f>
        <v>101063</v>
      </c>
      <c r="X1707" s="705">
        <f t="shared" ref="X1707:X1770" si="71">SUM(ABS(I1707),ABS(N1707),ABS(P1707),ABS(R1707),ABS(T1707),ABS(L1707))</f>
        <v>121293</v>
      </c>
    </row>
    <row r="1708" spans="2:24">
      <c r="B1708" t="s">
        <v>713</v>
      </c>
      <c r="C1708" t="s">
        <v>124</v>
      </c>
      <c r="F1708">
        <v>4</v>
      </c>
      <c r="G1708">
        <v>284</v>
      </c>
      <c r="H1708" s="705">
        <v>1991</v>
      </c>
      <c r="J1708">
        <v>0</v>
      </c>
      <c r="M1708">
        <v>0</v>
      </c>
      <c r="N1708" s="705">
        <v>5480</v>
      </c>
      <c r="O1708" s="705">
        <v>2030</v>
      </c>
      <c r="P1708" s="705">
        <v>1863</v>
      </c>
      <c r="Q1708">
        <v>690</v>
      </c>
      <c r="S1708">
        <v>0</v>
      </c>
      <c r="T1708" s="705">
        <v>6243</v>
      </c>
      <c r="U1708" s="705">
        <v>2312</v>
      </c>
      <c r="V1708" s="705">
        <v>5032</v>
      </c>
      <c r="W1708" s="705">
        <f t="shared" si="70"/>
        <v>5032</v>
      </c>
      <c r="X1708" s="705">
        <f t="shared" si="71"/>
        <v>13586</v>
      </c>
    </row>
    <row r="1709" spans="2:24">
      <c r="B1709" t="s">
        <v>713</v>
      </c>
      <c r="C1709" t="s">
        <v>124</v>
      </c>
      <c r="D1709" t="s">
        <v>664</v>
      </c>
      <c r="E1709" t="s">
        <v>664</v>
      </c>
      <c r="F1709">
        <v>1</v>
      </c>
      <c r="G1709">
        <v>60</v>
      </c>
      <c r="H1709">
        <v>582</v>
      </c>
      <c r="I1709" s="705">
        <v>18385</v>
      </c>
      <c r="J1709" s="705">
        <v>16714</v>
      </c>
      <c r="K1709">
        <v>73</v>
      </c>
      <c r="L1709" s="705">
        <v>4726</v>
      </c>
      <c r="M1709" s="705">
        <v>4296</v>
      </c>
      <c r="N1709" s="705">
        <v>1202</v>
      </c>
      <c r="O1709">
        <v>445</v>
      </c>
      <c r="P1709">
        <v>351</v>
      </c>
      <c r="Q1709">
        <v>130</v>
      </c>
      <c r="R1709" s="705">
        <v>6210</v>
      </c>
      <c r="S1709" s="705">
        <v>5646</v>
      </c>
      <c r="T1709" s="705">
        <v>4120</v>
      </c>
      <c r="U1709" s="705">
        <v>1526</v>
      </c>
      <c r="V1709" s="705">
        <v>28757</v>
      </c>
      <c r="W1709" s="705">
        <f t="shared" si="70"/>
        <v>28757</v>
      </c>
      <c r="X1709" s="705">
        <f t="shared" si="71"/>
        <v>34994</v>
      </c>
    </row>
    <row r="1710" spans="2:24">
      <c r="B1710" t="s">
        <v>713</v>
      </c>
      <c r="C1710" t="s">
        <v>124</v>
      </c>
      <c r="D1710" t="s">
        <v>582</v>
      </c>
      <c r="E1710" t="s">
        <v>671</v>
      </c>
      <c r="F1710">
        <v>1</v>
      </c>
      <c r="G1710">
        <v>103</v>
      </c>
      <c r="H1710">
        <v>571</v>
      </c>
      <c r="I1710" s="705">
        <v>44116</v>
      </c>
      <c r="J1710" s="705">
        <v>40105</v>
      </c>
      <c r="K1710">
        <v>86</v>
      </c>
      <c r="L1710" s="705">
        <v>6176</v>
      </c>
      <c r="M1710" s="705">
        <v>5615</v>
      </c>
      <c r="N1710" s="705">
        <v>2096</v>
      </c>
      <c r="O1710">
        <v>776</v>
      </c>
      <c r="P1710">
        <v>473</v>
      </c>
      <c r="Q1710">
        <v>175</v>
      </c>
      <c r="R1710" s="705">
        <v>3954</v>
      </c>
      <c r="S1710" s="705">
        <v>3595</v>
      </c>
      <c r="T1710" s="705">
        <v>2020</v>
      </c>
      <c r="U1710">
        <v>748</v>
      </c>
      <c r="V1710" s="705">
        <v>51014</v>
      </c>
      <c r="W1710" s="705">
        <f t="shared" si="70"/>
        <v>51014</v>
      </c>
      <c r="X1710" s="705">
        <f t="shared" si="71"/>
        <v>58835</v>
      </c>
    </row>
    <row r="1711" spans="2:24">
      <c r="B1711" t="s">
        <v>713</v>
      </c>
      <c r="C1711" t="s">
        <v>124</v>
      </c>
      <c r="D1711" t="s">
        <v>228</v>
      </c>
      <c r="E1711" t="s">
        <v>228</v>
      </c>
      <c r="F1711">
        <v>72</v>
      </c>
      <c r="G1711" s="705">
        <v>3691</v>
      </c>
      <c r="H1711" s="705">
        <v>43921</v>
      </c>
      <c r="I1711" s="705">
        <v>1623797</v>
      </c>
      <c r="J1711" s="705">
        <v>601406</v>
      </c>
      <c r="K1711">
        <v>100</v>
      </c>
      <c r="L1711" s="705">
        <v>150214</v>
      </c>
      <c r="M1711" s="705">
        <v>71033</v>
      </c>
      <c r="N1711" s="705">
        <v>82238</v>
      </c>
      <c r="O1711" s="705">
        <v>30458</v>
      </c>
      <c r="P1711">
        <v>0</v>
      </c>
      <c r="Q1711">
        <v>0</v>
      </c>
      <c r="R1711" s="705">
        <v>383978</v>
      </c>
      <c r="S1711" s="705">
        <v>142214</v>
      </c>
      <c r="T1711">
        <v>0</v>
      </c>
      <c r="U1711">
        <v>0</v>
      </c>
      <c r="V1711" s="705">
        <v>845112</v>
      </c>
      <c r="W1711" s="705">
        <f t="shared" si="70"/>
        <v>845111</v>
      </c>
      <c r="X1711" s="705">
        <f t="shared" si="71"/>
        <v>2240227</v>
      </c>
    </row>
    <row r="1712" spans="2:24">
      <c r="B1712" t="s">
        <v>713</v>
      </c>
      <c r="C1712" t="s">
        <v>124</v>
      </c>
      <c r="D1712" t="s">
        <v>228</v>
      </c>
      <c r="E1712" t="s">
        <v>665</v>
      </c>
      <c r="F1712">
        <v>1</v>
      </c>
      <c r="G1712">
        <v>91</v>
      </c>
      <c r="H1712">
        <v>674</v>
      </c>
      <c r="I1712" s="705">
        <v>44375</v>
      </c>
      <c r="J1712" s="705">
        <v>16435</v>
      </c>
      <c r="K1712">
        <v>100</v>
      </c>
      <c r="L1712" s="705">
        <v>6696</v>
      </c>
      <c r="M1712" s="705">
        <v>6087</v>
      </c>
      <c r="N1712" s="705">
        <v>1225</v>
      </c>
      <c r="O1712">
        <v>454</v>
      </c>
      <c r="P1712">
        <v>0</v>
      </c>
      <c r="Q1712">
        <v>0</v>
      </c>
      <c r="R1712" s="705">
        <v>6749</v>
      </c>
      <c r="S1712" s="705">
        <v>6136</v>
      </c>
      <c r="T1712" s="705">
        <v>2585</v>
      </c>
      <c r="U1712">
        <v>957</v>
      </c>
      <c r="V1712" s="705">
        <v>30069</v>
      </c>
      <c r="W1712" s="705">
        <f t="shared" si="70"/>
        <v>30069</v>
      </c>
      <c r="X1712" s="705">
        <f t="shared" si="71"/>
        <v>61630</v>
      </c>
    </row>
    <row r="1713" spans="2:24">
      <c r="B1713" t="s">
        <v>713</v>
      </c>
      <c r="C1713" t="s">
        <v>124</v>
      </c>
      <c r="D1713" t="s">
        <v>583</v>
      </c>
      <c r="E1713" t="s">
        <v>583</v>
      </c>
      <c r="F1713">
        <v>8</v>
      </c>
      <c r="G1713">
        <v>766</v>
      </c>
      <c r="H1713" s="705">
        <v>4034</v>
      </c>
      <c r="I1713" s="705">
        <v>264318</v>
      </c>
      <c r="J1713" s="705">
        <v>240289</v>
      </c>
      <c r="K1713">
        <v>79</v>
      </c>
      <c r="L1713" s="705">
        <v>58057</v>
      </c>
      <c r="M1713" s="705">
        <v>52780</v>
      </c>
      <c r="N1713" s="705">
        <v>16383</v>
      </c>
      <c r="O1713" s="705">
        <v>6068</v>
      </c>
      <c r="P1713" s="705">
        <v>5319</v>
      </c>
      <c r="Q1713" s="705">
        <v>1970</v>
      </c>
      <c r="R1713" s="705">
        <v>33912</v>
      </c>
      <c r="S1713" s="705">
        <v>30829</v>
      </c>
      <c r="T1713" s="705">
        <v>9307</v>
      </c>
      <c r="U1713" s="705">
        <v>3447</v>
      </c>
      <c r="V1713" s="705">
        <v>335382</v>
      </c>
      <c r="W1713" s="705">
        <f t="shared" si="70"/>
        <v>335383</v>
      </c>
      <c r="X1713" s="705">
        <f t="shared" si="71"/>
        <v>387296</v>
      </c>
    </row>
    <row r="1714" spans="2:24">
      <c r="B1714" t="s">
        <v>713</v>
      </c>
      <c r="C1714" t="s">
        <v>124</v>
      </c>
      <c r="D1714" t="s">
        <v>671</v>
      </c>
      <c r="E1714" t="s">
        <v>671</v>
      </c>
      <c r="F1714">
        <v>1</v>
      </c>
      <c r="G1714">
        <v>83</v>
      </c>
      <c r="H1714">
        <v>551</v>
      </c>
      <c r="I1714" s="705">
        <v>31345</v>
      </c>
      <c r="J1714" s="705">
        <v>28496</v>
      </c>
      <c r="K1714">
        <v>45</v>
      </c>
      <c r="L1714" s="705">
        <v>5224</v>
      </c>
      <c r="M1714" s="705">
        <v>4749</v>
      </c>
      <c r="N1714" s="705">
        <v>1512</v>
      </c>
      <c r="O1714">
        <v>560</v>
      </c>
      <c r="P1714">
        <v>473</v>
      </c>
      <c r="Q1714">
        <v>175</v>
      </c>
      <c r="R1714" s="705">
        <v>5228</v>
      </c>
      <c r="S1714" s="705">
        <v>4753</v>
      </c>
      <c r="T1714" s="705">
        <v>1757</v>
      </c>
      <c r="U1714">
        <v>651</v>
      </c>
      <c r="V1714" s="705">
        <v>39383</v>
      </c>
      <c r="W1714" s="705">
        <f t="shared" si="70"/>
        <v>39384</v>
      </c>
      <c r="X1714" s="705">
        <f t="shared" si="71"/>
        <v>45539</v>
      </c>
    </row>
    <row r="1715" spans="2:24">
      <c r="B1715" t="s">
        <v>713</v>
      </c>
      <c r="C1715" t="s">
        <v>124</v>
      </c>
      <c r="D1715" t="s">
        <v>665</v>
      </c>
      <c r="E1715" t="s">
        <v>228</v>
      </c>
      <c r="F1715">
        <v>1</v>
      </c>
      <c r="G1715">
        <v>53</v>
      </c>
      <c r="H1715">
        <v>849</v>
      </c>
      <c r="I1715" s="705">
        <v>35737</v>
      </c>
      <c r="J1715" s="705">
        <v>32488</v>
      </c>
      <c r="K1715">
        <v>30</v>
      </c>
      <c r="L1715" s="705">
        <v>4412</v>
      </c>
      <c r="M1715" s="705">
        <v>1634</v>
      </c>
      <c r="N1715" s="705">
        <v>1295</v>
      </c>
      <c r="O1715">
        <v>480</v>
      </c>
      <c r="P1715">
        <v>0</v>
      </c>
      <c r="Q1715">
        <v>0</v>
      </c>
      <c r="R1715" s="705">
        <v>3651</v>
      </c>
      <c r="S1715" s="705">
        <v>1352</v>
      </c>
      <c r="T1715">
        <v>0</v>
      </c>
      <c r="U1715">
        <v>0</v>
      </c>
      <c r="V1715" s="705">
        <v>35954</v>
      </c>
      <c r="W1715" s="705">
        <f t="shared" si="70"/>
        <v>35954</v>
      </c>
      <c r="X1715" s="705">
        <f t="shared" si="71"/>
        <v>45095</v>
      </c>
    </row>
    <row r="1716" spans="2:24">
      <c r="B1716" t="s">
        <v>713</v>
      </c>
      <c r="C1716" t="s">
        <v>124</v>
      </c>
      <c r="D1716" t="s">
        <v>665</v>
      </c>
      <c r="E1716" t="s">
        <v>665</v>
      </c>
      <c r="F1716">
        <v>7</v>
      </c>
      <c r="G1716">
        <v>512</v>
      </c>
      <c r="H1716" s="705">
        <v>4881</v>
      </c>
      <c r="I1716" s="705">
        <v>271346</v>
      </c>
      <c r="J1716" s="705">
        <v>246678</v>
      </c>
      <c r="K1716">
        <v>53</v>
      </c>
      <c r="L1716" s="705">
        <v>41544</v>
      </c>
      <c r="M1716" s="705">
        <v>37767</v>
      </c>
      <c r="N1716" s="705">
        <v>10952</v>
      </c>
      <c r="O1716" s="705">
        <v>4056</v>
      </c>
      <c r="P1716" s="705">
        <v>2106</v>
      </c>
      <c r="Q1716">
        <v>780</v>
      </c>
      <c r="R1716" s="705">
        <v>28336</v>
      </c>
      <c r="S1716" s="705">
        <v>25760</v>
      </c>
      <c r="T1716" s="705">
        <v>12104</v>
      </c>
      <c r="U1716" s="705">
        <v>4483</v>
      </c>
      <c r="V1716" s="705">
        <v>319525</v>
      </c>
      <c r="W1716" s="705">
        <f t="shared" si="70"/>
        <v>319524</v>
      </c>
      <c r="X1716" s="705">
        <f t="shared" si="71"/>
        <v>366388</v>
      </c>
    </row>
    <row r="1717" spans="2:24">
      <c r="B1717" t="s">
        <v>550</v>
      </c>
      <c r="C1717" t="s">
        <v>108</v>
      </c>
      <c r="D1717" t="s">
        <v>228</v>
      </c>
      <c r="E1717" t="s">
        <v>228</v>
      </c>
      <c r="F1717">
        <v>34</v>
      </c>
      <c r="G1717" s="705">
        <v>3142</v>
      </c>
      <c r="H1717" s="705">
        <v>1801</v>
      </c>
      <c r="I1717" s="705">
        <v>11941</v>
      </c>
      <c r="J1717" s="705">
        <v>4423</v>
      </c>
      <c r="K1717">
        <v>441</v>
      </c>
      <c r="L1717">
        <v>0</v>
      </c>
      <c r="M1717">
        <v>0</v>
      </c>
      <c r="N1717" s="705">
        <v>38286</v>
      </c>
      <c r="O1717" s="705">
        <v>14180</v>
      </c>
      <c r="P1717" s="705">
        <v>11934</v>
      </c>
      <c r="Q1717" s="705">
        <v>4420</v>
      </c>
      <c r="R1717" s="705">
        <v>100821</v>
      </c>
      <c r="S1717" s="705">
        <v>37341</v>
      </c>
      <c r="T1717">
        <v>0</v>
      </c>
      <c r="U1717">
        <v>0</v>
      </c>
      <c r="V1717" s="705">
        <v>60364</v>
      </c>
      <c r="W1717" s="705">
        <f t="shared" si="70"/>
        <v>60364</v>
      </c>
      <c r="X1717" s="705">
        <f t="shared" si="71"/>
        <v>162982</v>
      </c>
    </row>
    <row r="1718" spans="2:24">
      <c r="B1718" t="s">
        <v>550</v>
      </c>
      <c r="C1718" t="s">
        <v>108</v>
      </c>
      <c r="D1718" t="s">
        <v>584</v>
      </c>
      <c r="E1718" t="s">
        <v>584</v>
      </c>
      <c r="F1718">
        <v>19</v>
      </c>
      <c r="G1718" s="705">
        <v>1679</v>
      </c>
      <c r="H1718" s="705">
        <v>1187</v>
      </c>
      <c r="I1718" s="705">
        <v>14609</v>
      </c>
      <c r="J1718" s="705">
        <v>13281</v>
      </c>
      <c r="K1718">
        <v>89</v>
      </c>
      <c r="L1718">
        <v>0</v>
      </c>
      <c r="M1718">
        <v>0</v>
      </c>
      <c r="N1718" s="705">
        <v>20457</v>
      </c>
      <c r="O1718" s="705">
        <v>7577</v>
      </c>
      <c r="P1718" s="705">
        <v>21917</v>
      </c>
      <c r="Q1718" s="705">
        <v>8118</v>
      </c>
      <c r="R1718" s="705">
        <v>48396</v>
      </c>
      <c r="S1718" s="705">
        <v>43996</v>
      </c>
      <c r="T1718">
        <v>0</v>
      </c>
      <c r="U1718">
        <v>0</v>
      </c>
      <c r="V1718" s="705">
        <v>72971</v>
      </c>
      <c r="W1718" s="705">
        <f t="shared" si="70"/>
        <v>72972</v>
      </c>
      <c r="X1718" s="705">
        <f t="shared" si="71"/>
        <v>105379</v>
      </c>
    </row>
    <row r="1719" spans="2:24">
      <c r="B1719" t="s">
        <v>550</v>
      </c>
      <c r="C1719" t="s">
        <v>110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705">
        <f t="shared" si="70"/>
        <v>347</v>
      </c>
      <c r="X1719" s="705">
        <f t="shared" si="71"/>
        <v>936</v>
      </c>
    </row>
    <row r="1720" spans="2:24">
      <c r="B1720" t="s">
        <v>550</v>
      </c>
      <c r="C1720" t="s">
        <v>110</v>
      </c>
      <c r="D1720" t="s">
        <v>583</v>
      </c>
      <c r="E1720" t="s">
        <v>583</v>
      </c>
      <c r="F1720">
        <v>3</v>
      </c>
      <c r="G1720" s="705">
        <v>1022</v>
      </c>
      <c r="H1720">
        <v>282</v>
      </c>
      <c r="I1720" s="705">
        <v>58679</v>
      </c>
      <c r="J1720" s="705">
        <v>53345</v>
      </c>
      <c r="K1720">
        <v>93</v>
      </c>
      <c r="L1720" s="705">
        <v>10265</v>
      </c>
      <c r="M1720" s="705">
        <v>9086</v>
      </c>
      <c r="N1720" s="705">
        <v>13042</v>
      </c>
      <c r="O1720" s="705">
        <v>4830</v>
      </c>
      <c r="P1720" s="705">
        <v>1863</v>
      </c>
      <c r="Q1720">
        <v>690</v>
      </c>
      <c r="R1720" s="705">
        <v>16343</v>
      </c>
      <c r="S1720" s="705">
        <v>14857</v>
      </c>
      <c r="T1720">
        <v>0</v>
      </c>
      <c r="U1720">
        <v>0</v>
      </c>
      <c r="V1720" s="705">
        <v>82808</v>
      </c>
      <c r="W1720" s="705">
        <f t="shared" si="70"/>
        <v>82808</v>
      </c>
      <c r="X1720" s="705">
        <f t="shared" si="71"/>
        <v>100192</v>
      </c>
    </row>
    <row r="1721" spans="2:24">
      <c r="B1721" t="s">
        <v>550</v>
      </c>
      <c r="C1721" t="s">
        <v>110</v>
      </c>
      <c r="D1721" t="s">
        <v>584</v>
      </c>
      <c r="E1721" t="s">
        <v>584</v>
      </c>
      <c r="F1721">
        <v>41</v>
      </c>
      <c r="G1721" s="705">
        <v>3967</v>
      </c>
      <c r="H1721" s="705">
        <v>3792</v>
      </c>
      <c r="I1721" s="705">
        <v>131860</v>
      </c>
      <c r="J1721" s="705">
        <v>119873</v>
      </c>
      <c r="K1721">
        <v>90</v>
      </c>
      <c r="L1721" s="705">
        <v>13500</v>
      </c>
      <c r="M1721" s="705">
        <v>7858</v>
      </c>
      <c r="N1721" s="705">
        <v>65878</v>
      </c>
      <c r="O1721" s="705">
        <v>24399</v>
      </c>
      <c r="P1721" s="705">
        <v>19373</v>
      </c>
      <c r="Q1721" s="705">
        <v>7175</v>
      </c>
      <c r="R1721" s="705">
        <v>135584</v>
      </c>
      <c r="S1721" s="705">
        <v>123258</v>
      </c>
      <c r="T1721">
        <v>0</v>
      </c>
      <c r="U1721">
        <v>0</v>
      </c>
      <c r="V1721" s="705">
        <v>282563</v>
      </c>
      <c r="W1721" s="705">
        <f t="shared" si="70"/>
        <v>282563</v>
      </c>
      <c r="X1721" s="705">
        <f t="shared" si="71"/>
        <v>366195</v>
      </c>
    </row>
    <row r="1722" spans="2:24">
      <c r="B1722" t="s">
        <v>550</v>
      </c>
      <c r="C1722" t="s">
        <v>112</v>
      </c>
      <c r="D1722" t="s">
        <v>583</v>
      </c>
      <c r="E1722" t="s">
        <v>583</v>
      </c>
      <c r="F1722">
        <v>1</v>
      </c>
      <c r="G1722">
        <v>170</v>
      </c>
      <c r="H1722">
        <v>125</v>
      </c>
      <c r="I1722" s="705">
        <v>19545</v>
      </c>
      <c r="J1722" s="705">
        <v>17768</v>
      </c>
      <c r="K1722">
        <v>86</v>
      </c>
      <c r="L1722" s="705">
        <v>3214</v>
      </c>
      <c r="M1722" s="705">
        <v>2922</v>
      </c>
      <c r="N1722" s="705">
        <v>4362</v>
      </c>
      <c r="O1722" s="705">
        <v>1616</v>
      </c>
      <c r="P1722">
        <v>621</v>
      </c>
      <c r="Q1722">
        <v>230</v>
      </c>
      <c r="R1722" s="705">
        <v>4658</v>
      </c>
      <c r="S1722" s="705">
        <v>4235</v>
      </c>
      <c r="T1722">
        <v>0</v>
      </c>
      <c r="U1722">
        <v>0</v>
      </c>
      <c r="V1722" s="705">
        <v>26770</v>
      </c>
      <c r="W1722" s="705">
        <f t="shared" si="70"/>
        <v>26771</v>
      </c>
      <c r="X1722" s="705">
        <f t="shared" si="71"/>
        <v>32400</v>
      </c>
    </row>
    <row r="1723" spans="2:24">
      <c r="B1723" t="s">
        <v>550</v>
      </c>
      <c r="C1723" t="s">
        <v>112</v>
      </c>
      <c r="D1723" t="s">
        <v>584</v>
      </c>
      <c r="E1723" t="s">
        <v>584</v>
      </c>
      <c r="F1723">
        <v>210</v>
      </c>
      <c r="G1723" s="705">
        <v>19403</v>
      </c>
      <c r="H1723" s="705">
        <v>23973</v>
      </c>
      <c r="I1723" s="705">
        <v>885399</v>
      </c>
      <c r="J1723" s="705">
        <v>804908</v>
      </c>
      <c r="K1723">
        <v>87</v>
      </c>
      <c r="L1723" s="705">
        <v>50106</v>
      </c>
      <c r="M1723" s="705">
        <v>32912</v>
      </c>
      <c r="N1723" s="705">
        <v>323790</v>
      </c>
      <c r="O1723" s="705">
        <v>119922</v>
      </c>
      <c r="P1723" s="705">
        <v>106409</v>
      </c>
      <c r="Q1723" s="705">
        <v>39411</v>
      </c>
      <c r="R1723" s="705">
        <v>832698</v>
      </c>
      <c r="S1723" s="705">
        <v>756999</v>
      </c>
      <c r="T1723" s="705">
        <v>18275</v>
      </c>
      <c r="U1723" s="705">
        <v>6768</v>
      </c>
      <c r="V1723" s="705">
        <v>1760920</v>
      </c>
      <c r="W1723" s="705">
        <f t="shared" si="70"/>
        <v>1760920</v>
      </c>
      <c r="X1723" s="705">
        <f t="shared" si="71"/>
        <v>2216677</v>
      </c>
    </row>
    <row r="1724" spans="2:24">
      <c r="B1724" t="s">
        <v>550</v>
      </c>
      <c r="C1724" t="s">
        <v>114</v>
      </c>
      <c r="D1724" t="s">
        <v>582</v>
      </c>
      <c r="E1724" t="s">
        <v>582</v>
      </c>
      <c r="F1724">
        <v>2</v>
      </c>
      <c r="G1724">
        <v>220</v>
      </c>
      <c r="H1724">
        <v>281</v>
      </c>
      <c r="I1724" s="705">
        <v>19645</v>
      </c>
      <c r="J1724" s="705">
        <v>17859</v>
      </c>
      <c r="K1724">
        <v>84</v>
      </c>
      <c r="L1724" s="705">
        <v>1405</v>
      </c>
      <c r="M1724" s="705">
        <v>1277</v>
      </c>
      <c r="N1724" s="705">
        <v>2675</v>
      </c>
      <c r="O1724">
        <v>991</v>
      </c>
      <c r="P1724">
        <v>945</v>
      </c>
      <c r="Q1724">
        <v>350</v>
      </c>
      <c r="R1724" s="705">
        <v>6232</v>
      </c>
      <c r="S1724" s="705">
        <v>5665</v>
      </c>
      <c r="T1724">
        <v>0</v>
      </c>
      <c r="U1724">
        <v>0</v>
      </c>
      <c r="V1724" s="705">
        <v>26142</v>
      </c>
      <c r="W1724" s="705">
        <f t="shared" si="70"/>
        <v>26142</v>
      </c>
      <c r="X1724" s="705">
        <f t="shared" si="71"/>
        <v>30902</v>
      </c>
    </row>
    <row r="1725" spans="2:24">
      <c r="B1725" t="s">
        <v>550</v>
      </c>
      <c r="C1725" t="s">
        <v>114</v>
      </c>
      <c r="D1725" t="s">
        <v>228</v>
      </c>
      <c r="E1725" t="s">
        <v>228</v>
      </c>
      <c r="F1725">
        <v>17</v>
      </c>
      <c r="G1725" s="705">
        <v>1271</v>
      </c>
      <c r="H1725" s="705">
        <v>2385</v>
      </c>
      <c r="I1725" s="705">
        <v>41441</v>
      </c>
      <c r="J1725" s="705">
        <v>15348</v>
      </c>
      <c r="K1725">
        <v>116</v>
      </c>
      <c r="L1725" s="705">
        <v>7846</v>
      </c>
      <c r="M1725" s="705">
        <v>3538</v>
      </c>
      <c r="N1725" s="705">
        <v>23437</v>
      </c>
      <c r="O1725" s="705">
        <v>8680</v>
      </c>
      <c r="P1725">
        <v>0</v>
      </c>
      <c r="Q1725">
        <v>0</v>
      </c>
      <c r="R1725" s="705">
        <v>105556</v>
      </c>
      <c r="S1725" s="705">
        <v>39095</v>
      </c>
      <c r="T1725">
        <v>0</v>
      </c>
      <c r="U1725">
        <v>0</v>
      </c>
      <c r="V1725" s="705">
        <v>66661</v>
      </c>
      <c r="W1725" s="705">
        <f t="shared" si="70"/>
        <v>66661</v>
      </c>
      <c r="X1725" s="705">
        <f t="shared" si="71"/>
        <v>178280</v>
      </c>
    </row>
    <row r="1726" spans="2:24">
      <c r="B1726" t="s">
        <v>550</v>
      </c>
      <c r="C1726" t="s">
        <v>114</v>
      </c>
      <c r="D1726" t="s">
        <v>228</v>
      </c>
      <c r="E1726" t="s">
        <v>665</v>
      </c>
      <c r="F1726">
        <v>1</v>
      </c>
      <c r="G1726">
        <v>75</v>
      </c>
      <c r="H1726">
        <v>146</v>
      </c>
      <c r="I1726" s="705">
        <v>7208</v>
      </c>
      <c r="J1726" s="705">
        <v>2670</v>
      </c>
      <c r="K1726">
        <v>100</v>
      </c>
      <c r="L1726">
        <v>0</v>
      </c>
      <c r="M1726">
        <v>0</v>
      </c>
      <c r="N1726" s="705">
        <v>1279</v>
      </c>
      <c r="O1726">
        <v>474</v>
      </c>
      <c r="P1726">
        <v>0</v>
      </c>
      <c r="Q1726">
        <v>0</v>
      </c>
      <c r="R1726" s="705">
        <v>2450</v>
      </c>
      <c r="S1726" s="705">
        <v>2227</v>
      </c>
      <c r="T1726">
        <v>0</v>
      </c>
      <c r="U1726">
        <v>0</v>
      </c>
      <c r="V1726" s="705">
        <v>5370</v>
      </c>
      <c r="W1726" s="705">
        <f t="shared" si="70"/>
        <v>5371</v>
      </c>
      <c r="X1726" s="705">
        <f t="shared" si="71"/>
        <v>10937</v>
      </c>
    </row>
    <row r="1727" spans="2:24">
      <c r="B1727" t="s">
        <v>550</v>
      </c>
      <c r="C1727" t="s">
        <v>114</v>
      </c>
      <c r="D1727" t="s">
        <v>583</v>
      </c>
      <c r="E1727" t="s">
        <v>583</v>
      </c>
      <c r="F1727">
        <v>9</v>
      </c>
      <c r="G1727" s="705">
        <v>1399</v>
      </c>
      <c r="H1727" s="705">
        <v>1266</v>
      </c>
      <c r="I1727" s="705">
        <v>105400</v>
      </c>
      <c r="J1727" s="705">
        <v>95818</v>
      </c>
      <c r="K1727">
        <v>90</v>
      </c>
      <c r="L1727" s="705">
        <v>24221</v>
      </c>
      <c r="M1727" s="705">
        <v>22019</v>
      </c>
      <c r="N1727" s="705">
        <v>25606</v>
      </c>
      <c r="O1727" s="705">
        <v>9484</v>
      </c>
      <c r="P1727" s="705">
        <v>6642</v>
      </c>
      <c r="Q1727" s="705">
        <v>2460</v>
      </c>
      <c r="R1727" s="705">
        <v>45823</v>
      </c>
      <c r="S1727" s="705">
        <v>41657</v>
      </c>
      <c r="T1727" s="705">
        <v>2376</v>
      </c>
      <c r="U1727">
        <v>880</v>
      </c>
      <c r="V1727" s="705">
        <v>172318</v>
      </c>
      <c r="W1727" s="705">
        <f t="shared" si="70"/>
        <v>172318</v>
      </c>
      <c r="X1727" s="705">
        <f t="shared" si="71"/>
        <v>210068</v>
      </c>
    </row>
    <row r="1728" spans="2:24">
      <c r="B1728" t="s">
        <v>550</v>
      </c>
      <c r="C1728" t="s">
        <v>114</v>
      </c>
      <c r="D1728" t="s">
        <v>584</v>
      </c>
      <c r="E1728" t="s">
        <v>584</v>
      </c>
      <c r="F1728">
        <v>341</v>
      </c>
      <c r="G1728" s="705">
        <v>28554</v>
      </c>
      <c r="H1728" s="705">
        <v>47318</v>
      </c>
      <c r="I1728" s="705">
        <v>1680461</v>
      </c>
      <c r="J1728" s="705">
        <v>1527692</v>
      </c>
      <c r="K1728">
        <v>84</v>
      </c>
      <c r="L1728" s="705">
        <v>161328</v>
      </c>
      <c r="M1728" s="705">
        <v>128254</v>
      </c>
      <c r="N1728" s="705">
        <v>522015</v>
      </c>
      <c r="O1728" s="705">
        <v>193339</v>
      </c>
      <c r="P1728" s="705">
        <v>168718</v>
      </c>
      <c r="Q1728" s="705">
        <v>62488</v>
      </c>
      <c r="R1728" s="705">
        <v>1374703</v>
      </c>
      <c r="S1728" s="705">
        <v>1249730</v>
      </c>
      <c r="T1728" s="705">
        <v>76442</v>
      </c>
      <c r="U1728" s="705">
        <v>28312</v>
      </c>
      <c r="V1728" s="705">
        <v>3189814</v>
      </c>
      <c r="W1728" s="705">
        <f t="shared" si="70"/>
        <v>3189815</v>
      </c>
      <c r="X1728" s="705">
        <f t="shared" si="71"/>
        <v>3983667</v>
      </c>
    </row>
    <row r="1729" spans="2:24">
      <c r="B1729" t="s">
        <v>550</v>
      </c>
      <c r="C1729" t="s">
        <v>116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705">
        <v>4327</v>
      </c>
      <c r="O1729" s="705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705">
        <v>1603</v>
      </c>
      <c r="W1729" s="705">
        <f t="shared" si="70"/>
        <v>1603</v>
      </c>
      <c r="X1729" s="705">
        <f t="shared" si="71"/>
        <v>4327</v>
      </c>
    </row>
    <row r="1730" spans="2:24">
      <c r="B1730" t="s">
        <v>550</v>
      </c>
      <c r="C1730" t="s">
        <v>116</v>
      </c>
      <c r="D1730" t="s">
        <v>582</v>
      </c>
      <c r="E1730" t="s">
        <v>582</v>
      </c>
      <c r="F1730">
        <v>12</v>
      </c>
      <c r="G1730" s="705">
        <v>1023</v>
      </c>
      <c r="H1730" s="705">
        <v>2152</v>
      </c>
      <c r="I1730" s="705">
        <v>87750</v>
      </c>
      <c r="J1730" s="705">
        <v>79773</v>
      </c>
      <c r="K1730">
        <v>82</v>
      </c>
      <c r="L1730" s="705">
        <v>27156</v>
      </c>
      <c r="M1730" s="705">
        <v>24688</v>
      </c>
      <c r="N1730" s="705">
        <v>15935</v>
      </c>
      <c r="O1730" s="705">
        <v>5902</v>
      </c>
      <c r="P1730" s="705">
        <v>5670</v>
      </c>
      <c r="Q1730" s="705">
        <v>2100</v>
      </c>
      <c r="R1730" s="705">
        <v>49100</v>
      </c>
      <c r="S1730" s="705">
        <v>44637</v>
      </c>
      <c r="T1730">
        <v>0</v>
      </c>
      <c r="U1730">
        <v>0</v>
      </c>
      <c r="V1730" s="705">
        <v>157099</v>
      </c>
      <c r="W1730" s="705">
        <f t="shared" si="70"/>
        <v>157100</v>
      </c>
      <c r="X1730" s="705">
        <f t="shared" si="71"/>
        <v>185611</v>
      </c>
    </row>
    <row r="1731" spans="2:24">
      <c r="B1731" t="s">
        <v>550</v>
      </c>
      <c r="C1731" t="s">
        <v>116</v>
      </c>
      <c r="D1731" t="s">
        <v>228</v>
      </c>
      <c r="E1731" t="s">
        <v>228</v>
      </c>
      <c r="F1731">
        <v>348</v>
      </c>
      <c r="G1731" s="705">
        <v>26128</v>
      </c>
      <c r="H1731" s="705">
        <v>68177</v>
      </c>
      <c r="I1731" s="705">
        <v>2147122</v>
      </c>
      <c r="J1731" s="705">
        <v>795230</v>
      </c>
      <c r="K1731">
        <v>100</v>
      </c>
      <c r="L1731" s="705">
        <v>231093</v>
      </c>
      <c r="M1731" s="705">
        <v>94308</v>
      </c>
      <c r="N1731" s="705">
        <v>506573</v>
      </c>
      <c r="O1731" s="705">
        <v>187620</v>
      </c>
      <c r="P1731" s="705">
        <v>3087</v>
      </c>
      <c r="Q1731" s="705">
        <v>1143</v>
      </c>
      <c r="R1731" s="705">
        <v>2224151</v>
      </c>
      <c r="S1731" s="705">
        <v>823760</v>
      </c>
      <c r="T1731" s="705">
        <v>6630</v>
      </c>
      <c r="U1731" s="705">
        <v>2456</v>
      </c>
      <c r="V1731" s="705">
        <v>1904516</v>
      </c>
      <c r="W1731" s="705">
        <f t="shared" si="70"/>
        <v>1904517</v>
      </c>
      <c r="X1731" s="705">
        <f t="shared" si="71"/>
        <v>5118656</v>
      </c>
    </row>
    <row r="1732" spans="2:24">
      <c r="B1732" t="s">
        <v>550</v>
      </c>
      <c r="C1732" t="s">
        <v>116</v>
      </c>
      <c r="D1732" t="s">
        <v>583</v>
      </c>
      <c r="E1732" t="s">
        <v>228</v>
      </c>
      <c r="F1732">
        <v>1</v>
      </c>
      <c r="G1732">
        <v>96</v>
      </c>
      <c r="H1732">
        <v>187</v>
      </c>
      <c r="I1732" s="705">
        <v>8000</v>
      </c>
      <c r="J1732" s="705">
        <v>7273</v>
      </c>
      <c r="K1732">
        <v>85</v>
      </c>
      <c r="L1732" s="705">
        <v>1196</v>
      </c>
      <c r="M1732" s="705">
        <v>1087</v>
      </c>
      <c r="N1732" s="705">
        <v>1988</v>
      </c>
      <c r="O1732">
        <v>736</v>
      </c>
      <c r="P1732">
        <v>621</v>
      </c>
      <c r="Q1732">
        <v>230</v>
      </c>
      <c r="R1732" s="705">
        <v>6188</v>
      </c>
      <c r="S1732" s="705">
        <v>2292</v>
      </c>
      <c r="T1732">
        <v>0</v>
      </c>
      <c r="U1732">
        <v>0</v>
      </c>
      <c r="V1732" s="705">
        <v>11618</v>
      </c>
      <c r="W1732" s="705">
        <f t="shared" si="70"/>
        <v>11618</v>
      </c>
      <c r="X1732" s="705">
        <f t="shared" si="71"/>
        <v>17993</v>
      </c>
    </row>
    <row r="1733" spans="2:24">
      <c r="B1733" t="s">
        <v>550</v>
      </c>
      <c r="C1733" t="s">
        <v>116</v>
      </c>
      <c r="D1733" t="s">
        <v>583</v>
      </c>
      <c r="E1733" t="s">
        <v>583</v>
      </c>
      <c r="F1733">
        <v>42</v>
      </c>
      <c r="G1733" s="705">
        <v>5235</v>
      </c>
      <c r="H1733" s="705">
        <v>8287</v>
      </c>
      <c r="I1733" s="705">
        <v>541487</v>
      </c>
      <c r="J1733" s="705">
        <v>492261</v>
      </c>
      <c r="K1733">
        <v>85</v>
      </c>
      <c r="L1733" s="705">
        <v>106365</v>
      </c>
      <c r="M1733" s="705">
        <v>92980</v>
      </c>
      <c r="N1733" s="705">
        <v>102783</v>
      </c>
      <c r="O1733" s="705">
        <v>38068</v>
      </c>
      <c r="P1733" s="705">
        <v>28005</v>
      </c>
      <c r="Q1733" s="705">
        <v>10372</v>
      </c>
      <c r="R1733" s="705">
        <v>201010</v>
      </c>
      <c r="S1733" s="705">
        <v>182737</v>
      </c>
      <c r="T1733" s="705">
        <v>52555</v>
      </c>
      <c r="U1733" s="705">
        <v>19465</v>
      </c>
      <c r="V1733" s="705">
        <v>835882</v>
      </c>
      <c r="W1733" s="705">
        <f t="shared" si="70"/>
        <v>835883</v>
      </c>
      <c r="X1733" s="705">
        <f t="shared" si="71"/>
        <v>1032205</v>
      </c>
    </row>
    <row r="1734" spans="2:24">
      <c r="B1734" t="s">
        <v>550</v>
      </c>
      <c r="C1734" t="s">
        <v>116</v>
      </c>
      <c r="D1734" t="s">
        <v>584</v>
      </c>
      <c r="E1734" t="s">
        <v>228</v>
      </c>
      <c r="F1734">
        <v>2</v>
      </c>
      <c r="G1734">
        <v>134</v>
      </c>
      <c r="H1734">
        <v>385</v>
      </c>
      <c r="I1734" s="705">
        <v>13116</v>
      </c>
      <c r="J1734" s="705">
        <v>11923</v>
      </c>
      <c r="K1734">
        <v>77</v>
      </c>
      <c r="L1734">
        <v>519</v>
      </c>
      <c r="M1734">
        <v>471</v>
      </c>
      <c r="N1734" s="705">
        <v>3263</v>
      </c>
      <c r="O1734" s="705">
        <v>1208</v>
      </c>
      <c r="P1734">
        <v>945</v>
      </c>
      <c r="Q1734">
        <v>350</v>
      </c>
      <c r="R1734" s="705">
        <v>7943</v>
      </c>
      <c r="S1734" s="705">
        <v>2942</v>
      </c>
      <c r="T1734">
        <v>0</v>
      </c>
      <c r="U1734">
        <v>0</v>
      </c>
      <c r="V1734" s="705">
        <v>16895</v>
      </c>
      <c r="W1734" s="705">
        <f t="shared" si="70"/>
        <v>16894</v>
      </c>
      <c r="X1734" s="705">
        <f t="shared" si="71"/>
        <v>25786</v>
      </c>
    </row>
    <row r="1735" spans="2:24">
      <c r="B1735" t="s">
        <v>550</v>
      </c>
      <c r="C1735" t="s">
        <v>116</v>
      </c>
      <c r="D1735" t="s">
        <v>584</v>
      </c>
      <c r="E1735" t="s">
        <v>584</v>
      </c>
      <c r="F1735">
        <v>903</v>
      </c>
      <c r="G1735" s="705">
        <v>66667</v>
      </c>
      <c r="H1735" s="705">
        <v>166029</v>
      </c>
      <c r="I1735" s="705">
        <v>5500207</v>
      </c>
      <c r="J1735" s="705">
        <v>5000188</v>
      </c>
      <c r="K1735">
        <v>80</v>
      </c>
      <c r="L1735" s="705">
        <v>663881</v>
      </c>
      <c r="M1735" s="705">
        <v>506782</v>
      </c>
      <c r="N1735" s="705">
        <v>1283864</v>
      </c>
      <c r="O1735" s="705">
        <v>475505</v>
      </c>
      <c r="P1735" s="705">
        <v>428822</v>
      </c>
      <c r="Q1735" s="705">
        <v>158823</v>
      </c>
      <c r="R1735" s="705">
        <v>3775817</v>
      </c>
      <c r="S1735" s="705">
        <v>3432561</v>
      </c>
      <c r="T1735" s="705">
        <v>588086</v>
      </c>
      <c r="U1735" s="705">
        <v>217810</v>
      </c>
      <c r="V1735" s="705">
        <v>9791668</v>
      </c>
      <c r="W1735" s="705">
        <f t="shared" si="70"/>
        <v>9791669</v>
      </c>
      <c r="X1735" s="705">
        <f t="shared" si="71"/>
        <v>12240677</v>
      </c>
    </row>
    <row r="1736" spans="2:24">
      <c r="B1736" t="s">
        <v>550</v>
      </c>
      <c r="C1736" t="s">
        <v>116</v>
      </c>
      <c r="D1736" t="s">
        <v>585</v>
      </c>
      <c r="E1736" t="s">
        <v>228</v>
      </c>
      <c r="F1736">
        <v>1</v>
      </c>
      <c r="G1736">
        <v>68</v>
      </c>
      <c r="H1736">
        <v>205</v>
      </c>
      <c r="I1736" s="705">
        <v>5410</v>
      </c>
      <c r="J1736" s="705">
        <v>4918</v>
      </c>
      <c r="K1736">
        <v>85</v>
      </c>
      <c r="L1736" s="705">
        <v>1703</v>
      </c>
      <c r="M1736" s="705">
        <v>1548</v>
      </c>
      <c r="N1736" s="705">
        <v>1645</v>
      </c>
      <c r="O1736">
        <v>609</v>
      </c>
      <c r="P1736">
        <v>351</v>
      </c>
      <c r="Q1736">
        <v>130</v>
      </c>
      <c r="R1736" s="705">
        <v>4696</v>
      </c>
      <c r="S1736" s="705">
        <v>1739</v>
      </c>
      <c r="T1736">
        <v>0</v>
      </c>
      <c r="U1736">
        <v>0</v>
      </c>
      <c r="V1736" s="705">
        <v>8945</v>
      </c>
      <c r="W1736" s="705">
        <f t="shared" si="70"/>
        <v>8944</v>
      </c>
      <c r="X1736" s="705">
        <f t="shared" si="71"/>
        <v>13805</v>
      </c>
    </row>
    <row r="1737" spans="2:24">
      <c r="B1737" t="s">
        <v>550</v>
      </c>
      <c r="C1737" t="s">
        <v>118</v>
      </c>
      <c r="D1737" t="s">
        <v>582</v>
      </c>
      <c r="E1737" t="s">
        <v>582</v>
      </c>
      <c r="F1737">
        <v>2</v>
      </c>
      <c r="G1737">
        <v>156</v>
      </c>
      <c r="H1737">
        <v>586</v>
      </c>
      <c r="I1737" s="705">
        <v>22584</v>
      </c>
      <c r="J1737" s="705">
        <v>20531</v>
      </c>
      <c r="K1737">
        <v>71</v>
      </c>
      <c r="L1737" s="705">
        <v>7158</v>
      </c>
      <c r="M1737" s="705">
        <v>6507</v>
      </c>
      <c r="N1737" s="705">
        <v>3149</v>
      </c>
      <c r="O1737" s="705">
        <v>1166</v>
      </c>
      <c r="P1737">
        <v>945</v>
      </c>
      <c r="Q1737">
        <v>350</v>
      </c>
      <c r="R1737" s="705">
        <v>7545</v>
      </c>
      <c r="S1737" s="705">
        <v>6859</v>
      </c>
      <c r="T1737" s="705">
        <v>4398</v>
      </c>
      <c r="U1737" s="705">
        <v>1629</v>
      </c>
      <c r="V1737" s="705">
        <v>37042</v>
      </c>
      <c r="W1737" s="705">
        <f t="shared" si="70"/>
        <v>37042</v>
      </c>
      <c r="X1737" s="705">
        <f t="shared" si="71"/>
        <v>45779</v>
      </c>
    </row>
    <row r="1738" spans="2:24">
      <c r="B1738" t="s">
        <v>550</v>
      </c>
      <c r="C1738" t="s">
        <v>118</v>
      </c>
      <c r="D1738" t="s">
        <v>228</v>
      </c>
      <c r="E1738" t="s">
        <v>228</v>
      </c>
      <c r="F1738">
        <v>481</v>
      </c>
      <c r="G1738" s="705">
        <v>32254</v>
      </c>
      <c r="H1738" s="705">
        <v>125848</v>
      </c>
      <c r="I1738" s="705">
        <v>4336800</v>
      </c>
      <c r="J1738" s="705">
        <v>1606222</v>
      </c>
      <c r="K1738">
        <v>100</v>
      </c>
      <c r="L1738" s="705">
        <v>444490</v>
      </c>
      <c r="M1738" s="705">
        <v>192107</v>
      </c>
      <c r="N1738" s="705">
        <v>628071</v>
      </c>
      <c r="O1738" s="705">
        <v>232619</v>
      </c>
      <c r="P1738" s="705">
        <v>4981</v>
      </c>
      <c r="Q1738" s="705">
        <v>1845</v>
      </c>
      <c r="R1738" s="705">
        <v>3011620</v>
      </c>
      <c r="S1738" s="705">
        <v>1115415</v>
      </c>
      <c r="T1738" s="705">
        <v>8295</v>
      </c>
      <c r="U1738" s="705">
        <v>3072</v>
      </c>
      <c r="V1738" s="705">
        <v>3151279</v>
      </c>
      <c r="W1738" s="705">
        <f t="shared" si="70"/>
        <v>3151280</v>
      </c>
      <c r="X1738" s="705">
        <f t="shared" si="71"/>
        <v>8434257</v>
      </c>
    </row>
    <row r="1739" spans="2:24">
      <c r="B1739" t="s">
        <v>550</v>
      </c>
      <c r="C1739" t="s">
        <v>118</v>
      </c>
      <c r="D1739" t="s">
        <v>583</v>
      </c>
      <c r="E1739" t="s">
        <v>583</v>
      </c>
      <c r="F1739">
        <v>45</v>
      </c>
      <c r="G1739" s="705">
        <v>5307</v>
      </c>
      <c r="H1739" s="705">
        <v>12064</v>
      </c>
      <c r="I1739" s="705">
        <v>838159</v>
      </c>
      <c r="J1739" s="705">
        <v>761963</v>
      </c>
      <c r="K1739">
        <v>80</v>
      </c>
      <c r="L1739" s="705">
        <v>178751</v>
      </c>
      <c r="M1739" s="705">
        <v>153195</v>
      </c>
      <c r="N1739" s="705">
        <v>106925</v>
      </c>
      <c r="O1739" s="705">
        <v>39602</v>
      </c>
      <c r="P1739" s="705">
        <v>30402</v>
      </c>
      <c r="Q1739" s="705">
        <v>11260</v>
      </c>
      <c r="R1739" s="705">
        <v>228040</v>
      </c>
      <c r="S1739" s="705">
        <v>207309</v>
      </c>
      <c r="T1739" s="705">
        <v>60604</v>
      </c>
      <c r="U1739" s="705">
        <v>22446</v>
      </c>
      <c r="V1739" s="705">
        <v>1195775</v>
      </c>
      <c r="W1739" s="705">
        <f t="shared" si="70"/>
        <v>1195775</v>
      </c>
      <c r="X1739" s="705">
        <f t="shared" si="71"/>
        <v>1442881</v>
      </c>
    </row>
    <row r="1740" spans="2:24">
      <c r="B1740" t="s">
        <v>550</v>
      </c>
      <c r="C1740" t="s">
        <v>118</v>
      </c>
      <c r="D1740" t="s">
        <v>584</v>
      </c>
      <c r="E1740" t="s">
        <v>228</v>
      </c>
      <c r="F1740">
        <v>1</v>
      </c>
      <c r="G1740">
        <v>62</v>
      </c>
      <c r="H1740">
        <v>240</v>
      </c>
      <c r="I1740" s="705">
        <v>2325</v>
      </c>
      <c r="J1740" s="705">
        <v>2113</v>
      </c>
      <c r="K1740">
        <v>90</v>
      </c>
      <c r="L1740">
        <v>518</v>
      </c>
      <c r="M1740">
        <v>471</v>
      </c>
      <c r="N1740" s="705">
        <v>1429</v>
      </c>
      <c r="O1740">
        <v>529</v>
      </c>
      <c r="P1740">
        <v>473</v>
      </c>
      <c r="Q1740">
        <v>175</v>
      </c>
      <c r="R1740" s="705">
        <v>10083</v>
      </c>
      <c r="S1740" s="705">
        <v>3735</v>
      </c>
      <c r="T1740">
        <v>0</v>
      </c>
      <c r="U1740">
        <v>0</v>
      </c>
      <c r="V1740" s="705">
        <v>7023</v>
      </c>
      <c r="W1740" s="705">
        <f t="shared" si="70"/>
        <v>7023</v>
      </c>
      <c r="X1740" s="705">
        <f t="shared" si="71"/>
        <v>14828</v>
      </c>
    </row>
    <row r="1741" spans="2:24">
      <c r="B1741" t="s">
        <v>550</v>
      </c>
      <c r="C1741" t="s">
        <v>118</v>
      </c>
      <c r="D1741" t="s">
        <v>584</v>
      </c>
      <c r="E1741" t="s">
        <v>584</v>
      </c>
      <c r="F1741">
        <v>118</v>
      </c>
      <c r="G1741" s="705">
        <v>8087</v>
      </c>
      <c r="H1741" s="705">
        <v>29432</v>
      </c>
      <c r="I1741" s="705">
        <v>1028667</v>
      </c>
      <c r="J1741" s="705">
        <v>935152</v>
      </c>
      <c r="K1741">
        <v>79</v>
      </c>
      <c r="L1741" s="705">
        <v>141345</v>
      </c>
      <c r="M1741" s="705">
        <v>117593</v>
      </c>
      <c r="N1741" s="705">
        <v>168875</v>
      </c>
      <c r="O1741" s="705">
        <v>62546</v>
      </c>
      <c r="P1741" s="705">
        <v>56639</v>
      </c>
      <c r="Q1741" s="705">
        <v>20978</v>
      </c>
      <c r="R1741" s="705">
        <v>451383</v>
      </c>
      <c r="S1741" s="705">
        <v>410348</v>
      </c>
      <c r="T1741" s="705">
        <v>164350</v>
      </c>
      <c r="U1741" s="705">
        <v>60870</v>
      </c>
      <c r="V1741" s="705">
        <v>1607488</v>
      </c>
      <c r="W1741" s="705">
        <f t="shared" si="70"/>
        <v>1607487</v>
      </c>
      <c r="X1741" s="705">
        <f t="shared" si="71"/>
        <v>2011259</v>
      </c>
    </row>
    <row r="1742" spans="2:24">
      <c r="B1742" t="s">
        <v>550</v>
      </c>
      <c r="C1742" t="s">
        <v>120</v>
      </c>
      <c r="D1742" t="s">
        <v>228</v>
      </c>
      <c r="E1742" t="s">
        <v>228</v>
      </c>
      <c r="F1742">
        <v>234</v>
      </c>
      <c r="G1742" s="705">
        <v>14332</v>
      </c>
      <c r="H1742" s="705">
        <v>78460</v>
      </c>
      <c r="I1742" s="705">
        <v>2804478</v>
      </c>
      <c r="J1742" s="705">
        <v>1038696</v>
      </c>
      <c r="K1742">
        <v>100</v>
      </c>
      <c r="L1742" s="705">
        <v>316765</v>
      </c>
      <c r="M1742" s="705">
        <v>145787</v>
      </c>
      <c r="N1742" s="705">
        <v>292092</v>
      </c>
      <c r="O1742" s="705">
        <v>108182</v>
      </c>
      <c r="P1742" s="705">
        <v>1896</v>
      </c>
      <c r="Q1742">
        <v>702</v>
      </c>
      <c r="R1742" s="705">
        <v>1444640</v>
      </c>
      <c r="S1742" s="705">
        <v>535052</v>
      </c>
      <c r="T1742" s="705">
        <v>1818</v>
      </c>
      <c r="U1742">
        <v>673</v>
      </c>
      <c r="V1742" s="705">
        <v>1829092</v>
      </c>
      <c r="W1742" s="705">
        <f t="shared" si="70"/>
        <v>1829092</v>
      </c>
      <c r="X1742" s="705">
        <f t="shared" si="71"/>
        <v>4861689</v>
      </c>
    </row>
    <row r="1743" spans="2:24">
      <c r="B1743" t="s">
        <v>550</v>
      </c>
      <c r="C1743" t="s">
        <v>120</v>
      </c>
      <c r="D1743" t="s">
        <v>583</v>
      </c>
      <c r="E1743" t="s">
        <v>228</v>
      </c>
      <c r="F1743">
        <v>3</v>
      </c>
      <c r="G1743">
        <v>187</v>
      </c>
      <c r="H1743" s="705">
        <v>1069</v>
      </c>
      <c r="I1743" s="705">
        <v>35334</v>
      </c>
      <c r="J1743" s="705">
        <v>32122</v>
      </c>
      <c r="K1743">
        <v>75</v>
      </c>
      <c r="L1743" s="705">
        <v>4668</v>
      </c>
      <c r="M1743" s="705">
        <v>4244</v>
      </c>
      <c r="N1743" s="705">
        <v>3359</v>
      </c>
      <c r="O1743" s="705">
        <v>1244</v>
      </c>
      <c r="P1743" s="705">
        <v>1242</v>
      </c>
      <c r="Q1743">
        <v>460</v>
      </c>
      <c r="R1743" s="705">
        <v>20016</v>
      </c>
      <c r="S1743" s="705">
        <v>7413</v>
      </c>
      <c r="T1743">
        <v>0</v>
      </c>
      <c r="U1743">
        <v>0</v>
      </c>
      <c r="V1743" s="705">
        <v>45483</v>
      </c>
      <c r="W1743" s="705">
        <f t="shared" si="70"/>
        <v>45483</v>
      </c>
      <c r="X1743" s="705">
        <f t="shared" si="71"/>
        <v>64619</v>
      </c>
    </row>
    <row r="1744" spans="2:24">
      <c r="B1744" t="s">
        <v>550</v>
      </c>
      <c r="C1744" t="s">
        <v>120</v>
      </c>
      <c r="D1744" t="s">
        <v>583</v>
      </c>
      <c r="E1744" t="s">
        <v>583</v>
      </c>
      <c r="F1744">
        <v>20</v>
      </c>
      <c r="G1744" s="705">
        <v>2368</v>
      </c>
      <c r="H1744" s="705">
        <v>6741</v>
      </c>
      <c r="I1744" s="705">
        <v>500805</v>
      </c>
      <c r="J1744" s="705">
        <v>455277</v>
      </c>
      <c r="K1744">
        <v>78</v>
      </c>
      <c r="L1744" s="705">
        <v>93162</v>
      </c>
      <c r="M1744" s="705">
        <v>82648</v>
      </c>
      <c r="N1744" s="705">
        <v>51089</v>
      </c>
      <c r="O1744" s="705">
        <v>18922</v>
      </c>
      <c r="P1744" s="705">
        <v>12501</v>
      </c>
      <c r="Q1744" s="705">
        <v>4630</v>
      </c>
      <c r="R1744" s="705">
        <v>96464</v>
      </c>
      <c r="S1744" s="705">
        <v>87694</v>
      </c>
      <c r="T1744" s="705">
        <v>36451</v>
      </c>
      <c r="U1744" s="705">
        <v>13500</v>
      </c>
      <c r="V1744" s="705">
        <v>662672</v>
      </c>
      <c r="W1744" s="705">
        <f t="shared" si="70"/>
        <v>662671</v>
      </c>
      <c r="X1744" s="705">
        <f t="shared" si="71"/>
        <v>790472</v>
      </c>
    </row>
    <row r="1745" spans="2:24">
      <c r="B1745" t="s">
        <v>550</v>
      </c>
      <c r="C1745" t="s">
        <v>120</v>
      </c>
      <c r="D1745" t="s">
        <v>584</v>
      </c>
      <c r="E1745" t="s">
        <v>228</v>
      </c>
      <c r="F1745">
        <v>1</v>
      </c>
      <c r="G1745">
        <v>53</v>
      </c>
      <c r="H1745">
        <v>324</v>
      </c>
      <c r="I1745" s="705">
        <v>5501</v>
      </c>
      <c r="J1745" s="705">
        <v>5001</v>
      </c>
      <c r="K1745">
        <v>79</v>
      </c>
      <c r="L1745">
        <v>481</v>
      </c>
      <c r="M1745">
        <v>437</v>
      </c>
      <c r="N1745" s="705">
        <v>1298</v>
      </c>
      <c r="O1745">
        <v>481</v>
      </c>
      <c r="P1745">
        <v>473</v>
      </c>
      <c r="Q1745">
        <v>175</v>
      </c>
      <c r="R1745" s="705">
        <v>9515</v>
      </c>
      <c r="S1745" s="705">
        <v>3524</v>
      </c>
      <c r="T1745">
        <v>0</v>
      </c>
      <c r="U1745">
        <v>0</v>
      </c>
      <c r="V1745" s="705">
        <v>9619</v>
      </c>
      <c r="W1745" s="705">
        <f t="shared" si="70"/>
        <v>9618</v>
      </c>
      <c r="X1745" s="705">
        <f t="shared" si="71"/>
        <v>17268</v>
      </c>
    </row>
    <row r="1746" spans="2:24">
      <c r="B1746" t="s">
        <v>550</v>
      </c>
      <c r="C1746" t="s">
        <v>120</v>
      </c>
      <c r="D1746" t="s">
        <v>584</v>
      </c>
      <c r="E1746" t="s">
        <v>584</v>
      </c>
      <c r="F1746">
        <v>12</v>
      </c>
      <c r="G1746">
        <v>744</v>
      </c>
      <c r="H1746" s="705">
        <v>3977</v>
      </c>
      <c r="I1746" s="705">
        <v>137002</v>
      </c>
      <c r="J1746" s="705">
        <v>124548</v>
      </c>
      <c r="K1746">
        <v>73</v>
      </c>
      <c r="L1746" s="705">
        <v>18213</v>
      </c>
      <c r="M1746" s="705">
        <v>15895</v>
      </c>
      <c r="N1746" s="705">
        <v>16019</v>
      </c>
      <c r="O1746" s="705">
        <v>5933</v>
      </c>
      <c r="P1746" s="705">
        <v>5670</v>
      </c>
      <c r="Q1746" s="705">
        <v>2100</v>
      </c>
      <c r="R1746" s="705">
        <v>49404</v>
      </c>
      <c r="S1746" s="705">
        <v>44912</v>
      </c>
      <c r="T1746" s="705">
        <v>20547</v>
      </c>
      <c r="U1746" s="705">
        <v>7610</v>
      </c>
      <c r="V1746" s="705">
        <v>200997</v>
      </c>
      <c r="W1746" s="705">
        <f t="shared" si="70"/>
        <v>200998</v>
      </c>
      <c r="X1746" s="705">
        <f t="shared" si="71"/>
        <v>246855</v>
      </c>
    </row>
    <row r="1747" spans="2:24">
      <c r="B1747" t="s">
        <v>550</v>
      </c>
      <c r="C1747" t="s">
        <v>122</v>
      </c>
      <c r="D1747" t="s">
        <v>228</v>
      </c>
      <c r="E1747" t="s">
        <v>228</v>
      </c>
      <c r="F1747">
        <v>58</v>
      </c>
      <c r="G1747" s="705">
        <v>3203</v>
      </c>
      <c r="H1747" s="705">
        <v>23967</v>
      </c>
      <c r="I1747" s="705">
        <v>823223</v>
      </c>
      <c r="J1747" s="705">
        <v>304897</v>
      </c>
      <c r="K1747">
        <v>100</v>
      </c>
      <c r="L1747" s="705">
        <v>103538</v>
      </c>
      <c r="M1747" s="705">
        <v>45600</v>
      </c>
      <c r="N1747" s="705">
        <v>65493</v>
      </c>
      <c r="O1747" s="705">
        <v>24257</v>
      </c>
      <c r="P1747">
        <v>0</v>
      </c>
      <c r="Q1747">
        <v>0</v>
      </c>
      <c r="R1747" s="705">
        <v>331796</v>
      </c>
      <c r="S1747" s="705">
        <v>122887</v>
      </c>
      <c r="T1747">
        <v>0</v>
      </c>
      <c r="U1747">
        <v>0</v>
      </c>
      <c r="V1747" s="705">
        <v>497641</v>
      </c>
      <c r="W1747" s="705">
        <f t="shared" si="70"/>
        <v>497641</v>
      </c>
      <c r="X1747" s="705">
        <f t="shared" si="71"/>
        <v>1324050</v>
      </c>
    </row>
    <row r="1748" spans="2:24">
      <c r="B1748" t="s">
        <v>550</v>
      </c>
      <c r="C1748" t="s">
        <v>122</v>
      </c>
      <c r="D1748" t="s">
        <v>583</v>
      </c>
      <c r="E1748" t="s">
        <v>583</v>
      </c>
      <c r="F1748">
        <v>9</v>
      </c>
      <c r="G1748">
        <v>947</v>
      </c>
      <c r="H1748" s="705">
        <v>3698</v>
      </c>
      <c r="I1748" s="705">
        <v>281641</v>
      </c>
      <c r="J1748" s="705">
        <v>256038</v>
      </c>
      <c r="K1748">
        <v>77</v>
      </c>
      <c r="L1748" s="705">
        <v>29547</v>
      </c>
      <c r="M1748" s="705">
        <v>24121</v>
      </c>
      <c r="N1748" s="705">
        <v>19973</v>
      </c>
      <c r="O1748" s="705">
        <v>7397</v>
      </c>
      <c r="P1748" s="705">
        <v>5589</v>
      </c>
      <c r="Q1748" s="705">
        <v>2070</v>
      </c>
      <c r="R1748" s="705">
        <v>50932</v>
      </c>
      <c r="S1748" s="705">
        <v>46302</v>
      </c>
      <c r="T1748" s="705">
        <v>7236</v>
      </c>
      <c r="U1748" s="705">
        <v>2680</v>
      </c>
      <c r="V1748" s="705">
        <v>338608</v>
      </c>
      <c r="W1748" s="705">
        <f t="shared" si="70"/>
        <v>338608</v>
      </c>
      <c r="X1748" s="705">
        <f t="shared" si="71"/>
        <v>394918</v>
      </c>
    </row>
    <row r="1749" spans="2:24">
      <c r="B1749" t="s">
        <v>550</v>
      </c>
      <c r="C1749" t="s">
        <v>122</v>
      </c>
      <c r="D1749" t="s">
        <v>584</v>
      </c>
      <c r="E1749" t="s">
        <v>584</v>
      </c>
      <c r="F1749">
        <v>3</v>
      </c>
      <c r="G1749">
        <v>255</v>
      </c>
      <c r="H1749" s="705">
        <v>1264</v>
      </c>
      <c r="I1749" s="705">
        <v>72244</v>
      </c>
      <c r="J1749" s="705">
        <v>65676</v>
      </c>
      <c r="K1749">
        <v>74</v>
      </c>
      <c r="L1749" s="705">
        <v>10092</v>
      </c>
      <c r="M1749" s="705">
        <v>9174</v>
      </c>
      <c r="N1749" s="705">
        <v>5545</v>
      </c>
      <c r="O1749" s="705">
        <v>2054</v>
      </c>
      <c r="P1749" s="705">
        <v>1566</v>
      </c>
      <c r="Q1749">
        <v>580</v>
      </c>
      <c r="R1749" s="705">
        <v>11428</v>
      </c>
      <c r="S1749" s="705">
        <v>10389</v>
      </c>
      <c r="T1749" s="705">
        <v>6433</v>
      </c>
      <c r="U1749" s="705">
        <v>2382</v>
      </c>
      <c r="V1749" s="705">
        <v>90255</v>
      </c>
      <c r="W1749" s="705">
        <f t="shared" si="70"/>
        <v>90255</v>
      </c>
      <c r="X1749" s="705">
        <f t="shared" si="71"/>
        <v>107308</v>
      </c>
    </row>
    <row r="1750" spans="2:24">
      <c r="B1750" t="s">
        <v>550</v>
      </c>
      <c r="C1750" t="s">
        <v>124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705">
        <v>3982</v>
      </c>
      <c r="O1750" s="705">
        <v>1475</v>
      </c>
      <c r="P1750">
        <v>621</v>
      </c>
      <c r="Q1750">
        <v>230</v>
      </c>
      <c r="S1750">
        <v>0</v>
      </c>
      <c r="T1750" s="705">
        <v>3368</v>
      </c>
      <c r="U1750" s="705">
        <v>1247</v>
      </c>
      <c r="V1750" s="705">
        <v>2952</v>
      </c>
      <c r="W1750" s="705">
        <f t="shared" si="70"/>
        <v>2952</v>
      </c>
      <c r="X1750" s="705">
        <f t="shared" si="71"/>
        <v>7971</v>
      </c>
    </row>
    <row r="1751" spans="2:24">
      <c r="B1751" t="s">
        <v>550</v>
      </c>
      <c r="C1751" t="s">
        <v>124</v>
      </c>
      <c r="D1751" t="s">
        <v>228</v>
      </c>
      <c r="E1751" t="s">
        <v>228</v>
      </c>
      <c r="F1751">
        <v>61</v>
      </c>
      <c r="G1751" s="705">
        <v>3402</v>
      </c>
      <c r="H1751" s="705">
        <v>37555</v>
      </c>
      <c r="I1751" s="705">
        <v>1485784</v>
      </c>
      <c r="J1751" s="705">
        <v>550290</v>
      </c>
      <c r="K1751">
        <v>100</v>
      </c>
      <c r="L1751" s="705">
        <v>163482</v>
      </c>
      <c r="M1751" s="705">
        <v>92670</v>
      </c>
      <c r="N1751" s="705">
        <v>67850</v>
      </c>
      <c r="O1751" s="705">
        <v>25130</v>
      </c>
      <c r="P1751">
        <v>702</v>
      </c>
      <c r="Q1751">
        <v>260</v>
      </c>
      <c r="R1751" s="705">
        <v>326403</v>
      </c>
      <c r="S1751" s="705">
        <v>120890</v>
      </c>
      <c r="T1751" s="705">
        <v>4900</v>
      </c>
      <c r="U1751" s="705">
        <v>1815</v>
      </c>
      <c r="V1751" s="705">
        <v>791055</v>
      </c>
      <c r="W1751" s="705">
        <f t="shared" si="70"/>
        <v>791055</v>
      </c>
      <c r="X1751" s="705">
        <f t="shared" si="71"/>
        <v>2049121</v>
      </c>
    </row>
    <row r="1752" spans="2:24">
      <c r="B1752" t="s">
        <v>550</v>
      </c>
      <c r="C1752" t="s">
        <v>124</v>
      </c>
      <c r="D1752" t="s">
        <v>583</v>
      </c>
      <c r="E1752" t="s">
        <v>583</v>
      </c>
      <c r="F1752">
        <v>9</v>
      </c>
      <c r="G1752">
        <v>587</v>
      </c>
      <c r="H1752" s="705">
        <v>5069</v>
      </c>
      <c r="I1752" s="705">
        <v>210512</v>
      </c>
      <c r="J1752" s="705">
        <v>191375</v>
      </c>
      <c r="K1752">
        <v>72</v>
      </c>
      <c r="L1752" s="705">
        <v>30156</v>
      </c>
      <c r="M1752" s="705">
        <v>26441</v>
      </c>
      <c r="N1752" s="705">
        <v>12771</v>
      </c>
      <c r="O1752" s="705">
        <v>4730</v>
      </c>
      <c r="P1752" s="705">
        <v>4968</v>
      </c>
      <c r="Q1752" s="705">
        <v>1840</v>
      </c>
      <c r="R1752" s="705">
        <v>57981</v>
      </c>
      <c r="S1752" s="705">
        <v>52710</v>
      </c>
      <c r="T1752" s="705">
        <v>5076</v>
      </c>
      <c r="U1752" s="705">
        <v>1880</v>
      </c>
      <c r="V1752" s="705">
        <v>278976</v>
      </c>
      <c r="W1752" s="705">
        <f t="shared" si="70"/>
        <v>278976</v>
      </c>
      <c r="X1752" s="705">
        <f t="shared" si="71"/>
        <v>321464</v>
      </c>
    </row>
    <row r="1753" spans="2:24">
      <c r="B1753" t="s">
        <v>550</v>
      </c>
      <c r="C1753" t="s">
        <v>124</v>
      </c>
      <c r="D1753" t="s">
        <v>666</v>
      </c>
      <c r="E1753" t="s">
        <v>666</v>
      </c>
      <c r="F1753">
        <v>1</v>
      </c>
      <c r="G1753">
        <v>52</v>
      </c>
      <c r="H1753" s="705">
        <v>1090</v>
      </c>
      <c r="I1753" s="705">
        <v>41426</v>
      </c>
      <c r="J1753" s="705">
        <v>37660</v>
      </c>
      <c r="K1753">
        <v>45</v>
      </c>
      <c r="L1753" s="705">
        <v>6904</v>
      </c>
      <c r="M1753" s="705">
        <v>6277</v>
      </c>
      <c r="N1753" s="705">
        <v>1265</v>
      </c>
      <c r="O1753">
        <v>468</v>
      </c>
      <c r="P1753">
        <v>351</v>
      </c>
      <c r="Q1753">
        <v>130</v>
      </c>
      <c r="R1753" s="705">
        <v>6628</v>
      </c>
      <c r="S1753" s="705">
        <v>6025</v>
      </c>
      <c r="T1753">
        <v>0</v>
      </c>
      <c r="U1753">
        <v>0</v>
      </c>
      <c r="V1753" s="705">
        <v>50560</v>
      </c>
      <c r="W1753" s="705">
        <f t="shared" si="70"/>
        <v>50560</v>
      </c>
      <c r="X1753" s="705">
        <f t="shared" si="71"/>
        <v>56574</v>
      </c>
    </row>
    <row r="1754" spans="2:24">
      <c r="B1754" t="s">
        <v>550</v>
      </c>
      <c r="C1754" t="s">
        <v>124</v>
      </c>
      <c r="D1754" t="s">
        <v>665</v>
      </c>
      <c r="E1754" t="s">
        <v>228</v>
      </c>
      <c r="F1754">
        <v>1</v>
      </c>
      <c r="G1754">
        <v>32</v>
      </c>
      <c r="H1754">
        <v>456</v>
      </c>
      <c r="I1754" s="705">
        <v>8054</v>
      </c>
      <c r="J1754" s="705">
        <v>7322</v>
      </c>
      <c r="K1754">
        <v>60</v>
      </c>
      <c r="L1754" s="705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705">
        <v>4676</v>
      </c>
      <c r="S1754" s="705">
        <v>1732</v>
      </c>
      <c r="T1754">
        <v>0</v>
      </c>
      <c r="U1754">
        <v>0</v>
      </c>
      <c r="V1754" s="705">
        <v>9685</v>
      </c>
      <c r="W1754" s="705">
        <f t="shared" si="70"/>
        <v>9685</v>
      </c>
      <c r="X1754" s="705">
        <f t="shared" si="71"/>
        <v>14434</v>
      </c>
    </row>
    <row r="1755" spans="2:24">
      <c r="B1755" t="s">
        <v>550</v>
      </c>
      <c r="C1755" t="s">
        <v>124</v>
      </c>
      <c r="D1755" t="s">
        <v>665</v>
      </c>
      <c r="E1755" t="s">
        <v>665</v>
      </c>
      <c r="F1755">
        <v>3</v>
      </c>
      <c r="G1755">
        <v>212</v>
      </c>
      <c r="H1755" s="705">
        <v>2893</v>
      </c>
      <c r="I1755" s="705">
        <v>148372</v>
      </c>
      <c r="J1755" s="705">
        <v>134884</v>
      </c>
      <c r="K1755">
        <v>48</v>
      </c>
      <c r="L1755" s="705">
        <v>21086</v>
      </c>
      <c r="M1755" s="705">
        <v>19169</v>
      </c>
      <c r="N1755" s="705">
        <v>4402</v>
      </c>
      <c r="O1755" s="705">
        <v>1630</v>
      </c>
      <c r="P1755" s="705">
        <v>1053</v>
      </c>
      <c r="Q1755">
        <v>390</v>
      </c>
      <c r="R1755" s="705">
        <v>15169</v>
      </c>
      <c r="S1755" s="705">
        <v>13790</v>
      </c>
      <c r="T1755" s="705">
        <v>5673</v>
      </c>
      <c r="U1755" s="705">
        <v>2101</v>
      </c>
      <c r="V1755" s="705">
        <v>171965</v>
      </c>
      <c r="W1755" s="705">
        <f t="shared" si="70"/>
        <v>171964</v>
      </c>
      <c r="X1755" s="705">
        <f t="shared" si="71"/>
        <v>195755</v>
      </c>
    </row>
    <row r="1756" spans="2:24">
      <c r="B1756" t="s">
        <v>551</v>
      </c>
      <c r="C1756" t="s">
        <v>108</v>
      </c>
      <c r="D1756" t="s">
        <v>228</v>
      </c>
      <c r="E1756" t="s">
        <v>228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705">
        <v>3103</v>
      </c>
      <c r="O1756" s="705">
        <v>1149</v>
      </c>
      <c r="P1756" s="705">
        <v>1053</v>
      </c>
      <c r="Q1756">
        <v>390</v>
      </c>
      <c r="R1756" s="705">
        <v>12341</v>
      </c>
      <c r="S1756" s="705">
        <v>4571</v>
      </c>
      <c r="T1756">
        <v>0</v>
      </c>
      <c r="U1756">
        <v>0</v>
      </c>
      <c r="V1756" s="705">
        <v>5580</v>
      </c>
      <c r="W1756" s="705">
        <f t="shared" si="70"/>
        <v>6640</v>
      </c>
      <c r="X1756" s="705">
        <f t="shared" si="71"/>
        <v>17929</v>
      </c>
    </row>
    <row r="1757" spans="2:24">
      <c r="B1757" t="s">
        <v>551</v>
      </c>
      <c r="C1757" t="s">
        <v>110</v>
      </c>
      <c r="D1757" t="s">
        <v>583</v>
      </c>
      <c r="E1757" t="s">
        <v>583</v>
      </c>
      <c r="F1757">
        <v>1</v>
      </c>
      <c r="G1757">
        <v>273</v>
      </c>
      <c r="H1757">
        <v>90</v>
      </c>
      <c r="I1757" s="705">
        <v>11384</v>
      </c>
      <c r="J1757" s="705">
        <v>10349</v>
      </c>
      <c r="K1757">
        <v>79</v>
      </c>
      <c r="L1757" s="705">
        <v>1537</v>
      </c>
      <c r="M1757" s="705">
        <v>1398</v>
      </c>
      <c r="N1757" s="705">
        <v>3323</v>
      </c>
      <c r="O1757" s="705">
        <v>1231</v>
      </c>
      <c r="P1757">
        <v>972</v>
      </c>
      <c r="Q1757">
        <v>360</v>
      </c>
      <c r="R1757" s="705">
        <v>7461</v>
      </c>
      <c r="S1757" s="705">
        <v>6782</v>
      </c>
      <c r="T1757">
        <v>0</v>
      </c>
      <c r="U1757">
        <v>0</v>
      </c>
      <c r="V1757" s="705">
        <v>20120</v>
      </c>
      <c r="W1757" s="705">
        <f t="shared" si="70"/>
        <v>20120</v>
      </c>
      <c r="X1757" s="705">
        <f t="shared" si="71"/>
        <v>24677</v>
      </c>
    </row>
    <row r="1758" spans="2:24">
      <c r="B1758" t="s">
        <v>551</v>
      </c>
      <c r="C1758" t="s">
        <v>110</v>
      </c>
      <c r="D1758" t="s">
        <v>584</v>
      </c>
      <c r="E1758" t="s">
        <v>584</v>
      </c>
      <c r="F1758">
        <v>2</v>
      </c>
      <c r="G1758">
        <v>122</v>
      </c>
      <c r="H1758">
        <v>178</v>
      </c>
      <c r="I1758" s="705">
        <v>3605</v>
      </c>
      <c r="J1758" s="705">
        <v>3277</v>
      </c>
      <c r="K1758">
        <v>90</v>
      </c>
      <c r="L1758">
        <v>0</v>
      </c>
      <c r="M1758">
        <v>0</v>
      </c>
      <c r="N1758" s="705">
        <v>2290</v>
      </c>
      <c r="O1758">
        <v>848</v>
      </c>
      <c r="P1758">
        <v>945</v>
      </c>
      <c r="Q1758">
        <v>350</v>
      </c>
      <c r="R1758" s="705">
        <v>3978</v>
      </c>
      <c r="S1758" s="705">
        <v>3616</v>
      </c>
      <c r="T1758">
        <v>0</v>
      </c>
      <c r="U1758">
        <v>0</v>
      </c>
      <c r="V1758" s="705">
        <v>8092</v>
      </c>
      <c r="W1758" s="705">
        <f t="shared" si="70"/>
        <v>8091</v>
      </c>
      <c r="X1758" s="705">
        <f t="shared" si="71"/>
        <v>10818</v>
      </c>
    </row>
    <row r="1759" spans="2:24">
      <c r="B1759" t="s">
        <v>551</v>
      </c>
      <c r="C1759" t="s">
        <v>112</v>
      </c>
      <c r="D1759" t="s">
        <v>582</v>
      </c>
      <c r="E1759" t="s">
        <v>582</v>
      </c>
      <c r="F1759">
        <v>22</v>
      </c>
      <c r="G1759" s="705">
        <v>1720</v>
      </c>
      <c r="H1759" s="705">
        <v>2543</v>
      </c>
      <c r="I1759" s="705">
        <v>97511</v>
      </c>
      <c r="J1759" s="705">
        <v>88646</v>
      </c>
      <c r="K1759">
        <v>91</v>
      </c>
      <c r="L1759">
        <v>919</v>
      </c>
      <c r="M1759">
        <v>340</v>
      </c>
      <c r="N1759" s="705">
        <v>37396</v>
      </c>
      <c r="O1759" s="705">
        <v>13850</v>
      </c>
      <c r="P1759" s="705">
        <v>10274</v>
      </c>
      <c r="Q1759" s="705">
        <v>3805</v>
      </c>
      <c r="R1759" s="705">
        <v>51354</v>
      </c>
      <c r="S1759" s="705">
        <v>46685</v>
      </c>
      <c r="T1759">
        <v>0</v>
      </c>
      <c r="U1759">
        <v>0</v>
      </c>
      <c r="V1759" s="705">
        <v>153327</v>
      </c>
      <c r="W1759" s="705">
        <f t="shared" si="70"/>
        <v>153326</v>
      </c>
      <c r="X1759" s="705">
        <f t="shared" si="71"/>
        <v>197454</v>
      </c>
    </row>
    <row r="1760" spans="2:24">
      <c r="B1760" t="s">
        <v>551</v>
      </c>
      <c r="C1760" t="s">
        <v>112</v>
      </c>
      <c r="D1760" t="s">
        <v>583</v>
      </c>
      <c r="E1760" t="s">
        <v>583</v>
      </c>
      <c r="F1760">
        <v>1</v>
      </c>
      <c r="G1760">
        <v>206</v>
      </c>
      <c r="H1760">
        <v>113</v>
      </c>
      <c r="I1760" s="705">
        <v>19999</v>
      </c>
      <c r="J1760" s="705">
        <v>18181</v>
      </c>
      <c r="K1760">
        <v>93</v>
      </c>
      <c r="L1760" s="705">
        <v>3429</v>
      </c>
      <c r="M1760" s="705">
        <v>3118</v>
      </c>
      <c r="N1760" s="705">
        <v>7016</v>
      </c>
      <c r="O1760" s="705">
        <v>2599</v>
      </c>
      <c r="P1760">
        <v>621</v>
      </c>
      <c r="Q1760">
        <v>230</v>
      </c>
      <c r="R1760" s="705">
        <v>7297</v>
      </c>
      <c r="S1760" s="705">
        <v>6634</v>
      </c>
      <c r="T1760">
        <v>0</v>
      </c>
      <c r="U1760">
        <v>0</v>
      </c>
      <c r="V1760" s="705">
        <v>30761</v>
      </c>
      <c r="W1760" s="705">
        <f t="shared" si="70"/>
        <v>30762</v>
      </c>
      <c r="X1760" s="705">
        <f t="shared" si="71"/>
        <v>38362</v>
      </c>
    </row>
    <row r="1761" spans="2:24">
      <c r="B1761" t="s">
        <v>551</v>
      </c>
      <c r="C1761" t="s">
        <v>112</v>
      </c>
      <c r="D1761" t="s">
        <v>584</v>
      </c>
      <c r="E1761" t="s">
        <v>584</v>
      </c>
      <c r="F1761">
        <v>2</v>
      </c>
      <c r="G1761">
        <v>138</v>
      </c>
      <c r="H1761">
        <v>246</v>
      </c>
      <c r="I1761" s="705">
        <v>8479</v>
      </c>
      <c r="J1761" s="705">
        <v>7708</v>
      </c>
      <c r="K1761">
        <v>79</v>
      </c>
      <c r="L1761">
        <v>0</v>
      </c>
      <c r="M1761">
        <v>0</v>
      </c>
      <c r="N1761" s="705">
        <v>2572</v>
      </c>
      <c r="O1761">
        <v>953</v>
      </c>
      <c r="P1761">
        <v>945</v>
      </c>
      <c r="Q1761">
        <v>350</v>
      </c>
      <c r="R1761" s="705">
        <v>4923</v>
      </c>
      <c r="S1761" s="705">
        <v>4475</v>
      </c>
      <c r="T1761">
        <v>0</v>
      </c>
      <c r="U1761">
        <v>0</v>
      </c>
      <c r="V1761" s="705">
        <v>13486</v>
      </c>
      <c r="W1761" s="705">
        <f t="shared" si="70"/>
        <v>13486</v>
      </c>
      <c r="X1761" s="705">
        <f t="shared" si="71"/>
        <v>16919</v>
      </c>
    </row>
    <row r="1762" spans="2:24">
      <c r="B1762" t="s">
        <v>551</v>
      </c>
      <c r="C1762" t="s">
        <v>114</v>
      </c>
      <c r="D1762" t="s">
        <v>664</v>
      </c>
      <c r="E1762" t="s">
        <v>664</v>
      </c>
      <c r="F1762">
        <v>1</v>
      </c>
      <c r="G1762">
        <v>77</v>
      </c>
      <c r="H1762">
        <v>135</v>
      </c>
      <c r="I1762" s="705">
        <v>6717</v>
      </c>
      <c r="J1762" s="705">
        <v>6107</v>
      </c>
      <c r="K1762">
        <v>91</v>
      </c>
      <c r="L1762">
        <v>0</v>
      </c>
      <c r="M1762">
        <v>588</v>
      </c>
      <c r="N1762" s="705">
        <v>1227</v>
      </c>
      <c r="O1762">
        <v>454</v>
      </c>
      <c r="P1762">
        <v>473</v>
      </c>
      <c r="Q1762">
        <v>175</v>
      </c>
      <c r="R1762" s="705">
        <v>2042</v>
      </c>
      <c r="S1762" s="705">
        <v>1856</v>
      </c>
      <c r="T1762">
        <v>0</v>
      </c>
      <c r="U1762">
        <v>0</v>
      </c>
      <c r="V1762" s="705">
        <v>9180</v>
      </c>
      <c r="W1762" s="705">
        <f t="shared" si="70"/>
        <v>9180</v>
      </c>
      <c r="X1762" s="705">
        <f t="shared" si="71"/>
        <v>10459</v>
      </c>
    </row>
    <row r="1763" spans="2:24">
      <c r="B1763" t="s">
        <v>551</v>
      </c>
      <c r="C1763" t="s">
        <v>114</v>
      </c>
      <c r="D1763" t="s">
        <v>582</v>
      </c>
      <c r="E1763" t="s">
        <v>582</v>
      </c>
      <c r="F1763">
        <v>20</v>
      </c>
      <c r="G1763" s="705">
        <v>1558</v>
      </c>
      <c r="H1763" s="705">
        <v>2784</v>
      </c>
      <c r="I1763" s="705">
        <v>112021</v>
      </c>
      <c r="J1763" s="705">
        <v>101837</v>
      </c>
      <c r="K1763">
        <v>90</v>
      </c>
      <c r="L1763" s="705">
        <v>12800</v>
      </c>
      <c r="M1763" s="705">
        <v>6747</v>
      </c>
      <c r="N1763" s="705">
        <v>32726</v>
      </c>
      <c r="O1763" s="705">
        <v>12121</v>
      </c>
      <c r="P1763" s="705">
        <v>9329</v>
      </c>
      <c r="Q1763" s="705">
        <v>3455</v>
      </c>
      <c r="R1763" s="705">
        <v>50060</v>
      </c>
      <c r="S1763" s="705">
        <v>45509</v>
      </c>
      <c r="T1763">
        <v>0</v>
      </c>
      <c r="U1763">
        <v>0</v>
      </c>
      <c r="V1763" s="705">
        <v>169669</v>
      </c>
      <c r="W1763" s="705">
        <f t="shared" si="70"/>
        <v>169669</v>
      </c>
      <c r="X1763" s="705">
        <f t="shared" si="71"/>
        <v>216936</v>
      </c>
    </row>
    <row r="1764" spans="2:24">
      <c r="B1764" t="s">
        <v>551</v>
      </c>
      <c r="C1764" t="s">
        <v>114</v>
      </c>
      <c r="D1764" t="s">
        <v>228</v>
      </c>
      <c r="E1764" t="s">
        <v>228</v>
      </c>
      <c r="F1764">
        <v>1</v>
      </c>
      <c r="G1764">
        <v>104</v>
      </c>
      <c r="H1764">
        <v>142</v>
      </c>
      <c r="I1764" s="705">
        <v>5662</v>
      </c>
      <c r="J1764" s="705">
        <v>2097</v>
      </c>
      <c r="K1764">
        <v>100</v>
      </c>
      <c r="L1764" s="705">
        <v>1415</v>
      </c>
      <c r="M1764">
        <v>524</v>
      </c>
      <c r="N1764" s="705">
        <v>2433</v>
      </c>
      <c r="O1764">
        <v>901</v>
      </c>
      <c r="P1764">
        <v>0</v>
      </c>
      <c r="Q1764">
        <v>0</v>
      </c>
      <c r="R1764" s="705">
        <v>5236</v>
      </c>
      <c r="S1764" s="705">
        <v>1939</v>
      </c>
      <c r="T1764">
        <v>0</v>
      </c>
      <c r="U1764">
        <v>0</v>
      </c>
      <c r="V1764" s="705">
        <v>5462</v>
      </c>
      <c r="W1764" s="705">
        <f t="shared" si="70"/>
        <v>5461</v>
      </c>
      <c r="X1764" s="705">
        <f t="shared" si="71"/>
        <v>14746</v>
      </c>
    </row>
    <row r="1765" spans="2:24">
      <c r="B1765" t="s">
        <v>551</v>
      </c>
      <c r="C1765" t="s">
        <v>114</v>
      </c>
      <c r="D1765" t="s">
        <v>583</v>
      </c>
      <c r="E1765" t="s">
        <v>583</v>
      </c>
      <c r="F1765">
        <v>5</v>
      </c>
      <c r="G1765" s="705">
        <v>1169</v>
      </c>
      <c r="H1765">
        <v>722</v>
      </c>
      <c r="I1765" s="705">
        <v>92194</v>
      </c>
      <c r="J1765" s="705">
        <v>83812</v>
      </c>
      <c r="K1765">
        <v>86</v>
      </c>
      <c r="L1765" s="705">
        <v>17884</v>
      </c>
      <c r="M1765" s="705">
        <v>16258</v>
      </c>
      <c r="N1765" s="705">
        <v>24429</v>
      </c>
      <c r="O1765" s="705">
        <v>9048</v>
      </c>
      <c r="P1765" s="705">
        <v>3105</v>
      </c>
      <c r="Q1765" s="705">
        <v>1150</v>
      </c>
      <c r="R1765" s="705">
        <v>30886</v>
      </c>
      <c r="S1765" s="705">
        <v>28079</v>
      </c>
      <c r="T1765">
        <v>0</v>
      </c>
      <c r="U1765">
        <v>0</v>
      </c>
      <c r="V1765" s="705">
        <v>138347</v>
      </c>
      <c r="W1765" s="705">
        <f t="shared" si="70"/>
        <v>138347</v>
      </c>
      <c r="X1765" s="705">
        <f t="shared" si="71"/>
        <v>168498</v>
      </c>
    </row>
    <row r="1766" spans="2:24">
      <c r="B1766" t="s">
        <v>551</v>
      </c>
      <c r="C1766" t="s">
        <v>114</v>
      </c>
      <c r="D1766" t="s">
        <v>584</v>
      </c>
      <c r="E1766" t="s">
        <v>584</v>
      </c>
      <c r="F1766">
        <v>12</v>
      </c>
      <c r="G1766">
        <v>878</v>
      </c>
      <c r="H1766" s="705">
        <v>1686</v>
      </c>
      <c r="I1766" s="705">
        <v>53277</v>
      </c>
      <c r="J1766" s="705">
        <v>48434</v>
      </c>
      <c r="K1766">
        <v>82</v>
      </c>
      <c r="L1766" s="705">
        <v>14246</v>
      </c>
      <c r="M1766" s="705">
        <v>6485</v>
      </c>
      <c r="N1766" s="705">
        <v>12316</v>
      </c>
      <c r="O1766" s="705">
        <v>4561</v>
      </c>
      <c r="P1766" s="705">
        <v>5670</v>
      </c>
      <c r="Q1766" s="705">
        <v>2100</v>
      </c>
      <c r="R1766" s="705">
        <v>38412</v>
      </c>
      <c r="S1766" s="705">
        <v>34920</v>
      </c>
      <c r="T1766">
        <v>0</v>
      </c>
      <c r="U1766">
        <v>0</v>
      </c>
      <c r="V1766" s="705">
        <v>96500</v>
      </c>
      <c r="W1766" s="705">
        <f t="shared" si="70"/>
        <v>96500</v>
      </c>
      <c r="X1766" s="705">
        <f t="shared" si="71"/>
        <v>123921</v>
      </c>
    </row>
    <row r="1767" spans="2:24">
      <c r="B1767" t="s">
        <v>551</v>
      </c>
      <c r="C1767" t="s">
        <v>116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705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705">
        <f t="shared" si="70"/>
        <v>734</v>
      </c>
      <c r="X1767" s="705">
        <f t="shared" si="71"/>
        <v>1983</v>
      </c>
    </row>
    <row r="1768" spans="2:24">
      <c r="B1768" t="s">
        <v>551</v>
      </c>
      <c r="C1768" t="s">
        <v>116</v>
      </c>
      <c r="D1768" t="s">
        <v>664</v>
      </c>
      <c r="E1768" t="s">
        <v>664</v>
      </c>
      <c r="F1768">
        <v>1</v>
      </c>
      <c r="G1768">
        <v>48</v>
      </c>
      <c r="H1768">
        <v>181</v>
      </c>
      <c r="I1768" s="705">
        <v>5754</v>
      </c>
      <c r="J1768" s="705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705">
        <v>1533</v>
      </c>
      <c r="S1768" s="705">
        <v>1394</v>
      </c>
      <c r="T1768">
        <v>0</v>
      </c>
      <c r="U1768">
        <v>0</v>
      </c>
      <c r="V1768" s="705">
        <v>7625</v>
      </c>
      <c r="W1768" s="705">
        <f t="shared" si="70"/>
        <v>7625</v>
      </c>
      <c r="X1768" s="705">
        <f t="shared" si="71"/>
        <v>8629</v>
      </c>
    </row>
    <row r="1769" spans="2:24">
      <c r="B1769" t="s">
        <v>551</v>
      </c>
      <c r="C1769" t="s">
        <v>116</v>
      </c>
      <c r="D1769" t="s">
        <v>582</v>
      </c>
      <c r="E1769" t="s">
        <v>582</v>
      </c>
      <c r="F1769">
        <v>29</v>
      </c>
      <c r="G1769" s="705">
        <v>1832</v>
      </c>
      <c r="H1769" s="705">
        <v>5117</v>
      </c>
      <c r="I1769" s="705">
        <v>154427</v>
      </c>
      <c r="J1769" s="705">
        <v>140388</v>
      </c>
      <c r="K1769">
        <v>83</v>
      </c>
      <c r="L1769" s="705">
        <v>3882</v>
      </c>
      <c r="M1769" s="705">
        <v>1438</v>
      </c>
      <c r="N1769" s="705">
        <v>29548</v>
      </c>
      <c r="O1769" s="705">
        <v>10944</v>
      </c>
      <c r="P1769" s="705">
        <v>13703</v>
      </c>
      <c r="Q1769" s="705">
        <v>5075</v>
      </c>
      <c r="R1769" s="705">
        <v>109058</v>
      </c>
      <c r="S1769" s="705">
        <v>99144</v>
      </c>
      <c r="T1769" s="705">
        <v>11457</v>
      </c>
      <c r="U1769" s="705">
        <v>4243</v>
      </c>
      <c r="V1769" s="705">
        <v>261232</v>
      </c>
      <c r="W1769" s="705">
        <f t="shared" si="70"/>
        <v>261232</v>
      </c>
      <c r="X1769" s="705">
        <f t="shared" si="71"/>
        <v>322075</v>
      </c>
    </row>
    <row r="1770" spans="2:24">
      <c r="B1770" t="s">
        <v>551</v>
      </c>
      <c r="C1770" t="s">
        <v>116</v>
      </c>
      <c r="D1770" t="s">
        <v>228</v>
      </c>
      <c r="E1770" t="s">
        <v>228</v>
      </c>
      <c r="F1770">
        <v>42</v>
      </c>
      <c r="G1770" s="705">
        <v>2999</v>
      </c>
      <c r="H1770" s="705">
        <v>8278</v>
      </c>
      <c r="I1770" s="705">
        <v>229901</v>
      </c>
      <c r="J1770" s="705">
        <v>85149</v>
      </c>
      <c r="K1770">
        <v>100</v>
      </c>
      <c r="L1770" s="705">
        <v>32395</v>
      </c>
      <c r="M1770" s="705">
        <v>13245</v>
      </c>
      <c r="N1770" s="705">
        <v>57365</v>
      </c>
      <c r="O1770" s="705">
        <v>21246</v>
      </c>
      <c r="P1770" s="705">
        <v>2851</v>
      </c>
      <c r="Q1770" s="705">
        <v>1056</v>
      </c>
      <c r="R1770" s="705">
        <v>261028</v>
      </c>
      <c r="S1770" s="705">
        <v>96677</v>
      </c>
      <c r="T1770" s="705">
        <v>6492</v>
      </c>
      <c r="U1770" s="705">
        <v>2404</v>
      </c>
      <c r="V1770" s="705">
        <v>219778</v>
      </c>
      <c r="W1770" s="705">
        <f t="shared" si="70"/>
        <v>219777</v>
      </c>
      <c r="X1770" s="705">
        <f t="shared" si="71"/>
        <v>590032</v>
      </c>
    </row>
    <row r="1771" spans="2:24">
      <c r="B1771" t="s">
        <v>551</v>
      </c>
      <c r="C1771" t="s">
        <v>116</v>
      </c>
      <c r="D1771" t="s">
        <v>583</v>
      </c>
      <c r="E1771" t="s">
        <v>583</v>
      </c>
      <c r="F1771">
        <v>38</v>
      </c>
      <c r="G1771" s="705">
        <v>4483</v>
      </c>
      <c r="H1771" s="705">
        <v>6985</v>
      </c>
      <c r="I1771" s="705">
        <v>431463</v>
      </c>
      <c r="J1771" s="705">
        <v>392239</v>
      </c>
      <c r="K1771">
        <v>87</v>
      </c>
      <c r="L1771" s="705">
        <v>88569</v>
      </c>
      <c r="M1771" s="705">
        <v>74694</v>
      </c>
      <c r="N1771" s="705">
        <v>89078</v>
      </c>
      <c r="O1771" s="705">
        <v>32992</v>
      </c>
      <c r="P1771" s="705">
        <v>27665</v>
      </c>
      <c r="Q1771" s="705">
        <v>10246</v>
      </c>
      <c r="R1771" s="705">
        <v>182266</v>
      </c>
      <c r="S1771" s="705">
        <v>165696</v>
      </c>
      <c r="T1771" s="705">
        <v>11605</v>
      </c>
      <c r="U1771" s="705">
        <v>4298</v>
      </c>
      <c r="V1771" s="705">
        <v>680165</v>
      </c>
      <c r="W1771" s="705">
        <f t="shared" ref="W1771:W1834" si="72">SUM(ABS(J1771),ABS(M1771),ABS(O1771),ABS(Q1771),ABS(S1771),ABS(U1771))</f>
        <v>680165</v>
      </c>
      <c r="X1771" s="705">
        <f t="shared" ref="X1771:X1834" si="73">SUM(ABS(I1771),ABS(N1771),ABS(P1771),ABS(R1771),ABS(T1771),ABS(L1771))</f>
        <v>830646</v>
      </c>
    </row>
    <row r="1772" spans="2:24">
      <c r="B1772" t="s">
        <v>551</v>
      </c>
      <c r="C1772" t="s">
        <v>116</v>
      </c>
      <c r="D1772" t="s">
        <v>584</v>
      </c>
      <c r="E1772" t="s">
        <v>584</v>
      </c>
      <c r="F1772">
        <v>43</v>
      </c>
      <c r="G1772" s="705">
        <v>2837</v>
      </c>
      <c r="H1772" s="705">
        <v>7849</v>
      </c>
      <c r="I1772" s="705">
        <v>272730</v>
      </c>
      <c r="J1772" s="705">
        <v>247936</v>
      </c>
      <c r="K1772">
        <v>84</v>
      </c>
      <c r="L1772" s="705">
        <v>32052</v>
      </c>
      <c r="M1772" s="705">
        <v>22526</v>
      </c>
      <c r="N1772" s="705">
        <v>51303</v>
      </c>
      <c r="O1772" s="705">
        <v>19001</v>
      </c>
      <c r="P1772" s="705">
        <v>20561</v>
      </c>
      <c r="Q1772" s="705">
        <v>7615</v>
      </c>
      <c r="R1772" s="705">
        <v>134032</v>
      </c>
      <c r="S1772" s="705">
        <v>121848</v>
      </c>
      <c r="T1772" s="705">
        <v>3967</v>
      </c>
      <c r="U1772" s="705">
        <v>1469</v>
      </c>
      <c r="V1772" s="705">
        <v>420395</v>
      </c>
      <c r="W1772" s="705">
        <f t="shared" si="72"/>
        <v>420395</v>
      </c>
      <c r="X1772" s="705">
        <f t="shared" si="73"/>
        <v>514645</v>
      </c>
    </row>
    <row r="1773" spans="2:24">
      <c r="B1773" t="s">
        <v>551</v>
      </c>
      <c r="C1773" t="s">
        <v>118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705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705">
        <f t="shared" si="72"/>
        <v>645</v>
      </c>
      <c r="X1773" s="705">
        <f t="shared" si="73"/>
        <v>1741</v>
      </c>
    </row>
    <row r="1774" spans="2:24">
      <c r="B1774" t="s">
        <v>551</v>
      </c>
      <c r="C1774" t="s">
        <v>118</v>
      </c>
      <c r="D1774" t="s">
        <v>664</v>
      </c>
      <c r="E1774" t="s">
        <v>664</v>
      </c>
      <c r="F1774">
        <v>1</v>
      </c>
      <c r="G1774">
        <v>67</v>
      </c>
      <c r="H1774">
        <v>228</v>
      </c>
      <c r="I1774" s="705">
        <v>8940</v>
      </c>
      <c r="J1774" s="705">
        <v>8128</v>
      </c>
      <c r="K1774">
        <v>83</v>
      </c>
      <c r="L1774">
        <v>0</v>
      </c>
      <c r="M1774">
        <v>0</v>
      </c>
      <c r="N1774" s="705">
        <v>1119</v>
      </c>
      <c r="O1774">
        <v>414</v>
      </c>
      <c r="P1774">
        <v>473</v>
      </c>
      <c r="Q1774">
        <v>175</v>
      </c>
      <c r="R1774" s="705">
        <v>4774</v>
      </c>
      <c r="S1774" s="705">
        <v>4340</v>
      </c>
      <c r="T1774">
        <v>0</v>
      </c>
      <c r="U1774">
        <v>0</v>
      </c>
      <c r="V1774" s="705">
        <v>13057</v>
      </c>
      <c r="W1774" s="705">
        <f t="shared" si="72"/>
        <v>13057</v>
      </c>
      <c r="X1774" s="705">
        <f t="shared" si="73"/>
        <v>15306</v>
      </c>
    </row>
    <row r="1775" spans="2:24">
      <c r="B1775" t="s">
        <v>551</v>
      </c>
      <c r="C1775" t="s">
        <v>118</v>
      </c>
      <c r="D1775" t="s">
        <v>664</v>
      </c>
      <c r="E1775" t="s">
        <v>583</v>
      </c>
      <c r="F1775">
        <v>1</v>
      </c>
      <c r="G1775">
        <v>136</v>
      </c>
      <c r="H1775">
        <v>277</v>
      </c>
      <c r="I1775" s="705">
        <v>22585</v>
      </c>
      <c r="J1775" s="705">
        <v>20532</v>
      </c>
      <c r="K1775">
        <v>79</v>
      </c>
      <c r="L1775" s="705">
        <v>2896</v>
      </c>
      <c r="M1775" s="705">
        <v>2632</v>
      </c>
      <c r="N1775" s="705">
        <v>2872</v>
      </c>
      <c r="O1775" s="705">
        <v>1064</v>
      </c>
      <c r="P1775">
        <v>621</v>
      </c>
      <c r="Q1775">
        <v>230</v>
      </c>
      <c r="R1775" s="705">
        <v>5142</v>
      </c>
      <c r="S1775" s="705">
        <v>4675</v>
      </c>
      <c r="T1775" s="705">
        <v>3579</v>
      </c>
      <c r="U1775" s="705">
        <v>1325</v>
      </c>
      <c r="V1775" s="705">
        <v>30458</v>
      </c>
      <c r="W1775" s="705">
        <f t="shared" si="72"/>
        <v>30458</v>
      </c>
      <c r="X1775" s="705">
        <f t="shared" si="73"/>
        <v>37695</v>
      </c>
    </row>
    <row r="1776" spans="2:24">
      <c r="B1776" t="s">
        <v>551</v>
      </c>
      <c r="C1776" t="s">
        <v>118</v>
      </c>
      <c r="D1776" t="s">
        <v>582</v>
      </c>
      <c r="E1776" t="s">
        <v>582</v>
      </c>
      <c r="F1776">
        <v>2</v>
      </c>
      <c r="G1776">
        <v>125</v>
      </c>
      <c r="H1776">
        <v>497</v>
      </c>
      <c r="I1776" s="705">
        <v>18203</v>
      </c>
      <c r="J1776" s="705">
        <v>16548</v>
      </c>
      <c r="K1776">
        <v>85</v>
      </c>
      <c r="L1776" s="705">
        <v>2356</v>
      </c>
      <c r="M1776">
        <v>873</v>
      </c>
      <c r="N1776" s="705">
        <v>2393</v>
      </c>
      <c r="O1776">
        <v>886</v>
      </c>
      <c r="P1776" s="705">
        <v>1094</v>
      </c>
      <c r="Q1776">
        <v>405</v>
      </c>
      <c r="R1776" s="705">
        <v>7096</v>
      </c>
      <c r="S1776" s="705">
        <v>6451</v>
      </c>
      <c r="T1776">
        <v>0</v>
      </c>
      <c r="U1776">
        <v>0</v>
      </c>
      <c r="V1776" s="705">
        <v>25162</v>
      </c>
      <c r="W1776" s="705">
        <f t="shared" si="72"/>
        <v>25163</v>
      </c>
      <c r="X1776" s="705">
        <f t="shared" si="73"/>
        <v>31142</v>
      </c>
    </row>
    <row r="1777" spans="2:24">
      <c r="B1777" t="s">
        <v>551</v>
      </c>
      <c r="C1777" t="s">
        <v>118</v>
      </c>
      <c r="D1777" t="s">
        <v>228</v>
      </c>
      <c r="E1777" t="s">
        <v>228</v>
      </c>
      <c r="F1777">
        <v>88</v>
      </c>
      <c r="G1777" s="705">
        <v>5390</v>
      </c>
      <c r="H1777" s="705">
        <v>23259</v>
      </c>
      <c r="I1777" s="705">
        <v>696027</v>
      </c>
      <c r="J1777" s="705">
        <v>257788</v>
      </c>
      <c r="K1777">
        <v>100</v>
      </c>
      <c r="L1777" s="705">
        <v>67822</v>
      </c>
      <c r="M1777" s="705">
        <v>31991</v>
      </c>
      <c r="N1777" s="705">
        <v>105985</v>
      </c>
      <c r="O1777" s="705">
        <v>39254</v>
      </c>
      <c r="P1777" s="705">
        <v>5202</v>
      </c>
      <c r="Q1777" s="705">
        <v>1927</v>
      </c>
      <c r="R1777" s="705">
        <v>549940</v>
      </c>
      <c r="S1777" s="705">
        <v>203682</v>
      </c>
      <c r="T1777" s="705">
        <v>3759</v>
      </c>
      <c r="U1777" s="705">
        <v>1392</v>
      </c>
      <c r="V1777" s="705">
        <v>536033</v>
      </c>
      <c r="W1777" s="705">
        <f t="shared" si="72"/>
        <v>536034</v>
      </c>
      <c r="X1777" s="705">
        <f t="shared" si="73"/>
        <v>1428735</v>
      </c>
    </row>
    <row r="1778" spans="2:24">
      <c r="B1778" t="s">
        <v>551</v>
      </c>
      <c r="C1778" t="s">
        <v>118</v>
      </c>
      <c r="D1778" t="s">
        <v>228</v>
      </c>
      <c r="E1778" t="s">
        <v>665</v>
      </c>
      <c r="F1778">
        <v>1</v>
      </c>
      <c r="G1778">
        <v>47</v>
      </c>
      <c r="H1778">
        <v>290</v>
      </c>
      <c r="I1778" s="705">
        <v>11425</v>
      </c>
      <c r="J1778" s="705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705">
        <v>1556</v>
      </c>
      <c r="S1778" s="705">
        <v>1415</v>
      </c>
      <c r="T1778">
        <v>0</v>
      </c>
      <c r="U1778">
        <v>0</v>
      </c>
      <c r="V1778" s="705">
        <v>5902</v>
      </c>
      <c r="W1778" s="705">
        <f t="shared" si="72"/>
        <v>5903</v>
      </c>
      <c r="X1778" s="705">
        <f t="shared" si="73"/>
        <v>13671</v>
      </c>
    </row>
    <row r="1779" spans="2:24">
      <c r="B1779" t="s">
        <v>551</v>
      </c>
      <c r="C1779" t="s">
        <v>118</v>
      </c>
      <c r="D1779" t="s">
        <v>583</v>
      </c>
      <c r="E1779" t="s">
        <v>228</v>
      </c>
      <c r="F1779">
        <v>2</v>
      </c>
      <c r="G1779">
        <v>144</v>
      </c>
      <c r="H1779">
        <v>534</v>
      </c>
      <c r="I1779" s="705">
        <v>20842</v>
      </c>
      <c r="J1779" s="705">
        <v>18947</v>
      </c>
      <c r="K1779">
        <v>90</v>
      </c>
      <c r="L1779" s="705">
        <v>5015</v>
      </c>
      <c r="M1779" s="705">
        <v>4559</v>
      </c>
      <c r="N1779" s="705">
        <v>2712</v>
      </c>
      <c r="O1779" s="705">
        <v>1004</v>
      </c>
      <c r="P1779" s="705">
        <v>1242</v>
      </c>
      <c r="Q1779">
        <v>460</v>
      </c>
      <c r="R1779" s="705">
        <v>9425</v>
      </c>
      <c r="S1779" s="705">
        <v>3491</v>
      </c>
      <c r="T1779">
        <v>0</v>
      </c>
      <c r="U1779">
        <v>0</v>
      </c>
      <c r="V1779" s="705">
        <v>28461</v>
      </c>
      <c r="W1779" s="705">
        <f t="shared" si="72"/>
        <v>28461</v>
      </c>
      <c r="X1779" s="705">
        <f t="shared" si="73"/>
        <v>39236</v>
      </c>
    </row>
    <row r="1780" spans="2:24">
      <c r="B1780" t="s">
        <v>551</v>
      </c>
      <c r="C1780" t="s">
        <v>118</v>
      </c>
      <c r="D1780" t="s">
        <v>583</v>
      </c>
      <c r="E1780" t="s">
        <v>583</v>
      </c>
      <c r="F1780">
        <v>17</v>
      </c>
      <c r="G1780" s="705">
        <v>1666</v>
      </c>
      <c r="H1780" s="705">
        <v>4406</v>
      </c>
      <c r="I1780" s="705">
        <v>241548</v>
      </c>
      <c r="J1780" s="705">
        <v>219589</v>
      </c>
      <c r="K1780">
        <v>81</v>
      </c>
      <c r="L1780" s="705">
        <v>60485</v>
      </c>
      <c r="M1780" s="705">
        <v>52549</v>
      </c>
      <c r="N1780" s="705">
        <v>39488</v>
      </c>
      <c r="O1780" s="705">
        <v>14625</v>
      </c>
      <c r="P1780" s="705">
        <v>10557</v>
      </c>
      <c r="Q1780" s="705">
        <v>3910</v>
      </c>
      <c r="R1780" s="705">
        <v>75244</v>
      </c>
      <c r="S1780" s="705">
        <v>68403</v>
      </c>
      <c r="T1780" s="705">
        <v>30617</v>
      </c>
      <c r="U1780" s="705">
        <v>11340</v>
      </c>
      <c r="V1780" s="705">
        <v>370417</v>
      </c>
      <c r="W1780" s="705">
        <f t="shared" si="72"/>
        <v>370416</v>
      </c>
      <c r="X1780" s="705">
        <f t="shared" si="73"/>
        <v>457939</v>
      </c>
    </row>
    <row r="1781" spans="2:24">
      <c r="B1781" t="s">
        <v>551</v>
      </c>
      <c r="C1781" t="s">
        <v>118</v>
      </c>
      <c r="D1781" t="s">
        <v>666</v>
      </c>
      <c r="E1781" t="s">
        <v>228</v>
      </c>
      <c r="F1781">
        <v>1</v>
      </c>
      <c r="G1781">
        <v>91</v>
      </c>
      <c r="H1781">
        <v>278</v>
      </c>
      <c r="I1781" s="705">
        <v>13959</v>
      </c>
      <c r="J1781" s="705">
        <v>12690</v>
      </c>
      <c r="K1781">
        <v>30</v>
      </c>
      <c r="L1781" s="705">
        <v>2570</v>
      </c>
      <c r="M1781">
        <v>952</v>
      </c>
      <c r="N1781" s="705">
        <v>2226</v>
      </c>
      <c r="O1781">
        <v>824</v>
      </c>
      <c r="P1781">
        <v>0</v>
      </c>
      <c r="Q1781">
        <v>0</v>
      </c>
      <c r="R1781" s="705">
        <v>6613</v>
      </c>
      <c r="S1781" s="705">
        <v>2449</v>
      </c>
      <c r="T1781">
        <v>0</v>
      </c>
      <c r="U1781">
        <v>0</v>
      </c>
      <c r="V1781" s="705">
        <v>16915</v>
      </c>
      <c r="W1781" s="705">
        <f t="shared" si="72"/>
        <v>16915</v>
      </c>
      <c r="X1781" s="705">
        <f t="shared" si="73"/>
        <v>25368</v>
      </c>
    </row>
    <row r="1782" spans="2:24">
      <c r="B1782" t="s">
        <v>551</v>
      </c>
      <c r="C1782" t="s">
        <v>118</v>
      </c>
      <c r="D1782" t="s">
        <v>584</v>
      </c>
      <c r="E1782" t="s">
        <v>584</v>
      </c>
      <c r="F1782">
        <v>10</v>
      </c>
      <c r="G1782">
        <v>578</v>
      </c>
      <c r="H1782" s="705">
        <v>2645</v>
      </c>
      <c r="I1782" s="705">
        <v>101625</v>
      </c>
      <c r="J1782" s="705">
        <v>92386</v>
      </c>
      <c r="K1782">
        <v>83</v>
      </c>
      <c r="L1782" s="705">
        <v>8230</v>
      </c>
      <c r="M1782" s="705">
        <v>6840</v>
      </c>
      <c r="N1782" s="705">
        <v>10683</v>
      </c>
      <c r="O1782" s="705">
        <v>3957</v>
      </c>
      <c r="P1782" s="705">
        <v>4725</v>
      </c>
      <c r="Q1782" s="705">
        <v>1750</v>
      </c>
      <c r="R1782" s="705">
        <v>24256</v>
      </c>
      <c r="S1782" s="705">
        <v>22051</v>
      </c>
      <c r="T1782" s="705">
        <v>3889</v>
      </c>
      <c r="U1782" s="705">
        <v>1440</v>
      </c>
      <c r="V1782" s="705">
        <v>128425</v>
      </c>
      <c r="W1782" s="705">
        <f t="shared" si="72"/>
        <v>128424</v>
      </c>
      <c r="X1782" s="705">
        <f t="shared" si="73"/>
        <v>153408</v>
      </c>
    </row>
    <row r="1783" spans="2:24">
      <c r="B1783" t="s">
        <v>551</v>
      </c>
      <c r="C1783" t="s">
        <v>120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705">
        <f t="shared" si="72"/>
        <v>574</v>
      </c>
      <c r="X1783" s="705">
        <f t="shared" si="73"/>
        <v>1549</v>
      </c>
    </row>
    <row r="1784" spans="2:24">
      <c r="B1784" t="s">
        <v>551</v>
      </c>
      <c r="C1784" t="s">
        <v>120</v>
      </c>
      <c r="D1784" t="s">
        <v>664</v>
      </c>
      <c r="E1784" t="s">
        <v>582</v>
      </c>
      <c r="F1784">
        <v>1</v>
      </c>
      <c r="G1784">
        <v>44</v>
      </c>
      <c r="H1784">
        <v>372</v>
      </c>
      <c r="I1784" s="705">
        <v>11779</v>
      </c>
      <c r="J1784" s="705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705">
        <v>2224</v>
      </c>
      <c r="S1784" s="705">
        <v>2021</v>
      </c>
      <c r="T1784" s="705">
        <v>1211</v>
      </c>
      <c r="U1784">
        <v>449</v>
      </c>
      <c r="V1784" s="705">
        <v>13591</v>
      </c>
      <c r="W1784" s="705">
        <f t="shared" si="72"/>
        <v>13590</v>
      </c>
      <c r="X1784" s="705">
        <f t="shared" si="73"/>
        <v>16328</v>
      </c>
    </row>
    <row r="1785" spans="2:24">
      <c r="B1785" t="s">
        <v>551</v>
      </c>
      <c r="C1785" t="s">
        <v>120</v>
      </c>
      <c r="D1785" t="s">
        <v>228</v>
      </c>
      <c r="E1785" t="s">
        <v>664</v>
      </c>
      <c r="F1785">
        <v>1</v>
      </c>
      <c r="G1785">
        <v>89</v>
      </c>
      <c r="H1785">
        <v>337</v>
      </c>
      <c r="I1785" s="705">
        <v>20995</v>
      </c>
      <c r="J1785" s="705">
        <v>7776</v>
      </c>
      <c r="K1785">
        <v>100</v>
      </c>
      <c r="L1785" s="705">
        <v>1819</v>
      </c>
      <c r="M1785" s="705">
        <v>1653</v>
      </c>
      <c r="N1785" s="705">
        <v>1439</v>
      </c>
      <c r="O1785">
        <v>533</v>
      </c>
      <c r="P1785">
        <v>473</v>
      </c>
      <c r="Q1785">
        <v>175</v>
      </c>
      <c r="R1785" s="705">
        <v>5211</v>
      </c>
      <c r="S1785" s="705">
        <v>4737</v>
      </c>
      <c r="T1785">
        <v>0</v>
      </c>
      <c r="U1785">
        <v>0</v>
      </c>
      <c r="V1785" s="705">
        <v>14874</v>
      </c>
      <c r="W1785" s="705">
        <f t="shared" si="72"/>
        <v>14874</v>
      </c>
      <c r="X1785" s="705">
        <f t="shared" si="73"/>
        <v>29937</v>
      </c>
    </row>
    <row r="1786" spans="2:24">
      <c r="B1786" t="s">
        <v>551</v>
      </c>
      <c r="C1786" t="s">
        <v>120</v>
      </c>
      <c r="D1786" t="s">
        <v>228</v>
      </c>
      <c r="E1786" t="s">
        <v>228</v>
      </c>
      <c r="F1786">
        <v>55</v>
      </c>
      <c r="G1786" s="705">
        <v>3066</v>
      </c>
      <c r="H1786" s="705">
        <v>18774</v>
      </c>
      <c r="I1786" s="705">
        <v>568802</v>
      </c>
      <c r="J1786" s="705">
        <v>210667</v>
      </c>
      <c r="K1786">
        <v>100</v>
      </c>
      <c r="L1786" s="705">
        <v>50234</v>
      </c>
      <c r="M1786" s="705">
        <v>20674</v>
      </c>
      <c r="N1786" s="705">
        <v>66837</v>
      </c>
      <c r="O1786" s="705">
        <v>24754</v>
      </c>
      <c r="P1786" s="705">
        <v>2249</v>
      </c>
      <c r="Q1786">
        <v>833</v>
      </c>
      <c r="R1786" s="705">
        <v>355447</v>
      </c>
      <c r="S1786" s="705">
        <v>131647</v>
      </c>
      <c r="T1786">
        <v>0</v>
      </c>
      <c r="U1786">
        <v>0</v>
      </c>
      <c r="V1786" s="705">
        <v>388576</v>
      </c>
      <c r="W1786" s="705">
        <f t="shared" si="72"/>
        <v>388575</v>
      </c>
      <c r="X1786" s="705">
        <f t="shared" si="73"/>
        <v>1043569</v>
      </c>
    </row>
    <row r="1787" spans="2:24">
      <c r="B1787" t="s">
        <v>551</v>
      </c>
      <c r="C1787" t="s">
        <v>120</v>
      </c>
      <c r="D1787" t="s">
        <v>583</v>
      </c>
      <c r="E1787" t="s">
        <v>228</v>
      </c>
      <c r="F1787">
        <v>2</v>
      </c>
      <c r="G1787">
        <v>97</v>
      </c>
      <c r="H1787">
        <v>706</v>
      </c>
      <c r="I1787" s="705">
        <v>14564</v>
      </c>
      <c r="J1787" s="705">
        <v>13240</v>
      </c>
      <c r="K1787">
        <v>82</v>
      </c>
      <c r="L1787" s="705">
        <v>4021</v>
      </c>
      <c r="M1787" s="705">
        <v>3655</v>
      </c>
      <c r="N1787" s="705">
        <v>1780</v>
      </c>
      <c r="O1787">
        <v>659</v>
      </c>
      <c r="P1787" s="705">
        <v>1242</v>
      </c>
      <c r="Q1787">
        <v>460</v>
      </c>
      <c r="R1787" s="705">
        <v>13013</v>
      </c>
      <c r="S1787" s="705">
        <v>4819</v>
      </c>
      <c r="T1787">
        <v>0</v>
      </c>
      <c r="U1787">
        <v>0</v>
      </c>
      <c r="V1787" s="705">
        <v>22834</v>
      </c>
      <c r="W1787" s="705">
        <f t="shared" si="72"/>
        <v>22833</v>
      </c>
      <c r="X1787" s="705">
        <f t="shared" si="73"/>
        <v>34620</v>
      </c>
    </row>
    <row r="1788" spans="2:24">
      <c r="B1788" t="s">
        <v>551</v>
      </c>
      <c r="C1788" t="s">
        <v>120</v>
      </c>
      <c r="D1788" t="s">
        <v>583</v>
      </c>
      <c r="E1788" t="s">
        <v>583</v>
      </c>
      <c r="F1788">
        <v>19</v>
      </c>
      <c r="G1788" s="705">
        <v>1875</v>
      </c>
      <c r="H1788" s="705">
        <v>6300</v>
      </c>
      <c r="I1788" s="705">
        <v>387366</v>
      </c>
      <c r="J1788" s="705">
        <v>352151</v>
      </c>
      <c r="K1788">
        <v>76</v>
      </c>
      <c r="L1788" s="705">
        <v>59544</v>
      </c>
      <c r="M1788" s="705">
        <v>43793</v>
      </c>
      <c r="N1788" s="705">
        <v>38298</v>
      </c>
      <c r="O1788" s="705">
        <v>14184</v>
      </c>
      <c r="P1788" s="705">
        <v>12150</v>
      </c>
      <c r="Q1788" s="705">
        <v>4500</v>
      </c>
      <c r="R1788" s="705">
        <v>82920</v>
      </c>
      <c r="S1788" s="705">
        <v>75381</v>
      </c>
      <c r="T1788" s="705">
        <v>37606</v>
      </c>
      <c r="U1788" s="705">
        <v>13928</v>
      </c>
      <c r="V1788" s="705">
        <v>503939</v>
      </c>
      <c r="W1788" s="705">
        <f t="shared" si="72"/>
        <v>503937</v>
      </c>
      <c r="X1788" s="705">
        <f t="shared" si="73"/>
        <v>617884</v>
      </c>
    </row>
    <row r="1789" spans="2:24">
      <c r="B1789" t="s">
        <v>551</v>
      </c>
      <c r="C1789" t="s">
        <v>120</v>
      </c>
      <c r="D1789" t="s">
        <v>583</v>
      </c>
      <c r="E1789" t="s">
        <v>665</v>
      </c>
      <c r="F1789">
        <v>1</v>
      </c>
      <c r="G1789">
        <v>80</v>
      </c>
      <c r="H1789">
        <v>369</v>
      </c>
      <c r="I1789" s="705">
        <v>19569</v>
      </c>
      <c r="J1789" s="705">
        <v>17790</v>
      </c>
      <c r="K1789">
        <v>65</v>
      </c>
      <c r="L1789" s="705">
        <v>2067</v>
      </c>
      <c r="M1789" s="705">
        <v>1879</v>
      </c>
      <c r="N1789" s="705">
        <v>1835</v>
      </c>
      <c r="O1789">
        <v>680</v>
      </c>
      <c r="P1789">
        <v>621</v>
      </c>
      <c r="Q1789">
        <v>230</v>
      </c>
      <c r="R1789" s="705">
        <v>3567</v>
      </c>
      <c r="S1789" s="705">
        <v>3243</v>
      </c>
      <c r="T1789" s="705">
        <v>1716</v>
      </c>
      <c r="U1789">
        <v>636</v>
      </c>
      <c r="V1789" s="705">
        <v>24457</v>
      </c>
      <c r="W1789" s="705">
        <f t="shared" si="72"/>
        <v>24458</v>
      </c>
      <c r="X1789" s="705">
        <f t="shared" si="73"/>
        <v>29375</v>
      </c>
    </row>
    <row r="1790" spans="2:24">
      <c r="B1790" t="s">
        <v>551</v>
      </c>
      <c r="C1790" t="s">
        <v>120</v>
      </c>
      <c r="D1790" t="s">
        <v>666</v>
      </c>
      <c r="E1790" t="s">
        <v>666</v>
      </c>
      <c r="F1790">
        <v>2</v>
      </c>
      <c r="G1790">
        <v>106</v>
      </c>
      <c r="H1790">
        <v>676</v>
      </c>
      <c r="I1790" s="705">
        <v>20608</v>
      </c>
      <c r="J1790" s="705">
        <v>18734</v>
      </c>
      <c r="K1790">
        <v>53</v>
      </c>
      <c r="L1790">
        <v>0</v>
      </c>
      <c r="M1790">
        <v>0</v>
      </c>
      <c r="N1790" s="705">
        <v>1292</v>
      </c>
      <c r="O1790">
        <v>478</v>
      </c>
      <c r="P1790">
        <v>702</v>
      </c>
      <c r="Q1790">
        <v>260</v>
      </c>
      <c r="R1790" s="705">
        <v>9492</v>
      </c>
      <c r="S1790" s="705">
        <v>8629</v>
      </c>
      <c r="T1790" s="705">
        <v>3847</v>
      </c>
      <c r="U1790" s="705">
        <v>1425</v>
      </c>
      <c r="V1790" s="705">
        <v>29527</v>
      </c>
      <c r="W1790" s="705">
        <f t="shared" si="72"/>
        <v>29526</v>
      </c>
      <c r="X1790" s="705">
        <f t="shared" si="73"/>
        <v>35941</v>
      </c>
    </row>
    <row r="1791" spans="2:24">
      <c r="B1791" t="s">
        <v>551</v>
      </c>
      <c r="C1791" t="s">
        <v>120</v>
      </c>
      <c r="D1791" t="s">
        <v>584</v>
      </c>
      <c r="E1791" t="s">
        <v>584</v>
      </c>
      <c r="F1791">
        <v>2</v>
      </c>
      <c r="G1791">
        <v>155</v>
      </c>
      <c r="H1791">
        <v>739</v>
      </c>
      <c r="I1791" s="705">
        <v>46393</v>
      </c>
      <c r="J1791" s="705">
        <v>42175</v>
      </c>
      <c r="K1791">
        <v>87</v>
      </c>
      <c r="L1791">
        <v>0</v>
      </c>
      <c r="M1791">
        <v>0</v>
      </c>
      <c r="N1791" s="705">
        <v>3167</v>
      </c>
      <c r="O1791" s="705">
        <v>1173</v>
      </c>
      <c r="P1791">
        <v>945</v>
      </c>
      <c r="Q1791">
        <v>350</v>
      </c>
      <c r="R1791" s="705">
        <v>6403</v>
      </c>
      <c r="S1791" s="705">
        <v>5821</v>
      </c>
      <c r="T1791">
        <v>0</v>
      </c>
      <c r="U1791">
        <v>0</v>
      </c>
      <c r="V1791" s="705">
        <v>49520</v>
      </c>
      <c r="W1791" s="705">
        <f t="shared" si="72"/>
        <v>49519</v>
      </c>
      <c r="X1791" s="705">
        <f t="shared" si="73"/>
        <v>56908</v>
      </c>
    </row>
    <row r="1792" spans="2:24">
      <c r="B1792" t="s">
        <v>551</v>
      </c>
      <c r="C1792" t="s">
        <v>120</v>
      </c>
      <c r="D1792" t="s">
        <v>665</v>
      </c>
      <c r="E1792" t="s">
        <v>665</v>
      </c>
      <c r="F1792">
        <v>2</v>
      </c>
      <c r="G1792">
        <v>131</v>
      </c>
      <c r="H1792">
        <v>692</v>
      </c>
      <c r="I1792" s="705">
        <v>27048</v>
      </c>
      <c r="J1792" s="705">
        <v>24589</v>
      </c>
      <c r="K1792">
        <v>60</v>
      </c>
      <c r="L1792" s="705">
        <v>1739</v>
      </c>
      <c r="M1792" s="705">
        <v>1581</v>
      </c>
      <c r="N1792" s="705">
        <v>3062</v>
      </c>
      <c r="O1792" s="705">
        <v>1134</v>
      </c>
      <c r="P1792">
        <v>972</v>
      </c>
      <c r="Q1792">
        <v>360</v>
      </c>
      <c r="R1792" s="705">
        <v>8383</v>
      </c>
      <c r="S1792" s="705">
        <v>7621</v>
      </c>
      <c r="T1792" s="705">
        <v>3891</v>
      </c>
      <c r="U1792" s="705">
        <v>1441</v>
      </c>
      <c r="V1792" s="705">
        <v>36725</v>
      </c>
      <c r="W1792" s="705">
        <f t="shared" si="72"/>
        <v>36726</v>
      </c>
      <c r="X1792" s="705">
        <f t="shared" si="73"/>
        <v>45095</v>
      </c>
    </row>
    <row r="1793" spans="2:24">
      <c r="B1793" t="s">
        <v>551</v>
      </c>
      <c r="C1793" t="s">
        <v>122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705">
        <v>2730</v>
      </c>
      <c r="O1793" s="705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705">
        <v>1241</v>
      </c>
      <c r="W1793" s="705">
        <f t="shared" si="72"/>
        <v>1241</v>
      </c>
      <c r="X1793" s="705">
        <f t="shared" si="73"/>
        <v>3351</v>
      </c>
    </row>
    <row r="1794" spans="2:24">
      <c r="B1794" t="s">
        <v>551</v>
      </c>
      <c r="C1794" t="s">
        <v>122</v>
      </c>
      <c r="D1794" t="s">
        <v>228</v>
      </c>
      <c r="E1794" t="s">
        <v>228</v>
      </c>
      <c r="F1794">
        <v>24</v>
      </c>
      <c r="G1794" s="705">
        <v>1236</v>
      </c>
      <c r="H1794" s="705">
        <v>9824</v>
      </c>
      <c r="I1794" s="705">
        <v>303139</v>
      </c>
      <c r="J1794" s="705">
        <v>112274</v>
      </c>
      <c r="K1794">
        <v>100</v>
      </c>
      <c r="L1794" s="705">
        <v>35668</v>
      </c>
      <c r="M1794" s="705">
        <v>14166</v>
      </c>
      <c r="N1794" s="705">
        <v>25092</v>
      </c>
      <c r="O1794" s="705">
        <v>9293</v>
      </c>
      <c r="P1794" s="705">
        <v>1053</v>
      </c>
      <c r="Q1794">
        <v>390</v>
      </c>
      <c r="R1794" s="705">
        <v>140313</v>
      </c>
      <c r="S1794" s="705">
        <v>51968</v>
      </c>
      <c r="T1794">
        <v>0</v>
      </c>
      <c r="U1794">
        <v>0</v>
      </c>
      <c r="V1794" s="705">
        <v>188091</v>
      </c>
      <c r="W1794" s="705">
        <f t="shared" si="72"/>
        <v>188091</v>
      </c>
      <c r="X1794" s="705">
        <f t="shared" si="73"/>
        <v>505265</v>
      </c>
    </row>
    <row r="1795" spans="2:24">
      <c r="B1795" t="s">
        <v>551</v>
      </c>
      <c r="C1795" t="s">
        <v>122</v>
      </c>
      <c r="D1795" t="s">
        <v>583</v>
      </c>
      <c r="E1795" t="s">
        <v>228</v>
      </c>
      <c r="F1795">
        <v>1</v>
      </c>
      <c r="G1795">
        <v>63</v>
      </c>
      <c r="H1795">
        <v>383</v>
      </c>
      <c r="I1795" s="705">
        <v>11476</v>
      </c>
      <c r="J1795" s="705">
        <v>10433</v>
      </c>
      <c r="K1795">
        <v>79</v>
      </c>
      <c r="L1795" s="705">
        <v>3188</v>
      </c>
      <c r="M1795" s="705">
        <v>2898</v>
      </c>
      <c r="N1795" s="705">
        <v>1531</v>
      </c>
      <c r="O1795">
        <v>567</v>
      </c>
      <c r="P1795">
        <v>621</v>
      </c>
      <c r="Q1795">
        <v>230</v>
      </c>
      <c r="R1795" s="705">
        <v>7226</v>
      </c>
      <c r="S1795" s="705">
        <v>2676</v>
      </c>
      <c r="T1795">
        <v>0</v>
      </c>
      <c r="U1795">
        <v>0</v>
      </c>
      <c r="V1795" s="705">
        <v>16804</v>
      </c>
      <c r="W1795" s="705">
        <f t="shared" si="72"/>
        <v>16804</v>
      </c>
      <c r="X1795" s="705">
        <f t="shared" si="73"/>
        <v>24042</v>
      </c>
    </row>
    <row r="1796" spans="2:24">
      <c r="B1796" t="s">
        <v>551</v>
      </c>
      <c r="C1796" t="s">
        <v>122</v>
      </c>
      <c r="D1796" t="s">
        <v>583</v>
      </c>
      <c r="E1796" t="s">
        <v>583</v>
      </c>
      <c r="F1796">
        <v>6</v>
      </c>
      <c r="G1796">
        <v>552</v>
      </c>
      <c r="H1796" s="705">
        <v>2560</v>
      </c>
      <c r="I1796" s="705">
        <v>154542</v>
      </c>
      <c r="J1796" s="705">
        <v>140493</v>
      </c>
      <c r="K1796">
        <v>75</v>
      </c>
      <c r="L1796" s="705">
        <v>26416</v>
      </c>
      <c r="M1796" s="705">
        <v>23261</v>
      </c>
      <c r="N1796" s="705">
        <v>13098</v>
      </c>
      <c r="O1796" s="705">
        <v>4851</v>
      </c>
      <c r="P1796" s="705">
        <v>3726</v>
      </c>
      <c r="Q1796" s="705">
        <v>1380</v>
      </c>
      <c r="R1796" s="705">
        <v>25534</v>
      </c>
      <c r="S1796" s="705">
        <v>23213</v>
      </c>
      <c r="T1796" s="705">
        <v>10662</v>
      </c>
      <c r="U1796" s="705">
        <v>3949</v>
      </c>
      <c r="V1796" s="705">
        <v>197147</v>
      </c>
      <c r="W1796" s="705">
        <f t="shared" si="72"/>
        <v>197147</v>
      </c>
      <c r="X1796" s="705">
        <f t="shared" si="73"/>
        <v>233978</v>
      </c>
    </row>
    <row r="1797" spans="2:24">
      <c r="B1797" t="s">
        <v>551</v>
      </c>
      <c r="C1797" t="s">
        <v>122</v>
      </c>
      <c r="D1797" t="s">
        <v>666</v>
      </c>
      <c r="E1797" t="s">
        <v>228</v>
      </c>
      <c r="F1797">
        <v>1</v>
      </c>
      <c r="G1797">
        <v>53</v>
      </c>
      <c r="H1797">
        <v>446</v>
      </c>
      <c r="I1797" s="705">
        <v>14410</v>
      </c>
      <c r="J1797" s="705">
        <v>13100</v>
      </c>
      <c r="K1797">
        <v>30</v>
      </c>
      <c r="L1797" s="705">
        <v>2653</v>
      </c>
      <c r="M1797">
        <v>982</v>
      </c>
      <c r="N1797" s="705">
        <v>1142</v>
      </c>
      <c r="O1797">
        <v>423</v>
      </c>
      <c r="P1797">
        <v>0</v>
      </c>
      <c r="Q1797">
        <v>0</v>
      </c>
      <c r="R1797" s="705">
        <v>5421</v>
      </c>
      <c r="S1797" s="705">
        <v>2008</v>
      </c>
      <c r="T1797">
        <v>0</v>
      </c>
      <c r="U1797">
        <v>0</v>
      </c>
      <c r="V1797" s="705">
        <v>16513</v>
      </c>
      <c r="W1797" s="705">
        <f t="shared" si="72"/>
        <v>16513</v>
      </c>
      <c r="X1797" s="705">
        <f t="shared" si="73"/>
        <v>23626</v>
      </c>
    </row>
    <row r="1798" spans="2:24">
      <c r="B1798" t="s">
        <v>551</v>
      </c>
      <c r="C1798" t="s">
        <v>122</v>
      </c>
      <c r="D1798" t="s">
        <v>666</v>
      </c>
      <c r="E1798" t="s">
        <v>666</v>
      </c>
      <c r="F1798">
        <v>1</v>
      </c>
      <c r="G1798">
        <v>52</v>
      </c>
      <c r="H1798">
        <v>402</v>
      </c>
      <c r="I1798" s="705">
        <v>14027</v>
      </c>
      <c r="J1798" s="705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705">
        <v>3894</v>
      </c>
      <c r="S1798" s="705">
        <v>3540</v>
      </c>
      <c r="T1798" s="705">
        <v>2046</v>
      </c>
      <c r="U1798">
        <v>758</v>
      </c>
      <c r="V1798" s="705">
        <v>17415</v>
      </c>
      <c r="W1798" s="705">
        <f t="shared" si="72"/>
        <v>17415</v>
      </c>
      <c r="X1798" s="705">
        <f t="shared" si="73"/>
        <v>20954</v>
      </c>
    </row>
    <row r="1799" spans="2:24">
      <c r="B1799" t="s">
        <v>551</v>
      </c>
      <c r="C1799" t="s">
        <v>122</v>
      </c>
      <c r="D1799" t="s">
        <v>584</v>
      </c>
      <c r="E1799" t="s">
        <v>584</v>
      </c>
      <c r="F1799">
        <v>1</v>
      </c>
      <c r="G1799">
        <v>69</v>
      </c>
      <c r="H1799">
        <v>395</v>
      </c>
      <c r="I1799" s="705">
        <v>21435</v>
      </c>
      <c r="J1799" s="705">
        <v>19486</v>
      </c>
      <c r="K1799">
        <v>83</v>
      </c>
      <c r="L1799">
        <v>0</v>
      </c>
      <c r="M1799">
        <v>0</v>
      </c>
      <c r="N1799" s="705">
        <v>1520</v>
      </c>
      <c r="O1799">
        <v>563</v>
      </c>
      <c r="P1799">
        <v>473</v>
      </c>
      <c r="Q1799">
        <v>175</v>
      </c>
      <c r="R1799" s="705">
        <v>3959</v>
      </c>
      <c r="S1799" s="705">
        <v>3599</v>
      </c>
      <c r="T1799">
        <v>0</v>
      </c>
      <c r="U1799">
        <v>0</v>
      </c>
      <c r="V1799" s="705">
        <v>23823</v>
      </c>
      <c r="W1799" s="705">
        <f t="shared" si="72"/>
        <v>23823</v>
      </c>
      <c r="X1799" s="705">
        <f t="shared" si="73"/>
        <v>27387</v>
      </c>
    </row>
    <row r="1800" spans="2:24">
      <c r="B1800" t="s">
        <v>551</v>
      </c>
      <c r="C1800" t="s">
        <v>124</v>
      </c>
      <c r="F1800">
        <v>8</v>
      </c>
      <c r="G1800">
        <v>424</v>
      </c>
      <c r="H1800" s="705">
        <v>4403</v>
      </c>
      <c r="J1800">
        <v>0</v>
      </c>
      <c r="M1800">
        <v>0</v>
      </c>
      <c r="N1800" s="705">
        <v>9478</v>
      </c>
      <c r="O1800" s="705">
        <v>3510</v>
      </c>
      <c r="P1800" s="705">
        <v>4968</v>
      </c>
      <c r="Q1800" s="705">
        <v>1840</v>
      </c>
      <c r="S1800">
        <v>0</v>
      </c>
      <c r="T1800" s="705">
        <v>4478</v>
      </c>
      <c r="U1800" s="705">
        <v>1659</v>
      </c>
      <c r="V1800" s="705">
        <v>7009</v>
      </c>
      <c r="W1800" s="705">
        <f t="shared" si="72"/>
        <v>7009</v>
      </c>
      <c r="X1800" s="705">
        <f t="shared" si="73"/>
        <v>18924</v>
      </c>
    </row>
    <row r="1801" spans="2:24">
      <c r="B1801" t="s">
        <v>551</v>
      </c>
      <c r="C1801" t="s">
        <v>124</v>
      </c>
      <c r="D1801" t="s">
        <v>228</v>
      </c>
      <c r="E1801" t="s">
        <v>228</v>
      </c>
      <c r="F1801">
        <v>65</v>
      </c>
      <c r="G1801" s="705">
        <v>3702</v>
      </c>
      <c r="H1801" s="705">
        <v>39625</v>
      </c>
      <c r="I1801" s="705">
        <v>1680049</v>
      </c>
      <c r="J1801" s="705">
        <v>622240</v>
      </c>
      <c r="K1801">
        <v>100</v>
      </c>
      <c r="L1801" s="705">
        <v>155738</v>
      </c>
      <c r="M1801" s="705">
        <v>92289</v>
      </c>
      <c r="N1801" s="705">
        <v>81013</v>
      </c>
      <c r="O1801" s="705">
        <v>30005</v>
      </c>
      <c r="P1801" s="705">
        <v>1175</v>
      </c>
      <c r="Q1801">
        <v>435</v>
      </c>
      <c r="R1801" s="705">
        <v>351792</v>
      </c>
      <c r="S1801" s="705">
        <v>130294</v>
      </c>
      <c r="T1801" s="705">
        <v>2092</v>
      </c>
      <c r="U1801">
        <v>775</v>
      </c>
      <c r="V1801" s="705">
        <v>876037</v>
      </c>
      <c r="W1801" s="705">
        <f t="shared" si="72"/>
        <v>876038</v>
      </c>
      <c r="X1801" s="705">
        <f t="shared" si="73"/>
        <v>2271859</v>
      </c>
    </row>
    <row r="1802" spans="2:24">
      <c r="B1802" t="s">
        <v>551</v>
      </c>
      <c r="C1802" t="s">
        <v>124</v>
      </c>
      <c r="D1802" t="s">
        <v>583</v>
      </c>
      <c r="E1802" t="s">
        <v>228</v>
      </c>
      <c r="F1802">
        <v>2</v>
      </c>
      <c r="G1802">
        <v>322</v>
      </c>
      <c r="H1802">
        <v>933</v>
      </c>
      <c r="I1802" s="705">
        <v>101884</v>
      </c>
      <c r="J1802" s="705">
        <v>92622</v>
      </c>
      <c r="K1802">
        <v>72</v>
      </c>
      <c r="L1802" s="705">
        <v>24900</v>
      </c>
      <c r="M1802" s="705">
        <v>22637</v>
      </c>
      <c r="N1802" s="705">
        <v>7502</v>
      </c>
      <c r="O1802" s="705">
        <v>2778</v>
      </c>
      <c r="P1802" s="705">
        <v>1242</v>
      </c>
      <c r="Q1802">
        <v>460</v>
      </c>
      <c r="R1802" s="705">
        <v>16060</v>
      </c>
      <c r="S1802" s="705">
        <v>5948</v>
      </c>
      <c r="T1802">
        <v>0</v>
      </c>
      <c r="U1802">
        <v>0</v>
      </c>
      <c r="V1802" s="705">
        <v>124445</v>
      </c>
      <c r="W1802" s="705">
        <f t="shared" si="72"/>
        <v>124445</v>
      </c>
      <c r="X1802" s="705">
        <f t="shared" si="73"/>
        <v>151588</v>
      </c>
    </row>
    <row r="1803" spans="2:24">
      <c r="B1803" t="s">
        <v>551</v>
      </c>
      <c r="C1803" t="s">
        <v>124</v>
      </c>
      <c r="D1803" t="s">
        <v>583</v>
      </c>
      <c r="E1803" t="s">
        <v>583</v>
      </c>
      <c r="F1803">
        <v>8</v>
      </c>
      <c r="G1803">
        <v>858</v>
      </c>
      <c r="H1803" s="705">
        <v>4114</v>
      </c>
      <c r="I1803" s="705">
        <v>315304</v>
      </c>
      <c r="J1803" s="705">
        <v>286640</v>
      </c>
      <c r="K1803">
        <v>70</v>
      </c>
      <c r="L1803" s="705">
        <v>36956</v>
      </c>
      <c r="M1803" s="705">
        <v>33596</v>
      </c>
      <c r="N1803" s="705">
        <v>17795</v>
      </c>
      <c r="O1803" s="705">
        <v>6591</v>
      </c>
      <c r="P1803" s="705">
        <v>5670</v>
      </c>
      <c r="Q1803" s="705">
        <v>2100</v>
      </c>
      <c r="R1803" s="705">
        <v>39343</v>
      </c>
      <c r="S1803" s="705">
        <v>35767</v>
      </c>
      <c r="T1803" s="705">
        <v>13093</v>
      </c>
      <c r="U1803" s="705">
        <v>4849</v>
      </c>
      <c r="V1803" s="705">
        <v>369543</v>
      </c>
      <c r="W1803" s="705">
        <f t="shared" si="72"/>
        <v>369543</v>
      </c>
      <c r="X1803" s="705">
        <f t="shared" si="73"/>
        <v>428161</v>
      </c>
    </row>
    <row r="1804" spans="2:24">
      <c r="B1804" t="s">
        <v>551</v>
      </c>
      <c r="C1804" t="s">
        <v>124</v>
      </c>
      <c r="D1804" t="s">
        <v>666</v>
      </c>
      <c r="E1804" t="s">
        <v>666</v>
      </c>
      <c r="F1804">
        <v>3</v>
      </c>
      <c r="G1804">
        <v>258</v>
      </c>
      <c r="H1804" s="705">
        <v>1946</v>
      </c>
      <c r="I1804" s="705">
        <v>115851</v>
      </c>
      <c r="J1804" s="705">
        <v>105319</v>
      </c>
      <c r="K1804">
        <v>55</v>
      </c>
      <c r="L1804" s="705">
        <v>22739</v>
      </c>
      <c r="M1804" s="705">
        <v>20672</v>
      </c>
      <c r="N1804" s="705">
        <v>5551</v>
      </c>
      <c r="O1804" s="705">
        <v>2056</v>
      </c>
      <c r="P1804" s="705">
        <v>1053</v>
      </c>
      <c r="Q1804">
        <v>390</v>
      </c>
      <c r="R1804" s="705">
        <v>21869</v>
      </c>
      <c r="S1804" s="705">
        <v>19881</v>
      </c>
      <c r="T1804">
        <v>0</v>
      </c>
      <c r="U1804">
        <v>0</v>
      </c>
      <c r="V1804" s="705">
        <v>148318</v>
      </c>
      <c r="W1804" s="705">
        <f t="shared" si="72"/>
        <v>148318</v>
      </c>
      <c r="X1804" s="705">
        <f t="shared" si="73"/>
        <v>167063</v>
      </c>
    </row>
    <row r="1805" spans="2:24">
      <c r="B1805" t="s">
        <v>551</v>
      </c>
      <c r="C1805" t="s">
        <v>124</v>
      </c>
      <c r="D1805" t="s">
        <v>665</v>
      </c>
      <c r="E1805" t="s">
        <v>665</v>
      </c>
      <c r="F1805">
        <v>4</v>
      </c>
      <c r="G1805">
        <v>367</v>
      </c>
      <c r="H1805" s="705">
        <v>2548</v>
      </c>
      <c r="I1805" s="705">
        <v>216529</v>
      </c>
      <c r="J1805" s="705">
        <v>196845</v>
      </c>
      <c r="K1805">
        <v>49</v>
      </c>
      <c r="L1805" s="705">
        <v>13784</v>
      </c>
      <c r="M1805" s="705">
        <v>12531</v>
      </c>
      <c r="N1805" s="705">
        <v>7565</v>
      </c>
      <c r="O1805" s="705">
        <v>2802</v>
      </c>
      <c r="P1805" s="705">
        <v>1404</v>
      </c>
      <c r="Q1805">
        <v>520</v>
      </c>
      <c r="R1805" s="705">
        <v>21390</v>
      </c>
      <c r="S1805" s="705">
        <v>19445</v>
      </c>
      <c r="T1805" s="705">
        <v>10573</v>
      </c>
      <c r="U1805" s="705">
        <v>3916</v>
      </c>
      <c r="V1805" s="705">
        <v>236059</v>
      </c>
      <c r="W1805" s="705">
        <f t="shared" si="72"/>
        <v>236059</v>
      </c>
      <c r="X1805" s="705">
        <f t="shared" si="73"/>
        <v>271245</v>
      </c>
    </row>
    <row r="1806" spans="2:24">
      <c r="B1806" t="s">
        <v>714</v>
      </c>
      <c r="C1806" t="s">
        <v>112</v>
      </c>
      <c r="D1806" t="s">
        <v>583</v>
      </c>
      <c r="E1806" t="s">
        <v>583</v>
      </c>
      <c r="F1806">
        <v>4</v>
      </c>
      <c r="G1806">
        <v>714</v>
      </c>
      <c r="H1806">
        <v>464</v>
      </c>
      <c r="I1806" s="705">
        <v>48845</v>
      </c>
      <c r="J1806" s="705">
        <v>44405</v>
      </c>
      <c r="K1806">
        <v>93</v>
      </c>
      <c r="L1806" s="705">
        <v>7581</v>
      </c>
      <c r="M1806" s="705">
        <v>6892</v>
      </c>
      <c r="N1806" s="705">
        <v>17626</v>
      </c>
      <c r="O1806" s="705">
        <v>6528</v>
      </c>
      <c r="P1806" s="705">
        <v>1863</v>
      </c>
      <c r="Q1806">
        <v>690</v>
      </c>
      <c r="R1806" s="705">
        <v>20671</v>
      </c>
      <c r="S1806" s="705">
        <v>18792</v>
      </c>
      <c r="T1806">
        <v>0</v>
      </c>
      <c r="U1806">
        <v>0</v>
      </c>
      <c r="V1806" s="705">
        <v>77307</v>
      </c>
      <c r="W1806" s="705">
        <f t="shared" si="72"/>
        <v>77307</v>
      </c>
      <c r="X1806" s="705">
        <f t="shared" si="73"/>
        <v>96586</v>
      </c>
    </row>
    <row r="1807" spans="2:24">
      <c r="B1807" t="s">
        <v>714</v>
      </c>
      <c r="C1807" t="s">
        <v>112</v>
      </c>
      <c r="D1807" t="s">
        <v>584</v>
      </c>
      <c r="E1807" t="s">
        <v>584</v>
      </c>
      <c r="F1807">
        <v>9</v>
      </c>
      <c r="G1807" s="705">
        <v>1031</v>
      </c>
      <c r="H1807" s="705">
        <v>1072</v>
      </c>
      <c r="I1807" s="705">
        <v>46201</v>
      </c>
      <c r="J1807" s="705">
        <v>42001</v>
      </c>
      <c r="K1807">
        <v>85</v>
      </c>
      <c r="L1807">
        <v>0</v>
      </c>
      <c r="M1807">
        <v>0</v>
      </c>
      <c r="N1807" s="705">
        <v>23906</v>
      </c>
      <c r="O1807" s="705">
        <v>8854</v>
      </c>
      <c r="P1807" s="705">
        <v>4253</v>
      </c>
      <c r="Q1807" s="705">
        <v>1575</v>
      </c>
      <c r="R1807" s="705">
        <v>34878</v>
      </c>
      <c r="S1807" s="705">
        <v>31707</v>
      </c>
      <c r="T1807" s="705">
        <v>13755</v>
      </c>
      <c r="U1807" s="705">
        <v>5094</v>
      </c>
      <c r="V1807" s="705">
        <v>89232</v>
      </c>
      <c r="W1807" s="705">
        <f t="shared" si="72"/>
        <v>89231</v>
      </c>
      <c r="X1807" s="705">
        <f t="shared" si="73"/>
        <v>122993</v>
      </c>
    </row>
    <row r="1808" spans="2:24">
      <c r="B1808" t="s">
        <v>714</v>
      </c>
      <c r="C1808" t="s">
        <v>114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705">
        <v>2743</v>
      </c>
      <c r="O1808" s="705">
        <v>1016</v>
      </c>
      <c r="P1808">
        <v>621</v>
      </c>
      <c r="Q1808">
        <v>230</v>
      </c>
      <c r="S1808">
        <v>0</v>
      </c>
      <c r="T1808" s="705">
        <v>2540</v>
      </c>
      <c r="U1808">
        <v>941</v>
      </c>
      <c r="V1808" s="705">
        <v>2187</v>
      </c>
      <c r="W1808" s="705">
        <f t="shared" si="72"/>
        <v>2187</v>
      </c>
      <c r="X1808" s="705">
        <f t="shared" si="73"/>
        <v>5904</v>
      </c>
    </row>
    <row r="1809" spans="2:24">
      <c r="B1809" t="s">
        <v>714</v>
      </c>
      <c r="C1809" t="s">
        <v>114</v>
      </c>
      <c r="D1809" t="s">
        <v>582</v>
      </c>
      <c r="E1809" t="s">
        <v>582</v>
      </c>
      <c r="F1809">
        <v>3</v>
      </c>
      <c r="G1809">
        <v>259</v>
      </c>
      <c r="H1809">
        <v>423</v>
      </c>
      <c r="I1809" s="705">
        <v>21672</v>
      </c>
      <c r="J1809" s="705">
        <v>19702</v>
      </c>
      <c r="K1809">
        <v>87</v>
      </c>
      <c r="L1809">
        <v>0</v>
      </c>
      <c r="M1809">
        <v>0</v>
      </c>
      <c r="N1809" s="705">
        <v>5558</v>
      </c>
      <c r="O1809" s="705">
        <v>2058</v>
      </c>
      <c r="P1809" s="705">
        <v>1418</v>
      </c>
      <c r="Q1809">
        <v>525</v>
      </c>
      <c r="R1809" s="705">
        <v>7780</v>
      </c>
      <c r="S1809" s="705">
        <v>7072</v>
      </c>
      <c r="T1809">
        <v>0</v>
      </c>
      <c r="U1809">
        <v>0</v>
      </c>
      <c r="V1809" s="705">
        <v>29358</v>
      </c>
      <c r="W1809" s="705">
        <f t="shared" si="72"/>
        <v>29357</v>
      </c>
      <c r="X1809" s="705">
        <f t="shared" si="73"/>
        <v>36428</v>
      </c>
    </row>
    <row r="1810" spans="2:24">
      <c r="B1810" t="s">
        <v>714</v>
      </c>
      <c r="C1810" t="s">
        <v>114</v>
      </c>
      <c r="D1810" t="s">
        <v>228</v>
      </c>
      <c r="E1810" t="s">
        <v>228</v>
      </c>
      <c r="F1810">
        <v>9</v>
      </c>
      <c r="G1810">
        <v>555</v>
      </c>
      <c r="H1810" s="705">
        <v>1304</v>
      </c>
      <c r="I1810" s="705">
        <v>24849</v>
      </c>
      <c r="J1810" s="705">
        <v>9204</v>
      </c>
      <c r="K1810">
        <v>167</v>
      </c>
      <c r="L1810" s="705">
        <v>4111</v>
      </c>
      <c r="M1810" s="705">
        <v>2784</v>
      </c>
      <c r="N1810" s="705">
        <v>7713</v>
      </c>
      <c r="O1810" s="705">
        <v>2857</v>
      </c>
      <c r="P1810" s="705">
        <v>1404</v>
      </c>
      <c r="Q1810">
        <v>520</v>
      </c>
      <c r="R1810" s="705">
        <v>42402</v>
      </c>
      <c r="S1810" s="705">
        <v>15704</v>
      </c>
      <c r="T1810">
        <v>0</v>
      </c>
      <c r="U1810">
        <v>0</v>
      </c>
      <c r="V1810" s="705">
        <v>31069</v>
      </c>
      <c r="W1810" s="705">
        <f t="shared" si="72"/>
        <v>31069</v>
      </c>
      <c r="X1810" s="705">
        <f t="shared" si="73"/>
        <v>80479</v>
      </c>
    </row>
    <row r="1811" spans="2:24">
      <c r="B1811" t="s">
        <v>714</v>
      </c>
      <c r="C1811" t="s">
        <v>114</v>
      </c>
      <c r="D1811" t="s">
        <v>583</v>
      </c>
      <c r="E1811" t="s">
        <v>583</v>
      </c>
      <c r="F1811">
        <v>3</v>
      </c>
      <c r="G1811">
        <v>728</v>
      </c>
      <c r="H1811">
        <v>419</v>
      </c>
      <c r="I1811" s="705">
        <v>65729</v>
      </c>
      <c r="J1811" s="705">
        <v>59754</v>
      </c>
      <c r="K1811">
        <v>90</v>
      </c>
      <c r="L1811" s="705">
        <v>10569</v>
      </c>
      <c r="M1811" s="705">
        <v>9608</v>
      </c>
      <c r="N1811" s="705">
        <v>13723</v>
      </c>
      <c r="O1811" s="705">
        <v>5082</v>
      </c>
      <c r="P1811" s="705">
        <v>1863</v>
      </c>
      <c r="Q1811">
        <v>690</v>
      </c>
      <c r="R1811" s="705">
        <v>9217</v>
      </c>
      <c r="S1811" s="705">
        <v>8379</v>
      </c>
      <c r="T1811">
        <v>0</v>
      </c>
      <c r="U1811">
        <v>0</v>
      </c>
      <c r="V1811" s="705">
        <v>83514</v>
      </c>
      <c r="W1811" s="705">
        <f t="shared" si="72"/>
        <v>83513</v>
      </c>
      <c r="X1811" s="705">
        <f t="shared" si="73"/>
        <v>101101</v>
      </c>
    </row>
    <row r="1812" spans="2:24">
      <c r="B1812" t="s">
        <v>714</v>
      </c>
      <c r="C1812" t="s">
        <v>114</v>
      </c>
      <c r="D1812" t="s">
        <v>584</v>
      </c>
      <c r="E1812" t="s">
        <v>228</v>
      </c>
      <c r="F1812">
        <v>1</v>
      </c>
      <c r="G1812">
        <v>118</v>
      </c>
      <c r="H1812">
        <v>149</v>
      </c>
      <c r="I1812" s="705">
        <v>8388</v>
      </c>
      <c r="J1812" s="705">
        <v>7626</v>
      </c>
      <c r="K1812">
        <v>80</v>
      </c>
      <c r="L1812">
        <v>0</v>
      </c>
      <c r="M1812">
        <v>0</v>
      </c>
      <c r="N1812" s="705">
        <v>2046</v>
      </c>
      <c r="O1812">
        <v>758</v>
      </c>
      <c r="P1812">
        <v>473</v>
      </c>
      <c r="Q1812">
        <v>175</v>
      </c>
      <c r="R1812" s="705">
        <v>6693</v>
      </c>
      <c r="S1812" s="705">
        <v>2479</v>
      </c>
      <c r="T1812">
        <v>0</v>
      </c>
      <c r="U1812">
        <v>0</v>
      </c>
      <c r="V1812" s="705">
        <v>11037</v>
      </c>
      <c r="W1812" s="705">
        <f t="shared" si="72"/>
        <v>11038</v>
      </c>
      <c r="X1812" s="705">
        <f t="shared" si="73"/>
        <v>17600</v>
      </c>
    </row>
    <row r="1813" spans="2:24">
      <c r="B1813" t="s">
        <v>714</v>
      </c>
      <c r="C1813" t="s">
        <v>114</v>
      </c>
      <c r="D1813" t="s">
        <v>584</v>
      </c>
      <c r="E1813" t="s">
        <v>584</v>
      </c>
      <c r="F1813">
        <v>24</v>
      </c>
      <c r="G1813" s="705">
        <v>2607</v>
      </c>
      <c r="H1813" s="705">
        <v>3331</v>
      </c>
      <c r="I1813" s="705">
        <v>136724</v>
      </c>
      <c r="J1813" s="705">
        <v>124295</v>
      </c>
      <c r="K1813">
        <v>81</v>
      </c>
      <c r="L1813" s="705">
        <v>6169</v>
      </c>
      <c r="M1813" s="705">
        <v>3295</v>
      </c>
      <c r="N1813" s="705">
        <v>59223</v>
      </c>
      <c r="O1813" s="705">
        <v>21934</v>
      </c>
      <c r="P1813" s="705">
        <v>11340</v>
      </c>
      <c r="Q1813" s="705">
        <v>4200</v>
      </c>
      <c r="R1813" s="705">
        <v>105189</v>
      </c>
      <c r="S1813" s="705">
        <v>95626</v>
      </c>
      <c r="T1813" s="705">
        <v>41601</v>
      </c>
      <c r="U1813" s="705">
        <v>15408</v>
      </c>
      <c r="V1813" s="705">
        <v>264758</v>
      </c>
      <c r="W1813" s="705">
        <f t="shared" si="72"/>
        <v>264758</v>
      </c>
      <c r="X1813" s="705">
        <f t="shared" si="73"/>
        <v>360246</v>
      </c>
    </row>
    <row r="1814" spans="2:24">
      <c r="B1814" t="s">
        <v>714</v>
      </c>
      <c r="C1814" t="s">
        <v>116</v>
      </c>
      <c r="F1814">
        <v>16</v>
      </c>
      <c r="G1814">
        <v>794</v>
      </c>
      <c r="H1814" s="705">
        <v>3043</v>
      </c>
      <c r="J1814">
        <v>0</v>
      </c>
      <c r="M1814">
        <v>0</v>
      </c>
      <c r="N1814" s="705">
        <v>16303</v>
      </c>
      <c r="O1814" s="705">
        <v>6038</v>
      </c>
      <c r="P1814" s="705">
        <v>6858</v>
      </c>
      <c r="Q1814" s="705">
        <v>2540</v>
      </c>
      <c r="S1814">
        <v>0</v>
      </c>
      <c r="T1814" s="705">
        <v>4629</v>
      </c>
      <c r="U1814" s="705">
        <v>1714</v>
      </c>
      <c r="V1814" s="705">
        <v>10293</v>
      </c>
      <c r="W1814" s="705">
        <f t="shared" si="72"/>
        <v>10292</v>
      </c>
      <c r="X1814" s="705">
        <f t="shared" si="73"/>
        <v>27790</v>
      </c>
    </row>
    <row r="1815" spans="2:24">
      <c r="B1815" t="s">
        <v>714</v>
      </c>
      <c r="C1815" t="s">
        <v>116</v>
      </c>
      <c r="D1815" t="s">
        <v>664</v>
      </c>
      <c r="E1815" t="s">
        <v>664</v>
      </c>
      <c r="F1815">
        <v>1</v>
      </c>
      <c r="G1815">
        <v>141</v>
      </c>
      <c r="H1815">
        <v>185</v>
      </c>
      <c r="I1815" s="705">
        <v>14683</v>
      </c>
      <c r="J1815" s="705">
        <v>13348</v>
      </c>
      <c r="K1815">
        <v>92</v>
      </c>
      <c r="L1815" s="705">
        <v>2201</v>
      </c>
      <c r="M1815" s="705">
        <v>2001</v>
      </c>
      <c r="N1815" s="705">
        <v>2240</v>
      </c>
      <c r="O1815">
        <v>830</v>
      </c>
      <c r="P1815">
        <v>824</v>
      </c>
      <c r="Q1815">
        <v>305</v>
      </c>
      <c r="R1815" s="705">
        <v>6276</v>
      </c>
      <c r="S1815" s="705">
        <v>5705</v>
      </c>
      <c r="T1815">
        <v>0</v>
      </c>
      <c r="U1815">
        <v>0</v>
      </c>
      <c r="V1815" s="705">
        <v>22190</v>
      </c>
      <c r="W1815" s="705">
        <f t="shared" si="72"/>
        <v>22189</v>
      </c>
      <c r="X1815" s="705">
        <f t="shared" si="73"/>
        <v>26224</v>
      </c>
    </row>
    <row r="1816" spans="2:24">
      <c r="B1816" t="s">
        <v>714</v>
      </c>
      <c r="C1816" t="s">
        <v>116</v>
      </c>
      <c r="D1816" t="s">
        <v>582</v>
      </c>
      <c r="E1816" t="s">
        <v>582</v>
      </c>
      <c r="F1816">
        <v>5</v>
      </c>
      <c r="G1816">
        <v>427</v>
      </c>
      <c r="H1816">
        <v>901</v>
      </c>
      <c r="I1816" s="705">
        <v>45154</v>
      </c>
      <c r="J1816" s="705">
        <v>41049</v>
      </c>
      <c r="K1816">
        <v>87</v>
      </c>
      <c r="L1816" s="705">
        <v>5162</v>
      </c>
      <c r="M1816" s="705">
        <v>4693</v>
      </c>
      <c r="N1816" s="705">
        <v>9053</v>
      </c>
      <c r="O1816" s="705">
        <v>3353</v>
      </c>
      <c r="P1816" s="705">
        <v>2363</v>
      </c>
      <c r="Q1816">
        <v>875</v>
      </c>
      <c r="R1816" s="705">
        <v>14537</v>
      </c>
      <c r="S1816" s="705">
        <v>13216</v>
      </c>
      <c r="T1816">
        <v>0</v>
      </c>
      <c r="U1816">
        <v>0</v>
      </c>
      <c r="V1816" s="705">
        <v>63185</v>
      </c>
      <c r="W1816" s="705">
        <f t="shared" si="72"/>
        <v>63186</v>
      </c>
      <c r="X1816" s="705">
        <f t="shared" si="73"/>
        <v>76269</v>
      </c>
    </row>
    <row r="1817" spans="2:24">
      <c r="B1817" t="s">
        <v>714</v>
      </c>
      <c r="C1817" t="s">
        <v>116</v>
      </c>
      <c r="D1817" t="s">
        <v>228</v>
      </c>
      <c r="E1817" t="s">
        <v>228</v>
      </c>
      <c r="F1817">
        <v>100</v>
      </c>
      <c r="G1817" s="705">
        <v>7424</v>
      </c>
      <c r="H1817" s="705">
        <v>19765</v>
      </c>
      <c r="I1817" s="705">
        <v>569152</v>
      </c>
      <c r="J1817" s="705">
        <v>210797</v>
      </c>
      <c r="K1817">
        <v>100</v>
      </c>
      <c r="L1817" s="705">
        <v>75390</v>
      </c>
      <c r="M1817" s="705">
        <v>29011</v>
      </c>
      <c r="N1817" s="705">
        <v>144148</v>
      </c>
      <c r="O1817" s="705">
        <v>53388</v>
      </c>
      <c r="P1817">
        <v>0</v>
      </c>
      <c r="Q1817">
        <v>0</v>
      </c>
      <c r="R1817" s="705">
        <v>667495</v>
      </c>
      <c r="S1817" s="705">
        <v>247220</v>
      </c>
      <c r="T1817">
        <v>0</v>
      </c>
      <c r="U1817">
        <v>0</v>
      </c>
      <c r="V1817" s="705">
        <v>540417</v>
      </c>
      <c r="W1817" s="705">
        <f t="shared" si="72"/>
        <v>540416</v>
      </c>
      <c r="X1817" s="705">
        <f t="shared" si="73"/>
        <v>1456185</v>
      </c>
    </row>
    <row r="1818" spans="2:24">
      <c r="B1818" t="s">
        <v>714</v>
      </c>
      <c r="C1818" t="s">
        <v>116</v>
      </c>
      <c r="D1818" t="s">
        <v>583</v>
      </c>
      <c r="E1818" t="s">
        <v>583</v>
      </c>
      <c r="F1818">
        <v>25</v>
      </c>
      <c r="G1818" s="705">
        <v>2511</v>
      </c>
      <c r="H1818" s="705">
        <v>4653</v>
      </c>
      <c r="I1818" s="705">
        <v>244831</v>
      </c>
      <c r="J1818" s="705">
        <v>222574</v>
      </c>
      <c r="K1818">
        <v>86</v>
      </c>
      <c r="L1818" s="705">
        <v>40245</v>
      </c>
      <c r="M1818" s="705">
        <v>33210</v>
      </c>
      <c r="N1818" s="705">
        <v>49556</v>
      </c>
      <c r="O1818" s="705">
        <v>18354</v>
      </c>
      <c r="P1818" s="705">
        <v>14094</v>
      </c>
      <c r="Q1818" s="705">
        <v>5220</v>
      </c>
      <c r="R1818" s="705">
        <v>101210</v>
      </c>
      <c r="S1818" s="705">
        <v>92009</v>
      </c>
      <c r="T1818" s="705">
        <v>17710</v>
      </c>
      <c r="U1818" s="705">
        <v>6559</v>
      </c>
      <c r="V1818" s="705">
        <v>377926</v>
      </c>
      <c r="W1818" s="705">
        <f t="shared" si="72"/>
        <v>377926</v>
      </c>
      <c r="X1818" s="705">
        <f t="shared" si="73"/>
        <v>467646</v>
      </c>
    </row>
    <row r="1819" spans="2:24">
      <c r="B1819" t="s">
        <v>714</v>
      </c>
      <c r="C1819" t="s">
        <v>116</v>
      </c>
      <c r="D1819" t="s">
        <v>584</v>
      </c>
      <c r="E1819" t="s">
        <v>584</v>
      </c>
      <c r="F1819">
        <v>56</v>
      </c>
      <c r="G1819" s="705">
        <v>4496</v>
      </c>
      <c r="H1819" s="705">
        <v>9675</v>
      </c>
      <c r="I1819" s="705">
        <v>331930</v>
      </c>
      <c r="J1819" s="705">
        <v>301755</v>
      </c>
      <c r="K1819">
        <v>81</v>
      </c>
      <c r="L1819" s="705">
        <v>22472</v>
      </c>
      <c r="M1819" s="705">
        <v>16687</v>
      </c>
      <c r="N1819" s="705">
        <v>99348</v>
      </c>
      <c r="O1819" s="705">
        <v>36795</v>
      </c>
      <c r="P1819" s="705">
        <v>26811</v>
      </c>
      <c r="Q1819" s="705">
        <v>9930</v>
      </c>
      <c r="R1819" s="705">
        <v>210176</v>
      </c>
      <c r="S1819" s="705">
        <v>191069</v>
      </c>
      <c r="T1819" s="705">
        <v>88192</v>
      </c>
      <c r="U1819" s="705">
        <v>32664</v>
      </c>
      <c r="V1819" s="705">
        <v>588900</v>
      </c>
      <c r="W1819" s="705">
        <f t="shared" si="72"/>
        <v>588900</v>
      </c>
      <c r="X1819" s="705">
        <f t="shared" si="73"/>
        <v>778929</v>
      </c>
    </row>
    <row r="1820" spans="2:24">
      <c r="B1820" t="s">
        <v>714</v>
      </c>
      <c r="C1820" t="s">
        <v>116</v>
      </c>
      <c r="D1820" t="s">
        <v>665</v>
      </c>
      <c r="E1820" t="s">
        <v>665</v>
      </c>
      <c r="F1820">
        <v>1</v>
      </c>
      <c r="G1820">
        <v>63</v>
      </c>
      <c r="H1820">
        <v>218</v>
      </c>
      <c r="I1820" s="705">
        <v>5581</v>
      </c>
      <c r="J1820" s="705">
        <v>5073</v>
      </c>
      <c r="K1820">
        <v>73</v>
      </c>
      <c r="L1820" s="705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705">
        <v>3565</v>
      </c>
      <c r="S1820" s="705">
        <v>3241</v>
      </c>
      <c r="T1820" s="705">
        <v>2059</v>
      </c>
      <c r="U1820">
        <v>763</v>
      </c>
      <c r="V1820" s="705">
        <v>9971</v>
      </c>
      <c r="W1820" s="705">
        <f t="shared" si="72"/>
        <v>9972</v>
      </c>
      <c r="X1820" s="705">
        <f t="shared" si="73"/>
        <v>13619</v>
      </c>
    </row>
    <row r="1821" spans="2:24">
      <c r="B1821" t="s">
        <v>714</v>
      </c>
      <c r="C1821" t="s">
        <v>118</v>
      </c>
      <c r="F1821">
        <v>11</v>
      </c>
      <c r="G1821">
        <v>546</v>
      </c>
      <c r="H1821" s="705">
        <v>2880</v>
      </c>
      <c r="J1821">
        <v>0</v>
      </c>
      <c r="M1821">
        <v>0</v>
      </c>
      <c r="N1821" s="705">
        <v>8869</v>
      </c>
      <c r="O1821" s="705">
        <v>3285</v>
      </c>
      <c r="P1821" s="705">
        <v>5508</v>
      </c>
      <c r="Q1821" s="705">
        <v>2040</v>
      </c>
      <c r="S1821">
        <v>0</v>
      </c>
      <c r="T1821" s="705">
        <v>3066</v>
      </c>
      <c r="U1821" s="705">
        <v>1135</v>
      </c>
      <c r="V1821" s="705">
        <v>6460</v>
      </c>
      <c r="W1821" s="705">
        <f t="shared" si="72"/>
        <v>6460</v>
      </c>
      <c r="X1821" s="705">
        <f t="shared" si="73"/>
        <v>17443</v>
      </c>
    </row>
    <row r="1822" spans="2:24">
      <c r="B1822" t="s">
        <v>714</v>
      </c>
      <c r="C1822" t="s">
        <v>118</v>
      </c>
      <c r="D1822" t="s">
        <v>228</v>
      </c>
      <c r="E1822" t="s">
        <v>228</v>
      </c>
      <c r="F1822">
        <v>188</v>
      </c>
      <c r="G1822" s="705">
        <v>11970</v>
      </c>
      <c r="H1822" s="705">
        <v>49811</v>
      </c>
      <c r="I1822" s="705">
        <v>1540501</v>
      </c>
      <c r="J1822" s="705">
        <v>570556</v>
      </c>
      <c r="K1822">
        <v>100</v>
      </c>
      <c r="L1822" s="705">
        <v>191258</v>
      </c>
      <c r="M1822" s="705">
        <v>87470</v>
      </c>
      <c r="N1822" s="705">
        <v>245931</v>
      </c>
      <c r="O1822" s="705">
        <v>91086</v>
      </c>
      <c r="P1822" s="705">
        <v>2106</v>
      </c>
      <c r="Q1822">
        <v>780</v>
      </c>
      <c r="R1822" s="705">
        <v>1183595</v>
      </c>
      <c r="S1822" s="705">
        <v>438369</v>
      </c>
      <c r="T1822">
        <v>0</v>
      </c>
      <c r="U1822">
        <v>0</v>
      </c>
      <c r="V1822" s="705">
        <v>1188260</v>
      </c>
      <c r="W1822" s="705">
        <f t="shared" si="72"/>
        <v>1188261</v>
      </c>
      <c r="X1822" s="705">
        <f t="shared" si="73"/>
        <v>3163391</v>
      </c>
    </row>
    <row r="1823" spans="2:24">
      <c r="B1823" t="s">
        <v>714</v>
      </c>
      <c r="C1823" t="s">
        <v>118</v>
      </c>
      <c r="D1823" t="s">
        <v>583</v>
      </c>
      <c r="E1823" t="s">
        <v>228</v>
      </c>
      <c r="F1823">
        <v>5</v>
      </c>
      <c r="G1823">
        <v>191</v>
      </c>
      <c r="H1823" s="705">
        <v>1318</v>
      </c>
      <c r="I1823" s="705">
        <v>27665</v>
      </c>
      <c r="J1823" s="705">
        <v>25150</v>
      </c>
      <c r="K1823">
        <v>85</v>
      </c>
      <c r="L1823">
        <v>0</v>
      </c>
      <c r="M1823">
        <v>0</v>
      </c>
      <c r="N1823" s="705">
        <v>3996</v>
      </c>
      <c r="O1823" s="705">
        <v>1480</v>
      </c>
      <c r="P1823" s="705">
        <v>3105</v>
      </c>
      <c r="Q1823" s="705">
        <v>1150</v>
      </c>
      <c r="R1823" s="705">
        <v>15069</v>
      </c>
      <c r="S1823" s="705">
        <v>5581</v>
      </c>
      <c r="T1823">
        <v>0</v>
      </c>
      <c r="U1823">
        <v>0</v>
      </c>
      <c r="V1823" s="705">
        <v>33361</v>
      </c>
      <c r="W1823" s="705">
        <f t="shared" si="72"/>
        <v>33361</v>
      </c>
      <c r="X1823" s="705">
        <f t="shared" si="73"/>
        <v>49835</v>
      </c>
    </row>
    <row r="1824" spans="2:24">
      <c r="B1824" t="s">
        <v>714</v>
      </c>
      <c r="C1824" t="s">
        <v>118</v>
      </c>
      <c r="D1824" t="s">
        <v>583</v>
      </c>
      <c r="E1824" t="s">
        <v>583</v>
      </c>
      <c r="F1824">
        <v>19</v>
      </c>
      <c r="G1824" s="705">
        <v>1904</v>
      </c>
      <c r="H1824" s="705">
        <v>5116</v>
      </c>
      <c r="I1824" s="705">
        <v>316282</v>
      </c>
      <c r="J1824" s="705">
        <v>287529</v>
      </c>
      <c r="K1824">
        <v>83</v>
      </c>
      <c r="L1824" s="705">
        <v>39329</v>
      </c>
      <c r="M1824" s="705">
        <v>38844</v>
      </c>
      <c r="N1824" s="705">
        <v>37238</v>
      </c>
      <c r="O1824" s="705">
        <v>13792</v>
      </c>
      <c r="P1824" s="705">
        <v>12852</v>
      </c>
      <c r="Q1824" s="705">
        <v>4760</v>
      </c>
      <c r="R1824" s="705">
        <v>77098</v>
      </c>
      <c r="S1824" s="705">
        <v>70090</v>
      </c>
      <c r="T1824" s="705">
        <v>37730</v>
      </c>
      <c r="U1824" s="705">
        <v>13974</v>
      </c>
      <c r="V1824" s="705">
        <v>428989</v>
      </c>
      <c r="W1824" s="705">
        <f t="shared" si="72"/>
        <v>428989</v>
      </c>
      <c r="X1824" s="705">
        <f t="shared" si="73"/>
        <v>520529</v>
      </c>
    </row>
    <row r="1825" spans="2:24">
      <c r="B1825" t="s">
        <v>714</v>
      </c>
      <c r="C1825" t="s">
        <v>118</v>
      </c>
      <c r="D1825" t="s">
        <v>584</v>
      </c>
      <c r="E1825" t="s">
        <v>584</v>
      </c>
      <c r="F1825">
        <v>3</v>
      </c>
      <c r="G1825">
        <v>193</v>
      </c>
      <c r="H1825">
        <v>719</v>
      </c>
      <c r="I1825" s="705">
        <v>28862</v>
      </c>
      <c r="J1825" s="705">
        <v>26238</v>
      </c>
      <c r="K1825">
        <v>79</v>
      </c>
      <c r="L1825">
        <v>0</v>
      </c>
      <c r="M1825">
        <v>0</v>
      </c>
      <c r="N1825" s="705">
        <v>4052</v>
      </c>
      <c r="O1825" s="705">
        <v>1501</v>
      </c>
      <c r="P1825" s="705">
        <v>1418</v>
      </c>
      <c r="Q1825">
        <v>525</v>
      </c>
      <c r="R1825" s="705">
        <v>8072</v>
      </c>
      <c r="S1825" s="705">
        <v>7338</v>
      </c>
      <c r="T1825" s="705">
        <v>3718</v>
      </c>
      <c r="U1825" s="705">
        <v>1377</v>
      </c>
      <c r="V1825" s="705">
        <v>36979</v>
      </c>
      <c r="W1825" s="705">
        <f t="shared" si="72"/>
        <v>36979</v>
      </c>
      <c r="X1825" s="705">
        <f t="shared" si="73"/>
        <v>46122</v>
      </c>
    </row>
    <row r="1826" spans="2:24">
      <c r="B1826" t="s">
        <v>714</v>
      </c>
      <c r="C1826" t="s">
        <v>118</v>
      </c>
      <c r="D1826" t="s">
        <v>665</v>
      </c>
      <c r="E1826" t="s">
        <v>665</v>
      </c>
      <c r="F1826">
        <v>6</v>
      </c>
      <c r="G1826">
        <v>497</v>
      </c>
      <c r="H1826" s="705">
        <v>1612</v>
      </c>
      <c r="I1826" s="705">
        <v>70507</v>
      </c>
      <c r="J1826" s="705">
        <v>64097</v>
      </c>
      <c r="K1826">
        <v>64</v>
      </c>
      <c r="L1826" s="705">
        <v>13600</v>
      </c>
      <c r="M1826" s="705">
        <v>7923</v>
      </c>
      <c r="N1826" s="705">
        <v>9433</v>
      </c>
      <c r="O1826" s="705">
        <v>3494</v>
      </c>
      <c r="P1826" s="705">
        <v>2106</v>
      </c>
      <c r="Q1826">
        <v>780</v>
      </c>
      <c r="R1826" s="705">
        <v>27675</v>
      </c>
      <c r="S1826" s="705">
        <v>25159</v>
      </c>
      <c r="T1826" s="705">
        <v>12304</v>
      </c>
      <c r="U1826" s="705">
        <v>4557</v>
      </c>
      <c r="V1826" s="705">
        <v>106011</v>
      </c>
      <c r="W1826" s="705">
        <f t="shared" si="72"/>
        <v>106010</v>
      </c>
      <c r="X1826" s="705">
        <f t="shared" si="73"/>
        <v>135625</v>
      </c>
    </row>
    <row r="1827" spans="2:24">
      <c r="B1827" t="s">
        <v>714</v>
      </c>
      <c r="C1827" t="s">
        <v>120</v>
      </c>
      <c r="F1827">
        <v>5</v>
      </c>
      <c r="G1827">
        <v>190</v>
      </c>
      <c r="H1827" s="705">
        <v>1684</v>
      </c>
      <c r="J1827">
        <v>0</v>
      </c>
      <c r="M1827">
        <v>0</v>
      </c>
      <c r="N1827" s="705">
        <v>4118</v>
      </c>
      <c r="O1827" s="705">
        <v>1525</v>
      </c>
      <c r="P1827" s="705">
        <v>1701</v>
      </c>
      <c r="Q1827">
        <v>630</v>
      </c>
      <c r="S1827">
        <v>0</v>
      </c>
      <c r="T1827" s="705">
        <v>1432</v>
      </c>
      <c r="U1827">
        <v>530</v>
      </c>
      <c r="V1827" s="705">
        <v>2686</v>
      </c>
      <c r="W1827" s="705">
        <f t="shared" si="72"/>
        <v>2685</v>
      </c>
      <c r="X1827" s="705">
        <f t="shared" si="73"/>
        <v>7251</v>
      </c>
    </row>
    <row r="1828" spans="2:24">
      <c r="B1828" t="s">
        <v>714</v>
      </c>
      <c r="C1828" t="s">
        <v>120</v>
      </c>
      <c r="D1828" t="s">
        <v>228</v>
      </c>
      <c r="E1828" t="s">
        <v>228</v>
      </c>
      <c r="F1828">
        <v>100</v>
      </c>
      <c r="G1828" s="705">
        <v>5559</v>
      </c>
      <c r="H1828" s="705">
        <v>33341</v>
      </c>
      <c r="I1828" s="705">
        <v>1053996</v>
      </c>
      <c r="J1828" s="705">
        <v>390369</v>
      </c>
      <c r="K1828">
        <v>100</v>
      </c>
      <c r="L1828" s="705">
        <v>129344</v>
      </c>
      <c r="M1828" s="705">
        <v>59701</v>
      </c>
      <c r="N1828" s="705">
        <v>110517</v>
      </c>
      <c r="O1828" s="705">
        <v>40932</v>
      </c>
      <c r="P1828">
        <v>351</v>
      </c>
      <c r="Q1828">
        <v>130</v>
      </c>
      <c r="R1828" s="705">
        <v>559381</v>
      </c>
      <c r="S1828" s="705">
        <v>207178</v>
      </c>
      <c r="T1828">
        <v>0</v>
      </c>
      <c r="U1828">
        <v>0</v>
      </c>
      <c r="V1828" s="705">
        <v>698310</v>
      </c>
      <c r="W1828" s="705">
        <f t="shared" si="72"/>
        <v>698310</v>
      </c>
      <c r="X1828" s="705">
        <f t="shared" si="73"/>
        <v>1853589</v>
      </c>
    </row>
    <row r="1829" spans="2:24">
      <c r="B1829" t="s">
        <v>714</v>
      </c>
      <c r="C1829" t="s">
        <v>120</v>
      </c>
      <c r="D1829" t="s">
        <v>583</v>
      </c>
      <c r="E1829" t="s">
        <v>228</v>
      </c>
      <c r="F1829">
        <v>2</v>
      </c>
      <c r="G1829">
        <v>73</v>
      </c>
      <c r="H1829">
        <v>735</v>
      </c>
      <c r="I1829" s="705">
        <v>14667</v>
      </c>
      <c r="J1829" s="705">
        <v>13334</v>
      </c>
      <c r="K1829">
        <v>86</v>
      </c>
      <c r="L1829" s="705">
        <v>3256</v>
      </c>
      <c r="M1829" s="705">
        <v>1206</v>
      </c>
      <c r="N1829" s="705">
        <v>1789</v>
      </c>
      <c r="O1829">
        <v>662</v>
      </c>
      <c r="P1829" s="705">
        <v>1242</v>
      </c>
      <c r="Q1829">
        <v>460</v>
      </c>
      <c r="R1829" s="705">
        <v>5992</v>
      </c>
      <c r="S1829" s="705">
        <v>2219</v>
      </c>
      <c r="T1829">
        <v>0</v>
      </c>
      <c r="U1829">
        <v>0</v>
      </c>
      <c r="V1829" s="705">
        <v>17882</v>
      </c>
      <c r="W1829" s="705">
        <f t="shared" si="72"/>
        <v>17881</v>
      </c>
      <c r="X1829" s="705">
        <f t="shared" si="73"/>
        <v>26946</v>
      </c>
    </row>
    <row r="1830" spans="2:24">
      <c r="B1830" t="s">
        <v>714</v>
      </c>
      <c r="C1830" t="s">
        <v>120</v>
      </c>
      <c r="D1830" t="s">
        <v>583</v>
      </c>
      <c r="E1830" t="s">
        <v>583</v>
      </c>
      <c r="F1830">
        <v>13</v>
      </c>
      <c r="G1830">
        <v>874</v>
      </c>
      <c r="H1830" s="705">
        <v>4289</v>
      </c>
      <c r="I1830" s="705">
        <v>182338</v>
      </c>
      <c r="J1830" s="705">
        <v>165762</v>
      </c>
      <c r="K1830">
        <v>82</v>
      </c>
      <c r="L1830" s="705">
        <v>13156</v>
      </c>
      <c r="M1830" s="705">
        <v>11960</v>
      </c>
      <c r="N1830" s="705">
        <v>16988</v>
      </c>
      <c r="O1830" s="705">
        <v>6292</v>
      </c>
      <c r="P1830" s="705">
        <v>8424</v>
      </c>
      <c r="Q1830" s="705">
        <v>3120</v>
      </c>
      <c r="R1830" s="705">
        <v>46830</v>
      </c>
      <c r="S1830" s="705">
        <v>42573</v>
      </c>
      <c r="T1830" s="705">
        <v>20064</v>
      </c>
      <c r="U1830" s="705">
        <v>7431</v>
      </c>
      <c r="V1830" s="705">
        <v>237138</v>
      </c>
      <c r="W1830" s="705">
        <f t="shared" si="72"/>
        <v>237138</v>
      </c>
      <c r="X1830" s="705">
        <f t="shared" si="73"/>
        <v>287800</v>
      </c>
    </row>
    <row r="1831" spans="2:24">
      <c r="B1831" t="s">
        <v>714</v>
      </c>
      <c r="C1831" t="s">
        <v>120</v>
      </c>
      <c r="D1831" t="s">
        <v>666</v>
      </c>
      <c r="E1831" t="s">
        <v>666</v>
      </c>
      <c r="F1831">
        <v>1</v>
      </c>
      <c r="G1831">
        <v>53</v>
      </c>
      <c r="H1831">
        <v>310</v>
      </c>
      <c r="I1831" s="705">
        <v>8325</v>
      </c>
      <c r="J1831" s="705">
        <v>7568</v>
      </c>
      <c r="K1831">
        <v>55</v>
      </c>
      <c r="L1831">
        <v>0</v>
      </c>
      <c r="M1831">
        <v>0</v>
      </c>
      <c r="N1831" s="705">
        <v>1291</v>
      </c>
      <c r="O1831">
        <v>478</v>
      </c>
      <c r="P1831">
        <v>351</v>
      </c>
      <c r="Q1831">
        <v>130</v>
      </c>
      <c r="R1831" s="705">
        <v>4528</v>
      </c>
      <c r="S1831" s="705">
        <v>4116</v>
      </c>
      <c r="T1831" s="705">
        <v>1924</v>
      </c>
      <c r="U1831">
        <v>712</v>
      </c>
      <c r="V1831" s="705">
        <v>13005</v>
      </c>
      <c r="W1831" s="705">
        <f t="shared" si="72"/>
        <v>13004</v>
      </c>
      <c r="X1831" s="705">
        <f t="shared" si="73"/>
        <v>16419</v>
      </c>
    </row>
    <row r="1832" spans="2:24">
      <c r="B1832" t="s">
        <v>714</v>
      </c>
      <c r="C1832" t="s">
        <v>120</v>
      </c>
      <c r="D1832" t="s">
        <v>584</v>
      </c>
      <c r="E1832" t="s">
        <v>228</v>
      </c>
      <c r="F1832">
        <v>1</v>
      </c>
      <c r="G1832">
        <v>49</v>
      </c>
      <c r="H1832">
        <v>319</v>
      </c>
      <c r="I1832" s="705">
        <v>10021</v>
      </c>
      <c r="J1832" s="705">
        <v>9110</v>
      </c>
      <c r="K1832">
        <v>58</v>
      </c>
      <c r="L1832" s="705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705">
        <v>3312</v>
      </c>
      <c r="S1832" s="705">
        <v>1227</v>
      </c>
      <c r="T1832">
        <v>0</v>
      </c>
      <c r="U1832">
        <v>0</v>
      </c>
      <c r="V1832" s="705">
        <v>11190</v>
      </c>
      <c r="W1832" s="705">
        <f t="shared" si="72"/>
        <v>11190</v>
      </c>
      <c r="X1832" s="705">
        <f t="shared" si="73"/>
        <v>15637</v>
      </c>
    </row>
    <row r="1833" spans="2:24">
      <c r="B1833" t="s">
        <v>714</v>
      </c>
      <c r="C1833" t="s">
        <v>120</v>
      </c>
      <c r="D1833" t="s">
        <v>584</v>
      </c>
      <c r="E1833" t="s">
        <v>584</v>
      </c>
      <c r="F1833">
        <v>1</v>
      </c>
      <c r="G1833">
        <v>64</v>
      </c>
      <c r="H1833">
        <v>324</v>
      </c>
      <c r="I1833" s="705">
        <v>13474</v>
      </c>
      <c r="J1833" s="705">
        <v>12249</v>
      </c>
      <c r="K1833">
        <v>80</v>
      </c>
      <c r="L1833">
        <v>0</v>
      </c>
      <c r="M1833">
        <v>0</v>
      </c>
      <c r="N1833" s="705">
        <v>1554</v>
      </c>
      <c r="O1833">
        <v>576</v>
      </c>
      <c r="P1833">
        <v>473</v>
      </c>
      <c r="Q1833">
        <v>175</v>
      </c>
      <c r="R1833" s="705">
        <v>5165</v>
      </c>
      <c r="S1833" s="705">
        <v>4696</v>
      </c>
      <c r="T1833">
        <v>0</v>
      </c>
      <c r="U1833">
        <v>0</v>
      </c>
      <c r="V1833" s="705">
        <v>17695</v>
      </c>
      <c r="W1833" s="705">
        <f t="shared" si="72"/>
        <v>17696</v>
      </c>
      <c r="X1833" s="705">
        <f t="shared" si="73"/>
        <v>20666</v>
      </c>
    </row>
    <row r="1834" spans="2:24">
      <c r="B1834" t="s">
        <v>714</v>
      </c>
      <c r="C1834" t="s">
        <v>120</v>
      </c>
      <c r="D1834" t="s">
        <v>665</v>
      </c>
      <c r="E1834" t="s">
        <v>665</v>
      </c>
      <c r="F1834">
        <v>5</v>
      </c>
      <c r="G1834">
        <v>365</v>
      </c>
      <c r="H1834" s="705">
        <v>1701</v>
      </c>
      <c r="I1834" s="705">
        <v>70656</v>
      </c>
      <c r="J1834" s="705">
        <v>64233</v>
      </c>
      <c r="K1834">
        <v>61</v>
      </c>
      <c r="L1834" s="705">
        <v>14210</v>
      </c>
      <c r="M1834" s="705">
        <v>10147</v>
      </c>
      <c r="N1834" s="705">
        <v>6396</v>
      </c>
      <c r="O1834" s="705">
        <v>2369</v>
      </c>
      <c r="P1834" s="705">
        <v>1755</v>
      </c>
      <c r="Q1834">
        <v>650</v>
      </c>
      <c r="R1834" s="705">
        <v>21285</v>
      </c>
      <c r="S1834" s="705">
        <v>19350</v>
      </c>
      <c r="T1834" s="705">
        <v>10814</v>
      </c>
      <c r="U1834" s="705">
        <v>4005</v>
      </c>
      <c r="V1834" s="705">
        <v>100753</v>
      </c>
      <c r="W1834" s="705">
        <f t="shared" si="72"/>
        <v>100754</v>
      </c>
      <c r="X1834" s="705">
        <f t="shared" si="73"/>
        <v>125116</v>
      </c>
    </row>
    <row r="1835" spans="2:24">
      <c r="B1835" t="s">
        <v>714</v>
      </c>
      <c r="C1835" t="s">
        <v>122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705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705">
        <f t="shared" ref="W1835:W1898" si="74">SUM(ABS(J1835),ABS(M1835),ABS(O1835),ABS(Q1835),ABS(S1835),ABS(U1835))</f>
        <v>801</v>
      </c>
      <c r="X1835" s="705">
        <f t="shared" ref="X1835:X1898" si="75">SUM(ABS(I1835),ABS(N1835),ABS(P1835),ABS(R1835),ABS(T1835),ABS(L1835))</f>
        <v>2162</v>
      </c>
    </row>
    <row r="1836" spans="2:24">
      <c r="B1836" t="s">
        <v>714</v>
      </c>
      <c r="C1836" t="s">
        <v>122</v>
      </c>
      <c r="D1836" t="s">
        <v>228</v>
      </c>
      <c r="E1836" t="s">
        <v>228</v>
      </c>
      <c r="F1836">
        <v>45</v>
      </c>
      <c r="G1836" s="705">
        <v>2395</v>
      </c>
      <c r="H1836" s="705">
        <v>18601</v>
      </c>
      <c r="I1836" s="705">
        <v>600410</v>
      </c>
      <c r="J1836" s="705">
        <v>222374</v>
      </c>
      <c r="K1836">
        <v>100</v>
      </c>
      <c r="L1836" s="705">
        <v>79486</v>
      </c>
      <c r="M1836" s="705">
        <v>42488</v>
      </c>
      <c r="N1836" s="705">
        <v>47303</v>
      </c>
      <c r="O1836" s="705">
        <v>17519</v>
      </c>
      <c r="P1836">
        <v>0</v>
      </c>
      <c r="Q1836">
        <v>0</v>
      </c>
      <c r="R1836" s="705">
        <v>261717</v>
      </c>
      <c r="S1836" s="705">
        <v>96932</v>
      </c>
      <c r="T1836">
        <v>0</v>
      </c>
      <c r="U1836">
        <v>0</v>
      </c>
      <c r="V1836" s="705">
        <v>379314</v>
      </c>
      <c r="W1836" s="705">
        <f t="shared" si="74"/>
        <v>379313</v>
      </c>
      <c r="X1836" s="705">
        <f t="shared" si="75"/>
        <v>988916</v>
      </c>
    </row>
    <row r="1837" spans="2:24">
      <c r="B1837" t="s">
        <v>714</v>
      </c>
      <c r="C1837" t="s">
        <v>122</v>
      </c>
      <c r="D1837" t="s">
        <v>583</v>
      </c>
      <c r="E1837" t="s">
        <v>228</v>
      </c>
      <c r="F1837">
        <v>1</v>
      </c>
      <c r="G1837">
        <v>40</v>
      </c>
      <c r="H1837">
        <v>447</v>
      </c>
      <c r="I1837" s="705">
        <v>10773</v>
      </c>
      <c r="J1837" s="705">
        <v>9794</v>
      </c>
      <c r="K1837">
        <v>86</v>
      </c>
      <c r="L1837" s="705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705">
        <v>3129</v>
      </c>
      <c r="S1837" s="705">
        <v>1159</v>
      </c>
      <c r="T1837">
        <v>0</v>
      </c>
      <c r="U1837">
        <v>0</v>
      </c>
      <c r="V1837" s="705">
        <v>12429</v>
      </c>
      <c r="W1837" s="705">
        <f t="shared" si="74"/>
        <v>12430</v>
      </c>
      <c r="X1837" s="705">
        <f t="shared" si="75"/>
        <v>17890</v>
      </c>
    </row>
    <row r="1838" spans="2:24">
      <c r="B1838" t="s">
        <v>714</v>
      </c>
      <c r="C1838" t="s">
        <v>122</v>
      </c>
      <c r="D1838" t="s">
        <v>583</v>
      </c>
      <c r="E1838" t="s">
        <v>583</v>
      </c>
      <c r="F1838">
        <v>3</v>
      </c>
      <c r="G1838">
        <v>218</v>
      </c>
      <c r="H1838" s="705">
        <v>1220</v>
      </c>
      <c r="I1838" s="705">
        <v>54062</v>
      </c>
      <c r="J1838" s="705">
        <v>49148</v>
      </c>
      <c r="K1838">
        <v>88</v>
      </c>
      <c r="L1838" s="705">
        <v>14327</v>
      </c>
      <c r="M1838" s="705">
        <v>13025</v>
      </c>
      <c r="N1838" s="705">
        <v>4752</v>
      </c>
      <c r="O1838" s="705">
        <v>1760</v>
      </c>
      <c r="P1838" s="705">
        <v>1863</v>
      </c>
      <c r="Q1838">
        <v>690</v>
      </c>
      <c r="R1838" s="705">
        <v>9301</v>
      </c>
      <c r="S1838" s="705">
        <v>8455</v>
      </c>
      <c r="T1838" s="705">
        <v>4462</v>
      </c>
      <c r="U1838" s="705">
        <v>1652</v>
      </c>
      <c r="V1838" s="705">
        <v>74730</v>
      </c>
      <c r="W1838" s="705">
        <f t="shared" si="74"/>
        <v>74730</v>
      </c>
      <c r="X1838" s="705">
        <f t="shared" si="75"/>
        <v>88767</v>
      </c>
    </row>
    <row r="1839" spans="2:24">
      <c r="B1839" t="s">
        <v>714</v>
      </c>
      <c r="C1839" t="s">
        <v>122</v>
      </c>
      <c r="D1839" t="s">
        <v>666</v>
      </c>
      <c r="E1839" t="s">
        <v>666</v>
      </c>
      <c r="F1839">
        <v>3</v>
      </c>
      <c r="G1839">
        <v>165</v>
      </c>
      <c r="H1839" s="705">
        <v>1250</v>
      </c>
      <c r="I1839" s="705">
        <v>23772</v>
      </c>
      <c r="J1839" s="705">
        <v>21610</v>
      </c>
      <c r="K1839">
        <v>55</v>
      </c>
      <c r="L1839" s="705">
        <v>4842</v>
      </c>
      <c r="M1839" s="705">
        <v>4402</v>
      </c>
      <c r="N1839" s="705">
        <v>3645</v>
      </c>
      <c r="O1839" s="705">
        <v>1350</v>
      </c>
      <c r="P1839" s="705">
        <v>1053</v>
      </c>
      <c r="Q1839">
        <v>390</v>
      </c>
      <c r="R1839" s="705">
        <v>23153</v>
      </c>
      <c r="S1839" s="705">
        <v>21048</v>
      </c>
      <c r="T1839" s="705">
        <v>12134</v>
      </c>
      <c r="U1839" s="705">
        <v>4494</v>
      </c>
      <c r="V1839" s="705">
        <v>53295</v>
      </c>
      <c r="W1839" s="705">
        <f t="shared" si="74"/>
        <v>53294</v>
      </c>
      <c r="X1839" s="705">
        <f t="shared" si="75"/>
        <v>68599</v>
      </c>
    </row>
    <row r="1840" spans="2:24">
      <c r="B1840" t="s">
        <v>714</v>
      </c>
      <c r="C1840" t="s">
        <v>122</v>
      </c>
      <c r="D1840" t="s">
        <v>584</v>
      </c>
      <c r="E1840" t="s">
        <v>584</v>
      </c>
      <c r="F1840">
        <v>1</v>
      </c>
      <c r="G1840">
        <v>40</v>
      </c>
      <c r="H1840">
        <v>410</v>
      </c>
      <c r="I1840" s="705">
        <v>10201</v>
      </c>
      <c r="J1840" s="705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705">
        <v>4595</v>
      </c>
      <c r="S1840" s="705">
        <v>4177</v>
      </c>
      <c r="T1840">
        <v>0</v>
      </c>
      <c r="U1840">
        <v>0</v>
      </c>
      <c r="V1840" s="705">
        <v>13983</v>
      </c>
      <c r="W1840" s="705">
        <f t="shared" si="74"/>
        <v>13983</v>
      </c>
      <c r="X1840" s="705">
        <f t="shared" si="75"/>
        <v>16234</v>
      </c>
    </row>
    <row r="1841" spans="2:24">
      <c r="B1841" t="s">
        <v>714</v>
      </c>
      <c r="C1841" t="s">
        <v>122</v>
      </c>
      <c r="D1841" t="s">
        <v>665</v>
      </c>
      <c r="E1841" t="s">
        <v>665</v>
      </c>
      <c r="F1841">
        <v>4</v>
      </c>
      <c r="G1841">
        <v>403</v>
      </c>
      <c r="H1841" s="705">
        <v>1634</v>
      </c>
      <c r="I1841" s="705">
        <v>113568</v>
      </c>
      <c r="J1841" s="705">
        <v>103243</v>
      </c>
      <c r="K1841">
        <v>55</v>
      </c>
      <c r="L1841" s="705">
        <v>11952</v>
      </c>
      <c r="M1841" s="705">
        <v>10865</v>
      </c>
      <c r="N1841" s="705">
        <v>8027</v>
      </c>
      <c r="O1841" s="705">
        <v>2973</v>
      </c>
      <c r="P1841" s="705">
        <v>1674</v>
      </c>
      <c r="Q1841">
        <v>620</v>
      </c>
      <c r="R1841" s="705">
        <v>24444</v>
      </c>
      <c r="S1841" s="705">
        <v>22222</v>
      </c>
      <c r="T1841" s="705">
        <v>6608</v>
      </c>
      <c r="U1841" s="705">
        <v>2448</v>
      </c>
      <c r="V1841" s="705">
        <v>142371</v>
      </c>
      <c r="W1841" s="705">
        <f t="shared" si="74"/>
        <v>142371</v>
      </c>
      <c r="X1841" s="705">
        <f t="shared" si="75"/>
        <v>166273</v>
      </c>
    </row>
    <row r="1842" spans="2:24">
      <c r="B1842" t="s">
        <v>714</v>
      </c>
      <c r="C1842" t="s">
        <v>124</v>
      </c>
      <c r="F1842">
        <v>4</v>
      </c>
      <c r="G1842">
        <v>197</v>
      </c>
      <c r="H1842" s="705">
        <v>2270</v>
      </c>
      <c r="J1842">
        <v>0</v>
      </c>
      <c r="M1842">
        <v>0</v>
      </c>
      <c r="N1842" s="705">
        <v>4646</v>
      </c>
      <c r="O1842" s="705">
        <v>1721</v>
      </c>
      <c r="P1842" s="705">
        <v>1242</v>
      </c>
      <c r="Q1842">
        <v>460</v>
      </c>
      <c r="S1842">
        <v>0</v>
      </c>
      <c r="T1842">
        <v>0</v>
      </c>
      <c r="U1842">
        <v>0</v>
      </c>
      <c r="V1842" s="705">
        <v>2181</v>
      </c>
      <c r="W1842" s="705">
        <f t="shared" si="74"/>
        <v>2181</v>
      </c>
      <c r="X1842" s="705">
        <f t="shared" si="75"/>
        <v>5888</v>
      </c>
    </row>
    <row r="1843" spans="2:24">
      <c r="B1843" t="s">
        <v>714</v>
      </c>
      <c r="C1843" t="s">
        <v>124</v>
      </c>
      <c r="D1843" t="s">
        <v>228</v>
      </c>
      <c r="E1843" t="s">
        <v>228</v>
      </c>
      <c r="F1843">
        <v>44</v>
      </c>
      <c r="G1843" s="705">
        <v>2139</v>
      </c>
      <c r="H1843" s="705">
        <v>25222</v>
      </c>
      <c r="I1843" s="705">
        <v>876107</v>
      </c>
      <c r="J1843" s="705">
        <v>324484</v>
      </c>
      <c r="K1843">
        <v>100</v>
      </c>
      <c r="L1843" s="705">
        <v>93265</v>
      </c>
      <c r="M1843" s="705">
        <v>39226</v>
      </c>
      <c r="N1843" s="705">
        <v>44568</v>
      </c>
      <c r="O1843" s="705">
        <v>16507</v>
      </c>
      <c r="P1843">
        <v>243</v>
      </c>
      <c r="Q1843">
        <v>90</v>
      </c>
      <c r="R1843" s="705">
        <v>205588</v>
      </c>
      <c r="S1843" s="705">
        <v>76144</v>
      </c>
      <c r="T1843">
        <v>0</v>
      </c>
      <c r="U1843">
        <v>0</v>
      </c>
      <c r="V1843" s="705">
        <v>456450</v>
      </c>
      <c r="W1843" s="705">
        <f t="shared" si="74"/>
        <v>456451</v>
      </c>
      <c r="X1843" s="705">
        <f t="shared" si="75"/>
        <v>1219771</v>
      </c>
    </row>
    <row r="1844" spans="2:24">
      <c r="B1844" t="s">
        <v>714</v>
      </c>
      <c r="C1844" t="s">
        <v>124</v>
      </c>
      <c r="D1844" t="s">
        <v>583</v>
      </c>
      <c r="E1844" t="s">
        <v>228</v>
      </c>
      <c r="F1844">
        <v>1</v>
      </c>
      <c r="G1844">
        <v>40</v>
      </c>
      <c r="H1844">
        <v>497</v>
      </c>
      <c r="I1844" s="705">
        <v>12420</v>
      </c>
      <c r="J1844" s="705">
        <v>11291</v>
      </c>
      <c r="K1844">
        <v>86</v>
      </c>
      <c r="L1844" s="705">
        <v>2757</v>
      </c>
      <c r="M1844" s="705">
        <v>1021</v>
      </c>
      <c r="N1844">
        <v>975</v>
      </c>
      <c r="O1844">
        <v>361</v>
      </c>
      <c r="P1844">
        <v>621</v>
      </c>
      <c r="Q1844">
        <v>230</v>
      </c>
      <c r="R1844" s="705">
        <v>3129</v>
      </c>
      <c r="S1844" s="705">
        <v>1159</v>
      </c>
      <c r="T1844">
        <v>0</v>
      </c>
      <c r="U1844">
        <v>0</v>
      </c>
      <c r="V1844" s="705">
        <v>14062</v>
      </c>
      <c r="W1844" s="705">
        <f t="shared" si="74"/>
        <v>14062</v>
      </c>
      <c r="X1844" s="705">
        <f t="shared" si="75"/>
        <v>19902</v>
      </c>
    </row>
    <row r="1845" spans="2:24">
      <c r="B1845" t="s">
        <v>714</v>
      </c>
      <c r="C1845" t="s">
        <v>124</v>
      </c>
      <c r="D1845" t="s">
        <v>583</v>
      </c>
      <c r="E1845" t="s">
        <v>583</v>
      </c>
      <c r="F1845">
        <v>3</v>
      </c>
      <c r="G1845">
        <v>164</v>
      </c>
      <c r="H1845" s="705">
        <v>1556</v>
      </c>
      <c r="I1845" s="705">
        <v>58110</v>
      </c>
      <c r="J1845" s="705">
        <v>52827</v>
      </c>
      <c r="K1845">
        <v>83</v>
      </c>
      <c r="L1845" s="705">
        <v>11141</v>
      </c>
      <c r="M1845" s="705">
        <v>9284</v>
      </c>
      <c r="N1845" s="705">
        <v>3897</v>
      </c>
      <c r="O1845" s="705">
        <v>1443</v>
      </c>
      <c r="P1845" s="705">
        <v>1863</v>
      </c>
      <c r="Q1845">
        <v>690</v>
      </c>
      <c r="R1845" s="705">
        <v>8693</v>
      </c>
      <c r="S1845" s="705">
        <v>7903</v>
      </c>
      <c r="T1845" s="705">
        <v>1479</v>
      </c>
      <c r="U1845">
        <v>548</v>
      </c>
      <c r="V1845" s="705">
        <v>72695</v>
      </c>
      <c r="W1845" s="705">
        <f t="shared" si="74"/>
        <v>72695</v>
      </c>
      <c r="X1845" s="705">
        <f t="shared" si="75"/>
        <v>85183</v>
      </c>
    </row>
    <row r="1846" spans="2:24">
      <c r="B1846" t="s">
        <v>714</v>
      </c>
      <c r="C1846" t="s">
        <v>124</v>
      </c>
      <c r="D1846" t="s">
        <v>583</v>
      </c>
      <c r="E1846" t="s">
        <v>665</v>
      </c>
      <c r="F1846">
        <v>1</v>
      </c>
      <c r="G1846">
        <v>150</v>
      </c>
      <c r="H1846">
        <v>552</v>
      </c>
      <c r="I1846" s="705">
        <v>56598</v>
      </c>
      <c r="J1846" s="705">
        <v>51453</v>
      </c>
      <c r="K1846">
        <v>65</v>
      </c>
      <c r="L1846" s="705">
        <v>12955</v>
      </c>
      <c r="M1846" s="705">
        <v>11777</v>
      </c>
      <c r="N1846" s="705">
        <v>3545</v>
      </c>
      <c r="O1846" s="705">
        <v>1313</v>
      </c>
      <c r="P1846">
        <v>621</v>
      </c>
      <c r="Q1846">
        <v>230</v>
      </c>
      <c r="R1846" s="705">
        <v>9101</v>
      </c>
      <c r="S1846" s="705">
        <v>8274</v>
      </c>
      <c r="T1846">
        <v>0</v>
      </c>
      <c r="U1846">
        <v>0</v>
      </c>
      <c r="V1846" s="705">
        <v>73047</v>
      </c>
      <c r="W1846" s="705">
        <f t="shared" si="74"/>
        <v>73047</v>
      </c>
      <c r="X1846" s="705">
        <f t="shared" si="75"/>
        <v>82820</v>
      </c>
    </row>
    <row r="1847" spans="2:24">
      <c r="B1847" t="s">
        <v>714</v>
      </c>
      <c r="C1847" t="s">
        <v>124</v>
      </c>
      <c r="D1847" t="s">
        <v>666</v>
      </c>
      <c r="E1847" t="s">
        <v>666</v>
      </c>
      <c r="F1847">
        <v>1</v>
      </c>
      <c r="G1847">
        <v>52</v>
      </c>
      <c r="H1847">
        <v>467</v>
      </c>
      <c r="I1847" s="705">
        <v>9205</v>
      </c>
      <c r="J1847" s="705">
        <v>8369</v>
      </c>
      <c r="K1847">
        <v>55</v>
      </c>
      <c r="L1847" s="705">
        <v>1875</v>
      </c>
      <c r="M1847" s="705">
        <v>1705</v>
      </c>
      <c r="N1847" s="705">
        <v>1164</v>
      </c>
      <c r="O1847">
        <v>431</v>
      </c>
      <c r="P1847">
        <v>351</v>
      </c>
      <c r="Q1847">
        <v>130</v>
      </c>
      <c r="R1847" s="705">
        <v>7653</v>
      </c>
      <c r="S1847" s="705">
        <v>6957</v>
      </c>
      <c r="T1847" s="705">
        <v>4002</v>
      </c>
      <c r="U1847" s="705">
        <v>1482</v>
      </c>
      <c r="V1847" s="705">
        <v>19074</v>
      </c>
      <c r="W1847" s="705">
        <f t="shared" si="74"/>
        <v>19074</v>
      </c>
      <c r="X1847" s="705">
        <f t="shared" si="75"/>
        <v>24250</v>
      </c>
    </row>
    <row r="1848" spans="2:24">
      <c r="B1848" t="s">
        <v>714</v>
      </c>
      <c r="C1848" t="s">
        <v>124</v>
      </c>
      <c r="D1848" t="s">
        <v>665</v>
      </c>
      <c r="E1848" t="s">
        <v>228</v>
      </c>
      <c r="F1848">
        <v>1</v>
      </c>
      <c r="G1848">
        <v>56</v>
      </c>
      <c r="H1848">
        <v>894</v>
      </c>
      <c r="I1848" s="705">
        <v>42092</v>
      </c>
      <c r="J1848" s="705">
        <v>38265</v>
      </c>
      <c r="K1848">
        <v>30</v>
      </c>
      <c r="L1848" s="705">
        <v>3444</v>
      </c>
      <c r="M1848" s="705">
        <v>1276</v>
      </c>
      <c r="N1848">
        <v>879</v>
      </c>
      <c r="O1848">
        <v>326</v>
      </c>
      <c r="P1848">
        <v>0</v>
      </c>
      <c r="Q1848">
        <v>0</v>
      </c>
      <c r="R1848" s="705">
        <v>3571</v>
      </c>
      <c r="S1848" s="705">
        <v>1323</v>
      </c>
      <c r="T1848">
        <v>0</v>
      </c>
      <c r="U1848">
        <v>0</v>
      </c>
      <c r="V1848" s="705">
        <v>41189</v>
      </c>
      <c r="W1848" s="705">
        <f t="shared" si="74"/>
        <v>41190</v>
      </c>
      <c r="X1848" s="705">
        <f t="shared" si="75"/>
        <v>49986</v>
      </c>
    </row>
    <row r="1849" spans="2:24">
      <c r="B1849" t="s">
        <v>714</v>
      </c>
      <c r="C1849" t="s">
        <v>124</v>
      </c>
      <c r="D1849" t="s">
        <v>665</v>
      </c>
      <c r="E1849" t="s">
        <v>665</v>
      </c>
      <c r="F1849">
        <v>5</v>
      </c>
      <c r="G1849">
        <v>470</v>
      </c>
      <c r="H1849" s="705">
        <v>2516</v>
      </c>
      <c r="I1849" s="705">
        <v>151254</v>
      </c>
      <c r="J1849" s="705">
        <v>137503</v>
      </c>
      <c r="K1849">
        <v>55</v>
      </c>
      <c r="L1849" s="705">
        <v>30226</v>
      </c>
      <c r="M1849" s="705">
        <v>27478</v>
      </c>
      <c r="N1849" s="705">
        <v>9631</v>
      </c>
      <c r="O1849" s="705">
        <v>3567</v>
      </c>
      <c r="P1849" s="705">
        <v>1755</v>
      </c>
      <c r="Q1849">
        <v>650</v>
      </c>
      <c r="R1849" s="705">
        <v>33608</v>
      </c>
      <c r="S1849" s="705">
        <v>30552</v>
      </c>
      <c r="T1849" s="705">
        <v>10012</v>
      </c>
      <c r="U1849" s="705">
        <v>3708</v>
      </c>
      <c r="V1849" s="705">
        <v>203459</v>
      </c>
      <c r="W1849" s="705">
        <f t="shared" si="74"/>
        <v>203458</v>
      </c>
      <c r="X1849" s="705">
        <f t="shared" si="75"/>
        <v>236486</v>
      </c>
    </row>
    <row r="1850" spans="2:24">
      <c r="B1850" t="s">
        <v>553</v>
      </c>
      <c r="C1850" t="s">
        <v>110</v>
      </c>
      <c r="D1850" t="s">
        <v>228</v>
      </c>
      <c r="E1850" t="s">
        <v>228</v>
      </c>
      <c r="F1850">
        <v>9</v>
      </c>
      <c r="G1850">
        <v>702</v>
      </c>
      <c r="H1850">
        <v>848</v>
      </c>
      <c r="I1850" s="705">
        <v>-8158</v>
      </c>
      <c r="J1850" s="705">
        <v>-3021</v>
      </c>
      <c r="K1850">
        <v>486</v>
      </c>
      <c r="L1850">
        <v>0</v>
      </c>
      <c r="M1850">
        <v>0</v>
      </c>
      <c r="N1850" s="705">
        <v>14149</v>
      </c>
      <c r="O1850" s="705">
        <v>5240</v>
      </c>
      <c r="P1850" s="705">
        <v>3197</v>
      </c>
      <c r="Q1850" s="705">
        <v>1184</v>
      </c>
      <c r="R1850" s="705">
        <v>57025</v>
      </c>
      <c r="S1850" s="705">
        <v>21120</v>
      </c>
      <c r="T1850">
        <v>0</v>
      </c>
      <c r="U1850">
        <v>0</v>
      </c>
      <c r="V1850" s="705">
        <v>24523</v>
      </c>
      <c r="W1850" s="705">
        <f t="shared" si="74"/>
        <v>30565</v>
      </c>
      <c r="X1850" s="705">
        <f t="shared" si="75"/>
        <v>82529</v>
      </c>
    </row>
    <row r="1851" spans="2:24">
      <c r="B1851" t="s">
        <v>553</v>
      </c>
      <c r="C1851" t="s">
        <v>112</v>
      </c>
      <c r="D1851" t="s">
        <v>228</v>
      </c>
      <c r="E1851" t="s">
        <v>228</v>
      </c>
      <c r="F1851">
        <v>3</v>
      </c>
      <c r="G1851">
        <v>241</v>
      </c>
      <c r="H1851">
        <v>323</v>
      </c>
      <c r="I1851" s="705">
        <v>2451</v>
      </c>
      <c r="J1851">
        <v>908</v>
      </c>
      <c r="K1851">
        <v>359</v>
      </c>
      <c r="L1851">
        <v>402</v>
      </c>
      <c r="M1851">
        <v>149</v>
      </c>
      <c r="N1851" s="705">
        <v>5287</v>
      </c>
      <c r="O1851" s="705">
        <v>1958</v>
      </c>
      <c r="P1851">
        <v>593</v>
      </c>
      <c r="Q1851">
        <v>219</v>
      </c>
      <c r="R1851" s="705">
        <v>17504</v>
      </c>
      <c r="S1851" s="705">
        <v>6483</v>
      </c>
      <c r="T1851">
        <v>0</v>
      </c>
      <c r="U1851">
        <v>0</v>
      </c>
      <c r="V1851" s="705">
        <v>9717</v>
      </c>
      <c r="W1851" s="705">
        <f t="shared" si="74"/>
        <v>9717</v>
      </c>
      <c r="X1851" s="705">
        <f t="shared" si="75"/>
        <v>26237</v>
      </c>
    </row>
    <row r="1852" spans="2:24">
      <c r="B1852" t="s">
        <v>553</v>
      </c>
      <c r="C1852" t="s">
        <v>112</v>
      </c>
      <c r="D1852" t="s">
        <v>583</v>
      </c>
      <c r="E1852" t="s">
        <v>583</v>
      </c>
      <c r="F1852">
        <v>1</v>
      </c>
      <c r="G1852">
        <v>122</v>
      </c>
      <c r="H1852">
        <v>107</v>
      </c>
      <c r="I1852" s="705">
        <v>5336</v>
      </c>
      <c r="J1852" s="705">
        <v>4851</v>
      </c>
      <c r="K1852">
        <v>94</v>
      </c>
      <c r="L1852">
        <v>680</v>
      </c>
      <c r="M1852">
        <v>618</v>
      </c>
      <c r="N1852" s="705">
        <v>1482</v>
      </c>
      <c r="O1852">
        <v>549</v>
      </c>
      <c r="P1852" s="705">
        <v>2575</v>
      </c>
      <c r="Q1852">
        <v>954</v>
      </c>
      <c r="R1852" s="705">
        <v>2928</v>
      </c>
      <c r="S1852" s="705">
        <v>2662</v>
      </c>
      <c r="T1852">
        <v>0</v>
      </c>
      <c r="U1852">
        <v>0</v>
      </c>
      <c r="V1852" s="705">
        <v>9633</v>
      </c>
      <c r="W1852" s="705">
        <f t="shared" si="74"/>
        <v>9634</v>
      </c>
      <c r="X1852" s="705">
        <f t="shared" si="75"/>
        <v>13001</v>
      </c>
    </row>
    <row r="1853" spans="2:24">
      <c r="B1853" t="s">
        <v>553</v>
      </c>
      <c r="C1853" t="s">
        <v>112</v>
      </c>
      <c r="D1853" t="s">
        <v>584</v>
      </c>
      <c r="E1853" t="s">
        <v>584</v>
      </c>
      <c r="F1853">
        <v>5</v>
      </c>
      <c r="G1853">
        <v>457</v>
      </c>
      <c r="H1853">
        <v>605</v>
      </c>
      <c r="I1853" s="705">
        <v>21680</v>
      </c>
      <c r="J1853" s="705">
        <v>19709</v>
      </c>
      <c r="K1853">
        <v>79</v>
      </c>
      <c r="L1853" s="705">
        <v>1760</v>
      </c>
      <c r="M1853">
        <v>652</v>
      </c>
      <c r="N1853" s="705">
        <v>10308</v>
      </c>
      <c r="O1853" s="705">
        <v>3818</v>
      </c>
      <c r="P1853" s="705">
        <v>2363</v>
      </c>
      <c r="Q1853">
        <v>875</v>
      </c>
      <c r="R1853" s="705">
        <v>19501</v>
      </c>
      <c r="S1853" s="705">
        <v>17728</v>
      </c>
      <c r="T1853">
        <v>0</v>
      </c>
      <c r="U1853">
        <v>0</v>
      </c>
      <c r="V1853" s="705">
        <v>42782</v>
      </c>
      <c r="W1853" s="705">
        <f t="shared" si="74"/>
        <v>42782</v>
      </c>
      <c r="X1853" s="705">
        <f t="shared" si="75"/>
        <v>55612</v>
      </c>
    </row>
    <row r="1854" spans="2:24">
      <c r="B1854" t="s">
        <v>553</v>
      </c>
      <c r="C1854" t="s">
        <v>114</v>
      </c>
      <c r="D1854" t="s">
        <v>228</v>
      </c>
      <c r="E1854" t="s">
        <v>228</v>
      </c>
      <c r="F1854">
        <v>4</v>
      </c>
      <c r="G1854">
        <v>373</v>
      </c>
      <c r="H1854">
        <v>550</v>
      </c>
      <c r="I1854" s="705">
        <v>15314</v>
      </c>
      <c r="J1854" s="705">
        <v>5672</v>
      </c>
      <c r="K1854">
        <v>100</v>
      </c>
      <c r="L1854" s="705">
        <v>2052</v>
      </c>
      <c r="M1854">
        <v>760</v>
      </c>
      <c r="N1854" s="705">
        <v>6322</v>
      </c>
      <c r="O1854" s="705">
        <v>2342</v>
      </c>
      <c r="P1854">
        <v>0</v>
      </c>
      <c r="Q1854">
        <v>0</v>
      </c>
      <c r="R1854" s="705">
        <v>27804</v>
      </c>
      <c r="S1854" s="705">
        <v>10298</v>
      </c>
      <c r="T1854">
        <v>0</v>
      </c>
      <c r="U1854">
        <v>0</v>
      </c>
      <c r="V1854" s="705">
        <v>19071</v>
      </c>
      <c r="W1854" s="705">
        <f t="shared" si="74"/>
        <v>19072</v>
      </c>
      <c r="X1854" s="705">
        <f t="shared" si="75"/>
        <v>51492</v>
      </c>
    </row>
    <row r="1855" spans="2:24">
      <c r="B1855" t="s">
        <v>553</v>
      </c>
      <c r="C1855" t="s">
        <v>114</v>
      </c>
      <c r="D1855" t="s">
        <v>584</v>
      </c>
      <c r="E1855" t="s">
        <v>584</v>
      </c>
      <c r="F1855">
        <v>14</v>
      </c>
      <c r="G1855" s="705">
        <v>1435</v>
      </c>
      <c r="H1855" s="705">
        <v>1936</v>
      </c>
      <c r="I1855" s="705">
        <v>76619</v>
      </c>
      <c r="J1855" s="705">
        <v>69654</v>
      </c>
      <c r="K1855">
        <v>78</v>
      </c>
      <c r="L1855" s="705">
        <v>11859</v>
      </c>
      <c r="M1855" s="705">
        <v>5100</v>
      </c>
      <c r="N1855" s="705">
        <v>27719</v>
      </c>
      <c r="O1855" s="705">
        <v>10266</v>
      </c>
      <c r="P1855" s="705">
        <v>6615</v>
      </c>
      <c r="Q1855" s="705">
        <v>2450</v>
      </c>
      <c r="R1855" s="705">
        <v>69930</v>
      </c>
      <c r="S1855" s="705">
        <v>63573</v>
      </c>
      <c r="T1855" s="705">
        <v>5455</v>
      </c>
      <c r="U1855" s="705">
        <v>2020</v>
      </c>
      <c r="V1855" s="705">
        <v>153064</v>
      </c>
      <c r="W1855" s="705">
        <f t="shared" si="74"/>
        <v>153063</v>
      </c>
      <c r="X1855" s="705">
        <f t="shared" si="75"/>
        <v>198197</v>
      </c>
    </row>
    <row r="1856" spans="2:24">
      <c r="B1856" t="s">
        <v>553</v>
      </c>
      <c r="C1856" t="s">
        <v>116</v>
      </c>
      <c r="D1856" t="s">
        <v>582</v>
      </c>
      <c r="E1856" t="s">
        <v>582</v>
      </c>
      <c r="F1856">
        <v>18</v>
      </c>
      <c r="G1856" s="705">
        <v>1371</v>
      </c>
      <c r="H1856" s="705">
        <v>3508</v>
      </c>
      <c r="I1856" s="705">
        <v>130958</v>
      </c>
      <c r="J1856" s="705">
        <v>119053</v>
      </c>
      <c r="K1856">
        <v>78</v>
      </c>
      <c r="L1856" s="705">
        <v>25314</v>
      </c>
      <c r="M1856" s="705">
        <v>17644</v>
      </c>
      <c r="N1856" s="705">
        <v>30308</v>
      </c>
      <c r="O1856" s="705">
        <v>11225</v>
      </c>
      <c r="P1856" s="705">
        <v>8141</v>
      </c>
      <c r="Q1856" s="705">
        <v>3015</v>
      </c>
      <c r="R1856" s="705">
        <v>67352</v>
      </c>
      <c r="S1856" s="705">
        <v>61229</v>
      </c>
      <c r="T1856" s="705">
        <v>4088</v>
      </c>
      <c r="U1856" s="705">
        <v>1514</v>
      </c>
      <c r="V1856" s="705">
        <v>213681</v>
      </c>
      <c r="W1856" s="705">
        <f t="shared" si="74"/>
        <v>213680</v>
      </c>
      <c r="X1856" s="705">
        <f t="shared" si="75"/>
        <v>266161</v>
      </c>
    </row>
    <row r="1857" spans="2:24">
      <c r="B1857" t="s">
        <v>553</v>
      </c>
      <c r="C1857" t="s">
        <v>116</v>
      </c>
      <c r="D1857" t="s">
        <v>228</v>
      </c>
      <c r="E1857" t="s">
        <v>228</v>
      </c>
      <c r="F1857">
        <v>81</v>
      </c>
      <c r="G1857" s="705">
        <v>6270</v>
      </c>
      <c r="H1857" s="705">
        <v>16735</v>
      </c>
      <c r="I1857" s="705">
        <v>522909</v>
      </c>
      <c r="J1857" s="705">
        <v>193670</v>
      </c>
      <c r="K1857">
        <v>100</v>
      </c>
      <c r="L1857" s="705">
        <v>100252</v>
      </c>
      <c r="M1857" s="705">
        <v>37131</v>
      </c>
      <c r="N1857" s="705">
        <v>130048</v>
      </c>
      <c r="O1857" s="705">
        <v>48166</v>
      </c>
      <c r="P1857" s="705">
        <v>1377</v>
      </c>
      <c r="Q1857">
        <v>510</v>
      </c>
      <c r="R1857" s="705">
        <v>539237</v>
      </c>
      <c r="S1857" s="705">
        <v>199717</v>
      </c>
      <c r="T1857">
        <v>0</v>
      </c>
      <c r="U1857">
        <v>0</v>
      </c>
      <c r="V1857" s="705">
        <v>479194</v>
      </c>
      <c r="W1857" s="705">
        <f t="shared" si="74"/>
        <v>479194</v>
      </c>
      <c r="X1857" s="705">
        <f t="shared" si="75"/>
        <v>1293823</v>
      </c>
    </row>
    <row r="1858" spans="2:24">
      <c r="B1858" t="s">
        <v>553</v>
      </c>
      <c r="C1858" t="s">
        <v>116</v>
      </c>
      <c r="D1858" t="s">
        <v>583</v>
      </c>
      <c r="E1858" t="s">
        <v>583</v>
      </c>
      <c r="F1858">
        <v>24</v>
      </c>
      <c r="G1858" s="705">
        <v>3306</v>
      </c>
      <c r="H1858" s="705">
        <v>4768</v>
      </c>
      <c r="I1858" s="705">
        <v>356556</v>
      </c>
      <c r="J1858" s="705">
        <v>324142</v>
      </c>
      <c r="K1858">
        <v>83</v>
      </c>
      <c r="L1858" s="705">
        <v>69727</v>
      </c>
      <c r="M1858" s="705">
        <v>62208</v>
      </c>
      <c r="N1858" s="705">
        <v>66255</v>
      </c>
      <c r="O1858" s="705">
        <v>24539</v>
      </c>
      <c r="P1858" s="705">
        <v>15255</v>
      </c>
      <c r="Q1858" s="705">
        <v>5650</v>
      </c>
      <c r="R1858" s="705">
        <v>120186</v>
      </c>
      <c r="S1858" s="705">
        <v>109260</v>
      </c>
      <c r="T1858" s="705">
        <v>33571</v>
      </c>
      <c r="U1858" s="705">
        <v>12434</v>
      </c>
      <c r="V1858" s="705">
        <v>538233</v>
      </c>
      <c r="W1858" s="705">
        <f t="shared" si="74"/>
        <v>538233</v>
      </c>
      <c r="X1858" s="705">
        <f t="shared" si="75"/>
        <v>661550</v>
      </c>
    </row>
    <row r="1859" spans="2:24">
      <c r="B1859" t="s">
        <v>553</v>
      </c>
      <c r="C1859" t="s">
        <v>116</v>
      </c>
      <c r="D1859" t="s">
        <v>583</v>
      </c>
      <c r="E1859" t="s">
        <v>666</v>
      </c>
      <c r="F1859">
        <v>1</v>
      </c>
      <c r="G1859">
        <v>155</v>
      </c>
      <c r="H1859">
        <v>221</v>
      </c>
      <c r="I1859" s="705">
        <v>26450</v>
      </c>
      <c r="J1859" s="705">
        <v>24046</v>
      </c>
      <c r="K1859">
        <v>70</v>
      </c>
      <c r="L1859" s="705">
        <v>6515</v>
      </c>
      <c r="M1859" s="705">
        <v>5922</v>
      </c>
      <c r="N1859" s="705">
        <v>4813</v>
      </c>
      <c r="O1859" s="705">
        <v>1782</v>
      </c>
      <c r="P1859">
        <v>351</v>
      </c>
      <c r="Q1859">
        <v>130</v>
      </c>
      <c r="R1859" s="705">
        <v>8765</v>
      </c>
      <c r="S1859" s="705">
        <v>7968</v>
      </c>
      <c r="T1859">
        <v>0</v>
      </c>
      <c r="U1859">
        <v>0</v>
      </c>
      <c r="V1859" s="705">
        <v>39848</v>
      </c>
      <c r="W1859" s="705">
        <f t="shared" si="74"/>
        <v>39848</v>
      </c>
      <c r="X1859" s="705">
        <f t="shared" si="75"/>
        <v>46894</v>
      </c>
    </row>
    <row r="1860" spans="2:24">
      <c r="B1860" t="s">
        <v>553</v>
      </c>
      <c r="C1860" t="s">
        <v>116</v>
      </c>
      <c r="D1860" t="s">
        <v>584</v>
      </c>
      <c r="E1860" t="s">
        <v>584</v>
      </c>
      <c r="F1860">
        <v>40</v>
      </c>
      <c r="G1860" s="705">
        <v>3089</v>
      </c>
      <c r="H1860" s="705">
        <v>7058</v>
      </c>
      <c r="I1860" s="705">
        <v>249971</v>
      </c>
      <c r="J1860" s="705">
        <v>227246</v>
      </c>
      <c r="K1860">
        <v>77</v>
      </c>
      <c r="L1860" s="705">
        <v>32525</v>
      </c>
      <c r="M1860" s="705">
        <v>15707</v>
      </c>
      <c r="N1860" s="705">
        <v>64058</v>
      </c>
      <c r="O1860" s="705">
        <v>23725</v>
      </c>
      <c r="P1860" s="705">
        <v>18900</v>
      </c>
      <c r="Q1860" s="705">
        <v>7000</v>
      </c>
      <c r="R1860" s="705">
        <v>170045</v>
      </c>
      <c r="S1860" s="705">
        <v>154586</v>
      </c>
      <c r="T1860" s="705">
        <v>6086</v>
      </c>
      <c r="U1860" s="705">
        <v>2254</v>
      </c>
      <c r="V1860" s="705">
        <v>430519</v>
      </c>
      <c r="W1860" s="705">
        <f t="shared" si="74"/>
        <v>430518</v>
      </c>
      <c r="X1860" s="705">
        <f t="shared" si="75"/>
        <v>541585</v>
      </c>
    </row>
    <row r="1861" spans="2:24">
      <c r="B1861" t="s">
        <v>553</v>
      </c>
      <c r="C1861" t="s">
        <v>116</v>
      </c>
      <c r="D1861" t="s">
        <v>665</v>
      </c>
      <c r="E1861" t="s">
        <v>228</v>
      </c>
      <c r="F1861">
        <v>1</v>
      </c>
      <c r="G1861">
        <v>56</v>
      </c>
      <c r="H1861">
        <v>193</v>
      </c>
      <c r="I1861" s="705">
        <v>3592</v>
      </c>
      <c r="J1861" s="705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705">
        <v>5541</v>
      </c>
      <c r="S1861" s="705">
        <v>2052</v>
      </c>
      <c r="T1861">
        <v>0</v>
      </c>
      <c r="U1861">
        <v>0</v>
      </c>
      <c r="V1861" s="705">
        <v>5905</v>
      </c>
      <c r="W1861" s="705">
        <f t="shared" si="74"/>
        <v>5905</v>
      </c>
      <c r="X1861" s="705">
        <f t="shared" si="75"/>
        <v>10718</v>
      </c>
    </row>
    <row r="1862" spans="2:24">
      <c r="B1862" t="s">
        <v>553</v>
      </c>
      <c r="C1862" t="s">
        <v>116</v>
      </c>
      <c r="D1862" t="s">
        <v>585</v>
      </c>
      <c r="E1862" t="s">
        <v>585</v>
      </c>
      <c r="F1862">
        <v>1</v>
      </c>
      <c r="G1862">
        <v>88</v>
      </c>
      <c r="H1862">
        <v>185</v>
      </c>
      <c r="I1862" s="705">
        <v>9729</v>
      </c>
      <c r="J1862" s="705">
        <v>8844</v>
      </c>
      <c r="K1862">
        <v>93</v>
      </c>
      <c r="L1862">
        <v>0</v>
      </c>
      <c r="M1862">
        <v>0</v>
      </c>
      <c r="N1862" s="705">
        <v>1072</v>
      </c>
      <c r="O1862">
        <v>397</v>
      </c>
      <c r="P1862">
        <v>351</v>
      </c>
      <c r="Q1862">
        <v>130</v>
      </c>
      <c r="R1862" s="705">
        <v>2544</v>
      </c>
      <c r="S1862" s="705">
        <v>2313</v>
      </c>
      <c r="T1862" s="705">
        <v>2539</v>
      </c>
      <c r="U1862">
        <v>941</v>
      </c>
      <c r="V1862" s="705">
        <v>12625</v>
      </c>
      <c r="W1862" s="705">
        <f t="shared" si="74"/>
        <v>12625</v>
      </c>
      <c r="X1862" s="705">
        <f t="shared" si="75"/>
        <v>16235</v>
      </c>
    </row>
    <row r="1863" spans="2:24">
      <c r="B1863" t="s">
        <v>553</v>
      </c>
      <c r="C1863" t="s">
        <v>118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705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705">
        <f t="shared" si="74"/>
        <v>742</v>
      </c>
      <c r="X1863" s="705">
        <f t="shared" si="75"/>
        <v>2002</v>
      </c>
    </row>
    <row r="1864" spans="2:24">
      <c r="B1864" t="s">
        <v>553</v>
      </c>
      <c r="C1864" t="s">
        <v>118</v>
      </c>
      <c r="D1864" t="s">
        <v>582</v>
      </c>
      <c r="E1864" t="s">
        <v>582</v>
      </c>
      <c r="F1864">
        <v>4</v>
      </c>
      <c r="G1864">
        <v>299</v>
      </c>
      <c r="H1864">
        <v>969</v>
      </c>
      <c r="I1864" s="705">
        <v>32481</v>
      </c>
      <c r="J1864" s="705">
        <v>29528</v>
      </c>
      <c r="K1864">
        <v>78</v>
      </c>
      <c r="L1864" s="705">
        <v>13374</v>
      </c>
      <c r="M1864" s="705">
        <v>12158</v>
      </c>
      <c r="N1864" s="705">
        <v>6545</v>
      </c>
      <c r="O1864" s="705">
        <v>2424</v>
      </c>
      <c r="P1864" s="705">
        <v>1769</v>
      </c>
      <c r="Q1864">
        <v>655</v>
      </c>
      <c r="R1864" s="705">
        <v>18272</v>
      </c>
      <c r="S1864" s="705">
        <v>16611</v>
      </c>
      <c r="T1864">
        <v>0</v>
      </c>
      <c r="U1864">
        <v>0</v>
      </c>
      <c r="V1864" s="705">
        <v>61376</v>
      </c>
      <c r="W1864" s="705">
        <f t="shared" si="74"/>
        <v>61376</v>
      </c>
      <c r="X1864" s="705">
        <f t="shared" si="75"/>
        <v>72441</v>
      </c>
    </row>
    <row r="1865" spans="2:24">
      <c r="B1865" t="s">
        <v>553</v>
      </c>
      <c r="C1865" t="s">
        <v>118</v>
      </c>
      <c r="D1865" t="s">
        <v>228</v>
      </c>
      <c r="E1865" t="s">
        <v>228</v>
      </c>
      <c r="F1865">
        <v>133</v>
      </c>
      <c r="G1865" s="705">
        <v>9682</v>
      </c>
      <c r="H1865" s="705">
        <v>35100</v>
      </c>
      <c r="I1865" s="705">
        <v>1377189</v>
      </c>
      <c r="J1865" s="705">
        <v>510070</v>
      </c>
      <c r="K1865">
        <v>100</v>
      </c>
      <c r="L1865" s="705">
        <v>128862</v>
      </c>
      <c r="M1865" s="705">
        <v>61147</v>
      </c>
      <c r="N1865" s="705">
        <v>194015</v>
      </c>
      <c r="O1865" s="705">
        <v>71857</v>
      </c>
      <c r="P1865" s="705">
        <v>1053</v>
      </c>
      <c r="Q1865">
        <v>390</v>
      </c>
      <c r="R1865" s="705">
        <v>858985</v>
      </c>
      <c r="S1865" s="705">
        <v>318142</v>
      </c>
      <c r="T1865">
        <v>0</v>
      </c>
      <c r="U1865">
        <v>0</v>
      </c>
      <c r="V1865" s="705">
        <v>961607</v>
      </c>
      <c r="W1865" s="705">
        <f t="shared" si="74"/>
        <v>961606</v>
      </c>
      <c r="X1865" s="705">
        <f t="shared" si="75"/>
        <v>2560104</v>
      </c>
    </row>
    <row r="1866" spans="2:24">
      <c r="B1866" t="s">
        <v>553</v>
      </c>
      <c r="C1866" t="s">
        <v>118</v>
      </c>
      <c r="D1866" t="s">
        <v>583</v>
      </c>
      <c r="E1866" t="s">
        <v>228</v>
      </c>
      <c r="F1866">
        <v>2</v>
      </c>
      <c r="G1866">
        <v>112</v>
      </c>
      <c r="H1866">
        <v>526</v>
      </c>
      <c r="I1866" s="705">
        <v>17907</v>
      </c>
      <c r="J1866" s="705">
        <v>16279</v>
      </c>
      <c r="K1866">
        <v>86</v>
      </c>
      <c r="L1866">
        <v>0</v>
      </c>
      <c r="M1866">
        <v>0</v>
      </c>
      <c r="N1866" s="705">
        <v>2623</v>
      </c>
      <c r="O1866">
        <v>971</v>
      </c>
      <c r="P1866" s="705">
        <v>1242</v>
      </c>
      <c r="Q1866">
        <v>460</v>
      </c>
      <c r="R1866" s="705">
        <v>7821</v>
      </c>
      <c r="S1866" s="705">
        <v>2897</v>
      </c>
      <c r="T1866">
        <v>0</v>
      </c>
      <c r="U1866">
        <v>0</v>
      </c>
      <c r="V1866" s="705">
        <v>20608</v>
      </c>
      <c r="W1866" s="705">
        <f t="shared" si="74"/>
        <v>20607</v>
      </c>
      <c r="X1866" s="705">
        <f t="shared" si="75"/>
        <v>29593</v>
      </c>
    </row>
    <row r="1867" spans="2:24">
      <c r="B1867" t="s">
        <v>553</v>
      </c>
      <c r="C1867" t="s">
        <v>118</v>
      </c>
      <c r="D1867" t="s">
        <v>583</v>
      </c>
      <c r="E1867" t="s">
        <v>583</v>
      </c>
      <c r="F1867">
        <v>11</v>
      </c>
      <c r="G1867" s="705">
        <v>1158</v>
      </c>
      <c r="H1867" s="705">
        <v>2899</v>
      </c>
      <c r="I1867" s="705">
        <v>164262</v>
      </c>
      <c r="J1867" s="705">
        <v>149330</v>
      </c>
      <c r="K1867">
        <v>84</v>
      </c>
      <c r="L1867" s="705">
        <v>33004</v>
      </c>
      <c r="M1867" s="705">
        <v>29348</v>
      </c>
      <c r="N1867" s="705">
        <v>25103</v>
      </c>
      <c r="O1867" s="705">
        <v>9297</v>
      </c>
      <c r="P1867" s="705">
        <v>7547</v>
      </c>
      <c r="Q1867" s="705">
        <v>2795</v>
      </c>
      <c r="R1867" s="705">
        <v>43400</v>
      </c>
      <c r="S1867" s="705">
        <v>39454</v>
      </c>
      <c r="T1867" s="705">
        <v>27461</v>
      </c>
      <c r="U1867" s="705">
        <v>10171</v>
      </c>
      <c r="V1867" s="705">
        <v>240395</v>
      </c>
      <c r="W1867" s="705">
        <f t="shared" si="74"/>
        <v>240395</v>
      </c>
      <c r="X1867" s="705">
        <f t="shared" si="75"/>
        <v>300777</v>
      </c>
    </row>
    <row r="1868" spans="2:24">
      <c r="B1868" t="s">
        <v>553</v>
      </c>
      <c r="C1868" t="s">
        <v>118</v>
      </c>
      <c r="D1868" t="s">
        <v>584</v>
      </c>
      <c r="E1868" t="s">
        <v>584</v>
      </c>
      <c r="F1868">
        <v>4</v>
      </c>
      <c r="G1868">
        <v>294</v>
      </c>
      <c r="H1868">
        <v>982</v>
      </c>
      <c r="I1868" s="705">
        <v>36670</v>
      </c>
      <c r="J1868" s="705">
        <v>33336</v>
      </c>
      <c r="K1868">
        <v>76</v>
      </c>
      <c r="L1868" s="705">
        <v>5836</v>
      </c>
      <c r="M1868" s="705">
        <v>4208</v>
      </c>
      <c r="N1868" s="705">
        <v>6254</v>
      </c>
      <c r="O1868" s="705">
        <v>2316</v>
      </c>
      <c r="P1868" s="705">
        <v>1890</v>
      </c>
      <c r="Q1868">
        <v>700</v>
      </c>
      <c r="R1868" s="705">
        <v>18673</v>
      </c>
      <c r="S1868" s="705">
        <v>16976</v>
      </c>
      <c r="T1868" s="705">
        <v>2420</v>
      </c>
      <c r="U1868">
        <v>896</v>
      </c>
      <c r="V1868" s="705">
        <v>58432</v>
      </c>
      <c r="W1868" s="705">
        <f t="shared" si="74"/>
        <v>58432</v>
      </c>
      <c r="X1868" s="705">
        <f t="shared" si="75"/>
        <v>71743</v>
      </c>
    </row>
    <row r="1869" spans="2:24">
      <c r="B1869" t="s">
        <v>553</v>
      </c>
      <c r="C1869" t="s">
        <v>120</v>
      </c>
      <c r="D1869" t="s">
        <v>228</v>
      </c>
      <c r="E1869" t="s">
        <v>228</v>
      </c>
      <c r="F1869">
        <v>69</v>
      </c>
      <c r="G1869" s="705">
        <v>4519</v>
      </c>
      <c r="H1869" s="705">
        <v>22879</v>
      </c>
      <c r="I1869" s="705">
        <v>837062</v>
      </c>
      <c r="J1869" s="705">
        <v>310023</v>
      </c>
      <c r="K1869">
        <v>100</v>
      </c>
      <c r="L1869" s="705">
        <v>99381</v>
      </c>
      <c r="M1869" s="705">
        <v>44331</v>
      </c>
      <c r="N1869" s="705">
        <v>99685</v>
      </c>
      <c r="O1869" s="705">
        <v>36920</v>
      </c>
      <c r="P1869" s="705">
        <v>1053</v>
      </c>
      <c r="Q1869">
        <v>390</v>
      </c>
      <c r="R1869" s="705">
        <v>458223</v>
      </c>
      <c r="S1869" s="705">
        <v>169712</v>
      </c>
      <c r="T1869" s="705">
        <v>3177</v>
      </c>
      <c r="U1869" s="705">
        <v>1177</v>
      </c>
      <c r="V1869" s="705">
        <v>562553</v>
      </c>
      <c r="W1869" s="705">
        <f t="shared" si="74"/>
        <v>562553</v>
      </c>
      <c r="X1869" s="705">
        <f t="shared" si="75"/>
        <v>1498581</v>
      </c>
    </row>
    <row r="1870" spans="2:24">
      <c r="B1870" t="s">
        <v>553</v>
      </c>
      <c r="C1870" t="s">
        <v>120</v>
      </c>
      <c r="D1870" t="s">
        <v>228</v>
      </c>
      <c r="E1870" t="s">
        <v>665</v>
      </c>
      <c r="F1870">
        <v>1</v>
      </c>
      <c r="G1870">
        <v>56</v>
      </c>
      <c r="H1870">
        <v>361</v>
      </c>
      <c r="I1870" s="705">
        <v>14941</v>
      </c>
      <c r="J1870" s="705">
        <v>5534</v>
      </c>
      <c r="K1870">
        <v>100</v>
      </c>
      <c r="L1870" s="705">
        <v>1660</v>
      </c>
      <c r="M1870">
        <v>615</v>
      </c>
      <c r="N1870" s="705">
        <v>1353</v>
      </c>
      <c r="O1870">
        <v>501</v>
      </c>
      <c r="P1870">
        <v>0</v>
      </c>
      <c r="Q1870">
        <v>0</v>
      </c>
      <c r="R1870" s="705">
        <v>2104</v>
      </c>
      <c r="S1870" s="705">
        <v>1913</v>
      </c>
      <c r="T1870">
        <v>0</v>
      </c>
      <c r="U1870">
        <v>0</v>
      </c>
      <c r="V1870" s="705">
        <v>8562</v>
      </c>
      <c r="W1870" s="705">
        <f t="shared" si="74"/>
        <v>8563</v>
      </c>
      <c r="X1870" s="705">
        <f t="shared" si="75"/>
        <v>20058</v>
      </c>
    </row>
    <row r="1871" spans="2:24">
      <c r="B1871" t="s">
        <v>553</v>
      </c>
      <c r="C1871" t="s">
        <v>120</v>
      </c>
      <c r="D1871" t="s">
        <v>583</v>
      </c>
      <c r="E1871" t="s">
        <v>228</v>
      </c>
      <c r="F1871">
        <v>1</v>
      </c>
      <c r="G1871">
        <v>45</v>
      </c>
      <c r="H1871">
        <v>304</v>
      </c>
      <c r="I1871" s="705">
        <v>8504</v>
      </c>
      <c r="J1871" s="705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705">
        <v>3854</v>
      </c>
      <c r="S1871" s="705">
        <v>1427</v>
      </c>
      <c r="T1871">
        <v>0</v>
      </c>
      <c r="U1871">
        <v>0</v>
      </c>
      <c r="V1871" s="705">
        <v>9696</v>
      </c>
      <c r="W1871" s="705">
        <f t="shared" si="74"/>
        <v>9695</v>
      </c>
      <c r="X1871" s="705">
        <f t="shared" si="75"/>
        <v>13809</v>
      </c>
    </row>
    <row r="1872" spans="2:24">
      <c r="B1872" t="s">
        <v>553</v>
      </c>
      <c r="C1872" t="s">
        <v>120</v>
      </c>
      <c r="D1872" t="s">
        <v>583</v>
      </c>
      <c r="E1872" t="s">
        <v>583</v>
      </c>
      <c r="F1872">
        <v>13</v>
      </c>
      <c r="G1872" s="705">
        <v>1144</v>
      </c>
      <c r="H1872" s="705">
        <v>4431</v>
      </c>
      <c r="I1872" s="705">
        <v>244416</v>
      </c>
      <c r="J1872" s="705">
        <v>222197</v>
      </c>
      <c r="K1872">
        <v>82</v>
      </c>
      <c r="L1872" s="705">
        <v>38016</v>
      </c>
      <c r="M1872" s="705">
        <v>38661</v>
      </c>
      <c r="N1872" s="705">
        <v>21747</v>
      </c>
      <c r="O1872" s="705">
        <v>8054</v>
      </c>
      <c r="P1872" s="705">
        <v>8424</v>
      </c>
      <c r="Q1872" s="705">
        <v>3120</v>
      </c>
      <c r="R1872" s="705">
        <v>52053</v>
      </c>
      <c r="S1872" s="705">
        <v>47321</v>
      </c>
      <c r="T1872" s="705">
        <v>21161</v>
      </c>
      <c r="U1872" s="705">
        <v>7837</v>
      </c>
      <c r="V1872" s="705">
        <v>327190</v>
      </c>
      <c r="W1872" s="705">
        <f t="shared" si="74"/>
        <v>327190</v>
      </c>
      <c r="X1872" s="705">
        <f t="shared" si="75"/>
        <v>385817</v>
      </c>
    </row>
    <row r="1873" spans="2:24">
      <c r="B1873" t="s">
        <v>553</v>
      </c>
      <c r="C1873" t="s">
        <v>120</v>
      </c>
      <c r="D1873" t="s">
        <v>665</v>
      </c>
      <c r="E1873" t="s">
        <v>665</v>
      </c>
      <c r="F1873">
        <v>2</v>
      </c>
      <c r="G1873">
        <v>228</v>
      </c>
      <c r="H1873">
        <v>670</v>
      </c>
      <c r="I1873" s="705">
        <v>48955</v>
      </c>
      <c r="J1873" s="705">
        <v>44504</v>
      </c>
      <c r="K1873">
        <v>65</v>
      </c>
      <c r="L1873" s="705">
        <v>5893</v>
      </c>
      <c r="M1873" s="705">
        <v>5357</v>
      </c>
      <c r="N1873" s="705">
        <v>3790</v>
      </c>
      <c r="O1873" s="705">
        <v>1404</v>
      </c>
      <c r="P1873" s="705">
        <v>1323</v>
      </c>
      <c r="Q1873">
        <v>490</v>
      </c>
      <c r="R1873" s="705">
        <v>9407</v>
      </c>
      <c r="S1873" s="705">
        <v>8552</v>
      </c>
      <c r="T1873" s="705">
        <v>5218</v>
      </c>
      <c r="U1873" s="705">
        <v>1933</v>
      </c>
      <c r="V1873" s="705">
        <v>62239</v>
      </c>
      <c r="W1873" s="705">
        <f t="shared" si="74"/>
        <v>62240</v>
      </c>
      <c r="X1873" s="705">
        <f t="shared" si="75"/>
        <v>74586</v>
      </c>
    </row>
    <row r="1874" spans="2:24">
      <c r="B1874" t="s">
        <v>553</v>
      </c>
      <c r="C1874" t="s">
        <v>122</v>
      </c>
      <c r="D1874" t="s">
        <v>228</v>
      </c>
      <c r="E1874" t="s">
        <v>228</v>
      </c>
      <c r="F1874">
        <v>21</v>
      </c>
      <c r="G1874" s="705">
        <v>1233</v>
      </c>
      <c r="H1874" s="705">
        <v>8589</v>
      </c>
      <c r="I1874" s="705">
        <v>321213</v>
      </c>
      <c r="J1874" s="705">
        <v>118968</v>
      </c>
      <c r="K1874">
        <v>100</v>
      </c>
      <c r="L1874" s="705">
        <v>35256</v>
      </c>
      <c r="M1874" s="705">
        <v>16013</v>
      </c>
      <c r="N1874" s="705">
        <v>25927</v>
      </c>
      <c r="O1874" s="705">
        <v>9603</v>
      </c>
      <c r="P1874">
        <v>199</v>
      </c>
      <c r="Q1874">
        <v>74</v>
      </c>
      <c r="R1874" s="705">
        <v>124504</v>
      </c>
      <c r="S1874" s="705">
        <v>46113</v>
      </c>
      <c r="T1874">
        <v>0</v>
      </c>
      <c r="U1874">
        <v>0</v>
      </c>
      <c r="V1874" s="705">
        <v>190770</v>
      </c>
      <c r="W1874" s="705">
        <f t="shared" si="74"/>
        <v>190771</v>
      </c>
      <c r="X1874" s="705">
        <f t="shared" si="75"/>
        <v>507099</v>
      </c>
    </row>
    <row r="1875" spans="2:24">
      <c r="B1875" t="s">
        <v>553</v>
      </c>
      <c r="C1875" t="s">
        <v>122</v>
      </c>
      <c r="D1875" t="s">
        <v>583</v>
      </c>
      <c r="E1875" t="s">
        <v>583</v>
      </c>
      <c r="F1875">
        <v>5</v>
      </c>
      <c r="G1875">
        <v>574</v>
      </c>
      <c r="H1875" s="705">
        <v>2117</v>
      </c>
      <c r="I1875" s="705">
        <v>167754</v>
      </c>
      <c r="J1875" s="705">
        <v>152504</v>
      </c>
      <c r="K1875">
        <v>79</v>
      </c>
      <c r="L1875" s="705">
        <v>22786</v>
      </c>
      <c r="M1875" s="705">
        <v>20714</v>
      </c>
      <c r="N1875" s="705">
        <v>12078</v>
      </c>
      <c r="O1875" s="705">
        <v>4473</v>
      </c>
      <c r="P1875" s="705">
        <v>3105</v>
      </c>
      <c r="Q1875" s="705">
        <v>1150</v>
      </c>
      <c r="R1875" s="705">
        <v>24311</v>
      </c>
      <c r="S1875" s="705">
        <v>22101</v>
      </c>
      <c r="T1875" s="705">
        <v>11319</v>
      </c>
      <c r="U1875" s="705">
        <v>4192</v>
      </c>
      <c r="V1875" s="705">
        <v>205134</v>
      </c>
      <c r="W1875" s="705">
        <f t="shared" si="74"/>
        <v>205134</v>
      </c>
      <c r="X1875" s="705">
        <f t="shared" si="75"/>
        <v>241353</v>
      </c>
    </row>
    <row r="1876" spans="2:24">
      <c r="B1876" t="s">
        <v>553</v>
      </c>
      <c r="C1876" t="s">
        <v>124</v>
      </c>
      <c r="D1876" t="s">
        <v>228</v>
      </c>
      <c r="E1876" t="s">
        <v>228</v>
      </c>
      <c r="F1876">
        <v>27</v>
      </c>
      <c r="G1876" s="705">
        <v>1451</v>
      </c>
      <c r="H1876" s="705">
        <v>16145</v>
      </c>
      <c r="I1876" s="705">
        <v>653836</v>
      </c>
      <c r="J1876" s="705">
        <v>242161</v>
      </c>
      <c r="K1876">
        <v>100</v>
      </c>
      <c r="L1876" s="705">
        <v>57000</v>
      </c>
      <c r="M1876" s="705">
        <v>31770</v>
      </c>
      <c r="N1876" s="705">
        <v>30163</v>
      </c>
      <c r="O1876" s="705">
        <v>11171</v>
      </c>
      <c r="P1876">
        <v>0</v>
      </c>
      <c r="Q1876">
        <v>0</v>
      </c>
      <c r="R1876" s="705">
        <v>135413</v>
      </c>
      <c r="S1876" s="705">
        <v>50153</v>
      </c>
      <c r="T1876">
        <v>0</v>
      </c>
      <c r="U1876">
        <v>0</v>
      </c>
      <c r="V1876" s="705">
        <v>335256</v>
      </c>
      <c r="W1876" s="705">
        <f t="shared" si="74"/>
        <v>335255</v>
      </c>
      <c r="X1876" s="705">
        <f t="shared" si="75"/>
        <v>876412</v>
      </c>
    </row>
    <row r="1877" spans="2:24">
      <c r="B1877" t="s">
        <v>553</v>
      </c>
      <c r="C1877" t="s">
        <v>124</v>
      </c>
      <c r="D1877" t="s">
        <v>583</v>
      </c>
      <c r="E1877" t="s">
        <v>583</v>
      </c>
      <c r="F1877">
        <v>8</v>
      </c>
      <c r="G1877">
        <v>771</v>
      </c>
      <c r="H1877" s="705">
        <v>4076</v>
      </c>
      <c r="I1877" s="705">
        <v>251201</v>
      </c>
      <c r="J1877" s="705">
        <v>228365</v>
      </c>
      <c r="K1877">
        <v>78</v>
      </c>
      <c r="L1877" s="705">
        <v>62733</v>
      </c>
      <c r="M1877" s="705">
        <v>52194</v>
      </c>
      <c r="N1877" s="705">
        <v>17549</v>
      </c>
      <c r="O1877" s="705">
        <v>6500</v>
      </c>
      <c r="P1877" s="705">
        <v>4968</v>
      </c>
      <c r="Q1877" s="705">
        <v>1840</v>
      </c>
      <c r="R1877" s="705">
        <v>36576</v>
      </c>
      <c r="S1877" s="705">
        <v>33251</v>
      </c>
      <c r="T1877" s="705">
        <v>23562</v>
      </c>
      <c r="U1877" s="705">
        <v>8727</v>
      </c>
      <c r="V1877" s="705">
        <v>330875</v>
      </c>
      <c r="W1877" s="705">
        <f t="shared" si="74"/>
        <v>330877</v>
      </c>
      <c r="X1877" s="705">
        <f t="shared" si="75"/>
        <v>396589</v>
      </c>
    </row>
    <row r="1878" spans="2:24">
      <c r="B1878" t="s">
        <v>553</v>
      </c>
      <c r="C1878" t="s">
        <v>124</v>
      </c>
      <c r="D1878" t="s">
        <v>666</v>
      </c>
      <c r="E1878" t="s">
        <v>666</v>
      </c>
      <c r="F1878">
        <v>1</v>
      </c>
      <c r="G1878">
        <v>88</v>
      </c>
      <c r="H1878">
        <v>614</v>
      </c>
      <c r="I1878" s="705">
        <v>35572</v>
      </c>
      <c r="J1878" s="705">
        <v>32338</v>
      </c>
      <c r="K1878">
        <v>55</v>
      </c>
      <c r="L1878" s="705">
        <v>7246</v>
      </c>
      <c r="M1878" s="705">
        <v>6587</v>
      </c>
      <c r="N1878" s="705">
        <v>1539</v>
      </c>
      <c r="O1878">
        <v>570</v>
      </c>
      <c r="P1878">
        <v>351</v>
      </c>
      <c r="Q1878">
        <v>130</v>
      </c>
      <c r="R1878" s="705">
        <v>9132</v>
      </c>
      <c r="S1878" s="705">
        <v>8302</v>
      </c>
      <c r="T1878">
        <v>0</v>
      </c>
      <c r="U1878">
        <v>0</v>
      </c>
      <c r="V1878" s="705">
        <v>47927</v>
      </c>
      <c r="W1878" s="705">
        <f t="shared" si="74"/>
        <v>47927</v>
      </c>
      <c r="X1878" s="705">
        <f t="shared" si="75"/>
        <v>53840</v>
      </c>
    </row>
    <row r="1879" spans="2:24">
      <c r="B1879" t="s">
        <v>553</v>
      </c>
      <c r="C1879" t="s">
        <v>124</v>
      </c>
      <c r="D1879" t="s">
        <v>665</v>
      </c>
      <c r="E1879" t="s">
        <v>228</v>
      </c>
      <c r="F1879">
        <v>3</v>
      </c>
      <c r="G1879">
        <v>165</v>
      </c>
      <c r="H1879" s="705">
        <v>3420</v>
      </c>
      <c r="I1879" s="705">
        <v>160582</v>
      </c>
      <c r="J1879" s="705">
        <v>145983</v>
      </c>
      <c r="K1879">
        <v>30</v>
      </c>
      <c r="L1879" s="705">
        <v>15534</v>
      </c>
      <c r="M1879" s="705">
        <v>9075</v>
      </c>
      <c r="N1879" s="705">
        <v>3920</v>
      </c>
      <c r="O1879" s="705">
        <v>1452</v>
      </c>
      <c r="P1879">
        <v>0</v>
      </c>
      <c r="Q1879">
        <v>0</v>
      </c>
      <c r="R1879" s="705">
        <v>11249</v>
      </c>
      <c r="S1879" s="705">
        <v>4166</v>
      </c>
      <c r="T1879">
        <v>0</v>
      </c>
      <c r="U1879">
        <v>0</v>
      </c>
      <c r="V1879" s="705">
        <v>160676</v>
      </c>
      <c r="W1879" s="705">
        <f t="shared" si="74"/>
        <v>160676</v>
      </c>
      <c r="X1879" s="705">
        <f t="shared" si="75"/>
        <v>191285</v>
      </c>
    </row>
    <row r="1880" spans="2:24">
      <c r="B1880" t="s">
        <v>553</v>
      </c>
      <c r="C1880" t="s">
        <v>124</v>
      </c>
      <c r="D1880" t="s">
        <v>665</v>
      </c>
      <c r="E1880" t="s">
        <v>665</v>
      </c>
      <c r="F1880">
        <v>5</v>
      </c>
      <c r="G1880">
        <v>357</v>
      </c>
      <c r="H1880" s="705">
        <v>3675</v>
      </c>
      <c r="I1880" s="705">
        <v>179691</v>
      </c>
      <c r="J1880" s="705">
        <v>163356</v>
      </c>
      <c r="K1880">
        <v>61</v>
      </c>
      <c r="L1880" s="705">
        <v>24131</v>
      </c>
      <c r="M1880" s="705">
        <v>21938</v>
      </c>
      <c r="N1880" s="705">
        <v>7796</v>
      </c>
      <c r="O1880" s="705">
        <v>2887</v>
      </c>
      <c r="P1880" s="705">
        <v>1404</v>
      </c>
      <c r="Q1880">
        <v>520</v>
      </c>
      <c r="R1880" s="705">
        <v>20300</v>
      </c>
      <c r="S1880" s="705">
        <v>18455</v>
      </c>
      <c r="T1880" s="705">
        <v>8696</v>
      </c>
      <c r="U1880" s="705">
        <v>3221</v>
      </c>
      <c r="V1880" s="705">
        <v>210376</v>
      </c>
      <c r="W1880" s="705">
        <f t="shared" si="74"/>
        <v>210377</v>
      </c>
      <c r="X1880" s="705">
        <f t="shared" si="75"/>
        <v>242018</v>
      </c>
    </row>
    <row r="1881" spans="2:24">
      <c r="B1881" t="s">
        <v>554</v>
      </c>
      <c r="C1881" t="s">
        <v>108</v>
      </c>
      <c r="D1881" t="s">
        <v>228</v>
      </c>
      <c r="E1881" t="s">
        <v>228</v>
      </c>
      <c r="F1881">
        <v>9</v>
      </c>
      <c r="G1881">
        <v>683</v>
      </c>
      <c r="H1881">
        <v>498</v>
      </c>
      <c r="I1881" s="705">
        <v>1433</v>
      </c>
      <c r="J1881">
        <v>531</v>
      </c>
      <c r="K1881">
        <v>524</v>
      </c>
      <c r="L1881">
        <v>0</v>
      </c>
      <c r="M1881">
        <v>0</v>
      </c>
      <c r="N1881" s="705">
        <v>8326</v>
      </c>
      <c r="O1881" s="705">
        <v>3084</v>
      </c>
      <c r="P1881" s="705">
        <v>4563</v>
      </c>
      <c r="Q1881" s="705">
        <v>1690</v>
      </c>
      <c r="R1881" s="705">
        <v>23428</v>
      </c>
      <c r="S1881" s="705">
        <v>8677</v>
      </c>
      <c r="T1881">
        <v>0</v>
      </c>
      <c r="U1881">
        <v>0</v>
      </c>
      <c r="V1881" s="705">
        <v>13981</v>
      </c>
      <c r="W1881" s="705">
        <f t="shared" si="74"/>
        <v>13982</v>
      </c>
      <c r="X1881" s="705">
        <f t="shared" si="75"/>
        <v>37750</v>
      </c>
    </row>
    <row r="1882" spans="2:24">
      <c r="B1882" t="s">
        <v>554</v>
      </c>
      <c r="C1882" t="s">
        <v>110</v>
      </c>
      <c r="D1882" t="s">
        <v>582</v>
      </c>
      <c r="E1882" t="s">
        <v>582</v>
      </c>
      <c r="F1882">
        <v>8</v>
      </c>
      <c r="G1882">
        <v>708</v>
      </c>
      <c r="H1882">
        <v>730</v>
      </c>
      <c r="I1882" s="705">
        <v>26181</v>
      </c>
      <c r="J1882" s="705">
        <v>23801</v>
      </c>
      <c r="K1882">
        <v>92</v>
      </c>
      <c r="L1882">
        <v>938</v>
      </c>
      <c r="M1882">
        <v>348</v>
      </c>
      <c r="N1882" s="705">
        <v>13294</v>
      </c>
      <c r="O1882" s="705">
        <v>4924</v>
      </c>
      <c r="P1882" s="705">
        <v>3659</v>
      </c>
      <c r="Q1882" s="705">
        <v>1355</v>
      </c>
      <c r="R1882" s="705">
        <v>20622</v>
      </c>
      <c r="S1882" s="705">
        <v>18747</v>
      </c>
      <c r="T1882">
        <v>0</v>
      </c>
      <c r="U1882">
        <v>0</v>
      </c>
      <c r="V1882" s="705">
        <v>49175</v>
      </c>
      <c r="W1882" s="705">
        <f t="shared" si="74"/>
        <v>49175</v>
      </c>
      <c r="X1882" s="705">
        <f t="shared" si="75"/>
        <v>64694</v>
      </c>
    </row>
    <row r="1883" spans="2:24">
      <c r="B1883" t="s">
        <v>554</v>
      </c>
      <c r="C1883" t="s">
        <v>112</v>
      </c>
      <c r="D1883" t="s">
        <v>582</v>
      </c>
      <c r="E1883" t="s">
        <v>664</v>
      </c>
      <c r="F1883">
        <v>1</v>
      </c>
      <c r="G1883">
        <v>87</v>
      </c>
      <c r="H1883">
        <v>113</v>
      </c>
      <c r="I1883" s="705">
        <v>3356</v>
      </c>
      <c r="J1883" s="705">
        <v>3051</v>
      </c>
      <c r="K1883">
        <v>92</v>
      </c>
      <c r="L1883">
        <v>843</v>
      </c>
      <c r="M1883">
        <v>312</v>
      </c>
      <c r="N1883" s="705">
        <v>1295</v>
      </c>
      <c r="O1883">
        <v>479</v>
      </c>
      <c r="P1883">
        <v>473</v>
      </c>
      <c r="Q1883">
        <v>175</v>
      </c>
      <c r="R1883" s="705">
        <v>3890</v>
      </c>
      <c r="S1883" s="705">
        <v>3536</v>
      </c>
      <c r="T1883">
        <v>0</v>
      </c>
      <c r="U1883">
        <v>0</v>
      </c>
      <c r="V1883" s="705">
        <v>7554</v>
      </c>
      <c r="W1883" s="705">
        <f t="shared" si="74"/>
        <v>7553</v>
      </c>
      <c r="X1883" s="705">
        <f t="shared" si="75"/>
        <v>9857</v>
      </c>
    </row>
    <row r="1884" spans="2:24">
      <c r="B1884" t="s">
        <v>554</v>
      </c>
      <c r="C1884" t="s">
        <v>112</v>
      </c>
      <c r="D1884" t="s">
        <v>582</v>
      </c>
      <c r="E1884" t="s">
        <v>582</v>
      </c>
      <c r="F1884">
        <v>35</v>
      </c>
      <c r="G1884" s="705">
        <v>3391</v>
      </c>
      <c r="H1884" s="705">
        <v>3913</v>
      </c>
      <c r="I1884" s="705">
        <v>182388</v>
      </c>
      <c r="J1884" s="705">
        <v>165807</v>
      </c>
      <c r="K1884">
        <v>90</v>
      </c>
      <c r="L1884" s="705">
        <v>3830</v>
      </c>
      <c r="M1884" s="705">
        <v>1668</v>
      </c>
      <c r="N1884" s="705">
        <v>71764</v>
      </c>
      <c r="O1884" s="705">
        <v>26579</v>
      </c>
      <c r="P1884" s="705">
        <v>16767</v>
      </c>
      <c r="Q1884" s="705">
        <v>6210</v>
      </c>
      <c r="R1884" s="705">
        <v>104891</v>
      </c>
      <c r="S1884" s="705">
        <v>95355</v>
      </c>
      <c r="T1884">
        <v>0</v>
      </c>
      <c r="U1884">
        <v>0</v>
      </c>
      <c r="V1884" s="705">
        <v>295620</v>
      </c>
      <c r="W1884" s="705">
        <f t="shared" si="74"/>
        <v>295619</v>
      </c>
      <c r="X1884" s="705">
        <f t="shared" si="75"/>
        <v>379640</v>
      </c>
    </row>
    <row r="1885" spans="2:24">
      <c r="B1885" t="s">
        <v>554</v>
      </c>
      <c r="C1885" t="s">
        <v>112</v>
      </c>
      <c r="D1885" t="s">
        <v>228</v>
      </c>
      <c r="E1885" t="s">
        <v>228</v>
      </c>
      <c r="F1885">
        <v>1</v>
      </c>
      <c r="G1885">
        <v>92</v>
      </c>
      <c r="H1885">
        <v>114</v>
      </c>
      <c r="I1885" s="705">
        <v>1336</v>
      </c>
      <c r="J1885">
        <v>495</v>
      </c>
      <c r="K1885">
        <v>100</v>
      </c>
      <c r="L1885">
        <v>0</v>
      </c>
      <c r="M1885">
        <v>0</v>
      </c>
      <c r="N1885" s="705">
        <v>2122</v>
      </c>
      <c r="O1885">
        <v>786</v>
      </c>
      <c r="P1885">
        <v>0</v>
      </c>
      <c r="Q1885">
        <v>0</v>
      </c>
      <c r="R1885" s="705">
        <v>7051</v>
      </c>
      <c r="S1885" s="705">
        <v>2612</v>
      </c>
      <c r="T1885">
        <v>0</v>
      </c>
      <c r="U1885">
        <v>0</v>
      </c>
      <c r="V1885" s="705">
        <v>3893</v>
      </c>
      <c r="W1885" s="705">
        <f t="shared" si="74"/>
        <v>3893</v>
      </c>
      <c r="X1885" s="705">
        <f t="shared" si="75"/>
        <v>10509</v>
      </c>
    </row>
    <row r="1886" spans="2:24">
      <c r="B1886" t="s">
        <v>554</v>
      </c>
      <c r="C1886" t="s">
        <v>112</v>
      </c>
      <c r="D1886" t="s">
        <v>583</v>
      </c>
      <c r="E1886" t="s">
        <v>583</v>
      </c>
      <c r="F1886">
        <v>2</v>
      </c>
      <c r="G1886">
        <v>637</v>
      </c>
      <c r="H1886">
        <v>230</v>
      </c>
      <c r="I1886" s="705">
        <v>34790</v>
      </c>
      <c r="J1886" s="705">
        <v>31627</v>
      </c>
      <c r="K1886">
        <v>93</v>
      </c>
      <c r="L1886" s="705">
        <v>5869</v>
      </c>
      <c r="M1886" s="705">
        <v>5335</v>
      </c>
      <c r="N1886" s="705">
        <v>14455</v>
      </c>
      <c r="O1886" s="705">
        <v>5354</v>
      </c>
      <c r="P1886" s="705">
        <v>1593</v>
      </c>
      <c r="Q1886">
        <v>590</v>
      </c>
      <c r="R1886" s="705">
        <v>11596</v>
      </c>
      <c r="S1886" s="705">
        <v>10542</v>
      </c>
      <c r="T1886" s="705">
        <v>4171</v>
      </c>
      <c r="U1886" s="705">
        <v>1545</v>
      </c>
      <c r="V1886" s="705">
        <v>54993</v>
      </c>
      <c r="W1886" s="705">
        <f t="shared" si="74"/>
        <v>54993</v>
      </c>
      <c r="X1886" s="705">
        <f t="shared" si="75"/>
        <v>72474</v>
      </c>
    </row>
    <row r="1887" spans="2:24">
      <c r="B1887" t="s">
        <v>554</v>
      </c>
      <c r="C1887" t="s">
        <v>112</v>
      </c>
      <c r="D1887" t="s">
        <v>584</v>
      </c>
      <c r="E1887" t="s">
        <v>584</v>
      </c>
      <c r="F1887">
        <v>5</v>
      </c>
      <c r="G1887">
        <v>497</v>
      </c>
      <c r="H1887">
        <v>558</v>
      </c>
      <c r="I1887" s="705">
        <v>12577</v>
      </c>
      <c r="J1887" s="705">
        <v>11433</v>
      </c>
      <c r="K1887">
        <v>84</v>
      </c>
      <c r="L1887" s="705">
        <v>1211</v>
      </c>
      <c r="M1887">
        <v>448</v>
      </c>
      <c r="N1887" s="705">
        <v>11745</v>
      </c>
      <c r="O1887" s="705">
        <v>4350</v>
      </c>
      <c r="P1887" s="705">
        <v>2363</v>
      </c>
      <c r="Q1887">
        <v>875</v>
      </c>
      <c r="R1887" s="705">
        <v>27164</v>
      </c>
      <c r="S1887" s="705">
        <v>24695</v>
      </c>
      <c r="T1887">
        <v>0</v>
      </c>
      <c r="U1887">
        <v>0</v>
      </c>
      <c r="V1887" s="705">
        <v>41801</v>
      </c>
      <c r="W1887" s="705">
        <f t="shared" si="74"/>
        <v>41801</v>
      </c>
      <c r="X1887" s="705">
        <f t="shared" si="75"/>
        <v>55060</v>
      </c>
    </row>
    <row r="1888" spans="2:24">
      <c r="B1888" t="s">
        <v>554</v>
      </c>
      <c r="C1888" t="s">
        <v>114</v>
      </c>
      <c r="D1888" t="s">
        <v>664</v>
      </c>
      <c r="E1888" t="s">
        <v>582</v>
      </c>
      <c r="F1888">
        <v>1</v>
      </c>
      <c r="G1888">
        <v>74</v>
      </c>
      <c r="H1888">
        <v>144</v>
      </c>
      <c r="I1888" s="705">
        <v>3830</v>
      </c>
      <c r="J1888" s="705">
        <v>3482</v>
      </c>
      <c r="K1888">
        <v>82</v>
      </c>
      <c r="L1888">
        <v>856</v>
      </c>
      <c r="M1888">
        <v>317</v>
      </c>
      <c r="N1888" s="705">
        <v>1306</v>
      </c>
      <c r="O1888">
        <v>484</v>
      </c>
      <c r="P1888">
        <v>473</v>
      </c>
      <c r="Q1888">
        <v>175</v>
      </c>
      <c r="R1888" s="705">
        <v>4161</v>
      </c>
      <c r="S1888" s="705">
        <v>3783</v>
      </c>
      <c r="T1888">
        <v>0</v>
      </c>
      <c r="U1888">
        <v>0</v>
      </c>
      <c r="V1888" s="705">
        <v>8240</v>
      </c>
      <c r="W1888" s="705">
        <f t="shared" si="74"/>
        <v>8241</v>
      </c>
      <c r="X1888" s="705">
        <f t="shared" si="75"/>
        <v>10626</v>
      </c>
    </row>
    <row r="1889" spans="2:24">
      <c r="B1889" t="s">
        <v>554</v>
      </c>
      <c r="C1889" t="s">
        <v>114</v>
      </c>
      <c r="D1889" t="s">
        <v>582</v>
      </c>
      <c r="E1889" t="s">
        <v>582</v>
      </c>
      <c r="F1889">
        <v>56</v>
      </c>
      <c r="G1889" s="705">
        <v>4117</v>
      </c>
      <c r="H1889" s="705">
        <v>7692</v>
      </c>
      <c r="I1889" s="705">
        <v>294673</v>
      </c>
      <c r="J1889" s="705">
        <v>267884</v>
      </c>
      <c r="K1889">
        <v>87</v>
      </c>
      <c r="L1889" s="705">
        <v>4226</v>
      </c>
      <c r="M1889" s="705">
        <v>2248</v>
      </c>
      <c r="N1889" s="705">
        <v>84544</v>
      </c>
      <c r="O1889" s="705">
        <v>31312</v>
      </c>
      <c r="P1889" s="705">
        <v>27216</v>
      </c>
      <c r="Q1889" s="705">
        <v>10080</v>
      </c>
      <c r="R1889" s="705">
        <v>166882</v>
      </c>
      <c r="S1889" s="705">
        <v>151711</v>
      </c>
      <c r="T1889" s="705">
        <v>2841</v>
      </c>
      <c r="U1889" s="705">
        <v>1052</v>
      </c>
      <c r="V1889" s="705">
        <v>464288</v>
      </c>
      <c r="W1889" s="705">
        <f t="shared" si="74"/>
        <v>464287</v>
      </c>
      <c r="X1889" s="705">
        <f t="shared" si="75"/>
        <v>580382</v>
      </c>
    </row>
    <row r="1890" spans="2:24">
      <c r="B1890" t="s">
        <v>554</v>
      </c>
      <c r="C1890" t="s">
        <v>114</v>
      </c>
      <c r="D1890" t="s">
        <v>228</v>
      </c>
      <c r="E1890" t="s">
        <v>228</v>
      </c>
      <c r="F1890">
        <v>25</v>
      </c>
      <c r="G1890" s="705">
        <v>2419</v>
      </c>
      <c r="H1890" s="705">
        <v>3514</v>
      </c>
      <c r="I1890" s="705">
        <v>87287</v>
      </c>
      <c r="J1890" s="705">
        <v>32328</v>
      </c>
      <c r="K1890">
        <v>100</v>
      </c>
      <c r="L1890" s="705">
        <v>17015</v>
      </c>
      <c r="M1890" s="705">
        <v>6302</v>
      </c>
      <c r="N1890" s="705">
        <v>54159</v>
      </c>
      <c r="O1890" s="705">
        <v>20059</v>
      </c>
      <c r="P1890">
        <v>525</v>
      </c>
      <c r="Q1890">
        <v>195</v>
      </c>
      <c r="R1890" s="705">
        <v>180562</v>
      </c>
      <c r="S1890" s="705">
        <v>66875</v>
      </c>
      <c r="T1890">
        <v>0</v>
      </c>
      <c r="U1890">
        <v>0</v>
      </c>
      <c r="V1890" s="705">
        <v>125759</v>
      </c>
      <c r="W1890" s="705">
        <f t="shared" si="74"/>
        <v>125759</v>
      </c>
      <c r="X1890" s="705">
        <f t="shared" si="75"/>
        <v>339548</v>
      </c>
    </row>
    <row r="1891" spans="2:24">
      <c r="B1891" t="s">
        <v>554</v>
      </c>
      <c r="C1891" t="s">
        <v>114</v>
      </c>
      <c r="D1891" t="s">
        <v>228</v>
      </c>
      <c r="E1891" t="s">
        <v>583</v>
      </c>
      <c r="F1891">
        <v>20</v>
      </c>
      <c r="G1891" s="705">
        <v>1552</v>
      </c>
      <c r="H1891" s="705">
        <v>2828</v>
      </c>
      <c r="I1891" s="705">
        <v>111255</v>
      </c>
      <c r="J1891" s="705">
        <v>41205</v>
      </c>
      <c r="K1891">
        <v>100</v>
      </c>
      <c r="L1891">
        <v>0</v>
      </c>
      <c r="M1891">
        <v>0</v>
      </c>
      <c r="N1891" s="705">
        <v>36983</v>
      </c>
      <c r="O1891" s="705">
        <v>13697</v>
      </c>
      <c r="P1891">
        <v>0</v>
      </c>
      <c r="Q1891">
        <v>0</v>
      </c>
      <c r="R1891" s="705">
        <v>71247</v>
      </c>
      <c r="S1891" s="705">
        <v>64770</v>
      </c>
      <c r="T1891">
        <v>0</v>
      </c>
      <c r="U1891">
        <v>0</v>
      </c>
      <c r="V1891" s="705">
        <v>119673</v>
      </c>
      <c r="W1891" s="705">
        <f t="shared" si="74"/>
        <v>119672</v>
      </c>
      <c r="X1891" s="705">
        <f t="shared" si="75"/>
        <v>219485</v>
      </c>
    </row>
    <row r="1892" spans="2:24">
      <c r="B1892" t="s">
        <v>554</v>
      </c>
      <c r="C1892" t="s">
        <v>114</v>
      </c>
      <c r="D1892" t="s">
        <v>583</v>
      </c>
      <c r="E1892" t="s">
        <v>583</v>
      </c>
      <c r="F1892">
        <v>4</v>
      </c>
      <c r="G1892">
        <v>768</v>
      </c>
      <c r="H1892">
        <v>549</v>
      </c>
      <c r="I1892" s="705">
        <v>55959</v>
      </c>
      <c r="J1892" s="705">
        <v>50872</v>
      </c>
      <c r="K1892">
        <v>93</v>
      </c>
      <c r="L1892" s="705">
        <v>9257</v>
      </c>
      <c r="M1892" s="705">
        <v>8416</v>
      </c>
      <c r="N1892" s="705">
        <v>16301</v>
      </c>
      <c r="O1892" s="705">
        <v>6037</v>
      </c>
      <c r="P1892" s="705">
        <v>2835</v>
      </c>
      <c r="Q1892" s="705">
        <v>1050</v>
      </c>
      <c r="R1892" s="705">
        <v>17220</v>
      </c>
      <c r="S1892" s="705">
        <v>15655</v>
      </c>
      <c r="T1892" s="705">
        <v>4360</v>
      </c>
      <c r="U1892" s="705">
        <v>1615</v>
      </c>
      <c r="V1892" s="705">
        <v>83645</v>
      </c>
      <c r="W1892" s="705">
        <f t="shared" si="74"/>
        <v>83645</v>
      </c>
      <c r="X1892" s="705">
        <f t="shared" si="75"/>
        <v>105932</v>
      </c>
    </row>
    <row r="1893" spans="2:24">
      <c r="B1893" t="s">
        <v>554</v>
      </c>
      <c r="C1893" t="s">
        <v>114</v>
      </c>
      <c r="D1893" t="s">
        <v>584</v>
      </c>
      <c r="E1893" t="s">
        <v>584</v>
      </c>
      <c r="F1893">
        <v>10</v>
      </c>
      <c r="G1893">
        <v>934</v>
      </c>
      <c r="H1893" s="705">
        <v>1391</v>
      </c>
      <c r="I1893" s="705">
        <v>51390</v>
      </c>
      <c r="J1893" s="705">
        <v>46718</v>
      </c>
      <c r="K1893">
        <v>84</v>
      </c>
      <c r="L1893" s="705">
        <v>3201</v>
      </c>
      <c r="M1893" s="705">
        <v>2145</v>
      </c>
      <c r="N1893" s="705">
        <v>21633</v>
      </c>
      <c r="O1893" s="705">
        <v>8012</v>
      </c>
      <c r="P1893" s="705">
        <v>5076</v>
      </c>
      <c r="Q1893" s="705">
        <v>1880</v>
      </c>
      <c r="R1893" s="705">
        <v>45938</v>
      </c>
      <c r="S1893" s="705">
        <v>41761</v>
      </c>
      <c r="T1893" s="705">
        <v>2034</v>
      </c>
      <c r="U1893">
        <v>753</v>
      </c>
      <c r="V1893" s="705">
        <v>101271</v>
      </c>
      <c r="W1893" s="705">
        <f t="shared" si="74"/>
        <v>101269</v>
      </c>
      <c r="X1893" s="705">
        <f t="shared" si="75"/>
        <v>129272</v>
      </c>
    </row>
    <row r="1894" spans="2:24">
      <c r="B1894" t="s">
        <v>554</v>
      </c>
      <c r="C1894" t="s">
        <v>116</v>
      </c>
      <c r="D1894" t="s">
        <v>582</v>
      </c>
      <c r="E1894" t="s">
        <v>582</v>
      </c>
      <c r="F1894">
        <v>79</v>
      </c>
      <c r="G1894" s="705">
        <v>5522</v>
      </c>
      <c r="H1894" s="705">
        <v>13829</v>
      </c>
      <c r="I1894" s="705">
        <v>516982</v>
      </c>
      <c r="J1894" s="705">
        <v>469984</v>
      </c>
      <c r="K1894">
        <v>83</v>
      </c>
      <c r="L1894" s="705">
        <v>17859</v>
      </c>
      <c r="M1894" s="705">
        <v>12511</v>
      </c>
      <c r="N1894" s="705">
        <v>112177</v>
      </c>
      <c r="O1894" s="705">
        <v>41547</v>
      </c>
      <c r="P1894" s="705">
        <v>36342</v>
      </c>
      <c r="Q1894" s="705">
        <v>13460</v>
      </c>
      <c r="R1894" s="705">
        <v>272350</v>
      </c>
      <c r="S1894" s="705">
        <v>247591</v>
      </c>
      <c r="T1894" s="705">
        <v>10672</v>
      </c>
      <c r="U1894" s="705">
        <v>3953</v>
      </c>
      <c r="V1894" s="705">
        <v>789045</v>
      </c>
      <c r="W1894" s="705">
        <f t="shared" si="74"/>
        <v>789046</v>
      </c>
      <c r="X1894" s="705">
        <f t="shared" si="75"/>
        <v>966382</v>
      </c>
    </row>
    <row r="1895" spans="2:24">
      <c r="B1895" t="s">
        <v>554</v>
      </c>
      <c r="C1895" t="s">
        <v>116</v>
      </c>
      <c r="D1895" t="s">
        <v>228</v>
      </c>
      <c r="E1895" t="s">
        <v>228</v>
      </c>
      <c r="F1895">
        <v>295</v>
      </c>
      <c r="G1895" s="705">
        <v>22680</v>
      </c>
      <c r="H1895" s="705">
        <v>59037</v>
      </c>
      <c r="I1895" s="705">
        <v>2014393</v>
      </c>
      <c r="J1895" s="705">
        <v>746071</v>
      </c>
      <c r="K1895">
        <v>100</v>
      </c>
      <c r="L1895" s="705">
        <v>215837</v>
      </c>
      <c r="M1895" s="705">
        <v>86599</v>
      </c>
      <c r="N1895" s="705">
        <v>468049</v>
      </c>
      <c r="O1895" s="705">
        <v>173352</v>
      </c>
      <c r="P1895">
        <v>351</v>
      </c>
      <c r="Q1895">
        <v>130</v>
      </c>
      <c r="R1895" s="705">
        <v>1925908</v>
      </c>
      <c r="S1895" s="705">
        <v>713299</v>
      </c>
      <c r="T1895">
        <v>0</v>
      </c>
      <c r="U1895">
        <v>0</v>
      </c>
      <c r="V1895" s="705">
        <v>1719451</v>
      </c>
      <c r="W1895" s="705">
        <f t="shared" si="74"/>
        <v>1719451</v>
      </c>
      <c r="X1895" s="705">
        <f t="shared" si="75"/>
        <v>4624538</v>
      </c>
    </row>
    <row r="1896" spans="2:24">
      <c r="B1896" t="s">
        <v>554</v>
      </c>
      <c r="C1896" t="s">
        <v>116</v>
      </c>
      <c r="D1896" t="s">
        <v>228</v>
      </c>
      <c r="E1896" t="s">
        <v>583</v>
      </c>
      <c r="F1896">
        <v>53</v>
      </c>
      <c r="G1896" s="705">
        <v>4100</v>
      </c>
      <c r="H1896" s="705">
        <v>10116</v>
      </c>
      <c r="I1896" s="705">
        <v>494325</v>
      </c>
      <c r="J1896" s="705">
        <v>183083</v>
      </c>
      <c r="K1896">
        <v>100</v>
      </c>
      <c r="L1896">
        <v>0</v>
      </c>
      <c r="M1896">
        <v>0</v>
      </c>
      <c r="N1896" s="705">
        <v>98594</v>
      </c>
      <c r="O1896" s="705">
        <v>36516</v>
      </c>
      <c r="P1896">
        <v>0</v>
      </c>
      <c r="Q1896">
        <v>0</v>
      </c>
      <c r="R1896" s="705">
        <v>189706</v>
      </c>
      <c r="S1896" s="705">
        <v>172460</v>
      </c>
      <c r="T1896">
        <v>0</v>
      </c>
      <c r="U1896">
        <v>0</v>
      </c>
      <c r="V1896" s="705">
        <v>392059</v>
      </c>
      <c r="W1896" s="705">
        <f t="shared" si="74"/>
        <v>392059</v>
      </c>
      <c r="X1896" s="705">
        <f t="shared" si="75"/>
        <v>782625</v>
      </c>
    </row>
    <row r="1897" spans="2:24">
      <c r="B1897" t="s">
        <v>554</v>
      </c>
      <c r="C1897" t="s">
        <v>116</v>
      </c>
      <c r="D1897" t="s">
        <v>583</v>
      </c>
      <c r="E1897" t="s">
        <v>583</v>
      </c>
      <c r="F1897">
        <v>45</v>
      </c>
      <c r="G1897" s="705">
        <v>4584</v>
      </c>
      <c r="H1897" s="705">
        <v>8487</v>
      </c>
      <c r="I1897" s="705">
        <v>434313</v>
      </c>
      <c r="J1897" s="705">
        <v>394830</v>
      </c>
      <c r="K1897">
        <v>87</v>
      </c>
      <c r="L1897" s="705">
        <v>86936</v>
      </c>
      <c r="M1897" s="705">
        <v>76828</v>
      </c>
      <c r="N1897" s="705">
        <v>88755</v>
      </c>
      <c r="O1897" s="705">
        <v>32872</v>
      </c>
      <c r="P1897" s="705">
        <v>31559</v>
      </c>
      <c r="Q1897" s="705">
        <v>11688</v>
      </c>
      <c r="R1897" s="705">
        <v>206778</v>
      </c>
      <c r="S1897" s="705">
        <v>187980</v>
      </c>
      <c r="T1897" s="705">
        <v>31697</v>
      </c>
      <c r="U1897" s="705">
        <v>11740</v>
      </c>
      <c r="V1897" s="705">
        <v>715937</v>
      </c>
      <c r="W1897" s="705">
        <f t="shared" si="74"/>
        <v>715938</v>
      </c>
      <c r="X1897" s="705">
        <f t="shared" si="75"/>
        <v>880038</v>
      </c>
    </row>
    <row r="1898" spans="2:24">
      <c r="B1898" t="s">
        <v>554</v>
      </c>
      <c r="C1898" t="s">
        <v>116</v>
      </c>
      <c r="D1898" t="s">
        <v>584</v>
      </c>
      <c r="E1898" t="s">
        <v>584</v>
      </c>
      <c r="F1898">
        <v>22</v>
      </c>
      <c r="G1898" s="705">
        <v>1504</v>
      </c>
      <c r="H1898" s="705">
        <v>3689</v>
      </c>
      <c r="I1898" s="705">
        <v>99809</v>
      </c>
      <c r="J1898" s="705">
        <v>90736</v>
      </c>
      <c r="K1898">
        <v>81</v>
      </c>
      <c r="L1898">
        <v>0</v>
      </c>
      <c r="M1898">
        <v>0</v>
      </c>
      <c r="N1898" s="705">
        <v>32454</v>
      </c>
      <c r="O1898" s="705">
        <v>12020</v>
      </c>
      <c r="P1898" s="705">
        <v>10395</v>
      </c>
      <c r="Q1898" s="705">
        <v>3850</v>
      </c>
      <c r="R1898" s="705">
        <v>98241</v>
      </c>
      <c r="S1898" s="705">
        <v>89310</v>
      </c>
      <c r="T1898" s="705">
        <v>7120</v>
      </c>
      <c r="U1898" s="705">
        <v>2637</v>
      </c>
      <c r="V1898" s="705">
        <v>198553</v>
      </c>
      <c r="W1898" s="705">
        <f t="shared" si="74"/>
        <v>198553</v>
      </c>
      <c r="X1898" s="705">
        <f t="shared" si="75"/>
        <v>248019</v>
      </c>
    </row>
    <row r="1899" spans="2:24">
      <c r="B1899" t="s">
        <v>554</v>
      </c>
      <c r="C1899" t="s">
        <v>116</v>
      </c>
      <c r="D1899" t="s">
        <v>665</v>
      </c>
      <c r="E1899" t="s">
        <v>665</v>
      </c>
      <c r="F1899">
        <v>1</v>
      </c>
      <c r="G1899">
        <v>67</v>
      </c>
      <c r="H1899">
        <v>221</v>
      </c>
      <c r="I1899" s="705">
        <v>6064</v>
      </c>
      <c r="J1899" s="705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705">
        <v>4622</v>
      </c>
      <c r="S1899" s="705">
        <v>4202</v>
      </c>
      <c r="T1899" s="705">
        <v>1986</v>
      </c>
      <c r="U1899">
        <v>736</v>
      </c>
      <c r="V1899" s="705">
        <v>11219</v>
      </c>
      <c r="W1899" s="705">
        <f t="shared" ref="W1899:W1962" si="76">SUM(ABS(J1899),ABS(M1899),ABS(O1899),ABS(Q1899),ABS(S1899),ABS(U1899))</f>
        <v>11220</v>
      </c>
      <c r="X1899" s="705">
        <f t="shared" ref="X1899:X1962" si="77">SUM(ABS(I1899),ABS(N1899),ABS(P1899),ABS(R1899),ABS(T1899),ABS(L1899))</f>
        <v>14748</v>
      </c>
    </row>
    <row r="1900" spans="2:24">
      <c r="B1900" t="s">
        <v>554</v>
      </c>
      <c r="C1900" t="s">
        <v>118</v>
      </c>
      <c r="F1900">
        <v>5</v>
      </c>
      <c r="G1900">
        <v>447</v>
      </c>
      <c r="H1900" s="705">
        <v>1339</v>
      </c>
      <c r="J1900">
        <v>0</v>
      </c>
      <c r="M1900">
        <v>0</v>
      </c>
      <c r="N1900" s="705">
        <v>10881</v>
      </c>
      <c r="O1900" s="705">
        <v>4030</v>
      </c>
      <c r="P1900" s="705">
        <v>1755</v>
      </c>
      <c r="Q1900">
        <v>650</v>
      </c>
      <c r="S1900">
        <v>0</v>
      </c>
      <c r="T1900">
        <v>0</v>
      </c>
      <c r="U1900">
        <v>0</v>
      </c>
      <c r="V1900" s="705">
        <v>4680</v>
      </c>
      <c r="W1900" s="705">
        <f t="shared" si="76"/>
        <v>4680</v>
      </c>
      <c r="X1900" s="705">
        <f t="shared" si="77"/>
        <v>12636</v>
      </c>
    </row>
    <row r="1901" spans="2:24">
      <c r="B1901" t="s">
        <v>554</v>
      </c>
      <c r="C1901" t="s">
        <v>118</v>
      </c>
      <c r="D1901" t="s">
        <v>582</v>
      </c>
      <c r="E1901" t="s">
        <v>582</v>
      </c>
      <c r="F1901">
        <v>12</v>
      </c>
      <c r="G1901">
        <v>775</v>
      </c>
      <c r="H1901" s="705">
        <v>3029</v>
      </c>
      <c r="I1901" s="705">
        <v>124340</v>
      </c>
      <c r="J1901" s="705">
        <v>113037</v>
      </c>
      <c r="K1901">
        <v>81</v>
      </c>
      <c r="L1901" s="705">
        <v>4031</v>
      </c>
      <c r="M1901" s="705">
        <v>3664</v>
      </c>
      <c r="N1901" s="705">
        <v>16273</v>
      </c>
      <c r="O1901" s="705">
        <v>6027</v>
      </c>
      <c r="P1901" s="705">
        <v>5819</v>
      </c>
      <c r="Q1901" s="705">
        <v>2155</v>
      </c>
      <c r="R1901" s="705">
        <v>41617</v>
      </c>
      <c r="S1901" s="705">
        <v>37834</v>
      </c>
      <c r="T1901">
        <v>0</v>
      </c>
      <c r="U1901">
        <v>0</v>
      </c>
      <c r="V1901" s="705">
        <v>162717</v>
      </c>
      <c r="W1901" s="705">
        <f t="shared" si="76"/>
        <v>162717</v>
      </c>
      <c r="X1901" s="705">
        <f t="shared" si="77"/>
        <v>192080</v>
      </c>
    </row>
    <row r="1902" spans="2:24">
      <c r="B1902" t="s">
        <v>554</v>
      </c>
      <c r="C1902" t="s">
        <v>118</v>
      </c>
      <c r="D1902" t="s">
        <v>228</v>
      </c>
      <c r="E1902" t="s">
        <v>228</v>
      </c>
      <c r="F1902">
        <v>584</v>
      </c>
      <c r="G1902" s="705">
        <v>40133</v>
      </c>
      <c r="H1902" s="705">
        <v>153458</v>
      </c>
      <c r="I1902" s="705">
        <v>5691908</v>
      </c>
      <c r="J1902" s="705">
        <v>2108114</v>
      </c>
      <c r="K1902">
        <v>100</v>
      </c>
      <c r="L1902" s="705">
        <v>522333</v>
      </c>
      <c r="M1902" s="705">
        <v>226019</v>
      </c>
      <c r="N1902" s="705">
        <v>734898</v>
      </c>
      <c r="O1902" s="705">
        <v>272184</v>
      </c>
      <c r="P1902" s="705">
        <v>7140</v>
      </c>
      <c r="Q1902" s="705">
        <v>2645</v>
      </c>
      <c r="R1902" s="705">
        <v>3601315</v>
      </c>
      <c r="S1902" s="705">
        <v>1333820</v>
      </c>
      <c r="T1902">
        <v>0</v>
      </c>
      <c r="U1902">
        <v>0</v>
      </c>
      <c r="V1902" s="705">
        <v>3942782</v>
      </c>
      <c r="W1902" s="705">
        <f t="shared" si="76"/>
        <v>3942782</v>
      </c>
      <c r="X1902" s="705">
        <f t="shared" si="77"/>
        <v>10557594</v>
      </c>
    </row>
    <row r="1903" spans="2:24">
      <c r="B1903" t="s">
        <v>554</v>
      </c>
      <c r="C1903" t="s">
        <v>118</v>
      </c>
      <c r="D1903" t="s">
        <v>228</v>
      </c>
      <c r="E1903" t="s">
        <v>583</v>
      </c>
      <c r="F1903">
        <v>1</v>
      </c>
      <c r="G1903">
        <v>77</v>
      </c>
      <c r="H1903">
        <v>226</v>
      </c>
      <c r="I1903" s="705">
        <v>11930</v>
      </c>
      <c r="J1903" s="705">
        <v>4418</v>
      </c>
      <c r="K1903">
        <v>100</v>
      </c>
      <c r="L1903">
        <v>0</v>
      </c>
      <c r="M1903">
        <v>0</v>
      </c>
      <c r="N1903" s="705">
        <v>1887</v>
      </c>
      <c r="O1903">
        <v>699</v>
      </c>
      <c r="P1903">
        <v>0</v>
      </c>
      <c r="Q1903">
        <v>0</v>
      </c>
      <c r="R1903" s="705">
        <v>3670</v>
      </c>
      <c r="S1903" s="705">
        <v>3337</v>
      </c>
      <c r="T1903">
        <v>0</v>
      </c>
      <c r="U1903">
        <v>0</v>
      </c>
      <c r="V1903" s="705">
        <v>8454</v>
      </c>
      <c r="W1903" s="705">
        <f t="shared" si="76"/>
        <v>8454</v>
      </c>
      <c r="X1903" s="705">
        <f t="shared" si="77"/>
        <v>17487</v>
      </c>
    </row>
    <row r="1904" spans="2:24">
      <c r="B1904" t="s">
        <v>554</v>
      </c>
      <c r="C1904" t="s">
        <v>118</v>
      </c>
      <c r="D1904" t="s">
        <v>583</v>
      </c>
      <c r="E1904" t="s">
        <v>228</v>
      </c>
      <c r="F1904">
        <v>3</v>
      </c>
      <c r="G1904">
        <v>148</v>
      </c>
      <c r="H1904">
        <v>867</v>
      </c>
      <c r="I1904" s="705">
        <v>18082</v>
      </c>
      <c r="J1904" s="705">
        <v>16438</v>
      </c>
      <c r="K1904">
        <v>78</v>
      </c>
      <c r="L1904" s="705">
        <v>3898</v>
      </c>
      <c r="M1904" s="705">
        <v>3543</v>
      </c>
      <c r="N1904" s="705">
        <v>2613</v>
      </c>
      <c r="O1904">
        <v>968</v>
      </c>
      <c r="P1904" s="705">
        <v>1863</v>
      </c>
      <c r="Q1904">
        <v>690</v>
      </c>
      <c r="R1904" s="705">
        <v>16610</v>
      </c>
      <c r="S1904" s="705">
        <v>6152</v>
      </c>
      <c r="T1904">
        <v>0</v>
      </c>
      <c r="U1904">
        <v>0</v>
      </c>
      <c r="V1904" s="705">
        <v>27791</v>
      </c>
      <c r="W1904" s="705">
        <f t="shared" si="76"/>
        <v>27791</v>
      </c>
      <c r="X1904" s="705">
        <f t="shared" si="77"/>
        <v>43066</v>
      </c>
    </row>
    <row r="1905" spans="2:24">
      <c r="B1905" t="s">
        <v>554</v>
      </c>
      <c r="C1905" t="s">
        <v>118</v>
      </c>
      <c r="D1905" t="s">
        <v>583</v>
      </c>
      <c r="E1905" t="s">
        <v>583</v>
      </c>
      <c r="F1905">
        <v>27</v>
      </c>
      <c r="G1905" s="705">
        <v>2290</v>
      </c>
      <c r="H1905" s="705">
        <v>6831</v>
      </c>
      <c r="I1905" s="705">
        <v>310230</v>
      </c>
      <c r="J1905" s="705">
        <v>282027</v>
      </c>
      <c r="K1905">
        <v>81</v>
      </c>
      <c r="L1905" s="705">
        <v>57415</v>
      </c>
      <c r="M1905" s="705">
        <v>51528</v>
      </c>
      <c r="N1905" s="705">
        <v>45238</v>
      </c>
      <c r="O1905" s="705">
        <v>16755</v>
      </c>
      <c r="P1905" s="705">
        <v>20628</v>
      </c>
      <c r="Q1905" s="705">
        <v>7640</v>
      </c>
      <c r="R1905" s="705">
        <v>119832</v>
      </c>
      <c r="S1905" s="705">
        <v>108938</v>
      </c>
      <c r="T1905" s="705">
        <v>35317</v>
      </c>
      <c r="U1905" s="705">
        <v>13080</v>
      </c>
      <c r="V1905" s="705">
        <v>479969</v>
      </c>
      <c r="W1905" s="705">
        <f t="shared" si="76"/>
        <v>479968</v>
      </c>
      <c r="X1905" s="705">
        <f t="shared" si="77"/>
        <v>588660</v>
      </c>
    </row>
    <row r="1906" spans="2:24">
      <c r="B1906" t="s">
        <v>554</v>
      </c>
      <c r="C1906" t="s">
        <v>118</v>
      </c>
      <c r="D1906" t="s">
        <v>669</v>
      </c>
      <c r="E1906" t="s">
        <v>669</v>
      </c>
      <c r="F1906">
        <v>13</v>
      </c>
      <c r="G1906">
        <v>897</v>
      </c>
      <c r="H1906" s="705">
        <v>3573</v>
      </c>
      <c r="I1906" s="705">
        <v>129973</v>
      </c>
      <c r="J1906" s="705">
        <v>108311</v>
      </c>
      <c r="K1906">
        <v>58</v>
      </c>
      <c r="L1906" s="705">
        <v>1195</v>
      </c>
      <c r="M1906">
        <v>443</v>
      </c>
      <c r="N1906" s="705">
        <v>17760</v>
      </c>
      <c r="O1906" s="705">
        <v>6578</v>
      </c>
      <c r="P1906" s="705">
        <v>4563</v>
      </c>
      <c r="Q1906" s="705">
        <v>1690</v>
      </c>
      <c r="R1906" s="705">
        <v>67926</v>
      </c>
      <c r="S1906" s="705">
        <v>56605</v>
      </c>
      <c r="T1906" s="705">
        <v>25484</v>
      </c>
      <c r="U1906" s="705">
        <v>9439</v>
      </c>
      <c r="V1906" s="705">
        <v>183065</v>
      </c>
      <c r="W1906" s="705">
        <f t="shared" si="76"/>
        <v>183066</v>
      </c>
      <c r="X1906" s="705">
        <f t="shared" si="77"/>
        <v>246901</v>
      </c>
    </row>
    <row r="1907" spans="2:24">
      <c r="B1907" t="s">
        <v>554</v>
      </c>
      <c r="C1907" t="s">
        <v>118</v>
      </c>
      <c r="D1907" t="s">
        <v>665</v>
      </c>
      <c r="E1907" t="s">
        <v>665</v>
      </c>
      <c r="F1907">
        <v>2</v>
      </c>
      <c r="G1907">
        <v>198</v>
      </c>
      <c r="H1907">
        <v>571</v>
      </c>
      <c r="I1907" s="705">
        <v>45933</v>
      </c>
      <c r="J1907" s="705">
        <v>41757</v>
      </c>
      <c r="K1907">
        <v>60</v>
      </c>
      <c r="L1907" s="705">
        <v>3669</v>
      </c>
      <c r="M1907" s="705">
        <v>3336</v>
      </c>
      <c r="N1907" s="705">
        <v>4928</v>
      </c>
      <c r="O1907" s="705">
        <v>1825</v>
      </c>
      <c r="P1907">
        <v>972</v>
      </c>
      <c r="Q1907">
        <v>360</v>
      </c>
      <c r="R1907" s="705">
        <v>10437</v>
      </c>
      <c r="S1907" s="705">
        <v>9488</v>
      </c>
      <c r="T1907" s="705">
        <v>5480</v>
      </c>
      <c r="U1907" s="705">
        <v>2030</v>
      </c>
      <c r="V1907" s="705">
        <v>58795</v>
      </c>
      <c r="W1907" s="705">
        <f t="shared" si="76"/>
        <v>58796</v>
      </c>
      <c r="X1907" s="705">
        <f t="shared" si="77"/>
        <v>71419</v>
      </c>
    </row>
    <row r="1908" spans="2:24">
      <c r="B1908" t="s">
        <v>554</v>
      </c>
      <c r="C1908" t="s">
        <v>120</v>
      </c>
      <c r="F1908">
        <v>3</v>
      </c>
      <c r="G1908">
        <v>199</v>
      </c>
      <c r="H1908" s="705">
        <v>1039</v>
      </c>
      <c r="J1908">
        <v>0</v>
      </c>
      <c r="M1908">
        <v>0</v>
      </c>
      <c r="N1908" s="705">
        <v>4449</v>
      </c>
      <c r="O1908" s="705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705">
        <v>1778</v>
      </c>
      <c r="W1908" s="705">
        <f t="shared" si="76"/>
        <v>1778</v>
      </c>
      <c r="X1908" s="705">
        <f t="shared" si="77"/>
        <v>4800</v>
      </c>
    </row>
    <row r="1909" spans="2:24">
      <c r="B1909" t="s">
        <v>554</v>
      </c>
      <c r="C1909" t="s">
        <v>120</v>
      </c>
      <c r="D1909" t="s">
        <v>582</v>
      </c>
      <c r="E1909" t="s">
        <v>582</v>
      </c>
      <c r="F1909">
        <v>4</v>
      </c>
      <c r="G1909">
        <v>176</v>
      </c>
      <c r="H1909" s="705">
        <v>1362</v>
      </c>
      <c r="I1909" s="705">
        <v>42762</v>
      </c>
      <c r="J1909" s="705">
        <v>38875</v>
      </c>
      <c r="K1909">
        <v>77</v>
      </c>
      <c r="L1909">
        <v>0</v>
      </c>
      <c r="M1909">
        <v>0</v>
      </c>
      <c r="N1909" s="705">
        <v>3490</v>
      </c>
      <c r="O1909" s="705">
        <v>1293</v>
      </c>
      <c r="P1909" s="705">
        <v>1890</v>
      </c>
      <c r="Q1909">
        <v>700</v>
      </c>
      <c r="R1909" s="705">
        <v>11161</v>
      </c>
      <c r="S1909" s="705">
        <v>10147</v>
      </c>
      <c r="T1909">
        <v>0</v>
      </c>
      <c r="U1909">
        <v>0</v>
      </c>
      <c r="V1909" s="705">
        <v>51014</v>
      </c>
      <c r="W1909" s="705">
        <f t="shared" si="76"/>
        <v>51015</v>
      </c>
      <c r="X1909" s="705">
        <f t="shared" si="77"/>
        <v>59303</v>
      </c>
    </row>
    <row r="1910" spans="2:24">
      <c r="B1910" t="s">
        <v>554</v>
      </c>
      <c r="C1910" t="s">
        <v>120</v>
      </c>
      <c r="D1910" t="s">
        <v>228</v>
      </c>
      <c r="E1910" t="s">
        <v>228</v>
      </c>
      <c r="F1910">
        <v>398</v>
      </c>
      <c r="G1910" s="705">
        <v>26668</v>
      </c>
      <c r="H1910" s="705">
        <v>131631</v>
      </c>
      <c r="I1910" s="705">
        <v>5280987</v>
      </c>
      <c r="J1910" s="705">
        <v>1955921</v>
      </c>
      <c r="K1910">
        <v>100</v>
      </c>
      <c r="L1910" s="705">
        <v>517849</v>
      </c>
      <c r="M1910" s="705">
        <v>3968053</v>
      </c>
      <c r="N1910" s="705">
        <v>565726</v>
      </c>
      <c r="O1910" s="705">
        <v>209528</v>
      </c>
      <c r="P1910" s="705">
        <v>2044</v>
      </c>
      <c r="Q1910">
        <v>757</v>
      </c>
      <c r="R1910" s="705">
        <v>2447966</v>
      </c>
      <c r="S1910" s="705">
        <v>906654</v>
      </c>
      <c r="T1910" s="705">
        <v>8000</v>
      </c>
      <c r="U1910" s="705">
        <v>2963</v>
      </c>
      <c r="V1910" s="705">
        <v>7043877</v>
      </c>
      <c r="W1910" s="705">
        <f t="shared" si="76"/>
        <v>7043876</v>
      </c>
      <c r="X1910" s="705">
        <f t="shared" si="77"/>
        <v>8822572</v>
      </c>
    </row>
    <row r="1911" spans="2:24">
      <c r="B1911" t="s">
        <v>554</v>
      </c>
      <c r="C1911" t="s">
        <v>120</v>
      </c>
      <c r="D1911" t="s">
        <v>583</v>
      </c>
      <c r="E1911" t="s">
        <v>228</v>
      </c>
      <c r="F1911">
        <v>2</v>
      </c>
      <c r="G1911">
        <v>125</v>
      </c>
      <c r="H1911">
        <v>687</v>
      </c>
      <c r="I1911" s="705">
        <v>27280</v>
      </c>
      <c r="J1911" s="705">
        <v>24800</v>
      </c>
      <c r="K1911">
        <v>85</v>
      </c>
      <c r="L1911" s="705">
        <v>3655</v>
      </c>
      <c r="M1911" s="705">
        <v>3323</v>
      </c>
      <c r="N1911" s="705">
        <v>2725</v>
      </c>
      <c r="O1911" s="705">
        <v>1009</v>
      </c>
      <c r="P1911" s="705">
        <v>1242</v>
      </c>
      <c r="Q1911">
        <v>460</v>
      </c>
      <c r="R1911" s="705">
        <v>7803</v>
      </c>
      <c r="S1911" s="705">
        <v>2890</v>
      </c>
      <c r="T1911">
        <v>0</v>
      </c>
      <c r="U1911">
        <v>0</v>
      </c>
      <c r="V1911" s="705">
        <v>32483</v>
      </c>
      <c r="W1911" s="705">
        <f t="shared" si="76"/>
        <v>32482</v>
      </c>
      <c r="X1911" s="705">
        <f t="shared" si="77"/>
        <v>42705</v>
      </c>
    </row>
    <row r="1912" spans="2:24">
      <c r="B1912" t="s">
        <v>554</v>
      </c>
      <c r="C1912" t="s">
        <v>120</v>
      </c>
      <c r="D1912" t="s">
        <v>583</v>
      </c>
      <c r="E1912" t="s">
        <v>583</v>
      </c>
      <c r="F1912">
        <v>8</v>
      </c>
      <c r="G1912">
        <v>622</v>
      </c>
      <c r="H1912" s="705">
        <v>2626</v>
      </c>
      <c r="I1912" s="705">
        <v>116266</v>
      </c>
      <c r="J1912" s="705">
        <v>105696</v>
      </c>
      <c r="K1912">
        <v>81</v>
      </c>
      <c r="L1912" s="705">
        <v>23556</v>
      </c>
      <c r="M1912" s="705">
        <v>20875</v>
      </c>
      <c r="N1912" s="705">
        <v>12721</v>
      </c>
      <c r="O1912" s="705">
        <v>4712</v>
      </c>
      <c r="P1912" s="705">
        <v>5319</v>
      </c>
      <c r="Q1912" s="705">
        <v>1970</v>
      </c>
      <c r="R1912" s="705">
        <v>34962</v>
      </c>
      <c r="S1912" s="705">
        <v>31784</v>
      </c>
      <c r="T1912" s="705">
        <v>11200</v>
      </c>
      <c r="U1912" s="705">
        <v>4148</v>
      </c>
      <c r="V1912" s="705">
        <v>169185</v>
      </c>
      <c r="W1912" s="705">
        <f t="shared" si="76"/>
        <v>169185</v>
      </c>
      <c r="X1912" s="705">
        <f t="shared" si="77"/>
        <v>204024</v>
      </c>
    </row>
    <row r="1913" spans="2:24">
      <c r="B1913" t="s">
        <v>554</v>
      </c>
      <c r="C1913" t="s">
        <v>120</v>
      </c>
      <c r="D1913" t="s">
        <v>666</v>
      </c>
      <c r="E1913" t="s">
        <v>666</v>
      </c>
      <c r="F1913">
        <v>1</v>
      </c>
      <c r="G1913">
        <v>33</v>
      </c>
      <c r="H1913">
        <v>330</v>
      </c>
      <c r="I1913" s="705">
        <v>4463</v>
      </c>
      <c r="J1913" s="705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705">
        <v>3883</v>
      </c>
      <c r="S1913" s="705">
        <v>3530</v>
      </c>
      <c r="T1913" s="705">
        <v>1495</v>
      </c>
      <c r="U1913">
        <v>554</v>
      </c>
      <c r="V1913" s="705">
        <v>8532</v>
      </c>
      <c r="W1913" s="705">
        <f t="shared" si="76"/>
        <v>8533</v>
      </c>
      <c r="X1913" s="705">
        <f t="shared" si="77"/>
        <v>10896</v>
      </c>
    </row>
    <row r="1914" spans="2:24">
      <c r="B1914" t="s">
        <v>554</v>
      </c>
      <c r="C1914" t="s">
        <v>120</v>
      </c>
      <c r="D1914" t="s">
        <v>669</v>
      </c>
      <c r="E1914" t="s">
        <v>669</v>
      </c>
      <c r="F1914">
        <v>15</v>
      </c>
      <c r="G1914">
        <v>835</v>
      </c>
      <c r="H1914" s="705">
        <v>5085</v>
      </c>
      <c r="I1914" s="705">
        <v>150764</v>
      </c>
      <c r="J1914" s="705">
        <v>125637</v>
      </c>
      <c r="K1914">
        <v>56</v>
      </c>
      <c r="L1914" s="705">
        <v>2785</v>
      </c>
      <c r="M1914" s="705">
        <v>2144</v>
      </c>
      <c r="N1914" s="705">
        <v>17475</v>
      </c>
      <c r="O1914" s="705">
        <v>6472</v>
      </c>
      <c r="P1914" s="705">
        <v>5265</v>
      </c>
      <c r="Q1914" s="705">
        <v>1950</v>
      </c>
      <c r="R1914" s="705">
        <v>75927</v>
      </c>
      <c r="S1914" s="705">
        <v>63272</v>
      </c>
      <c r="T1914" s="705">
        <v>30078</v>
      </c>
      <c r="U1914" s="705">
        <v>11140</v>
      </c>
      <c r="V1914" s="705">
        <v>210616</v>
      </c>
      <c r="W1914" s="705">
        <f t="shared" si="76"/>
        <v>210615</v>
      </c>
      <c r="X1914" s="705">
        <f t="shared" si="77"/>
        <v>282294</v>
      </c>
    </row>
    <row r="1915" spans="2:24">
      <c r="B1915" t="s">
        <v>554</v>
      </c>
      <c r="C1915" t="s">
        <v>122</v>
      </c>
      <c r="D1915" t="s">
        <v>228</v>
      </c>
      <c r="E1915" t="s">
        <v>228</v>
      </c>
      <c r="F1915">
        <v>65</v>
      </c>
      <c r="G1915" s="705">
        <v>3652</v>
      </c>
      <c r="H1915" s="705">
        <v>26306</v>
      </c>
      <c r="I1915" s="705">
        <v>947487</v>
      </c>
      <c r="J1915" s="705">
        <v>350921</v>
      </c>
      <c r="K1915">
        <v>100</v>
      </c>
      <c r="L1915" s="705">
        <v>91335</v>
      </c>
      <c r="M1915" s="705">
        <v>1493090</v>
      </c>
      <c r="N1915" s="705">
        <v>73755</v>
      </c>
      <c r="O1915" s="705">
        <v>27317</v>
      </c>
      <c r="P1915">
        <v>351</v>
      </c>
      <c r="Q1915">
        <v>130</v>
      </c>
      <c r="R1915" s="705">
        <v>372002</v>
      </c>
      <c r="S1915" s="705">
        <v>137779</v>
      </c>
      <c r="T1915" s="705">
        <v>2038</v>
      </c>
      <c r="U1915">
        <v>755</v>
      </c>
      <c r="V1915" s="705">
        <v>2009991</v>
      </c>
      <c r="W1915" s="705">
        <f t="shared" si="76"/>
        <v>2009992</v>
      </c>
      <c r="X1915" s="705">
        <f t="shared" si="77"/>
        <v>1486968</v>
      </c>
    </row>
    <row r="1916" spans="2:24">
      <c r="B1916" t="s">
        <v>554</v>
      </c>
      <c r="C1916" t="s">
        <v>122</v>
      </c>
      <c r="D1916" t="s">
        <v>583</v>
      </c>
      <c r="E1916" t="s">
        <v>228</v>
      </c>
      <c r="F1916">
        <v>1</v>
      </c>
      <c r="G1916">
        <v>82</v>
      </c>
      <c r="H1916">
        <v>442</v>
      </c>
      <c r="I1916" s="705">
        <v>28199</v>
      </c>
      <c r="J1916" s="705">
        <v>25636</v>
      </c>
      <c r="K1916">
        <v>65</v>
      </c>
      <c r="L1916">
        <v>0</v>
      </c>
      <c r="M1916">
        <v>0</v>
      </c>
      <c r="N1916" s="705">
        <v>1992</v>
      </c>
      <c r="O1916">
        <v>738</v>
      </c>
      <c r="P1916">
        <v>621</v>
      </c>
      <c r="Q1916">
        <v>230</v>
      </c>
      <c r="R1916" s="705">
        <v>5284</v>
      </c>
      <c r="S1916" s="705">
        <v>1957</v>
      </c>
      <c r="T1916">
        <v>0</v>
      </c>
      <c r="U1916">
        <v>0</v>
      </c>
      <c r="V1916" s="705">
        <v>28560</v>
      </c>
      <c r="W1916" s="705">
        <f t="shared" si="76"/>
        <v>28561</v>
      </c>
      <c r="X1916" s="705">
        <f t="shared" si="77"/>
        <v>36096</v>
      </c>
    </row>
    <row r="1917" spans="2:24">
      <c r="B1917" t="s">
        <v>554</v>
      </c>
      <c r="C1917" t="s">
        <v>122</v>
      </c>
      <c r="D1917" t="s">
        <v>583</v>
      </c>
      <c r="E1917" t="s">
        <v>583</v>
      </c>
      <c r="F1917">
        <v>3</v>
      </c>
      <c r="G1917">
        <v>278</v>
      </c>
      <c r="H1917" s="705">
        <v>1209</v>
      </c>
      <c r="I1917" s="705">
        <v>87171</v>
      </c>
      <c r="J1917" s="705">
        <v>79246</v>
      </c>
      <c r="K1917">
        <v>70</v>
      </c>
      <c r="L1917" s="705">
        <v>19516</v>
      </c>
      <c r="M1917" s="705">
        <v>15903</v>
      </c>
      <c r="N1917" s="705">
        <v>7272</v>
      </c>
      <c r="O1917" s="705">
        <v>2693</v>
      </c>
      <c r="P1917" s="705">
        <v>1863</v>
      </c>
      <c r="Q1917">
        <v>690</v>
      </c>
      <c r="R1917" s="705">
        <v>12841</v>
      </c>
      <c r="S1917" s="705">
        <v>11673</v>
      </c>
      <c r="T1917" s="705">
        <v>7197</v>
      </c>
      <c r="U1917" s="705">
        <v>2666</v>
      </c>
      <c r="V1917" s="705">
        <v>112872</v>
      </c>
      <c r="W1917" s="705">
        <f t="shared" si="76"/>
        <v>112871</v>
      </c>
      <c r="X1917" s="705">
        <f t="shared" si="77"/>
        <v>135860</v>
      </c>
    </row>
    <row r="1918" spans="2:24">
      <c r="B1918" t="s">
        <v>554</v>
      </c>
      <c r="C1918" t="s">
        <v>122</v>
      </c>
      <c r="D1918" t="s">
        <v>666</v>
      </c>
      <c r="E1918" t="s">
        <v>666</v>
      </c>
      <c r="F1918">
        <v>1</v>
      </c>
      <c r="G1918">
        <v>57</v>
      </c>
      <c r="H1918">
        <v>407</v>
      </c>
      <c r="I1918" s="705">
        <v>13132</v>
      </c>
      <c r="J1918" s="705">
        <v>11938</v>
      </c>
      <c r="K1918">
        <v>55</v>
      </c>
      <c r="L1918" s="705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705">
        <v>5081</v>
      </c>
      <c r="S1918" s="705">
        <v>4619</v>
      </c>
      <c r="T1918" s="705">
        <v>2291</v>
      </c>
      <c r="U1918">
        <v>849</v>
      </c>
      <c r="V1918" s="705">
        <v>18392</v>
      </c>
      <c r="W1918" s="705">
        <f t="shared" si="76"/>
        <v>18393</v>
      </c>
      <c r="X1918" s="705">
        <f t="shared" si="77"/>
        <v>23167</v>
      </c>
    </row>
    <row r="1919" spans="2:24">
      <c r="B1919" t="s">
        <v>554</v>
      </c>
      <c r="C1919" t="s">
        <v>122</v>
      </c>
      <c r="D1919" t="s">
        <v>669</v>
      </c>
      <c r="E1919" t="s">
        <v>669</v>
      </c>
      <c r="F1919">
        <v>2</v>
      </c>
      <c r="G1919">
        <v>72</v>
      </c>
      <c r="H1919">
        <v>806</v>
      </c>
      <c r="I1919" s="705">
        <v>12260</v>
      </c>
      <c r="J1919" s="705">
        <v>10216</v>
      </c>
      <c r="K1919">
        <v>55</v>
      </c>
      <c r="L1919">
        <v>0</v>
      </c>
      <c r="M1919">
        <v>0</v>
      </c>
      <c r="N1919" s="705">
        <v>1241</v>
      </c>
      <c r="O1919">
        <v>460</v>
      </c>
      <c r="P1919">
        <v>702</v>
      </c>
      <c r="Q1919">
        <v>260</v>
      </c>
      <c r="R1919" s="705">
        <v>10523</v>
      </c>
      <c r="S1919" s="705">
        <v>8769</v>
      </c>
      <c r="T1919" s="705">
        <v>4240</v>
      </c>
      <c r="U1919" s="705">
        <v>1570</v>
      </c>
      <c r="V1919" s="705">
        <v>21276</v>
      </c>
      <c r="W1919" s="705">
        <f t="shared" si="76"/>
        <v>21275</v>
      </c>
      <c r="X1919" s="705">
        <f t="shared" si="77"/>
        <v>28966</v>
      </c>
    </row>
    <row r="1920" spans="2:24">
      <c r="B1920" t="s">
        <v>554</v>
      </c>
      <c r="C1920" t="s">
        <v>122</v>
      </c>
      <c r="D1920" t="s">
        <v>665</v>
      </c>
      <c r="E1920" t="s">
        <v>665</v>
      </c>
      <c r="F1920">
        <v>2</v>
      </c>
      <c r="G1920">
        <v>106</v>
      </c>
      <c r="H1920">
        <v>867</v>
      </c>
      <c r="I1920" s="705">
        <v>24499</v>
      </c>
      <c r="J1920" s="705">
        <v>22272</v>
      </c>
      <c r="K1920">
        <v>45</v>
      </c>
      <c r="L1920">
        <v>0</v>
      </c>
      <c r="M1920">
        <v>0</v>
      </c>
      <c r="N1920" s="705">
        <v>2496</v>
      </c>
      <c r="O1920">
        <v>925</v>
      </c>
      <c r="P1920">
        <v>702</v>
      </c>
      <c r="Q1920">
        <v>260</v>
      </c>
      <c r="R1920" s="705">
        <v>13194</v>
      </c>
      <c r="S1920" s="705">
        <v>11994</v>
      </c>
      <c r="T1920" s="705">
        <v>5004</v>
      </c>
      <c r="U1920" s="705">
        <v>1853</v>
      </c>
      <c r="V1920" s="705">
        <v>37304</v>
      </c>
      <c r="W1920" s="705">
        <f t="shared" si="76"/>
        <v>37304</v>
      </c>
      <c r="X1920" s="705">
        <f t="shared" si="77"/>
        <v>45895</v>
      </c>
    </row>
    <row r="1921" spans="2:24">
      <c r="B1921" t="s">
        <v>554</v>
      </c>
      <c r="C1921" t="s">
        <v>124</v>
      </c>
      <c r="F1921">
        <v>2</v>
      </c>
      <c r="G1921">
        <v>178</v>
      </c>
      <c r="H1921" s="705">
        <v>1082</v>
      </c>
      <c r="J1921">
        <v>0</v>
      </c>
      <c r="M1921">
        <v>0</v>
      </c>
      <c r="N1921" s="705">
        <v>4328</v>
      </c>
      <c r="O1921" s="705">
        <v>1603</v>
      </c>
      <c r="P1921" s="705">
        <v>1242</v>
      </c>
      <c r="Q1921">
        <v>460</v>
      </c>
      <c r="S1921">
        <v>0</v>
      </c>
      <c r="T1921">
        <v>0</v>
      </c>
      <c r="U1921">
        <v>0</v>
      </c>
      <c r="V1921" s="705">
        <v>2063</v>
      </c>
      <c r="W1921" s="705">
        <f t="shared" si="76"/>
        <v>2063</v>
      </c>
      <c r="X1921" s="705">
        <f t="shared" si="77"/>
        <v>5570</v>
      </c>
    </row>
    <row r="1922" spans="2:24">
      <c r="B1922" t="s">
        <v>554</v>
      </c>
      <c r="C1922" t="s">
        <v>124</v>
      </c>
      <c r="D1922" t="s">
        <v>664</v>
      </c>
      <c r="E1922" t="s">
        <v>228</v>
      </c>
      <c r="F1922">
        <v>1</v>
      </c>
      <c r="G1922">
        <v>120</v>
      </c>
      <c r="H1922">
        <v>462</v>
      </c>
      <c r="I1922" s="705">
        <v>40138</v>
      </c>
      <c r="J1922" s="705">
        <v>36489</v>
      </c>
      <c r="K1922">
        <v>65</v>
      </c>
      <c r="L1922" s="705">
        <v>4594</v>
      </c>
      <c r="M1922" s="705">
        <v>4176</v>
      </c>
      <c r="N1922" s="705">
        <v>2701</v>
      </c>
      <c r="O1922" s="705">
        <v>1001</v>
      </c>
      <c r="P1922">
        <v>824</v>
      </c>
      <c r="Q1922">
        <v>305</v>
      </c>
      <c r="R1922" s="705">
        <v>7106</v>
      </c>
      <c r="S1922" s="705">
        <v>2632</v>
      </c>
      <c r="T1922">
        <v>0</v>
      </c>
      <c r="U1922">
        <v>0</v>
      </c>
      <c r="V1922" s="705">
        <v>44603</v>
      </c>
      <c r="W1922" s="705">
        <f t="shared" si="76"/>
        <v>44603</v>
      </c>
      <c r="X1922" s="705">
        <f t="shared" si="77"/>
        <v>55363</v>
      </c>
    </row>
    <row r="1923" spans="2:24">
      <c r="B1923" t="s">
        <v>554</v>
      </c>
      <c r="C1923" t="s">
        <v>124</v>
      </c>
      <c r="D1923" t="s">
        <v>582</v>
      </c>
      <c r="E1923" t="s">
        <v>582</v>
      </c>
      <c r="F1923">
        <v>1</v>
      </c>
      <c r="G1923">
        <v>81</v>
      </c>
      <c r="H1923">
        <v>476</v>
      </c>
      <c r="I1923" s="705">
        <v>27144</v>
      </c>
      <c r="J1923" s="705">
        <v>24676</v>
      </c>
      <c r="K1923">
        <v>65</v>
      </c>
      <c r="L1923" s="705">
        <v>3921</v>
      </c>
      <c r="M1923" s="705">
        <v>3564</v>
      </c>
      <c r="N1923" s="705">
        <v>1755</v>
      </c>
      <c r="O1923">
        <v>650</v>
      </c>
      <c r="P1923">
        <v>621</v>
      </c>
      <c r="Q1923">
        <v>230</v>
      </c>
      <c r="R1923" s="705">
        <v>3596</v>
      </c>
      <c r="S1923" s="705">
        <v>3269</v>
      </c>
      <c r="T1923" s="705">
        <v>1739</v>
      </c>
      <c r="U1923">
        <v>644</v>
      </c>
      <c r="V1923" s="705">
        <v>33034</v>
      </c>
      <c r="W1923" s="705">
        <f t="shared" si="76"/>
        <v>33033</v>
      </c>
      <c r="X1923" s="705">
        <f t="shared" si="77"/>
        <v>38776</v>
      </c>
    </row>
    <row r="1924" spans="2:24">
      <c r="B1924" t="s">
        <v>554</v>
      </c>
      <c r="C1924" t="s">
        <v>124</v>
      </c>
      <c r="D1924" t="s">
        <v>582</v>
      </c>
      <c r="E1924" t="s">
        <v>228</v>
      </c>
      <c r="F1924">
        <v>1</v>
      </c>
      <c r="G1924">
        <v>75</v>
      </c>
      <c r="H1924">
        <v>550</v>
      </c>
      <c r="I1924" s="705">
        <v>30665</v>
      </c>
      <c r="J1924" s="705">
        <v>27877</v>
      </c>
      <c r="K1924">
        <v>55</v>
      </c>
      <c r="L1924" s="705">
        <v>2823</v>
      </c>
      <c r="M1924" s="705">
        <v>2566</v>
      </c>
      <c r="N1924" s="705">
        <v>1732</v>
      </c>
      <c r="O1924">
        <v>641</v>
      </c>
      <c r="P1924">
        <v>621</v>
      </c>
      <c r="Q1924">
        <v>230</v>
      </c>
      <c r="R1924" s="705">
        <v>5263</v>
      </c>
      <c r="S1924" s="705">
        <v>1949</v>
      </c>
      <c r="T1924">
        <v>0</v>
      </c>
      <c r="U1924">
        <v>0</v>
      </c>
      <c r="V1924" s="705">
        <v>33264</v>
      </c>
      <c r="W1924" s="705">
        <f t="shared" si="76"/>
        <v>33263</v>
      </c>
      <c r="X1924" s="705">
        <f t="shared" si="77"/>
        <v>41104</v>
      </c>
    </row>
    <row r="1925" spans="2:24">
      <c r="B1925" t="s">
        <v>554</v>
      </c>
      <c r="C1925" t="s">
        <v>124</v>
      </c>
      <c r="D1925" t="s">
        <v>228</v>
      </c>
      <c r="E1925" t="s">
        <v>228</v>
      </c>
      <c r="F1925">
        <v>33</v>
      </c>
      <c r="G1925" s="705">
        <v>1668</v>
      </c>
      <c r="H1925" s="705">
        <v>20069</v>
      </c>
      <c r="I1925" s="705">
        <v>727238</v>
      </c>
      <c r="J1925" s="705">
        <v>269347</v>
      </c>
      <c r="K1925">
        <v>100</v>
      </c>
      <c r="L1925" s="705">
        <v>90784</v>
      </c>
      <c r="M1925" s="705">
        <v>56179</v>
      </c>
      <c r="N1925" s="705">
        <v>36591</v>
      </c>
      <c r="O1925" s="705">
        <v>13552</v>
      </c>
      <c r="P1925">
        <v>0</v>
      </c>
      <c r="Q1925">
        <v>0</v>
      </c>
      <c r="R1925" s="705">
        <v>175186</v>
      </c>
      <c r="S1925" s="705">
        <v>64884</v>
      </c>
      <c r="T1925" s="705">
        <v>1661</v>
      </c>
      <c r="U1925">
        <v>615</v>
      </c>
      <c r="V1925" s="705">
        <v>404577</v>
      </c>
      <c r="W1925" s="705">
        <f t="shared" si="76"/>
        <v>404577</v>
      </c>
      <c r="X1925" s="705">
        <f t="shared" si="77"/>
        <v>1031460</v>
      </c>
    </row>
    <row r="1926" spans="2:24">
      <c r="B1926" t="s">
        <v>554</v>
      </c>
      <c r="C1926" t="s">
        <v>124</v>
      </c>
      <c r="D1926" t="s">
        <v>228</v>
      </c>
      <c r="E1926" t="s">
        <v>665</v>
      </c>
      <c r="F1926">
        <v>1</v>
      </c>
      <c r="G1926">
        <v>48</v>
      </c>
      <c r="H1926">
        <v>625</v>
      </c>
      <c r="I1926" s="705">
        <v>17791</v>
      </c>
      <c r="J1926" s="705">
        <v>6589</v>
      </c>
      <c r="K1926">
        <v>100</v>
      </c>
      <c r="L1926" s="705">
        <v>2558</v>
      </c>
      <c r="M1926" s="705">
        <v>2326</v>
      </c>
      <c r="N1926" s="705">
        <v>1179</v>
      </c>
      <c r="O1926">
        <v>437</v>
      </c>
      <c r="P1926">
        <v>0</v>
      </c>
      <c r="Q1926">
        <v>0</v>
      </c>
      <c r="R1926" s="705">
        <v>6123</v>
      </c>
      <c r="S1926" s="705">
        <v>5567</v>
      </c>
      <c r="T1926" s="705">
        <v>2614</v>
      </c>
      <c r="U1926">
        <v>968</v>
      </c>
      <c r="V1926" s="705">
        <v>15887</v>
      </c>
      <c r="W1926" s="705">
        <f t="shared" si="76"/>
        <v>15887</v>
      </c>
      <c r="X1926" s="705">
        <f t="shared" si="77"/>
        <v>30265</v>
      </c>
    </row>
    <row r="1927" spans="2:24">
      <c r="B1927" t="s">
        <v>554</v>
      </c>
      <c r="C1927" t="s">
        <v>124</v>
      </c>
      <c r="D1927" t="s">
        <v>583</v>
      </c>
      <c r="E1927" t="s">
        <v>583</v>
      </c>
      <c r="F1927">
        <v>6</v>
      </c>
      <c r="G1927">
        <v>461</v>
      </c>
      <c r="H1927" s="705">
        <v>3251</v>
      </c>
      <c r="I1927" s="705">
        <v>170700</v>
      </c>
      <c r="J1927" s="705">
        <v>155182</v>
      </c>
      <c r="K1927">
        <v>70</v>
      </c>
      <c r="L1927" s="705">
        <v>29130</v>
      </c>
      <c r="M1927" s="705">
        <v>22474</v>
      </c>
      <c r="N1927" s="705">
        <v>9519</v>
      </c>
      <c r="O1927" s="705">
        <v>3526</v>
      </c>
      <c r="P1927" s="705">
        <v>3375</v>
      </c>
      <c r="Q1927" s="705">
        <v>1250</v>
      </c>
      <c r="R1927" s="705">
        <v>24854</v>
      </c>
      <c r="S1927" s="705">
        <v>22595</v>
      </c>
      <c r="T1927" s="705">
        <v>14011</v>
      </c>
      <c r="U1927" s="705">
        <v>5189</v>
      </c>
      <c r="V1927" s="705">
        <v>210216</v>
      </c>
      <c r="W1927" s="705">
        <f t="shared" si="76"/>
        <v>210216</v>
      </c>
      <c r="X1927" s="705">
        <f t="shared" si="77"/>
        <v>251589</v>
      </c>
    </row>
    <row r="1928" spans="2:24">
      <c r="B1928" t="s">
        <v>554</v>
      </c>
      <c r="C1928" t="s">
        <v>124</v>
      </c>
      <c r="D1928" t="s">
        <v>669</v>
      </c>
      <c r="E1928" t="s">
        <v>228</v>
      </c>
      <c r="F1928">
        <v>1</v>
      </c>
      <c r="G1928">
        <v>56</v>
      </c>
      <c r="H1928" s="705">
        <v>1368</v>
      </c>
      <c r="I1928" s="705">
        <v>65682</v>
      </c>
      <c r="J1928" s="705">
        <v>54735</v>
      </c>
      <c r="K1928">
        <v>30</v>
      </c>
      <c r="L1928" s="705">
        <v>4926</v>
      </c>
      <c r="M1928" s="705">
        <v>1824</v>
      </c>
      <c r="N1928" s="705">
        <v>1239</v>
      </c>
      <c r="O1928">
        <v>459</v>
      </c>
      <c r="P1928">
        <v>0</v>
      </c>
      <c r="Q1928">
        <v>0</v>
      </c>
      <c r="R1928" s="705">
        <v>4187</v>
      </c>
      <c r="S1928" s="705">
        <v>1551</v>
      </c>
      <c r="T1928">
        <v>0</v>
      </c>
      <c r="U1928">
        <v>0</v>
      </c>
      <c r="V1928" s="705">
        <v>58569</v>
      </c>
      <c r="W1928" s="705">
        <f t="shared" si="76"/>
        <v>58569</v>
      </c>
      <c r="X1928" s="705">
        <f t="shared" si="77"/>
        <v>76034</v>
      </c>
    </row>
    <row r="1929" spans="2:24">
      <c r="B1929" t="s">
        <v>554</v>
      </c>
      <c r="C1929" t="s">
        <v>124</v>
      </c>
      <c r="D1929" t="s">
        <v>669</v>
      </c>
      <c r="E1929" t="s">
        <v>669</v>
      </c>
      <c r="F1929">
        <v>2</v>
      </c>
      <c r="G1929">
        <v>70</v>
      </c>
      <c r="H1929" s="705">
        <v>1184</v>
      </c>
      <c r="I1929" s="705">
        <v>28268</v>
      </c>
      <c r="J1929" s="705">
        <v>23557</v>
      </c>
      <c r="K1929">
        <v>55</v>
      </c>
      <c r="L1929">
        <v>0</v>
      </c>
      <c r="M1929">
        <v>0</v>
      </c>
      <c r="N1929" s="705">
        <v>1406</v>
      </c>
      <c r="O1929">
        <v>521</v>
      </c>
      <c r="P1929">
        <v>702</v>
      </c>
      <c r="Q1929">
        <v>260</v>
      </c>
      <c r="R1929" s="705">
        <v>7833</v>
      </c>
      <c r="S1929" s="705">
        <v>6527</v>
      </c>
      <c r="T1929" s="705">
        <v>2600</v>
      </c>
      <c r="U1929">
        <v>963</v>
      </c>
      <c r="V1929" s="705">
        <v>31828</v>
      </c>
      <c r="W1929" s="705">
        <f t="shared" si="76"/>
        <v>31828</v>
      </c>
      <c r="X1929" s="705">
        <f t="shared" si="77"/>
        <v>40809</v>
      </c>
    </row>
    <row r="1930" spans="2:24">
      <c r="B1930" t="s">
        <v>554</v>
      </c>
      <c r="C1930" t="s">
        <v>124</v>
      </c>
      <c r="D1930" t="s">
        <v>665</v>
      </c>
      <c r="E1930" t="s">
        <v>228</v>
      </c>
      <c r="F1930">
        <v>1</v>
      </c>
      <c r="G1930">
        <v>39</v>
      </c>
      <c r="H1930" s="705">
        <v>1714</v>
      </c>
      <c r="I1930" s="705">
        <v>54603</v>
      </c>
      <c r="J1930" s="705">
        <v>49639</v>
      </c>
      <c r="K1930">
        <v>30</v>
      </c>
      <c r="L1930" s="705">
        <v>4468</v>
      </c>
      <c r="M1930" s="705">
        <v>1655</v>
      </c>
      <c r="N1930">
        <v>949</v>
      </c>
      <c r="O1930">
        <v>352</v>
      </c>
      <c r="P1930">
        <v>0</v>
      </c>
      <c r="Q1930">
        <v>0</v>
      </c>
      <c r="R1930" s="705">
        <v>6745</v>
      </c>
      <c r="S1930" s="705">
        <v>2498</v>
      </c>
      <c r="T1930">
        <v>0</v>
      </c>
      <c r="U1930">
        <v>0</v>
      </c>
      <c r="V1930" s="705">
        <v>54143</v>
      </c>
      <c r="W1930" s="705">
        <f t="shared" si="76"/>
        <v>54144</v>
      </c>
      <c r="X1930" s="705">
        <f t="shared" si="77"/>
        <v>66765</v>
      </c>
    </row>
    <row r="1931" spans="2:24">
      <c r="B1931" t="s">
        <v>554</v>
      </c>
      <c r="C1931" t="s">
        <v>124</v>
      </c>
      <c r="D1931" t="s">
        <v>665</v>
      </c>
      <c r="E1931" t="s">
        <v>665</v>
      </c>
      <c r="F1931">
        <v>1</v>
      </c>
      <c r="G1931">
        <v>84</v>
      </c>
      <c r="H1931">
        <v>824</v>
      </c>
      <c r="I1931" s="705">
        <v>51167</v>
      </c>
      <c r="J1931" s="705">
        <v>46515</v>
      </c>
      <c r="K1931">
        <v>45</v>
      </c>
      <c r="L1931" s="705">
        <v>8528</v>
      </c>
      <c r="M1931" s="705">
        <v>7753</v>
      </c>
      <c r="N1931" s="705">
        <v>1781</v>
      </c>
      <c r="O1931">
        <v>659</v>
      </c>
      <c r="P1931">
        <v>351</v>
      </c>
      <c r="Q1931">
        <v>130</v>
      </c>
      <c r="R1931" s="705">
        <v>5247</v>
      </c>
      <c r="S1931" s="705">
        <v>4770</v>
      </c>
      <c r="T1931" s="705">
        <v>1767</v>
      </c>
      <c r="U1931">
        <v>655</v>
      </c>
      <c r="V1931" s="705">
        <v>60482</v>
      </c>
      <c r="W1931" s="705">
        <f t="shared" si="76"/>
        <v>60482</v>
      </c>
      <c r="X1931" s="705">
        <f t="shared" si="77"/>
        <v>68841</v>
      </c>
    </row>
    <row r="1932" spans="2:24">
      <c r="B1932" t="s">
        <v>715</v>
      </c>
      <c r="C1932" t="s">
        <v>108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705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705">
        <f t="shared" si="76"/>
        <v>559</v>
      </c>
      <c r="X1932" s="705">
        <f t="shared" si="77"/>
        <v>1509</v>
      </c>
    </row>
    <row r="1933" spans="2:24">
      <c r="B1933" t="s">
        <v>715</v>
      </c>
      <c r="C1933" t="s">
        <v>108</v>
      </c>
      <c r="D1933" t="s">
        <v>228</v>
      </c>
      <c r="E1933" t="s">
        <v>228</v>
      </c>
      <c r="F1933">
        <v>1</v>
      </c>
      <c r="G1933">
        <v>80</v>
      </c>
      <c r="H1933">
        <v>72</v>
      </c>
      <c r="I1933" s="705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705">
        <v>6476</v>
      </c>
      <c r="S1933" s="705">
        <v>2398</v>
      </c>
      <c r="T1933">
        <v>0</v>
      </c>
      <c r="U1933">
        <v>0</v>
      </c>
      <c r="V1933" s="705">
        <v>1982</v>
      </c>
      <c r="W1933" s="705">
        <f t="shared" si="76"/>
        <v>3794</v>
      </c>
      <c r="X1933" s="705">
        <f t="shared" si="77"/>
        <v>9839</v>
      </c>
    </row>
    <row r="1934" spans="2:24">
      <c r="B1934" t="s">
        <v>715</v>
      </c>
      <c r="C1934" t="s">
        <v>110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705">
        <v>4893</v>
      </c>
      <c r="O1934" s="705">
        <v>1812</v>
      </c>
      <c r="P1934" s="705">
        <v>1404</v>
      </c>
      <c r="Q1934">
        <v>520</v>
      </c>
      <c r="S1934">
        <v>0</v>
      </c>
      <c r="T1934">
        <v>0</v>
      </c>
      <c r="U1934">
        <v>0</v>
      </c>
      <c r="V1934" s="705">
        <v>2332</v>
      </c>
      <c r="W1934" s="705">
        <f t="shared" si="76"/>
        <v>2332</v>
      </c>
      <c r="X1934" s="705">
        <f t="shared" si="77"/>
        <v>6297</v>
      </c>
    </row>
    <row r="1935" spans="2:24">
      <c r="B1935" t="s">
        <v>715</v>
      </c>
      <c r="C1935" t="s">
        <v>110</v>
      </c>
      <c r="D1935" t="s">
        <v>228</v>
      </c>
      <c r="E1935" t="s">
        <v>228</v>
      </c>
      <c r="F1935">
        <v>5</v>
      </c>
      <c r="G1935">
        <v>400</v>
      </c>
      <c r="H1935">
        <v>468</v>
      </c>
      <c r="I1935" s="705">
        <v>9621</v>
      </c>
      <c r="J1935" s="705">
        <v>3563</v>
      </c>
      <c r="K1935">
        <v>376</v>
      </c>
      <c r="L1935" s="705">
        <v>4956</v>
      </c>
      <c r="M1935" s="705">
        <v>4461</v>
      </c>
      <c r="N1935" s="705">
        <v>4876</v>
      </c>
      <c r="O1935" s="705">
        <v>1806</v>
      </c>
      <c r="P1935" s="705">
        <v>1755</v>
      </c>
      <c r="Q1935">
        <v>650</v>
      </c>
      <c r="R1935" s="705">
        <v>16150</v>
      </c>
      <c r="S1935" s="705">
        <v>5981</v>
      </c>
      <c r="T1935">
        <v>0</v>
      </c>
      <c r="U1935">
        <v>0</v>
      </c>
      <c r="V1935" s="705">
        <v>16461</v>
      </c>
      <c r="W1935" s="705">
        <f t="shared" si="76"/>
        <v>16461</v>
      </c>
      <c r="X1935" s="705">
        <f t="shared" si="77"/>
        <v>37358</v>
      </c>
    </row>
    <row r="1936" spans="2:24">
      <c r="B1936" t="s">
        <v>715</v>
      </c>
      <c r="C1936" t="s">
        <v>112</v>
      </c>
      <c r="D1936" t="s">
        <v>228</v>
      </c>
      <c r="E1936" t="s">
        <v>228</v>
      </c>
      <c r="F1936">
        <v>6</v>
      </c>
      <c r="G1936">
        <v>376</v>
      </c>
      <c r="H1936">
        <v>679</v>
      </c>
      <c r="I1936" s="705">
        <v>10313</v>
      </c>
      <c r="J1936" s="705">
        <v>3820</v>
      </c>
      <c r="K1936">
        <v>342</v>
      </c>
      <c r="L1936" s="705">
        <v>5652</v>
      </c>
      <c r="M1936" s="705">
        <v>5138</v>
      </c>
      <c r="N1936" s="705">
        <v>5329</v>
      </c>
      <c r="O1936" s="705">
        <v>1974</v>
      </c>
      <c r="P1936" s="705">
        <v>1755</v>
      </c>
      <c r="Q1936">
        <v>650</v>
      </c>
      <c r="R1936" s="705">
        <v>19059</v>
      </c>
      <c r="S1936" s="705">
        <v>7059</v>
      </c>
      <c r="T1936">
        <v>0</v>
      </c>
      <c r="U1936">
        <v>0</v>
      </c>
      <c r="V1936" s="705">
        <v>18640</v>
      </c>
      <c r="W1936" s="705">
        <f t="shared" si="76"/>
        <v>18641</v>
      </c>
      <c r="X1936" s="705">
        <f t="shared" si="77"/>
        <v>42108</v>
      </c>
    </row>
    <row r="1937" spans="2:24">
      <c r="B1937" t="s">
        <v>715</v>
      </c>
      <c r="C1937" t="s">
        <v>112</v>
      </c>
      <c r="D1937" t="s">
        <v>583</v>
      </c>
      <c r="E1937" t="s">
        <v>583</v>
      </c>
      <c r="F1937">
        <v>2</v>
      </c>
      <c r="G1937">
        <v>229</v>
      </c>
      <c r="H1937">
        <v>245</v>
      </c>
      <c r="I1937" s="705">
        <v>14201</v>
      </c>
      <c r="J1937" s="705">
        <v>12910</v>
      </c>
      <c r="K1937">
        <v>94</v>
      </c>
      <c r="L1937" s="705">
        <v>2320</v>
      </c>
      <c r="M1937" s="705">
        <v>2109</v>
      </c>
      <c r="N1937" s="705">
        <v>2884</v>
      </c>
      <c r="O1937" s="705">
        <v>1068</v>
      </c>
      <c r="P1937" s="705">
        <v>1242</v>
      </c>
      <c r="Q1937">
        <v>460</v>
      </c>
      <c r="R1937" s="705">
        <v>6641</v>
      </c>
      <c r="S1937" s="705">
        <v>6037</v>
      </c>
      <c r="T1937">
        <v>817</v>
      </c>
      <c r="U1937">
        <v>302</v>
      </c>
      <c r="V1937" s="705">
        <v>22887</v>
      </c>
      <c r="W1937" s="705">
        <f t="shared" si="76"/>
        <v>22886</v>
      </c>
      <c r="X1937" s="705">
        <f t="shared" si="77"/>
        <v>28105</v>
      </c>
    </row>
    <row r="1938" spans="2:24">
      <c r="B1938" t="s">
        <v>715</v>
      </c>
      <c r="C1938" t="s">
        <v>112</v>
      </c>
      <c r="D1938" t="s">
        <v>584</v>
      </c>
      <c r="E1938" t="s">
        <v>584</v>
      </c>
      <c r="F1938">
        <v>2</v>
      </c>
      <c r="G1938">
        <v>186</v>
      </c>
      <c r="H1938">
        <v>231</v>
      </c>
      <c r="I1938" s="705">
        <v>9956</v>
      </c>
      <c r="J1938" s="705">
        <v>9051</v>
      </c>
      <c r="K1938">
        <v>91</v>
      </c>
      <c r="L1938" s="705">
        <v>1681</v>
      </c>
      <c r="M1938" s="705">
        <v>1529</v>
      </c>
      <c r="N1938" s="705">
        <v>4521</v>
      </c>
      <c r="O1938" s="705">
        <v>1674</v>
      </c>
      <c r="P1938">
        <v>945</v>
      </c>
      <c r="Q1938">
        <v>350</v>
      </c>
      <c r="R1938" s="705">
        <v>4294</v>
      </c>
      <c r="S1938" s="705">
        <v>3903</v>
      </c>
      <c r="T1938">
        <v>0</v>
      </c>
      <c r="U1938">
        <v>0</v>
      </c>
      <c r="V1938" s="705">
        <v>16507</v>
      </c>
      <c r="W1938" s="705">
        <f t="shared" si="76"/>
        <v>16507</v>
      </c>
      <c r="X1938" s="705">
        <f t="shared" si="77"/>
        <v>21397</v>
      </c>
    </row>
    <row r="1939" spans="2:24">
      <c r="B1939" t="s">
        <v>715</v>
      </c>
      <c r="C1939" t="s">
        <v>114</v>
      </c>
      <c r="D1939" t="s">
        <v>228</v>
      </c>
      <c r="E1939" t="s">
        <v>228</v>
      </c>
      <c r="F1939">
        <v>22</v>
      </c>
      <c r="G1939" s="705">
        <v>1240</v>
      </c>
      <c r="H1939" s="705">
        <v>3048</v>
      </c>
      <c r="I1939" s="705">
        <v>37864</v>
      </c>
      <c r="J1939" s="705">
        <v>14024</v>
      </c>
      <c r="K1939">
        <v>208</v>
      </c>
      <c r="L1939" s="705">
        <v>8833</v>
      </c>
      <c r="M1939" s="705">
        <v>7274</v>
      </c>
      <c r="N1939" s="705">
        <v>20943</v>
      </c>
      <c r="O1939" s="705">
        <v>7757</v>
      </c>
      <c r="P1939" s="705">
        <v>5616</v>
      </c>
      <c r="Q1939" s="705">
        <v>2080</v>
      </c>
      <c r="R1939" s="705">
        <v>99269</v>
      </c>
      <c r="S1939" s="705">
        <v>36766</v>
      </c>
      <c r="T1939">
        <v>0</v>
      </c>
      <c r="U1939">
        <v>0</v>
      </c>
      <c r="V1939" s="705">
        <v>67901</v>
      </c>
      <c r="W1939" s="705">
        <f t="shared" si="76"/>
        <v>67901</v>
      </c>
      <c r="X1939" s="705">
        <f t="shared" si="77"/>
        <v>172525</v>
      </c>
    </row>
    <row r="1940" spans="2:24">
      <c r="B1940" t="s">
        <v>715</v>
      </c>
      <c r="C1940" t="s">
        <v>114</v>
      </c>
      <c r="D1940" t="s">
        <v>228</v>
      </c>
      <c r="E1940" t="s">
        <v>583</v>
      </c>
      <c r="F1940">
        <v>1</v>
      </c>
      <c r="G1940">
        <v>199</v>
      </c>
      <c r="H1940">
        <v>134</v>
      </c>
      <c r="I1940" s="705">
        <v>16294</v>
      </c>
      <c r="J1940" s="705">
        <v>6035</v>
      </c>
      <c r="K1940">
        <v>342</v>
      </c>
      <c r="L1940" s="705">
        <v>2061</v>
      </c>
      <c r="M1940" s="705">
        <v>1874</v>
      </c>
      <c r="N1940" s="705">
        <v>2427</v>
      </c>
      <c r="O1940">
        <v>899</v>
      </c>
      <c r="P1940">
        <v>972</v>
      </c>
      <c r="Q1940">
        <v>360</v>
      </c>
      <c r="R1940" s="705">
        <v>4936</v>
      </c>
      <c r="S1940" s="705">
        <v>4487</v>
      </c>
      <c r="T1940">
        <v>0</v>
      </c>
      <c r="U1940">
        <v>0</v>
      </c>
      <c r="V1940" s="705">
        <v>13655</v>
      </c>
      <c r="W1940" s="705">
        <f t="shared" si="76"/>
        <v>13655</v>
      </c>
      <c r="X1940" s="705">
        <f t="shared" si="77"/>
        <v>26690</v>
      </c>
    </row>
    <row r="1941" spans="2:24">
      <c r="B1941" t="s">
        <v>715</v>
      </c>
      <c r="C1941" t="s">
        <v>114</v>
      </c>
      <c r="D1941" t="s">
        <v>583</v>
      </c>
      <c r="E1941" t="s">
        <v>583</v>
      </c>
      <c r="F1941">
        <v>6</v>
      </c>
      <c r="G1941" s="705">
        <v>1377</v>
      </c>
      <c r="H1941">
        <v>835</v>
      </c>
      <c r="I1941" s="705">
        <v>101139</v>
      </c>
      <c r="J1941" s="705">
        <v>91944</v>
      </c>
      <c r="K1941">
        <v>89</v>
      </c>
      <c r="L1941" s="705">
        <v>21699</v>
      </c>
      <c r="M1941" s="705">
        <v>18752</v>
      </c>
      <c r="N1941" s="705">
        <v>26030</v>
      </c>
      <c r="O1941" s="705">
        <v>9641</v>
      </c>
      <c r="P1941" s="705">
        <v>3726</v>
      </c>
      <c r="Q1941" s="705">
        <v>1380</v>
      </c>
      <c r="R1941" s="705">
        <v>30309</v>
      </c>
      <c r="S1941" s="705">
        <v>27554</v>
      </c>
      <c r="T1941" s="705">
        <v>6208</v>
      </c>
      <c r="U1941" s="705">
        <v>2299</v>
      </c>
      <c r="V1941" s="705">
        <v>151570</v>
      </c>
      <c r="W1941" s="705">
        <f t="shared" si="76"/>
        <v>151570</v>
      </c>
      <c r="X1941" s="705">
        <f t="shared" si="77"/>
        <v>189111</v>
      </c>
    </row>
    <row r="1942" spans="2:24">
      <c r="B1942" t="s">
        <v>715</v>
      </c>
      <c r="C1942" t="s">
        <v>114</v>
      </c>
      <c r="D1942" t="s">
        <v>583</v>
      </c>
      <c r="E1942" t="s">
        <v>665</v>
      </c>
      <c r="F1942">
        <v>1</v>
      </c>
      <c r="G1942">
        <v>270</v>
      </c>
      <c r="H1942">
        <v>139</v>
      </c>
      <c r="I1942" s="705">
        <v>18966</v>
      </c>
      <c r="J1942" s="705">
        <v>17242</v>
      </c>
      <c r="K1942">
        <v>79</v>
      </c>
      <c r="L1942" s="705">
        <v>5268</v>
      </c>
      <c r="M1942" s="705">
        <v>4789</v>
      </c>
      <c r="N1942" s="705">
        <v>4276</v>
      </c>
      <c r="O1942" s="705">
        <v>1584</v>
      </c>
      <c r="P1942">
        <v>621</v>
      </c>
      <c r="Q1942">
        <v>230</v>
      </c>
      <c r="R1942" s="705">
        <v>8423</v>
      </c>
      <c r="S1942" s="705">
        <v>7658</v>
      </c>
      <c r="T1942">
        <v>0</v>
      </c>
      <c r="U1942">
        <v>0</v>
      </c>
      <c r="V1942" s="705">
        <v>31503</v>
      </c>
      <c r="W1942" s="705">
        <f t="shared" si="76"/>
        <v>31503</v>
      </c>
      <c r="X1942" s="705">
        <f t="shared" si="77"/>
        <v>37554</v>
      </c>
    </row>
    <row r="1943" spans="2:24">
      <c r="B1943" t="s">
        <v>715</v>
      </c>
      <c r="C1943" t="s">
        <v>114</v>
      </c>
      <c r="D1943" t="s">
        <v>584</v>
      </c>
      <c r="E1943" t="s">
        <v>584</v>
      </c>
      <c r="F1943">
        <v>9</v>
      </c>
      <c r="G1943">
        <v>967</v>
      </c>
      <c r="H1943" s="705">
        <v>1234</v>
      </c>
      <c r="I1943" s="705">
        <v>59972</v>
      </c>
      <c r="J1943" s="705">
        <v>54520</v>
      </c>
      <c r="K1943">
        <v>86</v>
      </c>
      <c r="L1943" s="705">
        <v>11411</v>
      </c>
      <c r="M1943" s="705">
        <v>9329</v>
      </c>
      <c r="N1943" s="705">
        <v>17610</v>
      </c>
      <c r="O1943" s="705">
        <v>6522</v>
      </c>
      <c r="P1943" s="705">
        <v>4604</v>
      </c>
      <c r="Q1943" s="705">
        <v>1705</v>
      </c>
      <c r="R1943" s="705">
        <v>36228</v>
      </c>
      <c r="S1943" s="705">
        <v>32935</v>
      </c>
      <c r="T1943" s="705">
        <v>2123</v>
      </c>
      <c r="U1943">
        <v>786</v>
      </c>
      <c r="V1943" s="705">
        <v>105798</v>
      </c>
      <c r="W1943" s="705">
        <f t="shared" si="76"/>
        <v>105797</v>
      </c>
      <c r="X1943" s="705">
        <f t="shared" si="77"/>
        <v>131948</v>
      </c>
    </row>
    <row r="1944" spans="2:24">
      <c r="B1944" t="s">
        <v>715</v>
      </c>
      <c r="C1944" t="s">
        <v>116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705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705">
        <f t="shared" si="76"/>
        <v>671</v>
      </c>
      <c r="X1944" s="705">
        <f t="shared" si="77"/>
        <v>1811</v>
      </c>
    </row>
    <row r="1945" spans="2:24">
      <c r="B1945" t="s">
        <v>715</v>
      </c>
      <c r="C1945" t="s">
        <v>116</v>
      </c>
      <c r="D1945" t="s">
        <v>582</v>
      </c>
      <c r="E1945" t="s">
        <v>582</v>
      </c>
      <c r="F1945">
        <v>4</v>
      </c>
      <c r="G1945">
        <v>320</v>
      </c>
      <c r="H1945">
        <v>836</v>
      </c>
      <c r="I1945" s="705">
        <v>30342</v>
      </c>
      <c r="J1945" s="705">
        <v>27584</v>
      </c>
      <c r="K1945">
        <v>75</v>
      </c>
      <c r="L1945" s="705">
        <v>5388</v>
      </c>
      <c r="M1945" s="705">
        <v>2675</v>
      </c>
      <c r="N1945" s="705">
        <v>5746</v>
      </c>
      <c r="O1945" s="705">
        <v>2128</v>
      </c>
      <c r="P1945" s="705">
        <v>1890</v>
      </c>
      <c r="Q1945">
        <v>700</v>
      </c>
      <c r="R1945" s="705">
        <v>23492</v>
      </c>
      <c r="S1945" s="705">
        <v>21357</v>
      </c>
      <c r="T1945">
        <v>0</v>
      </c>
      <c r="U1945">
        <v>0</v>
      </c>
      <c r="V1945" s="705">
        <v>54443</v>
      </c>
      <c r="W1945" s="705">
        <f t="shared" si="76"/>
        <v>54444</v>
      </c>
      <c r="X1945" s="705">
        <f t="shared" si="77"/>
        <v>66858</v>
      </c>
    </row>
    <row r="1946" spans="2:24">
      <c r="B1946" t="s">
        <v>715</v>
      </c>
      <c r="C1946" t="s">
        <v>116</v>
      </c>
      <c r="D1946" t="s">
        <v>228</v>
      </c>
      <c r="E1946" t="s">
        <v>228</v>
      </c>
      <c r="F1946">
        <v>139</v>
      </c>
      <c r="G1946" s="705">
        <v>9533</v>
      </c>
      <c r="H1946" s="705">
        <v>27524</v>
      </c>
      <c r="I1946" s="705">
        <v>788654</v>
      </c>
      <c r="J1946" s="705">
        <v>292094</v>
      </c>
      <c r="K1946">
        <v>100</v>
      </c>
      <c r="L1946" s="705">
        <v>88585</v>
      </c>
      <c r="M1946" s="705">
        <v>32809</v>
      </c>
      <c r="N1946" s="705">
        <v>191992</v>
      </c>
      <c r="O1946" s="705">
        <v>71108</v>
      </c>
      <c r="P1946" s="705">
        <v>1256</v>
      </c>
      <c r="Q1946">
        <v>465</v>
      </c>
      <c r="R1946" s="705">
        <v>827578</v>
      </c>
      <c r="S1946" s="705">
        <v>306511</v>
      </c>
      <c r="T1946" s="705">
        <v>1697</v>
      </c>
      <c r="U1946">
        <v>629</v>
      </c>
      <c r="V1946" s="705">
        <v>703616</v>
      </c>
      <c r="W1946" s="705">
        <f t="shared" si="76"/>
        <v>703616</v>
      </c>
      <c r="X1946" s="705">
        <f t="shared" si="77"/>
        <v>1899762</v>
      </c>
    </row>
    <row r="1947" spans="2:24">
      <c r="B1947" t="s">
        <v>715</v>
      </c>
      <c r="C1947" t="s">
        <v>116</v>
      </c>
      <c r="D1947" t="s">
        <v>583</v>
      </c>
      <c r="E1947" t="s">
        <v>583</v>
      </c>
      <c r="F1947">
        <v>49</v>
      </c>
      <c r="G1947" s="705">
        <v>6497</v>
      </c>
      <c r="H1947" s="705">
        <v>9389</v>
      </c>
      <c r="I1947" s="705">
        <v>680777</v>
      </c>
      <c r="J1947" s="705">
        <v>618888</v>
      </c>
      <c r="K1947">
        <v>85</v>
      </c>
      <c r="L1947" s="705">
        <v>139857</v>
      </c>
      <c r="M1947" s="705">
        <v>126931</v>
      </c>
      <c r="N1947" s="705">
        <v>128840</v>
      </c>
      <c r="O1947" s="705">
        <v>47719</v>
      </c>
      <c r="P1947" s="705">
        <v>30780</v>
      </c>
      <c r="Q1947" s="705">
        <v>11400</v>
      </c>
      <c r="R1947" s="705">
        <v>236231</v>
      </c>
      <c r="S1947" s="705">
        <v>214755</v>
      </c>
      <c r="T1947" s="705">
        <v>57251</v>
      </c>
      <c r="U1947" s="705">
        <v>21204</v>
      </c>
      <c r="V1947" s="705">
        <v>1040897</v>
      </c>
      <c r="W1947" s="705">
        <f t="shared" si="76"/>
        <v>1040897</v>
      </c>
      <c r="X1947" s="705">
        <f t="shared" si="77"/>
        <v>1273736</v>
      </c>
    </row>
    <row r="1948" spans="2:24">
      <c r="B1948" t="s">
        <v>715</v>
      </c>
      <c r="C1948" t="s">
        <v>116</v>
      </c>
      <c r="D1948" t="s">
        <v>584</v>
      </c>
      <c r="E1948" t="s">
        <v>228</v>
      </c>
      <c r="F1948">
        <v>1</v>
      </c>
      <c r="G1948">
        <v>65</v>
      </c>
      <c r="H1948">
        <v>199</v>
      </c>
      <c r="I1948" s="705">
        <v>6013</v>
      </c>
      <c r="J1948" s="705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705">
        <v>5468</v>
      </c>
      <c r="S1948" s="705">
        <v>2025</v>
      </c>
      <c r="T1948">
        <v>0</v>
      </c>
      <c r="U1948">
        <v>0</v>
      </c>
      <c r="V1948" s="705">
        <v>8034</v>
      </c>
      <c r="W1948" s="705">
        <f t="shared" si="76"/>
        <v>8034</v>
      </c>
      <c r="X1948" s="705">
        <f t="shared" si="77"/>
        <v>12944</v>
      </c>
    </row>
    <row r="1949" spans="2:24">
      <c r="B1949" t="s">
        <v>715</v>
      </c>
      <c r="C1949" t="s">
        <v>116</v>
      </c>
      <c r="D1949" t="s">
        <v>584</v>
      </c>
      <c r="E1949" t="s">
        <v>584</v>
      </c>
      <c r="F1949">
        <v>57</v>
      </c>
      <c r="G1949" s="705">
        <v>4567</v>
      </c>
      <c r="H1949" s="705">
        <v>10931</v>
      </c>
      <c r="I1949" s="705">
        <v>463799</v>
      </c>
      <c r="J1949" s="705">
        <v>421635</v>
      </c>
      <c r="K1949">
        <v>82</v>
      </c>
      <c r="L1949" s="705">
        <v>49429</v>
      </c>
      <c r="M1949" s="705">
        <v>41174</v>
      </c>
      <c r="N1949" s="705">
        <v>86757</v>
      </c>
      <c r="O1949" s="705">
        <v>32132</v>
      </c>
      <c r="P1949" s="705">
        <v>26811</v>
      </c>
      <c r="Q1949" s="705">
        <v>9930</v>
      </c>
      <c r="R1949" s="705">
        <v>217873</v>
      </c>
      <c r="S1949" s="705">
        <v>198066</v>
      </c>
      <c r="T1949" s="705">
        <v>28315</v>
      </c>
      <c r="U1949" s="705">
        <v>10487</v>
      </c>
      <c r="V1949" s="705">
        <v>713425</v>
      </c>
      <c r="W1949" s="705">
        <f t="shared" si="76"/>
        <v>713424</v>
      </c>
      <c r="X1949" s="705">
        <f t="shared" si="77"/>
        <v>872984</v>
      </c>
    </row>
    <row r="1950" spans="2:24">
      <c r="B1950" t="s">
        <v>715</v>
      </c>
      <c r="C1950" t="s">
        <v>118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705">
        <v>1176</v>
      </c>
      <c r="O1950">
        <v>436</v>
      </c>
      <c r="P1950">
        <v>621</v>
      </c>
      <c r="Q1950">
        <v>230</v>
      </c>
      <c r="S1950">
        <v>0</v>
      </c>
      <c r="T1950" s="705">
        <v>1989</v>
      </c>
      <c r="U1950">
        <v>737</v>
      </c>
      <c r="V1950" s="705">
        <v>1402</v>
      </c>
      <c r="W1950" s="705">
        <f t="shared" si="76"/>
        <v>1403</v>
      </c>
      <c r="X1950" s="705">
        <f t="shared" si="77"/>
        <v>3786</v>
      </c>
    </row>
    <row r="1951" spans="2:24">
      <c r="B1951" t="s">
        <v>715</v>
      </c>
      <c r="C1951" t="s">
        <v>118</v>
      </c>
      <c r="D1951" t="s">
        <v>664</v>
      </c>
      <c r="E1951" t="s">
        <v>664</v>
      </c>
      <c r="F1951">
        <v>2</v>
      </c>
      <c r="G1951">
        <v>103</v>
      </c>
      <c r="H1951">
        <v>533</v>
      </c>
      <c r="I1951" s="705">
        <v>14280</v>
      </c>
      <c r="J1951" s="705">
        <v>12982</v>
      </c>
      <c r="K1951">
        <v>83</v>
      </c>
      <c r="L1951" s="705">
        <v>5354</v>
      </c>
      <c r="M1951" s="705">
        <v>3224</v>
      </c>
      <c r="N1951" s="705">
        <v>2107</v>
      </c>
      <c r="O1951">
        <v>780</v>
      </c>
      <c r="P1951">
        <v>945</v>
      </c>
      <c r="Q1951">
        <v>350</v>
      </c>
      <c r="R1951" s="705">
        <v>4020</v>
      </c>
      <c r="S1951" s="705">
        <v>3655</v>
      </c>
      <c r="T1951">
        <v>0</v>
      </c>
      <c r="U1951">
        <v>0</v>
      </c>
      <c r="V1951" s="705">
        <v>20990</v>
      </c>
      <c r="W1951" s="705">
        <f t="shared" si="76"/>
        <v>20991</v>
      </c>
      <c r="X1951" s="705">
        <f t="shared" si="77"/>
        <v>26706</v>
      </c>
    </row>
    <row r="1952" spans="2:24">
      <c r="B1952" t="s">
        <v>715</v>
      </c>
      <c r="C1952" t="s">
        <v>118</v>
      </c>
      <c r="D1952" t="s">
        <v>582</v>
      </c>
      <c r="E1952" t="s">
        <v>582</v>
      </c>
      <c r="F1952">
        <v>2</v>
      </c>
      <c r="G1952">
        <v>129</v>
      </c>
      <c r="H1952">
        <v>474</v>
      </c>
      <c r="I1952" s="705">
        <v>17482</v>
      </c>
      <c r="J1952" s="705">
        <v>15893</v>
      </c>
      <c r="K1952">
        <v>73</v>
      </c>
      <c r="L1952" s="705">
        <v>1568</v>
      </c>
      <c r="M1952">
        <v>581</v>
      </c>
      <c r="N1952" s="705">
        <v>2382</v>
      </c>
      <c r="O1952">
        <v>882</v>
      </c>
      <c r="P1952">
        <v>945</v>
      </c>
      <c r="Q1952">
        <v>350</v>
      </c>
      <c r="R1952" s="705">
        <v>8340</v>
      </c>
      <c r="S1952" s="705">
        <v>7582</v>
      </c>
      <c r="T1952">
        <v>0</v>
      </c>
      <c r="U1952">
        <v>0</v>
      </c>
      <c r="V1952" s="705">
        <v>25288</v>
      </c>
      <c r="W1952" s="705">
        <f t="shared" si="76"/>
        <v>25288</v>
      </c>
      <c r="X1952" s="705">
        <f t="shared" si="77"/>
        <v>30717</v>
      </c>
    </row>
    <row r="1953" spans="2:24">
      <c r="B1953" t="s">
        <v>715</v>
      </c>
      <c r="C1953" t="s">
        <v>118</v>
      </c>
      <c r="D1953" t="s">
        <v>228</v>
      </c>
      <c r="E1953" t="s">
        <v>228</v>
      </c>
      <c r="F1953">
        <v>322</v>
      </c>
      <c r="G1953" s="705">
        <v>19626</v>
      </c>
      <c r="H1953" s="705">
        <v>85629</v>
      </c>
      <c r="I1953" s="705">
        <v>2682072</v>
      </c>
      <c r="J1953" s="705">
        <v>993360</v>
      </c>
      <c r="K1953">
        <v>100</v>
      </c>
      <c r="L1953" s="705">
        <v>216239</v>
      </c>
      <c r="M1953" s="705">
        <v>93055</v>
      </c>
      <c r="N1953" s="705">
        <v>396184</v>
      </c>
      <c r="O1953" s="705">
        <v>146735</v>
      </c>
      <c r="P1953" s="705">
        <v>7260</v>
      </c>
      <c r="Q1953" s="705">
        <v>2689</v>
      </c>
      <c r="R1953" s="705">
        <v>1965492</v>
      </c>
      <c r="S1953" s="705">
        <v>727960</v>
      </c>
      <c r="T1953">
        <v>0</v>
      </c>
      <c r="U1953">
        <v>0</v>
      </c>
      <c r="V1953" s="705">
        <v>1963799</v>
      </c>
      <c r="W1953" s="705">
        <f t="shared" si="76"/>
        <v>1963799</v>
      </c>
      <c r="X1953" s="705">
        <f t="shared" si="77"/>
        <v>5267247</v>
      </c>
    </row>
    <row r="1954" spans="2:24">
      <c r="B1954" t="s">
        <v>715</v>
      </c>
      <c r="C1954" t="s">
        <v>118</v>
      </c>
      <c r="D1954" t="s">
        <v>228</v>
      </c>
      <c r="E1954" t="s">
        <v>665</v>
      </c>
      <c r="F1954">
        <v>1</v>
      </c>
      <c r="G1954">
        <v>47</v>
      </c>
      <c r="H1954">
        <v>289</v>
      </c>
      <c r="I1954" s="705">
        <v>10469</v>
      </c>
      <c r="J1954" s="705">
        <v>3877</v>
      </c>
      <c r="K1954">
        <v>100</v>
      </c>
      <c r="L1954">
        <v>0</v>
      </c>
      <c r="M1954">
        <v>0</v>
      </c>
      <c r="N1954" s="705">
        <v>1146</v>
      </c>
      <c r="O1954">
        <v>424</v>
      </c>
      <c r="P1954">
        <v>0</v>
      </c>
      <c r="Q1954">
        <v>0</v>
      </c>
      <c r="R1954" s="705">
        <v>1993</v>
      </c>
      <c r="S1954" s="705">
        <v>1812</v>
      </c>
      <c r="T1954">
        <v>0</v>
      </c>
      <c r="U1954">
        <v>0</v>
      </c>
      <c r="V1954" s="705">
        <v>6113</v>
      </c>
      <c r="W1954" s="705">
        <f t="shared" si="76"/>
        <v>6113</v>
      </c>
      <c r="X1954" s="705">
        <f t="shared" si="77"/>
        <v>13608</v>
      </c>
    </row>
    <row r="1955" spans="2:24">
      <c r="B1955" t="s">
        <v>715</v>
      </c>
      <c r="C1955" t="s">
        <v>118</v>
      </c>
      <c r="D1955" t="s">
        <v>583</v>
      </c>
      <c r="E1955" t="s">
        <v>228</v>
      </c>
      <c r="F1955">
        <v>3</v>
      </c>
      <c r="G1955">
        <v>219</v>
      </c>
      <c r="H1955">
        <v>857</v>
      </c>
      <c r="I1955" s="705">
        <v>36029</v>
      </c>
      <c r="J1955" s="705">
        <v>32754</v>
      </c>
      <c r="K1955">
        <v>67</v>
      </c>
      <c r="L1955" s="705">
        <v>5604</v>
      </c>
      <c r="M1955" s="705">
        <v>2453</v>
      </c>
      <c r="N1955" s="705">
        <v>3858</v>
      </c>
      <c r="O1955" s="705">
        <v>1429</v>
      </c>
      <c r="P1955" s="705">
        <v>1863</v>
      </c>
      <c r="Q1955">
        <v>690</v>
      </c>
      <c r="R1955" s="705">
        <v>14876</v>
      </c>
      <c r="S1955" s="705">
        <v>5510</v>
      </c>
      <c r="T1955">
        <v>0</v>
      </c>
      <c r="U1955">
        <v>0</v>
      </c>
      <c r="V1955" s="705">
        <v>42835</v>
      </c>
      <c r="W1955" s="705">
        <f t="shared" si="76"/>
        <v>42836</v>
      </c>
      <c r="X1955" s="705">
        <f t="shared" si="77"/>
        <v>62230</v>
      </c>
    </row>
    <row r="1956" spans="2:24">
      <c r="B1956" t="s">
        <v>715</v>
      </c>
      <c r="C1956" t="s">
        <v>118</v>
      </c>
      <c r="D1956" t="s">
        <v>583</v>
      </c>
      <c r="E1956" t="s">
        <v>583</v>
      </c>
      <c r="F1956">
        <v>47</v>
      </c>
      <c r="G1956" s="705">
        <v>4376</v>
      </c>
      <c r="H1956" s="705">
        <v>12454</v>
      </c>
      <c r="I1956" s="705">
        <v>668201</v>
      </c>
      <c r="J1956" s="705">
        <v>607455</v>
      </c>
      <c r="K1956">
        <v>81</v>
      </c>
      <c r="L1956" s="705">
        <v>113425</v>
      </c>
      <c r="M1956" s="705">
        <v>98674</v>
      </c>
      <c r="N1956" s="705">
        <v>90352</v>
      </c>
      <c r="O1956" s="705">
        <v>33464</v>
      </c>
      <c r="P1956" s="705">
        <v>29187</v>
      </c>
      <c r="Q1956" s="705">
        <v>10810</v>
      </c>
      <c r="R1956" s="705">
        <v>212856</v>
      </c>
      <c r="S1956" s="705">
        <v>193506</v>
      </c>
      <c r="T1956" s="705">
        <v>68237</v>
      </c>
      <c r="U1956" s="705">
        <v>25273</v>
      </c>
      <c r="V1956" s="705">
        <v>969181</v>
      </c>
      <c r="W1956" s="705">
        <f t="shared" si="76"/>
        <v>969182</v>
      </c>
      <c r="X1956" s="705">
        <f t="shared" si="77"/>
        <v>1182258</v>
      </c>
    </row>
    <row r="1957" spans="2:24">
      <c r="B1957" t="s">
        <v>715</v>
      </c>
      <c r="C1957" t="s">
        <v>118</v>
      </c>
      <c r="D1957" t="s">
        <v>583</v>
      </c>
      <c r="E1957" t="s">
        <v>665</v>
      </c>
      <c r="F1957">
        <v>1</v>
      </c>
      <c r="G1957">
        <v>137</v>
      </c>
      <c r="H1957">
        <v>268</v>
      </c>
      <c r="I1957" s="705">
        <v>26911</v>
      </c>
      <c r="J1957" s="705">
        <v>24465</v>
      </c>
      <c r="K1957">
        <v>70</v>
      </c>
      <c r="L1957" s="705">
        <v>3314</v>
      </c>
      <c r="M1957" s="705">
        <v>3013</v>
      </c>
      <c r="N1957" s="705">
        <v>2474</v>
      </c>
      <c r="O1957">
        <v>916</v>
      </c>
      <c r="P1957">
        <v>621</v>
      </c>
      <c r="Q1957">
        <v>230</v>
      </c>
      <c r="R1957" s="705">
        <v>2800</v>
      </c>
      <c r="S1957" s="705">
        <v>2546</v>
      </c>
      <c r="T1957">
        <v>617</v>
      </c>
      <c r="U1957">
        <v>229</v>
      </c>
      <c r="V1957" s="705">
        <v>31398</v>
      </c>
      <c r="W1957" s="705">
        <f t="shared" si="76"/>
        <v>31399</v>
      </c>
      <c r="X1957" s="705">
        <f t="shared" si="77"/>
        <v>36737</v>
      </c>
    </row>
    <row r="1958" spans="2:24">
      <c r="B1958" t="s">
        <v>715</v>
      </c>
      <c r="C1958" t="s">
        <v>118</v>
      </c>
      <c r="D1958" t="s">
        <v>584</v>
      </c>
      <c r="E1958" t="s">
        <v>584</v>
      </c>
      <c r="F1958">
        <v>49</v>
      </c>
      <c r="G1958" s="705">
        <v>3047</v>
      </c>
      <c r="H1958" s="705">
        <v>12630</v>
      </c>
      <c r="I1958" s="705">
        <v>445499</v>
      </c>
      <c r="J1958" s="705">
        <v>404999</v>
      </c>
      <c r="K1958">
        <v>79</v>
      </c>
      <c r="L1958" s="705">
        <v>44183</v>
      </c>
      <c r="M1958" s="705">
        <v>37744</v>
      </c>
      <c r="N1958" s="705">
        <v>59973</v>
      </c>
      <c r="O1958" s="705">
        <v>22212</v>
      </c>
      <c r="P1958" s="705">
        <v>23031</v>
      </c>
      <c r="Q1958" s="705">
        <v>8530</v>
      </c>
      <c r="R1958" s="705">
        <v>177613</v>
      </c>
      <c r="S1958" s="705">
        <v>161466</v>
      </c>
      <c r="T1958" s="705">
        <v>37812</v>
      </c>
      <c r="U1958" s="705">
        <v>14005</v>
      </c>
      <c r="V1958" s="705">
        <v>648956</v>
      </c>
      <c r="W1958" s="705">
        <f t="shared" si="76"/>
        <v>648956</v>
      </c>
      <c r="X1958" s="705">
        <f t="shared" si="77"/>
        <v>788111</v>
      </c>
    </row>
    <row r="1959" spans="2:24">
      <c r="B1959" t="s">
        <v>715</v>
      </c>
      <c r="C1959" t="s">
        <v>118</v>
      </c>
      <c r="D1959" t="s">
        <v>665</v>
      </c>
      <c r="E1959" t="s">
        <v>228</v>
      </c>
      <c r="F1959">
        <v>2</v>
      </c>
      <c r="G1959">
        <v>86</v>
      </c>
      <c r="H1959">
        <v>593</v>
      </c>
      <c r="I1959" s="705">
        <v>5691</v>
      </c>
      <c r="J1959" s="705">
        <v>5174</v>
      </c>
      <c r="K1959">
        <v>100</v>
      </c>
      <c r="L1959" s="705">
        <v>11641</v>
      </c>
      <c r="M1959" s="705">
        <v>4312</v>
      </c>
      <c r="N1959" s="705">
        <v>2015</v>
      </c>
      <c r="O1959">
        <v>746</v>
      </c>
      <c r="P1959">
        <v>0</v>
      </c>
      <c r="Q1959">
        <v>0</v>
      </c>
      <c r="R1959" s="705">
        <v>6182</v>
      </c>
      <c r="S1959" s="705">
        <v>2290</v>
      </c>
      <c r="T1959">
        <v>0</v>
      </c>
      <c r="U1959">
        <v>0</v>
      </c>
      <c r="V1959" s="705">
        <v>12521</v>
      </c>
      <c r="W1959" s="705">
        <f t="shared" si="76"/>
        <v>12522</v>
      </c>
      <c r="X1959" s="705">
        <f t="shared" si="77"/>
        <v>25529</v>
      </c>
    </row>
    <row r="1960" spans="2:24">
      <c r="B1960" t="s">
        <v>715</v>
      </c>
      <c r="C1960" t="s">
        <v>118</v>
      </c>
      <c r="D1960" t="s">
        <v>665</v>
      </c>
      <c r="E1960" t="s">
        <v>665</v>
      </c>
      <c r="F1960">
        <v>2</v>
      </c>
      <c r="G1960">
        <v>88</v>
      </c>
      <c r="H1960">
        <v>558</v>
      </c>
      <c r="I1960" s="705">
        <v>10402</v>
      </c>
      <c r="J1960" s="705">
        <v>9456</v>
      </c>
      <c r="K1960">
        <v>65</v>
      </c>
      <c r="L1960">
        <v>0</v>
      </c>
      <c r="M1960">
        <v>0</v>
      </c>
      <c r="N1960" s="705">
        <v>1076</v>
      </c>
      <c r="O1960">
        <v>398</v>
      </c>
      <c r="P1960">
        <v>702</v>
      </c>
      <c r="Q1960">
        <v>260</v>
      </c>
      <c r="R1960" s="705">
        <v>8127</v>
      </c>
      <c r="S1960" s="705">
        <v>7388</v>
      </c>
      <c r="T1960" s="705">
        <v>4213</v>
      </c>
      <c r="U1960" s="705">
        <v>1560</v>
      </c>
      <c r="V1960" s="705">
        <v>19063</v>
      </c>
      <c r="W1960" s="705">
        <f t="shared" si="76"/>
        <v>19062</v>
      </c>
      <c r="X1960" s="705">
        <f t="shared" si="77"/>
        <v>24520</v>
      </c>
    </row>
    <row r="1961" spans="2:24">
      <c r="B1961" t="s">
        <v>715</v>
      </c>
      <c r="C1961" t="s">
        <v>120</v>
      </c>
      <c r="F1961">
        <v>3</v>
      </c>
      <c r="G1961">
        <v>122</v>
      </c>
      <c r="H1961" s="705">
        <v>1010</v>
      </c>
      <c r="J1961">
        <v>0</v>
      </c>
      <c r="M1961">
        <v>0</v>
      </c>
      <c r="N1961" s="705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705">
        <f t="shared" si="76"/>
        <v>801</v>
      </c>
      <c r="X1961" s="705">
        <f t="shared" si="77"/>
        <v>2164</v>
      </c>
    </row>
    <row r="1962" spans="2:24">
      <c r="B1962" t="s">
        <v>715</v>
      </c>
      <c r="C1962" t="s">
        <v>120</v>
      </c>
      <c r="D1962" t="s">
        <v>664</v>
      </c>
      <c r="E1962" t="s">
        <v>664</v>
      </c>
      <c r="F1962">
        <v>1</v>
      </c>
      <c r="G1962">
        <v>52</v>
      </c>
      <c r="H1962">
        <v>341</v>
      </c>
      <c r="I1962" s="705">
        <v>12461</v>
      </c>
      <c r="J1962" s="705">
        <v>11328</v>
      </c>
      <c r="K1962">
        <v>91</v>
      </c>
      <c r="L1962" s="705">
        <v>1996</v>
      </c>
      <c r="M1962" s="705">
        <v>1815</v>
      </c>
      <c r="N1962">
        <v>954</v>
      </c>
      <c r="O1962">
        <v>353</v>
      </c>
      <c r="P1962">
        <v>473</v>
      </c>
      <c r="Q1962">
        <v>175</v>
      </c>
      <c r="R1962" s="705">
        <v>1902</v>
      </c>
      <c r="S1962" s="705">
        <v>1729</v>
      </c>
      <c r="T1962">
        <v>0</v>
      </c>
      <c r="U1962">
        <v>0</v>
      </c>
      <c r="V1962" s="705">
        <v>15400</v>
      </c>
      <c r="W1962" s="705">
        <f t="shared" si="76"/>
        <v>15400</v>
      </c>
      <c r="X1962" s="705">
        <f t="shared" si="77"/>
        <v>17786</v>
      </c>
    </row>
    <row r="1963" spans="2:24">
      <c r="B1963" t="s">
        <v>715</v>
      </c>
      <c r="C1963" t="s">
        <v>120</v>
      </c>
      <c r="D1963" t="s">
        <v>228</v>
      </c>
      <c r="E1963" t="s">
        <v>228</v>
      </c>
      <c r="F1963">
        <v>197</v>
      </c>
      <c r="G1963" s="705">
        <v>11110</v>
      </c>
      <c r="H1963" s="705">
        <v>66656</v>
      </c>
      <c r="I1963" s="705">
        <v>2183800</v>
      </c>
      <c r="J1963" s="705">
        <v>808815</v>
      </c>
      <c r="K1963">
        <v>100</v>
      </c>
      <c r="L1963" s="705">
        <v>173976</v>
      </c>
      <c r="M1963" s="705">
        <v>86408</v>
      </c>
      <c r="N1963" s="705">
        <v>218901</v>
      </c>
      <c r="O1963" s="705">
        <v>81074</v>
      </c>
      <c r="P1963" s="705">
        <v>7192</v>
      </c>
      <c r="Q1963" s="705">
        <v>2664</v>
      </c>
      <c r="R1963" s="705">
        <v>1185770</v>
      </c>
      <c r="S1963" s="705">
        <v>439174</v>
      </c>
      <c r="T1963">
        <v>0</v>
      </c>
      <c r="U1963">
        <v>0</v>
      </c>
      <c r="V1963" s="705">
        <v>1418134</v>
      </c>
      <c r="W1963" s="705">
        <f t="shared" ref="W1963:W2026" si="78">SUM(ABS(J1963),ABS(M1963),ABS(O1963),ABS(Q1963),ABS(S1963),ABS(U1963))</f>
        <v>1418135</v>
      </c>
      <c r="X1963" s="705">
        <f t="shared" ref="X1963:X2026" si="79">SUM(ABS(I1963),ABS(N1963),ABS(P1963),ABS(R1963),ABS(T1963),ABS(L1963))</f>
        <v>3769639</v>
      </c>
    </row>
    <row r="1964" spans="2:24">
      <c r="B1964" t="s">
        <v>715</v>
      </c>
      <c r="C1964" t="s">
        <v>120</v>
      </c>
      <c r="D1964" t="s">
        <v>583</v>
      </c>
      <c r="E1964" t="s">
        <v>228</v>
      </c>
      <c r="F1964">
        <v>2</v>
      </c>
      <c r="G1964">
        <v>105</v>
      </c>
      <c r="H1964">
        <v>665</v>
      </c>
      <c r="I1964" s="705">
        <v>21121</v>
      </c>
      <c r="J1964" s="705">
        <v>19201</v>
      </c>
      <c r="K1964">
        <v>79</v>
      </c>
      <c r="L1964" s="705">
        <v>2484</v>
      </c>
      <c r="M1964" s="705">
        <v>1716</v>
      </c>
      <c r="N1964" s="705">
        <v>2363</v>
      </c>
      <c r="O1964">
        <v>875</v>
      </c>
      <c r="P1964" s="705">
        <v>1242</v>
      </c>
      <c r="Q1964">
        <v>460</v>
      </c>
      <c r="R1964" s="705">
        <v>7854</v>
      </c>
      <c r="S1964" s="705">
        <v>2909</v>
      </c>
      <c r="T1964">
        <v>0</v>
      </c>
      <c r="U1964">
        <v>0</v>
      </c>
      <c r="V1964" s="705">
        <v>25161</v>
      </c>
      <c r="W1964" s="705">
        <f t="shared" si="78"/>
        <v>25161</v>
      </c>
      <c r="X1964" s="705">
        <f t="shared" si="79"/>
        <v>35064</v>
      </c>
    </row>
    <row r="1965" spans="2:24">
      <c r="B1965" t="s">
        <v>715</v>
      </c>
      <c r="C1965" t="s">
        <v>120</v>
      </c>
      <c r="D1965" t="s">
        <v>583</v>
      </c>
      <c r="E1965" t="s">
        <v>583</v>
      </c>
      <c r="F1965">
        <v>23</v>
      </c>
      <c r="G1965" s="705">
        <v>1991</v>
      </c>
      <c r="H1965" s="705">
        <v>7646</v>
      </c>
      <c r="I1965" s="705">
        <v>409573</v>
      </c>
      <c r="J1965" s="705">
        <v>372339</v>
      </c>
      <c r="K1965">
        <v>78</v>
      </c>
      <c r="L1965" s="705">
        <v>60835</v>
      </c>
      <c r="M1965" s="705">
        <v>49160</v>
      </c>
      <c r="N1965" s="705">
        <v>40127</v>
      </c>
      <c r="O1965" s="705">
        <v>14862</v>
      </c>
      <c r="P1965" s="705">
        <v>14283</v>
      </c>
      <c r="Q1965" s="705">
        <v>5290</v>
      </c>
      <c r="R1965" s="705">
        <v>106414</v>
      </c>
      <c r="S1965" s="705">
        <v>96740</v>
      </c>
      <c r="T1965" s="705">
        <v>36329</v>
      </c>
      <c r="U1965" s="705">
        <v>13455</v>
      </c>
      <c r="V1965" s="705">
        <v>551846</v>
      </c>
      <c r="W1965" s="705">
        <f t="shared" si="78"/>
        <v>551846</v>
      </c>
      <c r="X1965" s="705">
        <f t="shared" si="79"/>
        <v>667561</v>
      </c>
    </row>
    <row r="1966" spans="2:24">
      <c r="B1966" t="s">
        <v>715</v>
      </c>
      <c r="C1966" t="s">
        <v>120</v>
      </c>
      <c r="D1966" t="s">
        <v>584</v>
      </c>
      <c r="E1966" t="s">
        <v>584</v>
      </c>
      <c r="F1966">
        <v>14</v>
      </c>
      <c r="G1966">
        <v>674</v>
      </c>
      <c r="H1966" s="705">
        <v>4738</v>
      </c>
      <c r="I1966" s="705">
        <v>131431</v>
      </c>
      <c r="J1966" s="705">
        <v>119483</v>
      </c>
      <c r="K1966">
        <v>77</v>
      </c>
      <c r="L1966" s="705">
        <v>16943</v>
      </c>
      <c r="M1966" s="705">
        <v>13447</v>
      </c>
      <c r="N1966" s="705">
        <v>13752</v>
      </c>
      <c r="O1966" s="705">
        <v>5093</v>
      </c>
      <c r="P1966" s="705">
        <v>6615</v>
      </c>
      <c r="Q1966" s="705">
        <v>2450</v>
      </c>
      <c r="R1966" s="705">
        <v>47025</v>
      </c>
      <c r="S1966" s="705">
        <v>42750</v>
      </c>
      <c r="T1966" s="705">
        <v>13125</v>
      </c>
      <c r="U1966" s="705">
        <v>4861</v>
      </c>
      <c r="V1966" s="705">
        <v>188083</v>
      </c>
      <c r="W1966" s="705">
        <f t="shared" si="78"/>
        <v>188084</v>
      </c>
      <c r="X1966" s="705">
        <f t="shared" si="79"/>
        <v>228891</v>
      </c>
    </row>
    <row r="1967" spans="2:24">
      <c r="B1967" t="s">
        <v>715</v>
      </c>
      <c r="C1967" t="s">
        <v>120</v>
      </c>
      <c r="D1967" t="s">
        <v>665</v>
      </c>
      <c r="E1967" t="s">
        <v>665</v>
      </c>
      <c r="F1967">
        <v>4</v>
      </c>
      <c r="G1967">
        <v>245</v>
      </c>
      <c r="H1967" s="705">
        <v>1311</v>
      </c>
      <c r="I1967" s="705">
        <v>47080</v>
      </c>
      <c r="J1967" s="705">
        <v>42800</v>
      </c>
      <c r="K1967">
        <v>64</v>
      </c>
      <c r="L1967" s="705">
        <v>6708</v>
      </c>
      <c r="M1967" s="705">
        <v>5382</v>
      </c>
      <c r="N1967" s="705">
        <v>3594</v>
      </c>
      <c r="O1967" s="705">
        <v>1331</v>
      </c>
      <c r="P1967" s="705">
        <v>1944</v>
      </c>
      <c r="Q1967">
        <v>720</v>
      </c>
      <c r="R1967" s="705">
        <v>15975</v>
      </c>
      <c r="S1967" s="705">
        <v>14523</v>
      </c>
      <c r="T1967" s="705">
        <v>5516</v>
      </c>
      <c r="U1967" s="705">
        <v>2043</v>
      </c>
      <c r="V1967" s="705">
        <v>66799</v>
      </c>
      <c r="W1967" s="705">
        <f t="shared" si="78"/>
        <v>66799</v>
      </c>
      <c r="X1967" s="705">
        <f t="shared" si="79"/>
        <v>80817</v>
      </c>
    </row>
    <row r="1968" spans="2:24">
      <c r="B1968" t="s">
        <v>715</v>
      </c>
      <c r="C1968" t="s">
        <v>122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705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705">
        <f t="shared" si="78"/>
        <v>436</v>
      </c>
      <c r="X1968" s="705">
        <f t="shared" si="79"/>
        <v>1178</v>
      </c>
    </row>
    <row r="1969" spans="2:24">
      <c r="B1969" t="s">
        <v>715</v>
      </c>
      <c r="C1969" t="s">
        <v>122</v>
      </c>
      <c r="D1969" t="s">
        <v>228</v>
      </c>
      <c r="E1969" t="s">
        <v>228</v>
      </c>
      <c r="F1969">
        <v>73</v>
      </c>
      <c r="G1969" s="705">
        <v>3936</v>
      </c>
      <c r="H1969" s="705">
        <v>30024</v>
      </c>
      <c r="I1969" s="705">
        <v>1025330</v>
      </c>
      <c r="J1969" s="705">
        <v>379752</v>
      </c>
      <c r="K1969">
        <v>100</v>
      </c>
      <c r="L1969" s="705">
        <v>58324</v>
      </c>
      <c r="M1969" s="705">
        <v>26991</v>
      </c>
      <c r="N1969" s="705">
        <v>80296</v>
      </c>
      <c r="O1969" s="705">
        <v>29739</v>
      </c>
      <c r="P1969" s="705">
        <v>2808</v>
      </c>
      <c r="Q1969" s="705">
        <v>1040</v>
      </c>
      <c r="R1969" s="705">
        <v>450732</v>
      </c>
      <c r="S1969" s="705">
        <v>166938</v>
      </c>
      <c r="T1969">
        <v>0</v>
      </c>
      <c r="U1969">
        <v>0</v>
      </c>
      <c r="V1969" s="705">
        <v>604460</v>
      </c>
      <c r="W1969" s="705">
        <f t="shared" si="78"/>
        <v>604460</v>
      </c>
      <c r="X1969" s="705">
        <f t="shared" si="79"/>
        <v>1617490</v>
      </c>
    </row>
    <row r="1970" spans="2:24">
      <c r="B1970" t="s">
        <v>715</v>
      </c>
      <c r="C1970" t="s">
        <v>122</v>
      </c>
      <c r="D1970" t="s">
        <v>583</v>
      </c>
      <c r="E1970" t="s">
        <v>228</v>
      </c>
      <c r="F1970">
        <v>2</v>
      </c>
      <c r="G1970">
        <v>240</v>
      </c>
      <c r="H1970">
        <v>848</v>
      </c>
      <c r="I1970" s="705">
        <v>63848</v>
      </c>
      <c r="J1970" s="705">
        <v>58043</v>
      </c>
      <c r="K1970">
        <v>89</v>
      </c>
      <c r="L1970" s="705">
        <v>11465</v>
      </c>
      <c r="M1970" s="705">
        <v>10422</v>
      </c>
      <c r="N1970" s="705">
        <v>5060</v>
      </c>
      <c r="O1970" s="705">
        <v>1874</v>
      </c>
      <c r="P1970" s="705">
        <v>1242</v>
      </c>
      <c r="Q1970">
        <v>460</v>
      </c>
      <c r="R1970" s="705">
        <v>17268</v>
      </c>
      <c r="S1970" s="705">
        <v>6395</v>
      </c>
      <c r="T1970">
        <v>0</v>
      </c>
      <c r="U1970">
        <v>0</v>
      </c>
      <c r="V1970" s="705">
        <v>77195</v>
      </c>
      <c r="W1970" s="705">
        <f t="shared" si="78"/>
        <v>77194</v>
      </c>
      <c r="X1970" s="705">
        <f t="shared" si="79"/>
        <v>98883</v>
      </c>
    </row>
    <row r="1971" spans="2:24">
      <c r="B1971" t="s">
        <v>715</v>
      </c>
      <c r="C1971" t="s">
        <v>122</v>
      </c>
      <c r="D1971" t="s">
        <v>583</v>
      </c>
      <c r="E1971" t="s">
        <v>583</v>
      </c>
      <c r="F1971">
        <v>14</v>
      </c>
      <c r="G1971" s="705">
        <v>1356</v>
      </c>
      <c r="H1971" s="705">
        <v>6007</v>
      </c>
      <c r="I1971" s="705">
        <v>399690</v>
      </c>
      <c r="J1971" s="705">
        <v>363355</v>
      </c>
      <c r="K1971">
        <v>78</v>
      </c>
      <c r="L1971" s="705">
        <v>61530</v>
      </c>
      <c r="M1971" s="705">
        <v>48626</v>
      </c>
      <c r="N1971" s="705">
        <v>29027</v>
      </c>
      <c r="O1971" s="705">
        <v>10751</v>
      </c>
      <c r="P1971" s="705">
        <v>8694</v>
      </c>
      <c r="Q1971" s="705">
        <v>3220</v>
      </c>
      <c r="R1971" s="705">
        <v>69406</v>
      </c>
      <c r="S1971" s="705">
        <v>63097</v>
      </c>
      <c r="T1971" s="705">
        <v>11385</v>
      </c>
      <c r="U1971" s="705">
        <v>4217</v>
      </c>
      <c r="V1971" s="705">
        <v>493265</v>
      </c>
      <c r="W1971" s="705">
        <f t="shared" si="78"/>
        <v>493266</v>
      </c>
      <c r="X1971" s="705">
        <f t="shared" si="79"/>
        <v>579732</v>
      </c>
    </row>
    <row r="1972" spans="2:24">
      <c r="B1972" t="s">
        <v>715</v>
      </c>
      <c r="C1972" t="s">
        <v>122</v>
      </c>
      <c r="D1972" t="s">
        <v>584</v>
      </c>
      <c r="E1972" t="s">
        <v>584</v>
      </c>
      <c r="F1972">
        <v>7</v>
      </c>
      <c r="G1972">
        <v>464</v>
      </c>
      <c r="H1972" s="705">
        <v>2765</v>
      </c>
      <c r="I1972" s="705">
        <v>113347</v>
      </c>
      <c r="J1972" s="705">
        <v>103043</v>
      </c>
      <c r="K1972">
        <v>71</v>
      </c>
      <c r="L1972" s="705">
        <v>18597</v>
      </c>
      <c r="M1972" s="705">
        <v>16326</v>
      </c>
      <c r="N1972" s="705">
        <v>10767</v>
      </c>
      <c r="O1972" s="705">
        <v>3988</v>
      </c>
      <c r="P1972" s="705">
        <v>3186</v>
      </c>
      <c r="Q1972" s="705">
        <v>1180</v>
      </c>
      <c r="R1972" s="705">
        <v>31711</v>
      </c>
      <c r="S1972" s="705">
        <v>28828</v>
      </c>
      <c r="T1972" s="705">
        <v>5332</v>
      </c>
      <c r="U1972" s="705">
        <v>1975</v>
      </c>
      <c r="V1972" s="705">
        <v>155340</v>
      </c>
      <c r="W1972" s="705">
        <f t="shared" si="78"/>
        <v>155340</v>
      </c>
      <c r="X1972" s="705">
        <f t="shared" si="79"/>
        <v>182940</v>
      </c>
    </row>
    <row r="1973" spans="2:24">
      <c r="B1973" t="s">
        <v>715</v>
      </c>
      <c r="C1973" t="s">
        <v>122</v>
      </c>
      <c r="D1973" t="s">
        <v>665</v>
      </c>
      <c r="E1973" t="s">
        <v>665</v>
      </c>
      <c r="F1973">
        <v>3</v>
      </c>
      <c r="G1973">
        <v>198</v>
      </c>
      <c r="H1973" s="705">
        <v>1219</v>
      </c>
      <c r="I1973" s="705">
        <v>40662</v>
      </c>
      <c r="J1973" s="705">
        <v>36965</v>
      </c>
      <c r="K1973">
        <v>48</v>
      </c>
      <c r="L1973" s="705">
        <v>4413</v>
      </c>
      <c r="M1973" s="705">
        <v>3052</v>
      </c>
      <c r="N1973" s="705">
        <v>4558</v>
      </c>
      <c r="O1973" s="705">
        <v>1688</v>
      </c>
      <c r="P1973" s="705">
        <v>1053</v>
      </c>
      <c r="Q1973">
        <v>390</v>
      </c>
      <c r="R1973" s="705">
        <v>20995</v>
      </c>
      <c r="S1973" s="705">
        <v>19086</v>
      </c>
      <c r="T1973" s="705">
        <v>8720</v>
      </c>
      <c r="U1973" s="705">
        <v>3230</v>
      </c>
      <c r="V1973" s="705">
        <v>64411</v>
      </c>
      <c r="W1973" s="705">
        <f t="shared" si="78"/>
        <v>64411</v>
      </c>
      <c r="X1973" s="705">
        <f t="shared" si="79"/>
        <v>80401</v>
      </c>
    </row>
    <row r="1974" spans="2:24">
      <c r="B1974" t="s">
        <v>715</v>
      </c>
      <c r="C1974" t="s">
        <v>124</v>
      </c>
      <c r="F1974">
        <v>6</v>
      </c>
      <c r="G1974">
        <v>273</v>
      </c>
      <c r="H1974" s="705">
        <v>3494</v>
      </c>
      <c r="J1974">
        <v>0</v>
      </c>
      <c r="M1974">
        <v>0</v>
      </c>
      <c r="N1974" s="705">
        <v>5786</v>
      </c>
      <c r="O1974" s="705">
        <v>2143</v>
      </c>
      <c r="P1974" s="705">
        <v>1242</v>
      </c>
      <c r="Q1974">
        <v>460</v>
      </c>
      <c r="S1974">
        <v>0</v>
      </c>
      <c r="T1974">
        <v>0</v>
      </c>
      <c r="U1974">
        <v>0</v>
      </c>
      <c r="V1974" s="705">
        <v>2603</v>
      </c>
      <c r="W1974" s="705">
        <f t="shared" si="78"/>
        <v>2603</v>
      </c>
      <c r="X1974" s="705">
        <f t="shared" si="79"/>
        <v>7028</v>
      </c>
    </row>
    <row r="1975" spans="2:24">
      <c r="B1975" t="s">
        <v>715</v>
      </c>
      <c r="C1975" t="s">
        <v>124</v>
      </c>
      <c r="D1975" t="s">
        <v>582</v>
      </c>
      <c r="E1975" t="s">
        <v>582</v>
      </c>
      <c r="F1975">
        <v>1</v>
      </c>
      <c r="G1975">
        <v>82</v>
      </c>
      <c r="H1975">
        <v>524</v>
      </c>
      <c r="I1975" s="705">
        <v>28247</v>
      </c>
      <c r="J1975" s="705">
        <v>25679</v>
      </c>
      <c r="K1975">
        <v>80</v>
      </c>
      <c r="L1975" s="705">
        <v>7982</v>
      </c>
      <c r="M1975" s="705">
        <v>7257</v>
      </c>
      <c r="N1975" s="705">
        <v>1571</v>
      </c>
      <c r="O1975">
        <v>582</v>
      </c>
      <c r="P1975">
        <v>351</v>
      </c>
      <c r="Q1975">
        <v>130</v>
      </c>
      <c r="R1975" s="705">
        <v>4578</v>
      </c>
      <c r="S1975" s="705">
        <v>4162</v>
      </c>
      <c r="T1975">
        <v>0</v>
      </c>
      <c r="U1975">
        <v>0</v>
      </c>
      <c r="V1975" s="705">
        <v>37809</v>
      </c>
      <c r="W1975" s="705">
        <f t="shared" si="78"/>
        <v>37810</v>
      </c>
      <c r="X1975" s="705">
        <f t="shared" si="79"/>
        <v>42729</v>
      </c>
    </row>
    <row r="1976" spans="2:24">
      <c r="B1976" t="s">
        <v>715</v>
      </c>
      <c r="C1976" t="s">
        <v>124</v>
      </c>
      <c r="D1976" t="s">
        <v>228</v>
      </c>
      <c r="E1976" t="s">
        <v>228</v>
      </c>
      <c r="F1976">
        <v>124</v>
      </c>
      <c r="G1976" s="705">
        <v>6158</v>
      </c>
      <c r="H1976" s="705">
        <v>85182</v>
      </c>
      <c r="I1976" s="705">
        <v>2784328</v>
      </c>
      <c r="J1976" s="705">
        <v>1031233</v>
      </c>
      <c r="K1976">
        <v>100</v>
      </c>
      <c r="L1976" s="705">
        <v>882430</v>
      </c>
      <c r="M1976" s="705">
        <v>597520</v>
      </c>
      <c r="N1976" s="705">
        <v>136529</v>
      </c>
      <c r="O1976" s="705">
        <v>50566</v>
      </c>
      <c r="P1976" s="705">
        <v>2808</v>
      </c>
      <c r="Q1976" s="705">
        <v>1040</v>
      </c>
      <c r="R1976" s="705">
        <v>628989</v>
      </c>
      <c r="S1976" s="705">
        <v>232959</v>
      </c>
      <c r="T1976" s="705">
        <v>2505</v>
      </c>
      <c r="U1976">
        <v>928</v>
      </c>
      <c r="V1976" s="705">
        <v>1914245</v>
      </c>
      <c r="W1976" s="705">
        <f t="shared" si="78"/>
        <v>1914246</v>
      </c>
      <c r="X1976" s="705">
        <f t="shared" si="79"/>
        <v>4437589</v>
      </c>
    </row>
    <row r="1977" spans="2:24">
      <c r="B1977" t="s">
        <v>715</v>
      </c>
      <c r="C1977" t="s">
        <v>124</v>
      </c>
      <c r="D1977" t="s">
        <v>583</v>
      </c>
      <c r="E1977" t="s">
        <v>228</v>
      </c>
      <c r="F1977">
        <v>2</v>
      </c>
      <c r="G1977">
        <v>75</v>
      </c>
      <c r="H1977" s="705">
        <v>1104</v>
      </c>
      <c r="I1977" s="705">
        <v>26799</v>
      </c>
      <c r="J1977" s="705">
        <v>24363</v>
      </c>
      <c r="K1977">
        <v>68</v>
      </c>
      <c r="L1977" s="705">
        <v>5752</v>
      </c>
      <c r="M1977" s="705">
        <v>4237</v>
      </c>
      <c r="N1977" s="705">
        <v>1622</v>
      </c>
      <c r="O1977">
        <v>601</v>
      </c>
      <c r="P1977" s="705">
        <v>1242</v>
      </c>
      <c r="Q1977">
        <v>460</v>
      </c>
      <c r="R1977" s="705">
        <v>6281</v>
      </c>
      <c r="S1977" s="705">
        <v>2326</v>
      </c>
      <c r="T1977">
        <v>0</v>
      </c>
      <c r="U1977">
        <v>0</v>
      </c>
      <c r="V1977" s="705">
        <v>31987</v>
      </c>
      <c r="W1977" s="705">
        <f t="shared" si="78"/>
        <v>31987</v>
      </c>
      <c r="X1977" s="705">
        <f t="shared" si="79"/>
        <v>41696</v>
      </c>
    </row>
    <row r="1978" spans="2:24">
      <c r="B1978" t="s">
        <v>715</v>
      </c>
      <c r="C1978" t="s">
        <v>124</v>
      </c>
      <c r="D1978" t="s">
        <v>583</v>
      </c>
      <c r="E1978" t="s">
        <v>583</v>
      </c>
      <c r="F1978">
        <v>16</v>
      </c>
      <c r="G1978" s="705">
        <v>1361</v>
      </c>
      <c r="H1978" s="705">
        <v>8956</v>
      </c>
      <c r="I1978" s="705">
        <v>530401</v>
      </c>
      <c r="J1978" s="705">
        <v>482183</v>
      </c>
      <c r="K1978">
        <v>71</v>
      </c>
      <c r="L1978" s="705">
        <v>95747</v>
      </c>
      <c r="M1978" s="705">
        <v>80173</v>
      </c>
      <c r="N1978" s="705">
        <v>32003</v>
      </c>
      <c r="O1978" s="705">
        <v>11853</v>
      </c>
      <c r="P1978" s="705">
        <v>10058</v>
      </c>
      <c r="Q1978" s="705">
        <v>3725</v>
      </c>
      <c r="R1978" s="705">
        <v>78738</v>
      </c>
      <c r="S1978" s="705">
        <v>71580</v>
      </c>
      <c r="T1978" s="705">
        <v>30288</v>
      </c>
      <c r="U1978" s="705">
        <v>11218</v>
      </c>
      <c r="V1978" s="705">
        <v>660732</v>
      </c>
      <c r="W1978" s="705">
        <f t="shared" si="78"/>
        <v>660732</v>
      </c>
      <c r="X1978" s="705">
        <f t="shared" si="79"/>
        <v>777235</v>
      </c>
    </row>
    <row r="1979" spans="2:24">
      <c r="B1979" t="s">
        <v>715</v>
      </c>
      <c r="C1979" t="s">
        <v>124</v>
      </c>
      <c r="D1979" t="s">
        <v>584</v>
      </c>
      <c r="E1979" t="s">
        <v>584</v>
      </c>
      <c r="F1979">
        <v>2</v>
      </c>
      <c r="G1979">
        <v>80</v>
      </c>
      <c r="H1979">
        <v>942</v>
      </c>
      <c r="I1979" s="705">
        <v>18997</v>
      </c>
      <c r="J1979" s="705">
        <v>17270</v>
      </c>
      <c r="K1979">
        <v>69</v>
      </c>
      <c r="L1979" s="705">
        <v>2762</v>
      </c>
      <c r="M1979" s="705">
        <v>2511</v>
      </c>
      <c r="N1979" s="705">
        <v>1456</v>
      </c>
      <c r="O1979">
        <v>539</v>
      </c>
      <c r="P1979">
        <v>945</v>
      </c>
      <c r="Q1979">
        <v>350</v>
      </c>
      <c r="R1979" s="705">
        <v>8715</v>
      </c>
      <c r="S1979" s="705">
        <v>7923</v>
      </c>
      <c r="T1979" s="705">
        <v>4619</v>
      </c>
      <c r="U1979" s="705">
        <v>1711</v>
      </c>
      <c r="V1979" s="705">
        <v>30304</v>
      </c>
      <c r="W1979" s="705">
        <f t="shared" si="78"/>
        <v>30304</v>
      </c>
      <c r="X1979" s="705">
        <f t="shared" si="79"/>
        <v>37494</v>
      </c>
    </row>
    <row r="1980" spans="2:24">
      <c r="B1980" t="s">
        <v>715</v>
      </c>
      <c r="C1980" t="s">
        <v>124</v>
      </c>
      <c r="D1980" t="s">
        <v>669</v>
      </c>
      <c r="E1980" t="s">
        <v>669</v>
      </c>
      <c r="F1980">
        <v>1</v>
      </c>
      <c r="G1980">
        <v>126</v>
      </c>
      <c r="H1980">
        <v>495</v>
      </c>
      <c r="I1980" s="705">
        <v>41935</v>
      </c>
      <c r="J1980" s="705">
        <v>34945</v>
      </c>
      <c r="K1980">
        <v>55</v>
      </c>
      <c r="L1980" s="705">
        <v>8107</v>
      </c>
      <c r="M1980" s="705">
        <v>6756</v>
      </c>
      <c r="N1980" s="705">
        <v>3064</v>
      </c>
      <c r="O1980" s="705">
        <v>1135</v>
      </c>
      <c r="P1980">
        <v>351</v>
      </c>
      <c r="Q1980">
        <v>130</v>
      </c>
      <c r="R1980" s="705">
        <v>8725</v>
      </c>
      <c r="S1980" s="705">
        <v>7271</v>
      </c>
      <c r="T1980">
        <v>0</v>
      </c>
      <c r="U1980">
        <v>0</v>
      </c>
      <c r="V1980" s="705">
        <v>50237</v>
      </c>
      <c r="W1980" s="705">
        <f t="shared" si="78"/>
        <v>50237</v>
      </c>
      <c r="X1980" s="705">
        <f t="shared" si="79"/>
        <v>62182</v>
      </c>
    </row>
    <row r="1981" spans="2:24">
      <c r="B1981" t="s">
        <v>715</v>
      </c>
      <c r="C1981" t="s">
        <v>124</v>
      </c>
      <c r="D1981" t="s">
        <v>665</v>
      </c>
      <c r="E1981" t="s">
        <v>228</v>
      </c>
      <c r="F1981">
        <v>4</v>
      </c>
      <c r="G1981">
        <v>295</v>
      </c>
      <c r="H1981" s="705">
        <v>2455</v>
      </c>
      <c r="I1981" s="705">
        <v>125923</v>
      </c>
      <c r="J1981" s="705">
        <v>114476</v>
      </c>
      <c r="K1981">
        <v>54</v>
      </c>
      <c r="L1981" s="705">
        <v>21309</v>
      </c>
      <c r="M1981" s="705">
        <v>14249</v>
      </c>
      <c r="N1981" s="705">
        <v>7037</v>
      </c>
      <c r="O1981" s="705">
        <v>2606</v>
      </c>
      <c r="P1981" s="705">
        <v>1175</v>
      </c>
      <c r="Q1981">
        <v>435</v>
      </c>
      <c r="R1981" s="705">
        <v>21885</v>
      </c>
      <c r="S1981" s="705">
        <v>8106</v>
      </c>
      <c r="T1981">
        <v>0</v>
      </c>
      <c r="U1981">
        <v>0</v>
      </c>
      <c r="V1981" s="705">
        <v>139871</v>
      </c>
      <c r="W1981" s="705">
        <f t="shared" si="78"/>
        <v>139872</v>
      </c>
      <c r="X1981" s="705">
        <f t="shared" si="79"/>
        <v>177329</v>
      </c>
    </row>
    <row r="1982" spans="2:24">
      <c r="B1982" t="s">
        <v>715</v>
      </c>
      <c r="C1982" t="s">
        <v>124</v>
      </c>
      <c r="D1982" t="s">
        <v>665</v>
      </c>
      <c r="E1982" t="s">
        <v>665</v>
      </c>
      <c r="F1982">
        <v>10</v>
      </c>
      <c r="G1982">
        <v>617</v>
      </c>
      <c r="H1982" s="705">
        <v>5447</v>
      </c>
      <c r="I1982" s="705">
        <v>237525</v>
      </c>
      <c r="J1982" s="705">
        <v>215932</v>
      </c>
      <c r="K1982">
        <v>52</v>
      </c>
      <c r="L1982" s="705">
        <v>11530</v>
      </c>
      <c r="M1982" s="705">
        <v>14413</v>
      </c>
      <c r="N1982" s="705">
        <v>13100</v>
      </c>
      <c r="O1982" s="705">
        <v>4852</v>
      </c>
      <c r="P1982" s="705">
        <v>3510</v>
      </c>
      <c r="Q1982" s="705">
        <v>1300</v>
      </c>
      <c r="R1982" s="705">
        <v>46566</v>
      </c>
      <c r="S1982" s="705">
        <v>42333</v>
      </c>
      <c r="T1982" s="705">
        <v>18533</v>
      </c>
      <c r="U1982" s="705">
        <v>6864</v>
      </c>
      <c r="V1982" s="705">
        <v>285693</v>
      </c>
      <c r="W1982" s="705">
        <f t="shared" si="78"/>
        <v>285694</v>
      </c>
      <c r="X1982" s="705">
        <f t="shared" si="79"/>
        <v>330764</v>
      </c>
    </row>
    <row r="1983" spans="2:24">
      <c r="B1983" t="s">
        <v>716</v>
      </c>
      <c r="C1983" t="s">
        <v>108</v>
      </c>
      <c r="D1983" t="s">
        <v>580</v>
      </c>
      <c r="E1983" t="s">
        <v>228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705">
        <v>1468</v>
      </c>
      <c r="S1983">
        <v>544</v>
      </c>
      <c r="T1983">
        <v>0</v>
      </c>
      <c r="U1983">
        <v>0</v>
      </c>
      <c r="V1983">
        <v>897</v>
      </c>
      <c r="W1983" s="705">
        <f t="shared" si="78"/>
        <v>897</v>
      </c>
      <c r="X1983" s="705">
        <f t="shared" si="79"/>
        <v>2421</v>
      </c>
    </row>
    <row r="1984" spans="2:24">
      <c r="B1984" t="s">
        <v>716</v>
      </c>
      <c r="C1984" t="s">
        <v>108</v>
      </c>
      <c r="D1984" t="s">
        <v>228</v>
      </c>
      <c r="E1984" t="s">
        <v>228</v>
      </c>
      <c r="F1984">
        <v>50</v>
      </c>
      <c r="G1984" s="705">
        <v>2934</v>
      </c>
      <c r="H1984" s="705">
        <v>3179</v>
      </c>
      <c r="I1984" s="705">
        <v>30225</v>
      </c>
      <c r="J1984" s="705">
        <v>11195</v>
      </c>
      <c r="K1984">
        <v>457</v>
      </c>
      <c r="L1984">
        <v>453</v>
      </c>
      <c r="M1984">
        <v>378</v>
      </c>
      <c r="N1984" s="705">
        <v>37917</v>
      </c>
      <c r="O1984" s="705">
        <v>14043</v>
      </c>
      <c r="P1984" s="705">
        <v>17550</v>
      </c>
      <c r="Q1984" s="705">
        <v>6500</v>
      </c>
      <c r="R1984" s="705">
        <v>96538</v>
      </c>
      <c r="S1984" s="705">
        <v>35755</v>
      </c>
      <c r="T1984">
        <v>0</v>
      </c>
      <c r="U1984">
        <v>0</v>
      </c>
      <c r="V1984" s="705">
        <v>67871</v>
      </c>
      <c r="W1984" s="705">
        <f t="shared" si="78"/>
        <v>67871</v>
      </c>
      <c r="X1984" s="705">
        <f t="shared" si="79"/>
        <v>182683</v>
      </c>
    </row>
    <row r="1985" spans="2:24">
      <c r="B1985" t="s">
        <v>716</v>
      </c>
      <c r="C1985" t="s">
        <v>108</v>
      </c>
      <c r="D1985" t="s">
        <v>584</v>
      </c>
      <c r="E1985" t="s">
        <v>584</v>
      </c>
      <c r="F1985">
        <v>12</v>
      </c>
      <c r="G1985">
        <v>883</v>
      </c>
      <c r="H1985">
        <v>735</v>
      </c>
      <c r="I1985" s="705">
        <v>10571</v>
      </c>
      <c r="J1985" s="705">
        <v>9610</v>
      </c>
      <c r="K1985">
        <v>90</v>
      </c>
      <c r="L1985">
        <v>0</v>
      </c>
      <c r="M1985">
        <v>0</v>
      </c>
      <c r="N1985" s="705">
        <v>10755</v>
      </c>
      <c r="O1985" s="705">
        <v>3983</v>
      </c>
      <c r="P1985" s="705">
        <v>5670</v>
      </c>
      <c r="Q1985" s="705">
        <v>2100</v>
      </c>
      <c r="R1985" s="705">
        <v>26836</v>
      </c>
      <c r="S1985" s="705">
        <v>24396</v>
      </c>
      <c r="T1985">
        <v>0</v>
      </c>
      <c r="U1985">
        <v>0</v>
      </c>
      <c r="V1985" s="705">
        <v>40089</v>
      </c>
      <c r="W1985" s="705">
        <f t="shared" si="78"/>
        <v>40089</v>
      </c>
      <c r="X1985" s="705">
        <f t="shared" si="79"/>
        <v>53832</v>
      </c>
    </row>
    <row r="1986" spans="2:24">
      <c r="B1986" t="s">
        <v>716</v>
      </c>
      <c r="C1986" t="s">
        <v>110</v>
      </c>
      <c r="D1986" t="s">
        <v>228</v>
      </c>
      <c r="E1986" t="s">
        <v>228</v>
      </c>
      <c r="F1986">
        <v>8</v>
      </c>
      <c r="G1986">
        <v>429</v>
      </c>
      <c r="H1986">
        <v>627</v>
      </c>
      <c r="I1986" s="705">
        <v>10203</v>
      </c>
      <c r="J1986" s="705">
        <v>3779</v>
      </c>
      <c r="K1986">
        <v>372</v>
      </c>
      <c r="L1986">
        <v>0</v>
      </c>
      <c r="M1986">
        <v>0</v>
      </c>
      <c r="N1986" s="705">
        <v>5228</v>
      </c>
      <c r="O1986" s="705">
        <v>1936</v>
      </c>
      <c r="P1986" s="705">
        <v>2808</v>
      </c>
      <c r="Q1986" s="705">
        <v>1040</v>
      </c>
      <c r="R1986" s="705">
        <v>15406</v>
      </c>
      <c r="S1986" s="705">
        <v>5706</v>
      </c>
      <c r="T1986">
        <v>0</v>
      </c>
      <c r="U1986">
        <v>0</v>
      </c>
      <c r="V1986" s="705">
        <v>12461</v>
      </c>
      <c r="W1986" s="705">
        <f t="shared" si="78"/>
        <v>12461</v>
      </c>
      <c r="X1986" s="705">
        <f t="shared" si="79"/>
        <v>33645</v>
      </c>
    </row>
    <row r="1987" spans="2:24">
      <c r="B1987" t="s">
        <v>716</v>
      </c>
      <c r="C1987" t="s">
        <v>110</v>
      </c>
      <c r="D1987" t="s">
        <v>584</v>
      </c>
      <c r="E1987" t="s">
        <v>584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705">
        <v>1727</v>
      </c>
      <c r="S1987" s="705">
        <v>1570</v>
      </c>
      <c r="T1987">
        <v>0</v>
      </c>
      <c r="U1987">
        <v>0</v>
      </c>
      <c r="V1987" s="705">
        <v>2672</v>
      </c>
      <c r="W1987" s="705">
        <f t="shared" si="78"/>
        <v>2672</v>
      </c>
      <c r="X1987" s="705">
        <f t="shared" si="79"/>
        <v>3561</v>
      </c>
    </row>
    <row r="1988" spans="2:24">
      <c r="B1988" t="s">
        <v>716</v>
      </c>
      <c r="C1988" t="s">
        <v>112</v>
      </c>
      <c r="D1988" t="s">
        <v>228</v>
      </c>
      <c r="E1988" t="s">
        <v>228</v>
      </c>
      <c r="F1988">
        <v>2</v>
      </c>
      <c r="G1988">
        <v>135</v>
      </c>
      <c r="H1988">
        <v>246</v>
      </c>
      <c r="I1988" s="705">
        <v>2162</v>
      </c>
      <c r="J1988">
        <v>801</v>
      </c>
      <c r="K1988">
        <v>250</v>
      </c>
      <c r="L1988">
        <v>0</v>
      </c>
      <c r="M1988">
        <v>0</v>
      </c>
      <c r="N1988" s="705">
        <v>2581</v>
      </c>
      <c r="O1988">
        <v>956</v>
      </c>
      <c r="P1988">
        <v>351</v>
      </c>
      <c r="Q1988">
        <v>130</v>
      </c>
      <c r="R1988" s="705">
        <v>11514</v>
      </c>
      <c r="S1988" s="705">
        <v>4264</v>
      </c>
      <c r="T1988">
        <v>0</v>
      </c>
      <c r="U1988">
        <v>0</v>
      </c>
      <c r="V1988" s="705">
        <v>6151</v>
      </c>
      <c r="W1988" s="705">
        <f t="shared" si="78"/>
        <v>6151</v>
      </c>
      <c r="X1988" s="705">
        <f t="shared" si="79"/>
        <v>16608</v>
      </c>
    </row>
    <row r="1989" spans="2:24">
      <c r="B1989" t="s">
        <v>716</v>
      </c>
      <c r="C1989" t="s">
        <v>112</v>
      </c>
      <c r="D1989" t="s">
        <v>584</v>
      </c>
      <c r="E1989" t="s">
        <v>584</v>
      </c>
      <c r="F1989">
        <v>9</v>
      </c>
      <c r="G1989">
        <v>581</v>
      </c>
      <c r="H1989" s="705">
        <v>1026</v>
      </c>
      <c r="I1989" s="705">
        <v>24890</v>
      </c>
      <c r="J1989" s="705">
        <v>22627</v>
      </c>
      <c r="K1989">
        <v>84</v>
      </c>
      <c r="L1989">
        <v>0</v>
      </c>
      <c r="M1989">
        <v>0</v>
      </c>
      <c r="N1989" s="705">
        <v>11695</v>
      </c>
      <c r="O1989" s="705">
        <v>4332</v>
      </c>
      <c r="P1989" s="705">
        <v>4253</v>
      </c>
      <c r="Q1989" s="705">
        <v>1575</v>
      </c>
      <c r="R1989" s="705">
        <v>25542</v>
      </c>
      <c r="S1989" s="705">
        <v>23220</v>
      </c>
      <c r="T1989">
        <v>0</v>
      </c>
      <c r="U1989">
        <v>0</v>
      </c>
      <c r="V1989" s="705">
        <v>51754</v>
      </c>
      <c r="W1989" s="705">
        <f t="shared" si="78"/>
        <v>51754</v>
      </c>
      <c r="X1989" s="705">
        <f t="shared" si="79"/>
        <v>66380</v>
      </c>
    </row>
    <row r="1990" spans="2:24">
      <c r="B1990" t="s">
        <v>716</v>
      </c>
      <c r="C1990" t="s">
        <v>114</v>
      </c>
      <c r="D1990" t="s">
        <v>228</v>
      </c>
      <c r="E1990" t="s">
        <v>228</v>
      </c>
      <c r="F1990">
        <v>19</v>
      </c>
      <c r="G1990">
        <v>983</v>
      </c>
      <c r="H1990" s="705">
        <v>2677</v>
      </c>
      <c r="I1990" s="705">
        <v>25041</v>
      </c>
      <c r="J1990" s="705">
        <v>9274</v>
      </c>
      <c r="K1990">
        <v>304</v>
      </c>
      <c r="L1990" s="705">
        <v>6366</v>
      </c>
      <c r="M1990" s="705">
        <v>3711</v>
      </c>
      <c r="N1990" s="705">
        <v>16356</v>
      </c>
      <c r="O1990" s="705">
        <v>6058</v>
      </c>
      <c r="P1990" s="705">
        <v>4563</v>
      </c>
      <c r="Q1990" s="705">
        <v>1690</v>
      </c>
      <c r="R1990" s="705">
        <v>84876</v>
      </c>
      <c r="S1990" s="705">
        <v>31436</v>
      </c>
      <c r="T1990">
        <v>0</v>
      </c>
      <c r="U1990">
        <v>0</v>
      </c>
      <c r="V1990" s="705">
        <v>52169</v>
      </c>
      <c r="W1990" s="705">
        <f t="shared" si="78"/>
        <v>52169</v>
      </c>
      <c r="X1990" s="705">
        <f t="shared" si="79"/>
        <v>137202</v>
      </c>
    </row>
    <row r="1991" spans="2:24">
      <c r="B1991" t="s">
        <v>716</v>
      </c>
      <c r="C1991" t="s">
        <v>114</v>
      </c>
      <c r="D1991" t="s">
        <v>584</v>
      </c>
      <c r="E1991" t="s">
        <v>584</v>
      </c>
      <c r="F1991">
        <v>57</v>
      </c>
      <c r="G1991" s="705">
        <v>4162</v>
      </c>
      <c r="H1991" s="705">
        <v>7792</v>
      </c>
      <c r="I1991" s="705">
        <v>247119</v>
      </c>
      <c r="J1991" s="705">
        <v>224653</v>
      </c>
      <c r="K1991">
        <v>82</v>
      </c>
      <c r="L1991" s="705">
        <v>6319</v>
      </c>
      <c r="M1991" s="705">
        <v>4879</v>
      </c>
      <c r="N1991" s="705">
        <v>76797</v>
      </c>
      <c r="O1991" s="705">
        <v>28443</v>
      </c>
      <c r="P1991" s="705">
        <v>26933</v>
      </c>
      <c r="Q1991" s="705">
        <v>9975</v>
      </c>
      <c r="R1991" s="705">
        <v>201823</v>
      </c>
      <c r="S1991" s="705">
        <v>183475</v>
      </c>
      <c r="T1991" s="705">
        <v>8953</v>
      </c>
      <c r="U1991" s="705">
        <v>3316</v>
      </c>
      <c r="V1991" s="705">
        <v>454742</v>
      </c>
      <c r="W1991" s="705">
        <f t="shared" si="78"/>
        <v>454741</v>
      </c>
      <c r="X1991" s="705">
        <f t="shared" si="79"/>
        <v>567944</v>
      </c>
    </row>
    <row r="1992" spans="2:24">
      <c r="B1992" t="s">
        <v>716</v>
      </c>
      <c r="C1992" t="s">
        <v>116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705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705">
        <f t="shared" si="78"/>
        <v>925</v>
      </c>
      <c r="X1992" s="705">
        <f t="shared" si="79"/>
        <v>2497</v>
      </c>
    </row>
    <row r="1993" spans="2:24">
      <c r="B1993" t="s">
        <v>716</v>
      </c>
      <c r="C1993" t="s">
        <v>116</v>
      </c>
      <c r="D1993" t="s">
        <v>228</v>
      </c>
      <c r="E1993" t="s">
        <v>228</v>
      </c>
      <c r="F1993">
        <v>374</v>
      </c>
      <c r="G1993" s="705">
        <v>23880</v>
      </c>
      <c r="H1993" s="705">
        <v>72288</v>
      </c>
      <c r="I1993" s="705">
        <v>1667632</v>
      </c>
      <c r="J1993" s="705">
        <v>617641</v>
      </c>
      <c r="K1993">
        <v>126</v>
      </c>
      <c r="L1993" s="705">
        <v>263600</v>
      </c>
      <c r="M1993" s="705">
        <v>100502</v>
      </c>
      <c r="N1993" s="705">
        <v>448563</v>
      </c>
      <c r="O1993" s="705">
        <v>166134</v>
      </c>
      <c r="P1993" s="705">
        <v>6281</v>
      </c>
      <c r="Q1993" s="705">
        <v>2326</v>
      </c>
      <c r="R1993" s="705">
        <v>2241315</v>
      </c>
      <c r="S1993" s="705">
        <v>830117</v>
      </c>
      <c r="T1993">
        <v>0</v>
      </c>
      <c r="U1993">
        <v>0</v>
      </c>
      <c r="V1993" s="705">
        <v>1716721</v>
      </c>
      <c r="W1993" s="705">
        <f t="shared" si="78"/>
        <v>1716720</v>
      </c>
      <c r="X1993" s="705">
        <f t="shared" si="79"/>
        <v>4627391</v>
      </c>
    </row>
    <row r="1994" spans="2:24">
      <c r="B1994" t="s">
        <v>716</v>
      </c>
      <c r="C1994" t="s">
        <v>116</v>
      </c>
      <c r="D1994" t="s">
        <v>583</v>
      </c>
      <c r="E1994" t="s">
        <v>583</v>
      </c>
      <c r="F1994">
        <v>2</v>
      </c>
      <c r="G1994">
        <v>566</v>
      </c>
      <c r="H1994">
        <v>424</v>
      </c>
      <c r="I1994" s="705">
        <v>74269</v>
      </c>
      <c r="J1994" s="705">
        <v>67517</v>
      </c>
      <c r="K1994">
        <v>79</v>
      </c>
      <c r="L1994" s="705">
        <v>13398</v>
      </c>
      <c r="M1994" s="705">
        <v>11658</v>
      </c>
      <c r="N1994" s="705">
        <v>12520</v>
      </c>
      <c r="O1994" s="705">
        <v>4637</v>
      </c>
      <c r="P1994" s="705">
        <v>2295</v>
      </c>
      <c r="Q1994">
        <v>850</v>
      </c>
      <c r="R1994" s="705">
        <v>13564</v>
      </c>
      <c r="S1994" s="705">
        <v>12331</v>
      </c>
      <c r="T1994" s="705">
        <v>3535</v>
      </c>
      <c r="U1994" s="705">
        <v>1309</v>
      </c>
      <c r="V1994" s="705">
        <v>98302</v>
      </c>
      <c r="W1994" s="705">
        <f t="shared" si="78"/>
        <v>98302</v>
      </c>
      <c r="X1994" s="705">
        <f t="shared" si="79"/>
        <v>119581</v>
      </c>
    </row>
    <row r="1995" spans="2:24">
      <c r="B1995" t="s">
        <v>716</v>
      </c>
      <c r="C1995" t="s">
        <v>116</v>
      </c>
      <c r="D1995" t="s">
        <v>584</v>
      </c>
      <c r="E1995" t="s">
        <v>584</v>
      </c>
      <c r="F1995">
        <v>183</v>
      </c>
      <c r="G1995" s="705">
        <v>12457</v>
      </c>
      <c r="H1995" s="705">
        <v>33931</v>
      </c>
      <c r="I1995" s="705">
        <v>1139271</v>
      </c>
      <c r="J1995" s="705">
        <v>1035701</v>
      </c>
      <c r="K1995">
        <v>81</v>
      </c>
      <c r="L1995" s="705">
        <v>128620</v>
      </c>
      <c r="M1995" s="705">
        <v>97930</v>
      </c>
      <c r="N1995" s="705">
        <v>242158</v>
      </c>
      <c r="O1995" s="705">
        <v>89688</v>
      </c>
      <c r="P1995" s="705">
        <v>86346</v>
      </c>
      <c r="Q1995" s="705">
        <v>31980</v>
      </c>
      <c r="R1995" s="705">
        <v>619676</v>
      </c>
      <c r="S1995" s="705">
        <v>563342</v>
      </c>
      <c r="T1995" s="705">
        <v>93396</v>
      </c>
      <c r="U1995" s="705">
        <v>34591</v>
      </c>
      <c r="V1995" s="705">
        <v>1853232</v>
      </c>
      <c r="W1995" s="705">
        <f t="shared" si="78"/>
        <v>1853232</v>
      </c>
      <c r="X1995" s="705">
        <f t="shared" si="79"/>
        <v>2309467</v>
      </c>
    </row>
    <row r="1996" spans="2:24">
      <c r="B1996" t="s">
        <v>716</v>
      </c>
      <c r="C1996" t="s">
        <v>118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705">
        <f t="shared" si="78"/>
        <v>366</v>
      </c>
      <c r="X1996" s="705">
        <f t="shared" si="79"/>
        <v>989</v>
      </c>
    </row>
    <row r="1997" spans="2:24">
      <c r="B1997" t="s">
        <v>716</v>
      </c>
      <c r="C1997" t="s">
        <v>118</v>
      </c>
      <c r="D1997" t="s">
        <v>228</v>
      </c>
      <c r="E1997" t="s">
        <v>228</v>
      </c>
      <c r="F1997">
        <v>439</v>
      </c>
      <c r="G1997" s="705">
        <v>28412</v>
      </c>
      <c r="H1997" s="705">
        <v>115048</v>
      </c>
      <c r="I1997" s="705">
        <v>3709322</v>
      </c>
      <c r="J1997" s="705">
        <v>1373823</v>
      </c>
      <c r="K1997">
        <v>100</v>
      </c>
      <c r="L1997" s="705">
        <v>527670</v>
      </c>
      <c r="M1997" s="705">
        <v>200133</v>
      </c>
      <c r="N1997" s="705">
        <v>514108</v>
      </c>
      <c r="O1997" s="705">
        <v>190410</v>
      </c>
      <c r="P1997">
        <v>719</v>
      </c>
      <c r="Q1997">
        <v>266</v>
      </c>
      <c r="R1997" s="705">
        <v>2679045</v>
      </c>
      <c r="S1997" s="705">
        <v>992239</v>
      </c>
      <c r="T1997">
        <v>0</v>
      </c>
      <c r="U1997">
        <v>0</v>
      </c>
      <c r="V1997" s="705">
        <v>2756871</v>
      </c>
      <c r="W1997" s="705">
        <f t="shared" si="78"/>
        <v>2756871</v>
      </c>
      <c r="X1997" s="705">
        <f t="shared" si="79"/>
        <v>7430864</v>
      </c>
    </row>
    <row r="1998" spans="2:24">
      <c r="B1998" t="s">
        <v>716</v>
      </c>
      <c r="C1998" t="s">
        <v>118</v>
      </c>
      <c r="D1998" t="s">
        <v>583</v>
      </c>
      <c r="E1998" t="s">
        <v>583</v>
      </c>
      <c r="F1998">
        <v>11</v>
      </c>
      <c r="G1998" s="705">
        <v>1068</v>
      </c>
      <c r="H1998" s="705">
        <v>2995</v>
      </c>
      <c r="I1998" s="705">
        <v>160464</v>
      </c>
      <c r="J1998" s="705">
        <v>145876</v>
      </c>
      <c r="K1998">
        <v>82</v>
      </c>
      <c r="L1998" s="705">
        <v>37513</v>
      </c>
      <c r="M1998" s="705">
        <v>27675</v>
      </c>
      <c r="N1998" s="705">
        <v>21129</v>
      </c>
      <c r="O1998" s="705">
        <v>7825</v>
      </c>
      <c r="P1998" s="705">
        <v>6831</v>
      </c>
      <c r="Q1998" s="705">
        <v>2530</v>
      </c>
      <c r="R1998" s="705">
        <v>42954</v>
      </c>
      <c r="S1998" s="705">
        <v>39049</v>
      </c>
      <c r="T1998" s="705">
        <v>18275</v>
      </c>
      <c r="U1998" s="705">
        <v>6768</v>
      </c>
      <c r="V1998" s="705">
        <v>229724</v>
      </c>
      <c r="W1998" s="705">
        <f t="shared" si="78"/>
        <v>229723</v>
      </c>
      <c r="X1998" s="705">
        <f t="shared" si="79"/>
        <v>287166</v>
      </c>
    </row>
    <row r="1999" spans="2:24">
      <c r="B1999" t="s">
        <v>716</v>
      </c>
      <c r="C1999" t="s">
        <v>118</v>
      </c>
      <c r="D1999" t="s">
        <v>666</v>
      </c>
      <c r="E1999" t="s">
        <v>666</v>
      </c>
      <c r="F1999">
        <v>1</v>
      </c>
      <c r="G1999">
        <v>60</v>
      </c>
      <c r="H1999">
        <v>288</v>
      </c>
      <c r="I1999" s="705">
        <v>7032</v>
      </c>
      <c r="J1999" s="705">
        <v>6392</v>
      </c>
      <c r="K1999">
        <v>55</v>
      </c>
      <c r="L1999" s="705">
        <v>1055</v>
      </c>
      <c r="M1999">
        <v>391</v>
      </c>
      <c r="N1999" s="705">
        <v>1148</v>
      </c>
      <c r="O1999">
        <v>425</v>
      </c>
      <c r="P1999">
        <v>351</v>
      </c>
      <c r="Q1999">
        <v>130</v>
      </c>
      <c r="R1999" s="705">
        <v>7682</v>
      </c>
      <c r="S1999" s="705">
        <v>6984</v>
      </c>
      <c r="T1999">
        <v>0</v>
      </c>
      <c r="U1999">
        <v>0</v>
      </c>
      <c r="V1999" s="705">
        <v>14322</v>
      </c>
      <c r="W1999" s="705">
        <f t="shared" si="78"/>
        <v>14322</v>
      </c>
      <c r="X1999" s="705">
        <f t="shared" si="79"/>
        <v>17268</v>
      </c>
    </row>
    <row r="2000" spans="2:24">
      <c r="B2000" t="s">
        <v>716</v>
      </c>
      <c r="C2000" t="s">
        <v>118</v>
      </c>
      <c r="D2000" t="s">
        <v>584</v>
      </c>
      <c r="E2000" t="s">
        <v>228</v>
      </c>
      <c r="F2000">
        <v>5</v>
      </c>
      <c r="G2000">
        <v>258</v>
      </c>
      <c r="H2000" s="705">
        <v>1263</v>
      </c>
      <c r="I2000" s="705">
        <v>28912</v>
      </c>
      <c r="J2000" s="705">
        <v>26283</v>
      </c>
      <c r="K2000">
        <v>79</v>
      </c>
      <c r="L2000">
        <v>0</v>
      </c>
      <c r="M2000">
        <v>0</v>
      </c>
      <c r="N2000" s="705">
        <v>4678</v>
      </c>
      <c r="O2000" s="705">
        <v>1733</v>
      </c>
      <c r="P2000" s="705">
        <v>2363</v>
      </c>
      <c r="Q2000">
        <v>875</v>
      </c>
      <c r="R2000" s="705">
        <v>29233</v>
      </c>
      <c r="S2000" s="705">
        <v>10827</v>
      </c>
      <c r="T2000">
        <v>0</v>
      </c>
      <c r="U2000">
        <v>0</v>
      </c>
      <c r="V2000" s="705">
        <v>39718</v>
      </c>
      <c r="W2000" s="705">
        <f t="shared" si="78"/>
        <v>39718</v>
      </c>
      <c r="X2000" s="705">
        <f t="shared" si="79"/>
        <v>65186</v>
      </c>
    </row>
    <row r="2001" spans="2:24">
      <c r="B2001" t="s">
        <v>716</v>
      </c>
      <c r="C2001" t="s">
        <v>118</v>
      </c>
      <c r="D2001" t="s">
        <v>584</v>
      </c>
      <c r="E2001" t="s">
        <v>584</v>
      </c>
      <c r="F2001">
        <v>58</v>
      </c>
      <c r="G2001" s="705">
        <v>3483</v>
      </c>
      <c r="H2001" s="705">
        <v>14829</v>
      </c>
      <c r="I2001" s="705">
        <v>460680</v>
      </c>
      <c r="J2001" s="705">
        <v>418800</v>
      </c>
      <c r="K2001">
        <v>79</v>
      </c>
      <c r="L2001" s="705">
        <v>65838</v>
      </c>
      <c r="M2001" s="705">
        <v>52665</v>
      </c>
      <c r="N2001" s="705">
        <v>70935</v>
      </c>
      <c r="O2001" s="705">
        <v>26272</v>
      </c>
      <c r="P2001" s="705">
        <v>27405</v>
      </c>
      <c r="Q2001" s="705">
        <v>10150</v>
      </c>
      <c r="R2001" s="705">
        <v>217575</v>
      </c>
      <c r="S2001" s="705">
        <v>197795</v>
      </c>
      <c r="T2001" s="705">
        <v>49244</v>
      </c>
      <c r="U2001" s="705">
        <v>18238</v>
      </c>
      <c r="V2001" s="705">
        <v>723921</v>
      </c>
      <c r="W2001" s="705">
        <f t="shared" si="78"/>
        <v>723920</v>
      </c>
      <c r="X2001" s="705">
        <f t="shared" si="79"/>
        <v>891677</v>
      </c>
    </row>
    <row r="2002" spans="2:24">
      <c r="B2002" t="s">
        <v>716</v>
      </c>
      <c r="C2002" t="s">
        <v>120</v>
      </c>
      <c r="F2002">
        <v>4</v>
      </c>
      <c r="G2002">
        <v>192</v>
      </c>
      <c r="H2002" s="705">
        <v>1291</v>
      </c>
      <c r="J2002">
        <v>0</v>
      </c>
      <c r="M2002">
        <v>0</v>
      </c>
      <c r="N2002" s="705">
        <v>4294</v>
      </c>
      <c r="O2002" s="705">
        <v>1590</v>
      </c>
      <c r="P2002">
        <v>473</v>
      </c>
      <c r="Q2002">
        <v>175</v>
      </c>
      <c r="S2002">
        <v>0</v>
      </c>
      <c r="T2002" s="705">
        <v>2031</v>
      </c>
      <c r="U2002">
        <v>752</v>
      </c>
      <c r="V2002" s="705">
        <v>2518</v>
      </c>
      <c r="W2002" s="705">
        <f t="shared" si="78"/>
        <v>2517</v>
      </c>
      <c r="X2002" s="705">
        <f t="shared" si="79"/>
        <v>6798</v>
      </c>
    </row>
    <row r="2003" spans="2:24">
      <c r="B2003" t="s">
        <v>716</v>
      </c>
      <c r="C2003" t="s">
        <v>120</v>
      </c>
      <c r="D2003" t="s">
        <v>228</v>
      </c>
      <c r="E2003" t="s">
        <v>228</v>
      </c>
      <c r="F2003">
        <v>264</v>
      </c>
      <c r="G2003" s="705">
        <v>16235</v>
      </c>
      <c r="H2003" s="705">
        <v>88569</v>
      </c>
      <c r="I2003" s="705">
        <v>3156578</v>
      </c>
      <c r="J2003" s="705">
        <v>1169103</v>
      </c>
      <c r="K2003">
        <v>100</v>
      </c>
      <c r="L2003" s="705">
        <v>475643</v>
      </c>
      <c r="M2003" s="705">
        <v>187054</v>
      </c>
      <c r="N2003" s="705">
        <v>280043</v>
      </c>
      <c r="O2003" s="705">
        <v>103720</v>
      </c>
      <c r="P2003" s="705">
        <v>1048</v>
      </c>
      <c r="Q2003">
        <v>388</v>
      </c>
      <c r="R2003" s="705">
        <v>1527492</v>
      </c>
      <c r="S2003" s="705">
        <v>565738</v>
      </c>
      <c r="T2003" s="705">
        <v>1881</v>
      </c>
      <c r="U2003">
        <v>697</v>
      </c>
      <c r="V2003" s="705">
        <v>2026699</v>
      </c>
      <c r="W2003" s="705">
        <f t="shared" si="78"/>
        <v>2026700</v>
      </c>
      <c r="X2003" s="705">
        <f t="shared" si="79"/>
        <v>5442685</v>
      </c>
    </row>
    <row r="2004" spans="2:24">
      <c r="B2004" t="s">
        <v>716</v>
      </c>
      <c r="C2004" t="s">
        <v>120</v>
      </c>
      <c r="D2004" t="s">
        <v>584</v>
      </c>
      <c r="E2004" t="s">
        <v>228</v>
      </c>
      <c r="F2004">
        <v>1</v>
      </c>
      <c r="G2004">
        <v>141</v>
      </c>
      <c r="H2004">
        <v>344</v>
      </c>
      <c r="I2004" s="705">
        <v>31469</v>
      </c>
      <c r="J2004" s="705">
        <v>28608</v>
      </c>
      <c r="K2004">
        <v>65</v>
      </c>
      <c r="L2004" s="705">
        <v>7858</v>
      </c>
      <c r="M2004" s="705">
        <v>6548</v>
      </c>
      <c r="N2004" s="705">
        <v>2268</v>
      </c>
      <c r="O2004">
        <v>840</v>
      </c>
      <c r="P2004">
        <v>473</v>
      </c>
      <c r="Q2004">
        <v>175</v>
      </c>
      <c r="R2004" s="705">
        <v>6373</v>
      </c>
      <c r="S2004" s="705">
        <v>2360</v>
      </c>
      <c r="T2004">
        <v>0</v>
      </c>
      <c r="U2004">
        <v>0</v>
      </c>
      <c r="V2004" s="705">
        <v>38531</v>
      </c>
      <c r="W2004" s="705">
        <f t="shared" si="78"/>
        <v>38531</v>
      </c>
      <c r="X2004" s="705">
        <f t="shared" si="79"/>
        <v>48441</v>
      </c>
    </row>
    <row r="2005" spans="2:24">
      <c r="B2005" t="s">
        <v>716</v>
      </c>
      <c r="C2005" t="s">
        <v>120</v>
      </c>
      <c r="D2005" t="s">
        <v>584</v>
      </c>
      <c r="E2005" t="s">
        <v>584</v>
      </c>
      <c r="F2005">
        <v>21</v>
      </c>
      <c r="G2005" s="705">
        <v>1189</v>
      </c>
      <c r="H2005" s="705">
        <v>6921</v>
      </c>
      <c r="I2005" s="705">
        <v>253366</v>
      </c>
      <c r="J2005" s="705">
        <v>230332</v>
      </c>
      <c r="K2005">
        <v>78</v>
      </c>
      <c r="L2005" s="705">
        <v>27695</v>
      </c>
      <c r="M2005" s="705">
        <v>22872</v>
      </c>
      <c r="N2005" s="705">
        <v>22668</v>
      </c>
      <c r="O2005" s="705">
        <v>8396</v>
      </c>
      <c r="P2005" s="705">
        <v>9923</v>
      </c>
      <c r="Q2005" s="705">
        <v>3675</v>
      </c>
      <c r="R2005" s="705">
        <v>64754</v>
      </c>
      <c r="S2005" s="705">
        <v>58867</v>
      </c>
      <c r="T2005" s="705">
        <v>14724</v>
      </c>
      <c r="U2005" s="705">
        <v>5453</v>
      </c>
      <c r="V2005" s="705">
        <v>329596</v>
      </c>
      <c r="W2005" s="705">
        <f t="shared" si="78"/>
        <v>329595</v>
      </c>
      <c r="X2005" s="705">
        <f t="shared" si="79"/>
        <v>393130</v>
      </c>
    </row>
    <row r="2006" spans="2:24">
      <c r="B2006" t="s">
        <v>716</v>
      </c>
      <c r="C2006" t="s">
        <v>120</v>
      </c>
      <c r="D2006" t="s">
        <v>669</v>
      </c>
      <c r="E2006" t="s">
        <v>669</v>
      </c>
      <c r="F2006">
        <v>3</v>
      </c>
      <c r="G2006">
        <v>226</v>
      </c>
      <c r="H2006" s="705">
        <v>1008</v>
      </c>
      <c r="I2006" s="705">
        <v>48202</v>
      </c>
      <c r="J2006" s="705">
        <v>40168</v>
      </c>
      <c r="K2006">
        <v>58</v>
      </c>
      <c r="L2006">
        <v>0</v>
      </c>
      <c r="M2006">
        <v>0</v>
      </c>
      <c r="N2006" s="705">
        <v>4480</v>
      </c>
      <c r="O2006" s="705">
        <v>1659</v>
      </c>
      <c r="P2006" s="705">
        <v>1053</v>
      </c>
      <c r="Q2006">
        <v>390</v>
      </c>
      <c r="R2006" s="705">
        <v>16183</v>
      </c>
      <c r="S2006" s="705">
        <v>13486</v>
      </c>
      <c r="T2006" s="705">
        <v>7143</v>
      </c>
      <c r="U2006" s="705">
        <v>2646</v>
      </c>
      <c r="V2006" s="705">
        <v>58349</v>
      </c>
      <c r="W2006" s="705">
        <f t="shared" si="78"/>
        <v>58349</v>
      </c>
      <c r="X2006" s="705">
        <f t="shared" si="79"/>
        <v>77061</v>
      </c>
    </row>
    <row r="2007" spans="2:24">
      <c r="B2007" t="s">
        <v>716</v>
      </c>
      <c r="C2007" t="s">
        <v>122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705">
        <f t="shared" si="78"/>
        <v>509</v>
      </c>
      <c r="X2007" s="705">
        <f t="shared" si="79"/>
        <v>1373</v>
      </c>
    </row>
    <row r="2008" spans="2:24">
      <c r="B2008" t="s">
        <v>716</v>
      </c>
      <c r="C2008" t="s">
        <v>122</v>
      </c>
      <c r="D2008" t="s">
        <v>228</v>
      </c>
      <c r="E2008" t="s">
        <v>228</v>
      </c>
      <c r="F2008">
        <v>69</v>
      </c>
      <c r="G2008" s="705">
        <v>4065</v>
      </c>
      <c r="H2008" s="705">
        <v>28347</v>
      </c>
      <c r="I2008" s="705">
        <v>1027906</v>
      </c>
      <c r="J2008" s="705">
        <v>380706</v>
      </c>
      <c r="K2008">
        <v>100</v>
      </c>
      <c r="L2008" s="705">
        <v>185941</v>
      </c>
      <c r="M2008" s="705">
        <v>75702</v>
      </c>
      <c r="N2008" s="705">
        <v>74728</v>
      </c>
      <c r="O2008" s="705">
        <v>27677</v>
      </c>
      <c r="P2008">
        <v>175</v>
      </c>
      <c r="Q2008">
        <v>65</v>
      </c>
      <c r="R2008" s="705">
        <v>378345</v>
      </c>
      <c r="S2008" s="705">
        <v>140128</v>
      </c>
      <c r="T2008">
        <v>0</v>
      </c>
      <c r="U2008">
        <v>0</v>
      </c>
      <c r="V2008" s="705">
        <v>624277</v>
      </c>
      <c r="W2008" s="705">
        <f t="shared" si="78"/>
        <v>624278</v>
      </c>
      <c r="X2008" s="705">
        <f t="shared" si="79"/>
        <v>1667095</v>
      </c>
    </row>
    <row r="2009" spans="2:24">
      <c r="B2009" t="s">
        <v>716</v>
      </c>
      <c r="C2009" t="s">
        <v>122</v>
      </c>
      <c r="D2009" t="s">
        <v>583</v>
      </c>
      <c r="E2009" t="s">
        <v>583</v>
      </c>
      <c r="F2009">
        <v>2</v>
      </c>
      <c r="G2009">
        <v>235</v>
      </c>
      <c r="H2009">
        <v>802</v>
      </c>
      <c r="I2009" s="705">
        <v>64846</v>
      </c>
      <c r="J2009" s="705">
        <v>58951</v>
      </c>
      <c r="K2009">
        <v>72</v>
      </c>
      <c r="L2009" s="705">
        <v>10039</v>
      </c>
      <c r="M2009" s="705">
        <v>7268</v>
      </c>
      <c r="N2009" s="705">
        <v>5365</v>
      </c>
      <c r="O2009" s="705">
        <v>1987</v>
      </c>
      <c r="P2009" s="705">
        <v>1593</v>
      </c>
      <c r="Q2009">
        <v>590</v>
      </c>
      <c r="R2009" s="705">
        <v>8543</v>
      </c>
      <c r="S2009" s="705">
        <v>7766</v>
      </c>
      <c r="T2009" s="705">
        <v>4675</v>
      </c>
      <c r="U2009" s="705">
        <v>1732</v>
      </c>
      <c r="V2009" s="705">
        <v>78294</v>
      </c>
      <c r="W2009" s="705">
        <f t="shared" si="78"/>
        <v>78294</v>
      </c>
      <c r="X2009" s="705">
        <f t="shared" si="79"/>
        <v>95061</v>
      </c>
    </row>
    <row r="2010" spans="2:24">
      <c r="B2010" t="s">
        <v>716</v>
      </c>
      <c r="C2010" t="s">
        <v>122</v>
      </c>
      <c r="D2010" t="s">
        <v>584</v>
      </c>
      <c r="E2010" t="s">
        <v>228</v>
      </c>
      <c r="F2010">
        <v>1</v>
      </c>
      <c r="G2010">
        <v>42</v>
      </c>
      <c r="H2010">
        <v>444</v>
      </c>
      <c r="I2010" s="705">
        <v>13878</v>
      </c>
      <c r="J2010" s="705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705">
        <v>3192</v>
      </c>
      <c r="S2010" s="705">
        <v>1182</v>
      </c>
      <c r="T2010">
        <v>0</v>
      </c>
      <c r="U2010">
        <v>0</v>
      </c>
      <c r="V2010" s="705">
        <v>14317</v>
      </c>
      <c r="W2010" s="705">
        <f t="shared" si="78"/>
        <v>14316</v>
      </c>
      <c r="X2010" s="705">
        <f t="shared" si="79"/>
        <v>18470</v>
      </c>
    </row>
    <row r="2011" spans="2:24">
      <c r="B2011" t="s">
        <v>716</v>
      </c>
      <c r="C2011" t="s">
        <v>122</v>
      </c>
      <c r="D2011" t="s">
        <v>584</v>
      </c>
      <c r="E2011" t="s">
        <v>584</v>
      </c>
      <c r="F2011">
        <v>8</v>
      </c>
      <c r="G2011">
        <v>388</v>
      </c>
      <c r="H2011" s="705">
        <v>3314</v>
      </c>
      <c r="I2011" s="705">
        <v>104633</v>
      </c>
      <c r="J2011" s="705">
        <v>95121</v>
      </c>
      <c r="K2011">
        <v>79</v>
      </c>
      <c r="L2011" s="705">
        <v>11449</v>
      </c>
      <c r="M2011" s="705">
        <v>9950</v>
      </c>
      <c r="N2011" s="705">
        <v>7744</v>
      </c>
      <c r="O2011" s="705">
        <v>2868</v>
      </c>
      <c r="P2011" s="705">
        <v>3780</v>
      </c>
      <c r="Q2011" s="705">
        <v>1400</v>
      </c>
      <c r="R2011" s="705">
        <v>25082</v>
      </c>
      <c r="S2011" s="705">
        <v>22802</v>
      </c>
      <c r="T2011" s="705">
        <v>8278</v>
      </c>
      <c r="U2011" s="705">
        <v>3066</v>
      </c>
      <c r="V2011" s="705">
        <v>135207</v>
      </c>
      <c r="W2011" s="705">
        <f t="shared" si="78"/>
        <v>135207</v>
      </c>
      <c r="X2011" s="705">
        <f t="shared" si="79"/>
        <v>160966</v>
      </c>
    </row>
    <row r="2012" spans="2:24">
      <c r="B2012" t="s">
        <v>716</v>
      </c>
      <c r="C2012" t="s">
        <v>124</v>
      </c>
      <c r="F2012">
        <v>2</v>
      </c>
      <c r="G2012">
        <v>75</v>
      </c>
      <c r="H2012" s="705">
        <v>1055</v>
      </c>
      <c r="J2012">
        <v>0</v>
      </c>
      <c r="M2012">
        <v>0</v>
      </c>
      <c r="N2012" s="705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705">
        <f t="shared" si="78"/>
        <v>994</v>
      </c>
      <c r="X2012" s="705">
        <f t="shared" si="79"/>
        <v>2683</v>
      </c>
    </row>
    <row r="2013" spans="2:24">
      <c r="B2013" t="s">
        <v>716</v>
      </c>
      <c r="C2013" t="s">
        <v>124</v>
      </c>
      <c r="D2013" t="s">
        <v>228</v>
      </c>
      <c r="E2013" t="s">
        <v>228</v>
      </c>
      <c r="F2013">
        <v>73</v>
      </c>
      <c r="G2013" s="705">
        <v>3318</v>
      </c>
      <c r="H2013" s="705">
        <v>45892</v>
      </c>
      <c r="I2013" s="705">
        <v>1493813</v>
      </c>
      <c r="J2013" s="705">
        <v>553264</v>
      </c>
      <c r="K2013">
        <v>100</v>
      </c>
      <c r="L2013" s="705">
        <v>181013</v>
      </c>
      <c r="M2013" s="705">
        <v>102225</v>
      </c>
      <c r="N2013" s="705">
        <v>65263</v>
      </c>
      <c r="O2013" s="705">
        <v>24172</v>
      </c>
      <c r="P2013" s="705">
        <v>1812</v>
      </c>
      <c r="Q2013">
        <v>671</v>
      </c>
      <c r="R2013" s="705">
        <v>366132</v>
      </c>
      <c r="S2013" s="705">
        <v>135604</v>
      </c>
      <c r="T2013" s="705">
        <v>3641</v>
      </c>
      <c r="U2013" s="705">
        <v>1348</v>
      </c>
      <c r="V2013" s="705">
        <v>817284</v>
      </c>
      <c r="W2013" s="705">
        <f t="shared" si="78"/>
        <v>817284</v>
      </c>
      <c r="X2013" s="705">
        <f t="shared" si="79"/>
        <v>2111674</v>
      </c>
    </row>
    <row r="2014" spans="2:24">
      <c r="B2014" t="s">
        <v>716</v>
      </c>
      <c r="C2014" t="s">
        <v>124</v>
      </c>
      <c r="D2014" t="s">
        <v>228</v>
      </c>
      <c r="E2014" t="s">
        <v>669</v>
      </c>
      <c r="F2014">
        <v>2</v>
      </c>
      <c r="G2014">
        <v>94</v>
      </c>
      <c r="H2014" s="705">
        <v>1435</v>
      </c>
      <c r="I2014" s="705">
        <v>44497</v>
      </c>
      <c r="J2014" s="705">
        <v>16480</v>
      </c>
      <c r="K2014">
        <v>100</v>
      </c>
      <c r="L2014" s="705">
        <v>8850</v>
      </c>
      <c r="M2014" s="705">
        <v>7375</v>
      </c>
      <c r="N2014" s="705">
        <v>1752</v>
      </c>
      <c r="O2014">
        <v>649</v>
      </c>
      <c r="P2014">
        <v>0</v>
      </c>
      <c r="Q2014">
        <v>0</v>
      </c>
      <c r="R2014" s="705">
        <v>11073</v>
      </c>
      <c r="S2014" s="705">
        <v>9228</v>
      </c>
      <c r="T2014" s="705">
        <v>2516</v>
      </c>
      <c r="U2014">
        <v>932</v>
      </c>
      <c r="V2014" s="705">
        <v>34664</v>
      </c>
      <c r="W2014" s="705">
        <f t="shared" si="78"/>
        <v>34664</v>
      </c>
      <c r="X2014" s="705">
        <f t="shared" si="79"/>
        <v>68688</v>
      </c>
    </row>
    <row r="2015" spans="2:24">
      <c r="B2015" t="s">
        <v>716</v>
      </c>
      <c r="C2015" t="s">
        <v>124</v>
      </c>
      <c r="D2015" t="s">
        <v>584</v>
      </c>
      <c r="E2015" t="s">
        <v>584</v>
      </c>
      <c r="F2015">
        <v>4</v>
      </c>
      <c r="G2015">
        <v>234</v>
      </c>
      <c r="H2015" s="705">
        <v>1942</v>
      </c>
      <c r="I2015" s="705">
        <v>79350</v>
      </c>
      <c r="J2015" s="705">
        <v>72136</v>
      </c>
      <c r="K2015">
        <v>78</v>
      </c>
      <c r="L2015" s="705">
        <v>7059</v>
      </c>
      <c r="M2015" s="705">
        <v>5882</v>
      </c>
      <c r="N2015" s="705">
        <v>4517</v>
      </c>
      <c r="O2015" s="705">
        <v>1673</v>
      </c>
      <c r="P2015" s="705">
        <v>1769</v>
      </c>
      <c r="Q2015">
        <v>655</v>
      </c>
      <c r="R2015" s="705">
        <v>12847</v>
      </c>
      <c r="S2015" s="705">
        <v>11679</v>
      </c>
      <c r="T2015" s="705">
        <v>8083</v>
      </c>
      <c r="U2015" s="705">
        <v>2994</v>
      </c>
      <c r="V2015" s="705">
        <v>95019</v>
      </c>
      <c r="W2015" s="705">
        <f t="shared" si="78"/>
        <v>95019</v>
      </c>
      <c r="X2015" s="705">
        <f t="shared" si="79"/>
        <v>113625</v>
      </c>
    </row>
    <row r="2016" spans="2:24">
      <c r="B2016" t="s">
        <v>716</v>
      </c>
      <c r="C2016" t="s">
        <v>124</v>
      </c>
      <c r="D2016" t="s">
        <v>669</v>
      </c>
      <c r="E2016" t="s">
        <v>228</v>
      </c>
      <c r="F2016">
        <v>2</v>
      </c>
      <c r="G2016">
        <v>96</v>
      </c>
      <c r="H2016" s="705">
        <v>1586</v>
      </c>
      <c r="I2016" s="705">
        <v>57100</v>
      </c>
      <c r="J2016" s="705">
        <v>47583</v>
      </c>
      <c r="K2016">
        <v>45</v>
      </c>
      <c r="L2016" s="705">
        <v>9019</v>
      </c>
      <c r="M2016" s="705">
        <v>5195</v>
      </c>
      <c r="N2016" s="705">
        <v>1287</v>
      </c>
      <c r="O2016">
        <v>477</v>
      </c>
      <c r="P2016">
        <v>0</v>
      </c>
      <c r="Q2016">
        <v>0</v>
      </c>
      <c r="R2016" s="705">
        <v>8973</v>
      </c>
      <c r="S2016" s="705">
        <v>3323</v>
      </c>
      <c r="T2016">
        <v>0</v>
      </c>
      <c r="U2016">
        <v>0</v>
      </c>
      <c r="V2016" s="705">
        <v>56579</v>
      </c>
      <c r="W2016" s="705">
        <f t="shared" si="78"/>
        <v>56578</v>
      </c>
      <c r="X2016" s="705">
        <f t="shared" si="79"/>
        <v>76379</v>
      </c>
    </row>
    <row r="2017" spans="2:24">
      <c r="B2017" t="s">
        <v>716</v>
      </c>
      <c r="C2017" t="s">
        <v>124</v>
      </c>
      <c r="D2017" t="s">
        <v>669</v>
      </c>
      <c r="E2017" t="s">
        <v>669</v>
      </c>
      <c r="F2017">
        <v>1</v>
      </c>
      <c r="G2017">
        <v>36</v>
      </c>
      <c r="H2017">
        <v>636</v>
      </c>
      <c r="I2017" s="705">
        <v>17470</v>
      </c>
      <c r="J2017" s="705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705">
        <v>3588</v>
      </c>
      <c r="S2017" s="705">
        <v>2990</v>
      </c>
      <c r="T2017" s="705">
        <v>1100</v>
      </c>
      <c r="U2017">
        <v>407</v>
      </c>
      <c r="V2017" s="705">
        <v>18315</v>
      </c>
      <c r="W2017" s="705">
        <f t="shared" si="78"/>
        <v>18315</v>
      </c>
      <c r="X2017" s="705">
        <f t="shared" si="79"/>
        <v>23129</v>
      </c>
    </row>
    <row r="2018" spans="2:24">
      <c r="B2018" t="s">
        <v>717</v>
      </c>
      <c r="C2018" t="s">
        <v>108</v>
      </c>
      <c r="D2018" t="s">
        <v>228</v>
      </c>
      <c r="E2018" t="s">
        <v>228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705">
        <v>8792</v>
      </c>
      <c r="O2018" s="705">
        <v>3256</v>
      </c>
      <c r="P2018" s="705">
        <v>4914</v>
      </c>
      <c r="Q2018" s="705">
        <v>1820</v>
      </c>
      <c r="R2018" s="705">
        <v>23419</v>
      </c>
      <c r="S2018" s="705">
        <v>8674</v>
      </c>
      <c r="T2018">
        <v>0</v>
      </c>
      <c r="U2018">
        <v>0</v>
      </c>
      <c r="V2018" s="705">
        <v>14246</v>
      </c>
      <c r="W2018" s="705">
        <f t="shared" si="78"/>
        <v>14246</v>
      </c>
      <c r="X2018" s="705">
        <f t="shared" si="79"/>
        <v>37986</v>
      </c>
    </row>
    <row r="2019" spans="2:24">
      <c r="B2019" t="s">
        <v>717</v>
      </c>
      <c r="C2019" t="s">
        <v>108</v>
      </c>
      <c r="D2019" t="s">
        <v>584</v>
      </c>
      <c r="E2019" t="s">
        <v>584</v>
      </c>
      <c r="F2019">
        <v>3</v>
      </c>
      <c r="G2019">
        <v>278</v>
      </c>
      <c r="H2019">
        <v>198</v>
      </c>
      <c r="I2019" s="705">
        <v>5034</v>
      </c>
      <c r="J2019" s="705">
        <v>4577</v>
      </c>
      <c r="K2019">
        <v>92</v>
      </c>
      <c r="L2019">
        <v>0</v>
      </c>
      <c r="M2019">
        <v>0</v>
      </c>
      <c r="N2019" s="705">
        <v>3392</v>
      </c>
      <c r="O2019" s="705">
        <v>1256</v>
      </c>
      <c r="P2019" s="705">
        <v>1418</v>
      </c>
      <c r="Q2019">
        <v>525</v>
      </c>
      <c r="R2019" s="705">
        <v>8497</v>
      </c>
      <c r="S2019" s="705">
        <v>7724</v>
      </c>
      <c r="T2019">
        <v>0</v>
      </c>
      <c r="U2019">
        <v>0</v>
      </c>
      <c r="V2019" s="705">
        <v>14082</v>
      </c>
      <c r="W2019" s="705">
        <f t="shared" si="78"/>
        <v>14082</v>
      </c>
      <c r="X2019" s="705">
        <f t="shared" si="79"/>
        <v>18341</v>
      </c>
    </row>
    <row r="2020" spans="2:24">
      <c r="B2020" t="s">
        <v>717</v>
      </c>
      <c r="C2020" t="s">
        <v>110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705">
        <v>7140</v>
      </c>
      <c r="O2020" s="705">
        <v>2644</v>
      </c>
      <c r="P2020" s="705">
        <v>2106</v>
      </c>
      <c r="Q2020">
        <v>780</v>
      </c>
      <c r="S2020">
        <v>0</v>
      </c>
      <c r="T2020">
        <v>0</v>
      </c>
      <c r="U2020">
        <v>0</v>
      </c>
      <c r="V2020" s="705">
        <v>3424</v>
      </c>
      <c r="W2020" s="705">
        <f t="shared" si="78"/>
        <v>3424</v>
      </c>
      <c r="X2020" s="705">
        <f t="shared" si="79"/>
        <v>9246</v>
      </c>
    </row>
    <row r="2021" spans="2:24">
      <c r="B2021" t="s">
        <v>717</v>
      </c>
      <c r="C2021" t="s">
        <v>112</v>
      </c>
      <c r="F2021">
        <v>9</v>
      </c>
      <c r="G2021">
        <v>564</v>
      </c>
      <c r="H2021" s="705">
        <v>1075</v>
      </c>
      <c r="J2021">
        <v>0</v>
      </c>
      <c r="M2021">
        <v>0</v>
      </c>
      <c r="N2021" s="705">
        <v>9249</v>
      </c>
      <c r="O2021" s="705">
        <v>3425</v>
      </c>
      <c r="P2021" s="705">
        <v>1755</v>
      </c>
      <c r="Q2021">
        <v>650</v>
      </c>
      <c r="S2021">
        <v>0</v>
      </c>
      <c r="T2021">
        <v>0</v>
      </c>
      <c r="U2021">
        <v>0</v>
      </c>
      <c r="V2021" s="705">
        <v>4075</v>
      </c>
      <c r="W2021" s="705">
        <f t="shared" si="78"/>
        <v>4075</v>
      </c>
      <c r="X2021" s="705">
        <f t="shared" si="79"/>
        <v>11004</v>
      </c>
    </row>
    <row r="2022" spans="2:24">
      <c r="B2022" t="s">
        <v>717</v>
      </c>
      <c r="C2022" t="s">
        <v>112</v>
      </c>
      <c r="D2022" t="s">
        <v>228</v>
      </c>
      <c r="E2022" t="s">
        <v>228</v>
      </c>
      <c r="F2022">
        <v>10</v>
      </c>
      <c r="G2022">
        <v>638</v>
      </c>
      <c r="H2022" s="705">
        <v>1073</v>
      </c>
      <c r="I2022" s="705">
        <v>11629</v>
      </c>
      <c r="J2022" s="705">
        <v>4307</v>
      </c>
      <c r="K2022">
        <v>384</v>
      </c>
      <c r="L2022" s="705">
        <v>2642</v>
      </c>
      <c r="M2022" s="705">
        <v>2402</v>
      </c>
      <c r="N2022" s="705">
        <v>13312</v>
      </c>
      <c r="O2022" s="705">
        <v>4930</v>
      </c>
      <c r="P2022" s="705">
        <v>3510</v>
      </c>
      <c r="Q2022" s="705">
        <v>1300</v>
      </c>
      <c r="R2022" s="705">
        <v>37306</v>
      </c>
      <c r="S2022" s="705">
        <v>13817</v>
      </c>
      <c r="T2022">
        <v>0</v>
      </c>
      <c r="U2022">
        <v>0</v>
      </c>
      <c r="V2022" s="705">
        <v>26756</v>
      </c>
      <c r="W2022" s="705">
        <f t="shared" si="78"/>
        <v>26756</v>
      </c>
      <c r="X2022" s="705">
        <f t="shared" si="79"/>
        <v>68399</v>
      </c>
    </row>
    <row r="2023" spans="2:24">
      <c r="B2023" t="s">
        <v>717</v>
      </c>
      <c r="C2023" t="s">
        <v>112</v>
      </c>
      <c r="D2023" t="s">
        <v>584</v>
      </c>
      <c r="E2023" t="s">
        <v>584</v>
      </c>
      <c r="F2023">
        <v>8</v>
      </c>
      <c r="G2023">
        <v>699</v>
      </c>
      <c r="H2023">
        <v>925</v>
      </c>
      <c r="I2023" s="705">
        <v>23672</v>
      </c>
      <c r="J2023" s="705">
        <v>21520</v>
      </c>
      <c r="K2023">
        <v>78</v>
      </c>
      <c r="L2023" s="705">
        <v>2060</v>
      </c>
      <c r="M2023" s="705">
        <v>1789</v>
      </c>
      <c r="N2023" s="705">
        <v>14123</v>
      </c>
      <c r="O2023" s="705">
        <v>5231</v>
      </c>
      <c r="P2023" s="705">
        <v>3780</v>
      </c>
      <c r="Q2023" s="705">
        <v>1400</v>
      </c>
      <c r="R2023" s="705">
        <v>37298</v>
      </c>
      <c r="S2023" s="705">
        <v>33907</v>
      </c>
      <c r="T2023">
        <v>0</v>
      </c>
      <c r="U2023">
        <v>0</v>
      </c>
      <c r="V2023" s="705">
        <v>63846</v>
      </c>
      <c r="W2023" s="705">
        <f t="shared" si="78"/>
        <v>63847</v>
      </c>
      <c r="X2023" s="705">
        <f t="shared" si="79"/>
        <v>80933</v>
      </c>
    </row>
    <row r="2024" spans="2:24">
      <c r="B2024" t="s">
        <v>717</v>
      </c>
      <c r="C2024" t="s">
        <v>114</v>
      </c>
      <c r="F2024">
        <v>15</v>
      </c>
      <c r="G2024">
        <v>945</v>
      </c>
      <c r="H2024" s="705">
        <v>2063</v>
      </c>
      <c r="J2024">
        <v>0</v>
      </c>
      <c r="M2024">
        <v>0</v>
      </c>
      <c r="N2024" s="705">
        <v>14732</v>
      </c>
      <c r="O2024" s="705">
        <v>5456</v>
      </c>
      <c r="P2024" s="705">
        <v>2808</v>
      </c>
      <c r="Q2024" s="705">
        <v>1040</v>
      </c>
      <c r="S2024">
        <v>0</v>
      </c>
      <c r="T2024">
        <v>0</v>
      </c>
      <c r="U2024">
        <v>0</v>
      </c>
      <c r="V2024" s="705">
        <v>6496</v>
      </c>
      <c r="W2024" s="705">
        <f t="shared" si="78"/>
        <v>6496</v>
      </c>
      <c r="X2024" s="705">
        <f t="shared" si="79"/>
        <v>17540</v>
      </c>
    </row>
    <row r="2025" spans="2:24">
      <c r="B2025" t="s">
        <v>717</v>
      </c>
      <c r="C2025" t="s">
        <v>114</v>
      </c>
      <c r="D2025" t="s">
        <v>582</v>
      </c>
      <c r="E2025" t="s">
        <v>582</v>
      </c>
      <c r="F2025">
        <v>1</v>
      </c>
      <c r="G2025">
        <v>83</v>
      </c>
      <c r="H2025">
        <v>141</v>
      </c>
      <c r="I2025" s="705">
        <v>5404</v>
      </c>
      <c r="J2025" s="705">
        <v>4912</v>
      </c>
      <c r="K2025">
        <v>73</v>
      </c>
      <c r="L2025">
        <v>0</v>
      </c>
      <c r="M2025">
        <v>0</v>
      </c>
      <c r="N2025" s="705">
        <v>1320</v>
      </c>
      <c r="O2025">
        <v>489</v>
      </c>
      <c r="P2025">
        <v>473</v>
      </c>
      <c r="Q2025">
        <v>175</v>
      </c>
      <c r="R2025" s="705">
        <v>4491</v>
      </c>
      <c r="S2025" s="705">
        <v>4083</v>
      </c>
      <c r="T2025">
        <v>0</v>
      </c>
      <c r="U2025">
        <v>0</v>
      </c>
      <c r="V2025" s="705">
        <v>9659</v>
      </c>
      <c r="W2025" s="705">
        <f t="shared" si="78"/>
        <v>9659</v>
      </c>
      <c r="X2025" s="705">
        <f t="shared" si="79"/>
        <v>11688</v>
      </c>
    </row>
    <row r="2026" spans="2:24">
      <c r="B2026" t="s">
        <v>717</v>
      </c>
      <c r="C2026" t="s">
        <v>114</v>
      </c>
      <c r="D2026" t="s">
        <v>228</v>
      </c>
      <c r="E2026" t="s">
        <v>228</v>
      </c>
      <c r="F2026">
        <v>5</v>
      </c>
      <c r="G2026">
        <v>395</v>
      </c>
      <c r="H2026">
        <v>700</v>
      </c>
      <c r="I2026" s="705">
        <v>13949</v>
      </c>
      <c r="J2026" s="705">
        <v>5166</v>
      </c>
      <c r="K2026">
        <v>160</v>
      </c>
      <c r="L2026" s="705">
        <v>3514</v>
      </c>
      <c r="M2026" s="705">
        <v>1420</v>
      </c>
      <c r="N2026" s="705">
        <v>6575</v>
      </c>
      <c r="O2026" s="705">
        <v>2435</v>
      </c>
      <c r="P2026">
        <v>351</v>
      </c>
      <c r="Q2026">
        <v>130</v>
      </c>
      <c r="R2026" s="705">
        <v>30689</v>
      </c>
      <c r="S2026" s="705">
        <v>11366</v>
      </c>
      <c r="T2026">
        <v>0</v>
      </c>
      <c r="U2026">
        <v>0</v>
      </c>
      <c r="V2026" s="705">
        <v>20518</v>
      </c>
      <c r="W2026" s="705">
        <f t="shared" si="78"/>
        <v>20517</v>
      </c>
      <c r="X2026" s="705">
        <f t="shared" si="79"/>
        <v>55078</v>
      </c>
    </row>
    <row r="2027" spans="2:24">
      <c r="B2027" t="s">
        <v>717</v>
      </c>
      <c r="C2027" t="s">
        <v>114</v>
      </c>
      <c r="D2027" t="s">
        <v>583</v>
      </c>
      <c r="E2027" t="s">
        <v>583</v>
      </c>
      <c r="F2027">
        <v>2</v>
      </c>
      <c r="G2027">
        <v>300</v>
      </c>
      <c r="H2027">
        <v>296</v>
      </c>
      <c r="I2027" s="705">
        <v>32562</v>
      </c>
      <c r="J2027" s="705">
        <v>29601</v>
      </c>
      <c r="K2027">
        <v>93</v>
      </c>
      <c r="L2027" s="705">
        <v>5693</v>
      </c>
      <c r="M2027" s="705">
        <v>4459</v>
      </c>
      <c r="N2027" s="705">
        <v>8615</v>
      </c>
      <c r="O2027" s="705">
        <v>3191</v>
      </c>
      <c r="P2027" s="705">
        <v>1242</v>
      </c>
      <c r="Q2027">
        <v>460</v>
      </c>
      <c r="R2027" s="705">
        <v>10020</v>
      </c>
      <c r="S2027" s="705">
        <v>9109</v>
      </c>
      <c r="T2027" s="705">
        <v>2444</v>
      </c>
      <c r="U2027">
        <v>905</v>
      </c>
      <c r="V2027" s="705">
        <v>47726</v>
      </c>
      <c r="W2027" s="705">
        <f t="shared" ref="W2027:W2090" si="80">SUM(ABS(J2027),ABS(M2027),ABS(O2027),ABS(Q2027),ABS(S2027),ABS(U2027))</f>
        <v>47725</v>
      </c>
      <c r="X2027" s="705">
        <f t="shared" ref="X2027:X2090" si="81">SUM(ABS(I2027),ABS(N2027),ABS(P2027),ABS(R2027),ABS(T2027),ABS(L2027))</f>
        <v>60576</v>
      </c>
    </row>
    <row r="2028" spans="2:24">
      <c r="B2028" t="s">
        <v>717</v>
      </c>
      <c r="C2028" t="s">
        <v>114</v>
      </c>
      <c r="D2028" t="s">
        <v>584</v>
      </c>
      <c r="E2028" t="s">
        <v>584</v>
      </c>
      <c r="F2028">
        <v>20</v>
      </c>
      <c r="G2028" s="705">
        <v>1580</v>
      </c>
      <c r="H2028" s="705">
        <v>2846</v>
      </c>
      <c r="I2028" s="705">
        <v>88651</v>
      </c>
      <c r="J2028" s="705">
        <v>80591</v>
      </c>
      <c r="K2028">
        <v>82</v>
      </c>
      <c r="L2028" s="705">
        <v>12543</v>
      </c>
      <c r="M2028" s="705">
        <v>10445</v>
      </c>
      <c r="N2028" s="705">
        <v>34939</v>
      </c>
      <c r="O2028" s="705">
        <v>12940</v>
      </c>
      <c r="P2028" s="705">
        <v>9329</v>
      </c>
      <c r="Q2028" s="705">
        <v>3455</v>
      </c>
      <c r="R2028" s="705">
        <v>76404</v>
      </c>
      <c r="S2028" s="705">
        <v>69458</v>
      </c>
      <c r="T2028" s="705">
        <v>2471</v>
      </c>
      <c r="U2028">
        <v>915</v>
      </c>
      <c r="V2028" s="705">
        <v>177805</v>
      </c>
      <c r="W2028" s="705">
        <f t="shared" si="80"/>
        <v>177804</v>
      </c>
      <c r="X2028" s="705">
        <f t="shared" si="81"/>
        <v>224337</v>
      </c>
    </row>
    <row r="2029" spans="2:24">
      <c r="B2029" t="s">
        <v>717</v>
      </c>
      <c r="C2029" t="s">
        <v>114</v>
      </c>
      <c r="D2029" t="s">
        <v>585</v>
      </c>
      <c r="E2029" t="s">
        <v>585</v>
      </c>
      <c r="F2029">
        <v>1</v>
      </c>
      <c r="G2029">
        <v>77</v>
      </c>
      <c r="H2029">
        <v>134</v>
      </c>
      <c r="I2029" s="705">
        <v>3730</v>
      </c>
      <c r="J2029" s="705">
        <v>3391</v>
      </c>
      <c r="K2029">
        <v>75</v>
      </c>
      <c r="L2029" s="705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705">
        <v>4018</v>
      </c>
      <c r="S2029" s="705">
        <v>3653</v>
      </c>
      <c r="T2029">
        <v>0</v>
      </c>
      <c r="U2029">
        <v>0</v>
      </c>
      <c r="V2029" s="705">
        <v>7968</v>
      </c>
      <c r="W2029" s="705">
        <f t="shared" si="80"/>
        <v>7969</v>
      </c>
      <c r="X2029" s="705">
        <f t="shared" si="81"/>
        <v>10244</v>
      </c>
    </row>
    <row r="2030" spans="2:24">
      <c r="B2030" t="s">
        <v>717</v>
      </c>
      <c r="C2030" t="s">
        <v>116</v>
      </c>
      <c r="F2030">
        <v>14</v>
      </c>
      <c r="G2030" s="705">
        <v>1014</v>
      </c>
      <c r="H2030" s="705">
        <v>2419</v>
      </c>
      <c r="J2030">
        <v>0</v>
      </c>
      <c r="M2030">
        <v>0</v>
      </c>
      <c r="N2030" s="705">
        <v>18675</v>
      </c>
      <c r="O2030" s="705">
        <v>6917</v>
      </c>
      <c r="P2030" s="705">
        <v>3429</v>
      </c>
      <c r="Q2030" s="705">
        <v>1270</v>
      </c>
      <c r="S2030">
        <v>0</v>
      </c>
      <c r="T2030">
        <v>0</v>
      </c>
      <c r="U2030">
        <v>0</v>
      </c>
      <c r="V2030" s="705">
        <v>8187</v>
      </c>
      <c r="W2030" s="705">
        <f t="shared" si="80"/>
        <v>8187</v>
      </c>
      <c r="X2030" s="705">
        <f t="shared" si="81"/>
        <v>22104</v>
      </c>
    </row>
    <row r="2031" spans="2:24">
      <c r="B2031" t="s">
        <v>717</v>
      </c>
      <c r="C2031" t="s">
        <v>116</v>
      </c>
      <c r="D2031" t="s">
        <v>582</v>
      </c>
      <c r="E2031" t="s">
        <v>664</v>
      </c>
      <c r="F2031">
        <v>1</v>
      </c>
      <c r="G2031">
        <v>117</v>
      </c>
      <c r="H2031">
        <v>209</v>
      </c>
      <c r="I2031" s="705">
        <v>12617</v>
      </c>
      <c r="J2031" s="705">
        <v>11470</v>
      </c>
      <c r="K2031">
        <v>78</v>
      </c>
      <c r="L2031" s="705">
        <v>2308</v>
      </c>
      <c r="M2031" s="705">
        <v>2099</v>
      </c>
      <c r="N2031" s="705">
        <v>2642</v>
      </c>
      <c r="O2031">
        <v>978</v>
      </c>
      <c r="P2031">
        <v>473</v>
      </c>
      <c r="Q2031">
        <v>175</v>
      </c>
      <c r="R2031" s="705">
        <v>6434</v>
      </c>
      <c r="S2031" s="705">
        <v>5849</v>
      </c>
      <c r="T2031">
        <v>0</v>
      </c>
      <c r="U2031">
        <v>0</v>
      </c>
      <c r="V2031" s="705">
        <v>20571</v>
      </c>
      <c r="W2031" s="705">
        <f t="shared" si="80"/>
        <v>20571</v>
      </c>
      <c r="X2031" s="705">
        <f t="shared" si="81"/>
        <v>24474</v>
      </c>
    </row>
    <row r="2032" spans="2:24">
      <c r="B2032" t="s">
        <v>717</v>
      </c>
      <c r="C2032" t="s">
        <v>116</v>
      </c>
      <c r="D2032" t="s">
        <v>582</v>
      </c>
      <c r="E2032" t="s">
        <v>582</v>
      </c>
      <c r="F2032">
        <v>16</v>
      </c>
      <c r="G2032" s="705">
        <v>1252</v>
      </c>
      <c r="H2032" s="705">
        <v>2913</v>
      </c>
      <c r="I2032" s="705">
        <v>111070</v>
      </c>
      <c r="J2032" s="705">
        <v>100973</v>
      </c>
      <c r="K2032">
        <v>75</v>
      </c>
      <c r="L2032" s="705">
        <v>5043</v>
      </c>
      <c r="M2032" s="705">
        <v>4585</v>
      </c>
      <c r="N2032" s="705">
        <v>25747</v>
      </c>
      <c r="O2032" s="705">
        <v>9536</v>
      </c>
      <c r="P2032" s="705">
        <v>7560</v>
      </c>
      <c r="Q2032" s="705">
        <v>2800</v>
      </c>
      <c r="R2032" s="705">
        <v>76903</v>
      </c>
      <c r="S2032" s="705">
        <v>69912</v>
      </c>
      <c r="T2032">
        <v>0</v>
      </c>
      <c r="U2032">
        <v>0</v>
      </c>
      <c r="V2032" s="705">
        <v>187806</v>
      </c>
      <c r="W2032" s="705">
        <f t="shared" si="80"/>
        <v>187806</v>
      </c>
      <c r="X2032" s="705">
        <f t="shared" si="81"/>
        <v>226323</v>
      </c>
    </row>
    <row r="2033" spans="2:24">
      <c r="B2033" t="s">
        <v>717</v>
      </c>
      <c r="C2033" t="s">
        <v>116</v>
      </c>
      <c r="D2033" t="s">
        <v>228</v>
      </c>
      <c r="E2033" t="s">
        <v>228</v>
      </c>
      <c r="F2033">
        <v>177</v>
      </c>
      <c r="G2033" s="705">
        <v>12069</v>
      </c>
      <c r="H2033" s="705">
        <v>35434</v>
      </c>
      <c r="I2033" s="705">
        <v>1002179</v>
      </c>
      <c r="J2033" s="705">
        <v>371177</v>
      </c>
      <c r="K2033">
        <v>108</v>
      </c>
      <c r="L2033" s="705">
        <v>120957</v>
      </c>
      <c r="M2033" s="705">
        <v>55824</v>
      </c>
      <c r="N2033" s="705">
        <v>229766</v>
      </c>
      <c r="O2033" s="705">
        <v>85098</v>
      </c>
      <c r="P2033" s="705">
        <v>2483</v>
      </c>
      <c r="Q2033">
        <v>919</v>
      </c>
      <c r="R2033" s="705">
        <v>1070306</v>
      </c>
      <c r="S2033" s="705">
        <v>396410</v>
      </c>
      <c r="T2033">
        <v>0</v>
      </c>
      <c r="U2033">
        <v>0</v>
      </c>
      <c r="V2033" s="705">
        <v>909429</v>
      </c>
      <c r="W2033" s="705">
        <f t="shared" si="80"/>
        <v>909428</v>
      </c>
      <c r="X2033" s="705">
        <f t="shared" si="81"/>
        <v>2425691</v>
      </c>
    </row>
    <row r="2034" spans="2:24">
      <c r="B2034" t="s">
        <v>717</v>
      </c>
      <c r="C2034" t="s">
        <v>116</v>
      </c>
      <c r="D2034" t="s">
        <v>583</v>
      </c>
      <c r="E2034" t="s">
        <v>583</v>
      </c>
      <c r="F2034">
        <v>15</v>
      </c>
      <c r="G2034" s="705">
        <v>1965</v>
      </c>
      <c r="H2034" s="705">
        <v>2832</v>
      </c>
      <c r="I2034" s="705">
        <v>203305</v>
      </c>
      <c r="J2034" s="705">
        <v>184823</v>
      </c>
      <c r="K2034">
        <v>86</v>
      </c>
      <c r="L2034" s="705">
        <v>45891</v>
      </c>
      <c r="M2034" s="705">
        <v>40145</v>
      </c>
      <c r="N2034" s="705">
        <v>33969</v>
      </c>
      <c r="O2034" s="705">
        <v>12581</v>
      </c>
      <c r="P2034" s="705">
        <v>9315</v>
      </c>
      <c r="Q2034" s="705">
        <v>3450</v>
      </c>
      <c r="R2034" s="705">
        <v>71439</v>
      </c>
      <c r="S2034" s="705">
        <v>64945</v>
      </c>
      <c r="T2034" s="705">
        <v>17061</v>
      </c>
      <c r="U2034" s="705">
        <v>6319</v>
      </c>
      <c r="V2034" s="705">
        <v>312262</v>
      </c>
      <c r="W2034" s="705">
        <f t="shared" si="80"/>
        <v>312263</v>
      </c>
      <c r="X2034" s="705">
        <f t="shared" si="81"/>
        <v>380980</v>
      </c>
    </row>
    <row r="2035" spans="2:24">
      <c r="B2035" t="s">
        <v>717</v>
      </c>
      <c r="C2035" t="s">
        <v>116</v>
      </c>
      <c r="D2035" t="s">
        <v>584</v>
      </c>
      <c r="E2035" t="s">
        <v>582</v>
      </c>
      <c r="F2035">
        <v>1</v>
      </c>
      <c r="G2035">
        <v>72</v>
      </c>
      <c r="H2035">
        <v>164</v>
      </c>
      <c r="I2035" s="705">
        <v>3945</v>
      </c>
      <c r="J2035" s="705">
        <v>3587</v>
      </c>
      <c r="K2035">
        <v>80</v>
      </c>
      <c r="L2035">
        <v>832</v>
      </c>
      <c r="M2035">
        <v>756</v>
      </c>
      <c r="N2035" s="705">
        <v>1658</v>
      </c>
      <c r="O2035">
        <v>614</v>
      </c>
      <c r="P2035">
        <v>473</v>
      </c>
      <c r="Q2035">
        <v>175</v>
      </c>
      <c r="R2035" s="705">
        <v>2834</v>
      </c>
      <c r="S2035" s="705">
        <v>2577</v>
      </c>
      <c r="T2035" s="705">
        <v>2058</v>
      </c>
      <c r="U2035">
        <v>762</v>
      </c>
      <c r="V2035" s="705">
        <v>8471</v>
      </c>
      <c r="W2035" s="705">
        <f t="shared" si="80"/>
        <v>8471</v>
      </c>
      <c r="X2035" s="705">
        <f t="shared" si="81"/>
        <v>11800</v>
      </c>
    </row>
    <row r="2036" spans="2:24">
      <c r="B2036" t="s">
        <v>717</v>
      </c>
      <c r="C2036" t="s">
        <v>116</v>
      </c>
      <c r="D2036" t="s">
        <v>584</v>
      </c>
      <c r="E2036" t="s">
        <v>584</v>
      </c>
      <c r="F2036">
        <v>51</v>
      </c>
      <c r="G2036" s="705">
        <v>3326</v>
      </c>
      <c r="H2036" s="705">
        <v>9567</v>
      </c>
      <c r="I2036" s="705">
        <v>268844</v>
      </c>
      <c r="J2036" s="705">
        <v>244403</v>
      </c>
      <c r="K2036">
        <v>81</v>
      </c>
      <c r="L2036" s="705">
        <v>32560</v>
      </c>
      <c r="M2036" s="705">
        <v>24093</v>
      </c>
      <c r="N2036" s="705">
        <v>68320</v>
      </c>
      <c r="O2036" s="705">
        <v>25304</v>
      </c>
      <c r="P2036" s="705">
        <v>24678</v>
      </c>
      <c r="Q2036" s="705">
        <v>9140</v>
      </c>
      <c r="R2036" s="705">
        <v>197341</v>
      </c>
      <c r="S2036" s="705">
        <v>179401</v>
      </c>
      <c r="T2036" s="705">
        <v>24448</v>
      </c>
      <c r="U2036" s="705">
        <v>9055</v>
      </c>
      <c r="V2036" s="705">
        <v>491396</v>
      </c>
      <c r="W2036" s="705">
        <f t="shared" si="80"/>
        <v>491396</v>
      </c>
      <c r="X2036" s="705">
        <f t="shared" si="81"/>
        <v>616191</v>
      </c>
    </row>
    <row r="2037" spans="2:24">
      <c r="B2037" t="s">
        <v>717</v>
      </c>
      <c r="C2037" t="s">
        <v>118</v>
      </c>
      <c r="F2037">
        <v>4</v>
      </c>
      <c r="G2037">
        <v>246</v>
      </c>
      <c r="H2037" s="705">
        <v>1103</v>
      </c>
      <c r="J2037">
        <v>0</v>
      </c>
      <c r="M2037">
        <v>0</v>
      </c>
      <c r="N2037" s="705">
        <v>3751</v>
      </c>
      <c r="O2037" s="705">
        <v>1389</v>
      </c>
      <c r="P2037" s="705">
        <v>2336</v>
      </c>
      <c r="Q2037">
        <v>865</v>
      </c>
      <c r="S2037">
        <v>0</v>
      </c>
      <c r="T2037" s="705">
        <v>6262</v>
      </c>
      <c r="U2037" s="705">
        <v>2319</v>
      </c>
      <c r="V2037" s="705">
        <v>4574</v>
      </c>
      <c r="W2037" s="705">
        <f t="shared" si="80"/>
        <v>4573</v>
      </c>
      <c r="X2037" s="705">
        <f t="shared" si="81"/>
        <v>12349</v>
      </c>
    </row>
    <row r="2038" spans="2:24">
      <c r="B2038" t="s">
        <v>717</v>
      </c>
      <c r="C2038" t="s">
        <v>118</v>
      </c>
      <c r="D2038" t="s">
        <v>582</v>
      </c>
      <c r="E2038" t="s">
        <v>582</v>
      </c>
      <c r="F2038">
        <v>2</v>
      </c>
      <c r="G2038">
        <v>85</v>
      </c>
      <c r="H2038">
        <v>570</v>
      </c>
      <c r="I2038" s="705">
        <v>12566</v>
      </c>
      <c r="J2038" s="705">
        <v>11424</v>
      </c>
      <c r="K2038">
        <v>82</v>
      </c>
      <c r="L2038">
        <v>705</v>
      </c>
      <c r="M2038">
        <v>261</v>
      </c>
      <c r="N2038" s="705">
        <v>1676</v>
      </c>
      <c r="O2038">
        <v>621</v>
      </c>
      <c r="P2038">
        <v>945</v>
      </c>
      <c r="Q2038">
        <v>350</v>
      </c>
      <c r="R2038" s="705">
        <v>6174</v>
      </c>
      <c r="S2038" s="705">
        <v>5613</v>
      </c>
      <c r="T2038" s="705">
        <v>1895</v>
      </c>
      <c r="U2038">
        <v>702</v>
      </c>
      <c r="V2038" s="705">
        <v>18970</v>
      </c>
      <c r="W2038" s="705">
        <f t="shared" si="80"/>
        <v>18971</v>
      </c>
      <c r="X2038" s="705">
        <f t="shared" si="81"/>
        <v>23961</v>
      </c>
    </row>
    <row r="2039" spans="2:24">
      <c r="B2039" t="s">
        <v>717</v>
      </c>
      <c r="C2039" t="s">
        <v>118</v>
      </c>
      <c r="D2039" t="s">
        <v>228</v>
      </c>
      <c r="E2039" t="s">
        <v>228</v>
      </c>
      <c r="F2039">
        <v>302</v>
      </c>
      <c r="G2039" s="705">
        <v>19646</v>
      </c>
      <c r="H2039" s="705">
        <v>79401</v>
      </c>
      <c r="I2039" s="705">
        <v>2665688</v>
      </c>
      <c r="J2039" s="705">
        <v>987292</v>
      </c>
      <c r="K2039">
        <v>100</v>
      </c>
      <c r="L2039" s="705">
        <v>306860</v>
      </c>
      <c r="M2039" s="705">
        <v>133622</v>
      </c>
      <c r="N2039" s="705">
        <v>381739</v>
      </c>
      <c r="O2039" s="705">
        <v>141385</v>
      </c>
      <c r="P2039" s="705">
        <v>2106</v>
      </c>
      <c r="Q2039">
        <v>780</v>
      </c>
      <c r="R2039" s="705">
        <v>1783765</v>
      </c>
      <c r="S2039" s="705">
        <v>660654</v>
      </c>
      <c r="T2039">
        <v>0</v>
      </c>
      <c r="U2039">
        <v>0</v>
      </c>
      <c r="V2039" s="705">
        <v>1923732</v>
      </c>
      <c r="W2039" s="705">
        <f t="shared" si="80"/>
        <v>1923733</v>
      </c>
      <c r="X2039" s="705">
        <f t="shared" si="81"/>
        <v>5140158</v>
      </c>
    </row>
    <row r="2040" spans="2:24">
      <c r="B2040" t="s">
        <v>717</v>
      </c>
      <c r="C2040" t="s">
        <v>118</v>
      </c>
      <c r="D2040" t="s">
        <v>583</v>
      </c>
      <c r="E2040" t="s">
        <v>228</v>
      </c>
      <c r="F2040">
        <v>1</v>
      </c>
      <c r="G2040">
        <v>72</v>
      </c>
      <c r="H2040">
        <v>230</v>
      </c>
      <c r="I2040" s="705">
        <v>9125</v>
      </c>
      <c r="J2040" s="705">
        <v>8296</v>
      </c>
      <c r="K2040">
        <v>85</v>
      </c>
      <c r="L2040">
        <v>0</v>
      </c>
      <c r="M2040">
        <v>0</v>
      </c>
      <c r="N2040" s="705">
        <v>1763</v>
      </c>
      <c r="O2040">
        <v>653</v>
      </c>
      <c r="P2040">
        <v>621</v>
      </c>
      <c r="Q2040">
        <v>230</v>
      </c>
      <c r="R2040" s="705">
        <v>5156</v>
      </c>
      <c r="S2040" s="705">
        <v>1910</v>
      </c>
      <c r="T2040">
        <v>0</v>
      </c>
      <c r="U2040">
        <v>0</v>
      </c>
      <c r="V2040" s="705">
        <v>11088</v>
      </c>
      <c r="W2040" s="705">
        <f t="shared" si="80"/>
        <v>11089</v>
      </c>
      <c r="X2040" s="705">
        <f t="shared" si="81"/>
        <v>16665</v>
      </c>
    </row>
    <row r="2041" spans="2:24">
      <c r="B2041" t="s">
        <v>717</v>
      </c>
      <c r="C2041" t="s">
        <v>118</v>
      </c>
      <c r="D2041" t="s">
        <v>583</v>
      </c>
      <c r="E2041" t="s">
        <v>583</v>
      </c>
      <c r="F2041">
        <v>7</v>
      </c>
      <c r="G2041">
        <v>834</v>
      </c>
      <c r="H2041" s="705">
        <v>1893</v>
      </c>
      <c r="I2041" s="705">
        <v>137010</v>
      </c>
      <c r="J2041" s="705">
        <v>124555</v>
      </c>
      <c r="K2041">
        <v>82</v>
      </c>
      <c r="L2041" s="705">
        <v>23583</v>
      </c>
      <c r="M2041" s="705">
        <v>21439</v>
      </c>
      <c r="N2041" s="705">
        <v>17588</v>
      </c>
      <c r="O2041" s="705">
        <v>6514</v>
      </c>
      <c r="P2041" s="705">
        <v>4698</v>
      </c>
      <c r="Q2041" s="705">
        <v>1740</v>
      </c>
      <c r="R2041" s="705">
        <v>37032</v>
      </c>
      <c r="S2041" s="705">
        <v>33665</v>
      </c>
      <c r="T2041" s="705">
        <v>7299</v>
      </c>
      <c r="U2041" s="705">
        <v>2703</v>
      </c>
      <c r="V2041" s="705">
        <v>190617</v>
      </c>
      <c r="W2041" s="705">
        <f t="shared" si="80"/>
        <v>190616</v>
      </c>
      <c r="X2041" s="705">
        <f t="shared" si="81"/>
        <v>227210</v>
      </c>
    </row>
    <row r="2042" spans="2:24">
      <c r="B2042" t="s">
        <v>717</v>
      </c>
      <c r="C2042" t="s">
        <v>118</v>
      </c>
      <c r="D2042" t="s">
        <v>584</v>
      </c>
      <c r="E2042" t="s">
        <v>228</v>
      </c>
      <c r="F2042">
        <v>1</v>
      </c>
      <c r="G2042">
        <v>44</v>
      </c>
      <c r="H2042">
        <v>272</v>
      </c>
      <c r="I2042" s="705">
        <v>6280</v>
      </c>
      <c r="J2042" s="705">
        <v>5709</v>
      </c>
      <c r="K2042">
        <v>90</v>
      </c>
      <c r="L2042" s="705">
        <v>1541</v>
      </c>
      <c r="M2042">
        <v>571</v>
      </c>
      <c r="N2042" s="705">
        <v>1076</v>
      </c>
      <c r="O2042">
        <v>399</v>
      </c>
      <c r="P2042">
        <v>0</v>
      </c>
      <c r="Q2042">
        <v>0</v>
      </c>
      <c r="R2042" s="705">
        <v>3132</v>
      </c>
      <c r="S2042" s="705">
        <v>1160</v>
      </c>
      <c r="T2042">
        <v>0</v>
      </c>
      <c r="U2042">
        <v>0</v>
      </c>
      <c r="V2042" s="705">
        <v>7838</v>
      </c>
      <c r="W2042" s="705">
        <f t="shared" si="80"/>
        <v>7839</v>
      </c>
      <c r="X2042" s="705">
        <f t="shared" si="81"/>
        <v>12029</v>
      </c>
    </row>
    <row r="2043" spans="2:24">
      <c r="B2043" t="s">
        <v>717</v>
      </c>
      <c r="C2043" t="s">
        <v>118</v>
      </c>
      <c r="D2043" t="s">
        <v>584</v>
      </c>
      <c r="E2043" t="s">
        <v>584</v>
      </c>
      <c r="F2043">
        <v>25</v>
      </c>
      <c r="G2043" s="705">
        <v>1410</v>
      </c>
      <c r="H2043" s="705">
        <v>6453</v>
      </c>
      <c r="I2043" s="705">
        <v>186264</v>
      </c>
      <c r="J2043" s="705">
        <v>169331</v>
      </c>
      <c r="K2043">
        <v>80</v>
      </c>
      <c r="L2043" s="705">
        <v>31116</v>
      </c>
      <c r="M2043" s="705">
        <v>26367</v>
      </c>
      <c r="N2043" s="705">
        <v>29335</v>
      </c>
      <c r="O2043" s="705">
        <v>10865</v>
      </c>
      <c r="P2043" s="705">
        <v>11691</v>
      </c>
      <c r="Q2043" s="705">
        <v>4330</v>
      </c>
      <c r="R2043" s="705">
        <v>89960</v>
      </c>
      <c r="S2043" s="705">
        <v>81782</v>
      </c>
      <c r="T2043" s="705">
        <v>22367</v>
      </c>
      <c r="U2043" s="705">
        <v>8284</v>
      </c>
      <c r="V2043" s="705">
        <v>300959</v>
      </c>
      <c r="W2043" s="705">
        <f t="shared" si="80"/>
        <v>300959</v>
      </c>
      <c r="X2043" s="705">
        <f t="shared" si="81"/>
        <v>370733</v>
      </c>
    </row>
    <row r="2044" spans="2:24">
      <c r="B2044" t="s">
        <v>717</v>
      </c>
      <c r="C2044" t="s">
        <v>118</v>
      </c>
      <c r="D2044" t="s">
        <v>665</v>
      </c>
      <c r="E2044" t="s">
        <v>228</v>
      </c>
      <c r="F2044">
        <v>1</v>
      </c>
      <c r="G2044">
        <v>56</v>
      </c>
      <c r="H2044">
        <v>284</v>
      </c>
      <c r="I2044" s="705">
        <v>7580</v>
      </c>
      <c r="J2044" s="705">
        <v>6891</v>
      </c>
      <c r="K2044">
        <v>60</v>
      </c>
      <c r="L2044" s="705">
        <v>1240</v>
      </c>
      <c r="M2044">
        <v>459</v>
      </c>
      <c r="N2044" s="705">
        <v>1142</v>
      </c>
      <c r="O2044">
        <v>423</v>
      </c>
      <c r="P2044">
        <v>0</v>
      </c>
      <c r="Q2044">
        <v>0</v>
      </c>
      <c r="R2044" s="705">
        <v>5966</v>
      </c>
      <c r="S2044" s="705">
        <v>2209</v>
      </c>
      <c r="T2044">
        <v>0</v>
      </c>
      <c r="U2044">
        <v>0</v>
      </c>
      <c r="V2044" s="705">
        <v>9983</v>
      </c>
      <c r="W2044" s="705">
        <f t="shared" si="80"/>
        <v>9982</v>
      </c>
      <c r="X2044" s="705">
        <f t="shared" si="81"/>
        <v>15928</v>
      </c>
    </row>
    <row r="2045" spans="2:24">
      <c r="B2045" t="s">
        <v>717</v>
      </c>
      <c r="C2045" t="s">
        <v>118</v>
      </c>
      <c r="D2045" t="s">
        <v>665</v>
      </c>
      <c r="E2045" t="s">
        <v>665</v>
      </c>
      <c r="F2045">
        <v>2</v>
      </c>
      <c r="G2045">
        <v>152</v>
      </c>
      <c r="H2045">
        <v>551</v>
      </c>
      <c r="I2045" s="705">
        <v>22934</v>
      </c>
      <c r="J2045" s="705">
        <v>20849</v>
      </c>
      <c r="K2045">
        <v>55</v>
      </c>
      <c r="L2045">
        <v>0</v>
      </c>
      <c r="M2045">
        <v>0</v>
      </c>
      <c r="N2045" s="705">
        <v>3704</v>
      </c>
      <c r="O2045" s="705">
        <v>1372</v>
      </c>
      <c r="P2045">
        <v>702</v>
      </c>
      <c r="Q2045">
        <v>260</v>
      </c>
      <c r="R2045" s="705">
        <v>10024</v>
      </c>
      <c r="S2045" s="705">
        <v>9112</v>
      </c>
      <c r="T2045" s="705">
        <v>4491</v>
      </c>
      <c r="U2045" s="705">
        <v>1663</v>
      </c>
      <c r="V2045" s="705">
        <v>33257</v>
      </c>
      <c r="W2045" s="705">
        <f t="shared" si="80"/>
        <v>33256</v>
      </c>
      <c r="X2045" s="705">
        <f t="shared" si="81"/>
        <v>41855</v>
      </c>
    </row>
    <row r="2046" spans="2:24">
      <c r="B2046" t="s">
        <v>717</v>
      </c>
      <c r="C2046" t="s">
        <v>120</v>
      </c>
      <c r="D2046" t="s">
        <v>228</v>
      </c>
      <c r="E2046" t="s">
        <v>228</v>
      </c>
      <c r="F2046">
        <v>148</v>
      </c>
      <c r="G2046" s="705">
        <v>9427</v>
      </c>
      <c r="H2046" s="705">
        <v>49886</v>
      </c>
      <c r="I2046" s="705">
        <v>1870227</v>
      </c>
      <c r="J2046" s="705">
        <v>692677</v>
      </c>
      <c r="K2046">
        <v>100</v>
      </c>
      <c r="L2046" s="705">
        <v>248542</v>
      </c>
      <c r="M2046" s="705">
        <v>103806</v>
      </c>
      <c r="N2046" s="705">
        <v>193128</v>
      </c>
      <c r="O2046" s="705">
        <v>71529</v>
      </c>
      <c r="P2046">
        <v>351</v>
      </c>
      <c r="Q2046">
        <v>130</v>
      </c>
      <c r="R2046" s="705">
        <v>870556</v>
      </c>
      <c r="S2046" s="705">
        <v>322428</v>
      </c>
      <c r="T2046">
        <v>0</v>
      </c>
      <c r="U2046">
        <v>0</v>
      </c>
      <c r="V2046" s="705">
        <v>1190570</v>
      </c>
      <c r="W2046" s="705">
        <f t="shared" si="80"/>
        <v>1190570</v>
      </c>
      <c r="X2046" s="705">
        <f t="shared" si="81"/>
        <v>3182804</v>
      </c>
    </row>
    <row r="2047" spans="2:24">
      <c r="B2047" t="s">
        <v>717</v>
      </c>
      <c r="C2047" t="s">
        <v>120</v>
      </c>
      <c r="D2047" t="s">
        <v>583</v>
      </c>
      <c r="E2047" t="s">
        <v>228</v>
      </c>
      <c r="F2047">
        <v>2</v>
      </c>
      <c r="G2047">
        <v>291</v>
      </c>
      <c r="H2047">
        <v>709</v>
      </c>
      <c r="I2047" s="705">
        <v>70469</v>
      </c>
      <c r="J2047" s="705">
        <v>64063</v>
      </c>
      <c r="K2047">
        <v>78</v>
      </c>
      <c r="L2047" s="705">
        <v>13137</v>
      </c>
      <c r="M2047" s="705">
        <v>11943</v>
      </c>
      <c r="N2047" s="705">
        <v>6728</v>
      </c>
      <c r="O2047" s="705">
        <v>2492</v>
      </c>
      <c r="P2047" s="705">
        <v>1242</v>
      </c>
      <c r="Q2047">
        <v>460</v>
      </c>
      <c r="R2047" s="705">
        <v>14979</v>
      </c>
      <c r="S2047" s="705">
        <v>5548</v>
      </c>
      <c r="T2047">
        <v>0</v>
      </c>
      <c r="U2047">
        <v>0</v>
      </c>
      <c r="V2047" s="705">
        <v>84506</v>
      </c>
      <c r="W2047" s="705">
        <f t="shared" si="80"/>
        <v>84506</v>
      </c>
      <c r="X2047" s="705">
        <f t="shared" si="81"/>
        <v>106555</v>
      </c>
    </row>
    <row r="2048" spans="2:24">
      <c r="B2048" t="s">
        <v>717</v>
      </c>
      <c r="C2048" t="s">
        <v>120</v>
      </c>
      <c r="D2048" t="s">
        <v>583</v>
      </c>
      <c r="E2048" t="s">
        <v>583</v>
      </c>
      <c r="F2048">
        <v>3</v>
      </c>
      <c r="G2048">
        <v>255</v>
      </c>
      <c r="H2048">
        <v>968</v>
      </c>
      <c r="I2048" s="705">
        <v>51458</v>
      </c>
      <c r="J2048" s="705">
        <v>46780</v>
      </c>
      <c r="K2048">
        <v>76</v>
      </c>
      <c r="L2048" s="705">
        <v>2747</v>
      </c>
      <c r="M2048" s="705">
        <v>2497</v>
      </c>
      <c r="N2048" s="705">
        <v>4079</v>
      </c>
      <c r="O2048" s="705">
        <v>1511</v>
      </c>
      <c r="P2048" s="705">
        <v>1863</v>
      </c>
      <c r="Q2048">
        <v>690</v>
      </c>
      <c r="R2048" s="705">
        <v>17576</v>
      </c>
      <c r="S2048" s="705">
        <v>15978</v>
      </c>
      <c r="T2048" s="705">
        <v>4660</v>
      </c>
      <c r="U2048" s="705">
        <v>1726</v>
      </c>
      <c r="V2048" s="705">
        <v>69182</v>
      </c>
      <c r="W2048" s="705">
        <f t="shared" si="80"/>
        <v>69182</v>
      </c>
      <c r="X2048" s="705">
        <f t="shared" si="81"/>
        <v>82383</v>
      </c>
    </row>
    <row r="2049" spans="2:24">
      <c r="B2049" t="s">
        <v>717</v>
      </c>
      <c r="C2049" t="s">
        <v>120</v>
      </c>
      <c r="D2049" t="s">
        <v>666</v>
      </c>
      <c r="E2049" t="s">
        <v>666</v>
      </c>
      <c r="F2049">
        <v>2</v>
      </c>
      <c r="G2049">
        <v>248</v>
      </c>
      <c r="H2049">
        <v>658</v>
      </c>
      <c r="I2049" s="705">
        <v>56051</v>
      </c>
      <c r="J2049" s="705">
        <v>50955</v>
      </c>
      <c r="K2049">
        <v>65</v>
      </c>
      <c r="L2049" s="705">
        <v>7123</v>
      </c>
      <c r="M2049" s="705">
        <v>6476</v>
      </c>
      <c r="N2049" s="705">
        <v>4276</v>
      </c>
      <c r="O2049" s="705">
        <v>1584</v>
      </c>
      <c r="P2049">
        <v>702</v>
      </c>
      <c r="Q2049">
        <v>260</v>
      </c>
      <c r="R2049" s="705">
        <v>9575</v>
      </c>
      <c r="S2049" s="705">
        <v>8704</v>
      </c>
      <c r="T2049" s="705">
        <v>5409</v>
      </c>
      <c r="U2049" s="705">
        <v>2003</v>
      </c>
      <c r="V2049" s="705">
        <v>69982</v>
      </c>
      <c r="W2049" s="705">
        <f t="shared" si="80"/>
        <v>69982</v>
      </c>
      <c r="X2049" s="705">
        <f t="shared" si="81"/>
        <v>83136</v>
      </c>
    </row>
    <row r="2050" spans="2:24">
      <c r="B2050" t="s">
        <v>717</v>
      </c>
      <c r="C2050" t="s">
        <v>120</v>
      </c>
      <c r="D2050" t="s">
        <v>584</v>
      </c>
      <c r="E2050" t="s">
        <v>228</v>
      </c>
      <c r="F2050">
        <v>3</v>
      </c>
      <c r="G2050">
        <v>105</v>
      </c>
      <c r="H2050" s="705">
        <v>1035</v>
      </c>
      <c r="I2050" s="705">
        <v>23193</v>
      </c>
      <c r="J2050" s="705">
        <v>21085</v>
      </c>
      <c r="K2050">
        <v>55</v>
      </c>
      <c r="L2050">
        <v>0</v>
      </c>
      <c r="M2050">
        <v>0</v>
      </c>
      <c r="N2050" s="705">
        <v>2549</v>
      </c>
      <c r="O2050">
        <v>944</v>
      </c>
      <c r="P2050" s="705">
        <v>1418</v>
      </c>
      <c r="Q2050">
        <v>525</v>
      </c>
      <c r="R2050" s="705">
        <v>8765</v>
      </c>
      <c r="S2050" s="705">
        <v>3246</v>
      </c>
      <c r="T2050">
        <v>0</v>
      </c>
      <c r="U2050">
        <v>0</v>
      </c>
      <c r="V2050" s="705">
        <v>25800</v>
      </c>
      <c r="W2050" s="705">
        <f t="shared" si="80"/>
        <v>25800</v>
      </c>
      <c r="X2050" s="705">
        <f t="shared" si="81"/>
        <v>35925</v>
      </c>
    </row>
    <row r="2051" spans="2:24">
      <c r="B2051" t="s">
        <v>717</v>
      </c>
      <c r="C2051" t="s">
        <v>120</v>
      </c>
      <c r="D2051" t="s">
        <v>584</v>
      </c>
      <c r="E2051" t="s">
        <v>584</v>
      </c>
      <c r="F2051">
        <v>1</v>
      </c>
      <c r="G2051">
        <v>76</v>
      </c>
      <c r="H2051">
        <v>321</v>
      </c>
      <c r="I2051" s="705">
        <v>16821</v>
      </c>
      <c r="J2051" s="705">
        <v>15292</v>
      </c>
      <c r="K2051">
        <v>79</v>
      </c>
      <c r="L2051">
        <v>0</v>
      </c>
      <c r="M2051">
        <v>0</v>
      </c>
      <c r="N2051" s="705">
        <v>1653</v>
      </c>
      <c r="O2051">
        <v>612</v>
      </c>
      <c r="P2051">
        <v>473</v>
      </c>
      <c r="Q2051">
        <v>175</v>
      </c>
      <c r="R2051" s="705">
        <v>5480</v>
      </c>
      <c r="S2051" s="705">
        <v>4982</v>
      </c>
      <c r="T2051">
        <v>0</v>
      </c>
      <c r="U2051">
        <v>0</v>
      </c>
      <c r="V2051" s="705">
        <v>21060</v>
      </c>
      <c r="W2051" s="705">
        <f t="shared" si="80"/>
        <v>21061</v>
      </c>
      <c r="X2051" s="705">
        <f t="shared" si="81"/>
        <v>24427</v>
      </c>
    </row>
    <row r="2052" spans="2:24">
      <c r="B2052" t="s">
        <v>717</v>
      </c>
      <c r="C2052" t="s">
        <v>120</v>
      </c>
      <c r="D2052" t="s">
        <v>665</v>
      </c>
      <c r="E2052" t="s">
        <v>665</v>
      </c>
      <c r="F2052">
        <v>6</v>
      </c>
      <c r="G2052">
        <v>281</v>
      </c>
      <c r="H2052" s="705">
        <v>2007</v>
      </c>
      <c r="I2052" s="705">
        <v>45842</v>
      </c>
      <c r="J2052" s="705">
        <v>41674</v>
      </c>
      <c r="K2052">
        <v>55</v>
      </c>
      <c r="L2052" s="705">
        <v>1773</v>
      </c>
      <c r="M2052">
        <v>657</v>
      </c>
      <c r="N2052" s="705">
        <v>6163</v>
      </c>
      <c r="O2052" s="705">
        <v>2282</v>
      </c>
      <c r="P2052" s="705">
        <v>2106</v>
      </c>
      <c r="Q2052">
        <v>780</v>
      </c>
      <c r="R2052" s="705">
        <v>27096</v>
      </c>
      <c r="S2052" s="705">
        <v>24633</v>
      </c>
      <c r="T2052" s="705">
        <v>10149</v>
      </c>
      <c r="U2052" s="705">
        <v>3759</v>
      </c>
      <c r="V2052" s="705">
        <v>73785</v>
      </c>
      <c r="W2052" s="705">
        <f t="shared" si="80"/>
        <v>73785</v>
      </c>
      <c r="X2052" s="705">
        <f t="shared" si="81"/>
        <v>93129</v>
      </c>
    </row>
    <row r="2053" spans="2:24">
      <c r="B2053" t="s">
        <v>717</v>
      </c>
      <c r="C2053" t="s">
        <v>122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705">
        <v>1881</v>
      </c>
      <c r="U2053">
        <v>697</v>
      </c>
      <c r="V2053" s="705">
        <v>1111</v>
      </c>
      <c r="W2053" s="705">
        <f t="shared" si="80"/>
        <v>1112</v>
      </c>
      <c r="X2053" s="705">
        <f t="shared" si="81"/>
        <v>3001</v>
      </c>
    </row>
    <row r="2054" spans="2:24">
      <c r="B2054" t="s">
        <v>717</v>
      </c>
      <c r="C2054" t="s">
        <v>122</v>
      </c>
      <c r="D2054" t="s">
        <v>582</v>
      </c>
      <c r="E2054" t="s">
        <v>582</v>
      </c>
      <c r="F2054">
        <v>1</v>
      </c>
      <c r="G2054">
        <v>149</v>
      </c>
      <c r="H2054">
        <v>394</v>
      </c>
      <c r="I2054" s="705">
        <v>41124</v>
      </c>
      <c r="J2054" s="705">
        <v>37386</v>
      </c>
      <c r="K2054">
        <v>73</v>
      </c>
      <c r="L2054" s="705">
        <v>7928</v>
      </c>
      <c r="M2054" s="705">
        <v>7207</v>
      </c>
      <c r="N2054" s="705">
        <v>2873</v>
      </c>
      <c r="O2054" s="705">
        <v>1064</v>
      </c>
      <c r="P2054">
        <v>351</v>
      </c>
      <c r="Q2054">
        <v>130</v>
      </c>
      <c r="R2054" s="705">
        <v>6503</v>
      </c>
      <c r="S2054" s="705">
        <v>5912</v>
      </c>
      <c r="T2054">
        <v>0</v>
      </c>
      <c r="U2054">
        <v>0</v>
      </c>
      <c r="V2054" s="705">
        <v>51699</v>
      </c>
      <c r="W2054" s="705">
        <f t="shared" si="80"/>
        <v>51699</v>
      </c>
      <c r="X2054" s="705">
        <f t="shared" si="81"/>
        <v>58779</v>
      </c>
    </row>
    <row r="2055" spans="2:24">
      <c r="B2055" t="s">
        <v>717</v>
      </c>
      <c r="C2055" t="s">
        <v>122</v>
      </c>
      <c r="D2055" t="s">
        <v>228</v>
      </c>
      <c r="E2055" t="s">
        <v>228</v>
      </c>
      <c r="F2055">
        <v>31</v>
      </c>
      <c r="G2055" s="705">
        <v>1812</v>
      </c>
      <c r="H2055" s="705">
        <v>12637</v>
      </c>
      <c r="I2055" s="705">
        <v>479307</v>
      </c>
      <c r="J2055" s="705">
        <v>177521</v>
      </c>
      <c r="K2055">
        <v>100</v>
      </c>
      <c r="L2055" s="705">
        <v>48014</v>
      </c>
      <c r="M2055" s="705">
        <v>19500</v>
      </c>
      <c r="N2055" s="705">
        <v>35222</v>
      </c>
      <c r="O2055" s="705">
        <v>13045</v>
      </c>
      <c r="P2055">
        <v>702</v>
      </c>
      <c r="Q2055">
        <v>260</v>
      </c>
      <c r="R2055" s="705">
        <v>173812</v>
      </c>
      <c r="S2055" s="705">
        <v>64375</v>
      </c>
      <c r="T2055">
        <v>0</v>
      </c>
      <c r="U2055">
        <v>0</v>
      </c>
      <c r="V2055" s="705">
        <v>274701</v>
      </c>
      <c r="W2055" s="705">
        <f t="shared" si="80"/>
        <v>274701</v>
      </c>
      <c r="X2055" s="705">
        <f t="shared" si="81"/>
        <v>737057</v>
      </c>
    </row>
    <row r="2056" spans="2:24">
      <c r="B2056" t="s">
        <v>717</v>
      </c>
      <c r="C2056" t="s">
        <v>122</v>
      </c>
      <c r="D2056" t="s">
        <v>583</v>
      </c>
      <c r="E2056" t="s">
        <v>583</v>
      </c>
      <c r="F2056">
        <v>2</v>
      </c>
      <c r="G2056">
        <v>170</v>
      </c>
      <c r="H2056">
        <v>833</v>
      </c>
      <c r="I2056" s="705">
        <v>43670</v>
      </c>
      <c r="J2056" s="705">
        <v>39700</v>
      </c>
      <c r="K2056">
        <v>86</v>
      </c>
      <c r="L2056" s="705">
        <v>6386</v>
      </c>
      <c r="M2056" s="705">
        <v>5805</v>
      </c>
      <c r="N2056" s="705">
        <v>3919</v>
      </c>
      <c r="O2056" s="705">
        <v>1451</v>
      </c>
      <c r="P2056" s="705">
        <v>1242</v>
      </c>
      <c r="Q2056">
        <v>460</v>
      </c>
      <c r="R2056" s="705">
        <v>12507</v>
      </c>
      <c r="S2056" s="705">
        <v>11370</v>
      </c>
      <c r="T2056" s="705">
        <v>2934</v>
      </c>
      <c r="U2056" s="705">
        <v>1087</v>
      </c>
      <c r="V2056" s="705">
        <v>59873</v>
      </c>
      <c r="W2056" s="705">
        <f t="shared" si="80"/>
        <v>59873</v>
      </c>
      <c r="X2056" s="705">
        <f t="shared" si="81"/>
        <v>70658</v>
      </c>
    </row>
    <row r="2057" spans="2:24">
      <c r="B2057" t="s">
        <v>717</v>
      </c>
      <c r="C2057" t="s">
        <v>122</v>
      </c>
      <c r="D2057" t="s">
        <v>584</v>
      </c>
      <c r="E2057" t="s">
        <v>584</v>
      </c>
      <c r="F2057">
        <v>7</v>
      </c>
      <c r="G2057">
        <v>282</v>
      </c>
      <c r="H2057" s="705">
        <v>2938</v>
      </c>
      <c r="I2057" s="705">
        <v>70673</v>
      </c>
      <c r="J2057" s="705">
        <v>64248</v>
      </c>
      <c r="K2057">
        <v>72</v>
      </c>
      <c r="L2057">
        <v>0</v>
      </c>
      <c r="M2057">
        <v>0</v>
      </c>
      <c r="N2057" s="705">
        <v>6312</v>
      </c>
      <c r="O2057" s="705">
        <v>2338</v>
      </c>
      <c r="P2057" s="705">
        <v>3308</v>
      </c>
      <c r="Q2057" s="705">
        <v>1225</v>
      </c>
      <c r="R2057" s="705">
        <v>31514</v>
      </c>
      <c r="S2057" s="705">
        <v>28649</v>
      </c>
      <c r="T2057" s="705">
        <v>6680</v>
      </c>
      <c r="U2057" s="705">
        <v>2474</v>
      </c>
      <c r="V2057" s="705">
        <v>98934</v>
      </c>
      <c r="W2057" s="705">
        <f t="shared" si="80"/>
        <v>98934</v>
      </c>
      <c r="X2057" s="705">
        <f t="shared" si="81"/>
        <v>118487</v>
      </c>
    </row>
    <row r="2058" spans="2:24">
      <c r="B2058" t="s">
        <v>717</v>
      </c>
      <c r="C2058" t="s">
        <v>122</v>
      </c>
      <c r="D2058" t="s">
        <v>665</v>
      </c>
      <c r="E2058" t="s">
        <v>228</v>
      </c>
      <c r="F2058">
        <v>1</v>
      </c>
      <c r="G2058">
        <v>129</v>
      </c>
      <c r="H2058">
        <v>393</v>
      </c>
      <c r="I2058" s="705">
        <v>42003</v>
      </c>
      <c r="J2058" s="705">
        <v>38184</v>
      </c>
      <c r="K2058">
        <v>60</v>
      </c>
      <c r="L2058">
        <v>0</v>
      </c>
      <c r="M2058">
        <v>0</v>
      </c>
      <c r="N2058" s="705">
        <v>1572</v>
      </c>
      <c r="O2058">
        <v>582</v>
      </c>
      <c r="P2058">
        <v>0</v>
      </c>
      <c r="Q2058">
        <v>0</v>
      </c>
      <c r="R2058" s="705">
        <v>7080</v>
      </c>
      <c r="S2058" s="705">
        <v>2622</v>
      </c>
      <c r="T2058">
        <v>0</v>
      </c>
      <c r="U2058">
        <v>0</v>
      </c>
      <c r="V2058" s="705">
        <v>41389</v>
      </c>
      <c r="W2058" s="705">
        <f t="shared" si="80"/>
        <v>41388</v>
      </c>
      <c r="X2058" s="705">
        <f t="shared" si="81"/>
        <v>50655</v>
      </c>
    </row>
    <row r="2059" spans="2:24">
      <c r="B2059" t="s">
        <v>717</v>
      </c>
      <c r="C2059" t="s">
        <v>122</v>
      </c>
      <c r="D2059" t="s">
        <v>665</v>
      </c>
      <c r="E2059" t="s">
        <v>665</v>
      </c>
      <c r="F2059">
        <v>1</v>
      </c>
      <c r="G2059">
        <v>57</v>
      </c>
      <c r="H2059">
        <v>445</v>
      </c>
      <c r="I2059" s="705">
        <v>14656</v>
      </c>
      <c r="J2059" s="705">
        <v>13324</v>
      </c>
      <c r="K2059">
        <v>55</v>
      </c>
      <c r="L2059">
        <v>0</v>
      </c>
      <c r="M2059">
        <v>0</v>
      </c>
      <c r="N2059" s="705">
        <v>1377</v>
      </c>
      <c r="O2059">
        <v>510</v>
      </c>
      <c r="P2059">
        <v>621</v>
      </c>
      <c r="Q2059">
        <v>230</v>
      </c>
      <c r="R2059" s="705">
        <v>5743</v>
      </c>
      <c r="S2059" s="705">
        <v>5221</v>
      </c>
      <c r="T2059" s="705">
        <v>2731</v>
      </c>
      <c r="U2059" s="705">
        <v>1012</v>
      </c>
      <c r="V2059" s="705">
        <v>20296</v>
      </c>
      <c r="W2059" s="705">
        <f t="shared" si="80"/>
        <v>20297</v>
      </c>
      <c r="X2059" s="705">
        <f t="shared" si="81"/>
        <v>25128</v>
      </c>
    </row>
    <row r="2060" spans="2:24">
      <c r="B2060" t="s">
        <v>717</v>
      </c>
      <c r="C2060" t="s">
        <v>124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705">
        <v>1832</v>
      </c>
      <c r="U2060">
        <v>679</v>
      </c>
      <c r="V2060" s="705">
        <v>1079</v>
      </c>
      <c r="W2060" s="705">
        <f t="shared" si="80"/>
        <v>1079</v>
      </c>
      <c r="X2060" s="705">
        <f t="shared" si="81"/>
        <v>2912</v>
      </c>
    </row>
    <row r="2061" spans="2:24">
      <c r="B2061" t="s">
        <v>717</v>
      </c>
      <c r="C2061" t="s">
        <v>124</v>
      </c>
      <c r="D2061" t="s">
        <v>228</v>
      </c>
      <c r="E2061" t="s">
        <v>228</v>
      </c>
      <c r="F2061">
        <v>52</v>
      </c>
      <c r="G2061" s="705">
        <v>2710</v>
      </c>
      <c r="H2061" s="705">
        <v>33125</v>
      </c>
      <c r="I2061" s="705">
        <v>1263776</v>
      </c>
      <c r="J2061" s="705">
        <v>468065</v>
      </c>
      <c r="K2061">
        <v>100</v>
      </c>
      <c r="L2061" s="705">
        <v>161495</v>
      </c>
      <c r="M2061" s="705">
        <v>102107</v>
      </c>
      <c r="N2061" s="705">
        <v>59088</v>
      </c>
      <c r="O2061" s="705">
        <v>21884</v>
      </c>
      <c r="P2061">
        <v>0</v>
      </c>
      <c r="Q2061">
        <v>0</v>
      </c>
      <c r="R2061" s="705">
        <v>268589</v>
      </c>
      <c r="S2061" s="705">
        <v>99477</v>
      </c>
      <c r="T2061">
        <v>0</v>
      </c>
      <c r="U2061">
        <v>0</v>
      </c>
      <c r="V2061" s="705">
        <v>691533</v>
      </c>
      <c r="W2061" s="705">
        <f t="shared" si="80"/>
        <v>691533</v>
      </c>
      <c r="X2061" s="705">
        <f t="shared" si="81"/>
        <v>1752948</v>
      </c>
    </row>
    <row r="2062" spans="2:24">
      <c r="B2062" t="s">
        <v>717</v>
      </c>
      <c r="C2062" t="s">
        <v>124</v>
      </c>
      <c r="D2062" t="s">
        <v>583</v>
      </c>
      <c r="E2062" t="s">
        <v>583</v>
      </c>
      <c r="F2062">
        <v>6</v>
      </c>
      <c r="G2062">
        <v>614</v>
      </c>
      <c r="H2062" s="705">
        <v>3759</v>
      </c>
      <c r="I2062" s="705">
        <v>288000</v>
      </c>
      <c r="J2062" s="705">
        <v>261818</v>
      </c>
      <c r="K2062">
        <v>69</v>
      </c>
      <c r="L2062" s="705">
        <v>45709</v>
      </c>
      <c r="M2062" s="705">
        <v>41554</v>
      </c>
      <c r="N2062" s="705">
        <v>13410</v>
      </c>
      <c r="O2062" s="705">
        <v>4967</v>
      </c>
      <c r="P2062" s="705">
        <v>3929</v>
      </c>
      <c r="Q2062" s="705">
        <v>1455</v>
      </c>
      <c r="R2062" s="705">
        <v>34859</v>
      </c>
      <c r="S2062" s="705">
        <v>31690</v>
      </c>
      <c r="T2062" s="705">
        <v>4077</v>
      </c>
      <c r="U2062" s="705">
        <v>1510</v>
      </c>
      <c r="V2062" s="705">
        <v>342993</v>
      </c>
      <c r="W2062" s="705">
        <f t="shared" si="80"/>
        <v>342994</v>
      </c>
      <c r="X2062" s="705">
        <f t="shared" si="81"/>
        <v>389984</v>
      </c>
    </row>
    <row r="2063" spans="2:24">
      <c r="B2063" t="s">
        <v>717</v>
      </c>
      <c r="C2063" t="s">
        <v>124</v>
      </c>
      <c r="D2063" t="s">
        <v>666</v>
      </c>
      <c r="E2063" t="s">
        <v>228</v>
      </c>
      <c r="F2063">
        <v>1</v>
      </c>
      <c r="G2063">
        <v>39</v>
      </c>
      <c r="H2063">
        <v>895</v>
      </c>
      <c r="I2063" s="705">
        <v>24090</v>
      </c>
      <c r="J2063" s="705">
        <v>21900</v>
      </c>
      <c r="K2063">
        <v>30</v>
      </c>
      <c r="L2063" s="705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705">
        <v>7482</v>
      </c>
      <c r="S2063" s="705">
        <v>2771</v>
      </c>
      <c r="T2063">
        <v>0</v>
      </c>
      <c r="U2063">
        <v>0</v>
      </c>
      <c r="V2063" s="705">
        <v>25749</v>
      </c>
      <c r="W2063" s="705">
        <f t="shared" si="80"/>
        <v>25749</v>
      </c>
      <c r="X2063" s="705">
        <f t="shared" si="81"/>
        <v>34482</v>
      </c>
    </row>
    <row r="2064" spans="2:24">
      <c r="B2064" t="s">
        <v>717</v>
      </c>
      <c r="C2064" t="s">
        <v>124</v>
      </c>
      <c r="D2064" t="s">
        <v>584</v>
      </c>
      <c r="E2064" t="s">
        <v>228</v>
      </c>
      <c r="F2064">
        <v>1</v>
      </c>
      <c r="G2064">
        <v>39</v>
      </c>
      <c r="H2064">
        <v>558</v>
      </c>
      <c r="I2064" s="705">
        <v>17153</v>
      </c>
      <c r="J2064" s="705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705">
        <v>3081</v>
      </c>
      <c r="S2064" s="705">
        <v>1141</v>
      </c>
      <c r="T2064">
        <v>0</v>
      </c>
      <c r="U2064">
        <v>0</v>
      </c>
      <c r="V2064" s="705">
        <v>17260</v>
      </c>
      <c r="W2064" s="705">
        <f t="shared" si="80"/>
        <v>17260</v>
      </c>
      <c r="X2064" s="705">
        <f t="shared" si="81"/>
        <v>21652</v>
      </c>
    </row>
    <row r="2065" spans="2:24">
      <c r="B2065" t="s">
        <v>717</v>
      </c>
      <c r="C2065" t="s">
        <v>124</v>
      </c>
      <c r="D2065" t="s">
        <v>584</v>
      </c>
      <c r="E2065" t="s">
        <v>584</v>
      </c>
      <c r="F2065">
        <v>5</v>
      </c>
      <c r="G2065">
        <v>272</v>
      </c>
      <c r="H2065" s="705">
        <v>2773</v>
      </c>
      <c r="I2065" s="705">
        <v>102389</v>
      </c>
      <c r="J2065" s="705">
        <v>93081</v>
      </c>
      <c r="K2065">
        <v>72</v>
      </c>
      <c r="L2065" s="705">
        <v>7186</v>
      </c>
      <c r="M2065" s="705">
        <v>6532</v>
      </c>
      <c r="N2065" s="705">
        <v>6570</v>
      </c>
      <c r="O2065" s="705">
        <v>2433</v>
      </c>
      <c r="P2065" s="705">
        <v>2363</v>
      </c>
      <c r="Q2065">
        <v>875</v>
      </c>
      <c r="R2065" s="705">
        <v>20773</v>
      </c>
      <c r="S2065" s="705">
        <v>18885</v>
      </c>
      <c r="T2065" s="705">
        <v>6754</v>
      </c>
      <c r="U2065" s="705">
        <v>2502</v>
      </c>
      <c r="V2065" s="705">
        <v>124308</v>
      </c>
      <c r="W2065" s="705">
        <f t="shared" si="80"/>
        <v>124308</v>
      </c>
      <c r="X2065" s="705">
        <f t="shared" si="81"/>
        <v>146035</v>
      </c>
    </row>
    <row r="2066" spans="2:24">
      <c r="B2066" t="s">
        <v>717</v>
      </c>
      <c r="C2066" t="s">
        <v>124</v>
      </c>
      <c r="D2066" t="s">
        <v>669</v>
      </c>
      <c r="E2066" t="s">
        <v>228</v>
      </c>
      <c r="F2066">
        <v>1</v>
      </c>
      <c r="G2066">
        <v>49</v>
      </c>
      <c r="H2066">
        <v>519</v>
      </c>
      <c r="I2066" s="705">
        <v>19251</v>
      </c>
      <c r="J2066" s="705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705">
        <v>5356</v>
      </c>
      <c r="S2066" s="705">
        <v>1984</v>
      </c>
      <c r="T2066">
        <v>0</v>
      </c>
      <c r="U2066">
        <v>0</v>
      </c>
      <c r="V2066" s="705">
        <v>18424</v>
      </c>
      <c r="W2066" s="705">
        <f t="shared" si="80"/>
        <v>18425</v>
      </c>
      <c r="X2066" s="705">
        <f t="shared" si="81"/>
        <v>25681</v>
      </c>
    </row>
    <row r="2067" spans="2:24">
      <c r="B2067" t="s">
        <v>718</v>
      </c>
      <c r="C2067" t="s">
        <v>108</v>
      </c>
      <c r="D2067" t="s">
        <v>228</v>
      </c>
      <c r="E2067" t="s">
        <v>228</v>
      </c>
      <c r="F2067">
        <v>3</v>
      </c>
      <c r="G2067">
        <v>419</v>
      </c>
      <c r="H2067">
        <v>195</v>
      </c>
      <c r="I2067" s="705">
        <v>5398</v>
      </c>
      <c r="J2067" s="705">
        <v>1999</v>
      </c>
      <c r="K2067">
        <v>444</v>
      </c>
      <c r="L2067">
        <v>643</v>
      </c>
      <c r="M2067">
        <v>584</v>
      </c>
      <c r="N2067" s="705">
        <v>5110</v>
      </c>
      <c r="O2067" s="705">
        <v>1892</v>
      </c>
      <c r="P2067" s="705">
        <v>3463</v>
      </c>
      <c r="Q2067" s="705">
        <v>1283</v>
      </c>
      <c r="R2067" s="705">
        <v>11632</v>
      </c>
      <c r="S2067" s="705">
        <v>4308</v>
      </c>
      <c r="T2067">
        <v>0</v>
      </c>
      <c r="U2067">
        <v>0</v>
      </c>
      <c r="V2067" s="705">
        <v>10067</v>
      </c>
      <c r="W2067" s="705">
        <f t="shared" si="80"/>
        <v>10066</v>
      </c>
      <c r="X2067" s="705">
        <f t="shared" si="81"/>
        <v>26246</v>
      </c>
    </row>
    <row r="2068" spans="2:24">
      <c r="B2068" t="s">
        <v>718</v>
      </c>
      <c r="C2068" t="s">
        <v>110</v>
      </c>
      <c r="D2068" t="s">
        <v>582</v>
      </c>
      <c r="E2068" t="s">
        <v>582</v>
      </c>
      <c r="F2068">
        <v>1</v>
      </c>
      <c r="G2068">
        <v>78</v>
      </c>
      <c r="H2068">
        <v>93</v>
      </c>
      <c r="I2068" s="705">
        <v>2147</v>
      </c>
      <c r="J2068" s="705">
        <v>1952</v>
      </c>
      <c r="K2068">
        <v>81</v>
      </c>
      <c r="L2068">
        <v>0</v>
      </c>
      <c r="M2068">
        <v>0</v>
      </c>
      <c r="N2068" s="705">
        <v>1893</v>
      </c>
      <c r="O2068">
        <v>701</v>
      </c>
      <c r="P2068">
        <v>473</v>
      </c>
      <c r="Q2068">
        <v>175</v>
      </c>
      <c r="R2068" s="705">
        <v>2723</v>
      </c>
      <c r="S2068" s="705">
        <v>2476</v>
      </c>
      <c r="T2068">
        <v>0</v>
      </c>
      <c r="U2068">
        <v>0</v>
      </c>
      <c r="V2068" s="705">
        <v>5304</v>
      </c>
      <c r="W2068" s="705">
        <f t="shared" si="80"/>
        <v>5304</v>
      </c>
      <c r="X2068" s="705">
        <f t="shared" si="81"/>
        <v>7236</v>
      </c>
    </row>
    <row r="2069" spans="2:24">
      <c r="B2069" t="s">
        <v>718</v>
      </c>
      <c r="C2069" t="s">
        <v>110</v>
      </c>
      <c r="D2069" t="s">
        <v>228</v>
      </c>
      <c r="E2069" t="s">
        <v>228</v>
      </c>
      <c r="F2069">
        <v>1</v>
      </c>
      <c r="G2069">
        <v>223</v>
      </c>
      <c r="H2069">
        <v>88</v>
      </c>
      <c r="I2069" s="705">
        <v>2937</v>
      </c>
      <c r="J2069" s="705">
        <v>1088</v>
      </c>
      <c r="K2069">
        <v>363</v>
      </c>
      <c r="L2069">
        <v>689</v>
      </c>
      <c r="M2069">
        <v>627</v>
      </c>
      <c r="N2069" s="705">
        <v>2719</v>
      </c>
      <c r="O2069" s="705">
        <v>1007</v>
      </c>
      <c r="P2069" s="705">
        <v>2782</v>
      </c>
      <c r="Q2069" s="705">
        <v>1031</v>
      </c>
      <c r="R2069" s="705">
        <v>10496</v>
      </c>
      <c r="S2069" s="705">
        <v>3887</v>
      </c>
      <c r="T2069">
        <v>0</v>
      </c>
      <c r="U2069">
        <v>0</v>
      </c>
      <c r="V2069" s="705">
        <v>7640</v>
      </c>
      <c r="W2069" s="705">
        <f t="shared" si="80"/>
        <v>7640</v>
      </c>
      <c r="X2069" s="705">
        <f t="shared" si="81"/>
        <v>19623</v>
      </c>
    </row>
    <row r="2070" spans="2:24">
      <c r="B2070" t="s">
        <v>718</v>
      </c>
      <c r="C2070" t="s">
        <v>110</v>
      </c>
      <c r="D2070" t="s">
        <v>584</v>
      </c>
      <c r="E2070" t="s">
        <v>584</v>
      </c>
      <c r="F2070">
        <v>27</v>
      </c>
      <c r="G2070" s="705">
        <v>2680</v>
      </c>
      <c r="H2070" s="705">
        <v>2484</v>
      </c>
      <c r="I2070" s="705">
        <v>60907</v>
      </c>
      <c r="J2070" s="705">
        <v>55370</v>
      </c>
      <c r="K2070">
        <v>79</v>
      </c>
      <c r="L2070" s="705">
        <v>7162</v>
      </c>
      <c r="M2070" s="705">
        <v>4618</v>
      </c>
      <c r="N2070" s="705">
        <v>45432</v>
      </c>
      <c r="O2070" s="705">
        <v>16827</v>
      </c>
      <c r="P2070" s="705">
        <v>12758</v>
      </c>
      <c r="Q2070" s="705">
        <v>4725</v>
      </c>
      <c r="R2070" s="705">
        <v>120150</v>
      </c>
      <c r="S2070" s="705">
        <v>109227</v>
      </c>
      <c r="T2070">
        <v>0</v>
      </c>
      <c r="U2070">
        <v>0</v>
      </c>
      <c r="V2070" s="705">
        <v>190766</v>
      </c>
      <c r="W2070" s="705">
        <f t="shared" si="80"/>
        <v>190767</v>
      </c>
      <c r="X2070" s="705">
        <f t="shared" si="81"/>
        <v>246409</v>
      </c>
    </row>
    <row r="2071" spans="2:24">
      <c r="B2071" t="s">
        <v>718</v>
      </c>
      <c r="C2071" t="s">
        <v>112</v>
      </c>
      <c r="D2071" t="s">
        <v>582</v>
      </c>
      <c r="E2071" t="s">
        <v>582</v>
      </c>
      <c r="F2071">
        <v>4</v>
      </c>
      <c r="G2071">
        <v>307</v>
      </c>
      <c r="H2071">
        <v>474</v>
      </c>
      <c r="I2071" s="705">
        <v>12709</v>
      </c>
      <c r="J2071" s="705">
        <v>11554</v>
      </c>
      <c r="K2071">
        <v>80</v>
      </c>
      <c r="L2071" s="705">
        <v>1169</v>
      </c>
      <c r="M2071">
        <v>433</v>
      </c>
      <c r="N2071" s="705">
        <v>7020</v>
      </c>
      <c r="O2071" s="705">
        <v>2600</v>
      </c>
      <c r="P2071" s="705">
        <v>1890</v>
      </c>
      <c r="Q2071">
        <v>700</v>
      </c>
      <c r="R2071" s="705">
        <v>13667</v>
      </c>
      <c r="S2071" s="705">
        <v>12425</v>
      </c>
      <c r="T2071">
        <v>0</v>
      </c>
      <c r="U2071">
        <v>0</v>
      </c>
      <c r="V2071" s="705">
        <v>27711</v>
      </c>
      <c r="W2071" s="705">
        <f t="shared" si="80"/>
        <v>27712</v>
      </c>
      <c r="X2071" s="705">
        <f t="shared" si="81"/>
        <v>36455</v>
      </c>
    </row>
    <row r="2072" spans="2:24">
      <c r="B2072" t="s">
        <v>718</v>
      </c>
      <c r="C2072" t="s">
        <v>112</v>
      </c>
      <c r="D2072" t="s">
        <v>228</v>
      </c>
      <c r="E2072" t="s">
        <v>228</v>
      </c>
      <c r="F2072">
        <v>1</v>
      </c>
      <c r="G2072">
        <v>62</v>
      </c>
      <c r="H2072">
        <v>110</v>
      </c>
      <c r="I2072" s="705">
        <v>2817</v>
      </c>
      <c r="J2072" s="705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705">
        <v>2905</v>
      </c>
      <c r="S2072" s="705">
        <v>1076</v>
      </c>
      <c r="T2072">
        <v>0</v>
      </c>
      <c r="U2072">
        <v>0</v>
      </c>
      <c r="V2072" s="705">
        <v>2528</v>
      </c>
      <c r="W2072" s="705">
        <f t="shared" si="80"/>
        <v>2528</v>
      </c>
      <c r="X2072" s="705">
        <f t="shared" si="81"/>
        <v>6826</v>
      </c>
    </row>
    <row r="2073" spans="2:24">
      <c r="B2073" t="s">
        <v>718</v>
      </c>
      <c r="C2073" t="s">
        <v>112</v>
      </c>
      <c r="D2073" t="s">
        <v>583</v>
      </c>
      <c r="E2073" t="s">
        <v>583</v>
      </c>
      <c r="F2073">
        <v>1</v>
      </c>
      <c r="G2073">
        <v>124</v>
      </c>
      <c r="H2073">
        <v>123</v>
      </c>
      <c r="I2073" s="705">
        <v>7726</v>
      </c>
      <c r="J2073" s="705">
        <v>7024</v>
      </c>
      <c r="K2073">
        <v>94</v>
      </c>
      <c r="L2073" s="705">
        <v>1273</v>
      </c>
      <c r="M2073" s="705">
        <v>1158</v>
      </c>
      <c r="N2073" s="705">
        <v>1507</v>
      </c>
      <c r="O2073">
        <v>558</v>
      </c>
      <c r="P2073">
        <v>621</v>
      </c>
      <c r="Q2073">
        <v>230</v>
      </c>
      <c r="R2073" s="705">
        <v>4093</v>
      </c>
      <c r="S2073" s="705">
        <v>3721</v>
      </c>
      <c r="T2073">
        <v>0</v>
      </c>
      <c r="U2073">
        <v>0</v>
      </c>
      <c r="V2073" s="705">
        <v>12690</v>
      </c>
      <c r="W2073" s="705">
        <f t="shared" si="80"/>
        <v>12691</v>
      </c>
      <c r="X2073" s="705">
        <f t="shared" si="81"/>
        <v>15220</v>
      </c>
    </row>
    <row r="2074" spans="2:24">
      <c r="B2074" t="s">
        <v>718</v>
      </c>
      <c r="C2074" t="s">
        <v>112</v>
      </c>
      <c r="D2074" t="s">
        <v>584</v>
      </c>
      <c r="E2074" t="s">
        <v>584</v>
      </c>
      <c r="F2074">
        <v>120</v>
      </c>
      <c r="G2074" s="705">
        <v>10749</v>
      </c>
      <c r="H2074" s="705">
        <v>13666</v>
      </c>
      <c r="I2074" s="705">
        <v>392350</v>
      </c>
      <c r="J2074" s="705">
        <v>356682</v>
      </c>
      <c r="K2074">
        <v>81</v>
      </c>
      <c r="L2074" s="705">
        <v>66942</v>
      </c>
      <c r="M2074" s="705">
        <v>47377</v>
      </c>
      <c r="N2074" s="705">
        <v>204231</v>
      </c>
      <c r="O2074" s="705">
        <v>75641</v>
      </c>
      <c r="P2074" s="705">
        <v>56700</v>
      </c>
      <c r="Q2074" s="705">
        <v>21000</v>
      </c>
      <c r="R2074" s="705">
        <v>501423</v>
      </c>
      <c r="S2074" s="705">
        <v>455840</v>
      </c>
      <c r="T2074">
        <v>0</v>
      </c>
      <c r="U2074">
        <v>0</v>
      </c>
      <c r="V2074" s="705">
        <v>956540</v>
      </c>
      <c r="W2074" s="705">
        <f t="shared" si="80"/>
        <v>956540</v>
      </c>
      <c r="X2074" s="705">
        <f t="shared" si="81"/>
        <v>1221646</v>
      </c>
    </row>
    <row r="2075" spans="2:24">
      <c r="B2075" t="s">
        <v>718</v>
      </c>
      <c r="C2075" t="s">
        <v>114</v>
      </c>
      <c r="D2075" t="s">
        <v>582</v>
      </c>
      <c r="E2075" t="s">
        <v>664</v>
      </c>
      <c r="F2075">
        <v>1</v>
      </c>
      <c r="G2075">
        <v>86</v>
      </c>
      <c r="H2075">
        <v>137</v>
      </c>
      <c r="I2075" s="705">
        <v>3663</v>
      </c>
      <c r="J2075" s="705">
        <v>3330</v>
      </c>
      <c r="K2075">
        <v>73</v>
      </c>
      <c r="L2075">
        <v>0</v>
      </c>
      <c r="M2075">
        <v>0</v>
      </c>
      <c r="N2075" s="705">
        <v>1461</v>
      </c>
      <c r="O2075">
        <v>541</v>
      </c>
      <c r="P2075">
        <v>473</v>
      </c>
      <c r="Q2075">
        <v>175</v>
      </c>
      <c r="R2075" s="705">
        <v>6163</v>
      </c>
      <c r="S2075" s="705">
        <v>5603</v>
      </c>
      <c r="T2075">
        <v>0</v>
      </c>
      <c r="U2075">
        <v>0</v>
      </c>
      <c r="V2075" s="705">
        <v>9649</v>
      </c>
      <c r="W2075" s="705">
        <f t="shared" si="80"/>
        <v>9649</v>
      </c>
      <c r="X2075" s="705">
        <f t="shared" si="81"/>
        <v>11760</v>
      </c>
    </row>
    <row r="2076" spans="2:24">
      <c r="B2076" t="s">
        <v>718</v>
      </c>
      <c r="C2076" t="s">
        <v>114</v>
      </c>
      <c r="D2076" t="s">
        <v>582</v>
      </c>
      <c r="E2076" t="s">
        <v>582</v>
      </c>
      <c r="F2076">
        <v>11</v>
      </c>
      <c r="G2076" s="705">
        <v>1063</v>
      </c>
      <c r="H2076" s="705">
        <v>1528</v>
      </c>
      <c r="I2076" s="705">
        <v>67715</v>
      </c>
      <c r="J2076" s="705">
        <v>61559</v>
      </c>
      <c r="K2076">
        <v>80</v>
      </c>
      <c r="L2076" s="705">
        <v>4458</v>
      </c>
      <c r="M2076" s="705">
        <v>3969</v>
      </c>
      <c r="N2076" s="705">
        <v>18658</v>
      </c>
      <c r="O2076" s="705">
        <v>6910</v>
      </c>
      <c r="P2076" s="705">
        <v>5670</v>
      </c>
      <c r="Q2076" s="705">
        <v>2100</v>
      </c>
      <c r="R2076" s="705">
        <v>51690</v>
      </c>
      <c r="S2076" s="705">
        <v>46991</v>
      </c>
      <c r="T2076">
        <v>0</v>
      </c>
      <c r="U2076">
        <v>0</v>
      </c>
      <c r="V2076" s="705">
        <v>121529</v>
      </c>
      <c r="W2076" s="705">
        <f t="shared" si="80"/>
        <v>121529</v>
      </c>
      <c r="X2076" s="705">
        <f t="shared" si="81"/>
        <v>148191</v>
      </c>
    </row>
    <row r="2077" spans="2:24">
      <c r="B2077" t="s">
        <v>718</v>
      </c>
      <c r="C2077" t="s">
        <v>114</v>
      </c>
      <c r="D2077" t="s">
        <v>228</v>
      </c>
      <c r="E2077" t="s">
        <v>228</v>
      </c>
      <c r="F2077">
        <v>19</v>
      </c>
      <c r="G2077" s="705">
        <v>1488</v>
      </c>
      <c r="H2077" s="705">
        <v>2692</v>
      </c>
      <c r="I2077" s="705">
        <v>53423</v>
      </c>
      <c r="J2077" s="705">
        <v>19786</v>
      </c>
      <c r="K2077">
        <v>127</v>
      </c>
      <c r="L2077" s="705">
        <v>9639</v>
      </c>
      <c r="M2077" s="705">
        <v>3570</v>
      </c>
      <c r="N2077" s="705">
        <v>27688</v>
      </c>
      <c r="O2077" s="705">
        <v>10255</v>
      </c>
      <c r="P2077" s="705">
        <v>1801</v>
      </c>
      <c r="Q2077">
        <v>667</v>
      </c>
      <c r="R2077" s="705">
        <v>118236</v>
      </c>
      <c r="S2077" s="705">
        <v>43791</v>
      </c>
      <c r="T2077">
        <v>0</v>
      </c>
      <c r="U2077">
        <v>0</v>
      </c>
      <c r="V2077" s="705">
        <v>78069</v>
      </c>
      <c r="W2077" s="705">
        <f t="shared" si="80"/>
        <v>78069</v>
      </c>
      <c r="X2077" s="705">
        <f t="shared" si="81"/>
        <v>210787</v>
      </c>
    </row>
    <row r="2078" spans="2:24">
      <c r="B2078" t="s">
        <v>718</v>
      </c>
      <c r="C2078" t="s">
        <v>114</v>
      </c>
      <c r="D2078" t="s">
        <v>583</v>
      </c>
      <c r="E2078" t="s">
        <v>583</v>
      </c>
      <c r="F2078">
        <v>4</v>
      </c>
      <c r="G2078">
        <v>778</v>
      </c>
      <c r="H2078">
        <v>561</v>
      </c>
      <c r="I2078" s="705">
        <v>61571</v>
      </c>
      <c r="J2078" s="705">
        <v>55974</v>
      </c>
      <c r="K2078">
        <v>95</v>
      </c>
      <c r="L2078" s="705">
        <v>8894</v>
      </c>
      <c r="M2078" s="705">
        <v>7890</v>
      </c>
      <c r="N2078" s="705">
        <v>11592</v>
      </c>
      <c r="O2078" s="705">
        <v>4293</v>
      </c>
      <c r="P2078" s="705">
        <v>2484</v>
      </c>
      <c r="Q2078">
        <v>920</v>
      </c>
      <c r="R2078" s="705">
        <v>19508</v>
      </c>
      <c r="S2078" s="705">
        <v>17734</v>
      </c>
      <c r="T2078" s="705">
        <v>4196</v>
      </c>
      <c r="U2078" s="705">
        <v>1554</v>
      </c>
      <c r="V2078" s="705">
        <v>88366</v>
      </c>
      <c r="W2078" s="705">
        <f t="shared" si="80"/>
        <v>88365</v>
      </c>
      <c r="X2078" s="705">
        <f t="shared" si="81"/>
        <v>108245</v>
      </c>
    </row>
    <row r="2079" spans="2:24">
      <c r="B2079" t="s">
        <v>718</v>
      </c>
      <c r="C2079" t="s">
        <v>114</v>
      </c>
      <c r="D2079" t="s">
        <v>584</v>
      </c>
      <c r="E2079" t="s">
        <v>584</v>
      </c>
      <c r="F2079">
        <v>144</v>
      </c>
      <c r="G2079" s="705">
        <v>12056</v>
      </c>
      <c r="H2079" s="705">
        <v>19951</v>
      </c>
      <c r="I2079" s="705">
        <v>697765</v>
      </c>
      <c r="J2079" s="705">
        <v>634332</v>
      </c>
      <c r="K2079">
        <v>82</v>
      </c>
      <c r="L2079" s="705">
        <v>81929</v>
      </c>
      <c r="M2079" s="705">
        <v>56832</v>
      </c>
      <c r="N2079" s="705">
        <v>233933</v>
      </c>
      <c r="O2079" s="705">
        <v>86642</v>
      </c>
      <c r="P2079" s="705">
        <v>68040</v>
      </c>
      <c r="Q2079" s="705">
        <v>25200</v>
      </c>
      <c r="R2079" s="705">
        <v>556317</v>
      </c>
      <c r="S2079" s="705">
        <v>505742</v>
      </c>
      <c r="T2079" s="705">
        <v>33989</v>
      </c>
      <c r="U2079" s="705">
        <v>12589</v>
      </c>
      <c r="V2079" s="705">
        <v>1321337</v>
      </c>
      <c r="W2079" s="705">
        <f t="shared" si="80"/>
        <v>1321337</v>
      </c>
      <c r="X2079" s="705">
        <f t="shared" si="81"/>
        <v>1671973</v>
      </c>
    </row>
    <row r="2080" spans="2:24">
      <c r="B2080" t="s">
        <v>718</v>
      </c>
      <c r="C2080" t="s">
        <v>116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705">
        <v>8469</v>
      </c>
      <c r="O2080" s="705">
        <v>3137</v>
      </c>
      <c r="P2080">
        <v>621</v>
      </c>
      <c r="Q2080">
        <v>230</v>
      </c>
      <c r="S2080">
        <v>0</v>
      </c>
      <c r="T2080" s="705">
        <v>3400</v>
      </c>
      <c r="U2080" s="705">
        <v>1259</v>
      </c>
      <c r="V2080" s="705">
        <v>4626</v>
      </c>
      <c r="W2080" s="705">
        <f t="shared" si="80"/>
        <v>4626</v>
      </c>
      <c r="X2080" s="705">
        <f t="shared" si="81"/>
        <v>12490</v>
      </c>
    </row>
    <row r="2081" spans="2:24">
      <c r="B2081" t="s">
        <v>718</v>
      </c>
      <c r="C2081" t="s">
        <v>116</v>
      </c>
      <c r="D2081" t="s">
        <v>664</v>
      </c>
      <c r="E2081" t="s">
        <v>664</v>
      </c>
      <c r="F2081">
        <v>2</v>
      </c>
      <c r="G2081">
        <v>161</v>
      </c>
      <c r="H2081">
        <v>340</v>
      </c>
      <c r="I2081" s="705">
        <v>11505</v>
      </c>
      <c r="J2081" s="705">
        <v>10459</v>
      </c>
      <c r="K2081">
        <v>85</v>
      </c>
      <c r="L2081">
        <v>979</v>
      </c>
      <c r="M2081">
        <v>890</v>
      </c>
      <c r="N2081" s="705">
        <v>3615</v>
      </c>
      <c r="O2081" s="705">
        <v>1339</v>
      </c>
      <c r="P2081">
        <v>945</v>
      </c>
      <c r="Q2081">
        <v>350</v>
      </c>
      <c r="R2081" s="705">
        <v>10455</v>
      </c>
      <c r="S2081" s="705">
        <v>9505</v>
      </c>
      <c r="T2081">
        <v>0</v>
      </c>
      <c r="U2081">
        <v>0</v>
      </c>
      <c r="V2081" s="705">
        <v>22543</v>
      </c>
      <c r="W2081" s="705">
        <f t="shared" si="80"/>
        <v>22543</v>
      </c>
      <c r="X2081" s="705">
        <f t="shared" si="81"/>
        <v>27499</v>
      </c>
    </row>
    <row r="2082" spans="2:24">
      <c r="B2082" t="s">
        <v>718</v>
      </c>
      <c r="C2082" t="s">
        <v>116</v>
      </c>
      <c r="D2082" t="s">
        <v>664</v>
      </c>
      <c r="E2082" t="s">
        <v>582</v>
      </c>
      <c r="F2082">
        <v>1</v>
      </c>
      <c r="G2082">
        <v>82</v>
      </c>
      <c r="H2082">
        <v>208</v>
      </c>
      <c r="I2082" s="705">
        <v>7532</v>
      </c>
      <c r="J2082" s="705">
        <v>6847</v>
      </c>
      <c r="K2082">
        <v>73</v>
      </c>
      <c r="L2082" s="705">
        <v>1056</v>
      </c>
      <c r="M2082">
        <v>880</v>
      </c>
      <c r="N2082" s="705">
        <v>1602</v>
      </c>
      <c r="O2082">
        <v>593</v>
      </c>
      <c r="P2082">
        <v>473</v>
      </c>
      <c r="Q2082">
        <v>175</v>
      </c>
      <c r="R2082" s="705">
        <v>4074</v>
      </c>
      <c r="S2082" s="705">
        <v>3704</v>
      </c>
      <c r="T2082" s="705">
        <v>2329</v>
      </c>
      <c r="U2082">
        <v>863</v>
      </c>
      <c r="V2082" s="705">
        <v>13062</v>
      </c>
      <c r="W2082" s="705">
        <f t="shared" si="80"/>
        <v>13062</v>
      </c>
      <c r="X2082" s="705">
        <f t="shared" si="81"/>
        <v>17066</v>
      </c>
    </row>
    <row r="2083" spans="2:24">
      <c r="B2083" t="s">
        <v>718</v>
      </c>
      <c r="C2083" t="s">
        <v>116</v>
      </c>
      <c r="D2083" t="s">
        <v>582</v>
      </c>
      <c r="E2083" t="s">
        <v>664</v>
      </c>
      <c r="F2083">
        <v>1</v>
      </c>
      <c r="G2083">
        <v>86</v>
      </c>
      <c r="H2083">
        <v>215</v>
      </c>
      <c r="I2083" s="705">
        <v>8778</v>
      </c>
      <c r="J2083" s="705">
        <v>7980</v>
      </c>
      <c r="K2083">
        <v>73</v>
      </c>
      <c r="L2083">
        <v>0</v>
      </c>
      <c r="M2083">
        <v>0</v>
      </c>
      <c r="N2083" s="705">
        <v>1670</v>
      </c>
      <c r="O2083">
        <v>619</v>
      </c>
      <c r="P2083">
        <v>473</v>
      </c>
      <c r="Q2083">
        <v>175</v>
      </c>
      <c r="R2083" s="705">
        <v>7512</v>
      </c>
      <c r="S2083" s="705">
        <v>6829</v>
      </c>
      <c r="T2083">
        <v>0</v>
      </c>
      <c r="U2083">
        <v>0</v>
      </c>
      <c r="V2083" s="705">
        <v>15602</v>
      </c>
      <c r="W2083" s="705">
        <f t="shared" si="80"/>
        <v>15603</v>
      </c>
      <c r="X2083" s="705">
        <f t="shared" si="81"/>
        <v>18433</v>
      </c>
    </row>
    <row r="2084" spans="2:24">
      <c r="B2084" t="s">
        <v>718</v>
      </c>
      <c r="C2084" t="s">
        <v>116</v>
      </c>
      <c r="D2084" t="s">
        <v>582</v>
      </c>
      <c r="E2084" t="s">
        <v>582</v>
      </c>
      <c r="F2084">
        <v>29</v>
      </c>
      <c r="G2084" s="705">
        <v>2076</v>
      </c>
      <c r="H2084" s="705">
        <v>5308</v>
      </c>
      <c r="I2084" s="705">
        <v>168695</v>
      </c>
      <c r="J2084" s="705">
        <v>153359</v>
      </c>
      <c r="K2084">
        <v>81</v>
      </c>
      <c r="L2084" s="705">
        <v>22164</v>
      </c>
      <c r="M2084" s="705">
        <v>17390</v>
      </c>
      <c r="N2084" s="705">
        <v>38139</v>
      </c>
      <c r="O2084" s="705">
        <v>14125</v>
      </c>
      <c r="P2084" s="705">
        <v>14351</v>
      </c>
      <c r="Q2084" s="705">
        <v>5315</v>
      </c>
      <c r="R2084" s="705">
        <v>131107</v>
      </c>
      <c r="S2084" s="705">
        <v>119189</v>
      </c>
      <c r="T2084" s="705">
        <v>9226</v>
      </c>
      <c r="U2084" s="705">
        <v>3417</v>
      </c>
      <c r="V2084" s="705">
        <v>312794</v>
      </c>
      <c r="W2084" s="705">
        <f t="shared" si="80"/>
        <v>312795</v>
      </c>
      <c r="X2084" s="705">
        <f t="shared" si="81"/>
        <v>383682</v>
      </c>
    </row>
    <row r="2085" spans="2:24">
      <c r="B2085" t="s">
        <v>718</v>
      </c>
      <c r="C2085" t="s">
        <v>116</v>
      </c>
      <c r="D2085" t="s">
        <v>228</v>
      </c>
      <c r="E2085" t="s">
        <v>228</v>
      </c>
      <c r="F2085">
        <v>417</v>
      </c>
      <c r="G2085" s="705">
        <v>31663</v>
      </c>
      <c r="H2085" s="705">
        <v>81975</v>
      </c>
      <c r="I2085" s="705">
        <v>2552097</v>
      </c>
      <c r="J2085" s="705">
        <v>945221</v>
      </c>
      <c r="K2085">
        <v>101</v>
      </c>
      <c r="L2085" s="705">
        <v>379316</v>
      </c>
      <c r="M2085" s="705">
        <v>154604</v>
      </c>
      <c r="N2085" s="705">
        <v>626864</v>
      </c>
      <c r="O2085" s="705">
        <v>232172</v>
      </c>
      <c r="P2085" s="705">
        <v>5609</v>
      </c>
      <c r="Q2085" s="705">
        <v>2078</v>
      </c>
      <c r="R2085" s="705">
        <v>2667697</v>
      </c>
      <c r="S2085" s="705">
        <v>988036</v>
      </c>
      <c r="T2085" s="705">
        <v>4020</v>
      </c>
      <c r="U2085" s="705">
        <v>1489</v>
      </c>
      <c r="V2085" s="705">
        <v>2323599</v>
      </c>
      <c r="W2085" s="705">
        <f t="shared" si="80"/>
        <v>2323600</v>
      </c>
      <c r="X2085" s="705">
        <f t="shared" si="81"/>
        <v>6235603</v>
      </c>
    </row>
    <row r="2086" spans="2:24">
      <c r="B2086" t="s">
        <v>718</v>
      </c>
      <c r="C2086" t="s">
        <v>116</v>
      </c>
      <c r="D2086" t="s">
        <v>583</v>
      </c>
      <c r="E2086" t="s">
        <v>583</v>
      </c>
      <c r="F2086">
        <v>34</v>
      </c>
      <c r="G2086" s="705">
        <v>4334</v>
      </c>
      <c r="H2086" s="705">
        <v>6632</v>
      </c>
      <c r="I2086" s="705">
        <v>446984</v>
      </c>
      <c r="J2086" s="705">
        <v>406349</v>
      </c>
      <c r="K2086">
        <v>85</v>
      </c>
      <c r="L2086" s="705">
        <v>85040</v>
      </c>
      <c r="M2086" s="705">
        <v>69457</v>
      </c>
      <c r="N2086" s="705">
        <v>87849</v>
      </c>
      <c r="O2086" s="705">
        <v>32537</v>
      </c>
      <c r="P2086" s="705">
        <v>24032</v>
      </c>
      <c r="Q2086" s="705">
        <v>8901</v>
      </c>
      <c r="R2086" s="705">
        <v>164156</v>
      </c>
      <c r="S2086" s="705">
        <v>149232</v>
      </c>
      <c r="T2086" s="705">
        <v>36851</v>
      </c>
      <c r="U2086" s="705">
        <v>13649</v>
      </c>
      <c r="V2086" s="705">
        <v>680125</v>
      </c>
      <c r="W2086" s="705">
        <f t="shared" si="80"/>
        <v>680125</v>
      </c>
      <c r="X2086" s="705">
        <f t="shared" si="81"/>
        <v>844912</v>
      </c>
    </row>
    <row r="2087" spans="2:24">
      <c r="B2087" t="s">
        <v>718</v>
      </c>
      <c r="C2087" t="s">
        <v>116</v>
      </c>
      <c r="D2087" t="s">
        <v>584</v>
      </c>
      <c r="E2087" t="s">
        <v>584</v>
      </c>
      <c r="F2087">
        <v>171</v>
      </c>
      <c r="G2087" s="705">
        <v>11381</v>
      </c>
      <c r="H2087" s="705">
        <v>32104</v>
      </c>
      <c r="I2087" s="705">
        <v>934526</v>
      </c>
      <c r="J2087" s="705">
        <v>849569</v>
      </c>
      <c r="K2087">
        <v>80</v>
      </c>
      <c r="L2087" s="705">
        <v>151725</v>
      </c>
      <c r="M2087" s="705">
        <v>112516</v>
      </c>
      <c r="N2087" s="705">
        <v>226403</v>
      </c>
      <c r="O2087" s="705">
        <v>83853</v>
      </c>
      <c r="P2087" s="705">
        <v>80555</v>
      </c>
      <c r="Q2087" s="705">
        <v>29835</v>
      </c>
      <c r="R2087" s="705">
        <v>637937</v>
      </c>
      <c r="S2087" s="705">
        <v>579943</v>
      </c>
      <c r="T2087" s="705">
        <v>100119</v>
      </c>
      <c r="U2087" s="705">
        <v>37081</v>
      </c>
      <c r="V2087" s="705">
        <v>1692798</v>
      </c>
      <c r="W2087" s="705">
        <f t="shared" si="80"/>
        <v>1692797</v>
      </c>
      <c r="X2087" s="705">
        <f t="shared" si="81"/>
        <v>2131265</v>
      </c>
    </row>
    <row r="2088" spans="2:24">
      <c r="B2088" t="s">
        <v>718</v>
      </c>
      <c r="C2088" t="s">
        <v>118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705">
        <v>5459</v>
      </c>
      <c r="O2088" s="705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705">
        <v>2022</v>
      </c>
      <c r="W2088" s="705">
        <f t="shared" si="80"/>
        <v>2022</v>
      </c>
      <c r="X2088" s="705">
        <f t="shared" si="81"/>
        <v>5459</v>
      </c>
    </row>
    <row r="2089" spans="2:24">
      <c r="B2089" t="s">
        <v>718</v>
      </c>
      <c r="C2089" t="s">
        <v>118</v>
      </c>
      <c r="D2089" t="s">
        <v>664</v>
      </c>
      <c r="E2089" t="s">
        <v>664</v>
      </c>
      <c r="F2089">
        <v>1</v>
      </c>
      <c r="G2089">
        <v>64</v>
      </c>
      <c r="H2089">
        <v>239</v>
      </c>
      <c r="I2089" s="705">
        <v>5638</v>
      </c>
      <c r="J2089" s="705">
        <v>5126</v>
      </c>
      <c r="K2089">
        <v>93</v>
      </c>
      <c r="L2089" s="705">
        <v>2772</v>
      </c>
      <c r="M2089" s="705">
        <v>2520</v>
      </c>
      <c r="N2089">
        <v>871</v>
      </c>
      <c r="O2089">
        <v>323</v>
      </c>
      <c r="P2089">
        <v>473</v>
      </c>
      <c r="Q2089">
        <v>175</v>
      </c>
      <c r="R2089" s="705">
        <v>3256</v>
      </c>
      <c r="S2089" s="705">
        <v>2960</v>
      </c>
      <c r="T2089" s="705">
        <v>2398</v>
      </c>
      <c r="U2089">
        <v>888</v>
      </c>
      <c r="V2089" s="705">
        <v>11991</v>
      </c>
      <c r="W2089" s="705">
        <f t="shared" si="80"/>
        <v>11992</v>
      </c>
      <c r="X2089" s="705">
        <f t="shared" si="81"/>
        <v>15408</v>
      </c>
    </row>
    <row r="2090" spans="2:24">
      <c r="B2090" t="s">
        <v>718</v>
      </c>
      <c r="C2090" t="s">
        <v>118</v>
      </c>
      <c r="D2090" t="s">
        <v>582</v>
      </c>
      <c r="E2090" t="s">
        <v>582</v>
      </c>
      <c r="F2090">
        <v>2</v>
      </c>
      <c r="G2090">
        <v>153</v>
      </c>
      <c r="H2090">
        <v>502</v>
      </c>
      <c r="I2090" s="705">
        <v>17328</v>
      </c>
      <c r="J2090" s="705">
        <v>15753</v>
      </c>
      <c r="K2090">
        <v>76</v>
      </c>
      <c r="L2090" s="705">
        <v>4621</v>
      </c>
      <c r="M2090" s="705">
        <v>4201</v>
      </c>
      <c r="N2090" s="705">
        <v>3635</v>
      </c>
      <c r="O2090" s="705">
        <v>1346</v>
      </c>
      <c r="P2090">
        <v>945</v>
      </c>
      <c r="Q2090">
        <v>350</v>
      </c>
      <c r="R2090" s="705">
        <v>9677</v>
      </c>
      <c r="S2090" s="705">
        <v>8798</v>
      </c>
      <c r="T2090" s="705">
        <v>2182</v>
      </c>
      <c r="U2090">
        <v>808</v>
      </c>
      <c r="V2090" s="705">
        <v>31256</v>
      </c>
      <c r="W2090" s="705">
        <f t="shared" si="80"/>
        <v>31256</v>
      </c>
      <c r="X2090" s="705">
        <f t="shared" si="81"/>
        <v>38388</v>
      </c>
    </row>
    <row r="2091" spans="2:24">
      <c r="B2091" t="s">
        <v>718</v>
      </c>
      <c r="C2091" t="s">
        <v>118</v>
      </c>
      <c r="D2091" t="s">
        <v>228</v>
      </c>
      <c r="E2091" t="s">
        <v>228</v>
      </c>
      <c r="F2091">
        <v>604</v>
      </c>
      <c r="G2091" s="705">
        <v>40306</v>
      </c>
      <c r="H2091" s="705">
        <v>158237</v>
      </c>
      <c r="I2091" s="705">
        <v>5361216</v>
      </c>
      <c r="J2091" s="705">
        <v>1985635</v>
      </c>
      <c r="K2091">
        <v>100</v>
      </c>
      <c r="L2091" s="705">
        <v>676151</v>
      </c>
      <c r="M2091" s="705">
        <v>386306</v>
      </c>
      <c r="N2091" s="705">
        <v>788206</v>
      </c>
      <c r="O2091" s="705">
        <v>291928</v>
      </c>
      <c r="P2091" s="705">
        <v>4685</v>
      </c>
      <c r="Q2091" s="705">
        <v>1735</v>
      </c>
      <c r="R2091" s="705">
        <v>3776653</v>
      </c>
      <c r="S2091" s="705">
        <v>1398760</v>
      </c>
      <c r="T2091">
        <v>0</v>
      </c>
      <c r="U2091">
        <v>0</v>
      </c>
      <c r="V2091" s="705">
        <v>4064365</v>
      </c>
      <c r="W2091" s="705">
        <f t="shared" ref="W2091:W2154" si="82">SUM(ABS(J2091),ABS(M2091),ABS(O2091),ABS(Q2091),ABS(S2091),ABS(U2091))</f>
        <v>4064364</v>
      </c>
      <c r="X2091" s="705">
        <f t="shared" ref="X2091:X2154" si="83">SUM(ABS(I2091),ABS(N2091),ABS(P2091),ABS(R2091),ABS(T2091),ABS(L2091))</f>
        <v>10606911</v>
      </c>
    </row>
    <row r="2092" spans="2:24">
      <c r="B2092" t="s">
        <v>718</v>
      </c>
      <c r="C2092" t="s">
        <v>118</v>
      </c>
      <c r="D2092" t="s">
        <v>583</v>
      </c>
      <c r="E2092" t="s">
        <v>583</v>
      </c>
      <c r="F2092">
        <v>15</v>
      </c>
      <c r="G2092" s="705">
        <v>1224</v>
      </c>
      <c r="H2092" s="705">
        <v>4002</v>
      </c>
      <c r="I2092" s="705">
        <v>162283</v>
      </c>
      <c r="J2092" s="705">
        <v>147530</v>
      </c>
      <c r="K2092">
        <v>79</v>
      </c>
      <c r="L2092" s="705">
        <v>36371</v>
      </c>
      <c r="M2092" s="705">
        <v>31942</v>
      </c>
      <c r="N2092" s="705">
        <v>25307</v>
      </c>
      <c r="O2092" s="705">
        <v>9373</v>
      </c>
      <c r="P2092" s="705">
        <v>9315</v>
      </c>
      <c r="Q2092" s="705">
        <v>3450</v>
      </c>
      <c r="R2092" s="705">
        <v>69839</v>
      </c>
      <c r="S2092" s="705">
        <v>63490</v>
      </c>
      <c r="T2092" s="705">
        <v>22118</v>
      </c>
      <c r="U2092" s="705">
        <v>8192</v>
      </c>
      <c r="V2092" s="705">
        <v>263977</v>
      </c>
      <c r="W2092" s="705">
        <f t="shared" si="82"/>
        <v>263977</v>
      </c>
      <c r="X2092" s="705">
        <f t="shared" si="83"/>
        <v>325233</v>
      </c>
    </row>
    <row r="2093" spans="2:24">
      <c r="B2093" t="s">
        <v>718</v>
      </c>
      <c r="C2093" t="s">
        <v>118</v>
      </c>
      <c r="D2093" t="s">
        <v>666</v>
      </c>
      <c r="E2093" t="s">
        <v>666</v>
      </c>
      <c r="F2093">
        <v>1</v>
      </c>
      <c r="G2093">
        <v>81</v>
      </c>
      <c r="H2093">
        <v>298</v>
      </c>
      <c r="I2093" s="705">
        <v>11987</v>
      </c>
      <c r="J2093" s="705">
        <v>10897</v>
      </c>
      <c r="K2093">
        <v>55</v>
      </c>
      <c r="L2093" s="705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705">
        <v>8925</v>
      </c>
      <c r="S2093" s="705">
        <v>8114</v>
      </c>
      <c r="T2093">
        <v>0</v>
      </c>
      <c r="U2093">
        <v>0</v>
      </c>
      <c r="V2093" s="705">
        <v>20171</v>
      </c>
      <c r="W2093" s="705">
        <f t="shared" si="82"/>
        <v>20171</v>
      </c>
      <c r="X2093" s="705">
        <f t="shared" si="83"/>
        <v>24045</v>
      </c>
    </row>
    <row r="2094" spans="2:24">
      <c r="B2094" t="s">
        <v>718</v>
      </c>
      <c r="C2094" t="s">
        <v>118</v>
      </c>
      <c r="D2094" t="s">
        <v>584</v>
      </c>
      <c r="E2094" t="s">
        <v>584</v>
      </c>
      <c r="F2094">
        <v>28</v>
      </c>
      <c r="G2094" s="705">
        <v>1765</v>
      </c>
      <c r="H2094" s="705">
        <v>7135</v>
      </c>
      <c r="I2094" s="705">
        <v>213507</v>
      </c>
      <c r="J2094" s="705">
        <v>194097</v>
      </c>
      <c r="K2094">
        <v>79</v>
      </c>
      <c r="L2094" s="705">
        <v>47282</v>
      </c>
      <c r="M2094" s="705">
        <v>37881</v>
      </c>
      <c r="N2094" s="705">
        <v>39117</v>
      </c>
      <c r="O2094" s="705">
        <v>14488</v>
      </c>
      <c r="P2094" s="705">
        <v>13851</v>
      </c>
      <c r="Q2094" s="705">
        <v>5130</v>
      </c>
      <c r="R2094" s="705">
        <v>114992</v>
      </c>
      <c r="S2094" s="705">
        <v>104539</v>
      </c>
      <c r="T2094" s="705">
        <v>21087</v>
      </c>
      <c r="U2094" s="705">
        <v>7810</v>
      </c>
      <c r="V2094" s="705">
        <v>363944</v>
      </c>
      <c r="W2094" s="705">
        <f t="shared" si="82"/>
        <v>363945</v>
      </c>
      <c r="X2094" s="705">
        <f t="shared" si="83"/>
        <v>449836</v>
      </c>
    </row>
    <row r="2095" spans="2:24">
      <c r="B2095" t="s">
        <v>718</v>
      </c>
      <c r="C2095" t="s">
        <v>118</v>
      </c>
      <c r="D2095" t="s">
        <v>665</v>
      </c>
      <c r="E2095" t="s">
        <v>665</v>
      </c>
      <c r="F2095">
        <v>5</v>
      </c>
      <c r="G2095">
        <v>270</v>
      </c>
      <c r="H2095" s="705">
        <v>1296</v>
      </c>
      <c r="I2095" s="705">
        <v>30357</v>
      </c>
      <c r="J2095" s="705">
        <v>27597</v>
      </c>
      <c r="K2095">
        <v>58</v>
      </c>
      <c r="L2095" s="705">
        <v>3052</v>
      </c>
      <c r="M2095" s="705">
        <v>2299</v>
      </c>
      <c r="N2095" s="705">
        <v>6352</v>
      </c>
      <c r="O2095" s="705">
        <v>2353</v>
      </c>
      <c r="P2095" s="705">
        <v>1755</v>
      </c>
      <c r="Q2095">
        <v>650</v>
      </c>
      <c r="R2095" s="705">
        <v>20545</v>
      </c>
      <c r="S2095" s="705">
        <v>18677</v>
      </c>
      <c r="T2095" s="705">
        <v>8558</v>
      </c>
      <c r="U2095" s="705">
        <v>3170</v>
      </c>
      <c r="V2095" s="705">
        <v>54745</v>
      </c>
      <c r="W2095" s="705">
        <f t="shared" si="82"/>
        <v>54746</v>
      </c>
      <c r="X2095" s="705">
        <f t="shared" si="83"/>
        <v>70619</v>
      </c>
    </row>
    <row r="2096" spans="2:24">
      <c r="B2096" t="s">
        <v>718</v>
      </c>
      <c r="C2096" t="s">
        <v>120</v>
      </c>
      <c r="F2096">
        <v>7</v>
      </c>
      <c r="G2096">
        <v>532</v>
      </c>
      <c r="H2096" s="705">
        <v>2386</v>
      </c>
      <c r="J2096">
        <v>0</v>
      </c>
      <c r="M2096">
        <v>0</v>
      </c>
      <c r="N2096" s="705">
        <v>7843</v>
      </c>
      <c r="O2096" s="705">
        <v>2905</v>
      </c>
      <c r="P2096">
        <v>621</v>
      </c>
      <c r="Q2096">
        <v>230</v>
      </c>
      <c r="S2096">
        <v>0</v>
      </c>
      <c r="T2096" s="705">
        <v>7799</v>
      </c>
      <c r="U2096" s="705">
        <v>2888</v>
      </c>
      <c r="V2096" s="705">
        <v>6023</v>
      </c>
      <c r="W2096" s="705">
        <f t="shared" si="82"/>
        <v>6023</v>
      </c>
      <c r="X2096" s="705">
        <f t="shared" si="83"/>
        <v>16263</v>
      </c>
    </row>
    <row r="2097" spans="2:24">
      <c r="B2097" t="s">
        <v>718</v>
      </c>
      <c r="C2097" t="s">
        <v>120</v>
      </c>
      <c r="D2097" t="s">
        <v>582</v>
      </c>
      <c r="E2097" t="s">
        <v>582</v>
      </c>
      <c r="F2097">
        <v>1</v>
      </c>
      <c r="G2097">
        <v>73</v>
      </c>
      <c r="H2097">
        <v>308</v>
      </c>
      <c r="I2097" s="705">
        <v>10884</v>
      </c>
      <c r="J2097" s="705">
        <v>9895</v>
      </c>
      <c r="K2097">
        <v>68</v>
      </c>
      <c r="L2097" s="705">
        <v>2841</v>
      </c>
      <c r="M2097" s="705">
        <v>2367</v>
      </c>
      <c r="N2097" s="705">
        <v>1702</v>
      </c>
      <c r="O2097">
        <v>630</v>
      </c>
      <c r="P2097">
        <v>473</v>
      </c>
      <c r="Q2097">
        <v>175</v>
      </c>
      <c r="R2097" s="705">
        <v>6539</v>
      </c>
      <c r="S2097" s="705">
        <v>5945</v>
      </c>
      <c r="T2097">
        <v>0</v>
      </c>
      <c r="U2097">
        <v>0</v>
      </c>
      <c r="V2097" s="705">
        <v>19012</v>
      </c>
      <c r="W2097" s="705">
        <f t="shared" si="82"/>
        <v>19012</v>
      </c>
      <c r="X2097" s="705">
        <f t="shared" si="83"/>
        <v>22439</v>
      </c>
    </row>
    <row r="2098" spans="2:24">
      <c r="B2098" t="s">
        <v>718</v>
      </c>
      <c r="C2098" t="s">
        <v>120</v>
      </c>
      <c r="D2098" t="s">
        <v>582</v>
      </c>
      <c r="E2098" t="s">
        <v>228</v>
      </c>
      <c r="F2098">
        <v>1</v>
      </c>
      <c r="G2098">
        <v>60</v>
      </c>
      <c r="H2098">
        <v>305</v>
      </c>
      <c r="I2098" s="705">
        <v>5242</v>
      </c>
      <c r="J2098" s="705">
        <v>4766</v>
      </c>
      <c r="K2098">
        <v>87</v>
      </c>
      <c r="L2098" s="705">
        <v>1610</v>
      </c>
      <c r="M2098" s="705">
        <v>1463</v>
      </c>
      <c r="N2098" s="705">
        <v>1382</v>
      </c>
      <c r="O2098">
        <v>512</v>
      </c>
      <c r="P2098">
        <v>473</v>
      </c>
      <c r="Q2098">
        <v>175</v>
      </c>
      <c r="R2098" s="705">
        <v>9522</v>
      </c>
      <c r="S2098" s="705">
        <v>3527</v>
      </c>
      <c r="T2098">
        <v>0</v>
      </c>
      <c r="U2098">
        <v>0</v>
      </c>
      <c r="V2098" s="705">
        <v>10442</v>
      </c>
      <c r="W2098" s="705">
        <f t="shared" si="82"/>
        <v>10443</v>
      </c>
      <c r="X2098" s="705">
        <f t="shared" si="83"/>
        <v>18229</v>
      </c>
    </row>
    <row r="2099" spans="2:24">
      <c r="B2099" t="s">
        <v>718</v>
      </c>
      <c r="C2099" t="s">
        <v>120</v>
      </c>
      <c r="D2099" t="s">
        <v>228</v>
      </c>
      <c r="E2099" t="s">
        <v>228</v>
      </c>
      <c r="F2099">
        <v>261</v>
      </c>
      <c r="G2099" s="705">
        <v>16230</v>
      </c>
      <c r="H2099" s="705">
        <v>88096</v>
      </c>
      <c r="I2099" s="705">
        <v>3210516</v>
      </c>
      <c r="J2099" s="705">
        <v>1189080</v>
      </c>
      <c r="K2099">
        <v>100</v>
      </c>
      <c r="L2099" s="705">
        <v>390467</v>
      </c>
      <c r="M2099" s="705">
        <v>200329</v>
      </c>
      <c r="N2099" s="705">
        <v>326638</v>
      </c>
      <c r="O2099" s="705">
        <v>120977</v>
      </c>
      <c r="P2099" s="705">
        <v>2276</v>
      </c>
      <c r="Q2099">
        <v>843</v>
      </c>
      <c r="R2099" s="705">
        <v>1538663</v>
      </c>
      <c r="S2099" s="705">
        <v>569875</v>
      </c>
      <c r="T2099" s="705">
        <v>2396</v>
      </c>
      <c r="U2099">
        <v>888</v>
      </c>
      <c r="V2099" s="705">
        <v>2081992</v>
      </c>
      <c r="W2099" s="705">
        <f t="shared" si="82"/>
        <v>2081992</v>
      </c>
      <c r="X2099" s="705">
        <f t="shared" si="83"/>
        <v>5470956</v>
      </c>
    </row>
    <row r="2100" spans="2:24">
      <c r="B2100" t="s">
        <v>718</v>
      </c>
      <c r="C2100" t="s">
        <v>120</v>
      </c>
      <c r="D2100" t="s">
        <v>228</v>
      </c>
      <c r="E2100" t="s">
        <v>665</v>
      </c>
      <c r="F2100">
        <v>1</v>
      </c>
      <c r="G2100">
        <v>55</v>
      </c>
      <c r="H2100">
        <v>366</v>
      </c>
      <c r="I2100" s="705">
        <v>13270</v>
      </c>
      <c r="J2100" s="705">
        <v>4915</v>
      </c>
      <c r="K2100">
        <v>100</v>
      </c>
      <c r="L2100" s="705">
        <v>1735</v>
      </c>
      <c r="M2100" s="705">
        <v>1577</v>
      </c>
      <c r="N2100">
        <v>670</v>
      </c>
      <c r="O2100">
        <v>248</v>
      </c>
      <c r="P2100">
        <v>351</v>
      </c>
      <c r="Q2100">
        <v>130</v>
      </c>
      <c r="R2100" s="705">
        <v>4082</v>
      </c>
      <c r="S2100" s="705">
        <v>3711</v>
      </c>
      <c r="T2100">
        <v>0</v>
      </c>
      <c r="U2100">
        <v>0</v>
      </c>
      <c r="V2100" s="705">
        <v>10581</v>
      </c>
      <c r="W2100" s="705">
        <f t="shared" si="82"/>
        <v>10581</v>
      </c>
      <c r="X2100" s="705">
        <f t="shared" si="83"/>
        <v>20108</v>
      </c>
    </row>
    <row r="2101" spans="2:24">
      <c r="B2101" t="s">
        <v>718</v>
      </c>
      <c r="C2101" t="s">
        <v>120</v>
      </c>
      <c r="D2101" t="s">
        <v>583</v>
      </c>
      <c r="E2101" t="s">
        <v>228</v>
      </c>
      <c r="F2101">
        <v>2</v>
      </c>
      <c r="G2101">
        <v>125</v>
      </c>
      <c r="H2101">
        <v>677</v>
      </c>
      <c r="I2101" s="705">
        <v>26223</v>
      </c>
      <c r="J2101" s="705">
        <v>23839</v>
      </c>
      <c r="K2101">
        <v>85</v>
      </c>
      <c r="L2101" s="705">
        <v>3143</v>
      </c>
      <c r="M2101" s="705">
        <v>12499</v>
      </c>
      <c r="N2101" s="705">
        <v>2459</v>
      </c>
      <c r="O2101">
        <v>911</v>
      </c>
      <c r="P2101" s="705">
        <v>1242</v>
      </c>
      <c r="Q2101">
        <v>460</v>
      </c>
      <c r="R2101" s="705">
        <v>9203</v>
      </c>
      <c r="S2101" s="705">
        <v>3409</v>
      </c>
      <c r="T2101">
        <v>0</v>
      </c>
      <c r="U2101">
        <v>0</v>
      </c>
      <c r="V2101" s="705">
        <v>41117</v>
      </c>
      <c r="W2101" s="705">
        <f t="shared" si="82"/>
        <v>41118</v>
      </c>
      <c r="X2101" s="705">
        <f t="shared" si="83"/>
        <v>42270</v>
      </c>
    </row>
    <row r="2102" spans="2:24">
      <c r="B2102" t="s">
        <v>718</v>
      </c>
      <c r="C2102" t="s">
        <v>120</v>
      </c>
      <c r="D2102" t="s">
        <v>583</v>
      </c>
      <c r="E2102" t="s">
        <v>583</v>
      </c>
      <c r="F2102">
        <v>15</v>
      </c>
      <c r="G2102" s="705">
        <v>1424</v>
      </c>
      <c r="H2102" s="705">
        <v>4925</v>
      </c>
      <c r="I2102" s="705">
        <v>292815</v>
      </c>
      <c r="J2102" s="705">
        <v>266195</v>
      </c>
      <c r="K2102">
        <v>78</v>
      </c>
      <c r="L2102" s="705">
        <v>41683</v>
      </c>
      <c r="M2102" s="705">
        <v>36910</v>
      </c>
      <c r="N2102" s="705">
        <v>28635</v>
      </c>
      <c r="O2102" s="705">
        <v>10605</v>
      </c>
      <c r="P2102" s="705">
        <v>8775</v>
      </c>
      <c r="Q2102" s="705">
        <v>3250</v>
      </c>
      <c r="R2102" s="705">
        <v>78625</v>
      </c>
      <c r="S2102" s="705">
        <v>71477</v>
      </c>
      <c r="T2102" s="705">
        <v>14049</v>
      </c>
      <c r="U2102" s="705">
        <v>5203</v>
      </c>
      <c r="V2102" s="705">
        <v>393641</v>
      </c>
      <c r="W2102" s="705">
        <f t="shared" si="82"/>
        <v>393640</v>
      </c>
      <c r="X2102" s="705">
        <f t="shared" si="83"/>
        <v>464582</v>
      </c>
    </row>
    <row r="2103" spans="2:24">
      <c r="B2103" t="s">
        <v>718</v>
      </c>
      <c r="C2103" t="s">
        <v>120</v>
      </c>
      <c r="D2103" t="s">
        <v>584</v>
      </c>
      <c r="E2103" t="s">
        <v>228</v>
      </c>
      <c r="F2103">
        <v>1</v>
      </c>
      <c r="G2103">
        <v>125</v>
      </c>
      <c r="H2103">
        <v>310</v>
      </c>
      <c r="I2103" s="705">
        <v>29526</v>
      </c>
      <c r="J2103" s="705">
        <v>26842</v>
      </c>
      <c r="K2103">
        <v>68</v>
      </c>
      <c r="L2103">
        <v>0</v>
      </c>
      <c r="M2103">
        <v>0</v>
      </c>
      <c r="N2103" s="705">
        <v>1521</v>
      </c>
      <c r="O2103">
        <v>563</v>
      </c>
      <c r="P2103">
        <v>0</v>
      </c>
      <c r="Q2103">
        <v>0</v>
      </c>
      <c r="R2103" s="705">
        <v>7646</v>
      </c>
      <c r="S2103" s="705">
        <v>2832</v>
      </c>
      <c r="T2103">
        <v>0</v>
      </c>
      <c r="U2103">
        <v>0</v>
      </c>
      <c r="V2103" s="705">
        <v>30237</v>
      </c>
      <c r="W2103" s="705">
        <f t="shared" si="82"/>
        <v>30237</v>
      </c>
      <c r="X2103" s="705">
        <f t="shared" si="83"/>
        <v>38693</v>
      </c>
    </row>
    <row r="2104" spans="2:24">
      <c r="B2104" t="s">
        <v>718</v>
      </c>
      <c r="C2104" t="s">
        <v>120</v>
      </c>
      <c r="D2104" t="s">
        <v>584</v>
      </c>
      <c r="E2104" t="s">
        <v>584</v>
      </c>
      <c r="F2104">
        <v>3</v>
      </c>
      <c r="G2104">
        <v>216</v>
      </c>
      <c r="H2104">
        <v>971</v>
      </c>
      <c r="I2104" s="705">
        <v>34104</v>
      </c>
      <c r="J2104" s="705">
        <v>31004</v>
      </c>
      <c r="K2104">
        <v>75</v>
      </c>
      <c r="L2104" s="705">
        <v>9895</v>
      </c>
      <c r="M2104" s="705">
        <v>8366</v>
      </c>
      <c r="N2104" s="705">
        <v>4080</v>
      </c>
      <c r="O2104" s="705">
        <v>1511</v>
      </c>
      <c r="P2104" s="705">
        <v>1418</v>
      </c>
      <c r="Q2104">
        <v>525</v>
      </c>
      <c r="R2104" s="705">
        <v>12142</v>
      </c>
      <c r="S2104" s="705">
        <v>11039</v>
      </c>
      <c r="T2104" s="705">
        <v>8395</v>
      </c>
      <c r="U2104" s="705">
        <v>3109</v>
      </c>
      <c r="V2104" s="705">
        <v>55554</v>
      </c>
      <c r="W2104" s="705">
        <f t="shared" si="82"/>
        <v>55554</v>
      </c>
      <c r="X2104" s="705">
        <f t="shared" si="83"/>
        <v>70034</v>
      </c>
    </row>
    <row r="2105" spans="2:24">
      <c r="B2105" t="s">
        <v>718</v>
      </c>
      <c r="C2105" t="s">
        <v>120</v>
      </c>
      <c r="D2105" t="s">
        <v>669</v>
      </c>
      <c r="E2105" t="s">
        <v>669</v>
      </c>
      <c r="F2105">
        <v>5</v>
      </c>
      <c r="G2105">
        <v>348</v>
      </c>
      <c r="H2105" s="705">
        <v>1684</v>
      </c>
      <c r="I2105" s="705">
        <v>59434</v>
      </c>
      <c r="J2105" s="705">
        <v>49528</v>
      </c>
      <c r="K2105">
        <v>53</v>
      </c>
      <c r="L2105" s="705">
        <v>8574</v>
      </c>
      <c r="M2105" s="705">
        <v>5707</v>
      </c>
      <c r="N2105" s="705">
        <v>7480</v>
      </c>
      <c r="O2105" s="705">
        <v>2770</v>
      </c>
      <c r="P2105" s="705">
        <v>1755</v>
      </c>
      <c r="Q2105">
        <v>650</v>
      </c>
      <c r="R2105" s="705">
        <v>30855</v>
      </c>
      <c r="S2105" s="705">
        <v>25712</v>
      </c>
      <c r="T2105" s="705">
        <v>9128</v>
      </c>
      <c r="U2105" s="705">
        <v>3381</v>
      </c>
      <c r="V2105" s="705">
        <v>87749</v>
      </c>
      <c r="W2105" s="705">
        <f t="shared" si="82"/>
        <v>87748</v>
      </c>
      <c r="X2105" s="705">
        <f t="shared" si="83"/>
        <v>117226</v>
      </c>
    </row>
    <row r="2106" spans="2:24">
      <c r="B2106" t="s">
        <v>718</v>
      </c>
      <c r="C2106" t="s">
        <v>120</v>
      </c>
      <c r="D2106" t="s">
        <v>667</v>
      </c>
      <c r="E2106" t="s">
        <v>667</v>
      </c>
      <c r="F2106">
        <v>1</v>
      </c>
      <c r="G2106">
        <v>46</v>
      </c>
      <c r="H2106">
        <v>365</v>
      </c>
      <c r="I2106" s="705">
        <v>9782</v>
      </c>
      <c r="J2106" s="705">
        <v>8893</v>
      </c>
      <c r="K2106">
        <v>55</v>
      </c>
      <c r="L2106">
        <v>0</v>
      </c>
      <c r="M2106">
        <v>0</v>
      </c>
      <c r="N2106" s="705">
        <v>1064</v>
      </c>
      <c r="O2106">
        <v>394</v>
      </c>
      <c r="P2106">
        <v>351</v>
      </c>
      <c r="Q2106">
        <v>130</v>
      </c>
      <c r="R2106" s="705">
        <v>4117</v>
      </c>
      <c r="S2106" s="705">
        <v>3742</v>
      </c>
      <c r="T2106" s="705">
        <v>1650</v>
      </c>
      <c r="U2106">
        <v>611</v>
      </c>
      <c r="V2106" s="705">
        <v>13770</v>
      </c>
      <c r="W2106" s="705">
        <f t="shared" si="82"/>
        <v>13770</v>
      </c>
      <c r="X2106" s="705">
        <f t="shared" si="83"/>
        <v>16964</v>
      </c>
    </row>
    <row r="2107" spans="2:24">
      <c r="B2107" t="s">
        <v>718</v>
      </c>
      <c r="C2107" t="s">
        <v>120</v>
      </c>
      <c r="D2107" t="s">
        <v>665</v>
      </c>
      <c r="E2107" t="s">
        <v>665</v>
      </c>
      <c r="F2107">
        <v>3</v>
      </c>
      <c r="G2107">
        <v>217</v>
      </c>
      <c r="H2107" s="705">
        <v>1012</v>
      </c>
      <c r="I2107" s="705">
        <v>44171</v>
      </c>
      <c r="J2107" s="705">
        <v>40156</v>
      </c>
      <c r="K2107">
        <v>62</v>
      </c>
      <c r="L2107" s="705">
        <v>6913</v>
      </c>
      <c r="M2107" s="705">
        <v>6284</v>
      </c>
      <c r="N2107" s="705">
        <v>4122</v>
      </c>
      <c r="O2107" s="705">
        <v>1527</v>
      </c>
      <c r="P2107" s="705">
        <v>1323</v>
      </c>
      <c r="Q2107">
        <v>490</v>
      </c>
      <c r="R2107" s="705">
        <v>11679</v>
      </c>
      <c r="S2107" s="705">
        <v>10617</v>
      </c>
      <c r="T2107" s="705">
        <v>5985</v>
      </c>
      <c r="U2107" s="705">
        <v>2217</v>
      </c>
      <c r="V2107" s="705">
        <v>61291</v>
      </c>
      <c r="W2107" s="705">
        <f t="shared" si="82"/>
        <v>61291</v>
      </c>
      <c r="X2107" s="705">
        <f t="shared" si="83"/>
        <v>74193</v>
      </c>
    </row>
    <row r="2108" spans="2:24">
      <c r="B2108" t="s">
        <v>718</v>
      </c>
      <c r="C2108" t="s">
        <v>122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705">
        <v>2638</v>
      </c>
      <c r="U2108">
        <v>977</v>
      </c>
      <c r="V2108" s="705">
        <v>1338</v>
      </c>
      <c r="W2108" s="705">
        <f t="shared" si="82"/>
        <v>1338</v>
      </c>
      <c r="X2108" s="705">
        <f t="shared" si="83"/>
        <v>3613</v>
      </c>
    </row>
    <row r="2109" spans="2:24">
      <c r="B2109" t="s">
        <v>718</v>
      </c>
      <c r="C2109" t="s">
        <v>122</v>
      </c>
      <c r="D2109" t="s">
        <v>582</v>
      </c>
      <c r="E2109" t="s">
        <v>228</v>
      </c>
      <c r="F2109">
        <v>1</v>
      </c>
      <c r="G2109">
        <v>60</v>
      </c>
      <c r="H2109">
        <v>395</v>
      </c>
      <c r="I2109" s="705">
        <v>9848</v>
      </c>
      <c r="J2109" s="705">
        <v>8953</v>
      </c>
      <c r="K2109">
        <v>72</v>
      </c>
      <c r="L2109" s="705">
        <v>2495</v>
      </c>
      <c r="M2109" s="705">
        <v>2268</v>
      </c>
      <c r="N2109" s="705">
        <v>1273</v>
      </c>
      <c r="O2109">
        <v>471</v>
      </c>
      <c r="P2109">
        <v>473</v>
      </c>
      <c r="Q2109">
        <v>175</v>
      </c>
      <c r="R2109" s="705">
        <v>9522</v>
      </c>
      <c r="S2109" s="705">
        <v>3527</v>
      </c>
      <c r="T2109">
        <v>0</v>
      </c>
      <c r="U2109">
        <v>0</v>
      </c>
      <c r="V2109" s="705">
        <v>15394</v>
      </c>
      <c r="W2109" s="705">
        <f t="shared" si="82"/>
        <v>15394</v>
      </c>
      <c r="X2109" s="705">
        <f t="shared" si="83"/>
        <v>23611</v>
      </c>
    </row>
    <row r="2110" spans="2:24">
      <c r="B2110" t="s">
        <v>718</v>
      </c>
      <c r="C2110" t="s">
        <v>122</v>
      </c>
      <c r="D2110" t="s">
        <v>228</v>
      </c>
      <c r="E2110" t="s">
        <v>228</v>
      </c>
      <c r="F2110">
        <v>95</v>
      </c>
      <c r="G2110" s="705">
        <v>5351</v>
      </c>
      <c r="H2110" s="705">
        <v>39473</v>
      </c>
      <c r="I2110" s="705">
        <v>1375148</v>
      </c>
      <c r="J2110" s="705">
        <v>509314</v>
      </c>
      <c r="K2110">
        <v>100</v>
      </c>
      <c r="L2110" s="705">
        <v>147342</v>
      </c>
      <c r="M2110" s="705">
        <v>68760</v>
      </c>
      <c r="N2110" s="705">
        <v>112583</v>
      </c>
      <c r="O2110" s="705">
        <v>41697</v>
      </c>
      <c r="P2110">
        <v>351</v>
      </c>
      <c r="Q2110">
        <v>130</v>
      </c>
      <c r="R2110" s="705">
        <v>574661</v>
      </c>
      <c r="S2110" s="705">
        <v>212838</v>
      </c>
      <c r="T2110">
        <v>0</v>
      </c>
      <c r="U2110">
        <v>0</v>
      </c>
      <c r="V2110" s="705">
        <v>832739</v>
      </c>
      <c r="W2110" s="705">
        <f t="shared" si="82"/>
        <v>832739</v>
      </c>
      <c r="X2110" s="705">
        <f t="shared" si="83"/>
        <v>2210085</v>
      </c>
    </row>
    <row r="2111" spans="2:24">
      <c r="B2111" t="s">
        <v>718</v>
      </c>
      <c r="C2111" t="s">
        <v>122</v>
      </c>
      <c r="D2111" t="s">
        <v>583</v>
      </c>
      <c r="E2111" t="s">
        <v>228</v>
      </c>
      <c r="F2111">
        <v>2</v>
      </c>
      <c r="G2111">
        <v>139</v>
      </c>
      <c r="H2111">
        <v>851</v>
      </c>
      <c r="I2111" s="705">
        <v>34901</v>
      </c>
      <c r="J2111" s="705">
        <v>31728</v>
      </c>
      <c r="K2111">
        <v>72</v>
      </c>
      <c r="L2111" s="705">
        <v>5373</v>
      </c>
      <c r="M2111" s="705">
        <v>3619</v>
      </c>
      <c r="N2111" s="705">
        <v>3095</v>
      </c>
      <c r="O2111" s="705">
        <v>1146</v>
      </c>
      <c r="P2111" s="705">
        <v>1242</v>
      </c>
      <c r="Q2111">
        <v>460</v>
      </c>
      <c r="R2111" s="705">
        <v>14155</v>
      </c>
      <c r="S2111" s="705">
        <v>5243</v>
      </c>
      <c r="T2111">
        <v>0</v>
      </c>
      <c r="U2111">
        <v>0</v>
      </c>
      <c r="V2111" s="705">
        <v>42197</v>
      </c>
      <c r="W2111" s="705">
        <f t="shared" si="82"/>
        <v>42196</v>
      </c>
      <c r="X2111" s="705">
        <f t="shared" si="83"/>
        <v>58766</v>
      </c>
    </row>
    <row r="2112" spans="2:24">
      <c r="B2112" t="s">
        <v>718</v>
      </c>
      <c r="C2112" t="s">
        <v>122</v>
      </c>
      <c r="D2112" t="s">
        <v>583</v>
      </c>
      <c r="E2112" t="s">
        <v>583</v>
      </c>
      <c r="F2112">
        <v>9</v>
      </c>
      <c r="G2112">
        <v>557</v>
      </c>
      <c r="H2112" s="705">
        <v>3736</v>
      </c>
      <c r="I2112" s="705">
        <v>149469</v>
      </c>
      <c r="J2112" s="705">
        <v>135881</v>
      </c>
      <c r="K2112">
        <v>79</v>
      </c>
      <c r="L2112" s="705">
        <v>28354</v>
      </c>
      <c r="M2112" s="705">
        <v>21990</v>
      </c>
      <c r="N2112" s="705">
        <v>12031</v>
      </c>
      <c r="O2112" s="705">
        <v>4456</v>
      </c>
      <c r="P2112" s="705">
        <v>5319</v>
      </c>
      <c r="Q2112" s="705">
        <v>1970</v>
      </c>
      <c r="R2112" s="705">
        <v>38298</v>
      </c>
      <c r="S2112" s="705">
        <v>34817</v>
      </c>
      <c r="T2112" s="705">
        <v>7985</v>
      </c>
      <c r="U2112" s="705">
        <v>2957</v>
      </c>
      <c r="V2112" s="705">
        <v>202071</v>
      </c>
      <c r="W2112" s="705">
        <f t="shared" si="82"/>
        <v>202071</v>
      </c>
      <c r="X2112" s="705">
        <f t="shared" si="83"/>
        <v>241456</v>
      </c>
    </row>
    <row r="2113" spans="2:24">
      <c r="B2113" t="s">
        <v>718</v>
      </c>
      <c r="C2113" t="s">
        <v>122</v>
      </c>
      <c r="D2113" t="s">
        <v>666</v>
      </c>
      <c r="E2113" t="s">
        <v>583</v>
      </c>
      <c r="F2113">
        <v>1</v>
      </c>
      <c r="G2113">
        <v>189</v>
      </c>
      <c r="H2113">
        <v>384</v>
      </c>
      <c r="I2113" s="705">
        <v>51209</v>
      </c>
      <c r="J2113" s="705">
        <v>46553</v>
      </c>
      <c r="K2113">
        <v>79</v>
      </c>
      <c r="L2113" s="705">
        <v>7112</v>
      </c>
      <c r="M2113" s="705">
        <v>6466</v>
      </c>
      <c r="N2113" s="705">
        <v>4603</v>
      </c>
      <c r="O2113" s="705">
        <v>1705</v>
      </c>
      <c r="P2113">
        <v>621</v>
      </c>
      <c r="Q2113">
        <v>230</v>
      </c>
      <c r="R2113" s="705">
        <v>5261</v>
      </c>
      <c r="S2113" s="705">
        <v>4783</v>
      </c>
      <c r="T2113" s="705">
        <v>3686</v>
      </c>
      <c r="U2113" s="705">
        <v>1365</v>
      </c>
      <c r="V2113" s="705">
        <v>61102</v>
      </c>
      <c r="W2113" s="705">
        <f t="shared" si="82"/>
        <v>61102</v>
      </c>
      <c r="X2113" s="705">
        <f t="shared" si="83"/>
        <v>72492</v>
      </c>
    </row>
    <row r="2114" spans="2:24">
      <c r="B2114" t="s">
        <v>718</v>
      </c>
      <c r="C2114" t="s">
        <v>122</v>
      </c>
      <c r="D2114" t="s">
        <v>584</v>
      </c>
      <c r="E2114" t="s">
        <v>584</v>
      </c>
      <c r="F2114">
        <v>3</v>
      </c>
      <c r="G2114">
        <v>182</v>
      </c>
      <c r="H2114" s="705">
        <v>1271</v>
      </c>
      <c r="I2114" s="705">
        <v>44798</v>
      </c>
      <c r="J2114" s="705">
        <v>40725</v>
      </c>
      <c r="K2114">
        <v>82</v>
      </c>
      <c r="L2114" s="705">
        <v>13561</v>
      </c>
      <c r="M2114" s="705">
        <v>12051</v>
      </c>
      <c r="N2114" s="705">
        <v>4447</v>
      </c>
      <c r="O2114" s="705">
        <v>1647</v>
      </c>
      <c r="P2114" s="705">
        <v>1418</v>
      </c>
      <c r="Q2114">
        <v>525</v>
      </c>
      <c r="R2114" s="705">
        <v>7894</v>
      </c>
      <c r="S2114" s="705">
        <v>7177</v>
      </c>
      <c r="T2114" s="705">
        <v>5259</v>
      </c>
      <c r="U2114" s="705">
        <v>1948</v>
      </c>
      <c r="V2114" s="705">
        <v>64073</v>
      </c>
      <c r="W2114" s="705">
        <f t="shared" si="82"/>
        <v>64073</v>
      </c>
      <c r="X2114" s="705">
        <f t="shared" si="83"/>
        <v>77377</v>
      </c>
    </row>
    <row r="2115" spans="2:24">
      <c r="B2115" t="s">
        <v>718</v>
      </c>
      <c r="C2115" t="s">
        <v>122</v>
      </c>
      <c r="D2115" t="s">
        <v>669</v>
      </c>
      <c r="E2115" t="s">
        <v>669</v>
      </c>
      <c r="F2115">
        <v>1</v>
      </c>
      <c r="G2115">
        <v>63</v>
      </c>
      <c r="H2115">
        <v>421</v>
      </c>
      <c r="I2115" s="705">
        <v>16803</v>
      </c>
      <c r="J2115" s="705">
        <v>14003</v>
      </c>
      <c r="K2115">
        <v>55</v>
      </c>
      <c r="L2115" s="705">
        <v>2193</v>
      </c>
      <c r="M2115">
        <v>812</v>
      </c>
      <c r="N2115" s="705">
        <v>1454</v>
      </c>
      <c r="O2115">
        <v>539</v>
      </c>
      <c r="P2115">
        <v>351</v>
      </c>
      <c r="Q2115">
        <v>130</v>
      </c>
      <c r="R2115" s="705">
        <v>4457</v>
      </c>
      <c r="S2115" s="705">
        <v>3714</v>
      </c>
      <c r="T2115" s="705">
        <v>1494</v>
      </c>
      <c r="U2115">
        <v>553</v>
      </c>
      <c r="V2115" s="705">
        <v>19751</v>
      </c>
      <c r="W2115" s="705">
        <f t="shared" si="82"/>
        <v>19751</v>
      </c>
      <c r="X2115" s="705">
        <f t="shared" si="83"/>
        <v>26752</v>
      </c>
    </row>
    <row r="2116" spans="2:24">
      <c r="B2116" t="s">
        <v>718</v>
      </c>
      <c r="C2116" t="s">
        <v>122</v>
      </c>
      <c r="D2116" t="s">
        <v>665</v>
      </c>
      <c r="E2116" t="s">
        <v>228</v>
      </c>
      <c r="F2116">
        <v>1</v>
      </c>
      <c r="G2116">
        <v>82</v>
      </c>
      <c r="H2116">
        <v>386</v>
      </c>
      <c r="I2116" s="705">
        <v>22851</v>
      </c>
      <c r="J2116" s="705">
        <v>20774</v>
      </c>
      <c r="K2116">
        <v>45</v>
      </c>
      <c r="L2116">
        <v>0</v>
      </c>
      <c r="M2116">
        <v>0</v>
      </c>
      <c r="N2116" s="705">
        <v>1818</v>
      </c>
      <c r="O2116">
        <v>673</v>
      </c>
      <c r="P2116">
        <v>351</v>
      </c>
      <c r="Q2116">
        <v>130</v>
      </c>
      <c r="R2116" s="705">
        <v>6643</v>
      </c>
      <c r="S2116" s="705">
        <v>2460</v>
      </c>
      <c r="T2116">
        <v>0</v>
      </c>
      <c r="U2116">
        <v>0</v>
      </c>
      <c r="V2116" s="705">
        <v>24038</v>
      </c>
      <c r="W2116" s="705">
        <f t="shared" si="82"/>
        <v>24037</v>
      </c>
      <c r="X2116" s="705">
        <f t="shared" si="83"/>
        <v>31663</v>
      </c>
    </row>
    <row r="2117" spans="2:24">
      <c r="B2117" t="s">
        <v>718</v>
      </c>
      <c r="C2117" t="s">
        <v>122</v>
      </c>
      <c r="D2117" t="s">
        <v>665</v>
      </c>
      <c r="E2117" t="s">
        <v>665</v>
      </c>
      <c r="F2117">
        <v>1</v>
      </c>
      <c r="G2117">
        <v>47</v>
      </c>
      <c r="H2117">
        <v>381</v>
      </c>
      <c r="I2117" s="705">
        <v>9333</v>
      </c>
      <c r="J2117" s="705">
        <v>8485</v>
      </c>
      <c r="K2117">
        <v>55</v>
      </c>
      <c r="L2117" s="705">
        <v>1400</v>
      </c>
      <c r="M2117">
        <v>519</v>
      </c>
      <c r="N2117" s="705">
        <v>1146</v>
      </c>
      <c r="O2117">
        <v>424</v>
      </c>
      <c r="P2117">
        <v>351</v>
      </c>
      <c r="Q2117">
        <v>130</v>
      </c>
      <c r="R2117" s="705">
        <v>4062</v>
      </c>
      <c r="S2117" s="705">
        <v>3693</v>
      </c>
      <c r="T2117" s="705">
        <v>1614</v>
      </c>
      <c r="U2117">
        <v>598</v>
      </c>
      <c r="V2117" s="705">
        <v>13849</v>
      </c>
      <c r="W2117" s="705">
        <f t="shared" si="82"/>
        <v>13849</v>
      </c>
      <c r="X2117" s="705">
        <f t="shared" si="83"/>
        <v>17906</v>
      </c>
    </row>
    <row r="2118" spans="2:24">
      <c r="B2118" t="s">
        <v>718</v>
      </c>
      <c r="C2118" t="s">
        <v>124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705">
        <v>2380</v>
      </c>
      <c r="U2118">
        <v>882</v>
      </c>
      <c r="V2118" s="705">
        <v>1176</v>
      </c>
      <c r="W2118" s="705">
        <f t="shared" si="82"/>
        <v>1176</v>
      </c>
      <c r="X2118" s="705">
        <f t="shared" si="83"/>
        <v>3175</v>
      </c>
    </row>
    <row r="2119" spans="2:24">
      <c r="B2119" t="s">
        <v>718</v>
      </c>
      <c r="C2119" t="s">
        <v>124</v>
      </c>
      <c r="D2119" t="s">
        <v>228</v>
      </c>
      <c r="E2119" t="s">
        <v>228</v>
      </c>
      <c r="F2119">
        <v>69</v>
      </c>
      <c r="G2119" s="705">
        <v>3037</v>
      </c>
      <c r="H2119" s="705">
        <v>40404</v>
      </c>
      <c r="I2119" s="705">
        <v>1270927</v>
      </c>
      <c r="J2119" s="705">
        <v>470714</v>
      </c>
      <c r="K2119">
        <v>100</v>
      </c>
      <c r="L2119" s="705">
        <v>77649</v>
      </c>
      <c r="M2119" s="705">
        <v>34735</v>
      </c>
      <c r="N2119" s="705">
        <v>61952</v>
      </c>
      <c r="O2119" s="705">
        <v>22945</v>
      </c>
      <c r="P2119">
        <v>351</v>
      </c>
      <c r="Q2119">
        <v>130</v>
      </c>
      <c r="R2119" s="705">
        <v>348314</v>
      </c>
      <c r="S2119" s="705">
        <v>129005</v>
      </c>
      <c r="T2119">
        <v>0</v>
      </c>
      <c r="U2119">
        <v>0</v>
      </c>
      <c r="V2119" s="705">
        <v>657529</v>
      </c>
      <c r="W2119" s="705">
        <f t="shared" si="82"/>
        <v>657529</v>
      </c>
      <c r="X2119" s="705">
        <f t="shared" si="83"/>
        <v>1759193</v>
      </c>
    </row>
    <row r="2120" spans="2:24">
      <c r="B2120" t="s">
        <v>718</v>
      </c>
      <c r="C2120" t="s">
        <v>124</v>
      </c>
      <c r="D2120" t="s">
        <v>583</v>
      </c>
      <c r="E2120" t="s">
        <v>228</v>
      </c>
      <c r="F2120">
        <v>2</v>
      </c>
      <c r="G2120">
        <v>103</v>
      </c>
      <c r="H2120" s="705">
        <v>1155</v>
      </c>
      <c r="I2120" s="705">
        <v>36318</v>
      </c>
      <c r="J2120" s="705">
        <v>33016</v>
      </c>
      <c r="K2120">
        <v>75</v>
      </c>
      <c r="L2120" s="705">
        <v>8344</v>
      </c>
      <c r="M2120" s="705">
        <v>6953</v>
      </c>
      <c r="N2120" s="705">
        <v>2511</v>
      </c>
      <c r="O2120">
        <v>930</v>
      </c>
      <c r="P2120" s="705">
        <v>1242</v>
      </c>
      <c r="Q2120">
        <v>460</v>
      </c>
      <c r="R2120" s="705">
        <v>11554</v>
      </c>
      <c r="S2120" s="705">
        <v>4279</v>
      </c>
      <c r="T2120">
        <v>0</v>
      </c>
      <c r="U2120">
        <v>0</v>
      </c>
      <c r="V2120" s="705">
        <v>45638</v>
      </c>
      <c r="W2120" s="705">
        <f t="shared" si="82"/>
        <v>45638</v>
      </c>
      <c r="X2120" s="705">
        <f t="shared" si="83"/>
        <v>59969</v>
      </c>
    </row>
    <row r="2121" spans="2:24">
      <c r="B2121" t="s">
        <v>718</v>
      </c>
      <c r="C2121" t="s">
        <v>124</v>
      </c>
      <c r="D2121" t="s">
        <v>583</v>
      </c>
      <c r="E2121" t="s">
        <v>583</v>
      </c>
      <c r="F2121">
        <v>10</v>
      </c>
      <c r="G2121">
        <v>911</v>
      </c>
      <c r="H2121" s="705">
        <v>5416</v>
      </c>
      <c r="I2121" s="705">
        <v>359760</v>
      </c>
      <c r="J2121" s="705">
        <v>327054</v>
      </c>
      <c r="K2121">
        <v>70</v>
      </c>
      <c r="L2121" s="705">
        <v>42450</v>
      </c>
      <c r="M2121" s="705">
        <v>35644</v>
      </c>
      <c r="N2121" s="705">
        <v>18163</v>
      </c>
      <c r="O2121" s="705">
        <v>6727</v>
      </c>
      <c r="P2121" s="705">
        <v>6210</v>
      </c>
      <c r="Q2121" s="705">
        <v>2300</v>
      </c>
      <c r="R2121" s="705">
        <v>56894</v>
      </c>
      <c r="S2121" s="705">
        <v>51721</v>
      </c>
      <c r="T2121" s="705">
        <v>21060</v>
      </c>
      <c r="U2121" s="705">
        <v>7800</v>
      </c>
      <c r="V2121" s="705">
        <v>431246</v>
      </c>
      <c r="W2121" s="705">
        <f t="shared" si="82"/>
        <v>431246</v>
      </c>
      <c r="X2121" s="705">
        <f t="shared" si="83"/>
        <v>504537</v>
      </c>
    </row>
    <row r="2122" spans="2:24">
      <c r="B2122" t="s">
        <v>718</v>
      </c>
      <c r="C2122" t="s">
        <v>124</v>
      </c>
      <c r="D2122" t="s">
        <v>669</v>
      </c>
      <c r="E2122" t="s">
        <v>669</v>
      </c>
      <c r="F2122">
        <v>2</v>
      </c>
      <c r="G2122">
        <v>89</v>
      </c>
      <c r="H2122" s="705">
        <v>1314</v>
      </c>
      <c r="I2122" s="705">
        <v>37166</v>
      </c>
      <c r="J2122" s="705">
        <v>30971</v>
      </c>
      <c r="K2122">
        <v>50</v>
      </c>
      <c r="L2122" s="705">
        <v>5757</v>
      </c>
      <c r="M2122" s="705">
        <v>3843</v>
      </c>
      <c r="N2122" s="705">
        <v>1918</v>
      </c>
      <c r="O2122">
        <v>710</v>
      </c>
      <c r="P2122">
        <v>702</v>
      </c>
      <c r="Q2122">
        <v>260</v>
      </c>
      <c r="R2122" s="705">
        <v>8474</v>
      </c>
      <c r="S2122" s="705">
        <v>7062</v>
      </c>
      <c r="T2122" s="705">
        <v>2435</v>
      </c>
      <c r="U2122">
        <v>902</v>
      </c>
      <c r="V2122" s="705">
        <v>43749</v>
      </c>
      <c r="W2122" s="705">
        <f t="shared" si="82"/>
        <v>43748</v>
      </c>
      <c r="X2122" s="705">
        <f t="shared" si="83"/>
        <v>56452</v>
      </c>
    </row>
    <row r="2123" spans="2:24">
      <c r="B2123" t="s">
        <v>718</v>
      </c>
      <c r="C2123" t="s">
        <v>124</v>
      </c>
      <c r="D2123" t="s">
        <v>667</v>
      </c>
      <c r="E2123" t="s">
        <v>667</v>
      </c>
      <c r="F2123">
        <v>4</v>
      </c>
      <c r="G2123">
        <v>134</v>
      </c>
      <c r="H2123" s="705">
        <v>3461</v>
      </c>
      <c r="I2123" s="705">
        <v>89108</v>
      </c>
      <c r="J2123" s="705">
        <v>81007</v>
      </c>
      <c r="K2123">
        <v>55</v>
      </c>
      <c r="L2123">
        <v>0</v>
      </c>
      <c r="M2123">
        <v>0</v>
      </c>
      <c r="N2123" s="705">
        <v>3262</v>
      </c>
      <c r="O2123" s="705">
        <v>1208</v>
      </c>
      <c r="P2123" s="705">
        <v>1404</v>
      </c>
      <c r="Q2123">
        <v>520</v>
      </c>
      <c r="R2123" s="705">
        <v>16378</v>
      </c>
      <c r="S2123" s="705">
        <v>14889</v>
      </c>
      <c r="T2123" s="705">
        <v>6542</v>
      </c>
      <c r="U2123" s="705">
        <v>2423</v>
      </c>
      <c r="V2123" s="705">
        <v>100047</v>
      </c>
      <c r="W2123" s="705">
        <f t="shared" si="82"/>
        <v>100047</v>
      </c>
      <c r="X2123" s="705">
        <f t="shared" si="83"/>
        <v>116694</v>
      </c>
    </row>
    <row r="2124" spans="2:24">
      <c r="B2124" t="s">
        <v>718</v>
      </c>
      <c r="C2124" t="s">
        <v>124</v>
      </c>
      <c r="D2124" t="s">
        <v>665</v>
      </c>
      <c r="E2124" t="s">
        <v>228</v>
      </c>
      <c r="F2124">
        <v>1</v>
      </c>
      <c r="G2124">
        <v>45</v>
      </c>
      <c r="H2124" s="705">
        <v>1438</v>
      </c>
      <c r="I2124" s="705">
        <v>54154</v>
      </c>
      <c r="J2124" s="705">
        <v>49231</v>
      </c>
      <c r="K2124">
        <v>30</v>
      </c>
      <c r="L2124" s="705">
        <v>6017</v>
      </c>
      <c r="M2124" s="705">
        <v>5470</v>
      </c>
      <c r="N2124" s="705">
        <v>1092</v>
      </c>
      <c r="O2124">
        <v>404</v>
      </c>
      <c r="P2124">
        <v>0</v>
      </c>
      <c r="Q2124">
        <v>0</v>
      </c>
      <c r="R2124" s="705">
        <v>3156</v>
      </c>
      <c r="S2124" s="705">
        <v>1169</v>
      </c>
      <c r="T2124">
        <v>0</v>
      </c>
      <c r="U2124">
        <v>0</v>
      </c>
      <c r="V2124" s="705">
        <v>56274</v>
      </c>
      <c r="W2124" s="705">
        <f t="shared" si="82"/>
        <v>56274</v>
      </c>
      <c r="X2124" s="705">
        <f t="shared" si="83"/>
        <v>64419</v>
      </c>
    </row>
    <row r="2125" spans="2:24">
      <c r="B2125" t="s">
        <v>718</v>
      </c>
      <c r="C2125" t="s">
        <v>124</v>
      </c>
      <c r="D2125" t="s">
        <v>665</v>
      </c>
      <c r="E2125" t="s">
        <v>665</v>
      </c>
      <c r="F2125">
        <v>1</v>
      </c>
      <c r="G2125">
        <v>133</v>
      </c>
      <c r="H2125">
        <v>529</v>
      </c>
      <c r="I2125" s="705">
        <v>53601</v>
      </c>
      <c r="J2125" s="705">
        <v>48728</v>
      </c>
      <c r="K2125">
        <v>55</v>
      </c>
      <c r="L2125" s="705">
        <v>5039</v>
      </c>
      <c r="M2125" s="705">
        <v>4581</v>
      </c>
      <c r="N2125" s="705">
        <v>2398</v>
      </c>
      <c r="O2125">
        <v>888</v>
      </c>
      <c r="P2125">
        <v>621</v>
      </c>
      <c r="Q2125">
        <v>230</v>
      </c>
      <c r="R2125" s="705">
        <v>5888</v>
      </c>
      <c r="S2125" s="705">
        <v>5353</v>
      </c>
      <c r="T2125" s="705">
        <v>2828</v>
      </c>
      <c r="U2125" s="705">
        <v>1048</v>
      </c>
      <c r="V2125" s="705">
        <v>60828</v>
      </c>
      <c r="W2125" s="705">
        <f t="shared" si="82"/>
        <v>60828</v>
      </c>
      <c r="X2125" s="705">
        <f t="shared" si="83"/>
        <v>70375</v>
      </c>
    </row>
    <row r="2126" spans="2:24">
      <c r="B2126" t="s">
        <v>719</v>
      </c>
      <c r="C2126" t="s">
        <v>108</v>
      </c>
      <c r="D2126" t="s">
        <v>228</v>
      </c>
      <c r="E2126" t="s">
        <v>228</v>
      </c>
      <c r="F2126">
        <v>8</v>
      </c>
      <c r="G2126">
        <v>812</v>
      </c>
      <c r="H2126">
        <v>406</v>
      </c>
      <c r="I2126" s="705">
        <v>-11537</v>
      </c>
      <c r="J2126" s="705">
        <v>-4273</v>
      </c>
      <c r="K2126">
        <v>365</v>
      </c>
      <c r="L2126" s="705">
        <v>-2128</v>
      </c>
      <c r="M2126" s="705">
        <v>-1934</v>
      </c>
      <c r="N2126" s="705">
        <v>10017</v>
      </c>
      <c r="O2126" s="705">
        <v>3710</v>
      </c>
      <c r="P2126" s="705">
        <v>6108</v>
      </c>
      <c r="Q2126" s="705">
        <v>2262</v>
      </c>
      <c r="R2126" s="705">
        <v>35747</v>
      </c>
      <c r="S2126" s="705">
        <v>13240</v>
      </c>
      <c r="T2126">
        <v>0</v>
      </c>
      <c r="U2126">
        <v>0</v>
      </c>
      <c r="V2126" s="705">
        <v>13004</v>
      </c>
      <c r="W2126" s="705">
        <f t="shared" si="82"/>
        <v>25419</v>
      </c>
      <c r="X2126" s="705">
        <f t="shared" si="83"/>
        <v>65537</v>
      </c>
    </row>
    <row r="2127" spans="2:24">
      <c r="B2127" t="s">
        <v>719</v>
      </c>
      <c r="C2127" t="s">
        <v>110</v>
      </c>
      <c r="F2127">
        <v>14</v>
      </c>
      <c r="G2127" s="705">
        <v>1235</v>
      </c>
      <c r="H2127" s="705">
        <v>1265</v>
      </c>
      <c r="J2127">
        <v>0</v>
      </c>
      <c r="M2127">
        <v>0</v>
      </c>
      <c r="N2127" s="705">
        <v>15048</v>
      </c>
      <c r="O2127" s="705">
        <v>5573</v>
      </c>
      <c r="P2127" s="705">
        <v>4914</v>
      </c>
      <c r="Q2127" s="705">
        <v>1820</v>
      </c>
      <c r="S2127">
        <v>0</v>
      </c>
      <c r="T2127">
        <v>0</v>
      </c>
      <c r="U2127">
        <v>0</v>
      </c>
      <c r="V2127" s="705">
        <v>7393</v>
      </c>
      <c r="W2127" s="705">
        <f t="shared" si="82"/>
        <v>7393</v>
      </c>
      <c r="X2127" s="705">
        <f t="shared" si="83"/>
        <v>19962</v>
      </c>
    </row>
    <row r="2128" spans="2:24">
      <c r="B2128" t="s">
        <v>719</v>
      </c>
      <c r="C2128" t="s">
        <v>110</v>
      </c>
      <c r="D2128" t="s">
        <v>228</v>
      </c>
      <c r="E2128" t="s">
        <v>228</v>
      </c>
      <c r="F2128">
        <v>6</v>
      </c>
      <c r="G2128">
        <v>355</v>
      </c>
      <c r="H2128">
        <v>564</v>
      </c>
      <c r="I2128" s="705">
        <v>5557</v>
      </c>
      <c r="J2128" s="705">
        <v>2058</v>
      </c>
      <c r="K2128">
        <v>390</v>
      </c>
      <c r="L2128">
        <v>876</v>
      </c>
      <c r="M2128">
        <v>796</v>
      </c>
      <c r="N2128" s="705">
        <v>6696</v>
      </c>
      <c r="O2128" s="705">
        <v>2480</v>
      </c>
      <c r="P2128" s="705">
        <v>2106</v>
      </c>
      <c r="Q2128">
        <v>780</v>
      </c>
      <c r="R2128" s="705">
        <v>18131</v>
      </c>
      <c r="S2128" s="705">
        <v>6715</v>
      </c>
      <c r="T2128">
        <v>0</v>
      </c>
      <c r="U2128">
        <v>0</v>
      </c>
      <c r="V2128" s="705">
        <v>12830</v>
      </c>
      <c r="W2128" s="705">
        <f t="shared" si="82"/>
        <v>12829</v>
      </c>
      <c r="X2128" s="705">
        <f t="shared" si="83"/>
        <v>33366</v>
      </c>
    </row>
    <row r="2129" spans="2:24">
      <c r="B2129" t="s">
        <v>719</v>
      </c>
      <c r="C2129" t="s">
        <v>110</v>
      </c>
      <c r="D2129" t="s">
        <v>583</v>
      </c>
      <c r="E2129" t="s">
        <v>583</v>
      </c>
      <c r="F2129">
        <v>1</v>
      </c>
      <c r="G2129">
        <v>197</v>
      </c>
      <c r="H2129">
        <v>84</v>
      </c>
      <c r="I2129" s="705">
        <v>7696</v>
      </c>
      <c r="J2129" s="705">
        <v>6997</v>
      </c>
      <c r="K2129">
        <v>97</v>
      </c>
      <c r="L2129" s="705">
        <v>1264</v>
      </c>
      <c r="M2129" s="705">
        <v>1150</v>
      </c>
      <c r="N2129" s="705">
        <v>2405</v>
      </c>
      <c r="O2129">
        <v>891</v>
      </c>
      <c r="P2129">
        <v>621</v>
      </c>
      <c r="Q2129">
        <v>230</v>
      </c>
      <c r="R2129" s="705">
        <v>4491</v>
      </c>
      <c r="S2129" s="705">
        <v>4082</v>
      </c>
      <c r="T2129">
        <v>0</v>
      </c>
      <c r="U2129">
        <v>0</v>
      </c>
      <c r="V2129" s="705">
        <v>13349</v>
      </c>
      <c r="W2129" s="705">
        <f t="shared" si="82"/>
        <v>13350</v>
      </c>
      <c r="X2129" s="705">
        <f t="shared" si="83"/>
        <v>16477</v>
      </c>
    </row>
    <row r="2130" spans="2:24">
      <c r="B2130" t="s">
        <v>719</v>
      </c>
      <c r="C2130" t="s">
        <v>112</v>
      </c>
      <c r="F2130">
        <v>11</v>
      </c>
      <c r="G2130" s="705">
        <v>1059</v>
      </c>
      <c r="H2130" s="705">
        <v>1223</v>
      </c>
      <c r="J2130">
        <v>0</v>
      </c>
      <c r="M2130">
        <v>0</v>
      </c>
      <c r="N2130" s="705">
        <v>12898</v>
      </c>
      <c r="O2130" s="705">
        <v>4777</v>
      </c>
      <c r="P2130" s="705">
        <v>3861</v>
      </c>
      <c r="Q2130" s="705">
        <v>1430</v>
      </c>
      <c r="S2130">
        <v>0</v>
      </c>
      <c r="T2130">
        <v>0</v>
      </c>
      <c r="U2130">
        <v>0</v>
      </c>
      <c r="V2130" s="705">
        <v>6207</v>
      </c>
      <c r="W2130" s="705">
        <f t="shared" si="82"/>
        <v>6207</v>
      </c>
      <c r="X2130" s="705">
        <f t="shared" si="83"/>
        <v>16759</v>
      </c>
    </row>
    <row r="2131" spans="2:24">
      <c r="B2131" t="s">
        <v>719</v>
      </c>
      <c r="C2131" t="s">
        <v>112</v>
      </c>
      <c r="D2131" t="s">
        <v>582</v>
      </c>
      <c r="E2131" t="s">
        <v>582</v>
      </c>
      <c r="F2131">
        <v>13</v>
      </c>
      <c r="G2131" s="705">
        <v>1030</v>
      </c>
      <c r="H2131" s="705">
        <v>1566</v>
      </c>
      <c r="I2131" s="705">
        <v>42313</v>
      </c>
      <c r="J2131" s="705">
        <v>38466</v>
      </c>
      <c r="K2131">
        <v>82</v>
      </c>
      <c r="L2131">
        <v>0</v>
      </c>
      <c r="M2131">
        <v>0</v>
      </c>
      <c r="N2131" s="705">
        <v>24124</v>
      </c>
      <c r="O2131" s="705">
        <v>8935</v>
      </c>
      <c r="P2131" s="705">
        <v>6143</v>
      </c>
      <c r="Q2131" s="705">
        <v>2275</v>
      </c>
      <c r="R2131" s="705">
        <v>51401</v>
      </c>
      <c r="S2131" s="705">
        <v>46729</v>
      </c>
      <c r="T2131">
        <v>0</v>
      </c>
      <c r="U2131">
        <v>0</v>
      </c>
      <c r="V2131" s="705">
        <v>96405</v>
      </c>
      <c r="W2131" s="705">
        <f t="shared" si="82"/>
        <v>96405</v>
      </c>
      <c r="X2131" s="705">
        <f t="shared" si="83"/>
        <v>123981</v>
      </c>
    </row>
    <row r="2132" spans="2:24">
      <c r="B2132" t="s">
        <v>719</v>
      </c>
      <c r="C2132" t="s">
        <v>112</v>
      </c>
      <c r="D2132" t="s">
        <v>228</v>
      </c>
      <c r="E2132" t="s">
        <v>228</v>
      </c>
      <c r="F2132">
        <v>5</v>
      </c>
      <c r="G2132">
        <v>421</v>
      </c>
      <c r="H2132">
        <v>569</v>
      </c>
      <c r="I2132" s="705">
        <v>14819</v>
      </c>
      <c r="J2132" s="705">
        <v>5489</v>
      </c>
      <c r="K2132">
        <v>398</v>
      </c>
      <c r="L2132" s="705">
        <v>2423</v>
      </c>
      <c r="M2132" s="705">
        <v>2137</v>
      </c>
      <c r="N2132" s="705">
        <v>7780</v>
      </c>
      <c r="O2132" s="705">
        <v>2881</v>
      </c>
      <c r="P2132" s="705">
        <v>4719</v>
      </c>
      <c r="Q2132" s="705">
        <v>1748</v>
      </c>
      <c r="R2132" s="705">
        <v>17501</v>
      </c>
      <c r="S2132" s="705">
        <v>6482</v>
      </c>
      <c r="T2132">
        <v>0</v>
      </c>
      <c r="U2132">
        <v>0</v>
      </c>
      <c r="V2132" s="705">
        <v>18736</v>
      </c>
      <c r="W2132" s="705">
        <f t="shared" si="82"/>
        <v>18737</v>
      </c>
      <c r="X2132" s="705">
        <f t="shared" si="83"/>
        <v>47242</v>
      </c>
    </row>
    <row r="2133" spans="2:24">
      <c r="B2133" t="s">
        <v>719</v>
      </c>
      <c r="C2133" t="s">
        <v>112</v>
      </c>
      <c r="D2133" t="s">
        <v>583</v>
      </c>
      <c r="E2133" t="s">
        <v>583</v>
      </c>
      <c r="F2133">
        <v>4</v>
      </c>
      <c r="G2133">
        <v>774</v>
      </c>
      <c r="H2133">
        <v>475</v>
      </c>
      <c r="I2133" s="705">
        <v>64590</v>
      </c>
      <c r="J2133" s="705">
        <v>58718</v>
      </c>
      <c r="K2133">
        <v>92</v>
      </c>
      <c r="L2133" s="705">
        <v>10305</v>
      </c>
      <c r="M2133" s="705">
        <v>9182</v>
      </c>
      <c r="N2133" s="705">
        <v>16830</v>
      </c>
      <c r="O2133" s="705">
        <v>6233</v>
      </c>
      <c r="P2133" s="705">
        <v>2835</v>
      </c>
      <c r="Q2133" s="705">
        <v>1050</v>
      </c>
      <c r="R2133" s="705">
        <v>22564</v>
      </c>
      <c r="S2133" s="705">
        <v>20512</v>
      </c>
      <c r="T2133">
        <v>0</v>
      </c>
      <c r="U2133">
        <v>0</v>
      </c>
      <c r="V2133" s="705">
        <v>95695</v>
      </c>
      <c r="W2133" s="705">
        <f t="shared" si="82"/>
        <v>95695</v>
      </c>
      <c r="X2133" s="705">
        <f t="shared" si="83"/>
        <v>117124</v>
      </c>
    </row>
    <row r="2134" spans="2:24">
      <c r="B2134" t="s">
        <v>719</v>
      </c>
      <c r="C2134" t="s">
        <v>112</v>
      </c>
      <c r="D2134" t="s">
        <v>584</v>
      </c>
      <c r="E2134" t="s">
        <v>584</v>
      </c>
      <c r="F2134">
        <v>8</v>
      </c>
      <c r="G2134">
        <v>653</v>
      </c>
      <c r="H2134">
        <v>942</v>
      </c>
      <c r="I2134" s="705">
        <v>35485</v>
      </c>
      <c r="J2134" s="705">
        <v>32259</v>
      </c>
      <c r="K2134">
        <v>83</v>
      </c>
      <c r="L2134">
        <v>0</v>
      </c>
      <c r="M2134">
        <v>0</v>
      </c>
      <c r="N2134" s="705">
        <v>15478</v>
      </c>
      <c r="O2134" s="705">
        <v>5733</v>
      </c>
      <c r="P2134" s="705">
        <v>3780</v>
      </c>
      <c r="Q2134" s="705">
        <v>1400</v>
      </c>
      <c r="R2134" s="705">
        <v>22095</v>
      </c>
      <c r="S2134" s="705">
        <v>20086</v>
      </c>
      <c r="T2134">
        <v>0</v>
      </c>
      <c r="U2134">
        <v>0</v>
      </c>
      <c r="V2134" s="705">
        <v>59478</v>
      </c>
      <c r="W2134" s="705">
        <f t="shared" si="82"/>
        <v>59478</v>
      </c>
      <c r="X2134" s="705">
        <f t="shared" si="83"/>
        <v>76838</v>
      </c>
    </row>
    <row r="2135" spans="2:24">
      <c r="B2135" t="s">
        <v>719</v>
      </c>
      <c r="C2135" t="s">
        <v>114</v>
      </c>
      <c r="F2135">
        <v>12</v>
      </c>
      <c r="G2135" s="705">
        <v>1460</v>
      </c>
      <c r="H2135" s="705">
        <v>1657</v>
      </c>
      <c r="J2135">
        <v>0</v>
      </c>
      <c r="M2135">
        <v>0</v>
      </c>
      <c r="N2135" s="705">
        <v>28376</v>
      </c>
      <c r="O2135" s="705">
        <v>10509</v>
      </c>
      <c r="P2135" s="705">
        <v>3510</v>
      </c>
      <c r="Q2135" s="705">
        <v>1300</v>
      </c>
      <c r="S2135">
        <v>0</v>
      </c>
      <c r="T2135">
        <v>0</v>
      </c>
      <c r="U2135">
        <v>0</v>
      </c>
      <c r="V2135" s="705">
        <v>11809</v>
      </c>
      <c r="W2135" s="705">
        <f t="shared" si="82"/>
        <v>11809</v>
      </c>
      <c r="X2135" s="705">
        <f t="shared" si="83"/>
        <v>31886</v>
      </c>
    </row>
    <row r="2136" spans="2:24">
      <c r="B2136" t="s">
        <v>719</v>
      </c>
      <c r="C2136" t="s">
        <v>114</v>
      </c>
      <c r="D2136" t="s">
        <v>582</v>
      </c>
      <c r="E2136" t="s">
        <v>582</v>
      </c>
      <c r="F2136">
        <v>41</v>
      </c>
      <c r="G2136" s="705">
        <v>3243</v>
      </c>
      <c r="H2136" s="705">
        <v>5512</v>
      </c>
      <c r="I2136" s="705">
        <v>177664</v>
      </c>
      <c r="J2136" s="705">
        <v>161513</v>
      </c>
      <c r="K2136">
        <v>84</v>
      </c>
      <c r="L2136" s="705">
        <v>13279</v>
      </c>
      <c r="M2136" s="705">
        <v>11245</v>
      </c>
      <c r="N2136" s="705">
        <v>74929</v>
      </c>
      <c r="O2136" s="705">
        <v>27751</v>
      </c>
      <c r="P2136" s="705">
        <v>19373</v>
      </c>
      <c r="Q2136" s="705">
        <v>7175</v>
      </c>
      <c r="R2136" s="705">
        <v>154872</v>
      </c>
      <c r="S2136" s="705">
        <v>140793</v>
      </c>
      <c r="T2136" s="705">
        <v>3948</v>
      </c>
      <c r="U2136" s="705">
        <v>1462</v>
      </c>
      <c r="V2136" s="705">
        <v>349940</v>
      </c>
      <c r="W2136" s="705">
        <f t="shared" si="82"/>
        <v>349939</v>
      </c>
      <c r="X2136" s="705">
        <f t="shared" si="83"/>
        <v>444065</v>
      </c>
    </row>
    <row r="2137" spans="2:24">
      <c r="B2137" t="s">
        <v>719</v>
      </c>
      <c r="C2137" t="s">
        <v>114</v>
      </c>
      <c r="D2137" t="s">
        <v>228</v>
      </c>
      <c r="E2137" t="s">
        <v>582</v>
      </c>
      <c r="F2137">
        <v>1</v>
      </c>
      <c r="G2137">
        <v>49</v>
      </c>
      <c r="H2137">
        <v>143</v>
      </c>
      <c r="I2137" s="705">
        <v>3331</v>
      </c>
      <c r="J2137" s="705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705">
        <v>3021</v>
      </c>
      <c r="S2137" s="705">
        <v>2746</v>
      </c>
      <c r="T2137">
        <v>0</v>
      </c>
      <c r="U2137">
        <v>0</v>
      </c>
      <c r="V2137" s="705">
        <v>4199</v>
      </c>
      <c r="W2137" s="705">
        <f t="shared" si="82"/>
        <v>4199</v>
      </c>
      <c r="X2137" s="705">
        <f t="shared" si="83"/>
        <v>6944</v>
      </c>
    </row>
    <row r="2138" spans="2:24">
      <c r="B2138" t="s">
        <v>719</v>
      </c>
      <c r="C2138" t="s">
        <v>114</v>
      </c>
      <c r="D2138" t="s">
        <v>228</v>
      </c>
      <c r="E2138" t="s">
        <v>228</v>
      </c>
      <c r="F2138">
        <v>14</v>
      </c>
      <c r="G2138" s="705">
        <v>1060</v>
      </c>
      <c r="H2138" s="705">
        <v>1994</v>
      </c>
      <c r="I2138" s="705">
        <v>38263</v>
      </c>
      <c r="J2138" s="705">
        <v>14172</v>
      </c>
      <c r="K2138">
        <v>143</v>
      </c>
      <c r="L2138" s="705">
        <v>5046</v>
      </c>
      <c r="M2138" s="705">
        <v>2448</v>
      </c>
      <c r="N2138" s="705">
        <v>21519</v>
      </c>
      <c r="O2138" s="705">
        <v>7970</v>
      </c>
      <c r="P2138">
        <v>702</v>
      </c>
      <c r="Q2138">
        <v>260</v>
      </c>
      <c r="R2138" s="705">
        <v>85652</v>
      </c>
      <c r="S2138" s="705">
        <v>31723</v>
      </c>
      <c r="T2138">
        <v>0</v>
      </c>
      <c r="U2138">
        <v>0</v>
      </c>
      <c r="V2138" s="705">
        <v>56573</v>
      </c>
      <c r="W2138" s="705">
        <f t="shared" si="82"/>
        <v>56573</v>
      </c>
      <c r="X2138" s="705">
        <f t="shared" si="83"/>
        <v>151182</v>
      </c>
    </row>
    <row r="2139" spans="2:24">
      <c r="B2139" t="s">
        <v>719</v>
      </c>
      <c r="C2139" t="s">
        <v>114</v>
      </c>
      <c r="D2139" t="s">
        <v>583</v>
      </c>
      <c r="E2139" t="s">
        <v>583</v>
      </c>
      <c r="F2139">
        <v>24</v>
      </c>
      <c r="G2139" s="705">
        <v>3935</v>
      </c>
      <c r="H2139" s="705">
        <v>3394</v>
      </c>
      <c r="I2139" s="705">
        <v>294178</v>
      </c>
      <c r="J2139" s="705">
        <v>267434</v>
      </c>
      <c r="K2139">
        <v>92</v>
      </c>
      <c r="L2139" s="705">
        <v>58213</v>
      </c>
      <c r="M2139" s="705">
        <v>52245</v>
      </c>
      <c r="N2139" s="705">
        <v>69406</v>
      </c>
      <c r="O2139" s="705">
        <v>25706</v>
      </c>
      <c r="P2139" s="705">
        <v>18070</v>
      </c>
      <c r="Q2139" s="705">
        <v>6693</v>
      </c>
      <c r="R2139" s="705">
        <v>109110</v>
      </c>
      <c r="S2139" s="705">
        <v>99191</v>
      </c>
      <c r="T2139" s="705">
        <v>27062</v>
      </c>
      <c r="U2139" s="705">
        <v>10023</v>
      </c>
      <c r="V2139" s="705">
        <v>461291</v>
      </c>
      <c r="W2139" s="705">
        <f t="shared" si="82"/>
        <v>461292</v>
      </c>
      <c r="X2139" s="705">
        <f t="shared" si="83"/>
        <v>576039</v>
      </c>
    </row>
    <row r="2140" spans="2:24">
      <c r="B2140" t="s">
        <v>719</v>
      </c>
      <c r="C2140" t="s">
        <v>114</v>
      </c>
      <c r="D2140" t="s">
        <v>584</v>
      </c>
      <c r="E2140" t="s">
        <v>584</v>
      </c>
      <c r="F2140">
        <v>19</v>
      </c>
      <c r="G2140" s="705">
        <v>1853</v>
      </c>
      <c r="H2140" s="705">
        <v>2652</v>
      </c>
      <c r="I2140" s="705">
        <v>141330</v>
      </c>
      <c r="J2140" s="705">
        <v>128482</v>
      </c>
      <c r="K2140">
        <v>82</v>
      </c>
      <c r="L2140" s="705">
        <v>2677</v>
      </c>
      <c r="M2140" s="705">
        <v>2189</v>
      </c>
      <c r="N2140" s="705">
        <v>40286</v>
      </c>
      <c r="O2140" s="705">
        <v>14921</v>
      </c>
      <c r="P2140" s="705">
        <v>8978</v>
      </c>
      <c r="Q2140" s="705">
        <v>3325</v>
      </c>
      <c r="R2140" s="705">
        <v>64972</v>
      </c>
      <c r="S2140" s="705">
        <v>59066</v>
      </c>
      <c r="T2140">
        <v>0</v>
      </c>
      <c r="U2140">
        <v>0</v>
      </c>
      <c r="V2140" s="705">
        <v>207983</v>
      </c>
      <c r="W2140" s="705">
        <f t="shared" si="82"/>
        <v>207983</v>
      </c>
      <c r="X2140" s="705">
        <f t="shared" si="83"/>
        <v>258243</v>
      </c>
    </row>
    <row r="2141" spans="2:24">
      <c r="B2141" t="s">
        <v>719</v>
      </c>
      <c r="C2141" t="s">
        <v>116</v>
      </c>
      <c r="F2141">
        <v>18</v>
      </c>
      <c r="G2141" s="705">
        <v>1499</v>
      </c>
      <c r="H2141" s="705">
        <v>3101</v>
      </c>
      <c r="J2141">
        <v>0</v>
      </c>
      <c r="M2141">
        <v>0</v>
      </c>
      <c r="N2141" s="705">
        <v>30589</v>
      </c>
      <c r="O2141" s="705">
        <v>11329</v>
      </c>
      <c r="P2141" s="705">
        <v>5184</v>
      </c>
      <c r="Q2141" s="705">
        <v>1920</v>
      </c>
      <c r="S2141">
        <v>0</v>
      </c>
      <c r="T2141" s="705">
        <v>3031</v>
      </c>
      <c r="U2141" s="705">
        <v>1123</v>
      </c>
      <c r="V2141" s="705">
        <v>14372</v>
      </c>
      <c r="W2141" s="705">
        <f t="shared" si="82"/>
        <v>14372</v>
      </c>
      <c r="X2141" s="705">
        <f t="shared" si="83"/>
        <v>38804</v>
      </c>
    </row>
    <row r="2142" spans="2:24">
      <c r="B2142" t="s">
        <v>719</v>
      </c>
      <c r="C2142" t="s">
        <v>116</v>
      </c>
      <c r="D2142" t="s">
        <v>664</v>
      </c>
      <c r="E2142" t="s">
        <v>664</v>
      </c>
      <c r="F2142">
        <v>6</v>
      </c>
      <c r="G2142">
        <v>547</v>
      </c>
      <c r="H2142" s="705">
        <v>1136</v>
      </c>
      <c r="I2142" s="705">
        <v>52354</v>
      </c>
      <c r="J2142" s="705">
        <v>47594</v>
      </c>
      <c r="K2142">
        <v>81</v>
      </c>
      <c r="L2142" s="705">
        <v>3761</v>
      </c>
      <c r="M2142" s="705">
        <v>2243</v>
      </c>
      <c r="N2142" s="705">
        <v>9503</v>
      </c>
      <c r="O2142" s="705">
        <v>3520</v>
      </c>
      <c r="P2142" s="705">
        <v>2714</v>
      </c>
      <c r="Q2142" s="705">
        <v>1005</v>
      </c>
      <c r="R2142" s="705">
        <v>23445</v>
      </c>
      <c r="S2142" s="705">
        <v>21314</v>
      </c>
      <c r="T2142" s="705">
        <v>10480</v>
      </c>
      <c r="U2142" s="705">
        <v>3882</v>
      </c>
      <c r="V2142" s="705">
        <v>79558</v>
      </c>
      <c r="W2142" s="705">
        <f t="shared" si="82"/>
        <v>79558</v>
      </c>
      <c r="X2142" s="705">
        <f t="shared" si="83"/>
        <v>102257</v>
      </c>
    </row>
    <row r="2143" spans="2:24">
      <c r="B2143" t="s">
        <v>719</v>
      </c>
      <c r="C2143" t="s">
        <v>116</v>
      </c>
      <c r="D2143" t="s">
        <v>582</v>
      </c>
      <c r="E2143" t="s">
        <v>582</v>
      </c>
      <c r="F2143">
        <v>69</v>
      </c>
      <c r="G2143" s="705">
        <v>5507</v>
      </c>
      <c r="H2143" s="705">
        <v>12257</v>
      </c>
      <c r="I2143" s="705">
        <v>497987</v>
      </c>
      <c r="J2143" s="705">
        <v>452715</v>
      </c>
      <c r="K2143">
        <v>81</v>
      </c>
      <c r="L2143" s="705">
        <v>57824</v>
      </c>
      <c r="M2143" s="705">
        <v>47942</v>
      </c>
      <c r="N2143" s="705">
        <v>111856</v>
      </c>
      <c r="O2143" s="705">
        <v>41428</v>
      </c>
      <c r="P2143" s="705">
        <v>30753</v>
      </c>
      <c r="Q2143" s="705">
        <v>11390</v>
      </c>
      <c r="R2143" s="705">
        <v>265436</v>
      </c>
      <c r="S2143" s="705">
        <v>241306</v>
      </c>
      <c r="T2143" s="705">
        <v>18771</v>
      </c>
      <c r="U2143" s="705">
        <v>6952</v>
      </c>
      <c r="V2143" s="705">
        <v>801734</v>
      </c>
      <c r="W2143" s="705">
        <f t="shared" si="82"/>
        <v>801733</v>
      </c>
      <c r="X2143" s="705">
        <f t="shared" si="83"/>
        <v>982627</v>
      </c>
    </row>
    <row r="2144" spans="2:24">
      <c r="B2144" t="s">
        <v>719</v>
      </c>
      <c r="C2144" t="s">
        <v>116</v>
      </c>
      <c r="D2144" t="s">
        <v>582</v>
      </c>
      <c r="E2144" t="s">
        <v>228</v>
      </c>
      <c r="F2144">
        <v>8</v>
      </c>
      <c r="G2144">
        <v>732</v>
      </c>
      <c r="H2144" s="705">
        <v>1514</v>
      </c>
      <c r="I2144" s="705">
        <v>70252</v>
      </c>
      <c r="J2144" s="705">
        <v>63866</v>
      </c>
      <c r="K2144">
        <v>81</v>
      </c>
      <c r="L2144">
        <v>0</v>
      </c>
      <c r="M2144">
        <v>0</v>
      </c>
      <c r="N2144" s="705">
        <v>17844</v>
      </c>
      <c r="O2144" s="705">
        <v>6609</v>
      </c>
      <c r="P2144" s="705">
        <v>3780</v>
      </c>
      <c r="Q2144" s="705">
        <v>1400</v>
      </c>
      <c r="R2144" s="705">
        <v>45264</v>
      </c>
      <c r="S2144" s="705">
        <v>16764</v>
      </c>
      <c r="T2144">
        <v>0</v>
      </c>
      <c r="U2144">
        <v>0</v>
      </c>
      <c r="V2144" s="705">
        <v>88639</v>
      </c>
      <c r="W2144" s="705">
        <f t="shared" si="82"/>
        <v>88639</v>
      </c>
      <c r="X2144" s="705">
        <f t="shared" si="83"/>
        <v>137140</v>
      </c>
    </row>
    <row r="2145" spans="2:24">
      <c r="B2145" t="s">
        <v>719</v>
      </c>
      <c r="C2145" t="s">
        <v>116</v>
      </c>
      <c r="D2145" t="s">
        <v>228</v>
      </c>
      <c r="E2145" t="s">
        <v>582</v>
      </c>
      <c r="F2145">
        <v>1</v>
      </c>
      <c r="G2145">
        <v>49</v>
      </c>
      <c r="H2145">
        <v>152</v>
      </c>
      <c r="I2145" s="705">
        <v>3414</v>
      </c>
      <c r="J2145" s="705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705">
        <v>3021</v>
      </c>
      <c r="S2145" s="705">
        <v>2746</v>
      </c>
      <c r="T2145">
        <v>0</v>
      </c>
      <c r="U2145">
        <v>0</v>
      </c>
      <c r="V2145" s="705">
        <v>4371</v>
      </c>
      <c r="W2145" s="705">
        <f t="shared" si="82"/>
        <v>4371</v>
      </c>
      <c r="X2145" s="705">
        <f t="shared" si="83"/>
        <v>7406</v>
      </c>
    </row>
    <row r="2146" spans="2:24">
      <c r="B2146" t="s">
        <v>719</v>
      </c>
      <c r="C2146" t="s">
        <v>116</v>
      </c>
      <c r="D2146" t="s">
        <v>228</v>
      </c>
      <c r="E2146" t="s">
        <v>228</v>
      </c>
      <c r="F2146">
        <v>330</v>
      </c>
      <c r="G2146" s="705">
        <v>23996</v>
      </c>
      <c r="H2146" s="705">
        <v>64177</v>
      </c>
      <c r="I2146" s="705">
        <v>1896683</v>
      </c>
      <c r="J2146" s="705">
        <v>702475</v>
      </c>
      <c r="K2146">
        <v>101</v>
      </c>
      <c r="L2146" s="705">
        <v>237907</v>
      </c>
      <c r="M2146" s="705">
        <v>100496</v>
      </c>
      <c r="N2146" s="705">
        <v>483727</v>
      </c>
      <c r="O2146" s="705">
        <v>179158</v>
      </c>
      <c r="P2146" s="705">
        <v>1755</v>
      </c>
      <c r="Q2146">
        <v>650</v>
      </c>
      <c r="R2146" s="705">
        <v>2064602</v>
      </c>
      <c r="S2146" s="705">
        <v>764667</v>
      </c>
      <c r="T2146" s="705">
        <v>9176</v>
      </c>
      <c r="U2146" s="705">
        <v>3399</v>
      </c>
      <c r="V2146" s="705">
        <v>1750845</v>
      </c>
      <c r="W2146" s="705">
        <f t="shared" si="82"/>
        <v>1750845</v>
      </c>
      <c r="X2146" s="705">
        <f t="shared" si="83"/>
        <v>4693850</v>
      </c>
    </row>
    <row r="2147" spans="2:24">
      <c r="B2147" t="s">
        <v>719</v>
      </c>
      <c r="C2147" t="s">
        <v>116</v>
      </c>
      <c r="D2147" t="s">
        <v>583</v>
      </c>
      <c r="E2147" t="s">
        <v>228</v>
      </c>
      <c r="F2147">
        <v>1</v>
      </c>
      <c r="G2147">
        <v>93</v>
      </c>
      <c r="H2147">
        <v>150</v>
      </c>
      <c r="I2147" s="705">
        <v>2491</v>
      </c>
      <c r="J2147" s="705">
        <v>2264</v>
      </c>
      <c r="K2147">
        <v>83</v>
      </c>
      <c r="L2147">
        <v>0</v>
      </c>
      <c r="M2147">
        <v>0</v>
      </c>
      <c r="N2147" s="705">
        <v>1331</v>
      </c>
      <c r="O2147">
        <v>493</v>
      </c>
      <c r="P2147">
        <v>621</v>
      </c>
      <c r="Q2147">
        <v>230</v>
      </c>
      <c r="R2147" s="705">
        <v>9475</v>
      </c>
      <c r="S2147" s="705">
        <v>3509</v>
      </c>
      <c r="T2147">
        <v>0</v>
      </c>
      <c r="U2147">
        <v>0</v>
      </c>
      <c r="V2147" s="705">
        <v>6496</v>
      </c>
      <c r="W2147" s="705">
        <f t="shared" si="82"/>
        <v>6496</v>
      </c>
      <c r="X2147" s="705">
        <f t="shared" si="83"/>
        <v>13918</v>
      </c>
    </row>
    <row r="2148" spans="2:24">
      <c r="B2148" t="s">
        <v>719</v>
      </c>
      <c r="C2148" t="s">
        <v>116</v>
      </c>
      <c r="D2148" t="s">
        <v>583</v>
      </c>
      <c r="E2148" t="s">
        <v>583</v>
      </c>
      <c r="F2148">
        <v>137</v>
      </c>
      <c r="G2148" s="705">
        <v>16429</v>
      </c>
      <c r="H2148" s="705">
        <v>26539</v>
      </c>
      <c r="I2148" s="705">
        <v>1722227</v>
      </c>
      <c r="J2148" s="705">
        <v>1565661</v>
      </c>
      <c r="K2148">
        <v>86</v>
      </c>
      <c r="L2148" s="705">
        <v>365621</v>
      </c>
      <c r="M2148" s="705">
        <v>317788</v>
      </c>
      <c r="N2148" s="705">
        <v>339292</v>
      </c>
      <c r="O2148" s="705">
        <v>125664</v>
      </c>
      <c r="P2148" s="705">
        <v>89222</v>
      </c>
      <c r="Q2148" s="705">
        <v>33045</v>
      </c>
      <c r="R2148" s="705">
        <v>631731</v>
      </c>
      <c r="S2148" s="705">
        <v>574301</v>
      </c>
      <c r="T2148" s="705">
        <v>198945</v>
      </c>
      <c r="U2148" s="705">
        <v>73683</v>
      </c>
      <c r="V2148" s="705">
        <v>2690142</v>
      </c>
      <c r="W2148" s="705">
        <f t="shared" si="82"/>
        <v>2690142</v>
      </c>
      <c r="X2148" s="705">
        <f t="shared" si="83"/>
        <v>3347038</v>
      </c>
    </row>
    <row r="2149" spans="2:24">
      <c r="B2149" t="s">
        <v>719</v>
      </c>
      <c r="C2149" t="s">
        <v>116</v>
      </c>
      <c r="D2149" t="s">
        <v>584</v>
      </c>
      <c r="E2149" t="s">
        <v>228</v>
      </c>
      <c r="F2149">
        <v>1</v>
      </c>
      <c r="G2149">
        <v>165</v>
      </c>
      <c r="H2149">
        <v>191</v>
      </c>
      <c r="I2149" s="705">
        <v>18754</v>
      </c>
      <c r="J2149" s="705">
        <v>17049</v>
      </c>
      <c r="K2149">
        <v>78</v>
      </c>
      <c r="L2149">
        <v>0</v>
      </c>
      <c r="M2149">
        <v>0</v>
      </c>
      <c r="N2149" s="705">
        <v>4017</v>
      </c>
      <c r="O2149" s="705">
        <v>1488</v>
      </c>
      <c r="P2149">
        <v>473</v>
      </c>
      <c r="Q2149">
        <v>175</v>
      </c>
      <c r="R2149" s="705">
        <v>8282</v>
      </c>
      <c r="S2149" s="705">
        <v>3067</v>
      </c>
      <c r="T2149">
        <v>0</v>
      </c>
      <c r="U2149">
        <v>0</v>
      </c>
      <c r="V2149" s="705">
        <v>21779</v>
      </c>
      <c r="W2149" s="705">
        <f t="shared" si="82"/>
        <v>21779</v>
      </c>
      <c r="X2149" s="705">
        <f t="shared" si="83"/>
        <v>31526</v>
      </c>
    </row>
    <row r="2150" spans="2:24">
      <c r="B2150" t="s">
        <v>719</v>
      </c>
      <c r="C2150" t="s">
        <v>116</v>
      </c>
      <c r="D2150" t="s">
        <v>584</v>
      </c>
      <c r="E2150" t="s">
        <v>584</v>
      </c>
      <c r="F2150">
        <v>25</v>
      </c>
      <c r="G2150" s="705">
        <v>2104</v>
      </c>
      <c r="H2150" s="705">
        <v>4419</v>
      </c>
      <c r="I2150" s="705">
        <v>184583</v>
      </c>
      <c r="J2150" s="705">
        <v>167803</v>
      </c>
      <c r="K2150">
        <v>78</v>
      </c>
      <c r="L2150" s="705">
        <v>18093</v>
      </c>
      <c r="M2150" s="705">
        <v>13354</v>
      </c>
      <c r="N2150" s="705">
        <v>46193</v>
      </c>
      <c r="O2150" s="705">
        <v>17108</v>
      </c>
      <c r="P2150" s="705">
        <v>11570</v>
      </c>
      <c r="Q2150" s="705">
        <v>4285</v>
      </c>
      <c r="R2150" s="705">
        <v>98540</v>
      </c>
      <c r="S2150" s="705">
        <v>89581</v>
      </c>
      <c r="T2150" s="705">
        <v>11146</v>
      </c>
      <c r="U2150" s="705">
        <v>4128</v>
      </c>
      <c r="V2150" s="705">
        <v>296260</v>
      </c>
      <c r="W2150" s="705">
        <f t="shared" si="82"/>
        <v>296259</v>
      </c>
      <c r="X2150" s="705">
        <f t="shared" si="83"/>
        <v>370125</v>
      </c>
    </row>
    <row r="2151" spans="2:24">
      <c r="B2151" t="s">
        <v>719</v>
      </c>
      <c r="C2151" t="s">
        <v>116</v>
      </c>
      <c r="D2151" t="s">
        <v>665</v>
      </c>
      <c r="E2151" t="s">
        <v>665</v>
      </c>
      <c r="F2151">
        <v>2</v>
      </c>
      <c r="G2151">
        <v>140</v>
      </c>
      <c r="H2151">
        <v>437</v>
      </c>
      <c r="I2151" s="705">
        <v>14165</v>
      </c>
      <c r="J2151" s="705">
        <v>12877</v>
      </c>
      <c r="K2151">
        <v>65</v>
      </c>
      <c r="L2151">
        <v>0</v>
      </c>
      <c r="M2151">
        <v>0</v>
      </c>
      <c r="N2151" s="705">
        <v>3200</v>
      </c>
      <c r="O2151" s="705">
        <v>1185</v>
      </c>
      <c r="P2151" s="705">
        <v>1385</v>
      </c>
      <c r="Q2151">
        <v>513</v>
      </c>
      <c r="R2151" s="705">
        <v>7757</v>
      </c>
      <c r="S2151" s="705">
        <v>7052</v>
      </c>
      <c r="T2151" s="705">
        <v>3922</v>
      </c>
      <c r="U2151" s="705">
        <v>1452</v>
      </c>
      <c r="V2151" s="705">
        <v>23080</v>
      </c>
      <c r="W2151" s="705">
        <f t="shared" si="82"/>
        <v>23079</v>
      </c>
      <c r="X2151" s="705">
        <f t="shared" si="83"/>
        <v>30429</v>
      </c>
    </row>
    <row r="2152" spans="2:24">
      <c r="B2152" t="s">
        <v>719</v>
      </c>
      <c r="C2152" t="s">
        <v>118</v>
      </c>
      <c r="F2152">
        <v>18</v>
      </c>
      <c r="G2152">
        <v>872</v>
      </c>
      <c r="H2152" s="705">
        <v>4561</v>
      </c>
      <c r="J2152">
        <v>0</v>
      </c>
      <c r="M2152">
        <v>0</v>
      </c>
      <c r="N2152" s="705">
        <v>19804</v>
      </c>
      <c r="O2152" s="705">
        <v>7335</v>
      </c>
      <c r="P2152" s="705">
        <v>1755</v>
      </c>
      <c r="Q2152">
        <v>650</v>
      </c>
      <c r="S2152">
        <v>0</v>
      </c>
      <c r="T2152" s="705">
        <v>2544</v>
      </c>
      <c r="U2152">
        <v>942</v>
      </c>
      <c r="V2152" s="705">
        <v>8927</v>
      </c>
      <c r="W2152" s="705">
        <f t="shared" si="82"/>
        <v>8927</v>
      </c>
      <c r="X2152" s="705">
        <f t="shared" si="83"/>
        <v>24103</v>
      </c>
    </row>
    <row r="2153" spans="2:24">
      <c r="B2153" t="s">
        <v>719</v>
      </c>
      <c r="C2153" t="s">
        <v>118</v>
      </c>
      <c r="D2153" t="s">
        <v>664</v>
      </c>
      <c r="E2153" t="s">
        <v>664</v>
      </c>
      <c r="F2153">
        <v>1</v>
      </c>
      <c r="G2153">
        <v>96</v>
      </c>
      <c r="H2153">
        <v>294</v>
      </c>
      <c r="I2153" s="705">
        <v>15876</v>
      </c>
      <c r="J2153" s="705">
        <v>14433</v>
      </c>
      <c r="K2153">
        <v>73</v>
      </c>
      <c r="L2153" s="705">
        <v>3005</v>
      </c>
      <c r="M2153" s="705">
        <v>1113</v>
      </c>
      <c r="N2153" s="705">
        <v>1970</v>
      </c>
      <c r="O2153">
        <v>730</v>
      </c>
      <c r="P2153">
        <v>473</v>
      </c>
      <c r="Q2153">
        <v>175</v>
      </c>
      <c r="R2153" s="705">
        <v>4285</v>
      </c>
      <c r="S2153" s="705">
        <v>3896</v>
      </c>
      <c r="T2153" s="705">
        <v>2506</v>
      </c>
      <c r="U2153">
        <v>928</v>
      </c>
      <c r="V2153" s="705">
        <v>21274</v>
      </c>
      <c r="W2153" s="705">
        <f t="shared" si="82"/>
        <v>21275</v>
      </c>
      <c r="X2153" s="705">
        <f t="shared" si="83"/>
        <v>28115</v>
      </c>
    </row>
    <row r="2154" spans="2:24">
      <c r="B2154" t="s">
        <v>719</v>
      </c>
      <c r="C2154" t="s">
        <v>118</v>
      </c>
      <c r="D2154" t="s">
        <v>664</v>
      </c>
      <c r="E2154" t="s">
        <v>228</v>
      </c>
      <c r="F2154">
        <v>1</v>
      </c>
      <c r="G2154">
        <v>101</v>
      </c>
      <c r="H2154">
        <v>264</v>
      </c>
      <c r="I2154" s="705">
        <v>15789</v>
      </c>
      <c r="J2154" s="705">
        <v>14353</v>
      </c>
      <c r="K2154">
        <v>69</v>
      </c>
      <c r="L2154" s="705">
        <v>1915</v>
      </c>
      <c r="M2154" s="705">
        <v>1741</v>
      </c>
      <c r="N2154" s="705">
        <v>2235</v>
      </c>
      <c r="O2154">
        <v>828</v>
      </c>
      <c r="P2154">
        <v>351</v>
      </c>
      <c r="Q2154">
        <v>130</v>
      </c>
      <c r="R2154" s="705">
        <v>6356</v>
      </c>
      <c r="S2154" s="705">
        <v>2354</v>
      </c>
      <c r="T2154">
        <v>0</v>
      </c>
      <c r="U2154">
        <v>0</v>
      </c>
      <c r="V2154" s="705">
        <v>19406</v>
      </c>
      <c r="W2154" s="705">
        <f t="shared" si="82"/>
        <v>19406</v>
      </c>
      <c r="X2154" s="705">
        <f t="shared" si="83"/>
        <v>26646</v>
      </c>
    </row>
    <row r="2155" spans="2:24">
      <c r="B2155" t="s">
        <v>719</v>
      </c>
      <c r="C2155" t="s">
        <v>118</v>
      </c>
      <c r="D2155" t="s">
        <v>582</v>
      </c>
      <c r="E2155" t="s">
        <v>582</v>
      </c>
      <c r="F2155">
        <v>4</v>
      </c>
      <c r="G2155">
        <v>294</v>
      </c>
      <c r="H2155" s="705">
        <v>1033</v>
      </c>
      <c r="I2155" s="705">
        <v>39499</v>
      </c>
      <c r="J2155" s="705">
        <v>35909</v>
      </c>
      <c r="K2155">
        <v>69</v>
      </c>
      <c r="L2155" s="705">
        <v>5235</v>
      </c>
      <c r="M2155" s="705">
        <v>4655</v>
      </c>
      <c r="N2155" s="705">
        <v>5189</v>
      </c>
      <c r="O2155" s="705">
        <v>1922</v>
      </c>
      <c r="P2155" s="705">
        <v>1647</v>
      </c>
      <c r="Q2155">
        <v>610</v>
      </c>
      <c r="R2155" s="705">
        <v>19669</v>
      </c>
      <c r="S2155" s="705">
        <v>17881</v>
      </c>
      <c r="T2155" s="705">
        <v>4370</v>
      </c>
      <c r="U2155" s="705">
        <v>1619</v>
      </c>
      <c r="V2155" s="705">
        <v>62595</v>
      </c>
      <c r="W2155" s="705">
        <f t="shared" ref="W2155:W2218" si="84">SUM(ABS(J2155),ABS(M2155),ABS(O2155),ABS(Q2155),ABS(S2155),ABS(U2155))</f>
        <v>62596</v>
      </c>
      <c r="X2155" s="705">
        <f t="shared" ref="X2155:X2218" si="85">SUM(ABS(I2155),ABS(N2155),ABS(P2155),ABS(R2155),ABS(T2155),ABS(L2155))</f>
        <v>75609</v>
      </c>
    </row>
    <row r="2156" spans="2:24">
      <c r="B2156" t="s">
        <v>719</v>
      </c>
      <c r="C2156" t="s">
        <v>118</v>
      </c>
      <c r="D2156" t="s">
        <v>228</v>
      </c>
      <c r="E2156" t="s">
        <v>228</v>
      </c>
      <c r="F2156">
        <v>519</v>
      </c>
      <c r="G2156" s="705">
        <v>35145</v>
      </c>
      <c r="H2156" s="705">
        <v>136716</v>
      </c>
      <c r="I2156" s="705">
        <v>4714047</v>
      </c>
      <c r="J2156" s="705">
        <v>1745943</v>
      </c>
      <c r="K2156">
        <v>100</v>
      </c>
      <c r="L2156" s="705">
        <v>534702</v>
      </c>
      <c r="M2156" s="705">
        <v>243396</v>
      </c>
      <c r="N2156" s="705">
        <v>740988</v>
      </c>
      <c r="O2156" s="705">
        <v>274440</v>
      </c>
      <c r="P2156" s="705">
        <v>4111</v>
      </c>
      <c r="Q2156" s="705">
        <v>1523</v>
      </c>
      <c r="R2156" s="705">
        <v>3302672</v>
      </c>
      <c r="S2156" s="705">
        <v>1223212</v>
      </c>
      <c r="T2156" s="705">
        <v>3958</v>
      </c>
      <c r="U2156" s="705">
        <v>1466</v>
      </c>
      <c r="V2156" s="705">
        <v>3489979</v>
      </c>
      <c r="W2156" s="705">
        <f t="shared" si="84"/>
        <v>3489980</v>
      </c>
      <c r="X2156" s="705">
        <f t="shared" si="85"/>
        <v>9300478</v>
      </c>
    </row>
    <row r="2157" spans="2:24">
      <c r="B2157" t="s">
        <v>719</v>
      </c>
      <c r="C2157" t="s">
        <v>118</v>
      </c>
      <c r="D2157" t="s">
        <v>228</v>
      </c>
      <c r="E2157" t="s">
        <v>665</v>
      </c>
      <c r="F2157">
        <v>1</v>
      </c>
      <c r="G2157">
        <v>60</v>
      </c>
      <c r="H2157">
        <v>293</v>
      </c>
      <c r="I2157" s="705">
        <v>10691</v>
      </c>
      <c r="J2157" s="705">
        <v>3960</v>
      </c>
      <c r="K2157">
        <v>100</v>
      </c>
      <c r="L2157" s="705">
        <v>2673</v>
      </c>
      <c r="M2157">
        <v>990</v>
      </c>
      <c r="N2157" s="705">
        <v>1132</v>
      </c>
      <c r="O2157">
        <v>419</v>
      </c>
      <c r="P2157">
        <v>0</v>
      </c>
      <c r="Q2157">
        <v>0</v>
      </c>
      <c r="R2157" s="705">
        <v>2941</v>
      </c>
      <c r="S2157" s="705">
        <v>2674</v>
      </c>
      <c r="T2157">
        <v>0</v>
      </c>
      <c r="U2157">
        <v>0</v>
      </c>
      <c r="V2157" s="705">
        <v>8043</v>
      </c>
      <c r="W2157" s="705">
        <f t="shared" si="84"/>
        <v>8043</v>
      </c>
      <c r="X2157" s="705">
        <f t="shared" si="85"/>
        <v>17437</v>
      </c>
    </row>
    <row r="2158" spans="2:24">
      <c r="B2158" t="s">
        <v>719</v>
      </c>
      <c r="C2158" t="s">
        <v>118</v>
      </c>
      <c r="D2158" t="s">
        <v>583</v>
      </c>
      <c r="E2158" t="s">
        <v>583</v>
      </c>
      <c r="F2158">
        <v>84</v>
      </c>
      <c r="G2158" s="705">
        <v>8957</v>
      </c>
      <c r="H2158" s="705">
        <v>21375</v>
      </c>
      <c r="I2158" s="705">
        <v>1305040</v>
      </c>
      <c r="J2158" s="705">
        <v>1186400</v>
      </c>
      <c r="K2158">
        <v>82</v>
      </c>
      <c r="L2158" s="705">
        <v>265083</v>
      </c>
      <c r="M2158" s="705">
        <v>228699</v>
      </c>
      <c r="N2158" s="705">
        <v>176819</v>
      </c>
      <c r="O2158" s="705">
        <v>65488</v>
      </c>
      <c r="P2158" s="705">
        <v>54009</v>
      </c>
      <c r="Q2158" s="705">
        <v>20003</v>
      </c>
      <c r="R2158" s="705">
        <v>365197</v>
      </c>
      <c r="S2158" s="705">
        <v>331998</v>
      </c>
      <c r="T2158" s="705">
        <v>161678</v>
      </c>
      <c r="U2158" s="705">
        <v>59881</v>
      </c>
      <c r="V2158" s="705">
        <v>1892468</v>
      </c>
      <c r="W2158" s="705">
        <f t="shared" si="84"/>
        <v>1892469</v>
      </c>
      <c r="X2158" s="705">
        <f t="shared" si="85"/>
        <v>2327826</v>
      </c>
    </row>
    <row r="2159" spans="2:24">
      <c r="B2159" t="s">
        <v>719</v>
      </c>
      <c r="C2159" t="s">
        <v>118</v>
      </c>
      <c r="D2159" t="s">
        <v>584</v>
      </c>
      <c r="E2159" t="s">
        <v>584</v>
      </c>
      <c r="F2159">
        <v>9</v>
      </c>
      <c r="G2159">
        <v>573</v>
      </c>
      <c r="H2159" s="705">
        <v>2220</v>
      </c>
      <c r="I2159" s="705">
        <v>71764</v>
      </c>
      <c r="J2159" s="705">
        <v>65240</v>
      </c>
      <c r="K2159">
        <v>79</v>
      </c>
      <c r="L2159" s="705">
        <v>10580</v>
      </c>
      <c r="M2159" s="705">
        <v>8642</v>
      </c>
      <c r="N2159" s="705">
        <v>10816</v>
      </c>
      <c r="O2159" s="705">
        <v>4006</v>
      </c>
      <c r="P2159" s="705">
        <v>4010</v>
      </c>
      <c r="Q2159" s="705">
        <v>1485</v>
      </c>
      <c r="R2159" s="705">
        <v>39226</v>
      </c>
      <c r="S2159" s="705">
        <v>35660</v>
      </c>
      <c r="T2159" s="705">
        <v>4829</v>
      </c>
      <c r="U2159" s="705">
        <v>1788</v>
      </c>
      <c r="V2159" s="705">
        <v>116821</v>
      </c>
      <c r="W2159" s="705">
        <f t="shared" si="84"/>
        <v>116821</v>
      </c>
      <c r="X2159" s="705">
        <f t="shared" si="85"/>
        <v>141225</v>
      </c>
    </row>
    <row r="2160" spans="2:24">
      <c r="B2160" t="s">
        <v>719</v>
      </c>
      <c r="C2160" t="s">
        <v>118</v>
      </c>
      <c r="D2160" t="s">
        <v>669</v>
      </c>
      <c r="E2160" t="s">
        <v>669</v>
      </c>
      <c r="F2160">
        <v>9</v>
      </c>
      <c r="G2160">
        <v>587</v>
      </c>
      <c r="H2160" s="705">
        <v>2650</v>
      </c>
      <c r="I2160" s="705">
        <v>86907</v>
      </c>
      <c r="J2160" s="705">
        <v>72422</v>
      </c>
      <c r="K2160">
        <v>55</v>
      </c>
      <c r="L2160" s="705">
        <v>2475</v>
      </c>
      <c r="M2160">
        <v>917</v>
      </c>
      <c r="N2160" s="705">
        <v>10811</v>
      </c>
      <c r="O2160" s="705">
        <v>4004</v>
      </c>
      <c r="P2160" s="705">
        <v>3159</v>
      </c>
      <c r="Q2160" s="705">
        <v>1170</v>
      </c>
      <c r="R2160" s="705">
        <v>49282</v>
      </c>
      <c r="S2160" s="705">
        <v>41068</v>
      </c>
      <c r="T2160" s="705">
        <v>20255</v>
      </c>
      <c r="U2160" s="705">
        <v>7502</v>
      </c>
      <c r="V2160" s="705">
        <v>127083</v>
      </c>
      <c r="W2160" s="705">
        <f t="shared" si="84"/>
        <v>127083</v>
      </c>
      <c r="X2160" s="705">
        <f t="shared" si="85"/>
        <v>172889</v>
      </c>
    </row>
    <row r="2161" spans="2:24">
      <c r="B2161" t="s">
        <v>719</v>
      </c>
      <c r="C2161" t="s">
        <v>118</v>
      </c>
      <c r="D2161" t="s">
        <v>665</v>
      </c>
      <c r="E2161" t="s">
        <v>665</v>
      </c>
      <c r="F2161">
        <v>8</v>
      </c>
      <c r="G2161">
        <v>581</v>
      </c>
      <c r="H2161" s="705">
        <v>2109</v>
      </c>
      <c r="I2161" s="705">
        <v>83825</v>
      </c>
      <c r="J2161" s="705">
        <v>76205</v>
      </c>
      <c r="K2161">
        <v>62</v>
      </c>
      <c r="L2161" s="705">
        <v>5151</v>
      </c>
      <c r="M2161" s="705">
        <v>4682</v>
      </c>
      <c r="N2161" s="705">
        <v>11791</v>
      </c>
      <c r="O2161" s="705">
        <v>4367</v>
      </c>
      <c r="P2161" s="705">
        <v>3078</v>
      </c>
      <c r="Q2161" s="705">
        <v>1140</v>
      </c>
      <c r="R2161" s="705">
        <v>35643</v>
      </c>
      <c r="S2161" s="705">
        <v>32403</v>
      </c>
      <c r="T2161" s="705">
        <v>13261</v>
      </c>
      <c r="U2161" s="705">
        <v>4911</v>
      </c>
      <c r="V2161" s="705">
        <v>123708</v>
      </c>
      <c r="W2161" s="705">
        <f t="shared" si="84"/>
        <v>123708</v>
      </c>
      <c r="X2161" s="705">
        <f t="shared" si="85"/>
        <v>152749</v>
      </c>
    </row>
    <row r="2162" spans="2:24">
      <c r="B2162" t="s">
        <v>719</v>
      </c>
      <c r="C2162" t="s">
        <v>120</v>
      </c>
      <c r="F2162">
        <v>23</v>
      </c>
      <c r="G2162">
        <v>706</v>
      </c>
      <c r="H2162" s="705">
        <v>7469</v>
      </c>
      <c r="J2162">
        <v>0</v>
      </c>
      <c r="M2162">
        <v>0</v>
      </c>
      <c r="N2162" s="705">
        <v>16994</v>
      </c>
      <c r="O2162" s="705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705">
        <v>6524</v>
      </c>
      <c r="W2162" s="705">
        <f t="shared" si="84"/>
        <v>6524</v>
      </c>
      <c r="X2162" s="705">
        <f t="shared" si="85"/>
        <v>17615</v>
      </c>
    </row>
    <row r="2163" spans="2:24">
      <c r="B2163" t="s">
        <v>719</v>
      </c>
      <c r="C2163" t="s">
        <v>120</v>
      </c>
      <c r="D2163" t="s">
        <v>674</v>
      </c>
      <c r="E2163" t="s">
        <v>228</v>
      </c>
      <c r="F2163">
        <v>2</v>
      </c>
      <c r="G2163">
        <v>106</v>
      </c>
      <c r="H2163">
        <v>714</v>
      </c>
      <c r="I2163" s="705">
        <v>19940</v>
      </c>
      <c r="J2163" s="705">
        <v>18127</v>
      </c>
      <c r="K2163">
        <v>77</v>
      </c>
      <c r="L2163" s="705">
        <v>4187</v>
      </c>
      <c r="M2163" s="705">
        <v>1551</v>
      </c>
      <c r="N2163" s="705">
        <v>1958</v>
      </c>
      <c r="O2163">
        <v>725</v>
      </c>
      <c r="P2163">
        <v>0</v>
      </c>
      <c r="Q2163">
        <v>0</v>
      </c>
      <c r="R2163" s="705">
        <v>11663</v>
      </c>
      <c r="S2163" s="705">
        <v>4320</v>
      </c>
      <c r="T2163">
        <v>0</v>
      </c>
      <c r="U2163">
        <v>0</v>
      </c>
      <c r="V2163" s="705">
        <v>24723</v>
      </c>
      <c r="W2163" s="705">
        <f t="shared" si="84"/>
        <v>24723</v>
      </c>
      <c r="X2163" s="705">
        <f t="shared" si="85"/>
        <v>37748</v>
      </c>
    </row>
    <row r="2164" spans="2:24">
      <c r="B2164" t="s">
        <v>719</v>
      </c>
      <c r="C2164" t="s">
        <v>120</v>
      </c>
      <c r="D2164" t="s">
        <v>664</v>
      </c>
      <c r="E2164" t="s">
        <v>664</v>
      </c>
      <c r="F2164">
        <v>1</v>
      </c>
      <c r="G2164">
        <v>86</v>
      </c>
      <c r="H2164">
        <v>331</v>
      </c>
      <c r="I2164" s="705">
        <v>20123</v>
      </c>
      <c r="J2164" s="705">
        <v>18293</v>
      </c>
      <c r="K2164">
        <v>73</v>
      </c>
      <c r="L2164" s="705">
        <v>2821</v>
      </c>
      <c r="M2164" s="705">
        <v>2351</v>
      </c>
      <c r="N2164" s="705">
        <v>1991</v>
      </c>
      <c r="O2164">
        <v>737</v>
      </c>
      <c r="P2164">
        <v>473</v>
      </c>
      <c r="Q2164">
        <v>175</v>
      </c>
      <c r="R2164" s="705">
        <v>3216</v>
      </c>
      <c r="S2164" s="705">
        <v>2923</v>
      </c>
      <c r="T2164">
        <v>0</v>
      </c>
      <c r="U2164">
        <v>0</v>
      </c>
      <c r="V2164" s="705">
        <v>24480</v>
      </c>
      <c r="W2164" s="705">
        <f t="shared" si="84"/>
        <v>24479</v>
      </c>
      <c r="X2164" s="705">
        <f t="shared" si="85"/>
        <v>28624</v>
      </c>
    </row>
    <row r="2165" spans="2:24">
      <c r="B2165" t="s">
        <v>719</v>
      </c>
      <c r="C2165" t="s">
        <v>120</v>
      </c>
      <c r="D2165" t="s">
        <v>582</v>
      </c>
      <c r="E2165" t="s">
        <v>582</v>
      </c>
      <c r="F2165">
        <v>2</v>
      </c>
      <c r="G2165">
        <v>144</v>
      </c>
      <c r="H2165">
        <v>626</v>
      </c>
      <c r="I2165" s="705">
        <v>22881</v>
      </c>
      <c r="J2165" s="705">
        <v>20801</v>
      </c>
      <c r="K2165">
        <v>73</v>
      </c>
      <c r="L2165" s="705">
        <v>6141</v>
      </c>
      <c r="M2165" s="705">
        <v>5373</v>
      </c>
      <c r="N2165" s="705">
        <v>2328</v>
      </c>
      <c r="O2165">
        <v>862</v>
      </c>
      <c r="P2165">
        <v>945</v>
      </c>
      <c r="Q2165">
        <v>350</v>
      </c>
      <c r="R2165" s="705">
        <v>7877</v>
      </c>
      <c r="S2165" s="705">
        <v>7161</v>
      </c>
      <c r="T2165" s="705">
        <v>4734</v>
      </c>
      <c r="U2165" s="705">
        <v>1753</v>
      </c>
      <c r="V2165" s="705">
        <v>36301</v>
      </c>
      <c r="W2165" s="705">
        <f t="shared" si="84"/>
        <v>36300</v>
      </c>
      <c r="X2165" s="705">
        <f t="shared" si="85"/>
        <v>44906</v>
      </c>
    </row>
    <row r="2166" spans="2:24">
      <c r="B2166" t="s">
        <v>719</v>
      </c>
      <c r="C2166" t="s">
        <v>120</v>
      </c>
      <c r="D2166" t="s">
        <v>228</v>
      </c>
      <c r="E2166" t="s">
        <v>228</v>
      </c>
      <c r="F2166">
        <v>336</v>
      </c>
      <c r="G2166" s="705">
        <v>21333</v>
      </c>
      <c r="H2166" s="705">
        <v>112981</v>
      </c>
      <c r="I2166" s="705">
        <v>4201688</v>
      </c>
      <c r="J2166" s="705">
        <v>1556181</v>
      </c>
      <c r="K2166">
        <v>100</v>
      </c>
      <c r="L2166" s="705">
        <v>399576</v>
      </c>
      <c r="M2166" s="705">
        <v>208012</v>
      </c>
      <c r="N2166" s="705">
        <v>448090</v>
      </c>
      <c r="O2166" s="705">
        <v>165959</v>
      </c>
      <c r="P2166" s="705">
        <v>2727</v>
      </c>
      <c r="Q2166" s="705">
        <v>1010</v>
      </c>
      <c r="R2166" s="705">
        <v>2125953</v>
      </c>
      <c r="S2166" s="705">
        <v>787390</v>
      </c>
      <c r="T2166" s="705">
        <v>2019</v>
      </c>
      <c r="U2166">
        <v>748</v>
      </c>
      <c r="V2166" s="705">
        <v>2719300</v>
      </c>
      <c r="W2166" s="705">
        <f t="shared" si="84"/>
        <v>2719300</v>
      </c>
      <c r="X2166" s="705">
        <f t="shared" si="85"/>
        <v>7180053</v>
      </c>
    </row>
    <row r="2167" spans="2:24">
      <c r="B2167" t="s">
        <v>719</v>
      </c>
      <c r="C2167" t="s">
        <v>120</v>
      </c>
      <c r="D2167" t="s">
        <v>583</v>
      </c>
      <c r="E2167" t="s">
        <v>228</v>
      </c>
      <c r="F2167">
        <v>3</v>
      </c>
      <c r="G2167">
        <v>199</v>
      </c>
      <c r="H2167">
        <v>991</v>
      </c>
      <c r="I2167" s="705">
        <v>37264</v>
      </c>
      <c r="J2167" s="705">
        <v>33876</v>
      </c>
      <c r="K2167">
        <v>83</v>
      </c>
      <c r="L2167" s="705">
        <v>10843</v>
      </c>
      <c r="M2167" s="705">
        <v>11616</v>
      </c>
      <c r="N2167" s="705">
        <v>4366</v>
      </c>
      <c r="O2167" s="705">
        <v>1617</v>
      </c>
      <c r="P2167" s="705">
        <v>1863</v>
      </c>
      <c r="Q2167">
        <v>690</v>
      </c>
      <c r="R2167" s="705">
        <v>11883</v>
      </c>
      <c r="S2167" s="705">
        <v>4401</v>
      </c>
      <c r="T2167">
        <v>0</v>
      </c>
      <c r="U2167">
        <v>0</v>
      </c>
      <c r="V2167" s="705">
        <v>52200</v>
      </c>
      <c r="W2167" s="705">
        <f t="shared" si="84"/>
        <v>52200</v>
      </c>
      <c r="X2167" s="705">
        <f t="shared" si="85"/>
        <v>66219</v>
      </c>
    </row>
    <row r="2168" spans="2:24">
      <c r="B2168" t="s">
        <v>719</v>
      </c>
      <c r="C2168" t="s">
        <v>120</v>
      </c>
      <c r="D2168" t="s">
        <v>583</v>
      </c>
      <c r="E2168" t="s">
        <v>583</v>
      </c>
      <c r="F2168">
        <v>32</v>
      </c>
      <c r="G2168" s="705">
        <v>3062</v>
      </c>
      <c r="H2168" s="705">
        <v>10875</v>
      </c>
      <c r="I2168" s="705">
        <v>644053</v>
      </c>
      <c r="J2168" s="705">
        <v>585503</v>
      </c>
      <c r="K2168">
        <v>79</v>
      </c>
      <c r="L2168" s="705">
        <v>119733</v>
      </c>
      <c r="M2168" s="705">
        <v>102288</v>
      </c>
      <c r="N2168" s="705">
        <v>62870</v>
      </c>
      <c r="O2168" s="705">
        <v>23285</v>
      </c>
      <c r="P2168" s="705">
        <v>20345</v>
      </c>
      <c r="Q2168" s="705">
        <v>7535</v>
      </c>
      <c r="R2168" s="705">
        <v>144451</v>
      </c>
      <c r="S2168" s="705">
        <v>131319</v>
      </c>
      <c r="T2168" s="705">
        <v>51376</v>
      </c>
      <c r="U2168" s="705">
        <v>19028</v>
      </c>
      <c r="V2168" s="705">
        <v>868957</v>
      </c>
      <c r="W2168" s="705">
        <f t="shared" si="84"/>
        <v>868958</v>
      </c>
      <c r="X2168" s="705">
        <f t="shared" si="85"/>
        <v>1042828</v>
      </c>
    </row>
    <row r="2169" spans="2:24">
      <c r="B2169" t="s">
        <v>719</v>
      </c>
      <c r="C2169" t="s">
        <v>120</v>
      </c>
      <c r="D2169" t="s">
        <v>666</v>
      </c>
      <c r="E2169" t="s">
        <v>666</v>
      </c>
      <c r="F2169">
        <v>4</v>
      </c>
      <c r="G2169">
        <v>191</v>
      </c>
      <c r="H2169" s="705">
        <v>1349</v>
      </c>
      <c r="I2169" s="705">
        <v>27738</v>
      </c>
      <c r="J2169" s="705">
        <v>25217</v>
      </c>
      <c r="K2169">
        <v>55</v>
      </c>
      <c r="L2169">
        <v>0</v>
      </c>
      <c r="M2169">
        <v>0</v>
      </c>
      <c r="N2169" s="705">
        <v>4464</v>
      </c>
      <c r="O2169" s="705">
        <v>1653</v>
      </c>
      <c r="P2169" s="705">
        <v>1404</v>
      </c>
      <c r="Q2169">
        <v>520</v>
      </c>
      <c r="R2169" s="705">
        <v>21141</v>
      </c>
      <c r="S2169" s="705">
        <v>19219</v>
      </c>
      <c r="T2169" s="705">
        <v>9709</v>
      </c>
      <c r="U2169" s="705">
        <v>3596</v>
      </c>
      <c r="V2169" s="705">
        <v>50205</v>
      </c>
      <c r="W2169" s="705">
        <f t="shared" si="84"/>
        <v>50205</v>
      </c>
      <c r="X2169" s="705">
        <f t="shared" si="85"/>
        <v>64456</v>
      </c>
    </row>
    <row r="2170" spans="2:24">
      <c r="B2170" t="s">
        <v>719</v>
      </c>
      <c r="C2170" t="s">
        <v>120</v>
      </c>
      <c r="D2170" t="s">
        <v>669</v>
      </c>
      <c r="E2170" t="s">
        <v>669</v>
      </c>
      <c r="F2170">
        <v>11</v>
      </c>
      <c r="G2170">
        <v>673</v>
      </c>
      <c r="H2170" s="705">
        <v>3609</v>
      </c>
      <c r="I2170" s="705">
        <v>118709</v>
      </c>
      <c r="J2170" s="705">
        <v>98924</v>
      </c>
      <c r="K2170">
        <v>55</v>
      </c>
      <c r="L2170" s="705">
        <v>17518</v>
      </c>
      <c r="M2170" s="705">
        <v>10441</v>
      </c>
      <c r="N2170" s="705">
        <v>13062</v>
      </c>
      <c r="O2170" s="705">
        <v>4838</v>
      </c>
      <c r="P2170" s="705">
        <v>3861</v>
      </c>
      <c r="Q2170" s="705">
        <v>1430</v>
      </c>
      <c r="R2170" s="705">
        <v>47510</v>
      </c>
      <c r="S2170" s="705">
        <v>39592</v>
      </c>
      <c r="T2170" s="705">
        <v>20262</v>
      </c>
      <c r="U2170" s="705">
        <v>7504</v>
      </c>
      <c r="V2170" s="705">
        <v>162729</v>
      </c>
      <c r="W2170" s="705">
        <f t="shared" si="84"/>
        <v>162729</v>
      </c>
      <c r="X2170" s="705">
        <f t="shared" si="85"/>
        <v>220922</v>
      </c>
    </row>
    <row r="2171" spans="2:24">
      <c r="B2171" t="s">
        <v>719</v>
      </c>
      <c r="C2171" t="s">
        <v>120</v>
      </c>
      <c r="D2171" t="s">
        <v>665</v>
      </c>
      <c r="E2171" t="s">
        <v>228</v>
      </c>
      <c r="F2171">
        <v>1</v>
      </c>
      <c r="G2171">
        <v>53</v>
      </c>
      <c r="H2171">
        <v>324</v>
      </c>
      <c r="I2171" s="705">
        <v>9039</v>
      </c>
      <c r="J2171" s="705">
        <v>8218</v>
      </c>
      <c r="K2171">
        <v>60</v>
      </c>
      <c r="L2171" s="705">
        <v>1479</v>
      </c>
      <c r="M2171">
        <v>548</v>
      </c>
      <c r="N2171" s="705">
        <v>1124</v>
      </c>
      <c r="O2171">
        <v>416</v>
      </c>
      <c r="P2171">
        <v>0</v>
      </c>
      <c r="Q2171">
        <v>0</v>
      </c>
      <c r="R2171" s="705">
        <v>5411</v>
      </c>
      <c r="S2171" s="705">
        <v>2004</v>
      </c>
      <c r="T2171">
        <v>0</v>
      </c>
      <c r="U2171">
        <v>0</v>
      </c>
      <c r="V2171" s="705">
        <v>11186</v>
      </c>
      <c r="W2171" s="705">
        <f t="shared" si="84"/>
        <v>11186</v>
      </c>
      <c r="X2171" s="705">
        <f t="shared" si="85"/>
        <v>17053</v>
      </c>
    </row>
    <row r="2172" spans="2:24">
      <c r="B2172" t="s">
        <v>719</v>
      </c>
      <c r="C2172" t="s">
        <v>120</v>
      </c>
      <c r="D2172" t="s">
        <v>665</v>
      </c>
      <c r="E2172" t="s">
        <v>665</v>
      </c>
      <c r="F2172">
        <v>20</v>
      </c>
      <c r="G2172" s="705">
        <v>1458</v>
      </c>
      <c r="H2172" s="705">
        <v>6493</v>
      </c>
      <c r="I2172" s="705">
        <v>241851</v>
      </c>
      <c r="J2172" s="705">
        <v>219864</v>
      </c>
      <c r="K2172">
        <v>54</v>
      </c>
      <c r="L2172" s="705">
        <v>35784</v>
      </c>
      <c r="M2172" s="705">
        <v>16530</v>
      </c>
      <c r="N2172" s="705">
        <v>26668</v>
      </c>
      <c r="O2172" s="705">
        <v>9877</v>
      </c>
      <c r="P2172" s="705">
        <v>7290</v>
      </c>
      <c r="Q2172" s="705">
        <v>2700</v>
      </c>
      <c r="R2172" s="705">
        <v>113585</v>
      </c>
      <c r="S2172" s="705">
        <v>103259</v>
      </c>
      <c r="T2172" s="705">
        <v>52130</v>
      </c>
      <c r="U2172" s="705">
        <v>19308</v>
      </c>
      <c r="V2172" s="705">
        <v>371539</v>
      </c>
      <c r="W2172" s="705">
        <f t="shared" si="84"/>
        <v>371538</v>
      </c>
      <c r="X2172" s="705">
        <f t="shared" si="85"/>
        <v>477308</v>
      </c>
    </row>
    <row r="2173" spans="2:24">
      <c r="B2173" t="s">
        <v>719</v>
      </c>
      <c r="C2173" t="s">
        <v>122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705">
        <v>1903</v>
      </c>
      <c r="U2173">
        <v>705</v>
      </c>
      <c r="V2173" s="705">
        <v>1073</v>
      </c>
      <c r="W2173" s="705">
        <f t="shared" si="84"/>
        <v>1073</v>
      </c>
      <c r="X2173" s="705">
        <f t="shared" si="85"/>
        <v>2896</v>
      </c>
    </row>
    <row r="2174" spans="2:24">
      <c r="B2174" t="s">
        <v>719</v>
      </c>
      <c r="C2174" t="s">
        <v>122</v>
      </c>
      <c r="D2174" t="s">
        <v>582</v>
      </c>
      <c r="E2174" t="s">
        <v>582</v>
      </c>
      <c r="F2174">
        <v>1</v>
      </c>
      <c r="G2174">
        <v>70</v>
      </c>
      <c r="H2174">
        <v>381</v>
      </c>
      <c r="I2174" s="705">
        <v>17509</v>
      </c>
      <c r="J2174" s="705">
        <v>15917</v>
      </c>
      <c r="K2174">
        <v>73</v>
      </c>
      <c r="L2174" s="705">
        <v>2328</v>
      </c>
      <c r="M2174" s="705">
        <v>2116</v>
      </c>
      <c r="N2174" s="705">
        <v>1280</v>
      </c>
      <c r="O2174">
        <v>474</v>
      </c>
      <c r="P2174">
        <v>473</v>
      </c>
      <c r="Q2174">
        <v>175</v>
      </c>
      <c r="R2174" s="705">
        <v>3069</v>
      </c>
      <c r="S2174" s="705">
        <v>2790</v>
      </c>
      <c r="T2174" s="705">
        <v>2030</v>
      </c>
      <c r="U2174">
        <v>752</v>
      </c>
      <c r="V2174" s="705">
        <v>22224</v>
      </c>
      <c r="W2174" s="705">
        <f t="shared" si="84"/>
        <v>22224</v>
      </c>
      <c r="X2174" s="705">
        <f t="shared" si="85"/>
        <v>26689</v>
      </c>
    </row>
    <row r="2175" spans="2:24">
      <c r="B2175" t="s">
        <v>719</v>
      </c>
      <c r="C2175" t="s">
        <v>122</v>
      </c>
      <c r="D2175" t="s">
        <v>228</v>
      </c>
      <c r="E2175" t="s">
        <v>228</v>
      </c>
      <c r="F2175">
        <v>95</v>
      </c>
      <c r="G2175" s="705">
        <v>5915</v>
      </c>
      <c r="H2175" s="705">
        <v>38661</v>
      </c>
      <c r="I2175" s="705">
        <v>1506937</v>
      </c>
      <c r="J2175" s="705">
        <v>558125</v>
      </c>
      <c r="K2175">
        <v>100</v>
      </c>
      <c r="L2175" s="705">
        <v>161601</v>
      </c>
      <c r="M2175" s="705">
        <v>90637</v>
      </c>
      <c r="N2175" s="705">
        <v>122617</v>
      </c>
      <c r="O2175" s="705">
        <v>45414</v>
      </c>
      <c r="P2175" s="705">
        <v>1755</v>
      </c>
      <c r="Q2175">
        <v>650</v>
      </c>
      <c r="R2175" s="705">
        <v>600966</v>
      </c>
      <c r="S2175" s="705">
        <v>222580</v>
      </c>
      <c r="T2175" s="705">
        <v>1968</v>
      </c>
      <c r="U2175">
        <v>729</v>
      </c>
      <c r="V2175" s="705">
        <v>918134</v>
      </c>
      <c r="W2175" s="705">
        <f t="shared" si="84"/>
        <v>918135</v>
      </c>
      <c r="X2175" s="705">
        <f t="shared" si="85"/>
        <v>2395844</v>
      </c>
    </row>
    <row r="2176" spans="2:24">
      <c r="B2176" t="s">
        <v>719</v>
      </c>
      <c r="C2176" t="s">
        <v>122</v>
      </c>
      <c r="D2176" t="s">
        <v>583</v>
      </c>
      <c r="E2176" t="s">
        <v>583</v>
      </c>
      <c r="F2176">
        <v>13</v>
      </c>
      <c r="G2176" s="705">
        <v>1290</v>
      </c>
      <c r="H2176" s="705">
        <v>5410</v>
      </c>
      <c r="I2176" s="705">
        <v>358418</v>
      </c>
      <c r="J2176" s="705">
        <v>325834</v>
      </c>
      <c r="K2176">
        <v>77</v>
      </c>
      <c r="L2176" s="705">
        <v>54016</v>
      </c>
      <c r="M2176" s="705">
        <v>49106</v>
      </c>
      <c r="N2176" s="705">
        <v>26201</v>
      </c>
      <c r="O2176" s="705">
        <v>9704</v>
      </c>
      <c r="P2176" s="705">
        <v>8073</v>
      </c>
      <c r="Q2176" s="705">
        <v>2990</v>
      </c>
      <c r="R2176" s="705">
        <v>64475</v>
      </c>
      <c r="S2176" s="705">
        <v>58614</v>
      </c>
      <c r="T2176" s="705">
        <v>23397</v>
      </c>
      <c r="U2176" s="705">
        <v>8666</v>
      </c>
      <c r="V2176" s="705">
        <v>454913</v>
      </c>
      <c r="W2176" s="705">
        <f t="shared" si="84"/>
        <v>454914</v>
      </c>
      <c r="X2176" s="705">
        <f t="shared" si="85"/>
        <v>534580</v>
      </c>
    </row>
    <row r="2177" spans="2:24">
      <c r="B2177" t="s">
        <v>719</v>
      </c>
      <c r="C2177" t="s">
        <v>122</v>
      </c>
      <c r="D2177" t="s">
        <v>666</v>
      </c>
      <c r="E2177" t="s">
        <v>666</v>
      </c>
      <c r="F2177">
        <v>5</v>
      </c>
      <c r="G2177">
        <v>204</v>
      </c>
      <c r="H2177" s="705">
        <v>2095</v>
      </c>
      <c r="I2177" s="705">
        <v>46124</v>
      </c>
      <c r="J2177" s="705">
        <v>41931</v>
      </c>
      <c r="K2177">
        <v>55</v>
      </c>
      <c r="L2177">
        <v>0</v>
      </c>
      <c r="M2177">
        <v>0</v>
      </c>
      <c r="N2177" s="705">
        <v>2997</v>
      </c>
      <c r="O2177" s="705">
        <v>1110</v>
      </c>
      <c r="P2177" s="705">
        <v>1755</v>
      </c>
      <c r="Q2177">
        <v>650</v>
      </c>
      <c r="R2177" s="705">
        <v>22510</v>
      </c>
      <c r="S2177" s="705">
        <v>20464</v>
      </c>
      <c r="T2177" s="705">
        <v>11706</v>
      </c>
      <c r="U2177" s="705">
        <v>4336</v>
      </c>
      <c r="V2177" s="705">
        <v>68491</v>
      </c>
      <c r="W2177" s="705">
        <f t="shared" si="84"/>
        <v>68491</v>
      </c>
      <c r="X2177" s="705">
        <f t="shared" si="85"/>
        <v>85092</v>
      </c>
    </row>
    <row r="2178" spans="2:24">
      <c r="B2178" t="s">
        <v>719</v>
      </c>
      <c r="C2178" t="s">
        <v>122</v>
      </c>
      <c r="D2178" t="s">
        <v>584</v>
      </c>
      <c r="E2178" t="s">
        <v>228</v>
      </c>
      <c r="F2178">
        <v>1</v>
      </c>
      <c r="G2178">
        <v>146</v>
      </c>
      <c r="H2178">
        <v>384</v>
      </c>
      <c r="I2178" s="705">
        <v>35045</v>
      </c>
      <c r="J2178" s="705">
        <v>31859</v>
      </c>
      <c r="K2178">
        <v>73</v>
      </c>
      <c r="L2178" s="705">
        <v>9008</v>
      </c>
      <c r="M2178" s="705">
        <v>8189</v>
      </c>
      <c r="N2178" s="705">
        <v>3564</v>
      </c>
      <c r="O2178" s="705">
        <v>1320</v>
      </c>
      <c r="P2178">
        <v>473</v>
      </c>
      <c r="Q2178">
        <v>175</v>
      </c>
      <c r="R2178" s="705">
        <v>8079</v>
      </c>
      <c r="S2178" s="705">
        <v>2992</v>
      </c>
      <c r="T2178">
        <v>0</v>
      </c>
      <c r="U2178">
        <v>0</v>
      </c>
      <c r="V2178" s="705">
        <v>44535</v>
      </c>
      <c r="W2178" s="705">
        <f t="shared" si="84"/>
        <v>44535</v>
      </c>
      <c r="X2178" s="705">
        <f t="shared" si="85"/>
        <v>56169</v>
      </c>
    </row>
    <row r="2179" spans="2:24">
      <c r="B2179" t="s">
        <v>719</v>
      </c>
      <c r="C2179" t="s">
        <v>122</v>
      </c>
      <c r="D2179" t="s">
        <v>669</v>
      </c>
      <c r="E2179" t="s">
        <v>228</v>
      </c>
      <c r="F2179">
        <v>1</v>
      </c>
      <c r="G2179">
        <v>65</v>
      </c>
      <c r="H2179">
        <v>443</v>
      </c>
      <c r="I2179" s="705">
        <v>19756</v>
      </c>
      <c r="J2179" s="705">
        <v>16464</v>
      </c>
      <c r="K2179">
        <v>60</v>
      </c>
      <c r="L2179" s="705">
        <v>2963</v>
      </c>
      <c r="M2179" s="705">
        <v>1098</v>
      </c>
      <c r="N2179" s="705">
        <v>1381</v>
      </c>
      <c r="O2179">
        <v>512</v>
      </c>
      <c r="P2179">
        <v>0</v>
      </c>
      <c r="Q2179">
        <v>0</v>
      </c>
      <c r="R2179" s="705">
        <v>4581</v>
      </c>
      <c r="S2179" s="705">
        <v>1697</v>
      </c>
      <c r="T2179">
        <v>0</v>
      </c>
      <c r="U2179">
        <v>0</v>
      </c>
      <c r="V2179" s="705">
        <v>19770</v>
      </c>
      <c r="W2179" s="705">
        <f t="shared" si="84"/>
        <v>19771</v>
      </c>
      <c r="X2179" s="705">
        <f t="shared" si="85"/>
        <v>28681</v>
      </c>
    </row>
    <row r="2180" spans="2:24">
      <c r="B2180" t="s">
        <v>719</v>
      </c>
      <c r="C2180" t="s">
        <v>122</v>
      </c>
      <c r="D2180" t="s">
        <v>669</v>
      </c>
      <c r="E2180" t="s">
        <v>669</v>
      </c>
      <c r="F2180">
        <v>7</v>
      </c>
      <c r="G2180">
        <v>393</v>
      </c>
      <c r="H2180" s="705">
        <v>2958</v>
      </c>
      <c r="I2180" s="705">
        <v>103362</v>
      </c>
      <c r="J2180" s="705">
        <v>86135</v>
      </c>
      <c r="K2180">
        <v>56</v>
      </c>
      <c r="L2180" s="705">
        <v>6683</v>
      </c>
      <c r="M2180" s="705">
        <v>2475</v>
      </c>
      <c r="N2180" s="705">
        <v>7818</v>
      </c>
      <c r="O2180" s="705">
        <v>2895</v>
      </c>
      <c r="P2180" s="705">
        <v>2457</v>
      </c>
      <c r="Q2180">
        <v>910</v>
      </c>
      <c r="R2180" s="705">
        <v>36476</v>
      </c>
      <c r="S2180" s="705">
        <v>30397</v>
      </c>
      <c r="T2180" s="705">
        <v>9335</v>
      </c>
      <c r="U2180" s="705">
        <v>3457</v>
      </c>
      <c r="V2180" s="705">
        <v>126270</v>
      </c>
      <c r="W2180" s="705">
        <f t="shared" si="84"/>
        <v>126269</v>
      </c>
      <c r="X2180" s="705">
        <f t="shared" si="85"/>
        <v>166131</v>
      </c>
    </row>
    <row r="2181" spans="2:24">
      <c r="B2181" t="s">
        <v>719</v>
      </c>
      <c r="C2181" t="s">
        <v>122</v>
      </c>
      <c r="D2181" t="s">
        <v>665</v>
      </c>
      <c r="E2181" t="s">
        <v>228</v>
      </c>
      <c r="F2181">
        <v>1</v>
      </c>
      <c r="G2181">
        <v>52</v>
      </c>
      <c r="H2181">
        <v>412</v>
      </c>
      <c r="I2181" s="705">
        <v>12841</v>
      </c>
      <c r="J2181" s="705">
        <v>11674</v>
      </c>
      <c r="K2181">
        <v>60</v>
      </c>
      <c r="L2181" s="705">
        <v>2101</v>
      </c>
      <c r="M2181">
        <v>778</v>
      </c>
      <c r="N2181" s="705">
        <v>1270</v>
      </c>
      <c r="O2181">
        <v>470</v>
      </c>
      <c r="P2181">
        <v>0</v>
      </c>
      <c r="Q2181">
        <v>0</v>
      </c>
      <c r="R2181" s="705">
        <v>5251</v>
      </c>
      <c r="S2181" s="705">
        <v>1945</v>
      </c>
      <c r="T2181">
        <v>0</v>
      </c>
      <c r="U2181">
        <v>0</v>
      </c>
      <c r="V2181" s="705">
        <v>14867</v>
      </c>
      <c r="W2181" s="705">
        <f t="shared" si="84"/>
        <v>14867</v>
      </c>
      <c r="X2181" s="705">
        <f t="shared" si="85"/>
        <v>21463</v>
      </c>
    </row>
    <row r="2182" spans="2:24">
      <c r="B2182" t="s">
        <v>719</v>
      </c>
      <c r="C2182" t="s">
        <v>122</v>
      </c>
      <c r="D2182" t="s">
        <v>665</v>
      </c>
      <c r="E2182" t="s">
        <v>665</v>
      </c>
      <c r="F2182">
        <v>6</v>
      </c>
      <c r="G2182">
        <v>503</v>
      </c>
      <c r="H2182" s="705">
        <v>2535</v>
      </c>
      <c r="I2182" s="705">
        <v>132197</v>
      </c>
      <c r="J2182" s="705">
        <v>120179</v>
      </c>
      <c r="K2182">
        <v>57</v>
      </c>
      <c r="L2182" s="705">
        <v>27320</v>
      </c>
      <c r="M2182" s="705">
        <v>10119</v>
      </c>
      <c r="N2182" s="705">
        <v>11651</v>
      </c>
      <c r="O2182" s="705">
        <v>4315</v>
      </c>
      <c r="P2182" s="705">
        <v>1755</v>
      </c>
      <c r="Q2182">
        <v>650</v>
      </c>
      <c r="R2182" s="705">
        <v>30270</v>
      </c>
      <c r="S2182" s="705">
        <v>27518</v>
      </c>
      <c r="T2182" s="705">
        <v>14099</v>
      </c>
      <c r="U2182" s="705">
        <v>5222</v>
      </c>
      <c r="V2182" s="705">
        <v>168003</v>
      </c>
      <c r="W2182" s="705">
        <f t="shared" si="84"/>
        <v>168003</v>
      </c>
      <c r="X2182" s="705">
        <f t="shared" si="85"/>
        <v>217292</v>
      </c>
    </row>
    <row r="2183" spans="2:24">
      <c r="B2183" t="s">
        <v>719</v>
      </c>
      <c r="C2183" t="s">
        <v>122</v>
      </c>
      <c r="D2183" t="s">
        <v>673</v>
      </c>
      <c r="E2183" t="s">
        <v>228</v>
      </c>
      <c r="F2183">
        <v>1</v>
      </c>
      <c r="G2183">
        <v>46</v>
      </c>
      <c r="H2183">
        <v>432</v>
      </c>
      <c r="I2183" s="705">
        <v>10514</v>
      </c>
      <c r="J2183" s="705">
        <v>9558</v>
      </c>
      <c r="K2183">
        <v>74</v>
      </c>
      <c r="L2183" s="705">
        <v>2116</v>
      </c>
      <c r="M2183">
        <v>784</v>
      </c>
      <c r="N2183" s="705">
        <v>1125</v>
      </c>
      <c r="O2183">
        <v>417</v>
      </c>
      <c r="P2183">
        <v>0</v>
      </c>
      <c r="Q2183">
        <v>0</v>
      </c>
      <c r="R2183" s="705">
        <v>6204</v>
      </c>
      <c r="S2183" s="705">
        <v>2298</v>
      </c>
      <c r="T2183">
        <v>0</v>
      </c>
      <c r="U2183">
        <v>0</v>
      </c>
      <c r="V2183" s="705">
        <v>13056</v>
      </c>
      <c r="W2183" s="705">
        <f t="shared" si="84"/>
        <v>13057</v>
      </c>
      <c r="X2183" s="705">
        <f t="shared" si="85"/>
        <v>19959</v>
      </c>
    </row>
    <row r="2184" spans="2:24">
      <c r="B2184" t="s">
        <v>719</v>
      </c>
      <c r="C2184" t="s">
        <v>124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705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705">
        <v>1044</v>
      </c>
      <c r="W2184" s="705">
        <f t="shared" si="84"/>
        <v>1044</v>
      </c>
      <c r="X2184" s="705">
        <f t="shared" si="85"/>
        <v>2818</v>
      </c>
    </row>
    <row r="2185" spans="2:24">
      <c r="B2185" t="s">
        <v>719</v>
      </c>
      <c r="C2185" t="s">
        <v>124</v>
      </c>
      <c r="D2185" t="s">
        <v>582</v>
      </c>
      <c r="E2185" t="s">
        <v>582</v>
      </c>
      <c r="F2185">
        <v>1</v>
      </c>
      <c r="G2185">
        <v>83</v>
      </c>
      <c r="H2185">
        <v>533</v>
      </c>
      <c r="I2185" s="705">
        <v>28791</v>
      </c>
      <c r="J2185" s="705">
        <v>26174</v>
      </c>
      <c r="K2185">
        <v>73</v>
      </c>
      <c r="L2185" s="705">
        <v>8073</v>
      </c>
      <c r="M2185" s="705">
        <v>6728</v>
      </c>
      <c r="N2185" s="705">
        <v>2034</v>
      </c>
      <c r="O2185">
        <v>753</v>
      </c>
      <c r="P2185">
        <v>473</v>
      </c>
      <c r="Q2185">
        <v>175</v>
      </c>
      <c r="R2185" s="705">
        <v>5081</v>
      </c>
      <c r="S2185" s="705">
        <v>4619</v>
      </c>
      <c r="T2185">
        <v>0</v>
      </c>
      <c r="U2185">
        <v>0</v>
      </c>
      <c r="V2185" s="705">
        <v>38449</v>
      </c>
      <c r="W2185" s="705">
        <f t="shared" si="84"/>
        <v>38449</v>
      </c>
      <c r="X2185" s="705">
        <f t="shared" si="85"/>
        <v>44452</v>
      </c>
    </row>
    <row r="2186" spans="2:24">
      <c r="B2186" t="s">
        <v>719</v>
      </c>
      <c r="C2186" t="s">
        <v>124</v>
      </c>
      <c r="D2186" t="s">
        <v>228</v>
      </c>
      <c r="E2186" t="s">
        <v>228</v>
      </c>
      <c r="F2186">
        <v>123</v>
      </c>
      <c r="G2186" s="705">
        <v>6562</v>
      </c>
      <c r="H2186" s="705">
        <v>77121</v>
      </c>
      <c r="I2186" s="705">
        <v>2882621</v>
      </c>
      <c r="J2186" s="705">
        <v>1067637</v>
      </c>
      <c r="K2186">
        <v>100</v>
      </c>
      <c r="L2186" s="705">
        <v>339514</v>
      </c>
      <c r="M2186" s="705">
        <v>168450</v>
      </c>
      <c r="N2186" s="705">
        <v>135882</v>
      </c>
      <c r="O2186" s="705">
        <v>50327</v>
      </c>
      <c r="P2186">
        <v>702</v>
      </c>
      <c r="Q2186">
        <v>260</v>
      </c>
      <c r="R2186" s="705">
        <v>650907</v>
      </c>
      <c r="S2186" s="705">
        <v>241077</v>
      </c>
      <c r="T2186">
        <v>0</v>
      </c>
      <c r="U2186">
        <v>0</v>
      </c>
      <c r="V2186" s="705">
        <v>1527751</v>
      </c>
      <c r="W2186" s="705">
        <f t="shared" si="84"/>
        <v>1527751</v>
      </c>
      <c r="X2186" s="705">
        <f t="shared" si="85"/>
        <v>4009626</v>
      </c>
    </row>
    <row r="2187" spans="2:24">
      <c r="B2187" t="s">
        <v>719</v>
      </c>
      <c r="C2187" t="s">
        <v>124</v>
      </c>
      <c r="D2187" t="s">
        <v>583</v>
      </c>
      <c r="E2187" t="s">
        <v>664</v>
      </c>
      <c r="F2187">
        <v>1</v>
      </c>
      <c r="G2187">
        <v>210</v>
      </c>
      <c r="H2187">
        <v>473</v>
      </c>
      <c r="I2187" s="705">
        <v>78047</v>
      </c>
      <c r="J2187" s="705">
        <v>70952</v>
      </c>
      <c r="K2187">
        <v>70</v>
      </c>
      <c r="L2187" s="705">
        <v>9611</v>
      </c>
      <c r="M2187" s="705">
        <v>8738</v>
      </c>
      <c r="N2187" s="705">
        <v>4733</v>
      </c>
      <c r="O2187" s="705">
        <v>1753</v>
      </c>
      <c r="P2187">
        <v>621</v>
      </c>
      <c r="Q2187">
        <v>230</v>
      </c>
      <c r="R2187" s="705">
        <v>6345</v>
      </c>
      <c r="S2187" s="705">
        <v>5768</v>
      </c>
      <c r="T2187">
        <v>0</v>
      </c>
      <c r="U2187">
        <v>0</v>
      </c>
      <c r="V2187" s="705">
        <v>87440</v>
      </c>
      <c r="W2187" s="705">
        <f t="shared" si="84"/>
        <v>87441</v>
      </c>
      <c r="X2187" s="705">
        <f t="shared" si="85"/>
        <v>99357</v>
      </c>
    </row>
    <row r="2188" spans="2:24">
      <c r="B2188" t="s">
        <v>719</v>
      </c>
      <c r="C2188" t="s">
        <v>124</v>
      </c>
      <c r="D2188" t="s">
        <v>583</v>
      </c>
      <c r="E2188" t="s">
        <v>583</v>
      </c>
      <c r="F2188">
        <v>11</v>
      </c>
      <c r="G2188">
        <v>858</v>
      </c>
      <c r="H2188" s="705">
        <v>6015</v>
      </c>
      <c r="I2188" s="705">
        <v>294274</v>
      </c>
      <c r="J2188" s="705">
        <v>267522</v>
      </c>
      <c r="K2188">
        <v>78</v>
      </c>
      <c r="L2188" s="705">
        <v>64471</v>
      </c>
      <c r="M2188" s="705">
        <v>52659</v>
      </c>
      <c r="N2188" s="705">
        <v>19490</v>
      </c>
      <c r="O2188" s="705">
        <v>7218</v>
      </c>
      <c r="P2188" s="705">
        <v>6831</v>
      </c>
      <c r="Q2188" s="705">
        <v>2530</v>
      </c>
      <c r="R2188" s="705">
        <v>50842</v>
      </c>
      <c r="S2188" s="705">
        <v>46220</v>
      </c>
      <c r="T2188" s="705">
        <v>21795</v>
      </c>
      <c r="U2188" s="705">
        <v>8072</v>
      </c>
      <c r="V2188" s="705">
        <v>384222</v>
      </c>
      <c r="W2188" s="705">
        <f t="shared" si="84"/>
        <v>384221</v>
      </c>
      <c r="X2188" s="705">
        <f t="shared" si="85"/>
        <v>457703</v>
      </c>
    </row>
    <row r="2189" spans="2:24">
      <c r="B2189" t="s">
        <v>719</v>
      </c>
      <c r="C2189" t="s">
        <v>124</v>
      </c>
      <c r="D2189" t="s">
        <v>666</v>
      </c>
      <c r="E2189" t="s">
        <v>666</v>
      </c>
      <c r="F2189">
        <v>2</v>
      </c>
      <c r="G2189">
        <v>90</v>
      </c>
      <c r="H2189">
        <v>940</v>
      </c>
      <c r="I2189" s="705">
        <v>22426</v>
      </c>
      <c r="J2189" s="705">
        <v>20387</v>
      </c>
      <c r="K2189">
        <v>55</v>
      </c>
      <c r="L2189" s="705">
        <v>4838</v>
      </c>
      <c r="M2189" s="705">
        <v>3394</v>
      </c>
      <c r="N2189" s="705">
        <v>1468</v>
      </c>
      <c r="O2189">
        <v>544</v>
      </c>
      <c r="P2189">
        <v>702</v>
      </c>
      <c r="Q2189">
        <v>260</v>
      </c>
      <c r="R2189" s="705">
        <v>8681</v>
      </c>
      <c r="S2189" s="705">
        <v>7892</v>
      </c>
      <c r="T2189" s="705">
        <v>4685</v>
      </c>
      <c r="U2189" s="705">
        <v>1735</v>
      </c>
      <c r="V2189" s="705">
        <v>34212</v>
      </c>
      <c r="W2189" s="705">
        <f t="shared" si="84"/>
        <v>34212</v>
      </c>
      <c r="X2189" s="705">
        <f t="shared" si="85"/>
        <v>42800</v>
      </c>
    </row>
    <row r="2190" spans="2:24">
      <c r="B2190" t="s">
        <v>719</v>
      </c>
      <c r="C2190" t="s">
        <v>124</v>
      </c>
      <c r="D2190" t="s">
        <v>669</v>
      </c>
      <c r="E2190" t="s">
        <v>228</v>
      </c>
      <c r="F2190">
        <v>1</v>
      </c>
      <c r="G2190">
        <v>40</v>
      </c>
      <c r="H2190" s="705">
        <v>1710</v>
      </c>
      <c r="I2190" s="705">
        <v>40780</v>
      </c>
      <c r="J2190" s="705">
        <v>33984</v>
      </c>
      <c r="K2190">
        <v>30</v>
      </c>
      <c r="L2190" s="705">
        <v>3059</v>
      </c>
      <c r="M2190" s="705">
        <v>1133</v>
      </c>
      <c r="N2190">
        <v>726</v>
      </c>
      <c r="O2190">
        <v>269</v>
      </c>
      <c r="P2190">
        <v>0</v>
      </c>
      <c r="Q2190">
        <v>0</v>
      </c>
      <c r="R2190" s="705">
        <v>23313</v>
      </c>
      <c r="S2190" s="705">
        <v>8634</v>
      </c>
      <c r="T2190">
        <v>0</v>
      </c>
      <c r="U2190">
        <v>0</v>
      </c>
      <c r="V2190" s="705">
        <v>44019</v>
      </c>
      <c r="W2190" s="705">
        <f t="shared" si="84"/>
        <v>44020</v>
      </c>
      <c r="X2190" s="705">
        <f t="shared" si="85"/>
        <v>67878</v>
      </c>
    </row>
    <row r="2191" spans="2:24">
      <c r="B2191" t="s">
        <v>719</v>
      </c>
      <c r="C2191" t="s">
        <v>124</v>
      </c>
      <c r="D2191" t="s">
        <v>669</v>
      </c>
      <c r="E2191" t="s">
        <v>669</v>
      </c>
      <c r="F2191">
        <v>9</v>
      </c>
      <c r="G2191">
        <v>508</v>
      </c>
      <c r="H2191" s="705">
        <v>4848</v>
      </c>
      <c r="I2191" s="705">
        <v>195414</v>
      </c>
      <c r="J2191" s="705">
        <v>162845</v>
      </c>
      <c r="K2191">
        <v>57</v>
      </c>
      <c r="L2191" s="705">
        <v>16666</v>
      </c>
      <c r="M2191" s="705">
        <v>6173</v>
      </c>
      <c r="N2191" s="705">
        <v>11333</v>
      </c>
      <c r="O2191" s="705">
        <v>4197</v>
      </c>
      <c r="P2191" s="705">
        <v>3159</v>
      </c>
      <c r="Q2191" s="705">
        <v>1170</v>
      </c>
      <c r="R2191" s="705">
        <v>40828</v>
      </c>
      <c r="S2191" s="705">
        <v>34024</v>
      </c>
      <c r="T2191" s="705">
        <v>12525</v>
      </c>
      <c r="U2191" s="705">
        <v>4639</v>
      </c>
      <c r="V2191" s="705">
        <v>213048</v>
      </c>
      <c r="W2191" s="705">
        <f t="shared" si="84"/>
        <v>213048</v>
      </c>
      <c r="X2191" s="705">
        <f t="shared" si="85"/>
        <v>279925</v>
      </c>
    </row>
    <row r="2192" spans="2:24">
      <c r="B2192" t="s">
        <v>719</v>
      </c>
      <c r="C2192" t="s">
        <v>124</v>
      </c>
      <c r="D2192" t="s">
        <v>665</v>
      </c>
      <c r="E2192" t="s">
        <v>228</v>
      </c>
      <c r="F2192">
        <v>2</v>
      </c>
      <c r="G2192">
        <v>81</v>
      </c>
      <c r="H2192" s="705">
        <v>1348</v>
      </c>
      <c r="I2192" s="705">
        <v>39447</v>
      </c>
      <c r="J2192" s="705">
        <v>35861</v>
      </c>
      <c r="K2192">
        <v>63</v>
      </c>
      <c r="L2192" s="705">
        <v>4628</v>
      </c>
      <c r="M2192" s="705">
        <v>1714</v>
      </c>
      <c r="N2192" s="705">
        <v>1980</v>
      </c>
      <c r="O2192">
        <v>733</v>
      </c>
      <c r="P2192">
        <v>351</v>
      </c>
      <c r="Q2192">
        <v>130</v>
      </c>
      <c r="R2192" s="705">
        <v>7929</v>
      </c>
      <c r="S2192" s="705">
        <v>2937</v>
      </c>
      <c r="T2192">
        <v>0</v>
      </c>
      <c r="U2192">
        <v>0</v>
      </c>
      <c r="V2192" s="705">
        <v>41375</v>
      </c>
      <c r="W2192" s="705">
        <f t="shared" si="84"/>
        <v>41375</v>
      </c>
      <c r="X2192" s="705">
        <f t="shared" si="85"/>
        <v>54335</v>
      </c>
    </row>
    <row r="2193" spans="2:24">
      <c r="B2193" t="s">
        <v>719</v>
      </c>
      <c r="C2193" t="s">
        <v>124</v>
      </c>
      <c r="D2193" t="s">
        <v>665</v>
      </c>
      <c r="E2193" t="s">
        <v>665</v>
      </c>
      <c r="F2193">
        <v>4</v>
      </c>
      <c r="G2193">
        <v>327</v>
      </c>
      <c r="H2193" s="705">
        <v>2642</v>
      </c>
      <c r="I2193" s="705">
        <v>152318</v>
      </c>
      <c r="J2193" s="705">
        <v>138471</v>
      </c>
      <c r="K2193">
        <v>53</v>
      </c>
      <c r="L2193" s="705">
        <v>16715</v>
      </c>
      <c r="M2193" s="705">
        <v>8876</v>
      </c>
      <c r="N2193" s="705">
        <v>6966</v>
      </c>
      <c r="O2193" s="705">
        <v>2580</v>
      </c>
      <c r="P2193" s="705">
        <v>1404</v>
      </c>
      <c r="Q2193">
        <v>520</v>
      </c>
      <c r="R2193" s="705">
        <v>20910</v>
      </c>
      <c r="S2193" s="705">
        <v>19009</v>
      </c>
      <c r="T2193" s="705">
        <v>5660</v>
      </c>
      <c r="U2193" s="705">
        <v>2096</v>
      </c>
      <c r="V2193" s="705">
        <v>171552</v>
      </c>
      <c r="W2193" s="705">
        <f t="shared" si="84"/>
        <v>171552</v>
      </c>
      <c r="X2193" s="705">
        <f t="shared" si="85"/>
        <v>203973</v>
      </c>
    </row>
    <row r="2194" spans="2:24">
      <c r="B2194" t="s">
        <v>719</v>
      </c>
      <c r="C2194" t="s">
        <v>124</v>
      </c>
      <c r="D2194" t="s">
        <v>673</v>
      </c>
      <c r="E2194" t="s">
        <v>228</v>
      </c>
      <c r="F2194">
        <v>1</v>
      </c>
      <c r="G2194">
        <v>46</v>
      </c>
      <c r="H2194">
        <v>698</v>
      </c>
      <c r="I2194" s="705">
        <v>22970</v>
      </c>
      <c r="J2194" s="705">
        <v>20882</v>
      </c>
      <c r="K2194">
        <v>60</v>
      </c>
      <c r="L2194" s="705">
        <v>5105</v>
      </c>
      <c r="M2194" s="705">
        <v>4640</v>
      </c>
      <c r="N2194" s="705">
        <v>1133</v>
      </c>
      <c r="O2194">
        <v>419</v>
      </c>
      <c r="P2194">
        <v>0</v>
      </c>
      <c r="Q2194">
        <v>0</v>
      </c>
      <c r="R2194" s="705">
        <v>3219</v>
      </c>
      <c r="S2194" s="705">
        <v>1192</v>
      </c>
      <c r="T2194">
        <v>0</v>
      </c>
      <c r="U2194">
        <v>0</v>
      </c>
      <c r="V2194" s="705">
        <v>27134</v>
      </c>
      <c r="W2194" s="705">
        <f t="shared" si="84"/>
        <v>27133</v>
      </c>
      <c r="X2194" s="705">
        <f t="shared" si="85"/>
        <v>32427</v>
      </c>
    </row>
    <row r="2195" spans="2:24">
      <c r="B2195" t="s">
        <v>720</v>
      </c>
      <c r="C2195" t="s">
        <v>108</v>
      </c>
      <c r="F2195">
        <v>69</v>
      </c>
      <c r="G2195" s="705">
        <v>6387</v>
      </c>
      <c r="H2195" s="705">
        <v>3405</v>
      </c>
      <c r="J2195">
        <v>0</v>
      </c>
      <c r="M2195">
        <v>0</v>
      </c>
      <c r="N2195" s="705">
        <v>77816</v>
      </c>
      <c r="O2195" s="705">
        <v>28821</v>
      </c>
      <c r="P2195" s="705">
        <v>57133</v>
      </c>
      <c r="Q2195" s="705">
        <v>21160</v>
      </c>
      <c r="S2195">
        <v>0</v>
      </c>
      <c r="T2195">
        <v>0</v>
      </c>
      <c r="U2195">
        <v>0</v>
      </c>
      <c r="V2195" s="705">
        <v>49981</v>
      </c>
      <c r="W2195" s="705">
        <f t="shared" si="84"/>
        <v>49981</v>
      </c>
      <c r="X2195" s="705">
        <f t="shared" si="85"/>
        <v>134949</v>
      </c>
    </row>
    <row r="2196" spans="2:24">
      <c r="B2196" t="s">
        <v>720</v>
      </c>
      <c r="C2196" t="s">
        <v>108</v>
      </c>
      <c r="D2196" t="s">
        <v>228</v>
      </c>
      <c r="E2196" t="s">
        <v>228</v>
      </c>
      <c r="F2196">
        <v>28</v>
      </c>
      <c r="G2196" s="705">
        <v>2386</v>
      </c>
      <c r="H2196" s="705">
        <v>1628</v>
      </c>
      <c r="I2196" s="705">
        <v>13431</v>
      </c>
      <c r="J2196" s="705">
        <v>4975</v>
      </c>
      <c r="K2196">
        <v>378</v>
      </c>
      <c r="L2196">
        <v>-561</v>
      </c>
      <c r="M2196">
        <v>-208</v>
      </c>
      <c r="N2196" s="705">
        <v>29070</v>
      </c>
      <c r="O2196" s="705">
        <v>10767</v>
      </c>
      <c r="P2196" s="705">
        <v>13158</v>
      </c>
      <c r="Q2196" s="705">
        <v>4873</v>
      </c>
      <c r="R2196" s="705">
        <v>79236</v>
      </c>
      <c r="S2196" s="705">
        <v>29347</v>
      </c>
      <c r="T2196">
        <v>0</v>
      </c>
      <c r="U2196">
        <v>0</v>
      </c>
      <c r="V2196" s="705">
        <v>49753</v>
      </c>
      <c r="W2196" s="705">
        <f t="shared" si="84"/>
        <v>50170</v>
      </c>
      <c r="X2196" s="705">
        <f t="shared" si="85"/>
        <v>135456</v>
      </c>
    </row>
    <row r="2197" spans="2:24">
      <c r="B2197" t="s">
        <v>720</v>
      </c>
      <c r="C2197" t="s">
        <v>108</v>
      </c>
      <c r="D2197" t="s">
        <v>584</v>
      </c>
      <c r="E2197" t="s">
        <v>584</v>
      </c>
      <c r="F2197">
        <v>7</v>
      </c>
      <c r="G2197">
        <v>538</v>
      </c>
      <c r="H2197">
        <v>442</v>
      </c>
      <c r="I2197" s="705">
        <v>3674</v>
      </c>
      <c r="J2197" s="705">
        <v>3340</v>
      </c>
      <c r="K2197">
        <v>90</v>
      </c>
      <c r="L2197">
        <v>511</v>
      </c>
      <c r="M2197">
        <v>465</v>
      </c>
      <c r="N2197" s="705">
        <v>6549</v>
      </c>
      <c r="O2197" s="705">
        <v>2426</v>
      </c>
      <c r="P2197" s="705">
        <v>8088</v>
      </c>
      <c r="Q2197" s="705">
        <v>2996</v>
      </c>
      <c r="R2197" s="705">
        <v>15034</v>
      </c>
      <c r="S2197" s="705">
        <v>13667</v>
      </c>
      <c r="T2197">
        <v>0</v>
      </c>
      <c r="U2197">
        <v>0</v>
      </c>
      <c r="V2197" s="705">
        <v>22893</v>
      </c>
      <c r="W2197" s="705">
        <f t="shared" si="84"/>
        <v>22894</v>
      </c>
      <c r="X2197" s="705">
        <f t="shared" si="85"/>
        <v>33856</v>
      </c>
    </row>
    <row r="2198" spans="2:24">
      <c r="B2198" t="s">
        <v>720</v>
      </c>
      <c r="C2198" t="s">
        <v>110</v>
      </c>
      <c r="F2198">
        <v>12</v>
      </c>
      <c r="G2198">
        <v>482</v>
      </c>
      <c r="H2198" s="705">
        <v>1106</v>
      </c>
      <c r="J2198">
        <v>0</v>
      </c>
      <c r="M2198">
        <v>0</v>
      </c>
      <c r="N2198" s="705">
        <v>5879</v>
      </c>
      <c r="O2198" s="705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705">
        <v>2177</v>
      </c>
      <c r="W2198" s="705">
        <f t="shared" si="84"/>
        <v>2177</v>
      </c>
      <c r="X2198" s="705">
        <f t="shared" si="85"/>
        <v>5879</v>
      </c>
    </row>
    <row r="2199" spans="2:24">
      <c r="B2199" t="s">
        <v>720</v>
      </c>
      <c r="C2199" t="s">
        <v>110</v>
      </c>
      <c r="D2199" t="s">
        <v>228</v>
      </c>
      <c r="E2199" t="s">
        <v>228</v>
      </c>
      <c r="F2199">
        <v>2</v>
      </c>
      <c r="G2199">
        <v>187</v>
      </c>
      <c r="H2199">
        <v>163</v>
      </c>
      <c r="I2199" s="705">
        <v>7274</v>
      </c>
      <c r="J2199" s="705">
        <v>2694</v>
      </c>
      <c r="K2199">
        <v>283</v>
      </c>
      <c r="L2199">
        <v>0</v>
      </c>
      <c r="M2199">
        <v>0</v>
      </c>
      <c r="N2199" s="705">
        <v>2280</v>
      </c>
      <c r="O2199">
        <v>844</v>
      </c>
      <c r="P2199">
        <v>702</v>
      </c>
      <c r="Q2199">
        <v>260</v>
      </c>
      <c r="R2199" s="705">
        <v>4993</v>
      </c>
      <c r="S2199" s="705">
        <v>1849</v>
      </c>
      <c r="T2199">
        <v>0</v>
      </c>
      <c r="U2199">
        <v>0</v>
      </c>
      <c r="V2199" s="705">
        <v>5648</v>
      </c>
      <c r="W2199" s="705">
        <f t="shared" si="84"/>
        <v>5647</v>
      </c>
      <c r="X2199" s="705">
        <f t="shared" si="85"/>
        <v>15249</v>
      </c>
    </row>
    <row r="2200" spans="2:24">
      <c r="B2200" t="s">
        <v>720</v>
      </c>
      <c r="C2200" t="s">
        <v>110</v>
      </c>
      <c r="D2200" t="s">
        <v>584</v>
      </c>
      <c r="E2200" t="s">
        <v>584</v>
      </c>
      <c r="F2200">
        <v>45</v>
      </c>
      <c r="G2200" s="705">
        <v>3800</v>
      </c>
      <c r="H2200" s="705">
        <v>4092</v>
      </c>
      <c r="I2200" s="705">
        <v>86196</v>
      </c>
      <c r="J2200" s="705">
        <v>78360</v>
      </c>
      <c r="K2200">
        <v>90</v>
      </c>
      <c r="L2200">
        <v>529</v>
      </c>
      <c r="M2200">
        <v>481</v>
      </c>
      <c r="N2200" s="705">
        <v>68118</v>
      </c>
      <c r="O2200" s="705">
        <v>25229</v>
      </c>
      <c r="P2200" s="705">
        <v>22439</v>
      </c>
      <c r="Q2200" s="705">
        <v>8311</v>
      </c>
      <c r="R2200" s="705">
        <v>165634</v>
      </c>
      <c r="S2200" s="705">
        <v>150577</v>
      </c>
      <c r="T2200" s="705">
        <v>2117</v>
      </c>
      <c r="U2200">
        <v>784</v>
      </c>
      <c r="V2200" s="705">
        <v>263742</v>
      </c>
      <c r="W2200" s="705">
        <f t="shared" si="84"/>
        <v>263742</v>
      </c>
      <c r="X2200" s="705">
        <f t="shared" si="85"/>
        <v>345033</v>
      </c>
    </row>
    <row r="2201" spans="2:24">
      <c r="B2201" t="s">
        <v>720</v>
      </c>
      <c r="C2201" t="s">
        <v>112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705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705">
        <f t="shared" si="84"/>
        <v>671</v>
      </c>
      <c r="X2201" s="705">
        <f t="shared" si="85"/>
        <v>1812</v>
      </c>
    </row>
    <row r="2202" spans="2:24">
      <c r="B2202" t="s">
        <v>720</v>
      </c>
      <c r="C2202" t="s">
        <v>112</v>
      </c>
      <c r="D2202" t="s">
        <v>228</v>
      </c>
      <c r="E2202" t="s">
        <v>228</v>
      </c>
      <c r="F2202">
        <v>1</v>
      </c>
      <c r="G2202">
        <v>120</v>
      </c>
      <c r="H2202">
        <v>107</v>
      </c>
      <c r="I2202" s="705">
        <v>8130</v>
      </c>
      <c r="J2202" s="705">
        <v>3011</v>
      </c>
      <c r="K2202">
        <v>270</v>
      </c>
      <c r="L2202">
        <v>0</v>
      </c>
      <c r="M2202">
        <v>0</v>
      </c>
      <c r="N2202" s="705">
        <v>1467</v>
      </c>
      <c r="O2202">
        <v>543</v>
      </c>
      <c r="P2202">
        <v>351</v>
      </c>
      <c r="Q2202">
        <v>130</v>
      </c>
      <c r="R2202" s="705">
        <v>2975</v>
      </c>
      <c r="S2202" s="705">
        <v>1102</v>
      </c>
      <c r="T2202">
        <v>0</v>
      </c>
      <c r="U2202">
        <v>0</v>
      </c>
      <c r="V2202" s="705">
        <v>4786</v>
      </c>
      <c r="W2202" s="705">
        <f t="shared" si="84"/>
        <v>4786</v>
      </c>
      <c r="X2202" s="705">
        <f t="shared" si="85"/>
        <v>12923</v>
      </c>
    </row>
    <row r="2203" spans="2:24">
      <c r="B2203" t="s">
        <v>720</v>
      </c>
      <c r="C2203" t="s">
        <v>112</v>
      </c>
      <c r="D2203" t="s">
        <v>583</v>
      </c>
      <c r="E2203" t="s">
        <v>583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705">
        <v>2182</v>
      </c>
      <c r="S2203" s="705">
        <v>1984</v>
      </c>
      <c r="T2203">
        <v>0</v>
      </c>
      <c r="U2203">
        <v>0</v>
      </c>
      <c r="V2203" s="705">
        <v>3273</v>
      </c>
      <c r="W2203" s="705">
        <f t="shared" si="84"/>
        <v>3273</v>
      </c>
      <c r="X2203" s="705">
        <f t="shared" si="85"/>
        <v>4243</v>
      </c>
    </row>
    <row r="2204" spans="2:24">
      <c r="B2204" t="s">
        <v>720</v>
      </c>
      <c r="C2204" t="s">
        <v>112</v>
      </c>
      <c r="D2204" t="s">
        <v>584</v>
      </c>
      <c r="E2204" t="s">
        <v>584</v>
      </c>
      <c r="F2204">
        <v>148</v>
      </c>
      <c r="G2204" s="705">
        <v>12489</v>
      </c>
      <c r="H2204" s="705">
        <v>17064</v>
      </c>
      <c r="I2204" s="705">
        <v>537073</v>
      </c>
      <c r="J2204" s="705">
        <v>488249</v>
      </c>
      <c r="K2204">
        <v>85</v>
      </c>
      <c r="L2204" s="705">
        <v>17276</v>
      </c>
      <c r="M2204" s="705">
        <v>15143</v>
      </c>
      <c r="N2204" s="705">
        <v>227145</v>
      </c>
      <c r="O2204" s="705">
        <v>84128</v>
      </c>
      <c r="P2204" s="705">
        <v>72595</v>
      </c>
      <c r="Q2204" s="705">
        <v>26887</v>
      </c>
      <c r="R2204" s="705">
        <v>582087</v>
      </c>
      <c r="S2204" s="705">
        <v>529170</v>
      </c>
      <c r="T2204" s="705">
        <v>4946</v>
      </c>
      <c r="U2204" s="705">
        <v>1832</v>
      </c>
      <c r="V2204" s="705">
        <v>1145408</v>
      </c>
      <c r="W2204" s="705">
        <f t="shared" si="84"/>
        <v>1145409</v>
      </c>
      <c r="X2204" s="705">
        <f t="shared" si="85"/>
        <v>1441122</v>
      </c>
    </row>
    <row r="2205" spans="2:24">
      <c r="B2205" t="s">
        <v>720</v>
      </c>
      <c r="C2205" t="s">
        <v>114</v>
      </c>
      <c r="D2205" t="s">
        <v>582</v>
      </c>
      <c r="E2205" t="s">
        <v>582</v>
      </c>
      <c r="F2205">
        <v>1</v>
      </c>
      <c r="G2205">
        <v>47</v>
      </c>
      <c r="H2205">
        <v>145</v>
      </c>
      <c r="I2205" s="705">
        <v>7976</v>
      </c>
      <c r="J2205" s="705">
        <v>7251</v>
      </c>
      <c r="K2205">
        <v>93</v>
      </c>
      <c r="L2205">
        <v>0</v>
      </c>
      <c r="M2205" s="705">
        <v>2371</v>
      </c>
      <c r="N2205" s="705">
        <v>2142</v>
      </c>
      <c r="O2205">
        <v>793</v>
      </c>
      <c r="P2205">
        <v>473</v>
      </c>
      <c r="Q2205">
        <v>175</v>
      </c>
      <c r="R2205" s="705">
        <v>2168</v>
      </c>
      <c r="S2205" s="705">
        <v>1971</v>
      </c>
      <c r="T2205">
        <v>0</v>
      </c>
      <c r="U2205">
        <v>0</v>
      </c>
      <c r="V2205" s="705">
        <v>12562</v>
      </c>
      <c r="W2205" s="705">
        <f t="shared" si="84"/>
        <v>12561</v>
      </c>
      <c r="X2205" s="705">
        <f t="shared" si="85"/>
        <v>12759</v>
      </c>
    </row>
    <row r="2206" spans="2:24">
      <c r="B2206" t="s">
        <v>720</v>
      </c>
      <c r="C2206" t="s">
        <v>114</v>
      </c>
      <c r="D2206" t="s">
        <v>228</v>
      </c>
      <c r="E2206" t="s">
        <v>228</v>
      </c>
      <c r="F2206">
        <v>4</v>
      </c>
      <c r="G2206">
        <v>528</v>
      </c>
      <c r="H2206">
        <v>576</v>
      </c>
      <c r="I2206" s="705">
        <v>35166</v>
      </c>
      <c r="J2206" s="705">
        <v>13025</v>
      </c>
      <c r="K2206">
        <v>188</v>
      </c>
      <c r="L2206" s="705">
        <v>6313</v>
      </c>
      <c r="M2206" s="705">
        <v>5115</v>
      </c>
      <c r="N2206" s="705">
        <v>10806</v>
      </c>
      <c r="O2206" s="705">
        <v>4002</v>
      </c>
      <c r="P2206">
        <v>351</v>
      </c>
      <c r="Q2206">
        <v>130</v>
      </c>
      <c r="R2206" s="705">
        <v>28242</v>
      </c>
      <c r="S2206" s="705">
        <v>10460</v>
      </c>
      <c r="T2206">
        <v>0</v>
      </c>
      <c r="U2206">
        <v>0</v>
      </c>
      <c r="V2206" s="705">
        <v>32732</v>
      </c>
      <c r="W2206" s="705">
        <f t="shared" si="84"/>
        <v>32732</v>
      </c>
      <c r="X2206" s="705">
        <f t="shared" si="85"/>
        <v>80878</v>
      </c>
    </row>
    <row r="2207" spans="2:24">
      <c r="B2207" t="s">
        <v>720</v>
      </c>
      <c r="C2207" t="s">
        <v>114</v>
      </c>
      <c r="D2207" t="s">
        <v>583</v>
      </c>
      <c r="E2207" t="s">
        <v>583</v>
      </c>
      <c r="F2207">
        <v>4</v>
      </c>
      <c r="G2207">
        <v>750</v>
      </c>
      <c r="H2207">
        <v>585</v>
      </c>
      <c r="I2207" s="705">
        <v>65818</v>
      </c>
      <c r="J2207" s="705">
        <v>59835</v>
      </c>
      <c r="K2207">
        <v>92</v>
      </c>
      <c r="L2207" s="705">
        <v>11153</v>
      </c>
      <c r="M2207" s="705">
        <v>9897</v>
      </c>
      <c r="N2207" s="705">
        <v>14414</v>
      </c>
      <c r="O2207" s="705">
        <v>5338</v>
      </c>
      <c r="P2207" s="705">
        <v>2484</v>
      </c>
      <c r="Q2207">
        <v>920</v>
      </c>
      <c r="R2207" s="705">
        <v>21942</v>
      </c>
      <c r="S2207" s="705">
        <v>19948</v>
      </c>
      <c r="T2207" s="705">
        <v>3410</v>
      </c>
      <c r="U2207" s="705">
        <v>1263</v>
      </c>
      <c r="V2207" s="705">
        <v>97201</v>
      </c>
      <c r="W2207" s="705">
        <f t="shared" si="84"/>
        <v>97201</v>
      </c>
      <c r="X2207" s="705">
        <f t="shared" si="85"/>
        <v>119221</v>
      </c>
    </row>
    <row r="2208" spans="2:24">
      <c r="B2208" t="s">
        <v>720</v>
      </c>
      <c r="C2208" t="s">
        <v>114</v>
      </c>
      <c r="D2208" t="s">
        <v>584</v>
      </c>
      <c r="E2208" t="s">
        <v>584</v>
      </c>
      <c r="F2208">
        <v>282</v>
      </c>
      <c r="G2208" s="705">
        <v>22673</v>
      </c>
      <c r="H2208" s="705">
        <v>39070</v>
      </c>
      <c r="I2208" s="705">
        <v>1278666</v>
      </c>
      <c r="J2208" s="705">
        <v>1162424</v>
      </c>
      <c r="K2208">
        <v>84</v>
      </c>
      <c r="L2208" s="705">
        <v>84945</v>
      </c>
      <c r="M2208" s="705">
        <v>70674</v>
      </c>
      <c r="N2208" s="705">
        <v>478866</v>
      </c>
      <c r="O2208" s="705">
        <v>177358</v>
      </c>
      <c r="P2208" s="705">
        <v>152912</v>
      </c>
      <c r="Q2208" s="705">
        <v>56634</v>
      </c>
      <c r="R2208" s="705">
        <v>1086618</v>
      </c>
      <c r="S2208" s="705">
        <v>987835</v>
      </c>
      <c r="T2208" s="705">
        <v>65721</v>
      </c>
      <c r="U2208" s="705">
        <v>24341</v>
      </c>
      <c r="V2208" s="705">
        <v>2479266</v>
      </c>
      <c r="W2208" s="705">
        <f t="shared" si="84"/>
        <v>2479266</v>
      </c>
      <c r="X2208" s="705">
        <f t="shared" si="85"/>
        <v>3147728</v>
      </c>
    </row>
    <row r="2209" spans="2:24">
      <c r="B2209" t="s">
        <v>720</v>
      </c>
      <c r="C2209" t="s">
        <v>116</v>
      </c>
      <c r="F2209">
        <v>5</v>
      </c>
      <c r="G2209">
        <v>242</v>
      </c>
      <c r="H2209" s="705">
        <v>1010</v>
      </c>
      <c r="J2209">
        <v>0</v>
      </c>
      <c r="M2209">
        <v>0</v>
      </c>
      <c r="N2209" s="705">
        <v>5168</v>
      </c>
      <c r="O2209" s="705">
        <v>1914</v>
      </c>
      <c r="P2209" s="705">
        <v>2120</v>
      </c>
      <c r="Q2209">
        <v>785</v>
      </c>
      <c r="S2209">
        <v>0</v>
      </c>
      <c r="T2209">
        <v>0</v>
      </c>
      <c r="U2209">
        <v>0</v>
      </c>
      <c r="V2209" s="705">
        <v>2699</v>
      </c>
      <c r="W2209" s="705">
        <f t="shared" si="84"/>
        <v>2699</v>
      </c>
      <c r="X2209" s="705">
        <f t="shared" si="85"/>
        <v>7288</v>
      </c>
    </row>
    <row r="2210" spans="2:24">
      <c r="B2210" t="s">
        <v>720</v>
      </c>
      <c r="C2210" t="s">
        <v>116</v>
      </c>
      <c r="D2210" t="s">
        <v>582</v>
      </c>
      <c r="E2210" t="s">
        <v>582</v>
      </c>
      <c r="F2210">
        <v>1</v>
      </c>
      <c r="G2210">
        <v>79</v>
      </c>
      <c r="H2210">
        <v>167</v>
      </c>
      <c r="I2210" s="705">
        <v>7818</v>
      </c>
      <c r="J2210" s="705">
        <v>7107</v>
      </c>
      <c r="K2210">
        <v>91</v>
      </c>
      <c r="L2210">
        <v>0</v>
      </c>
      <c r="M2210">
        <v>0</v>
      </c>
      <c r="N2210" s="705">
        <v>1248</v>
      </c>
      <c r="O2210">
        <v>462</v>
      </c>
      <c r="P2210">
        <v>473</v>
      </c>
      <c r="Q2210">
        <v>175</v>
      </c>
      <c r="R2210" s="705">
        <v>3650</v>
      </c>
      <c r="S2210" s="705">
        <v>3318</v>
      </c>
      <c r="T2210">
        <v>0</v>
      </c>
      <c r="U2210">
        <v>0</v>
      </c>
      <c r="V2210" s="705">
        <v>11063</v>
      </c>
      <c r="W2210" s="705">
        <f t="shared" si="84"/>
        <v>11062</v>
      </c>
      <c r="X2210" s="705">
        <f t="shared" si="85"/>
        <v>13189</v>
      </c>
    </row>
    <row r="2211" spans="2:24">
      <c r="B2211" t="s">
        <v>720</v>
      </c>
      <c r="C2211" t="s">
        <v>116</v>
      </c>
      <c r="D2211" t="s">
        <v>228</v>
      </c>
      <c r="E2211" t="s">
        <v>228</v>
      </c>
      <c r="F2211">
        <v>219</v>
      </c>
      <c r="G2211" s="705">
        <v>15749</v>
      </c>
      <c r="H2211" s="705">
        <v>42867</v>
      </c>
      <c r="I2211" s="705">
        <v>1274963</v>
      </c>
      <c r="J2211" s="705">
        <v>472209</v>
      </c>
      <c r="K2211">
        <v>108</v>
      </c>
      <c r="L2211" s="705">
        <v>140009</v>
      </c>
      <c r="M2211" s="705">
        <v>63555</v>
      </c>
      <c r="N2211" s="705">
        <v>315160</v>
      </c>
      <c r="O2211" s="705">
        <v>116726</v>
      </c>
      <c r="P2211" s="705">
        <v>7238</v>
      </c>
      <c r="Q2211" s="705">
        <v>2681</v>
      </c>
      <c r="R2211" s="705">
        <v>1357014</v>
      </c>
      <c r="S2211" s="705">
        <v>502598</v>
      </c>
      <c r="T2211" s="705">
        <v>1677</v>
      </c>
      <c r="U2211">
        <v>621</v>
      </c>
      <c r="V2211" s="705">
        <v>1158389</v>
      </c>
      <c r="W2211" s="705">
        <f t="shared" si="84"/>
        <v>1158390</v>
      </c>
      <c r="X2211" s="705">
        <f t="shared" si="85"/>
        <v>3096061</v>
      </c>
    </row>
    <row r="2212" spans="2:24">
      <c r="B2212" t="s">
        <v>720</v>
      </c>
      <c r="C2212" t="s">
        <v>116</v>
      </c>
      <c r="D2212" t="s">
        <v>583</v>
      </c>
      <c r="E2212" t="s">
        <v>228</v>
      </c>
      <c r="F2212">
        <v>1</v>
      </c>
      <c r="G2212">
        <v>42</v>
      </c>
      <c r="H2212">
        <v>223</v>
      </c>
      <c r="I2212" s="705">
        <v>4635</v>
      </c>
      <c r="J2212" s="705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705">
        <v>3684</v>
      </c>
      <c r="S2212" s="705">
        <v>1365</v>
      </c>
      <c r="T2212">
        <v>0</v>
      </c>
      <c r="U2212">
        <v>0</v>
      </c>
      <c r="V2212" s="705">
        <v>6000</v>
      </c>
      <c r="W2212" s="705">
        <f t="shared" si="84"/>
        <v>6000</v>
      </c>
      <c r="X2212" s="705">
        <f t="shared" si="85"/>
        <v>9457</v>
      </c>
    </row>
    <row r="2213" spans="2:24">
      <c r="B2213" t="s">
        <v>720</v>
      </c>
      <c r="C2213" t="s">
        <v>116</v>
      </c>
      <c r="D2213" t="s">
        <v>583</v>
      </c>
      <c r="E2213" t="s">
        <v>583</v>
      </c>
      <c r="F2213">
        <v>53</v>
      </c>
      <c r="G2213" s="705">
        <v>4081</v>
      </c>
      <c r="H2213" s="705">
        <v>10198</v>
      </c>
      <c r="I2213" s="705">
        <v>368762</v>
      </c>
      <c r="J2213" s="705">
        <v>335238</v>
      </c>
      <c r="K2213">
        <v>86</v>
      </c>
      <c r="L2213" s="705">
        <v>61364</v>
      </c>
      <c r="M2213" s="705">
        <v>53289</v>
      </c>
      <c r="N2213" s="705">
        <v>77763</v>
      </c>
      <c r="O2213" s="705">
        <v>28801</v>
      </c>
      <c r="P2213" s="705">
        <v>32913</v>
      </c>
      <c r="Q2213" s="705">
        <v>12190</v>
      </c>
      <c r="R2213" s="705">
        <v>188436</v>
      </c>
      <c r="S2213" s="705">
        <v>171305</v>
      </c>
      <c r="T2213" s="705">
        <v>60978</v>
      </c>
      <c r="U2213" s="705">
        <v>22584</v>
      </c>
      <c r="V2213" s="705">
        <v>623408</v>
      </c>
      <c r="W2213" s="705">
        <f t="shared" si="84"/>
        <v>623407</v>
      </c>
      <c r="X2213" s="705">
        <f t="shared" si="85"/>
        <v>790216</v>
      </c>
    </row>
    <row r="2214" spans="2:24">
      <c r="B2214" t="s">
        <v>720</v>
      </c>
      <c r="C2214" t="s">
        <v>116</v>
      </c>
      <c r="D2214" t="s">
        <v>584</v>
      </c>
      <c r="E2214" t="s">
        <v>228</v>
      </c>
      <c r="F2214">
        <v>2</v>
      </c>
      <c r="G2214">
        <v>137</v>
      </c>
      <c r="H2214">
        <v>393</v>
      </c>
      <c r="I2214" s="705">
        <v>11058</v>
      </c>
      <c r="J2214" s="705">
        <v>10052</v>
      </c>
      <c r="K2214">
        <v>85</v>
      </c>
      <c r="L2214" s="705">
        <v>2041</v>
      </c>
      <c r="M2214" s="705">
        <v>1856</v>
      </c>
      <c r="N2214" s="705">
        <v>1933</v>
      </c>
      <c r="O2214">
        <v>716</v>
      </c>
      <c r="P2214">
        <v>945</v>
      </c>
      <c r="Q2214">
        <v>350</v>
      </c>
      <c r="R2214" s="705">
        <v>10834</v>
      </c>
      <c r="S2214" s="705">
        <v>4012</v>
      </c>
      <c r="T2214">
        <v>0</v>
      </c>
      <c r="U2214">
        <v>0</v>
      </c>
      <c r="V2214" s="705">
        <v>16986</v>
      </c>
      <c r="W2214" s="705">
        <f t="shared" si="84"/>
        <v>16986</v>
      </c>
      <c r="X2214" s="705">
        <f t="shared" si="85"/>
        <v>26811</v>
      </c>
    </row>
    <row r="2215" spans="2:24">
      <c r="B2215" t="s">
        <v>720</v>
      </c>
      <c r="C2215" t="s">
        <v>116</v>
      </c>
      <c r="D2215" t="s">
        <v>584</v>
      </c>
      <c r="E2215" t="s">
        <v>584</v>
      </c>
      <c r="F2215">
        <v>555</v>
      </c>
      <c r="G2215" s="705">
        <v>40935</v>
      </c>
      <c r="H2215" s="705">
        <v>101578</v>
      </c>
      <c r="I2215" s="705">
        <v>3433081</v>
      </c>
      <c r="J2215" s="705">
        <v>3120983</v>
      </c>
      <c r="K2215">
        <v>80</v>
      </c>
      <c r="L2215" s="705">
        <v>512715</v>
      </c>
      <c r="M2215" s="705">
        <v>420904</v>
      </c>
      <c r="N2215" s="705">
        <v>840776</v>
      </c>
      <c r="O2215" s="705">
        <v>311399</v>
      </c>
      <c r="P2215" s="705">
        <v>266054</v>
      </c>
      <c r="Q2215" s="705">
        <v>98539</v>
      </c>
      <c r="R2215" s="705">
        <v>2197061</v>
      </c>
      <c r="S2215" s="705">
        <v>1997328</v>
      </c>
      <c r="T2215" s="705">
        <v>263463</v>
      </c>
      <c r="U2215" s="705">
        <v>97579</v>
      </c>
      <c r="V2215" s="705">
        <v>6046731</v>
      </c>
      <c r="W2215" s="705">
        <f t="shared" si="84"/>
        <v>6046732</v>
      </c>
      <c r="X2215" s="705">
        <f t="shared" si="85"/>
        <v>7513150</v>
      </c>
    </row>
    <row r="2216" spans="2:24">
      <c r="B2216" t="s">
        <v>720</v>
      </c>
      <c r="C2216" t="s">
        <v>116</v>
      </c>
      <c r="D2216" t="s">
        <v>665</v>
      </c>
      <c r="E2216" t="s">
        <v>665</v>
      </c>
      <c r="F2216">
        <v>1</v>
      </c>
      <c r="G2216">
        <v>84</v>
      </c>
      <c r="H2216">
        <v>222</v>
      </c>
      <c r="I2216" s="705">
        <v>12940</v>
      </c>
      <c r="J2216" s="705">
        <v>11764</v>
      </c>
      <c r="K2216">
        <v>65</v>
      </c>
      <c r="L2216">
        <v>0</v>
      </c>
      <c r="M2216">
        <v>0</v>
      </c>
      <c r="N2216" s="705">
        <v>1572</v>
      </c>
      <c r="O2216">
        <v>582</v>
      </c>
      <c r="P2216">
        <v>351</v>
      </c>
      <c r="Q2216">
        <v>130</v>
      </c>
      <c r="R2216" s="705">
        <v>4631</v>
      </c>
      <c r="S2216" s="705">
        <v>4210</v>
      </c>
      <c r="T2216" s="705">
        <v>2552</v>
      </c>
      <c r="U2216">
        <v>945</v>
      </c>
      <c r="V2216" s="705">
        <v>17631</v>
      </c>
      <c r="W2216" s="705">
        <f t="shared" si="84"/>
        <v>17631</v>
      </c>
      <c r="X2216" s="705">
        <f t="shared" si="85"/>
        <v>22046</v>
      </c>
    </row>
    <row r="2217" spans="2:24">
      <c r="B2217" t="s">
        <v>720</v>
      </c>
      <c r="C2217" t="s">
        <v>118</v>
      </c>
      <c r="F2217">
        <v>5</v>
      </c>
      <c r="G2217">
        <v>279</v>
      </c>
      <c r="H2217" s="705">
        <v>1284</v>
      </c>
      <c r="J2217">
        <v>0</v>
      </c>
      <c r="M2217">
        <v>0</v>
      </c>
      <c r="N2217" s="705">
        <v>6223</v>
      </c>
      <c r="O2217" s="705">
        <v>2305</v>
      </c>
      <c r="P2217" s="705">
        <v>1877</v>
      </c>
      <c r="Q2217">
        <v>695</v>
      </c>
      <c r="S2217">
        <v>0</v>
      </c>
      <c r="T2217">
        <v>0</v>
      </c>
      <c r="U2217">
        <v>0</v>
      </c>
      <c r="V2217" s="705">
        <v>3000</v>
      </c>
      <c r="W2217" s="705">
        <f t="shared" si="84"/>
        <v>3000</v>
      </c>
      <c r="X2217" s="705">
        <f t="shared" si="85"/>
        <v>8100</v>
      </c>
    </row>
    <row r="2218" spans="2:24">
      <c r="B2218" t="s">
        <v>720</v>
      </c>
      <c r="C2218" t="s">
        <v>118</v>
      </c>
      <c r="D2218" t="s">
        <v>228</v>
      </c>
      <c r="E2218" t="s">
        <v>580</v>
      </c>
      <c r="F2218">
        <v>1</v>
      </c>
      <c r="G2218">
        <v>42</v>
      </c>
      <c r="H2218">
        <v>231</v>
      </c>
      <c r="I2218" s="705">
        <v>3508</v>
      </c>
      <c r="J2218" s="705">
        <v>1299</v>
      </c>
      <c r="K2218">
        <v>100</v>
      </c>
      <c r="L2218">
        <v>390</v>
      </c>
      <c r="M2218">
        <v>144</v>
      </c>
      <c r="N2218" s="705">
        <v>1029</v>
      </c>
      <c r="O2218">
        <v>381</v>
      </c>
      <c r="P2218">
        <v>0</v>
      </c>
      <c r="Q2218">
        <v>0</v>
      </c>
      <c r="R2218" s="705">
        <v>4814</v>
      </c>
      <c r="S2218" s="705">
        <v>1783</v>
      </c>
      <c r="T2218">
        <v>0</v>
      </c>
      <c r="U2218">
        <v>0</v>
      </c>
      <c r="V2218" s="705">
        <v>3608</v>
      </c>
      <c r="W2218" s="705">
        <f t="shared" si="84"/>
        <v>3607</v>
      </c>
      <c r="X2218" s="705">
        <f t="shared" si="85"/>
        <v>9741</v>
      </c>
    </row>
    <row r="2219" spans="2:24">
      <c r="B2219" t="s">
        <v>720</v>
      </c>
      <c r="C2219" t="s">
        <v>118</v>
      </c>
      <c r="D2219" t="s">
        <v>228</v>
      </c>
      <c r="E2219" t="s">
        <v>228</v>
      </c>
      <c r="F2219">
        <v>298</v>
      </c>
      <c r="G2219" s="705">
        <v>20214</v>
      </c>
      <c r="H2219" s="705">
        <v>78083</v>
      </c>
      <c r="I2219" s="705">
        <v>2648858</v>
      </c>
      <c r="J2219" s="705">
        <v>981059</v>
      </c>
      <c r="K2219">
        <v>100</v>
      </c>
      <c r="L2219" s="705">
        <v>317593</v>
      </c>
      <c r="M2219" s="705">
        <v>154458</v>
      </c>
      <c r="N2219" s="705">
        <v>429268</v>
      </c>
      <c r="O2219" s="705">
        <v>158988</v>
      </c>
      <c r="P2219" s="705">
        <v>4704</v>
      </c>
      <c r="Q2219" s="705">
        <v>1742</v>
      </c>
      <c r="R2219" s="705">
        <v>1906688</v>
      </c>
      <c r="S2219" s="705">
        <v>706181</v>
      </c>
      <c r="T2219" s="705">
        <v>1628</v>
      </c>
      <c r="U2219">
        <v>603</v>
      </c>
      <c r="V2219" s="705">
        <v>2003031</v>
      </c>
      <c r="W2219" s="705">
        <f t="shared" ref="W2219:W2253" si="86">SUM(ABS(J2219),ABS(M2219),ABS(O2219),ABS(Q2219),ABS(S2219),ABS(U2219))</f>
        <v>2003031</v>
      </c>
      <c r="X2219" s="705">
        <f t="shared" ref="X2219:X2253" si="87">SUM(ABS(I2219),ABS(N2219),ABS(P2219),ABS(R2219),ABS(T2219),ABS(L2219))</f>
        <v>5308739</v>
      </c>
    </row>
    <row r="2220" spans="2:24">
      <c r="B2220" t="s">
        <v>720</v>
      </c>
      <c r="C2220" t="s">
        <v>118</v>
      </c>
      <c r="D2220" t="s">
        <v>583</v>
      </c>
      <c r="E2220" t="s">
        <v>228</v>
      </c>
      <c r="F2220">
        <v>1</v>
      </c>
      <c r="G2220">
        <v>43</v>
      </c>
      <c r="H2220">
        <v>299</v>
      </c>
      <c r="I2220" s="705">
        <v>5499</v>
      </c>
      <c r="J2220" s="705">
        <v>5000</v>
      </c>
      <c r="K2220">
        <v>93</v>
      </c>
      <c r="L2220" s="705">
        <v>1796</v>
      </c>
      <c r="M2220" s="705">
        <v>1633</v>
      </c>
      <c r="N2220" s="705">
        <v>1055</v>
      </c>
      <c r="O2220">
        <v>391</v>
      </c>
      <c r="P2220">
        <v>621</v>
      </c>
      <c r="Q2220">
        <v>230</v>
      </c>
      <c r="R2220" s="705">
        <v>3976</v>
      </c>
      <c r="S2220" s="705">
        <v>1473</v>
      </c>
      <c r="T2220">
        <v>0</v>
      </c>
      <c r="U2220">
        <v>0</v>
      </c>
      <c r="V2220" s="705">
        <v>8726</v>
      </c>
      <c r="W2220" s="705">
        <f t="shared" si="86"/>
        <v>8727</v>
      </c>
      <c r="X2220" s="705">
        <f t="shared" si="87"/>
        <v>12947</v>
      </c>
    </row>
    <row r="2221" spans="2:24">
      <c r="B2221" t="s">
        <v>720</v>
      </c>
      <c r="C2221" t="s">
        <v>118</v>
      </c>
      <c r="D2221" t="s">
        <v>583</v>
      </c>
      <c r="E2221" t="s">
        <v>583</v>
      </c>
      <c r="F2221">
        <v>53</v>
      </c>
      <c r="G2221" s="705">
        <v>3746</v>
      </c>
      <c r="H2221" s="705">
        <v>13959</v>
      </c>
      <c r="I2221" s="705">
        <v>518135</v>
      </c>
      <c r="J2221" s="705">
        <v>471032</v>
      </c>
      <c r="K2221">
        <v>83</v>
      </c>
      <c r="L2221" s="705">
        <v>124651</v>
      </c>
      <c r="M2221" s="705">
        <v>102517</v>
      </c>
      <c r="N2221" s="705">
        <v>75158</v>
      </c>
      <c r="O2221" s="705">
        <v>27836</v>
      </c>
      <c r="P2221" s="705">
        <v>33615</v>
      </c>
      <c r="Q2221" s="705">
        <v>12450</v>
      </c>
      <c r="R2221" s="705">
        <v>217949</v>
      </c>
      <c r="S2221" s="705">
        <v>198135</v>
      </c>
      <c r="T2221" s="705">
        <v>51114</v>
      </c>
      <c r="U2221" s="705">
        <v>18931</v>
      </c>
      <c r="V2221" s="705">
        <v>830902</v>
      </c>
      <c r="W2221" s="705">
        <f t="shared" si="86"/>
        <v>830901</v>
      </c>
      <c r="X2221" s="705">
        <f t="shared" si="87"/>
        <v>1020622</v>
      </c>
    </row>
    <row r="2222" spans="2:24">
      <c r="B2222" t="s">
        <v>720</v>
      </c>
      <c r="C2222" t="s">
        <v>118</v>
      </c>
      <c r="D2222" t="s">
        <v>584</v>
      </c>
      <c r="E2222" t="s">
        <v>228</v>
      </c>
      <c r="F2222">
        <v>2</v>
      </c>
      <c r="G2222">
        <v>121</v>
      </c>
      <c r="H2222">
        <v>474</v>
      </c>
      <c r="I2222" s="705">
        <v>13358</v>
      </c>
      <c r="J2222" s="705">
        <v>12143</v>
      </c>
      <c r="K2222">
        <v>79</v>
      </c>
      <c r="L2222" s="705">
        <v>2525</v>
      </c>
      <c r="M2222" s="705">
        <v>2296</v>
      </c>
      <c r="N2222" s="705">
        <v>2441</v>
      </c>
      <c r="O2222">
        <v>904</v>
      </c>
      <c r="P2222">
        <v>945</v>
      </c>
      <c r="Q2222">
        <v>350</v>
      </c>
      <c r="R2222" s="705">
        <v>9523</v>
      </c>
      <c r="S2222" s="705">
        <v>3527</v>
      </c>
      <c r="T2222">
        <v>0</v>
      </c>
      <c r="U2222">
        <v>0</v>
      </c>
      <c r="V2222" s="705">
        <v>19220</v>
      </c>
      <c r="W2222" s="705">
        <f t="shared" si="86"/>
        <v>19220</v>
      </c>
      <c r="X2222" s="705">
        <f t="shared" si="87"/>
        <v>28792</v>
      </c>
    </row>
    <row r="2223" spans="2:24">
      <c r="B2223" t="s">
        <v>720</v>
      </c>
      <c r="C2223" t="s">
        <v>118</v>
      </c>
      <c r="D2223" t="s">
        <v>584</v>
      </c>
      <c r="E2223" t="s">
        <v>584</v>
      </c>
      <c r="F2223">
        <v>154</v>
      </c>
      <c r="G2223" s="705">
        <v>9489</v>
      </c>
      <c r="H2223" s="705">
        <v>39542</v>
      </c>
      <c r="I2223" s="705">
        <v>1216418</v>
      </c>
      <c r="J2223" s="705">
        <v>1105835</v>
      </c>
      <c r="K2223">
        <v>78</v>
      </c>
      <c r="L2223" s="705">
        <v>205653</v>
      </c>
      <c r="M2223" s="705">
        <v>177258</v>
      </c>
      <c r="N2223" s="705">
        <v>188687</v>
      </c>
      <c r="O2223" s="705">
        <v>69884</v>
      </c>
      <c r="P2223" s="705">
        <v>72401</v>
      </c>
      <c r="Q2223" s="705">
        <v>26815</v>
      </c>
      <c r="R2223" s="705">
        <v>638694</v>
      </c>
      <c r="S2223" s="705">
        <v>580631</v>
      </c>
      <c r="T2223" s="705">
        <v>120705</v>
      </c>
      <c r="U2223" s="705">
        <v>44705</v>
      </c>
      <c r="V2223" s="705">
        <v>2005128</v>
      </c>
      <c r="W2223" s="705">
        <f t="shared" si="86"/>
        <v>2005128</v>
      </c>
      <c r="X2223" s="705">
        <f t="shared" si="87"/>
        <v>2442558</v>
      </c>
    </row>
    <row r="2224" spans="2:24">
      <c r="B2224" t="s">
        <v>720</v>
      </c>
      <c r="C2224" t="s">
        <v>118</v>
      </c>
      <c r="D2224" t="s">
        <v>665</v>
      </c>
      <c r="E2224" t="s">
        <v>665</v>
      </c>
      <c r="F2224">
        <v>1</v>
      </c>
      <c r="G2224">
        <v>59</v>
      </c>
      <c r="H2224">
        <v>255</v>
      </c>
      <c r="I2224" s="705">
        <v>6861</v>
      </c>
      <c r="J2224" s="705">
        <v>6237</v>
      </c>
      <c r="K2224">
        <v>55</v>
      </c>
      <c r="L2224" s="705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705">
        <v>4325</v>
      </c>
      <c r="S2224" s="705">
        <v>3932</v>
      </c>
      <c r="T2224" s="705">
        <v>1789</v>
      </c>
      <c r="U2224">
        <v>663</v>
      </c>
      <c r="V2224" s="705">
        <v>11610</v>
      </c>
      <c r="W2224" s="705">
        <f t="shared" si="86"/>
        <v>11610</v>
      </c>
      <c r="X2224" s="705">
        <f t="shared" si="87"/>
        <v>15076</v>
      </c>
    </row>
    <row r="2225" spans="2:24">
      <c r="B2225" t="s">
        <v>720</v>
      </c>
      <c r="C2225" t="s">
        <v>120</v>
      </c>
      <c r="F2225">
        <v>8</v>
      </c>
      <c r="G2225">
        <v>376</v>
      </c>
      <c r="H2225" s="705">
        <v>2674</v>
      </c>
      <c r="J2225">
        <v>0</v>
      </c>
      <c r="M2225">
        <v>0</v>
      </c>
      <c r="N2225" s="705">
        <v>8450</v>
      </c>
      <c r="O2225" s="705">
        <v>3130</v>
      </c>
      <c r="P2225" s="705">
        <v>4131</v>
      </c>
      <c r="Q2225" s="705">
        <v>1530</v>
      </c>
      <c r="S2225">
        <v>0</v>
      </c>
      <c r="T2225" s="705">
        <v>1554</v>
      </c>
      <c r="U2225">
        <v>575</v>
      </c>
      <c r="V2225" s="705">
        <v>5235</v>
      </c>
      <c r="W2225" s="705">
        <f t="shared" si="86"/>
        <v>5235</v>
      </c>
      <c r="X2225" s="705">
        <f t="shared" si="87"/>
        <v>14135</v>
      </c>
    </row>
    <row r="2226" spans="2:24">
      <c r="B2226" t="s">
        <v>720</v>
      </c>
      <c r="C2226" t="s">
        <v>120</v>
      </c>
      <c r="D2226" t="s">
        <v>664</v>
      </c>
      <c r="E2226" t="s">
        <v>664</v>
      </c>
      <c r="F2226">
        <v>2</v>
      </c>
      <c r="G2226">
        <v>117</v>
      </c>
      <c r="H2226">
        <v>687</v>
      </c>
      <c r="I2226" s="705">
        <v>31790</v>
      </c>
      <c r="J2226" s="705">
        <v>28900</v>
      </c>
      <c r="K2226">
        <v>69</v>
      </c>
      <c r="L2226" s="705">
        <v>3467</v>
      </c>
      <c r="M2226" s="705">
        <v>3152</v>
      </c>
      <c r="N2226" s="705">
        <v>2446</v>
      </c>
      <c r="O2226">
        <v>906</v>
      </c>
      <c r="P2226">
        <v>945</v>
      </c>
      <c r="Q2226">
        <v>350</v>
      </c>
      <c r="R2226" s="705">
        <v>5709</v>
      </c>
      <c r="S2226" s="705">
        <v>5190</v>
      </c>
      <c r="T2226">
        <v>0</v>
      </c>
      <c r="U2226">
        <v>0</v>
      </c>
      <c r="V2226" s="705">
        <v>38498</v>
      </c>
      <c r="W2226" s="705">
        <f t="shared" si="86"/>
        <v>38498</v>
      </c>
      <c r="X2226" s="705">
        <f t="shared" si="87"/>
        <v>44357</v>
      </c>
    </row>
    <row r="2227" spans="2:24">
      <c r="B2227" t="s">
        <v>720</v>
      </c>
      <c r="C2227" t="s">
        <v>120</v>
      </c>
      <c r="D2227" t="s">
        <v>228</v>
      </c>
      <c r="E2227" t="s">
        <v>228</v>
      </c>
      <c r="F2227">
        <v>136</v>
      </c>
      <c r="G2227" s="705">
        <v>8164</v>
      </c>
      <c r="H2227" s="705">
        <v>45950</v>
      </c>
      <c r="I2227" s="705">
        <v>1646203</v>
      </c>
      <c r="J2227" s="705">
        <v>609705</v>
      </c>
      <c r="K2227">
        <v>100</v>
      </c>
      <c r="L2227" s="705">
        <v>150663</v>
      </c>
      <c r="M2227" s="705">
        <v>81284</v>
      </c>
      <c r="N2227" s="705">
        <v>163854</v>
      </c>
      <c r="O2227" s="705">
        <v>60687</v>
      </c>
      <c r="P2227" s="705">
        <v>1053</v>
      </c>
      <c r="Q2227">
        <v>390</v>
      </c>
      <c r="R2227" s="705">
        <v>795242</v>
      </c>
      <c r="S2227" s="705">
        <v>294534</v>
      </c>
      <c r="T2227">
        <v>0</v>
      </c>
      <c r="U2227">
        <v>0</v>
      </c>
      <c r="V2227" s="705">
        <v>1046599</v>
      </c>
      <c r="W2227" s="705">
        <f t="shared" si="86"/>
        <v>1046600</v>
      </c>
      <c r="X2227" s="705">
        <f t="shared" si="87"/>
        <v>2757015</v>
      </c>
    </row>
    <row r="2228" spans="2:24">
      <c r="B2228" t="s">
        <v>720</v>
      </c>
      <c r="C2228" t="s">
        <v>120</v>
      </c>
      <c r="D2228" t="s">
        <v>228</v>
      </c>
      <c r="E2228" t="s">
        <v>665</v>
      </c>
      <c r="F2228">
        <v>2</v>
      </c>
      <c r="G2228">
        <v>80</v>
      </c>
      <c r="H2228">
        <v>700</v>
      </c>
      <c r="I2228" s="705">
        <v>12425</v>
      </c>
      <c r="J2228" s="705">
        <v>4602</v>
      </c>
      <c r="K2228">
        <v>100</v>
      </c>
      <c r="L2228" s="705">
        <v>1125</v>
      </c>
      <c r="M2228" s="705">
        <v>1023</v>
      </c>
      <c r="N2228" s="705">
        <v>1281</v>
      </c>
      <c r="O2228">
        <v>474</v>
      </c>
      <c r="P2228">
        <v>0</v>
      </c>
      <c r="Q2228">
        <v>0</v>
      </c>
      <c r="R2228" s="705">
        <v>11322</v>
      </c>
      <c r="S2228" s="705">
        <v>10293</v>
      </c>
      <c r="T2228" s="705">
        <v>1846</v>
      </c>
      <c r="U2228">
        <v>684</v>
      </c>
      <c r="V2228" s="705">
        <v>17076</v>
      </c>
      <c r="W2228" s="705">
        <f t="shared" si="86"/>
        <v>17076</v>
      </c>
      <c r="X2228" s="705">
        <f t="shared" si="87"/>
        <v>27999</v>
      </c>
    </row>
    <row r="2229" spans="2:24">
      <c r="B2229" t="s">
        <v>720</v>
      </c>
      <c r="C2229" t="s">
        <v>120</v>
      </c>
      <c r="D2229" t="s">
        <v>583</v>
      </c>
      <c r="E2229" t="s">
        <v>583</v>
      </c>
      <c r="F2229">
        <v>20</v>
      </c>
      <c r="G2229" s="705">
        <v>1482</v>
      </c>
      <c r="H2229" s="705">
        <v>6735</v>
      </c>
      <c r="I2229" s="705">
        <v>333468</v>
      </c>
      <c r="J2229" s="705">
        <v>303153</v>
      </c>
      <c r="K2229">
        <v>82</v>
      </c>
      <c r="L2229" s="705">
        <v>63066</v>
      </c>
      <c r="M2229" s="705">
        <v>50635</v>
      </c>
      <c r="N2229" s="705">
        <v>34631</v>
      </c>
      <c r="O2229" s="705">
        <v>12826</v>
      </c>
      <c r="P2229" s="705">
        <v>12420</v>
      </c>
      <c r="Q2229" s="705">
        <v>4600</v>
      </c>
      <c r="R2229" s="705">
        <v>77100</v>
      </c>
      <c r="S2229" s="705">
        <v>70090</v>
      </c>
      <c r="T2229" s="705">
        <v>31934</v>
      </c>
      <c r="U2229" s="705">
        <v>11827</v>
      </c>
      <c r="V2229" s="705">
        <v>453132</v>
      </c>
      <c r="W2229" s="705">
        <f t="shared" si="86"/>
        <v>453131</v>
      </c>
      <c r="X2229" s="705">
        <f t="shared" si="87"/>
        <v>552619</v>
      </c>
    </row>
    <row r="2230" spans="2:24">
      <c r="B2230" t="s">
        <v>720</v>
      </c>
      <c r="C2230" t="s">
        <v>120</v>
      </c>
      <c r="D2230" t="s">
        <v>584</v>
      </c>
      <c r="E2230" t="s">
        <v>228</v>
      </c>
      <c r="F2230">
        <v>6</v>
      </c>
      <c r="G2230">
        <v>338</v>
      </c>
      <c r="H2230" s="705">
        <v>2095</v>
      </c>
      <c r="I2230" s="705">
        <v>42318</v>
      </c>
      <c r="J2230" s="705">
        <v>38471</v>
      </c>
      <c r="K2230">
        <v>75</v>
      </c>
      <c r="L2230" s="705">
        <v>10928</v>
      </c>
      <c r="M2230" s="705">
        <v>8912</v>
      </c>
      <c r="N2230" s="705">
        <v>7521</v>
      </c>
      <c r="O2230" s="705">
        <v>2786</v>
      </c>
      <c r="P2230" s="705">
        <v>2835</v>
      </c>
      <c r="Q2230" s="705">
        <v>1050</v>
      </c>
      <c r="R2230" s="705">
        <v>54147</v>
      </c>
      <c r="S2230" s="705">
        <v>20054</v>
      </c>
      <c r="T2230">
        <v>0</v>
      </c>
      <c r="U2230">
        <v>0</v>
      </c>
      <c r="V2230" s="705">
        <v>71274</v>
      </c>
      <c r="W2230" s="705">
        <f t="shared" si="86"/>
        <v>71273</v>
      </c>
      <c r="X2230" s="705">
        <f t="shared" si="87"/>
        <v>117749</v>
      </c>
    </row>
    <row r="2231" spans="2:24">
      <c r="B2231" t="s">
        <v>720</v>
      </c>
      <c r="C2231" t="s">
        <v>120</v>
      </c>
      <c r="D2231" t="s">
        <v>584</v>
      </c>
      <c r="E2231" t="s">
        <v>584</v>
      </c>
      <c r="F2231">
        <v>52</v>
      </c>
      <c r="G2231" s="705">
        <v>3042</v>
      </c>
      <c r="H2231" s="705">
        <v>17452</v>
      </c>
      <c r="I2231" s="705">
        <v>557362</v>
      </c>
      <c r="J2231" s="705">
        <v>506693</v>
      </c>
      <c r="K2231">
        <v>77</v>
      </c>
      <c r="L2231" s="705">
        <v>106614</v>
      </c>
      <c r="M2231" s="705">
        <v>95426</v>
      </c>
      <c r="N2231" s="705">
        <v>64110</v>
      </c>
      <c r="O2231" s="705">
        <v>23744</v>
      </c>
      <c r="P2231" s="705">
        <v>24449</v>
      </c>
      <c r="Q2231" s="705">
        <v>9055</v>
      </c>
      <c r="R2231" s="705">
        <v>199875</v>
      </c>
      <c r="S2231" s="705">
        <v>181705</v>
      </c>
      <c r="T2231" s="705">
        <v>75648</v>
      </c>
      <c r="U2231" s="705">
        <v>28018</v>
      </c>
      <c r="V2231" s="705">
        <v>844641</v>
      </c>
      <c r="W2231" s="705">
        <f t="shared" si="86"/>
        <v>844641</v>
      </c>
      <c r="X2231" s="705">
        <f t="shared" si="87"/>
        <v>1028058</v>
      </c>
    </row>
    <row r="2232" spans="2:24">
      <c r="B2232" t="s">
        <v>720</v>
      </c>
      <c r="C2232" t="s">
        <v>120</v>
      </c>
      <c r="D2232" t="s">
        <v>665</v>
      </c>
      <c r="E2232" t="s">
        <v>228</v>
      </c>
      <c r="F2232">
        <v>1</v>
      </c>
      <c r="G2232">
        <v>59</v>
      </c>
      <c r="H2232">
        <v>324</v>
      </c>
      <c r="I2232" s="705">
        <v>11110</v>
      </c>
      <c r="J2232" s="705">
        <v>10100</v>
      </c>
      <c r="K2232">
        <v>30</v>
      </c>
      <c r="L2232" s="705">
        <v>1234</v>
      </c>
      <c r="M2232" s="705">
        <v>1122</v>
      </c>
      <c r="N2232" s="705">
        <v>1123</v>
      </c>
      <c r="O2232">
        <v>416</v>
      </c>
      <c r="P2232">
        <v>0</v>
      </c>
      <c r="Q2232">
        <v>0</v>
      </c>
      <c r="R2232" s="705">
        <v>5689</v>
      </c>
      <c r="S2232" s="705">
        <v>2107</v>
      </c>
      <c r="T2232">
        <v>0</v>
      </c>
      <c r="U2232">
        <v>0</v>
      </c>
      <c r="V2232" s="705">
        <v>13745</v>
      </c>
      <c r="W2232" s="705">
        <f t="shared" si="86"/>
        <v>13745</v>
      </c>
      <c r="X2232" s="705">
        <f t="shared" si="87"/>
        <v>19156</v>
      </c>
    </row>
    <row r="2233" spans="2:24">
      <c r="B2233" t="s">
        <v>720</v>
      </c>
      <c r="C2233" t="s">
        <v>120</v>
      </c>
      <c r="D2233" t="s">
        <v>665</v>
      </c>
      <c r="E2233" t="s">
        <v>665</v>
      </c>
      <c r="F2233">
        <v>1</v>
      </c>
      <c r="G2233">
        <v>43</v>
      </c>
      <c r="H2233">
        <v>353</v>
      </c>
      <c r="I2233" s="705">
        <v>8766</v>
      </c>
      <c r="J2233" s="705">
        <v>7969</v>
      </c>
      <c r="K2233">
        <v>50</v>
      </c>
      <c r="L2233">
        <v>0</v>
      </c>
      <c r="M2233">
        <v>0</v>
      </c>
      <c r="N2233" s="705">
        <v>1041</v>
      </c>
      <c r="O2233">
        <v>385</v>
      </c>
      <c r="P2233">
        <v>0</v>
      </c>
      <c r="Q2233">
        <v>0</v>
      </c>
      <c r="R2233" s="705">
        <v>3612</v>
      </c>
      <c r="S2233" s="705">
        <v>3284</v>
      </c>
      <c r="T2233" s="705">
        <v>1640</v>
      </c>
      <c r="U2233">
        <v>607</v>
      </c>
      <c r="V2233" s="705">
        <v>12246</v>
      </c>
      <c r="W2233" s="705">
        <f t="shared" si="86"/>
        <v>12245</v>
      </c>
      <c r="X2233" s="705">
        <f t="shared" si="87"/>
        <v>15059</v>
      </c>
    </row>
    <row r="2234" spans="2:24">
      <c r="B2234" t="s">
        <v>720</v>
      </c>
      <c r="C2234" t="s">
        <v>122</v>
      </c>
      <c r="F2234">
        <v>8</v>
      </c>
      <c r="G2234">
        <v>380</v>
      </c>
      <c r="H2234" s="705">
        <v>3335</v>
      </c>
      <c r="J2234">
        <v>0</v>
      </c>
      <c r="M2234">
        <v>0</v>
      </c>
      <c r="N2234" s="705">
        <v>6339</v>
      </c>
      <c r="O2234" s="705">
        <v>2348</v>
      </c>
      <c r="P2234" s="705">
        <v>3065</v>
      </c>
      <c r="Q2234" s="705">
        <v>1135</v>
      </c>
      <c r="S2234">
        <v>0</v>
      </c>
      <c r="T2234" s="705">
        <v>4839</v>
      </c>
      <c r="U2234" s="705">
        <v>1792</v>
      </c>
      <c r="V2234" s="705">
        <v>5275</v>
      </c>
      <c r="W2234" s="705">
        <f t="shared" si="86"/>
        <v>5275</v>
      </c>
      <c r="X2234" s="705">
        <f t="shared" si="87"/>
        <v>14243</v>
      </c>
    </row>
    <row r="2235" spans="2:24">
      <c r="B2235" t="s">
        <v>720</v>
      </c>
      <c r="C2235" t="s">
        <v>122</v>
      </c>
      <c r="D2235" t="s">
        <v>582</v>
      </c>
      <c r="E2235" t="s">
        <v>582</v>
      </c>
      <c r="F2235">
        <v>1</v>
      </c>
      <c r="G2235">
        <v>87</v>
      </c>
      <c r="H2235">
        <v>437</v>
      </c>
      <c r="I2235" s="705">
        <v>26023</v>
      </c>
      <c r="J2235" s="705">
        <v>23657</v>
      </c>
      <c r="K2235">
        <v>80</v>
      </c>
      <c r="L2235" s="705">
        <v>7325</v>
      </c>
      <c r="M2235" s="705">
        <v>6659</v>
      </c>
      <c r="N2235" s="705">
        <v>1327</v>
      </c>
      <c r="O2235">
        <v>491</v>
      </c>
      <c r="P2235">
        <v>473</v>
      </c>
      <c r="Q2235">
        <v>175</v>
      </c>
      <c r="R2235" s="705">
        <v>2949</v>
      </c>
      <c r="S2235" s="705">
        <v>2681</v>
      </c>
      <c r="T2235">
        <v>0</v>
      </c>
      <c r="U2235">
        <v>0</v>
      </c>
      <c r="V2235" s="705">
        <v>33663</v>
      </c>
      <c r="W2235" s="705">
        <f t="shared" si="86"/>
        <v>33663</v>
      </c>
      <c r="X2235" s="705">
        <f t="shared" si="87"/>
        <v>38097</v>
      </c>
    </row>
    <row r="2236" spans="2:24">
      <c r="B2236" t="s">
        <v>720</v>
      </c>
      <c r="C2236" t="s">
        <v>122</v>
      </c>
      <c r="D2236" t="s">
        <v>228</v>
      </c>
      <c r="E2236" t="s">
        <v>228</v>
      </c>
      <c r="F2236">
        <v>34</v>
      </c>
      <c r="G2236" s="705">
        <v>1926</v>
      </c>
      <c r="H2236" s="705">
        <v>14069</v>
      </c>
      <c r="I2236" s="705">
        <v>539688</v>
      </c>
      <c r="J2236" s="705">
        <v>199884</v>
      </c>
      <c r="K2236">
        <v>100</v>
      </c>
      <c r="L2236" s="705">
        <v>43140</v>
      </c>
      <c r="M2236" s="705">
        <v>21898</v>
      </c>
      <c r="N2236" s="705">
        <v>37034</v>
      </c>
      <c r="O2236" s="705">
        <v>13716</v>
      </c>
      <c r="P2236" s="705">
        <v>1526</v>
      </c>
      <c r="Q2236">
        <v>565</v>
      </c>
      <c r="R2236" s="705">
        <v>175637</v>
      </c>
      <c r="S2236" s="705">
        <v>65051</v>
      </c>
      <c r="T2236">
        <v>0</v>
      </c>
      <c r="U2236">
        <v>0</v>
      </c>
      <c r="V2236" s="705">
        <v>301114</v>
      </c>
      <c r="W2236" s="705">
        <f t="shared" si="86"/>
        <v>301114</v>
      </c>
      <c r="X2236" s="705">
        <f t="shared" si="87"/>
        <v>797025</v>
      </c>
    </row>
    <row r="2237" spans="2:24">
      <c r="B2237" t="s">
        <v>720</v>
      </c>
      <c r="C2237" t="s">
        <v>122</v>
      </c>
      <c r="D2237" t="s">
        <v>583</v>
      </c>
      <c r="E2237" t="s">
        <v>583</v>
      </c>
      <c r="F2237">
        <v>13</v>
      </c>
      <c r="G2237" s="705">
        <v>1293</v>
      </c>
      <c r="H2237" s="705">
        <v>5439</v>
      </c>
      <c r="I2237" s="705">
        <v>350422</v>
      </c>
      <c r="J2237" s="705">
        <v>318566</v>
      </c>
      <c r="K2237">
        <v>77</v>
      </c>
      <c r="L2237" s="705">
        <v>78417</v>
      </c>
      <c r="M2237" s="705">
        <v>60961</v>
      </c>
      <c r="N2237" s="705">
        <v>31229</v>
      </c>
      <c r="O2237" s="705">
        <v>11566</v>
      </c>
      <c r="P2237" s="705">
        <v>8073</v>
      </c>
      <c r="Q2237" s="705">
        <v>2990</v>
      </c>
      <c r="R2237" s="705">
        <v>71232</v>
      </c>
      <c r="S2237" s="705">
        <v>64756</v>
      </c>
      <c r="T2237" s="705">
        <v>17950</v>
      </c>
      <c r="U2237" s="705">
        <v>6648</v>
      </c>
      <c r="V2237" s="705">
        <v>465487</v>
      </c>
      <c r="W2237" s="705">
        <f t="shared" si="86"/>
        <v>465487</v>
      </c>
      <c r="X2237" s="705">
        <f t="shared" si="87"/>
        <v>557323</v>
      </c>
    </row>
    <row r="2238" spans="2:24">
      <c r="B2238" t="s">
        <v>720</v>
      </c>
      <c r="C2238" t="s">
        <v>122</v>
      </c>
      <c r="D2238" t="s">
        <v>584</v>
      </c>
      <c r="E2238" t="s">
        <v>228</v>
      </c>
      <c r="F2238">
        <v>4</v>
      </c>
      <c r="G2238">
        <v>198</v>
      </c>
      <c r="H2238" s="705">
        <v>1623</v>
      </c>
      <c r="I2238" s="705">
        <v>31466</v>
      </c>
      <c r="J2238" s="705">
        <v>28605</v>
      </c>
      <c r="K2238">
        <v>73</v>
      </c>
      <c r="L2238" s="705">
        <v>4614</v>
      </c>
      <c r="M2238" s="705">
        <v>2926</v>
      </c>
      <c r="N2238" s="705">
        <v>4835</v>
      </c>
      <c r="O2238" s="705">
        <v>1791</v>
      </c>
      <c r="P2238" s="705">
        <v>1890</v>
      </c>
      <c r="Q2238">
        <v>700</v>
      </c>
      <c r="R2238" s="705">
        <v>37241</v>
      </c>
      <c r="S2238" s="705">
        <v>13793</v>
      </c>
      <c r="T2238">
        <v>0</v>
      </c>
      <c r="U2238">
        <v>0</v>
      </c>
      <c r="V2238" s="705">
        <v>47815</v>
      </c>
      <c r="W2238" s="705">
        <f t="shared" si="86"/>
        <v>47815</v>
      </c>
      <c r="X2238" s="705">
        <f t="shared" si="87"/>
        <v>80046</v>
      </c>
    </row>
    <row r="2239" spans="2:24">
      <c r="B2239" t="s">
        <v>720</v>
      </c>
      <c r="C2239" t="s">
        <v>122</v>
      </c>
      <c r="D2239" t="s">
        <v>584</v>
      </c>
      <c r="E2239" t="s">
        <v>584</v>
      </c>
      <c r="F2239">
        <v>17</v>
      </c>
      <c r="G2239" s="705">
        <v>1083</v>
      </c>
      <c r="H2239" s="705">
        <v>7076</v>
      </c>
      <c r="I2239" s="705">
        <v>273561</v>
      </c>
      <c r="J2239" s="705">
        <v>248692</v>
      </c>
      <c r="K2239">
        <v>74</v>
      </c>
      <c r="L2239" s="705">
        <v>52215</v>
      </c>
      <c r="M2239" s="705">
        <v>42668</v>
      </c>
      <c r="N2239" s="705">
        <v>22810</v>
      </c>
      <c r="O2239" s="705">
        <v>8448</v>
      </c>
      <c r="P2239" s="705">
        <v>7911</v>
      </c>
      <c r="Q2239" s="705">
        <v>2930</v>
      </c>
      <c r="R2239" s="705">
        <v>70453</v>
      </c>
      <c r="S2239" s="705">
        <v>64048</v>
      </c>
      <c r="T2239" s="705">
        <v>23311</v>
      </c>
      <c r="U2239" s="705">
        <v>8634</v>
      </c>
      <c r="V2239" s="705">
        <v>375419</v>
      </c>
      <c r="W2239" s="705">
        <f t="shared" si="86"/>
        <v>375420</v>
      </c>
      <c r="X2239" s="705">
        <f t="shared" si="87"/>
        <v>450261</v>
      </c>
    </row>
    <row r="2240" spans="2:24">
      <c r="B2240" t="s">
        <v>720</v>
      </c>
      <c r="C2240" t="s">
        <v>122</v>
      </c>
      <c r="D2240" t="s">
        <v>665</v>
      </c>
      <c r="E2240" t="s">
        <v>228</v>
      </c>
      <c r="F2240">
        <v>1</v>
      </c>
      <c r="G2240">
        <v>58</v>
      </c>
      <c r="H2240">
        <v>438</v>
      </c>
      <c r="I2240" s="705">
        <v>17792</v>
      </c>
      <c r="J2240" s="705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705">
        <v>6735</v>
      </c>
      <c r="S2240" s="705">
        <v>2494</v>
      </c>
      <c r="T2240">
        <v>0</v>
      </c>
      <c r="U2240">
        <v>0</v>
      </c>
      <c r="V2240" s="705">
        <v>19062</v>
      </c>
      <c r="W2240" s="705">
        <f t="shared" si="86"/>
        <v>19062</v>
      </c>
      <c r="X2240" s="705">
        <f t="shared" si="87"/>
        <v>25590</v>
      </c>
    </row>
    <row r="2241" spans="2:24">
      <c r="B2241" t="s">
        <v>720</v>
      </c>
      <c r="C2241" t="s">
        <v>122</v>
      </c>
      <c r="D2241" t="s">
        <v>665</v>
      </c>
      <c r="E2241" t="s">
        <v>665</v>
      </c>
      <c r="F2241">
        <v>4</v>
      </c>
      <c r="G2241">
        <v>214</v>
      </c>
      <c r="H2241" s="705">
        <v>1677</v>
      </c>
      <c r="I2241" s="705">
        <v>45124</v>
      </c>
      <c r="J2241" s="705">
        <v>41022</v>
      </c>
      <c r="K2241">
        <v>60</v>
      </c>
      <c r="L2241" s="705">
        <v>5176</v>
      </c>
      <c r="M2241" s="705">
        <v>2128</v>
      </c>
      <c r="N2241" s="705">
        <v>4889</v>
      </c>
      <c r="O2241" s="705">
        <v>1811</v>
      </c>
      <c r="P2241">
        <v>702</v>
      </c>
      <c r="Q2241">
        <v>260</v>
      </c>
      <c r="R2241" s="705">
        <v>23940</v>
      </c>
      <c r="S2241" s="705">
        <v>21764</v>
      </c>
      <c r="T2241" s="705">
        <v>9997</v>
      </c>
      <c r="U2241" s="705">
        <v>3703</v>
      </c>
      <c r="V2241" s="705">
        <v>70687</v>
      </c>
      <c r="W2241" s="705">
        <f t="shared" si="86"/>
        <v>70688</v>
      </c>
      <c r="X2241" s="705">
        <f t="shared" si="87"/>
        <v>89828</v>
      </c>
    </row>
    <row r="2242" spans="2:24">
      <c r="B2242" t="s">
        <v>720</v>
      </c>
      <c r="C2242" t="s">
        <v>124</v>
      </c>
      <c r="F2242">
        <v>10</v>
      </c>
      <c r="G2242">
        <v>413</v>
      </c>
      <c r="H2242" s="705">
        <v>6057</v>
      </c>
      <c r="J2242">
        <v>0</v>
      </c>
      <c r="M2242">
        <v>0</v>
      </c>
      <c r="N2242" s="705">
        <v>8937</v>
      </c>
      <c r="O2242" s="705">
        <v>3310</v>
      </c>
      <c r="P2242" s="705">
        <v>2349</v>
      </c>
      <c r="Q2242">
        <v>870</v>
      </c>
      <c r="S2242">
        <v>0</v>
      </c>
      <c r="T2242" s="705">
        <v>1228</v>
      </c>
      <c r="U2242">
        <v>455</v>
      </c>
      <c r="V2242" s="705">
        <v>4635</v>
      </c>
      <c r="W2242" s="705">
        <f t="shared" si="86"/>
        <v>4635</v>
      </c>
      <c r="X2242" s="705">
        <f t="shared" si="87"/>
        <v>12514</v>
      </c>
    </row>
    <row r="2243" spans="2:24">
      <c r="B2243" t="s">
        <v>720</v>
      </c>
      <c r="C2243" t="s">
        <v>124</v>
      </c>
      <c r="D2243" t="s">
        <v>582</v>
      </c>
      <c r="E2243" t="s">
        <v>582</v>
      </c>
      <c r="F2243">
        <v>1</v>
      </c>
      <c r="G2243">
        <v>146</v>
      </c>
      <c r="H2243">
        <v>478</v>
      </c>
      <c r="I2243" s="705">
        <v>51880</v>
      </c>
      <c r="J2243" s="705">
        <v>47163</v>
      </c>
      <c r="K2243">
        <v>55</v>
      </c>
      <c r="L2243" s="705">
        <v>6018</v>
      </c>
      <c r="M2243" s="705">
        <v>5471</v>
      </c>
      <c r="N2243" s="705">
        <v>3348</v>
      </c>
      <c r="O2243" s="705">
        <v>1240</v>
      </c>
      <c r="P2243">
        <v>351</v>
      </c>
      <c r="Q2243">
        <v>130</v>
      </c>
      <c r="R2243" s="705">
        <v>5730</v>
      </c>
      <c r="S2243" s="705">
        <v>5209</v>
      </c>
      <c r="T2243" s="705">
        <v>2532</v>
      </c>
      <c r="U2243">
        <v>938</v>
      </c>
      <c r="V2243" s="705">
        <v>60151</v>
      </c>
      <c r="W2243" s="705">
        <f t="shared" si="86"/>
        <v>60151</v>
      </c>
      <c r="X2243" s="705">
        <f t="shared" si="87"/>
        <v>69859</v>
      </c>
    </row>
    <row r="2244" spans="2:24">
      <c r="B2244" t="s">
        <v>720</v>
      </c>
      <c r="C2244" t="s">
        <v>124</v>
      </c>
      <c r="D2244" t="s">
        <v>228</v>
      </c>
      <c r="E2244" t="s">
        <v>228</v>
      </c>
      <c r="F2244">
        <v>90</v>
      </c>
      <c r="G2244" s="705">
        <v>4577</v>
      </c>
      <c r="H2244" s="705">
        <v>59558</v>
      </c>
      <c r="I2244" s="705">
        <v>2229118</v>
      </c>
      <c r="J2244" s="705">
        <v>825599</v>
      </c>
      <c r="K2244">
        <v>100</v>
      </c>
      <c r="L2244" s="705">
        <v>218725</v>
      </c>
      <c r="M2244" s="705">
        <v>139624</v>
      </c>
      <c r="N2244" s="705">
        <v>91556</v>
      </c>
      <c r="O2244" s="705">
        <v>33910</v>
      </c>
      <c r="P2244" s="705">
        <v>2376</v>
      </c>
      <c r="Q2244">
        <v>880</v>
      </c>
      <c r="R2244" s="705">
        <v>470594</v>
      </c>
      <c r="S2244" s="705">
        <v>174294</v>
      </c>
      <c r="T2244">
        <v>0</v>
      </c>
      <c r="U2244">
        <v>0</v>
      </c>
      <c r="V2244" s="705">
        <v>1174307</v>
      </c>
      <c r="W2244" s="705">
        <f t="shared" si="86"/>
        <v>1174307</v>
      </c>
      <c r="X2244" s="705">
        <f t="shared" si="87"/>
        <v>3012369</v>
      </c>
    </row>
    <row r="2245" spans="2:24">
      <c r="B2245" t="s">
        <v>720</v>
      </c>
      <c r="C2245" t="s">
        <v>124</v>
      </c>
      <c r="D2245" t="s">
        <v>228</v>
      </c>
      <c r="E2245" t="s">
        <v>584</v>
      </c>
      <c r="F2245">
        <v>1</v>
      </c>
      <c r="G2245">
        <v>39</v>
      </c>
      <c r="H2245">
        <v>500</v>
      </c>
      <c r="I2245" s="705">
        <v>14196</v>
      </c>
      <c r="J2245" s="705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705">
        <v>2913</v>
      </c>
      <c r="S2245" s="705">
        <v>2648</v>
      </c>
      <c r="T2245" s="705">
        <v>1590</v>
      </c>
      <c r="U2245">
        <v>589</v>
      </c>
      <c r="V2245" s="705">
        <v>8850</v>
      </c>
      <c r="W2245" s="705">
        <f t="shared" si="86"/>
        <v>8850</v>
      </c>
      <c r="X2245" s="705">
        <f t="shared" si="87"/>
        <v>19657</v>
      </c>
    </row>
    <row r="2246" spans="2:24">
      <c r="B2246" t="s">
        <v>720</v>
      </c>
      <c r="C2246" t="s">
        <v>124</v>
      </c>
      <c r="D2246" t="s">
        <v>228</v>
      </c>
      <c r="E2246" t="s">
        <v>665</v>
      </c>
      <c r="F2246">
        <v>4</v>
      </c>
      <c r="G2246">
        <v>203</v>
      </c>
      <c r="H2246" s="705">
        <v>2399</v>
      </c>
      <c r="I2246" s="705">
        <v>66857</v>
      </c>
      <c r="J2246" s="705">
        <v>24762</v>
      </c>
      <c r="K2246">
        <v>100</v>
      </c>
      <c r="L2246" s="705">
        <v>10043</v>
      </c>
      <c r="M2246" s="705">
        <v>9130</v>
      </c>
      <c r="N2246" s="705">
        <v>4736</v>
      </c>
      <c r="O2246" s="705">
        <v>1754</v>
      </c>
      <c r="P2246">
        <v>351</v>
      </c>
      <c r="Q2246">
        <v>130</v>
      </c>
      <c r="R2246" s="705">
        <v>31196</v>
      </c>
      <c r="S2246" s="705">
        <v>28360</v>
      </c>
      <c r="T2246" s="705">
        <v>14419</v>
      </c>
      <c r="U2246" s="705">
        <v>5341</v>
      </c>
      <c r="V2246" s="705">
        <v>69476</v>
      </c>
      <c r="W2246" s="705">
        <f t="shared" si="86"/>
        <v>69477</v>
      </c>
      <c r="X2246" s="705">
        <f t="shared" si="87"/>
        <v>127602</v>
      </c>
    </row>
    <row r="2247" spans="2:24">
      <c r="B2247" t="s">
        <v>720</v>
      </c>
      <c r="C2247" t="s">
        <v>124</v>
      </c>
      <c r="D2247" t="s">
        <v>583</v>
      </c>
      <c r="E2247" t="s">
        <v>228</v>
      </c>
      <c r="F2247">
        <v>1</v>
      </c>
      <c r="G2247">
        <v>65</v>
      </c>
      <c r="H2247">
        <v>646</v>
      </c>
      <c r="I2247" s="705">
        <v>35443</v>
      </c>
      <c r="J2247" s="705">
        <v>32221</v>
      </c>
      <c r="K2247">
        <v>65</v>
      </c>
      <c r="L2247">
        <v>0</v>
      </c>
      <c r="M2247">
        <v>0</v>
      </c>
      <c r="N2247" s="705">
        <v>1594</v>
      </c>
      <c r="O2247">
        <v>590</v>
      </c>
      <c r="P2247">
        <v>621</v>
      </c>
      <c r="Q2247">
        <v>230</v>
      </c>
      <c r="R2247" s="705">
        <v>4607</v>
      </c>
      <c r="S2247" s="705">
        <v>1706</v>
      </c>
      <c r="T2247">
        <v>0</v>
      </c>
      <c r="U2247">
        <v>0</v>
      </c>
      <c r="V2247" s="705">
        <v>34747</v>
      </c>
      <c r="W2247" s="705">
        <f t="shared" si="86"/>
        <v>34747</v>
      </c>
      <c r="X2247" s="705">
        <f t="shared" si="87"/>
        <v>42265</v>
      </c>
    </row>
    <row r="2248" spans="2:24">
      <c r="B2248" t="s">
        <v>720</v>
      </c>
      <c r="C2248" t="s">
        <v>124</v>
      </c>
      <c r="D2248" t="s">
        <v>583</v>
      </c>
      <c r="E2248" t="s">
        <v>583</v>
      </c>
      <c r="F2248">
        <v>10</v>
      </c>
      <c r="G2248">
        <v>781</v>
      </c>
      <c r="H2248" s="705">
        <v>5300</v>
      </c>
      <c r="I2248" s="705">
        <v>257312</v>
      </c>
      <c r="J2248" s="705">
        <v>233920</v>
      </c>
      <c r="K2248">
        <v>77</v>
      </c>
      <c r="L2248" s="705">
        <v>54437</v>
      </c>
      <c r="M2248" s="705">
        <v>46752</v>
      </c>
      <c r="N2248" s="705">
        <v>17795</v>
      </c>
      <c r="O2248" s="705">
        <v>6591</v>
      </c>
      <c r="P2248" s="705">
        <v>6332</v>
      </c>
      <c r="Q2248" s="705">
        <v>2345</v>
      </c>
      <c r="R2248" s="705">
        <v>48860</v>
      </c>
      <c r="S2248" s="705">
        <v>44418</v>
      </c>
      <c r="T2248" s="705">
        <v>17642</v>
      </c>
      <c r="U2248" s="705">
        <v>6534</v>
      </c>
      <c r="V2248" s="705">
        <v>340559</v>
      </c>
      <c r="W2248" s="705">
        <f t="shared" si="86"/>
        <v>340560</v>
      </c>
      <c r="X2248" s="705">
        <f t="shared" si="87"/>
        <v>402378</v>
      </c>
    </row>
    <row r="2249" spans="2:24">
      <c r="B2249" t="s">
        <v>720</v>
      </c>
      <c r="C2249" t="s">
        <v>124</v>
      </c>
      <c r="D2249" t="s">
        <v>666</v>
      </c>
      <c r="E2249" t="s">
        <v>666</v>
      </c>
      <c r="F2249">
        <v>1</v>
      </c>
      <c r="G2249">
        <v>38</v>
      </c>
      <c r="H2249">
        <v>486</v>
      </c>
      <c r="I2249" s="705">
        <v>6333</v>
      </c>
      <c r="J2249" s="705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705">
        <v>7355</v>
      </c>
      <c r="S2249" s="705">
        <v>6686</v>
      </c>
      <c r="T2249" s="705">
        <v>3803</v>
      </c>
      <c r="U2249" s="705">
        <v>1409</v>
      </c>
      <c r="V2249" s="705">
        <v>14278</v>
      </c>
      <c r="W2249" s="705">
        <f t="shared" si="86"/>
        <v>14278</v>
      </c>
      <c r="X2249" s="705">
        <f t="shared" si="87"/>
        <v>18642</v>
      </c>
    </row>
    <row r="2250" spans="2:24">
      <c r="B2250" t="s">
        <v>720</v>
      </c>
      <c r="C2250" t="s">
        <v>124</v>
      </c>
      <c r="D2250" t="s">
        <v>584</v>
      </c>
      <c r="E2250" t="s">
        <v>584</v>
      </c>
      <c r="F2250">
        <v>12</v>
      </c>
      <c r="G2250">
        <v>581</v>
      </c>
      <c r="H2250" s="705">
        <v>6170</v>
      </c>
      <c r="I2250" s="705">
        <v>182468</v>
      </c>
      <c r="J2250" s="705">
        <v>165880</v>
      </c>
      <c r="K2250">
        <v>77</v>
      </c>
      <c r="L2250" s="705">
        <v>32445</v>
      </c>
      <c r="M2250" s="705">
        <v>28040</v>
      </c>
      <c r="N2250" s="705">
        <v>12523</v>
      </c>
      <c r="O2250" s="705">
        <v>4638</v>
      </c>
      <c r="P2250" s="705">
        <v>5427</v>
      </c>
      <c r="Q2250" s="705">
        <v>2010</v>
      </c>
      <c r="R2250" s="705">
        <v>48894</v>
      </c>
      <c r="S2250" s="705">
        <v>44449</v>
      </c>
      <c r="T2250" s="705">
        <v>15361</v>
      </c>
      <c r="U2250" s="705">
        <v>5689</v>
      </c>
      <c r="V2250" s="705">
        <v>250707</v>
      </c>
      <c r="W2250" s="705">
        <f t="shared" si="86"/>
        <v>250706</v>
      </c>
      <c r="X2250" s="705">
        <f t="shared" si="87"/>
        <v>297118</v>
      </c>
    </row>
    <row r="2251" spans="2:24">
      <c r="B2251" t="s">
        <v>720</v>
      </c>
      <c r="C2251" t="s">
        <v>124</v>
      </c>
      <c r="D2251" t="s">
        <v>669</v>
      </c>
      <c r="E2251" t="s">
        <v>669</v>
      </c>
      <c r="F2251">
        <v>1</v>
      </c>
      <c r="G2251">
        <v>47</v>
      </c>
      <c r="H2251" s="705">
        <v>1276</v>
      </c>
      <c r="I2251" s="705">
        <v>43430</v>
      </c>
      <c r="J2251" s="705">
        <v>36191</v>
      </c>
      <c r="K2251">
        <v>50</v>
      </c>
      <c r="L2251" s="705">
        <v>8043</v>
      </c>
      <c r="M2251" s="705">
        <v>6702</v>
      </c>
      <c r="N2251" s="705">
        <v>1073</v>
      </c>
      <c r="O2251">
        <v>397</v>
      </c>
      <c r="P2251">
        <v>351</v>
      </c>
      <c r="Q2251">
        <v>130</v>
      </c>
      <c r="R2251" s="705">
        <v>7529</v>
      </c>
      <c r="S2251" s="705">
        <v>6274</v>
      </c>
      <c r="T2251">
        <v>0</v>
      </c>
      <c r="U2251">
        <v>0</v>
      </c>
      <c r="V2251" s="705">
        <v>49695</v>
      </c>
      <c r="W2251" s="705">
        <f t="shared" si="86"/>
        <v>49694</v>
      </c>
      <c r="X2251" s="705">
        <f t="shared" si="87"/>
        <v>60426</v>
      </c>
    </row>
    <row r="2252" spans="2:24">
      <c r="B2252" t="s">
        <v>720</v>
      </c>
      <c r="C2252" t="s">
        <v>124</v>
      </c>
      <c r="D2252" t="s">
        <v>665</v>
      </c>
      <c r="E2252" t="s">
        <v>228</v>
      </c>
      <c r="F2252">
        <v>4</v>
      </c>
      <c r="G2252">
        <v>188</v>
      </c>
      <c r="H2252" s="705">
        <v>2887</v>
      </c>
      <c r="I2252" s="705">
        <v>102145</v>
      </c>
      <c r="J2252" s="705">
        <v>92859</v>
      </c>
      <c r="K2252">
        <v>45</v>
      </c>
      <c r="L2252" s="705">
        <v>2604</v>
      </c>
      <c r="M2252">
        <v>964</v>
      </c>
      <c r="N2252" s="705">
        <v>3762</v>
      </c>
      <c r="O2252" s="705">
        <v>1393</v>
      </c>
      <c r="P2252">
        <v>0</v>
      </c>
      <c r="Q2252">
        <v>0</v>
      </c>
      <c r="R2252" s="705">
        <v>29311</v>
      </c>
      <c r="S2252" s="705">
        <v>10856</v>
      </c>
      <c r="T2252">
        <v>0</v>
      </c>
      <c r="U2252">
        <v>0</v>
      </c>
      <c r="V2252" s="705">
        <v>106072</v>
      </c>
      <c r="W2252" s="705">
        <f t="shared" si="86"/>
        <v>106072</v>
      </c>
      <c r="X2252" s="705">
        <f t="shared" si="87"/>
        <v>137822</v>
      </c>
    </row>
    <row r="2253" spans="2:24">
      <c r="B2253" t="s">
        <v>720</v>
      </c>
      <c r="C2253" t="s">
        <v>124</v>
      </c>
      <c r="D2253" t="s">
        <v>665</v>
      </c>
      <c r="E2253" t="s">
        <v>665</v>
      </c>
      <c r="F2253">
        <v>6</v>
      </c>
      <c r="G2253">
        <v>260</v>
      </c>
      <c r="H2253" s="705">
        <v>3745</v>
      </c>
      <c r="I2253" s="705">
        <v>84253</v>
      </c>
      <c r="J2253" s="705">
        <v>76593</v>
      </c>
      <c r="K2253">
        <v>53</v>
      </c>
      <c r="L2253" s="705">
        <v>16161</v>
      </c>
      <c r="M2253" s="705">
        <v>5986</v>
      </c>
      <c r="N2253" s="705">
        <v>5812</v>
      </c>
      <c r="O2253" s="705">
        <v>2152</v>
      </c>
      <c r="P2253" s="705">
        <v>1404</v>
      </c>
      <c r="Q2253">
        <v>520</v>
      </c>
      <c r="R2253" s="705">
        <v>40678</v>
      </c>
      <c r="S2253" s="705">
        <v>36980</v>
      </c>
      <c r="T2253" s="705">
        <v>13224</v>
      </c>
      <c r="U2253" s="705">
        <v>4898</v>
      </c>
      <c r="V2253" s="705">
        <v>127129</v>
      </c>
      <c r="W2253" s="705">
        <f t="shared" si="86"/>
        <v>127129</v>
      </c>
      <c r="X2253" s="705">
        <f t="shared" si="87"/>
        <v>161532</v>
      </c>
    </row>
  </sheetData>
  <mergeCells count="1">
    <mergeCell ref="A1:I1"/>
  </mergeCells>
  <phoneticPr fontId="23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>
    <tabColor rgb="FF92D050"/>
  </sheetPr>
  <dimension ref="A1:AV2903"/>
  <sheetViews>
    <sheetView topLeftCell="A3" workbookViewId="0">
      <selection sqref="A1:I1"/>
    </sheetView>
    <sheetView topLeftCell="X357" zoomScale="70" zoomScaleNormal="70" workbookViewId="1">
      <selection activeCell="AD417" sqref="AD417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56" t="s">
        <v>721</v>
      </c>
      <c r="B1" s="1056"/>
      <c r="C1" s="1056"/>
      <c r="D1" s="1056"/>
      <c r="E1" s="1056"/>
      <c r="F1" s="1056"/>
      <c r="G1" s="1056"/>
      <c r="H1" s="1056"/>
      <c r="I1" s="1056"/>
    </row>
    <row r="2" spans="1:48">
      <c r="AI2" s="429"/>
    </row>
    <row r="3" spans="1:48">
      <c r="AI3" s="429"/>
    </row>
    <row r="4" spans="1:48">
      <c r="B4" s="239"/>
      <c r="C4" s="239"/>
      <c r="D4" s="239"/>
      <c r="E4" s="239"/>
      <c r="F4" s="239" t="s">
        <v>525</v>
      </c>
      <c r="G4" s="239" t="s">
        <v>525</v>
      </c>
      <c r="H4" s="239" t="s">
        <v>525</v>
      </c>
      <c r="I4" s="239" t="s">
        <v>525</v>
      </c>
      <c r="J4" s="239" t="s">
        <v>525</v>
      </c>
      <c r="K4" s="239" t="s">
        <v>525</v>
      </c>
      <c r="L4" s="239" t="s">
        <v>525</v>
      </c>
      <c r="M4" s="239" t="s">
        <v>525</v>
      </c>
      <c r="N4" s="239" t="s">
        <v>525</v>
      </c>
      <c r="O4" s="239" t="s">
        <v>525</v>
      </c>
      <c r="P4" s="239" t="s">
        <v>525</v>
      </c>
      <c r="Q4" s="239" t="s">
        <v>525</v>
      </c>
      <c r="R4" s="239" t="s">
        <v>525</v>
      </c>
      <c r="S4" s="239" t="s">
        <v>525</v>
      </c>
      <c r="T4" s="239" t="s">
        <v>525</v>
      </c>
      <c r="U4" s="239" t="s">
        <v>525</v>
      </c>
      <c r="V4" s="239" t="s">
        <v>525</v>
      </c>
      <c r="W4" s="239" t="s">
        <v>653</v>
      </c>
      <c r="X4" s="239" t="s">
        <v>653</v>
      </c>
      <c r="Y4" s="239"/>
      <c r="AD4" t="s">
        <v>525</v>
      </c>
      <c r="AE4" t="s">
        <v>525</v>
      </c>
      <c r="AF4" t="s">
        <v>525</v>
      </c>
      <c r="AG4" t="s">
        <v>525</v>
      </c>
      <c r="AH4" t="s">
        <v>525</v>
      </c>
      <c r="AI4" s="429" t="s">
        <v>525</v>
      </c>
      <c r="AJ4" t="s">
        <v>525</v>
      </c>
      <c r="AK4" t="s">
        <v>525</v>
      </c>
      <c r="AL4" t="s">
        <v>525</v>
      </c>
      <c r="AM4" t="s">
        <v>525</v>
      </c>
      <c r="AN4" t="s">
        <v>525</v>
      </c>
      <c r="AO4" t="s">
        <v>525</v>
      </c>
      <c r="AP4" t="s">
        <v>525</v>
      </c>
      <c r="AQ4" t="s">
        <v>525</v>
      </c>
      <c r="AR4" t="s">
        <v>525</v>
      </c>
      <c r="AS4" t="s">
        <v>525</v>
      </c>
      <c r="AT4" t="s">
        <v>525</v>
      </c>
      <c r="AU4" s="239" t="s">
        <v>653</v>
      </c>
      <c r="AV4" s="239" t="s">
        <v>653</v>
      </c>
    </row>
    <row r="5" spans="1:48">
      <c r="F5" t="s">
        <v>104</v>
      </c>
      <c r="G5" t="s">
        <v>104</v>
      </c>
      <c r="H5" t="s">
        <v>104</v>
      </c>
      <c r="I5" t="s">
        <v>104</v>
      </c>
      <c r="J5" t="s">
        <v>104</v>
      </c>
      <c r="K5" t="s">
        <v>104</v>
      </c>
      <c r="L5" t="s">
        <v>104</v>
      </c>
      <c r="M5" t="s">
        <v>104</v>
      </c>
      <c r="N5" t="s">
        <v>104</v>
      </c>
      <c r="O5" t="s">
        <v>104</v>
      </c>
      <c r="P5" t="s">
        <v>104</v>
      </c>
      <c r="Q5" t="s">
        <v>104</v>
      </c>
      <c r="R5" t="s">
        <v>104</v>
      </c>
      <c r="S5" t="s">
        <v>104</v>
      </c>
      <c r="T5" t="s">
        <v>104</v>
      </c>
      <c r="U5" t="s">
        <v>104</v>
      </c>
      <c r="V5" t="s">
        <v>104</v>
      </c>
      <c r="AD5" t="s">
        <v>104</v>
      </c>
      <c r="AE5" t="s">
        <v>104</v>
      </c>
      <c r="AF5" t="s">
        <v>104</v>
      </c>
      <c r="AG5" t="s">
        <v>104</v>
      </c>
      <c r="AH5" t="s">
        <v>104</v>
      </c>
      <c r="AI5" s="429" t="s">
        <v>104</v>
      </c>
      <c r="AJ5" t="s">
        <v>104</v>
      </c>
      <c r="AK5" t="s">
        <v>104</v>
      </c>
      <c r="AL5" t="s">
        <v>104</v>
      </c>
      <c r="AM5" t="s">
        <v>104</v>
      </c>
      <c r="AN5" t="s">
        <v>104</v>
      </c>
      <c r="AO5" t="s">
        <v>104</v>
      </c>
      <c r="AP5" t="s">
        <v>104</v>
      </c>
      <c r="AQ5" t="s">
        <v>104</v>
      </c>
      <c r="AR5" t="s">
        <v>104</v>
      </c>
      <c r="AS5" t="s">
        <v>104</v>
      </c>
      <c r="AT5" t="s">
        <v>104</v>
      </c>
    </row>
    <row r="6" spans="1:48">
      <c r="B6" t="s">
        <v>524</v>
      </c>
      <c r="C6" t="s">
        <v>420</v>
      </c>
      <c r="D6" t="s">
        <v>570</v>
      </c>
      <c r="E6" t="s">
        <v>589</v>
      </c>
      <c r="F6" t="s">
        <v>575</v>
      </c>
      <c r="G6" t="s">
        <v>576</v>
      </c>
      <c r="H6" t="s">
        <v>654</v>
      </c>
      <c r="I6" t="s">
        <v>571</v>
      </c>
      <c r="J6" t="s">
        <v>572</v>
      </c>
      <c r="K6" t="s">
        <v>577</v>
      </c>
      <c r="L6" t="s">
        <v>573</v>
      </c>
      <c r="M6" t="s">
        <v>574</v>
      </c>
      <c r="N6" t="s">
        <v>655</v>
      </c>
      <c r="O6" t="s">
        <v>656</v>
      </c>
      <c r="P6" t="s">
        <v>657</v>
      </c>
      <c r="Q6" t="s">
        <v>658</v>
      </c>
      <c r="R6" t="s">
        <v>659</v>
      </c>
      <c r="S6" t="s">
        <v>660</v>
      </c>
      <c r="T6" t="s">
        <v>661</v>
      </c>
      <c r="U6" t="s">
        <v>662</v>
      </c>
      <c r="V6" t="s">
        <v>663</v>
      </c>
      <c r="W6" s="731" t="s">
        <v>579</v>
      </c>
      <c r="X6" s="731" t="s">
        <v>578</v>
      </c>
      <c r="Y6" s="239"/>
      <c r="AA6" t="s">
        <v>420</v>
      </c>
      <c r="AB6" t="s">
        <v>570</v>
      </c>
      <c r="AC6" t="s">
        <v>589</v>
      </c>
      <c r="AD6" t="s">
        <v>575</v>
      </c>
      <c r="AE6" t="s">
        <v>576</v>
      </c>
      <c r="AF6" t="s">
        <v>654</v>
      </c>
      <c r="AG6" t="s">
        <v>571</v>
      </c>
      <c r="AH6" t="s">
        <v>572</v>
      </c>
      <c r="AI6" t="s">
        <v>577</v>
      </c>
      <c r="AJ6" t="s">
        <v>573</v>
      </c>
      <c r="AK6" t="s">
        <v>574</v>
      </c>
      <c r="AL6" t="s">
        <v>655</v>
      </c>
      <c r="AM6" t="s">
        <v>656</v>
      </c>
      <c r="AN6" t="s">
        <v>657</v>
      </c>
      <c r="AO6" t="s">
        <v>658</v>
      </c>
      <c r="AP6" t="s">
        <v>659</v>
      </c>
      <c r="AQ6" t="s">
        <v>660</v>
      </c>
      <c r="AR6" t="s">
        <v>661</v>
      </c>
      <c r="AS6" t="s">
        <v>662</v>
      </c>
      <c r="AT6" t="s">
        <v>663</v>
      </c>
      <c r="AU6" s="731" t="s">
        <v>579</v>
      </c>
      <c r="AV6" s="731" t="s">
        <v>578</v>
      </c>
    </row>
    <row r="7" spans="1:48" ht="12.75" hidden="1" customHeight="1">
      <c r="B7" t="s">
        <v>527</v>
      </c>
      <c r="C7" t="s">
        <v>108</v>
      </c>
      <c r="D7" t="s">
        <v>582</v>
      </c>
      <c r="E7" t="s">
        <v>582</v>
      </c>
      <c r="F7" s="705">
        <v>10</v>
      </c>
      <c r="G7" s="705">
        <v>1100</v>
      </c>
      <c r="H7">
        <v>528</v>
      </c>
      <c r="I7" s="705">
        <v>1417</v>
      </c>
      <c r="J7" s="705">
        <v>1288</v>
      </c>
      <c r="K7">
        <v>92</v>
      </c>
      <c r="L7">
        <v>185</v>
      </c>
      <c r="M7" s="705">
        <v>169</v>
      </c>
      <c r="N7" s="705">
        <v>13399</v>
      </c>
      <c r="O7" s="705">
        <v>4963</v>
      </c>
      <c r="P7" s="705">
        <v>4725</v>
      </c>
      <c r="Q7" s="705">
        <v>1750</v>
      </c>
      <c r="R7" s="705">
        <v>38435</v>
      </c>
      <c r="S7" s="705">
        <v>34941</v>
      </c>
      <c r="T7">
        <v>0</v>
      </c>
      <c r="U7" s="705">
        <v>0</v>
      </c>
      <c r="V7" s="705">
        <v>43111</v>
      </c>
      <c r="W7" s="705">
        <f t="shared" ref="W7:W70" si="0">SUM(ABS(J7),ABS(M7),ABS(O7),ABS(Q7),ABS(S7),ABS(U7))</f>
        <v>43111</v>
      </c>
      <c r="X7" s="705">
        <f t="shared" ref="X7:X70" si="1">SUM(ABS(I7),ABS(N7),ABS(P7),ABS(R7),ABS(T7),ABS(L7))</f>
        <v>58161</v>
      </c>
      <c r="Y7" s="705"/>
      <c r="AA7" t="s">
        <v>108</v>
      </c>
      <c r="AD7" s="705">
        <v>203</v>
      </c>
      <c r="AE7" s="705">
        <v>22399</v>
      </c>
      <c r="AF7" s="705">
        <v>12200</v>
      </c>
      <c r="AH7">
        <v>0</v>
      </c>
      <c r="AK7">
        <v>0</v>
      </c>
      <c r="AL7" s="705">
        <v>272898</v>
      </c>
      <c r="AM7" s="705">
        <v>101073</v>
      </c>
      <c r="AN7" s="705">
        <v>120806</v>
      </c>
      <c r="AO7" s="705">
        <v>44743</v>
      </c>
      <c r="AQ7">
        <v>0</v>
      </c>
      <c r="AR7" s="705">
        <v>0</v>
      </c>
      <c r="AS7" s="705">
        <v>0</v>
      </c>
      <c r="AT7" s="705">
        <v>145816</v>
      </c>
      <c r="AU7" s="705">
        <f>SUM(ABS(AH7), ABS(AK7),ABS(AM7),ABS(AO7),ABS(AQ7),ABS(AS7))</f>
        <v>145816</v>
      </c>
      <c r="AV7" s="705">
        <f t="shared" ref="AV7:AV70" si="2">SUM(ABS(AG7),ABS(AJ7),ABS(AL7),ABS(AN7),ABS(AP7),ABS(AR7))</f>
        <v>393704</v>
      </c>
    </row>
    <row r="8" spans="1:48" ht="12.75" hidden="1" customHeight="1">
      <c r="B8" t="s">
        <v>527</v>
      </c>
      <c r="C8" t="s">
        <v>108</v>
      </c>
      <c r="D8" t="s">
        <v>228</v>
      </c>
      <c r="E8" t="s">
        <v>228</v>
      </c>
      <c r="F8" s="705">
        <v>272</v>
      </c>
      <c r="G8" s="705">
        <v>26929</v>
      </c>
      <c r="H8" s="705">
        <v>15043</v>
      </c>
      <c r="I8" s="705">
        <v>117594</v>
      </c>
      <c r="J8" s="705">
        <v>43553</v>
      </c>
      <c r="K8" s="705">
        <v>475</v>
      </c>
      <c r="L8" s="705">
        <v>8096</v>
      </c>
      <c r="M8" s="705">
        <v>7287</v>
      </c>
      <c r="N8" s="705">
        <v>331187</v>
      </c>
      <c r="O8" s="705">
        <v>122662</v>
      </c>
      <c r="P8" s="705">
        <v>172018</v>
      </c>
      <c r="Q8" s="705">
        <v>63710</v>
      </c>
      <c r="R8" s="705">
        <v>846073</v>
      </c>
      <c r="S8" s="705">
        <v>313360</v>
      </c>
      <c r="T8">
        <v>0</v>
      </c>
      <c r="U8" s="705">
        <v>0</v>
      </c>
      <c r="V8" s="705">
        <v>550572</v>
      </c>
      <c r="W8" s="705">
        <f t="shared" si="0"/>
        <v>550572</v>
      </c>
      <c r="X8" s="705">
        <f t="shared" si="1"/>
        <v>1474968</v>
      </c>
      <c r="Y8" s="705"/>
      <c r="AA8" t="s">
        <v>108</v>
      </c>
      <c r="AB8" t="s">
        <v>582</v>
      </c>
      <c r="AC8" t="s">
        <v>582</v>
      </c>
      <c r="AD8">
        <v>171</v>
      </c>
      <c r="AE8" s="705">
        <v>20022</v>
      </c>
      <c r="AF8" s="705">
        <v>10060</v>
      </c>
      <c r="AG8" s="705">
        <v>190093</v>
      </c>
      <c r="AH8" s="705">
        <v>172811</v>
      </c>
      <c r="AI8">
        <v>92</v>
      </c>
      <c r="AJ8" s="705">
        <v>33352</v>
      </c>
      <c r="AK8" s="705">
        <v>27025</v>
      </c>
      <c r="AL8" s="705">
        <v>307944</v>
      </c>
      <c r="AM8" s="705">
        <v>114053</v>
      </c>
      <c r="AN8" s="705">
        <v>185111</v>
      </c>
      <c r="AO8" s="705">
        <v>68560</v>
      </c>
      <c r="AP8" s="705">
        <v>459321</v>
      </c>
      <c r="AQ8" s="705">
        <v>417564</v>
      </c>
      <c r="AR8">
        <v>0</v>
      </c>
      <c r="AS8">
        <v>0</v>
      </c>
      <c r="AT8" s="705">
        <v>800014</v>
      </c>
      <c r="AU8" s="705">
        <f t="shared" ref="AU8:AU71" si="3">SUM(ABS(AH8), ABS(AK8),ABS(AM8),ABS(AO8),ABS(AQ8),ABS(AS8))</f>
        <v>800013</v>
      </c>
      <c r="AV8" s="705">
        <f t="shared" si="2"/>
        <v>1175821</v>
      </c>
    </row>
    <row r="9" spans="1:48" ht="12.75" hidden="1" customHeight="1">
      <c r="B9" t="s">
        <v>527</v>
      </c>
      <c r="C9" t="s">
        <v>108</v>
      </c>
      <c r="D9" t="s">
        <v>584</v>
      </c>
      <c r="E9" t="s">
        <v>584</v>
      </c>
      <c r="F9" s="705">
        <v>2</v>
      </c>
      <c r="G9">
        <v>227</v>
      </c>
      <c r="H9" s="705">
        <v>119</v>
      </c>
      <c r="I9" s="705">
        <v>4285</v>
      </c>
      <c r="J9" s="705">
        <v>3896</v>
      </c>
      <c r="K9" s="705">
        <v>90</v>
      </c>
      <c r="L9" s="705">
        <v>0</v>
      </c>
      <c r="M9" s="705">
        <v>0</v>
      </c>
      <c r="N9" s="705">
        <v>2760</v>
      </c>
      <c r="O9" s="705">
        <v>1022</v>
      </c>
      <c r="P9" s="705">
        <v>945</v>
      </c>
      <c r="Q9" s="705">
        <v>350</v>
      </c>
      <c r="R9" s="705">
        <v>5514</v>
      </c>
      <c r="S9" s="705">
        <v>5013</v>
      </c>
      <c r="T9">
        <v>0</v>
      </c>
      <c r="U9" s="705">
        <v>0</v>
      </c>
      <c r="V9" s="705">
        <v>10281</v>
      </c>
      <c r="W9" s="705">
        <f t="shared" si="0"/>
        <v>10281</v>
      </c>
      <c r="X9" s="705">
        <f t="shared" si="1"/>
        <v>13504</v>
      </c>
      <c r="Y9" s="705"/>
      <c r="AA9" t="s">
        <v>108</v>
      </c>
      <c r="AB9" t="s">
        <v>228</v>
      </c>
      <c r="AC9" t="s">
        <v>582</v>
      </c>
      <c r="AD9">
        <v>10</v>
      </c>
      <c r="AE9" s="705">
        <v>1331</v>
      </c>
      <c r="AF9">
        <v>721</v>
      </c>
      <c r="AG9" s="705">
        <v>24684</v>
      </c>
      <c r="AH9" s="705">
        <v>9142</v>
      </c>
      <c r="AI9">
        <v>364</v>
      </c>
      <c r="AJ9" s="705">
        <v>5161</v>
      </c>
      <c r="AK9" s="705">
        <v>4692</v>
      </c>
      <c r="AL9" s="705">
        <v>18432</v>
      </c>
      <c r="AM9" s="705">
        <v>6827</v>
      </c>
      <c r="AN9" s="705">
        <v>4725</v>
      </c>
      <c r="AO9" s="705">
        <v>1750</v>
      </c>
      <c r="AP9" s="705">
        <v>42973</v>
      </c>
      <c r="AQ9" s="705">
        <v>39067</v>
      </c>
      <c r="AR9">
        <v>0</v>
      </c>
      <c r="AS9">
        <v>0</v>
      </c>
      <c r="AT9" s="705">
        <v>61478</v>
      </c>
      <c r="AU9" s="705">
        <f t="shared" si="3"/>
        <v>61478</v>
      </c>
      <c r="AV9" s="705">
        <f t="shared" si="2"/>
        <v>95975</v>
      </c>
    </row>
    <row r="10" spans="1:48" ht="12.75" hidden="1" customHeight="1">
      <c r="B10" t="s">
        <v>527</v>
      </c>
      <c r="C10" t="s">
        <v>110</v>
      </c>
      <c r="D10" t="s">
        <v>228</v>
      </c>
      <c r="E10" s="705" t="s">
        <v>228</v>
      </c>
      <c r="F10" s="705">
        <v>2</v>
      </c>
      <c r="G10" s="705">
        <v>284</v>
      </c>
      <c r="H10" s="705">
        <v>163</v>
      </c>
      <c r="I10" s="705">
        <v>5190</v>
      </c>
      <c r="J10" s="705">
        <v>1922</v>
      </c>
      <c r="K10" s="705">
        <v>395</v>
      </c>
      <c r="L10" s="705">
        <v>1420</v>
      </c>
      <c r="M10" s="705">
        <v>1291</v>
      </c>
      <c r="N10" s="705">
        <v>5080</v>
      </c>
      <c r="O10" s="705">
        <v>1882</v>
      </c>
      <c r="P10" s="705">
        <v>1053</v>
      </c>
      <c r="Q10" s="705">
        <v>390</v>
      </c>
      <c r="R10" s="705">
        <v>10554</v>
      </c>
      <c r="S10" s="705">
        <v>3909</v>
      </c>
      <c r="T10" s="705">
        <v>0</v>
      </c>
      <c r="U10" s="705">
        <v>0</v>
      </c>
      <c r="V10" s="705">
        <v>9394</v>
      </c>
      <c r="W10" s="705">
        <f t="shared" si="0"/>
        <v>9394</v>
      </c>
      <c r="X10" s="705">
        <f t="shared" si="1"/>
        <v>23297</v>
      </c>
      <c r="Y10" s="705"/>
      <c r="AA10" t="s">
        <v>108</v>
      </c>
      <c r="AB10" t="s">
        <v>228</v>
      </c>
      <c r="AC10" t="s">
        <v>228</v>
      </c>
      <c r="AD10" s="705">
        <v>11517</v>
      </c>
      <c r="AE10" s="705">
        <v>1405033</v>
      </c>
      <c r="AF10" s="705">
        <v>607125</v>
      </c>
      <c r="AG10" s="705">
        <v>336598</v>
      </c>
      <c r="AH10" s="705">
        <v>124666</v>
      </c>
      <c r="AI10">
        <v>465</v>
      </c>
      <c r="AJ10" s="705">
        <v>374578</v>
      </c>
      <c r="AK10" s="705">
        <v>336788</v>
      </c>
      <c r="AL10" s="705">
        <v>17940182</v>
      </c>
      <c r="AM10" s="705">
        <v>6644512</v>
      </c>
      <c r="AN10" s="705">
        <v>8176327</v>
      </c>
      <c r="AO10" s="705">
        <v>3028269</v>
      </c>
      <c r="AP10" s="705">
        <v>46462072</v>
      </c>
      <c r="AQ10" s="705">
        <v>17208175</v>
      </c>
      <c r="AR10" s="705">
        <v>4571</v>
      </c>
      <c r="AS10" s="705">
        <v>1693</v>
      </c>
      <c r="AT10" s="705">
        <v>27344102</v>
      </c>
      <c r="AU10" s="705">
        <f t="shared" si="3"/>
        <v>27344103</v>
      </c>
      <c r="AV10" s="705">
        <f t="shared" si="2"/>
        <v>73294328</v>
      </c>
    </row>
    <row r="11" spans="1:48" ht="12.75" hidden="1" customHeight="1">
      <c r="B11" t="s">
        <v>527</v>
      </c>
      <c r="C11" t="s">
        <v>110</v>
      </c>
      <c r="D11" t="s">
        <v>583</v>
      </c>
      <c r="E11" t="s">
        <v>583</v>
      </c>
      <c r="F11">
        <v>17</v>
      </c>
      <c r="G11" s="705">
        <v>1929</v>
      </c>
      <c r="H11" s="705">
        <v>1444</v>
      </c>
      <c r="I11" s="705">
        <v>66058</v>
      </c>
      <c r="J11" s="705">
        <v>60053</v>
      </c>
      <c r="K11">
        <v>94</v>
      </c>
      <c r="L11" s="705">
        <v>12448</v>
      </c>
      <c r="M11" s="705">
        <v>11316</v>
      </c>
      <c r="N11" s="705">
        <v>29656</v>
      </c>
      <c r="O11" s="705">
        <v>10984</v>
      </c>
      <c r="P11" s="705">
        <v>10557</v>
      </c>
      <c r="Q11" s="705">
        <v>3910</v>
      </c>
      <c r="R11" s="705">
        <v>45805</v>
      </c>
      <c r="S11" s="705">
        <v>41641</v>
      </c>
      <c r="T11">
        <v>0</v>
      </c>
      <c r="U11" s="705">
        <v>0</v>
      </c>
      <c r="V11" s="705">
        <v>127903</v>
      </c>
      <c r="W11" s="705">
        <f t="shared" si="0"/>
        <v>127904</v>
      </c>
      <c r="X11" s="705">
        <f t="shared" si="1"/>
        <v>164524</v>
      </c>
      <c r="Y11" s="705"/>
      <c r="AA11" t="s">
        <v>108</v>
      </c>
      <c r="AB11" t="s">
        <v>228</v>
      </c>
      <c r="AC11" t="s">
        <v>583</v>
      </c>
      <c r="AD11" s="705">
        <v>1</v>
      </c>
      <c r="AE11" s="705">
        <v>132</v>
      </c>
      <c r="AF11" s="705">
        <v>65</v>
      </c>
      <c r="AG11" s="705">
        <v>1776</v>
      </c>
      <c r="AH11" s="705">
        <v>658</v>
      </c>
      <c r="AI11">
        <v>380</v>
      </c>
      <c r="AJ11" s="705">
        <v>294</v>
      </c>
      <c r="AK11" s="705">
        <v>267</v>
      </c>
      <c r="AL11" s="705">
        <v>1609</v>
      </c>
      <c r="AM11" s="705">
        <v>596</v>
      </c>
      <c r="AN11" s="705">
        <v>1719</v>
      </c>
      <c r="AO11" s="705">
        <v>637</v>
      </c>
      <c r="AP11" s="705">
        <v>3205</v>
      </c>
      <c r="AQ11" s="705">
        <v>2914</v>
      </c>
      <c r="AR11">
        <v>0</v>
      </c>
      <c r="AS11">
        <v>0</v>
      </c>
      <c r="AT11" s="705">
        <v>5071</v>
      </c>
      <c r="AU11" s="705">
        <f t="shared" si="3"/>
        <v>5072</v>
      </c>
      <c r="AV11" s="705">
        <f t="shared" si="2"/>
        <v>8603</v>
      </c>
    </row>
    <row r="12" spans="1:48" ht="12.75" hidden="1" customHeight="1">
      <c r="B12" t="s">
        <v>527</v>
      </c>
      <c r="C12" t="s">
        <v>110</v>
      </c>
      <c r="D12" t="s">
        <v>584</v>
      </c>
      <c r="E12" t="s">
        <v>584</v>
      </c>
      <c r="F12">
        <v>21</v>
      </c>
      <c r="G12" s="705">
        <v>2359</v>
      </c>
      <c r="H12" s="705">
        <v>1910</v>
      </c>
      <c r="I12" s="705">
        <v>94005</v>
      </c>
      <c r="J12" s="705">
        <v>85459</v>
      </c>
      <c r="K12">
        <v>90</v>
      </c>
      <c r="L12" s="705">
        <v>17254</v>
      </c>
      <c r="M12" s="705">
        <v>15685</v>
      </c>
      <c r="N12" s="705">
        <v>28737</v>
      </c>
      <c r="O12" s="705">
        <v>10643</v>
      </c>
      <c r="P12" s="705">
        <v>9923</v>
      </c>
      <c r="Q12" s="705">
        <v>3675</v>
      </c>
      <c r="R12" s="705">
        <v>64337</v>
      </c>
      <c r="S12" s="705">
        <v>58488</v>
      </c>
      <c r="T12">
        <v>0</v>
      </c>
      <c r="U12" s="705">
        <v>0</v>
      </c>
      <c r="V12" s="705">
        <v>173950</v>
      </c>
      <c r="W12" s="705">
        <f t="shared" si="0"/>
        <v>173950</v>
      </c>
      <c r="X12" s="705">
        <f t="shared" si="1"/>
        <v>214256</v>
      </c>
      <c r="Y12" s="705"/>
      <c r="AA12" t="s">
        <v>108</v>
      </c>
      <c r="AB12" t="s">
        <v>228</v>
      </c>
      <c r="AC12" t="s">
        <v>584</v>
      </c>
      <c r="AD12">
        <v>5</v>
      </c>
      <c r="AE12">
        <v>435</v>
      </c>
      <c r="AF12">
        <v>223</v>
      </c>
      <c r="AG12" s="705">
        <v>1650</v>
      </c>
      <c r="AH12" s="705">
        <v>611</v>
      </c>
      <c r="AI12">
        <v>461</v>
      </c>
      <c r="AJ12" s="705">
        <v>280</v>
      </c>
      <c r="AK12" s="705">
        <v>273</v>
      </c>
      <c r="AL12" s="705">
        <v>5303</v>
      </c>
      <c r="AM12" s="705">
        <v>1964</v>
      </c>
      <c r="AN12" s="705">
        <v>1874</v>
      </c>
      <c r="AO12" s="705">
        <v>694</v>
      </c>
      <c r="AP12" s="705">
        <v>12787</v>
      </c>
      <c r="AQ12" s="705">
        <v>11625</v>
      </c>
      <c r="AR12">
        <v>0</v>
      </c>
      <c r="AS12">
        <v>0</v>
      </c>
      <c r="AT12" s="705">
        <v>15166</v>
      </c>
      <c r="AU12" s="705">
        <f t="shared" si="3"/>
        <v>15167</v>
      </c>
      <c r="AV12" s="705">
        <f t="shared" si="2"/>
        <v>21894</v>
      </c>
    </row>
    <row r="13" spans="1:48" ht="12.75" hidden="1" customHeight="1">
      <c r="B13" t="s">
        <v>527</v>
      </c>
      <c r="C13" t="s">
        <v>112</v>
      </c>
      <c r="D13" t="s">
        <v>228</v>
      </c>
      <c r="E13" t="s">
        <v>228</v>
      </c>
      <c r="F13" s="705">
        <v>14</v>
      </c>
      <c r="G13" s="705">
        <v>1023</v>
      </c>
      <c r="H13" s="705">
        <v>1578</v>
      </c>
      <c r="I13" s="705">
        <v>36538</v>
      </c>
      <c r="J13" s="705">
        <v>13533</v>
      </c>
      <c r="K13" s="705">
        <v>401</v>
      </c>
      <c r="L13" s="705">
        <v>15572</v>
      </c>
      <c r="M13" s="705">
        <v>14156</v>
      </c>
      <c r="N13" s="705">
        <v>15221</v>
      </c>
      <c r="O13" s="705">
        <v>5638</v>
      </c>
      <c r="P13" s="705">
        <v>5265</v>
      </c>
      <c r="Q13" s="705">
        <v>1950</v>
      </c>
      <c r="R13" s="705">
        <v>42561</v>
      </c>
      <c r="S13" s="705">
        <v>15763</v>
      </c>
      <c r="T13">
        <v>0</v>
      </c>
      <c r="U13" s="705">
        <v>0</v>
      </c>
      <c r="V13" s="705">
        <v>51040</v>
      </c>
      <c r="W13" s="705">
        <f t="shared" si="0"/>
        <v>51040</v>
      </c>
      <c r="X13" s="705">
        <f t="shared" si="1"/>
        <v>115157</v>
      </c>
      <c r="Y13" s="705"/>
      <c r="AA13" t="s">
        <v>108</v>
      </c>
      <c r="AB13" t="s">
        <v>583</v>
      </c>
      <c r="AC13" t="s">
        <v>583</v>
      </c>
      <c r="AD13">
        <v>755</v>
      </c>
      <c r="AE13" s="705">
        <v>83347</v>
      </c>
      <c r="AF13" s="705">
        <v>43038</v>
      </c>
      <c r="AG13" s="705">
        <v>735985</v>
      </c>
      <c r="AH13" s="705">
        <v>669077</v>
      </c>
      <c r="AI13">
        <v>95</v>
      </c>
      <c r="AJ13" s="705">
        <v>106948</v>
      </c>
      <c r="AK13" s="705">
        <v>91818</v>
      </c>
      <c r="AL13" s="705">
        <v>1070489</v>
      </c>
      <c r="AM13" s="705">
        <v>396477</v>
      </c>
      <c r="AN13" s="705">
        <v>542509</v>
      </c>
      <c r="AO13" s="705">
        <v>200929</v>
      </c>
      <c r="AP13" s="705">
        <v>2284116</v>
      </c>
      <c r="AQ13" s="705">
        <v>2076469</v>
      </c>
      <c r="AR13">
        <v>0</v>
      </c>
      <c r="AS13">
        <v>0</v>
      </c>
      <c r="AT13" s="705">
        <v>3434771</v>
      </c>
      <c r="AU13" s="705">
        <f t="shared" si="3"/>
        <v>3434770</v>
      </c>
      <c r="AV13" s="705">
        <f t="shared" si="2"/>
        <v>4740047</v>
      </c>
    </row>
    <row r="14" spans="1:48" ht="12.75" hidden="1" customHeight="1">
      <c r="B14" t="s">
        <v>527</v>
      </c>
      <c r="C14" t="s">
        <v>112</v>
      </c>
      <c r="D14" t="s">
        <v>583</v>
      </c>
      <c r="E14" t="s">
        <v>583</v>
      </c>
      <c r="F14">
        <v>26</v>
      </c>
      <c r="G14" s="705">
        <v>2598</v>
      </c>
      <c r="H14" s="705">
        <v>3143</v>
      </c>
      <c r="I14" s="705">
        <v>132679</v>
      </c>
      <c r="J14" s="705">
        <v>120618</v>
      </c>
      <c r="K14">
        <v>94</v>
      </c>
      <c r="L14" s="705">
        <v>31759</v>
      </c>
      <c r="M14" s="705">
        <v>28475</v>
      </c>
      <c r="N14" s="705">
        <v>34197</v>
      </c>
      <c r="O14" s="705">
        <v>12666</v>
      </c>
      <c r="P14" s="705">
        <v>16497</v>
      </c>
      <c r="Q14" s="705">
        <v>6110</v>
      </c>
      <c r="R14" s="705">
        <v>98435</v>
      </c>
      <c r="S14" s="705">
        <v>89486</v>
      </c>
      <c r="T14">
        <v>0</v>
      </c>
      <c r="U14" s="705">
        <v>0</v>
      </c>
      <c r="V14" s="705">
        <v>257355</v>
      </c>
      <c r="W14" s="705">
        <f t="shared" si="0"/>
        <v>257355</v>
      </c>
      <c r="X14" s="705">
        <f t="shared" si="1"/>
        <v>313567</v>
      </c>
      <c r="Y14" s="705"/>
      <c r="AA14" t="s">
        <v>108</v>
      </c>
      <c r="AB14" t="s">
        <v>583</v>
      </c>
      <c r="AC14" t="s">
        <v>584</v>
      </c>
      <c r="AD14" s="705">
        <v>1</v>
      </c>
      <c r="AE14" s="705">
        <v>77</v>
      </c>
      <c r="AF14" s="705">
        <v>59</v>
      </c>
      <c r="AG14" s="705">
        <v>-24</v>
      </c>
      <c r="AH14" s="705">
        <v>-22</v>
      </c>
      <c r="AI14">
        <v>91</v>
      </c>
      <c r="AJ14" s="705">
        <v>0</v>
      </c>
      <c r="AK14" s="705">
        <v>0</v>
      </c>
      <c r="AL14" s="705">
        <v>938</v>
      </c>
      <c r="AM14" s="705">
        <v>347</v>
      </c>
      <c r="AN14" s="705">
        <v>473</v>
      </c>
      <c r="AO14" s="705">
        <v>175</v>
      </c>
      <c r="AP14" s="705">
        <v>3190</v>
      </c>
      <c r="AQ14" s="705">
        <v>2900</v>
      </c>
      <c r="AR14" s="705">
        <v>0</v>
      </c>
      <c r="AS14" s="705">
        <v>0</v>
      </c>
      <c r="AT14" s="705">
        <v>3401</v>
      </c>
      <c r="AU14" s="705">
        <f t="shared" si="3"/>
        <v>3444</v>
      </c>
      <c r="AV14" s="705">
        <f t="shared" si="2"/>
        <v>4625</v>
      </c>
    </row>
    <row r="15" spans="1:48" ht="12.75" hidden="1" customHeight="1">
      <c r="B15" t="s">
        <v>527</v>
      </c>
      <c r="C15" t="s">
        <v>112</v>
      </c>
      <c r="D15" t="s">
        <v>584</v>
      </c>
      <c r="E15" t="s">
        <v>584</v>
      </c>
      <c r="F15">
        <v>106</v>
      </c>
      <c r="G15" s="705">
        <v>10593</v>
      </c>
      <c r="H15" s="705">
        <v>12685</v>
      </c>
      <c r="I15" s="705">
        <v>553503</v>
      </c>
      <c r="J15" s="705">
        <v>503184</v>
      </c>
      <c r="K15">
        <v>88</v>
      </c>
      <c r="L15" s="705">
        <v>73534</v>
      </c>
      <c r="M15" s="705">
        <v>68250</v>
      </c>
      <c r="N15" s="705">
        <v>157202</v>
      </c>
      <c r="O15" s="705">
        <v>58223</v>
      </c>
      <c r="P15" s="705">
        <v>50085</v>
      </c>
      <c r="Q15" s="705">
        <v>18550</v>
      </c>
      <c r="R15" s="705">
        <v>438584</v>
      </c>
      <c r="S15" s="705">
        <v>398713</v>
      </c>
      <c r="T15">
        <v>0</v>
      </c>
      <c r="U15" s="705">
        <v>0</v>
      </c>
      <c r="V15" s="705">
        <v>1046920</v>
      </c>
      <c r="W15" s="705">
        <f t="shared" si="0"/>
        <v>1046920</v>
      </c>
      <c r="X15" s="705">
        <f t="shared" si="1"/>
        <v>1272908</v>
      </c>
      <c r="Y15" s="705"/>
      <c r="AA15" t="s">
        <v>108</v>
      </c>
      <c r="AB15" t="s">
        <v>584</v>
      </c>
      <c r="AC15" t="s">
        <v>674</v>
      </c>
      <c r="AD15">
        <v>1</v>
      </c>
      <c r="AE15">
        <v>140</v>
      </c>
      <c r="AF15">
        <v>69</v>
      </c>
      <c r="AG15" s="705">
        <v>4081</v>
      </c>
      <c r="AH15" s="705">
        <v>3710</v>
      </c>
      <c r="AI15">
        <v>90</v>
      </c>
      <c r="AJ15" s="705">
        <v>532</v>
      </c>
      <c r="AK15">
        <v>484</v>
      </c>
      <c r="AL15" s="705">
        <v>1706</v>
      </c>
      <c r="AM15" s="705">
        <v>632</v>
      </c>
      <c r="AN15" s="705">
        <v>473</v>
      </c>
      <c r="AO15">
        <v>175</v>
      </c>
      <c r="AP15" s="705">
        <v>2799</v>
      </c>
      <c r="AQ15" s="705">
        <v>2544</v>
      </c>
      <c r="AR15">
        <v>0</v>
      </c>
      <c r="AS15">
        <v>0</v>
      </c>
      <c r="AT15" s="705">
        <v>7545</v>
      </c>
      <c r="AU15" s="705">
        <f t="shared" si="3"/>
        <v>7545</v>
      </c>
      <c r="AV15" s="705">
        <f t="shared" si="2"/>
        <v>9591</v>
      </c>
    </row>
    <row r="16" spans="1:48" ht="12.75" hidden="1" customHeight="1">
      <c r="B16" t="s">
        <v>527</v>
      </c>
      <c r="C16" t="s">
        <v>114</v>
      </c>
      <c r="D16" t="s">
        <v>582</v>
      </c>
      <c r="E16" t="s">
        <v>582</v>
      </c>
      <c r="F16">
        <v>9</v>
      </c>
      <c r="G16" s="705">
        <v>1029</v>
      </c>
      <c r="H16" s="705">
        <v>1281</v>
      </c>
      <c r="I16" s="705">
        <v>65256</v>
      </c>
      <c r="J16" s="705">
        <v>59324</v>
      </c>
      <c r="K16">
        <v>88</v>
      </c>
      <c r="L16" s="705">
        <v>9838</v>
      </c>
      <c r="M16" s="705">
        <v>4311</v>
      </c>
      <c r="N16" s="705">
        <v>21103</v>
      </c>
      <c r="O16" s="705">
        <v>7816</v>
      </c>
      <c r="P16" s="705">
        <v>4253</v>
      </c>
      <c r="Q16" s="705">
        <v>1575</v>
      </c>
      <c r="R16" s="705">
        <v>43042</v>
      </c>
      <c r="S16" s="705">
        <v>39129</v>
      </c>
      <c r="T16" s="705">
        <v>2539</v>
      </c>
      <c r="U16" s="705">
        <v>940</v>
      </c>
      <c r="V16" s="705">
        <v>113094</v>
      </c>
      <c r="W16" s="705">
        <f t="shared" si="0"/>
        <v>113095</v>
      </c>
      <c r="X16" s="705">
        <f t="shared" si="1"/>
        <v>146031</v>
      </c>
      <c r="Y16" s="705"/>
      <c r="AA16" t="s">
        <v>108</v>
      </c>
      <c r="AB16" t="s">
        <v>584</v>
      </c>
      <c r="AC16" t="s">
        <v>582</v>
      </c>
      <c r="AD16">
        <v>3</v>
      </c>
      <c r="AE16" s="705">
        <v>367</v>
      </c>
      <c r="AF16" s="705">
        <v>159</v>
      </c>
      <c r="AG16" s="705">
        <v>-2287</v>
      </c>
      <c r="AH16" s="705">
        <v>-2079</v>
      </c>
      <c r="AI16">
        <v>90</v>
      </c>
      <c r="AJ16">
        <v>-176</v>
      </c>
      <c r="AK16">
        <v>-160</v>
      </c>
      <c r="AL16" s="705">
        <v>4556</v>
      </c>
      <c r="AM16" s="705">
        <v>1687</v>
      </c>
      <c r="AN16" s="705">
        <v>2305</v>
      </c>
      <c r="AO16" s="705">
        <v>854</v>
      </c>
      <c r="AP16" s="705">
        <v>15001</v>
      </c>
      <c r="AQ16" s="705">
        <v>13637</v>
      </c>
      <c r="AR16" s="705">
        <v>0</v>
      </c>
      <c r="AS16" s="705">
        <v>0</v>
      </c>
      <c r="AT16" s="705">
        <v>13939</v>
      </c>
      <c r="AU16" s="705">
        <f t="shared" si="3"/>
        <v>18417</v>
      </c>
      <c r="AV16" s="705">
        <f t="shared" si="2"/>
        <v>24325</v>
      </c>
    </row>
    <row r="17" spans="2:48" ht="12.75" hidden="1" customHeight="1">
      <c r="B17" t="s">
        <v>527</v>
      </c>
      <c r="C17" t="s">
        <v>114</v>
      </c>
      <c r="D17" t="s">
        <v>228</v>
      </c>
      <c r="E17" t="s">
        <v>228</v>
      </c>
      <c r="F17" s="705">
        <v>28</v>
      </c>
      <c r="G17" s="705">
        <v>2255</v>
      </c>
      <c r="H17" s="705">
        <v>4020</v>
      </c>
      <c r="I17" s="705">
        <v>52970</v>
      </c>
      <c r="J17" s="705">
        <v>19619</v>
      </c>
      <c r="K17" s="705">
        <v>398</v>
      </c>
      <c r="L17" s="705">
        <v>17248</v>
      </c>
      <c r="M17" s="705">
        <v>15439</v>
      </c>
      <c r="N17" s="705">
        <v>28366</v>
      </c>
      <c r="O17" s="705">
        <v>10506</v>
      </c>
      <c r="P17" s="705">
        <v>9828</v>
      </c>
      <c r="Q17" s="705">
        <v>3640</v>
      </c>
      <c r="R17" s="705">
        <v>215100</v>
      </c>
      <c r="S17" s="705">
        <v>79667</v>
      </c>
      <c r="T17" s="705">
        <v>0</v>
      </c>
      <c r="U17" s="705">
        <v>0</v>
      </c>
      <c r="V17" s="705">
        <v>128870</v>
      </c>
      <c r="W17" s="705">
        <f t="shared" si="0"/>
        <v>128871</v>
      </c>
      <c r="X17" s="705">
        <f t="shared" si="1"/>
        <v>323512</v>
      </c>
      <c r="Y17" s="705"/>
      <c r="AA17" t="s">
        <v>108</v>
      </c>
      <c r="AB17" t="s">
        <v>584</v>
      </c>
      <c r="AC17" t="s">
        <v>228</v>
      </c>
      <c r="AD17">
        <v>27</v>
      </c>
      <c r="AE17" s="705">
        <v>3376</v>
      </c>
      <c r="AF17" s="705">
        <v>1415</v>
      </c>
      <c r="AG17" s="705">
        <v>34952</v>
      </c>
      <c r="AH17" s="705">
        <v>31775</v>
      </c>
      <c r="AI17">
        <v>91</v>
      </c>
      <c r="AJ17" s="705">
        <v>2655</v>
      </c>
      <c r="AK17" s="705">
        <v>2414</v>
      </c>
      <c r="AL17" s="705">
        <v>43222</v>
      </c>
      <c r="AM17" s="705">
        <v>16008</v>
      </c>
      <c r="AN17" s="705">
        <v>17414</v>
      </c>
      <c r="AO17" s="705">
        <v>6449</v>
      </c>
      <c r="AP17" s="705">
        <v>83174</v>
      </c>
      <c r="AQ17" s="705">
        <v>30805</v>
      </c>
      <c r="AR17">
        <v>0</v>
      </c>
      <c r="AS17">
        <v>0</v>
      </c>
      <c r="AT17" s="705">
        <v>87451</v>
      </c>
      <c r="AU17" s="705">
        <f t="shared" si="3"/>
        <v>87451</v>
      </c>
      <c r="AV17" s="705">
        <f t="shared" si="2"/>
        <v>181417</v>
      </c>
    </row>
    <row r="18" spans="2:48" ht="12.75" hidden="1" customHeight="1">
      <c r="B18" t="s">
        <v>527</v>
      </c>
      <c r="C18" t="s">
        <v>114</v>
      </c>
      <c r="D18" t="s">
        <v>583</v>
      </c>
      <c r="E18" s="705" t="s">
        <v>583</v>
      </c>
      <c r="F18" s="705">
        <v>161</v>
      </c>
      <c r="G18" s="705">
        <v>16408</v>
      </c>
      <c r="H18" s="705">
        <v>22221</v>
      </c>
      <c r="I18" s="705">
        <v>943016</v>
      </c>
      <c r="J18" s="705">
        <v>857287</v>
      </c>
      <c r="K18" s="705">
        <v>92</v>
      </c>
      <c r="L18" s="705">
        <v>228910</v>
      </c>
      <c r="M18" s="705">
        <v>205198</v>
      </c>
      <c r="N18" s="705">
        <v>261749</v>
      </c>
      <c r="O18" s="705">
        <v>96944</v>
      </c>
      <c r="P18" s="705">
        <v>125604</v>
      </c>
      <c r="Q18" s="705">
        <v>46520</v>
      </c>
      <c r="R18" s="705">
        <v>673587</v>
      </c>
      <c r="S18" s="705">
        <v>612352</v>
      </c>
      <c r="T18" s="705">
        <v>36969</v>
      </c>
      <c r="U18" s="705">
        <v>13692</v>
      </c>
      <c r="V18" s="705">
        <v>1831993</v>
      </c>
      <c r="W18" s="705">
        <f t="shared" si="0"/>
        <v>1831993</v>
      </c>
      <c r="X18" s="705">
        <f t="shared" si="1"/>
        <v>2269835</v>
      </c>
      <c r="Y18" s="705"/>
      <c r="AA18" t="s">
        <v>108</v>
      </c>
      <c r="AB18" t="s">
        <v>584</v>
      </c>
      <c r="AC18" t="s">
        <v>584</v>
      </c>
      <c r="AD18" s="705">
        <v>18219</v>
      </c>
      <c r="AE18" s="705">
        <v>2254144</v>
      </c>
      <c r="AF18" s="705">
        <v>1005395</v>
      </c>
      <c r="AG18" s="705">
        <v>10407981</v>
      </c>
      <c r="AH18" s="705">
        <v>9461801</v>
      </c>
      <c r="AI18">
        <v>91</v>
      </c>
      <c r="AJ18" s="705">
        <v>890755</v>
      </c>
      <c r="AK18" s="705">
        <v>723816</v>
      </c>
      <c r="AL18" s="705">
        <v>28198498</v>
      </c>
      <c r="AM18" s="705">
        <v>10443888</v>
      </c>
      <c r="AN18" s="705">
        <v>19882025</v>
      </c>
      <c r="AO18" s="705">
        <v>7363713</v>
      </c>
      <c r="AP18" s="705">
        <v>63821265</v>
      </c>
      <c r="AQ18" s="705">
        <v>58019331</v>
      </c>
      <c r="AR18" s="705">
        <v>8082</v>
      </c>
      <c r="AS18" s="705">
        <v>2993</v>
      </c>
      <c r="AT18" s="705">
        <v>86015541</v>
      </c>
      <c r="AU18" s="705">
        <f t="shared" si="3"/>
        <v>86015542</v>
      </c>
      <c r="AV18" s="705">
        <f t="shared" si="2"/>
        <v>123208606</v>
      </c>
    </row>
    <row r="19" spans="2:48" ht="12.75" hidden="1" customHeight="1">
      <c r="B19" t="s">
        <v>527</v>
      </c>
      <c r="C19" t="s">
        <v>114</v>
      </c>
      <c r="D19" t="s">
        <v>666</v>
      </c>
      <c r="E19" t="s">
        <v>583</v>
      </c>
      <c r="F19">
        <v>1</v>
      </c>
      <c r="G19">
        <v>122</v>
      </c>
      <c r="H19" s="705">
        <v>150</v>
      </c>
      <c r="I19" s="705">
        <v>12235</v>
      </c>
      <c r="J19" s="705">
        <v>11123</v>
      </c>
      <c r="K19" s="705">
        <v>94</v>
      </c>
      <c r="L19" s="705">
        <v>0</v>
      </c>
      <c r="M19" s="705">
        <v>0</v>
      </c>
      <c r="N19" s="705">
        <v>1490</v>
      </c>
      <c r="O19" s="705">
        <v>552</v>
      </c>
      <c r="P19" s="705">
        <v>621</v>
      </c>
      <c r="Q19" s="705">
        <v>230</v>
      </c>
      <c r="R19" s="705">
        <v>3953</v>
      </c>
      <c r="S19" s="705">
        <v>3594</v>
      </c>
      <c r="T19">
        <v>0</v>
      </c>
      <c r="U19" s="705">
        <v>0</v>
      </c>
      <c r="V19" s="705">
        <v>15498</v>
      </c>
      <c r="W19" s="705">
        <f t="shared" si="0"/>
        <v>15499</v>
      </c>
      <c r="X19" s="705">
        <f t="shared" si="1"/>
        <v>18299</v>
      </c>
      <c r="Y19" s="705"/>
      <c r="AA19" t="s">
        <v>108</v>
      </c>
      <c r="AB19" t="s">
        <v>584</v>
      </c>
      <c r="AC19" t="s">
        <v>668</v>
      </c>
      <c r="AD19">
        <v>2</v>
      </c>
      <c r="AE19">
        <v>297</v>
      </c>
      <c r="AF19">
        <v>145</v>
      </c>
      <c r="AG19" s="705">
        <v>8004</v>
      </c>
      <c r="AH19" s="705">
        <v>7276</v>
      </c>
      <c r="AI19">
        <v>91</v>
      </c>
      <c r="AJ19" s="705">
        <v>1238</v>
      </c>
      <c r="AK19" s="705">
        <v>1126</v>
      </c>
      <c r="AL19" s="705">
        <v>3615</v>
      </c>
      <c r="AM19" s="705">
        <v>1339</v>
      </c>
      <c r="AN19" s="705">
        <v>945</v>
      </c>
      <c r="AO19" s="705">
        <v>350</v>
      </c>
      <c r="AP19" s="705">
        <v>7641</v>
      </c>
      <c r="AQ19" s="705">
        <v>6946</v>
      </c>
      <c r="AR19">
        <v>0</v>
      </c>
      <c r="AS19">
        <v>0</v>
      </c>
      <c r="AT19" s="705">
        <v>17037</v>
      </c>
      <c r="AU19" s="705">
        <f t="shared" si="3"/>
        <v>17037</v>
      </c>
      <c r="AV19" s="705">
        <f t="shared" si="2"/>
        <v>21443</v>
      </c>
    </row>
    <row r="20" spans="2:48" ht="12.75" hidden="1" customHeight="1">
      <c r="B20" t="s">
        <v>527</v>
      </c>
      <c r="C20" t="s">
        <v>114</v>
      </c>
      <c r="D20" t="s">
        <v>584</v>
      </c>
      <c r="E20" t="s">
        <v>583</v>
      </c>
      <c r="F20">
        <v>1</v>
      </c>
      <c r="G20">
        <v>141</v>
      </c>
      <c r="H20" s="705">
        <v>131</v>
      </c>
      <c r="I20" s="705">
        <v>10143</v>
      </c>
      <c r="J20" s="705">
        <v>9221</v>
      </c>
      <c r="K20">
        <v>91</v>
      </c>
      <c r="L20" s="705">
        <v>1738</v>
      </c>
      <c r="M20" s="705">
        <v>1580</v>
      </c>
      <c r="N20" s="705">
        <v>1903</v>
      </c>
      <c r="O20" s="705">
        <v>705</v>
      </c>
      <c r="P20" s="705">
        <v>1175</v>
      </c>
      <c r="Q20" s="705">
        <v>435</v>
      </c>
      <c r="R20" s="705">
        <v>5570</v>
      </c>
      <c r="S20" s="705">
        <v>5064</v>
      </c>
      <c r="T20" s="705">
        <v>0</v>
      </c>
      <c r="U20" s="705">
        <v>0</v>
      </c>
      <c r="V20" s="705">
        <v>17004</v>
      </c>
      <c r="W20" s="705">
        <f t="shared" si="0"/>
        <v>17005</v>
      </c>
      <c r="X20" s="705">
        <f t="shared" si="1"/>
        <v>20529</v>
      </c>
      <c r="Y20" s="705"/>
      <c r="AA20" t="s">
        <v>108</v>
      </c>
      <c r="AB20" t="s">
        <v>668</v>
      </c>
      <c r="AC20" t="s">
        <v>668</v>
      </c>
      <c r="AD20">
        <v>2</v>
      </c>
      <c r="AE20" s="705">
        <v>217</v>
      </c>
      <c r="AF20" s="705">
        <v>146</v>
      </c>
      <c r="AG20" s="705">
        <v>6527</v>
      </c>
      <c r="AH20" s="705">
        <v>5934</v>
      </c>
      <c r="AI20">
        <v>87</v>
      </c>
      <c r="AJ20" s="705">
        <v>0</v>
      </c>
      <c r="AK20" s="705">
        <v>0</v>
      </c>
      <c r="AL20" s="705">
        <v>2647</v>
      </c>
      <c r="AM20" s="705">
        <v>980</v>
      </c>
      <c r="AN20" s="705">
        <v>2216</v>
      </c>
      <c r="AO20" s="705">
        <v>821</v>
      </c>
      <c r="AP20" s="705">
        <v>4494</v>
      </c>
      <c r="AQ20" s="705">
        <v>4085</v>
      </c>
      <c r="AR20">
        <v>0</v>
      </c>
      <c r="AS20">
        <v>0</v>
      </c>
      <c r="AT20" s="705">
        <v>11820</v>
      </c>
      <c r="AU20" s="705">
        <f t="shared" si="3"/>
        <v>11820</v>
      </c>
      <c r="AV20" s="705">
        <f t="shared" si="2"/>
        <v>15884</v>
      </c>
    </row>
    <row r="21" spans="2:48" ht="12.75" hidden="1" customHeight="1">
      <c r="B21" t="s">
        <v>527</v>
      </c>
      <c r="C21" t="s">
        <v>114</v>
      </c>
      <c r="D21" t="s">
        <v>584</v>
      </c>
      <c r="E21" t="s">
        <v>584</v>
      </c>
      <c r="F21" s="705">
        <v>207</v>
      </c>
      <c r="G21" s="705">
        <v>21731</v>
      </c>
      <c r="H21" s="705">
        <v>29236</v>
      </c>
      <c r="I21" s="705">
        <v>1357611</v>
      </c>
      <c r="J21" s="705">
        <v>1234192</v>
      </c>
      <c r="K21">
        <v>87</v>
      </c>
      <c r="L21" s="705">
        <v>293939</v>
      </c>
      <c r="M21" s="705">
        <v>254267</v>
      </c>
      <c r="N21" s="705">
        <v>371327</v>
      </c>
      <c r="O21" s="705">
        <v>137529</v>
      </c>
      <c r="P21" s="705">
        <v>98510</v>
      </c>
      <c r="Q21" s="705">
        <v>36485</v>
      </c>
      <c r="R21" s="705">
        <v>920736</v>
      </c>
      <c r="S21" s="705">
        <v>837032</v>
      </c>
      <c r="T21" s="705">
        <v>27608</v>
      </c>
      <c r="U21" s="705">
        <v>10225</v>
      </c>
      <c r="V21" s="705">
        <v>2509730</v>
      </c>
      <c r="W21" s="705">
        <f t="shared" si="0"/>
        <v>2509730</v>
      </c>
      <c r="X21" s="705">
        <f t="shared" si="1"/>
        <v>3069731</v>
      </c>
      <c r="Y21" s="705"/>
      <c r="AA21" t="s">
        <v>110</v>
      </c>
      <c r="AD21" s="705">
        <v>42</v>
      </c>
      <c r="AE21" s="705">
        <v>4060</v>
      </c>
      <c r="AF21" s="705">
        <v>3808</v>
      </c>
      <c r="AG21" s="705"/>
      <c r="AH21" s="705">
        <v>0</v>
      </c>
      <c r="AJ21" s="705"/>
      <c r="AK21" s="705">
        <v>0</v>
      </c>
      <c r="AL21" s="705">
        <v>63229</v>
      </c>
      <c r="AM21" s="705">
        <v>23418</v>
      </c>
      <c r="AN21" s="705">
        <v>23754</v>
      </c>
      <c r="AO21" s="705">
        <v>8798</v>
      </c>
      <c r="AP21" s="705"/>
      <c r="AQ21" s="705">
        <v>0</v>
      </c>
      <c r="AR21" s="705">
        <v>0</v>
      </c>
      <c r="AS21" s="705">
        <v>0</v>
      </c>
      <c r="AT21" s="705">
        <v>32216</v>
      </c>
      <c r="AU21" s="705">
        <f t="shared" si="3"/>
        <v>32216</v>
      </c>
      <c r="AV21" s="705">
        <f t="shared" si="2"/>
        <v>86983</v>
      </c>
    </row>
    <row r="22" spans="2:48" ht="12.75" hidden="1" customHeight="1">
      <c r="B22" t="s">
        <v>527</v>
      </c>
      <c r="C22" t="s">
        <v>116</v>
      </c>
      <c r="D22" t="s">
        <v>664</v>
      </c>
      <c r="E22" t="s">
        <v>664</v>
      </c>
      <c r="F22" s="705">
        <v>1</v>
      </c>
      <c r="G22" s="705">
        <v>78</v>
      </c>
      <c r="H22" s="705">
        <v>190</v>
      </c>
      <c r="I22" s="705">
        <v>8126</v>
      </c>
      <c r="J22" s="705">
        <v>7387</v>
      </c>
      <c r="K22" s="705">
        <v>90</v>
      </c>
      <c r="L22" s="705">
        <v>1193</v>
      </c>
      <c r="M22" s="705">
        <v>1085</v>
      </c>
      <c r="N22" s="705">
        <v>1125</v>
      </c>
      <c r="O22" s="705">
        <v>417</v>
      </c>
      <c r="P22" s="705">
        <v>473</v>
      </c>
      <c r="Q22" s="705">
        <v>175</v>
      </c>
      <c r="R22" s="705">
        <v>3849</v>
      </c>
      <c r="S22" s="705">
        <v>3499</v>
      </c>
      <c r="T22" s="705">
        <v>0</v>
      </c>
      <c r="U22" s="705">
        <v>0</v>
      </c>
      <c r="V22" s="705">
        <v>12563</v>
      </c>
      <c r="W22" s="705">
        <f t="shared" si="0"/>
        <v>12563</v>
      </c>
      <c r="X22" s="705">
        <f t="shared" si="1"/>
        <v>14766</v>
      </c>
      <c r="Y22" s="705"/>
      <c r="AA22" t="s">
        <v>110</v>
      </c>
      <c r="AB22" t="s">
        <v>582</v>
      </c>
      <c r="AC22" t="s">
        <v>582</v>
      </c>
      <c r="AD22">
        <v>82</v>
      </c>
      <c r="AE22" s="705">
        <v>8114</v>
      </c>
      <c r="AF22" s="705">
        <v>7417</v>
      </c>
      <c r="AG22" s="705">
        <v>318699</v>
      </c>
      <c r="AH22" s="705">
        <v>289726</v>
      </c>
      <c r="AI22">
        <v>91</v>
      </c>
      <c r="AJ22" s="705">
        <v>45616</v>
      </c>
      <c r="AK22" s="705">
        <v>41078</v>
      </c>
      <c r="AL22" s="705">
        <v>105929</v>
      </c>
      <c r="AM22" s="705">
        <v>39233</v>
      </c>
      <c r="AN22" s="705">
        <v>51147</v>
      </c>
      <c r="AO22" s="705">
        <v>18943</v>
      </c>
      <c r="AP22" s="705">
        <v>227074</v>
      </c>
      <c r="AQ22" s="705">
        <v>206431</v>
      </c>
      <c r="AR22">
        <v>0</v>
      </c>
      <c r="AS22">
        <v>0</v>
      </c>
      <c r="AT22" s="705">
        <v>595411</v>
      </c>
      <c r="AU22" s="705">
        <f t="shared" si="3"/>
        <v>595411</v>
      </c>
      <c r="AV22" s="705">
        <f t="shared" si="2"/>
        <v>748465</v>
      </c>
    </row>
    <row r="23" spans="2:48" ht="12.75" hidden="1" customHeight="1">
      <c r="B23" t="s">
        <v>527</v>
      </c>
      <c r="C23" t="s">
        <v>116</v>
      </c>
      <c r="D23" t="s">
        <v>582</v>
      </c>
      <c r="E23" t="s">
        <v>582</v>
      </c>
      <c r="F23">
        <v>107</v>
      </c>
      <c r="G23" s="705">
        <v>11211</v>
      </c>
      <c r="H23" s="705">
        <v>18371</v>
      </c>
      <c r="I23" s="705">
        <v>995495</v>
      </c>
      <c r="J23" s="705">
        <v>904995</v>
      </c>
      <c r="K23" s="705">
        <v>87</v>
      </c>
      <c r="L23" s="705">
        <v>135771</v>
      </c>
      <c r="M23" s="705">
        <v>73438</v>
      </c>
      <c r="N23" s="705">
        <v>247622</v>
      </c>
      <c r="O23" s="705">
        <v>91712</v>
      </c>
      <c r="P23" s="705">
        <v>51449</v>
      </c>
      <c r="Q23" s="705">
        <v>19055</v>
      </c>
      <c r="R23" s="705">
        <v>475572</v>
      </c>
      <c r="S23" s="705">
        <v>432338</v>
      </c>
      <c r="T23" s="705">
        <v>13241</v>
      </c>
      <c r="U23" s="705">
        <v>4904</v>
      </c>
      <c r="V23" s="705">
        <v>1526442</v>
      </c>
      <c r="W23" s="705">
        <f t="shared" si="0"/>
        <v>1526442</v>
      </c>
      <c r="X23" s="705">
        <f t="shared" si="1"/>
        <v>1919150</v>
      </c>
      <c r="Y23" s="705"/>
      <c r="AA23" t="s">
        <v>110</v>
      </c>
      <c r="AB23" t="s">
        <v>228</v>
      </c>
      <c r="AC23" t="s">
        <v>582</v>
      </c>
      <c r="AD23" s="705">
        <v>1</v>
      </c>
      <c r="AE23" s="705">
        <v>131</v>
      </c>
      <c r="AF23" s="705">
        <v>86</v>
      </c>
      <c r="AG23" s="705">
        <v>2796</v>
      </c>
      <c r="AH23" s="705">
        <v>1036</v>
      </c>
      <c r="AI23">
        <v>364</v>
      </c>
      <c r="AJ23" s="705">
        <v>1304</v>
      </c>
      <c r="AK23" s="705">
        <v>1186</v>
      </c>
      <c r="AL23" s="705">
        <v>2417</v>
      </c>
      <c r="AM23" s="705">
        <v>895</v>
      </c>
      <c r="AN23" s="705">
        <v>473</v>
      </c>
      <c r="AO23" s="705">
        <v>175</v>
      </c>
      <c r="AP23" s="705">
        <v>4258</v>
      </c>
      <c r="AQ23" s="705">
        <v>3871</v>
      </c>
      <c r="AR23" s="705">
        <v>0</v>
      </c>
      <c r="AS23" s="705">
        <v>0</v>
      </c>
      <c r="AT23" s="705">
        <v>7162</v>
      </c>
      <c r="AU23" s="705">
        <f t="shared" si="3"/>
        <v>7163</v>
      </c>
      <c r="AV23" s="705">
        <f t="shared" si="2"/>
        <v>11248</v>
      </c>
    </row>
    <row r="24" spans="2:48" ht="12.75" hidden="1" customHeight="1">
      <c r="B24" t="s">
        <v>527</v>
      </c>
      <c r="C24" t="s">
        <v>116</v>
      </c>
      <c r="D24" t="s">
        <v>228</v>
      </c>
      <c r="E24" t="s">
        <v>228</v>
      </c>
      <c r="F24" s="705">
        <v>29</v>
      </c>
      <c r="G24" s="705">
        <v>2006</v>
      </c>
      <c r="H24" s="705">
        <v>5146</v>
      </c>
      <c r="I24" s="705">
        <v>110471</v>
      </c>
      <c r="J24" s="705">
        <v>40915</v>
      </c>
      <c r="K24" s="705">
        <v>338</v>
      </c>
      <c r="L24" s="705">
        <v>28156</v>
      </c>
      <c r="M24" s="705">
        <v>21341</v>
      </c>
      <c r="N24" s="705">
        <v>28467</v>
      </c>
      <c r="O24" s="705">
        <v>10543</v>
      </c>
      <c r="P24" s="705">
        <v>8775</v>
      </c>
      <c r="Q24" s="705">
        <v>3250</v>
      </c>
      <c r="R24" s="705">
        <v>181762</v>
      </c>
      <c r="S24" s="705">
        <v>67319</v>
      </c>
      <c r="T24" s="705">
        <v>0</v>
      </c>
      <c r="U24" s="705">
        <v>0</v>
      </c>
      <c r="V24" s="705">
        <v>143369</v>
      </c>
      <c r="W24" s="705">
        <f t="shared" si="0"/>
        <v>143368</v>
      </c>
      <c r="X24" s="705">
        <f t="shared" si="1"/>
        <v>357631</v>
      </c>
      <c r="Y24" s="705"/>
      <c r="AA24" t="s">
        <v>110</v>
      </c>
      <c r="AB24" t="s">
        <v>228</v>
      </c>
      <c r="AC24" t="s">
        <v>228</v>
      </c>
      <c r="AD24">
        <v>840</v>
      </c>
      <c r="AE24" s="705">
        <v>81208</v>
      </c>
      <c r="AF24" s="705">
        <v>74001</v>
      </c>
      <c r="AG24" s="705">
        <v>1948534</v>
      </c>
      <c r="AH24" s="705">
        <v>721679</v>
      </c>
      <c r="AI24">
        <v>397</v>
      </c>
      <c r="AJ24" s="705">
        <v>524109</v>
      </c>
      <c r="AK24" s="705">
        <v>456446</v>
      </c>
      <c r="AL24" s="705">
        <v>1330767</v>
      </c>
      <c r="AM24" s="705">
        <v>492877</v>
      </c>
      <c r="AN24" s="705">
        <v>434142</v>
      </c>
      <c r="AO24" s="705">
        <v>160794</v>
      </c>
      <c r="AP24" s="705">
        <v>2928676</v>
      </c>
      <c r="AQ24" s="705">
        <v>1084695</v>
      </c>
      <c r="AR24">
        <v>0</v>
      </c>
      <c r="AS24">
        <v>0</v>
      </c>
      <c r="AT24" s="705">
        <v>2916490</v>
      </c>
      <c r="AU24" s="705">
        <f t="shared" si="3"/>
        <v>2916491</v>
      </c>
      <c r="AV24" s="705">
        <f t="shared" si="2"/>
        <v>7166228</v>
      </c>
    </row>
    <row r="25" spans="2:48" ht="12.75" hidden="1" customHeight="1">
      <c r="B25" t="s">
        <v>527</v>
      </c>
      <c r="C25" t="s">
        <v>116</v>
      </c>
      <c r="D25" t="s">
        <v>583</v>
      </c>
      <c r="E25" t="s">
        <v>228</v>
      </c>
      <c r="F25">
        <v>1</v>
      </c>
      <c r="G25" s="705">
        <v>136</v>
      </c>
      <c r="H25" s="705">
        <v>202</v>
      </c>
      <c r="I25" s="705">
        <v>10503</v>
      </c>
      <c r="J25" s="705">
        <v>9548</v>
      </c>
      <c r="K25" s="705">
        <v>90</v>
      </c>
      <c r="L25" s="705">
        <v>3326</v>
      </c>
      <c r="M25" s="705">
        <v>3023</v>
      </c>
      <c r="N25" s="705">
        <v>2649</v>
      </c>
      <c r="O25" s="705">
        <v>981</v>
      </c>
      <c r="P25" s="705">
        <v>621</v>
      </c>
      <c r="Q25" s="705">
        <v>230</v>
      </c>
      <c r="R25" s="705">
        <v>10319</v>
      </c>
      <c r="S25" s="705">
        <v>3822</v>
      </c>
      <c r="T25">
        <v>0</v>
      </c>
      <c r="U25" s="705">
        <v>0</v>
      </c>
      <c r="V25" s="705">
        <v>17604</v>
      </c>
      <c r="W25" s="705">
        <f t="shared" si="0"/>
        <v>17604</v>
      </c>
      <c r="X25" s="705">
        <f t="shared" si="1"/>
        <v>27418</v>
      </c>
      <c r="Y25" s="705"/>
      <c r="AA25" t="s">
        <v>110</v>
      </c>
      <c r="AB25" t="s">
        <v>228</v>
      </c>
      <c r="AC25" t="s">
        <v>584</v>
      </c>
      <c r="AD25">
        <v>1</v>
      </c>
      <c r="AE25">
        <v>139</v>
      </c>
      <c r="AF25">
        <v>95</v>
      </c>
      <c r="AG25" s="705">
        <v>4110</v>
      </c>
      <c r="AH25" s="705">
        <v>1522</v>
      </c>
      <c r="AI25">
        <v>250</v>
      </c>
      <c r="AJ25" s="705">
        <v>1691</v>
      </c>
      <c r="AK25" s="705">
        <v>1410</v>
      </c>
      <c r="AL25" s="705">
        <v>2037</v>
      </c>
      <c r="AM25" s="705">
        <v>755</v>
      </c>
      <c r="AN25">
        <v>473</v>
      </c>
      <c r="AO25">
        <v>175</v>
      </c>
      <c r="AP25" s="705">
        <v>4892</v>
      </c>
      <c r="AQ25" s="705">
        <v>4447</v>
      </c>
      <c r="AR25">
        <v>0</v>
      </c>
      <c r="AS25">
        <v>0</v>
      </c>
      <c r="AT25" s="705">
        <v>8309</v>
      </c>
      <c r="AU25" s="705">
        <f t="shared" si="3"/>
        <v>8309</v>
      </c>
      <c r="AV25" s="705">
        <f t="shared" si="2"/>
        <v>13203</v>
      </c>
    </row>
    <row r="26" spans="2:48" ht="12.75" hidden="1" customHeight="1">
      <c r="B26" t="s">
        <v>527</v>
      </c>
      <c r="C26" t="s">
        <v>116</v>
      </c>
      <c r="D26" t="s">
        <v>583</v>
      </c>
      <c r="E26" t="s">
        <v>583</v>
      </c>
      <c r="F26">
        <v>932</v>
      </c>
      <c r="G26" s="705">
        <v>94770</v>
      </c>
      <c r="H26" s="705">
        <v>177623</v>
      </c>
      <c r="I26" s="705">
        <v>8456740</v>
      </c>
      <c r="J26" s="705">
        <v>7687946</v>
      </c>
      <c r="K26" s="705">
        <v>86</v>
      </c>
      <c r="L26" s="705">
        <v>2066790</v>
      </c>
      <c r="M26" s="705">
        <v>1818284</v>
      </c>
      <c r="N26" s="705">
        <v>1779755</v>
      </c>
      <c r="O26" s="705">
        <v>659168</v>
      </c>
      <c r="P26" s="705">
        <v>589275</v>
      </c>
      <c r="Q26" s="705">
        <v>218250</v>
      </c>
      <c r="R26" s="705">
        <v>4222865</v>
      </c>
      <c r="S26" s="705">
        <v>3838968</v>
      </c>
      <c r="T26" s="705">
        <v>996113</v>
      </c>
      <c r="U26" s="705">
        <v>368931</v>
      </c>
      <c r="V26" s="705">
        <v>14591547</v>
      </c>
      <c r="W26" s="705">
        <f t="shared" si="0"/>
        <v>14591547</v>
      </c>
      <c r="X26" s="705">
        <f t="shared" si="1"/>
        <v>18111538</v>
      </c>
      <c r="Y26" s="705"/>
      <c r="AA26" t="s">
        <v>110</v>
      </c>
      <c r="AB26" t="s">
        <v>583</v>
      </c>
      <c r="AC26" t="s">
        <v>228</v>
      </c>
      <c r="AD26">
        <v>9</v>
      </c>
      <c r="AE26">
        <v>791</v>
      </c>
      <c r="AF26">
        <v>881</v>
      </c>
      <c r="AG26" s="705">
        <v>8414</v>
      </c>
      <c r="AH26" s="705">
        <v>7649</v>
      </c>
      <c r="AI26">
        <v>94</v>
      </c>
      <c r="AJ26" s="705">
        <v>1377</v>
      </c>
      <c r="AK26" s="705">
        <v>1226</v>
      </c>
      <c r="AL26" s="705">
        <v>9636</v>
      </c>
      <c r="AM26" s="705">
        <v>3569</v>
      </c>
      <c r="AN26" s="705">
        <v>5589</v>
      </c>
      <c r="AO26" s="705">
        <v>2070</v>
      </c>
      <c r="AP26" s="705">
        <v>52168</v>
      </c>
      <c r="AQ26" s="705">
        <v>19321</v>
      </c>
      <c r="AR26">
        <v>0</v>
      </c>
      <c r="AS26">
        <v>0</v>
      </c>
      <c r="AT26" s="705">
        <v>33836</v>
      </c>
      <c r="AU26" s="705">
        <f t="shared" si="3"/>
        <v>33835</v>
      </c>
      <c r="AV26" s="705">
        <f t="shared" si="2"/>
        <v>77184</v>
      </c>
    </row>
    <row r="27" spans="2:48" ht="12.75" hidden="1" customHeight="1">
      <c r="B27" t="s">
        <v>527</v>
      </c>
      <c r="C27" t="s">
        <v>116</v>
      </c>
      <c r="D27" t="s">
        <v>583</v>
      </c>
      <c r="E27" t="s">
        <v>666</v>
      </c>
      <c r="F27" s="705">
        <v>1</v>
      </c>
      <c r="G27" s="705">
        <v>111</v>
      </c>
      <c r="H27" s="705">
        <v>181</v>
      </c>
      <c r="I27" s="705">
        <v>8196</v>
      </c>
      <c r="J27" s="705">
        <v>7451</v>
      </c>
      <c r="K27" s="705">
        <v>95</v>
      </c>
      <c r="L27" s="705">
        <v>2738</v>
      </c>
      <c r="M27" s="705">
        <v>2489</v>
      </c>
      <c r="N27" s="705">
        <v>1845</v>
      </c>
      <c r="O27" s="705">
        <v>683</v>
      </c>
      <c r="P27" s="705">
        <v>621</v>
      </c>
      <c r="Q27" s="705">
        <v>230</v>
      </c>
      <c r="R27" s="705">
        <v>3669</v>
      </c>
      <c r="S27" s="705">
        <v>3336</v>
      </c>
      <c r="T27" s="705">
        <v>2916</v>
      </c>
      <c r="U27" s="705">
        <v>1080</v>
      </c>
      <c r="V27" s="705">
        <v>15269</v>
      </c>
      <c r="W27" s="705">
        <f t="shared" si="0"/>
        <v>15269</v>
      </c>
      <c r="X27" s="705">
        <f t="shared" si="1"/>
        <v>19985</v>
      </c>
      <c r="Y27" s="705"/>
      <c r="AA27" t="s">
        <v>110</v>
      </c>
      <c r="AB27" t="s">
        <v>583</v>
      </c>
      <c r="AC27" t="s">
        <v>583</v>
      </c>
      <c r="AD27">
        <v>392</v>
      </c>
      <c r="AE27" s="705">
        <v>44552</v>
      </c>
      <c r="AF27" s="705">
        <v>35504</v>
      </c>
      <c r="AG27" s="705">
        <v>1765302</v>
      </c>
      <c r="AH27" s="705">
        <v>1604820</v>
      </c>
      <c r="AI27">
        <v>94</v>
      </c>
      <c r="AJ27" s="705">
        <v>271622</v>
      </c>
      <c r="AK27" s="705">
        <v>237845</v>
      </c>
      <c r="AL27" s="705">
        <v>601561</v>
      </c>
      <c r="AM27" s="705">
        <v>222801</v>
      </c>
      <c r="AN27" s="705">
        <v>277962</v>
      </c>
      <c r="AO27" s="705">
        <v>102949</v>
      </c>
      <c r="AP27" s="705">
        <v>1099597</v>
      </c>
      <c r="AQ27" s="705">
        <v>999634</v>
      </c>
      <c r="AR27" s="705">
        <v>23466</v>
      </c>
      <c r="AS27" s="705">
        <v>8691</v>
      </c>
      <c r="AT27" s="705">
        <v>3176739</v>
      </c>
      <c r="AU27" s="705">
        <f t="shared" si="3"/>
        <v>3176740</v>
      </c>
      <c r="AV27" s="705">
        <f t="shared" si="2"/>
        <v>4039510</v>
      </c>
    </row>
    <row r="28" spans="2:48" ht="12.75" hidden="1" customHeight="1">
      <c r="B28" t="s">
        <v>527</v>
      </c>
      <c r="C28" t="s">
        <v>116</v>
      </c>
      <c r="D28" t="s">
        <v>583</v>
      </c>
      <c r="E28" t="s">
        <v>584</v>
      </c>
      <c r="F28">
        <v>1</v>
      </c>
      <c r="G28">
        <v>88</v>
      </c>
      <c r="H28" s="705">
        <v>160</v>
      </c>
      <c r="I28" s="705">
        <v>5849</v>
      </c>
      <c r="J28" s="705">
        <v>5317</v>
      </c>
      <c r="K28" s="705">
        <v>92</v>
      </c>
      <c r="L28" s="705">
        <v>1898</v>
      </c>
      <c r="M28" s="705">
        <v>1725</v>
      </c>
      <c r="N28" s="705">
        <v>1072</v>
      </c>
      <c r="O28" s="705">
        <v>397</v>
      </c>
      <c r="P28" s="705">
        <v>621</v>
      </c>
      <c r="Q28" s="705">
        <v>230</v>
      </c>
      <c r="R28" s="705">
        <v>2407</v>
      </c>
      <c r="S28" s="705">
        <v>2188</v>
      </c>
      <c r="T28" s="705">
        <v>2228</v>
      </c>
      <c r="U28" s="705">
        <v>825</v>
      </c>
      <c r="V28" s="705">
        <v>10682</v>
      </c>
      <c r="W28" s="705">
        <f t="shared" si="0"/>
        <v>10682</v>
      </c>
      <c r="X28" s="705">
        <f t="shared" si="1"/>
        <v>14075</v>
      </c>
      <c r="Y28" s="705"/>
      <c r="AA28" t="s">
        <v>110</v>
      </c>
      <c r="AB28" t="s">
        <v>583</v>
      </c>
      <c r="AC28" t="s">
        <v>666</v>
      </c>
      <c r="AD28">
        <v>3</v>
      </c>
      <c r="AE28">
        <v>255</v>
      </c>
      <c r="AF28">
        <v>288</v>
      </c>
      <c r="AG28" s="705">
        <v>11077</v>
      </c>
      <c r="AH28" s="705">
        <v>10070</v>
      </c>
      <c r="AI28">
        <v>93</v>
      </c>
      <c r="AJ28" s="705">
        <v>1916</v>
      </c>
      <c r="AK28" s="705">
        <v>1742</v>
      </c>
      <c r="AL28" s="705">
        <v>3111</v>
      </c>
      <c r="AM28" s="705">
        <v>1152</v>
      </c>
      <c r="AN28" s="705">
        <v>4045</v>
      </c>
      <c r="AO28" s="705">
        <v>1498</v>
      </c>
      <c r="AP28" s="705">
        <v>4369</v>
      </c>
      <c r="AQ28" s="705">
        <v>3972</v>
      </c>
      <c r="AR28">
        <v>0</v>
      </c>
      <c r="AS28">
        <v>0</v>
      </c>
      <c r="AT28" s="705">
        <v>18434</v>
      </c>
      <c r="AU28" s="705">
        <f t="shared" si="3"/>
        <v>18434</v>
      </c>
      <c r="AV28" s="705">
        <f t="shared" si="2"/>
        <v>24518</v>
      </c>
    </row>
    <row r="29" spans="2:48" ht="12.75" hidden="1" customHeight="1">
      <c r="B29" t="s">
        <v>527</v>
      </c>
      <c r="C29" t="s">
        <v>116</v>
      </c>
      <c r="D29" t="s">
        <v>584</v>
      </c>
      <c r="E29" t="s">
        <v>582</v>
      </c>
      <c r="F29" s="705">
        <v>2</v>
      </c>
      <c r="G29" s="705">
        <v>175</v>
      </c>
      <c r="H29" s="705">
        <v>347</v>
      </c>
      <c r="I29" s="705">
        <v>14206</v>
      </c>
      <c r="J29" s="705">
        <v>12914</v>
      </c>
      <c r="K29">
        <v>88</v>
      </c>
      <c r="L29" s="705">
        <v>2791</v>
      </c>
      <c r="M29" s="705">
        <v>2537</v>
      </c>
      <c r="N29" s="705">
        <v>3448</v>
      </c>
      <c r="O29" s="705">
        <v>1277</v>
      </c>
      <c r="P29" s="705">
        <v>945</v>
      </c>
      <c r="Q29" s="705">
        <v>350</v>
      </c>
      <c r="R29" s="705">
        <v>6976</v>
      </c>
      <c r="S29" s="705">
        <v>6342</v>
      </c>
      <c r="T29" s="705">
        <v>2571</v>
      </c>
      <c r="U29" s="705">
        <v>952</v>
      </c>
      <c r="V29" s="705">
        <v>24373</v>
      </c>
      <c r="W29" s="705">
        <f t="shared" si="0"/>
        <v>24372</v>
      </c>
      <c r="X29" s="705">
        <f t="shared" si="1"/>
        <v>30937</v>
      </c>
      <c r="Y29" s="705"/>
      <c r="AA29" t="s">
        <v>110</v>
      </c>
      <c r="AB29" t="s">
        <v>584</v>
      </c>
      <c r="AC29" t="s">
        <v>228</v>
      </c>
      <c r="AD29">
        <v>2</v>
      </c>
      <c r="AE29" s="705">
        <v>298</v>
      </c>
      <c r="AF29" s="705">
        <v>192</v>
      </c>
      <c r="AG29" s="705">
        <v>10852</v>
      </c>
      <c r="AH29" s="705">
        <v>9866</v>
      </c>
      <c r="AI29">
        <v>91</v>
      </c>
      <c r="AJ29" s="705">
        <v>722</v>
      </c>
      <c r="AK29" s="705">
        <v>602</v>
      </c>
      <c r="AL29" s="705">
        <v>4430</v>
      </c>
      <c r="AM29" s="705">
        <v>1641</v>
      </c>
      <c r="AN29" s="705">
        <v>945</v>
      </c>
      <c r="AO29" s="705">
        <v>350</v>
      </c>
      <c r="AP29" s="705">
        <v>11762</v>
      </c>
      <c r="AQ29" s="705">
        <v>4356</v>
      </c>
      <c r="AR29" s="705">
        <v>0</v>
      </c>
      <c r="AS29" s="705">
        <v>0</v>
      </c>
      <c r="AT29" s="705">
        <v>16815</v>
      </c>
      <c r="AU29" s="705">
        <f t="shared" si="3"/>
        <v>16815</v>
      </c>
      <c r="AV29" s="705">
        <f t="shared" si="2"/>
        <v>28711</v>
      </c>
    </row>
    <row r="30" spans="2:48" ht="12.75" hidden="1" customHeight="1">
      <c r="B30" t="s">
        <v>527</v>
      </c>
      <c r="C30" t="s">
        <v>116</v>
      </c>
      <c r="D30" t="s">
        <v>584</v>
      </c>
      <c r="E30" s="705" t="s">
        <v>228</v>
      </c>
      <c r="F30" s="705">
        <v>16</v>
      </c>
      <c r="G30" s="705">
        <v>1162</v>
      </c>
      <c r="H30" s="705">
        <v>2908</v>
      </c>
      <c r="I30" s="705">
        <v>108744</v>
      </c>
      <c r="J30" s="705">
        <v>98858</v>
      </c>
      <c r="K30" s="705">
        <v>79</v>
      </c>
      <c r="L30" s="705">
        <v>0</v>
      </c>
      <c r="M30" s="705">
        <v>0</v>
      </c>
      <c r="N30" s="705">
        <v>28310</v>
      </c>
      <c r="O30" s="705">
        <v>10485</v>
      </c>
      <c r="P30" s="705">
        <v>7560</v>
      </c>
      <c r="Q30" s="705">
        <v>2800</v>
      </c>
      <c r="R30" s="705">
        <v>66716</v>
      </c>
      <c r="S30" s="705">
        <v>24709</v>
      </c>
      <c r="T30" s="705">
        <v>0</v>
      </c>
      <c r="U30" s="705">
        <v>0</v>
      </c>
      <c r="V30" s="705">
        <v>136852</v>
      </c>
      <c r="W30" s="705">
        <f t="shared" si="0"/>
        <v>136852</v>
      </c>
      <c r="X30" s="705">
        <f t="shared" si="1"/>
        <v>211330</v>
      </c>
      <c r="Y30" s="705"/>
      <c r="AA30" t="s">
        <v>110</v>
      </c>
      <c r="AB30" t="s">
        <v>584</v>
      </c>
      <c r="AC30" t="s">
        <v>584</v>
      </c>
      <c r="AD30" s="705">
        <v>2313</v>
      </c>
      <c r="AE30" s="705">
        <v>274827</v>
      </c>
      <c r="AF30" s="705">
        <v>207554</v>
      </c>
      <c r="AG30" s="705">
        <v>11259199</v>
      </c>
      <c r="AH30" s="705">
        <v>10235635</v>
      </c>
      <c r="AI30">
        <v>91</v>
      </c>
      <c r="AJ30" s="705">
        <v>1564785</v>
      </c>
      <c r="AK30" s="705">
        <v>1356404</v>
      </c>
      <c r="AL30" s="705">
        <v>3883334</v>
      </c>
      <c r="AM30" s="705">
        <v>1438272</v>
      </c>
      <c r="AN30" s="705">
        <v>1282535</v>
      </c>
      <c r="AO30" s="705">
        <v>475013</v>
      </c>
      <c r="AP30" s="705">
        <v>6979845</v>
      </c>
      <c r="AQ30" s="705">
        <v>6345313</v>
      </c>
      <c r="AR30" s="705">
        <v>56524</v>
      </c>
      <c r="AS30" s="705">
        <v>20935</v>
      </c>
      <c r="AT30" s="705">
        <v>19871572</v>
      </c>
      <c r="AU30" s="705">
        <f t="shared" si="3"/>
        <v>19871572</v>
      </c>
      <c r="AV30" s="705">
        <f t="shared" si="2"/>
        <v>25026222</v>
      </c>
    </row>
    <row r="31" spans="2:48" ht="12.75" hidden="1" customHeight="1">
      <c r="B31" t="s">
        <v>527</v>
      </c>
      <c r="C31" t="s">
        <v>116</v>
      </c>
      <c r="D31" t="s">
        <v>584</v>
      </c>
      <c r="E31" t="s">
        <v>584</v>
      </c>
      <c r="F31" s="705">
        <v>1657</v>
      </c>
      <c r="G31" s="705">
        <v>164931</v>
      </c>
      <c r="H31" s="705">
        <v>313640</v>
      </c>
      <c r="I31" s="705">
        <v>14541008</v>
      </c>
      <c r="J31" s="705">
        <v>13219098</v>
      </c>
      <c r="K31" s="705">
        <v>82</v>
      </c>
      <c r="L31" s="705">
        <v>3674268</v>
      </c>
      <c r="M31" s="705">
        <v>3154973</v>
      </c>
      <c r="N31" s="705">
        <v>3098082</v>
      </c>
      <c r="O31" s="705">
        <v>1147438</v>
      </c>
      <c r="P31" s="705">
        <v>783129</v>
      </c>
      <c r="Q31" s="705">
        <v>290048</v>
      </c>
      <c r="R31" s="705">
        <v>7976206</v>
      </c>
      <c r="S31" s="705">
        <v>7251096</v>
      </c>
      <c r="T31" s="705">
        <v>1201698</v>
      </c>
      <c r="U31" s="705">
        <v>445073</v>
      </c>
      <c r="V31" s="705">
        <v>25507727</v>
      </c>
      <c r="W31" s="705">
        <f t="shared" si="0"/>
        <v>25507726</v>
      </c>
      <c r="X31" s="705">
        <f t="shared" si="1"/>
        <v>31274391</v>
      </c>
      <c r="Y31" s="705"/>
      <c r="AA31" t="s">
        <v>110</v>
      </c>
      <c r="AB31" t="s">
        <v>665</v>
      </c>
      <c r="AC31" t="s">
        <v>665</v>
      </c>
      <c r="AD31">
        <v>1</v>
      </c>
      <c r="AE31" s="705">
        <v>71</v>
      </c>
      <c r="AF31" s="705">
        <v>84</v>
      </c>
      <c r="AG31" s="705">
        <v>1357</v>
      </c>
      <c r="AH31" s="705">
        <v>1234</v>
      </c>
      <c r="AI31">
        <v>361</v>
      </c>
      <c r="AJ31" s="705">
        <v>1979</v>
      </c>
      <c r="AK31" s="705">
        <v>1649</v>
      </c>
      <c r="AL31" s="705">
        <v>1057</v>
      </c>
      <c r="AM31" s="705">
        <v>391</v>
      </c>
      <c r="AN31" s="705">
        <v>351</v>
      </c>
      <c r="AO31" s="705">
        <v>130</v>
      </c>
      <c r="AP31" s="705">
        <v>1220</v>
      </c>
      <c r="AQ31" s="705">
        <v>1109</v>
      </c>
      <c r="AR31" s="705">
        <v>0</v>
      </c>
      <c r="AS31" s="705">
        <v>0</v>
      </c>
      <c r="AT31" s="705">
        <v>4513</v>
      </c>
      <c r="AU31" s="705">
        <f t="shared" si="3"/>
        <v>4513</v>
      </c>
      <c r="AV31" s="705">
        <f t="shared" si="2"/>
        <v>5964</v>
      </c>
    </row>
    <row r="32" spans="2:48" ht="12.75" hidden="1" customHeight="1">
      <c r="B32" t="s">
        <v>527</v>
      </c>
      <c r="C32" t="s">
        <v>116</v>
      </c>
      <c r="D32" t="s">
        <v>665</v>
      </c>
      <c r="E32" t="s">
        <v>665</v>
      </c>
      <c r="F32">
        <v>4</v>
      </c>
      <c r="G32" s="705">
        <v>398</v>
      </c>
      <c r="H32" s="705">
        <v>820</v>
      </c>
      <c r="I32" s="705">
        <v>44741</v>
      </c>
      <c r="J32" s="705">
        <v>40673</v>
      </c>
      <c r="K32" s="705">
        <v>67</v>
      </c>
      <c r="L32" s="705">
        <v>1414</v>
      </c>
      <c r="M32" s="705">
        <v>2226</v>
      </c>
      <c r="N32" s="705">
        <v>6077</v>
      </c>
      <c r="O32" s="705">
        <v>2251</v>
      </c>
      <c r="P32" s="705">
        <v>1404</v>
      </c>
      <c r="Q32" s="705">
        <v>520</v>
      </c>
      <c r="R32" s="705">
        <v>23342</v>
      </c>
      <c r="S32" s="705">
        <v>21220</v>
      </c>
      <c r="T32" s="705">
        <v>5180</v>
      </c>
      <c r="U32" s="705">
        <v>1919</v>
      </c>
      <c r="V32" s="705">
        <v>68809</v>
      </c>
      <c r="W32" s="705">
        <f t="shared" si="0"/>
        <v>68809</v>
      </c>
      <c r="X32" s="705">
        <f t="shared" si="1"/>
        <v>82158</v>
      </c>
      <c r="Y32" s="705"/>
      <c r="AA32" t="s">
        <v>110</v>
      </c>
      <c r="AB32" t="s">
        <v>673</v>
      </c>
      <c r="AC32" t="s">
        <v>673</v>
      </c>
      <c r="AD32">
        <v>1</v>
      </c>
      <c r="AE32">
        <v>183</v>
      </c>
      <c r="AF32">
        <v>100</v>
      </c>
      <c r="AG32" s="705">
        <v>11776</v>
      </c>
      <c r="AH32" s="705">
        <v>10706</v>
      </c>
      <c r="AI32">
        <v>86</v>
      </c>
      <c r="AJ32" s="705">
        <v>1721</v>
      </c>
      <c r="AK32" s="705">
        <v>1565</v>
      </c>
      <c r="AL32" s="705">
        <v>3051</v>
      </c>
      <c r="AM32" s="705">
        <v>1130</v>
      </c>
      <c r="AN32">
        <v>351</v>
      </c>
      <c r="AO32">
        <v>130</v>
      </c>
      <c r="AP32" s="705">
        <v>4071</v>
      </c>
      <c r="AQ32" s="705">
        <v>3701</v>
      </c>
      <c r="AR32">
        <v>0</v>
      </c>
      <c r="AS32">
        <v>0</v>
      </c>
      <c r="AT32" s="705">
        <v>17231</v>
      </c>
      <c r="AU32" s="705">
        <f t="shared" si="3"/>
        <v>17232</v>
      </c>
      <c r="AV32" s="705">
        <f t="shared" si="2"/>
        <v>20970</v>
      </c>
    </row>
    <row r="33" spans="2:48" ht="12.75" hidden="1" customHeight="1">
      <c r="B33" t="s">
        <v>527</v>
      </c>
      <c r="C33" t="s">
        <v>116</v>
      </c>
      <c r="D33" t="s">
        <v>673</v>
      </c>
      <c r="E33" t="s">
        <v>673</v>
      </c>
      <c r="F33" s="705">
        <v>1</v>
      </c>
      <c r="G33" s="705">
        <v>107</v>
      </c>
      <c r="H33" s="705">
        <v>206</v>
      </c>
      <c r="I33" s="705">
        <v>10701</v>
      </c>
      <c r="J33" s="705">
        <v>9728</v>
      </c>
      <c r="K33">
        <v>60</v>
      </c>
      <c r="L33" s="705">
        <v>2259</v>
      </c>
      <c r="M33" s="705">
        <v>2054</v>
      </c>
      <c r="N33" s="705">
        <v>1480</v>
      </c>
      <c r="O33" s="705">
        <v>548</v>
      </c>
      <c r="P33" s="705">
        <v>351</v>
      </c>
      <c r="Q33" s="705">
        <v>130</v>
      </c>
      <c r="R33" s="705">
        <v>7189</v>
      </c>
      <c r="S33" s="705">
        <v>6535</v>
      </c>
      <c r="T33" s="705">
        <v>0</v>
      </c>
      <c r="U33" s="705">
        <v>0</v>
      </c>
      <c r="V33" s="705">
        <v>18995</v>
      </c>
      <c r="W33" s="705">
        <f t="shared" si="0"/>
        <v>18995</v>
      </c>
      <c r="X33" s="705">
        <f t="shared" si="1"/>
        <v>21980</v>
      </c>
      <c r="Y33" s="705"/>
      <c r="AA33" t="s">
        <v>110</v>
      </c>
      <c r="AB33" t="s">
        <v>585</v>
      </c>
      <c r="AC33" t="s">
        <v>585</v>
      </c>
      <c r="AD33">
        <v>29</v>
      </c>
      <c r="AE33" s="705">
        <v>2662</v>
      </c>
      <c r="AF33" s="705">
        <v>2598</v>
      </c>
      <c r="AG33" s="705">
        <v>129447</v>
      </c>
      <c r="AH33" s="705">
        <v>117679</v>
      </c>
      <c r="AI33">
        <v>92</v>
      </c>
      <c r="AJ33">
        <v>0</v>
      </c>
      <c r="AK33">
        <v>0</v>
      </c>
      <c r="AL33" s="705">
        <v>32432</v>
      </c>
      <c r="AM33" s="705">
        <v>12012</v>
      </c>
      <c r="AN33" s="705">
        <v>37661</v>
      </c>
      <c r="AO33" s="705">
        <v>13949</v>
      </c>
      <c r="AP33" s="705">
        <v>34324</v>
      </c>
      <c r="AQ33" s="705">
        <v>31204</v>
      </c>
      <c r="AR33" s="705">
        <v>4004</v>
      </c>
      <c r="AS33" s="705">
        <v>1483</v>
      </c>
      <c r="AT33" s="705">
        <v>176327</v>
      </c>
      <c r="AU33" s="705">
        <f t="shared" si="3"/>
        <v>176327</v>
      </c>
      <c r="AV33" s="705">
        <f t="shared" si="2"/>
        <v>237868</v>
      </c>
    </row>
    <row r="34" spans="2:48" ht="12.75" hidden="1" customHeight="1">
      <c r="B34" t="s">
        <v>527</v>
      </c>
      <c r="C34" t="s">
        <v>118</v>
      </c>
      <c r="F34">
        <v>1</v>
      </c>
      <c r="G34">
        <v>173</v>
      </c>
      <c r="H34" s="705">
        <v>233</v>
      </c>
      <c r="I34" s="705"/>
      <c r="J34" s="705">
        <v>0</v>
      </c>
      <c r="L34" s="705"/>
      <c r="M34" s="705">
        <v>0</v>
      </c>
      <c r="N34" s="705">
        <v>3588</v>
      </c>
      <c r="O34" s="705">
        <v>1329</v>
      </c>
      <c r="P34" s="705">
        <v>0</v>
      </c>
      <c r="Q34" s="705">
        <v>0</v>
      </c>
      <c r="R34" s="705"/>
      <c r="S34" s="705">
        <v>0</v>
      </c>
      <c r="T34" s="705">
        <v>3621</v>
      </c>
      <c r="U34" s="705">
        <v>1341</v>
      </c>
      <c r="V34" s="705">
        <v>2670</v>
      </c>
      <c r="W34" s="705">
        <f t="shared" si="0"/>
        <v>2670</v>
      </c>
      <c r="X34" s="705">
        <f t="shared" si="1"/>
        <v>7209</v>
      </c>
      <c r="Y34" s="705"/>
      <c r="AA34" t="s">
        <v>110</v>
      </c>
      <c r="AB34" t="s">
        <v>668</v>
      </c>
      <c r="AC34" t="s">
        <v>668</v>
      </c>
      <c r="AD34" s="705">
        <v>6</v>
      </c>
      <c r="AE34" s="705">
        <v>599</v>
      </c>
      <c r="AF34" s="705">
        <v>523</v>
      </c>
      <c r="AG34" s="705">
        <v>24826</v>
      </c>
      <c r="AH34" s="705">
        <v>22569</v>
      </c>
      <c r="AI34">
        <v>92</v>
      </c>
      <c r="AJ34" s="705">
        <v>0</v>
      </c>
      <c r="AK34" s="705">
        <v>0</v>
      </c>
      <c r="AL34" s="705">
        <v>7304</v>
      </c>
      <c r="AM34" s="705">
        <v>2705</v>
      </c>
      <c r="AN34" s="705">
        <v>9712</v>
      </c>
      <c r="AO34" s="705">
        <v>3597</v>
      </c>
      <c r="AP34" s="705">
        <v>10441</v>
      </c>
      <c r="AQ34" s="705">
        <v>9492</v>
      </c>
      <c r="AR34" s="705">
        <v>0</v>
      </c>
      <c r="AS34" s="705">
        <v>0</v>
      </c>
      <c r="AT34" s="705">
        <v>38364</v>
      </c>
      <c r="AU34" s="705">
        <f t="shared" si="3"/>
        <v>38363</v>
      </c>
      <c r="AV34" s="705">
        <f t="shared" si="2"/>
        <v>52283</v>
      </c>
    </row>
    <row r="35" spans="2:48" hidden="1">
      <c r="B35" t="s">
        <v>527</v>
      </c>
      <c r="C35" t="s">
        <v>118</v>
      </c>
      <c r="D35" t="s">
        <v>582</v>
      </c>
      <c r="E35" t="s">
        <v>582</v>
      </c>
      <c r="F35" s="705">
        <v>6</v>
      </c>
      <c r="G35" s="705">
        <v>742</v>
      </c>
      <c r="H35" s="705">
        <v>1480</v>
      </c>
      <c r="I35" s="705">
        <v>118879</v>
      </c>
      <c r="J35" s="705">
        <v>108072</v>
      </c>
      <c r="K35">
        <v>82</v>
      </c>
      <c r="L35" s="705">
        <v>26351</v>
      </c>
      <c r="M35" s="705">
        <v>16979</v>
      </c>
      <c r="N35" s="705">
        <v>14974</v>
      </c>
      <c r="O35" s="705">
        <v>5546</v>
      </c>
      <c r="P35" s="705">
        <v>2835</v>
      </c>
      <c r="Q35" s="705">
        <v>1050</v>
      </c>
      <c r="R35" s="705">
        <v>28542</v>
      </c>
      <c r="S35" s="705">
        <v>25948</v>
      </c>
      <c r="T35" s="705">
        <v>5704</v>
      </c>
      <c r="U35" s="705">
        <v>2112</v>
      </c>
      <c r="V35" s="705">
        <v>159707</v>
      </c>
      <c r="W35" s="705">
        <f t="shared" si="0"/>
        <v>159707</v>
      </c>
      <c r="X35" s="705">
        <f t="shared" si="1"/>
        <v>197285</v>
      </c>
      <c r="Y35" s="705"/>
      <c r="AA35" t="s">
        <v>112</v>
      </c>
      <c r="AD35">
        <v>62</v>
      </c>
      <c r="AE35" s="705">
        <v>5289</v>
      </c>
      <c r="AF35" s="705">
        <v>7319</v>
      </c>
      <c r="AG35" s="705"/>
      <c r="AH35" s="705">
        <v>0</v>
      </c>
      <c r="AJ35" s="705"/>
      <c r="AK35" s="705">
        <v>0</v>
      </c>
      <c r="AL35" s="705">
        <v>114264</v>
      </c>
      <c r="AM35" s="705">
        <v>42320</v>
      </c>
      <c r="AN35" s="705">
        <v>11437</v>
      </c>
      <c r="AO35" s="705">
        <v>4236</v>
      </c>
      <c r="AP35" s="705"/>
      <c r="AQ35" s="705">
        <v>0</v>
      </c>
      <c r="AR35" s="705">
        <v>5993</v>
      </c>
      <c r="AS35" s="705">
        <v>2219</v>
      </c>
      <c r="AT35" s="705">
        <v>48776</v>
      </c>
      <c r="AU35" s="705">
        <f t="shared" si="3"/>
        <v>48775</v>
      </c>
      <c r="AV35" s="705">
        <f t="shared" si="2"/>
        <v>131694</v>
      </c>
    </row>
    <row r="36" spans="2:48" hidden="1">
      <c r="B36" t="s">
        <v>527</v>
      </c>
      <c r="C36" t="s">
        <v>118</v>
      </c>
      <c r="D36" t="s">
        <v>228</v>
      </c>
      <c r="E36" t="s">
        <v>228</v>
      </c>
      <c r="F36">
        <v>29</v>
      </c>
      <c r="G36" s="705">
        <v>2601</v>
      </c>
      <c r="H36" s="705">
        <v>7470</v>
      </c>
      <c r="I36" s="705">
        <v>323944</v>
      </c>
      <c r="J36" s="705">
        <v>119979</v>
      </c>
      <c r="K36" s="705">
        <v>100</v>
      </c>
      <c r="L36" s="705">
        <v>75894</v>
      </c>
      <c r="M36" s="705">
        <v>50841</v>
      </c>
      <c r="N36" s="705">
        <v>53837</v>
      </c>
      <c r="O36" s="705">
        <v>19940</v>
      </c>
      <c r="P36" s="705">
        <v>0</v>
      </c>
      <c r="Q36" s="705">
        <v>0</v>
      </c>
      <c r="R36" s="705">
        <v>211600</v>
      </c>
      <c r="S36" s="705">
        <v>78370</v>
      </c>
      <c r="T36" s="705">
        <v>0</v>
      </c>
      <c r="U36" s="705">
        <v>0</v>
      </c>
      <c r="V36" s="705">
        <v>269130</v>
      </c>
      <c r="W36" s="705">
        <f t="shared" si="0"/>
        <v>269130</v>
      </c>
      <c r="X36" s="705">
        <f t="shared" si="1"/>
        <v>665275</v>
      </c>
      <c r="Y36" s="705"/>
      <c r="AA36" t="s">
        <v>112</v>
      </c>
      <c r="AB36" t="s">
        <v>664</v>
      </c>
      <c r="AC36" t="s">
        <v>664</v>
      </c>
      <c r="AD36">
        <v>5</v>
      </c>
      <c r="AE36" s="705">
        <v>593</v>
      </c>
      <c r="AF36" s="705">
        <v>604</v>
      </c>
      <c r="AG36" s="705">
        <v>37218</v>
      </c>
      <c r="AH36" s="705">
        <v>33835</v>
      </c>
      <c r="AI36">
        <v>93</v>
      </c>
      <c r="AJ36" s="705">
        <v>6010</v>
      </c>
      <c r="AK36" s="705">
        <v>7401</v>
      </c>
      <c r="AL36" s="705">
        <v>12935</v>
      </c>
      <c r="AM36" s="705">
        <v>4791</v>
      </c>
      <c r="AN36" s="705">
        <v>4141</v>
      </c>
      <c r="AO36" s="705">
        <v>1534</v>
      </c>
      <c r="AP36" s="705">
        <v>19059</v>
      </c>
      <c r="AQ36" s="705">
        <v>17326</v>
      </c>
      <c r="AR36" s="705">
        <v>0</v>
      </c>
      <c r="AS36" s="705">
        <v>0</v>
      </c>
      <c r="AT36" s="705">
        <v>64886</v>
      </c>
      <c r="AU36" s="705">
        <f t="shared" si="3"/>
        <v>64887</v>
      </c>
      <c r="AV36" s="705">
        <f t="shared" si="2"/>
        <v>79363</v>
      </c>
    </row>
    <row r="37" spans="2:48" hidden="1">
      <c r="B37" t="s">
        <v>527</v>
      </c>
      <c r="C37" t="s">
        <v>118</v>
      </c>
      <c r="D37" t="s">
        <v>228</v>
      </c>
      <c r="E37" t="s">
        <v>666</v>
      </c>
      <c r="F37" s="705">
        <v>1</v>
      </c>
      <c r="G37" s="705">
        <v>81</v>
      </c>
      <c r="H37" s="705">
        <v>257</v>
      </c>
      <c r="I37" s="705">
        <v>10868</v>
      </c>
      <c r="J37" s="705">
        <v>4025</v>
      </c>
      <c r="K37" s="705">
        <v>100</v>
      </c>
      <c r="L37" s="705">
        <v>895</v>
      </c>
      <c r="M37" s="705">
        <v>813</v>
      </c>
      <c r="N37" s="705">
        <v>1736</v>
      </c>
      <c r="O37" s="705">
        <v>643</v>
      </c>
      <c r="P37" s="705">
        <v>0</v>
      </c>
      <c r="Q37" s="705">
        <v>0</v>
      </c>
      <c r="R37" s="705">
        <v>7330</v>
      </c>
      <c r="S37" s="705">
        <v>6663</v>
      </c>
      <c r="T37" s="705">
        <v>0</v>
      </c>
      <c r="U37" s="705">
        <v>0</v>
      </c>
      <c r="V37" s="705">
        <v>12145</v>
      </c>
      <c r="W37" s="705">
        <f t="shared" si="0"/>
        <v>12144</v>
      </c>
      <c r="X37" s="705">
        <f t="shared" si="1"/>
        <v>20829</v>
      </c>
      <c r="Y37" s="705"/>
      <c r="AA37" t="s">
        <v>112</v>
      </c>
      <c r="AB37" t="s">
        <v>582</v>
      </c>
      <c r="AC37" t="s">
        <v>582</v>
      </c>
      <c r="AD37">
        <v>255</v>
      </c>
      <c r="AE37" s="705">
        <v>28679</v>
      </c>
      <c r="AF37" s="705">
        <v>29819</v>
      </c>
      <c r="AG37" s="705">
        <v>1518007</v>
      </c>
      <c r="AH37" s="705">
        <v>1380006</v>
      </c>
      <c r="AI37">
        <v>90</v>
      </c>
      <c r="AJ37" s="705">
        <v>243092</v>
      </c>
      <c r="AK37" s="705">
        <v>212123</v>
      </c>
      <c r="AL37" s="705">
        <v>508398</v>
      </c>
      <c r="AM37" s="705">
        <v>188295</v>
      </c>
      <c r="AN37" s="705">
        <v>143681</v>
      </c>
      <c r="AO37" s="705">
        <v>53215</v>
      </c>
      <c r="AP37" s="705">
        <v>980250</v>
      </c>
      <c r="AQ37" s="705">
        <v>891136</v>
      </c>
      <c r="AR37" s="705">
        <v>8931</v>
      </c>
      <c r="AS37" s="705">
        <v>3308</v>
      </c>
      <c r="AT37" s="705">
        <v>2728084</v>
      </c>
      <c r="AU37" s="705">
        <f t="shared" si="3"/>
        <v>2728083</v>
      </c>
      <c r="AV37" s="705">
        <f t="shared" si="2"/>
        <v>3402359</v>
      </c>
    </row>
    <row r="38" spans="2:48" hidden="1">
      <c r="B38" t="s">
        <v>527</v>
      </c>
      <c r="C38" t="s">
        <v>118</v>
      </c>
      <c r="D38" t="s">
        <v>228</v>
      </c>
      <c r="E38" t="s">
        <v>665</v>
      </c>
      <c r="F38">
        <v>1</v>
      </c>
      <c r="G38">
        <v>84</v>
      </c>
      <c r="H38" s="705">
        <v>241</v>
      </c>
      <c r="I38" s="705">
        <v>7627</v>
      </c>
      <c r="J38" s="705">
        <v>2825</v>
      </c>
      <c r="K38">
        <v>100</v>
      </c>
      <c r="L38" s="705">
        <v>1726</v>
      </c>
      <c r="M38" s="705">
        <v>1569</v>
      </c>
      <c r="N38" s="705">
        <v>1646</v>
      </c>
      <c r="O38">
        <v>610</v>
      </c>
      <c r="P38">
        <v>0</v>
      </c>
      <c r="Q38" s="705">
        <v>0</v>
      </c>
      <c r="R38" s="705">
        <v>6744</v>
      </c>
      <c r="S38" s="705">
        <v>6131</v>
      </c>
      <c r="T38" s="705">
        <v>2582</v>
      </c>
      <c r="U38" s="705">
        <v>956</v>
      </c>
      <c r="V38" s="705">
        <v>12090</v>
      </c>
      <c r="W38" s="705">
        <f t="shared" si="0"/>
        <v>12091</v>
      </c>
      <c r="X38" s="705">
        <f t="shared" si="1"/>
        <v>20325</v>
      </c>
      <c r="Y38" s="705"/>
      <c r="AA38" t="s">
        <v>112</v>
      </c>
      <c r="AB38" t="s">
        <v>582</v>
      </c>
      <c r="AC38" t="s">
        <v>584</v>
      </c>
      <c r="AD38">
        <v>1</v>
      </c>
      <c r="AE38">
        <v>139</v>
      </c>
      <c r="AF38">
        <v>115</v>
      </c>
      <c r="AG38" s="705">
        <v>8429</v>
      </c>
      <c r="AH38" s="705">
        <v>7663</v>
      </c>
      <c r="AI38">
        <v>90</v>
      </c>
      <c r="AJ38">
        <v>985</v>
      </c>
      <c r="AK38">
        <v>895</v>
      </c>
      <c r="AL38" s="705">
        <v>3277</v>
      </c>
      <c r="AM38" s="705">
        <v>1214</v>
      </c>
      <c r="AN38">
        <v>473</v>
      </c>
      <c r="AO38">
        <v>175</v>
      </c>
      <c r="AP38" s="705">
        <v>2871</v>
      </c>
      <c r="AQ38" s="705">
        <v>2610</v>
      </c>
      <c r="AR38">
        <v>0</v>
      </c>
      <c r="AS38">
        <v>0</v>
      </c>
      <c r="AT38" s="705">
        <v>12557</v>
      </c>
      <c r="AU38" s="705">
        <f t="shared" si="3"/>
        <v>12557</v>
      </c>
      <c r="AV38" s="705">
        <f t="shared" si="2"/>
        <v>16035</v>
      </c>
    </row>
    <row r="39" spans="2:48" hidden="1">
      <c r="B39" t="s">
        <v>527</v>
      </c>
      <c r="C39" t="s">
        <v>118</v>
      </c>
      <c r="D39" t="s">
        <v>583</v>
      </c>
      <c r="E39" t="s">
        <v>583</v>
      </c>
      <c r="F39">
        <v>581</v>
      </c>
      <c r="G39" s="705">
        <v>54864</v>
      </c>
      <c r="H39" s="705">
        <v>150282</v>
      </c>
      <c r="I39" s="705">
        <v>7519665</v>
      </c>
      <c r="J39" s="705">
        <v>6836059</v>
      </c>
      <c r="K39" s="705">
        <v>81</v>
      </c>
      <c r="L39" s="705">
        <v>1678919</v>
      </c>
      <c r="M39" s="705">
        <v>1434796</v>
      </c>
      <c r="N39" s="705">
        <v>1081936</v>
      </c>
      <c r="O39" s="705">
        <v>400717</v>
      </c>
      <c r="P39" s="705">
        <v>362637</v>
      </c>
      <c r="Q39" s="705">
        <v>134310</v>
      </c>
      <c r="R39" s="705">
        <v>2712835</v>
      </c>
      <c r="S39" s="705">
        <v>2466213</v>
      </c>
      <c r="T39" s="705">
        <v>868597</v>
      </c>
      <c r="U39" s="705">
        <v>321702</v>
      </c>
      <c r="V39" s="705">
        <v>11593798</v>
      </c>
      <c r="W39" s="705">
        <f t="shared" si="0"/>
        <v>11593797</v>
      </c>
      <c r="X39" s="705">
        <f t="shared" si="1"/>
        <v>14224589</v>
      </c>
      <c r="Y39" s="705"/>
      <c r="AA39" t="s">
        <v>112</v>
      </c>
      <c r="AB39" t="s">
        <v>582</v>
      </c>
      <c r="AC39" t="s">
        <v>665</v>
      </c>
      <c r="AD39">
        <v>1</v>
      </c>
      <c r="AE39">
        <v>126</v>
      </c>
      <c r="AF39">
        <v>103</v>
      </c>
      <c r="AG39" s="705">
        <v>4723</v>
      </c>
      <c r="AH39" s="705">
        <v>4294</v>
      </c>
      <c r="AI39">
        <v>92</v>
      </c>
      <c r="AJ39" s="705">
        <v>1536</v>
      </c>
      <c r="AK39" s="705">
        <v>1396</v>
      </c>
      <c r="AL39" s="705">
        <v>1914</v>
      </c>
      <c r="AM39">
        <v>709</v>
      </c>
      <c r="AN39">
        <v>351</v>
      </c>
      <c r="AO39">
        <v>130</v>
      </c>
      <c r="AP39" s="705">
        <v>4434</v>
      </c>
      <c r="AQ39" s="705">
        <v>4031</v>
      </c>
      <c r="AR39">
        <v>0</v>
      </c>
      <c r="AS39">
        <v>0</v>
      </c>
      <c r="AT39" s="705">
        <v>10560</v>
      </c>
      <c r="AU39" s="705">
        <f t="shared" si="3"/>
        <v>10560</v>
      </c>
      <c r="AV39" s="705">
        <f t="shared" si="2"/>
        <v>12958</v>
      </c>
    </row>
    <row r="40" spans="2:48" hidden="1">
      <c r="B40" t="s">
        <v>527</v>
      </c>
      <c r="C40" t="s">
        <v>118</v>
      </c>
      <c r="D40" t="s">
        <v>583</v>
      </c>
      <c r="E40" t="s">
        <v>665</v>
      </c>
      <c r="F40" s="705">
        <v>1</v>
      </c>
      <c r="G40" s="705">
        <v>122</v>
      </c>
      <c r="H40" s="705">
        <v>259</v>
      </c>
      <c r="I40" s="705">
        <v>20105</v>
      </c>
      <c r="J40" s="705">
        <v>18277</v>
      </c>
      <c r="K40" s="705">
        <v>79</v>
      </c>
      <c r="L40" s="705">
        <v>2446</v>
      </c>
      <c r="M40" s="705">
        <v>2224</v>
      </c>
      <c r="N40" s="705">
        <v>2193</v>
      </c>
      <c r="O40" s="705">
        <v>812</v>
      </c>
      <c r="P40" s="705">
        <v>972</v>
      </c>
      <c r="Q40" s="705">
        <v>360</v>
      </c>
      <c r="R40" s="705">
        <v>3687</v>
      </c>
      <c r="S40" s="705">
        <v>3352</v>
      </c>
      <c r="T40" s="705">
        <v>2258</v>
      </c>
      <c r="U40" s="705">
        <v>836</v>
      </c>
      <c r="V40" s="705">
        <v>25862</v>
      </c>
      <c r="W40" s="705">
        <f t="shared" si="0"/>
        <v>25861</v>
      </c>
      <c r="X40" s="705">
        <f t="shared" si="1"/>
        <v>31661</v>
      </c>
      <c r="Y40" s="705"/>
      <c r="AA40" t="s">
        <v>112</v>
      </c>
      <c r="AB40" t="s">
        <v>228</v>
      </c>
      <c r="AC40" t="s">
        <v>228</v>
      </c>
      <c r="AD40">
        <v>543</v>
      </c>
      <c r="AE40" s="705">
        <v>50592</v>
      </c>
      <c r="AF40" s="705">
        <v>60973</v>
      </c>
      <c r="AG40" s="705">
        <v>1886470</v>
      </c>
      <c r="AH40" s="705">
        <v>698693</v>
      </c>
      <c r="AI40">
        <v>346</v>
      </c>
      <c r="AJ40" s="705">
        <v>475745</v>
      </c>
      <c r="AK40" s="705">
        <v>406536</v>
      </c>
      <c r="AL40" s="705">
        <v>880991</v>
      </c>
      <c r="AM40" s="705">
        <v>326293</v>
      </c>
      <c r="AN40" s="705">
        <v>281883</v>
      </c>
      <c r="AO40" s="705">
        <v>104401</v>
      </c>
      <c r="AP40" s="705">
        <v>2185981</v>
      </c>
      <c r="AQ40" s="705">
        <v>809623</v>
      </c>
      <c r="AR40" s="705">
        <v>8246</v>
      </c>
      <c r="AS40" s="705">
        <v>3054</v>
      </c>
      <c r="AT40" s="705">
        <v>2348599</v>
      </c>
      <c r="AU40" s="705">
        <f t="shared" si="3"/>
        <v>2348600</v>
      </c>
      <c r="AV40" s="705">
        <f t="shared" si="2"/>
        <v>5719316</v>
      </c>
    </row>
    <row r="41" spans="2:48" hidden="1">
      <c r="B41" t="s">
        <v>527</v>
      </c>
      <c r="C41" t="s">
        <v>118</v>
      </c>
      <c r="D41" t="s">
        <v>666</v>
      </c>
      <c r="E41" t="s">
        <v>666</v>
      </c>
      <c r="F41">
        <v>2</v>
      </c>
      <c r="G41">
        <v>163</v>
      </c>
      <c r="H41" s="705">
        <v>559</v>
      </c>
      <c r="I41" s="705">
        <v>23386</v>
      </c>
      <c r="J41" s="705">
        <v>21260</v>
      </c>
      <c r="K41">
        <v>60</v>
      </c>
      <c r="L41" s="705">
        <v>5195</v>
      </c>
      <c r="M41" s="705">
        <v>4723</v>
      </c>
      <c r="N41" s="705">
        <v>2879</v>
      </c>
      <c r="O41" s="705">
        <v>1066</v>
      </c>
      <c r="P41" s="705">
        <v>702</v>
      </c>
      <c r="Q41" s="705">
        <v>260</v>
      </c>
      <c r="R41" s="705">
        <v>9027</v>
      </c>
      <c r="S41" s="705">
        <v>8207</v>
      </c>
      <c r="T41" s="705">
        <v>4326</v>
      </c>
      <c r="U41" s="705">
        <v>1602</v>
      </c>
      <c r="V41" s="705">
        <v>37117</v>
      </c>
      <c r="W41" s="705">
        <f t="shared" si="0"/>
        <v>37118</v>
      </c>
      <c r="X41" s="705">
        <f t="shared" si="1"/>
        <v>45515</v>
      </c>
      <c r="Y41" s="705"/>
      <c r="AA41" t="s">
        <v>112</v>
      </c>
      <c r="AB41" t="s">
        <v>228</v>
      </c>
      <c r="AC41" t="s">
        <v>584</v>
      </c>
      <c r="AD41">
        <v>1</v>
      </c>
      <c r="AE41" s="705">
        <v>118</v>
      </c>
      <c r="AF41" s="705">
        <v>109</v>
      </c>
      <c r="AG41" s="705">
        <v>7426</v>
      </c>
      <c r="AH41" s="705">
        <v>2750</v>
      </c>
      <c r="AI41">
        <v>296</v>
      </c>
      <c r="AJ41" s="705">
        <v>0</v>
      </c>
      <c r="AK41" s="705">
        <v>0</v>
      </c>
      <c r="AL41" s="705">
        <v>2113</v>
      </c>
      <c r="AM41" s="705">
        <v>783</v>
      </c>
      <c r="AN41" s="705">
        <v>351</v>
      </c>
      <c r="AO41" s="705">
        <v>130</v>
      </c>
      <c r="AP41" s="705">
        <v>2992</v>
      </c>
      <c r="AQ41" s="705">
        <v>2720</v>
      </c>
      <c r="AR41" s="705">
        <v>0</v>
      </c>
      <c r="AS41" s="705">
        <v>0</v>
      </c>
      <c r="AT41" s="705">
        <v>6383</v>
      </c>
      <c r="AU41" s="705">
        <f t="shared" si="3"/>
        <v>6383</v>
      </c>
      <c r="AV41" s="705">
        <f t="shared" si="2"/>
        <v>12882</v>
      </c>
    </row>
    <row r="42" spans="2:48" hidden="1">
      <c r="B42" t="s">
        <v>527</v>
      </c>
      <c r="C42" t="s">
        <v>118</v>
      </c>
      <c r="D42" t="s">
        <v>584</v>
      </c>
      <c r="E42" t="s">
        <v>582</v>
      </c>
      <c r="F42">
        <v>1</v>
      </c>
      <c r="G42" s="705">
        <v>48</v>
      </c>
      <c r="H42" s="705">
        <v>250</v>
      </c>
      <c r="I42" s="705">
        <v>6452</v>
      </c>
      <c r="J42" s="705">
        <v>5866</v>
      </c>
      <c r="K42" s="705">
        <v>90</v>
      </c>
      <c r="L42" s="705">
        <v>0</v>
      </c>
      <c r="M42" s="705">
        <v>0</v>
      </c>
      <c r="N42" s="705">
        <v>973</v>
      </c>
      <c r="O42" s="705">
        <v>361</v>
      </c>
      <c r="P42" s="705">
        <v>473</v>
      </c>
      <c r="Q42" s="705">
        <v>175</v>
      </c>
      <c r="R42" s="705">
        <v>4037</v>
      </c>
      <c r="S42" s="705">
        <v>3670</v>
      </c>
      <c r="T42" s="705">
        <v>0</v>
      </c>
      <c r="U42" s="705">
        <v>0</v>
      </c>
      <c r="V42" s="705">
        <v>10071</v>
      </c>
      <c r="W42" s="705">
        <f t="shared" si="0"/>
        <v>10072</v>
      </c>
      <c r="X42" s="705">
        <f t="shared" si="1"/>
        <v>11935</v>
      </c>
      <c r="Y42" s="705"/>
      <c r="AA42" t="s">
        <v>112</v>
      </c>
      <c r="AB42" t="s">
        <v>228</v>
      </c>
      <c r="AC42" t="s">
        <v>665</v>
      </c>
      <c r="AD42">
        <v>1</v>
      </c>
      <c r="AE42">
        <v>87</v>
      </c>
      <c r="AF42">
        <v>115</v>
      </c>
      <c r="AG42" s="705">
        <v>5756</v>
      </c>
      <c r="AH42" s="705">
        <v>2132</v>
      </c>
      <c r="AI42">
        <v>258</v>
      </c>
      <c r="AJ42" s="705">
        <v>1121</v>
      </c>
      <c r="AK42" s="705">
        <v>1019</v>
      </c>
      <c r="AL42" s="705">
        <v>1586</v>
      </c>
      <c r="AM42">
        <v>587</v>
      </c>
      <c r="AN42">
        <v>351</v>
      </c>
      <c r="AO42">
        <v>130</v>
      </c>
      <c r="AP42" s="705">
        <v>1158</v>
      </c>
      <c r="AQ42" s="705">
        <v>1053</v>
      </c>
      <c r="AR42">
        <v>0</v>
      </c>
      <c r="AS42">
        <v>0</v>
      </c>
      <c r="AT42" s="705">
        <v>4921</v>
      </c>
      <c r="AU42" s="705">
        <f t="shared" si="3"/>
        <v>4921</v>
      </c>
      <c r="AV42" s="705">
        <f t="shared" si="2"/>
        <v>9972</v>
      </c>
    </row>
    <row r="43" spans="2:48" hidden="1">
      <c r="B43" t="s">
        <v>527</v>
      </c>
      <c r="C43" t="s">
        <v>118</v>
      </c>
      <c r="D43" t="s">
        <v>584</v>
      </c>
      <c r="E43" t="s">
        <v>228</v>
      </c>
      <c r="F43">
        <v>3</v>
      </c>
      <c r="G43" s="705">
        <v>246</v>
      </c>
      <c r="H43" s="705">
        <v>761</v>
      </c>
      <c r="I43" s="705">
        <v>26441</v>
      </c>
      <c r="J43" s="705">
        <v>24037</v>
      </c>
      <c r="K43" s="705">
        <v>81</v>
      </c>
      <c r="L43" s="705">
        <v>8377</v>
      </c>
      <c r="M43" s="705">
        <v>7468</v>
      </c>
      <c r="N43" s="705">
        <v>5758</v>
      </c>
      <c r="O43" s="705">
        <v>2133</v>
      </c>
      <c r="P43" s="705">
        <v>1418</v>
      </c>
      <c r="Q43" s="705">
        <v>525</v>
      </c>
      <c r="R43" s="705">
        <v>17906</v>
      </c>
      <c r="S43" s="705">
        <v>6632</v>
      </c>
      <c r="T43" s="705">
        <v>2325</v>
      </c>
      <c r="U43" s="705">
        <v>861</v>
      </c>
      <c r="V43" s="705">
        <v>41656</v>
      </c>
      <c r="W43" s="705">
        <f t="shared" si="0"/>
        <v>41656</v>
      </c>
      <c r="X43" s="705">
        <f t="shared" si="1"/>
        <v>62225</v>
      </c>
      <c r="Y43" s="705"/>
      <c r="AA43" t="s">
        <v>112</v>
      </c>
      <c r="AB43" t="s">
        <v>583</v>
      </c>
      <c r="AC43" t="s">
        <v>228</v>
      </c>
      <c r="AD43">
        <v>3</v>
      </c>
      <c r="AE43">
        <v>270</v>
      </c>
      <c r="AF43">
        <v>311</v>
      </c>
      <c r="AG43" s="705">
        <v>5501</v>
      </c>
      <c r="AH43" s="705">
        <v>5001</v>
      </c>
      <c r="AI43">
        <v>94</v>
      </c>
      <c r="AJ43" s="705">
        <v>1998</v>
      </c>
      <c r="AK43" s="705">
        <v>1868</v>
      </c>
      <c r="AL43" s="705">
        <v>3966</v>
      </c>
      <c r="AM43" s="705">
        <v>1469</v>
      </c>
      <c r="AN43" s="705">
        <v>1863</v>
      </c>
      <c r="AO43">
        <v>690</v>
      </c>
      <c r="AP43" s="705">
        <v>15014</v>
      </c>
      <c r="AQ43" s="705">
        <v>5561</v>
      </c>
      <c r="AR43">
        <v>0</v>
      </c>
      <c r="AS43">
        <v>0</v>
      </c>
      <c r="AT43" s="705">
        <v>14589</v>
      </c>
      <c r="AU43" s="705">
        <f t="shared" si="3"/>
        <v>14589</v>
      </c>
      <c r="AV43" s="705">
        <f t="shared" si="2"/>
        <v>28342</v>
      </c>
    </row>
    <row r="44" spans="2:48" hidden="1">
      <c r="B44" t="s">
        <v>527</v>
      </c>
      <c r="C44" t="s">
        <v>118</v>
      </c>
      <c r="D44" t="s">
        <v>584</v>
      </c>
      <c r="E44" s="705" t="s">
        <v>583</v>
      </c>
      <c r="F44" s="705">
        <v>5</v>
      </c>
      <c r="G44" s="705">
        <v>445</v>
      </c>
      <c r="H44" s="705">
        <v>1235</v>
      </c>
      <c r="I44" s="705">
        <v>58057</v>
      </c>
      <c r="J44" s="705">
        <v>52779</v>
      </c>
      <c r="K44" s="705">
        <v>81</v>
      </c>
      <c r="L44" s="705">
        <v>16197</v>
      </c>
      <c r="M44" s="705">
        <v>14105</v>
      </c>
      <c r="N44" s="705">
        <v>9466</v>
      </c>
      <c r="O44" s="705">
        <v>3506</v>
      </c>
      <c r="P44" s="705">
        <v>2363</v>
      </c>
      <c r="Q44" s="705">
        <v>875</v>
      </c>
      <c r="R44" s="705">
        <v>21871</v>
      </c>
      <c r="S44" s="705">
        <v>19882</v>
      </c>
      <c r="T44" s="705">
        <v>2848</v>
      </c>
      <c r="U44" s="705">
        <v>1055</v>
      </c>
      <c r="V44" s="705">
        <v>92202</v>
      </c>
      <c r="W44" s="705">
        <f t="shared" si="0"/>
        <v>92202</v>
      </c>
      <c r="X44" s="705">
        <f t="shared" si="1"/>
        <v>110802</v>
      </c>
      <c r="Y44" s="705"/>
      <c r="AA44" t="s">
        <v>112</v>
      </c>
      <c r="AB44" t="s">
        <v>583</v>
      </c>
      <c r="AC44" t="s">
        <v>583</v>
      </c>
      <c r="AD44" s="705">
        <v>1445</v>
      </c>
      <c r="AE44" s="705">
        <v>170688</v>
      </c>
      <c r="AF44" s="705">
        <v>169701</v>
      </c>
      <c r="AG44" s="705">
        <v>9197578</v>
      </c>
      <c r="AH44" s="705">
        <v>8361435</v>
      </c>
      <c r="AI44">
        <v>93</v>
      </c>
      <c r="AJ44" s="705">
        <v>1775974</v>
      </c>
      <c r="AK44" s="705">
        <v>1563884</v>
      </c>
      <c r="AL44" s="705">
        <v>2750921</v>
      </c>
      <c r="AM44" s="705">
        <v>1018860</v>
      </c>
      <c r="AN44" s="705">
        <v>974277</v>
      </c>
      <c r="AO44" s="705">
        <v>360843</v>
      </c>
      <c r="AP44" s="705">
        <v>5607171</v>
      </c>
      <c r="AQ44" s="705">
        <v>5097428</v>
      </c>
      <c r="AR44" s="705">
        <v>83651</v>
      </c>
      <c r="AS44" s="705">
        <v>30982</v>
      </c>
      <c r="AT44" s="705">
        <v>16433432</v>
      </c>
      <c r="AU44" s="705">
        <f t="shared" si="3"/>
        <v>16433432</v>
      </c>
      <c r="AV44" s="705">
        <f t="shared" si="2"/>
        <v>20389572</v>
      </c>
    </row>
    <row r="45" spans="2:48" hidden="1">
      <c r="B45" t="s">
        <v>527</v>
      </c>
      <c r="C45" t="s">
        <v>118</v>
      </c>
      <c r="D45" t="s">
        <v>584</v>
      </c>
      <c r="E45" t="s">
        <v>584</v>
      </c>
      <c r="F45">
        <v>723</v>
      </c>
      <c r="G45" s="705">
        <v>66121</v>
      </c>
      <c r="H45" s="705">
        <v>184044</v>
      </c>
      <c r="I45" s="705">
        <v>8378054</v>
      </c>
      <c r="J45" s="705">
        <v>7616413</v>
      </c>
      <c r="K45">
        <v>78</v>
      </c>
      <c r="L45" s="705">
        <v>2319026</v>
      </c>
      <c r="M45" s="705">
        <v>2021165</v>
      </c>
      <c r="N45" s="705">
        <v>1318171</v>
      </c>
      <c r="O45" s="705">
        <v>488212</v>
      </c>
      <c r="P45" s="705">
        <v>343158</v>
      </c>
      <c r="Q45" s="705">
        <v>127095</v>
      </c>
      <c r="R45" s="705">
        <v>3566146</v>
      </c>
      <c r="S45" s="705">
        <v>3241951</v>
      </c>
      <c r="T45" s="705">
        <v>948546</v>
      </c>
      <c r="U45" s="705">
        <v>351313</v>
      </c>
      <c r="V45" s="705">
        <v>13846149</v>
      </c>
      <c r="W45" s="705">
        <f t="shared" si="0"/>
        <v>13846149</v>
      </c>
      <c r="X45" s="705">
        <f t="shared" si="1"/>
        <v>16873101</v>
      </c>
      <c r="Y45" s="705"/>
      <c r="AA45" t="s">
        <v>112</v>
      </c>
      <c r="AB45" t="s">
        <v>583</v>
      </c>
      <c r="AC45" t="s">
        <v>584</v>
      </c>
      <c r="AD45" s="705">
        <v>1</v>
      </c>
      <c r="AE45" s="705">
        <v>83</v>
      </c>
      <c r="AF45" s="705">
        <v>121</v>
      </c>
      <c r="AG45" s="705">
        <v>3627</v>
      </c>
      <c r="AH45" s="705">
        <v>3297</v>
      </c>
      <c r="AI45">
        <v>95</v>
      </c>
      <c r="AJ45" s="705">
        <v>759</v>
      </c>
      <c r="AK45" s="705">
        <v>633</v>
      </c>
      <c r="AL45" s="705">
        <v>1482</v>
      </c>
      <c r="AM45" s="705">
        <v>549</v>
      </c>
      <c r="AN45" s="705">
        <v>621</v>
      </c>
      <c r="AO45" s="705">
        <v>230</v>
      </c>
      <c r="AP45" s="705">
        <v>3511</v>
      </c>
      <c r="AQ45" s="705">
        <v>3192</v>
      </c>
      <c r="AR45" s="705">
        <v>0</v>
      </c>
      <c r="AS45" s="705">
        <v>0</v>
      </c>
      <c r="AT45" s="705">
        <v>7901</v>
      </c>
      <c r="AU45" s="705">
        <f t="shared" si="3"/>
        <v>7901</v>
      </c>
      <c r="AV45" s="705">
        <f t="shared" si="2"/>
        <v>10000</v>
      </c>
    </row>
    <row r="46" spans="2:48" hidden="1">
      <c r="B46" t="s">
        <v>527</v>
      </c>
      <c r="C46" t="s">
        <v>118</v>
      </c>
      <c r="D46" t="s">
        <v>669</v>
      </c>
      <c r="E46" t="s">
        <v>584</v>
      </c>
      <c r="F46" s="705">
        <v>1</v>
      </c>
      <c r="G46">
        <v>81</v>
      </c>
      <c r="H46" s="705">
        <v>272</v>
      </c>
      <c r="I46" s="705">
        <v>14746</v>
      </c>
      <c r="J46" s="705">
        <v>12289</v>
      </c>
      <c r="K46" s="705">
        <v>75</v>
      </c>
      <c r="L46" s="705">
        <v>0</v>
      </c>
      <c r="M46" s="705">
        <v>0</v>
      </c>
      <c r="N46" s="705">
        <v>1146</v>
      </c>
      <c r="O46" s="705">
        <v>424</v>
      </c>
      <c r="P46" s="705">
        <v>351</v>
      </c>
      <c r="Q46" s="705">
        <v>130</v>
      </c>
      <c r="R46" s="705">
        <v>3604</v>
      </c>
      <c r="S46" s="705">
        <v>3276</v>
      </c>
      <c r="T46" s="705">
        <v>2180</v>
      </c>
      <c r="U46" s="705">
        <v>808</v>
      </c>
      <c r="V46" s="705">
        <v>16927</v>
      </c>
      <c r="W46" s="705">
        <f t="shared" si="0"/>
        <v>16927</v>
      </c>
      <c r="X46" s="705">
        <f t="shared" si="1"/>
        <v>22027</v>
      </c>
      <c r="Y46" s="705"/>
      <c r="AA46" t="s">
        <v>112</v>
      </c>
      <c r="AB46" t="s">
        <v>584</v>
      </c>
      <c r="AC46" t="s">
        <v>228</v>
      </c>
      <c r="AD46">
        <v>7</v>
      </c>
      <c r="AE46" s="705">
        <v>1046</v>
      </c>
      <c r="AF46" s="705">
        <v>794</v>
      </c>
      <c r="AG46" s="705">
        <v>67746</v>
      </c>
      <c r="AH46" s="705">
        <v>61587</v>
      </c>
      <c r="AI46">
        <v>113</v>
      </c>
      <c r="AJ46" s="705">
        <v>12880</v>
      </c>
      <c r="AK46" s="705">
        <v>11036</v>
      </c>
      <c r="AL46" s="705">
        <v>16818</v>
      </c>
      <c r="AM46" s="705">
        <v>6229</v>
      </c>
      <c r="AN46" s="705">
        <v>3308</v>
      </c>
      <c r="AO46" s="705">
        <v>1225</v>
      </c>
      <c r="AP46" s="705">
        <v>23071</v>
      </c>
      <c r="AQ46" s="705">
        <v>8545</v>
      </c>
      <c r="AR46">
        <v>0</v>
      </c>
      <c r="AS46">
        <v>0</v>
      </c>
      <c r="AT46" s="705">
        <v>88621</v>
      </c>
      <c r="AU46" s="705">
        <f t="shared" si="3"/>
        <v>88622</v>
      </c>
      <c r="AV46" s="705">
        <f t="shared" si="2"/>
        <v>123823</v>
      </c>
    </row>
    <row r="47" spans="2:48" hidden="1">
      <c r="B47" t="s">
        <v>527</v>
      </c>
      <c r="C47" t="s">
        <v>118</v>
      </c>
      <c r="D47" t="s">
        <v>669</v>
      </c>
      <c r="E47" t="s">
        <v>669</v>
      </c>
      <c r="F47">
        <v>4</v>
      </c>
      <c r="G47">
        <v>377</v>
      </c>
      <c r="H47" s="705">
        <v>1049</v>
      </c>
      <c r="I47" s="705">
        <v>57608</v>
      </c>
      <c r="J47" s="705">
        <v>48007</v>
      </c>
      <c r="K47" s="705">
        <v>65</v>
      </c>
      <c r="L47" s="705">
        <v>6043</v>
      </c>
      <c r="M47" s="705">
        <v>4162</v>
      </c>
      <c r="N47" s="705">
        <v>6438</v>
      </c>
      <c r="O47" s="705">
        <v>2385</v>
      </c>
      <c r="P47" s="705">
        <v>1404</v>
      </c>
      <c r="Q47" s="705">
        <v>520</v>
      </c>
      <c r="R47" s="705">
        <v>18828</v>
      </c>
      <c r="S47" s="705">
        <v>15690</v>
      </c>
      <c r="T47" s="705">
        <v>9758</v>
      </c>
      <c r="U47" s="705">
        <v>3614</v>
      </c>
      <c r="V47" s="705">
        <v>74377</v>
      </c>
      <c r="W47" s="705">
        <f t="shared" si="0"/>
        <v>74378</v>
      </c>
      <c r="X47" s="705">
        <f t="shared" si="1"/>
        <v>100079</v>
      </c>
      <c r="Y47" s="705"/>
      <c r="AA47" t="s">
        <v>112</v>
      </c>
      <c r="AB47" t="s">
        <v>584</v>
      </c>
      <c r="AC47" t="s">
        <v>583</v>
      </c>
      <c r="AD47">
        <v>1</v>
      </c>
      <c r="AE47">
        <v>125</v>
      </c>
      <c r="AF47">
        <v>112</v>
      </c>
      <c r="AG47" s="705">
        <v>7827</v>
      </c>
      <c r="AH47" s="705">
        <v>7115</v>
      </c>
      <c r="AI47">
        <v>91</v>
      </c>
      <c r="AJ47" s="705">
        <v>1433</v>
      </c>
      <c r="AK47" s="705">
        <v>1302</v>
      </c>
      <c r="AL47" s="705">
        <v>1525</v>
      </c>
      <c r="AM47">
        <v>565</v>
      </c>
      <c r="AN47">
        <v>473</v>
      </c>
      <c r="AO47">
        <v>175</v>
      </c>
      <c r="AP47" s="705">
        <v>2802</v>
      </c>
      <c r="AQ47" s="705">
        <v>2547</v>
      </c>
      <c r="AR47">
        <v>0</v>
      </c>
      <c r="AS47">
        <v>0</v>
      </c>
      <c r="AT47" s="705">
        <v>11705</v>
      </c>
      <c r="AU47" s="705">
        <f t="shared" si="3"/>
        <v>11704</v>
      </c>
      <c r="AV47" s="705">
        <f t="shared" si="2"/>
        <v>14060</v>
      </c>
    </row>
    <row r="48" spans="2:48" hidden="1">
      <c r="B48" t="s">
        <v>527</v>
      </c>
      <c r="C48" t="s">
        <v>118</v>
      </c>
      <c r="D48" t="s">
        <v>667</v>
      </c>
      <c r="E48" s="705" t="s">
        <v>667</v>
      </c>
      <c r="F48" s="705">
        <v>1</v>
      </c>
      <c r="G48" s="705">
        <v>116</v>
      </c>
      <c r="H48" s="705">
        <v>270</v>
      </c>
      <c r="I48" s="705">
        <v>14312</v>
      </c>
      <c r="J48" s="705">
        <v>13011</v>
      </c>
      <c r="K48" s="705">
        <v>50</v>
      </c>
      <c r="L48" s="705">
        <v>6506</v>
      </c>
      <c r="M48" s="705">
        <v>2409</v>
      </c>
      <c r="N48" s="705">
        <v>2820</v>
      </c>
      <c r="O48" s="705">
        <v>1044</v>
      </c>
      <c r="P48" s="705">
        <v>0</v>
      </c>
      <c r="Q48" s="705">
        <v>0</v>
      </c>
      <c r="R48" s="705">
        <v>7578</v>
      </c>
      <c r="S48" s="705">
        <v>6889</v>
      </c>
      <c r="T48" s="705">
        <v>0</v>
      </c>
      <c r="U48" s="705">
        <v>0</v>
      </c>
      <c r="V48" s="705">
        <v>23354</v>
      </c>
      <c r="W48" s="705">
        <f t="shared" si="0"/>
        <v>23353</v>
      </c>
      <c r="X48" s="705">
        <f t="shared" si="1"/>
        <v>31216</v>
      </c>
      <c r="Y48" s="705"/>
      <c r="AA48" t="s">
        <v>112</v>
      </c>
      <c r="AB48" t="s">
        <v>584</v>
      </c>
      <c r="AC48" t="s">
        <v>584</v>
      </c>
      <c r="AD48" s="705">
        <v>5539</v>
      </c>
      <c r="AE48" s="705">
        <v>664020</v>
      </c>
      <c r="AF48" s="705">
        <v>643411</v>
      </c>
      <c r="AG48" s="705">
        <v>36126607</v>
      </c>
      <c r="AH48" s="705">
        <v>32842369</v>
      </c>
      <c r="AI48">
        <v>89</v>
      </c>
      <c r="AJ48" s="705">
        <v>5837565</v>
      </c>
      <c r="AK48" s="705">
        <v>5031249</v>
      </c>
      <c r="AL48" s="705">
        <v>11041336</v>
      </c>
      <c r="AM48" s="705">
        <v>4089384</v>
      </c>
      <c r="AN48" s="705">
        <v>2868973</v>
      </c>
      <c r="AO48" s="705">
        <v>1062582</v>
      </c>
      <c r="AP48" s="705">
        <v>22475812</v>
      </c>
      <c r="AQ48" s="705">
        <v>20432557</v>
      </c>
      <c r="AR48" s="705">
        <v>215666</v>
      </c>
      <c r="AS48" s="705">
        <v>79876</v>
      </c>
      <c r="AT48" s="705">
        <v>63538017</v>
      </c>
      <c r="AU48" s="705">
        <f t="shared" si="3"/>
        <v>63538017</v>
      </c>
      <c r="AV48" s="705">
        <f t="shared" si="2"/>
        <v>78565959</v>
      </c>
    </row>
    <row r="49" spans="2:48" hidden="1">
      <c r="B49" t="s">
        <v>527</v>
      </c>
      <c r="C49" t="s">
        <v>118</v>
      </c>
      <c r="D49" t="s">
        <v>665</v>
      </c>
      <c r="E49" t="s">
        <v>228</v>
      </c>
      <c r="F49">
        <v>1</v>
      </c>
      <c r="G49" s="705">
        <v>102</v>
      </c>
      <c r="H49" s="705">
        <v>226</v>
      </c>
      <c r="I49" s="705">
        <v>7038</v>
      </c>
      <c r="J49" s="705">
        <v>6398</v>
      </c>
      <c r="K49">
        <v>77</v>
      </c>
      <c r="L49" s="705">
        <v>1997</v>
      </c>
      <c r="M49" s="705">
        <v>1815</v>
      </c>
      <c r="N49" s="705">
        <v>1833</v>
      </c>
      <c r="O49" s="705">
        <v>679</v>
      </c>
      <c r="P49" s="705">
        <v>351</v>
      </c>
      <c r="Q49" s="705">
        <v>130</v>
      </c>
      <c r="R49" s="705">
        <v>11871</v>
      </c>
      <c r="S49" s="705">
        <v>4397</v>
      </c>
      <c r="T49" s="705">
        <v>0</v>
      </c>
      <c r="U49" s="705">
        <v>0</v>
      </c>
      <c r="V49" s="705">
        <v>13419</v>
      </c>
      <c r="W49" s="705">
        <f t="shared" si="0"/>
        <v>13419</v>
      </c>
      <c r="X49" s="705">
        <f t="shared" si="1"/>
        <v>23090</v>
      </c>
      <c r="Y49" s="705"/>
      <c r="AA49" t="s">
        <v>112</v>
      </c>
      <c r="AB49" t="s">
        <v>669</v>
      </c>
      <c r="AC49" t="s">
        <v>669</v>
      </c>
      <c r="AD49">
        <v>2</v>
      </c>
      <c r="AE49" s="705">
        <v>154</v>
      </c>
      <c r="AF49" s="705">
        <v>242</v>
      </c>
      <c r="AG49" s="705">
        <v>4640</v>
      </c>
      <c r="AH49" s="705">
        <v>3867</v>
      </c>
      <c r="AI49">
        <v>79</v>
      </c>
      <c r="AJ49" s="705">
        <v>0</v>
      </c>
      <c r="AK49" s="705">
        <v>0</v>
      </c>
      <c r="AL49" s="705">
        <v>1882</v>
      </c>
      <c r="AM49" s="705">
        <v>697</v>
      </c>
      <c r="AN49" s="705">
        <v>702</v>
      </c>
      <c r="AO49" s="705">
        <v>260</v>
      </c>
      <c r="AP49" s="705">
        <v>7262</v>
      </c>
      <c r="AQ49" s="705">
        <v>6052</v>
      </c>
      <c r="AR49" s="705">
        <v>4168</v>
      </c>
      <c r="AS49" s="705">
        <v>1544</v>
      </c>
      <c r="AT49" s="705">
        <v>12419</v>
      </c>
      <c r="AU49" s="705">
        <f t="shared" si="3"/>
        <v>12420</v>
      </c>
      <c r="AV49" s="705">
        <f t="shared" si="2"/>
        <v>18654</v>
      </c>
    </row>
    <row r="50" spans="2:48" hidden="1">
      <c r="B50" t="s">
        <v>527</v>
      </c>
      <c r="C50" t="s">
        <v>118</v>
      </c>
      <c r="D50" t="s">
        <v>665</v>
      </c>
      <c r="E50" t="s">
        <v>665</v>
      </c>
      <c r="F50">
        <v>83</v>
      </c>
      <c r="G50" s="705">
        <v>6970</v>
      </c>
      <c r="H50" s="705">
        <v>22064</v>
      </c>
      <c r="I50" s="705">
        <v>941381</v>
      </c>
      <c r="J50" s="705">
        <v>855801</v>
      </c>
      <c r="K50" s="705">
        <v>61</v>
      </c>
      <c r="L50" s="705">
        <v>172574</v>
      </c>
      <c r="M50" s="705">
        <v>155060</v>
      </c>
      <c r="N50" s="705">
        <v>114721</v>
      </c>
      <c r="O50" s="705">
        <v>42489</v>
      </c>
      <c r="P50" s="705">
        <v>34182</v>
      </c>
      <c r="Q50" s="705">
        <v>12660</v>
      </c>
      <c r="R50" s="705">
        <v>406804</v>
      </c>
      <c r="S50" s="705">
        <v>369822</v>
      </c>
      <c r="T50" s="705">
        <v>186828</v>
      </c>
      <c r="U50" s="705">
        <v>69196</v>
      </c>
      <c r="V50" s="705">
        <v>1505028</v>
      </c>
      <c r="W50" s="705">
        <f t="shared" si="0"/>
        <v>1505028</v>
      </c>
      <c r="X50" s="705">
        <f t="shared" si="1"/>
        <v>1856490</v>
      </c>
      <c r="Y50" s="705"/>
      <c r="AA50" t="s">
        <v>112</v>
      </c>
      <c r="AB50" t="s">
        <v>665</v>
      </c>
      <c r="AC50" t="s">
        <v>665</v>
      </c>
      <c r="AD50">
        <v>2</v>
      </c>
      <c r="AE50">
        <v>267</v>
      </c>
      <c r="AF50">
        <v>219</v>
      </c>
      <c r="AG50" s="705">
        <v>13262</v>
      </c>
      <c r="AH50" s="705">
        <v>12056</v>
      </c>
      <c r="AI50">
        <v>79</v>
      </c>
      <c r="AJ50" s="705">
        <v>2923</v>
      </c>
      <c r="AK50" s="705">
        <v>2657</v>
      </c>
      <c r="AL50" s="705">
        <v>3251</v>
      </c>
      <c r="AM50" s="705">
        <v>1204</v>
      </c>
      <c r="AN50">
        <v>702</v>
      </c>
      <c r="AO50">
        <v>260</v>
      </c>
      <c r="AP50" s="705">
        <v>9095</v>
      </c>
      <c r="AQ50" s="705">
        <v>8268</v>
      </c>
      <c r="AR50">
        <v>0</v>
      </c>
      <c r="AS50">
        <v>0</v>
      </c>
      <c r="AT50" s="705">
        <v>24445</v>
      </c>
      <c r="AU50" s="705">
        <f t="shared" si="3"/>
        <v>24445</v>
      </c>
      <c r="AV50" s="705">
        <f t="shared" si="2"/>
        <v>29233</v>
      </c>
    </row>
    <row r="51" spans="2:48" hidden="1">
      <c r="B51" t="s">
        <v>527</v>
      </c>
      <c r="C51" t="s">
        <v>120</v>
      </c>
      <c r="D51" t="s">
        <v>228</v>
      </c>
      <c r="E51" t="s">
        <v>228</v>
      </c>
      <c r="F51">
        <v>22</v>
      </c>
      <c r="G51" s="705">
        <v>1559</v>
      </c>
      <c r="H51" s="705">
        <v>7718</v>
      </c>
      <c r="I51" s="705">
        <v>329676</v>
      </c>
      <c r="J51" s="705">
        <v>122102</v>
      </c>
      <c r="K51">
        <v>100</v>
      </c>
      <c r="L51" s="705">
        <v>47954</v>
      </c>
      <c r="M51" s="705">
        <v>39811</v>
      </c>
      <c r="N51" s="705">
        <v>28163</v>
      </c>
      <c r="O51" s="705">
        <v>10431</v>
      </c>
      <c r="P51" s="705">
        <v>0</v>
      </c>
      <c r="Q51" s="705">
        <v>0</v>
      </c>
      <c r="R51" s="705">
        <v>151842</v>
      </c>
      <c r="S51" s="705">
        <v>56238</v>
      </c>
      <c r="T51" s="705">
        <v>0</v>
      </c>
      <c r="U51" s="705">
        <v>0</v>
      </c>
      <c r="V51" s="705">
        <v>228581</v>
      </c>
      <c r="W51" s="705">
        <f t="shared" si="0"/>
        <v>228582</v>
      </c>
      <c r="X51" s="705">
        <f t="shared" si="1"/>
        <v>557635</v>
      </c>
      <c r="Y51" s="705"/>
      <c r="AA51" t="s">
        <v>112</v>
      </c>
      <c r="AB51" t="s">
        <v>722</v>
      </c>
      <c r="AC51" t="s">
        <v>722</v>
      </c>
      <c r="AD51">
        <v>1</v>
      </c>
      <c r="AE51">
        <v>97</v>
      </c>
      <c r="AF51">
        <v>120</v>
      </c>
      <c r="AG51" s="705">
        <v>3843</v>
      </c>
      <c r="AH51" s="705">
        <v>3494</v>
      </c>
      <c r="AI51">
        <v>94</v>
      </c>
      <c r="AJ51" s="705">
        <v>0</v>
      </c>
      <c r="AK51">
        <v>0</v>
      </c>
      <c r="AL51" s="705">
        <v>1181</v>
      </c>
      <c r="AM51">
        <v>437</v>
      </c>
      <c r="AN51" s="705">
        <v>1560</v>
      </c>
      <c r="AO51">
        <v>578</v>
      </c>
      <c r="AP51" s="705">
        <v>2501</v>
      </c>
      <c r="AQ51" s="705">
        <v>2274</v>
      </c>
      <c r="AR51" s="705">
        <v>2522</v>
      </c>
      <c r="AS51">
        <v>934</v>
      </c>
      <c r="AT51" s="705">
        <v>7717</v>
      </c>
      <c r="AU51" s="705">
        <f t="shared" si="3"/>
        <v>7717</v>
      </c>
      <c r="AV51" s="705">
        <f t="shared" si="2"/>
        <v>11607</v>
      </c>
    </row>
    <row r="52" spans="2:48" hidden="1">
      <c r="B52" t="s">
        <v>527</v>
      </c>
      <c r="C52" t="s">
        <v>120</v>
      </c>
      <c r="D52" t="s">
        <v>228</v>
      </c>
      <c r="E52" t="s">
        <v>665</v>
      </c>
      <c r="F52" s="705">
        <v>1</v>
      </c>
      <c r="G52" s="705">
        <v>48</v>
      </c>
      <c r="H52" s="705">
        <v>322</v>
      </c>
      <c r="I52" s="705">
        <v>6446</v>
      </c>
      <c r="J52" s="705">
        <v>2387</v>
      </c>
      <c r="K52" s="705">
        <v>100</v>
      </c>
      <c r="L52" s="705">
        <v>1459</v>
      </c>
      <c r="M52" s="705">
        <v>1326</v>
      </c>
      <c r="N52" s="705">
        <v>581</v>
      </c>
      <c r="O52" s="705">
        <v>215</v>
      </c>
      <c r="P52" s="705">
        <v>0</v>
      </c>
      <c r="Q52" s="705">
        <v>0</v>
      </c>
      <c r="R52" s="705">
        <v>5147</v>
      </c>
      <c r="S52" s="705">
        <v>4679</v>
      </c>
      <c r="T52" s="705">
        <v>1713</v>
      </c>
      <c r="U52" s="705">
        <v>634</v>
      </c>
      <c r="V52" s="705">
        <v>9243</v>
      </c>
      <c r="W52" s="705">
        <f t="shared" si="0"/>
        <v>9241</v>
      </c>
      <c r="X52" s="705">
        <f t="shared" si="1"/>
        <v>15346</v>
      </c>
      <c r="Y52" s="705"/>
      <c r="AA52" t="s">
        <v>112</v>
      </c>
      <c r="AB52" t="s">
        <v>585</v>
      </c>
      <c r="AC52" t="s">
        <v>585</v>
      </c>
      <c r="AD52">
        <v>9</v>
      </c>
      <c r="AE52" s="705">
        <v>1139</v>
      </c>
      <c r="AF52" s="705">
        <v>1012</v>
      </c>
      <c r="AG52" s="705">
        <v>78393</v>
      </c>
      <c r="AH52" s="705">
        <v>71266</v>
      </c>
      <c r="AI52">
        <v>88</v>
      </c>
      <c r="AJ52" s="705">
        <v>9072</v>
      </c>
      <c r="AK52" s="705">
        <v>8247</v>
      </c>
      <c r="AL52" s="705">
        <v>16825</v>
      </c>
      <c r="AM52" s="705">
        <v>6231</v>
      </c>
      <c r="AN52" s="705">
        <v>4770</v>
      </c>
      <c r="AO52" s="705">
        <v>1767</v>
      </c>
      <c r="AP52" s="705">
        <v>20630</v>
      </c>
      <c r="AQ52" s="705">
        <v>18755</v>
      </c>
      <c r="AR52" s="705">
        <v>2745</v>
      </c>
      <c r="AS52" s="705">
        <v>1017</v>
      </c>
      <c r="AT52" s="705">
        <v>107283</v>
      </c>
      <c r="AU52" s="705">
        <f t="shared" si="3"/>
        <v>107283</v>
      </c>
      <c r="AV52" s="705">
        <f t="shared" si="2"/>
        <v>132435</v>
      </c>
    </row>
    <row r="53" spans="2:48" hidden="1">
      <c r="B53" t="s">
        <v>527</v>
      </c>
      <c r="C53" t="s">
        <v>120</v>
      </c>
      <c r="D53" t="s">
        <v>583</v>
      </c>
      <c r="E53" t="s">
        <v>228</v>
      </c>
      <c r="F53">
        <v>1</v>
      </c>
      <c r="G53" s="705">
        <v>82</v>
      </c>
      <c r="H53" s="705">
        <v>366</v>
      </c>
      <c r="I53" s="705">
        <v>17749</v>
      </c>
      <c r="J53" s="705">
        <v>16136</v>
      </c>
      <c r="K53" s="705">
        <v>65</v>
      </c>
      <c r="L53" s="705">
        <v>4432</v>
      </c>
      <c r="M53" s="705">
        <v>3693</v>
      </c>
      <c r="N53" s="705">
        <v>2003</v>
      </c>
      <c r="O53" s="705">
        <v>742</v>
      </c>
      <c r="P53" s="705">
        <v>621</v>
      </c>
      <c r="Q53" s="705">
        <v>230</v>
      </c>
      <c r="R53" s="705">
        <v>5302</v>
      </c>
      <c r="S53" s="705">
        <v>1964</v>
      </c>
      <c r="T53" s="705">
        <v>0</v>
      </c>
      <c r="U53" s="705">
        <v>0</v>
      </c>
      <c r="V53" s="705">
        <v>22765</v>
      </c>
      <c r="W53" s="705">
        <f t="shared" si="0"/>
        <v>22765</v>
      </c>
      <c r="X53" s="705">
        <f t="shared" si="1"/>
        <v>30107</v>
      </c>
      <c r="Y53" s="705"/>
      <c r="AA53" t="s">
        <v>112</v>
      </c>
      <c r="AB53" t="s">
        <v>585</v>
      </c>
      <c r="AC53" t="s">
        <v>668</v>
      </c>
      <c r="AD53">
        <v>2</v>
      </c>
      <c r="AE53">
        <v>219</v>
      </c>
      <c r="AF53">
        <v>229</v>
      </c>
      <c r="AG53" s="705">
        <v>11766</v>
      </c>
      <c r="AH53" s="705">
        <v>10696</v>
      </c>
      <c r="AI53">
        <v>88</v>
      </c>
      <c r="AJ53" s="705">
        <v>1187</v>
      </c>
      <c r="AK53" s="705">
        <v>1079</v>
      </c>
      <c r="AL53" s="705">
        <v>2674</v>
      </c>
      <c r="AM53" s="705">
        <v>990</v>
      </c>
      <c r="AN53" s="705">
        <v>1912</v>
      </c>
      <c r="AO53">
        <v>708</v>
      </c>
      <c r="AP53" s="705">
        <v>7161</v>
      </c>
      <c r="AQ53" s="705">
        <v>6510</v>
      </c>
      <c r="AR53">
        <v>0</v>
      </c>
      <c r="AS53">
        <v>0</v>
      </c>
      <c r="AT53" s="705">
        <v>19983</v>
      </c>
      <c r="AU53" s="705">
        <f t="shared" si="3"/>
        <v>19983</v>
      </c>
      <c r="AV53" s="705">
        <f t="shared" si="2"/>
        <v>24700</v>
      </c>
    </row>
    <row r="54" spans="2:48" hidden="1">
      <c r="B54" t="s">
        <v>527</v>
      </c>
      <c r="C54" t="s">
        <v>120</v>
      </c>
      <c r="D54" t="s">
        <v>583</v>
      </c>
      <c r="E54" t="s">
        <v>583</v>
      </c>
      <c r="F54">
        <v>232</v>
      </c>
      <c r="G54" s="705">
        <v>22251</v>
      </c>
      <c r="H54" s="705">
        <v>78380</v>
      </c>
      <c r="I54" s="705">
        <v>4555175</v>
      </c>
      <c r="J54" s="705">
        <v>4141068</v>
      </c>
      <c r="K54">
        <v>78</v>
      </c>
      <c r="L54" s="705">
        <v>973597</v>
      </c>
      <c r="M54" s="705">
        <v>838120</v>
      </c>
      <c r="N54" s="705">
        <v>439587</v>
      </c>
      <c r="O54" s="705">
        <v>162810</v>
      </c>
      <c r="P54" s="705">
        <v>146340</v>
      </c>
      <c r="Q54" s="705">
        <v>54200</v>
      </c>
      <c r="R54" s="705">
        <v>1139160</v>
      </c>
      <c r="S54" s="705">
        <v>1035600</v>
      </c>
      <c r="T54" s="705">
        <v>338286</v>
      </c>
      <c r="U54" s="705">
        <v>125291</v>
      </c>
      <c r="V54" s="705">
        <v>6357089</v>
      </c>
      <c r="W54" s="705">
        <f t="shared" si="0"/>
        <v>6357089</v>
      </c>
      <c r="X54" s="705">
        <f t="shared" si="1"/>
        <v>7592145</v>
      </c>
      <c r="Y54" s="705"/>
      <c r="AA54" t="s">
        <v>112</v>
      </c>
      <c r="AB54" t="s">
        <v>668</v>
      </c>
      <c r="AC54" t="s">
        <v>668</v>
      </c>
      <c r="AD54" s="705">
        <v>1</v>
      </c>
      <c r="AE54" s="705">
        <v>90</v>
      </c>
      <c r="AF54" s="705">
        <v>109</v>
      </c>
      <c r="AG54" s="705">
        <v>4260</v>
      </c>
      <c r="AH54" s="705">
        <v>3873</v>
      </c>
      <c r="AI54">
        <v>94</v>
      </c>
      <c r="AJ54" s="705">
        <v>0</v>
      </c>
      <c r="AK54" s="705">
        <v>0</v>
      </c>
      <c r="AL54" s="705">
        <v>1097</v>
      </c>
      <c r="AM54" s="705">
        <v>406</v>
      </c>
      <c r="AN54" s="705">
        <v>1107</v>
      </c>
      <c r="AO54" s="705">
        <v>410</v>
      </c>
      <c r="AP54" s="705">
        <v>3323</v>
      </c>
      <c r="AQ54" s="705">
        <v>3021</v>
      </c>
      <c r="AR54" s="705">
        <v>0</v>
      </c>
      <c r="AS54" s="705">
        <v>0</v>
      </c>
      <c r="AT54" s="705">
        <v>7710</v>
      </c>
      <c r="AU54" s="705">
        <f t="shared" si="3"/>
        <v>7710</v>
      </c>
      <c r="AV54" s="705">
        <f t="shared" si="2"/>
        <v>9787</v>
      </c>
    </row>
    <row r="55" spans="2:48" ht="12.75" hidden="1" customHeight="1">
      <c r="B55" t="s">
        <v>527</v>
      </c>
      <c r="C55" t="s">
        <v>120</v>
      </c>
      <c r="D55" t="s">
        <v>666</v>
      </c>
      <c r="E55" t="s">
        <v>666</v>
      </c>
      <c r="F55" s="705">
        <v>4</v>
      </c>
      <c r="G55" s="705">
        <v>318</v>
      </c>
      <c r="H55" s="705">
        <v>1298</v>
      </c>
      <c r="I55" s="705">
        <v>57534</v>
      </c>
      <c r="J55" s="705">
        <v>52303</v>
      </c>
      <c r="K55">
        <v>56</v>
      </c>
      <c r="L55" s="705">
        <v>8702</v>
      </c>
      <c r="M55" s="705">
        <v>7911</v>
      </c>
      <c r="N55" s="705">
        <v>6748</v>
      </c>
      <c r="O55" s="705">
        <v>2499</v>
      </c>
      <c r="P55" s="705">
        <v>1053</v>
      </c>
      <c r="Q55" s="705">
        <v>390</v>
      </c>
      <c r="R55" s="705">
        <v>22596</v>
      </c>
      <c r="S55" s="705">
        <v>20542</v>
      </c>
      <c r="T55" s="705">
        <v>6290</v>
      </c>
      <c r="U55" s="705">
        <v>2330</v>
      </c>
      <c r="V55" s="705">
        <v>85975</v>
      </c>
      <c r="W55" s="705">
        <f t="shared" si="0"/>
        <v>85975</v>
      </c>
      <c r="X55" s="705">
        <f t="shared" si="1"/>
        <v>102923</v>
      </c>
      <c r="Y55" s="705"/>
      <c r="AA55" t="s">
        <v>114</v>
      </c>
      <c r="AD55">
        <v>107</v>
      </c>
      <c r="AE55" s="705">
        <v>8493</v>
      </c>
      <c r="AF55" s="705">
        <v>14702</v>
      </c>
      <c r="AG55" s="705"/>
      <c r="AH55" s="705">
        <v>0</v>
      </c>
      <c r="AJ55" s="705"/>
      <c r="AK55" s="705">
        <v>0</v>
      </c>
      <c r="AL55" s="705">
        <v>179050</v>
      </c>
      <c r="AM55" s="705">
        <v>66315</v>
      </c>
      <c r="AN55" s="705">
        <v>27876</v>
      </c>
      <c r="AO55" s="705">
        <v>10325</v>
      </c>
      <c r="AP55" s="705"/>
      <c r="AQ55" s="705">
        <v>0</v>
      </c>
      <c r="AR55" s="705">
        <v>1498</v>
      </c>
      <c r="AS55">
        <v>555</v>
      </c>
      <c r="AT55" s="705">
        <v>77194</v>
      </c>
      <c r="AU55" s="705">
        <f t="shared" si="3"/>
        <v>77195</v>
      </c>
      <c r="AV55" s="705">
        <f t="shared" si="2"/>
        <v>208424</v>
      </c>
    </row>
    <row r="56" spans="2:48" ht="12.75" hidden="1" customHeight="1">
      <c r="B56" t="s">
        <v>527</v>
      </c>
      <c r="C56" t="s">
        <v>120</v>
      </c>
      <c r="D56" t="s">
        <v>584</v>
      </c>
      <c r="E56" t="s">
        <v>228</v>
      </c>
      <c r="F56" s="705">
        <v>1</v>
      </c>
      <c r="G56" s="705">
        <v>146</v>
      </c>
      <c r="H56" s="705">
        <v>325</v>
      </c>
      <c r="I56" s="705">
        <v>36274</v>
      </c>
      <c r="J56" s="705">
        <v>32976</v>
      </c>
      <c r="K56" s="705">
        <v>90</v>
      </c>
      <c r="L56" s="705">
        <v>0</v>
      </c>
      <c r="M56" s="705">
        <v>0</v>
      </c>
      <c r="N56" s="705">
        <v>3065</v>
      </c>
      <c r="O56" s="705">
        <v>1135</v>
      </c>
      <c r="P56" s="705">
        <v>473</v>
      </c>
      <c r="Q56" s="705">
        <v>175</v>
      </c>
      <c r="R56" s="705">
        <v>7677</v>
      </c>
      <c r="S56" s="705">
        <v>2843</v>
      </c>
      <c r="T56" s="705">
        <v>0</v>
      </c>
      <c r="U56" s="705">
        <v>0</v>
      </c>
      <c r="V56" s="705">
        <v>37129</v>
      </c>
      <c r="W56" s="705">
        <f t="shared" si="0"/>
        <v>37129</v>
      </c>
      <c r="X56" s="705">
        <f t="shared" si="1"/>
        <v>47489</v>
      </c>
      <c r="Y56" s="705"/>
      <c r="AA56" t="s">
        <v>114</v>
      </c>
      <c r="AB56" t="s">
        <v>664</v>
      </c>
      <c r="AC56" t="s">
        <v>664</v>
      </c>
      <c r="AD56">
        <v>27</v>
      </c>
      <c r="AE56" s="705">
        <v>2772</v>
      </c>
      <c r="AF56" s="705">
        <v>3827</v>
      </c>
      <c r="AG56" s="705">
        <v>205114</v>
      </c>
      <c r="AH56" s="705">
        <v>186467</v>
      </c>
      <c r="AI56">
        <v>90</v>
      </c>
      <c r="AJ56" s="705">
        <v>44004</v>
      </c>
      <c r="AK56" s="705">
        <v>39898</v>
      </c>
      <c r="AL56" s="705">
        <v>51953</v>
      </c>
      <c r="AM56" s="705">
        <v>19242</v>
      </c>
      <c r="AN56" s="705">
        <v>13473</v>
      </c>
      <c r="AO56" s="705">
        <v>4990</v>
      </c>
      <c r="AP56" s="705">
        <v>104312</v>
      </c>
      <c r="AQ56" s="705">
        <v>94829</v>
      </c>
      <c r="AR56">
        <v>0</v>
      </c>
      <c r="AS56">
        <v>0</v>
      </c>
      <c r="AT56" s="705">
        <v>345426</v>
      </c>
      <c r="AU56" s="705">
        <f t="shared" si="3"/>
        <v>345426</v>
      </c>
      <c r="AV56" s="705">
        <f t="shared" si="2"/>
        <v>418856</v>
      </c>
    </row>
    <row r="57" spans="2:48" ht="12.75" hidden="1" customHeight="1">
      <c r="B57" t="s">
        <v>527</v>
      </c>
      <c r="C57" t="s">
        <v>120</v>
      </c>
      <c r="D57" t="s">
        <v>584</v>
      </c>
      <c r="E57" t="s">
        <v>584</v>
      </c>
      <c r="F57">
        <v>150</v>
      </c>
      <c r="G57" s="705">
        <v>13879</v>
      </c>
      <c r="H57" s="705">
        <v>49895</v>
      </c>
      <c r="I57" s="705">
        <v>2644015</v>
      </c>
      <c r="J57" s="705">
        <v>2403650</v>
      </c>
      <c r="K57" s="705">
        <v>78</v>
      </c>
      <c r="L57" s="705">
        <v>690835</v>
      </c>
      <c r="M57" s="705">
        <v>602802</v>
      </c>
      <c r="N57" s="705">
        <v>282683</v>
      </c>
      <c r="O57" s="705">
        <v>104698</v>
      </c>
      <c r="P57" s="705">
        <v>70632</v>
      </c>
      <c r="Q57" s="705">
        <v>26160</v>
      </c>
      <c r="R57" s="705">
        <v>734487</v>
      </c>
      <c r="S57" s="705">
        <v>667715</v>
      </c>
      <c r="T57" s="705">
        <v>217132</v>
      </c>
      <c r="U57" s="705">
        <v>80419</v>
      </c>
      <c r="V57" s="705">
        <v>3885444</v>
      </c>
      <c r="W57" s="705">
        <f t="shared" si="0"/>
        <v>3885444</v>
      </c>
      <c r="X57" s="705">
        <f t="shared" si="1"/>
        <v>4639784</v>
      </c>
      <c r="Y57" s="705"/>
      <c r="AA57" t="s">
        <v>114</v>
      </c>
      <c r="AB57" t="s">
        <v>664</v>
      </c>
      <c r="AC57" t="s">
        <v>582</v>
      </c>
      <c r="AD57">
        <v>2</v>
      </c>
      <c r="AE57">
        <v>217</v>
      </c>
      <c r="AF57">
        <v>286</v>
      </c>
      <c r="AG57" s="705">
        <v>16946</v>
      </c>
      <c r="AH57" s="705">
        <v>15405</v>
      </c>
      <c r="AI57">
        <v>85</v>
      </c>
      <c r="AJ57" s="705">
        <v>3292</v>
      </c>
      <c r="AK57" s="705">
        <v>1942</v>
      </c>
      <c r="AL57" s="705">
        <v>4882</v>
      </c>
      <c r="AM57" s="705">
        <v>1808</v>
      </c>
      <c r="AN57">
        <v>594</v>
      </c>
      <c r="AO57">
        <v>220</v>
      </c>
      <c r="AP57" s="705">
        <v>10662</v>
      </c>
      <c r="AQ57" s="705">
        <v>9693</v>
      </c>
      <c r="AR57">
        <v>0</v>
      </c>
      <c r="AS57">
        <v>0</v>
      </c>
      <c r="AT57" s="705">
        <v>29068</v>
      </c>
      <c r="AU57" s="705">
        <f t="shared" si="3"/>
        <v>29068</v>
      </c>
      <c r="AV57" s="705">
        <f t="shared" si="2"/>
        <v>36376</v>
      </c>
    </row>
    <row r="58" spans="2:48" ht="12.75" hidden="1" customHeight="1">
      <c r="B58" t="s">
        <v>527</v>
      </c>
      <c r="C58" t="s">
        <v>120</v>
      </c>
      <c r="D58" t="s">
        <v>669</v>
      </c>
      <c r="E58" t="s">
        <v>228</v>
      </c>
      <c r="F58">
        <v>1</v>
      </c>
      <c r="G58" s="705">
        <v>88</v>
      </c>
      <c r="H58" s="705">
        <v>371</v>
      </c>
      <c r="I58" s="705">
        <v>20142</v>
      </c>
      <c r="J58" s="705">
        <v>16785</v>
      </c>
      <c r="K58" s="705">
        <v>79</v>
      </c>
      <c r="L58" s="705">
        <v>5156</v>
      </c>
      <c r="M58" s="705">
        <v>4687</v>
      </c>
      <c r="N58" s="705">
        <v>2140</v>
      </c>
      <c r="O58" s="705">
        <v>793</v>
      </c>
      <c r="P58" s="705">
        <v>473</v>
      </c>
      <c r="Q58" s="705">
        <v>175</v>
      </c>
      <c r="R58" s="705">
        <v>4699</v>
      </c>
      <c r="S58" s="705">
        <v>1740</v>
      </c>
      <c r="T58">
        <v>0</v>
      </c>
      <c r="U58" s="705">
        <v>0</v>
      </c>
      <c r="V58" s="705">
        <v>24180</v>
      </c>
      <c r="W58" s="705">
        <f t="shared" si="0"/>
        <v>24180</v>
      </c>
      <c r="X58" s="705">
        <f t="shared" si="1"/>
        <v>32610</v>
      </c>
      <c r="Y58" s="705"/>
      <c r="AA58" t="s">
        <v>114</v>
      </c>
      <c r="AB58" t="s">
        <v>664</v>
      </c>
      <c r="AC58" t="s">
        <v>583</v>
      </c>
      <c r="AD58">
        <v>1</v>
      </c>
      <c r="AE58" s="705">
        <v>116</v>
      </c>
      <c r="AF58" s="705">
        <v>135</v>
      </c>
      <c r="AG58" s="705">
        <v>6014</v>
      </c>
      <c r="AH58" s="705">
        <v>5468</v>
      </c>
      <c r="AI58">
        <v>86</v>
      </c>
      <c r="AJ58" s="705">
        <v>1905</v>
      </c>
      <c r="AK58" s="705">
        <v>1731</v>
      </c>
      <c r="AL58" s="705">
        <v>2437</v>
      </c>
      <c r="AM58" s="705">
        <v>903</v>
      </c>
      <c r="AN58" s="705">
        <v>621</v>
      </c>
      <c r="AO58" s="705">
        <v>230</v>
      </c>
      <c r="AP58" s="705">
        <v>4776</v>
      </c>
      <c r="AQ58" s="705">
        <v>4342</v>
      </c>
      <c r="AR58">
        <v>0</v>
      </c>
      <c r="AS58">
        <v>0</v>
      </c>
      <c r="AT58" s="705">
        <v>12673</v>
      </c>
      <c r="AU58" s="705">
        <f t="shared" si="3"/>
        <v>12674</v>
      </c>
      <c r="AV58" s="705">
        <f t="shared" si="2"/>
        <v>15753</v>
      </c>
    </row>
    <row r="59" spans="2:48" ht="12.75" hidden="1" customHeight="1">
      <c r="B59" t="s">
        <v>527</v>
      </c>
      <c r="C59" t="s">
        <v>120</v>
      </c>
      <c r="D59" t="s">
        <v>669</v>
      </c>
      <c r="E59" t="s">
        <v>669</v>
      </c>
      <c r="F59">
        <v>14</v>
      </c>
      <c r="G59" s="705">
        <v>1130</v>
      </c>
      <c r="H59" s="705">
        <v>4720</v>
      </c>
      <c r="I59" s="705">
        <v>214350</v>
      </c>
      <c r="J59" s="705">
        <v>178625</v>
      </c>
      <c r="K59">
        <v>58</v>
      </c>
      <c r="L59" s="705">
        <v>32361</v>
      </c>
      <c r="M59" s="705">
        <v>25796</v>
      </c>
      <c r="N59" s="705">
        <v>23079</v>
      </c>
      <c r="O59" s="705">
        <v>8548</v>
      </c>
      <c r="P59" s="705">
        <v>4563</v>
      </c>
      <c r="Q59" s="705">
        <v>1690</v>
      </c>
      <c r="R59" s="705">
        <v>78605</v>
      </c>
      <c r="S59" s="705">
        <v>65504</v>
      </c>
      <c r="T59" s="705">
        <v>26538</v>
      </c>
      <c r="U59" s="705">
        <v>9829</v>
      </c>
      <c r="V59" s="705">
        <v>289992</v>
      </c>
      <c r="W59" s="705">
        <f t="shared" si="0"/>
        <v>289992</v>
      </c>
      <c r="X59" s="705">
        <f t="shared" si="1"/>
        <v>379496</v>
      </c>
      <c r="Y59" s="705"/>
      <c r="AA59" t="s">
        <v>114</v>
      </c>
      <c r="AB59" t="s">
        <v>664</v>
      </c>
      <c r="AC59" t="s">
        <v>584</v>
      </c>
      <c r="AD59" s="705">
        <v>1</v>
      </c>
      <c r="AE59" s="705">
        <v>129</v>
      </c>
      <c r="AF59" s="705">
        <v>141</v>
      </c>
      <c r="AG59" s="705">
        <v>9467</v>
      </c>
      <c r="AH59" s="705">
        <v>8606</v>
      </c>
      <c r="AI59">
        <v>91</v>
      </c>
      <c r="AJ59">
        <v>0</v>
      </c>
      <c r="AK59">
        <v>0</v>
      </c>
      <c r="AL59" s="705">
        <v>2523</v>
      </c>
      <c r="AM59" s="705">
        <v>934</v>
      </c>
      <c r="AN59" s="705">
        <v>351</v>
      </c>
      <c r="AO59" s="705">
        <v>130</v>
      </c>
      <c r="AP59" s="705">
        <v>3150</v>
      </c>
      <c r="AQ59" s="705">
        <v>2864</v>
      </c>
      <c r="AR59" s="705">
        <v>2742</v>
      </c>
      <c r="AS59" s="705">
        <v>1015</v>
      </c>
      <c r="AT59" s="705">
        <v>13550</v>
      </c>
      <c r="AU59" s="705">
        <f t="shared" si="3"/>
        <v>13549</v>
      </c>
      <c r="AV59" s="705">
        <f t="shared" si="2"/>
        <v>18233</v>
      </c>
    </row>
    <row r="60" spans="2:48" ht="12.75" hidden="1" customHeight="1">
      <c r="B60" t="s">
        <v>527</v>
      </c>
      <c r="C60" t="s">
        <v>120</v>
      </c>
      <c r="D60" t="s">
        <v>665</v>
      </c>
      <c r="E60" t="s">
        <v>228</v>
      </c>
      <c r="F60">
        <v>1</v>
      </c>
      <c r="G60" s="705">
        <v>35</v>
      </c>
      <c r="H60" s="705">
        <v>362</v>
      </c>
      <c r="I60" s="705">
        <v>4595</v>
      </c>
      <c r="J60" s="705">
        <v>4177</v>
      </c>
      <c r="K60" s="705">
        <v>74</v>
      </c>
      <c r="L60" s="705">
        <v>932</v>
      </c>
      <c r="M60" s="705">
        <v>345</v>
      </c>
      <c r="N60" s="705">
        <v>430</v>
      </c>
      <c r="O60" s="705">
        <v>159</v>
      </c>
      <c r="P60" s="705">
        <v>0</v>
      </c>
      <c r="Q60" s="705">
        <v>0</v>
      </c>
      <c r="R60" s="705">
        <v>6793</v>
      </c>
      <c r="S60" s="705">
        <v>2516</v>
      </c>
      <c r="T60" s="705">
        <v>0</v>
      </c>
      <c r="U60" s="705">
        <v>0</v>
      </c>
      <c r="V60" s="705">
        <v>7197</v>
      </c>
      <c r="W60" s="705">
        <f t="shared" si="0"/>
        <v>7197</v>
      </c>
      <c r="X60" s="705">
        <f t="shared" si="1"/>
        <v>12750</v>
      </c>
      <c r="Y60" s="705"/>
      <c r="AA60" t="s">
        <v>114</v>
      </c>
      <c r="AB60" t="s">
        <v>582</v>
      </c>
      <c r="AC60" t="s">
        <v>664</v>
      </c>
      <c r="AD60">
        <v>1</v>
      </c>
      <c r="AE60">
        <v>157</v>
      </c>
      <c r="AF60">
        <v>147</v>
      </c>
      <c r="AG60" s="705">
        <v>11395</v>
      </c>
      <c r="AH60" s="705">
        <v>10359</v>
      </c>
      <c r="AI60">
        <v>78</v>
      </c>
      <c r="AJ60" s="705">
        <v>3127</v>
      </c>
      <c r="AK60" s="705">
        <v>2843</v>
      </c>
      <c r="AL60" s="705">
        <v>2185</v>
      </c>
      <c r="AM60">
        <v>809</v>
      </c>
      <c r="AN60">
        <v>473</v>
      </c>
      <c r="AO60">
        <v>175</v>
      </c>
      <c r="AP60" s="705">
        <v>5920</v>
      </c>
      <c r="AQ60" s="705">
        <v>5382</v>
      </c>
      <c r="AR60">
        <v>0</v>
      </c>
      <c r="AS60">
        <v>0</v>
      </c>
      <c r="AT60" s="705">
        <v>19568</v>
      </c>
      <c r="AU60" s="705">
        <f t="shared" si="3"/>
        <v>19568</v>
      </c>
      <c r="AV60" s="705">
        <f t="shared" si="2"/>
        <v>23100</v>
      </c>
    </row>
    <row r="61" spans="2:48" ht="12.75" hidden="1" customHeight="1">
      <c r="B61" t="s">
        <v>527</v>
      </c>
      <c r="C61" t="s">
        <v>120</v>
      </c>
      <c r="D61" t="s">
        <v>665</v>
      </c>
      <c r="E61" t="s">
        <v>665</v>
      </c>
      <c r="F61" s="705">
        <v>83</v>
      </c>
      <c r="G61" s="705">
        <v>6538</v>
      </c>
      <c r="H61" s="705">
        <v>28634</v>
      </c>
      <c r="I61" s="705">
        <v>1293395</v>
      </c>
      <c r="J61" s="705">
        <v>1175814</v>
      </c>
      <c r="K61" s="705">
        <v>51</v>
      </c>
      <c r="L61" s="705">
        <v>167037</v>
      </c>
      <c r="M61" s="705">
        <v>149045</v>
      </c>
      <c r="N61" s="705">
        <v>117182</v>
      </c>
      <c r="O61" s="705">
        <v>43401</v>
      </c>
      <c r="P61" s="705">
        <v>28701</v>
      </c>
      <c r="Q61" s="705">
        <v>10630</v>
      </c>
      <c r="R61" s="705">
        <v>484701</v>
      </c>
      <c r="S61" s="705">
        <v>440637</v>
      </c>
      <c r="T61" s="705">
        <v>174905</v>
      </c>
      <c r="U61" s="705">
        <v>64780</v>
      </c>
      <c r="V61" s="705">
        <v>1884306</v>
      </c>
      <c r="W61" s="705">
        <f t="shared" si="0"/>
        <v>1884307</v>
      </c>
      <c r="X61" s="705">
        <f t="shared" si="1"/>
        <v>2265921</v>
      </c>
      <c r="Y61" s="705"/>
      <c r="AA61" t="s">
        <v>114</v>
      </c>
      <c r="AB61" t="s">
        <v>582</v>
      </c>
      <c r="AC61" t="s">
        <v>582</v>
      </c>
      <c r="AD61">
        <v>808</v>
      </c>
      <c r="AE61" s="705">
        <v>91049</v>
      </c>
      <c r="AF61" s="705">
        <v>112966</v>
      </c>
      <c r="AG61" s="705">
        <v>5972174</v>
      </c>
      <c r="AH61" s="705">
        <v>5429249</v>
      </c>
      <c r="AI61">
        <v>87</v>
      </c>
      <c r="AJ61" s="705">
        <v>1285904</v>
      </c>
      <c r="AK61" s="705">
        <v>1125594</v>
      </c>
      <c r="AL61" s="705">
        <v>1766036</v>
      </c>
      <c r="AM61" s="705">
        <v>654087</v>
      </c>
      <c r="AN61" s="705">
        <v>424533</v>
      </c>
      <c r="AO61" s="705">
        <v>157234</v>
      </c>
      <c r="AP61" s="705">
        <v>3380452</v>
      </c>
      <c r="AQ61" s="705">
        <v>3073139</v>
      </c>
      <c r="AR61" s="705">
        <v>114306</v>
      </c>
      <c r="AS61" s="705">
        <v>42335</v>
      </c>
      <c r="AT61" s="705">
        <v>10481639</v>
      </c>
      <c r="AU61" s="705">
        <f t="shared" si="3"/>
        <v>10481638</v>
      </c>
      <c r="AV61" s="705">
        <f t="shared" si="2"/>
        <v>12943405</v>
      </c>
    </row>
    <row r="62" spans="2:48" ht="12.75" hidden="1" customHeight="1">
      <c r="B62" t="s">
        <v>527</v>
      </c>
      <c r="C62" t="s">
        <v>120</v>
      </c>
      <c r="D62" t="s">
        <v>673</v>
      </c>
      <c r="E62" t="s">
        <v>673</v>
      </c>
      <c r="F62">
        <v>2</v>
      </c>
      <c r="G62">
        <v>161</v>
      </c>
      <c r="H62" s="705">
        <v>740</v>
      </c>
      <c r="I62" s="705">
        <v>31706</v>
      </c>
      <c r="J62" s="705">
        <v>28824</v>
      </c>
      <c r="K62" s="705">
        <v>45</v>
      </c>
      <c r="L62" s="705">
        <v>4529</v>
      </c>
      <c r="M62" s="705">
        <v>4118</v>
      </c>
      <c r="N62" s="705">
        <v>3911</v>
      </c>
      <c r="O62" s="705">
        <v>1449</v>
      </c>
      <c r="P62" s="705">
        <v>702</v>
      </c>
      <c r="Q62" s="705">
        <v>260</v>
      </c>
      <c r="R62" s="705">
        <v>13446</v>
      </c>
      <c r="S62" s="705">
        <v>12224</v>
      </c>
      <c r="T62" s="705">
        <v>5141</v>
      </c>
      <c r="U62" s="705">
        <v>1904</v>
      </c>
      <c r="V62" s="705">
        <v>48778</v>
      </c>
      <c r="W62" s="705">
        <f t="shared" si="0"/>
        <v>48779</v>
      </c>
      <c r="X62" s="705">
        <f t="shared" si="1"/>
        <v>59435</v>
      </c>
      <c r="Y62" s="705"/>
      <c r="AA62" t="s">
        <v>114</v>
      </c>
      <c r="AB62" t="s">
        <v>582</v>
      </c>
      <c r="AC62" t="s">
        <v>670</v>
      </c>
      <c r="AD62">
        <v>1</v>
      </c>
      <c r="AE62">
        <v>120</v>
      </c>
      <c r="AF62">
        <v>149</v>
      </c>
      <c r="AG62" s="705">
        <v>7481</v>
      </c>
      <c r="AH62" s="705">
        <v>6801</v>
      </c>
      <c r="AI62">
        <v>79</v>
      </c>
      <c r="AJ62" s="705">
        <v>1244</v>
      </c>
      <c r="AK62" s="705">
        <v>1131</v>
      </c>
      <c r="AL62" s="705">
        <v>1467</v>
      </c>
      <c r="AM62" s="705">
        <v>543</v>
      </c>
      <c r="AN62" s="705">
        <v>473</v>
      </c>
      <c r="AO62">
        <v>175</v>
      </c>
      <c r="AP62" s="705">
        <v>7259</v>
      </c>
      <c r="AQ62" s="705">
        <v>2689</v>
      </c>
      <c r="AR62" s="705">
        <v>0</v>
      </c>
      <c r="AS62" s="705">
        <v>0</v>
      </c>
      <c r="AT62" s="705">
        <v>11339</v>
      </c>
      <c r="AU62" s="705">
        <f t="shared" si="3"/>
        <v>11339</v>
      </c>
      <c r="AV62" s="705">
        <f t="shared" si="2"/>
        <v>17924</v>
      </c>
    </row>
    <row r="63" spans="2:48" ht="12.75" hidden="1" customHeight="1">
      <c r="B63" t="s">
        <v>527</v>
      </c>
      <c r="C63" t="s">
        <v>122</v>
      </c>
      <c r="F63">
        <v>1</v>
      </c>
      <c r="G63" s="705">
        <v>82</v>
      </c>
      <c r="H63" s="705">
        <v>433</v>
      </c>
      <c r="I63" s="705"/>
      <c r="J63" s="705">
        <v>0</v>
      </c>
      <c r="K63" s="705"/>
      <c r="L63" s="705"/>
      <c r="M63" s="705">
        <v>0</v>
      </c>
      <c r="N63" s="705">
        <v>1330</v>
      </c>
      <c r="O63" s="705">
        <v>492</v>
      </c>
      <c r="P63" s="705">
        <v>473</v>
      </c>
      <c r="Q63" s="705">
        <v>175</v>
      </c>
      <c r="R63" s="705"/>
      <c r="S63" s="705">
        <v>0</v>
      </c>
      <c r="T63">
        <v>0</v>
      </c>
      <c r="U63" s="705">
        <v>0</v>
      </c>
      <c r="V63" s="705">
        <v>667</v>
      </c>
      <c r="W63" s="705">
        <f t="shared" si="0"/>
        <v>667</v>
      </c>
      <c r="X63" s="705">
        <f t="shared" si="1"/>
        <v>1803</v>
      </c>
      <c r="Y63" s="705"/>
      <c r="AA63" t="s">
        <v>114</v>
      </c>
      <c r="AB63" t="s">
        <v>582</v>
      </c>
      <c r="AC63" t="s">
        <v>584</v>
      </c>
      <c r="AD63">
        <v>3</v>
      </c>
      <c r="AE63">
        <v>326</v>
      </c>
      <c r="AF63">
        <v>430</v>
      </c>
      <c r="AG63" s="705">
        <v>25776</v>
      </c>
      <c r="AH63" s="705">
        <v>23432</v>
      </c>
      <c r="AI63">
        <v>87</v>
      </c>
      <c r="AJ63" s="705">
        <v>8003</v>
      </c>
      <c r="AK63" s="705">
        <v>7276</v>
      </c>
      <c r="AL63" s="705">
        <v>4307</v>
      </c>
      <c r="AM63" s="705">
        <v>1595</v>
      </c>
      <c r="AN63" s="705">
        <v>1418</v>
      </c>
      <c r="AO63">
        <v>525</v>
      </c>
      <c r="AP63" s="705">
        <v>11050</v>
      </c>
      <c r="AQ63" s="705">
        <v>10045</v>
      </c>
      <c r="AR63">
        <v>0</v>
      </c>
      <c r="AS63">
        <v>0</v>
      </c>
      <c r="AT63" s="705">
        <v>42874</v>
      </c>
      <c r="AU63" s="705">
        <f t="shared" si="3"/>
        <v>42873</v>
      </c>
      <c r="AV63" s="705">
        <f t="shared" si="2"/>
        <v>50554</v>
      </c>
    </row>
    <row r="64" spans="2:48" ht="12.75" hidden="1" customHeight="1">
      <c r="B64" t="s">
        <v>527</v>
      </c>
      <c r="C64" t="s">
        <v>122</v>
      </c>
      <c r="D64" t="s">
        <v>228</v>
      </c>
      <c r="E64" t="s">
        <v>228</v>
      </c>
      <c r="F64" s="705">
        <v>14</v>
      </c>
      <c r="G64" s="705">
        <v>886</v>
      </c>
      <c r="H64" s="705">
        <v>5641</v>
      </c>
      <c r="I64" s="705">
        <v>210796</v>
      </c>
      <c r="J64" s="705">
        <v>78072</v>
      </c>
      <c r="K64" s="705">
        <v>100</v>
      </c>
      <c r="L64" s="705">
        <v>29290</v>
      </c>
      <c r="M64" s="705">
        <v>24521</v>
      </c>
      <c r="N64" s="705">
        <v>14833</v>
      </c>
      <c r="O64" s="705">
        <v>5494</v>
      </c>
      <c r="P64" s="705">
        <v>351</v>
      </c>
      <c r="Q64" s="705">
        <v>130</v>
      </c>
      <c r="R64" s="705">
        <v>100661</v>
      </c>
      <c r="S64" s="705">
        <v>37282</v>
      </c>
      <c r="T64" s="705">
        <v>0</v>
      </c>
      <c r="U64" s="705">
        <v>0</v>
      </c>
      <c r="V64" s="705">
        <v>145499</v>
      </c>
      <c r="W64" s="705">
        <f t="shared" si="0"/>
        <v>145499</v>
      </c>
      <c r="X64" s="705">
        <f t="shared" si="1"/>
        <v>355931</v>
      </c>
      <c r="Y64" s="705"/>
      <c r="AA64" t="s">
        <v>114</v>
      </c>
      <c r="AB64" t="s">
        <v>228</v>
      </c>
      <c r="AC64" t="s">
        <v>228</v>
      </c>
      <c r="AD64">
        <v>395</v>
      </c>
      <c r="AE64" s="705">
        <v>35180</v>
      </c>
      <c r="AF64" s="705">
        <v>55168</v>
      </c>
      <c r="AG64" s="705">
        <v>1805975</v>
      </c>
      <c r="AH64" s="705">
        <v>668880</v>
      </c>
      <c r="AI64">
        <v>308</v>
      </c>
      <c r="AJ64" s="705">
        <v>377309</v>
      </c>
      <c r="AK64" s="705">
        <v>296562</v>
      </c>
      <c r="AL64" s="705">
        <v>582901</v>
      </c>
      <c r="AM64" s="705">
        <v>215889</v>
      </c>
      <c r="AN64" s="705">
        <v>200861</v>
      </c>
      <c r="AO64" s="705">
        <v>74393</v>
      </c>
      <c r="AP64" s="705">
        <v>1990765</v>
      </c>
      <c r="AQ64" s="705">
        <v>737320</v>
      </c>
      <c r="AR64" s="705">
        <v>16138</v>
      </c>
      <c r="AS64" s="705">
        <v>5977</v>
      </c>
      <c r="AT64" s="705">
        <v>1999021</v>
      </c>
      <c r="AU64" s="705">
        <f t="shared" si="3"/>
        <v>1999021</v>
      </c>
      <c r="AV64" s="705">
        <f t="shared" si="2"/>
        <v>4973949</v>
      </c>
    </row>
    <row r="65" spans="2:48" ht="12.75" hidden="1" customHeight="1">
      <c r="B65" t="s">
        <v>527</v>
      </c>
      <c r="C65" t="s">
        <v>122</v>
      </c>
      <c r="D65" t="s">
        <v>583</v>
      </c>
      <c r="E65" t="s">
        <v>583</v>
      </c>
      <c r="F65">
        <v>115</v>
      </c>
      <c r="G65" s="705">
        <v>10395</v>
      </c>
      <c r="H65" s="705">
        <v>47221</v>
      </c>
      <c r="I65" s="705">
        <v>2664275</v>
      </c>
      <c r="J65" s="705">
        <v>2422069</v>
      </c>
      <c r="K65" s="705">
        <v>75</v>
      </c>
      <c r="L65" s="705">
        <v>564868</v>
      </c>
      <c r="M65" s="705">
        <v>479879</v>
      </c>
      <c r="N65" s="705">
        <v>219101</v>
      </c>
      <c r="O65" s="705">
        <v>81149</v>
      </c>
      <c r="P65" s="705">
        <v>71847</v>
      </c>
      <c r="Q65" s="705">
        <v>26610</v>
      </c>
      <c r="R65" s="705">
        <v>564117</v>
      </c>
      <c r="S65" s="705">
        <v>512834</v>
      </c>
      <c r="T65" s="705">
        <v>208385</v>
      </c>
      <c r="U65" s="705">
        <v>77180</v>
      </c>
      <c r="V65" s="705">
        <v>3599719</v>
      </c>
      <c r="W65" s="705">
        <f t="shared" si="0"/>
        <v>3599721</v>
      </c>
      <c r="X65" s="705">
        <f t="shared" si="1"/>
        <v>4292593</v>
      </c>
      <c r="Y65" s="705"/>
      <c r="AA65" t="s">
        <v>114</v>
      </c>
      <c r="AB65" t="s">
        <v>228</v>
      </c>
      <c r="AC65" t="s">
        <v>584</v>
      </c>
      <c r="AD65">
        <v>4</v>
      </c>
      <c r="AE65">
        <v>760</v>
      </c>
      <c r="AF65">
        <v>567</v>
      </c>
      <c r="AG65" s="705">
        <v>71674</v>
      </c>
      <c r="AH65" s="705">
        <v>26546</v>
      </c>
      <c r="AI65">
        <v>138</v>
      </c>
      <c r="AJ65" s="705">
        <v>8772</v>
      </c>
      <c r="AK65" s="705">
        <v>6634</v>
      </c>
      <c r="AL65" s="705">
        <v>11151</v>
      </c>
      <c r="AM65" s="705">
        <v>4130</v>
      </c>
      <c r="AN65" s="705">
        <v>1296</v>
      </c>
      <c r="AO65">
        <v>480</v>
      </c>
      <c r="AP65" s="705">
        <v>19629</v>
      </c>
      <c r="AQ65" s="705">
        <v>17845</v>
      </c>
      <c r="AR65">
        <v>0</v>
      </c>
      <c r="AS65">
        <v>0</v>
      </c>
      <c r="AT65" s="705">
        <v>55634</v>
      </c>
      <c r="AU65" s="705">
        <f t="shared" si="3"/>
        <v>55635</v>
      </c>
      <c r="AV65" s="705">
        <f t="shared" si="2"/>
        <v>112522</v>
      </c>
    </row>
    <row r="66" spans="2:48" ht="12.75" hidden="1" customHeight="1">
      <c r="B66" t="s">
        <v>527</v>
      </c>
      <c r="C66" t="s">
        <v>122</v>
      </c>
      <c r="D66" t="s">
        <v>666</v>
      </c>
      <c r="E66" t="s">
        <v>666</v>
      </c>
      <c r="F66">
        <v>6</v>
      </c>
      <c r="G66" s="705">
        <v>508</v>
      </c>
      <c r="H66" s="705">
        <v>2392</v>
      </c>
      <c r="I66" s="705">
        <v>126695</v>
      </c>
      <c r="J66" s="705">
        <v>115177</v>
      </c>
      <c r="K66" s="705">
        <v>47</v>
      </c>
      <c r="L66" s="705">
        <v>11467</v>
      </c>
      <c r="M66" s="705">
        <v>9729</v>
      </c>
      <c r="N66" s="705">
        <v>12299</v>
      </c>
      <c r="O66" s="705">
        <v>4555</v>
      </c>
      <c r="P66" s="705">
        <v>2106</v>
      </c>
      <c r="Q66" s="705">
        <v>780</v>
      </c>
      <c r="R66" s="705">
        <v>36096</v>
      </c>
      <c r="S66" s="705">
        <v>32815</v>
      </c>
      <c r="T66" s="705">
        <v>14591</v>
      </c>
      <c r="U66" s="705">
        <v>5404</v>
      </c>
      <c r="V66" s="705">
        <v>168460</v>
      </c>
      <c r="W66" s="705">
        <f t="shared" si="0"/>
        <v>168460</v>
      </c>
      <c r="X66" s="705">
        <f t="shared" si="1"/>
        <v>203254</v>
      </c>
      <c r="Y66" s="705"/>
      <c r="AA66" t="s">
        <v>114</v>
      </c>
      <c r="AB66" t="s">
        <v>583</v>
      </c>
      <c r="AC66" t="s">
        <v>664</v>
      </c>
      <c r="AD66">
        <v>6</v>
      </c>
      <c r="AE66">
        <v>904</v>
      </c>
      <c r="AF66">
        <v>847</v>
      </c>
      <c r="AG66" s="705">
        <v>71015</v>
      </c>
      <c r="AH66" s="705">
        <v>64559</v>
      </c>
      <c r="AI66">
        <v>89</v>
      </c>
      <c r="AJ66" s="705">
        <v>9808</v>
      </c>
      <c r="AK66" s="705">
        <v>9959</v>
      </c>
      <c r="AL66" s="705">
        <v>14901</v>
      </c>
      <c r="AM66" s="705">
        <v>5519</v>
      </c>
      <c r="AN66" s="705">
        <v>4077</v>
      </c>
      <c r="AO66" s="705">
        <v>1510</v>
      </c>
      <c r="AP66" s="705">
        <v>31230</v>
      </c>
      <c r="AQ66" s="705">
        <v>28391</v>
      </c>
      <c r="AR66">
        <v>0</v>
      </c>
      <c r="AS66">
        <v>0</v>
      </c>
      <c r="AT66" s="705">
        <v>109937</v>
      </c>
      <c r="AU66" s="705">
        <f t="shared" si="3"/>
        <v>109938</v>
      </c>
      <c r="AV66" s="705">
        <f t="shared" si="2"/>
        <v>131031</v>
      </c>
    </row>
    <row r="67" spans="2:48" ht="12.75" hidden="1" customHeight="1">
      <c r="B67" t="s">
        <v>527</v>
      </c>
      <c r="C67" t="s">
        <v>122</v>
      </c>
      <c r="D67" t="s">
        <v>584</v>
      </c>
      <c r="E67" t="s">
        <v>228</v>
      </c>
      <c r="F67">
        <v>3</v>
      </c>
      <c r="G67" s="705">
        <v>295</v>
      </c>
      <c r="H67" s="705">
        <v>1267</v>
      </c>
      <c r="I67" s="705">
        <v>77206</v>
      </c>
      <c r="J67" s="705">
        <v>70187</v>
      </c>
      <c r="K67" s="705">
        <v>75</v>
      </c>
      <c r="L67" s="705">
        <v>22286</v>
      </c>
      <c r="M67" s="705">
        <v>18571</v>
      </c>
      <c r="N67" s="705">
        <v>6516</v>
      </c>
      <c r="O67" s="705">
        <v>2413</v>
      </c>
      <c r="P67" s="705">
        <v>1418</v>
      </c>
      <c r="Q67" s="705">
        <v>525</v>
      </c>
      <c r="R67" s="705">
        <v>16134</v>
      </c>
      <c r="S67" s="705">
        <v>5976</v>
      </c>
      <c r="T67" s="705">
        <v>0</v>
      </c>
      <c r="U67" s="705">
        <v>0</v>
      </c>
      <c r="V67" s="705">
        <v>97673</v>
      </c>
      <c r="W67" s="705">
        <f t="shared" si="0"/>
        <v>97672</v>
      </c>
      <c r="X67" s="705">
        <f t="shared" si="1"/>
        <v>123560</v>
      </c>
      <c r="Y67" s="705"/>
      <c r="AA67" t="s">
        <v>114</v>
      </c>
      <c r="AB67" t="s">
        <v>583</v>
      </c>
      <c r="AC67" t="s">
        <v>228</v>
      </c>
      <c r="AD67" s="705">
        <v>5</v>
      </c>
      <c r="AE67" s="705">
        <v>705</v>
      </c>
      <c r="AF67" s="705">
        <v>675</v>
      </c>
      <c r="AG67" s="705">
        <v>50507</v>
      </c>
      <c r="AH67" s="705">
        <v>45915</v>
      </c>
      <c r="AI67">
        <v>92</v>
      </c>
      <c r="AJ67" s="705">
        <v>12137</v>
      </c>
      <c r="AK67" s="705">
        <v>10850</v>
      </c>
      <c r="AL67" s="705">
        <v>11719</v>
      </c>
      <c r="AM67" s="705">
        <v>4340</v>
      </c>
      <c r="AN67" s="705">
        <v>3456</v>
      </c>
      <c r="AO67" s="705">
        <v>1280</v>
      </c>
      <c r="AP67" s="705">
        <v>20723</v>
      </c>
      <c r="AQ67" s="705">
        <v>7675</v>
      </c>
      <c r="AR67" s="705">
        <v>0</v>
      </c>
      <c r="AS67" s="705">
        <v>0</v>
      </c>
      <c r="AT67" s="705">
        <v>70061</v>
      </c>
      <c r="AU67" s="705">
        <f t="shared" si="3"/>
        <v>70060</v>
      </c>
      <c r="AV67" s="705">
        <f t="shared" si="2"/>
        <v>98542</v>
      </c>
    </row>
    <row r="68" spans="2:48" ht="12.75" hidden="1" customHeight="1">
      <c r="B68" t="s">
        <v>527</v>
      </c>
      <c r="C68" t="s">
        <v>122</v>
      </c>
      <c r="D68" t="s">
        <v>584</v>
      </c>
      <c r="E68" s="705" t="s">
        <v>584</v>
      </c>
      <c r="F68" s="705">
        <v>53</v>
      </c>
      <c r="G68" s="705">
        <v>4448</v>
      </c>
      <c r="H68" s="705">
        <v>22076</v>
      </c>
      <c r="I68" s="705">
        <v>1137265</v>
      </c>
      <c r="J68" s="705">
        <v>1033877</v>
      </c>
      <c r="K68" s="705">
        <v>77</v>
      </c>
      <c r="L68" s="705">
        <v>295633</v>
      </c>
      <c r="M68" s="705">
        <v>255658</v>
      </c>
      <c r="N68" s="705">
        <v>93187</v>
      </c>
      <c r="O68" s="705">
        <v>34514</v>
      </c>
      <c r="P68" s="705">
        <v>25043</v>
      </c>
      <c r="Q68" s="705">
        <v>9275</v>
      </c>
      <c r="R68" s="705">
        <v>246826</v>
      </c>
      <c r="S68" s="705">
        <v>224388</v>
      </c>
      <c r="T68" s="705">
        <v>54721</v>
      </c>
      <c r="U68" s="705">
        <v>20267</v>
      </c>
      <c r="V68" s="705">
        <v>1577979</v>
      </c>
      <c r="W68" s="705">
        <f t="shared" si="0"/>
        <v>1577979</v>
      </c>
      <c r="X68" s="705">
        <f t="shared" si="1"/>
        <v>1852675</v>
      </c>
      <c r="Y68" s="705"/>
      <c r="AA68" t="s">
        <v>114</v>
      </c>
      <c r="AB68" t="s">
        <v>583</v>
      </c>
      <c r="AC68" t="s">
        <v>583</v>
      </c>
      <c r="AD68" s="705">
        <v>6933</v>
      </c>
      <c r="AE68" s="705">
        <v>754198</v>
      </c>
      <c r="AF68" s="705">
        <v>975003</v>
      </c>
      <c r="AG68" s="705">
        <v>48186571</v>
      </c>
      <c r="AH68" s="705">
        <v>43805973</v>
      </c>
      <c r="AI68">
        <v>91</v>
      </c>
      <c r="AJ68" s="705">
        <v>11038891</v>
      </c>
      <c r="AK68" s="705">
        <v>9778708</v>
      </c>
      <c r="AL68" s="705">
        <v>13358715</v>
      </c>
      <c r="AM68" s="705">
        <v>4947672</v>
      </c>
      <c r="AN68" s="705">
        <v>4474454</v>
      </c>
      <c r="AO68" s="705">
        <v>1657205</v>
      </c>
      <c r="AP68" s="705">
        <v>29093861</v>
      </c>
      <c r="AQ68" s="705">
        <v>26448965</v>
      </c>
      <c r="AR68" s="705">
        <v>1310865</v>
      </c>
      <c r="AS68" s="705">
        <v>485506</v>
      </c>
      <c r="AT68" s="705">
        <v>87124029</v>
      </c>
      <c r="AU68" s="705">
        <f t="shared" si="3"/>
        <v>87124029</v>
      </c>
      <c r="AV68" s="705">
        <f t="shared" si="2"/>
        <v>107463357</v>
      </c>
    </row>
    <row r="69" spans="2:48" ht="12.75" hidden="1" customHeight="1">
      <c r="B69" t="s">
        <v>527</v>
      </c>
      <c r="C69" t="s">
        <v>122</v>
      </c>
      <c r="D69" t="s">
        <v>669</v>
      </c>
      <c r="E69" t="s">
        <v>228</v>
      </c>
      <c r="F69">
        <v>1</v>
      </c>
      <c r="G69">
        <v>108</v>
      </c>
      <c r="H69" s="705">
        <v>443</v>
      </c>
      <c r="I69" s="705">
        <v>35020</v>
      </c>
      <c r="J69" s="705">
        <v>29183</v>
      </c>
      <c r="K69" s="705">
        <v>65</v>
      </c>
      <c r="L69" s="705">
        <v>5620</v>
      </c>
      <c r="M69" s="705">
        <v>4684</v>
      </c>
      <c r="N69" s="705">
        <v>1433</v>
      </c>
      <c r="O69">
        <v>531</v>
      </c>
      <c r="P69">
        <v>351</v>
      </c>
      <c r="Q69" s="705">
        <v>130</v>
      </c>
      <c r="R69" s="705">
        <v>5361</v>
      </c>
      <c r="S69" s="705">
        <v>1986</v>
      </c>
      <c r="T69">
        <v>0</v>
      </c>
      <c r="U69" s="705">
        <v>0</v>
      </c>
      <c r="V69" s="705">
        <v>36513</v>
      </c>
      <c r="W69" s="705">
        <f t="shared" si="0"/>
        <v>36514</v>
      </c>
      <c r="X69" s="705">
        <f t="shared" si="1"/>
        <v>47785</v>
      </c>
      <c r="Y69" s="705"/>
      <c r="AA69" t="s">
        <v>114</v>
      </c>
      <c r="AB69" t="s">
        <v>583</v>
      </c>
      <c r="AC69" t="s">
        <v>666</v>
      </c>
      <c r="AD69">
        <v>1</v>
      </c>
      <c r="AE69">
        <v>134</v>
      </c>
      <c r="AF69">
        <v>146</v>
      </c>
      <c r="AG69" s="705">
        <v>8075</v>
      </c>
      <c r="AH69" s="705">
        <v>7341</v>
      </c>
      <c r="AI69">
        <v>94</v>
      </c>
      <c r="AJ69" s="705">
        <v>2811</v>
      </c>
      <c r="AK69" s="705">
        <v>2556</v>
      </c>
      <c r="AL69" s="705">
        <v>2735</v>
      </c>
      <c r="AM69" s="705">
        <v>1013</v>
      </c>
      <c r="AN69">
        <v>621</v>
      </c>
      <c r="AO69">
        <v>230</v>
      </c>
      <c r="AP69" s="705">
        <v>5386</v>
      </c>
      <c r="AQ69" s="705">
        <v>4896</v>
      </c>
      <c r="AR69">
        <v>0</v>
      </c>
      <c r="AS69">
        <v>0</v>
      </c>
      <c r="AT69" s="705">
        <v>16036</v>
      </c>
      <c r="AU69" s="705">
        <f t="shared" si="3"/>
        <v>16036</v>
      </c>
      <c r="AV69" s="705">
        <f t="shared" si="2"/>
        <v>19628</v>
      </c>
    </row>
    <row r="70" spans="2:48" ht="12.75" hidden="1" customHeight="1">
      <c r="B70" t="s">
        <v>527</v>
      </c>
      <c r="C70" t="s">
        <v>122</v>
      </c>
      <c r="D70" t="s">
        <v>669</v>
      </c>
      <c r="E70" t="s">
        <v>583</v>
      </c>
      <c r="F70">
        <v>1</v>
      </c>
      <c r="G70" s="705">
        <v>110</v>
      </c>
      <c r="H70" s="705">
        <v>422</v>
      </c>
      <c r="I70" s="705">
        <v>33425</v>
      </c>
      <c r="J70" s="705">
        <v>27854</v>
      </c>
      <c r="K70" s="705">
        <v>60</v>
      </c>
      <c r="L70" s="705">
        <v>2985</v>
      </c>
      <c r="M70" s="705">
        <v>2714</v>
      </c>
      <c r="N70" s="705">
        <v>2485</v>
      </c>
      <c r="O70" s="705">
        <v>920</v>
      </c>
      <c r="P70" s="705">
        <v>621</v>
      </c>
      <c r="Q70" s="705">
        <v>230</v>
      </c>
      <c r="R70" s="705">
        <v>4630</v>
      </c>
      <c r="S70" s="705">
        <v>4209</v>
      </c>
      <c r="T70" s="705">
        <v>2103</v>
      </c>
      <c r="U70" s="705">
        <v>779</v>
      </c>
      <c r="V70" s="705">
        <v>36706</v>
      </c>
      <c r="W70" s="705">
        <f t="shared" si="0"/>
        <v>36706</v>
      </c>
      <c r="X70" s="705">
        <f t="shared" si="1"/>
        <v>46249</v>
      </c>
      <c r="Y70" s="705"/>
      <c r="AA70" t="s">
        <v>114</v>
      </c>
      <c r="AB70" t="s">
        <v>583</v>
      </c>
      <c r="AC70" t="s">
        <v>584</v>
      </c>
      <c r="AD70">
        <v>3</v>
      </c>
      <c r="AE70">
        <v>363</v>
      </c>
      <c r="AF70">
        <v>439</v>
      </c>
      <c r="AG70" s="705">
        <v>27823</v>
      </c>
      <c r="AH70" s="705">
        <v>25294</v>
      </c>
      <c r="AI70">
        <v>92</v>
      </c>
      <c r="AJ70" s="705">
        <v>7117</v>
      </c>
      <c r="AK70" s="705">
        <v>5355</v>
      </c>
      <c r="AL70" s="705">
        <v>7273</v>
      </c>
      <c r="AM70" s="705">
        <v>2694</v>
      </c>
      <c r="AN70" s="705">
        <v>3969</v>
      </c>
      <c r="AO70" s="705">
        <v>1470</v>
      </c>
      <c r="AP70" s="705">
        <v>10723</v>
      </c>
      <c r="AQ70" s="705">
        <v>9748</v>
      </c>
      <c r="AR70" s="705">
        <v>0</v>
      </c>
      <c r="AS70">
        <v>0</v>
      </c>
      <c r="AT70" s="705">
        <v>44561</v>
      </c>
      <c r="AU70" s="705">
        <f t="shared" si="3"/>
        <v>44561</v>
      </c>
      <c r="AV70" s="705">
        <f t="shared" si="2"/>
        <v>56905</v>
      </c>
    </row>
    <row r="71" spans="2:48" ht="12.75" hidden="1" customHeight="1">
      <c r="B71" t="s">
        <v>527</v>
      </c>
      <c r="C71" t="s">
        <v>122</v>
      </c>
      <c r="D71" t="s">
        <v>669</v>
      </c>
      <c r="E71" t="s">
        <v>669</v>
      </c>
      <c r="F71">
        <v>7</v>
      </c>
      <c r="G71" s="705">
        <v>563</v>
      </c>
      <c r="H71" s="705">
        <v>2903</v>
      </c>
      <c r="I71" s="705">
        <v>146714</v>
      </c>
      <c r="J71" s="705">
        <v>122261</v>
      </c>
      <c r="K71" s="705">
        <v>53</v>
      </c>
      <c r="L71" s="705">
        <v>16544</v>
      </c>
      <c r="M71" s="705">
        <v>14173</v>
      </c>
      <c r="N71" s="705">
        <v>11910</v>
      </c>
      <c r="O71" s="705">
        <v>4411</v>
      </c>
      <c r="P71" s="705">
        <v>2106</v>
      </c>
      <c r="Q71" s="705">
        <v>780</v>
      </c>
      <c r="R71" s="705">
        <v>42071</v>
      </c>
      <c r="S71" s="705">
        <v>35059</v>
      </c>
      <c r="T71" s="705">
        <v>13462</v>
      </c>
      <c r="U71" s="705">
        <v>4986</v>
      </c>
      <c r="V71" s="705">
        <v>181671</v>
      </c>
      <c r="W71" s="705">
        <f t="shared" ref="W71:W134" si="4">SUM(ABS(J71),ABS(M71),ABS(O71),ABS(Q71),ABS(S71),ABS(U71))</f>
        <v>181670</v>
      </c>
      <c r="X71" s="705">
        <f t="shared" ref="X71:X134" si="5">SUM(ABS(I71),ABS(N71),ABS(P71),ABS(R71),ABS(T71),ABS(L71))</f>
        <v>232807</v>
      </c>
      <c r="Y71" s="705"/>
      <c r="AA71" t="s">
        <v>114</v>
      </c>
      <c r="AB71" t="s">
        <v>583</v>
      </c>
      <c r="AC71" t="s">
        <v>669</v>
      </c>
      <c r="AD71">
        <v>2</v>
      </c>
      <c r="AE71">
        <v>216</v>
      </c>
      <c r="AF71">
        <v>280</v>
      </c>
      <c r="AG71" s="705">
        <v>12957</v>
      </c>
      <c r="AH71" s="705">
        <v>11779</v>
      </c>
      <c r="AI71">
        <v>92</v>
      </c>
      <c r="AJ71" s="705">
        <v>4213</v>
      </c>
      <c r="AK71" s="705">
        <v>3830</v>
      </c>
      <c r="AL71" s="705">
        <v>2879</v>
      </c>
      <c r="AM71" s="705">
        <v>1066</v>
      </c>
      <c r="AN71" s="705">
        <v>1944</v>
      </c>
      <c r="AO71">
        <v>720</v>
      </c>
      <c r="AP71" s="705">
        <v>8260</v>
      </c>
      <c r="AQ71" s="705">
        <v>6884</v>
      </c>
      <c r="AR71">
        <v>0</v>
      </c>
      <c r="AS71">
        <v>0</v>
      </c>
      <c r="AT71" s="705">
        <v>24279</v>
      </c>
      <c r="AU71" s="705">
        <f t="shared" si="3"/>
        <v>24279</v>
      </c>
      <c r="AV71" s="705">
        <f t="shared" ref="AV71:AV134" si="6">SUM(ABS(AG71),ABS(AJ71),ABS(AL71),ABS(AN71),ABS(AP71),ABS(AR71))</f>
        <v>30253</v>
      </c>
    </row>
    <row r="72" spans="2:48" ht="12.75" hidden="1" customHeight="1">
      <c r="B72" t="s">
        <v>527</v>
      </c>
      <c r="C72" t="s">
        <v>122</v>
      </c>
      <c r="D72" t="s">
        <v>665</v>
      </c>
      <c r="E72" t="s">
        <v>228</v>
      </c>
      <c r="F72">
        <v>1</v>
      </c>
      <c r="G72">
        <v>50</v>
      </c>
      <c r="H72" s="705">
        <v>419</v>
      </c>
      <c r="I72" s="705">
        <v>15858</v>
      </c>
      <c r="J72" s="705">
        <v>14417</v>
      </c>
      <c r="K72" s="705">
        <v>60</v>
      </c>
      <c r="L72">
        <v>0</v>
      </c>
      <c r="M72" s="705">
        <v>0</v>
      </c>
      <c r="N72" s="705">
        <v>1224</v>
      </c>
      <c r="O72">
        <v>453</v>
      </c>
      <c r="P72" s="705">
        <v>0</v>
      </c>
      <c r="Q72" s="705">
        <v>0</v>
      </c>
      <c r="R72" s="705">
        <v>3953</v>
      </c>
      <c r="S72" s="705">
        <v>1464</v>
      </c>
      <c r="T72" s="705">
        <v>0</v>
      </c>
      <c r="U72" s="705">
        <v>0</v>
      </c>
      <c r="V72" s="705">
        <v>16334</v>
      </c>
      <c r="W72" s="705">
        <f t="shared" si="4"/>
        <v>16334</v>
      </c>
      <c r="X72" s="705">
        <f t="shared" si="5"/>
        <v>21035</v>
      </c>
      <c r="Y72" s="705"/>
      <c r="AA72" t="s">
        <v>114</v>
      </c>
      <c r="AB72" t="s">
        <v>583</v>
      </c>
      <c r="AC72" t="s">
        <v>667</v>
      </c>
      <c r="AD72">
        <v>1</v>
      </c>
      <c r="AE72">
        <v>101</v>
      </c>
      <c r="AF72">
        <v>135</v>
      </c>
      <c r="AG72" s="705">
        <v>6250</v>
      </c>
      <c r="AH72" s="705">
        <v>5682</v>
      </c>
      <c r="AI72">
        <v>95</v>
      </c>
      <c r="AJ72" s="705">
        <v>1616</v>
      </c>
      <c r="AK72">
        <v>598</v>
      </c>
      <c r="AL72" s="705">
        <v>1354</v>
      </c>
      <c r="AM72" s="705">
        <v>501</v>
      </c>
      <c r="AN72">
        <v>621</v>
      </c>
      <c r="AO72">
        <v>230</v>
      </c>
      <c r="AP72" s="705">
        <v>3770</v>
      </c>
      <c r="AQ72" s="705">
        <v>3427</v>
      </c>
      <c r="AR72">
        <v>0</v>
      </c>
      <c r="AS72">
        <v>0</v>
      </c>
      <c r="AT72" s="705">
        <v>10439</v>
      </c>
      <c r="AU72" s="705">
        <f t="shared" ref="AU72:AU135" si="7">SUM(ABS(AH72), ABS(AK72),ABS(AM72),ABS(AO72),ABS(AQ72),ABS(AS72))</f>
        <v>10438</v>
      </c>
      <c r="AV72" s="705">
        <f t="shared" si="6"/>
        <v>13611</v>
      </c>
    </row>
    <row r="73" spans="2:48" ht="12.75" hidden="1" customHeight="1">
      <c r="B73" t="s">
        <v>527</v>
      </c>
      <c r="C73" t="s">
        <v>122</v>
      </c>
      <c r="D73" t="s">
        <v>665</v>
      </c>
      <c r="E73" t="s">
        <v>669</v>
      </c>
      <c r="F73">
        <v>1</v>
      </c>
      <c r="G73">
        <v>78</v>
      </c>
      <c r="H73" s="705">
        <v>431</v>
      </c>
      <c r="I73" s="705">
        <v>21029</v>
      </c>
      <c r="J73" s="705">
        <v>19117</v>
      </c>
      <c r="K73">
        <v>65</v>
      </c>
      <c r="L73" s="705">
        <v>3728</v>
      </c>
      <c r="M73" s="705">
        <v>1381</v>
      </c>
      <c r="N73" s="705">
        <v>1498</v>
      </c>
      <c r="O73" s="705">
        <v>555</v>
      </c>
      <c r="P73" s="705">
        <v>351</v>
      </c>
      <c r="Q73" s="705">
        <v>130</v>
      </c>
      <c r="R73" s="705">
        <v>4661</v>
      </c>
      <c r="S73" s="705">
        <v>3884</v>
      </c>
      <c r="T73" s="705">
        <v>2270</v>
      </c>
      <c r="U73" s="705">
        <v>841</v>
      </c>
      <c r="V73" s="705">
        <v>25907</v>
      </c>
      <c r="W73" s="705">
        <f t="shared" si="4"/>
        <v>25908</v>
      </c>
      <c r="X73" s="705">
        <f t="shared" si="5"/>
        <v>33537</v>
      </c>
      <c r="Y73" s="705"/>
      <c r="AA73" t="s">
        <v>114</v>
      </c>
      <c r="AB73" t="s">
        <v>583</v>
      </c>
      <c r="AC73" t="s">
        <v>665</v>
      </c>
      <c r="AD73">
        <v>1</v>
      </c>
      <c r="AE73" s="705">
        <v>81</v>
      </c>
      <c r="AF73" s="705">
        <v>148</v>
      </c>
      <c r="AG73" s="705">
        <v>4993</v>
      </c>
      <c r="AH73" s="705">
        <v>4539</v>
      </c>
      <c r="AI73">
        <v>93</v>
      </c>
      <c r="AJ73">
        <v>814</v>
      </c>
      <c r="AK73">
        <v>740</v>
      </c>
      <c r="AL73" s="705">
        <v>1964</v>
      </c>
      <c r="AM73" s="705">
        <v>727</v>
      </c>
      <c r="AN73">
        <v>621</v>
      </c>
      <c r="AO73">
        <v>230</v>
      </c>
      <c r="AP73" s="705">
        <v>3500</v>
      </c>
      <c r="AQ73" s="705">
        <v>3182</v>
      </c>
      <c r="AR73">
        <v>0</v>
      </c>
      <c r="AS73">
        <v>0</v>
      </c>
      <c r="AT73" s="705">
        <v>9418</v>
      </c>
      <c r="AU73" s="705">
        <f t="shared" si="7"/>
        <v>9418</v>
      </c>
      <c r="AV73" s="705">
        <f t="shared" si="6"/>
        <v>11892</v>
      </c>
    </row>
    <row r="74" spans="2:48" ht="12.75" hidden="1" customHeight="1">
      <c r="B74" t="s">
        <v>527</v>
      </c>
      <c r="C74" t="s">
        <v>122</v>
      </c>
      <c r="D74" t="s">
        <v>665</v>
      </c>
      <c r="E74" t="s">
        <v>665</v>
      </c>
      <c r="F74">
        <v>54</v>
      </c>
      <c r="G74" s="705">
        <v>3927</v>
      </c>
      <c r="H74" s="705">
        <v>22598</v>
      </c>
      <c r="I74" s="705">
        <v>990985</v>
      </c>
      <c r="J74" s="705">
        <v>900895</v>
      </c>
      <c r="K74">
        <v>48</v>
      </c>
      <c r="L74" s="705">
        <v>123587</v>
      </c>
      <c r="M74" s="705">
        <v>112900</v>
      </c>
      <c r="N74" s="705">
        <v>72086</v>
      </c>
      <c r="O74" s="705">
        <v>26699</v>
      </c>
      <c r="P74" s="705">
        <v>18873</v>
      </c>
      <c r="Q74" s="705">
        <v>6990</v>
      </c>
      <c r="R74" s="705">
        <v>322707</v>
      </c>
      <c r="S74" s="705">
        <v>293370</v>
      </c>
      <c r="T74" s="705">
        <v>110083</v>
      </c>
      <c r="U74" s="705">
        <v>40772</v>
      </c>
      <c r="V74" s="705">
        <v>1381626</v>
      </c>
      <c r="W74" s="705">
        <f t="shared" si="4"/>
        <v>1381626</v>
      </c>
      <c r="X74" s="705">
        <f t="shared" si="5"/>
        <v>1638321</v>
      </c>
      <c r="Y74" s="705"/>
      <c r="AA74" t="s">
        <v>114</v>
      </c>
      <c r="AB74" t="s">
        <v>666</v>
      </c>
      <c r="AC74" t="s">
        <v>583</v>
      </c>
      <c r="AD74" s="705">
        <v>1</v>
      </c>
      <c r="AE74" s="705">
        <v>122</v>
      </c>
      <c r="AF74" s="705">
        <v>150</v>
      </c>
      <c r="AG74" s="705">
        <v>12235</v>
      </c>
      <c r="AH74" s="705">
        <v>11123</v>
      </c>
      <c r="AI74">
        <v>94</v>
      </c>
      <c r="AJ74" s="705">
        <v>0</v>
      </c>
      <c r="AK74" s="705">
        <v>0</v>
      </c>
      <c r="AL74" s="705">
        <v>1490</v>
      </c>
      <c r="AM74" s="705">
        <v>552</v>
      </c>
      <c r="AN74" s="705">
        <v>621</v>
      </c>
      <c r="AO74" s="705">
        <v>230</v>
      </c>
      <c r="AP74" s="705">
        <v>3953</v>
      </c>
      <c r="AQ74" s="705">
        <v>3594</v>
      </c>
      <c r="AR74" s="705">
        <v>0</v>
      </c>
      <c r="AS74" s="705">
        <v>0</v>
      </c>
      <c r="AT74" s="705">
        <v>15498</v>
      </c>
      <c r="AU74" s="705">
        <f t="shared" si="7"/>
        <v>15499</v>
      </c>
      <c r="AV74" s="705">
        <f t="shared" si="6"/>
        <v>18299</v>
      </c>
    </row>
    <row r="75" spans="2:48" ht="12.75" hidden="1" customHeight="1">
      <c r="B75" t="s">
        <v>527</v>
      </c>
      <c r="C75" t="s">
        <v>122</v>
      </c>
      <c r="D75" t="s">
        <v>673</v>
      </c>
      <c r="E75" t="s">
        <v>673</v>
      </c>
      <c r="F75">
        <v>1</v>
      </c>
      <c r="G75" s="705">
        <v>80</v>
      </c>
      <c r="H75" s="705">
        <v>411</v>
      </c>
      <c r="I75" s="705">
        <v>17817</v>
      </c>
      <c r="J75" s="705">
        <v>16197</v>
      </c>
      <c r="K75">
        <v>45</v>
      </c>
      <c r="L75" s="705">
        <v>2545</v>
      </c>
      <c r="M75" s="705">
        <v>2314</v>
      </c>
      <c r="N75" s="705">
        <v>1956</v>
      </c>
      <c r="O75" s="705">
        <v>724</v>
      </c>
      <c r="P75" s="705">
        <v>473</v>
      </c>
      <c r="Q75" s="705">
        <v>175</v>
      </c>
      <c r="R75" s="705">
        <v>7296</v>
      </c>
      <c r="S75" s="705">
        <v>6633</v>
      </c>
      <c r="T75" s="705">
        <v>2882</v>
      </c>
      <c r="U75" s="705">
        <v>1068</v>
      </c>
      <c r="V75" s="705">
        <v>27111</v>
      </c>
      <c r="W75" s="705">
        <f t="shared" si="4"/>
        <v>27111</v>
      </c>
      <c r="X75" s="705">
        <f t="shared" si="5"/>
        <v>32969</v>
      </c>
      <c r="Y75" s="705"/>
      <c r="AA75" t="s">
        <v>114</v>
      </c>
      <c r="AB75" t="s">
        <v>584</v>
      </c>
      <c r="AC75" t="s">
        <v>581</v>
      </c>
      <c r="AD75">
        <v>1</v>
      </c>
      <c r="AE75" s="705">
        <v>117</v>
      </c>
      <c r="AF75" s="705">
        <v>129</v>
      </c>
      <c r="AG75" s="705">
        <v>3601</v>
      </c>
      <c r="AH75" s="705">
        <v>3274</v>
      </c>
      <c r="AI75">
        <v>91</v>
      </c>
      <c r="AJ75">
        <v>0</v>
      </c>
      <c r="AK75" s="705">
        <v>1049</v>
      </c>
      <c r="AL75" s="705">
        <v>2133</v>
      </c>
      <c r="AM75" s="705">
        <v>790</v>
      </c>
      <c r="AN75">
        <v>473</v>
      </c>
      <c r="AO75">
        <v>175</v>
      </c>
      <c r="AP75" s="705">
        <v>8832</v>
      </c>
      <c r="AQ75" s="705">
        <v>3271</v>
      </c>
      <c r="AR75">
        <v>0</v>
      </c>
      <c r="AS75">
        <v>0</v>
      </c>
      <c r="AT75" s="705">
        <v>8559</v>
      </c>
      <c r="AU75" s="705">
        <f t="shared" si="7"/>
        <v>8559</v>
      </c>
      <c r="AV75" s="705">
        <f t="shared" si="6"/>
        <v>15039</v>
      </c>
    </row>
    <row r="76" spans="2:48" ht="12.75" hidden="1" customHeight="1">
      <c r="B76" t="s">
        <v>527</v>
      </c>
      <c r="C76" t="s">
        <v>124</v>
      </c>
      <c r="F76">
        <v>1</v>
      </c>
      <c r="G76">
        <v>188</v>
      </c>
      <c r="H76" s="705">
        <v>719</v>
      </c>
      <c r="I76" s="705"/>
      <c r="J76" s="705">
        <v>0</v>
      </c>
      <c r="K76" s="705"/>
      <c r="L76" s="705"/>
      <c r="M76" s="705">
        <v>0</v>
      </c>
      <c r="N76" s="705">
        <v>4585</v>
      </c>
      <c r="O76" s="705">
        <v>1698</v>
      </c>
      <c r="P76" s="705">
        <v>621</v>
      </c>
      <c r="Q76" s="705">
        <v>230</v>
      </c>
      <c r="R76" s="705"/>
      <c r="S76" s="705">
        <v>0</v>
      </c>
      <c r="T76" s="705">
        <v>3546</v>
      </c>
      <c r="U76" s="705">
        <v>1313</v>
      </c>
      <c r="V76" s="705">
        <v>3241</v>
      </c>
      <c r="W76" s="705">
        <f t="shared" si="4"/>
        <v>3241</v>
      </c>
      <c r="X76" s="705">
        <f t="shared" si="5"/>
        <v>8752</v>
      </c>
      <c r="Y76" s="705"/>
      <c r="AA76" t="s">
        <v>114</v>
      </c>
      <c r="AB76" t="s">
        <v>584</v>
      </c>
      <c r="AC76" t="s">
        <v>582</v>
      </c>
      <c r="AD76">
        <v>7</v>
      </c>
      <c r="AE76" s="705">
        <v>674</v>
      </c>
      <c r="AF76" s="705">
        <v>980</v>
      </c>
      <c r="AG76" s="705">
        <v>40396</v>
      </c>
      <c r="AH76" s="705">
        <v>36724</v>
      </c>
      <c r="AI76">
        <v>88</v>
      </c>
      <c r="AJ76" s="705">
        <v>7675</v>
      </c>
      <c r="AK76" s="705">
        <v>5040</v>
      </c>
      <c r="AL76" s="705">
        <v>11264</v>
      </c>
      <c r="AM76" s="705">
        <v>4172</v>
      </c>
      <c r="AN76" s="705">
        <v>3308</v>
      </c>
      <c r="AO76" s="705">
        <v>1225</v>
      </c>
      <c r="AP76" s="705">
        <v>26817</v>
      </c>
      <c r="AQ76" s="705">
        <v>24379</v>
      </c>
      <c r="AR76" s="705">
        <v>4769</v>
      </c>
      <c r="AS76" s="705">
        <v>1766</v>
      </c>
      <c r="AT76" s="705">
        <v>73306</v>
      </c>
      <c r="AU76" s="705">
        <f t="shared" si="7"/>
        <v>73306</v>
      </c>
      <c r="AV76" s="705">
        <f t="shared" si="6"/>
        <v>94229</v>
      </c>
    </row>
    <row r="77" spans="2:48" ht="12.75" hidden="1" customHeight="1">
      <c r="B77" t="s">
        <v>527</v>
      </c>
      <c r="C77" t="s">
        <v>124</v>
      </c>
      <c r="D77" t="s">
        <v>228</v>
      </c>
      <c r="E77" t="s">
        <v>228</v>
      </c>
      <c r="F77" s="705">
        <v>55</v>
      </c>
      <c r="G77" s="705">
        <v>4615</v>
      </c>
      <c r="H77" s="705">
        <v>34876</v>
      </c>
      <c r="I77" s="705">
        <v>2066702</v>
      </c>
      <c r="J77" s="705">
        <v>765445</v>
      </c>
      <c r="K77" s="705">
        <v>100</v>
      </c>
      <c r="L77" s="705">
        <v>351293</v>
      </c>
      <c r="M77" s="705">
        <v>279053</v>
      </c>
      <c r="N77" s="705">
        <v>99534</v>
      </c>
      <c r="O77" s="705">
        <v>36865</v>
      </c>
      <c r="P77" s="705">
        <v>0</v>
      </c>
      <c r="Q77" s="705">
        <v>0</v>
      </c>
      <c r="R77" s="705">
        <v>363528</v>
      </c>
      <c r="S77" s="705">
        <v>134640</v>
      </c>
      <c r="T77" s="705">
        <v>1459</v>
      </c>
      <c r="U77" s="705">
        <v>540</v>
      </c>
      <c r="V77" s="705">
        <v>1216543</v>
      </c>
      <c r="W77" s="705">
        <f t="shared" si="4"/>
        <v>1216543</v>
      </c>
      <c r="X77" s="705">
        <f t="shared" si="5"/>
        <v>2882516</v>
      </c>
      <c r="Y77" s="705"/>
      <c r="AA77" t="s">
        <v>114</v>
      </c>
      <c r="AB77" t="s">
        <v>584</v>
      </c>
      <c r="AC77" t="s">
        <v>228</v>
      </c>
      <c r="AD77">
        <v>11</v>
      </c>
      <c r="AE77" s="705">
        <v>1503</v>
      </c>
      <c r="AF77" s="705">
        <v>1501</v>
      </c>
      <c r="AG77" s="705">
        <v>118446</v>
      </c>
      <c r="AH77" s="705">
        <v>107678</v>
      </c>
      <c r="AI77">
        <v>90</v>
      </c>
      <c r="AJ77" s="705">
        <v>17693</v>
      </c>
      <c r="AK77" s="705">
        <v>14366</v>
      </c>
      <c r="AL77" s="705">
        <v>24000</v>
      </c>
      <c r="AM77" s="705">
        <v>8889</v>
      </c>
      <c r="AN77" s="705">
        <v>5198</v>
      </c>
      <c r="AO77" s="705">
        <v>1925</v>
      </c>
      <c r="AP77" s="705">
        <v>42977</v>
      </c>
      <c r="AQ77" s="705">
        <v>15917</v>
      </c>
      <c r="AR77" s="705">
        <v>0</v>
      </c>
      <c r="AS77" s="705">
        <v>0</v>
      </c>
      <c r="AT77" s="705">
        <v>148775</v>
      </c>
      <c r="AU77" s="705">
        <f t="shared" si="7"/>
        <v>148775</v>
      </c>
      <c r="AV77" s="705">
        <f t="shared" si="6"/>
        <v>208314</v>
      </c>
    </row>
    <row r="78" spans="2:48" ht="12.75" hidden="1" customHeight="1">
      <c r="B78" t="s">
        <v>527</v>
      </c>
      <c r="C78" t="s">
        <v>124</v>
      </c>
      <c r="D78" t="s">
        <v>228</v>
      </c>
      <c r="E78" t="s">
        <v>583</v>
      </c>
      <c r="F78">
        <v>1</v>
      </c>
      <c r="G78" s="705">
        <v>68</v>
      </c>
      <c r="H78" s="705">
        <v>800</v>
      </c>
      <c r="I78" s="705">
        <v>42014</v>
      </c>
      <c r="J78" s="705">
        <v>15561</v>
      </c>
      <c r="K78" s="705">
        <v>100</v>
      </c>
      <c r="L78" s="705">
        <v>3170</v>
      </c>
      <c r="M78" s="705">
        <v>2882</v>
      </c>
      <c r="N78" s="705">
        <v>829</v>
      </c>
      <c r="O78" s="705">
        <v>307</v>
      </c>
      <c r="P78" s="705">
        <v>270</v>
      </c>
      <c r="Q78" s="705">
        <v>100</v>
      </c>
      <c r="R78" s="705">
        <v>8191</v>
      </c>
      <c r="S78" s="705">
        <v>7446</v>
      </c>
      <c r="T78" s="705">
        <v>0</v>
      </c>
      <c r="U78" s="705">
        <v>0</v>
      </c>
      <c r="V78" s="705">
        <v>26296</v>
      </c>
      <c r="W78" s="705">
        <f t="shared" si="4"/>
        <v>26296</v>
      </c>
      <c r="X78" s="705">
        <f t="shared" si="5"/>
        <v>54474</v>
      </c>
      <c r="Y78" s="705"/>
      <c r="AA78" t="s">
        <v>114</v>
      </c>
      <c r="AB78" t="s">
        <v>584</v>
      </c>
      <c r="AC78" t="s">
        <v>583</v>
      </c>
      <c r="AD78">
        <v>7</v>
      </c>
      <c r="AE78">
        <v>843</v>
      </c>
      <c r="AF78" s="705">
        <v>930</v>
      </c>
      <c r="AG78" s="705">
        <v>63666</v>
      </c>
      <c r="AH78" s="705">
        <v>57878</v>
      </c>
      <c r="AI78">
        <v>89</v>
      </c>
      <c r="AJ78" s="705">
        <v>8456</v>
      </c>
      <c r="AK78" s="705">
        <v>7419</v>
      </c>
      <c r="AL78" s="705">
        <v>11859</v>
      </c>
      <c r="AM78" s="705">
        <v>4392</v>
      </c>
      <c r="AN78" s="705">
        <v>4509</v>
      </c>
      <c r="AO78" s="705">
        <v>1670</v>
      </c>
      <c r="AP78" s="705">
        <v>25424</v>
      </c>
      <c r="AQ78" s="705">
        <v>23112</v>
      </c>
      <c r="AR78">
        <v>0</v>
      </c>
      <c r="AS78">
        <v>0</v>
      </c>
      <c r="AT78" s="705">
        <v>94472</v>
      </c>
      <c r="AU78" s="705">
        <f t="shared" si="7"/>
        <v>94471</v>
      </c>
      <c r="AV78" s="705">
        <f t="shared" si="6"/>
        <v>113914</v>
      </c>
    </row>
    <row r="79" spans="2:48" ht="12.75" hidden="1" customHeight="1">
      <c r="B79" t="s">
        <v>527</v>
      </c>
      <c r="C79" t="s">
        <v>124</v>
      </c>
      <c r="D79" t="s">
        <v>228</v>
      </c>
      <c r="E79" t="s">
        <v>665</v>
      </c>
      <c r="F79">
        <v>7</v>
      </c>
      <c r="G79" s="705">
        <v>617</v>
      </c>
      <c r="H79" s="705">
        <v>4169</v>
      </c>
      <c r="I79" s="705">
        <v>254960</v>
      </c>
      <c r="J79" s="705">
        <v>94430</v>
      </c>
      <c r="K79" s="705">
        <v>100</v>
      </c>
      <c r="L79" s="705">
        <v>32835</v>
      </c>
      <c r="M79" s="705">
        <v>29850</v>
      </c>
      <c r="N79" s="705">
        <v>12462</v>
      </c>
      <c r="O79" s="705">
        <v>4616</v>
      </c>
      <c r="P79" s="705">
        <v>0</v>
      </c>
      <c r="Q79" s="705">
        <v>0</v>
      </c>
      <c r="R79" s="705">
        <v>53650</v>
      </c>
      <c r="S79" s="705">
        <v>48773</v>
      </c>
      <c r="T79" s="705">
        <v>10803</v>
      </c>
      <c r="U79" s="705">
        <v>4001</v>
      </c>
      <c r="V79" s="705">
        <v>181669</v>
      </c>
      <c r="W79" s="705">
        <f t="shared" si="4"/>
        <v>181670</v>
      </c>
      <c r="X79" s="705">
        <f t="shared" si="5"/>
        <v>364710</v>
      </c>
      <c r="Y79" s="705"/>
      <c r="AA79" t="s">
        <v>114</v>
      </c>
      <c r="AB79" t="s">
        <v>584</v>
      </c>
      <c r="AC79" t="s">
        <v>666</v>
      </c>
      <c r="AD79">
        <v>1</v>
      </c>
      <c r="AE79">
        <v>253</v>
      </c>
      <c r="AF79">
        <v>146</v>
      </c>
      <c r="AG79" s="705">
        <v>20365</v>
      </c>
      <c r="AH79" s="705">
        <v>18514</v>
      </c>
      <c r="AI79">
        <v>93</v>
      </c>
      <c r="AJ79" s="705">
        <v>6630</v>
      </c>
      <c r="AK79" s="705">
        <v>6027</v>
      </c>
      <c r="AL79" s="705">
        <v>3086</v>
      </c>
      <c r="AM79" s="705">
        <v>1143</v>
      </c>
      <c r="AN79" s="705">
        <v>1175</v>
      </c>
      <c r="AO79">
        <v>435</v>
      </c>
      <c r="AP79" s="705">
        <v>5704</v>
      </c>
      <c r="AQ79" s="705">
        <v>5185</v>
      </c>
      <c r="AR79">
        <v>0</v>
      </c>
      <c r="AS79">
        <v>0</v>
      </c>
      <c r="AT79" s="705">
        <v>31304</v>
      </c>
      <c r="AU79" s="705">
        <f t="shared" si="7"/>
        <v>31304</v>
      </c>
      <c r="AV79" s="705">
        <f t="shared" si="6"/>
        <v>36960</v>
      </c>
    </row>
    <row r="80" spans="2:48" ht="12.75" hidden="1" customHeight="1">
      <c r="B80" t="s">
        <v>527</v>
      </c>
      <c r="C80" t="s">
        <v>124</v>
      </c>
      <c r="D80" t="s">
        <v>583</v>
      </c>
      <c r="E80" s="705" t="s">
        <v>228</v>
      </c>
      <c r="F80" s="705">
        <v>2</v>
      </c>
      <c r="G80" s="705">
        <v>159</v>
      </c>
      <c r="H80" s="705">
        <v>960</v>
      </c>
      <c r="I80" s="705">
        <v>43530</v>
      </c>
      <c r="J80" s="705">
        <v>39573</v>
      </c>
      <c r="K80" s="705">
        <v>86</v>
      </c>
      <c r="L80" s="705">
        <v>13651</v>
      </c>
      <c r="M80" s="705">
        <v>11807</v>
      </c>
      <c r="N80" s="705">
        <v>3874</v>
      </c>
      <c r="O80" s="705">
        <v>1435</v>
      </c>
      <c r="P80" s="705">
        <v>1242</v>
      </c>
      <c r="Q80" s="705">
        <v>460</v>
      </c>
      <c r="R80" s="705">
        <v>14017</v>
      </c>
      <c r="S80" s="705">
        <v>5191</v>
      </c>
      <c r="T80" s="705">
        <v>0</v>
      </c>
      <c r="U80" s="705">
        <v>0</v>
      </c>
      <c r="V80" s="705">
        <v>58466</v>
      </c>
      <c r="W80" s="705">
        <f t="shared" si="4"/>
        <v>58466</v>
      </c>
      <c r="X80" s="705">
        <f t="shared" si="5"/>
        <v>76314</v>
      </c>
      <c r="Y80" s="705"/>
      <c r="AA80" t="s">
        <v>114</v>
      </c>
      <c r="AB80" t="s">
        <v>584</v>
      </c>
      <c r="AC80" t="s">
        <v>584</v>
      </c>
      <c r="AD80" s="705">
        <v>18699</v>
      </c>
      <c r="AE80" s="705">
        <v>2046559</v>
      </c>
      <c r="AF80" s="705">
        <v>2621927</v>
      </c>
      <c r="AG80" s="705">
        <v>135404195</v>
      </c>
      <c r="AH80" s="705">
        <v>123094722</v>
      </c>
      <c r="AI80">
        <v>87</v>
      </c>
      <c r="AJ80" s="705">
        <v>27445768</v>
      </c>
      <c r="AK80" s="705">
        <v>23230602</v>
      </c>
      <c r="AL80" s="705">
        <v>38023034</v>
      </c>
      <c r="AM80" s="705">
        <v>14082605</v>
      </c>
      <c r="AN80" s="705">
        <v>9248962</v>
      </c>
      <c r="AO80" s="705">
        <v>3425542</v>
      </c>
      <c r="AP80" s="705">
        <v>80138037</v>
      </c>
      <c r="AQ80" s="705">
        <v>72852760</v>
      </c>
      <c r="AR80" s="705">
        <v>2554322</v>
      </c>
      <c r="AS80" s="705">
        <v>946045</v>
      </c>
      <c r="AT80" s="705">
        <v>237632275</v>
      </c>
      <c r="AU80" s="705">
        <f t="shared" si="7"/>
        <v>237632276</v>
      </c>
      <c r="AV80" s="705">
        <f t="shared" si="6"/>
        <v>292814318</v>
      </c>
    </row>
    <row r="81" spans="2:48" ht="12.75" hidden="1" customHeight="1">
      <c r="B81" t="s">
        <v>527</v>
      </c>
      <c r="C81" t="s">
        <v>124</v>
      </c>
      <c r="D81" t="s">
        <v>583</v>
      </c>
      <c r="E81" t="s">
        <v>583</v>
      </c>
      <c r="F81">
        <v>84</v>
      </c>
      <c r="G81" s="705">
        <v>7044</v>
      </c>
      <c r="H81" s="705">
        <v>45332</v>
      </c>
      <c r="I81" s="705">
        <v>2576746</v>
      </c>
      <c r="J81" s="705">
        <v>2342497</v>
      </c>
      <c r="K81" s="705">
        <v>72</v>
      </c>
      <c r="L81" s="705">
        <v>549175</v>
      </c>
      <c r="M81" s="705">
        <v>461837</v>
      </c>
      <c r="N81" s="705">
        <v>150256</v>
      </c>
      <c r="O81" s="705">
        <v>55650</v>
      </c>
      <c r="P81" s="705">
        <v>53136</v>
      </c>
      <c r="Q81" s="705">
        <v>19680</v>
      </c>
      <c r="R81" s="705">
        <v>429984</v>
      </c>
      <c r="S81" s="705">
        <v>390894</v>
      </c>
      <c r="T81" s="705">
        <v>144193</v>
      </c>
      <c r="U81" s="705">
        <v>53405</v>
      </c>
      <c r="V81" s="705">
        <v>3323963</v>
      </c>
      <c r="W81" s="705">
        <f t="shared" si="4"/>
        <v>3323963</v>
      </c>
      <c r="X81" s="705">
        <f t="shared" si="5"/>
        <v>3903490</v>
      </c>
      <c r="Y81" s="705"/>
      <c r="AA81" t="s">
        <v>114</v>
      </c>
      <c r="AB81" t="s">
        <v>584</v>
      </c>
      <c r="AC81" t="s">
        <v>671</v>
      </c>
      <c r="AD81" s="705">
        <v>1</v>
      </c>
      <c r="AE81" s="705">
        <v>169</v>
      </c>
      <c r="AF81" s="705">
        <v>140</v>
      </c>
      <c r="AG81" s="705">
        <v>11663</v>
      </c>
      <c r="AH81" s="705">
        <v>10603</v>
      </c>
      <c r="AI81">
        <v>91</v>
      </c>
      <c r="AJ81" s="705">
        <v>3909</v>
      </c>
      <c r="AK81" s="705">
        <v>3554</v>
      </c>
      <c r="AL81" s="705">
        <v>2055</v>
      </c>
      <c r="AM81" s="705">
        <v>761</v>
      </c>
      <c r="AN81" s="705">
        <v>473</v>
      </c>
      <c r="AO81" s="705">
        <v>175</v>
      </c>
      <c r="AP81" s="705">
        <v>5495</v>
      </c>
      <c r="AQ81" s="705">
        <v>4996</v>
      </c>
      <c r="AR81" s="705">
        <v>0</v>
      </c>
      <c r="AS81" s="705">
        <v>0</v>
      </c>
      <c r="AT81" s="705">
        <v>20089</v>
      </c>
      <c r="AU81" s="705">
        <f t="shared" si="7"/>
        <v>20089</v>
      </c>
      <c r="AV81" s="705">
        <f t="shared" si="6"/>
        <v>23595</v>
      </c>
    </row>
    <row r="82" spans="2:48" ht="12.75" hidden="1" customHeight="1">
      <c r="B82" t="s">
        <v>527</v>
      </c>
      <c r="C82" t="s">
        <v>124</v>
      </c>
      <c r="D82" t="s">
        <v>584</v>
      </c>
      <c r="E82" t="s">
        <v>228</v>
      </c>
      <c r="F82">
        <v>1</v>
      </c>
      <c r="G82" s="705">
        <v>63</v>
      </c>
      <c r="H82" s="705">
        <v>565</v>
      </c>
      <c r="I82" s="705">
        <v>22127</v>
      </c>
      <c r="J82" s="705">
        <v>20116</v>
      </c>
      <c r="K82" s="705">
        <v>65</v>
      </c>
      <c r="L82" s="705">
        <v>7597</v>
      </c>
      <c r="M82" s="705">
        <v>6906</v>
      </c>
      <c r="N82" s="705">
        <v>1349</v>
      </c>
      <c r="O82" s="705">
        <v>500</v>
      </c>
      <c r="P82" s="705">
        <v>473</v>
      </c>
      <c r="Q82" s="705">
        <v>175</v>
      </c>
      <c r="R82" s="705">
        <v>3814</v>
      </c>
      <c r="S82" s="705">
        <v>1413</v>
      </c>
      <c r="T82" s="705">
        <v>0</v>
      </c>
      <c r="U82" s="705">
        <v>0</v>
      </c>
      <c r="V82" s="705">
        <v>29109</v>
      </c>
      <c r="W82" s="705">
        <f t="shared" si="4"/>
        <v>29110</v>
      </c>
      <c r="X82" s="705">
        <f t="shared" si="5"/>
        <v>35360</v>
      </c>
      <c r="Y82" s="705"/>
      <c r="AA82" t="s">
        <v>114</v>
      </c>
      <c r="AB82" t="s">
        <v>584</v>
      </c>
      <c r="AC82" t="s">
        <v>665</v>
      </c>
      <c r="AD82">
        <v>2</v>
      </c>
      <c r="AE82">
        <v>247</v>
      </c>
      <c r="AF82">
        <v>270</v>
      </c>
      <c r="AG82" s="705">
        <v>13083</v>
      </c>
      <c r="AH82" s="705">
        <v>11894</v>
      </c>
      <c r="AI82">
        <v>91</v>
      </c>
      <c r="AJ82" s="705">
        <v>4196</v>
      </c>
      <c r="AK82" s="705">
        <v>3815</v>
      </c>
      <c r="AL82" s="705">
        <v>6018</v>
      </c>
      <c r="AM82" s="705">
        <v>2229</v>
      </c>
      <c r="AN82">
        <v>945</v>
      </c>
      <c r="AO82">
        <v>350</v>
      </c>
      <c r="AP82" s="705">
        <v>9161</v>
      </c>
      <c r="AQ82" s="705">
        <v>8328</v>
      </c>
      <c r="AR82" s="705">
        <v>0</v>
      </c>
      <c r="AS82">
        <v>0</v>
      </c>
      <c r="AT82" s="705">
        <v>26616</v>
      </c>
      <c r="AU82" s="705">
        <f t="shared" si="7"/>
        <v>26616</v>
      </c>
      <c r="AV82" s="705">
        <f t="shared" si="6"/>
        <v>33403</v>
      </c>
    </row>
    <row r="83" spans="2:48" ht="12.75" hidden="1" customHeight="1">
      <c r="B83" t="s">
        <v>527</v>
      </c>
      <c r="C83" t="s">
        <v>124</v>
      </c>
      <c r="D83" t="s">
        <v>584</v>
      </c>
      <c r="E83" t="s">
        <v>584</v>
      </c>
      <c r="F83">
        <v>19</v>
      </c>
      <c r="G83" s="705">
        <v>1677</v>
      </c>
      <c r="H83" s="705">
        <v>9951</v>
      </c>
      <c r="I83" s="705">
        <v>552931</v>
      </c>
      <c r="J83" s="705">
        <v>502665</v>
      </c>
      <c r="K83" s="705">
        <v>73</v>
      </c>
      <c r="L83" s="705">
        <v>154450</v>
      </c>
      <c r="M83" s="705">
        <v>137943</v>
      </c>
      <c r="N83" s="705">
        <v>37316</v>
      </c>
      <c r="O83" s="705">
        <v>13821</v>
      </c>
      <c r="P83" s="705">
        <v>9126</v>
      </c>
      <c r="Q83" s="705">
        <v>3380</v>
      </c>
      <c r="R83" s="705">
        <v>92769</v>
      </c>
      <c r="S83" s="705">
        <v>84335</v>
      </c>
      <c r="T83" s="705">
        <v>32178</v>
      </c>
      <c r="U83" s="705">
        <v>11918</v>
      </c>
      <c r="V83" s="705">
        <v>754062</v>
      </c>
      <c r="W83" s="705">
        <f t="shared" si="4"/>
        <v>754062</v>
      </c>
      <c r="X83" s="705">
        <f t="shared" si="5"/>
        <v>878770</v>
      </c>
      <c r="Y83" s="705"/>
      <c r="AA83" t="s">
        <v>114</v>
      </c>
      <c r="AB83" t="s">
        <v>584</v>
      </c>
      <c r="AC83" t="s">
        <v>673</v>
      </c>
      <c r="AD83">
        <v>2</v>
      </c>
      <c r="AE83">
        <v>213</v>
      </c>
      <c r="AF83">
        <v>299</v>
      </c>
      <c r="AG83" s="705">
        <v>15847</v>
      </c>
      <c r="AH83" s="705">
        <v>14406</v>
      </c>
      <c r="AI83">
        <v>79</v>
      </c>
      <c r="AJ83" s="705">
        <v>4620</v>
      </c>
      <c r="AK83" s="705">
        <v>4200</v>
      </c>
      <c r="AL83" s="705">
        <v>2592</v>
      </c>
      <c r="AM83">
        <v>960</v>
      </c>
      <c r="AN83">
        <v>945</v>
      </c>
      <c r="AO83">
        <v>350</v>
      </c>
      <c r="AP83" s="705">
        <v>7765</v>
      </c>
      <c r="AQ83" s="705">
        <v>7059</v>
      </c>
      <c r="AR83" s="705">
        <v>0</v>
      </c>
      <c r="AS83" s="705">
        <v>0</v>
      </c>
      <c r="AT83" s="705">
        <v>26975</v>
      </c>
      <c r="AU83" s="705">
        <f t="shared" si="7"/>
        <v>26975</v>
      </c>
      <c r="AV83" s="705">
        <f t="shared" si="6"/>
        <v>31769</v>
      </c>
    </row>
    <row r="84" spans="2:48" ht="12.75" hidden="1" customHeight="1">
      <c r="B84" t="s">
        <v>527</v>
      </c>
      <c r="C84" t="s">
        <v>124</v>
      </c>
      <c r="D84" t="s">
        <v>669</v>
      </c>
      <c r="E84" t="s">
        <v>228</v>
      </c>
      <c r="F84">
        <v>5</v>
      </c>
      <c r="G84" s="705">
        <v>576</v>
      </c>
      <c r="H84" s="705">
        <v>5629</v>
      </c>
      <c r="I84" s="705">
        <v>599565</v>
      </c>
      <c r="J84" s="705">
        <v>499637</v>
      </c>
      <c r="K84" s="705">
        <v>30</v>
      </c>
      <c r="L84" s="705">
        <v>29406</v>
      </c>
      <c r="M84" s="705">
        <v>12506</v>
      </c>
      <c r="N84" s="705">
        <v>13821</v>
      </c>
      <c r="O84" s="705">
        <v>5119</v>
      </c>
      <c r="P84" s="705">
        <v>0</v>
      </c>
      <c r="Q84" s="705">
        <v>0</v>
      </c>
      <c r="R84" s="705">
        <v>27041</v>
      </c>
      <c r="S84" s="705">
        <v>10015</v>
      </c>
      <c r="T84" s="705">
        <v>0</v>
      </c>
      <c r="U84" s="705">
        <v>0</v>
      </c>
      <c r="V84" s="705">
        <v>527277</v>
      </c>
      <c r="W84" s="705">
        <f t="shared" si="4"/>
        <v>527277</v>
      </c>
      <c r="X84" s="705">
        <f t="shared" si="5"/>
        <v>669833</v>
      </c>
      <c r="Y84" s="705"/>
      <c r="AA84" t="s">
        <v>114</v>
      </c>
      <c r="AB84" t="s">
        <v>669</v>
      </c>
      <c r="AC84" t="s">
        <v>584</v>
      </c>
      <c r="AD84">
        <v>1</v>
      </c>
      <c r="AE84">
        <v>127</v>
      </c>
      <c r="AF84">
        <v>139</v>
      </c>
      <c r="AG84" s="705">
        <v>8852</v>
      </c>
      <c r="AH84" s="705">
        <v>7377</v>
      </c>
      <c r="AI84">
        <v>90</v>
      </c>
      <c r="AJ84" s="705">
        <v>1354</v>
      </c>
      <c r="AK84" s="705">
        <v>1231</v>
      </c>
      <c r="AL84" s="705">
        <v>2235</v>
      </c>
      <c r="AM84">
        <v>828</v>
      </c>
      <c r="AN84">
        <v>473</v>
      </c>
      <c r="AO84">
        <v>175</v>
      </c>
      <c r="AP84" s="705">
        <v>4699</v>
      </c>
      <c r="AQ84" s="705">
        <v>4272</v>
      </c>
      <c r="AR84">
        <v>0</v>
      </c>
      <c r="AS84">
        <v>0</v>
      </c>
      <c r="AT84" s="705">
        <v>13882</v>
      </c>
      <c r="AU84" s="705">
        <f t="shared" si="7"/>
        <v>13883</v>
      </c>
      <c r="AV84" s="705">
        <f t="shared" si="6"/>
        <v>17613</v>
      </c>
    </row>
    <row r="85" spans="2:48" ht="12.75" hidden="1" customHeight="1">
      <c r="B85" t="s">
        <v>527</v>
      </c>
      <c r="C85" t="s">
        <v>124</v>
      </c>
      <c r="D85" t="s">
        <v>669</v>
      </c>
      <c r="E85" t="s">
        <v>669</v>
      </c>
      <c r="F85">
        <v>12</v>
      </c>
      <c r="G85">
        <v>943</v>
      </c>
      <c r="H85" s="705">
        <v>8231</v>
      </c>
      <c r="I85" s="705">
        <v>454511</v>
      </c>
      <c r="J85" s="705">
        <v>378759</v>
      </c>
      <c r="K85">
        <v>52</v>
      </c>
      <c r="L85" s="705">
        <v>74635</v>
      </c>
      <c r="M85" s="705">
        <v>51410</v>
      </c>
      <c r="N85" s="705">
        <v>18747</v>
      </c>
      <c r="O85" s="705">
        <v>6943</v>
      </c>
      <c r="P85" s="705">
        <v>3861</v>
      </c>
      <c r="Q85" s="705">
        <v>1430</v>
      </c>
      <c r="R85" s="705">
        <v>66578</v>
      </c>
      <c r="S85" s="705">
        <v>55482</v>
      </c>
      <c r="T85" s="705">
        <v>25496</v>
      </c>
      <c r="U85" s="705">
        <v>9443</v>
      </c>
      <c r="V85" s="705">
        <v>503467</v>
      </c>
      <c r="W85" s="705">
        <f t="shared" si="4"/>
        <v>503467</v>
      </c>
      <c r="X85" s="705">
        <f t="shared" si="5"/>
        <v>643828</v>
      </c>
      <c r="Y85" s="705"/>
      <c r="AA85" t="s">
        <v>114</v>
      </c>
      <c r="AB85" t="s">
        <v>665</v>
      </c>
      <c r="AC85" t="s">
        <v>665</v>
      </c>
      <c r="AD85">
        <v>5</v>
      </c>
      <c r="AE85">
        <v>409</v>
      </c>
      <c r="AF85">
        <v>709</v>
      </c>
      <c r="AG85" s="705">
        <v>30927</v>
      </c>
      <c r="AH85" s="705">
        <v>28116</v>
      </c>
      <c r="AI85">
        <v>74</v>
      </c>
      <c r="AJ85" s="705">
        <v>988</v>
      </c>
      <c r="AK85" s="705">
        <v>567</v>
      </c>
      <c r="AL85" s="705">
        <v>5083</v>
      </c>
      <c r="AM85" s="705">
        <v>1883</v>
      </c>
      <c r="AN85" s="705">
        <v>2295</v>
      </c>
      <c r="AO85">
        <v>850</v>
      </c>
      <c r="AP85" s="705">
        <v>15144</v>
      </c>
      <c r="AQ85" s="705">
        <v>13767</v>
      </c>
      <c r="AR85" s="705">
        <v>2842</v>
      </c>
      <c r="AS85" s="705">
        <v>1053</v>
      </c>
      <c r="AT85" s="705">
        <v>46235</v>
      </c>
      <c r="AU85" s="705">
        <f t="shared" si="7"/>
        <v>46236</v>
      </c>
      <c r="AV85" s="705">
        <f t="shared" si="6"/>
        <v>57279</v>
      </c>
    </row>
    <row r="86" spans="2:48" ht="12.75" hidden="1" customHeight="1">
      <c r="B86" t="s">
        <v>527</v>
      </c>
      <c r="C86" t="s">
        <v>124</v>
      </c>
      <c r="D86" t="s">
        <v>667</v>
      </c>
      <c r="E86" t="s">
        <v>667</v>
      </c>
      <c r="F86">
        <v>2</v>
      </c>
      <c r="G86">
        <v>161</v>
      </c>
      <c r="H86" s="705">
        <v>1110</v>
      </c>
      <c r="I86" s="705">
        <v>77363</v>
      </c>
      <c r="J86" s="705">
        <v>70330</v>
      </c>
      <c r="K86">
        <v>55</v>
      </c>
      <c r="L86" s="705">
        <v>6211</v>
      </c>
      <c r="M86" s="705">
        <v>5646</v>
      </c>
      <c r="N86" s="705">
        <v>3780</v>
      </c>
      <c r="O86" s="705">
        <v>1400</v>
      </c>
      <c r="P86" s="705">
        <v>702</v>
      </c>
      <c r="Q86" s="705">
        <v>260</v>
      </c>
      <c r="R86" s="705">
        <v>9505</v>
      </c>
      <c r="S86" s="705">
        <v>8641</v>
      </c>
      <c r="T86" s="705">
        <v>4646</v>
      </c>
      <c r="U86" s="705">
        <v>1721</v>
      </c>
      <c r="V86" s="705">
        <v>87997</v>
      </c>
      <c r="W86" s="705">
        <f t="shared" si="4"/>
        <v>87998</v>
      </c>
      <c r="X86" s="705">
        <f t="shared" si="5"/>
        <v>102207</v>
      </c>
      <c r="Y86" s="705"/>
      <c r="AA86" t="s">
        <v>114</v>
      </c>
      <c r="AB86" t="s">
        <v>673</v>
      </c>
      <c r="AC86" t="s">
        <v>673</v>
      </c>
      <c r="AD86">
        <v>1</v>
      </c>
      <c r="AE86">
        <v>159</v>
      </c>
      <c r="AF86">
        <v>131</v>
      </c>
      <c r="AG86" s="705">
        <v>11440</v>
      </c>
      <c r="AH86" s="705">
        <v>10400</v>
      </c>
      <c r="AI86">
        <v>81</v>
      </c>
      <c r="AJ86" s="705">
        <v>0</v>
      </c>
      <c r="AK86">
        <v>0</v>
      </c>
      <c r="AL86" s="705">
        <v>2089</v>
      </c>
      <c r="AM86">
        <v>774</v>
      </c>
      <c r="AN86">
        <v>351</v>
      </c>
      <c r="AO86">
        <v>130</v>
      </c>
      <c r="AP86" s="705">
        <v>3754</v>
      </c>
      <c r="AQ86" s="705">
        <v>3413</v>
      </c>
      <c r="AR86" s="705">
        <v>3114</v>
      </c>
      <c r="AS86" s="705">
        <v>1154</v>
      </c>
      <c r="AT86" s="705">
        <v>15870</v>
      </c>
      <c r="AU86" s="705">
        <f t="shared" si="7"/>
        <v>15871</v>
      </c>
      <c r="AV86" s="705">
        <f t="shared" si="6"/>
        <v>20748</v>
      </c>
    </row>
    <row r="87" spans="2:48" ht="12.75" hidden="1" customHeight="1">
      <c r="B87" t="s">
        <v>527</v>
      </c>
      <c r="C87" t="s">
        <v>124</v>
      </c>
      <c r="D87" t="s">
        <v>671</v>
      </c>
      <c r="E87" t="s">
        <v>671</v>
      </c>
      <c r="F87" s="705">
        <v>1</v>
      </c>
      <c r="G87" s="705">
        <v>64</v>
      </c>
      <c r="H87" s="705">
        <v>710</v>
      </c>
      <c r="I87" s="705">
        <v>29716</v>
      </c>
      <c r="J87" s="705">
        <v>27015</v>
      </c>
      <c r="K87" s="705">
        <v>45</v>
      </c>
      <c r="L87" s="705">
        <v>4953</v>
      </c>
      <c r="M87" s="705">
        <v>4502</v>
      </c>
      <c r="N87" s="705">
        <v>1547</v>
      </c>
      <c r="O87" s="705">
        <v>573</v>
      </c>
      <c r="P87" s="705">
        <v>351</v>
      </c>
      <c r="Q87" s="705">
        <v>130</v>
      </c>
      <c r="R87" s="705">
        <v>5874</v>
      </c>
      <c r="S87" s="705">
        <v>5340</v>
      </c>
      <c r="T87" s="705">
        <v>2652</v>
      </c>
      <c r="U87" s="705">
        <v>982</v>
      </c>
      <c r="V87" s="705">
        <v>38542</v>
      </c>
      <c r="W87" s="705">
        <f t="shared" si="4"/>
        <v>38542</v>
      </c>
      <c r="X87" s="705">
        <f t="shared" si="5"/>
        <v>45093</v>
      </c>
      <c r="Y87" s="705"/>
      <c r="AA87" t="s">
        <v>114</v>
      </c>
      <c r="AB87" t="s">
        <v>585</v>
      </c>
      <c r="AC87" t="s">
        <v>585</v>
      </c>
      <c r="AD87">
        <v>38</v>
      </c>
      <c r="AE87" s="705">
        <v>3754</v>
      </c>
      <c r="AF87" s="705">
        <v>5272</v>
      </c>
      <c r="AG87" s="705">
        <v>258160</v>
      </c>
      <c r="AH87" s="705">
        <v>234691</v>
      </c>
      <c r="AI87">
        <v>88</v>
      </c>
      <c r="AJ87" s="705">
        <v>70008</v>
      </c>
      <c r="AK87" s="705">
        <v>63030</v>
      </c>
      <c r="AL87" s="705">
        <v>75119</v>
      </c>
      <c r="AM87" s="705">
        <v>27822</v>
      </c>
      <c r="AN87" s="705">
        <v>14094</v>
      </c>
      <c r="AO87" s="705">
        <v>5220</v>
      </c>
      <c r="AP87" s="705">
        <v>106626</v>
      </c>
      <c r="AQ87" s="705">
        <v>96933</v>
      </c>
      <c r="AR87" s="705">
        <v>0</v>
      </c>
      <c r="AS87">
        <v>0</v>
      </c>
      <c r="AT87" s="705">
        <v>427697</v>
      </c>
      <c r="AU87" s="705">
        <f t="shared" si="7"/>
        <v>427696</v>
      </c>
      <c r="AV87" s="705">
        <f t="shared" si="6"/>
        <v>524007</v>
      </c>
    </row>
    <row r="88" spans="2:48" ht="12.75" hidden="1" customHeight="1">
      <c r="B88" t="s">
        <v>527</v>
      </c>
      <c r="C88" t="s">
        <v>124</v>
      </c>
      <c r="D88" t="s">
        <v>665</v>
      </c>
      <c r="E88" t="s">
        <v>228</v>
      </c>
      <c r="F88">
        <v>4</v>
      </c>
      <c r="G88" s="705">
        <v>498</v>
      </c>
      <c r="H88" s="705">
        <v>3982</v>
      </c>
      <c r="I88" s="705">
        <v>390268</v>
      </c>
      <c r="J88" s="705">
        <v>354789</v>
      </c>
      <c r="K88" s="705">
        <v>30</v>
      </c>
      <c r="L88" s="705">
        <v>50804</v>
      </c>
      <c r="M88" s="705">
        <v>25626</v>
      </c>
      <c r="N88" s="705">
        <v>10087</v>
      </c>
      <c r="O88" s="705">
        <v>3736</v>
      </c>
      <c r="P88" s="705">
        <v>0</v>
      </c>
      <c r="Q88" s="705">
        <v>0</v>
      </c>
      <c r="R88" s="705">
        <v>50280</v>
      </c>
      <c r="S88" s="705">
        <v>18622</v>
      </c>
      <c r="T88" s="705">
        <v>0</v>
      </c>
      <c r="U88" s="705">
        <v>0</v>
      </c>
      <c r="V88" s="705">
        <v>402773</v>
      </c>
      <c r="W88" s="705">
        <f t="shared" si="4"/>
        <v>402773</v>
      </c>
      <c r="X88" s="705">
        <f t="shared" si="5"/>
        <v>501439</v>
      </c>
      <c r="Y88" s="705"/>
      <c r="AA88" t="s">
        <v>114</v>
      </c>
      <c r="AB88" t="s">
        <v>668</v>
      </c>
      <c r="AC88" t="s">
        <v>668</v>
      </c>
      <c r="AD88">
        <v>2</v>
      </c>
      <c r="AE88">
        <v>195</v>
      </c>
      <c r="AF88">
        <v>276</v>
      </c>
      <c r="AG88" s="705">
        <v>14486</v>
      </c>
      <c r="AH88" s="705">
        <v>13169</v>
      </c>
      <c r="AI88">
        <v>77</v>
      </c>
      <c r="AJ88" s="705">
        <v>1830</v>
      </c>
      <c r="AK88" s="705">
        <v>1663</v>
      </c>
      <c r="AL88" s="705">
        <v>4040</v>
      </c>
      <c r="AM88" s="705">
        <v>1496</v>
      </c>
      <c r="AN88" s="705">
        <v>2396</v>
      </c>
      <c r="AO88">
        <v>887</v>
      </c>
      <c r="AP88" s="705">
        <v>4222</v>
      </c>
      <c r="AQ88" s="705">
        <v>3838</v>
      </c>
      <c r="AR88">
        <v>0</v>
      </c>
      <c r="AS88">
        <v>0</v>
      </c>
      <c r="AT88" s="705">
        <v>21055</v>
      </c>
      <c r="AU88" s="705">
        <f t="shared" si="7"/>
        <v>21053</v>
      </c>
      <c r="AV88" s="705">
        <f t="shared" si="6"/>
        <v>26974</v>
      </c>
    </row>
    <row r="89" spans="2:48" ht="12.75" hidden="1" customHeight="1">
      <c r="B89" t="s">
        <v>527</v>
      </c>
      <c r="C89" t="s">
        <v>124</v>
      </c>
      <c r="D89" t="s">
        <v>665</v>
      </c>
      <c r="E89" t="s">
        <v>665</v>
      </c>
      <c r="F89" s="705">
        <v>46</v>
      </c>
      <c r="G89" s="705">
        <v>3668</v>
      </c>
      <c r="H89" s="705">
        <v>28872</v>
      </c>
      <c r="I89" s="705">
        <v>1697608</v>
      </c>
      <c r="J89" s="705">
        <v>1543280</v>
      </c>
      <c r="K89">
        <v>49</v>
      </c>
      <c r="L89" s="705">
        <v>200916</v>
      </c>
      <c r="M89" s="705">
        <v>175894</v>
      </c>
      <c r="N89" s="705">
        <v>75616</v>
      </c>
      <c r="O89" s="705">
        <v>28006</v>
      </c>
      <c r="P89" s="705">
        <v>14742</v>
      </c>
      <c r="Q89" s="705">
        <v>5460</v>
      </c>
      <c r="R89" s="705">
        <v>273891</v>
      </c>
      <c r="S89" s="705">
        <v>248991</v>
      </c>
      <c r="T89" s="705">
        <v>84001</v>
      </c>
      <c r="U89" s="705">
        <v>31112</v>
      </c>
      <c r="V89" s="705">
        <v>2032744</v>
      </c>
      <c r="W89" s="705">
        <f t="shared" si="4"/>
        <v>2032743</v>
      </c>
      <c r="X89" s="705">
        <f t="shared" si="5"/>
        <v>2346774</v>
      </c>
      <c r="Y89" s="705"/>
      <c r="AA89" t="s">
        <v>116</v>
      </c>
      <c r="AD89">
        <v>234</v>
      </c>
      <c r="AE89" s="705">
        <v>17011</v>
      </c>
      <c r="AF89" s="705">
        <v>44094</v>
      </c>
      <c r="AG89" s="705"/>
      <c r="AH89" s="705">
        <v>0</v>
      </c>
      <c r="AJ89" s="705"/>
      <c r="AK89" s="705">
        <v>0</v>
      </c>
      <c r="AL89" s="705">
        <v>323426</v>
      </c>
      <c r="AM89" s="705">
        <v>119788</v>
      </c>
      <c r="AN89" s="705">
        <v>78071</v>
      </c>
      <c r="AO89" s="705">
        <v>28915</v>
      </c>
      <c r="AP89" s="705"/>
      <c r="AQ89" s="705">
        <v>0</v>
      </c>
      <c r="AR89" s="705">
        <v>56971</v>
      </c>
      <c r="AS89" s="705">
        <v>21100</v>
      </c>
      <c r="AT89" s="705">
        <v>169803</v>
      </c>
      <c r="AU89" s="705">
        <f t="shared" si="7"/>
        <v>169803</v>
      </c>
      <c r="AV89" s="705">
        <f t="shared" si="6"/>
        <v>458468</v>
      </c>
    </row>
    <row r="90" spans="2:48" ht="12.75" hidden="1" customHeight="1">
      <c r="B90" t="s">
        <v>527</v>
      </c>
      <c r="C90" t="s">
        <v>124</v>
      </c>
      <c r="D90" t="s">
        <v>665</v>
      </c>
      <c r="E90" t="s">
        <v>722</v>
      </c>
      <c r="F90" s="705">
        <v>1</v>
      </c>
      <c r="G90" s="705">
        <v>78</v>
      </c>
      <c r="H90" s="705">
        <v>633</v>
      </c>
      <c r="I90" s="705">
        <v>31143</v>
      </c>
      <c r="J90" s="705">
        <v>28312</v>
      </c>
      <c r="K90" s="705">
        <v>45</v>
      </c>
      <c r="L90" s="705">
        <v>5190</v>
      </c>
      <c r="M90" s="705">
        <v>4719</v>
      </c>
      <c r="N90" s="705">
        <v>1526</v>
      </c>
      <c r="O90" s="705">
        <v>565</v>
      </c>
      <c r="P90" s="705">
        <v>351</v>
      </c>
      <c r="Q90" s="705">
        <v>130</v>
      </c>
      <c r="R90" s="705">
        <v>11304</v>
      </c>
      <c r="S90" s="705">
        <v>10277</v>
      </c>
      <c r="T90" s="705">
        <v>0</v>
      </c>
      <c r="U90" s="705">
        <v>0</v>
      </c>
      <c r="V90" s="705">
        <v>44002</v>
      </c>
      <c r="W90" s="705">
        <f t="shared" si="4"/>
        <v>44003</v>
      </c>
      <c r="X90" s="705">
        <f t="shared" si="5"/>
        <v>49514</v>
      </c>
      <c r="Y90" s="705"/>
      <c r="AA90" t="s">
        <v>116</v>
      </c>
      <c r="AB90" t="s">
        <v>664</v>
      </c>
      <c r="AC90" t="s">
        <v>664</v>
      </c>
      <c r="AD90">
        <v>98</v>
      </c>
      <c r="AE90" s="705">
        <v>9728</v>
      </c>
      <c r="AF90" s="705">
        <v>17933</v>
      </c>
      <c r="AG90" s="705">
        <v>923765</v>
      </c>
      <c r="AH90" s="705">
        <v>839787</v>
      </c>
      <c r="AI90">
        <v>85</v>
      </c>
      <c r="AJ90" s="705">
        <v>188573</v>
      </c>
      <c r="AK90" s="705">
        <v>159363</v>
      </c>
      <c r="AL90" s="705">
        <v>184974</v>
      </c>
      <c r="AM90" s="705">
        <v>68509</v>
      </c>
      <c r="AN90" s="705">
        <v>47091</v>
      </c>
      <c r="AO90" s="705">
        <v>17441</v>
      </c>
      <c r="AP90" s="705">
        <v>413147</v>
      </c>
      <c r="AQ90" s="705">
        <v>375588</v>
      </c>
      <c r="AR90" s="705">
        <v>38171</v>
      </c>
      <c r="AS90" s="705">
        <v>14137</v>
      </c>
      <c r="AT90" s="705">
        <v>1474826</v>
      </c>
      <c r="AU90" s="705">
        <f t="shared" si="7"/>
        <v>1474825</v>
      </c>
      <c r="AV90" s="705">
        <f t="shared" si="6"/>
        <v>1795721</v>
      </c>
    </row>
    <row r="91" spans="2:48" ht="12.75" hidden="1" customHeight="1">
      <c r="B91" t="s">
        <v>527</v>
      </c>
      <c r="C91" t="s">
        <v>124</v>
      </c>
      <c r="D91" t="s">
        <v>673</v>
      </c>
      <c r="E91" t="s">
        <v>673</v>
      </c>
      <c r="F91">
        <v>1</v>
      </c>
      <c r="G91">
        <v>68</v>
      </c>
      <c r="H91" s="705">
        <v>630</v>
      </c>
      <c r="I91" s="705">
        <v>34681</v>
      </c>
      <c r="J91" s="705">
        <v>31528</v>
      </c>
      <c r="K91" s="705">
        <v>55</v>
      </c>
      <c r="L91" s="705">
        <v>0</v>
      </c>
      <c r="M91" s="705">
        <v>0</v>
      </c>
      <c r="N91" s="705">
        <v>1066</v>
      </c>
      <c r="O91" s="705">
        <v>395</v>
      </c>
      <c r="P91">
        <v>351</v>
      </c>
      <c r="Q91" s="705">
        <v>130</v>
      </c>
      <c r="R91" s="705">
        <v>4642</v>
      </c>
      <c r="S91" s="705">
        <v>4220</v>
      </c>
      <c r="T91" s="705">
        <v>2000</v>
      </c>
      <c r="U91" s="705">
        <v>741</v>
      </c>
      <c r="V91" s="705">
        <v>37014</v>
      </c>
      <c r="W91" s="705">
        <f t="shared" si="4"/>
        <v>37014</v>
      </c>
      <c r="X91" s="705">
        <f t="shared" si="5"/>
        <v>42740</v>
      </c>
      <c r="Y91" s="705"/>
      <c r="AA91" t="s">
        <v>116</v>
      </c>
      <c r="AB91" t="s">
        <v>664</v>
      </c>
      <c r="AC91" t="s">
        <v>582</v>
      </c>
      <c r="AD91" s="705">
        <v>3</v>
      </c>
      <c r="AE91" s="705">
        <v>342</v>
      </c>
      <c r="AF91" s="705">
        <v>537</v>
      </c>
      <c r="AG91" s="705">
        <v>28763</v>
      </c>
      <c r="AH91" s="705">
        <v>26148</v>
      </c>
      <c r="AI91">
        <v>82</v>
      </c>
      <c r="AJ91" s="705">
        <v>6992</v>
      </c>
      <c r="AK91" s="705">
        <v>5995</v>
      </c>
      <c r="AL91" s="705">
        <v>6552</v>
      </c>
      <c r="AM91" s="705">
        <v>2427</v>
      </c>
      <c r="AN91" s="705">
        <v>1418</v>
      </c>
      <c r="AO91" s="705">
        <v>525</v>
      </c>
      <c r="AP91" s="705">
        <v>16228</v>
      </c>
      <c r="AQ91" s="705">
        <v>14753</v>
      </c>
      <c r="AR91" s="705">
        <v>0</v>
      </c>
      <c r="AS91" s="705">
        <v>0</v>
      </c>
      <c r="AT91" s="705">
        <v>49847</v>
      </c>
      <c r="AU91" s="705">
        <f t="shared" si="7"/>
        <v>49848</v>
      </c>
      <c r="AV91" s="705">
        <f t="shared" si="6"/>
        <v>59953</v>
      </c>
    </row>
    <row r="92" spans="2:48" ht="12.75" hidden="1" customHeight="1">
      <c r="B92" t="s">
        <v>531</v>
      </c>
      <c r="C92" t="s">
        <v>108</v>
      </c>
      <c r="D92" t="s">
        <v>228</v>
      </c>
      <c r="E92" t="s">
        <v>228</v>
      </c>
      <c r="F92">
        <v>20</v>
      </c>
      <c r="G92" s="705">
        <v>2374</v>
      </c>
      <c r="H92" s="705">
        <v>1152</v>
      </c>
      <c r="I92" s="705">
        <v>20703</v>
      </c>
      <c r="J92" s="705">
        <v>7668</v>
      </c>
      <c r="K92" s="705">
        <v>419</v>
      </c>
      <c r="L92" s="705">
        <v>2442</v>
      </c>
      <c r="M92" s="705">
        <v>2220</v>
      </c>
      <c r="N92" s="705">
        <v>32422</v>
      </c>
      <c r="O92" s="705">
        <v>12008</v>
      </c>
      <c r="P92" s="705">
        <v>11049</v>
      </c>
      <c r="Q92" s="705">
        <v>4092</v>
      </c>
      <c r="R92" s="705">
        <v>66306</v>
      </c>
      <c r="S92" s="705">
        <v>24558</v>
      </c>
      <c r="T92" s="705">
        <v>0</v>
      </c>
      <c r="U92" s="705">
        <v>0</v>
      </c>
      <c r="V92" s="705">
        <v>50546</v>
      </c>
      <c r="W92" s="705">
        <f t="shared" si="4"/>
        <v>50546</v>
      </c>
      <c r="X92" s="705">
        <f t="shared" si="5"/>
        <v>132922</v>
      </c>
      <c r="Y92" s="705"/>
      <c r="AA92" t="s">
        <v>116</v>
      </c>
      <c r="AB92" t="s">
        <v>664</v>
      </c>
      <c r="AC92" t="s">
        <v>228</v>
      </c>
      <c r="AD92">
        <v>1</v>
      </c>
      <c r="AE92">
        <v>81</v>
      </c>
      <c r="AF92">
        <v>152</v>
      </c>
      <c r="AG92" s="705">
        <v>6463</v>
      </c>
      <c r="AH92" s="705">
        <v>5875</v>
      </c>
      <c r="AI92">
        <v>90</v>
      </c>
      <c r="AJ92" s="705">
        <v>1028</v>
      </c>
      <c r="AK92" s="705">
        <v>935</v>
      </c>
      <c r="AL92" s="705">
        <v>1466</v>
      </c>
      <c r="AM92" s="705">
        <v>543</v>
      </c>
      <c r="AN92" s="705">
        <v>473</v>
      </c>
      <c r="AO92">
        <v>175</v>
      </c>
      <c r="AP92" s="705">
        <v>2916</v>
      </c>
      <c r="AQ92" s="705">
        <v>1080</v>
      </c>
      <c r="AR92">
        <v>0</v>
      </c>
      <c r="AS92">
        <v>0</v>
      </c>
      <c r="AT92" s="705">
        <v>8608</v>
      </c>
      <c r="AU92" s="705">
        <f t="shared" si="7"/>
        <v>8608</v>
      </c>
      <c r="AV92" s="705">
        <f t="shared" si="6"/>
        <v>12346</v>
      </c>
    </row>
    <row r="93" spans="2:48" ht="12.75" hidden="1" customHeight="1">
      <c r="B93" t="s">
        <v>531</v>
      </c>
      <c r="C93" t="s">
        <v>108</v>
      </c>
      <c r="D93" t="s">
        <v>583</v>
      </c>
      <c r="E93" t="s">
        <v>583</v>
      </c>
      <c r="F93" s="705">
        <v>39</v>
      </c>
      <c r="G93" s="705">
        <v>4139</v>
      </c>
      <c r="H93" s="705">
        <v>2456</v>
      </c>
      <c r="I93" s="705">
        <v>38293</v>
      </c>
      <c r="J93" s="705">
        <v>34812</v>
      </c>
      <c r="K93" s="705">
        <v>93</v>
      </c>
      <c r="L93" s="705">
        <v>4082</v>
      </c>
      <c r="M93" s="705">
        <v>3050</v>
      </c>
      <c r="N93" s="705">
        <v>50427</v>
      </c>
      <c r="O93" s="705">
        <v>18677</v>
      </c>
      <c r="P93" s="705">
        <v>24219</v>
      </c>
      <c r="Q93" s="705">
        <v>8970</v>
      </c>
      <c r="R93" s="705">
        <v>143820</v>
      </c>
      <c r="S93" s="705">
        <v>130746</v>
      </c>
      <c r="T93" s="705">
        <v>0</v>
      </c>
      <c r="U93" s="705">
        <v>0</v>
      </c>
      <c r="V93" s="705">
        <v>196254</v>
      </c>
      <c r="W93" s="705">
        <f t="shared" si="4"/>
        <v>196255</v>
      </c>
      <c r="X93" s="705">
        <f t="shared" si="5"/>
        <v>260841</v>
      </c>
      <c r="Y93" s="705"/>
      <c r="AA93" t="s">
        <v>116</v>
      </c>
      <c r="AB93" t="s">
        <v>664</v>
      </c>
      <c r="AC93" t="s">
        <v>583</v>
      </c>
      <c r="AD93">
        <v>24</v>
      </c>
      <c r="AE93" s="705">
        <v>2659</v>
      </c>
      <c r="AF93" s="705">
        <v>4615</v>
      </c>
      <c r="AG93" s="705">
        <v>246119</v>
      </c>
      <c r="AH93" s="705">
        <v>223744</v>
      </c>
      <c r="AI93">
        <v>83</v>
      </c>
      <c r="AJ93" s="705">
        <v>57375</v>
      </c>
      <c r="AK93" s="705">
        <v>49512</v>
      </c>
      <c r="AL93" s="705">
        <v>53249</v>
      </c>
      <c r="AM93" s="705">
        <v>19722</v>
      </c>
      <c r="AN93" s="705">
        <v>14756</v>
      </c>
      <c r="AO93" s="705">
        <v>5465</v>
      </c>
      <c r="AP93" s="705">
        <v>114870</v>
      </c>
      <c r="AQ93" s="705">
        <v>104427</v>
      </c>
      <c r="AR93" s="705">
        <v>23479</v>
      </c>
      <c r="AS93" s="705">
        <v>8696</v>
      </c>
      <c r="AT93" s="705">
        <v>411566</v>
      </c>
      <c r="AU93" s="705">
        <f t="shared" si="7"/>
        <v>411566</v>
      </c>
      <c r="AV93" s="705">
        <f t="shared" si="6"/>
        <v>509848</v>
      </c>
    </row>
    <row r="94" spans="2:48" ht="12.75" hidden="1" customHeight="1">
      <c r="B94" t="s">
        <v>531</v>
      </c>
      <c r="C94" t="s">
        <v>108</v>
      </c>
      <c r="D94" t="s">
        <v>584</v>
      </c>
      <c r="E94" t="s">
        <v>584</v>
      </c>
      <c r="F94">
        <v>18</v>
      </c>
      <c r="G94" s="705">
        <v>2406</v>
      </c>
      <c r="H94" s="705">
        <v>998</v>
      </c>
      <c r="I94" s="705">
        <v>26684</v>
      </c>
      <c r="J94" s="705">
        <v>24258</v>
      </c>
      <c r="K94" s="705">
        <v>91</v>
      </c>
      <c r="L94" s="705">
        <v>245</v>
      </c>
      <c r="M94" s="705">
        <v>223</v>
      </c>
      <c r="N94" s="705">
        <v>29312</v>
      </c>
      <c r="O94" s="705">
        <v>10856</v>
      </c>
      <c r="P94" s="705">
        <v>8505</v>
      </c>
      <c r="Q94" s="705">
        <v>3150</v>
      </c>
      <c r="R94" s="705">
        <v>68397</v>
      </c>
      <c r="S94" s="705">
        <v>62179</v>
      </c>
      <c r="T94" s="705">
        <v>0</v>
      </c>
      <c r="U94" s="705">
        <v>0</v>
      </c>
      <c r="V94" s="705">
        <v>100666</v>
      </c>
      <c r="W94" s="705">
        <f t="shared" si="4"/>
        <v>100666</v>
      </c>
      <c r="X94" s="705">
        <f t="shared" si="5"/>
        <v>133143</v>
      </c>
      <c r="Y94" s="705"/>
      <c r="AA94" t="s">
        <v>116</v>
      </c>
      <c r="AB94" t="s">
        <v>664</v>
      </c>
      <c r="AC94" t="s">
        <v>584</v>
      </c>
      <c r="AD94">
        <v>2</v>
      </c>
      <c r="AE94" s="705">
        <v>175</v>
      </c>
      <c r="AF94" s="705">
        <v>409</v>
      </c>
      <c r="AG94" s="705">
        <v>15474</v>
      </c>
      <c r="AH94" s="705">
        <v>14067</v>
      </c>
      <c r="AI94">
        <v>91</v>
      </c>
      <c r="AJ94" s="705">
        <v>5284</v>
      </c>
      <c r="AK94" s="705">
        <v>4616</v>
      </c>
      <c r="AL94" s="705">
        <v>3275</v>
      </c>
      <c r="AM94" s="705">
        <v>1213</v>
      </c>
      <c r="AN94" s="705">
        <v>945</v>
      </c>
      <c r="AO94" s="705">
        <v>350</v>
      </c>
      <c r="AP94" s="705">
        <v>5840</v>
      </c>
      <c r="AQ94" s="705">
        <v>5309</v>
      </c>
      <c r="AR94" s="705">
        <v>4795</v>
      </c>
      <c r="AS94" s="705">
        <v>1776</v>
      </c>
      <c r="AT94" s="705">
        <v>27331</v>
      </c>
      <c r="AU94" s="705">
        <f t="shared" si="7"/>
        <v>27331</v>
      </c>
      <c r="AV94" s="705">
        <f t="shared" si="6"/>
        <v>35613</v>
      </c>
    </row>
    <row r="95" spans="2:48" ht="12.75" hidden="1" customHeight="1">
      <c r="B95" t="s">
        <v>531</v>
      </c>
      <c r="C95" t="s">
        <v>110</v>
      </c>
      <c r="D95" t="s">
        <v>583</v>
      </c>
      <c r="E95" t="s">
        <v>583</v>
      </c>
      <c r="F95" s="705">
        <v>18</v>
      </c>
      <c r="G95" s="705">
        <v>2008</v>
      </c>
      <c r="H95" s="705">
        <v>1588</v>
      </c>
      <c r="I95" s="705">
        <v>67540</v>
      </c>
      <c r="J95" s="705">
        <v>61400</v>
      </c>
      <c r="K95" s="705">
        <v>94</v>
      </c>
      <c r="L95" s="705">
        <v>12720</v>
      </c>
      <c r="M95" s="705">
        <v>6426</v>
      </c>
      <c r="N95" s="705">
        <v>24470</v>
      </c>
      <c r="O95" s="705">
        <v>9063</v>
      </c>
      <c r="P95" s="705">
        <v>11178</v>
      </c>
      <c r="Q95" s="705">
        <v>4140</v>
      </c>
      <c r="R95" s="705">
        <v>60976</v>
      </c>
      <c r="S95" s="705">
        <v>55433</v>
      </c>
      <c r="T95" s="705">
        <v>0</v>
      </c>
      <c r="U95" s="705">
        <v>0</v>
      </c>
      <c r="V95" s="705">
        <v>136462</v>
      </c>
      <c r="W95" s="705">
        <f t="shared" si="4"/>
        <v>136462</v>
      </c>
      <c r="X95" s="705">
        <f t="shared" si="5"/>
        <v>176884</v>
      </c>
      <c r="Y95" s="705"/>
      <c r="AA95" t="s">
        <v>116</v>
      </c>
      <c r="AB95" t="s">
        <v>582</v>
      </c>
      <c r="AC95" t="s">
        <v>664</v>
      </c>
      <c r="AD95">
        <v>28</v>
      </c>
      <c r="AE95" s="705">
        <v>3102</v>
      </c>
      <c r="AF95" s="705">
        <v>5014</v>
      </c>
      <c r="AG95" s="705">
        <v>272225</v>
      </c>
      <c r="AH95" s="705">
        <v>247477</v>
      </c>
      <c r="AI95">
        <v>84</v>
      </c>
      <c r="AJ95" s="705">
        <v>64473</v>
      </c>
      <c r="AK95" s="705">
        <v>56762</v>
      </c>
      <c r="AL95" s="705">
        <v>64298</v>
      </c>
      <c r="AM95" s="705">
        <v>23814</v>
      </c>
      <c r="AN95" s="705">
        <v>14310</v>
      </c>
      <c r="AO95" s="705">
        <v>5300</v>
      </c>
      <c r="AP95" s="705">
        <v>143843</v>
      </c>
      <c r="AQ95" s="705">
        <v>130767</v>
      </c>
      <c r="AR95" s="705">
        <v>12310</v>
      </c>
      <c r="AS95" s="705">
        <v>4559</v>
      </c>
      <c r="AT95" s="705">
        <v>468679</v>
      </c>
      <c r="AU95" s="705">
        <f t="shared" si="7"/>
        <v>468679</v>
      </c>
      <c r="AV95" s="705">
        <f t="shared" si="6"/>
        <v>571459</v>
      </c>
    </row>
    <row r="96" spans="2:48" ht="12.75" hidden="1" customHeight="1">
      <c r="B96" t="s">
        <v>531</v>
      </c>
      <c r="C96" t="s">
        <v>110</v>
      </c>
      <c r="D96" t="s">
        <v>584</v>
      </c>
      <c r="E96" s="705" t="s">
        <v>584</v>
      </c>
      <c r="F96" s="705">
        <v>23</v>
      </c>
      <c r="G96" s="705">
        <v>2854</v>
      </c>
      <c r="H96" s="705">
        <v>2232</v>
      </c>
      <c r="I96" s="705">
        <v>113214</v>
      </c>
      <c r="J96" s="705">
        <v>102922</v>
      </c>
      <c r="K96" s="705">
        <v>89</v>
      </c>
      <c r="L96" s="705">
        <v>13312</v>
      </c>
      <c r="M96" s="705">
        <v>12102</v>
      </c>
      <c r="N96" s="705">
        <v>39051</v>
      </c>
      <c r="O96" s="705">
        <v>14463</v>
      </c>
      <c r="P96" s="705">
        <v>16666</v>
      </c>
      <c r="Q96" s="705">
        <v>6172</v>
      </c>
      <c r="R96" s="705">
        <v>88365</v>
      </c>
      <c r="S96" s="705">
        <v>80332</v>
      </c>
      <c r="T96" s="705">
        <v>6099</v>
      </c>
      <c r="U96" s="705">
        <v>2259</v>
      </c>
      <c r="V96" s="705">
        <v>218251</v>
      </c>
      <c r="W96" s="705">
        <f t="shared" si="4"/>
        <v>218250</v>
      </c>
      <c r="X96" s="705">
        <f t="shared" si="5"/>
        <v>276707</v>
      </c>
      <c r="Y96" s="705"/>
      <c r="AA96" t="s">
        <v>116</v>
      </c>
      <c r="AB96" t="s">
        <v>582</v>
      </c>
      <c r="AC96" t="s">
        <v>582</v>
      </c>
      <c r="AD96" s="705">
        <v>2414</v>
      </c>
      <c r="AE96" s="705">
        <v>253835</v>
      </c>
      <c r="AF96" s="705">
        <v>437542</v>
      </c>
      <c r="AG96" s="705">
        <v>22222370</v>
      </c>
      <c r="AH96" s="705">
        <v>20202155</v>
      </c>
      <c r="AI96">
        <v>82</v>
      </c>
      <c r="AJ96" s="705">
        <v>5542550</v>
      </c>
      <c r="AK96" s="705">
        <v>4991074</v>
      </c>
      <c r="AL96" s="705">
        <v>5286584</v>
      </c>
      <c r="AM96" s="705">
        <v>1957994</v>
      </c>
      <c r="AN96" s="705">
        <v>1202065</v>
      </c>
      <c r="AO96" s="705">
        <v>445209</v>
      </c>
      <c r="AP96" s="705">
        <v>11163332</v>
      </c>
      <c r="AQ96" s="705">
        <v>10148484</v>
      </c>
      <c r="AR96" s="705">
        <v>975087</v>
      </c>
      <c r="AS96" s="705">
        <v>361143</v>
      </c>
      <c r="AT96" s="705">
        <v>38106059</v>
      </c>
      <c r="AU96" s="705">
        <f t="shared" si="7"/>
        <v>38106059</v>
      </c>
      <c r="AV96" s="705">
        <f t="shared" si="6"/>
        <v>46391988</v>
      </c>
    </row>
    <row r="97" spans="2:48" ht="12.75" hidden="1" customHeight="1">
      <c r="B97" t="s">
        <v>531</v>
      </c>
      <c r="C97" t="s">
        <v>112</v>
      </c>
      <c r="D97" t="s">
        <v>582</v>
      </c>
      <c r="E97" t="s">
        <v>582</v>
      </c>
      <c r="F97">
        <v>12</v>
      </c>
      <c r="G97" s="705">
        <v>1227</v>
      </c>
      <c r="H97" s="705">
        <v>1442</v>
      </c>
      <c r="I97" s="705">
        <v>68925</v>
      </c>
      <c r="J97" s="705">
        <v>62659</v>
      </c>
      <c r="K97" s="705">
        <v>90</v>
      </c>
      <c r="L97" s="705">
        <v>2677</v>
      </c>
      <c r="M97" s="705">
        <v>2433</v>
      </c>
      <c r="N97" s="705">
        <v>20473</v>
      </c>
      <c r="O97" s="705">
        <v>7583</v>
      </c>
      <c r="P97" s="705">
        <v>7126</v>
      </c>
      <c r="Q97" s="705">
        <v>2639</v>
      </c>
      <c r="R97" s="705">
        <v>48207</v>
      </c>
      <c r="S97" s="705">
        <v>43824</v>
      </c>
      <c r="T97" s="705">
        <v>0</v>
      </c>
      <c r="U97" s="705">
        <v>0</v>
      </c>
      <c r="V97" s="705">
        <v>119138</v>
      </c>
      <c r="W97" s="705">
        <f t="shared" si="4"/>
        <v>119138</v>
      </c>
      <c r="X97" s="705">
        <f t="shared" si="5"/>
        <v>147408</v>
      </c>
      <c r="Y97" s="705"/>
      <c r="AA97" t="s">
        <v>116</v>
      </c>
      <c r="AB97" t="s">
        <v>582</v>
      </c>
      <c r="AC97" t="s">
        <v>228</v>
      </c>
      <c r="AD97">
        <v>3</v>
      </c>
      <c r="AE97" s="705">
        <v>297</v>
      </c>
      <c r="AF97" s="705">
        <v>597</v>
      </c>
      <c r="AG97" s="705">
        <v>22237</v>
      </c>
      <c r="AH97" s="705">
        <v>20216</v>
      </c>
      <c r="AI97">
        <v>80</v>
      </c>
      <c r="AJ97" s="705">
        <v>6237</v>
      </c>
      <c r="AK97" s="705">
        <v>5670</v>
      </c>
      <c r="AL97" s="705">
        <v>7235</v>
      </c>
      <c r="AM97" s="705">
        <v>2680</v>
      </c>
      <c r="AN97" s="705">
        <v>1296</v>
      </c>
      <c r="AO97" s="705">
        <v>480</v>
      </c>
      <c r="AP97" s="705">
        <v>21027</v>
      </c>
      <c r="AQ97" s="705">
        <v>7788</v>
      </c>
      <c r="AR97" s="705">
        <v>0</v>
      </c>
      <c r="AS97" s="705">
        <v>0</v>
      </c>
      <c r="AT97" s="705">
        <v>36833</v>
      </c>
      <c r="AU97" s="705">
        <f t="shared" si="7"/>
        <v>36834</v>
      </c>
      <c r="AV97" s="705">
        <f t="shared" si="6"/>
        <v>58032</v>
      </c>
    </row>
    <row r="98" spans="2:48" ht="12.75" hidden="1" customHeight="1">
      <c r="B98" t="s">
        <v>531</v>
      </c>
      <c r="C98" t="s">
        <v>112</v>
      </c>
      <c r="D98" t="s">
        <v>228</v>
      </c>
      <c r="E98" t="s">
        <v>228</v>
      </c>
      <c r="F98">
        <v>1</v>
      </c>
      <c r="G98">
        <v>107</v>
      </c>
      <c r="H98" s="705">
        <v>112</v>
      </c>
      <c r="I98" s="705">
        <v>6100</v>
      </c>
      <c r="J98" s="705">
        <v>2259</v>
      </c>
      <c r="K98" s="705">
        <v>348</v>
      </c>
      <c r="L98" s="705">
        <v>1602</v>
      </c>
      <c r="M98" s="705">
        <v>1456</v>
      </c>
      <c r="N98" s="705">
        <v>1667</v>
      </c>
      <c r="O98" s="705">
        <v>617</v>
      </c>
      <c r="P98" s="705">
        <v>621</v>
      </c>
      <c r="Q98" s="705">
        <v>230</v>
      </c>
      <c r="R98" s="705">
        <v>4195</v>
      </c>
      <c r="S98" s="705">
        <v>1554</v>
      </c>
      <c r="T98" s="705">
        <v>0</v>
      </c>
      <c r="U98" s="705">
        <v>0</v>
      </c>
      <c r="V98" s="705">
        <v>6116</v>
      </c>
      <c r="W98" s="705">
        <f t="shared" si="4"/>
        <v>6116</v>
      </c>
      <c r="X98" s="705">
        <f t="shared" si="5"/>
        <v>14185</v>
      </c>
      <c r="Y98" s="705"/>
      <c r="AA98" t="s">
        <v>116</v>
      </c>
      <c r="AB98" t="s">
        <v>582</v>
      </c>
      <c r="AC98" t="s">
        <v>583</v>
      </c>
      <c r="AD98" s="705">
        <v>2</v>
      </c>
      <c r="AE98" s="705">
        <v>332</v>
      </c>
      <c r="AF98" s="705">
        <v>363</v>
      </c>
      <c r="AG98" s="705">
        <v>33899</v>
      </c>
      <c r="AH98" s="705">
        <v>30818</v>
      </c>
      <c r="AI98">
        <v>76</v>
      </c>
      <c r="AJ98" s="705">
        <v>6088</v>
      </c>
      <c r="AK98" s="705">
        <v>2861</v>
      </c>
      <c r="AL98" s="705">
        <v>7764</v>
      </c>
      <c r="AM98" s="705">
        <v>2876</v>
      </c>
      <c r="AN98" s="705">
        <v>945</v>
      </c>
      <c r="AO98" s="705">
        <v>350</v>
      </c>
      <c r="AP98" s="705">
        <v>10825</v>
      </c>
      <c r="AQ98" s="705">
        <v>9841</v>
      </c>
      <c r="AR98" s="705">
        <v>4035</v>
      </c>
      <c r="AS98" s="705">
        <v>1494</v>
      </c>
      <c r="AT98" s="705">
        <v>48239</v>
      </c>
      <c r="AU98" s="705">
        <f t="shared" si="7"/>
        <v>48240</v>
      </c>
      <c r="AV98" s="705">
        <f t="shared" si="6"/>
        <v>63556</v>
      </c>
    </row>
    <row r="99" spans="2:48" ht="12.75" hidden="1" customHeight="1">
      <c r="B99" t="s">
        <v>531</v>
      </c>
      <c r="C99" t="s">
        <v>112</v>
      </c>
      <c r="D99" t="s">
        <v>583</v>
      </c>
      <c r="E99" t="s">
        <v>583</v>
      </c>
      <c r="F99" s="705">
        <v>80</v>
      </c>
      <c r="G99" s="705">
        <v>8903</v>
      </c>
      <c r="H99" s="705">
        <v>9220</v>
      </c>
      <c r="I99" s="705">
        <v>437398</v>
      </c>
      <c r="J99" s="705">
        <v>397635</v>
      </c>
      <c r="K99" s="705">
        <v>92</v>
      </c>
      <c r="L99" s="705">
        <v>86390</v>
      </c>
      <c r="M99" s="705">
        <v>77993</v>
      </c>
      <c r="N99" s="705">
        <v>136188</v>
      </c>
      <c r="O99" s="705">
        <v>50440</v>
      </c>
      <c r="P99" s="705">
        <v>59140</v>
      </c>
      <c r="Q99" s="705">
        <v>21904</v>
      </c>
      <c r="R99" s="705">
        <v>309824</v>
      </c>
      <c r="S99" s="705">
        <v>281658</v>
      </c>
      <c r="T99" s="705">
        <v>4431</v>
      </c>
      <c r="U99" s="705">
        <v>1641</v>
      </c>
      <c r="V99" s="705">
        <v>831271</v>
      </c>
      <c r="W99" s="705">
        <f t="shared" si="4"/>
        <v>831271</v>
      </c>
      <c r="X99" s="705">
        <f t="shared" si="5"/>
        <v>1033371</v>
      </c>
      <c r="Y99" s="705"/>
      <c r="AA99" t="s">
        <v>116</v>
      </c>
      <c r="AB99" t="s">
        <v>582</v>
      </c>
      <c r="AC99" t="s">
        <v>584</v>
      </c>
      <c r="AD99">
        <v>13</v>
      </c>
      <c r="AE99" s="705">
        <v>1343</v>
      </c>
      <c r="AF99" s="705">
        <v>2374</v>
      </c>
      <c r="AG99" s="705">
        <v>119177</v>
      </c>
      <c r="AH99" s="705">
        <v>108343</v>
      </c>
      <c r="AI99">
        <v>84</v>
      </c>
      <c r="AJ99" s="705">
        <v>28576</v>
      </c>
      <c r="AK99" s="705">
        <v>25198</v>
      </c>
      <c r="AL99" s="705">
        <v>29191</v>
      </c>
      <c r="AM99" s="705">
        <v>10811</v>
      </c>
      <c r="AN99" s="705">
        <v>6993</v>
      </c>
      <c r="AO99" s="705">
        <v>2590</v>
      </c>
      <c r="AP99" s="705">
        <v>52310</v>
      </c>
      <c r="AQ99" s="705">
        <v>47555</v>
      </c>
      <c r="AR99" s="705">
        <v>13769</v>
      </c>
      <c r="AS99" s="705">
        <v>5099</v>
      </c>
      <c r="AT99" s="705">
        <v>199596</v>
      </c>
      <c r="AU99" s="705">
        <f t="shared" si="7"/>
        <v>199596</v>
      </c>
      <c r="AV99" s="705">
        <f t="shared" si="6"/>
        <v>250016</v>
      </c>
    </row>
    <row r="100" spans="2:48" ht="12.75" hidden="1" customHeight="1">
      <c r="B100" t="s">
        <v>531</v>
      </c>
      <c r="C100" t="s">
        <v>112</v>
      </c>
      <c r="D100" t="s">
        <v>584</v>
      </c>
      <c r="E100" t="s">
        <v>584</v>
      </c>
      <c r="F100">
        <v>19</v>
      </c>
      <c r="G100" s="705">
        <v>2521</v>
      </c>
      <c r="H100" s="705">
        <v>2224</v>
      </c>
      <c r="I100" s="705">
        <v>136226</v>
      </c>
      <c r="J100" s="705">
        <v>123842</v>
      </c>
      <c r="K100" s="705">
        <v>89</v>
      </c>
      <c r="L100" s="705">
        <v>27501</v>
      </c>
      <c r="M100" s="705">
        <v>24195</v>
      </c>
      <c r="N100" s="705">
        <v>38668</v>
      </c>
      <c r="O100" s="705">
        <v>14322</v>
      </c>
      <c r="P100" s="705">
        <v>12300</v>
      </c>
      <c r="Q100" s="705">
        <v>4555</v>
      </c>
      <c r="R100" s="705">
        <v>86703</v>
      </c>
      <c r="S100" s="705">
        <v>78821</v>
      </c>
      <c r="T100" s="705">
        <v>3186</v>
      </c>
      <c r="U100" s="705">
        <v>1180</v>
      </c>
      <c r="V100" s="705">
        <v>246915</v>
      </c>
      <c r="W100" s="705">
        <f t="shared" si="4"/>
        <v>246915</v>
      </c>
      <c r="X100" s="705">
        <f t="shared" si="5"/>
        <v>304584</v>
      </c>
      <c r="Y100" s="705"/>
      <c r="AA100" t="s">
        <v>116</v>
      </c>
      <c r="AB100" t="s">
        <v>582</v>
      </c>
      <c r="AC100" t="s">
        <v>665</v>
      </c>
      <c r="AD100">
        <v>4</v>
      </c>
      <c r="AE100" s="705">
        <v>411</v>
      </c>
      <c r="AF100" s="705">
        <v>766</v>
      </c>
      <c r="AG100" s="705">
        <v>42244</v>
      </c>
      <c r="AH100" s="705">
        <v>38404</v>
      </c>
      <c r="AI100">
        <v>82</v>
      </c>
      <c r="AJ100" s="705">
        <v>8918</v>
      </c>
      <c r="AK100" s="705">
        <v>11271</v>
      </c>
      <c r="AL100" s="705">
        <v>6343</v>
      </c>
      <c r="AM100" s="705">
        <v>2349</v>
      </c>
      <c r="AN100" s="705">
        <v>1769</v>
      </c>
      <c r="AO100" s="705">
        <v>655</v>
      </c>
      <c r="AP100" s="705">
        <v>17082</v>
      </c>
      <c r="AQ100" s="705">
        <v>15529</v>
      </c>
      <c r="AR100" s="705">
        <v>2719</v>
      </c>
      <c r="AS100" s="705">
        <v>1007</v>
      </c>
      <c r="AT100" s="705">
        <v>69215</v>
      </c>
      <c r="AU100" s="705">
        <f t="shared" si="7"/>
        <v>69215</v>
      </c>
      <c r="AV100" s="705">
        <f t="shared" si="6"/>
        <v>79075</v>
      </c>
    </row>
    <row r="101" spans="2:48" ht="12.75" hidden="1" customHeight="1">
      <c r="B101" t="s">
        <v>531</v>
      </c>
      <c r="C101" t="s">
        <v>112</v>
      </c>
      <c r="D101" t="s">
        <v>722</v>
      </c>
      <c r="E101" s="705" t="s">
        <v>722</v>
      </c>
      <c r="F101" s="705">
        <v>1</v>
      </c>
      <c r="G101" s="705">
        <v>97</v>
      </c>
      <c r="H101" s="705">
        <v>120</v>
      </c>
      <c r="I101" s="705">
        <v>3843</v>
      </c>
      <c r="J101" s="705">
        <v>3494</v>
      </c>
      <c r="K101" s="705">
        <v>94</v>
      </c>
      <c r="L101" s="705">
        <v>0</v>
      </c>
      <c r="M101" s="705">
        <v>0</v>
      </c>
      <c r="N101" s="705">
        <v>1181</v>
      </c>
      <c r="O101" s="705">
        <v>437</v>
      </c>
      <c r="P101" s="705">
        <v>1560</v>
      </c>
      <c r="Q101" s="705">
        <v>578</v>
      </c>
      <c r="R101" s="705">
        <v>2501</v>
      </c>
      <c r="S101" s="705">
        <v>2274</v>
      </c>
      <c r="T101" s="705">
        <v>2522</v>
      </c>
      <c r="U101" s="705">
        <v>934</v>
      </c>
      <c r="V101" s="705">
        <v>7717</v>
      </c>
      <c r="W101" s="705">
        <f t="shared" si="4"/>
        <v>7717</v>
      </c>
      <c r="X101" s="705">
        <f t="shared" si="5"/>
        <v>11607</v>
      </c>
      <c r="Y101" s="705"/>
      <c r="AA101" t="s">
        <v>116</v>
      </c>
      <c r="AB101" t="s">
        <v>228</v>
      </c>
      <c r="AC101" t="s">
        <v>228</v>
      </c>
      <c r="AD101" s="705">
        <v>2161</v>
      </c>
      <c r="AE101" s="705">
        <v>207016</v>
      </c>
      <c r="AF101" s="705">
        <v>432905</v>
      </c>
      <c r="AG101" s="705">
        <v>19627601</v>
      </c>
      <c r="AH101" s="705">
        <v>7269482</v>
      </c>
      <c r="AI101">
        <v>133</v>
      </c>
      <c r="AJ101" s="705">
        <v>3208648</v>
      </c>
      <c r="AK101" s="705">
        <v>1844164</v>
      </c>
      <c r="AL101" s="705">
        <v>4014728</v>
      </c>
      <c r="AM101" s="705">
        <v>1486936</v>
      </c>
      <c r="AN101" s="705">
        <v>166284</v>
      </c>
      <c r="AO101" s="705">
        <v>61587</v>
      </c>
      <c r="AP101" s="705">
        <v>15175116</v>
      </c>
      <c r="AQ101" s="705">
        <v>5620413</v>
      </c>
      <c r="AR101" s="705">
        <v>13588</v>
      </c>
      <c r="AS101" s="705">
        <v>5033</v>
      </c>
      <c r="AT101" s="705">
        <v>16287615</v>
      </c>
      <c r="AU101" s="705">
        <f t="shared" si="7"/>
        <v>16287615</v>
      </c>
      <c r="AV101" s="705">
        <f t="shared" si="6"/>
        <v>42205965</v>
      </c>
    </row>
    <row r="102" spans="2:48" ht="12.75" hidden="1" customHeight="1">
      <c r="B102" t="s">
        <v>531</v>
      </c>
      <c r="C102" t="s">
        <v>112</v>
      </c>
      <c r="D102" t="s">
        <v>668</v>
      </c>
      <c r="E102" t="s">
        <v>668</v>
      </c>
      <c r="F102">
        <v>1</v>
      </c>
      <c r="G102" s="705">
        <v>90</v>
      </c>
      <c r="H102" s="705">
        <v>109</v>
      </c>
      <c r="I102" s="705">
        <v>4260</v>
      </c>
      <c r="J102" s="705">
        <v>3873</v>
      </c>
      <c r="K102" s="705">
        <v>94</v>
      </c>
      <c r="L102" s="705">
        <v>0</v>
      </c>
      <c r="M102" s="705">
        <v>0</v>
      </c>
      <c r="N102" s="705">
        <v>1097</v>
      </c>
      <c r="O102" s="705">
        <v>406</v>
      </c>
      <c r="P102" s="705">
        <v>1107</v>
      </c>
      <c r="Q102" s="705">
        <v>410</v>
      </c>
      <c r="R102" s="705">
        <v>3323</v>
      </c>
      <c r="S102" s="705">
        <v>3021</v>
      </c>
      <c r="T102" s="705">
        <v>0</v>
      </c>
      <c r="U102" s="705">
        <v>0</v>
      </c>
      <c r="V102" s="705">
        <v>7710</v>
      </c>
      <c r="W102" s="705">
        <f t="shared" si="4"/>
        <v>7710</v>
      </c>
      <c r="X102" s="705">
        <f t="shared" si="5"/>
        <v>9787</v>
      </c>
      <c r="Y102" s="705"/>
      <c r="AA102" t="s">
        <v>116</v>
      </c>
      <c r="AB102" t="s">
        <v>228</v>
      </c>
      <c r="AC102" t="s">
        <v>583</v>
      </c>
      <c r="AD102">
        <v>2</v>
      </c>
      <c r="AE102">
        <v>165</v>
      </c>
      <c r="AF102" s="705">
        <v>433</v>
      </c>
      <c r="AG102" s="705">
        <v>21778</v>
      </c>
      <c r="AH102" s="705">
        <v>8066</v>
      </c>
      <c r="AI102">
        <v>100</v>
      </c>
      <c r="AJ102" s="705">
        <v>4558</v>
      </c>
      <c r="AK102" s="705">
        <v>3973</v>
      </c>
      <c r="AL102" s="705">
        <v>2514</v>
      </c>
      <c r="AM102" s="705">
        <v>931</v>
      </c>
      <c r="AN102" s="705">
        <v>0</v>
      </c>
      <c r="AO102">
        <v>0</v>
      </c>
      <c r="AP102" s="705">
        <v>6838</v>
      </c>
      <c r="AQ102" s="705">
        <v>6216</v>
      </c>
      <c r="AR102" s="705">
        <v>0</v>
      </c>
      <c r="AS102" s="705">
        <v>0</v>
      </c>
      <c r="AT102" s="705">
        <v>19186</v>
      </c>
      <c r="AU102" s="705">
        <f t="shared" si="7"/>
        <v>19186</v>
      </c>
      <c r="AV102" s="705">
        <f t="shared" si="6"/>
        <v>35688</v>
      </c>
    </row>
    <row r="103" spans="2:48" ht="12.75" hidden="1" customHeight="1">
      <c r="B103" t="s">
        <v>531</v>
      </c>
      <c r="C103" t="s">
        <v>114</v>
      </c>
      <c r="D103" t="s">
        <v>582</v>
      </c>
      <c r="E103" t="s">
        <v>582</v>
      </c>
      <c r="F103">
        <v>59</v>
      </c>
      <c r="G103" s="705">
        <v>6933</v>
      </c>
      <c r="H103" s="705">
        <v>8277</v>
      </c>
      <c r="I103" s="705">
        <v>426835</v>
      </c>
      <c r="J103" s="705">
        <v>388031</v>
      </c>
      <c r="K103">
        <v>84</v>
      </c>
      <c r="L103" s="705">
        <v>81771</v>
      </c>
      <c r="M103" s="705">
        <v>65428</v>
      </c>
      <c r="N103" s="705">
        <v>150332</v>
      </c>
      <c r="O103" s="705">
        <v>55679</v>
      </c>
      <c r="P103" s="705">
        <v>32381</v>
      </c>
      <c r="Q103" s="705">
        <v>11993</v>
      </c>
      <c r="R103" s="705">
        <v>278150</v>
      </c>
      <c r="S103" s="705">
        <v>252864</v>
      </c>
      <c r="T103" s="705">
        <v>4792</v>
      </c>
      <c r="U103" s="705">
        <v>1775</v>
      </c>
      <c r="V103" s="705">
        <v>775770</v>
      </c>
      <c r="W103" s="705">
        <f t="shared" si="4"/>
        <v>775770</v>
      </c>
      <c r="X103" s="705">
        <f t="shared" si="5"/>
        <v>974261</v>
      </c>
      <c r="Y103" s="705"/>
      <c r="AA103" t="s">
        <v>116</v>
      </c>
      <c r="AB103" t="s">
        <v>228</v>
      </c>
      <c r="AC103" t="s">
        <v>666</v>
      </c>
      <c r="AD103">
        <v>1</v>
      </c>
      <c r="AE103" s="705">
        <v>37</v>
      </c>
      <c r="AF103" s="705">
        <v>225</v>
      </c>
      <c r="AG103" s="705">
        <v>2687</v>
      </c>
      <c r="AH103" s="705">
        <v>995</v>
      </c>
      <c r="AI103">
        <v>250</v>
      </c>
      <c r="AJ103" s="705">
        <v>507</v>
      </c>
      <c r="AK103" s="705">
        <v>461</v>
      </c>
      <c r="AL103" s="705">
        <v>445</v>
      </c>
      <c r="AM103" s="705">
        <v>165</v>
      </c>
      <c r="AN103" s="705">
        <v>351</v>
      </c>
      <c r="AO103" s="705">
        <v>130</v>
      </c>
      <c r="AP103" s="705">
        <v>2760</v>
      </c>
      <c r="AQ103" s="705">
        <v>2509</v>
      </c>
      <c r="AR103" s="705">
        <v>1459</v>
      </c>
      <c r="AS103" s="705">
        <v>540</v>
      </c>
      <c r="AT103" s="705">
        <v>4800</v>
      </c>
      <c r="AU103" s="705">
        <f t="shared" si="7"/>
        <v>4800</v>
      </c>
      <c r="AV103" s="705">
        <f t="shared" si="6"/>
        <v>8209</v>
      </c>
    </row>
    <row r="104" spans="2:48" ht="12.75" hidden="1" customHeight="1">
      <c r="B104" t="s">
        <v>531</v>
      </c>
      <c r="C104" t="s">
        <v>114</v>
      </c>
      <c r="D104" t="s">
        <v>583</v>
      </c>
      <c r="E104" t="s">
        <v>583</v>
      </c>
      <c r="F104">
        <v>314</v>
      </c>
      <c r="G104" s="705">
        <v>35933</v>
      </c>
      <c r="H104" s="705">
        <v>44495</v>
      </c>
      <c r="I104" s="705">
        <v>2216457</v>
      </c>
      <c r="J104" s="705">
        <v>2014961</v>
      </c>
      <c r="K104">
        <v>88</v>
      </c>
      <c r="L104" s="705">
        <v>551800</v>
      </c>
      <c r="M104" s="705">
        <v>499391</v>
      </c>
      <c r="N104" s="705">
        <v>689974</v>
      </c>
      <c r="O104" s="705">
        <v>255546</v>
      </c>
      <c r="P104" s="705">
        <v>193426</v>
      </c>
      <c r="Q104" s="705">
        <v>71639</v>
      </c>
      <c r="R104" s="705">
        <v>1420305</v>
      </c>
      <c r="S104" s="705">
        <v>1291186</v>
      </c>
      <c r="T104" s="705">
        <v>39311</v>
      </c>
      <c r="U104" s="705">
        <v>14560</v>
      </c>
      <c r="V104" s="705">
        <v>4147283</v>
      </c>
      <c r="W104" s="705">
        <f t="shared" si="4"/>
        <v>4147283</v>
      </c>
      <c r="X104" s="705">
        <f t="shared" si="5"/>
        <v>5111273</v>
      </c>
      <c r="Y104" s="705"/>
      <c r="AA104" t="s">
        <v>116</v>
      </c>
      <c r="AB104" t="s">
        <v>228</v>
      </c>
      <c r="AC104" t="s">
        <v>584</v>
      </c>
      <c r="AD104">
        <v>2</v>
      </c>
      <c r="AE104" s="705">
        <v>135</v>
      </c>
      <c r="AF104" s="705">
        <v>388</v>
      </c>
      <c r="AG104" s="705">
        <v>13634</v>
      </c>
      <c r="AH104" s="705">
        <v>5050</v>
      </c>
      <c r="AI104">
        <v>100</v>
      </c>
      <c r="AJ104" s="705">
        <v>0</v>
      </c>
      <c r="AK104" s="705">
        <v>0</v>
      </c>
      <c r="AL104" s="705">
        <v>3283</v>
      </c>
      <c r="AM104" s="705">
        <v>1216</v>
      </c>
      <c r="AN104" s="705">
        <v>351</v>
      </c>
      <c r="AO104" s="705">
        <v>130</v>
      </c>
      <c r="AP104" s="705">
        <v>8912</v>
      </c>
      <c r="AQ104" s="705">
        <v>8102</v>
      </c>
      <c r="AR104" s="705">
        <v>0</v>
      </c>
      <c r="AS104" s="705">
        <v>0</v>
      </c>
      <c r="AT104" s="705">
        <v>14497</v>
      </c>
      <c r="AU104" s="705">
        <f t="shared" si="7"/>
        <v>14498</v>
      </c>
      <c r="AV104" s="705">
        <f t="shared" si="6"/>
        <v>26180</v>
      </c>
    </row>
    <row r="105" spans="2:48" ht="12.75" hidden="1" customHeight="1">
      <c r="B105" t="s">
        <v>531</v>
      </c>
      <c r="C105" t="s">
        <v>114</v>
      </c>
      <c r="D105" t="s">
        <v>584</v>
      </c>
      <c r="E105" t="s">
        <v>582</v>
      </c>
      <c r="F105">
        <v>1</v>
      </c>
      <c r="G105">
        <v>99</v>
      </c>
      <c r="H105" s="705">
        <v>143</v>
      </c>
      <c r="I105" s="705">
        <v>5649</v>
      </c>
      <c r="J105" s="705">
        <v>5135</v>
      </c>
      <c r="K105" s="705">
        <v>81</v>
      </c>
      <c r="L105" s="705">
        <v>2815</v>
      </c>
      <c r="M105" s="705">
        <v>1042</v>
      </c>
      <c r="N105" s="705">
        <v>1211</v>
      </c>
      <c r="O105" s="705">
        <v>449</v>
      </c>
      <c r="P105" s="705">
        <v>473</v>
      </c>
      <c r="Q105" s="705">
        <v>175</v>
      </c>
      <c r="R105" s="705">
        <v>4032</v>
      </c>
      <c r="S105" s="705">
        <v>3665</v>
      </c>
      <c r="T105" s="705">
        <v>0</v>
      </c>
      <c r="U105" s="705">
        <v>0</v>
      </c>
      <c r="V105" s="705">
        <v>10467</v>
      </c>
      <c r="W105" s="705">
        <f t="shared" si="4"/>
        <v>10466</v>
      </c>
      <c r="X105" s="705">
        <f t="shared" si="5"/>
        <v>14180</v>
      </c>
      <c r="Y105" s="705"/>
      <c r="AA105" t="s">
        <v>116</v>
      </c>
      <c r="AB105" t="s">
        <v>228</v>
      </c>
      <c r="AC105" t="s">
        <v>669</v>
      </c>
      <c r="AD105" s="705">
        <v>3</v>
      </c>
      <c r="AE105" s="705">
        <v>167</v>
      </c>
      <c r="AF105" s="705">
        <v>653</v>
      </c>
      <c r="AG105" s="705">
        <v>13086</v>
      </c>
      <c r="AH105" s="705">
        <v>4847</v>
      </c>
      <c r="AI105">
        <v>271</v>
      </c>
      <c r="AJ105" s="705">
        <v>7641</v>
      </c>
      <c r="AK105" s="705">
        <v>3556</v>
      </c>
      <c r="AL105" s="705">
        <v>2099</v>
      </c>
      <c r="AM105" s="705">
        <v>777</v>
      </c>
      <c r="AN105" s="705">
        <v>701</v>
      </c>
      <c r="AO105" s="705">
        <v>259</v>
      </c>
      <c r="AP105" s="705">
        <v>9386</v>
      </c>
      <c r="AQ105" s="705">
        <v>7822</v>
      </c>
      <c r="AR105" s="705">
        <v>3613</v>
      </c>
      <c r="AS105" s="705">
        <v>1338</v>
      </c>
      <c r="AT105" s="705">
        <v>18600</v>
      </c>
      <c r="AU105" s="705">
        <f t="shared" si="7"/>
        <v>18599</v>
      </c>
      <c r="AV105" s="705">
        <f t="shared" si="6"/>
        <v>36526</v>
      </c>
    </row>
    <row r="106" spans="2:48" ht="12.75" hidden="1" customHeight="1">
      <c r="B106" t="s">
        <v>531</v>
      </c>
      <c r="C106" t="s">
        <v>114</v>
      </c>
      <c r="D106" t="s">
        <v>584</v>
      </c>
      <c r="E106" t="s">
        <v>583</v>
      </c>
      <c r="F106">
        <v>1</v>
      </c>
      <c r="G106" s="705">
        <v>148</v>
      </c>
      <c r="H106" s="705">
        <v>128</v>
      </c>
      <c r="I106" s="705">
        <v>9815</v>
      </c>
      <c r="J106" s="705">
        <v>8923</v>
      </c>
      <c r="K106" s="705">
        <v>94</v>
      </c>
      <c r="L106" s="705">
        <v>1866</v>
      </c>
      <c r="M106" s="705">
        <v>1555</v>
      </c>
      <c r="N106" s="705">
        <v>1802</v>
      </c>
      <c r="O106" s="705">
        <v>667</v>
      </c>
      <c r="P106" s="705">
        <v>621</v>
      </c>
      <c r="Q106" s="705">
        <v>230</v>
      </c>
      <c r="R106" s="705">
        <v>4820</v>
      </c>
      <c r="S106" s="705">
        <v>4382</v>
      </c>
      <c r="T106" s="705">
        <v>0</v>
      </c>
      <c r="U106" s="705">
        <v>0</v>
      </c>
      <c r="V106" s="705">
        <v>15757</v>
      </c>
      <c r="W106" s="705">
        <f t="shared" si="4"/>
        <v>15757</v>
      </c>
      <c r="X106" s="705">
        <f t="shared" si="5"/>
        <v>18924</v>
      </c>
      <c r="Y106" s="705"/>
      <c r="AA106" t="s">
        <v>116</v>
      </c>
      <c r="AB106" t="s">
        <v>228</v>
      </c>
      <c r="AC106" t="s">
        <v>665</v>
      </c>
      <c r="AD106">
        <v>5</v>
      </c>
      <c r="AE106" s="705">
        <v>404</v>
      </c>
      <c r="AF106" s="705">
        <v>1094</v>
      </c>
      <c r="AG106" s="705">
        <v>49393</v>
      </c>
      <c r="AH106" s="705">
        <v>18294</v>
      </c>
      <c r="AI106">
        <v>151</v>
      </c>
      <c r="AJ106" s="705">
        <v>10359</v>
      </c>
      <c r="AK106" s="705">
        <v>6730</v>
      </c>
      <c r="AL106" s="705">
        <v>5805</v>
      </c>
      <c r="AM106" s="705">
        <v>2150</v>
      </c>
      <c r="AN106" s="705">
        <v>0</v>
      </c>
      <c r="AO106" s="705">
        <v>0</v>
      </c>
      <c r="AP106" s="705">
        <v>17647</v>
      </c>
      <c r="AQ106" s="705">
        <v>16043</v>
      </c>
      <c r="AR106" s="705">
        <v>5049</v>
      </c>
      <c r="AS106" s="705">
        <v>1870</v>
      </c>
      <c r="AT106" s="705">
        <v>45086</v>
      </c>
      <c r="AU106" s="705">
        <f t="shared" si="7"/>
        <v>45087</v>
      </c>
      <c r="AV106" s="705">
        <f t="shared" si="6"/>
        <v>88253</v>
      </c>
    </row>
    <row r="107" spans="2:48" ht="12.75" hidden="1" customHeight="1">
      <c r="B107" t="s">
        <v>531</v>
      </c>
      <c r="C107" t="s">
        <v>114</v>
      </c>
      <c r="D107" t="s">
        <v>584</v>
      </c>
      <c r="E107" t="s">
        <v>584</v>
      </c>
      <c r="F107">
        <v>127</v>
      </c>
      <c r="G107" s="705">
        <v>14429</v>
      </c>
      <c r="H107" s="705">
        <v>17967</v>
      </c>
      <c r="I107" s="705">
        <v>930849</v>
      </c>
      <c r="J107" s="705">
        <v>846226</v>
      </c>
      <c r="K107" s="705">
        <v>85</v>
      </c>
      <c r="L107" s="705">
        <v>202294</v>
      </c>
      <c r="M107" s="705">
        <v>178061</v>
      </c>
      <c r="N107" s="705">
        <v>265227</v>
      </c>
      <c r="O107" s="705">
        <v>98232</v>
      </c>
      <c r="P107" s="705">
        <v>63548</v>
      </c>
      <c r="Q107" s="705">
        <v>23536</v>
      </c>
      <c r="R107" s="705">
        <v>594443</v>
      </c>
      <c r="S107" s="705">
        <v>540402</v>
      </c>
      <c r="T107" s="705">
        <v>12566</v>
      </c>
      <c r="U107" s="705">
        <v>4654</v>
      </c>
      <c r="V107" s="705">
        <v>1691112</v>
      </c>
      <c r="W107" s="705">
        <f t="shared" si="4"/>
        <v>1691111</v>
      </c>
      <c r="X107" s="705">
        <f t="shared" si="5"/>
        <v>2068927</v>
      </c>
      <c r="Y107" s="705"/>
      <c r="AA107" t="s">
        <v>116</v>
      </c>
      <c r="AB107" t="s">
        <v>670</v>
      </c>
      <c r="AC107" t="s">
        <v>228</v>
      </c>
      <c r="AD107">
        <v>1</v>
      </c>
      <c r="AE107" s="705">
        <v>73</v>
      </c>
      <c r="AF107" s="705">
        <v>208</v>
      </c>
      <c r="AG107" s="705">
        <v>8676</v>
      </c>
      <c r="AH107" s="705">
        <v>3213</v>
      </c>
      <c r="AI107">
        <v>100</v>
      </c>
      <c r="AJ107" s="705">
        <v>1531</v>
      </c>
      <c r="AK107" s="705">
        <v>567</v>
      </c>
      <c r="AL107" s="705">
        <v>2019</v>
      </c>
      <c r="AM107" s="705">
        <v>748</v>
      </c>
      <c r="AN107" s="705">
        <v>0</v>
      </c>
      <c r="AO107">
        <v>0</v>
      </c>
      <c r="AP107" s="705">
        <v>6910</v>
      </c>
      <c r="AQ107" s="705">
        <v>2559</v>
      </c>
      <c r="AR107" s="705">
        <v>0</v>
      </c>
      <c r="AS107" s="705">
        <v>0</v>
      </c>
      <c r="AT107" s="705">
        <v>7087</v>
      </c>
      <c r="AU107" s="705">
        <f t="shared" si="7"/>
        <v>7087</v>
      </c>
      <c r="AV107" s="705">
        <f t="shared" si="6"/>
        <v>19136</v>
      </c>
    </row>
    <row r="108" spans="2:48" ht="12.75" hidden="1" customHeight="1">
      <c r="B108" t="s">
        <v>531</v>
      </c>
      <c r="C108" t="s">
        <v>114</v>
      </c>
      <c r="D108" t="s">
        <v>585</v>
      </c>
      <c r="E108" t="s">
        <v>585</v>
      </c>
      <c r="F108">
        <v>1</v>
      </c>
      <c r="G108" s="705">
        <v>91</v>
      </c>
      <c r="H108" s="705">
        <v>126</v>
      </c>
      <c r="I108" s="705">
        <v>5354</v>
      </c>
      <c r="J108" s="705">
        <v>4867</v>
      </c>
      <c r="K108" s="705">
        <v>92</v>
      </c>
      <c r="L108" s="705">
        <v>0</v>
      </c>
      <c r="M108" s="705">
        <v>0</v>
      </c>
      <c r="N108" s="705">
        <v>1454</v>
      </c>
      <c r="O108" s="705">
        <v>539</v>
      </c>
      <c r="P108" s="705">
        <v>1107</v>
      </c>
      <c r="Q108" s="705">
        <v>410</v>
      </c>
      <c r="R108" s="705">
        <v>3534</v>
      </c>
      <c r="S108" s="705">
        <v>3213</v>
      </c>
      <c r="T108" s="705">
        <v>0</v>
      </c>
      <c r="U108" s="705">
        <v>0</v>
      </c>
      <c r="V108" s="705">
        <v>9029</v>
      </c>
      <c r="W108" s="705">
        <f t="shared" si="4"/>
        <v>9029</v>
      </c>
      <c r="X108" s="705">
        <f t="shared" si="5"/>
        <v>11449</v>
      </c>
      <c r="Y108" s="705"/>
      <c r="AA108" t="s">
        <v>116</v>
      </c>
      <c r="AB108" t="s">
        <v>583</v>
      </c>
      <c r="AC108" t="s">
        <v>674</v>
      </c>
      <c r="AD108">
        <v>3</v>
      </c>
      <c r="AE108">
        <v>306</v>
      </c>
      <c r="AF108">
        <v>554</v>
      </c>
      <c r="AG108" s="705">
        <v>24486</v>
      </c>
      <c r="AH108" s="705">
        <v>22260</v>
      </c>
      <c r="AI108">
        <v>88</v>
      </c>
      <c r="AJ108" s="705">
        <v>6548</v>
      </c>
      <c r="AK108" s="705">
        <v>5953</v>
      </c>
      <c r="AL108" s="705">
        <v>6877</v>
      </c>
      <c r="AM108" s="705">
        <v>2547</v>
      </c>
      <c r="AN108" s="705">
        <v>1863</v>
      </c>
      <c r="AO108">
        <v>690</v>
      </c>
      <c r="AP108" s="705">
        <v>11397</v>
      </c>
      <c r="AQ108" s="705">
        <v>10361</v>
      </c>
      <c r="AR108" s="705">
        <v>4749</v>
      </c>
      <c r="AS108" s="705">
        <v>1759</v>
      </c>
      <c r="AT108" s="705">
        <v>43569</v>
      </c>
      <c r="AU108" s="705">
        <f t="shared" si="7"/>
        <v>43570</v>
      </c>
      <c r="AV108" s="705">
        <f t="shared" si="6"/>
        <v>55920</v>
      </c>
    </row>
    <row r="109" spans="2:48" ht="12.75" hidden="1" customHeight="1">
      <c r="B109" t="s">
        <v>531</v>
      </c>
      <c r="C109" t="s">
        <v>116</v>
      </c>
      <c r="D109" t="s">
        <v>664</v>
      </c>
      <c r="E109" t="s">
        <v>664</v>
      </c>
      <c r="F109" s="705">
        <v>4</v>
      </c>
      <c r="G109" s="705">
        <v>399</v>
      </c>
      <c r="H109" s="705">
        <v>708</v>
      </c>
      <c r="I109" s="705">
        <v>33589</v>
      </c>
      <c r="J109" s="705">
        <v>30535</v>
      </c>
      <c r="K109" s="705">
        <v>82</v>
      </c>
      <c r="L109" s="705">
        <v>7452</v>
      </c>
      <c r="M109" s="705">
        <v>6775</v>
      </c>
      <c r="N109" s="705">
        <v>6756</v>
      </c>
      <c r="O109" s="705">
        <v>2502</v>
      </c>
      <c r="P109" s="705">
        <v>1890</v>
      </c>
      <c r="Q109" s="705">
        <v>700</v>
      </c>
      <c r="R109" s="705">
        <v>20523</v>
      </c>
      <c r="S109" s="705">
        <v>18658</v>
      </c>
      <c r="T109" s="705">
        <v>0</v>
      </c>
      <c r="U109" s="705">
        <v>0</v>
      </c>
      <c r="V109" s="705">
        <v>59170</v>
      </c>
      <c r="W109" s="705">
        <f t="shared" si="4"/>
        <v>59170</v>
      </c>
      <c r="X109" s="705">
        <f t="shared" si="5"/>
        <v>70210</v>
      </c>
      <c r="Y109" s="705"/>
      <c r="AA109" t="s">
        <v>116</v>
      </c>
      <c r="AB109" t="s">
        <v>583</v>
      </c>
      <c r="AC109" t="s">
        <v>664</v>
      </c>
      <c r="AD109">
        <v>28</v>
      </c>
      <c r="AE109" s="705">
        <v>2772</v>
      </c>
      <c r="AF109" s="705">
        <v>5560</v>
      </c>
      <c r="AG109" s="705">
        <v>270040</v>
      </c>
      <c r="AH109" s="705">
        <v>245490</v>
      </c>
      <c r="AI109">
        <v>86</v>
      </c>
      <c r="AJ109" s="705">
        <v>60873</v>
      </c>
      <c r="AK109" s="705">
        <v>52883</v>
      </c>
      <c r="AL109" s="705">
        <v>55355</v>
      </c>
      <c r="AM109" s="705">
        <v>20502</v>
      </c>
      <c r="AN109" s="705">
        <v>17388</v>
      </c>
      <c r="AO109" s="705">
        <v>6440</v>
      </c>
      <c r="AP109" s="705">
        <v>124100</v>
      </c>
      <c r="AQ109" s="705">
        <v>112818</v>
      </c>
      <c r="AR109" s="705">
        <v>23916</v>
      </c>
      <c r="AS109" s="705">
        <v>8858</v>
      </c>
      <c r="AT109" s="705">
        <v>446991</v>
      </c>
      <c r="AU109" s="705">
        <f t="shared" si="7"/>
        <v>446991</v>
      </c>
      <c r="AV109" s="705">
        <f t="shared" si="6"/>
        <v>551672</v>
      </c>
    </row>
    <row r="110" spans="2:48" ht="12.75" hidden="1" customHeight="1">
      <c r="B110" t="s">
        <v>531</v>
      </c>
      <c r="C110" t="s">
        <v>116</v>
      </c>
      <c r="D110" t="s">
        <v>582</v>
      </c>
      <c r="E110" t="s">
        <v>664</v>
      </c>
      <c r="F110">
        <v>7</v>
      </c>
      <c r="G110" s="705">
        <v>802</v>
      </c>
      <c r="H110" s="705">
        <v>1134</v>
      </c>
      <c r="I110" s="705">
        <v>59061</v>
      </c>
      <c r="J110" s="705">
        <v>53692</v>
      </c>
      <c r="K110" s="705">
        <v>88</v>
      </c>
      <c r="L110" s="705">
        <v>15081</v>
      </c>
      <c r="M110" s="705">
        <v>13710</v>
      </c>
      <c r="N110" s="705">
        <v>20197</v>
      </c>
      <c r="O110" s="705">
        <v>7480</v>
      </c>
      <c r="P110" s="705">
        <v>4010</v>
      </c>
      <c r="Q110" s="705">
        <v>1485</v>
      </c>
      <c r="R110" s="705">
        <v>36279</v>
      </c>
      <c r="S110" s="705">
        <v>32981</v>
      </c>
      <c r="T110" s="705">
        <v>0</v>
      </c>
      <c r="U110" s="705">
        <v>0</v>
      </c>
      <c r="V110" s="705">
        <v>109348</v>
      </c>
      <c r="W110" s="705">
        <f t="shared" si="4"/>
        <v>109348</v>
      </c>
      <c r="X110" s="705">
        <f t="shared" si="5"/>
        <v>134628</v>
      </c>
      <c r="Y110" s="705"/>
      <c r="AA110" t="s">
        <v>116</v>
      </c>
      <c r="AB110" t="s">
        <v>583</v>
      </c>
      <c r="AC110" t="s">
        <v>582</v>
      </c>
      <c r="AD110">
        <v>2</v>
      </c>
      <c r="AE110" s="705">
        <v>158</v>
      </c>
      <c r="AF110" s="705">
        <v>403</v>
      </c>
      <c r="AG110" s="705">
        <v>17071</v>
      </c>
      <c r="AH110" s="705">
        <v>15519</v>
      </c>
      <c r="AI110">
        <v>88</v>
      </c>
      <c r="AJ110" s="705">
        <v>4347</v>
      </c>
      <c r="AK110" s="705">
        <v>3952</v>
      </c>
      <c r="AL110" s="705">
        <v>3134</v>
      </c>
      <c r="AM110" s="705">
        <v>1161</v>
      </c>
      <c r="AN110" s="705">
        <v>1944</v>
      </c>
      <c r="AO110" s="705">
        <v>720</v>
      </c>
      <c r="AP110" s="705">
        <v>10292</v>
      </c>
      <c r="AQ110" s="705">
        <v>9357</v>
      </c>
      <c r="AR110" s="705">
        <v>0</v>
      </c>
      <c r="AS110" s="705">
        <v>0</v>
      </c>
      <c r="AT110" s="705">
        <v>30709</v>
      </c>
      <c r="AU110" s="705">
        <f t="shared" si="7"/>
        <v>30709</v>
      </c>
      <c r="AV110" s="705">
        <f t="shared" si="6"/>
        <v>36788</v>
      </c>
    </row>
    <row r="111" spans="2:48" ht="12.75" hidden="1" customHeight="1">
      <c r="B111" t="s">
        <v>531</v>
      </c>
      <c r="C111" t="s">
        <v>116</v>
      </c>
      <c r="D111" t="s">
        <v>582</v>
      </c>
      <c r="E111" t="s">
        <v>582</v>
      </c>
      <c r="F111" s="705">
        <v>296</v>
      </c>
      <c r="G111" s="705">
        <v>29385</v>
      </c>
      <c r="H111" s="705">
        <v>54007</v>
      </c>
      <c r="I111" s="705">
        <v>2491034</v>
      </c>
      <c r="J111" s="705">
        <v>2264576</v>
      </c>
      <c r="K111" s="705">
        <v>79</v>
      </c>
      <c r="L111" s="705">
        <v>589818</v>
      </c>
      <c r="M111" s="705">
        <v>453592</v>
      </c>
      <c r="N111" s="705">
        <v>649034</v>
      </c>
      <c r="O111" s="705">
        <v>240383</v>
      </c>
      <c r="P111" s="705">
        <v>161875</v>
      </c>
      <c r="Q111" s="705">
        <v>59954</v>
      </c>
      <c r="R111" s="705">
        <v>1347003</v>
      </c>
      <c r="S111" s="705">
        <v>1224548</v>
      </c>
      <c r="T111" s="705">
        <v>77684</v>
      </c>
      <c r="U111" s="705">
        <v>28772</v>
      </c>
      <c r="V111" s="705">
        <v>4271825</v>
      </c>
      <c r="W111" s="705">
        <f t="shared" si="4"/>
        <v>4271825</v>
      </c>
      <c r="X111" s="705">
        <f t="shared" si="5"/>
        <v>5316448</v>
      </c>
      <c r="Y111" s="705"/>
      <c r="AA111" t="s">
        <v>116</v>
      </c>
      <c r="AB111" t="s">
        <v>583</v>
      </c>
      <c r="AC111" t="s">
        <v>228</v>
      </c>
      <c r="AD111">
        <v>143</v>
      </c>
      <c r="AE111" s="705">
        <v>15408</v>
      </c>
      <c r="AF111" s="705">
        <v>28042</v>
      </c>
      <c r="AG111" s="705">
        <v>1463916</v>
      </c>
      <c r="AH111" s="705">
        <v>1330833</v>
      </c>
      <c r="AI111">
        <v>85</v>
      </c>
      <c r="AJ111" s="705">
        <v>326789</v>
      </c>
      <c r="AK111" s="705">
        <v>289756</v>
      </c>
      <c r="AL111" s="705">
        <v>340356</v>
      </c>
      <c r="AM111" s="705">
        <v>126058</v>
      </c>
      <c r="AN111" s="705">
        <v>88101</v>
      </c>
      <c r="AO111" s="705">
        <v>32630</v>
      </c>
      <c r="AP111" s="705">
        <v>878934</v>
      </c>
      <c r="AQ111" s="705">
        <v>325531</v>
      </c>
      <c r="AR111" s="705">
        <v>6354</v>
      </c>
      <c r="AS111" s="705">
        <v>2353</v>
      </c>
      <c r="AT111" s="705">
        <v>2107160</v>
      </c>
      <c r="AU111" s="705">
        <f t="shared" si="7"/>
        <v>2107161</v>
      </c>
      <c r="AV111" s="705">
        <f t="shared" si="6"/>
        <v>3104450</v>
      </c>
    </row>
    <row r="112" spans="2:48" ht="12.75" hidden="1" customHeight="1">
      <c r="B112" t="s">
        <v>531</v>
      </c>
      <c r="C112" t="s">
        <v>116</v>
      </c>
      <c r="D112" t="s">
        <v>228</v>
      </c>
      <c r="E112" s="705" t="s">
        <v>228</v>
      </c>
      <c r="F112" s="705">
        <v>17</v>
      </c>
      <c r="G112" s="705">
        <v>1774</v>
      </c>
      <c r="H112" s="705">
        <v>3584</v>
      </c>
      <c r="I112" s="705">
        <v>181793</v>
      </c>
      <c r="J112" s="705">
        <v>67331</v>
      </c>
      <c r="K112" s="705">
        <v>122</v>
      </c>
      <c r="L112" s="705">
        <v>33450</v>
      </c>
      <c r="M112" s="705">
        <v>23251</v>
      </c>
      <c r="N112" s="705">
        <v>37847</v>
      </c>
      <c r="O112" s="705">
        <v>14017</v>
      </c>
      <c r="P112" s="705">
        <v>1702</v>
      </c>
      <c r="Q112" s="705">
        <v>630</v>
      </c>
      <c r="R112" s="705">
        <v>120681</v>
      </c>
      <c r="S112" s="705">
        <v>44697</v>
      </c>
      <c r="T112" s="705">
        <v>0</v>
      </c>
      <c r="U112" s="705">
        <v>0</v>
      </c>
      <c r="V112" s="705">
        <v>149926</v>
      </c>
      <c r="W112" s="705">
        <f t="shared" si="4"/>
        <v>149926</v>
      </c>
      <c r="X112" s="705">
        <f t="shared" si="5"/>
        <v>375473</v>
      </c>
      <c r="Y112" s="705"/>
      <c r="AA112" t="s">
        <v>116</v>
      </c>
      <c r="AB112" t="s">
        <v>583</v>
      </c>
      <c r="AC112" t="s">
        <v>583</v>
      </c>
      <c r="AD112" s="705">
        <v>57272</v>
      </c>
      <c r="AE112" s="705">
        <v>5853891</v>
      </c>
      <c r="AF112" s="705">
        <v>10957583</v>
      </c>
      <c r="AG112" s="705">
        <v>531816397</v>
      </c>
      <c r="AH112" s="705">
        <v>483469449</v>
      </c>
      <c r="AI112">
        <v>86</v>
      </c>
      <c r="AJ112" s="705">
        <v>132020144</v>
      </c>
      <c r="AK112" s="705">
        <v>117639746</v>
      </c>
      <c r="AL112" s="705">
        <v>114596057</v>
      </c>
      <c r="AM112" s="705">
        <v>42442983</v>
      </c>
      <c r="AN112" s="705">
        <v>36536165</v>
      </c>
      <c r="AO112" s="705">
        <v>13531913</v>
      </c>
      <c r="AP112" s="705">
        <v>252622970</v>
      </c>
      <c r="AQ112" s="705">
        <v>229657243</v>
      </c>
      <c r="AR112" s="705">
        <v>62238539</v>
      </c>
      <c r="AS112" s="705">
        <v>23051310</v>
      </c>
      <c r="AT112" s="705">
        <v>909792645</v>
      </c>
      <c r="AU112" s="705">
        <f t="shared" si="7"/>
        <v>909792644</v>
      </c>
      <c r="AV112" s="705">
        <f t="shared" si="6"/>
        <v>1129830272</v>
      </c>
    </row>
    <row r="113" spans="2:48" ht="12.75" hidden="1" customHeight="1">
      <c r="B113" t="s">
        <v>531</v>
      </c>
      <c r="C113" t="s">
        <v>116</v>
      </c>
      <c r="D113" t="s">
        <v>583</v>
      </c>
      <c r="E113" t="s">
        <v>228</v>
      </c>
      <c r="F113" s="705">
        <v>5</v>
      </c>
      <c r="G113" s="705">
        <v>473</v>
      </c>
      <c r="H113" s="705">
        <v>952</v>
      </c>
      <c r="I113" s="705">
        <v>43630</v>
      </c>
      <c r="J113" s="705">
        <v>39664</v>
      </c>
      <c r="K113" s="705">
        <v>84</v>
      </c>
      <c r="L113" s="705">
        <v>4443</v>
      </c>
      <c r="M113" s="705">
        <v>4039</v>
      </c>
      <c r="N113" s="705">
        <v>10964</v>
      </c>
      <c r="O113" s="705">
        <v>4061</v>
      </c>
      <c r="P113" s="705">
        <v>3105</v>
      </c>
      <c r="Q113" s="705">
        <v>1150</v>
      </c>
      <c r="R113" s="705">
        <v>27100</v>
      </c>
      <c r="S113" s="705">
        <v>10037</v>
      </c>
      <c r="T113" s="705">
        <v>0</v>
      </c>
      <c r="U113" s="705">
        <v>0</v>
      </c>
      <c r="V113" s="705">
        <v>58951</v>
      </c>
      <c r="W113" s="705">
        <f t="shared" si="4"/>
        <v>58951</v>
      </c>
      <c r="X113" s="705">
        <f t="shared" si="5"/>
        <v>89242</v>
      </c>
      <c r="Y113" s="705"/>
      <c r="AA113" t="s">
        <v>116</v>
      </c>
      <c r="AB113" t="s">
        <v>583</v>
      </c>
      <c r="AC113" t="s">
        <v>666</v>
      </c>
      <c r="AD113">
        <v>36</v>
      </c>
      <c r="AE113" s="705">
        <v>3560</v>
      </c>
      <c r="AF113" s="705">
        <v>6823</v>
      </c>
      <c r="AG113" s="705">
        <v>311343</v>
      </c>
      <c r="AH113" s="705">
        <v>283039</v>
      </c>
      <c r="AI113">
        <v>85</v>
      </c>
      <c r="AJ113" s="705">
        <v>73030</v>
      </c>
      <c r="AK113" s="705">
        <v>63077</v>
      </c>
      <c r="AL113" s="705">
        <v>71134</v>
      </c>
      <c r="AM113" s="705">
        <v>26346</v>
      </c>
      <c r="AN113" s="705">
        <v>22437</v>
      </c>
      <c r="AO113" s="705">
        <v>8310</v>
      </c>
      <c r="AP113" s="705">
        <v>159120</v>
      </c>
      <c r="AQ113" s="705">
        <v>144654</v>
      </c>
      <c r="AR113" s="705">
        <v>49996</v>
      </c>
      <c r="AS113" s="705">
        <v>18517</v>
      </c>
      <c r="AT113" s="705">
        <v>543943</v>
      </c>
      <c r="AU113" s="705">
        <f t="shared" si="7"/>
        <v>543943</v>
      </c>
      <c r="AV113" s="705">
        <f t="shared" si="6"/>
        <v>687060</v>
      </c>
    </row>
    <row r="114" spans="2:48" ht="12.75" hidden="1" customHeight="1">
      <c r="B114" t="s">
        <v>531</v>
      </c>
      <c r="C114" t="s">
        <v>116</v>
      </c>
      <c r="D114" t="s">
        <v>583</v>
      </c>
      <c r="E114" t="s">
        <v>583</v>
      </c>
      <c r="F114" s="705">
        <v>1617</v>
      </c>
      <c r="G114" s="705">
        <v>158363</v>
      </c>
      <c r="H114" s="705">
        <v>301582</v>
      </c>
      <c r="I114" s="705">
        <v>13213216</v>
      </c>
      <c r="J114" s="705">
        <v>12012014</v>
      </c>
      <c r="K114" s="705">
        <v>86</v>
      </c>
      <c r="L114" s="705">
        <v>3437080</v>
      </c>
      <c r="M114" s="705">
        <v>3068552</v>
      </c>
      <c r="N114" s="705">
        <v>3153703</v>
      </c>
      <c r="O114" s="705">
        <v>1168038</v>
      </c>
      <c r="P114" s="705">
        <v>1015059</v>
      </c>
      <c r="Q114" s="705">
        <v>375948</v>
      </c>
      <c r="R114" s="705">
        <v>6995487</v>
      </c>
      <c r="S114" s="705">
        <v>6359534</v>
      </c>
      <c r="T114" s="705">
        <v>1687777</v>
      </c>
      <c r="U114" s="705">
        <v>625103</v>
      </c>
      <c r="V114" s="705">
        <v>23609188</v>
      </c>
      <c r="W114" s="705">
        <f t="shared" si="4"/>
        <v>23609189</v>
      </c>
      <c r="X114" s="705">
        <f t="shared" si="5"/>
        <v>29502322</v>
      </c>
      <c r="Y114" s="705"/>
      <c r="AA114" t="s">
        <v>116</v>
      </c>
      <c r="AB114" t="s">
        <v>583</v>
      </c>
      <c r="AC114" t="s">
        <v>584</v>
      </c>
      <c r="AD114">
        <v>25</v>
      </c>
      <c r="AE114" s="705">
        <v>2789</v>
      </c>
      <c r="AF114" s="705">
        <v>4999</v>
      </c>
      <c r="AG114" s="705">
        <v>284293</v>
      </c>
      <c r="AH114" s="705">
        <v>258448</v>
      </c>
      <c r="AI114">
        <v>86</v>
      </c>
      <c r="AJ114" s="705">
        <v>69041</v>
      </c>
      <c r="AK114" s="705">
        <v>59321</v>
      </c>
      <c r="AL114" s="705">
        <v>50108</v>
      </c>
      <c r="AM114" s="705">
        <v>18559</v>
      </c>
      <c r="AN114" s="705">
        <v>15255</v>
      </c>
      <c r="AO114" s="705">
        <v>5650</v>
      </c>
      <c r="AP114" s="705">
        <v>111338</v>
      </c>
      <c r="AQ114" s="705">
        <v>101217</v>
      </c>
      <c r="AR114" s="705">
        <v>29312</v>
      </c>
      <c r="AS114" s="705">
        <v>10856</v>
      </c>
      <c r="AT114" s="705">
        <v>454051</v>
      </c>
      <c r="AU114" s="705">
        <f t="shared" si="7"/>
        <v>454051</v>
      </c>
      <c r="AV114" s="705">
        <f t="shared" si="6"/>
        <v>559347</v>
      </c>
    </row>
    <row r="115" spans="2:48" ht="12.75" hidden="1" customHeight="1">
      <c r="B115" t="s">
        <v>531</v>
      </c>
      <c r="C115" t="s">
        <v>116</v>
      </c>
      <c r="D115" t="s">
        <v>583</v>
      </c>
      <c r="E115" t="s">
        <v>666</v>
      </c>
      <c r="F115">
        <v>7</v>
      </c>
      <c r="G115" s="705">
        <v>578</v>
      </c>
      <c r="H115" s="705">
        <v>1272</v>
      </c>
      <c r="I115" s="705">
        <v>35211</v>
      </c>
      <c r="J115" s="705">
        <v>32010</v>
      </c>
      <c r="K115" s="705">
        <v>90</v>
      </c>
      <c r="L115" s="705">
        <v>12002</v>
      </c>
      <c r="M115" s="705">
        <v>10002</v>
      </c>
      <c r="N115" s="705">
        <v>13697</v>
      </c>
      <c r="O115" s="705">
        <v>5073</v>
      </c>
      <c r="P115" s="705">
        <v>4347</v>
      </c>
      <c r="Q115" s="705">
        <v>1610</v>
      </c>
      <c r="R115" s="705">
        <v>23474</v>
      </c>
      <c r="S115" s="705">
        <v>21340</v>
      </c>
      <c r="T115" s="705">
        <v>16340</v>
      </c>
      <c r="U115" s="705">
        <v>6052</v>
      </c>
      <c r="V115" s="705">
        <v>76087</v>
      </c>
      <c r="W115" s="705">
        <f t="shared" si="4"/>
        <v>76087</v>
      </c>
      <c r="X115" s="705">
        <f t="shared" si="5"/>
        <v>105071</v>
      </c>
      <c r="Y115" s="705"/>
      <c r="AA115" t="s">
        <v>116</v>
      </c>
      <c r="AB115" t="s">
        <v>583</v>
      </c>
      <c r="AC115" t="s">
        <v>669</v>
      </c>
      <c r="AD115">
        <v>7</v>
      </c>
      <c r="AE115">
        <v>709</v>
      </c>
      <c r="AF115" s="705">
        <v>1432</v>
      </c>
      <c r="AG115" s="705">
        <v>69268</v>
      </c>
      <c r="AH115" s="705">
        <v>62971</v>
      </c>
      <c r="AI115">
        <v>86</v>
      </c>
      <c r="AJ115" s="705">
        <v>15922</v>
      </c>
      <c r="AK115" s="705">
        <v>14138</v>
      </c>
      <c r="AL115" s="705">
        <v>13985</v>
      </c>
      <c r="AM115" s="705">
        <v>5180</v>
      </c>
      <c r="AN115" s="705">
        <v>4698</v>
      </c>
      <c r="AO115" s="705">
        <v>1740</v>
      </c>
      <c r="AP115" s="705">
        <v>31058</v>
      </c>
      <c r="AQ115" s="705">
        <v>25881</v>
      </c>
      <c r="AR115" s="705">
        <v>9485</v>
      </c>
      <c r="AS115" s="705">
        <v>3513</v>
      </c>
      <c r="AT115" s="705">
        <v>113423</v>
      </c>
      <c r="AU115" s="705">
        <f t="shared" si="7"/>
        <v>113423</v>
      </c>
      <c r="AV115" s="705">
        <f t="shared" si="6"/>
        <v>144416</v>
      </c>
    </row>
    <row r="116" spans="2:48" ht="12.75" hidden="1" customHeight="1">
      <c r="B116" t="s">
        <v>531</v>
      </c>
      <c r="C116" t="s">
        <v>116</v>
      </c>
      <c r="D116" t="s">
        <v>666</v>
      </c>
      <c r="E116" t="s">
        <v>666</v>
      </c>
      <c r="F116">
        <v>1</v>
      </c>
      <c r="G116" s="705">
        <v>120</v>
      </c>
      <c r="H116" s="705">
        <v>215</v>
      </c>
      <c r="I116" s="705">
        <v>13630</v>
      </c>
      <c r="J116" s="705">
        <v>12391</v>
      </c>
      <c r="K116" s="705">
        <v>76</v>
      </c>
      <c r="L116" s="705">
        <v>2825</v>
      </c>
      <c r="M116" s="705">
        <v>1046</v>
      </c>
      <c r="N116" s="705">
        <v>2290</v>
      </c>
      <c r="O116" s="705">
        <v>848</v>
      </c>
      <c r="P116" s="705">
        <v>351</v>
      </c>
      <c r="Q116" s="705">
        <v>130</v>
      </c>
      <c r="R116" s="705">
        <v>4043</v>
      </c>
      <c r="S116" s="705">
        <v>3675</v>
      </c>
      <c r="T116" s="705">
        <v>2627</v>
      </c>
      <c r="U116" s="705">
        <v>973</v>
      </c>
      <c r="V116" s="705">
        <v>19064</v>
      </c>
      <c r="W116" s="705">
        <f t="shared" si="4"/>
        <v>19063</v>
      </c>
      <c r="X116" s="705">
        <f t="shared" si="5"/>
        <v>25766</v>
      </c>
      <c r="Y116" s="705"/>
      <c r="AA116" t="s">
        <v>116</v>
      </c>
      <c r="AB116" t="s">
        <v>583</v>
      </c>
      <c r="AC116" t="s">
        <v>671</v>
      </c>
      <c r="AD116" s="705">
        <v>2</v>
      </c>
      <c r="AE116" s="705">
        <v>197</v>
      </c>
      <c r="AF116" s="705">
        <v>364</v>
      </c>
      <c r="AG116" s="705">
        <v>14757</v>
      </c>
      <c r="AH116" s="705">
        <v>13416</v>
      </c>
      <c r="AI116">
        <v>88</v>
      </c>
      <c r="AJ116" s="705">
        <v>4594</v>
      </c>
      <c r="AK116" s="705">
        <v>4177</v>
      </c>
      <c r="AL116" s="705">
        <v>4160</v>
      </c>
      <c r="AM116" s="705">
        <v>1541</v>
      </c>
      <c r="AN116" s="705">
        <v>891</v>
      </c>
      <c r="AO116" s="705">
        <v>330</v>
      </c>
      <c r="AP116" s="705">
        <v>8996</v>
      </c>
      <c r="AQ116" s="705">
        <v>8178</v>
      </c>
      <c r="AR116" s="705">
        <v>2648</v>
      </c>
      <c r="AS116" s="705">
        <v>981</v>
      </c>
      <c r="AT116" s="705">
        <v>28622</v>
      </c>
      <c r="AU116" s="705">
        <f t="shared" si="7"/>
        <v>28623</v>
      </c>
      <c r="AV116" s="705">
        <f t="shared" si="6"/>
        <v>36046</v>
      </c>
    </row>
    <row r="117" spans="2:48" ht="12.75" hidden="1" customHeight="1">
      <c r="B117" t="s">
        <v>531</v>
      </c>
      <c r="C117" t="s">
        <v>116</v>
      </c>
      <c r="D117" t="s">
        <v>584</v>
      </c>
      <c r="E117" t="s">
        <v>583</v>
      </c>
      <c r="F117" s="705">
        <v>1</v>
      </c>
      <c r="G117" s="705">
        <v>94</v>
      </c>
      <c r="H117" s="705">
        <v>198</v>
      </c>
      <c r="I117" s="705">
        <v>7843</v>
      </c>
      <c r="J117" s="705">
        <v>7130</v>
      </c>
      <c r="K117" s="705">
        <v>73</v>
      </c>
      <c r="L117" s="705">
        <v>2016</v>
      </c>
      <c r="M117" s="705">
        <v>1833</v>
      </c>
      <c r="N117" s="705">
        <v>2173</v>
      </c>
      <c r="O117" s="705">
        <v>805</v>
      </c>
      <c r="P117" s="705">
        <v>473</v>
      </c>
      <c r="Q117" s="705">
        <v>175</v>
      </c>
      <c r="R117" s="705">
        <v>6116</v>
      </c>
      <c r="S117" s="705">
        <v>5560</v>
      </c>
      <c r="T117" s="705">
        <v>0</v>
      </c>
      <c r="U117" s="705">
        <v>0</v>
      </c>
      <c r="V117" s="705">
        <v>15502</v>
      </c>
      <c r="W117" s="705">
        <f t="shared" si="4"/>
        <v>15503</v>
      </c>
      <c r="X117" s="705">
        <f t="shared" si="5"/>
        <v>18621</v>
      </c>
      <c r="Y117" s="705"/>
      <c r="AA117" t="s">
        <v>116</v>
      </c>
      <c r="AB117" t="s">
        <v>583</v>
      </c>
      <c r="AC117" t="s">
        <v>665</v>
      </c>
      <c r="AD117">
        <v>44</v>
      </c>
      <c r="AE117" s="705">
        <v>4324</v>
      </c>
      <c r="AF117" s="705">
        <v>8324</v>
      </c>
      <c r="AG117" s="705">
        <v>360086</v>
      </c>
      <c r="AH117" s="705">
        <v>327351</v>
      </c>
      <c r="AI117">
        <v>84</v>
      </c>
      <c r="AJ117" s="705">
        <v>81648</v>
      </c>
      <c r="AK117" s="705">
        <v>77567</v>
      </c>
      <c r="AL117" s="705">
        <v>84433</v>
      </c>
      <c r="AM117" s="705">
        <v>31271</v>
      </c>
      <c r="AN117" s="705">
        <v>27839</v>
      </c>
      <c r="AO117" s="705">
        <v>10311</v>
      </c>
      <c r="AP117" s="705">
        <v>210923</v>
      </c>
      <c r="AQ117" s="705">
        <v>191748</v>
      </c>
      <c r="AR117" s="705">
        <v>60775</v>
      </c>
      <c r="AS117" s="705">
        <v>22509</v>
      </c>
      <c r="AT117" s="705">
        <v>660757</v>
      </c>
      <c r="AU117" s="705">
        <f t="shared" si="7"/>
        <v>660757</v>
      </c>
      <c r="AV117" s="705">
        <f t="shared" si="6"/>
        <v>825704</v>
      </c>
    </row>
    <row r="118" spans="2:48" ht="12.75" hidden="1" customHeight="1">
      <c r="B118" t="s">
        <v>531</v>
      </c>
      <c r="C118" t="s">
        <v>116</v>
      </c>
      <c r="D118" t="s">
        <v>584</v>
      </c>
      <c r="E118" t="s">
        <v>584</v>
      </c>
      <c r="F118">
        <v>475</v>
      </c>
      <c r="G118" s="705">
        <v>49226</v>
      </c>
      <c r="H118" s="705">
        <v>84948</v>
      </c>
      <c r="I118" s="705">
        <v>4035127</v>
      </c>
      <c r="J118" s="705">
        <v>3668298</v>
      </c>
      <c r="K118" s="705">
        <v>80</v>
      </c>
      <c r="L118" s="705">
        <v>1069762</v>
      </c>
      <c r="M118" s="705">
        <v>957273</v>
      </c>
      <c r="N118" s="705">
        <v>984256</v>
      </c>
      <c r="O118" s="705">
        <v>364539</v>
      </c>
      <c r="P118" s="705">
        <v>228025</v>
      </c>
      <c r="Q118" s="705">
        <v>84454</v>
      </c>
      <c r="R118" s="705">
        <v>2344153</v>
      </c>
      <c r="S118" s="705">
        <v>2131048</v>
      </c>
      <c r="T118" s="705">
        <v>226444</v>
      </c>
      <c r="U118" s="705">
        <v>83868</v>
      </c>
      <c r="V118" s="705">
        <v>7289479</v>
      </c>
      <c r="W118" s="705">
        <f t="shared" si="4"/>
        <v>7289480</v>
      </c>
      <c r="X118" s="705">
        <f t="shared" si="5"/>
        <v>8887767</v>
      </c>
      <c r="Y118" s="705"/>
      <c r="AA118" t="s">
        <v>116</v>
      </c>
      <c r="AB118" t="s">
        <v>583</v>
      </c>
      <c r="AC118" t="s">
        <v>668</v>
      </c>
      <c r="AD118">
        <v>1</v>
      </c>
      <c r="AE118" s="705">
        <v>96</v>
      </c>
      <c r="AF118" s="705">
        <v>162</v>
      </c>
      <c r="AG118" s="705">
        <v>7262</v>
      </c>
      <c r="AH118" s="705">
        <v>6602</v>
      </c>
      <c r="AI118">
        <v>85</v>
      </c>
      <c r="AJ118" s="705">
        <v>1085</v>
      </c>
      <c r="AK118" s="705">
        <v>987</v>
      </c>
      <c r="AL118" s="705">
        <v>1290</v>
      </c>
      <c r="AM118" s="705">
        <v>478</v>
      </c>
      <c r="AN118" s="705">
        <v>621</v>
      </c>
      <c r="AO118" s="705">
        <v>230</v>
      </c>
      <c r="AP118" s="705">
        <v>5300</v>
      </c>
      <c r="AQ118" s="705">
        <v>4818</v>
      </c>
      <c r="AR118" s="705">
        <v>0</v>
      </c>
      <c r="AS118" s="705">
        <v>0</v>
      </c>
      <c r="AT118" s="705">
        <v>13115</v>
      </c>
      <c r="AU118" s="705">
        <f t="shared" si="7"/>
        <v>13115</v>
      </c>
      <c r="AV118" s="705">
        <f t="shared" si="6"/>
        <v>15558</v>
      </c>
    </row>
    <row r="119" spans="2:48" ht="12.75" hidden="1" customHeight="1">
      <c r="B119" t="s">
        <v>531</v>
      </c>
      <c r="C119" t="s">
        <v>116</v>
      </c>
      <c r="D119" t="s">
        <v>665</v>
      </c>
      <c r="E119" t="s">
        <v>665</v>
      </c>
      <c r="F119" s="705">
        <v>1</v>
      </c>
      <c r="G119" s="705">
        <v>136</v>
      </c>
      <c r="H119" s="705">
        <v>212</v>
      </c>
      <c r="I119" s="705">
        <v>15934</v>
      </c>
      <c r="J119" s="705">
        <v>14485</v>
      </c>
      <c r="K119" s="705">
        <v>65</v>
      </c>
      <c r="L119" s="705">
        <v>1457</v>
      </c>
      <c r="M119" s="705">
        <v>1324</v>
      </c>
      <c r="N119" s="705">
        <v>2824</v>
      </c>
      <c r="O119" s="705">
        <v>1046</v>
      </c>
      <c r="P119" s="705">
        <v>621</v>
      </c>
      <c r="Q119" s="705">
        <v>230</v>
      </c>
      <c r="R119" s="705">
        <v>5020</v>
      </c>
      <c r="S119" s="705">
        <v>4564</v>
      </c>
      <c r="T119" s="705">
        <v>2858</v>
      </c>
      <c r="U119" s="705">
        <v>1058</v>
      </c>
      <c r="V119" s="705">
        <v>22708</v>
      </c>
      <c r="W119" s="705">
        <f t="shared" si="4"/>
        <v>22707</v>
      </c>
      <c r="X119" s="705">
        <f t="shared" si="5"/>
        <v>28714</v>
      </c>
      <c r="Y119" s="705"/>
      <c r="AA119" t="s">
        <v>116</v>
      </c>
      <c r="AB119" t="s">
        <v>666</v>
      </c>
      <c r="AC119" t="s">
        <v>583</v>
      </c>
      <c r="AD119" s="705">
        <v>10</v>
      </c>
      <c r="AE119" s="705">
        <v>1097</v>
      </c>
      <c r="AF119" s="705">
        <v>2030</v>
      </c>
      <c r="AG119" s="705">
        <v>112749</v>
      </c>
      <c r="AH119" s="705">
        <v>102499</v>
      </c>
      <c r="AI119">
        <v>84</v>
      </c>
      <c r="AJ119" s="705">
        <v>23862</v>
      </c>
      <c r="AK119" s="705">
        <v>21420</v>
      </c>
      <c r="AL119" s="705">
        <v>21845</v>
      </c>
      <c r="AM119" s="705">
        <v>8091</v>
      </c>
      <c r="AN119" s="705">
        <v>5859</v>
      </c>
      <c r="AO119" s="705">
        <v>2170</v>
      </c>
      <c r="AP119" s="705">
        <v>49917</v>
      </c>
      <c r="AQ119" s="705">
        <v>45379</v>
      </c>
      <c r="AR119" s="705">
        <v>10756</v>
      </c>
      <c r="AS119" s="705">
        <v>3984</v>
      </c>
      <c r="AT119" s="705">
        <v>183543</v>
      </c>
      <c r="AU119" s="705">
        <f t="shared" si="7"/>
        <v>183543</v>
      </c>
      <c r="AV119" s="705">
        <f t="shared" si="6"/>
        <v>224988</v>
      </c>
    </row>
    <row r="120" spans="2:48" ht="12.75" hidden="1" customHeight="1">
      <c r="B120" t="s">
        <v>531</v>
      </c>
      <c r="C120" t="s">
        <v>116</v>
      </c>
      <c r="D120" t="s">
        <v>722</v>
      </c>
      <c r="E120" t="s">
        <v>722</v>
      </c>
      <c r="F120" s="705">
        <v>1</v>
      </c>
      <c r="G120" s="705">
        <v>89</v>
      </c>
      <c r="H120" s="705">
        <v>184</v>
      </c>
      <c r="I120" s="705">
        <v>7735</v>
      </c>
      <c r="J120" s="705">
        <v>7032</v>
      </c>
      <c r="K120" s="705">
        <v>65</v>
      </c>
      <c r="L120" s="705">
        <v>1862</v>
      </c>
      <c r="M120" s="705">
        <v>1693</v>
      </c>
      <c r="N120" s="705">
        <v>1088</v>
      </c>
      <c r="O120" s="705">
        <v>403</v>
      </c>
      <c r="P120" s="705">
        <v>351</v>
      </c>
      <c r="Q120" s="705">
        <v>130</v>
      </c>
      <c r="R120" s="705">
        <v>5381</v>
      </c>
      <c r="S120" s="705">
        <v>4892</v>
      </c>
      <c r="T120" s="705">
        <v>0</v>
      </c>
      <c r="U120" s="705">
        <v>0</v>
      </c>
      <c r="V120" s="705">
        <v>14150</v>
      </c>
      <c r="W120" s="705">
        <f t="shared" si="4"/>
        <v>14150</v>
      </c>
      <c r="X120" s="705">
        <f t="shared" si="5"/>
        <v>16417</v>
      </c>
      <c r="Y120" s="705"/>
      <c r="AA120" t="s">
        <v>116</v>
      </c>
      <c r="AB120" t="s">
        <v>666</v>
      </c>
      <c r="AC120" t="s">
        <v>666</v>
      </c>
      <c r="AD120">
        <v>15</v>
      </c>
      <c r="AE120" s="705">
        <v>1541</v>
      </c>
      <c r="AF120" s="705">
        <v>3151</v>
      </c>
      <c r="AG120" s="705">
        <v>172662</v>
      </c>
      <c r="AH120" s="705">
        <v>156966</v>
      </c>
      <c r="AI120">
        <v>68</v>
      </c>
      <c r="AJ120" s="705">
        <v>20169</v>
      </c>
      <c r="AK120" s="705">
        <v>17490</v>
      </c>
      <c r="AL120" s="705">
        <v>28782</v>
      </c>
      <c r="AM120" s="705">
        <v>10660</v>
      </c>
      <c r="AN120" s="705">
        <v>6133</v>
      </c>
      <c r="AO120" s="705">
        <v>2272</v>
      </c>
      <c r="AP120" s="705">
        <v>71211</v>
      </c>
      <c r="AQ120" s="705">
        <v>64737</v>
      </c>
      <c r="AR120" s="705">
        <v>24728</v>
      </c>
      <c r="AS120" s="705">
        <v>9158</v>
      </c>
      <c r="AT120" s="705">
        <v>261282</v>
      </c>
      <c r="AU120" s="705">
        <f t="shared" si="7"/>
        <v>261283</v>
      </c>
      <c r="AV120" s="705">
        <f t="shared" si="6"/>
        <v>323685</v>
      </c>
    </row>
    <row r="121" spans="2:48" ht="12.75" hidden="1" customHeight="1">
      <c r="B121" t="s">
        <v>531</v>
      </c>
      <c r="C121" t="s">
        <v>116</v>
      </c>
      <c r="D121" t="s">
        <v>673</v>
      </c>
      <c r="E121" t="s">
        <v>673</v>
      </c>
      <c r="F121">
        <v>1</v>
      </c>
      <c r="G121">
        <v>217</v>
      </c>
      <c r="H121" s="705">
        <v>160</v>
      </c>
      <c r="I121" s="705">
        <v>24952</v>
      </c>
      <c r="J121" s="705">
        <v>22683</v>
      </c>
      <c r="K121" s="705">
        <v>85</v>
      </c>
      <c r="L121" s="705">
        <v>3946</v>
      </c>
      <c r="M121" s="705">
        <v>3587</v>
      </c>
      <c r="N121" s="705">
        <v>2646</v>
      </c>
      <c r="O121">
        <v>980</v>
      </c>
      <c r="P121">
        <v>351</v>
      </c>
      <c r="Q121" s="705">
        <v>130</v>
      </c>
      <c r="R121" s="705">
        <v>2834</v>
      </c>
      <c r="S121" s="705">
        <v>2576</v>
      </c>
      <c r="T121" s="705">
        <v>0</v>
      </c>
      <c r="U121" s="705">
        <v>0</v>
      </c>
      <c r="V121" s="705">
        <v>29957</v>
      </c>
      <c r="W121" s="705">
        <f t="shared" si="4"/>
        <v>29956</v>
      </c>
      <c r="X121" s="705">
        <f t="shared" si="5"/>
        <v>34729</v>
      </c>
      <c r="Y121" s="705"/>
      <c r="AA121" t="s">
        <v>116</v>
      </c>
      <c r="AB121" t="s">
        <v>584</v>
      </c>
      <c r="AC121" t="s">
        <v>664</v>
      </c>
      <c r="AD121">
        <v>1</v>
      </c>
      <c r="AE121" s="705">
        <v>89</v>
      </c>
      <c r="AF121" s="705">
        <v>161</v>
      </c>
      <c r="AG121" s="705">
        <v>5789</v>
      </c>
      <c r="AH121" s="705">
        <v>5263</v>
      </c>
      <c r="AI121">
        <v>78</v>
      </c>
      <c r="AJ121" s="705">
        <v>1824</v>
      </c>
      <c r="AK121" s="705">
        <v>1520</v>
      </c>
      <c r="AL121" s="705">
        <v>2165</v>
      </c>
      <c r="AM121" s="705">
        <v>802</v>
      </c>
      <c r="AN121" s="705">
        <v>473</v>
      </c>
      <c r="AO121" s="705">
        <v>175</v>
      </c>
      <c r="AP121" s="705">
        <v>4038</v>
      </c>
      <c r="AQ121" s="705">
        <v>3671</v>
      </c>
      <c r="AR121" s="705">
        <v>0</v>
      </c>
      <c r="AS121" s="705">
        <v>0</v>
      </c>
      <c r="AT121" s="705">
        <v>11431</v>
      </c>
      <c r="AU121" s="705">
        <f t="shared" si="7"/>
        <v>11431</v>
      </c>
      <c r="AV121" s="705">
        <f t="shared" si="6"/>
        <v>14289</v>
      </c>
    </row>
    <row r="122" spans="2:48" ht="12.75" hidden="1" customHeight="1">
      <c r="B122" t="s">
        <v>531</v>
      </c>
      <c r="C122" t="s">
        <v>118</v>
      </c>
      <c r="D122" t="s">
        <v>664</v>
      </c>
      <c r="E122" t="s">
        <v>583</v>
      </c>
      <c r="F122" s="705">
        <v>1</v>
      </c>
      <c r="G122" s="705">
        <v>80</v>
      </c>
      <c r="H122" s="705">
        <v>282</v>
      </c>
      <c r="I122" s="705">
        <v>10169</v>
      </c>
      <c r="J122" s="705">
        <v>9245</v>
      </c>
      <c r="K122" s="705">
        <v>65</v>
      </c>
      <c r="L122" s="705">
        <v>2328</v>
      </c>
      <c r="M122" s="705">
        <v>2116</v>
      </c>
      <c r="N122" s="705">
        <v>1840</v>
      </c>
      <c r="O122" s="705">
        <v>681</v>
      </c>
      <c r="P122" s="705">
        <v>621</v>
      </c>
      <c r="Q122" s="705">
        <v>230</v>
      </c>
      <c r="R122" s="705">
        <v>4952</v>
      </c>
      <c r="S122" s="705">
        <v>4502</v>
      </c>
      <c r="T122" s="705">
        <v>2610</v>
      </c>
      <c r="U122" s="705">
        <v>967</v>
      </c>
      <c r="V122" s="705">
        <v>17741</v>
      </c>
      <c r="W122" s="705">
        <f t="shared" si="4"/>
        <v>17741</v>
      </c>
      <c r="X122" s="705">
        <f t="shared" si="5"/>
        <v>22520</v>
      </c>
      <c r="Y122" s="705"/>
      <c r="AA122" t="s">
        <v>116</v>
      </c>
      <c r="AB122" t="s">
        <v>584</v>
      </c>
      <c r="AC122" t="s">
        <v>582</v>
      </c>
      <c r="AD122">
        <v>26</v>
      </c>
      <c r="AE122" s="705">
        <v>2467</v>
      </c>
      <c r="AF122" s="705">
        <v>4912</v>
      </c>
      <c r="AG122" s="705">
        <v>234231</v>
      </c>
      <c r="AH122" s="705">
        <v>212937</v>
      </c>
      <c r="AI122">
        <v>85</v>
      </c>
      <c r="AJ122" s="705">
        <v>63710</v>
      </c>
      <c r="AK122" s="705">
        <v>54962</v>
      </c>
      <c r="AL122" s="705">
        <v>46305</v>
      </c>
      <c r="AM122" s="705">
        <v>17150</v>
      </c>
      <c r="AN122" s="705">
        <v>12164</v>
      </c>
      <c r="AO122" s="705">
        <v>4505</v>
      </c>
      <c r="AP122" s="705">
        <v>103453</v>
      </c>
      <c r="AQ122" s="705">
        <v>94048</v>
      </c>
      <c r="AR122" s="705">
        <v>9153</v>
      </c>
      <c r="AS122" s="705">
        <v>3390</v>
      </c>
      <c r="AT122" s="705">
        <v>386992</v>
      </c>
      <c r="AU122" s="705">
        <f t="shared" si="7"/>
        <v>386992</v>
      </c>
      <c r="AV122" s="705">
        <f t="shared" si="6"/>
        <v>469016</v>
      </c>
    </row>
    <row r="123" spans="2:48" ht="12.75" hidden="1" customHeight="1">
      <c r="B123" t="s">
        <v>531</v>
      </c>
      <c r="C123" t="s">
        <v>118</v>
      </c>
      <c r="D123" t="s">
        <v>582</v>
      </c>
      <c r="E123" t="s">
        <v>582</v>
      </c>
      <c r="F123" s="705">
        <v>11</v>
      </c>
      <c r="G123" s="705">
        <v>1043</v>
      </c>
      <c r="H123" s="705">
        <v>2770</v>
      </c>
      <c r="I123" s="705">
        <v>128470</v>
      </c>
      <c r="J123" s="705">
        <v>116791</v>
      </c>
      <c r="K123" s="705">
        <v>82</v>
      </c>
      <c r="L123" s="705">
        <v>46130</v>
      </c>
      <c r="M123" s="705">
        <v>41270</v>
      </c>
      <c r="N123" s="705">
        <v>21619</v>
      </c>
      <c r="O123" s="705">
        <v>8007</v>
      </c>
      <c r="P123" s="705">
        <v>5346</v>
      </c>
      <c r="Q123" s="705">
        <v>1980</v>
      </c>
      <c r="R123" s="705">
        <v>46027</v>
      </c>
      <c r="S123" s="705">
        <v>41842</v>
      </c>
      <c r="T123" s="705">
        <v>14777</v>
      </c>
      <c r="U123" s="705">
        <v>5473</v>
      </c>
      <c r="V123" s="705">
        <v>215364</v>
      </c>
      <c r="W123" s="705">
        <f t="shared" si="4"/>
        <v>215363</v>
      </c>
      <c r="X123" s="705">
        <f t="shared" si="5"/>
        <v>262369</v>
      </c>
      <c r="Y123" s="705"/>
      <c r="AA123" t="s">
        <v>116</v>
      </c>
      <c r="AB123" t="s">
        <v>584</v>
      </c>
      <c r="AC123" t="s">
        <v>228</v>
      </c>
      <c r="AD123">
        <v>98</v>
      </c>
      <c r="AE123" s="705">
        <v>10069</v>
      </c>
      <c r="AF123" s="705">
        <v>18701</v>
      </c>
      <c r="AG123" s="705">
        <v>943573</v>
      </c>
      <c r="AH123" s="705">
        <v>857794</v>
      </c>
      <c r="AI123">
        <v>83</v>
      </c>
      <c r="AJ123" s="705">
        <v>173387</v>
      </c>
      <c r="AK123" s="705">
        <v>149536</v>
      </c>
      <c r="AL123" s="705">
        <v>202200</v>
      </c>
      <c r="AM123" s="705">
        <v>74889</v>
      </c>
      <c r="AN123" s="705">
        <v>47939</v>
      </c>
      <c r="AO123" s="705">
        <v>17755</v>
      </c>
      <c r="AP123" s="705">
        <v>557677</v>
      </c>
      <c r="AQ123" s="705">
        <v>206547</v>
      </c>
      <c r="AR123" s="705">
        <v>751</v>
      </c>
      <c r="AS123" s="705">
        <v>278</v>
      </c>
      <c r="AT123" s="705">
        <v>1306800</v>
      </c>
      <c r="AU123" s="705">
        <f t="shared" si="7"/>
        <v>1306799</v>
      </c>
      <c r="AV123" s="705">
        <f t="shared" si="6"/>
        <v>1925527</v>
      </c>
    </row>
    <row r="124" spans="2:48" ht="12.75" hidden="1" customHeight="1">
      <c r="B124" t="s">
        <v>531</v>
      </c>
      <c r="C124" t="s">
        <v>118</v>
      </c>
      <c r="D124" t="s">
        <v>228</v>
      </c>
      <c r="E124" t="s">
        <v>228</v>
      </c>
      <c r="F124" s="705">
        <v>73</v>
      </c>
      <c r="G124" s="705">
        <v>6826</v>
      </c>
      <c r="H124" s="705">
        <v>19119</v>
      </c>
      <c r="I124" s="705">
        <v>947419</v>
      </c>
      <c r="J124" s="705">
        <v>350896</v>
      </c>
      <c r="K124" s="705">
        <v>100</v>
      </c>
      <c r="L124" s="705">
        <v>143101</v>
      </c>
      <c r="M124" s="705">
        <v>90955</v>
      </c>
      <c r="N124" s="705">
        <v>149106</v>
      </c>
      <c r="O124" s="705">
        <v>55224</v>
      </c>
      <c r="P124" s="705">
        <v>351</v>
      </c>
      <c r="Q124" s="705">
        <v>130</v>
      </c>
      <c r="R124" s="705">
        <v>545483</v>
      </c>
      <c r="S124" s="705">
        <v>202031</v>
      </c>
      <c r="T124" s="705">
        <v>0</v>
      </c>
      <c r="U124" s="705">
        <v>0</v>
      </c>
      <c r="V124" s="705">
        <v>699236</v>
      </c>
      <c r="W124" s="705">
        <f t="shared" si="4"/>
        <v>699236</v>
      </c>
      <c r="X124" s="705">
        <f t="shared" si="5"/>
        <v>1785460</v>
      </c>
      <c r="Y124" s="705"/>
      <c r="AA124" t="s">
        <v>116</v>
      </c>
      <c r="AB124" t="s">
        <v>584</v>
      </c>
      <c r="AC124" t="s">
        <v>583</v>
      </c>
      <c r="AD124">
        <v>34</v>
      </c>
      <c r="AE124" s="705">
        <v>3545</v>
      </c>
      <c r="AF124" s="705">
        <v>6446</v>
      </c>
      <c r="AG124" s="705">
        <v>329540</v>
      </c>
      <c r="AH124" s="705">
        <v>299582</v>
      </c>
      <c r="AI124">
        <v>82</v>
      </c>
      <c r="AJ124" s="705">
        <v>84585</v>
      </c>
      <c r="AK124" s="705">
        <v>72869</v>
      </c>
      <c r="AL124" s="705">
        <v>75970</v>
      </c>
      <c r="AM124" s="705">
        <v>28137</v>
      </c>
      <c r="AN124" s="705">
        <v>16416</v>
      </c>
      <c r="AO124" s="705">
        <v>6080</v>
      </c>
      <c r="AP124" s="705">
        <v>156603</v>
      </c>
      <c r="AQ124" s="705">
        <v>142366</v>
      </c>
      <c r="AR124" s="705">
        <v>23177</v>
      </c>
      <c r="AS124" s="705">
        <v>8584</v>
      </c>
      <c r="AT124" s="705">
        <v>557619</v>
      </c>
      <c r="AU124" s="705">
        <f t="shared" si="7"/>
        <v>557618</v>
      </c>
      <c r="AV124" s="705">
        <f t="shared" si="6"/>
        <v>686291</v>
      </c>
    </row>
    <row r="125" spans="2:48" ht="12.75" hidden="1" customHeight="1">
      <c r="B125" t="s">
        <v>531</v>
      </c>
      <c r="C125" t="s">
        <v>118</v>
      </c>
      <c r="D125" t="s">
        <v>228</v>
      </c>
      <c r="E125" t="s">
        <v>665</v>
      </c>
      <c r="F125">
        <v>1</v>
      </c>
      <c r="G125" s="705">
        <v>77</v>
      </c>
      <c r="H125" s="705">
        <v>278</v>
      </c>
      <c r="I125" s="705">
        <v>10626</v>
      </c>
      <c r="J125" s="705">
        <v>3936</v>
      </c>
      <c r="K125" s="705">
        <v>100</v>
      </c>
      <c r="L125" s="705">
        <v>1603</v>
      </c>
      <c r="M125" s="705">
        <v>1458</v>
      </c>
      <c r="N125" s="705">
        <v>1781</v>
      </c>
      <c r="O125" s="705">
        <v>659</v>
      </c>
      <c r="P125" s="705">
        <v>351</v>
      </c>
      <c r="Q125" s="705">
        <v>130</v>
      </c>
      <c r="R125" s="705">
        <v>4540</v>
      </c>
      <c r="S125" s="705">
        <v>4127</v>
      </c>
      <c r="T125" s="705">
        <v>2481</v>
      </c>
      <c r="U125" s="705">
        <v>919</v>
      </c>
      <c r="V125" s="705">
        <v>11229</v>
      </c>
      <c r="W125" s="705">
        <f t="shared" si="4"/>
        <v>11229</v>
      </c>
      <c r="X125" s="705">
        <f t="shared" si="5"/>
        <v>21382</v>
      </c>
      <c r="Y125" s="705"/>
      <c r="AA125" t="s">
        <v>116</v>
      </c>
      <c r="AB125" t="s">
        <v>584</v>
      </c>
      <c r="AC125" t="s">
        <v>666</v>
      </c>
      <c r="AD125">
        <v>5</v>
      </c>
      <c r="AE125" s="705">
        <v>505</v>
      </c>
      <c r="AF125" s="705">
        <v>989</v>
      </c>
      <c r="AG125" s="705">
        <v>44593</v>
      </c>
      <c r="AH125" s="705">
        <v>40539</v>
      </c>
      <c r="AI125">
        <v>77</v>
      </c>
      <c r="AJ125" s="705">
        <v>10857</v>
      </c>
      <c r="AK125" s="705">
        <v>9870</v>
      </c>
      <c r="AL125" s="705">
        <v>10592</v>
      </c>
      <c r="AM125" s="705">
        <v>3923</v>
      </c>
      <c r="AN125" s="705">
        <v>2363</v>
      </c>
      <c r="AO125" s="705">
        <v>875</v>
      </c>
      <c r="AP125" s="705">
        <v>25768</v>
      </c>
      <c r="AQ125" s="705">
        <v>23425</v>
      </c>
      <c r="AR125" s="705">
        <v>5768</v>
      </c>
      <c r="AS125" s="705">
        <v>2136</v>
      </c>
      <c r="AT125" s="705">
        <v>80769</v>
      </c>
      <c r="AU125" s="705">
        <f t="shared" si="7"/>
        <v>80768</v>
      </c>
      <c r="AV125" s="705">
        <f t="shared" si="6"/>
        <v>99941</v>
      </c>
    </row>
    <row r="126" spans="2:48" ht="12.75" hidden="1" customHeight="1">
      <c r="B126" t="s">
        <v>531</v>
      </c>
      <c r="C126" t="s">
        <v>118</v>
      </c>
      <c r="D126" t="s">
        <v>583</v>
      </c>
      <c r="E126" s="705" t="s">
        <v>228</v>
      </c>
      <c r="F126" s="705">
        <v>1</v>
      </c>
      <c r="G126" s="705">
        <v>103</v>
      </c>
      <c r="H126" s="705">
        <v>232</v>
      </c>
      <c r="I126" s="705">
        <v>11993</v>
      </c>
      <c r="J126" s="705">
        <v>10903</v>
      </c>
      <c r="K126" s="705">
        <v>79</v>
      </c>
      <c r="L126" s="705">
        <v>3331</v>
      </c>
      <c r="M126" s="705">
        <v>3028</v>
      </c>
      <c r="N126" s="705">
        <v>2510</v>
      </c>
      <c r="O126" s="705">
        <v>929</v>
      </c>
      <c r="P126" s="705">
        <v>621</v>
      </c>
      <c r="Q126" s="705">
        <v>230</v>
      </c>
      <c r="R126" s="705">
        <v>5477</v>
      </c>
      <c r="S126" s="705">
        <v>2029</v>
      </c>
      <c r="T126" s="705">
        <v>0</v>
      </c>
      <c r="U126" s="705">
        <v>0</v>
      </c>
      <c r="V126" s="705">
        <v>17119</v>
      </c>
      <c r="W126" s="705">
        <f t="shared" si="4"/>
        <v>17119</v>
      </c>
      <c r="X126" s="705">
        <f t="shared" si="5"/>
        <v>23932</v>
      </c>
      <c r="Y126" s="705"/>
      <c r="AA126" t="s">
        <v>116</v>
      </c>
      <c r="AB126" t="s">
        <v>584</v>
      </c>
      <c r="AC126" t="s">
        <v>584</v>
      </c>
      <c r="AD126" s="705">
        <v>98337</v>
      </c>
      <c r="AE126" s="705">
        <v>9853056</v>
      </c>
      <c r="AF126" s="705">
        <v>18456461</v>
      </c>
      <c r="AG126" s="705">
        <v>895108618</v>
      </c>
      <c r="AH126" s="705">
        <v>813735102</v>
      </c>
      <c r="AI126">
        <v>83</v>
      </c>
      <c r="AJ126" s="705">
        <v>230315217</v>
      </c>
      <c r="AK126" s="705">
        <v>198417437</v>
      </c>
      <c r="AL126" s="705">
        <v>193739819</v>
      </c>
      <c r="AM126" s="705">
        <v>71755487</v>
      </c>
      <c r="AN126" s="705">
        <v>47148147</v>
      </c>
      <c r="AO126" s="705">
        <v>17462277</v>
      </c>
      <c r="AP126" s="705">
        <v>450432133</v>
      </c>
      <c r="AQ126" s="705">
        <v>409483753</v>
      </c>
      <c r="AR126" s="705">
        <v>56372967</v>
      </c>
      <c r="AS126" s="705">
        <v>20878876</v>
      </c>
      <c r="AT126" s="705">
        <v>1531732932</v>
      </c>
      <c r="AU126" s="705">
        <f t="shared" si="7"/>
        <v>1531732932</v>
      </c>
      <c r="AV126" s="705">
        <f t="shared" si="6"/>
        <v>1873116901</v>
      </c>
    </row>
    <row r="127" spans="2:48" ht="12.75" hidden="1" customHeight="1">
      <c r="B127" t="s">
        <v>531</v>
      </c>
      <c r="C127" t="s">
        <v>118</v>
      </c>
      <c r="D127" t="s">
        <v>583</v>
      </c>
      <c r="E127" t="s">
        <v>583</v>
      </c>
      <c r="F127" s="705">
        <v>642</v>
      </c>
      <c r="G127" s="705">
        <v>52494</v>
      </c>
      <c r="H127" s="705">
        <v>164181</v>
      </c>
      <c r="I127" s="705">
        <v>6598223</v>
      </c>
      <c r="J127" s="705">
        <v>5998385</v>
      </c>
      <c r="K127" s="705">
        <v>82</v>
      </c>
      <c r="L127" s="705">
        <v>1629944</v>
      </c>
      <c r="M127" s="705">
        <v>1440851</v>
      </c>
      <c r="N127" s="705">
        <v>1072729</v>
      </c>
      <c r="O127" s="705">
        <v>397307</v>
      </c>
      <c r="P127" s="705">
        <v>403216</v>
      </c>
      <c r="Q127" s="705">
        <v>149339</v>
      </c>
      <c r="R127" s="705">
        <v>2625948</v>
      </c>
      <c r="S127" s="705">
        <v>2387225</v>
      </c>
      <c r="T127" s="705">
        <v>1123150</v>
      </c>
      <c r="U127" s="705">
        <v>415982</v>
      </c>
      <c r="V127" s="705">
        <v>10789088</v>
      </c>
      <c r="W127" s="705">
        <f t="shared" si="4"/>
        <v>10789089</v>
      </c>
      <c r="X127" s="705">
        <f t="shared" si="5"/>
        <v>13453210</v>
      </c>
      <c r="Y127" s="705"/>
      <c r="AA127" t="s">
        <v>116</v>
      </c>
      <c r="AB127" t="s">
        <v>584</v>
      </c>
      <c r="AC127" t="s">
        <v>669</v>
      </c>
      <c r="AD127">
        <v>17</v>
      </c>
      <c r="AE127" s="705">
        <v>1652</v>
      </c>
      <c r="AF127" s="705">
        <v>3376</v>
      </c>
      <c r="AG127" s="705">
        <v>153958</v>
      </c>
      <c r="AH127" s="705">
        <v>139962</v>
      </c>
      <c r="AI127">
        <v>80</v>
      </c>
      <c r="AJ127" s="705">
        <v>39516</v>
      </c>
      <c r="AK127" s="705">
        <v>37294</v>
      </c>
      <c r="AL127" s="705">
        <v>31268</v>
      </c>
      <c r="AM127" s="705">
        <v>11581</v>
      </c>
      <c r="AN127" s="705">
        <v>8033</v>
      </c>
      <c r="AO127" s="705">
        <v>2975</v>
      </c>
      <c r="AP127" s="705">
        <v>89462</v>
      </c>
      <c r="AQ127" s="705">
        <v>74552</v>
      </c>
      <c r="AR127" s="705">
        <v>12880</v>
      </c>
      <c r="AS127" s="705">
        <v>4770</v>
      </c>
      <c r="AT127" s="705">
        <v>271134</v>
      </c>
      <c r="AU127" s="705">
        <f t="shared" si="7"/>
        <v>271134</v>
      </c>
      <c r="AV127" s="705">
        <f t="shared" si="6"/>
        <v>335117</v>
      </c>
    </row>
    <row r="128" spans="2:48" ht="12.75" hidden="1" customHeight="1">
      <c r="B128" t="s">
        <v>531</v>
      </c>
      <c r="C128" t="s">
        <v>118</v>
      </c>
      <c r="D128" t="s">
        <v>583</v>
      </c>
      <c r="E128" t="s">
        <v>665</v>
      </c>
      <c r="F128">
        <v>1</v>
      </c>
      <c r="G128" s="705">
        <v>118</v>
      </c>
      <c r="H128" s="705">
        <v>232</v>
      </c>
      <c r="I128" s="705">
        <v>13778</v>
      </c>
      <c r="J128" s="705">
        <v>12525</v>
      </c>
      <c r="K128" s="705">
        <v>83</v>
      </c>
      <c r="L128" s="705">
        <v>4021</v>
      </c>
      <c r="M128" s="705">
        <v>3656</v>
      </c>
      <c r="N128" s="705">
        <v>2106</v>
      </c>
      <c r="O128" s="705">
        <v>780</v>
      </c>
      <c r="P128" s="705">
        <v>621</v>
      </c>
      <c r="Q128" s="705">
        <v>230</v>
      </c>
      <c r="R128" s="705">
        <v>6963</v>
      </c>
      <c r="S128" s="705">
        <v>6330</v>
      </c>
      <c r="T128" s="705">
        <v>0</v>
      </c>
      <c r="U128" s="705">
        <v>0</v>
      </c>
      <c r="V128" s="705">
        <v>23520</v>
      </c>
      <c r="W128" s="705">
        <f t="shared" si="4"/>
        <v>23521</v>
      </c>
      <c r="X128" s="705">
        <f t="shared" si="5"/>
        <v>27489</v>
      </c>
      <c r="Y128" s="705"/>
      <c r="AA128" t="s">
        <v>116</v>
      </c>
      <c r="AB128" t="s">
        <v>584</v>
      </c>
      <c r="AC128" t="s">
        <v>667</v>
      </c>
      <c r="AD128">
        <v>3</v>
      </c>
      <c r="AE128">
        <v>334</v>
      </c>
      <c r="AF128" s="705">
        <v>569</v>
      </c>
      <c r="AG128" s="705">
        <v>28969</v>
      </c>
      <c r="AH128" s="705">
        <v>26335</v>
      </c>
      <c r="AI128">
        <v>77</v>
      </c>
      <c r="AJ128" s="705">
        <v>7084</v>
      </c>
      <c r="AK128" s="705">
        <v>5269</v>
      </c>
      <c r="AL128" s="705">
        <v>7815</v>
      </c>
      <c r="AM128" s="705">
        <v>2894</v>
      </c>
      <c r="AN128" s="705">
        <v>1418</v>
      </c>
      <c r="AO128">
        <v>525</v>
      </c>
      <c r="AP128" s="705">
        <v>14902</v>
      </c>
      <c r="AQ128" s="705">
        <v>13548</v>
      </c>
      <c r="AR128" s="705">
        <v>2850</v>
      </c>
      <c r="AS128" s="705">
        <v>1055</v>
      </c>
      <c r="AT128" s="705">
        <v>49627</v>
      </c>
      <c r="AU128" s="705">
        <f t="shared" si="7"/>
        <v>49626</v>
      </c>
      <c r="AV128" s="705">
        <f t="shared" si="6"/>
        <v>63038</v>
      </c>
    </row>
    <row r="129" spans="2:48" ht="12.75" hidden="1" customHeight="1">
      <c r="B129" t="s">
        <v>531</v>
      </c>
      <c r="C129" t="s">
        <v>118</v>
      </c>
      <c r="D129" t="s">
        <v>666</v>
      </c>
      <c r="E129" t="s">
        <v>666</v>
      </c>
      <c r="F129" s="705">
        <v>1</v>
      </c>
      <c r="G129" s="705">
        <v>80</v>
      </c>
      <c r="H129" s="705">
        <v>289</v>
      </c>
      <c r="I129" s="705">
        <v>12183</v>
      </c>
      <c r="J129" s="705">
        <v>11075</v>
      </c>
      <c r="K129" s="705">
        <v>65</v>
      </c>
      <c r="L129" s="705">
        <v>2933</v>
      </c>
      <c r="M129" s="705">
        <v>2666</v>
      </c>
      <c r="N129" s="705">
        <v>1461</v>
      </c>
      <c r="O129" s="705">
        <v>541</v>
      </c>
      <c r="P129" s="705">
        <v>351</v>
      </c>
      <c r="Q129" s="705">
        <v>130</v>
      </c>
      <c r="R129" s="705">
        <v>6176</v>
      </c>
      <c r="S129" s="705">
        <v>5614</v>
      </c>
      <c r="T129" s="705">
        <v>0</v>
      </c>
      <c r="U129" s="705">
        <v>0</v>
      </c>
      <c r="V129" s="705">
        <v>20027</v>
      </c>
      <c r="W129" s="705">
        <f t="shared" si="4"/>
        <v>20026</v>
      </c>
      <c r="X129" s="705">
        <f t="shared" si="5"/>
        <v>23104</v>
      </c>
      <c r="Y129" s="705"/>
      <c r="AA129" t="s">
        <v>116</v>
      </c>
      <c r="AB129" t="s">
        <v>584</v>
      </c>
      <c r="AC129" t="s">
        <v>665</v>
      </c>
      <c r="AD129">
        <v>18</v>
      </c>
      <c r="AE129" s="705">
        <v>1922</v>
      </c>
      <c r="AF129" s="705">
        <v>3481</v>
      </c>
      <c r="AG129" s="705">
        <v>187426</v>
      </c>
      <c r="AH129" s="705">
        <v>170387</v>
      </c>
      <c r="AI129">
        <v>82</v>
      </c>
      <c r="AJ129" s="705">
        <v>43062</v>
      </c>
      <c r="AK129" s="705">
        <v>40861</v>
      </c>
      <c r="AL129" s="705">
        <v>38617</v>
      </c>
      <c r="AM129" s="705">
        <v>14302</v>
      </c>
      <c r="AN129" s="705">
        <v>8505</v>
      </c>
      <c r="AO129" s="705">
        <v>3150</v>
      </c>
      <c r="AP129" s="705">
        <v>83862</v>
      </c>
      <c r="AQ129" s="705">
        <v>76238</v>
      </c>
      <c r="AR129" s="705">
        <v>7437</v>
      </c>
      <c r="AS129" s="705">
        <v>2755</v>
      </c>
      <c r="AT129" s="705">
        <v>307693</v>
      </c>
      <c r="AU129" s="705">
        <f t="shared" si="7"/>
        <v>307693</v>
      </c>
      <c r="AV129" s="705">
        <f t="shared" si="6"/>
        <v>368909</v>
      </c>
    </row>
    <row r="130" spans="2:48" ht="12.75" hidden="1" customHeight="1">
      <c r="B130" t="s">
        <v>531</v>
      </c>
      <c r="C130" t="s">
        <v>118</v>
      </c>
      <c r="D130" t="s">
        <v>584</v>
      </c>
      <c r="E130" t="s">
        <v>584</v>
      </c>
      <c r="F130">
        <v>45</v>
      </c>
      <c r="G130" s="705">
        <v>3977</v>
      </c>
      <c r="H130" s="705">
        <v>11148</v>
      </c>
      <c r="I130" s="705">
        <v>483551</v>
      </c>
      <c r="J130" s="705">
        <v>439591</v>
      </c>
      <c r="K130" s="705">
        <v>78</v>
      </c>
      <c r="L130" s="705">
        <v>149203</v>
      </c>
      <c r="M130" s="705">
        <v>135334</v>
      </c>
      <c r="N130" s="705">
        <v>81947</v>
      </c>
      <c r="O130" s="705">
        <v>30351</v>
      </c>
      <c r="P130" s="705">
        <v>21263</v>
      </c>
      <c r="Q130" s="705">
        <v>7875</v>
      </c>
      <c r="R130" s="705">
        <v>192384</v>
      </c>
      <c r="S130" s="705">
        <v>174895</v>
      </c>
      <c r="T130" s="705">
        <v>66570</v>
      </c>
      <c r="U130" s="705">
        <v>24655</v>
      </c>
      <c r="V130" s="705">
        <v>812701</v>
      </c>
      <c r="W130" s="705">
        <f t="shared" si="4"/>
        <v>812701</v>
      </c>
      <c r="X130" s="705">
        <f t="shared" si="5"/>
        <v>994918</v>
      </c>
      <c r="Y130" s="705"/>
      <c r="AA130" t="s">
        <v>116</v>
      </c>
      <c r="AB130" t="s">
        <v>584</v>
      </c>
      <c r="AC130" t="s">
        <v>673</v>
      </c>
      <c r="AD130">
        <v>3</v>
      </c>
      <c r="AE130" s="705">
        <v>317</v>
      </c>
      <c r="AF130" s="705">
        <v>601</v>
      </c>
      <c r="AG130" s="705">
        <v>37212</v>
      </c>
      <c r="AH130" s="705">
        <v>33829</v>
      </c>
      <c r="AI130">
        <v>83</v>
      </c>
      <c r="AJ130" s="705">
        <v>7204</v>
      </c>
      <c r="AK130" s="705">
        <v>6549</v>
      </c>
      <c r="AL130" s="705">
        <v>6083</v>
      </c>
      <c r="AM130" s="705">
        <v>2253</v>
      </c>
      <c r="AN130" s="705">
        <v>1418</v>
      </c>
      <c r="AO130" s="705">
        <v>525</v>
      </c>
      <c r="AP130" s="705">
        <v>16525</v>
      </c>
      <c r="AQ130" s="705">
        <v>15023</v>
      </c>
      <c r="AR130" s="705">
        <v>2751</v>
      </c>
      <c r="AS130" s="705">
        <v>1019</v>
      </c>
      <c r="AT130" s="705">
        <v>59197</v>
      </c>
      <c r="AU130" s="705">
        <f t="shared" si="7"/>
        <v>59198</v>
      </c>
      <c r="AV130" s="705">
        <f t="shared" si="6"/>
        <v>71193</v>
      </c>
    </row>
    <row r="131" spans="2:48" ht="12.75" hidden="1" customHeight="1">
      <c r="B131" t="s">
        <v>531</v>
      </c>
      <c r="C131" t="s">
        <v>118</v>
      </c>
      <c r="D131" t="s">
        <v>665</v>
      </c>
      <c r="E131" t="s">
        <v>583</v>
      </c>
      <c r="F131" s="705">
        <v>1</v>
      </c>
      <c r="G131" s="705">
        <v>78</v>
      </c>
      <c r="H131" s="705">
        <v>256</v>
      </c>
      <c r="I131" s="705">
        <v>10443</v>
      </c>
      <c r="J131" s="705">
        <v>9494</v>
      </c>
      <c r="K131" s="705">
        <v>70</v>
      </c>
      <c r="L131" s="705">
        <v>1894</v>
      </c>
      <c r="M131" s="705">
        <v>701</v>
      </c>
      <c r="N131" s="705">
        <v>954</v>
      </c>
      <c r="O131" s="705">
        <v>353</v>
      </c>
      <c r="P131" s="705">
        <v>621</v>
      </c>
      <c r="Q131" s="705">
        <v>230</v>
      </c>
      <c r="R131" s="705">
        <v>4018</v>
      </c>
      <c r="S131" s="705">
        <v>3653</v>
      </c>
      <c r="T131" s="705">
        <v>2143</v>
      </c>
      <c r="U131" s="705">
        <v>794</v>
      </c>
      <c r="V131" s="705">
        <v>15225</v>
      </c>
      <c r="W131" s="705">
        <f t="shared" si="4"/>
        <v>15225</v>
      </c>
      <c r="X131" s="705">
        <f t="shared" si="5"/>
        <v>20073</v>
      </c>
      <c r="Y131" s="705"/>
      <c r="AA131" t="s">
        <v>116</v>
      </c>
      <c r="AB131" t="s">
        <v>669</v>
      </c>
      <c r="AC131" t="s">
        <v>584</v>
      </c>
      <c r="AD131">
        <v>1</v>
      </c>
      <c r="AE131" s="705">
        <v>82</v>
      </c>
      <c r="AF131" s="705">
        <v>170</v>
      </c>
      <c r="AG131" s="705">
        <v>5270</v>
      </c>
      <c r="AH131" s="705">
        <v>4392</v>
      </c>
      <c r="AI131">
        <v>78</v>
      </c>
      <c r="AJ131" s="705">
        <v>1326</v>
      </c>
      <c r="AK131" s="705">
        <v>1205</v>
      </c>
      <c r="AL131" s="705">
        <v>996</v>
      </c>
      <c r="AM131" s="705">
        <v>369</v>
      </c>
      <c r="AN131" s="705">
        <v>473</v>
      </c>
      <c r="AO131" s="705">
        <v>175</v>
      </c>
      <c r="AP131" s="705">
        <v>3657</v>
      </c>
      <c r="AQ131" s="705">
        <v>3325</v>
      </c>
      <c r="AR131" s="705">
        <v>2189</v>
      </c>
      <c r="AS131">
        <v>811</v>
      </c>
      <c r="AT131" s="705">
        <v>10277</v>
      </c>
      <c r="AU131" s="705">
        <f t="shared" si="7"/>
        <v>10277</v>
      </c>
      <c r="AV131" s="705">
        <f t="shared" si="6"/>
        <v>13911</v>
      </c>
    </row>
    <row r="132" spans="2:48" ht="12.75" hidden="1" customHeight="1">
      <c r="B132" t="s">
        <v>531</v>
      </c>
      <c r="C132" t="s">
        <v>118</v>
      </c>
      <c r="D132" t="s">
        <v>665</v>
      </c>
      <c r="E132" t="s">
        <v>665</v>
      </c>
      <c r="F132" s="705">
        <v>56</v>
      </c>
      <c r="G132" s="705">
        <v>4874</v>
      </c>
      <c r="H132" s="705">
        <v>15341</v>
      </c>
      <c r="I132" s="705">
        <v>679582</v>
      </c>
      <c r="J132" s="705">
        <v>617802</v>
      </c>
      <c r="K132" s="705">
        <v>57</v>
      </c>
      <c r="L132" s="705">
        <v>119167</v>
      </c>
      <c r="M132" s="705">
        <v>106626</v>
      </c>
      <c r="N132" s="705">
        <v>94543</v>
      </c>
      <c r="O132" s="705">
        <v>35016</v>
      </c>
      <c r="P132" s="705">
        <v>21708</v>
      </c>
      <c r="Q132" s="705">
        <v>8040</v>
      </c>
      <c r="R132" s="705">
        <v>336470</v>
      </c>
      <c r="S132" s="705">
        <v>305882</v>
      </c>
      <c r="T132" s="705">
        <v>76950</v>
      </c>
      <c r="U132" s="705">
        <v>28500</v>
      </c>
      <c r="V132" s="705">
        <v>1101866</v>
      </c>
      <c r="W132" s="705">
        <f t="shared" si="4"/>
        <v>1101866</v>
      </c>
      <c r="X132" s="705">
        <f t="shared" si="5"/>
        <v>1328420</v>
      </c>
      <c r="Y132" s="705"/>
      <c r="AA132" t="s">
        <v>116</v>
      </c>
      <c r="AB132" t="s">
        <v>669</v>
      </c>
      <c r="AC132" t="s">
        <v>669</v>
      </c>
      <c r="AD132">
        <v>56</v>
      </c>
      <c r="AE132" s="705">
        <v>4735</v>
      </c>
      <c r="AF132" s="705">
        <v>11617</v>
      </c>
      <c r="AG132" s="705">
        <v>488248</v>
      </c>
      <c r="AH132" s="705">
        <v>406873</v>
      </c>
      <c r="AI132">
        <v>68</v>
      </c>
      <c r="AJ132" s="705">
        <v>26617</v>
      </c>
      <c r="AK132" s="705">
        <v>22020</v>
      </c>
      <c r="AL132" s="705">
        <v>82337</v>
      </c>
      <c r="AM132" s="705">
        <v>30495</v>
      </c>
      <c r="AN132" s="705">
        <v>20277</v>
      </c>
      <c r="AO132" s="705">
        <v>7510</v>
      </c>
      <c r="AP132" s="705">
        <v>265119</v>
      </c>
      <c r="AQ132" s="705">
        <v>220932</v>
      </c>
      <c r="AR132" s="705">
        <v>103402</v>
      </c>
      <c r="AS132" s="705">
        <v>38297</v>
      </c>
      <c r="AT132" s="705">
        <v>726128</v>
      </c>
      <c r="AU132" s="705">
        <f t="shared" si="7"/>
        <v>726127</v>
      </c>
      <c r="AV132" s="705">
        <f t="shared" si="6"/>
        <v>986000</v>
      </c>
    </row>
    <row r="133" spans="2:48" ht="12.75" hidden="1" customHeight="1">
      <c r="B133" t="s">
        <v>531</v>
      </c>
      <c r="C133" t="s">
        <v>118</v>
      </c>
      <c r="D133" t="s">
        <v>673</v>
      </c>
      <c r="E133" t="s">
        <v>673</v>
      </c>
      <c r="F133">
        <v>1</v>
      </c>
      <c r="G133">
        <v>79</v>
      </c>
      <c r="H133" s="705">
        <v>260</v>
      </c>
      <c r="I133" s="705">
        <v>9818</v>
      </c>
      <c r="J133" s="705">
        <v>8926</v>
      </c>
      <c r="K133" s="705">
        <v>65</v>
      </c>
      <c r="L133" s="705">
        <v>2364</v>
      </c>
      <c r="M133" s="705">
        <v>2149</v>
      </c>
      <c r="N133" s="705">
        <v>1772</v>
      </c>
      <c r="O133" s="705">
        <v>656</v>
      </c>
      <c r="P133" s="705">
        <v>351</v>
      </c>
      <c r="Q133" s="705">
        <v>130</v>
      </c>
      <c r="R133" s="705">
        <v>6142</v>
      </c>
      <c r="S133" s="705">
        <v>5584</v>
      </c>
      <c r="T133" s="705">
        <v>0</v>
      </c>
      <c r="U133" s="705">
        <v>0</v>
      </c>
      <c r="V133" s="705">
        <v>17445</v>
      </c>
      <c r="W133" s="705">
        <f t="shared" si="4"/>
        <v>17445</v>
      </c>
      <c r="X133" s="705">
        <f t="shared" si="5"/>
        <v>20447</v>
      </c>
      <c r="Y133" s="705"/>
      <c r="AA133" t="s">
        <v>116</v>
      </c>
      <c r="AB133" t="s">
        <v>667</v>
      </c>
      <c r="AC133" t="s">
        <v>667</v>
      </c>
      <c r="AD133" s="705">
        <v>4</v>
      </c>
      <c r="AE133" s="705">
        <v>342</v>
      </c>
      <c r="AF133" s="705">
        <v>812</v>
      </c>
      <c r="AG133" s="705">
        <v>32508</v>
      </c>
      <c r="AH133" s="705">
        <v>29552</v>
      </c>
      <c r="AI133">
        <v>65</v>
      </c>
      <c r="AJ133" s="705">
        <v>3064</v>
      </c>
      <c r="AK133" s="705">
        <v>2785</v>
      </c>
      <c r="AL133" s="705">
        <v>5752</v>
      </c>
      <c r="AM133" s="705">
        <v>2130</v>
      </c>
      <c r="AN133" s="705">
        <v>1053</v>
      </c>
      <c r="AO133" s="705">
        <v>390</v>
      </c>
      <c r="AP133" s="705">
        <v>22480</v>
      </c>
      <c r="AQ133" s="705">
        <v>20436</v>
      </c>
      <c r="AR133" s="705">
        <v>4498</v>
      </c>
      <c r="AS133" s="705">
        <v>1666</v>
      </c>
      <c r="AT133" s="705">
        <v>56960</v>
      </c>
      <c r="AU133" s="705">
        <f t="shared" si="7"/>
        <v>56959</v>
      </c>
      <c r="AV133" s="705">
        <f t="shared" si="6"/>
        <v>69355</v>
      </c>
    </row>
    <row r="134" spans="2:48" ht="12.75" hidden="1" customHeight="1">
      <c r="B134" t="s">
        <v>531</v>
      </c>
      <c r="C134" t="s">
        <v>120</v>
      </c>
      <c r="F134">
        <v>1</v>
      </c>
      <c r="G134">
        <v>106</v>
      </c>
      <c r="H134" s="705">
        <v>329</v>
      </c>
      <c r="I134" s="705"/>
      <c r="J134" s="705">
        <v>0</v>
      </c>
      <c r="L134" s="705"/>
      <c r="M134" s="705">
        <v>0</v>
      </c>
      <c r="N134" s="705">
        <v>2472</v>
      </c>
      <c r="O134" s="705">
        <v>915</v>
      </c>
      <c r="P134" s="705">
        <v>0</v>
      </c>
      <c r="Q134" s="705">
        <v>0</v>
      </c>
      <c r="R134" s="705"/>
      <c r="S134" s="705">
        <v>0</v>
      </c>
      <c r="T134" s="705">
        <v>0</v>
      </c>
      <c r="U134" s="705">
        <v>0</v>
      </c>
      <c r="V134" s="705">
        <v>915</v>
      </c>
      <c r="W134" s="705">
        <f t="shared" si="4"/>
        <v>915</v>
      </c>
      <c r="X134" s="705">
        <f t="shared" si="5"/>
        <v>2472</v>
      </c>
      <c r="Y134" s="705"/>
      <c r="AA134" t="s">
        <v>116</v>
      </c>
      <c r="AB134" t="s">
        <v>667</v>
      </c>
      <c r="AC134" t="s">
        <v>673</v>
      </c>
      <c r="AD134">
        <v>1</v>
      </c>
      <c r="AE134" s="705">
        <v>98</v>
      </c>
      <c r="AF134" s="705">
        <v>191</v>
      </c>
      <c r="AG134" s="705">
        <v>8698</v>
      </c>
      <c r="AH134" s="705">
        <v>7908</v>
      </c>
      <c r="AI134">
        <v>95</v>
      </c>
      <c r="AJ134" s="705">
        <v>0</v>
      </c>
      <c r="AK134" s="705">
        <v>1257</v>
      </c>
      <c r="AL134" s="705">
        <v>2394</v>
      </c>
      <c r="AM134" s="705">
        <v>887</v>
      </c>
      <c r="AN134" s="705">
        <v>621</v>
      </c>
      <c r="AO134" s="705">
        <v>230</v>
      </c>
      <c r="AP134" s="705">
        <v>7084</v>
      </c>
      <c r="AQ134" s="705">
        <v>6440</v>
      </c>
      <c r="AR134" s="705">
        <v>0</v>
      </c>
      <c r="AS134" s="705">
        <v>0</v>
      </c>
      <c r="AT134" s="705">
        <v>16721</v>
      </c>
      <c r="AU134" s="705">
        <f t="shared" si="7"/>
        <v>16722</v>
      </c>
      <c r="AV134" s="705">
        <f t="shared" si="6"/>
        <v>18797</v>
      </c>
    </row>
    <row r="135" spans="2:48" ht="12.75" hidden="1" customHeight="1">
      <c r="B135" t="s">
        <v>531</v>
      </c>
      <c r="C135" t="s">
        <v>120</v>
      </c>
      <c r="D135" t="s">
        <v>582</v>
      </c>
      <c r="E135" t="s">
        <v>582</v>
      </c>
      <c r="F135" s="705">
        <v>1</v>
      </c>
      <c r="G135" s="705">
        <v>100</v>
      </c>
      <c r="H135" s="705">
        <v>367</v>
      </c>
      <c r="I135" s="705">
        <v>23257</v>
      </c>
      <c r="J135" s="705">
        <v>21142</v>
      </c>
      <c r="K135" s="705">
        <v>92</v>
      </c>
      <c r="L135" s="705">
        <v>7959</v>
      </c>
      <c r="M135" s="705">
        <v>7235</v>
      </c>
      <c r="N135" s="705">
        <v>2445</v>
      </c>
      <c r="O135" s="705">
        <v>905</v>
      </c>
      <c r="P135" s="705">
        <v>473</v>
      </c>
      <c r="Q135" s="705">
        <v>175</v>
      </c>
      <c r="R135" s="705">
        <v>2654</v>
      </c>
      <c r="S135" s="705">
        <v>2413</v>
      </c>
      <c r="T135" s="705">
        <v>0</v>
      </c>
      <c r="U135" s="705">
        <v>0</v>
      </c>
      <c r="V135" s="705">
        <v>31871</v>
      </c>
      <c r="W135" s="705">
        <f t="shared" ref="W135:W198" si="8">SUM(ABS(J135),ABS(M135),ABS(O135),ABS(Q135),ABS(S135),ABS(U135))</f>
        <v>31870</v>
      </c>
      <c r="X135" s="705">
        <f t="shared" ref="X135:X198" si="9">SUM(ABS(I135),ABS(N135),ABS(P135),ABS(R135),ABS(T135),ABS(L135))</f>
        <v>36788</v>
      </c>
      <c r="Y135" s="705"/>
      <c r="AA135" t="s">
        <v>116</v>
      </c>
      <c r="AB135" t="s">
        <v>671</v>
      </c>
      <c r="AC135" t="s">
        <v>671</v>
      </c>
      <c r="AD135">
        <v>13</v>
      </c>
      <c r="AE135" s="705">
        <v>1083</v>
      </c>
      <c r="AF135" s="705">
        <v>2587</v>
      </c>
      <c r="AG135" s="705">
        <v>103065</v>
      </c>
      <c r="AH135" s="705">
        <v>93695</v>
      </c>
      <c r="AI135">
        <v>67</v>
      </c>
      <c r="AJ135" s="705">
        <v>9649</v>
      </c>
      <c r="AK135" s="705">
        <v>6594</v>
      </c>
      <c r="AL135" s="705">
        <v>18721</v>
      </c>
      <c r="AM135" s="705">
        <v>6934</v>
      </c>
      <c r="AN135" s="705">
        <v>5454</v>
      </c>
      <c r="AO135" s="705">
        <v>2020</v>
      </c>
      <c r="AP135" s="705">
        <v>60606</v>
      </c>
      <c r="AQ135" s="705">
        <v>55096</v>
      </c>
      <c r="AR135" s="705">
        <v>17088</v>
      </c>
      <c r="AS135" s="705">
        <v>6329</v>
      </c>
      <c r="AT135" s="705">
        <v>170669</v>
      </c>
      <c r="AU135" s="705">
        <f t="shared" si="7"/>
        <v>170668</v>
      </c>
      <c r="AV135" s="705">
        <f t="shared" ref="AV135:AV143" si="10">SUM(ABS(AG135),ABS(AJ135),ABS(AL135),ABS(AN135),ABS(AP135),ABS(AR135))</f>
        <v>214583</v>
      </c>
    </row>
    <row r="136" spans="2:48" ht="12.75" hidden="1" customHeight="1">
      <c r="B136" t="s">
        <v>531</v>
      </c>
      <c r="C136" t="s">
        <v>120</v>
      </c>
      <c r="D136" t="s">
        <v>228</v>
      </c>
      <c r="E136" t="s">
        <v>228</v>
      </c>
      <c r="F136">
        <v>42</v>
      </c>
      <c r="G136" s="705">
        <v>3866</v>
      </c>
      <c r="H136" s="705">
        <v>14051</v>
      </c>
      <c r="I136" s="705">
        <v>772983</v>
      </c>
      <c r="J136" s="705">
        <v>286290</v>
      </c>
      <c r="K136" s="705">
        <v>100</v>
      </c>
      <c r="L136" s="705">
        <v>124532</v>
      </c>
      <c r="M136" s="705">
        <v>89954</v>
      </c>
      <c r="N136" s="705">
        <v>84431</v>
      </c>
      <c r="O136" s="705">
        <v>31271</v>
      </c>
      <c r="P136" s="705">
        <v>1053</v>
      </c>
      <c r="Q136" s="705">
        <v>390</v>
      </c>
      <c r="R136" s="705">
        <v>311123</v>
      </c>
      <c r="S136" s="705">
        <v>115231</v>
      </c>
      <c r="T136" s="705">
        <v>0</v>
      </c>
      <c r="U136" s="705">
        <v>0</v>
      </c>
      <c r="V136" s="705">
        <v>523135</v>
      </c>
      <c r="W136" s="705">
        <f t="shared" si="8"/>
        <v>523136</v>
      </c>
      <c r="X136" s="705">
        <f t="shared" si="9"/>
        <v>1294122</v>
      </c>
      <c r="Y136" s="705"/>
      <c r="AA136" t="s">
        <v>116</v>
      </c>
      <c r="AB136" t="s">
        <v>665</v>
      </c>
      <c r="AC136" t="s">
        <v>228</v>
      </c>
      <c r="AD136">
        <v>10</v>
      </c>
      <c r="AE136" s="705">
        <v>811</v>
      </c>
      <c r="AF136" s="705">
        <v>2088</v>
      </c>
      <c r="AG136" s="705">
        <v>54213</v>
      </c>
      <c r="AH136" s="705">
        <v>49285</v>
      </c>
      <c r="AI136">
        <v>72</v>
      </c>
      <c r="AJ136" s="705">
        <v>11978</v>
      </c>
      <c r="AK136" s="705">
        <v>5948</v>
      </c>
      <c r="AL136" s="705">
        <v>14602</v>
      </c>
      <c r="AM136" s="705">
        <v>5408</v>
      </c>
      <c r="AN136" s="705">
        <v>1755</v>
      </c>
      <c r="AO136" s="705">
        <v>650</v>
      </c>
      <c r="AP136" s="705">
        <v>81327</v>
      </c>
      <c r="AQ136" s="705">
        <v>30121</v>
      </c>
      <c r="AR136" s="705">
        <v>6724</v>
      </c>
      <c r="AS136" s="705">
        <v>2490</v>
      </c>
      <c r="AT136" s="705">
        <v>93902</v>
      </c>
      <c r="AU136" s="705">
        <f t="shared" ref="AU136:AU143" si="11">SUM(ABS(AH136), ABS(AK136),ABS(AM136),ABS(AO136),ABS(AQ136),ABS(AS136))</f>
        <v>93902</v>
      </c>
      <c r="AV136" s="705">
        <f t="shared" si="10"/>
        <v>170599</v>
      </c>
    </row>
    <row r="137" spans="2:48" ht="12.75" hidden="1" customHeight="1">
      <c r="B137" t="s">
        <v>531</v>
      </c>
      <c r="C137" t="s">
        <v>120</v>
      </c>
      <c r="D137" t="s">
        <v>583</v>
      </c>
      <c r="E137" t="s">
        <v>228</v>
      </c>
      <c r="F137" s="705">
        <v>1</v>
      </c>
      <c r="G137" s="705">
        <v>100</v>
      </c>
      <c r="H137" s="705">
        <v>338</v>
      </c>
      <c r="I137" s="705">
        <v>20942</v>
      </c>
      <c r="J137" s="705">
        <v>19038</v>
      </c>
      <c r="K137" s="705">
        <v>65</v>
      </c>
      <c r="L137" s="705">
        <v>4793</v>
      </c>
      <c r="M137" s="705">
        <v>4358</v>
      </c>
      <c r="N137" s="705">
        <v>2376</v>
      </c>
      <c r="O137" s="705">
        <v>880</v>
      </c>
      <c r="P137" s="705">
        <v>621</v>
      </c>
      <c r="Q137" s="705">
        <v>230</v>
      </c>
      <c r="R137" s="705">
        <v>5107</v>
      </c>
      <c r="S137" s="705">
        <v>1891</v>
      </c>
      <c r="T137" s="705">
        <v>0</v>
      </c>
      <c r="U137" s="705">
        <v>0</v>
      </c>
      <c r="V137" s="705">
        <v>26398</v>
      </c>
      <c r="W137" s="705">
        <f t="shared" si="8"/>
        <v>26397</v>
      </c>
      <c r="X137" s="705">
        <f t="shared" si="9"/>
        <v>33839</v>
      </c>
      <c r="Y137" s="705"/>
      <c r="AA137" t="s">
        <v>116</v>
      </c>
      <c r="AB137" t="s">
        <v>665</v>
      </c>
      <c r="AC137" t="s">
        <v>583</v>
      </c>
      <c r="AD137" s="705">
        <v>2</v>
      </c>
      <c r="AE137" s="705">
        <v>189</v>
      </c>
      <c r="AF137" s="705">
        <v>394</v>
      </c>
      <c r="AG137" s="705">
        <v>14674</v>
      </c>
      <c r="AH137" s="705">
        <v>13340</v>
      </c>
      <c r="AI137">
        <v>82</v>
      </c>
      <c r="AJ137" s="705">
        <v>5685</v>
      </c>
      <c r="AK137" s="705">
        <v>3191</v>
      </c>
      <c r="AL137" s="705">
        <v>4306</v>
      </c>
      <c r="AM137" s="705">
        <v>1595</v>
      </c>
      <c r="AN137" s="705">
        <v>1242</v>
      </c>
      <c r="AO137" s="705">
        <v>460</v>
      </c>
      <c r="AP137" s="705">
        <v>8739</v>
      </c>
      <c r="AQ137" s="705">
        <v>7944</v>
      </c>
      <c r="AR137" s="705">
        <v>2510</v>
      </c>
      <c r="AS137" s="705">
        <v>930</v>
      </c>
      <c r="AT137" s="705">
        <v>27459</v>
      </c>
      <c r="AU137" s="705">
        <f t="shared" si="11"/>
        <v>27460</v>
      </c>
      <c r="AV137" s="705">
        <f t="shared" si="10"/>
        <v>37156</v>
      </c>
    </row>
    <row r="138" spans="2:48" ht="12.75" hidden="1" customHeight="1">
      <c r="B138" t="s">
        <v>531</v>
      </c>
      <c r="C138" t="s">
        <v>120</v>
      </c>
      <c r="D138" t="s">
        <v>583</v>
      </c>
      <c r="E138" t="s">
        <v>583</v>
      </c>
      <c r="F138">
        <v>173</v>
      </c>
      <c r="G138" s="705">
        <v>14596</v>
      </c>
      <c r="H138" s="705">
        <v>57971</v>
      </c>
      <c r="I138" s="705">
        <v>2829819</v>
      </c>
      <c r="J138" s="705">
        <v>2572562</v>
      </c>
      <c r="K138" s="705">
        <v>77</v>
      </c>
      <c r="L138" s="705">
        <v>583729</v>
      </c>
      <c r="M138" s="705">
        <v>517417</v>
      </c>
      <c r="N138" s="705">
        <v>309812</v>
      </c>
      <c r="O138" s="705">
        <v>114745</v>
      </c>
      <c r="P138" s="705">
        <v>108419</v>
      </c>
      <c r="Q138" s="705">
        <v>40155</v>
      </c>
      <c r="R138" s="705">
        <v>796938</v>
      </c>
      <c r="S138" s="705">
        <v>724489</v>
      </c>
      <c r="T138" s="705">
        <v>310189</v>
      </c>
      <c r="U138" s="705">
        <v>114885</v>
      </c>
      <c r="V138" s="705">
        <v>4084253</v>
      </c>
      <c r="W138" s="705">
        <f t="shared" si="8"/>
        <v>4084253</v>
      </c>
      <c r="X138" s="705">
        <f t="shared" si="9"/>
        <v>4938906</v>
      </c>
      <c r="Y138" s="705"/>
      <c r="AA138" t="s">
        <v>116</v>
      </c>
      <c r="AB138" t="s">
        <v>665</v>
      </c>
      <c r="AC138" t="s">
        <v>584</v>
      </c>
      <c r="AD138">
        <v>1</v>
      </c>
      <c r="AE138" s="705">
        <v>117</v>
      </c>
      <c r="AF138" s="705">
        <v>160</v>
      </c>
      <c r="AG138" s="705">
        <v>8279</v>
      </c>
      <c r="AH138" s="705">
        <v>7527</v>
      </c>
      <c r="AI138">
        <v>79</v>
      </c>
      <c r="AJ138" s="705">
        <v>2413</v>
      </c>
      <c r="AK138" s="705">
        <v>2194</v>
      </c>
      <c r="AL138" s="705">
        <v>2541</v>
      </c>
      <c r="AM138" s="705">
        <v>941</v>
      </c>
      <c r="AN138" s="705">
        <v>473</v>
      </c>
      <c r="AO138" s="705">
        <v>175</v>
      </c>
      <c r="AP138" s="705">
        <v>4983</v>
      </c>
      <c r="AQ138" s="705">
        <v>4530</v>
      </c>
      <c r="AR138" s="705">
        <v>0</v>
      </c>
      <c r="AS138" s="705">
        <v>0</v>
      </c>
      <c r="AT138" s="705">
        <v>15366</v>
      </c>
      <c r="AU138" s="705">
        <f t="shared" si="11"/>
        <v>15367</v>
      </c>
      <c r="AV138" s="705">
        <f t="shared" si="10"/>
        <v>18689</v>
      </c>
    </row>
    <row r="139" spans="2:48" ht="12.75" hidden="1" customHeight="1">
      <c r="B139" t="s">
        <v>531</v>
      </c>
      <c r="C139" t="s">
        <v>120</v>
      </c>
      <c r="D139" t="s">
        <v>666</v>
      </c>
      <c r="E139" t="s">
        <v>666</v>
      </c>
      <c r="F139">
        <v>3</v>
      </c>
      <c r="G139" s="705">
        <v>266</v>
      </c>
      <c r="H139" s="705">
        <v>1032</v>
      </c>
      <c r="I139" s="705">
        <v>48927</v>
      </c>
      <c r="J139" s="705">
        <v>44479</v>
      </c>
      <c r="K139">
        <v>58</v>
      </c>
      <c r="L139" s="705">
        <v>8772</v>
      </c>
      <c r="M139" s="705">
        <v>5345</v>
      </c>
      <c r="N139" s="705">
        <v>5149</v>
      </c>
      <c r="O139" s="705">
        <v>1907</v>
      </c>
      <c r="P139" s="705">
        <v>702</v>
      </c>
      <c r="Q139" s="705">
        <v>260</v>
      </c>
      <c r="R139" s="705">
        <v>25162</v>
      </c>
      <c r="S139" s="705">
        <v>22875</v>
      </c>
      <c r="T139" s="705">
        <v>2543</v>
      </c>
      <c r="U139" s="705">
        <v>942</v>
      </c>
      <c r="V139" s="705">
        <v>75808</v>
      </c>
      <c r="W139" s="705">
        <f t="shared" si="8"/>
        <v>75808</v>
      </c>
      <c r="X139" s="705">
        <f t="shared" si="9"/>
        <v>91255</v>
      </c>
      <c r="Y139" s="705"/>
      <c r="AA139" t="s">
        <v>116</v>
      </c>
      <c r="AB139" t="s">
        <v>665</v>
      </c>
      <c r="AC139" t="s">
        <v>669</v>
      </c>
      <c r="AD139">
        <v>1</v>
      </c>
      <c r="AE139" s="705">
        <v>89</v>
      </c>
      <c r="AF139" s="705">
        <v>203</v>
      </c>
      <c r="AG139" s="705">
        <v>9552</v>
      </c>
      <c r="AH139" s="705">
        <v>8683</v>
      </c>
      <c r="AI139">
        <v>65</v>
      </c>
      <c r="AJ139" s="705">
        <v>0</v>
      </c>
      <c r="AK139" s="705">
        <v>0</v>
      </c>
      <c r="AL139" s="705">
        <v>1926</v>
      </c>
      <c r="AM139" s="705">
        <v>713</v>
      </c>
      <c r="AN139" s="705">
        <v>351</v>
      </c>
      <c r="AO139" s="705">
        <v>130</v>
      </c>
      <c r="AP139" s="705">
        <v>3924</v>
      </c>
      <c r="AQ139" s="705">
        <v>3270</v>
      </c>
      <c r="AR139" s="705">
        <v>2283</v>
      </c>
      <c r="AS139" s="705">
        <v>846</v>
      </c>
      <c r="AT139" s="705">
        <v>13642</v>
      </c>
      <c r="AU139" s="705">
        <f t="shared" si="11"/>
        <v>13642</v>
      </c>
      <c r="AV139" s="705">
        <f t="shared" si="10"/>
        <v>18036</v>
      </c>
    </row>
    <row r="140" spans="2:48" ht="12.75" hidden="1" customHeight="1">
      <c r="B140" t="s">
        <v>531</v>
      </c>
      <c r="C140" t="s">
        <v>120</v>
      </c>
      <c r="D140" t="s">
        <v>584</v>
      </c>
      <c r="E140" t="s">
        <v>584</v>
      </c>
      <c r="F140" s="705">
        <v>2</v>
      </c>
      <c r="G140" s="705">
        <v>360</v>
      </c>
      <c r="H140" s="705">
        <v>607</v>
      </c>
      <c r="I140" s="705">
        <v>66668</v>
      </c>
      <c r="J140" s="705">
        <v>60607</v>
      </c>
      <c r="K140" s="705">
        <v>85</v>
      </c>
      <c r="L140" s="705">
        <v>20292</v>
      </c>
      <c r="M140" s="705">
        <v>18447</v>
      </c>
      <c r="N140" s="705">
        <v>8157</v>
      </c>
      <c r="O140" s="705">
        <v>3021</v>
      </c>
      <c r="P140" s="705">
        <v>945</v>
      </c>
      <c r="Q140" s="705">
        <v>350</v>
      </c>
      <c r="R140" s="705">
        <v>9817</v>
      </c>
      <c r="S140" s="705">
        <v>8925</v>
      </c>
      <c r="T140" s="705">
        <v>3377</v>
      </c>
      <c r="U140" s="705">
        <v>1251</v>
      </c>
      <c r="V140" s="705">
        <v>92602</v>
      </c>
      <c r="W140" s="705">
        <f t="shared" si="8"/>
        <v>92601</v>
      </c>
      <c r="X140" s="705">
        <f t="shared" si="9"/>
        <v>109256</v>
      </c>
      <c r="Y140" s="705"/>
      <c r="AA140" t="s">
        <v>116</v>
      </c>
      <c r="AB140" t="s">
        <v>665</v>
      </c>
      <c r="AC140" t="s">
        <v>665</v>
      </c>
      <c r="AD140">
        <v>553</v>
      </c>
      <c r="AE140" s="705">
        <v>50080</v>
      </c>
      <c r="AF140" s="705">
        <v>116149</v>
      </c>
      <c r="AG140" s="705">
        <v>5646047</v>
      </c>
      <c r="AH140" s="705">
        <v>5132770</v>
      </c>
      <c r="AI140">
        <v>67</v>
      </c>
      <c r="AJ140" s="705">
        <v>489680</v>
      </c>
      <c r="AK140" s="705">
        <v>383542</v>
      </c>
      <c r="AL140" s="705">
        <v>913755</v>
      </c>
      <c r="AM140" s="705">
        <v>338428</v>
      </c>
      <c r="AN140" s="705">
        <v>209270</v>
      </c>
      <c r="AO140" s="705">
        <v>77507</v>
      </c>
      <c r="AP140" s="705">
        <v>2259998</v>
      </c>
      <c r="AQ140" s="705">
        <v>2054543</v>
      </c>
      <c r="AR140" s="705">
        <v>1074347</v>
      </c>
      <c r="AS140" s="705">
        <v>397906</v>
      </c>
      <c r="AT140" s="705">
        <v>8384696</v>
      </c>
      <c r="AU140" s="705">
        <f t="shared" si="11"/>
        <v>8384696</v>
      </c>
      <c r="AV140" s="705">
        <f t="shared" si="10"/>
        <v>10593097</v>
      </c>
    </row>
    <row r="141" spans="2:48" ht="12.75" hidden="1" customHeight="1">
      <c r="B141" t="s">
        <v>531</v>
      </c>
      <c r="C141" t="s">
        <v>120</v>
      </c>
      <c r="D141" t="s">
        <v>669</v>
      </c>
      <c r="E141" t="s">
        <v>669</v>
      </c>
      <c r="F141">
        <v>1</v>
      </c>
      <c r="G141">
        <v>83</v>
      </c>
      <c r="H141" s="705">
        <v>326</v>
      </c>
      <c r="I141" s="705">
        <v>13498</v>
      </c>
      <c r="J141" s="705">
        <v>11248</v>
      </c>
      <c r="K141" s="705">
        <v>45</v>
      </c>
      <c r="L141" s="705">
        <v>2250</v>
      </c>
      <c r="M141" s="705">
        <v>1875</v>
      </c>
      <c r="N141" s="705">
        <v>2013</v>
      </c>
      <c r="O141">
        <v>745</v>
      </c>
      <c r="P141">
        <v>0</v>
      </c>
      <c r="Q141" s="705">
        <v>0</v>
      </c>
      <c r="R141" s="705">
        <v>6860</v>
      </c>
      <c r="S141" s="705">
        <v>5717</v>
      </c>
      <c r="T141" s="705">
        <v>2334</v>
      </c>
      <c r="U141" s="705">
        <v>865</v>
      </c>
      <c r="V141" s="705">
        <v>20450</v>
      </c>
      <c r="W141" s="705">
        <f t="shared" si="8"/>
        <v>20450</v>
      </c>
      <c r="X141" s="705">
        <f t="shared" si="9"/>
        <v>26955</v>
      </c>
      <c r="Y141" s="705"/>
      <c r="AA141" t="s">
        <v>116</v>
      </c>
      <c r="AB141" t="s">
        <v>665</v>
      </c>
      <c r="AC141" t="s">
        <v>722</v>
      </c>
      <c r="AD141">
        <v>1</v>
      </c>
      <c r="AE141">
        <v>89</v>
      </c>
      <c r="AF141" s="705">
        <v>209</v>
      </c>
      <c r="AG141" s="705">
        <v>7531</v>
      </c>
      <c r="AH141" s="705">
        <v>6846</v>
      </c>
      <c r="AI141">
        <v>65</v>
      </c>
      <c r="AJ141" s="705">
        <v>3004</v>
      </c>
      <c r="AK141" s="705">
        <v>1112</v>
      </c>
      <c r="AL141" s="705">
        <v>1081</v>
      </c>
      <c r="AM141" s="705">
        <v>400</v>
      </c>
      <c r="AN141" s="705">
        <v>351</v>
      </c>
      <c r="AO141">
        <v>130</v>
      </c>
      <c r="AP141" s="705">
        <v>4287</v>
      </c>
      <c r="AQ141" s="705">
        <v>3897</v>
      </c>
      <c r="AR141" s="705">
        <v>2282</v>
      </c>
      <c r="AS141" s="705">
        <v>845</v>
      </c>
      <c r="AT141" s="705">
        <v>13231</v>
      </c>
      <c r="AU141" s="705">
        <f t="shared" si="11"/>
        <v>13230</v>
      </c>
      <c r="AV141" s="705">
        <f t="shared" si="10"/>
        <v>18536</v>
      </c>
    </row>
    <row r="142" spans="2:48" ht="12.75" hidden="1" customHeight="1">
      <c r="B142" t="s">
        <v>531</v>
      </c>
      <c r="C142" t="s">
        <v>120</v>
      </c>
      <c r="D142" t="s">
        <v>671</v>
      </c>
      <c r="E142" t="s">
        <v>671</v>
      </c>
      <c r="F142">
        <v>1</v>
      </c>
      <c r="G142" s="705">
        <v>85</v>
      </c>
      <c r="H142" s="705">
        <v>339</v>
      </c>
      <c r="I142" s="705">
        <v>16542</v>
      </c>
      <c r="J142" s="705">
        <v>15038</v>
      </c>
      <c r="K142" s="705">
        <v>45</v>
      </c>
      <c r="L142" s="705">
        <v>1378</v>
      </c>
      <c r="M142" s="705">
        <v>1253</v>
      </c>
      <c r="N142" s="705">
        <v>1722</v>
      </c>
      <c r="O142" s="705">
        <v>638</v>
      </c>
      <c r="P142" s="705">
        <v>351</v>
      </c>
      <c r="Q142" s="705">
        <v>130</v>
      </c>
      <c r="R142" s="705">
        <v>6339</v>
      </c>
      <c r="S142" s="705">
        <v>5762</v>
      </c>
      <c r="T142" s="705">
        <v>2361</v>
      </c>
      <c r="U142" s="705">
        <v>875</v>
      </c>
      <c r="V142" s="705">
        <v>23696</v>
      </c>
      <c r="W142" s="705">
        <f t="shared" si="8"/>
        <v>23696</v>
      </c>
      <c r="X142" s="705">
        <f t="shared" si="9"/>
        <v>28693</v>
      </c>
      <c r="Y142" s="705"/>
      <c r="AA142" t="s">
        <v>116</v>
      </c>
      <c r="AB142" t="s">
        <v>722</v>
      </c>
      <c r="AC142" t="s">
        <v>722</v>
      </c>
      <c r="AD142">
        <v>2</v>
      </c>
      <c r="AE142" s="705">
        <v>149</v>
      </c>
      <c r="AF142" s="705">
        <v>397</v>
      </c>
      <c r="AG142" s="705">
        <v>13610</v>
      </c>
      <c r="AH142" s="705">
        <v>12373</v>
      </c>
      <c r="AI142">
        <v>75</v>
      </c>
      <c r="AJ142" s="705">
        <v>2716</v>
      </c>
      <c r="AK142" s="705">
        <v>2469</v>
      </c>
      <c r="AL142" s="705">
        <v>1817</v>
      </c>
      <c r="AM142" s="705">
        <v>673</v>
      </c>
      <c r="AN142" s="705">
        <v>702</v>
      </c>
      <c r="AO142" s="705">
        <v>260</v>
      </c>
      <c r="AP142" s="705">
        <v>10348</v>
      </c>
      <c r="AQ142" s="705">
        <v>9407</v>
      </c>
      <c r="AR142" s="705">
        <v>0</v>
      </c>
      <c r="AS142" s="705">
        <v>0</v>
      </c>
      <c r="AT142" s="705">
        <v>25181</v>
      </c>
      <c r="AU142" s="705">
        <f t="shared" si="11"/>
        <v>25182</v>
      </c>
      <c r="AV142" s="705">
        <f t="shared" si="10"/>
        <v>29193</v>
      </c>
    </row>
    <row r="143" spans="2:48" ht="12.75" hidden="1" customHeight="1">
      <c r="B143" t="s">
        <v>531</v>
      </c>
      <c r="C143" t="s">
        <v>120</v>
      </c>
      <c r="D143" t="s">
        <v>665</v>
      </c>
      <c r="E143" t="s">
        <v>228</v>
      </c>
      <c r="F143">
        <v>8</v>
      </c>
      <c r="G143" s="705">
        <v>1022</v>
      </c>
      <c r="H143" s="705">
        <v>2776</v>
      </c>
      <c r="I143" s="705">
        <v>255450</v>
      </c>
      <c r="J143" s="705">
        <v>232227</v>
      </c>
      <c r="K143" s="705">
        <v>34</v>
      </c>
      <c r="L143" s="705">
        <v>22450</v>
      </c>
      <c r="M143" s="705">
        <v>8315</v>
      </c>
      <c r="N143" s="705">
        <v>24802</v>
      </c>
      <c r="O143" s="705">
        <v>9186</v>
      </c>
      <c r="P143" s="705">
        <v>0</v>
      </c>
      <c r="Q143" s="705">
        <v>0</v>
      </c>
      <c r="R143" s="705">
        <v>54398</v>
      </c>
      <c r="S143" s="705">
        <v>20147</v>
      </c>
      <c r="T143" s="705">
        <v>0</v>
      </c>
      <c r="U143" s="705">
        <v>0</v>
      </c>
      <c r="V143" s="705">
        <v>269875</v>
      </c>
      <c r="W143" s="705">
        <f t="shared" si="8"/>
        <v>269875</v>
      </c>
      <c r="X143" s="705">
        <f t="shared" si="9"/>
        <v>357100</v>
      </c>
      <c r="Y143" s="705"/>
      <c r="AA143" t="s">
        <v>116</v>
      </c>
      <c r="AB143" t="s">
        <v>673</v>
      </c>
      <c r="AC143" t="s">
        <v>228</v>
      </c>
      <c r="AD143">
        <v>1</v>
      </c>
      <c r="AE143">
        <v>202</v>
      </c>
      <c r="AF143">
        <v>190</v>
      </c>
      <c r="AG143" s="705">
        <v>16961</v>
      </c>
      <c r="AH143" s="705">
        <v>15419</v>
      </c>
      <c r="AI143">
        <v>73</v>
      </c>
      <c r="AJ143" s="705">
        <v>2293</v>
      </c>
      <c r="AK143" s="705">
        <v>2084</v>
      </c>
      <c r="AL143" s="705">
        <v>4386</v>
      </c>
      <c r="AM143" s="705">
        <v>1625</v>
      </c>
      <c r="AN143">
        <v>351</v>
      </c>
      <c r="AO143">
        <v>130</v>
      </c>
      <c r="AP143" s="705">
        <v>14526</v>
      </c>
      <c r="AQ143" s="705">
        <v>5380</v>
      </c>
      <c r="AR143" s="705">
        <v>0</v>
      </c>
      <c r="AS143">
        <v>0</v>
      </c>
      <c r="AT143" s="705">
        <v>24638</v>
      </c>
      <c r="AU143" s="705">
        <f t="shared" si="11"/>
        <v>24638</v>
      </c>
      <c r="AV143" s="705">
        <f t="shared" si="10"/>
        <v>38517</v>
      </c>
    </row>
    <row r="144" spans="2:48" ht="12.75" hidden="1" customHeight="1">
      <c r="B144" t="s">
        <v>531</v>
      </c>
      <c r="C144" t="s">
        <v>120</v>
      </c>
      <c r="D144" t="s">
        <v>665</v>
      </c>
      <c r="E144" t="s">
        <v>665</v>
      </c>
      <c r="F144" s="705">
        <v>208</v>
      </c>
      <c r="G144" s="705">
        <v>16905</v>
      </c>
      <c r="H144" s="705">
        <v>71304</v>
      </c>
      <c r="I144" s="705">
        <v>3185810</v>
      </c>
      <c r="J144" s="705">
        <v>2896191</v>
      </c>
      <c r="K144" s="705">
        <v>48</v>
      </c>
      <c r="L144" s="705">
        <v>480648</v>
      </c>
      <c r="M144" s="705">
        <v>434162</v>
      </c>
      <c r="N144" s="705">
        <v>323285</v>
      </c>
      <c r="O144" s="705">
        <v>119735</v>
      </c>
      <c r="P144" s="705">
        <v>75978</v>
      </c>
      <c r="Q144" s="705">
        <v>28140</v>
      </c>
      <c r="R144" s="705">
        <v>1232252</v>
      </c>
      <c r="S144" s="705">
        <v>1120229</v>
      </c>
      <c r="T144" s="705">
        <v>478596</v>
      </c>
      <c r="U144" s="705">
        <v>177258</v>
      </c>
      <c r="V144" s="705">
        <v>4775715</v>
      </c>
      <c r="W144" s="705">
        <f t="shared" si="8"/>
        <v>4775715</v>
      </c>
      <c r="X144" s="705">
        <f t="shared" si="9"/>
        <v>5776569</v>
      </c>
      <c r="Y144" s="705"/>
      <c r="AA144" t="s">
        <v>116</v>
      </c>
      <c r="AB144" t="s">
        <v>673</v>
      </c>
      <c r="AC144" t="s">
        <v>673</v>
      </c>
      <c r="AD144">
        <v>13</v>
      </c>
      <c r="AE144" s="705">
        <v>1574</v>
      </c>
      <c r="AF144" s="705">
        <v>2577</v>
      </c>
      <c r="AG144" s="705">
        <v>186689</v>
      </c>
      <c r="AH144" s="705">
        <v>169717</v>
      </c>
      <c r="AI144">
        <v>73</v>
      </c>
      <c r="AJ144" s="705">
        <v>19211</v>
      </c>
      <c r="AK144" s="705">
        <v>18602</v>
      </c>
      <c r="AL144" s="705">
        <v>26907</v>
      </c>
      <c r="AM144" s="705">
        <v>9965</v>
      </c>
      <c r="AN144" s="705">
        <v>5387</v>
      </c>
      <c r="AO144" s="705">
        <v>1995</v>
      </c>
      <c r="AP144" s="705">
        <v>57068</v>
      </c>
      <c r="AQ144" s="705">
        <v>51880</v>
      </c>
      <c r="AR144" s="705">
        <v>24172</v>
      </c>
      <c r="AS144" s="705">
        <v>8953</v>
      </c>
      <c r="AT144" s="705">
        <v>261112</v>
      </c>
      <c r="AU144" s="705">
        <f t="shared" ref="AU144:AU207" si="12">SUM(ABS(AH144), ABS(AK144),ABS(AM144),ABS(AO144),ABS(AQ144),ABS(AS144))</f>
        <v>261112</v>
      </c>
      <c r="AV144" s="705">
        <f t="shared" ref="AV144:AV207" si="13">SUM(ABS(AG144),ABS(AJ144),ABS(AL144),ABS(AN144),ABS(AP144),ABS(AR144))</f>
        <v>319434</v>
      </c>
    </row>
    <row r="145" spans="2:48" ht="12.75" hidden="1" customHeight="1">
      <c r="B145" t="s">
        <v>531</v>
      </c>
      <c r="C145" t="s">
        <v>122</v>
      </c>
      <c r="D145" t="s">
        <v>582</v>
      </c>
      <c r="E145" t="s">
        <v>582</v>
      </c>
      <c r="F145">
        <v>2</v>
      </c>
      <c r="G145" s="705">
        <v>239</v>
      </c>
      <c r="H145" s="705">
        <v>784</v>
      </c>
      <c r="I145" s="705">
        <v>70520</v>
      </c>
      <c r="J145" s="705">
        <v>64109</v>
      </c>
      <c r="K145" s="705">
        <v>73</v>
      </c>
      <c r="L145" s="705">
        <v>5172</v>
      </c>
      <c r="M145" s="705">
        <v>4702</v>
      </c>
      <c r="N145" s="705">
        <v>4420</v>
      </c>
      <c r="O145" s="705">
        <v>1637</v>
      </c>
      <c r="P145" s="705">
        <v>945</v>
      </c>
      <c r="Q145" s="705">
        <v>350</v>
      </c>
      <c r="R145" s="705">
        <v>13366</v>
      </c>
      <c r="S145" s="705">
        <v>12151</v>
      </c>
      <c r="T145">
        <v>0</v>
      </c>
      <c r="U145" s="705">
        <v>0</v>
      </c>
      <c r="V145" s="705">
        <v>82950</v>
      </c>
      <c r="W145" s="705">
        <f t="shared" si="8"/>
        <v>82949</v>
      </c>
      <c r="X145" s="705">
        <f t="shared" si="9"/>
        <v>94423</v>
      </c>
      <c r="Y145" s="705"/>
      <c r="AA145" t="s">
        <v>116</v>
      </c>
      <c r="AB145" t="s">
        <v>585</v>
      </c>
      <c r="AC145" t="s">
        <v>580</v>
      </c>
      <c r="AD145">
        <v>2</v>
      </c>
      <c r="AE145" s="705">
        <v>254</v>
      </c>
      <c r="AF145" s="705">
        <v>352</v>
      </c>
      <c r="AG145" s="705">
        <v>9601</v>
      </c>
      <c r="AH145" s="705">
        <v>8728</v>
      </c>
      <c r="AI145">
        <v>60</v>
      </c>
      <c r="AJ145" s="705">
        <v>2134</v>
      </c>
      <c r="AK145" s="705">
        <v>1940</v>
      </c>
      <c r="AL145" s="705">
        <v>4333</v>
      </c>
      <c r="AM145" s="705">
        <v>1605</v>
      </c>
      <c r="AN145" s="705">
        <v>702</v>
      </c>
      <c r="AO145" s="705">
        <v>260</v>
      </c>
      <c r="AP145" s="705">
        <v>27951</v>
      </c>
      <c r="AQ145" s="705">
        <v>10352</v>
      </c>
      <c r="AR145" s="705">
        <v>0</v>
      </c>
      <c r="AS145" s="705">
        <v>0</v>
      </c>
      <c r="AT145" s="705">
        <v>22885</v>
      </c>
      <c r="AU145" s="705">
        <f t="shared" si="12"/>
        <v>22885</v>
      </c>
      <c r="AV145" s="705">
        <f t="shared" si="13"/>
        <v>44721</v>
      </c>
    </row>
    <row r="146" spans="2:48" ht="12.75" hidden="1" customHeight="1">
      <c r="B146" t="s">
        <v>531</v>
      </c>
      <c r="C146" t="s">
        <v>122</v>
      </c>
      <c r="D146" t="s">
        <v>228</v>
      </c>
      <c r="E146" t="s">
        <v>228</v>
      </c>
      <c r="F146" s="705">
        <v>10</v>
      </c>
      <c r="G146" s="705">
        <v>679</v>
      </c>
      <c r="H146" s="705">
        <v>4126</v>
      </c>
      <c r="I146" s="705">
        <v>179441</v>
      </c>
      <c r="J146" s="705">
        <v>66460</v>
      </c>
      <c r="K146" s="705">
        <v>100</v>
      </c>
      <c r="L146" s="705">
        <v>29619</v>
      </c>
      <c r="M146" s="705">
        <v>15610</v>
      </c>
      <c r="N146" s="705">
        <v>15824</v>
      </c>
      <c r="O146" s="705">
        <v>5861</v>
      </c>
      <c r="P146" s="705">
        <v>0</v>
      </c>
      <c r="Q146" s="705">
        <v>0</v>
      </c>
      <c r="R146" s="705">
        <v>53672</v>
      </c>
      <c r="S146" s="705">
        <v>19879</v>
      </c>
      <c r="T146" s="705">
        <v>0</v>
      </c>
      <c r="U146" s="705">
        <v>0</v>
      </c>
      <c r="V146" s="705">
        <v>107809</v>
      </c>
      <c r="W146" s="705">
        <f t="shared" si="8"/>
        <v>107810</v>
      </c>
      <c r="X146" s="705">
        <f t="shared" si="9"/>
        <v>278556</v>
      </c>
      <c r="Y146" s="705"/>
      <c r="AA146" t="s">
        <v>116</v>
      </c>
      <c r="AB146" t="s">
        <v>585</v>
      </c>
      <c r="AC146" t="s">
        <v>585</v>
      </c>
      <c r="AD146">
        <v>89</v>
      </c>
      <c r="AE146" s="705">
        <v>8755</v>
      </c>
      <c r="AF146" s="705">
        <v>16934</v>
      </c>
      <c r="AG146" s="705">
        <v>899219</v>
      </c>
      <c r="AH146" s="705">
        <v>817472</v>
      </c>
      <c r="AI146">
        <v>77</v>
      </c>
      <c r="AJ146" s="705">
        <v>141657</v>
      </c>
      <c r="AK146" s="705">
        <v>125891</v>
      </c>
      <c r="AL146" s="705">
        <v>172890</v>
      </c>
      <c r="AM146" s="705">
        <v>64033</v>
      </c>
      <c r="AN146" s="705">
        <v>35729</v>
      </c>
      <c r="AO146" s="705">
        <v>13233</v>
      </c>
      <c r="AP146" s="705">
        <v>384275</v>
      </c>
      <c r="AQ146" s="705">
        <v>349341</v>
      </c>
      <c r="AR146" s="705">
        <v>50477</v>
      </c>
      <c r="AS146" s="705">
        <v>18695</v>
      </c>
      <c r="AT146" s="705">
        <v>1388666</v>
      </c>
      <c r="AU146" s="705">
        <f t="shared" si="12"/>
        <v>1388665</v>
      </c>
      <c r="AV146" s="705">
        <f t="shared" si="13"/>
        <v>1684247</v>
      </c>
    </row>
    <row r="147" spans="2:48" ht="12.75" hidden="1" customHeight="1">
      <c r="B147" t="s">
        <v>531</v>
      </c>
      <c r="C147" t="s">
        <v>122</v>
      </c>
      <c r="D147" t="s">
        <v>228</v>
      </c>
      <c r="E147" t="s">
        <v>665</v>
      </c>
      <c r="F147">
        <v>5</v>
      </c>
      <c r="G147">
        <v>361</v>
      </c>
      <c r="H147" s="705">
        <v>2127</v>
      </c>
      <c r="I147" s="705">
        <v>92740</v>
      </c>
      <c r="J147" s="705">
        <v>34348</v>
      </c>
      <c r="K147" s="705">
        <v>100</v>
      </c>
      <c r="L147" s="705">
        <v>9255</v>
      </c>
      <c r="M147" s="705">
        <v>8414</v>
      </c>
      <c r="N147" s="705">
        <v>7711</v>
      </c>
      <c r="O147" s="705">
        <v>2856</v>
      </c>
      <c r="P147">
        <v>0</v>
      </c>
      <c r="Q147" s="705">
        <v>0</v>
      </c>
      <c r="R147" s="705">
        <v>31419</v>
      </c>
      <c r="S147" s="705">
        <v>28563</v>
      </c>
      <c r="T147" s="705">
        <v>12858</v>
      </c>
      <c r="U147" s="705">
        <v>4762</v>
      </c>
      <c r="V147" s="705">
        <v>78943</v>
      </c>
      <c r="W147" s="705">
        <f t="shared" si="8"/>
        <v>78943</v>
      </c>
      <c r="X147" s="705">
        <f t="shared" si="9"/>
        <v>153983</v>
      </c>
      <c r="Y147" s="705"/>
      <c r="AA147" t="s">
        <v>116</v>
      </c>
      <c r="AB147" t="s">
        <v>668</v>
      </c>
      <c r="AC147" t="s">
        <v>228</v>
      </c>
      <c r="AD147">
        <v>1</v>
      </c>
      <c r="AE147">
        <v>87</v>
      </c>
      <c r="AF147">
        <v>194</v>
      </c>
      <c r="AG147" s="705">
        <v>6740</v>
      </c>
      <c r="AH147" s="705">
        <v>6127</v>
      </c>
      <c r="AI147">
        <v>83</v>
      </c>
      <c r="AJ147" s="705">
        <v>1528</v>
      </c>
      <c r="AK147" s="705">
        <v>566</v>
      </c>
      <c r="AL147" s="705">
        <v>1891</v>
      </c>
      <c r="AM147">
        <v>700</v>
      </c>
      <c r="AN147">
        <v>0</v>
      </c>
      <c r="AO147">
        <v>0</v>
      </c>
      <c r="AP147" s="705">
        <v>6719</v>
      </c>
      <c r="AQ147" s="705">
        <v>2488</v>
      </c>
      <c r="AR147" s="705">
        <v>0</v>
      </c>
      <c r="AS147">
        <v>0</v>
      </c>
      <c r="AT147" s="705">
        <v>9882</v>
      </c>
      <c r="AU147" s="705">
        <f t="shared" si="12"/>
        <v>9881</v>
      </c>
      <c r="AV147" s="705">
        <f t="shared" si="13"/>
        <v>16878</v>
      </c>
    </row>
    <row r="148" spans="2:48" ht="12.75" hidden="1" customHeight="1">
      <c r="B148" t="s">
        <v>531</v>
      </c>
      <c r="C148" t="s">
        <v>122</v>
      </c>
      <c r="D148" t="s">
        <v>583</v>
      </c>
      <c r="E148" t="s">
        <v>228</v>
      </c>
      <c r="F148">
        <v>1</v>
      </c>
      <c r="G148">
        <v>49</v>
      </c>
      <c r="H148" s="705">
        <v>409</v>
      </c>
      <c r="I148" s="705">
        <v>11744</v>
      </c>
      <c r="J148" s="705">
        <v>10676</v>
      </c>
      <c r="K148" s="705">
        <v>93</v>
      </c>
      <c r="L148" s="705">
        <v>1920</v>
      </c>
      <c r="M148" s="705">
        <v>1746</v>
      </c>
      <c r="N148" s="705">
        <v>828</v>
      </c>
      <c r="O148" s="705">
        <v>307</v>
      </c>
      <c r="P148" s="705">
        <v>621</v>
      </c>
      <c r="Q148" s="705">
        <v>230</v>
      </c>
      <c r="R148" s="705">
        <v>4758</v>
      </c>
      <c r="S148" s="705">
        <v>1762</v>
      </c>
      <c r="T148" s="705">
        <v>0</v>
      </c>
      <c r="U148" s="705">
        <v>0</v>
      </c>
      <c r="V148" s="705">
        <v>14721</v>
      </c>
      <c r="W148" s="705">
        <f t="shared" si="8"/>
        <v>14721</v>
      </c>
      <c r="X148" s="705">
        <f t="shared" si="9"/>
        <v>19871</v>
      </c>
      <c r="Y148" s="705"/>
      <c r="AA148" t="s">
        <v>116</v>
      </c>
      <c r="AB148" t="s">
        <v>668</v>
      </c>
      <c r="AC148" t="s">
        <v>585</v>
      </c>
      <c r="AD148">
        <v>1</v>
      </c>
      <c r="AE148">
        <v>85</v>
      </c>
      <c r="AF148">
        <v>181</v>
      </c>
      <c r="AG148" s="705">
        <v>8185</v>
      </c>
      <c r="AH148" s="705">
        <v>7441</v>
      </c>
      <c r="AI148">
        <v>83</v>
      </c>
      <c r="AJ148" s="705">
        <v>1068</v>
      </c>
      <c r="AK148" s="705">
        <v>890</v>
      </c>
      <c r="AL148" s="705">
        <v>1038</v>
      </c>
      <c r="AM148">
        <v>384</v>
      </c>
      <c r="AN148">
        <v>351</v>
      </c>
      <c r="AO148">
        <v>130</v>
      </c>
      <c r="AP148" s="705">
        <v>4814</v>
      </c>
      <c r="AQ148" s="705">
        <v>4376</v>
      </c>
      <c r="AR148">
        <v>0</v>
      </c>
      <c r="AS148">
        <v>0</v>
      </c>
      <c r="AT148" s="705">
        <v>13222</v>
      </c>
      <c r="AU148" s="705">
        <f t="shared" si="12"/>
        <v>13221</v>
      </c>
      <c r="AV148" s="705">
        <f t="shared" si="13"/>
        <v>15456</v>
      </c>
    </row>
    <row r="149" spans="2:48" ht="12.75" hidden="1" customHeight="1">
      <c r="B149" t="s">
        <v>531</v>
      </c>
      <c r="C149" t="s">
        <v>122</v>
      </c>
      <c r="D149" t="s">
        <v>583</v>
      </c>
      <c r="E149" t="s">
        <v>583</v>
      </c>
      <c r="F149" s="705">
        <v>93</v>
      </c>
      <c r="G149" s="705">
        <v>9025</v>
      </c>
      <c r="H149" s="705">
        <v>38563</v>
      </c>
      <c r="I149" s="705">
        <v>2438730</v>
      </c>
      <c r="J149" s="705">
        <v>2217027</v>
      </c>
      <c r="K149" s="705">
        <v>76</v>
      </c>
      <c r="L149" s="705">
        <v>528547</v>
      </c>
      <c r="M149" s="705">
        <v>467889</v>
      </c>
      <c r="N149" s="705">
        <v>200212</v>
      </c>
      <c r="O149" s="705">
        <v>74153</v>
      </c>
      <c r="P149" s="705">
        <v>58455</v>
      </c>
      <c r="Q149" s="705">
        <v>21650</v>
      </c>
      <c r="R149" s="705">
        <v>443949</v>
      </c>
      <c r="S149" s="705">
        <v>403590</v>
      </c>
      <c r="T149" s="705">
        <v>169619</v>
      </c>
      <c r="U149" s="705">
        <v>62822</v>
      </c>
      <c r="V149" s="705">
        <v>3247131</v>
      </c>
      <c r="W149" s="705">
        <f t="shared" si="8"/>
        <v>3247131</v>
      </c>
      <c r="X149" s="705">
        <f t="shared" si="9"/>
        <v>3839512</v>
      </c>
      <c r="Y149" s="705"/>
      <c r="AA149" t="s">
        <v>116</v>
      </c>
      <c r="AB149" t="s">
        <v>668</v>
      </c>
      <c r="AC149" t="s">
        <v>668</v>
      </c>
      <c r="AD149">
        <v>43</v>
      </c>
      <c r="AE149" s="705">
        <v>3909</v>
      </c>
      <c r="AF149" s="705">
        <v>8040</v>
      </c>
      <c r="AG149" s="705">
        <v>402035</v>
      </c>
      <c r="AH149" s="705">
        <v>365486</v>
      </c>
      <c r="AI149">
        <v>74</v>
      </c>
      <c r="AJ149" s="705">
        <v>42498</v>
      </c>
      <c r="AK149" s="705">
        <v>39540</v>
      </c>
      <c r="AL149" s="705">
        <v>69073</v>
      </c>
      <c r="AM149" s="705">
        <v>25583</v>
      </c>
      <c r="AN149" s="705">
        <v>28786</v>
      </c>
      <c r="AO149" s="705">
        <v>10662</v>
      </c>
      <c r="AP149" s="705">
        <v>171306</v>
      </c>
      <c r="AQ149" s="705">
        <v>155733</v>
      </c>
      <c r="AR149" s="705">
        <v>18287</v>
      </c>
      <c r="AS149" s="705">
        <v>6773</v>
      </c>
      <c r="AT149" s="705">
        <v>603776</v>
      </c>
      <c r="AU149" s="705">
        <f t="shared" si="12"/>
        <v>603777</v>
      </c>
      <c r="AV149" s="705">
        <f t="shared" si="13"/>
        <v>731985</v>
      </c>
    </row>
    <row r="150" spans="2:48" ht="12.75" hidden="1" customHeight="1">
      <c r="B150" t="s">
        <v>531</v>
      </c>
      <c r="C150" t="s">
        <v>122</v>
      </c>
      <c r="D150" t="s">
        <v>666</v>
      </c>
      <c r="E150" t="s">
        <v>666</v>
      </c>
      <c r="F150" s="705">
        <v>3</v>
      </c>
      <c r="G150" s="705">
        <v>221</v>
      </c>
      <c r="H150" s="705">
        <v>1231</v>
      </c>
      <c r="I150" s="705">
        <v>50557</v>
      </c>
      <c r="J150" s="705">
        <v>45961</v>
      </c>
      <c r="K150">
        <v>48</v>
      </c>
      <c r="L150" s="705">
        <v>5698</v>
      </c>
      <c r="M150" s="705">
        <v>5180</v>
      </c>
      <c r="N150" s="705">
        <v>4213</v>
      </c>
      <c r="O150" s="705">
        <v>1560</v>
      </c>
      <c r="P150" s="705">
        <v>702</v>
      </c>
      <c r="Q150" s="705">
        <v>260</v>
      </c>
      <c r="R150" s="705">
        <v>20823</v>
      </c>
      <c r="S150" s="705">
        <v>18930</v>
      </c>
      <c r="T150" s="705">
        <v>8599</v>
      </c>
      <c r="U150" s="705">
        <v>3185</v>
      </c>
      <c r="V150" s="705">
        <v>75075</v>
      </c>
      <c r="W150" s="705">
        <f t="shared" si="8"/>
        <v>75076</v>
      </c>
      <c r="X150" s="705">
        <f t="shared" si="9"/>
        <v>90592</v>
      </c>
      <c r="Y150" s="705"/>
      <c r="AA150" t="s">
        <v>118</v>
      </c>
      <c r="AD150">
        <v>203</v>
      </c>
      <c r="AE150" s="705">
        <v>12545</v>
      </c>
      <c r="AF150" s="705">
        <v>51558</v>
      </c>
      <c r="AG150" s="705"/>
      <c r="AH150" s="705">
        <v>0</v>
      </c>
      <c r="AJ150" s="705"/>
      <c r="AK150" s="705">
        <v>0</v>
      </c>
      <c r="AL150" s="705">
        <v>261870</v>
      </c>
      <c r="AM150" s="705">
        <v>96989</v>
      </c>
      <c r="AN150" s="705">
        <v>59566</v>
      </c>
      <c r="AO150" s="705">
        <v>22062</v>
      </c>
      <c r="AP150" s="705"/>
      <c r="AQ150" s="705">
        <v>0</v>
      </c>
      <c r="AR150" s="705">
        <v>85061</v>
      </c>
      <c r="AS150" s="705">
        <v>31504</v>
      </c>
      <c r="AT150" s="705">
        <v>150554</v>
      </c>
      <c r="AU150" s="705">
        <f t="shared" si="12"/>
        <v>150555</v>
      </c>
      <c r="AV150" s="705">
        <f t="shared" si="13"/>
        <v>406497</v>
      </c>
    </row>
    <row r="151" spans="2:48" ht="12.75" hidden="1" customHeight="1">
      <c r="B151" t="s">
        <v>531</v>
      </c>
      <c r="C151" t="s">
        <v>122</v>
      </c>
      <c r="D151" t="s">
        <v>584</v>
      </c>
      <c r="E151" t="s">
        <v>584</v>
      </c>
      <c r="F151">
        <v>3</v>
      </c>
      <c r="G151" s="705">
        <v>344</v>
      </c>
      <c r="H151" s="705">
        <v>1199</v>
      </c>
      <c r="I151" s="705">
        <v>80883</v>
      </c>
      <c r="J151" s="705">
        <v>73530</v>
      </c>
      <c r="K151" s="705">
        <v>74</v>
      </c>
      <c r="L151" s="705">
        <v>26923</v>
      </c>
      <c r="M151" s="705">
        <v>24476</v>
      </c>
      <c r="N151" s="705">
        <v>7539</v>
      </c>
      <c r="O151" s="705">
        <v>2792</v>
      </c>
      <c r="P151" s="705">
        <v>1418</v>
      </c>
      <c r="Q151" s="705">
        <v>525</v>
      </c>
      <c r="R151" s="705">
        <v>20054</v>
      </c>
      <c r="S151" s="705">
        <v>18231</v>
      </c>
      <c r="T151" s="705">
        <v>0</v>
      </c>
      <c r="U151" s="705">
        <v>0</v>
      </c>
      <c r="V151" s="705">
        <v>119554</v>
      </c>
      <c r="W151" s="705">
        <f t="shared" si="8"/>
        <v>119554</v>
      </c>
      <c r="X151" s="705">
        <f t="shared" si="9"/>
        <v>136817</v>
      </c>
      <c r="Y151" s="705"/>
      <c r="AA151" t="s">
        <v>118</v>
      </c>
      <c r="AB151" t="s">
        <v>674</v>
      </c>
      <c r="AC151" t="s">
        <v>674</v>
      </c>
      <c r="AD151">
        <v>4</v>
      </c>
      <c r="AE151">
        <v>346</v>
      </c>
      <c r="AF151" s="705">
        <v>1082</v>
      </c>
      <c r="AG151" s="705">
        <v>49916</v>
      </c>
      <c r="AH151" s="705">
        <v>45378</v>
      </c>
      <c r="AI151">
        <v>62</v>
      </c>
      <c r="AJ151" s="705">
        <v>7225</v>
      </c>
      <c r="AK151" s="705">
        <v>6568</v>
      </c>
      <c r="AL151" s="705">
        <v>6925</v>
      </c>
      <c r="AM151" s="705">
        <v>2565</v>
      </c>
      <c r="AN151" s="705">
        <v>1404</v>
      </c>
      <c r="AO151">
        <v>520</v>
      </c>
      <c r="AP151" s="705">
        <v>18841</v>
      </c>
      <c r="AQ151" s="705">
        <v>17128</v>
      </c>
      <c r="AR151" s="705">
        <v>9725</v>
      </c>
      <c r="AS151" s="705">
        <v>3602</v>
      </c>
      <c r="AT151" s="705">
        <v>75761</v>
      </c>
      <c r="AU151" s="705">
        <f t="shared" si="12"/>
        <v>75761</v>
      </c>
      <c r="AV151" s="705">
        <f t="shared" si="13"/>
        <v>94036</v>
      </c>
    </row>
    <row r="152" spans="2:48" ht="12.75" hidden="1" customHeight="1">
      <c r="B152" t="s">
        <v>531</v>
      </c>
      <c r="C152" t="s">
        <v>122</v>
      </c>
      <c r="D152" t="s">
        <v>665</v>
      </c>
      <c r="E152" t="s">
        <v>228</v>
      </c>
      <c r="F152" s="705">
        <v>2</v>
      </c>
      <c r="G152" s="705">
        <v>117</v>
      </c>
      <c r="H152" s="705">
        <v>808</v>
      </c>
      <c r="I152" s="705">
        <v>32502</v>
      </c>
      <c r="J152" s="705">
        <v>29548</v>
      </c>
      <c r="K152" s="705">
        <v>53</v>
      </c>
      <c r="L152" s="705">
        <v>3393</v>
      </c>
      <c r="M152" s="705">
        <v>3085</v>
      </c>
      <c r="N152" s="705">
        <v>2672</v>
      </c>
      <c r="O152" s="705">
        <v>990</v>
      </c>
      <c r="P152" s="705">
        <v>351</v>
      </c>
      <c r="Q152" s="705">
        <v>130</v>
      </c>
      <c r="R152" s="705">
        <v>8013</v>
      </c>
      <c r="S152" s="705">
        <v>2968</v>
      </c>
      <c r="T152" s="705">
        <v>0</v>
      </c>
      <c r="U152" s="705">
        <v>0</v>
      </c>
      <c r="V152" s="705">
        <v>36720</v>
      </c>
      <c r="W152" s="705">
        <f t="shared" si="8"/>
        <v>36721</v>
      </c>
      <c r="X152" s="705">
        <f t="shared" si="9"/>
        <v>46931</v>
      </c>
      <c r="Y152" s="705"/>
      <c r="AA152" t="s">
        <v>118</v>
      </c>
      <c r="AB152" t="s">
        <v>664</v>
      </c>
      <c r="AC152" t="s">
        <v>664</v>
      </c>
      <c r="AD152">
        <v>63</v>
      </c>
      <c r="AE152" s="705">
        <v>6375</v>
      </c>
      <c r="AF152" s="705">
        <v>16523</v>
      </c>
      <c r="AG152" s="705">
        <v>960373</v>
      </c>
      <c r="AH152" s="705">
        <v>873066</v>
      </c>
      <c r="AI152">
        <v>77</v>
      </c>
      <c r="AJ152" s="705">
        <v>196035</v>
      </c>
      <c r="AK152" s="705">
        <v>167135</v>
      </c>
      <c r="AL152" s="705">
        <v>130494</v>
      </c>
      <c r="AM152" s="705">
        <v>48331</v>
      </c>
      <c r="AN152" s="705">
        <v>31604</v>
      </c>
      <c r="AO152" s="705">
        <v>11705</v>
      </c>
      <c r="AP152" s="705">
        <v>304076</v>
      </c>
      <c r="AQ152" s="705">
        <v>276433</v>
      </c>
      <c r="AR152" s="705">
        <v>68682</v>
      </c>
      <c r="AS152" s="705">
        <v>25438</v>
      </c>
      <c r="AT152" s="705">
        <v>1402108</v>
      </c>
      <c r="AU152" s="705">
        <f t="shared" si="12"/>
        <v>1402108</v>
      </c>
      <c r="AV152" s="705">
        <f t="shared" si="13"/>
        <v>1691264</v>
      </c>
    </row>
    <row r="153" spans="2:48" ht="12.75" hidden="1" customHeight="1">
      <c r="B153" t="s">
        <v>531</v>
      </c>
      <c r="C153" t="s">
        <v>122</v>
      </c>
      <c r="D153" t="s">
        <v>665</v>
      </c>
      <c r="E153" t="s">
        <v>665</v>
      </c>
      <c r="F153">
        <v>79</v>
      </c>
      <c r="G153" s="705">
        <v>5114</v>
      </c>
      <c r="H153" s="705">
        <v>32453</v>
      </c>
      <c r="I153" s="705">
        <v>1268506</v>
      </c>
      <c r="J153" s="705">
        <v>1153187</v>
      </c>
      <c r="K153" s="705">
        <v>47</v>
      </c>
      <c r="L153" s="705">
        <v>101593</v>
      </c>
      <c r="M153" s="705">
        <v>89606</v>
      </c>
      <c r="N153" s="705">
        <v>98391</v>
      </c>
      <c r="O153" s="705">
        <v>36441</v>
      </c>
      <c r="P153" s="705">
        <v>27378</v>
      </c>
      <c r="Q153" s="705">
        <v>10140</v>
      </c>
      <c r="R153" s="705">
        <v>447635</v>
      </c>
      <c r="S153" s="705">
        <v>406941</v>
      </c>
      <c r="T153" s="705">
        <v>167511</v>
      </c>
      <c r="U153" s="705">
        <v>62041</v>
      </c>
      <c r="V153" s="705">
        <v>1758356</v>
      </c>
      <c r="W153" s="705">
        <f t="shared" si="8"/>
        <v>1758356</v>
      </c>
      <c r="X153" s="705">
        <f t="shared" si="9"/>
        <v>2111014</v>
      </c>
      <c r="Y153" s="705"/>
      <c r="AA153" t="s">
        <v>118</v>
      </c>
      <c r="AB153" t="s">
        <v>664</v>
      </c>
      <c r="AC153" t="s">
        <v>582</v>
      </c>
      <c r="AD153">
        <v>1</v>
      </c>
      <c r="AE153" s="705">
        <v>58</v>
      </c>
      <c r="AF153" s="705">
        <v>231</v>
      </c>
      <c r="AG153" s="705">
        <v>7028</v>
      </c>
      <c r="AH153" s="705">
        <v>6389</v>
      </c>
      <c r="AI153">
        <v>91</v>
      </c>
      <c r="AJ153" s="705">
        <v>1298</v>
      </c>
      <c r="AK153" s="705">
        <v>1081</v>
      </c>
      <c r="AL153" s="705">
        <v>1343</v>
      </c>
      <c r="AM153" s="705">
        <v>497</v>
      </c>
      <c r="AN153" s="705">
        <v>473</v>
      </c>
      <c r="AO153" s="705">
        <v>175</v>
      </c>
      <c r="AP153" s="705">
        <v>3183</v>
      </c>
      <c r="AQ153" s="705">
        <v>2893</v>
      </c>
      <c r="AR153" s="705">
        <v>0</v>
      </c>
      <c r="AS153" s="705">
        <v>0</v>
      </c>
      <c r="AT153" s="705">
        <v>11036</v>
      </c>
      <c r="AU153" s="705">
        <f t="shared" si="12"/>
        <v>11035</v>
      </c>
      <c r="AV153" s="705">
        <f t="shared" si="13"/>
        <v>13325</v>
      </c>
    </row>
    <row r="154" spans="2:48" ht="12.75" hidden="1" customHeight="1">
      <c r="B154" t="s">
        <v>531</v>
      </c>
      <c r="C154" t="s">
        <v>124</v>
      </c>
      <c r="F154">
        <v>1</v>
      </c>
      <c r="G154">
        <v>61</v>
      </c>
      <c r="H154" s="705">
        <v>629</v>
      </c>
      <c r="I154" s="705"/>
      <c r="J154" s="705">
        <v>0</v>
      </c>
      <c r="K154" s="705"/>
      <c r="L154" s="705"/>
      <c r="M154" s="705">
        <v>0</v>
      </c>
      <c r="N154" s="705">
        <v>744</v>
      </c>
      <c r="O154" s="705">
        <v>276</v>
      </c>
      <c r="P154" s="705">
        <v>205</v>
      </c>
      <c r="Q154" s="705">
        <v>76</v>
      </c>
      <c r="R154" s="705"/>
      <c r="S154" s="705">
        <v>0</v>
      </c>
      <c r="T154">
        <v>0</v>
      </c>
      <c r="U154" s="705">
        <v>0</v>
      </c>
      <c r="V154" s="705">
        <v>352</v>
      </c>
      <c r="W154" s="705">
        <f t="shared" si="8"/>
        <v>352</v>
      </c>
      <c r="X154" s="705">
        <f t="shared" si="9"/>
        <v>949</v>
      </c>
      <c r="Y154" s="705"/>
      <c r="AA154" t="s">
        <v>118</v>
      </c>
      <c r="AB154" t="s">
        <v>664</v>
      </c>
      <c r="AC154" t="s">
        <v>228</v>
      </c>
      <c r="AD154">
        <v>1</v>
      </c>
      <c r="AE154">
        <v>95</v>
      </c>
      <c r="AF154" s="705">
        <v>296</v>
      </c>
      <c r="AG154" s="705">
        <v>19141</v>
      </c>
      <c r="AH154" s="705">
        <v>17401</v>
      </c>
      <c r="AI154">
        <v>63</v>
      </c>
      <c r="AJ154" s="705">
        <v>2436</v>
      </c>
      <c r="AK154" s="705">
        <v>2215</v>
      </c>
      <c r="AL154" s="705">
        <v>1538</v>
      </c>
      <c r="AM154" s="705">
        <v>570</v>
      </c>
      <c r="AN154" s="705">
        <v>0</v>
      </c>
      <c r="AO154" s="705">
        <v>0</v>
      </c>
      <c r="AP154" s="705">
        <v>4938</v>
      </c>
      <c r="AQ154" s="705">
        <v>1829</v>
      </c>
      <c r="AR154" s="705">
        <v>0</v>
      </c>
      <c r="AS154" s="705">
        <v>0</v>
      </c>
      <c r="AT154" s="705">
        <v>22014</v>
      </c>
      <c r="AU154" s="705">
        <f t="shared" si="12"/>
        <v>22015</v>
      </c>
      <c r="AV154" s="705">
        <f t="shared" si="13"/>
        <v>28053</v>
      </c>
    </row>
    <row r="155" spans="2:48" ht="12.75" hidden="1" customHeight="1">
      <c r="B155" t="s">
        <v>531</v>
      </c>
      <c r="C155" t="s">
        <v>124</v>
      </c>
      <c r="D155" t="s">
        <v>582</v>
      </c>
      <c r="E155" t="s">
        <v>582</v>
      </c>
      <c r="F155" s="705">
        <v>1</v>
      </c>
      <c r="G155" s="705">
        <v>51</v>
      </c>
      <c r="H155" s="705">
        <v>705</v>
      </c>
      <c r="I155" s="705">
        <v>29232</v>
      </c>
      <c r="J155" s="705">
        <v>26574</v>
      </c>
      <c r="K155" s="705">
        <v>65</v>
      </c>
      <c r="L155" s="705">
        <v>0</v>
      </c>
      <c r="M155" s="705">
        <v>0</v>
      </c>
      <c r="N155" s="705">
        <v>1126</v>
      </c>
      <c r="O155" s="705">
        <v>417</v>
      </c>
      <c r="P155" s="705">
        <v>473</v>
      </c>
      <c r="Q155" s="705">
        <v>175</v>
      </c>
      <c r="R155" s="705">
        <v>4789</v>
      </c>
      <c r="S155" s="705">
        <v>4354</v>
      </c>
      <c r="T155" s="705">
        <v>0</v>
      </c>
      <c r="U155" s="705">
        <v>0</v>
      </c>
      <c r="V155" s="705">
        <v>31521</v>
      </c>
      <c r="W155" s="705">
        <f t="shared" si="8"/>
        <v>31520</v>
      </c>
      <c r="X155" s="705">
        <f t="shared" si="9"/>
        <v>35620</v>
      </c>
      <c r="Y155" s="705"/>
      <c r="AA155" t="s">
        <v>118</v>
      </c>
      <c r="AB155" t="s">
        <v>664</v>
      </c>
      <c r="AC155" t="s">
        <v>583</v>
      </c>
      <c r="AD155">
        <v>11</v>
      </c>
      <c r="AE155" s="705">
        <v>1007</v>
      </c>
      <c r="AF155" s="705">
        <v>2831</v>
      </c>
      <c r="AG155" s="705">
        <v>130108</v>
      </c>
      <c r="AH155" s="705">
        <v>118280</v>
      </c>
      <c r="AI155">
        <v>78</v>
      </c>
      <c r="AJ155" s="705">
        <v>31932</v>
      </c>
      <c r="AK155" s="705">
        <v>26401</v>
      </c>
      <c r="AL155" s="705">
        <v>19547</v>
      </c>
      <c r="AM155" s="705">
        <v>7239</v>
      </c>
      <c r="AN155" s="705">
        <v>7533</v>
      </c>
      <c r="AO155" s="705">
        <v>2790</v>
      </c>
      <c r="AP155" s="705">
        <v>53089</v>
      </c>
      <c r="AQ155" s="705">
        <v>48262</v>
      </c>
      <c r="AR155" s="705">
        <v>18317</v>
      </c>
      <c r="AS155" s="705">
        <v>6784</v>
      </c>
      <c r="AT155" s="705">
        <v>209757</v>
      </c>
      <c r="AU155" s="705">
        <f t="shared" si="12"/>
        <v>209756</v>
      </c>
      <c r="AV155" s="705">
        <f t="shared" si="13"/>
        <v>260526</v>
      </c>
    </row>
    <row r="156" spans="2:48" ht="12.75" hidden="1" customHeight="1">
      <c r="B156" t="s">
        <v>531</v>
      </c>
      <c r="C156" t="s">
        <v>124</v>
      </c>
      <c r="D156" t="s">
        <v>228</v>
      </c>
      <c r="E156" t="s">
        <v>228</v>
      </c>
      <c r="F156">
        <v>50</v>
      </c>
      <c r="G156" s="705">
        <v>3841</v>
      </c>
      <c r="H156" s="705">
        <v>34802</v>
      </c>
      <c r="I156" s="705">
        <v>1883570</v>
      </c>
      <c r="J156" s="705">
        <v>697618</v>
      </c>
      <c r="K156" s="705">
        <v>100</v>
      </c>
      <c r="L156" s="705">
        <v>326318</v>
      </c>
      <c r="M156" s="705">
        <v>213785</v>
      </c>
      <c r="N156" s="705">
        <v>84753</v>
      </c>
      <c r="O156" s="705">
        <v>31390</v>
      </c>
      <c r="P156">
        <v>699</v>
      </c>
      <c r="Q156" s="705">
        <v>259</v>
      </c>
      <c r="R156" s="705">
        <v>321880</v>
      </c>
      <c r="S156" s="705">
        <v>119215</v>
      </c>
      <c r="T156">
        <v>0</v>
      </c>
      <c r="U156" s="705">
        <v>0</v>
      </c>
      <c r="V156" s="705">
        <v>1062267</v>
      </c>
      <c r="W156" s="705">
        <f t="shared" si="8"/>
        <v>1062267</v>
      </c>
      <c r="X156" s="705">
        <f t="shared" si="9"/>
        <v>2617220</v>
      </c>
      <c r="Y156" s="705"/>
      <c r="AA156" t="s">
        <v>118</v>
      </c>
      <c r="AB156" t="s">
        <v>664</v>
      </c>
      <c r="AC156" t="s">
        <v>584</v>
      </c>
      <c r="AD156">
        <v>2</v>
      </c>
      <c r="AE156">
        <v>135</v>
      </c>
      <c r="AF156">
        <v>537</v>
      </c>
      <c r="AG156" s="705">
        <v>21747</v>
      </c>
      <c r="AH156" s="705">
        <v>19770</v>
      </c>
      <c r="AI156">
        <v>85</v>
      </c>
      <c r="AJ156" s="705">
        <v>3361</v>
      </c>
      <c r="AK156" s="705">
        <v>3056</v>
      </c>
      <c r="AL156" s="705">
        <v>2859</v>
      </c>
      <c r="AM156" s="705">
        <v>1059</v>
      </c>
      <c r="AN156" s="705">
        <v>824</v>
      </c>
      <c r="AO156">
        <v>305</v>
      </c>
      <c r="AP156" s="705">
        <v>7493</v>
      </c>
      <c r="AQ156" s="705">
        <v>6812</v>
      </c>
      <c r="AR156" s="705">
        <v>0</v>
      </c>
      <c r="AS156" s="705">
        <v>0</v>
      </c>
      <c r="AT156" s="705">
        <v>31002</v>
      </c>
      <c r="AU156" s="705">
        <f t="shared" si="12"/>
        <v>31002</v>
      </c>
      <c r="AV156" s="705">
        <f t="shared" si="13"/>
        <v>36284</v>
      </c>
    </row>
    <row r="157" spans="2:48" ht="12.75" hidden="1" customHeight="1">
      <c r="B157" t="s">
        <v>531</v>
      </c>
      <c r="C157" t="s">
        <v>124</v>
      </c>
      <c r="D157" t="s">
        <v>228</v>
      </c>
      <c r="E157" t="s">
        <v>665</v>
      </c>
      <c r="F157">
        <v>3</v>
      </c>
      <c r="G157">
        <v>200</v>
      </c>
      <c r="H157" s="705">
        <v>1590</v>
      </c>
      <c r="I157" s="705">
        <v>98833</v>
      </c>
      <c r="J157" s="705">
        <v>36605</v>
      </c>
      <c r="K157" s="705">
        <v>100</v>
      </c>
      <c r="L157" s="705">
        <v>13633</v>
      </c>
      <c r="M157" s="705">
        <v>12393</v>
      </c>
      <c r="N157" s="705">
        <v>6161</v>
      </c>
      <c r="O157" s="705">
        <v>2282</v>
      </c>
      <c r="P157" s="705">
        <v>0</v>
      </c>
      <c r="Q157" s="705">
        <v>0</v>
      </c>
      <c r="R157" s="705">
        <v>14480</v>
      </c>
      <c r="S157" s="705">
        <v>13163</v>
      </c>
      <c r="T157" s="705">
        <v>5887</v>
      </c>
      <c r="U157" s="705">
        <v>2181</v>
      </c>
      <c r="V157" s="705">
        <v>66624</v>
      </c>
      <c r="W157" s="705">
        <f t="shared" si="8"/>
        <v>66624</v>
      </c>
      <c r="X157" s="705">
        <f t="shared" si="9"/>
        <v>138994</v>
      </c>
      <c r="Y157" s="705"/>
      <c r="AA157" t="s">
        <v>118</v>
      </c>
      <c r="AB157" t="s">
        <v>582</v>
      </c>
      <c r="AC157" t="s">
        <v>674</v>
      </c>
      <c r="AD157" s="705">
        <v>1</v>
      </c>
      <c r="AE157" s="705">
        <v>122</v>
      </c>
      <c r="AF157" s="705">
        <v>249</v>
      </c>
      <c r="AG157" s="705">
        <v>14466</v>
      </c>
      <c r="AH157" s="705">
        <v>13151</v>
      </c>
      <c r="AI157">
        <v>78</v>
      </c>
      <c r="AJ157" s="705">
        <v>6305</v>
      </c>
      <c r="AK157" s="705">
        <v>5732</v>
      </c>
      <c r="AL157" s="705">
        <v>2563</v>
      </c>
      <c r="AM157" s="705">
        <v>949</v>
      </c>
      <c r="AN157" s="705">
        <v>473</v>
      </c>
      <c r="AO157" s="705">
        <v>175</v>
      </c>
      <c r="AP157" s="705">
        <v>3773</v>
      </c>
      <c r="AQ157" s="705">
        <v>3430</v>
      </c>
      <c r="AR157" s="705">
        <v>2836</v>
      </c>
      <c r="AS157" s="705">
        <v>1050</v>
      </c>
      <c r="AT157" s="705">
        <v>24487</v>
      </c>
      <c r="AU157" s="705">
        <f t="shared" si="12"/>
        <v>24487</v>
      </c>
      <c r="AV157" s="705">
        <f t="shared" si="13"/>
        <v>30416</v>
      </c>
    </row>
    <row r="158" spans="2:48" ht="12.75" hidden="1" customHeight="1">
      <c r="B158" t="s">
        <v>531</v>
      </c>
      <c r="C158" t="s">
        <v>124</v>
      </c>
      <c r="D158" t="s">
        <v>583</v>
      </c>
      <c r="E158" t="s">
        <v>228</v>
      </c>
      <c r="F158" s="705">
        <v>2</v>
      </c>
      <c r="G158" s="705">
        <v>196</v>
      </c>
      <c r="H158" s="705">
        <v>1273</v>
      </c>
      <c r="I158" s="705">
        <v>81599</v>
      </c>
      <c r="J158" s="705">
        <v>74181</v>
      </c>
      <c r="K158" s="705">
        <v>78</v>
      </c>
      <c r="L158" s="705">
        <v>21333</v>
      </c>
      <c r="M158" s="705">
        <v>19393</v>
      </c>
      <c r="N158" s="705">
        <v>3474</v>
      </c>
      <c r="O158" s="705">
        <v>1287</v>
      </c>
      <c r="P158" s="705">
        <v>1242</v>
      </c>
      <c r="Q158" s="705">
        <v>460</v>
      </c>
      <c r="R158" s="705">
        <v>19726</v>
      </c>
      <c r="S158" s="705">
        <v>7306</v>
      </c>
      <c r="T158" s="705">
        <v>0</v>
      </c>
      <c r="U158" s="705">
        <v>0</v>
      </c>
      <c r="V158" s="705">
        <v>102627</v>
      </c>
      <c r="W158" s="705">
        <f t="shared" si="8"/>
        <v>102627</v>
      </c>
      <c r="X158" s="705">
        <f t="shared" si="9"/>
        <v>127374</v>
      </c>
      <c r="Y158" s="705"/>
      <c r="AA158" t="s">
        <v>118</v>
      </c>
      <c r="AB158" t="s">
        <v>582</v>
      </c>
      <c r="AC158" t="s">
        <v>664</v>
      </c>
      <c r="AD158">
        <v>1</v>
      </c>
      <c r="AE158">
        <v>131</v>
      </c>
      <c r="AF158">
        <v>262</v>
      </c>
      <c r="AG158" s="705">
        <v>19612</v>
      </c>
      <c r="AH158" s="705">
        <v>17829</v>
      </c>
      <c r="AI158">
        <v>90</v>
      </c>
      <c r="AJ158" s="705">
        <v>6545</v>
      </c>
      <c r="AK158" s="705">
        <v>5950</v>
      </c>
      <c r="AL158" s="705">
        <v>3204</v>
      </c>
      <c r="AM158" s="705">
        <v>1187</v>
      </c>
      <c r="AN158" s="705">
        <v>473</v>
      </c>
      <c r="AO158">
        <v>175</v>
      </c>
      <c r="AP158" s="705">
        <v>4596</v>
      </c>
      <c r="AQ158" s="705">
        <v>4179</v>
      </c>
      <c r="AR158" s="705">
        <v>0</v>
      </c>
      <c r="AS158" s="705">
        <v>0</v>
      </c>
      <c r="AT158" s="705">
        <v>29319</v>
      </c>
      <c r="AU158" s="705">
        <f t="shared" si="12"/>
        <v>29320</v>
      </c>
      <c r="AV158" s="705">
        <f t="shared" si="13"/>
        <v>34430</v>
      </c>
    </row>
    <row r="159" spans="2:48" ht="12.75" hidden="1" customHeight="1">
      <c r="B159" t="s">
        <v>531</v>
      </c>
      <c r="C159" t="s">
        <v>124</v>
      </c>
      <c r="D159" t="s">
        <v>583</v>
      </c>
      <c r="E159" t="s">
        <v>583</v>
      </c>
      <c r="F159" s="705">
        <v>93</v>
      </c>
      <c r="G159" s="705">
        <v>8017</v>
      </c>
      <c r="H159" s="705">
        <v>50518</v>
      </c>
      <c r="I159" s="705">
        <v>2917207</v>
      </c>
      <c r="J159" s="705">
        <v>2652007</v>
      </c>
      <c r="K159" s="705">
        <v>70</v>
      </c>
      <c r="L159" s="705">
        <v>595141</v>
      </c>
      <c r="M159" s="705">
        <v>539246</v>
      </c>
      <c r="N159" s="705">
        <v>180387</v>
      </c>
      <c r="O159" s="705">
        <v>66810</v>
      </c>
      <c r="P159" s="705">
        <v>58104</v>
      </c>
      <c r="Q159" s="705">
        <v>21520</v>
      </c>
      <c r="R159" s="705">
        <v>418167</v>
      </c>
      <c r="S159" s="705">
        <v>380152</v>
      </c>
      <c r="T159" s="705">
        <v>177661</v>
      </c>
      <c r="U159" s="705">
        <v>65800</v>
      </c>
      <c r="V159" s="705">
        <v>3725535</v>
      </c>
      <c r="W159" s="705">
        <f t="shared" si="8"/>
        <v>3725535</v>
      </c>
      <c r="X159" s="705">
        <f t="shared" si="9"/>
        <v>4346667</v>
      </c>
      <c r="Y159" s="705"/>
      <c r="AA159" t="s">
        <v>118</v>
      </c>
      <c r="AB159" t="s">
        <v>582</v>
      </c>
      <c r="AC159" t="s">
        <v>582</v>
      </c>
      <c r="AD159">
        <v>383</v>
      </c>
      <c r="AE159" s="705">
        <v>38360</v>
      </c>
      <c r="AF159" s="705">
        <v>98586</v>
      </c>
      <c r="AG159" s="705">
        <v>5509434</v>
      </c>
      <c r="AH159" s="705">
        <v>5008577</v>
      </c>
      <c r="AI159">
        <v>78</v>
      </c>
      <c r="AJ159" s="705">
        <v>1277586</v>
      </c>
      <c r="AK159" s="705">
        <v>1108651</v>
      </c>
      <c r="AL159" s="705">
        <v>812985</v>
      </c>
      <c r="AM159" s="705">
        <v>301106</v>
      </c>
      <c r="AN159" s="705">
        <v>187055</v>
      </c>
      <c r="AO159" s="705">
        <v>69279</v>
      </c>
      <c r="AP159" s="705">
        <v>1812376</v>
      </c>
      <c r="AQ159" s="705">
        <v>1647614</v>
      </c>
      <c r="AR159" s="705">
        <v>460319</v>
      </c>
      <c r="AS159" s="705">
        <v>170488</v>
      </c>
      <c r="AT159" s="705">
        <v>8305716</v>
      </c>
      <c r="AU159" s="705">
        <f t="shared" si="12"/>
        <v>8305715</v>
      </c>
      <c r="AV159" s="705">
        <f t="shared" si="13"/>
        <v>10059755</v>
      </c>
    </row>
    <row r="160" spans="2:48" ht="12.75" hidden="1" customHeight="1">
      <c r="B160" t="s">
        <v>531</v>
      </c>
      <c r="C160" t="s">
        <v>124</v>
      </c>
      <c r="D160" t="s">
        <v>666</v>
      </c>
      <c r="E160" t="s">
        <v>228</v>
      </c>
      <c r="F160">
        <v>1</v>
      </c>
      <c r="G160">
        <v>111</v>
      </c>
      <c r="H160" s="705">
        <v>950</v>
      </c>
      <c r="I160" s="705">
        <v>86584</v>
      </c>
      <c r="J160" s="705">
        <v>78713</v>
      </c>
      <c r="K160" s="705">
        <v>30</v>
      </c>
      <c r="L160" s="705">
        <v>9620</v>
      </c>
      <c r="M160" s="705">
        <v>8746</v>
      </c>
      <c r="N160" s="705">
        <v>2712</v>
      </c>
      <c r="O160" s="705">
        <v>1004</v>
      </c>
      <c r="P160">
        <v>351</v>
      </c>
      <c r="Q160" s="705">
        <v>130</v>
      </c>
      <c r="R160" s="705">
        <v>6435</v>
      </c>
      <c r="S160" s="705">
        <v>2384</v>
      </c>
      <c r="T160" s="705">
        <v>0</v>
      </c>
      <c r="U160" s="705">
        <v>0</v>
      </c>
      <c r="V160" s="705">
        <v>90976</v>
      </c>
      <c r="W160" s="705">
        <f t="shared" si="8"/>
        <v>90977</v>
      </c>
      <c r="X160" s="705">
        <f t="shared" si="9"/>
        <v>105702</v>
      </c>
      <c r="Y160" s="705"/>
      <c r="AA160" t="s">
        <v>118</v>
      </c>
      <c r="AB160" t="s">
        <v>582</v>
      </c>
      <c r="AC160" t="s">
        <v>228</v>
      </c>
      <c r="AD160">
        <v>2</v>
      </c>
      <c r="AE160">
        <v>161</v>
      </c>
      <c r="AF160">
        <v>515</v>
      </c>
      <c r="AG160" s="705">
        <v>22105</v>
      </c>
      <c r="AH160" s="705">
        <v>20095</v>
      </c>
      <c r="AI160">
        <v>86</v>
      </c>
      <c r="AJ160" s="705">
        <v>1916</v>
      </c>
      <c r="AK160" s="705">
        <v>1742</v>
      </c>
      <c r="AL160" s="705">
        <v>3098</v>
      </c>
      <c r="AM160" s="705">
        <v>1147</v>
      </c>
      <c r="AN160">
        <v>945</v>
      </c>
      <c r="AO160">
        <v>350</v>
      </c>
      <c r="AP160" s="705">
        <v>13673</v>
      </c>
      <c r="AQ160" s="705">
        <v>5064</v>
      </c>
      <c r="AR160">
        <v>0</v>
      </c>
      <c r="AS160">
        <v>0</v>
      </c>
      <c r="AT160" s="705">
        <v>28398</v>
      </c>
      <c r="AU160" s="705">
        <f t="shared" si="12"/>
        <v>28398</v>
      </c>
      <c r="AV160" s="705">
        <f t="shared" si="13"/>
        <v>41737</v>
      </c>
    </row>
    <row r="161" spans="2:48" ht="12.75" hidden="1" customHeight="1">
      <c r="B161" t="s">
        <v>531</v>
      </c>
      <c r="C161" t="s">
        <v>124</v>
      </c>
      <c r="D161" t="s">
        <v>666</v>
      </c>
      <c r="E161" t="s">
        <v>666</v>
      </c>
      <c r="F161">
        <v>7</v>
      </c>
      <c r="G161" s="705">
        <v>458</v>
      </c>
      <c r="H161" s="705">
        <v>4566</v>
      </c>
      <c r="I161" s="705">
        <v>195477</v>
      </c>
      <c r="J161" s="705">
        <v>177706</v>
      </c>
      <c r="K161" s="705">
        <v>43</v>
      </c>
      <c r="L161" s="705">
        <v>27862</v>
      </c>
      <c r="M161" s="705">
        <v>22878</v>
      </c>
      <c r="N161" s="705">
        <v>9904</v>
      </c>
      <c r="O161" s="705">
        <v>3668</v>
      </c>
      <c r="P161" s="705">
        <v>2106</v>
      </c>
      <c r="Q161" s="705">
        <v>780</v>
      </c>
      <c r="R161" s="705">
        <v>36417</v>
      </c>
      <c r="S161" s="705">
        <v>33106</v>
      </c>
      <c r="T161" s="705">
        <v>12736</v>
      </c>
      <c r="U161" s="705">
        <v>4717</v>
      </c>
      <c r="V161" s="705">
        <v>242856</v>
      </c>
      <c r="W161" s="705">
        <f t="shared" si="8"/>
        <v>242855</v>
      </c>
      <c r="X161" s="705">
        <f t="shared" si="9"/>
        <v>284502</v>
      </c>
      <c r="Y161" s="705"/>
      <c r="AA161" t="s">
        <v>118</v>
      </c>
      <c r="AB161" t="s">
        <v>582</v>
      </c>
      <c r="AC161" t="s">
        <v>584</v>
      </c>
      <c r="AD161">
        <v>5</v>
      </c>
      <c r="AE161" s="705">
        <v>331</v>
      </c>
      <c r="AF161" s="705">
        <v>1282</v>
      </c>
      <c r="AG161" s="705">
        <v>51234</v>
      </c>
      <c r="AH161" s="705">
        <v>46577</v>
      </c>
      <c r="AI161">
        <v>79</v>
      </c>
      <c r="AJ161" s="705">
        <v>8657</v>
      </c>
      <c r="AK161" s="705">
        <v>7644</v>
      </c>
      <c r="AL161" s="705">
        <v>8633</v>
      </c>
      <c r="AM161" s="705">
        <v>3197</v>
      </c>
      <c r="AN161" s="705">
        <v>2363</v>
      </c>
      <c r="AO161" s="705">
        <v>875</v>
      </c>
      <c r="AP161" s="705">
        <v>18456</v>
      </c>
      <c r="AQ161" s="705">
        <v>16778</v>
      </c>
      <c r="AR161" s="705">
        <v>9206</v>
      </c>
      <c r="AS161" s="705">
        <v>3410</v>
      </c>
      <c r="AT161" s="705">
        <v>78481</v>
      </c>
      <c r="AU161" s="705">
        <f t="shared" si="12"/>
        <v>78481</v>
      </c>
      <c r="AV161" s="705">
        <f t="shared" si="13"/>
        <v>98549</v>
      </c>
    </row>
    <row r="162" spans="2:48" ht="12.75" hidden="1" customHeight="1">
      <c r="B162" t="s">
        <v>531</v>
      </c>
      <c r="C162" t="s">
        <v>124</v>
      </c>
      <c r="D162" t="s">
        <v>584</v>
      </c>
      <c r="E162" t="s">
        <v>584</v>
      </c>
      <c r="F162">
        <v>3</v>
      </c>
      <c r="G162">
        <v>188</v>
      </c>
      <c r="H162" s="705">
        <v>1734</v>
      </c>
      <c r="I162" s="705">
        <v>71059</v>
      </c>
      <c r="J162" s="705">
        <v>64599</v>
      </c>
      <c r="K162" s="705">
        <v>77</v>
      </c>
      <c r="L162" s="705">
        <v>18986</v>
      </c>
      <c r="M162" s="705">
        <v>17260</v>
      </c>
      <c r="N162" s="705">
        <v>3789</v>
      </c>
      <c r="O162" s="705">
        <v>1403</v>
      </c>
      <c r="P162" s="705">
        <v>1418</v>
      </c>
      <c r="Q162" s="705">
        <v>525</v>
      </c>
      <c r="R162" s="705">
        <v>11796</v>
      </c>
      <c r="S162" s="705">
        <v>10724</v>
      </c>
      <c r="T162" s="705">
        <v>3937</v>
      </c>
      <c r="U162" s="705">
        <v>1458</v>
      </c>
      <c r="V162" s="705">
        <v>95969</v>
      </c>
      <c r="W162" s="705">
        <f t="shared" si="8"/>
        <v>95969</v>
      </c>
      <c r="X162" s="705">
        <f t="shared" si="9"/>
        <v>110985</v>
      </c>
      <c r="Y162" s="705"/>
      <c r="AA162" t="s">
        <v>118</v>
      </c>
      <c r="AB162" t="s">
        <v>228</v>
      </c>
      <c r="AC162" t="s">
        <v>664</v>
      </c>
      <c r="AD162">
        <v>1</v>
      </c>
      <c r="AE162">
        <v>112</v>
      </c>
      <c r="AF162">
        <v>252</v>
      </c>
      <c r="AG162" s="705">
        <v>14562</v>
      </c>
      <c r="AH162" s="705">
        <v>5393</v>
      </c>
      <c r="AI162">
        <v>100</v>
      </c>
      <c r="AJ162" s="705">
        <v>4944</v>
      </c>
      <c r="AK162" s="705">
        <v>4494</v>
      </c>
      <c r="AL162" s="705">
        <v>2425</v>
      </c>
      <c r="AM162" s="705">
        <v>898</v>
      </c>
      <c r="AN162">
        <v>0</v>
      </c>
      <c r="AO162">
        <v>0</v>
      </c>
      <c r="AP162" s="705">
        <v>4094</v>
      </c>
      <c r="AQ162" s="705">
        <v>3722</v>
      </c>
      <c r="AR162" s="705">
        <v>2130</v>
      </c>
      <c r="AS162">
        <v>789</v>
      </c>
      <c r="AT162" s="705">
        <v>15297</v>
      </c>
      <c r="AU162" s="705">
        <f t="shared" si="12"/>
        <v>15296</v>
      </c>
      <c r="AV162" s="705">
        <f t="shared" si="13"/>
        <v>28155</v>
      </c>
    </row>
    <row r="163" spans="2:48" ht="12.75" hidden="1" customHeight="1">
      <c r="B163" t="s">
        <v>531</v>
      </c>
      <c r="C163" t="s">
        <v>124</v>
      </c>
      <c r="D163" t="s">
        <v>665</v>
      </c>
      <c r="E163" t="s">
        <v>228</v>
      </c>
      <c r="F163">
        <v>6</v>
      </c>
      <c r="G163" s="705">
        <v>822</v>
      </c>
      <c r="H163" s="705">
        <v>6353</v>
      </c>
      <c r="I163" s="705">
        <v>679461</v>
      </c>
      <c r="J163" s="705">
        <v>617692</v>
      </c>
      <c r="K163" s="705">
        <v>34</v>
      </c>
      <c r="L163" s="705">
        <v>58764</v>
      </c>
      <c r="M163" s="705">
        <v>29500</v>
      </c>
      <c r="N163" s="705">
        <v>19597</v>
      </c>
      <c r="O163" s="705">
        <v>7258</v>
      </c>
      <c r="P163" s="705">
        <v>351</v>
      </c>
      <c r="Q163" s="705">
        <v>130</v>
      </c>
      <c r="R163" s="705">
        <v>52312</v>
      </c>
      <c r="S163" s="705">
        <v>19375</v>
      </c>
      <c r="T163" s="705">
        <v>0</v>
      </c>
      <c r="U163" s="705">
        <v>0</v>
      </c>
      <c r="V163" s="705">
        <v>673955</v>
      </c>
      <c r="W163" s="705">
        <f t="shared" si="8"/>
        <v>673955</v>
      </c>
      <c r="X163" s="705">
        <f t="shared" si="9"/>
        <v>810485</v>
      </c>
      <c r="Y163" s="705"/>
      <c r="AA163" t="s">
        <v>118</v>
      </c>
      <c r="AB163" t="s">
        <v>228</v>
      </c>
      <c r="AC163" t="s">
        <v>582</v>
      </c>
      <c r="AD163">
        <v>2</v>
      </c>
      <c r="AE163">
        <v>187</v>
      </c>
      <c r="AF163">
        <v>556</v>
      </c>
      <c r="AG163" s="705">
        <v>37475</v>
      </c>
      <c r="AH163" s="705">
        <v>13880</v>
      </c>
      <c r="AI163">
        <v>100</v>
      </c>
      <c r="AJ163" s="705">
        <v>5518</v>
      </c>
      <c r="AK163" s="705">
        <v>2044</v>
      </c>
      <c r="AL163" s="705">
        <v>3147</v>
      </c>
      <c r="AM163" s="705">
        <v>1165</v>
      </c>
      <c r="AN163">
        <v>122</v>
      </c>
      <c r="AO163">
        <v>45</v>
      </c>
      <c r="AP163" s="705">
        <v>7973</v>
      </c>
      <c r="AQ163" s="705">
        <v>7248</v>
      </c>
      <c r="AR163" s="705">
        <v>0</v>
      </c>
      <c r="AS163" s="705">
        <v>0</v>
      </c>
      <c r="AT163" s="705">
        <v>24382</v>
      </c>
      <c r="AU163" s="705">
        <f t="shared" si="12"/>
        <v>24382</v>
      </c>
      <c r="AV163" s="705">
        <f t="shared" si="13"/>
        <v>54235</v>
      </c>
    </row>
    <row r="164" spans="2:48" ht="12.75" hidden="1" customHeight="1">
      <c r="B164" t="s">
        <v>531</v>
      </c>
      <c r="C164" t="s">
        <v>124</v>
      </c>
      <c r="D164" t="s">
        <v>665</v>
      </c>
      <c r="E164" s="705" t="s">
        <v>583</v>
      </c>
      <c r="F164" s="705">
        <v>1</v>
      </c>
      <c r="G164" s="705">
        <v>58</v>
      </c>
      <c r="H164" s="705">
        <v>1409</v>
      </c>
      <c r="I164" s="705">
        <v>68616</v>
      </c>
      <c r="J164" s="705">
        <v>62378</v>
      </c>
      <c r="K164" s="705">
        <v>30</v>
      </c>
      <c r="L164" s="705">
        <v>7624</v>
      </c>
      <c r="M164" s="705">
        <v>6931</v>
      </c>
      <c r="N164" s="705">
        <v>1301</v>
      </c>
      <c r="O164" s="705">
        <v>482</v>
      </c>
      <c r="P164" s="705">
        <v>0</v>
      </c>
      <c r="Q164" s="705">
        <v>0</v>
      </c>
      <c r="R164" s="705">
        <v>3191</v>
      </c>
      <c r="S164" s="705">
        <v>2901</v>
      </c>
      <c r="T164" s="705">
        <v>1421</v>
      </c>
      <c r="U164" s="705">
        <v>526</v>
      </c>
      <c r="V164" s="705">
        <v>73218</v>
      </c>
      <c r="W164" s="705">
        <f t="shared" si="8"/>
        <v>73218</v>
      </c>
      <c r="X164" s="705">
        <f t="shared" si="9"/>
        <v>82153</v>
      </c>
      <c r="Y164" s="705"/>
      <c r="AA164" t="s">
        <v>118</v>
      </c>
      <c r="AB164" t="s">
        <v>228</v>
      </c>
      <c r="AC164" t="s">
        <v>228</v>
      </c>
      <c r="AD164" s="705">
        <v>6367</v>
      </c>
      <c r="AE164" s="705">
        <v>583470</v>
      </c>
      <c r="AF164" s="705">
        <v>1690916</v>
      </c>
      <c r="AG164" s="705">
        <v>85069198</v>
      </c>
      <c r="AH164" s="705">
        <v>31507110</v>
      </c>
      <c r="AI164">
        <v>101</v>
      </c>
      <c r="AJ164" s="705">
        <v>13605843</v>
      </c>
      <c r="AK164" s="705">
        <v>8922182</v>
      </c>
      <c r="AL164" s="705">
        <v>12054090</v>
      </c>
      <c r="AM164" s="705">
        <v>4464478</v>
      </c>
      <c r="AN164" s="705">
        <v>112880</v>
      </c>
      <c r="AO164" s="705">
        <v>41807</v>
      </c>
      <c r="AP164" s="705">
        <v>45692956</v>
      </c>
      <c r="AQ164" s="705">
        <v>16923317</v>
      </c>
      <c r="AR164" s="705">
        <v>116153</v>
      </c>
      <c r="AS164" s="705">
        <v>43019</v>
      </c>
      <c r="AT164" s="705">
        <v>61901914</v>
      </c>
      <c r="AU164" s="705">
        <f t="shared" si="12"/>
        <v>61901913</v>
      </c>
      <c r="AV164" s="705">
        <f t="shared" si="13"/>
        <v>156651120</v>
      </c>
    </row>
    <row r="165" spans="2:48" ht="12.75" hidden="1" customHeight="1">
      <c r="B165" t="s">
        <v>531</v>
      </c>
      <c r="C165" t="s">
        <v>124</v>
      </c>
      <c r="D165" t="s">
        <v>665</v>
      </c>
      <c r="E165" t="s">
        <v>665</v>
      </c>
      <c r="F165" s="705">
        <v>99</v>
      </c>
      <c r="G165" s="705">
        <v>6177</v>
      </c>
      <c r="H165" s="705">
        <v>59901</v>
      </c>
      <c r="I165" s="705">
        <v>2530591</v>
      </c>
      <c r="J165" s="705">
        <v>2300537</v>
      </c>
      <c r="K165" s="705">
        <v>47</v>
      </c>
      <c r="L165" s="705">
        <v>305148</v>
      </c>
      <c r="M165" s="705">
        <v>254473</v>
      </c>
      <c r="N165" s="705">
        <v>136141</v>
      </c>
      <c r="O165" s="705">
        <v>50422</v>
      </c>
      <c r="P165" s="705">
        <v>34155</v>
      </c>
      <c r="Q165" s="705">
        <v>12650</v>
      </c>
      <c r="R165" s="705">
        <v>545627</v>
      </c>
      <c r="S165" s="705">
        <v>496025</v>
      </c>
      <c r="T165" s="705">
        <v>198349</v>
      </c>
      <c r="U165" s="705">
        <v>73462</v>
      </c>
      <c r="V165" s="705">
        <v>3187570</v>
      </c>
      <c r="W165" s="705">
        <f t="shared" si="8"/>
        <v>3187569</v>
      </c>
      <c r="X165" s="705">
        <f t="shared" si="9"/>
        <v>3750011</v>
      </c>
      <c r="Y165" s="705"/>
      <c r="AA165" t="s">
        <v>118</v>
      </c>
      <c r="AB165" t="s">
        <v>228</v>
      </c>
      <c r="AC165" t="s">
        <v>583</v>
      </c>
      <c r="AD165">
        <v>10</v>
      </c>
      <c r="AE165" s="705">
        <v>1000</v>
      </c>
      <c r="AF165" s="705">
        <v>2641</v>
      </c>
      <c r="AG165" s="705">
        <v>152092</v>
      </c>
      <c r="AH165" s="705">
        <v>56330</v>
      </c>
      <c r="AI165">
        <v>100</v>
      </c>
      <c r="AJ165" s="705">
        <v>27956</v>
      </c>
      <c r="AK165" s="705">
        <v>22089</v>
      </c>
      <c r="AL165" s="705">
        <v>19868</v>
      </c>
      <c r="AM165" s="705">
        <v>7358</v>
      </c>
      <c r="AN165" s="705">
        <v>3375</v>
      </c>
      <c r="AO165" s="705">
        <v>1250</v>
      </c>
      <c r="AP165" s="705">
        <v>46812</v>
      </c>
      <c r="AQ165" s="705">
        <v>42556</v>
      </c>
      <c r="AR165" s="705">
        <v>11906</v>
      </c>
      <c r="AS165" s="705">
        <v>4409</v>
      </c>
      <c r="AT165" s="705">
        <v>133993</v>
      </c>
      <c r="AU165" s="705">
        <f t="shared" si="12"/>
        <v>133992</v>
      </c>
      <c r="AV165" s="705">
        <f t="shared" si="13"/>
        <v>262009</v>
      </c>
    </row>
    <row r="166" spans="2:48" ht="12.75" hidden="1" customHeight="1">
      <c r="B166" t="s">
        <v>531</v>
      </c>
      <c r="C166" t="s">
        <v>124</v>
      </c>
      <c r="D166" t="s">
        <v>673</v>
      </c>
      <c r="E166" t="s">
        <v>228</v>
      </c>
      <c r="F166">
        <v>1</v>
      </c>
      <c r="G166" s="705">
        <v>64</v>
      </c>
      <c r="H166" s="705">
        <v>770</v>
      </c>
      <c r="I166" s="705">
        <v>33644</v>
      </c>
      <c r="J166" s="705">
        <v>30586</v>
      </c>
      <c r="K166" s="705">
        <v>65</v>
      </c>
      <c r="L166" s="705">
        <v>5964</v>
      </c>
      <c r="M166" s="705">
        <v>2209</v>
      </c>
      <c r="N166" s="705">
        <v>1550</v>
      </c>
      <c r="O166" s="705">
        <v>574</v>
      </c>
      <c r="P166" s="705">
        <v>0</v>
      </c>
      <c r="Q166" s="705">
        <v>0</v>
      </c>
      <c r="R166" s="705">
        <v>7825</v>
      </c>
      <c r="S166" s="705">
        <v>2898</v>
      </c>
      <c r="T166" s="705">
        <v>0</v>
      </c>
      <c r="U166" s="705">
        <v>0</v>
      </c>
      <c r="V166" s="705">
        <v>36266</v>
      </c>
      <c r="W166" s="705">
        <f t="shared" si="8"/>
        <v>36267</v>
      </c>
      <c r="X166" s="705">
        <f t="shared" si="9"/>
        <v>48983</v>
      </c>
      <c r="Y166" s="705"/>
      <c r="AA166" t="s">
        <v>118</v>
      </c>
      <c r="AB166" t="s">
        <v>228</v>
      </c>
      <c r="AC166" t="s">
        <v>666</v>
      </c>
      <c r="AD166">
        <v>12</v>
      </c>
      <c r="AE166">
        <v>967</v>
      </c>
      <c r="AF166" s="705">
        <v>3292</v>
      </c>
      <c r="AG166" s="705">
        <v>138908</v>
      </c>
      <c r="AH166" s="705">
        <v>51447</v>
      </c>
      <c r="AI166">
        <v>100</v>
      </c>
      <c r="AJ166" s="705">
        <v>19888</v>
      </c>
      <c r="AK166" s="705">
        <v>18080</v>
      </c>
      <c r="AL166" s="705">
        <v>17810</v>
      </c>
      <c r="AM166" s="705">
        <v>6596</v>
      </c>
      <c r="AN166" s="705">
        <v>1404</v>
      </c>
      <c r="AO166">
        <v>520</v>
      </c>
      <c r="AP166" s="705">
        <v>67425</v>
      </c>
      <c r="AQ166" s="705">
        <v>61296</v>
      </c>
      <c r="AR166" s="705">
        <v>21161</v>
      </c>
      <c r="AS166" s="705">
        <v>7837</v>
      </c>
      <c r="AT166" s="705">
        <v>145776</v>
      </c>
      <c r="AU166" s="705">
        <f t="shared" si="12"/>
        <v>145776</v>
      </c>
      <c r="AV166" s="705">
        <f t="shared" si="13"/>
        <v>266596</v>
      </c>
    </row>
    <row r="167" spans="2:48" ht="12.75" hidden="1" customHeight="1">
      <c r="B167" t="s">
        <v>531</v>
      </c>
      <c r="C167" t="s">
        <v>124</v>
      </c>
      <c r="D167" t="s">
        <v>673</v>
      </c>
      <c r="E167" t="s">
        <v>673</v>
      </c>
      <c r="F167">
        <v>1</v>
      </c>
      <c r="G167">
        <v>88</v>
      </c>
      <c r="H167" s="705">
        <v>790</v>
      </c>
      <c r="I167" s="705">
        <v>51530</v>
      </c>
      <c r="J167" s="705">
        <v>46845</v>
      </c>
      <c r="K167" s="705">
        <v>45</v>
      </c>
      <c r="L167" s="705">
        <v>6324</v>
      </c>
      <c r="M167" s="705">
        <v>2342</v>
      </c>
      <c r="N167" s="705">
        <v>1521</v>
      </c>
      <c r="O167" s="705">
        <v>563</v>
      </c>
      <c r="P167" s="705">
        <v>351</v>
      </c>
      <c r="Q167" s="705">
        <v>130</v>
      </c>
      <c r="R167" s="705">
        <v>6991</v>
      </c>
      <c r="S167" s="705">
        <v>6355</v>
      </c>
      <c r="T167" s="705">
        <v>2716</v>
      </c>
      <c r="U167" s="705">
        <v>1006</v>
      </c>
      <c r="V167" s="705">
        <v>57242</v>
      </c>
      <c r="W167" s="705">
        <f t="shared" si="8"/>
        <v>57241</v>
      </c>
      <c r="X167" s="705">
        <f t="shared" si="9"/>
        <v>69433</v>
      </c>
      <c r="Y167" s="705"/>
      <c r="AA167" t="s">
        <v>118</v>
      </c>
      <c r="AB167" t="s">
        <v>228</v>
      </c>
      <c r="AC167" t="s">
        <v>584</v>
      </c>
      <c r="AD167">
        <v>1</v>
      </c>
      <c r="AE167">
        <v>111</v>
      </c>
      <c r="AF167">
        <v>296</v>
      </c>
      <c r="AG167" s="705">
        <v>21951</v>
      </c>
      <c r="AH167" s="705">
        <v>8130</v>
      </c>
      <c r="AI167">
        <v>100</v>
      </c>
      <c r="AJ167" s="705">
        <v>2841</v>
      </c>
      <c r="AK167" s="705">
        <v>2583</v>
      </c>
      <c r="AL167" s="705">
        <v>2035</v>
      </c>
      <c r="AM167">
        <v>754</v>
      </c>
      <c r="AN167">
        <v>473</v>
      </c>
      <c r="AO167">
        <v>175</v>
      </c>
      <c r="AP167" s="705">
        <v>3553</v>
      </c>
      <c r="AQ167" s="705">
        <v>3230</v>
      </c>
      <c r="AR167" s="705">
        <v>2125</v>
      </c>
      <c r="AS167">
        <v>787</v>
      </c>
      <c r="AT167" s="705">
        <v>15659</v>
      </c>
      <c r="AU167" s="705">
        <f t="shared" si="12"/>
        <v>15659</v>
      </c>
      <c r="AV167" s="705">
        <f t="shared" si="13"/>
        <v>32978</v>
      </c>
    </row>
    <row r="168" spans="2:48" ht="12.75" hidden="1" customHeight="1">
      <c r="B168" t="s">
        <v>535</v>
      </c>
      <c r="C168" t="s">
        <v>108</v>
      </c>
      <c r="D168" t="s">
        <v>228</v>
      </c>
      <c r="E168" t="s">
        <v>228</v>
      </c>
      <c r="F168" s="705">
        <v>185</v>
      </c>
      <c r="G168" s="705">
        <v>20592</v>
      </c>
      <c r="H168" s="705">
        <v>10644</v>
      </c>
      <c r="I168" s="705">
        <v>184172</v>
      </c>
      <c r="J168" s="705">
        <v>68212</v>
      </c>
      <c r="K168" s="705">
        <v>461</v>
      </c>
      <c r="L168" s="705">
        <v>46495</v>
      </c>
      <c r="M168" s="705">
        <v>34487</v>
      </c>
      <c r="N168" s="705">
        <v>250887</v>
      </c>
      <c r="O168" s="705">
        <v>92921</v>
      </c>
      <c r="P168" s="705">
        <v>76354</v>
      </c>
      <c r="Q168" s="705">
        <v>28279</v>
      </c>
      <c r="R168" s="705">
        <v>617148</v>
      </c>
      <c r="S168" s="705">
        <v>228573</v>
      </c>
      <c r="T168" s="705">
        <v>0</v>
      </c>
      <c r="U168" s="705">
        <v>0</v>
      </c>
      <c r="V168" s="705">
        <v>452473</v>
      </c>
      <c r="W168" s="705">
        <f t="shared" si="8"/>
        <v>452472</v>
      </c>
      <c r="X168" s="705">
        <f t="shared" si="9"/>
        <v>1175056</v>
      </c>
      <c r="Y168" s="705"/>
      <c r="AA168" t="s">
        <v>118</v>
      </c>
      <c r="AB168" t="s">
        <v>228</v>
      </c>
      <c r="AC168" t="s">
        <v>669</v>
      </c>
      <c r="AD168">
        <v>33</v>
      </c>
      <c r="AE168" s="705">
        <v>2124</v>
      </c>
      <c r="AF168" s="705">
        <v>8805</v>
      </c>
      <c r="AG168" s="705">
        <v>251445</v>
      </c>
      <c r="AH168" s="705">
        <v>93128</v>
      </c>
      <c r="AI168">
        <v>192</v>
      </c>
      <c r="AJ168" s="705">
        <v>48759</v>
      </c>
      <c r="AK168" s="705">
        <v>35300</v>
      </c>
      <c r="AL168" s="705">
        <v>40015</v>
      </c>
      <c r="AM168" s="705">
        <v>14820</v>
      </c>
      <c r="AN168" s="705">
        <v>4204</v>
      </c>
      <c r="AO168" s="705">
        <v>1557</v>
      </c>
      <c r="AP168" s="705">
        <v>166591</v>
      </c>
      <c r="AQ168" s="705">
        <v>138826</v>
      </c>
      <c r="AR168" s="705">
        <v>61979</v>
      </c>
      <c r="AS168" s="705">
        <v>22955</v>
      </c>
      <c r="AT168" s="705">
        <v>306586</v>
      </c>
      <c r="AU168" s="705">
        <f t="shared" si="12"/>
        <v>306586</v>
      </c>
      <c r="AV168" s="705">
        <f t="shared" si="13"/>
        <v>572993</v>
      </c>
    </row>
    <row r="169" spans="2:48" ht="12.75" hidden="1" customHeight="1">
      <c r="B169" t="s">
        <v>535</v>
      </c>
      <c r="C169" t="s">
        <v>108</v>
      </c>
      <c r="D169" t="s">
        <v>584</v>
      </c>
      <c r="E169" t="s">
        <v>584</v>
      </c>
      <c r="F169">
        <v>43</v>
      </c>
      <c r="G169" s="705">
        <v>5365</v>
      </c>
      <c r="H169" s="705">
        <v>2480</v>
      </c>
      <c r="I169" s="705">
        <v>52428</v>
      </c>
      <c r="J169" s="705">
        <v>47661</v>
      </c>
      <c r="K169" s="705">
        <v>91</v>
      </c>
      <c r="L169" s="705">
        <v>10149</v>
      </c>
      <c r="M169" s="705">
        <v>9227</v>
      </c>
      <c r="N169" s="705">
        <v>65369</v>
      </c>
      <c r="O169" s="705">
        <v>24211</v>
      </c>
      <c r="P169" s="705">
        <v>20520</v>
      </c>
      <c r="Q169" s="705">
        <v>7600</v>
      </c>
      <c r="R169" s="705">
        <v>159127</v>
      </c>
      <c r="S169" s="705">
        <v>144661</v>
      </c>
      <c r="T169" s="705">
        <v>0</v>
      </c>
      <c r="U169" s="705">
        <v>0</v>
      </c>
      <c r="V169" s="705">
        <v>233360</v>
      </c>
      <c r="W169" s="705">
        <f t="shared" si="8"/>
        <v>233360</v>
      </c>
      <c r="X169" s="705">
        <f t="shared" si="9"/>
        <v>307593</v>
      </c>
      <c r="Y169" s="705"/>
      <c r="AA169" t="s">
        <v>118</v>
      </c>
      <c r="AB169" t="s">
        <v>228</v>
      </c>
      <c r="AC169" t="s">
        <v>667</v>
      </c>
      <c r="AD169">
        <v>1</v>
      </c>
      <c r="AE169" s="705">
        <v>79</v>
      </c>
      <c r="AF169" s="705">
        <v>292</v>
      </c>
      <c r="AG169" s="705">
        <v>12438</v>
      </c>
      <c r="AH169" s="705">
        <v>4607</v>
      </c>
      <c r="AI169">
        <v>100</v>
      </c>
      <c r="AJ169" s="705">
        <v>1126</v>
      </c>
      <c r="AK169" s="705">
        <v>1024</v>
      </c>
      <c r="AL169" s="705">
        <v>1922</v>
      </c>
      <c r="AM169" s="705">
        <v>712</v>
      </c>
      <c r="AN169" s="705">
        <v>0</v>
      </c>
      <c r="AO169" s="705">
        <v>0</v>
      </c>
      <c r="AP169" s="705">
        <v>5356</v>
      </c>
      <c r="AQ169" s="705">
        <v>4869</v>
      </c>
      <c r="AR169" s="705">
        <v>2151</v>
      </c>
      <c r="AS169" s="705">
        <v>797</v>
      </c>
      <c r="AT169" s="705">
        <v>12008</v>
      </c>
      <c r="AU169" s="705">
        <f t="shared" si="12"/>
        <v>12009</v>
      </c>
      <c r="AV169" s="705">
        <f t="shared" si="13"/>
        <v>22993</v>
      </c>
    </row>
    <row r="170" spans="2:48" ht="12.75" hidden="1" customHeight="1">
      <c r="B170" t="s">
        <v>535</v>
      </c>
      <c r="C170" t="s">
        <v>110</v>
      </c>
      <c r="D170" t="s">
        <v>228</v>
      </c>
      <c r="E170" t="s">
        <v>228</v>
      </c>
      <c r="F170">
        <v>32</v>
      </c>
      <c r="G170" s="705">
        <v>2663</v>
      </c>
      <c r="H170" s="705">
        <v>3000</v>
      </c>
      <c r="I170" s="705">
        <v>69147</v>
      </c>
      <c r="J170" s="705">
        <v>25610</v>
      </c>
      <c r="K170" s="705">
        <v>386</v>
      </c>
      <c r="L170" s="705">
        <v>18267</v>
      </c>
      <c r="M170" s="705">
        <v>16606</v>
      </c>
      <c r="N170" s="705">
        <v>51969</v>
      </c>
      <c r="O170" s="705">
        <v>19248</v>
      </c>
      <c r="P170" s="705">
        <v>11638</v>
      </c>
      <c r="Q170" s="705">
        <v>4310</v>
      </c>
      <c r="R170" s="705">
        <v>98493</v>
      </c>
      <c r="S170" s="705">
        <v>36479</v>
      </c>
      <c r="T170" s="705">
        <v>0</v>
      </c>
      <c r="U170" s="705">
        <v>0</v>
      </c>
      <c r="V170" s="705">
        <v>102254</v>
      </c>
      <c r="W170" s="705">
        <f t="shared" si="8"/>
        <v>102253</v>
      </c>
      <c r="X170" s="705">
        <f t="shared" si="9"/>
        <v>249514</v>
      </c>
      <c r="Y170" s="705"/>
      <c r="AA170" t="s">
        <v>118</v>
      </c>
      <c r="AB170" t="s">
        <v>228</v>
      </c>
      <c r="AC170" t="s">
        <v>671</v>
      </c>
      <c r="AD170">
        <v>2</v>
      </c>
      <c r="AE170" s="705">
        <v>180</v>
      </c>
      <c r="AF170" s="705">
        <v>529</v>
      </c>
      <c r="AG170" s="705">
        <v>24825</v>
      </c>
      <c r="AH170" s="705">
        <v>9195</v>
      </c>
      <c r="AI170">
        <v>100</v>
      </c>
      <c r="AJ170" s="705">
        <v>2295</v>
      </c>
      <c r="AK170" s="705">
        <v>2086</v>
      </c>
      <c r="AL170" s="705">
        <v>3721</v>
      </c>
      <c r="AM170" s="705">
        <v>1378</v>
      </c>
      <c r="AN170" s="705">
        <v>0</v>
      </c>
      <c r="AO170" s="705">
        <v>0</v>
      </c>
      <c r="AP170" s="705">
        <v>11999</v>
      </c>
      <c r="AQ170" s="705">
        <v>10908</v>
      </c>
      <c r="AR170" s="705">
        <v>4947</v>
      </c>
      <c r="AS170" s="705">
        <v>1832</v>
      </c>
      <c r="AT170" s="705">
        <v>25399</v>
      </c>
      <c r="AU170" s="705">
        <f t="shared" si="12"/>
        <v>25399</v>
      </c>
      <c r="AV170" s="705">
        <f t="shared" si="13"/>
        <v>47787</v>
      </c>
    </row>
    <row r="171" spans="2:48" ht="12.75" hidden="1" customHeight="1">
      <c r="B171" t="s">
        <v>535</v>
      </c>
      <c r="C171" t="s">
        <v>110</v>
      </c>
      <c r="D171" t="s">
        <v>584</v>
      </c>
      <c r="E171" t="s">
        <v>584</v>
      </c>
      <c r="F171" s="705">
        <v>20</v>
      </c>
      <c r="G171" s="705">
        <v>2247</v>
      </c>
      <c r="H171" s="705">
        <v>1872</v>
      </c>
      <c r="I171" s="705">
        <v>91917</v>
      </c>
      <c r="J171" s="705">
        <v>83561</v>
      </c>
      <c r="K171" s="705">
        <v>91</v>
      </c>
      <c r="L171" s="705">
        <v>8620</v>
      </c>
      <c r="M171" s="705">
        <v>7836</v>
      </c>
      <c r="N171" s="705">
        <v>28538</v>
      </c>
      <c r="O171" s="705">
        <v>10570</v>
      </c>
      <c r="P171" s="705">
        <v>10216</v>
      </c>
      <c r="Q171" s="705">
        <v>3784</v>
      </c>
      <c r="R171" s="705">
        <v>71385</v>
      </c>
      <c r="S171" s="705">
        <v>64895</v>
      </c>
      <c r="T171" s="705">
        <v>0</v>
      </c>
      <c r="U171" s="705">
        <v>0</v>
      </c>
      <c r="V171" s="705">
        <v>170646</v>
      </c>
      <c r="W171" s="705">
        <f t="shared" si="8"/>
        <v>170646</v>
      </c>
      <c r="X171" s="705">
        <f t="shared" si="9"/>
        <v>210676</v>
      </c>
      <c r="Y171" s="705"/>
      <c r="AA171" t="s">
        <v>118</v>
      </c>
      <c r="AB171" t="s">
        <v>228</v>
      </c>
      <c r="AC171" t="s">
        <v>665</v>
      </c>
      <c r="AD171">
        <v>115</v>
      </c>
      <c r="AE171" s="705">
        <v>9776</v>
      </c>
      <c r="AF171" s="705">
        <v>30238</v>
      </c>
      <c r="AG171" s="705">
        <v>1346432</v>
      </c>
      <c r="AH171" s="705">
        <v>498678</v>
      </c>
      <c r="AI171">
        <v>128</v>
      </c>
      <c r="AJ171" s="705">
        <v>188827</v>
      </c>
      <c r="AK171" s="705">
        <v>170156</v>
      </c>
      <c r="AL171" s="705">
        <v>204179</v>
      </c>
      <c r="AM171" s="705">
        <v>75622</v>
      </c>
      <c r="AN171" s="705">
        <v>12038</v>
      </c>
      <c r="AO171" s="705">
        <v>4459</v>
      </c>
      <c r="AP171" s="705">
        <v>548344</v>
      </c>
      <c r="AQ171" s="705">
        <v>498494</v>
      </c>
      <c r="AR171" s="705">
        <v>255223</v>
      </c>
      <c r="AS171" s="705">
        <v>94527</v>
      </c>
      <c r="AT171" s="705">
        <v>1341937</v>
      </c>
      <c r="AU171" s="705">
        <f t="shared" si="12"/>
        <v>1341936</v>
      </c>
      <c r="AV171" s="705">
        <f t="shared" si="13"/>
        <v>2555043</v>
      </c>
    </row>
    <row r="172" spans="2:48" ht="12.75" hidden="1" customHeight="1">
      <c r="B172" t="s">
        <v>535</v>
      </c>
      <c r="C172" t="s">
        <v>112</v>
      </c>
      <c r="D172" t="s">
        <v>664</v>
      </c>
      <c r="E172" t="s">
        <v>664</v>
      </c>
      <c r="F172">
        <v>2</v>
      </c>
      <c r="G172">
        <v>311</v>
      </c>
      <c r="H172" s="705">
        <v>246</v>
      </c>
      <c r="I172" s="705">
        <v>16705</v>
      </c>
      <c r="J172" s="705">
        <v>15187</v>
      </c>
      <c r="K172" s="705">
        <v>93</v>
      </c>
      <c r="L172" s="705">
        <v>4513</v>
      </c>
      <c r="M172" s="705">
        <v>4103</v>
      </c>
      <c r="N172" s="705">
        <v>6667</v>
      </c>
      <c r="O172" s="705">
        <v>2469</v>
      </c>
      <c r="P172" s="705">
        <v>945</v>
      </c>
      <c r="Q172" s="705">
        <v>350</v>
      </c>
      <c r="R172" s="705">
        <v>9542</v>
      </c>
      <c r="S172" s="705">
        <v>8674</v>
      </c>
      <c r="T172" s="705">
        <v>0</v>
      </c>
      <c r="U172" s="705">
        <v>0</v>
      </c>
      <c r="V172" s="705">
        <v>30783</v>
      </c>
      <c r="W172" s="705">
        <f t="shared" si="8"/>
        <v>30783</v>
      </c>
      <c r="X172" s="705">
        <f t="shared" si="9"/>
        <v>38372</v>
      </c>
      <c r="Y172" s="705"/>
      <c r="AA172" t="s">
        <v>118</v>
      </c>
      <c r="AB172" t="s">
        <v>670</v>
      </c>
      <c r="AC172" t="s">
        <v>670</v>
      </c>
      <c r="AD172">
        <v>2</v>
      </c>
      <c r="AE172">
        <v>187</v>
      </c>
      <c r="AF172" s="705">
        <v>492</v>
      </c>
      <c r="AG172" s="705">
        <v>23662</v>
      </c>
      <c r="AH172" s="705">
        <v>8764</v>
      </c>
      <c r="AI172">
        <v>100</v>
      </c>
      <c r="AJ172" s="705">
        <v>3570</v>
      </c>
      <c r="AK172" s="705">
        <v>3246</v>
      </c>
      <c r="AL172" s="705">
        <v>4549</v>
      </c>
      <c r="AM172" s="705">
        <v>1685</v>
      </c>
      <c r="AN172">
        <v>0</v>
      </c>
      <c r="AO172">
        <v>0</v>
      </c>
      <c r="AP172" s="705">
        <v>14194</v>
      </c>
      <c r="AQ172" s="705">
        <v>5257</v>
      </c>
      <c r="AR172" s="705">
        <v>0</v>
      </c>
      <c r="AS172" s="705">
        <v>0</v>
      </c>
      <c r="AT172" s="705">
        <v>18952</v>
      </c>
      <c r="AU172" s="705">
        <f t="shared" si="12"/>
        <v>18952</v>
      </c>
      <c r="AV172" s="705">
        <f t="shared" si="13"/>
        <v>45975</v>
      </c>
    </row>
    <row r="173" spans="2:48" ht="12.75" hidden="1" customHeight="1">
      <c r="B173" t="s">
        <v>535</v>
      </c>
      <c r="C173" t="s">
        <v>112</v>
      </c>
      <c r="D173" t="s">
        <v>228</v>
      </c>
      <c r="E173" t="s">
        <v>228</v>
      </c>
      <c r="F173">
        <v>4</v>
      </c>
      <c r="G173" s="705">
        <v>364</v>
      </c>
      <c r="H173" s="705">
        <v>427</v>
      </c>
      <c r="I173" s="705">
        <v>12939</v>
      </c>
      <c r="J173" s="705">
        <v>4792</v>
      </c>
      <c r="K173" s="705">
        <v>348</v>
      </c>
      <c r="L173" s="705">
        <v>1500</v>
      </c>
      <c r="M173" s="705">
        <v>1364</v>
      </c>
      <c r="N173" s="705">
        <v>6908</v>
      </c>
      <c r="O173" s="705">
        <v>2559</v>
      </c>
      <c r="P173" s="705">
        <v>1404</v>
      </c>
      <c r="Q173" s="705">
        <v>520</v>
      </c>
      <c r="R173" s="705">
        <v>16562</v>
      </c>
      <c r="S173" s="705">
        <v>6134</v>
      </c>
      <c r="T173" s="705">
        <v>0</v>
      </c>
      <c r="U173" s="705">
        <v>0</v>
      </c>
      <c r="V173" s="705">
        <v>15368</v>
      </c>
      <c r="W173" s="705">
        <f t="shared" si="8"/>
        <v>15369</v>
      </c>
      <c r="X173" s="705">
        <f t="shared" si="9"/>
        <v>39313</v>
      </c>
      <c r="Y173" s="705"/>
      <c r="AA173" t="s">
        <v>118</v>
      </c>
      <c r="AB173" t="s">
        <v>583</v>
      </c>
      <c r="AC173" t="s">
        <v>674</v>
      </c>
      <c r="AD173">
        <v>1</v>
      </c>
      <c r="AE173">
        <v>135</v>
      </c>
      <c r="AF173">
        <v>247</v>
      </c>
      <c r="AG173" s="705">
        <v>17547</v>
      </c>
      <c r="AH173" s="705">
        <v>15952</v>
      </c>
      <c r="AI173">
        <v>86</v>
      </c>
      <c r="AJ173" s="705">
        <v>5277</v>
      </c>
      <c r="AK173" s="705">
        <v>4797</v>
      </c>
      <c r="AL173" s="705">
        <v>2671</v>
      </c>
      <c r="AM173">
        <v>989</v>
      </c>
      <c r="AN173">
        <v>621</v>
      </c>
      <c r="AO173">
        <v>230</v>
      </c>
      <c r="AP173" s="705">
        <v>4141</v>
      </c>
      <c r="AQ173" s="705">
        <v>3764</v>
      </c>
      <c r="AR173" s="705">
        <v>2979</v>
      </c>
      <c r="AS173" s="705">
        <v>1103</v>
      </c>
      <c r="AT173" s="705">
        <v>26836</v>
      </c>
      <c r="AU173" s="705">
        <f t="shared" si="12"/>
        <v>26835</v>
      </c>
      <c r="AV173" s="705">
        <f t="shared" si="13"/>
        <v>33236</v>
      </c>
    </row>
    <row r="174" spans="2:48" ht="12.75" hidden="1" customHeight="1">
      <c r="B174" t="s">
        <v>535</v>
      </c>
      <c r="C174" t="s">
        <v>112</v>
      </c>
      <c r="D174" t="s">
        <v>583</v>
      </c>
      <c r="E174" t="s">
        <v>583</v>
      </c>
      <c r="F174" s="705">
        <v>22</v>
      </c>
      <c r="G174" s="705">
        <v>2873</v>
      </c>
      <c r="H174" s="705">
        <v>2562</v>
      </c>
      <c r="I174" s="705">
        <v>158566</v>
      </c>
      <c r="J174" s="705">
        <v>144151</v>
      </c>
      <c r="K174" s="705">
        <v>92</v>
      </c>
      <c r="L174" s="705">
        <v>23449</v>
      </c>
      <c r="M174" s="705">
        <v>21094</v>
      </c>
      <c r="N174" s="705">
        <v>50110</v>
      </c>
      <c r="O174" s="705">
        <v>18559</v>
      </c>
      <c r="P174" s="705">
        <v>15364</v>
      </c>
      <c r="Q174" s="705">
        <v>5691</v>
      </c>
      <c r="R174" s="705">
        <v>92575</v>
      </c>
      <c r="S174" s="705">
        <v>84159</v>
      </c>
      <c r="T174" s="705">
        <v>2559</v>
      </c>
      <c r="U174" s="705">
        <v>948</v>
      </c>
      <c r="V174" s="705">
        <v>274602</v>
      </c>
      <c r="W174" s="705">
        <f t="shared" si="8"/>
        <v>274602</v>
      </c>
      <c r="X174" s="705">
        <f t="shared" si="9"/>
        <v>342623</v>
      </c>
      <c r="Y174" s="705"/>
      <c r="AA174" t="s">
        <v>118</v>
      </c>
      <c r="AB174" t="s">
        <v>583</v>
      </c>
      <c r="AC174" t="s">
        <v>664</v>
      </c>
      <c r="AD174">
        <v>22</v>
      </c>
      <c r="AE174" s="705">
        <v>2101</v>
      </c>
      <c r="AF174" s="705">
        <v>5723</v>
      </c>
      <c r="AG174" s="705">
        <v>285341</v>
      </c>
      <c r="AH174" s="705">
        <v>259401</v>
      </c>
      <c r="AI174">
        <v>78</v>
      </c>
      <c r="AJ174" s="705">
        <v>66819</v>
      </c>
      <c r="AK174" s="705">
        <v>57114</v>
      </c>
      <c r="AL174" s="705">
        <v>46083</v>
      </c>
      <c r="AM174" s="705">
        <v>17068</v>
      </c>
      <c r="AN174" s="705">
        <v>13392</v>
      </c>
      <c r="AO174" s="705">
        <v>4960</v>
      </c>
      <c r="AP174" s="705">
        <v>105152</v>
      </c>
      <c r="AQ174" s="705">
        <v>95593</v>
      </c>
      <c r="AR174" s="705">
        <v>38912</v>
      </c>
      <c r="AS174" s="705">
        <v>14412</v>
      </c>
      <c r="AT174" s="705">
        <v>448547</v>
      </c>
      <c r="AU174" s="705">
        <f t="shared" si="12"/>
        <v>448548</v>
      </c>
      <c r="AV174" s="705">
        <f t="shared" si="13"/>
        <v>555699</v>
      </c>
    </row>
    <row r="175" spans="2:48" ht="12.75" hidden="1" customHeight="1">
      <c r="B175" t="s">
        <v>535</v>
      </c>
      <c r="C175" t="s">
        <v>112</v>
      </c>
      <c r="D175" t="s">
        <v>584</v>
      </c>
      <c r="E175" t="s">
        <v>584</v>
      </c>
      <c r="F175">
        <v>82</v>
      </c>
      <c r="G175" s="705">
        <v>9077</v>
      </c>
      <c r="H175" s="705">
        <v>9570</v>
      </c>
      <c r="I175" s="705">
        <v>504641</v>
      </c>
      <c r="J175" s="705">
        <v>458765</v>
      </c>
      <c r="K175" s="705">
        <v>90</v>
      </c>
      <c r="L175" s="705">
        <v>82331</v>
      </c>
      <c r="M175" s="705">
        <v>73691</v>
      </c>
      <c r="N175" s="705">
        <v>136076</v>
      </c>
      <c r="O175" s="705">
        <v>50398</v>
      </c>
      <c r="P175" s="705">
        <v>48383</v>
      </c>
      <c r="Q175" s="705">
        <v>17920</v>
      </c>
      <c r="R175" s="705">
        <v>290575</v>
      </c>
      <c r="S175" s="705">
        <v>264159</v>
      </c>
      <c r="T175" s="705">
        <v>0</v>
      </c>
      <c r="U175" s="705">
        <v>0</v>
      </c>
      <c r="V175" s="705">
        <v>864934</v>
      </c>
      <c r="W175" s="705">
        <f t="shared" si="8"/>
        <v>864933</v>
      </c>
      <c r="X175" s="705">
        <f t="shared" si="9"/>
        <v>1062006</v>
      </c>
      <c r="Y175" s="705"/>
      <c r="AA175" t="s">
        <v>118</v>
      </c>
      <c r="AB175" t="s">
        <v>583</v>
      </c>
      <c r="AC175" t="s">
        <v>582</v>
      </c>
      <c r="AD175">
        <v>2</v>
      </c>
      <c r="AE175">
        <v>287</v>
      </c>
      <c r="AF175">
        <v>511</v>
      </c>
      <c r="AG175" s="705">
        <v>48385</v>
      </c>
      <c r="AH175" s="705">
        <v>43987</v>
      </c>
      <c r="AI175">
        <v>75</v>
      </c>
      <c r="AJ175" s="705">
        <v>3003</v>
      </c>
      <c r="AK175" s="705">
        <v>2730</v>
      </c>
      <c r="AL175" s="705">
        <v>5243</v>
      </c>
      <c r="AM175" s="705">
        <v>1942</v>
      </c>
      <c r="AN175" s="705">
        <v>1242</v>
      </c>
      <c r="AO175">
        <v>460</v>
      </c>
      <c r="AP175" s="705">
        <v>13555</v>
      </c>
      <c r="AQ175" s="705">
        <v>12323</v>
      </c>
      <c r="AR175">
        <v>0</v>
      </c>
      <c r="AS175">
        <v>0</v>
      </c>
      <c r="AT175" s="705">
        <v>61442</v>
      </c>
      <c r="AU175" s="705">
        <f t="shared" si="12"/>
        <v>61442</v>
      </c>
      <c r="AV175" s="705">
        <f t="shared" si="13"/>
        <v>71428</v>
      </c>
    </row>
    <row r="176" spans="2:48" ht="12.75" hidden="1" customHeight="1">
      <c r="B176" t="s">
        <v>535</v>
      </c>
      <c r="C176" t="s">
        <v>112</v>
      </c>
      <c r="D176" t="s">
        <v>669</v>
      </c>
      <c r="E176" t="s">
        <v>669</v>
      </c>
      <c r="F176" s="705">
        <v>2</v>
      </c>
      <c r="G176" s="705">
        <v>154</v>
      </c>
      <c r="H176" s="705">
        <v>242</v>
      </c>
      <c r="I176" s="705">
        <v>4640</v>
      </c>
      <c r="J176" s="705">
        <v>3867</v>
      </c>
      <c r="K176" s="705">
        <v>79</v>
      </c>
      <c r="L176" s="705">
        <v>0</v>
      </c>
      <c r="M176" s="705">
        <v>0</v>
      </c>
      <c r="N176" s="705">
        <v>1882</v>
      </c>
      <c r="O176" s="705">
        <v>697</v>
      </c>
      <c r="P176" s="705">
        <v>702</v>
      </c>
      <c r="Q176" s="705">
        <v>260</v>
      </c>
      <c r="R176" s="705">
        <v>7262</v>
      </c>
      <c r="S176" s="705">
        <v>6052</v>
      </c>
      <c r="T176" s="705">
        <v>4168</v>
      </c>
      <c r="U176" s="705">
        <v>1544</v>
      </c>
      <c r="V176" s="705">
        <v>12419</v>
      </c>
      <c r="W176" s="705">
        <f t="shared" si="8"/>
        <v>12420</v>
      </c>
      <c r="X176" s="705">
        <f t="shared" si="9"/>
        <v>18654</v>
      </c>
      <c r="Y176" s="705"/>
      <c r="AA176" t="s">
        <v>118</v>
      </c>
      <c r="AB176" t="s">
        <v>583</v>
      </c>
      <c r="AC176" t="s">
        <v>228</v>
      </c>
      <c r="AD176">
        <v>145</v>
      </c>
      <c r="AE176" s="705">
        <v>14100</v>
      </c>
      <c r="AF176" s="705">
        <v>38123</v>
      </c>
      <c r="AG176" s="705">
        <v>1911696</v>
      </c>
      <c r="AH176" s="705">
        <v>1737906</v>
      </c>
      <c r="AI176">
        <v>82</v>
      </c>
      <c r="AJ176" s="705">
        <v>405453</v>
      </c>
      <c r="AK176" s="705">
        <v>338837</v>
      </c>
      <c r="AL176" s="705">
        <v>288358</v>
      </c>
      <c r="AM176" s="705">
        <v>106799</v>
      </c>
      <c r="AN176" s="705">
        <v>90281</v>
      </c>
      <c r="AO176" s="705">
        <v>33438</v>
      </c>
      <c r="AP176" s="705">
        <v>1023892</v>
      </c>
      <c r="AQ176" s="705">
        <v>379219</v>
      </c>
      <c r="AR176" s="705">
        <v>1628</v>
      </c>
      <c r="AS176">
        <v>603</v>
      </c>
      <c r="AT176" s="705">
        <v>2596802</v>
      </c>
      <c r="AU176" s="705">
        <f t="shared" si="12"/>
        <v>2596802</v>
      </c>
      <c r="AV176" s="705">
        <f t="shared" si="13"/>
        <v>3721308</v>
      </c>
    </row>
    <row r="177" spans="2:48" ht="12.75" hidden="1" customHeight="1">
      <c r="B177" t="s">
        <v>535</v>
      </c>
      <c r="C177" t="s">
        <v>114</v>
      </c>
      <c r="D177" t="s">
        <v>664</v>
      </c>
      <c r="E177" s="705" t="s">
        <v>664</v>
      </c>
      <c r="F177" s="705">
        <v>2</v>
      </c>
      <c r="G177" s="705">
        <v>251</v>
      </c>
      <c r="H177" s="705">
        <v>295</v>
      </c>
      <c r="I177" s="705">
        <v>15395</v>
      </c>
      <c r="J177" s="705">
        <v>13996</v>
      </c>
      <c r="K177" s="705">
        <v>91</v>
      </c>
      <c r="L177" s="705">
        <v>5166</v>
      </c>
      <c r="M177" s="705">
        <v>4696</v>
      </c>
      <c r="N177" s="705">
        <v>6127</v>
      </c>
      <c r="O177" s="705">
        <v>2269</v>
      </c>
      <c r="P177" s="705">
        <v>702</v>
      </c>
      <c r="Q177" s="705">
        <v>260</v>
      </c>
      <c r="R177" s="705">
        <v>9698</v>
      </c>
      <c r="S177" s="705">
        <v>8817</v>
      </c>
      <c r="T177" s="705">
        <v>0</v>
      </c>
      <c r="U177" s="705">
        <v>0</v>
      </c>
      <c r="V177" s="705">
        <v>30038</v>
      </c>
      <c r="W177" s="705">
        <f t="shared" si="8"/>
        <v>30038</v>
      </c>
      <c r="X177" s="705">
        <f t="shared" si="9"/>
        <v>37088</v>
      </c>
      <c r="Y177" s="705"/>
      <c r="AA177" t="s">
        <v>118</v>
      </c>
      <c r="AB177" t="s">
        <v>583</v>
      </c>
      <c r="AC177" t="s">
        <v>583</v>
      </c>
      <c r="AD177" s="705">
        <v>33440</v>
      </c>
      <c r="AE177" s="705">
        <v>3165115</v>
      </c>
      <c r="AF177" s="705">
        <v>8630963</v>
      </c>
      <c r="AG177" s="705">
        <v>431272495</v>
      </c>
      <c r="AH177" s="705">
        <v>392065903</v>
      </c>
      <c r="AI177">
        <v>81</v>
      </c>
      <c r="AJ177" s="705">
        <v>99460812</v>
      </c>
      <c r="AK177" s="705">
        <v>85677439</v>
      </c>
      <c r="AL177" s="705">
        <v>64574819</v>
      </c>
      <c r="AM177" s="705">
        <v>23916599</v>
      </c>
      <c r="AN177" s="705">
        <v>21384755</v>
      </c>
      <c r="AO177" s="705">
        <v>7920280</v>
      </c>
      <c r="AP177" s="705">
        <v>153413350</v>
      </c>
      <c r="AQ177" s="705">
        <v>139466680</v>
      </c>
      <c r="AR177" s="705">
        <v>54198331</v>
      </c>
      <c r="AS177" s="705">
        <v>20073456</v>
      </c>
      <c r="AT177" s="705">
        <v>669120356</v>
      </c>
      <c r="AU177" s="705">
        <f t="shared" si="12"/>
        <v>669120357</v>
      </c>
      <c r="AV177" s="705">
        <f t="shared" si="13"/>
        <v>824304562</v>
      </c>
    </row>
    <row r="178" spans="2:48" ht="12.75" hidden="1" customHeight="1">
      <c r="B178" t="s">
        <v>535</v>
      </c>
      <c r="C178" t="s">
        <v>114</v>
      </c>
      <c r="D178" t="s">
        <v>582</v>
      </c>
      <c r="E178" t="s">
        <v>582</v>
      </c>
      <c r="F178" s="705">
        <v>20</v>
      </c>
      <c r="G178" s="705">
        <v>3167</v>
      </c>
      <c r="H178" s="705">
        <v>2892</v>
      </c>
      <c r="I178" s="705">
        <v>252016</v>
      </c>
      <c r="J178" s="705">
        <v>229106</v>
      </c>
      <c r="K178" s="705">
        <v>86</v>
      </c>
      <c r="L178" s="705">
        <v>30563</v>
      </c>
      <c r="M178" s="705">
        <v>20213</v>
      </c>
      <c r="N178" s="705">
        <v>62459</v>
      </c>
      <c r="O178" s="705">
        <v>23133</v>
      </c>
      <c r="P178" s="705">
        <v>11806</v>
      </c>
      <c r="Q178" s="705">
        <v>4373</v>
      </c>
      <c r="R178" s="705">
        <v>97855</v>
      </c>
      <c r="S178" s="705">
        <v>88959</v>
      </c>
      <c r="T178" s="705">
        <v>8217</v>
      </c>
      <c r="U178" s="705">
        <v>3044</v>
      </c>
      <c r="V178" s="705">
        <v>368826</v>
      </c>
      <c r="W178" s="705">
        <f t="shared" si="8"/>
        <v>368828</v>
      </c>
      <c r="X178" s="705">
        <f t="shared" si="9"/>
        <v>462916</v>
      </c>
      <c r="Y178" s="705"/>
      <c r="AA178" t="s">
        <v>118</v>
      </c>
      <c r="AB178" t="s">
        <v>583</v>
      </c>
      <c r="AC178" t="s">
        <v>666</v>
      </c>
      <c r="AD178">
        <v>23</v>
      </c>
      <c r="AE178" s="705">
        <v>2189</v>
      </c>
      <c r="AF178" s="705">
        <v>6148</v>
      </c>
      <c r="AG178" s="705">
        <v>305410</v>
      </c>
      <c r="AH178" s="705">
        <v>277646</v>
      </c>
      <c r="AI178">
        <v>76</v>
      </c>
      <c r="AJ178" s="705">
        <v>74745</v>
      </c>
      <c r="AK178" s="705">
        <v>66319</v>
      </c>
      <c r="AL178" s="705">
        <v>46519</v>
      </c>
      <c r="AM178" s="705">
        <v>17229</v>
      </c>
      <c r="AN178" s="705">
        <v>14634</v>
      </c>
      <c r="AO178" s="705">
        <v>5420</v>
      </c>
      <c r="AP178" s="705">
        <v>107383</v>
      </c>
      <c r="AQ178" s="705">
        <v>97620</v>
      </c>
      <c r="AR178" s="705">
        <v>36688</v>
      </c>
      <c r="AS178" s="705">
        <v>13588</v>
      </c>
      <c r="AT178" s="705">
        <v>477823</v>
      </c>
      <c r="AU178" s="705">
        <f t="shared" si="12"/>
        <v>477822</v>
      </c>
      <c r="AV178" s="705">
        <f t="shared" si="13"/>
        <v>585379</v>
      </c>
    </row>
    <row r="179" spans="2:48" ht="12.75" hidden="1" customHeight="1">
      <c r="B179" t="s">
        <v>535</v>
      </c>
      <c r="C179" t="s">
        <v>114</v>
      </c>
      <c r="D179" t="s">
        <v>228</v>
      </c>
      <c r="E179" t="s">
        <v>228</v>
      </c>
      <c r="F179" s="705">
        <v>11</v>
      </c>
      <c r="G179" s="705">
        <v>870</v>
      </c>
      <c r="H179" s="705">
        <v>1514</v>
      </c>
      <c r="I179" s="705">
        <v>60850</v>
      </c>
      <c r="J179" s="705">
        <v>22537</v>
      </c>
      <c r="K179" s="705">
        <v>309</v>
      </c>
      <c r="L179" s="705">
        <v>15192</v>
      </c>
      <c r="M179" s="705">
        <v>10354</v>
      </c>
      <c r="N179" s="705">
        <v>16631</v>
      </c>
      <c r="O179" s="705">
        <v>6160</v>
      </c>
      <c r="P179" s="705">
        <v>4069</v>
      </c>
      <c r="Q179" s="705">
        <v>1507</v>
      </c>
      <c r="R179" s="705">
        <v>33924</v>
      </c>
      <c r="S179" s="705">
        <v>12564</v>
      </c>
      <c r="T179" s="705">
        <v>3775</v>
      </c>
      <c r="U179" s="705">
        <v>1398</v>
      </c>
      <c r="V179" s="705">
        <v>54520</v>
      </c>
      <c r="W179" s="705">
        <f t="shared" si="8"/>
        <v>54520</v>
      </c>
      <c r="X179" s="705">
        <f t="shared" si="9"/>
        <v>134441</v>
      </c>
      <c r="Y179" s="705"/>
      <c r="AA179" t="s">
        <v>118</v>
      </c>
      <c r="AB179" t="s">
        <v>583</v>
      </c>
      <c r="AC179" t="s">
        <v>584</v>
      </c>
      <c r="AD179">
        <v>20</v>
      </c>
      <c r="AE179" s="705">
        <v>2035</v>
      </c>
      <c r="AF179" s="705">
        <v>5365</v>
      </c>
      <c r="AG179" s="705">
        <v>311121</v>
      </c>
      <c r="AH179" s="705">
        <v>282838</v>
      </c>
      <c r="AI179">
        <v>79</v>
      </c>
      <c r="AJ179" s="705">
        <v>73445</v>
      </c>
      <c r="AK179" s="705">
        <v>57402</v>
      </c>
      <c r="AL179" s="705">
        <v>43249</v>
      </c>
      <c r="AM179" s="705">
        <v>16018</v>
      </c>
      <c r="AN179" s="705">
        <v>12623</v>
      </c>
      <c r="AO179" s="705">
        <v>4675</v>
      </c>
      <c r="AP179" s="705">
        <v>91450</v>
      </c>
      <c r="AQ179" s="705">
        <v>83136</v>
      </c>
      <c r="AR179" s="705">
        <v>38038</v>
      </c>
      <c r="AS179" s="705">
        <v>14088</v>
      </c>
      <c r="AT179" s="705">
        <v>458157</v>
      </c>
      <c r="AU179" s="705">
        <f t="shared" si="12"/>
        <v>458157</v>
      </c>
      <c r="AV179" s="705">
        <f t="shared" si="13"/>
        <v>569926</v>
      </c>
    </row>
    <row r="180" spans="2:48" ht="12.75" hidden="1" customHeight="1">
      <c r="B180" t="s">
        <v>535</v>
      </c>
      <c r="C180" t="s">
        <v>114</v>
      </c>
      <c r="D180" t="s">
        <v>583</v>
      </c>
      <c r="E180" t="s">
        <v>664</v>
      </c>
      <c r="F180">
        <v>1</v>
      </c>
      <c r="G180" s="705">
        <v>155</v>
      </c>
      <c r="H180" s="705">
        <v>146</v>
      </c>
      <c r="I180" s="705">
        <v>11320</v>
      </c>
      <c r="J180" s="705">
        <v>10291</v>
      </c>
      <c r="K180" s="705">
        <v>86</v>
      </c>
      <c r="L180" s="705">
        <v>1702</v>
      </c>
      <c r="M180" s="705">
        <v>1547</v>
      </c>
      <c r="N180" s="705">
        <v>3247</v>
      </c>
      <c r="O180" s="705">
        <v>1203</v>
      </c>
      <c r="P180" s="705">
        <v>621</v>
      </c>
      <c r="Q180" s="705">
        <v>230</v>
      </c>
      <c r="R180" s="705">
        <v>5701</v>
      </c>
      <c r="S180" s="705">
        <v>5183</v>
      </c>
      <c r="T180" s="705">
        <v>0</v>
      </c>
      <c r="U180" s="705">
        <v>0</v>
      </c>
      <c r="V180" s="705">
        <v>18453</v>
      </c>
      <c r="W180" s="705">
        <f t="shared" si="8"/>
        <v>18454</v>
      </c>
      <c r="X180" s="705">
        <f t="shared" si="9"/>
        <v>22591</v>
      </c>
      <c r="Y180" s="705"/>
      <c r="AA180" t="s">
        <v>118</v>
      </c>
      <c r="AB180" t="s">
        <v>583</v>
      </c>
      <c r="AC180" t="s">
        <v>669</v>
      </c>
      <c r="AD180">
        <v>7</v>
      </c>
      <c r="AE180" s="705">
        <v>650</v>
      </c>
      <c r="AF180" s="705">
        <v>1743</v>
      </c>
      <c r="AG180" s="705">
        <v>84612</v>
      </c>
      <c r="AH180" s="705">
        <v>76920</v>
      </c>
      <c r="AI180">
        <v>78</v>
      </c>
      <c r="AJ180" s="705">
        <v>18535</v>
      </c>
      <c r="AK180" s="705">
        <v>16274</v>
      </c>
      <c r="AL180" s="705">
        <v>14505</v>
      </c>
      <c r="AM180" s="705">
        <v>5372</v>
      </c>
      <c r="AN180" s="705">
        <v>4698</v>
      </c>
      <c r="AO180" s="705">
        <v>1740</v>
      </c>
      <c r="AP180" s="705">
        <v>31294</v>
      </c>
      <c r="AQ180" s="705">
        <v>26078</v>
      </c>
      <c r="AR180" s="705">
        <v>14755</v>
      </c>
      <c r="AS180" s="705">
        <v>5465</v>
      </c>
      <c r="AT180" s="705">
        <v>131850</v>
      </c>
      <c r="AU180" s="705">
        <f t="shared" si="12"/>
        <v>131849</v>
      </c>
      <c r="AV180" s="705">
        <f t="shared" si="13"/>
        <v>168399</v>
      </c>
    </row>
    <row r="181" spans="2:48" ht="12.75" hidden="1" customHeight="1">
      <c r="B181" t="s">
        <v>535</v>
      </c>
      <c r="C181" t="s">
        <v>114</v>
      </c>
      <c r="D181" t="s">
        <v>583</v>
      </c>
      <c r="E181" t="s">
        <v>583</v>
      </c>
      <c r="F181">
        <v>189</v>
      </c>
      <c r="G181" s="705">
        <v>20901</v>
      </c>
      <c r="H181" s="705">
        <v>26548</v>
      </c>
      <c r="I181" s="705">
        <v>1366106</v>
      </c>
      <c r="J181" s="705">
        <v>1241915</v>
      </c>
      <c r="K181" s="705">
        <v>91</v>
      </c>
      <c r="L181" s="705">
        <v>289569</v>
      </c>
      <c r="M181" s="705">
        <v>259417</v>
      </c>
      <c r="N181" s="705">
        <v>366279</v>
      </c>
      <c r="O181" s="705">
        <v>135659</v>
      </c>
      <c r="P181" s="705">
        <v>121767</v>
      </c>
      <c r="Q181" s="705">
        <v>45099</v>
      </c>
      <c r="R181" s="705">
        <v>782457</v>
      </c>
      <c r="S181" s="705">
        <v>711325</v>
      </c>
      <c r="T181" s="705">
        <v>37907</v>
      </c>
      <c r="U181" s="705">
        <v>14040</v>
      </c>
      <c r="V181" s="705">
        <v>2407454</v>
      </c>
      <c r="W181" s="705">
        <f t="shared" si="8"/>
        <v>2407455</v>
      </c>
      <c r="X181" s="705">
        <f t="shared" si="9"/>
        <v>2964085</v>
      </c>
      <c r="Y181" s="705"/>
      <c r="AA181" t="s">
        <v>118</v>
      </c>
      <c r="AB181" t="s">
        <v>583</v>
      </c>
      <c r="AC181" t="s">
        <v>667</v>
      </c>
      <c r="AD181">
        <v>2</v>
      </c>
      <c r="AE181">
        <v>188</v>
      </c>
      <c r="AF181" s="705">
        <v>541</v>
      </c>
      <c r="AG181" s="705">
        <v>26620</v>
      </c>
      <c r="AH181" s="705">
        <v>24200</v>
      </c>
      <c r="AI181">
        <v>78</v>
      </c>
      <c r="AJ181" s="705">
        <v>5006</v>
      </c>
      <c r="AK181" s="705">
        <v>4551</v>
      </c>
      <c r="AL181" s="705">
        <v>2777</v>
      </c>
      <c r="AM181" s="705">
        <v>1029</v>
      </c>
      <c r="AN181" s="705">
        <v>1242</v>
      </c>
      <c r="AO181">
        <v>460</v>
      </c>
      <c r="AP181" s="705">
        <v>10373</v>
      </c>
      <c r="AQ181" s="705">
        <v>9430</v>
      </c>
      <c r="AR181" s="705">
        <v>5146</v>
      </c>
      <c r="AS181" s="705">
        <v>1906</v>
      </c>
      <c r="AT181" s="705">
        <v>41576</v>
      </c>
      <c r="AU181" s="705">
        <f t="shared" si="12"/>
        <v>41576</v>
      </c>
      <c r="AV181" s="705">
        <f t="shared" si="13"/>
        <v>51164</v>
      </c>
    </row>
    <row r="182" spans="2:48" ht="12.75" hidden="1" customHeight="1">
      <c r="B182" t="s">
        <v>535</v>
      </c>
      <c r="C182" t="s">
        <v>114</v>
      </c>
      <c r="D182" t="s">
        <v>583</v>
      </c>
      <c r="E182" t="s">
        <v>667</v>
      </c>
      <c r="F182">
        <v>1</v>
      </c>
      <c r="G182" s="705">
        <v>101</v>
      </c>
      <c r="H182" s="705">
        <v>135</v>
      </c>
      <c r="I182" s="705">
        <v>6250</v>
      </c>
      <c r="J182" s="705">
        <v>5682</v>
      </c>
      <c r="K182" s="705">
        <v>95</v>
      </c>
      <c r="L182" s="705">
        <v>1616</v>
      </c>
      <c r="M182" s="705">
        <v>598</v>
      </c>
      <c r="N182" s="705">
        <v>1354</v>
      </c>
      <c r="O182" s="705">
        <v>501</v>
      </c>
      <c r="P182" s="705">
        <v>621</v>
      </c>
      <c r="Q182" s="705">
        <v>230</v>
      </c>
      <c r="R182" s="705">
        <v>3770</v>
      </c>
      <c r="S182" s="705">
        <v>3427</v>
      </c>
      <c r="T182" s="705">
        <v>0</v>
      </c>
      <c r="U182" s="705">
        <v>0</v>
      </c>
      <c r="V182" s="705">
        <v>10439</v>
      </c>
      <c r="W182" s="705">
        <f t="shared" si="8"/>
        <v>10438</v>
      </c>
      <c r="X182" s="705">
        <f t="shared" si="9"/>
        <v>13611</v>
      </c>
      <c r="Y182" s="705"/>
      <c r="AA182" t="s">
        <v>118</v>
      </c>
      <c r="AB182" t="s">
        <v>583</v>
      </c>
      <c r="AC182" t="s">
        <v>671</v>
      </c>
      <c r="AD182">
        <v>1</v>
      </c>
      <c r="AE182">
        <v>80</v>
      </c>
      <c r="AF182" s="705">
        <v>240</v>
      </c>
      <c r="AG182" s="705">
        <v>9833</v>
      </c>
      <c r="AH182" s="705">
        <v>8939</v>
      </c>
      <c r="AI182">
        <v>84</v>
      </c>
      <c r="AJ182" s="705">
        <v>1928</v>
      </c>
      <c r="AK182" s="705">
        <v>1752</v>
      </c>
      <c r="AL182" s="705">
        <v>975</v>
      </c>
      <c r="AM182" s="705">
        <v>361</v>
      </c>
      <c r="AN182" s="705">
        <v>621</v>
      </c>
      <c r="AO182">
        <v>230</v>
      </c>
      <c r="AP182" s="705">
        <v>3527</v>
      </c>
      <c r="AQ182" s="705">
        <v>3207</v>
      </c>
      <c r="AR182" s="705">
        <v>2300</v>
      </c>
      <c r="AS182">
        <v>852</v>
      </c>
      <c r="AT182" s="705">
        <v>15341</v>
      </c>
      <c r="AU182" s="705">
        <f t="shared" si="12"/>
        <v>15341</v>
      </c>
      <c r="AV182" s="705">
        <f t="shared" si="13"/>
        <v>19184</v>
      </c>
    </row>
    <row r="183" spans="2:48" ht="12.75" hidden="1" customHeight="1">
      <c r="B183" t="s">
        <v>535</v>
      </c>
      <c r="C183" t="s">
        <v>114</v>
      </c>
      <c r="D183" t="s">
        <v>583</v>
      </c>
      <c r="E183" t="s">
        <v>665</v>
      </c>
      <c r="F183" s="705">
        <v>1</v>
      </c>
      <c r="G183" s="705">
        <v>81</v>
      </c>
      <c r="H183" s="705">
        <v>148</v>
      </c>
      <c r="I183" s="705">
        <v>4993</v>
      </c>
      <c r="J183" s="705">
        <v>4539</v>
      </c>
      <c r="K183" s="705">
        <v>93</v>
      </c>
      <c r="L183" s="705">
        <v>814</v>
      </c>
      <c r="M183" s="705">
        <v>740</v>
      </c>
      <c r="N183" s="705">
        <v>1964</v>
      </c>
      <c r="O183" s="705">
        <v>727</v>
      </c>
      <c r="P183" s="705">
        <v>621</v>
      </c>
      <c r="Q183" s="705">
        <v>230</v>
      </c>
      <c r="R183" s="705">
        <v>3500</v>
      </c>
      <c r="S183" s="705">
        <v>3182</v>
      </c>
      <c r="T183" s="705">
        <v>0</v>
      </c>
      <c r="U183" s="705">
        <v>0</v>
      </c>
      <c r="V183" s="705">
        <v>9418</v>
      </c>
      <c r="W183" s="705">
        <f t="shared" si="8"/>
        <v>9418</v>
      </c>
      <c r="X183" s="705">
        <f t="shared" si="9"/>
        <v>11892</v>
      </c>
      <c r="Y183" s="705"/>
      <c r="AA183" t="s">
        <v>118</v>
      </c>
      <c r="AB183" t="s">
        <v>583</v>
      </c>
      <c r="AC183" t="s">
        <v>665</v>
      </c>
      <c r="AD183">
        <v>21</v>
      </c>
      <c r="AE183" s="705">
        <v>1798</v>
      </c>
      <c r="AF183" s="705">
        <v>5426</v>
      </c>
      <c r="AG183" s="705">
        <v>234806</v>
      </c>
      <c r="AH183" s="705">
        <v>213460</v>
      </c>
      <c r="AI183">
        <v>80</v>
      </c>
      <c r="AJ183" s="705">
        <v>46188</v>
      </c>
      <c r="AK183" s="705">
        <v>41767</v>
      </c>
      <c r="AL183" s="705">
        <v>34347</v>
      </c>
      <c r="AM183" s="705">
        <v>12721</v>
      </c>
      <c r="AN183" s="705">
        <v>13392</v>
      </c>
      <c r="AO183" s="705">
        <v>4960</v>
      </c>
      <c r="AP183" s="705">
        <v>106696</v>
      </c>
      <c r="AQ183" s="705">
        <v>96996</v>
      </c>
      <c r="AR183" s="705">
        <v>30761</v>
      </c>
      <c r="AS183" s="705">
        <v>11393</v>
      </c>
      <c r="AT183" s="705">
        <v>381297</v>
      </c>
      <c r="AU183" s="705">
        <f t="shared" si="12"/>
        <v>381297</v>
      </c>
      <c r="AV183" s="705">
        <f t="shared" si="13"/>
        <v>466190</v>
      </c>
    </row>
    <row r="184" spans="2:48" ht="12.75" hidden="1" customHeight="1">
      <c r="B184" t="s">
        <v>535</v>
      </c>
      <c r="C184" t="s">
        <v>114</v>
      </c>
      <c r="D184" t="s">
        <v>584</v>
      </c>
      <c r="E184" t="s">
        <v>584</v>
      </c>
      <c r="F184">
        <v>238</v>
      </c>
      <c r="G184" s="705">
        <v>25867</v>
      </c>
      <c r="H184" s="705">
        <v>33279</v>
      </c>
      <c r="I184" s="705">
        <v>1613114</v>
      </c>
      <c r="J184" s="705">
        <v>1466467</v>
      </c>
      <c r="K184" s="705">
        <v>88</v>
      </c>
      <c r="L184" s="705">
        <v>310009</v>
      </c>
      <c r="M184" s="705">
        <v>268123</v>
      </c>
      <c r="N184" s="705">
        <v>517263</v>
      </c>
      <c r="O184" s="705">
        <v>191579</v>
      </c>
      <c r="P184" s="705">
        <v>180372</v>
      </c>
      <c r="Q184" s="705">
        <v>66805</v>
      </c>
      <c r="R184" s="705">
        <v>982767</v>
      </c>
      <c r="S184" s="705">
        <v>893425</v>
      </c>
      <c r="T184" s="705">
        <v>50209</v>
      </c>
      <c r="U184" s="705">
        <v>18596</v>
      </c>
      <c r="V184" s="705">
        <v>2904994</v>
      </c>
      <c r="W184" s="705">
        <f t="shared" si="8"/>
        <v>2904995</v>
      </c>
      <c r="X184" s="705">
        <f t="shared" si="9"/>
        <v>3653734</v>
      </c>
      <c r="Y184" s="705"/>
      <c r="AA184" t="s">
        <v>118</v>
      </c>
      <c r="AB184" t="s">
        <v>583</v>
      </c>
      <c r="AC184" t="s">
        <v>673</v>
      </c>
      <c r="AD184">
        <v>2</v>
      </c>
      <c r="AE184">
        <v>206</v>
      </c>
      <c r="AF184">
        <v>501</v>
      </c>
      <c r="AG184" s="705">
        <v>25649</v>
      </c>
      <c r="AH184" s="705">
        <v>23317</v>
      </c>
      <c r="AI184">
        <v>82</v>
      </c>
      <c r="AJ184" s="705">
        <v>6157</v>
      </c>
      <c r="AK184" s="705">
        <v>5597</v>
      </c>
      <c r="AL184" s="705">
        <v>4392</v>
      </c>
      <c r="AM184" s="705">
        <v>1627</v>
      </c>
      <c r="AN184" s="705">
        <v>1242</v>
      </c>
      <c r="AO184">
        <v>460</v>
      </c>
      <c r="AP184" s="705">
        <v>10783</v>
      </c>
      <c r="AQ184" s="705">
        <v>9803</v>
      </c>
      <c r="AR184" s="705">
        <v>2875</v>
      </c>
      <c r="AS184" s="705">
        <v>1065</v>
      </c>
      <c r="AT184" s="705">
        <v>41868</v>
      </c>
      <c r="AU184" s="705">
        <f t="shared" si="12"/>
        <v>41869</v>
      </c>
      <c r="AV184" s="705">
        <f t="shared" si="13"/>
        <v>51098</v>
      </c>
    </row>
    <row r="185" spans="2:48" ht="12.75" hidden="1" customHeight="1">
      <c r="B185" t="s">
        <v>535</v>
      </c>
      <c r="C185" t="s">
        <v>114</v>
      </c>
      <c r="D185" t="s">
        <v>584</v>
      </c>
      <c r="E185" t="s">
        <v>673</v>
      </c>
      <c r="F185">
        <v>2</v>
      </c>
      <c r="G185" s="705">
        <v>213</v>
      </c>
      <c r="H185" s="705">
        <v>299</v>
      </c>
      <c r="I185" s="705">
        <v>15847</v>
      </c>
      <c r="J185" s="705">
        <v>14406</v>
      </c>
      <c r="K185" s="705">
        <v>79</v>
      </c>
      <c r="L185" s="705">
        <v>4620</v>
      </c>
      <c r="M185" s="705">
        <v>4200</v>
      </c>
      <c r="N185" s="705">
        <v>2592</v>
      </c>
      <c r="O185" s="705">
        <v>960</v>
      </c>
      <c r="P185" s="705">
        <v>945</v>
      </c>
      <c r="Q185" s="705">
        <v>350</v>
      </c>
      <c r="R185" s="705">
        <v>7765</v>
      </c>
      <c r="S185" s="705">
        <v>7059</v>
      </c>
      <c r="T185">
        <v>0</v>
      </c>
      <c r="U185" s="705">
        <v>0</v>
      </c>
      <c r="V185" s="705">
        <v>26975</v>
      </c>
      <c r="W185" s="705">
        <f t="shared" si="8"/>
        <v>26975</v>
      </c>
      <c r="X185" s="705">
        <f t="shared" si="9"/>
        <v>31769</v>
      </c>
      <c r="Y185" s="705"/>
      <c r="AA185" t="s">
        <v>118</v>
      </c>
      <c r="AB185" t="s">
        <v>666</v>
      </c>
      <c r="AC185" t="s">
        <v>228</v>
      </c>
      <c r="AD185">
        <v>7</v>
      </c>
      <c r="AE185">
        <v>599</v>
      </c>
      <c r="AF185" s="705">
        <v>1962</v>
      </c>
      <c r="AG185" s="705">
        <v>85446</v>
      </c>
      <c r="AH185" s="705">
        <v>77678</v>
      </c>
      <c r="AI185">
        <v>66</v>
      </c>
      <c r="AJ185" s="705">
        <v>15478</v>
      </c>
      <c r="AK185" s="705">
        <v>7080</v>
      </c>
      <c r="AL185" s="705">
        <v>12746</v>
      </c>
      <c r="AM185" s="705">
        <v>4721</v>
      </c>
      <c r="AN185" s="705">
        <v>1404</v>
      </c>
      <c r="AO185">
        <v>520</v>
      </c>
      <c r="AP185" s="705">
        <v>50997</v>
      </c>
      <c r="AQ185" s="705">
        <v>18888</v>
      </c>
      <c r="AR185">
        <v>0</v>
      </c>
      <c r="AS185">
        <v>0</v>
      </c>
      <c r="AT185" s="705">
        <v>108886</v>
      </c>
      <c r="AU185" s="705">
        <f t="shared" si="12"/>
        <v>108887</v>
      </c>
      <c r="AV185" s="705">
        <f t="shared" si="13"/>
        <v>166071</v>
      </c>
    </row>
    <row r="186" spans="2:48" ht="12.75" hidden="1" customHeight="1">
      <c r="B186" t="s">
        <v>535</v>
      </c>
      <c r="C186" t="s">
        <v>114</v>
      </c>
      <c r="D186" t="s">
        <v>665</v>
      </c>
      <c r="E186" t="s">
        <v>665</v>
      </c>
      <c r="F186">
        <v>1</v>
      </c>
      <c r="G186" s="705">
        <v>71</v>
      </c>
      <c r="H186" s="705">
        <v>150</v>
      </c>
      <c r="I186" s="705">
        <v>4390</v>
      </c>
      <c r="J186" s="705">
        <v>3991</v>
      </c>
      <c r="K186" s="705">
        <v>73</v>
      </c>
      <c r="L186" s="705">
        <v>373</v>
      </c>
      <c r="M186" s="705">
        <v>339</v>
      </c>
      <c r="N186" s="705">
        <v>967</v>
      </c>
      <c r="O186" s="705">
        <v>358</v>
      </c>
      <c r="P186" s="705">
        <v>621</v>
      </c>
      <c r="Q186" s="705">
        <v>230</v>
      </c>
      <c r="R186" s="705">
        <v>4244</v>
      </c>
      <c r="S186" s="705">
        <v>3858</v>
      </c>
      <c r="T186" s="705">
        <v>0</v>
      </c>
      <c r="U186" s="705">
        <v>0</v>
      </c>
      <c r="V186" s="705">
        <v>8776</v>
      </c>
      <c r="W186" s="705">
        <f t="shared" si="8"/>
        <v>8776</v>
      </c>
      <c r="X186" s="705">
        <f t="shared" si="9"/>
        <v>10595</v>
      </c>
      <c r="Y186" s="705"/>
      <c r="AA186" t="s">
        <v>118</v>
      </c>
      <c r="AB186" t="s">
        <v>666</v>
      </c>
      <c r="AC186" t="s">
        <v>583</v>
      </c>
      <c r="AD186">
        <v>9</v>
      </c>
      <c r="AE186">
        <v>877</v>
      </c>
      <c r="AF186" s="705">
        <v>2311</v>
      </c>
      <c r="AG186" s="705">
        <v>115025</v>
      </c>
      <c r="AH186" s="705">
        <v>104568</v>
      </c>
      <c r="AI186">
        <v>75</v>
      </c>
      <c r="AJ186" s="705">
        <v>29302</v>
      </c>
      <c r="AK186" s="705">
        <v>25496</v>
      </c>
      <c r="AL186" s="705">
        <v>17566</v>
      </c>
      <c r="AM186" s="705">
        <v>6506</v>
      </c>
      <c r="AN186" s="705">
        <v>5049</v>
      </c>
      <c r="AO186" s="705">
        <v>1870</v>
      </c>
      <c r="AP186" s="705">
        <v>42533</v>
      </c>
      <c r="AQ186" s="705">
        <v>38666</v>
      </c>
      <c r="AR186" s="705">
        <v>14466</v>
      </c>
      <c r="AS186" s="705">
        <v>5358</v>
      </c>
      <c r="AT186" s="705">
        <v>182464</v>
      </c>
      <c r="AU186" s="705">
        <f t="shared" si="12"/>
        <v>182464</v>
      </c>
      <c r="AV186" s="705">
        <f t="shared" si="13"/>
        <v>223941</v>
      </c>
    </row>
    <row r="187" spans="2:48" ht="12.75" hidden="1" customHeight="1">
      <c r="B187" t="s">
        <v>535</v>
      </c>
      <c r="C187" t="s">
        <v>116</v>
      </c>
      <c r="F187" s="705">
        <v>3</v>
      </c>
      <c r="G187" s="705">
        <v>226</v>
      </c>
      <c r="H187" s="705">
        <v>648</v>
      </c>
      <c r="I187" s="705"/>
      <c r="J187" s="705">
        <v>0</v>
      </c>
      <c r="K187" s="705"/>
      <c r="L187" s="705"/>
      <c r="M187" s="705">
        <v>0</v>
      </c>
      <c r="N187" s="705">
        <v>4557</v>
      </c>
      <c r="O187" s="705">
        <v>1688</v>
      </c>
      <c r="P187" s="705">
        <v>351</v>
      </c>
      <c r="Q187" s="705">
        <v>130</v>
      </c>
      <c r="R187" s="705"/>
      <c r="S187" s="705">
        <v>0</v>
      </c>
      <c r="T187" s="705">
        <v>3004</v>
      </c>
      <c r="U187" s="705">
        <v>1113</v>
      </c>
      <c r="V187" s="705">
        <v>2930</v>
      </c>
      <c r="W187" s="705">
        <f t="shared" si="8"/>
        <v>2931</v>
      </c>
      <c r="X187" s="705">
        <f t="shared" si="9"/>
        <v>7912</v>
      </c>
      <c r="Y187" s="705"/>
      <c r="AA187" t="s">
        <v>118</v>
      </c>
      <c r="AB187" t="s">
        <v>666</v>
      </c>
      <c r="AC187" t="s">
        <v>666</v>
      </c>
      <c r="AD187">
        <v>396</v>
      </c>
      <c r="AE187" s="705">
        <v>33345</v>
      </c>
      <c r="AF187" s="705">
        <v>107899</v>
      </c>
      <c r="AG187" s="705">
        <v>4953404</v>
      </c>
      <c r="AH187" s="705">
        <v>4503094</v>
      </c>
      <c r="AI187">
        <v>58</v>
      </c>
      <c r="AJ187" s="705">
        <v>548004</v>
      </c>
      <c r="AK187" s="705">
        <v>410328</v>
      </c>
      <c r="AL187" s="705">
        <v>651077</v>
      </c>
      <c r="AM187" s="705">
        <v>241139</v>
      </c>
      <c r="AN187" s="705">
        <v>136921</v>
      </c>
      <c r="AO187" s="705">
        <v>50711</v>
      </c>
      <c r="AP187" s="705">
        <v>2036982</v>
      </c>
      <c r="AQ187" s="705">
        <v>1851801</v>
      </c>
      <c r="AR187" s="705">
        <v>768438</v>
      </c>
      <c r="AS187" s="705">
        <v>284607</v>
      </c>
      <c r="AT187" s="705">
        <v>7341681</v>
      </c>
      <c r="AU187" s="705">
        <f t="shared" si="12"/>
        <v>7341680</v>
      </c>
      <c r="AV187" s="705">
        <f t="shared" si="13"/>
        <v>9094826</v>
      </c>
    </row>
    <row r="188" spans="2:48" ht="12.75" hidden="1" customHeight="1">
      <c r="B188" t="s">
        <v>535</v>
      </c>
      <c r="C188" t="s">
        <v>116</v>
      </c>
      <c r="D188" t="s">
        <v>664</v>
      </c>
      <c r="E188" t="s">
        <v>664</v>
      </c>
      <c r="F188">
        <v>3</v>
      </c>
      <c r="G188" s="705">
        <v>315</v>
      </c>
      <c r="H188" s="705">
        <v>518</v>
      </c>
      <c r="I188" s="705">
        <v>23119</v>
      </c>
      <c r="J188" s="705">
        <v>21017</v>
      </c>
      <c r="K188" s="705">
        <v>90</v>
      </c>
      <c r="L188" s="705">
        <v>8272</v>
      </c>
      <c r="M188" s="705">
        <v>7520</v>
      </c>
      <c r="N188" s="705">
        <v>5550</v>
      </c>
      <c r="O188" s="705">
        <v>2055</v>
      </c>
      <c r="P188" s="705">
        <v>1769</v>
      </c>
      <c r="Q188" s="705">
        <v>655</v>
      </c>
      <c r="R188" s="705">
        <v>12728</v>
      </c>
      <c r="S188" s="705">
        <v>11571</v>
      </c>
      <c r="T188" s="705">
        <v>2650</v>
      </c>
      <c r="U188" s="705">
        <v>982</v>
      </c>
      <c r="V188" s="705">
        <v>43799</v>
      </c>
      <c r="W188" s="705">
        <f t="shared" si="8"/>
        <v>43800</v>
      </c>
      <c r="X188" s="705">
        <f t="shared" si="9"/>
        <v>54088</v>
      </c>
      <c r="Y188" s="705"/>
      <c r="AA188" t="s">
        <v>118</v>
      </c>
      <c r="AB188" t="s">
        <v>666</v>
      </c>
      <c r="AC188" t="s">
        <v>671</v>
      </c>
      <c r="AD188" s="705">
        <v>1</v>
      </c>
      <c r="AE188" s="705">
        <v>95</v>
      </c>
      <c r="AF188" s="705">
        <v>258</v>
      </c>
      <c r="AG188" s="705">
        <v>13821</v>
      </c>
      <c r="AH188" s="705">
        <v>12565</v>
      </c>
      <c r="AI188">
        <v>65</v>
      </c>
      <c r="AJ188" s="705">
        <v>1664</v>
      </c>
      <c r="AK188" s="705">
        <v>1512</v>
      </c>
      <c r="AL188" s="705">
        <v>2029</v>
      </c>
      <c r="AM188" s="705">
        <v>751</v>
      </c>
      <c r="AN188" s="705">
        <v>351</v>
      </c>
      <c r="AO188" s="705">
        <v>130</v>
      </c>
      <c r="AP188" s="705">
        <v>6544</v>
      </c>
      <c r="AQ188" s="705">
        <v>5949</v>
      </c>
      <c r="AR188" s="705">
        <v>0</v>
      </c>
      <c r="AS188" s="705">
        <v>0</v>
      </c>
      <c r="AT188" s="705">
        <v>20908</v>
      </c>
      <c r="AU188" s="705">
        <f t="shared" si="12"/>
        <v>20907</v>
      </c>
      <c r="AV188" s="705">
        <f t="shared" si="13"/>
        <v>24409</v>
      </c>
    </row>
    <row r="189" spans="2:48" ht="12.75" hidden="1" customHeight="1">
      <c r="B189" t="s">
        <v>535</v>
      </c>
      <c r="C189" t="s">
        <v>116</v>
      </c>
      <c r="D189" t="s">
        <v>664</v>
      </c>
      <c r="E189" t="s">
        <v>583</v>
      </c>
      <c r="F189">
        <v>2</v>
      </c>
      <c r="G189">
        <v>242</v>
      </c>
      <c r="H189" s="705">
        <v>331</v>
      </c>
      <c r="I189" s="705">
        <v>18811</v>
      </c>
      <c r="J189" s="705">
        <v>17101</v>
      </c>
      <c r="K189">
        <v>86</v>
      </c>
      <c r="L189" s="705">
        <v>3922</v>
      </c>
      <c r="M189" s="705">
        <v>3566</v>
      </c>
      <c r="N189" s="705">
        <v>4678</v>
      </c>
      <c r="O189" s="705">
        <v>1732</v>
      </c>
      <c r="P189" s="705">
        <v>1242</v>
      </c>
      <c r="Q189" s="705">
        <v>460</v>
      </c>
      <c r="R189" s="705">
        <v>8401</v>
      </c>
      <c r="S189" s="705">
        <v>7637</v>
      </c>
      <c r="T189" s="705">
        <v>3091</v>
      </c>
      <c r="U189" s="705">
        <v>1145</v>
      </c>
      <c r="V189" s="705">
        <v>31641</v>
      </c>
      <c r="W189" s="705">
        <f t="shared" si="8"/>
        <v>31641</v>
      </c>
      <c r="X189" s="705">
        <f t="shared" si="9"/>
        <v>40145</v>
      </c>
      <c r="Y189" s="705"/>
      <c r="AA189" t="s">
        <v>118</v>
      </c>
      <c r="AB189" t="s">
        <v>584</v>
      </c>
      <c r="AC189" t="s">
        <v>664</v>
      </c>
      <c r="AD189">
        <v>1</v>
      </c>
      <c r="AE189" s="705">
        <v>84</v>
      </c>
      <c r="AF189" s="705">
        <v>268</v>
      </c>
      <c r="AG189" s="705">
        <v>13407</v>
      </c>
      <c r="AH189" s="705">
        <v>12189</v>
      </c>
      <c r="AI189">
        <v>79</v>
      </c>
      <c r="AJ189" s="705">
        <v>0</v>
      </c>
      <c r="AK189" s="705">
        <v>0</v>
      </c>
      <c r="AL189" s="705">
        <v>2047</v>
      </c>
      <c r="AM189" s="705">
        <v>758</v>
      </c>
      <c r="AN189" s="705">
        <v>473</v>
      </c>
      <c r="AO189" s="705">
        <v>175</v>
      </c>
      <c r="AP189" s="705">
        <v>6620</v>
      </c>
      <c r="AQ189" s="705">
        <v>6018</v>
      </c>
      <c r="AR189" s="705">
        <v>0</v>
      </c>
      <c r="AS189" s="705">
        <v>0</v>
      </c>
      <c r="AT189" s="705">
        <v>19140</v>
      </c>
      <c r="AU189" s="705">
        <f t="shared" si="12"/>
        <v>19140</v>
      </c>
      <c r="AV189" s="705">
        <f t="shared" si="13"/>
        <v>22547</v>
      </c>
    </row>
    <row r="190" spans="2:48" ht="12.75" hidden="1" customHeight="1">
      <c r="B190" t="s">
        <v>535</v>
      </c>
      <c r="C190" t="s">
        <v>116</v>
      </c>
      <c r="D190" t="s">
        <v>582</v>
      </c>
      <c r="E190" t="s">
        <v>664</v>
      </c>
      <c r="F190" s="705">
        <v>1</v>
      </c>
      <c r="G190" s="705">
        <v>98</v>
      </c>
      <c r="H190" s="705">
        <v>164</v>
      </c>
      <c r="I190" s="705">
        <v>8749</v>
      </c>
      <c r="J190" s="705">
        <v>7954</v>
      </c>
      <c r="K190" s="705">
        <v>92</v>
      </c>
      <c r="L190" s="705">
        <v>1136</v>
      </c>
      <c r="M190" s="705">
        <v>1033</v>
      </c>
      <c r="N190" s="705">
        <v>1793</v>
      </c>
      <c r="O190" s="705">
        <v>664</v>
      </c>
      <c r="P190" s="705">
        <v>473</v>
      </c>
      <c r="Q190" s="705">
        <v>175</v>
      </c>
      <c r="R190" s="705">
        <v>3891</v>
      </c>
      <c r="S190" s="705">
        <v>3537</v>
      </c>
      <c r="T190" s="705">
        <v>0</v>
      </c>
      <c r="U190" s="705">
        <v>0</v>
      </c>
      <c r="V190" s="705">
        <v>13363</v>
      </c>
      <c r="W190" s="705">
        <f t="shared" si="8"/>
        <v>13363</v>
      </c>
      <c r="X190" s="705">
        <f t="shared" si="9"/>
        <v>16042</v>
      </c>
      <c r="Y190" s="705"/>
      <c r="AA190" t="s">
        <v>118</v>
      </c>
      <c r="AB190" t="s">
        <v>584</v>
      </c>
      <c r="AC190" t="s">
        <v>582</v>
      </c>
      <c r="AD190">
        <v>15</v>
      </c>
      <c r="AE190" s="705">
        <v>1307</v>
      </c>
      <c r="AF190" s="705">
        <v>3905</v>
      </c>
      <c r="AG190" s="705">
        <v>168893</v>
      </c>
      <c r="AH190" s="705">
        <v>153539</v>
      </c>
      <c r="AI190">
        <v>78</v>
      </c>
      <c r="AJ190" s="705">
        <v>49934</v>
      </c>
      <c r="AK190" s="705">
        <v>41327</v>
      </c>
      <c r="AL190" s="705">
        <v>26200</v>
      </c>
      <c r="AM190" s="705">
        <v>9704</v>
      </c>
      <c r="AN190" s="705">
        <v>7088</v>
      </c>
      <c r="AO190" s="705">
        <v>2625</v>
      </c>
      <c r="AP190" s="705">
        <v>83097</v>
      </c>
      <c r="AQ190" s="705">
        <v>75543</v>
      </c>
      <c r="AR190" s="705">
        <v>11209</v>
      </c>
      <c r="AS190" s="705">
        <v>4152</v>
      </c>
      <c r="AT190" s="705">
        <v>286889</v>
      </c>
      <c r="AU190" s="705">
        <f t="shared" si="12"/>
        <v>286890</v>
      </c>
      <c r="AV190" s="705">
        <f t="shared" si="13"/>
        <v>346421</v>
      </c>
    </row>
    <row r="191" spans="2:48" ht="12.75" hidden="1" customHeight="1">
      <c r="B191" t="s">
        <v>535</v>
      </c>
      <c r="C191" t="s">
        <v>116</v>
      </c>
      <c r="D191" t="s">
        <v>582</v>
      </c>
      <c r="E191" t="s">
        <v>582</v>
      </c>
      <c r="F191" s="705">
        <v>87</v>
      </c>
      <c r="G191" s="705">
        <v>10114</v>
      </c>
      <c r="H191" s="705">
        <v>15926</v>
      </c>
      <c r="I191" s="705">
        <v>944722</v>
      </c>
      <c r="J191" s="705">
        <v>858838</v>
      </c>
      <c r="K191" s="705">
        <v>82</v>
      </c>
      <c r="L191" s="705">
        <v>194724</v>
      </c>
      <c r="M191" s="705">
        <v>155733</v>
      </c>
      <c r="N191" s="705">
        <v>229076</v>
      </c>
      <c r="O191" s="705">
        <v>84843</v>
      </c>
      <c r="P191" s="705">
        <v>52626</v>
      </c>
      <c r="Q191" s="705">
        <v>19491</v>
      </c>
      <c r="R191" s="705">
        <v>439107</v>
      </c>
      <c r="S191" s="705">
        <v>399189</v>
      </c>
      <c r="T191" s="705">
        <v>86126</v>
      </c>
      <c r="U191" s="705">
        <v>31899</v>
      </c>
      <c r="V191" s="705">
        <v>1549992</v>
      </c>
      <c r="W191" s="705">
        <f t="shared" si="8"/>
        <v>1549993</v>
      </c>
      <c r="X191" s="705">
        <f t="shared" si="9"/>
        <v>1946381</v>
      </c>
      <c r="Y191" s="705"/>
      <c r="AA191" t="s">
        <v>118</v>
      </c>
      <c r="AB191" t="s">
        <v>584</v>
      </c>
      <c r="AC191" t="s">
        <v>228</v>
      </c>
      <c r="AD191">
        <v>108</v>
      </c>
      <c r="AE191" s="705">
        <v>10122</v>
      </c>
      <c r="AF191" s="705">
        <v>28607</v>
      </c>
      <c r="AG191" s="705">
        <v>1456612</v>
      </c>
      <c r="AH191" s="705">
        <v>1324193</v>
      </c>
      <c r="AI191">
        <v>80</v>
      </c>
      <c r="AJ191" s="705">
        <v>271330</v>
      </c>
      <c r="AK191" s="705">
        <v>225690</v>
      </c>
      <c r="AL191" s="705">
        <v>204777</v>
      </c>
      <c r="AM191" s="705">
        <v>75843</v>
      </c>
      <c r="AN191" s="705">
        <v>56702</v>
      </c>
      <c r="AO191" s="705">
        <v>21001</v>
      </c>
      <c r="AP191" s="705">
        <v>727518</v>
      </c>
      <c r="AQ191" s="705">
        <v>269451</v>
      </c>
      <c r="AR191" s="705">
        <v>7119</v>
      </c>
      <c r="AS191" s="705">
        <v>2637</v>
      </c>
      <c r="AT191" s="705">
        <v>1918814</v>
      </c>
      <c r="AU191" s="705">
        <f t="shared" si="12"/>
        <v>1918815</v>
      </c>
      <c r="AV191" s="705">
        <f t="shared" si="13"/>
        <v>2724058</v>
      </c>
    </row>
    <row r="192" spans="2:48" ht="12.75" hidden="1" customHeight="1">
      <c r="B192" t="s">
        <v>535</v>
      </c>
      <c r="C192" t="s">
        <v>116</v>
      </c>
      <c r="D192" t="s">
        <v>582</v>
      </c>
      <c r="E192" t="s">
        <v>583</v>
      </c>
      <c r="F192" s="705">
        <v>1</v>
      </c>
      <c r="G192" s="705">
        <v>228</v>
      </c>
      <c r="H192" s="705">
        <v>208</v>
      </c>
      <c r="I192" s="705">
        <v>26221</v>
      </c>
      <c r="J192" s="705">
        <v>23837</v>
      </c>
      <c r="K192" s="705">
        <v>73</v>
      </c>
      <c r="L192" s="705">
        <v>4963</v>
      </c>
      <c r="M192" s="705">
        <v>1838</v>
      </c>
      <c r="N192" s="705">
        <v>5560</v>
      </c>
      <c r="O192" s="705">
        <v>2059</v>
      </c>
      <c r="P192" s="705">
        <v>473</v>
      </c>
      <c r="Q192" s="705">
        <v>175</v>
      </c>
      <c r="R192" s="705">
        <v>6109</v>
      </c>
      <c r="S192" s="705">
        <v>5554</v>
      </c>
      <c r="T192" s="705">
        <v>4035</v>
      </c>
      <c r="U192" s="705">
        <v>1494</v>
      </c>
      <c r="V192" s="705">
        <v>34958</v>
      </c>
      <c r="W192" s="705">
        <f t="shared" si="8"/>
        <v>34957</v>
      </c>
      <c r="X192" s="705">
        <f t="shared" si="9"/>
        <v>47361</v>
      </c>
      <c r="Y192" s="705"/>
      <c r="AA192" t="s">
        <v>118</v>
      </c>
      <c r="AB192" t="s">
        <v>584</v>
      </c>
      <c r="AC192" t="s">
        <v>583</v>
      </c>
      <c r="AD192">
        <v>27</v>
      </c>
      <c r="AE192" s="705">
        <v>2606</v>
      </c>
      <c r="AF192" s="705">
        <v>6805</v>
      </c>
      <c r="AG192" s="705">
        <v>336872</v>
      </c>
      <c r="AH192" s="705">
        <v>306247</v>
      </c>
      <c r="AI192">
        <v>78</v>
      </c>
      <c r="AJ192" s="705">
        <v>97363</v>
      </c>
      <c r="AK192" s="705">
        <v>79447</v>
      </c>
      <c r="AL192" s="705">
        <v>54207</v>
      </c>
      <c r="AM192" s="705">
        <v>20077</v>
      </c>
      <c r="AN192" s="705">
        <v>12636</v>
      </c>
      <c r="AO192" s="705">
        <v>4680</v>
      </c>
      <c r="AP192" s="705">
        <v>133823</v>
      </c>
      <c r="AQ192" s="705">
        <v>121657</v>
      </c>
      <c r="AR192" s="705">
        <v>35375</v>
      </c>
      <c r="AS192" s="705">
        <v>13102</v>
      </c>
      <c r="AT192" s="705">
        <v>545211</v>
      </c>
      <c r="AU192" s="705">
        <f t="shared" si="12"/>
        <v>545210</v>
      </c>
      <c r="AV192" s="705">
        <f t="shared" si="13"/>
        <v>670276</v>
      </c>
    </row>
    <row r="193" spans="2:48" ht="12.75" hidden="1" customHeight="1">
      <c r="B193" t="s">
        <v>535</v>
      </c>
      <c r="C193" t="s">
        <v>116</v>
      </c>
      <c r="D193" t="s">
        <v>228</v>
      </c>
      <c r="E193" t="s">
        <v>228</v>
      </c>
      <c r="F193">
        <v>131</v>
      </c>
      <c r="G193" s="705">
        <v>13926</v>
      </c>
      <c r="H193" s="705">
        <v>26516</v>
      </c>
      <c r="I193" s="705">
        <v>1298646</v>
      </c>
      <c r="J193" s="705">
        <v>480980</v>
      </c>
      <c r="K193" s="705">
        <v>122</v>
      </c>
      <c r="L193" s="705">
        <v>283146</v>
      </c>
      <c r="M193" s="705">
        <v>140477</v>
      </c>
      <c r="N193" s="705">
        <v>271466</v>
      </c>
      <c r="O193" s="705">
        <v>100543</v>
      </c>
      <c r="P193" s="705">
        <v>7897</v>
      </c>
      <c r="Q193" s="705">
        <v>2925</v>
      </c>
      <c r="R193" s="705">
        <v>978173</v>
      </c>
      <c r="S193" s="705">
        <v>362286</v>
      </c>
      <c r="T193" s="705">
        <v>0</v>
      </c>
      <c r="U193" s="705">
        <v>0</v>
      </c>
      <c r="V193" s="705">
        <v>1087211</v>
      </c>
      <c r="W193" s="705">
        <f t="shared" si="8"/>
        <v>1087211</v>
      </c>
      <c r="X193" s="705">
        <f t="shared" si="9"/>
        <v>2839328</v>
      </c>
      <c r="Y193" s="705"/>
      <c r="AA193" t="s">
        <v>118</v>
      </c>
      <c r="AB193" t="s">
        <v>584</v>
      </c>
      <c r="AC193" t="s">
        <v>666</v>
      </c>
      <c r="AD193">
        <v>7</v>
      </c>
      <c r="AE193">
        <v>660</v>
      </c>
      <c r="AF193" s="705">
        <v>1740</v>
      </c>
      <c r="AG193" s="705">
        <v>79323</v>
      </c>
      <c r="AH193" s="705">
        <v>72112</v>
      </c>
      <c r="AI193">
        <v>78</v>
      </c>
      <c r="AJ193" s="705">
        <v>21734</v>
      </c>
      <c r="AK193" s="705">
        <v>17763</v>
      </c>
      <c r="AL193" s="705">
        <v>13368</v>
      </c>
      <c r="AM193" s="705">
        <v>4951</v>
      </c>
      <c r="AN193" s="705">
        <v>3308</v>
      </c>
      <c r="AO193" s="705">
        <v>1225</v>
      </c>
      <c r="AP193" s="705">
        <v>44216</v>
      </c>
      <c r="AQ193" s="705">
        <v>40197</v>
      </c>
      <c r="AR193" s="705">
        <v>6850</v>
      </c>
      <c r="AS193" s="705">
        <v>2537</v>
      </c>
      <c r="AT193" s="705">
        <v>138784</v>
      </c>
      <c r="AU193" s="705">
        <f t="shared" si="12"/>
        <v>138785</v>
      </c>
      <c r="AV193" s="705">
        <f t="shared" si="13"/>
        <v>168799</v>
      </c>
    </row>
    <row r="194" spans="2:48" ht="12.75" hidden="1" customHeight="1">
      <c r="B194" t="s">
        <v>535</v>
      </c>
      <c r="C194" t="s">
        <v>116</v>
      </c>
      <c r="D194" t="s">
        <v>583</v>
      </c>
      <c r="E194" s="705" t="s">
        <v>674</v>
      </c>
      <c r="F194" s="705">
        <v>1</v>
      </c>
      <c r="G194" s="705">
        <v>87</v>
      </c>
      <c r="H194" s="705">
        <v>197</v>
      </c>
      <c r="I194" s="705">
        <v>6930</v>
      </c>
      <c r="J194" s="705">
        <v>6300</v>
      </c>
      <c r="K194" s="705">
        <v>85</v>
      </c>
      <c r="L194" s="705">
        <v>2079</v>
      </c>
      <c r="M194" s="705">
        <v>1890</v>
      </c>
      <c r="N194" s="705">
        <v>1533</v>
      </c>
      <c r="O194" s="705">
        <v>568</v>
      </c>
      <c r="P194" s="705">
        <v>621</v>
      </c>
      <c r="Q194" s="705">
        <v>230</v>
      </c>
      <c r="R194" s="705">
        <v>3549</v>
      </c>
      <c r="S194" s="705">
        <v>3227</v>
      </c>
      <c r="T194" s="705">
        <v>2390</v>
      </c>
      <c r="U194" s="705">
        <v>885</v>
      </c>
      <c r="V194" s="705">
        <v>13099</v>
      </c>
      <c r="W194" s="705">
        <f t="shared" si="8"/>
        <v>13100</v>
      </c>
      <c r="X194" s="705">
        <f t="shared" si="9"/>
        <v>17102</v>
      </c>
      <c r="Y194" s="705"/>
      <c r="AA194" t="s">
        <v>118</v>
      </c>
      <c r="AB194" t="s">
        <v>584</v>
      </c>
      <c r="AC194" t="s">
        <v>584</v>
      </c>
      <c r="AD194" s="705">
        <v>48438</v>
      </c>
      <c r="AE194" s="705">
        <v>4659105</v>
      </c>
      <c r="AF194" s="705">
        <v>12527933</v>
      </c>
      <c r="AG194" s="705">
        <v>643322680</v>
      </c>
      <c r="AH194" s="705">
        <v>584838797</v>
      </c>
      <c r="AI194">
        <v>80</v>
      </c>
      <c r="AJ194" s="705">
        <v>173264197</v>
      </c>
      <c r="AK194" s="705">
        <v>148886014</v>
      </c>
      <c r="AL194" s="705">
        <v>95977022</v>
      </c>
      <c r="AM194" s="705">
        <v>35547044</v>
      </c>
      <c r="AN194" s="705">
        <v>22954935</v>
      </c>
      <c r="AO194" s="705">
        <v>8501828</v>
      </c>
      <c r="AP194" s="705">
        <v>229897798</v>
      </c>
      <c r="AQ194" s="705">
        <v>208997996</v>
      </c>
      <c r="AR194" s="705">
        <v>54431846</v>
      </c>
      <c r="AS194" s="705">
        <v>20159943</v>
      </c>
      <c r="AT194" s="705">
        <v>1006931622</v>
      </c>
      <c r="AU194" s="705">
        <f t="shared" si="12"/>
        <v>1006931622</v>
      </c>
      <c r="AV194" s="705">
        <f t="shared" si="13"/>
        <v>1219848478</v>
      </c>
    </row>
    <row r="195" spans="2:48" ht="12.75" hidden="1" customHeight="1">
      <c r="B195" t="s">
        <v>535</v>
      </c>
      <c r="C195" t="s">
        <v>116</v>
      </c>
      <c r="D195" t="s">
        <v>583</v>
      </c>
      <c r="E195" t="s">
        <v>664</v>
      </c>
      <c r="F195" s="705">
        <v>2</v>
      </c>
      <c r="G195" s="705">
        <v>165</v>
      </c>
      <c r="H195" s="705">
        <v>403</v>
      </c>
      <c r="I195" s="705">
        <v>15271</v>
      </c>
      <c r="J195" s="705">
        <v>13883</v>
      </c>
      <c r="K195" s="705">
        <v>89</v>
      </c>
      <c r="L195" s="705">
        <v>3837</v>
      </c>
      <c r="M195" s="705">
        <v>3488</v>
      </c>
      <c r="N195" s="705">
        <v>2010</v>
      </c>
      <c r="O195" s="705">
        <v>745</v>
      </c>
      <c r="P195" s="705">
        <v>1242</v>
      </c>
      <c r="Q195" s="705">
        <v>460</v>
      </c>
      <c r="R195" s="705">
        <v>6812</v>
      </c>
      <c r="S195" s="705">
        <v>6193</v>
      </c>
      <c r="T195" s="705">
        <v>3094</v>
      </c>
      <c r="U195" s="705">
        <v>1146</v>
      </c>
      <c r="V195" s="705">
        <v>25915</v>
      </c>
      <c r="W195" s="705">
        <f t="shared" si="8"/>
        <v>25915</v>
      </c>
      <c r="X195" s="705">
        <f t="shared" si="9"/>
        <v>32266</v>
      </c>
      <c r="Y195" s="705"/>
      <c r="AA195" t="s">
        <v>118</v>
      </c>
      <c r="AB195" t="s">
        <v>584</v>
      </c>
      <c r="AC195" t="s">
        <v>669</v>
      </c>
      <c r="AD195">
        <v>17</v>
      </c>
      <c r="AE195" s="705">
        <v>1670</v>
      </c>
      <c r="AF195" s="705">
        <v>4462</v>
      </c>
      <c r="AG195" s="705">
        <v>234101</v>
      </c>
      <c r="AH195" s="705">
        <v>212819</v>
      </c>
      <c r="AI195">
        <v>75</v>
      </c>
      <c r="AJ195" s="705">
        <v>55555</v>
      </c>
      <c r="AK195" s="705">
        <v>55272</v>
      </c>
      <c r="AL195" s="705">
        <v>35734</v>
      </c>
      <c r="AM195" s="705">
        <v>13235</v>
      </c>
      <c r="AN195" s="705">
        <v>7911</v>
      </c>
      <c r="AO195" s="705">
        <v>2930</v>
      </c>
      <c r="AP195" s="705">
        <v>90682</v>
      </c>
      <c r="AQ195" s="705">
        <v>75568</v>
      </c>
      <c r="AR195" s="705">
        <v>25236</v>
      </c>
      <c r="AS195" s="705">
        <v>9347</v>
      </c>
      <c r="AT195" s="705">
        <v>369171</v>
      </c>
      <c r="AU195" s="705">
        <f t="shared" si="12"/>
        <v>369171</v>
      </c>
      <c r="AV195" s="705">
        <f t="shared" si="13"/>
        <v>449219</v>
      </c>
    </row>
    <row r="196" spans="2:48" ht="12.75" hidden="1" customHeight="1">
      <c r="B196" t="s">
        <v>535</v>
      </c>
      <c r="C196" t="s">
        <v>116</v>
      </c>
      <c r="D196" t="s">
        <v>583</v>
      </c>
      <c r="E196" t="s">
        <v>228</v>
      </c>
      <c r="F196">
        <v>6</v>
      </c>
      <c r="G196" s="705">
        <v>887</v>
      </c>
      <c r="H196" s="705">
        <v>1130</v>
      </c>
      <c r="I196" s="705">
        <v>79307</v>
      </c>
      <c r="J196" s="705">
        <v>72097</v>
      </c>
      <c r="K196" s="705">
        <v>87</v>
      </c>
      <c r="L196" s="705">
        <v>16054</v>
      </c>
      <c r="M196" s="705">
        <v>14496</v>
      </c>
      <c r="N196" s="705">
        <v>17823</v>
      </c>
      <c r="O196" s="705">
        <v>6601</v>
      </c>
      <c r="P196" s="705">
        <v>3024</v>
      </c>
      <c r="Q196" s="705">
        <v>1120</v>
      </c>
      <c r="R196" s="705">
        <v>48762</v>
      </c>
      <c r="S196" s="705">
        <v>18060</v>
      </c>
      <c r="T196" s="705">
        <v>0</v>
      </c>
      <c r="U196" s="705">
        <v>0</v>
      </c>
      <c r="V196" s="705">
        <v>112374</v>
      </c>
      <c r="W196" s="705">
        <f t="shared" si="8"/>
        <v>112374</v>
      </c>
      <c r="X196" s="705">
        <f t="shared" si="9"/>
        <v>164970</v>
      </c>
      <c r="Y196" s="705"/>
      <c r="AA196" t="s">
        <v>118</v>
      </c>
      <c r="AB196" t="s">
        <v>584</v>
      </c>
      <c r="AC196" t="s">
        <v>665</v>
      </c>
      <c r="AD196">
        <v>10</v>
      </c>
      <c r="AE196">
        <v>932</v>
      </c>
      <c r="AF196" s="705">
        <v>2473</v>
      </c>
      <c r="AG196" s="705">
        <v>115659</v>
      </c>
      <c r="AH196" s="705">
        <v>105145</v>
      </c>
      <c r="AI196">
        <v>78</v>
      </c>
      <c r="AJ196" s="705">
        <v>29022</v>
      </c>
      <c r="AK196" s="705">
        <v>22801</v>
      </c>
      <c r="AL196" s="705">
        <v>20564</v>
      </c>
      <c r="AM196" s="705">
        <v>7616</v>
      </c>
      <c r="AN196" s="705">
        <v>4604</v>
      </c>
      <c r="AO196" s="705">
        <v>1705</v>
      </c>
      <c r="AP196" s="705">
        <v>55373</v>
      </c>
      <c r="AQ196" s="705">
        <v>50340</v>
      </c>
      <c r="AR196" s="705">
        <v>5018</v>
      </c>
      <c r="AS196" s="705">
        <v>1858</v>
      </c>
      <c r="AT196" s="705">
        <v>189465</v>
      </c>
      <c r="AU196" s="705">
        <f t="shared" si="12"/>
        <v>189465</v>
      </c>
      <c r="AV196" s="705">
        <f t="shared" si="13"/>
        <v>230240</v>
      </c>
    </row>
    <row r="197" spans="2:48" ht="12.75" hidden="1" customHeight="1">
      <c r="B197" t="s">
        <v>535</v>
      </c>
      <c r="C197" t="s">
        <v>116</v>
      </c>
      <c r="D197" t="s">
        <v>583</v>
      </c>
      <c r="E197" t="s">
        <v>583</v>
      </c>
      <c r="F197" s="705">
        <v>2121</v>
      </c>
      <c r="G197" s="705">
        <v>219752</v>
      </c>
      <c r="H197" s="705">
        <v>415940</v>
      </c>
      <c r="I197" s="705">
        <v>21163101</v>
      </c>
      <c r="J197" s="705">
        <v>19239183</v>
      </c>
      <c r="K197" s="705">
        <v>85</v>
      </c>
      <c r="L197" s="705">
        <v>4888533</v>
      </c>
      <c r="M197" s="705">
        <v>4276092</v>
      </c>
      <c r="N197" s="705">
        <v>4263855</v>
      </c>
      <c r="O197" s="705">
        <v>1579205</v>
      </c>
      <c r="P197" s="705">
        <v>1359761</v>
      </c>
      <c r="Q197" s="705">
        <v>503615</v>
      </c>
      <c r="R197" s="705">
        <v>9007939</v>
      </c>
      <c r="S197" s="705">
        <v>8189035</v>
      </c>
      <c r="T197" s="705">
        <v>3051446</v>
      </c>
      <c r="U197" s="705">
        <v>1130165</v>
      </c>
      <c r="V197" s="705">
        <v>34917295</v>
      </c>
      <c r="W197" s="705">
        <f t="shared" si="8"/>
        <v>34917295</v>
      </c>
      <c r="X197" s="705">
        <f t="shared" si="9"/>
        <v>43734635</v>
      </c>
      <c r="Y197" s="705"/>
      <c r="AA197" t="s">
        <v>118</v>
      </c>
      <c r="AB197" t="s">
        <v>584</v>
      </c>
      <c r="AC197" t="s">
        <v>673</v>
      </c>
      <c r="AD197">
        <v>2</v>
      </c>
      <c r="AE197">
        <v>225</v>
      </c>
      <c r="AF197" s="705">
        <v>495</v>
      </c>
      <c r="AG197" s="705">
        <v>32007</v>
      </c>
      <c r="AH197" s="705">
        <v>29097</v>
      </c>
      <c r="AI197">
        <v>83</v>
      </c>
      <c r="AJ197" s="705">
        <v>9890</v>
      </c>
      <c r="AK197" s="705">
        <v>8602</v>
      </c>
      <c r="AL197" s="705">
        <v>2744</v>
      </c>
      <c r="AM197" s="705">
        <v>1016</v>
      </c>
      <c r="AN197" s="705">
        <v>945</v>
      </c>
      <c r="AO197">
        <v>350</v>
      </c>
      <c r="AP197" s="705">
        <v>10122</v>
      </c>
      <c r="AQ197" s="705">
        <v>9202</v>
      </c>
      <c r="AR197" s="705">
        <v>0</v>
      </c>
      <c r="AS197">
        <v>0</v>
      </c>
      <c r="AT197" s="705">
        <v>48268</v>
      </c>
      <c r="AU197" s="705">
        <f t="shared" si="12"/>
        <v>48267</v>
      </c>
      <c r="AV197" s="705">
        <f t="shared" si="13"/>
        <v>55708</v>
      </c>
    </row>
    <row r="198" spans="2:48" ht="12.75" hidden="1" customHeight="1">
      <c r="B198" t="s">
        <v>535</v>
      </c>
      <c r="C198" t="s">
        <v>116</v>
      </c>
      <c r="D198" t="s">
        <v>583</v>
      </c>
      <c r="E198" t="s">
        <v>666</v>
      </c>
      <c r="F198" s="705">
        <v>1</v>
      </c>
      <c r="G198" s="705">
        <v>90</v>
      </c>
      <c r="H198" s="705">
        <v>175</v>
      </c>
      <c r="I198" s="705">
        <v>5289</v>
      </c>
      <c r="J198" s="705">
        <v>4808</v>
      </c>
      <c r="K198" s="705">
        <v>86</v>
      </c>
      <c r="L198" s="705">
        <v>1593</v>
      </c>
      <c r="M198" s="705">
        <v>1448</v>
      </c>
      <c r="N198" s="705">
        <v>2184</v>
      </c>
      <c r="O198" s="705">
        <v>809</v>
      </c>
      <c r="P198" s="705">
        <v>621</v>
      </c>
      <c r="Q198" s="705">
        <v>230</v>
      </c>
      <c r="R198" s="705">
        <v>3575</v>
      </c>
      <c r="S198" s="705">
        <v>3250</v>
      </c>
      <c r="T198" s="705">
        <v>2428</v>
      </c>
      <c r="U198" s="705">
        <v>899</v>
      </c>
      <c r="V198" s="705">
        <v>11444</v>
      </c>
      <c r="W198" s="705">
        <f t="shared" si="8"/>
        <v>11444</v>
      </c>
      <c r="X198" s="705">
        <f t="shared" si="9"/>
        <v>15690</v>
      </c>
      <c r="Y198" s="705"/>
      <c r="AA198" t="s">
        <v>118</v>
      </c>
      <c r="AB198" t="s">
        <v>669</v>
      </c>
      <c r="AC198" t="s">
        <v>228</v>
      </c>
      <c r="AD198">
        <v>32</v>
      </c>
      <c r="AE198" s="705">
        <v>2711</v>
      </c>
      <c r="AF198" s="705">
        <v>8775</v>
      </c>
      <c r="AG198" s="705">
        <v>390712</v>
      </c>
      <c r="AH198" s="705">
        <v>325593</v>
      </c>
      <c r="AI198">
        <v>59</v>
      </c>
      <c r="AJ198" s="705">
        <v>59136</v>
      </c>
      <c r="AK198" s="705">
        <v>35564</v>
      </c>
      <c r="AL198" s="705">
        <v>54214</v>
      </c>
      <c r="AM198" s="705">
        <v>20079</v>
      </c>
      <c r="AN198" s="705">
        <v>9126</v>
      </c>
      <c r="AO198" s="705">
        <v>3380</v>
      </c>
      <c r="AP198" s="705">
        <v>227114</v>
      </c>
      <c r="AQ198" s="705">
        <v>84116</v>
      </c>
      <c r="AR198" s="705">
        <v>0</v>
      </c>
      <c r="AS198" s="705">
        <v>0</v>
      </c>
      <c r="AT198" s="705">
        <v>468733</v>
      </c>
      <c r="AU198" s="705">
        <f t="shared" si="12"/>
        <v>468732</v>
      </c>
      <c r="AV198" s="705">
        <f t="shared" si="13"/>
        <v>740302</v>
      </c>
    </row>
    <row r="199" spans="2:48" ht="12.75" hidden="1" customHeight="1">
      <c r="B199" t="s">
        <v>535</v>
      </c>
      <c r="C199" t="s">
        <v>116</v>
      </c>
      <c r="D199" t="s">
        <v>583</v>
      </c>
      <c r="E199" t="s">
        <v>584</v>
      </c>
      <c r="F199">
        <v>2</v>
      </c>
      <c r="G199" s="705">
        <v>139</v>
      </c>
      <c r="H199" s="705">
        <v>413</v>
      </c>
      <c r="I199" s="705">
        <v>14751</v>
      </c>
      <c r="J199" s="705">
        <v>13410</v>
      </c>
      <c r="K199">
        <v>95</v>
      </c>
      <c r="L199" s="705">
        <v>1682</v>
      </c>
      <c r="M199" s="705">
        <v>1402</v>
      </c>
      <c r="N199" s="705">
        <v>2777</v>
      </c>
      <c r="O199" s="705">
        <v>1029</v>
      </c>
      <c r="P199" s="705">
        <v>1242</v>
      </c>
      <c r="Q199" s="705">
        <v>460</v>
      </c>
      <c r="R199" s="705">
        <v>6286</v>
      </c>
      <c r="S199" s="705">
        <v>5714</v>
      </c>
      <c r="T199" s="705">
        <v>2169</v>
      </c>
      <c r="U199" s="705">
        <v>803</v>
      </c>
      <c r="V199" s="705">
        <v>22817</v>
      </c>
      <c r="W199" s="705">
        <f t="shared" ref="W199:W262" si="14">SUM(ABS(J199),ABS(M199),ABS(O199),ABS(Q199),ABS(S199),ABS(U199))</f>
        <v>22818</v>
      </c>
      <c r="X199" s="705">
        <f t="shared" ref="X199:X262" si="15">SUM(ABS(I199),ABS(N199),ABS(P199),ABS(R199),ABS(T199),ABS(L199))</f>
        <v>28907</v>
      </c>
      <c r="Y199" s="705"/>
      <c r="AA199" t="s">
        <v>118</v>
      </c>
      <c r="AB199" t="s">
        <v>669</v>
      </c>
      <c r="AC199" t="s">
        <v>583</v>
      </c>
      <c r="AD199">
        <v>1</v>
      </c>
      <c r="AE199">
        <v>93</v>
      </c>
      <c r="AF199">
        <v>266</v>
      </c>
      <c r="AG199" s="705">
        <v>15063</v>
      </c>
      <c r="AH199" s="705">
        <v>12552</v>
      </c>
      <c r="AI199">
        <v>55</v>
      </c>
      <c r="AJ199" s="705">
        <v>987</v>
      </c>
      <c r="AK199" s="705">
        <v>897</v>
      </c>
      <c r="AL199" s="705">
        <v>2255</v>
      </c>
      <c r="AM199">
        <v>835</v>
      </c>
      <c r="AN199">
        <v>621</v>
      </c>
      <c r="AO199">
        <v>230</v>
      </c>
      <c r="AP199" s="705">
        <v>3308</v>
      </c>
      <c r="AQ199" s="705">
        <v>3007</v>
      </c>
      <c r="AR199" s="705">
        <v>2332</v>
      </c>
      <c r="AS199">
        <v>864</v>
      </c>
      <c r="AT199" s="705">
        <v>18385</v>
      </c>
      <c r="AU199" s="705">
        <f t="shared" si="12"/>
        <v>18385</v>
      </c>
      <c r="AV199" s="705">
        <f t="shared" si="13"/>
        <v>24566</v>
      </c>
    </row>
    <row r="200" spans="2:48" ht="12.75" hidden="1" customHeight="1">
      <c r="B200" t="s">
        <v>535</v>
      </c>
      <c r="C200" t="s">
        <v>116</v>
      </c>
      <c r="D200" t="s">
        <v>583</v>
      </c>
      <c r="E200" t="s">
        <v>669</v>
      </c>
      <c r="F200">
        <v>3</v>
      </c>
      <c r="G200" s="705">
        <v>323</v>
      </c>
      <c r="H200" s="705">
        <v>613</v>
      </c>
      <c r="I200" s="705">
        <v>30776</v>
      </c>
      <c r="J200" s="705">
        <v>27978</v>
      </c>
      <c r="K200" s="705">
        <v>86</v>
      </c>
      <c r="L200" s="705">
        <v>6887</v>
      </c>
      <c r="M200" s="705">
        <v>6025</v>
      </c>
      <c r="N200" s="705">
        <v>6875</v>
      </c>
      <c r="O200" s="705">
        <v>2546</v>
      </c>
      <c r="P200" s="705">
        <v>2214</v>
      </c>
      <c r="Q200" s="705">
        <v>820</v>
      </c>
      <c r="R200" s="705">
        <v>16392</v>
      </c>
      <c r="S200" s="705">
        <v>13660</v>
      </c>
      <c r="T200" s="705">
        <v>2735</v>
      </c>
      <c r="U200" s="705">
        <v>1013</v>
      </c>
      <c r="V200" s="705">
        <v>52043</v>
      </c>
      <c r="W200" s="705">
        <f t="shared" si="14"/>
        <v>52042</v>
      </c>
      <c r="X200" s="705">
        <f t="shared" si="15"/>
        <v>65879</v>
      </c>
      <c r="Y200" s="705"/>
      <c r="AA200" t="s">
        <v>118</v>
      </c>
      <c r="AB200" t="s">
        <v>669</v>
      </c>
      <c r="AC200" t="s">
        <v>584</v>
      </c>
      <c r="AD200">
        <v>2</v>
      </c>
      <c r="AE200" s="705">
        <v>164</v>
      </c>
      <c r="AF200" s="705">
        <v>571</v>
      </c>
      <c r="AG200" s="705">
        <v>28448</v>
      </c>
      <c r="AH200" s="705">
        <v>23707</v>
      </c>
      <c r="AI200">
        <v>65</v>
      </c>
      <c r="AJ200" s="705">
        <v>1884</v>
      </c>
      <c r="AK200" s="705">
        <v>698</v>
      </c>
      <c r="AL200" s="705">
        <v>2154</v>
      </c>
      <c r="AM200" s="705">
        <v>798</v>
      </c>
      <c r="AN200" s="705">
        <v>702</v>
      </c>
      <c r="AO200" s="705">
        <v>260</v>
      </c>
      <c r="AP200" s="705">
        <v>8953</v>
      </c>
      <c r="AQ200" s="705">
        <v>8139</v>
      </c>
      <c r="AR200" s="705">
        <v>4650</v>
      </c>
      <c r="AS200" s="705">
        <v>1722</v>
      </c>
      <c r="AT200" s="705">
        <v>35324</v>
      </c>
      <c r="AU200" s="705">
        <f t="shared" si="12"/>
        <v>35324</v>
      </c>
      <c r="AV200" s="705">
        <f t="shared" si="13"/>
        <v>46791</v>
      </c>
    </row>
    <row r="201" spans="2:48" ht="12.75" hidden="1" customHeight="1">
      <c r="B201" t="s">
        <v>535</v>
      </c>
      <c r="C201" t="s">
        <v>116</v>
      </c>
      <c r="D201" t="s">
        <v>583</v>
      </c>
      <c r="E201" t="s">
        <v>665</v>
      </c>
      <c r="F201" s="705">
        <v>2</v>
      </c>
      <c r="G201" s="705">
        <v>154</v>
      </c>
      <c r="H201" s="705">
        <v>383</v>
      </c>
      <c r="I201" s="705">
        <v>11043</v>
      </c>
      <c r="J201" s="705">
        <v>10039</v>
      </c>
      <c r="K201" s="705">
        <v>82</v>
      </c>
      <c r="L201" s="705">
        <v>2842</v>
      </c>
      <c r="M201" s="705">
        <v>2584</v>
      </c>
      <c r="N201" s="705">
        <v>2852</v>
      </c>
      <c r="O201" s="705">
        <v>1056</v>
      </c>
      <c r="P201" s="705">
        <v>1242</v>
      </c>
      <c r="Q201" s="705">
        <v>460</v>
      </c>
      <c r="R201" s="705">
        <v>7303</v>
      </c>
      <c r="S201" s="705">
        <v>6639</v>
      </c>
      <c r="T201" s="705">
        <v>4686</v>
      </c>
      <c r="U201" s="705">
        <v>1736</v>
      </c>
      <c r="V201" s="705">
        <v>22514</v>
      </c>
      <c r="W201" s="705">
        <f t="shared" si="14"/>
        <v>22514</v>
      </c>
      <c r="X201" s="705">
        <f t="shared" si="15"/>
        <v>29968</v>
      </c>
      <c r="Y201" s="705"/>
      <c r="AA201" t="s">
        <v>118</v>
      </c>
      <c r="AB201" t="s">
        <v>669</v>
      </c>
      <c r="AC201" t="s">
        <v>669</v>
      </c>
      <c r="AD201" s="705">
        <v>772</v>
      </c>
      <c r="AE201" s="705">
        <v>66915</v>
      </c>
      <c r="AF201" s="705">
        <v>212238</v>
      </c>
      <c r="AG201" s="705">
        <v>9945160</v>
      </c>
      <c r="AH201" s="705">
        <v>8287634</v>
      </c>
      <c r="AI201">
        <v>61</v>
      </c>
      <c r="AJ201" s="705">
        <v>1054206</v>
      </c>
      <c r="AK201" s="705">
        <v>790242</v>
      </c>
      <c r="AL201" s="705">
        <v>1291639</v>
      </c>
      <c r="AM201" s="705">
        <v>478385</v>
      </c>
      <c r="AN201" s="705">
        <v>286009</v>
      </c>
      <c r="AO201" s="705">
        <v>105929</v>
      </c>
      <c r="AP201" s="705">
        <v>4155121</v>
      </c>
      <c r="AQ201" s="705">
        <v>3462601</v>
      </c>
      <c r="AR201" s="705">
        <v>1698839</v>
      </c>
      <c r="AS201" s="705">
        <v>629200</v>
      </c>
      <c r="AT201" s="705">
        <v>13753990</v>
      </c>
      <c r="AU201" s="705">
        <f t="shared" si="12"/>
        <v>13753991</v>
      </c>
      <c r="AV201" s="705">
        <f t="shared" si="13"/>
        <v>18430974</v>
      </c>
    </row>
    <row r="202" spans="2:48" ht="12.75" hidden="1" customHeight="1">
      <c r="B202" t="s">
        <v>535</v>
      </c>
      <c r="C202" t="s">
        <v>116</v>
      </c>
      <c r="D202" t="s">
        <v>584</v>
      </c>
      <c r="E202" t="s">
        <v>582</v>
      </c>
      <c r="F202" s="705">
        <v>2</v>
      </c>
      <c r="G202" s="705">
        <v>212</v>
      </c>
      <c r="H202" s="705">
        <v>416</v>
      </c>
      <c r="I202" s="705">
        <v>25159</v>
      </c>
      <c r="J202" s="705">
        <v>22872</v>
      </c>
      <c r="K202">
        <v>79</v>
      </c>
      <c r="L202" s="705">
        <v>5410</v>
      </c>
      <c r="M202" s="705">
        <v>4918</v>
      </c>
      <c r="N202" s="705">
        <v>3279</v>
      </c>
      <c r="O202" s="705">
        <v>1215</v>
      </c>
      <c r="P202" s="705">
        <v>945</v>
      </c>
      <c r="Q202" s="705">
        <v>350</v>
      </c>
      <c r="R202" s="705">
        <v>9270</v>
      </c>
      <c r="S202" s="705">
        <v>8427</v>
      </c>
      <c r="T202" s="705">
        <v>0</v>
      </c>
      <c r="U202" s="705">
        <v>0</v>
      </c>
      <c r="V202" s="705">
        <v>37781</v>
      </c>
      <c r="W202" s="705">
        <f t="shared" si="14"/>
        <v>37782</v>
      </c>
      <c r="X202" s="705">
        <f t="shared" si="15"/>
        <v>44063</v>
      </c>
      <c r="Y202" s="705"/>
      <c r="AA202" t="s">
        <v>118</v>
      </c>
      <c r="AB202" t="s">
        <v>669</v>
      </c>
      <c r="AC202" t="s">
        <v>671</v>
      </c>
      <c r="AD202">
        <v>1</v>
      </c>
      <c r="AE202" s="705">
        <v>75</v>
      </c>
      <c r="AF202" s="705">
        <v>259</v>
      </c>
      <c r="AG202" s="705">
        <v>12107</v>
      </c>
      <c r="AH202" s="705">
        <v>10089</v>
      </c>
      <c r="AI202">
        <v>65</v>
      </c>
      <c r="AJ202" s="705">
        <v>0</v>
      </c>
      <c r="AK202" s="705">
        <v>1121</v>
      </c>
      <c r="AL202" s="705">
        <v>1722</v>
      </c>
      <c r="AM202" s="705">
        <v>638</v>
      </c>
      <c r="AN202" s="705">
        <v>351</v>
      </c>
      <c r="AO202" s="705">
        <v>130</v>
      </c>
      <c r="AP202" s="705">
        <v>3100</v>
      </c>
      <c r="AQ202" s="705">
        <v>2818</v>
      </c>
      <c r="AR202" s="705">
        <v>2115</v>
      </c>
      <c r="AS202" s="705">
        <v>783</v>
      </c>
      <c r="AT202" s="705">
        <v>15580</v>
      </c>
      <c r="AU202" s="705">
        <f t="shared" si="12"/>
        <v>15579</v>
      </c>
      <c r="AV202" s="705">
        <f t="shared" si="13"/>
        <v>19395</v>
      </c>
    </row>
    <row r="203" spans="2:48" ht="12.75" hidden="1" customHeight="1">
      <c r="B203" t="s">
        <v>535</v>
      </c>
      <c r="C203" t="s">
        <v>116</v>
      </c>
      <c r="D203" t="s">
        <v>584</v>
      </c>
      <c r="E203" t="s">
        <v>228</v>
      </c>
      <c r="F203">
        <v>1</v>
      </c>
      <c r="G203" s="705">
        <v>96</v>
      </c>
      <c r="H203" s="705">
        <v>216</v>
      </c>
      <c r="I203" s="705">
        <v>8316</v>
      </c>
      <c r="J203" s="705">
        <v>7560</v>
      </c>
      <c r="K203" s="705">
        <v>79</v>
      </c>
      <c r="L203" s="705">
        <v>3456</v>
      </c>
      <c r="M203" s="705">
        <v>3141</v>
      </c>
      <c r="N203" s="705">
        <v>2339</v>
      </c>
      <c r="O203" s="705">
        <v>866</v>
      </c>
      <c r="P203" s="705">
        <v>473</v>
      </c>
      <c r="Q203" s="705">
        <v>175</v>
      </c>
      <c r="R203" s="705">
        <v>6159</v>
      </c>
      <c r="S203" s="705">
        <v>2281</v>
      </c>
      <c r="T203">
        <v>0</v>
      </c>
      <c r="U203" s="705">
        <v>0</v>
      </c>
      <c r="V203" s="705">
        <v>14023</v>
      </c>
      <c r="W203" s="705">
        <f t="shared" si="14"/>
        <v>14023</v>
      </c>
      <c r="X203" s="705">
        <f t="shared" si="15"/>
        <v>20743</v>
      </c>
      <c r="Y203" s="705"/>
      <c r="AA203" t="s">
        <v>118</v>
      </c>
      <c r="AB203" t="s">
        <v>669</v>
      </c>
      <c r="AC203" t="s">
        <v>673</v>
      </c>
      <c r="AD203">
        <v>1</v>
      </c>
      <c r="AE203" s="705">
        <v>80</v>
      </c>
      <c r="AF203" s="705">
        <v>234</v>
      </c>
      <c r="AG203" s="705">
        <v>8374</v>
      </c>
      <c r="AH203" s="705">
        <v>6979</v>
      </c>
      <c r="AI203">
        <v>65</v>
      </c>
      <c r="AJ203" s="705">
        <v>2016</v>
      </c>
      <c r="AK203" s="705">
        <v>1680</v>
      </c>
      <c r="AL203" s="705">
        <v>1470</v>
      </c>
      <c r="AM203" s="705">
        <v>544</v>
      </c>
      <c r="AN203" s="705">
        <v>351</v>
      </c>
      <c r="AO203" s="705">
        <v>130</v>
      </c>
      <c r="AP203" s="705">
        <v>4317</v>
      </c>
      <c r="AQ203" s="705">
        <v>3924</v>
      </c>
      <c r="AR203" s="705">
        <v>2305</v>
      </c>
      <c r="AS203" s="705">
        <v>854</v>
      </c>
      <c r="AT203" s="705">
        <v>14111</v>
      </c>
      <c r="AU203" s="705">
        <f t="shared" si="12"/>
        <v>14111</v>
      </c>
      <c r="AV203" s="705">
        <f t="shared" si="13"/>
        <v>18833</v>
      </c>
    </row>
    <row r="204" spans="2:48" ht="12.75" hidden="1" customHeight="1">
      <c r="B204" t="s">
        <v>535</v>
      </c>
      <c r="C204" t="s">
        <v>116</v>
      </c>
      <c r="D204" t="s">
        <v>584</v>
      </c>
      <c r="E204" t="s">
        <v>583</v>
      </c>
      <c r="F204">
        <v>1</v>
      </c>
      <c r="G204" s="705">
        <v>122</v>
      </c>
      <c r="H204" s="705">
        <v>184</v>
      </c>
      <c r="I204" s="705">
        <v>11922</v>
      </c>
      <c r="J204" s="705">
        <v>10838</v>
      </c>
      <c r="K204" s="705">
        <v>90</v>
      </c>
      <c r="L204" s="705">
        <v>3987</v>
      </c>
      <c r="M204" s="705">
        <v>3625</v>
      </c>
      <c r="N204" s="705">
        <v>2966</v>
      </c>
      <c r="O204" s="705">
        <v>1099</v>
      </c>
      <c r="P204" s="705">
        <v>473</v>
      </c>
      <c r="Q204" s="705">
        <v>175</v>
      </c>
      <c r="R204" s="705">
        <v>3076</v>
      </c>
      <c r="S204" s="705">
        <v>2797</v>
      </c>
      <c r="T204">
        <v>0</v>
      </c>
      <c r="U204" s="705">
        <v>0</v>
      </c>
      <c r="V204" s="705">
        <v>18533</v>
      </c>
      <c r="W204" s="705">
        <f t="shared" si="14"/>
        <v>18534</v>
      </c>
      <c r="X204" s="705">
        <f t="shared" si="15"/>
        <v>22424</v>
      </c>
      <c r="Y204" s="705"/>
      <c r="AA204" t="s">
        <v>118</v>
      </c>
      <c r="AB204" t="s">
        <v>667</v>
      </c>
      <c r="AC204" t="s">
        <v>228</v>
      </c>
      <c r="AD204">
        <v>1</v>
      </c>
      <c r="AE204">
        <v>83</v>
      </c>
      <c r="AF204" s="705">
        <v>298</v>
      </c>
      <c r="AG204" s="705">
        <v>10859</v>
      </c>
      <c r="AH204" s="705">
        <v>9872</v>
      </c>
      <c r="AI204">
        <v>65</v>
      </c>
      <c r="AJ204" s="705">
        <v>2614</v>
      </c>
      <c r="AK204" s="705">
        <v>2377</v>
      </c>
      <c r="AL204" s="705">
        <v>1013</v>
      </c>
      <c r="AM204" s="705">
        <v>375</v>
      </c>
      <c r="AN204" s="705">
        <v>0</v>
      </c>
      <c r="AO204" s="705">
        <v>0</v>
      </c>
      <c r="AP204" s="705">
        <v>10294</v>
      </c>
      <c r="AQ204" s="705">
        <v>3813</v>
      </c>
      <c r="AR204" s="705">
        <v>0</v>
      </c>
      <c r="AS204" s="705">
        <v>0</v>
      </c>
      <c r="AT204" s="705">
        <v>16437</v>
      </c>
      <c r="AU204" s="705">
        <f t="shared" si="12"/>
        <v>16437</v>
      </c>
      <c r="AV204" s="705">
        <f t="shared" si="13"/>
        <v>24780</v>
      </c>
    </row>
    <row r="205" spans="2:48" ht="12.75" hidden="1" customHeight="1">
      <c r="B205" t="s">
        <v>535</v>
      </c>
      <c r="C205" t="s">
        <v>116</v>
      </c>
      <c r="D205" t="s">
        <v>584</v>
      </c>
      <c r="E205" t="s">
        <v>666</v>
      </c>
      <c r="F205" s="705">
        <v>2</v>
      </c>
      <c r="G205" s="705">
        <v>221</v>
      </c>
      <c r="H205" s="705">
        <v>374</v>
      </c>
      <c r="I205" s="705">
        <v>18774</v>
      </c>
      <c r="J205" s="705">
        <v>17067</v>
      </c>
      <c r="K205" s="705">
        <v>76</v>
      </c>
      <c r="L205" s="705">
        <v>3771</v>
      </c>
      <c r="M205" s="705">
        <v>3428</v>
      </c>
      <c r="N205" s="705">
        <v>4053</v>
      </c>
      <c r="O205" s="705">
        <v>1501</v>
      </c>
      <c r="P205" s="705">
        <v>945</v>
      </c>
      <c r="Q205" s="705">
        <v>350</v>
      </c>
      <c r="R205" s="705">
        <v>10945</v>
      </c>
      <c r="S205" s="705">
        <v>9950</v>
      </c>
      <c r="T205" s="705">
        <v>2927</v>
      </c>
      <c r="U205" s="705">
        <v>1084</v>
      </c>
      <c r="V205" s="705">
        <v>33380</v>
      </c>
      <c r="W205" s="705">
        <f t="shared" si="14"/>
        <v>33380</v>
      </c>
      <c r="X205" s="705">
        <f t="shared" si="15"/>
        <v>41415</v>
      </c>
      <c r="Y205" s="705"/>
      <c r="AA205" t="s">
        <v>118</v>
      </c>
      <c r="AB205" t="s">
        <v>667</v>
      </c>
      <c r="AC205" t="s">
        <v>583</v>
      </c>
      <c r="AD205">
        <v>1</v>
      </c>
      <c r="AE205">
        <v>147</v>
      </c>
      <c r="AF205">
        <v>234</v>
      </c>
      <c r="AG205" s="705">
        <v>19376</v>
      </c>
      <c r="AH205" s="705">
        <v>17615</v>
      </c>
      <c r="AI205">
        <v>79</v>
      </c>
      <c r="AJ205" s="705">
        <v>5382</v>
      </c>
      <c r="AK205" s="705">
        <v>4893</v>
      </c>
      <c r="AL205" s="705">
        <v>3446</v>
      </c>
      <c r="AM205" s="705">
        <v>1276</v>
      </c>
      <c r="AN205">
        <v>621</v>
      </c>
      <c r="AO205">
        <v>230</v>
      </c>
      <c r="AP205" s="705">
        <v>5666</v>
      </c>
      <c r="AQ205" s="705">
        <v>5151</v>
      </c>
      <c r="AR205" s="705">
        <v>0</v>
      </c>
      <c r="AS205" s="705">
        <v>0</v>
      </c>
      <c r="AT205" s="705">
        <v>29165</v>
      </c>
      <c r="AU205" s="705">
        <f t="shared" si="12"/>
        <v>29165</v>
      </c>
      <c r="AV205" s="705">
        <f t="shared" si="13"/>
        <v>34491</v>
      </c>
    </row>
    <row r="206" spans="2:48" ht="12.75" hidden="1" customHeight="1">
      <c r="B206" t="s">
        <v>535</v>
      </c>
      <c r="C206" t="s">
        <v>116</v>
      </c>
      <c r="D206" t="s">
        <v>584</v>
      </c>
      <c r="E206" t="s">
        <v>584</v>
      </c>
      <c r="F206" s="705">
        <v>1020</v>
      </c>
      <c r="G206" s="705">
        <v>106775</v>
      </c>
      <c r="H206" s="705">
        <v>195005</v>
      </c>
      <c r="I206" s="705">
        <v>9634801</v>
      </c>
      <c r="J206" s="705">
        <v>8758910</v>
      </c>
      <c r="K206" s="705">
        <v>81</v>
      </c>
      <c r="L206" s="705">
        <v>2455262</v>
      </c>
      <c r="M206" s="705">
        <v>2138220</v>
      </c>
      <c r="N206" s="705">
        <v>2136301</v>
      </c>
      <c r="O206" s="705">
        <v>791222</v>
      </c>
      <c r="P206" s="705">
        <v>527807</v>
      </c>
      <c r="Q206" s="705">
        <v>195484</v>
      </c>
      <c r="R206" s="705">
        <v>4615426</v>
      </c>
      <c r="S206" s="705">
        <v>4195841</v>
      </c>
      <c r="T206" s="705">
        <v>1062071</v>
      </c>
      <c r="U206" s="705">
        <v>393360</v>
      </c>
      <c r="V206" s="705">
        <v>16473038</v>
      </c>
      <c r="W206" s="705">
        <f t="shared" si="14"/>
        <v>16473037</v>
      </c>
      <c r="X206" s="705">
        <f t="shared" si="15"/>
        <v>20431668</v>
      </c>
      <c r="Y206" s="705"/>
      <c r="AA206" t="s">
        <v>118</v>
      </c>
      <c r="AB206" t="s">
        <v>667</v>
      </c>
      <c r="AC206" t="s">
        <v>667</v>
      </c>
      <c r="AD206">
        <v>36</v>
      </c>
      <c r="AE206" s="705">
        <v>2993</v>
      </c>
      <c r="AF206" s="705">
        <v>9946</v>
      </c>
      <c r="AG206" s="705">
        <v>436747</v>
      </c>
      <c r="AH206" s="705">
        <v>397043</v>
      </c>
      <c r="AI206">
        <v>60</v>
      </c>
      <c r="AJ206" s="705">
        <v>72575</v>
      </c>
      <c r="AK206" s="705">
        <v>58085</v>
      </c>
      <c r="AL206" s="705">
        <v>55149</v>
      </c>
      <c r="AM206" s="705">
        <v>20426</v>
      </c>
      <c r="AN206" s="705">
        <v>10881</v>
      </c>
      <c r="AO206" s="705">
        <v>4030</v>
      </c>
      <c r="AP206" s="705">
        <v>199660</v>
      </c>
      <c r="AQ206" s="705">
        <v>181509</v>
      </c>
      <c r="AR206" s="705">
        <v>48101</v>
      </c>
      <c r="AS206" s="705">
        <v>17815</v>
      </c>
      <c r="AT206" s="705">
        <v>678907</v>
      </c>
      <c r="AU206" s="705">
        <f t="shared" si="12"/>
        <v>678908</v>
      </c>
      <c r="AV206" s="705">
        <f t="shared" si="13"/>
        <v>823113</v>
      </c>
    </row>
    <row r="207" spans="2:48" ht="12.75" hidden="1" customHeight="1">
      <c r="B207" t="s">
        <v>535</v>
      </c>
      <c r="C207" t="s">
        <v>116</v>
      </c>
      <c r="D207" t="s">
        <v>584</v>
      </c>
      <c r="E207" t="s">
        <v>667</v>
      </c>
      <c r="F207" s="705">
        <v>1</v>
      </c>
      <c r="G207" s="705">
        <v>105</v>
      </c>
      <c r="H207" s="705">
        <v>217</v>
      </c>
      <c r="I207" s="705">
        <v>10546</v>
      </c>
      <c r="J207" s="705">
        <v>9588</v>
      </c>
      <c r="K207" s="705">
        <v>80</v>
      </c>
      <c r="L207" s="705">
        <v>2174</v>
      </c>
      <c r="M207" s="705">
        <v>805</v>
      </c>
      <c r="N207" s="705">
        <v>2448</v>
      </c>
      <c r="O207" s="705">
        <v>907</v>
      </c>
      <c r="P207" s="705">
        <v>473</v>
      </c>
      <c r="Q207" s="705">
        <v>175</v>
      </c>
      <c r="R207" s="705">
        <v>4306</v>
      </c>
      <c r="S207" s="705">
        <v>3915</v>
      </c>
      <c r="T207" s="705">
        <v>2850</v>
      </c>
      <c r="U207" s="705">
        <v>1055</v>
      </c>
      <c r="V207" s="705">
        <v>16445</v>
      </c>
      <c r="W207" s="705">
        <f t="shared" si="14"/>
        <v>16445</v>
      </c>
      <c r="X207" s="705">
        <f t="shared" si="15"/>
        <v>22797</v>
      </c>
      <c r="Y207" s="705"/>
      <c r="AA207" t="s">
        <v>118</v>
      </c>
      <c r="AB207" t="s">
        <v>671</v>
      </c>
      <c r="AC207" t="s">
        <v>671</v>
      </c>
      <c r="AD207">
        <v>101</v>
      </c>
      <c r="AE207" s="705">
        <v>8363</v>
      </c>
      <c r="AF207" s="705">
        <v>27826</v>
      </c>
      <c r="AG207" s="705">
        <v>1236564</v>
      </c>
      <c r="AH207" s="705">
        <v>1124149</v>
      </c>
      <c r="AI207">
        <v>58</v>
      </c>
      <c r="AJ207" s="705">
        <v>197615</v>
      </c>
      <c r="AK207" s="705">
        <v>173039</v>
      </c>
      <c r="AL207" s="705">
        <v>142624</v>
      </c>
      <c r="AM207" s="705">
        <v>52824</v>
      </c>
      <c r="AN207" s="705">
        <v>33615</v>
      </c>
      <c r="AO207" s="705">
        <v>12450</v>
      </c>
      <c r="AP207" s="705">
        <v>561157</v>
      </c>
      <c r="AQ207" s="705">
        <v>510143</v>
      </c>
      <c r="AR207" s="705">
        <v>130217</v>
      </c>
      <c r="AS207" s="705">
        <v>48228</v>
      </c>
      <c r="AT207" s="705">
        <v>1920833</v>
      </c>
      <c r="AU207" s="705">
        <f t="shared" si="12"/>
        <v>1920833</v>
      </c>
      <c r="AV207" s="705">
        <f t="shared" si="13"/>
        <v>2301792</v>
      </c>
    </row>
    <row r="208" spans="2:48" ht="12.75" hidden="1" customHeight="1">
      <c r="B208" t="s">
        <v>535</v>
      </c>
      <c r="C208" t="s">
        <v>116</v>
      </c>
      <c r="D208" t="s">
        <v>669</v>
      </c>
      <c r="E208" t="s">
        <v>669</v>
      </c>
      <c r="F208" s="705">
        <v>18</v>
      </c>
      <c r="G208" s="705">
        <v>1362</v>
      </c>
      <c r="H208" s="705">
        <v>3622</v>
      </c>
      <c r="I208" s="705">
        <v>124676</v>
      </c>
      <c r="J208" s="705">
        <v>103896</v>
      </c>
      <c r="K208" s="705">
        <v>67</v>
      </c>
      <c r="L208" s="705">
        <v>2381</v>
      </c>
      <c r="M208" s="705">
        <v>882</v>
      </c>
      <c r="N208" s="705">
        <v>24468</v>
      </c>
      <c r="O208" s="705">
        <v>9062</v>
      </c>
      <c r="P208" s="705">
        <v>6318</v>
      </c>
      <c r="Q208" s="705">
        <v>2340</v>
      </c>
      <c r="R208" s="705">
        <v>79272</v>
      </c>
      <c r="S208" s="705">
        <v>66060</v>
      </c>
      <c r="T208" s="705">
        <v>39554</v>
      </c>
      <c r="U208" s="705">
        <v>14649</v>
      </c>
      <c r="V208" s="705">
        <v>196890</v>
      </c>
      <c r="W208" s="705">
        <f t="shared" si="14"/>
        <v>196889</v>
      </c>
      <c r="X208" s="705">
        <f t="shared" si="15"/>
        <v>276669</v>
      </c>
      <c r="Y208" s="705"/>
      <c r="AA208" t="s">
        <v>118</v>
      </c>
      <c r="AB208" t="s">
        <v>665</v>
      </c>
      <c r="AC208" t="s">
        <v>228</v>
      </c>
      <c r="AD208">
        <v>81</v>
      </c>
      <c r="AE208" s="705">
        <v>6482</v>
      </c>
      <c r="AF208" s="705">
        <v>22303</v>
      </c>
      <c r="AG208" s="705">
        <v>932841</v>
      </c>
      <c r="AH208" s="705">
        <v>848037</v>
      </c>
      <c r="AI208">
        <v>63</v>
      </c>
      <c r="AJ208" s="705">
        <v>121349</v>
      </c>
      <c r="AK208" s="705">
        <v>62507</v>
      </c>
      <c r="AL208" s="705">
        <v>127376</v>
      </c>
      <c r="AM208" s="705">
        <v>47176</v>
      </c>
      <c r="AN208" s="705">
        <v>23166</v>
      </c>
      <c r="AO208" s="705">
        <v>8580</v>
      </c>
      <c r="AP208" s="705">
        <v>600636</v>
      </c>
      <c r="AQ208" s="705">
        <v>222458</v>
      </c>
      <c r="AR208" s="705">
        <v>5493</v>
      </c>
      <c r="AS208" s="705">
        <v>2034</v>
      </c>
      <c r="AT208" s="705">
        <v>1190793</v>
      </c>
      <c r="AU208" s="705">
        <f t="shared" ref="AU208:AU262" si="16">SUM(ABS(AH208), ABS(AK208),ABS(AM208),ABS(AO208),ABS(AQ208),ABS(AS208))</f>
        <v>1190792</v>
      </c>
      <c r="AV208" s="705">
        <f t="shared" ref="AV208:AV262" si="17">SUM(ABS(AG208),ABS(AJ208),ABS(AL208),ABS(AN208),ABS(AP208),ABS(AR208))</f>
        <v>1810861</v>
      </c>
    </row>
    <row r="209" spans="2:48" ht="12.75" hidden="1" customHeight="1">
      <c r="B209" t="s">
        <v>535</v>
      </c>
      <c r="C209" t="s">
        <v>116</v>
      </c>
      <c r="D209" t="s">
        <v>671</v>
      </c>
      <c r="E209" t="s">
        <v>671</v>
      </c>
      <c r="F209">
        <v>9</v>
      </c>
      <c r="G209" s="705">
        <v>666</v>
      </c>
      <c r="H209" s="705">
        <v>1794</v>
      </c>
      <c r="I209" s="705">
        <v>61177</v>
      </c>
      <c r="J209" s="705">
        <v>55616</v>
      </c>
      <c r="K209" s="705">
        <v>64</v>
      </c>
      <c r="L209" s="705">
        <v>2257</v>
      </c>
      <c r="M209" s="705">
        <v>2052</v>
      </c>
      <c r="N209" s="705">
        <v>12006</v>
      </c>
      <c r="O209" s="705">
        <v>4447</v>
      </c>
      <c r="P209" s="705">
        <v>3780</v>
      </c>
      <c r="Q209" s="705">
        <v>1400</v>
      </c>
      <c r="R209" s="705">
        <v>39614</v>
      </c>
      <c r="S209" s="705">
        <v>36013</v>
      </c>
      <c r="T209" s="705">
        <v>13990</v>
      </c>
      <c r="U209" s="705">
        <v>5182</v>
      </c>
      <c r="V209" s="705">
        <v>104709</v>
      </c>
      <c r="W209" s="705">
        <f t="shared" si="14"/>
        <v>104710</v>
      </c>
      <c r="X209" s="705">
        <f t="shared" si="15"/>
        <v>132824</v>
      </c>
      <c r="Y209" s="705"/>
      <c r="AA209" t="s">
        <v>118</v>
      </c>
      <c r="AB209" t="s">
        <v>665</v>
      </c>
      <c r="AC209" t="s">
        <v>583</v>
      </c>
      <c r="AD209">
        <v>5</v>
      </c>
      <c r="AE209" s="705">
        <v>417</v>
      </c>
      <c r="AF209" s="705">
        <v>1339</v>
      </c>
      <c r="AG209" s="705">
        <v>63610</v>
      </c>
      <c r="AH209" s="705">
        <v>57827</v>
      </c>
      <c r="AI209">
        <v>65</v>
      </c>
      <c r="AJ209" s="705">
        <v>6842</v>
      </c>
      <c r="AK209" s="705">
        <v>5068</v>
      </c>
      <c r="AL209" s="705">
        <v>6593</v>
      </c>
      <c r="AM209" s="705">
        <v>2442</v>
      </c>
      <c r="AN209" s="705">
        <v>2295</v>
      </c>
      <c r="AO209" s="705">
        <v>850</v>
      </c>
      <c r="AP209" s="705">
        <v>23934</v>
      </c>
      <c r="AQ209" s="705">
        <v>21758</v>
      </c>
      <c r="AR209" s="705">
        <v>8864</v>
      </c>
      <c r="AS209" s="705">
        <v>3283</v>
      </c>
      <c r="AT209" s="705">
        <v>91228</v>
      </c>
      <c r="AU209" s="705">
        <f t="shared" si="16"/>
        <v>91228</v>
      </c>
      <c r="AV209" s="705">
        <f t="shared" si="17"/>
        <v>112138</v>
      </c>
    </row>
    <row r="210" spans="2:48" ht="12.75" hidden="1" customHeight="1">
      <c r="B210" t="s">
        <v>535</v>
      </c>
      <c r="C210" t="s">
        <v>116</v>
      </c>
      <c r="D210" t="s">
        <v>665</v>
      </c>
      <c r="E210" t="s">
        <v>228</v>
      </c>
      <c r="F210" s="705">
        <v>3</v>
      </c>
      <c r="G210" s="705">
        <v>227</v>
      </c>
      <c r="H210" s="705">
        <v>659</v>
      </c>
      <c r="I210" s="705">
        <v>7415</v>
      </c>
      <c r="J210" s="705">
        <v>6741</v>
      </c>
      <c r="K210" s="705">
        <v>65</v>
      </c>
      <c r="L210" s="705">
        <v>0</v>
      </c>
      <c r="M210" s="705">
        <v>0</v>
      </c>
      <c r="N210" s="705">
        <v>3505</v>
      </c>
      <c r="O210" s="705">
        <v>1298</v>
      </c>
      <c r="P210" s="705">
        <v>1053</v>
      </c>
      <c r="Q210" s="705">
        <v>390</v>
      </c>
      <c r="R210" s="705">
        <v>31187</v>
      </c>
      <c r="S210" s="705">
        <v>11551</v>
      </c>
      <c r="T210" s="705">
        <v>6724</v>
      </c>
      <c r="U210" s="705">
        <v>2490</v>
      </c>
      <c r="V210" s="705">
        <v>22470</v>
      </c>
      <c r="W210" s="705">
        <f t="shared" si="14"/>
        <v>22470</v>
      </c>
      <c r="X210" s="705">
        <f t="shared" si="15"/>
        <v>49884</v>
      </c>
      <c r="Y210" s="705"/>
      <c r="AA210" t="s">
        <v>118</v>
      </c>
      <c r="AB210" t="s">
        <v>665</v>
      </c>
      <c r="AC210" t="s">
        <v>584</v>
      </c>
      <c r="AD210">
        <v>1</v>
      </c>
      <c r="AE210" s="705">
        <v>127</v>
      </c>
      <c r="AF210" s="705">
        <v>291</v>
      </c>
      <c r="AG210" s="705">
        <v>20380</v>
      </c>
      <c r="AH210" s="705">
        <v>18527</v>
      </c>
      <c r="AI210">
        <v>79</v>
      </c>
      <c r="AJ210" s="705">
        <v>5963</v>
      </c>
      <c r="AK210" s="705">
        <v>5421</v>
      </c>
      <c r="AL210" s="705">
        <v>3087</v>
      </c>
      <c r="AM210" s="705">
        <v>1143</v>
      </c>
      <c r="AN210" s="705">
        <v>351</v>
      </c>
      <c r="AO210" s="705">
        <v>130</v>
      </c>
      <c r="AP210" s="705">
        <v>3920</v>
      </c>
      <c r="AQ210" s="705">
        <v>3564</v>
      </c>
      <c r="AR210" s="705">
        <v>3200</v>
      </c>
      <c r="AS210" s="705">
        <v>1185</v>
      </c>
      <c r="AT210" s="705">
        <v>29970</v>
      </c>
      <c r="AU210" s="705">
        <f t="shared" si="16"/>
        <v>29970</v>
      </c>
      <c r="AV210" s="705">
        <f t="shared" si="17"/>
        <v>36901</v>
      </c>
    </row>
    <row r="211" spans="2:48" ht="12.75" hidden="1" customHeight="1">
      <c r="B211" t="s">
        <v>535</v>
      </c>
      <c r="C211" t="s">
        <v>116</v>
      </c>
      <c r="D211" t="s">
        <v>665</v>
      </c>
      <c r="E211" t="s">
        <v>669</v>
      </c>
      <c r="F211">
        <v>1</v>
      </c>
      <c r="G211">
        <v>89</v>
      </c>
      <c r="H211" s="705">
        <v>203</v>
      </c>
      <c r="I211" s="705">
        <v>9552</v>
      </c>
      <c r="J211" s="705">
        <v>8683</v>
      </c>
      <c r="K211" s="705">
        <v>65</v>
      </c>
      <c r="L211" s="705">
        <v>0</v>
      </c>
      <c r="M211" s="705">
        <v>0</v>
      </c>
      <c r="N211" s="705">
        <v>1926</v>
      </c>
      <c r="O211" s="705">
        <v>713</v>
      </c>
      <c r="P211" s="705">
        <v>351</v>
      </c>
      <c r="Q211" s="705">
        <v>130</v>
      </c>
      <c r="R211" s="705">
        <v>3924</v>
      </c>
      <c r="S211" s="705">
        <v>3270</v>
      </c>
      <c r="T211" s="705">
        <v>2283</v>
      </c>
      <c r="U211" s="705">
        <v>846</v>
      </c>
      <c r="V211" s="705">
        <v>13642</v>
      </c>
      <c r="W211" s="705">
        <f t="shared" si="14"/>
        <v>13642</v>
      </c>
      <c r="X211" s="705">
        <f t="shared" si="15"/>
        <v>18036</v>
      </c>
      <c r="Y211" s="705"/>
      <c r="AA211" t="s">
        <v>118</v>
      </c>
      <c r="AB211" t="s">
        <v>665</v>
      </c>
      <c r="AC211" t="s">
        <v>669</v>
      </c>
      <c r="AD211" s="705">
        <v>2</v>
      </c>
      <c r="AE211" s="705">
        <v>176</v>
      </c>
      <c r="AF211" s="705">
        <v>549</v>
      </c>
      <c r="AG211" s="705">
        <v>24884</v>
      </c>
      <c r="AH211" s="705">
        <v>22622</v>
      </c>
      <c r="AI211">
        <v>55</v>
      </c>
      <c r="AJ211" s="705">
        <v>3733</v>
      </c>
      <c r="AK211" s="705">
        <v>1382</v>
      </c>
      <c r="AL211" s="705">
        <v>3546</v>
      </c>
      <c r="AM211" s="705">
        <v>1313</v>
      </c>
      <c r="AN211" s="705">
        <v>702</v>
      </c>
      <c r="AO211" s="705">
        <v>260</v>
      </c>
      <c r="AP211" s="705">
        <v>10953</v>
      </c>
      <c r="AQ211" s="705">
        <v>9127</v>
      </c>
      <c r="AR211" s="705">
        <v>4502</v>
      </c>
      <c r="AS211" s="705">
        <v>1667</v>
      </c>
      <c r="AT211" s="705">
        <v>36372</v>
      </c>
      <c r="AU211" s="705">
        <f t="shared" si="16"/>
        <v>36371</v>
      </c>
      <c r="AV211" s="705">
        <f t="shared" si="17"/>
        <v>48320</v>
      </c>
    </row>
    <row r="212" spans="2:48" ht="12.75" hidden="1" customHeight="1">
      <c r="B212" t="s">
        <v>535</v>
      </c>
      <c r="C212" t="s">
        <v>116</v>
      </c>
      <c r="D212" t="s">
        <v>665</v>
      </c>
      <c r="E212" s="705" t="s">
        <v>665</v>
      </c>
      <c r="F212" s="705">
        <v>77</v>
      </c>
      <c r="G212" s="705">
        <v>6324</v>
      </c>
      <c r="H212" s="705">
        <v>16011</v>
      </c>
      <c r="I212" s="705">
        <v>700552</v>
      </c>
      <c r="J212" s="705">
        <v>636865</v>
      </c>
      <c r="K212" s="705">
        <v>66</v>
      </c>
      <c r="L212" s="705">
        <v>27667</v>
      </c>
      <c r="M212" s="705">
        <v>20775</v>
      </c>
      <c r="N212" s="705">
        <v>118248</v>
      </c>
      <c r="O212" s="705">
        <v>43795</v>
      </c>
      <c r="P212" s="705">
        <v>27297</v>
      </c>
      <c r="Q212" s="705">
        <v>10110</v>
      </c>
      <c r="R212" s="705">
        <v>308406</v>
      </c>
      <c r="S212" s="705">
        <v>280369</v>
      </c>
      <c r="T212" s="705">
        <v>136714</v>
      </c>
      <c r="U212" s="705">
        <v>50635</v>
      </c>
      <c r="V212" s="705">
        <v>1042550</v>
      </c>
      <c r="W212" s="705">
        <f t="shared" si="14"/>
        <v>1042549</v>
      </c>
      <c r="X212" s="705">
        <f t="shared" si="15"/>
        <v>1318884</v>
      </c>
      <c r="Y212" s="705"/>
      <c r="AA212" t="s">
        <v>118</v>
      </c>
      <c r="AB212" t="s">
        <v>665</v>
      </c>
      <c r="AC212" t="s">
        <v>665</v>
      </c>
      <c r="AD212" s="705">
        <v>4293</v>
      </c>
      <c r="AE212" s="705">
        <v>359949</v>
      </c>
      <c r="AF212" s="705">
        <v>1151382</v>
      </c>
      <c r="AG212" s="705">
        <v>51387971</v>
      </c>
      <c r="AH212" s="705">
        <v>46716337</v>
      </c>
      <c r="AI212">
        <v>60</v>
      </c>
      <c r="AJ212" s="705">
        <v>6581788</v>
      </c>
      <c r="AK212" s="705">
        <v>5433246</v>
      </c>
      <c r="AL212" s="705">
        <v>6874203</v>
      </c>
      <c r="AM212" s="705">
        <v>2546001</v>
      </c>
      <c r="AN212" s="705">
        <v>1586546</v>
      </c>
      <c r="AO212" s="705">
        <v>587610</v>
      </c>
      <c r="AP212" s="705">
        <v>21072134</v>
      </c>
      <c r="AQ212" s="705">
        <v>19156485</v>
      </c>
      <c r="AR212" s="705">
        <v>9234554</v>
      </c>
      <c r="AS212" s="705">
        <v>3420205</v>
      </c>
      <c r="AT212" s="705">
        <v>77859884</v>
      </c>
      <c r="AU212" s="705">
        <f t="shared" si="16"/>
        <v>77859884</v>
      </c>
      <c r="AV212" s="705">
        <f t="shared" si="17"/>
        <v>96737196</v>
      </c>
    </row>
    <row r="213" spans="2:48" ht="12.75" hidden="1" customHeight="1">
      <c r="B213" t="s">
        <v>535</v>
      </c>
      <c r="C213" t="s">
        <v>116</v>
      </c>
      <c r="D213" t="s">
        <v>585</v>
      </c>
      <c r="E213" t="s">
        <v>585</v>
      </c>
      <c r="F213">
        <v>5</v>
      </c>
      <c r="G213" s="705">
        <v>585</v>
      </c>
      <c r="H213" s="705">
        <v>1016</v>
      </c>
      <c r="I213" s="705">
        <v>62216</v>
      </c>
      <c r="J213" s="705">
        <v>56560</v>
      </c>
      <c r="K213" s="705">
        <v>78</v>
      </c>
      <c r="L213" s="705">
        <v>11526</v>
      </c>
      <c r="M213" s="705">
        <v>10478</v>
      </c>
      <c r="N213" s="705">
        <v>10996</v>
      </c>
      <c r="O213" s="705">
        <v>4072</v>
      </c>
      <c r="P213" s="705">
        <v>1755</v>
      </c>
      <c r="Q213" s="705">
        <v>650</v>
      </c>
      <c r="R213" s="705">
        <v>21286</v>
      </c>
      <c r="S213" s="705">
        <v>19351</v>
      </c>
      <c r="T213" s="705">
        <v>10234</v>
      </c>
      <c r="U213" s="705">
        <v>3790</v>
      </c>
      <c r="V213" s="705">
        <v>94902</v>
      </c>
      <c r="W213" s="705">
        <f t="shared" si="14"/>
        <v>94901</v>
      </c>
      <c r="X213" s="705">
        <f t="shared" si="15"/>
        <v>118013</v>
      </c>
      <c r="Y213" s="705"/>
      <c r="AA213" t="s">
        <v>118</v>
      </c>
      <c r="AB213" t="s">
        <v>665</v>
      </c>
      <c r="AC213" t="s">
        <v>722</v>
      </c>
      <c r="AD213">
        <v>3</v>
      </c>
      <c r="AE213">
        <v>273</v>
      </c>
      <c r="AF213" s="705">
        <v>773</v>
      </c>
      <c r="AG213" s="705">
        <v>42132</v>
      </c>
      <c r="AH213" s="705">
        <v>38302</v>
      </c>
      <c r="AI213">
        <v>61</v>
      </c>
      <c r="AJ213" s="705">
        <v>2724</v>
      </c>
      <c r="AK213" s="705">
        <v>2477</v>
      </c>
      <c r="AL213" s="705">
        <v>4676</v>
      </c>
      <c r="AM213" s="705">
        <v>1732</v>
      </c>
      <c r="AN213" s="705">
        <v>1053</v>
      </c>
      <c r="AO213">
        <v>390</v>
      </c>
      <c r="AP213" s="705">
        <v>12744</v>
      </c>
      <c r="AQ213" s="705">
        <v>11586</v>
      </c>
      <c r="AR213" s="705">
        <v>6969</v>
      </c>
      <c r="AS213" s="705">
        <v>2581</v>
      </c>
      <c r="AT213" s="705">
        <v>57067</v>
      </c>
      <c r="AU213" s="705">
        <f t="shared" si="16"/>
        <v>57068</v>
      </c>
      <c r="AV213" s="705">
        <f t="shared" si="17"/>
        <v>70298</v>
      </c>
    </row>
    <row r="214" spans="2:48" ht="12.75" hidden="1" customHeight="1">
      <c r="B214" t="s">
        <v>535</v>
      </c>
      <c r="C214" t="s">
        <v>116</v>
      </c>
      <c r="D214" t="s">
        <v>668</v>
      </c>
      <c r="E214" t="s">
        <v>668</v>
      </c>
      <c r="F214">
        <v>1</v>
      </c>
      <c r="G214">
        <v>86</v>
      </c>
      <c r="H214" s="705">
        <v>223</v>
      </c>
      <c r="I214" s="705">
        <v>11490</v>
      </c>
      <c r="J214" s="705">
        <v>10446</v>
      </c>
      <c r="K214" s="705">
        <v>85</v>
      </c>
      <c r="L214" s="705">
        <v>1973</v>
      </c>
      <c r="M214" s="705">
        <v>1794</v>
      </c>
      <c r="N214" s="705">
        <v>1052</v>
      </c>
      <c r="O214" s="705">
        <v>390</v>
      </c>
      <c r="P214" s="705">
        <v>0</v>
      </c>
      <c r="Q214" s="705">
        <v>0</v>
      </c>
      <c r="R214" s="705">
        <v>4706</v>
      </c>
      <c r="S214" s="705">
        <v>4278</v>
      </c>
      <c r="T214">
        <v>0</v>
      </c>
      <c r="U214" s="705">
        <v>0</v>
      </c>
      <c r="V214" s="705">
        <v>16907</v>
      </c>
      <c r="W214" s="705">
        <f t="shared" si="14"/>
        <v>16908</v>
      </c>
      <c r="X214" s="705">
        <f t="shared" si="15"/>
        <v>19221</v>
      </c>
      <c r="Y214" s="705"/>
      <c r="AA214" t="s">
        <v>118</v>
      </c>
      <c r="AB214" t="s">
        <v>722</v>
      </c>
      <c r="AC214" t="s">
        <v>722</v>
      </c>
      <c r="AD214">
        <v>1</v>
      </c>
      <c r="AE214">
        <v>83</v>
      </c>
      <c r="AF214">
        <v>279</v>
      </c>
      <c r="AG214" s="705">
        <v>11376</v>
      </c>
      <c r="AH214" s="705">
        <v>10342</v>
      </c>
      <c r="AI214">
        <v>65</v>
      </c>
      <c r="AJ214" s="705">
        <v>2739</v>
      </c>
      <c r="AK214" s="705">
        <v>2490</v>
      </c>
      <c r="AL214" s="705">
        <v>1260</v>
      </c>
      <c r="AM214">
        <v>467</v>
      </c>
      <c r="AN214">
        <v>351</v>
      </c>
      <c r="AO214">
        <v>130</v>
      </c>
      <c r="AP214" s="705">
        <v>4754</v>
      </c>
      <c r="AQ214" s="705">
        <v>4322</v>
      </c>
      <c r="AR214" s="705">
        <v>2649</v>
      </c>
      <c r="AS214" s="705">
        <v>981</v>
      </c>
      <c r="AT214" s="705">
        <v>18731</v>
      </c>
      <c r="AU214" s="705">
        <f t="shared" si="16"/>
        <v>18732</v>
      </c>
      <c r="AV214" s="705">
        <f t="shared" si="17"/>
        <v>23129</v>
      </c>
    </row>
    <row r="215" spans="2:48" ht="12.75" hidden="1" customHeight="1">
      <c r="B215" t="s">
        <v>535</v>
      </c>
      <c r="C215" t="s">
        <v>118</v>
      </c>
      <c r="F215">
        <v>4</v>
      </c>
      <c r="G215" s="705">
        <v>180</v>
      </c>
      <c r="H215" s="705">
        <v>931</v>
      </c>
      <c r="I215" s="705"/>
      <c r="J215" s="705">
        <v>0</v>
      </c>
      <c r="K215" s="705"/>
      <c r="L215" s="705"/>
      <c r="M215" s="705">
        <v>0</v>
      </c>
      <c r="N215" s="705">
        <v>3205</v>
      </c>
      <c r="O215" s="705">
        <v>1187</v>
      </c>
      <c r="P215" s="705">
        <v>0</v>
      </c>
      <c r="Q215" s="705">
        <v>0</v>
      </c>
      <c r="R215" s="705"/>
      <c r="S215" s="705">
        <v>0</v>
      </c>
      <c r="T215" s="705">
        <v>0</v>
      </c>
      <c r="U215" s="705">
        <v>0</v>
      </c>
      <c r="V215" s="705">
        <v>1187</v>
      </c>
      <c r="W215" s="705">
        <f t="shared" si="14"/>
        <v>1187</v>
      </c>
      <c r="X215" s="705">
        <f t="shared" si="15"/>
        <v>3205</v>
      </c>
      <c r="Y215" s="705"/>
      <c r="AA215" t="s">
        <v>118</v>
      </c>
      <c r="AB215" t="s">
        <v>673</v>
      </c>
      <c r="AC215" t="s">
        <v>228</v>
      </c>
      <c r="AD215">
        <v>1</v>
      </c>
      <c r="AE215">
        <v>67</v>
      </c>
      <c r="AF215">
        <v>292</v>
      </c>
      <c r="AG215" s="705">
        <v>8553</v>
      </c>
      <c r="AH215" s="705">
        <v>7775</v>
      </c>
      <c r="AI215">
        <v>78</v>
      </c>
      <c r="AJ215" s="705">
        <v>4088</v>
      </c>
      <c r="AK215" s="705">
        <v>1514</v>
      </c>
      <c r="AL215" s="705">
        <v>814</v>
      </c>
      <c r="AM215">
        <v>301</v>
      </c>
      <c r="AN215">
        <v>0</v>
      </c>
      <c r="AO215">
        <v>0</v>
      </c>
      <c r="AP215" s="705">
        <v>6017</v>
      </c>
      <c r="AQ215" s="705">
        <v>2228</v>
      </c>
      <c r="AR215">
        <v>0</v>
      </c>
      <c r="AS215">
        <v>0</v>
      </c>
      <c r="AT215" s="705">
        <v>11819</v>
      </c>
      <c r="AU215" s="705">
        <f t="shared" si="16"/>
        <v>11818</v>
      </c>
      <c r="AV215" s="705">
        <f t="shared" si="17"/>
        <v>19472</v>
      </c>
    </row>
    <row r="216" spans="2:48" ht="12.75" hidden="1" customHeight="1">
      <c r="B216" t="s">
        <v>535</v>
      </c>
      <c r="C216" t="s">
        <v>118</v>
      </c>
      <c r="D216" t="s">
        <v>664</v>
      </c>
      <c r="E216" t="s">
        <v>664</v>
      </c>
      <c r="F216" s="705">
        <v>1</v>
      </c>
      <c r="G216" s="705">
        <v>92</v>
      </c>
      <c r="H216" s="705">
        <v>253</v>
      </c>
      <c r="I216" s="705">
        <v>11420</v>
      </c>
      <c r="J216" s="705">
        <v>10382</v>
      </c>
      <c r="K216" s="705">
        <v>65</v>
      </c>
      <c r="L216" s="705">
        <v>1568</v>
      </c>
      <c r="M216" s="705">
        <v>1426</v>
      </c>
      <c r="N216" s="705">
        <v>1567</v>
      </c>
      <c r="O216" s="705">
        <v>580</v>
      </c>
      <c r="P216" s="705">
        <v>473</v>
      </c>
      <c r="Q216" s="705">
        <v>175</v>
      </c>
      <c r="R216" s="705">
        <v>8243</v>
      </c>
      <c r="S216" s="705">
        <v>7493</v>
      </c>
      <c r="T216" s="705">
        <v>0</v>
      </c>
      <c r="U216" s="705">
        <v>0</v>
      </c>
      <c r="V216" s="705">
        <v>20056</v>
      </c>
      <c r="W216" s="705">
        <f t="shared" si="14"/>
        <v>20056</v>
      </c>
      <c r="X216" s="705">
        <f t="shared" si="15"/>
        <v>23271</v>
      </c>
      <c r="Y216" s="705"/>
      <c r="AA216" t="s">
        <v>118</v>
      </c>
      <c r="AB216" t="s">
        <v>673</v>
      </c>
      <c r="AC216" t="s">
        <v>673</v>
      </c>
      <c r="AD216">
        <v>50</v>
      </c>
      <c r="AE216" s="705">
        <v>3911</v>
      </c>
      <c r="AF216" s="705">
        <v>13219</v>
      </c>
      <c r="AG216" s="705">
        <v>573373</v>
      </c>
      <c r="AH216" s="705">
        <v>521249</v>
      </c>
      <c r="AI216">
        <v>66</v>
      </c>
      <c r="AJ216" s="705">
        <v>70496</v>
      </c>
      <c r="AK216" s="705">
        <v>60632</v>
      </c>
      <c r="AL216" s="705">
        <v>67643</v>
      </c>
      <c r="AM216" s="705">
        <v>25053</v>
      </c>
      <c r="AN216" s="705">
        <v>17591</v>
      </c>
      <c r="AO216" s="705">
        <v>6515</v>
      </c>
      <c r="AP216" s="705">
        <v>222111</v>
      </c>
      <c r="AQ216" s="705">
        <v>201919</v>
      </c>
      <c r="AR216" s="705">
        <v>101131</v>
      </c>
      <c r="AS216" s="705">
        <v>37456</v>
      </c>
      <c r="AT216" s="705">
        <v>852823</v>
      </c>
      <c r="AU216" s="705">
        <f t="shared" si="16"/>
        <v>852824</v>
      </c>
      <c r="AV216" s="705">
        <f t="shared" si="17"/>
        <v>1052345</v>
      </c>
    </row>
    <row r="217" spans="2:48" ht="12.75" hidden="1" customHeight="1">
      <c r="B217" t="s">
        <v>535</v>
      </c>
      <c r="C217" t="s">
        <v>118</v>
      </c>
      <c r="D217" t="s">
        <v>664</v>
      </c>
      <c r="E217" t="s">
        <v>583</v>
      </c>
      <c r="F217">
        <v>1</v>
      </c>
      <c r="G217">
        <v>106</v>
      </c>
      <c r="H217" s="705">
        <v>249</v>
      </c>
      <c r="I217" s="705">
        <v>13315</v>
      </c>
      <c r="J217" s="705">
        <v>12104</v>
      </c>
      <c r="K217" s="705">
        <v>86</v>
      </c>
      <c r="L217" s="705">
        <v>4368</v>
      </c>
      <c r="M217" s="705">
        <v>3640</v>
      </c>
      <c r="N217" s="705">
        <v>1286</v>
      </c>
      <c r="O217" s="705">
        <v>476</v>
      </c>
      <c r="P217" s="705">
        <v>621</v>
      </c>
      <c r="Q217" s="705">
        <v>230</v>
      </c>
      <c r="R217" s="705">
        <v>3923</v>
      </c>
      <c r="S217" s="705">
        <v>3566</v>
      </c>
      <c r="T217" s="705">
        <v>2765</v>
      </c>
      <c r="U217" s="705">
        <v>1024</v>
      </c>
      <c r="V217" s="705">
        <v>21041</v>
      </c>
      <c r="W217" s="705">
        <f t="shared" si="14"/>
        <v>21040</v>
      </c>
      <c r="X217" s="705">
        <f t="shared" si="15"/>
        <v>26278</v>
      </c>
      <c r="Y217" s="705"/>
      <c r="AA217" t="s">
        <v>118</v>
      </c>
      <c r="AB217" t="s">
        <v>585</v>
      </c>
      <c r="AC217" t="s">
        <v>583</v>
      </c>
      <c r="AD217">
        <v>1</v>
      </c>
      <c r="AE217" s="705">
        <v>153</v>
      </c>
      <c r="AF217" s="705">
        <v>261</v>
      </c>
      <c r="AG217" s="705">
        <v>26677</v>
      </c>
      <c r="AH217" s="705">
        <v>24252</v>
      </c>
      <c r="AI217">
        <v>82</v>
      </c>
      <c r="AJ217" s="705">
        <v>2843</v>
      </c>
      <c r="AK217" s="705">
        <v>2584</v>
      </c>
      <c r="AL217" s="705">
        <v>1862</v>
      </c>
      <c r="AM217" s="705">
        <v>690</v>
      </c>
      <c r="AN217" s="705">
        <v>621</v>
      </c>
      <c r="AO217" s="705">
        <v>230</v>
      </c>
      <c r="AP217" s="705">
        <v>4434</v>
      </c>
      <c r="AQ217" s="705">
        <v>4031</v>
      </c>
      <c r="AR217" s="705">
        <v>3496</v>
      </c>
      <c r="AS217" s="705">
        <v>1295</v>
      </c>
      <c r="AT217" s="705">
        <v>33081</v>
      </c>
      <c r="AU217" s="705">
        <f t="shared" si="16"/>
        <v>33082</v>
      </c>
      <c r="AV217" s="705">
        <f t="shared" si="17"/>
        <v>39933</v>
      </c>
    </row>
    <row r="218" spans="2:48" ht="12.75" hidden="1" customHeight="1">
      <c r="B218" t="s">
        <v>535</v>
      </c>
      <c r="C218" t="s">
        <v>118</v>
      </c>
      <c r="D218" t="s">
        <v>582</v>
      </c>
      <c r="E218" t="s">
        <v>582</v>
      </c>
      <c r="F218" s="705">
        <v>30</v>
      </c>
      <c r="G218" s="705">
        <v>2854</v>
      </c>
      <c r="H218" s="705">
        <v>7894</v>
      </c>
      <c r="I218" s="705">
        <v>429999</v>
      </c>
      <c r="J218" s="705">
        <v>390909</v>
      </c>
      <c r="K218" s="705">
        <v>78</v>
      </c>
      <c r="L218" s="705">
        <v>74537</v>
      </c>
      <c r="M218" s="705">
        <v>62421</v>
      </c>
      <c r="N218" s="705">
        <v>62452</v>
      </c>
      <c r="O218" s="705">
        <v>23130</v>
      </c>
      <c r="P218" s="705">
        <v>17373</v>
      </c>
      <c r="Q218" s="705">
        <v>6434</v>
      </c>
      <c r="R218" s="705">
        <v>137063</v>
      </c>
      <c r="S218" s="705">
        <v>124603</v>
      </c>
      <c r="T218" s="705">
        <v>51072</v>
      </c>
      <c r="U218" s="705">
        <v>18916</v>
      </c>
      <c r="V218" s="705">
        <v>626413</v>
      </c>
      <c r="W218" s="705">
        <f t="shared" si="14"/>
        <v>626413</v>
      </c>
      <c r="X218" s="705">
        <f t="shared" si="15"/>
        <v>772496</v>
      </c>
      <c r="Y218" s="705"/>
      <c r="AA218" t="s">
        <v>118</v>
      </c>
      <c r="AB218" t="s">
        <v>585</v>
      </c>
      <c r="AC218" t="s">
        <v>585</v>
      </c>
      <c r="AD218">
        <v>29</v>
      </c>
      <c r="AE218" s="705">
        <v>3198</v>
      </c>
      <c r="AF218" s="705">
        <v>7496</v>
      </c>
      <c r="AG218" s="705">
        <v>514275</v>
      </c>
      <c r="AH218" s="705">
        <v>467523</v>
      </c>
      <c r="AI218">
        <v>70</v>
      </c>
      <c r="AJ218" s="705">
        <v>81413</v>
      </c>
      <c r="AK218" s="705">
        <v>70998</v>
      </c>
      <c r="AL218" s="705">
        <v>55912</v>
      </c>
      <c r="AM218" s="705">
        <v>20708</v>
      </c>
      <c r="AN218" s="705">
        <v>11687</v>
      </c>
      <c r="AO218" s="705">
        <v>4329</v>
      </c>
      <c r="AP218" s="705">
        <v>139174</v>
      </c>
      <c r="AQ218" s="705">
        <v>126522</v>
      </c>
      <c r="AR218" s="705">
        <v>41500</v>
      </c>
      <c r="AS218" s="705">
        <v>15370</v>
      </c>
      <c r="AT218" s="705">
        <v>705449</v>
      </c>
      <c r="AU218" s="705">
        <f t="shared" si="16"/>
        <v>705450</v>
      </c>
      <c r="AV218" s="705">
        <f t="shared" si="17"/>
        <v>843961</v>
      </c>
    </row>
    <row r="219" spans="2:48" ht="12.75" hidden="1" customHeight="1">
      <c r="B219" t="s">
        <v>535</v>
      </c>
      <c r="C219" t="s">
        <v>118</v>
      </c>
      <c r="D219" t="s">
        <v>582</v>
      </c>
      <c r="E219" t="s">
        <v>584</v>
      </c>
      <c r="F219" s="705">
        <v>3</v>
      </c>
      <c r="G219" s="705">
        <v>188</v>
      </c>
      <c r="H219" s="705">
        <v>758</v>
      </c>
      <c r="I219" s="705">
        <v>33994</v>
      </c>
      <c r="J219" s="705">
        <v>30904</v>
      </c>
      <c r="K219" s="705">
        <v>79</v>
      </c>
      <c r="L219" s="705">
        <v>3603</v>
      </c>
      <c r="M219" s="705">
        <v>3276</v>
      </c>
      <c r="N219" s="705">
        <v>5984</v>
      </c>
      <c r="O219" s="705">
        <v>2216</v>
      </c>
      <c r="P219" s="705">
        <v>1418</v>
      </c>
      <c r="Q219" s="705">
        <v>525</v>
      </c>
      <c r="R219" s="705">
        <v>9487</v>
      </c>
      <c r="S219" s="705">
        <v>8624</v>
      </c>
      <c r="T219" s="705">
        <v>6901</v>
      </c>
      <c r="U219" s="705">
        <v>2556</v>
      </c>
      <c r="V219" s="705">
        <v>48101</v>
      </c>
      <c r="W219" s="705">
        <f t="shared" si="14"/>
        <v>48101</v>
      </c>
      <c r="X219" s="705">
        <f t="shared" si="15"/>
        <v>61387</v>
      </c>
      <c r="Y219" s="705"/>
      <c r="AA219" t="s">
        <v>118</v>
      </c>
      <c r="AB219" t="s">
        <v>585</v>
      </c>
      <c r="AC219" t="s">
        <v>668</v>
      </c>
      <c r="AD219">
        <v>1</v>
      </c>
      <c r="AE219">
        <v>60</v>
      </c>
      <c r="AF219">
        <v>269</v>
      </c>
      <c r="AG219" s="705">
        <v>13756</v>
      </c>
      <c r="AH219" s="705">
        <v>12506</v>
      </c>
      <c r="AI219">
        <v>65</v>
      </c>
      <c r="AJ219" s="705">
        <v>3312</v>
      </c>
      <c r="AK219" s="705">
        <v>3011</v>
      </c>
      <c r="AL219" s="705">
        <v>2425</v>
      </c>
      <c r="AM219" s="705">
        <v>898</v>
      </c>
      <c r="AN219">
        <v>621</v>
      </c>
      <c r="AO219">
        <v>230</v>
      </c>
      <c r="AP219" s="705">
        <v>6663</v>
      </c>
      <c r="AQ219" s="705">
        <v>6057</v>
      </c>
      <c r="AR219">
        <v>0</v>
      </c>
      <c r="AS219">
        <v>0</v>
      </c>
      <c r="AT219" s="705">
        <v>22702</v>
      </c>
      <c r="AU219" s="705">
        <f t="shared" si="16"/>
        <v>22702</v>
      </c>
      <c r="AV219" s="705">
        <f t="shared" si="17"/>
        <v>26777</v>
      </c>
    </row>
    <row r="220" spans="2:48" ht="12.75" hidden="1" customHeight="1">
      <c r="B220" t="s">
        <v>535</v>
      </c>
      <c r="C220" t="s">
        <v>118</v>
      </c>
      <c r="D220" t="s">
        <v>228</v>
      </c>
      <c r="E220" t="s">
        <v>228</v>
      </c>
      <c r="F220">
        <v>356</v>
      </c>
      <c r="G220" s="705">
        <v>35326</v>
      </c>
      <c r="H220" s="705">
        <v>93983</v>
      </c>
      <c r="I220" s="705">
        <v>5092523</v>
      </c>
      <c r="J220" s="705">
        <v>1886120</v>
      </c>
      <c r="K220">
        <v>100</v>
      </c>
      <c r="L220" s="705">
        <v>909777</v>
      </c>
      <c r="M220" s="705">
        <v>573675</v>
      </c>
      <c r="N220" s="705">
        <v>759781</v>
      </c>
      <c r="O220" s="705">
        <v>281400</v>
      </c>
      <c r="P220" s="705">
        <v>6864</v>
      </c>
      <c r="Q220" s="705">
        <v>2542</v>
      </c>
      <c r="R220" s="705">
        <v>2685496</v>
      </c>
      <c r="S220" s="705">
        <v>994628</v>
      </c>
      <c r="T220" s="705">
        <v>2245</v>
      </c>
      <c r="U220" s="705">
        <v>832</v>
      </c>
      <c r="V220" s="705">
        <v>3739197</v>
      </c>
      <c r="W220" s="705">
        <f t="shared" si="14"/>
        <v>3739197</v>
      </c>
      <c r="X220" s="705">
        <f t="shared" si="15"/>
        <v>9456686</v>
      </c>
      <c r="Y220" s="705"/>
      <c r="AA220" t="s">
        <v>118</v>
      </c>
      <c r="AB220" t="s">
        <v>668</v>
      </c>
      <c r="AC220" t="s">
        <v>228</v>
      </c>
      <c r="AD220" s="705">
        <v>1</v>
      </c>
      <c r="AE220" s="705">
        <v>46</v>
      </c>
      <c r="AF220" s="705">
        <v>279</v>
      </c>
      <c r="AG220" s="705">
        <v>5615</v>
      </c>
      <c r="AH220" s="705">
        <v>5104</v>
      </c>
      <c r="AI220">
        <v>60</v>
      </c>
      <c r="AJ220" s="705">
        <v>919</v>
      </c>
      <c r="AK220" s="705">
        <v>340</v>
      </c>
      <c r="AL220" s="705">
        <v>1114</v>
      </c>
      <c r="AM220" s="705">
        <v>412</v>
      </c>
      <c r="AN220" s="705">
        <v>0</v>
      </c>
      <c r="AO220" s="705">
        <v>0</v>
      </c>
      <c r="AP220" s="705">
        <v>5103</v>
      </c>
      <c r="AQ220" s="705">
        <v>1890</v>
      </c>
      <c r="AR220" s="705">
        <v>0</v>
      </c>
      <c r="AS220" s="705">
        <v>0</v>
      </c>
      <c r="AT220" s="705">
        <v>7747</v>
      </c>
      <c r="AU220" s="705">
        <f t="shared" si="16"/>
        <v>7746</v>
      </c>
      <c r="AV220" s="705">
        <f t="shared" si="17"/>
        <v>12751</v>
      </c>
    </row>
    <row r="221" spans="2:48" ht="12.75" hidden="1" customHeight="1">
      <c r="B221" t="s">
        <v>535</v>
      </c>
      <c r="C221" t="s">
        <v>118</v>
      </c>
      <c r="D221" t="s">
        <v>228</v>
      </c>
      <c r="E221" t="s">
        <v>583</v>
      </c>
      <c r="F221">
        <v>3</v>
      </c>
      <c r="G221" s="705">
        <v>319</v>
      </c>
      <c r="H221" s="705">
        <v>761</v>
      </c>
      <c r="I221" s="705">
        <v>44296</v>
      </c>
      <c r="J221" s="705">
        <v>16406</v>
      </c>
      <c r="K221" s="705">
        <v>100</v>
      </c>
      <c r="L221" s="705">
        <v>7610</v>
      </c>
      <c r="M221" s="705">
        <v>3593</v>
      </c>
      <c r="N221" s="705">
        <v>7367</v>
      </c>
      <c r="O221" s="705">
        <v>2729</v>
      </c>
      <c r="P221" s="705">
        <v>1242</v>
      </c>
      <c r="Q221" s="705">
        <v>460</v>
      </c>
      <c r="R221" s="705">
        <v>14479</v>
      </c>
      <c r="S221" s="705">
        <v>13163</v>
      </c>
      <c r="T221" s="705">
        <v>5385</v>
      </c>
      <c r="U221" s="705">
        <v>1994</v>
      </c>
      <c r="V221" s="705">
        <v>38344</v>
      </c>
      <c r="W221" s="705">
        <f t="shared" si="14"/>
        <v>38345</v>
      </c>
      <c r="X221" s="705">
        <f t="shared" si="15"/>
        <v>80379</v>
      </c>
      <c r="Y221" s="705"/>
      <c r="AA221" t="s">
        <v>118</v>
      </c>
      <c r="AB221" t="s">
        <v>668</v>
      </c>
      <c r="AC221" t="s">
        <v>668</v>
      </c>
      <c r="AD221">
        <v>8</v>
      </c>
      <c r="AE221" s="705">
        <v>719</v>
      </c>
      <c r="AF221" s="705">
        <v>2118</v>
      </c>
      <c r="AG221" s="705">
        <v>111153</v>
      </c>
      <c r="AH221" s="705">
        <v>101048</v>
      </c>
      <c r="AI221">
        <v>74</v>
      </c>
      <c r="AJ221" s="705">
        <v>23107</v>
      </c>
      <c r="AK221" s="705">
        <v>20682</v>
      </c>
      <c r="AL221" s="705">
        <v>12309</v>
      </c>
      <c r="AM221" s="705">
        <v>4559</v>
      </c>
      <c r="AN221" s="705">
        <v>2808</v>
      </c>
      <c r="AO221" s="705">
        <v>1040</v>
      </c>
      <c r="AP221" s="705">
        <v>32484</v>
      </c>
      <c r="AQ221" s="705">
        <v>29531</v>
      </c>
      <c r="AR221" s="705">
        <v>9478</v>
      </c>
      <c r="AS221" s="705">
        <v>3510</v>
      </c>
      <c r="AT221" s="705">
        <v>160370</v>
      </c>
      <c r="AU221" s="705">
        <f t="shared" si="16"/>
        <v>160370</v>
      </c>
      <c r="AV221" s="705">
        <f t="shared" si="17"/>
        <v>191339</v>
      </c>
    </row>
    <row r="222" spans="2:48" ht="12.75" hidden="1" customHeight="1">
      <c r="B222" t="s">
        <v>535</v>
      </c>
      <c r="C222" t="s">
        <v>118</v>
      </c>
      <c r="D222" t="s">
        <v>228</v>
      </c>
      <c r="E222" t="s">
        <v>669</v>
      </c>
      <c r="F222" s="705">
        <v>2</v>
      </c>
      <c r="G222" s="705">
        <v>151</v>
      </c>
      <c r="H222" s="705">
        <v>547</v>
      </c>
      <c r="I222" s="705">
        <v>22591</v>
      </c>
      <c r="J222" s="705">
        <v>8367</v>
      </c>
      <c r="K222">
        <v>100</v>
      </c>
      <c r="L222" s="705">
        <v>3334</v>
      </c>
      <c r="M222" s="705">
        <v>1825</v>
      </c>
      <c r="N222" s="705">
        <v>2428</v>
      </c>
      <c r="O222" s="705">
        <v>899</v>
      </c>
      <c r="P222" s="705">
        <v>0</v>
      </c>
      <c r="Q222" s="705">
        <v>0</v>
      </c>
      <c r="R222" s="705">
        <v>10830</v>
      </c>
      <c r="S222" s="705">
        <v>9025</v>
      </c>
      <c r="T222" s="705">
        <v>2123</v>
      </c>
      <c r="U222" s="705">
        <v>786</v>
      </c>
      <c r="V222" s="705">
        <v>20902</v>
      </c>
      <c r="W222" s="705">
        <f t="shared" si="14"/>
        <v>20902</v>
      </c>
      <c r="X222" s="705">
        <f t="shared" si="15"/>
        <v>41306</v>
      </c>
      <c r="Y222" s="705"/>
      <c r="AA222" t="s">
        <v>120</v>
      </c>
      <c r="AD222">
        <v>78</v>
      </c>
      <c r="AE222" s="705">
        <v>5349</v>
      </c>
      <c r="AF222" s="705">
        <v>26874</v>
      </c>
      <c r="AG222" s="705"/>
      <c r="AH222" s="705">
        <v>0</v>
      </c>
      <c r="AJ222" s="705"/>
      <c r="AK222" s="705">
        <v>0</v>
      </c>
      <c r="AL222" s="705">
        <v>106660</v>
      </c>
      <c r="AM222" s="705">
        <v>39504</v>
      </c>
      <c r="AN222" s="705">
        <v>23517</v>
      </c>
      <c r="AO222" s="705">
        <v>8710</v>
      </c>
      <c r="AP222" s="705"/>
      <c r="AQ222" s="705">
        <v>0</v>
      </c>
      <c r="AR222" s="705">
        <v>42260</v>
      </c>
      <c r="AS222" s="705">
        <v>15652</v>
      </c>
      <c r="AT222" s="705">
        <v>63866</v>
      </c>
      <c r="AU222" s="705">
        <f t="shared" si="16"/>
        <v>63866</v>
      </c>
      <c r="AV222" s="705">
        <f t="shared" si="17"/>
        <v>172437</v>
      </c>
    </row>
    <row r="223" spans="2:48" ht="12.75" hidden="1" customHeight="1">
      <c r="B223" t="s">
        <v>535</v>
      </c>
      <c r="C223" t="s">
        <v>118</v>
      </c>
      <c r="D223" t="s">
        <v>228</v>
      </c>
      <c r="E223" t="s">
        <v>665</v>
      </c>
      <c r="F223">
        <v>2</v>
      </c>
      <c r="G223" s="705">
        <v>158</v>
      </c>
      <c r="H223" s="705">
        <v>586</v>
      </c>
      <c r="I223" s="705">
        <v>23034</v>
      </c>
      <c r="J223" s="705">
        <v>8531</v>
      </c>
      <c r="K223" s="705">
        <v>100</v>
      </c>
      <c r="L223" s="705">
        <v>4472</v>
      </c>
      <c r="M223" s="705">
        <v>4065</v>
      </c>
      <c r="N223" s="705">
        <v>3544</v>
      </c>
      <c r="O223" s="705">
        <v>1313</v>
      </c>
      <c r="P223" s="705">
        <v>0</v>
      </c>
      <c r="Q223" s="705">
        <v>0</v>
      </c>
      <c r="R223" s="705">
        <v>10828</v>
      </c>
      <c r="S223" s="705">
        <v>9843</v>
      </c>
      <c r="T223" s="705">
        <v>4298</v>
      </c>
      <c r="U223" s="705">
        <v>1592</v>
      </c>
      <c r="V223" s="705">
        <v>25344</v>
      </c>
      <c r="W223" s="705">
        <f t="shared" si="14"/>
        <v>25344</v>
      </c>
      <c r="X223" s="705">
        <f t="shared" si="15"/>
        <v>46176</v>
      </c>
      <c r="Y223" s="705"/>
      <c r="AA223" t="s">
        <v>120</v>
      </c>
      <c r="AB223" t="s">
        <v>674</v>
      </c>
      <c r="AC223" t="s">
        <v>674</v>
      </c>
      <c r="AD223">
        <v>9</v>
      </c>
      <c r="AE223">
        <v>703</v>
      </c>
      <c r="AF223" s="705">
        <v>3121</v>
      </c>
      <c r="AG223" s="705">
        <v>145899</v>
      </c>
      <c r="AH223" s="705">
        <v>132636</v>
      </c>
      <c r="AI223">
        <v>61</v>
      </c>
      <c r="AJ223" s="705">
        <v>12875</v>
      </c>
      <c r="AK223" s="705">
        <v>12420</v>
      </c>
      <c r="AL223" s="705">
        <v>15827</v>
      </c>
      <c r="AM223" s="705">
        <v>5862</v>
      </c>
      <c r="AN223" s="705">
        <v>3159</v>
      </c>
      <c r="AO223" s="705">
        <v>1170</v>
      </c>
      <c r="AP223" s="705">
        <v>49646</v>
      </c>
      <c r="AQ223" s="705">
        <v>45133</v>
      </c>
      <c r="AR223" s="705">
        <v>16861</v>
      </c>
      <c r="AS223" s="705">
        <v>6245</v>
      </c>
      <c r="AT223" s="705">
        <v>203465</v>
      </c>
      <c r="AU223" s="705">
        <f t="shared" si="16"/>
        <v>203466</v>
      </c>
      <c r="AV223" s="705">
        <f t="shared" si="17"/>
        <v>244267</v>
      </c>
    </row>
    <row r="224" spans="2:48" ht="12.75" hidden="1" customHeight="1">
      <c r="B224" t="s">
        <v>535</v>
      </c>
      <c r="C224" t="s">
        <v>118</v>
      </c>
      <c r="D224" t="s">
        <v>583</v>
      </c>
      <c r="E224" t="s">
        <v>674</v>
      </c>
      <c r="F224">
        <v>1</v>
      </c>
      <c r="G224" s="705">
        <v>135</v>
      </c>
      <c r="H224" s="705">
        <v>247</v>
      </c>
      <c r="I224" s="705">
        <v>17547</v>
      </c>
      <c r="J224" s="705">
        <v>15952</v>
      </c>
      <c r="K224" s="705">
        <v>86</v>
      </c>
      <c r="L224" s="705">
        <v>5277</v>
      </c>
      <c r="M224" s="705">
        <v>4797</v>
      </c>
      <c r="N224" s="705">
        <v>2671</v>
      </c>
      <c r="O224" s="705">
        <v>989</v>
      </c>
      <c r="P224" s="705">
        <v>621</v>
      </c>
      <c r="Q224" s="705">
        <v>230</v>
      </c>
      <c r="R224" s="705">
        <v>4141</v>
      </c>
      <c r="S224" s="705">
        <v>3764</v>
      </c>
      <c r="T224" s="705">
        <v>2979</v>
      </c>
      <c r="U224" s="705">
        <v>1103</v>
      </c>
      <c r="V224" s="705">
        <v>26836</v>
      </c>
      <c r="W224" s="705">
        <f t="shared" si="14"/>
        <v>26835</v>
      </c>
      <c r="X224" s="705">
        <f t="shared" si="15"/>
        <v>33236</v>
      </c>
      <c r="Y224" s="705"/>
      <c r="AA224" t="s">
        <v>120</v>
      </c>
      <c r="AB224" t="s">
        <v>674</v>
      </c>
      <c r="AC224" t="s">
        <v>669</v>
      </c>
      <c r="AD224">
        <v>1</v>
      </c>
      <c r="AE224">
        <v>89</v>
      </c>
      <c r="AF224">
        <v>334</v>
      </c>
      <c r="AG224" s="705">
        <v>15777</v>
      </c>
      <c r="AH224" s="705">
        <v>14342</v>
      </c>
      <c r="AI224">
        <v>55</v>
      </c>
      <c r="AJ224" s="705">
        <v>3506</v>
      </c>
      <c r="AK224" s="705">
        <v>2922</v>
      </c>
      <c r="AL224" s="705">
        <v>1085</v>
      </c>
      <c r="AM224">
        <v>402</v>
      </c>
      <c r="AN224">
        <v>351</v>
      </c>
      <c r="AO224">
        <v>130</v>
      </c>
      <c r="AP224" s="705">
        <v>6265</v>
      </c>
      <c r="AQ224" s="705">
        <v>5221</v>
      </c>
      <c r="AR224" s="705">
        <v>2731</v>
      </c>
      <c r="AS224" s="705">
        <v>1012</v>
      </c>
      <c r="AT224" s="705">
        <v>24028</v>
      </c>
      <c r="AU224" s="705">
        <f t="shared" si="16"/>
        <v>24029</v>
      </c>
      <c r="AV224" s="705">
        <f t="shared" si="17"/>
        <v>29715</v>
      </c>
    </row>
    <row r="225" spans="2:48" ht="12.75" hidden="1" customHeight="1">
      <c r="B225" t="s">
        <v>535</v>
      </c>
      <c r="C225" t="s">
        <v>118</v>
      </c>
      <c r="D225" t="s">
        <v>583</v>
      </c>
      <c r="E225" t="s">
        <v>228</v>
      </c>
      <c r="F225" s="705">
        <v>7</v>
      </c>
      <c r="G225" s="705">
        <v>636</v>
      </c>
      <c r="H225" s="705">
        <v>1963</v>
      </c>
      <c r="I225" s="705">
        <v>86301</v>
      </c>
      <c r="J225" s="705">
        <v>78456</v>
      </c>
      <c r="K225" s="705">
        <v>80</v>
      </c>
      <c r="L225" s="705">
        <v>13921</v>
      </c>
      <c r="M225" s="705">
        <v>10484</v>
      </c>
      <c r="N225" s="705">
        <v>11923</v>
      </c>
      <c r="O225" s="705">
        <v>4416</v>
      </c>
      <c r="P225" s="705">
        <v>3726</v>
      </c>
      <c r="Q225" s="705">
        <v>1380</v>
      </c>
      <c r="R225" s="705">
        <v>61982</v>
      </c>
      <c r="S225" s="705">
        <v>22956</v>
      </c>
      <c r="T225" s="705">
        <v>0</v>
      </c>
      <c r="U225" s="705">
        <v>0</v>
      </c>
      <c r="V225" s="705">
        <v>117692</v>
      </c>
      <c r="W225" s="705">
        <f t="shared" si="14"/>
        <v>117692</v>
      </c>
      <c r="X225" s="705">
        <f t="shared" si="15"/>
        <v>177853</v>
      </c>
      <c r="Y225" s="705"/>
      <c r="AA225" t="s">
        <v>120</v>
      </c>
      <c r="AB225" t="s">
        <v>664</v>
      </c>
      <c r="AC225" t="s">
        <v>664</v>
      </c>
      <c r="AD225">
        <v>28</v>
      </c>
      <c r="AE225" s="705">
        <v>2637</v>
      </c>
      <c r="AF225" s="705">
        <v>9513</v>
      </c>
      <c r="AG225" s="705">
        <v>548752</v>
      </c>
      <c r="AH225" s="705">
        <v>498866</v>
      </c>
      <c r="AI225">
        <v>79</v>
      </c>
      <c r="AJ225" s="705">
        <v>122991</v>
      </c>
      <c r="AK225" s="705">
        <v>101267</v>
      </c>
      <c r="AL225" s="705">
        <v>54167</v>
      </c>
      <c r="AM225" s="705">
        <v>20062</v>
      </c>
      <c r="AN225" s="705">
        <v>13608</v>
      </c>
      <c r="AO225" s="705">
        <v>5040</v>
      </c>
      <c r="AP225" s="705">
        <v>129420</v>
      </c>
      <c r="AQ225" s="705">
        <v>117654</v>
      </c>
      <c r="AR225" s="705">
        <v>44273</v>
      </c>
      <c r="AS225" s="705">
        <v>16397</v>
      </c>
      <c r="AT225" s="705">
        <v>759287</v>
      </c>
      <c r="AU225" s="705">
        <f t="shared" si="16"/>
        <v>759286</v>
      </c>
      <c r="AV225" s="705">
        <f t="shared" si="17"/>
        <v>913211</v>
      </c>
    </row>
    <row r="226" spans="2:48" ht="12.75" hidden="1" customHeight="1">
      <c r="B226" t="s">
        <v>535</v>
      </c>
      <c r="C226" t="s">
        <v>118</v>
      </c>
      <c r="D226" t="s">
        <v>583</v>
      </c>
      <c r="E226" t="s">
        <v>583</v>
      </c>
      <c r="F226" s="705">
        <v>1510</v>
      </c>
      <c r="G226" s="705">
        <v>147183</v>
      </c>
      <c r="H226" s="705">
        <v>387501</v>
      </c>
      <c r="I226" s="705">
        <v>19952346</v>
      </c>
      <c r="J226" s="705">
        <v>18138496</v>
      </c>
      <c r="K226" s="705">
        <v>80</v>
      </c>
      <c r="L226" s="705">
        <v>4328096</v>
      </c>
      <c r="M226" s="705">
        <v>3721022</v>
      </c>
      <c r="N226" s="705">
        <v>2997069</v>
      </c>
      <c r="O226" s="705">
        <v>1110026</v>
      </c>
      <c r="P226" s="705">
        <v>983223</v>
      </c>
      <c r="Q226" s="705">
        <v>364157</v>
      </c>
      <c r="R226" s="705">
        <v>6736133</v>
      </c>
      <c r="S226" s="705">
        <v>6123757</v>
      </c>
      <c r="T226" s="705">
        <v>3072731</v>
      </c>
      <c r="U226" s="705">
        <v>1138048</v>
      </c>
      <c r="V226" s="705">
        <v>30595506</v>
      </c>
      <c r="W226" s="705">
        <f t="shared" si="14"/>
        <v>30595506</v>
      </c>
      <c r="X226" s="705">
        <f t="shared" si="15"/>
        <v>38069598</v>
      </c>
      <c r="Y226" s="705"/>
      <c r="AA226" t="s">
        <v>120</v>
      </c>
      <c r="AB226" t="s">
        <v>664</v>
      </c>
      <c r="AC226" t="s">
        <v>228</v>
      </c>
      <c r="AD226">
        <v>3</v>
      </c>
      <c r="AE226" s="705">
        <v>217</v>
      </c>
      <c r="AF226" s="705">
        <v>965</v>
      </c>
      <c r="AG226" s="705">
        <v>28097</v>
      </c>
      <c r="AH226" s="705">
        <v>25543</v>
      </c>
      <c r="AI226">
        <v>72</v>
      </c>
      <c r="AJ226" s="705">
        <v>7579</v>
      </c>
      <c r="AK226" s="705">
        <v>6890</v>
      </c>
      <c r="AL226" s="705">
        <v>4861</v>
      </c>
      <c r="AM226" s="705">
        <v>1801</v>
      </c>
      <c r="AN226" s="705">
        <v>702</v>
      </c>
      <c r="AO226" s="705">
        <v>260</v>
      </c>
      <c r="AP226" s="705">
        <v>28701</v>
      </c>
      <c r="AQ226" s="705">
        <v>10630</v>
      </c>
      <c r="AR226" s="705">
        <v>0</v>
      </c>
      <c r="AS226" s="705">
        <v>0</v>
      </c>
      <c r="AT226" s="705">
        <v>45123</v>
      </c>
      <c r="AU226" s="705">
        <f t="shared" si="16"/>
        <v>45124</v>
      </c>
      <c r="AV226" s="705">
        <f t="shared" si="17"/>
        <v>69940</v>
      </c>
    </row>
    <row r="227" spans="2:48" ht="12.75" hidden="1" customHeight="1">
      <c r="B227" t="s">
        <v>535</v>
      </c>
      <c r="C227" t="s">
        <v>118</v>
      </c>
      <c r="D227" t="s">
        <v>583</v>
      </c>
      <c r="E227" t="s">
        <v>667</v>
      </c>
      <c r="F227" s="705">
        <v>1</v>
      </c>
      <c r="G227" s="705">
        <v>101</v>
      </c>
      <c r="H227" s="705">
        <v>292</v>
      </c>
      <c r="I227" s="705">
        <v>16786</v>
      </c>
      <c r="J227" s="705">
        <v>15260</v>
      </c>
      <c r="K227" s="705">
        <v>70</v>
      </c>
      <c r="L227" s="705">
        <v>2067</v>
      </c>
      <c r="M227" s="705">
        <v>1879</v>
      </c>
      <c r="N227" s="705">
        <v>1235</v>
      </c>
      <c r="O227" s="705">
        <v>457</v>
      </c>
      <c r="P227" s="705">
        <v>621</v>
      </c>
      <c r="Q227" s="705">
        <v>230</v>
      </c>
      <c r="R227" s="705">
        <v>6493</v>
      </c>
      <c r="S227" s="705">
        <v>5903</v>
      </c>
      <c r="T227" s="705">
        <v>2445</v>
      </c>
      <c r="U227" s="705">
        <v>906</v>
      </c>
      <c r="V227" s="705">
        <v>24636</v>
      </c>
      <c r="W227" s="705">
        <f t="shared" si="14"/>
        <v>24635</v>
      </c>
      <c r="X227" s="705">
        <f t="shared" si="15"/>
        <v>29647</v>
      </c>
      <c r="Y227" s="705"/>
      <c r="AA227" t="s">
        <v>120</v>
      </c>
      <c r="AB227" t="s">
        <v>664</v>
      </c>
      <c r="AC227" t="s">
        <v>583</v>
      </c>
      <c r="AD227">
        <v>4</v>
      </c>
      <c r="AE227">
        <v>460</v>
      </c>
      <c r="AF227" s="705">
        <v>1332</v>
      </c>
      <c r="AG227" s="705">
        <v>88968</v>
      </c>
      <c r="AH227" s="705">
        <v>80880</v>
      </c>
      <c r="AI227">
        <v>76</v>
      </c>
      <c r="AJ227" s="705">
        <v>20286</v>
      </c>
      <c r="AK227" s="705">
        <v>18184</v>
      </c>
      <c r="AL227" s="705">
        <v>9765</v>
      </c>
      <c r="AM227" s="705">
        <v>3617</v>
      </c>
      <c r="AN227" s="705">
        <v>2484</v>
      </c>
      <c r="AO227">
        <v>920</v>
      </c>
      <c r="AP227" s="705">
        <v>26042</v>
      </c>
      <c r="AQ227" s="705">
        <v>23675</v>
      </c>
      <c r="AR227" s="705">
        <v>2409</v>
      </c>
      <c r="AS227" s="705">
        <v>892</v>
      </c>
      <c r="AT227" s="705">
        <v>128167</v>
      </c>
      <c r="AU227" s="705">
        <f t="shared" si="16"/>
        <v>128168</v>
      </c>
      <c r="AV227" s="705">
        <f t="shared" si="17"/>
        <v>149954</v>
      </c>
    </row>
    <row r="228" spans="2:48" ht="12.75" hidden="1" customHeight="1">
      <c r="B228" t="s">
        <v>535</v>
      </c>
      <c r="C228" t="s">
        <v>118</v>
      </c>
      <c r="D228" t="s">
        <v>583</v>
      </c>
      <c r="E228" t="s">
        <v>665</v>
      </c>
      <c r="F228">
        <v>1</v>
      </c>
      <c r="G228">
        <v>137</v>
      </c>
      <c r="H228" s="705">
        <v>230</v>
      </c>
      <c r="I228" s="705">
        <v>20212</v>
      </c>
      <c r="J228" s="705">
        <v>18374</v>
      </c>
      <c r="K228" s="705">
        <v>65</v>
      </c>
      <c r="L228" s="705">
        <v>2523</v>
      </c>
      <c r="M228" s="705">
        <v>2294</v>
      </c>
      <c r="N228" s="705">
        <v>3744</v>
      </c>
      <c r="O228" s="705">
        <v>1387</v>
      </c>
      <c r="P228">
        <v>621</v>
      </c>
      <c r="Q228" s="705">
        <v>230</v>
      </c>
      <c r="R228" s="705">
        <v>5376</v>
      </c>
      <c r="S228" s="705">
        <v>4887</v>
      </c>
      <c r="T228" s="705">
        <v>2926</v>
      </c>
      <c r="U228" s="705">
        <v>1084</v>
      </c>
      <c r="V228" s="705">
        <v>28256</v>
      </c>
      <c r="W228" s="705">
        <f t="shared" si="14"/>
        <v>28256</v>
      </c>
      <c r="X228" s="705">
        <f t="shared" si="15"/>
        <v>35402</v>
      </c>
      <c r="Y228" s="705"/>
      <c r="AA228" t="s">
        <v>120</v>
      </c>
      <c r="AB228" t="s">
        <v>582</v>
      </c>
      <c r="AC228" t="s">
        <v>664</v>
      </c>
      <c r="AD228">
        <v>1</v>
      </c>
      <c r="AE228">
        <v>90</v>
      </c>
      <c r="AF228">
        <v>305</v>
      </c>
      <c r="AG228" s="705">
        <v>14350</v>
      </c>
      <c r="AH228" s="705">
        <v>13045</v>
      </c>
      <c r="AI228">
        <v>65</v>
      </c>
      <c r="AJ228" s="705">
        <v>3285</v>
      </c>
      <c r="AK228" s="705">
        <v>2986</v>
      </c>
      <c r="AL228" s="705">
        <v>2096</v>
      </c>
      <c r="AM228">
        <v>776</v>
      </c>
      <c r="AN228">
        <v>473</v>
      </c>
      <c r="AO228">
        <v>175</v>
      </c>
      <c r="AP228" s="705">
        <v>4707</v>
      </c>
      <c r="AQ228" s="705">
        <v>4279</v>
      </c>
      <c r="AR228" s="705">
        <v>2427</v>
      </c>
      <c r="AS228">
        <v>899</v>
      </c>
      <c r="AT228" s="705">
        <v>22161</v>
      </c>
      <c r="AU228" s="705">
        <f t="shared" si="16"/>
        <v>22160</v>
      </c>
      <c r="AV228" s="705">
        <f t="shared" si="17"/>
        <v>27338</v>
      </c>
    </row>
    <row r="229" spans="2:48" ht="12.75" hidden="1" customHeight="1">
      <c r="B229" t="s">
        <v>535</v>
      </c>
      <c r="C229" t="s">
        <v>118</v>
      </c>
      <c r="D229" t="s">
        <v>666</v>
      </c>
      <c r="E229" t="s">
        <v>583</v>
      </c>
      <c r="F229" s="705">
        <v>1</v>
      </c>
      <c r="G229" s="705">
        <v>81</v>
      </c>
      <c r="H229" s="705">
        <v>283</v>
      </c>
      <c r="I229" s="705">
        <v>12271</v>
      </c>
      <c r="J229" s="705">
        <v>11155</v>
      </c>
      <c r="K229" s="705">
        <v>65</v>
      </c>
      <c r="L229" s="705">
        <v>2954</v>
      </c>
      <c r="M229" s="705">
        <v>2686</v>
      </c>
      <c r="N229" s="705">
        <v>987</v>
      </c>
      <c r="O229" s="705">
        <v>366</v>
      </c>
      <c r="P229" s="705">
        <v>351</v>
      </c>
      <c r="Q229" s="705">
        <v>130</v>
      </c>
      <c r="R229" s="705">
        <v>4157</v>
      </c>
      <c r="S229" s="705">
        <v>3779</v>
      </c>
      <c r="T229" s="705">
        <v>2179</v>
      </c>
      <c r="U229" s="705">
        <v>807</v>
      </c>
      <c r="V229" s="705">
        <v>18923</v>
      </c>
      <c r="W229" s="705">
        <f t="shared" si="14"/>
        <v>18923</v>
      </c>
      <c r="X229" s="705">
        <f t="shared" si="15"/>
        <v>22899</v>
      </c>
      <c r="Y229" s="705"/>
      <c r="AA229" t="s">
        <v>120</v>
      </c>
      <c r="AB229" t="s">
        <v>582</v>
      </c>
      <c r="AC229" t="s">
        <v>582</v>
      </c>
      <c r="AD229">
        <v>78</v>
      </c>
      <c r="AE229" s="705">
        <v>8232</v>
      </c>
      <c r="AF229" s="705">
        <v>26096</v>
      </c>
      <c r="AG229" s="705">
        <v>1726864</v>
      </c>
      <c r="AH229" s="705">
        <v>1569877</v>
      </c>
      <c r="AI229">
        <v>76</v>
      </c>
      <c r="AJ229" s="705">
        <v>380803</v>
      </c>
      <c r="AK229" s="705">
        <v>326920</v>
      </c>
      <c r="AL229" s="705">
        <v>173915</v>
      </c>
      <c r="AM229" s="705">
        <v>64413</v>
      </c>
      <c r="AN229" s="705">
        <v>37382</v>
      </c>
      <c r="AO229" s="705">
        <v>13845</v>
      </c>
      <c r="AP229" s="705">
        <v>379632</v>
      </c>
      <c r="AQ229" s="705">
        <v>345120</v>
      </c>
      <c r="AR229" s="705">
        <v>88458</v>
      </c>
      <c r="AS229" s="705">
        <v>32762</v>
      </c>
      <c r="AT229" s="705">
        <v>2352937</v>
      </c>
      <c r="AU229" s="705">
        <f t="shared" si="16"/>
        <v>2352937</v>
      </c>
      <c r="AV229" s="705">
        <f t="shared" si="17"/>
        <v>2787054</v>
      </c>
    </row>
    <row r="230" spans="2:48" ht="12.75" hidden="1" customHeight="1">
      <c r="B230" t="s">
        <v>535</v>
      </c>
      <c r="C230" t="s">
        <v>118</v>
      </c>
      <c r="D230" t="s">
        <v>666</v>
      </c>
      <c r="E230" t="s">
        <v>666</v>
      </c>
      <c r="F230">
        <v>57</v>
      </c>
      <c r="G230" s="705">
        <v>4843</v>
      </c>
      <c r="H230" s="705">
        <v>15386</v>
      </c>
      <c r="I230" s="705">
        <v>725385</v>
      </c>
      <c r="J230" s="705">
        <v>659441</v>
      </c>
      <c r="K230" s="705">
        <v>60</v>
      </c>
      <c r="L230" s="705">
        <v>89042</v>
      </c>
      <c r="M230" s="705">
        <v>63753</v>
      </c>
      <c r="N230" s="705">
        <v>90068</v>
      </c>
      <c r="O230" s="705">
        <v>33359</v>
      </c>
      <c r="P230" s="705">
        <v>20270</v>
      </c>
      <c r="Q230" s="705">
        <v>7507</v>
      </c>
      <c r="R230" s="705">
        <v>269694</v>
      </c>
      <c r="S230" s="705">
        <v>245176</v>
      </c>
      <c r="T230" s="705">
        <v>123519</v>
      </c>
      <c r="U230" s="705">
        <v>45748</v>
      </c>
      <c r="V230" s="705">
        <v>1054985</v>
      </c>
      <c r="W230" s="705">
        <f t="shared" si="14"/>
        <v>1054984</v>
      </c>
      <c r="X230" s="705">
        <f t="shared" si="15"/>
        <v>1317978</v>
      </c>
      <c r="Y230" s="705"/>
      <c r="AA230" t="s">
        <v>120</v>
      </c>
      <c r="AB230" t="s">
        <v>582</v>
      </c>
      <c r="AC230" t="s">
        <v>584</v>
      </c>
      <c r="AD230" s="705">
        <v>2</v>
      </c>
      <c r="AE230" s="705">
        <v>142</v>
      </c>
      <c r="AF230" s="705">
        <v>690</v>
      </c>
      <c r="AG230" s="705">
        <v>46803</v>
      </c>
      <c r="AH230" s="705">
        <v>42548</v>
      </c>
      <c r="AI230">
        <v>74</v>
      </c>
      <c r="AJ230" s="705">
        <v>4139</v>
      </c>
      <c r="AK230" s="705">
        <v>3762</v>
      </c>
      <c r="AL230" s="705">
        <v>3762</v>
      </c>
      <c r="AM230" s="705">
        <v>1394</v>
      </c>
      <c r="AN230" s="705">
        <v>945</v>
      </c>
      <c r="AO230" s="705">
        <v>350</v>
      </c>
      <c r="AP230" s="705">
        <v>11837</v>
      </c>
      <c r="AQ230" s="705">
        <v>10761</v>
      </c>
      <c r="AR230" s="705">
        <v>0</v>
      </c>
      <c r="AS230" s="705">
        <v>0</v>
      </c>
      <c r="AT230" s="705">
        <v>58815</v>
      </c>
      <c r="AU230" s="705">
        <f t="shared" si="16"/>
        <v>58815</v>
      </c>
      <c r="AV230" s="705">
        <f t="shared" si="17"/>
        <v>67486</v>
      </c>
    </row>
    <row r="231" spans="2:48" ht="12.75" hidden="1" customHeight="1">
      <c r="B231" t="s">
        <v>535</v>
      </c>
      <c r="C231" t="s">
        <v>118</v>
      </c>
      <c r="D231" t="s">
        <v>584</v>
      </c>
      <c r="E231" t="s">
        <v>228</v>
      </c>
      <c r="F231" s="705">
        <v>2</v>
      </c>
      <c r="G231" s="705">
        <v>276</v>
      </c>
      <c r="H231" s="705">
        <v>512</v>
      </c>
      <c r="I231" s="705">
        <v>35463</v>
      </c>
      <c r="J231" s="705">
        <v>32240</v>
      </c>
      <c r="K231" s="705">
        <v>79</v>
      </c>
      <c r="L231" s="705">
        <v>10137</v>
      </c>
      <c r="M231" s="705">
        <v>9215</v>
      </c>
      <c r="N231" s="705">
        <v>5907</v>
      </c>
      <c r="O231" s="705">
        <v>2188</v>
      </c>
      <c r="P231" s="705">
        <v>1764</v>
      </c>
      <c r="Q231" s="705">
        <v>653</v>
      </c>
      <c r="R231" s="705">
        <v>16066</v>
      </c>
      <c r="S231" s="705">
        <v>5950</v>
      </c>
      <c r="T231" s="705">
        <v>0</v>
      </c>
      <c r="U231" s="705">
        <v>0</v>
      </c>
      <c r="V231" s="705">
        <v>50246</v>
      </c>
      <c r="W231" s="705">
        <f t="shared" si="14"/>
        <v>50246</v>
      </c>
      <c r="X231" s="705">
        <f t="shared" si="15"/>
        <v>69337</v>
      </c>
      <c r="Y231" s="705"/>
      <c r="AA231" t="s">
        <v>120</v>
      </c>
      <c r="AB231" t="s">
        <v>228</v>
      </c>
      <c r="AC231" t="s">
        <v>664</v>
      </c>
      <c r="AD231">
        <v>1</v>
      </c>
      <c r="AE231">
        <v>88</v>
      </c>
      <c r="AF231">
        <v>321</v>
      </c>
      <c r="AG231" s="705">
        <v>22063</v>
      </c>
      <c r="AH231" s="705">
        <v>8171</v>
      </c>
      <c r="AI231">
        <v>100</v>
      </c>
      <c r="AJ231" s="705">
        <v>1816</v>
      </c>
      <c r="AK231" s="705">
        <v>1513</v>
      </c>
      <c r="AL231" s="705">
        <v>1677</v>
      </c>
      <c r="AM231" s="705">
        <v>621</v>
      </c>
      <c r="AN231">
        <v>0</v>
      </c>
      <c r="AO231">
        <v>0</v>
      </c>
      <c r="AP231" s="705">
        <v>2743</v>
      </c>
      <c r="AQ231" s="705">
        <v>2493</v>
      </c>
      <c r="AR231" s="705">
        <v>0</v>
      </c>
      <c r="AS231" s="705">
        <v>0</v>
      </c>
      <c r="AT231" s="705">
        <v>12799</v>
      </c>
      <c r="AU231" s="705">
        <f t="shared" si="16"/>
        <v>12798</v>
      </c>
      <c r="AV231" s="705">
        <f t="shared" si="17"/>
        <v>28299</v>
      </c>
    </row>
    <row r="232" spans="2:48" ht="12.75" hidden="1" customHeight="1">
      <c r="B232" t="s">
        <v>535</v>
      </c>
      <c r="C232" t="s">
        <v>118</v>
      </c>
      <c r="D232" t="s">
        <v>584</v>
      </c>
      <c r="E232" s="705" t="s">
        <v>583</v>
      </c>
      <c r="F232" s="705">
        <v>1</v>
      </c>
      <c r="G232" s="705">
        <v>84</v>
      </c>
      <c r="H232" s="705">
        <v>261</v>
      </c>
      <c r="I232" s="705">
        <v>12280</v>
      </c>
      <c r="J232" s="705">
        <v>11164</v>
      </c>
      <c r="K232" s="705">
        <v>79</v>
      </c>
      <c r="L232" s="705">
        <v>1760</v>
      </c>
      <c r="M232" s="705">
        <v>1600</v>
      </c>
      <c r="N232" s="705">
        <v>1852</v>
      </c>
      <c r="O232" s="705">
        <v>686</v>
      </c>
      <c r="P232" s="705">
        <v>473</v>
      </c>
      <c r="Q232" s="705">
        <v>175</v>
      </c>
      <c r="R232" s="705">
        <v>5449</v>
      </c>
      <c r="S232" s="705">
        <v>4954</v>
      </c>
      <c r="T232" s="705">
        <v>0</v>
      </c>
      <c r="U232" s="705">
        <v>0</v>
      </c>
      <c r="V232" s="705">
        <v>18578</v>
      </c>
      <c r="W232" s="705">
        <f t="shared" si="14"/>
        <v>18579</v>
      </c>
      <c r="X232" s="705">
        <f t="shared" si="15"/>
        <v>21814</v>
      </c>
      <c r="Y232" s="705"/>
      <c r="AA232" t="s">
        <v>120</v>
      </c>
      <c r="AB232" t="s">
        <v>228</v>
      </c>
      <c r="AC232" t="s">
        <v>228</v>
      </c>
      <c r="AD232" s="705">
        <v>4590</v>
      </c>
      <c r="AE232" s="705">
        <v>366848</v>
      </c>
      <c r="AF232" s="705">
        <v>1551653</v>
      </c>
      <c r="AG232" s="705">
        <v>74988209</v>
      </c>
      <c r="AH232" s="705">
        <v>27773411</v>
      </c>
      <c r="AI232">
        <v>100</v>
      </c>
      <c r="AJ232" s="705">
        <v>11340953</v>
      </c>
      <c r="AK232" s="705">
        <v>8092855</v>
      </c>
      <c r="AL232" s="705">
        <v>7682187</v>
      </c>
      <c r="AM232" s="705">
        <v>2845254</v>
      </c>
      <c r="AN232" s="705">
        <v>92277</v>
      </c>
      <c r="AO232" s="705">
        <v>34177</v>
      </c>
      <c r="AP232" s="705">
        <v>31685580</v>
      </c>
      <c r="AQ232" s="705">
        <v>11735400</v>
      </c>
      <c r="AR232" s="705">
        <v>93643</v>
      </c>
      <c r="AS232" s="705">
        <v>34682</v>
      </c>
      <c r="AT232" s="705">
        <v>50515779</v>
      </c>
      <c r="AU232" s="705">
        <f t="shared" si="16"/>
        <v>50515779</v>
      </c>
      <c r="AV232" s="705">
        <f t="shared" si="17"/>
        <v>125882849</v>
      </c>
    </row>
    <row r="233" spans="2:48" ht="12.75" hidden="1" customHeight="1">
      <c r="B233" t="s">
        <v>535</v>
      </c>
      <c r="C233" t="s">
        <v>118</v>
      </c>
      <c r="D233" t="s">
        <v>584</v>
      </c>
      <c r="E233" t="s">
        <v>584</v>
      </c>
      <c r="F233">
        <v>233</v>
      </c>
      <c r="G233" s="705">
        <v>21459</v>
      </c>
      <c r="H233" s="705">
        <v>57377</v>
      </c>
      <c r="I233" s="705">
        <v>2603674</v>
      </c>
      <c r="J233" s="705">
        <v>2366977</v>
      </c>
      <c r="K233" s="705">
        <v>79</v>
      </c>
      <c r="L233" s="705">
        <v>742799</v>
      </c>
      <c r="M233" s="705">
        <v>665124</v>
      </c>
      <c r="N233" s="705">
        <v>449522</v>
      </c>
      <c r="O233" s="705">
        <v>166490</v>
      </c>
      <c r="P233" s="705">
        <v>111726</v>
      </c>
      <c r="Q233" s="705">
        <v>41380</v>
      </c>
      <c r="R233" s="705">
        <v>1028887</v>
      </c>
      <c r="S233" s="705">
        <v>935352</v>
      </c>
      <c r="T233" s="705">
        <v>373990</v>
      </c>
      <c r="U233" s="705">
        <v>138515</v>
      </c>
      <c r="V233" s="705">
        <v>4313837</v>
      </c>
      <c r="W233" s="705">
        <f t="shared" si="14"/>
        <v>4313838</v>
      </c>
      <c r="X233" s="705">
        <f t="shared" si="15"/>
        <v>5310598</v>
      </c>
      <c r="Y233" s="705"/>
      <c r="AA233" t="s">
        <v>120</v>
      </c>
      <c r="AB233" t="s">
        <v>228</v>
      </c>
      <c r="AC233" t="s">
        <v>583</v>
      </c>
      <c r="AD233">
        <v>4</v>
      </c>
      <c r="AE233">
        <v>767</v>
      </c>
      <c r="AF233" s="705">
        <v>1423</v>
      </c>
      <c r="AG233" s="705">
        <v>185319</v>
      </c>
      <c r="AH233" s="705">
        <v>68637</v>
      </c>
      <c r="AI233">
        <v>100</v>
      </c>
      <c r="AJ233" s="705">
        <v>23759</v>
      </c>
      <c r="AK233" s="705">
        <v>21599</v>
      </c>
      <c r="AL233" s="705">
        <v>16820</v>
      </c>
      <c r="AM233" s="705">
        <v>6230</v>
      </c>
      <c r="AN233" s="705">
        <v>0</v>
      </c>
      <c r="AO233">
        <v>0</v>
      </c>
      <c r="AP233" s="705">
        <v>26391</v>
      </c>
      <c r="AQ233" s="705">
        <v>23992</v>
      </c>
      <c r="AR233" s="705">
        <v>9035</v>
      </c>
      <c r="AS233" s="705">
        <v>3346</v>
      </c>
      <c r="AT233" s="705">
        <v>123803</v>
      </c>
      <c r="AU233" s="705">
        <f t="shared" si="16"/>
        <v>123804</v>
      </c>
      <c r="AV233" s="705">
        <f t="shared" si="17"/>
        <v>261324</v>
      </c>
    </row>
    <row r="234" spans="2:48" ht="12.75" hidden="1" customHeight="1">
      <c r="B234" t="s">
        <v>535</v>
      </c>
      <c r="C234" t="s">
        <v>118</v>
      </c>
      <c r="D234" t="s">
        <v>669</v>
      </c>
      <c r="E234" t="s">
        <v>583</v>
      </c>
      <c r="F234" s="705">
        <v>1</v>
      </c>
      <c r="G234" s="705">
        <v>93</v>
      </c>
      <c r="H234" s="705">
        <v>266</v>
      </c>
      <c r="I234" s="705">
        <v>15063</v>
      </c>
      <c r="J234" s="705">
        <v>12552</v>
      </c>
      <c r="K234" s="705">
        <v>55</v>
      </c>
      <c r="L234" s="705">
        <v>987</v>
      </c>
      <c r="M234" s="705">
        <v>897</v>
      </c>
      <c r="N234" s="705">
        <v>2255</v>
      </c>
      <c r="O234" s="705">
        <v>835</v>
      </c>
      <c r="P234" s="705">
        <v>621</v>
      </c>
      <c r="Q234" s="705">
        <v>230</v>
      </c>
      <c r="R234" s="705">
        <v>3308</v>
      </c>
      <c r="S234" s="705">
        <v>3007</v>
      </c>
      <c r="T234" s="705">
        <v>2332</v>
      </c>
      <c r="U234" s="705">
        <v>864</v>
      </c>
      <c r="V234" s="705">
        <v>18385</v>
      </c>
      <c r="W234" s="705">
        <f t="shared" si="14"/>
        <v>18385</v>
      </c>
      <c r="X234" s="705">
        <f t="shared" si="15"/>
        <v>24566</v>
      </c>
      <c r="Y234" s="705"/>
      <c r="AA234" t="s">
        <v>120</v>
      </c>
      <c r="AB234" t="s">
        <v>228</v>
      </c>
      <c r="AC234" t="s">
        <v>666</v>
      </c>
      <c r="AD234">
        <v>21</v>
      </c>
      <c r="AE234" s="705">
        <v>1568</v>
      </c>
      <c r="AF234" s="705">
        <v>7365</v>
      </c>
      <c r="AG234" s="705">
        <v>321499</v>
      </c>
      <c r="AH234" s="705">
        <v>119074</v>
      </c>
      <c r="AI234">
        <v>100</v>
      </c>
      <c r="AJ234" s="705">
        <v>43250</v>
      </c>
      <c r="AK234" s="705">
        <v>39318</v>
      </c>
      <c r="AL234" s="705">
        <v>29157</v>
      </c>
      <c r="AM234" s="705">
        <v>10799</v>
      </c>
      <c r="AN234" s="705">
        <v>1053</v>
      </c>
      <c r="AO234">
        <v>390</v>
      </c>
      <c r="AP234" s="705">
        <v>120490</v>
      </c>
      <c r="AQ234" s="705">
        <v>109536</v>
      </c>
      <c r="AR234" s="705">
        <v>33737</v>
      </c>
      <c r="AS234" s="705">
        <v>12495</v>
      </c>
      <c r="AT234" s="705">
        <v>291612</v>
      </c>
      <c r="AU234" s="705">
        <f t="shared" si="16"/>
        <v>291612</v>
      </c>
      <c r="AV234" s="705">
        <f t="shared" si="17"/>
        <v>549186</v>
      </c>
    </row>
    <row r="235" spans="2:48" ht="12.75" hidden="1" customHeight="1">
      <c r="B235" t="s">
        <v>535</v>
      </c>
      <c r="C235" t="s">
        <v>118</v>
      </c>
      <c r="D235" t="s">
        <v>669</v>
      </c>
      <c r="E235" t="s">
        <v>669</v>
      </c>
      <c r="F235">
        <v>102</v>
      </c>
      <c r="G235" s="705">
        <v>8536</v>
      </c>
      <c r="H235" s="705">
        <v>27676</v>
      </c>
      <c r="I235" s="705">
        <v>1259265</v>
      </c>
      <c r="J235" s="705">
        <v>1049388</v>
      </c>
      <c r="K235" s="705">
        <v>64</v>
      </c>
      <c r="L235" s="705">
        <v>143754</v>
      </c>
      <c r="M235" s="705">
        <v>108049</v>
      </c>
      <c r="N235" s="705">
        <v>160275</v>
      </c>
      <c r="O235" s="705">
        <v>59361</v>
      </c>
      <c r="P235" s="705">
        <v>37206</v>
      </c>
      <c r="Q235" s="705">
        <v>13780</v>
      </c>
      <c r="R235" s="705">
        <v>492202</v>
      </c>
      <c r="S235" s="705">
        <v>410169</v>
      </c>
      <c r="T235" s="705">
        <v>222592</v>
      </c>
      <c r="U235" s="705">
        <v>82442</v>
      </c>
      <c r="V235" s="705">
        <v>1723188</v>
      </c>
      <c r="W235" s="705">
        <f t="shared" si="14"/>
        <v>1723189</v>
      </c>
      <c r="X235" s="705">
        <f t="shared" si="15"/>
        <v>2315294</v>
      </c>
      <c r="Y235" s="705"/>
      <c r="AA235" t="s">
        <v>120</v>
      </c>
      <c r="AB235" t="s">
        <v>228</v>
      </c>
      <c r="AC235" t="s">
        <v>584</v>
      </c>
      <c r="AD235">
        <v>6</v>
      </c>
      <c r="AE235">
        <v>790</v>
      </c>
      <c r="AF235" s="705">
        <v>2084</v>
      </c>
      <c r="AG235" s="705">
        <v>201834</v>
      </c>
      <c r="AH235" s="705">
        <v>74753</v>
      </c>
      <c r="AI235">
        <v>100</v>
      </c>
      <c r="AJ235" s="705">
        <v>33350</v>
      </c>
      <c r="AK235" s="705">
        <v>22441</v>
      </c>
      <c r="AL235" s="705">
        <v>16192</v>
      </c>
      <c r="AM235" s="705">
        <v>5997</v>
      </c>
      <c r="AN235" s="705">
        <v>1067</v>
      </c>
      <c r="AO235">
        <v>395</v>
      </c>
      <c r="AP235" s="705">
        <v>33484</v>
      </c>
      <c r="AQ235" s="705">
        <v>30440</v>
      </c>
      <c r="AR235">
        <v>0</v>
      </c>
      <c r="AS235">
        <v>0</v>
      </c>
      <c r="AT235" s="705">
        <v>134027</v>
      </c>
      <c r="AU235" s="705">
        <f t="shared" si="16"/>
        <v>134026</v>
      </c>
      <c r="AV235" s="705">
        <f t="shared" si="17"/>
        <v>285927</v>
      </c>
    </row>
    <row r="236" spans="2:48" ht="12.75" hidden="1" customHeight="1">
      <c r="B236" t="s">
        <v>535</v>
      </c>
      <c r="C236" t="s">
        <v>118</v>
      </c>
      <c r="D236" t="s">
        <v>667</v>
      </c>
      <c r="E236" t="s">
        <v>667</v>
      </c>
      <c r="F236" s="705">
        <v>1</v>
      </c>
      <c r="G236" s="705">
        <v>77</v>
      </c>
      <c r="H236" s="705">
        <v>299</v>
      </c>
      <c r="I236" s="705">
        <v>12340</v>
      </c>
      <c r="J236" s="705">
        <v>11218</v>
      </c>
      <c r="K236" s="705">
        <v>55</v>
      </c>
      <c r="L236" s="705">
        <v>2509</v>
      </c>
      <c r="M236" s="705">
        <v>2281</v>
      </c>
      <c r="N236" s="705">
        <v>1667</v>
      </c>
      <c r="O236" s="705">
        <v>618</v>
      </c>
      <c r="P236" s="705">
        <v>351</v>
      </c>
      <c r="Q236" s="705">
        <v>130</v>
      </c>
      <c r="R236" s="705">
        <v>4019</v>
      </c>
      <c r="S236" s="705">
        <v>3653</v>
      </c>
      <c r="T236" s="705">
        <v>2124</v>
      </c>
      <c r="U236" s="705">
        <v>787</v>
      </c>
      <c r="V236" s="705">
        <v>18687</v>
      </c>
      <c r="W236" s="705">
        <f t="shared" si="14"/>
        <v>18687</v>
      </c>
      <c r="X236" s="705">
        <f t="shared" si="15"/>
        <v>23010</v>
      </c>
      <c r="Y236" s="705"/>
      <c r="AA236" t="s">
        <v>120</v>
      </c>
      <c r="AB236" t="s">
        <v>228</v>
      </c>
      <c r="AC236" t="s">
        <v>669</v>
      </c>
      <c r="AD236">
        <v>48</v>
      </c>
      <c r="AE236" s="705">
        <v>3616</v>
      </c>
      <c r="AF236" s="705">
        <v>16190</v>
      </c>
      <c r="AG236" s="705">
        <v>664453</v>
      </c>
      <c r="AH236" s="705">
        <v>246094</v>
      </c>
      <c r="AI236">
        <v>119</v>
      </c>
      <c r="AJ236" s="705">
        <v>93726</v>
      </c>
      <c r="AK236" s="705">
        <v>78105</v>
      </c>
      <c r="AL236" s="705">
        <v>75121</v>
      </c>
      <c r="AM236" s="705">
        <v>27823</v>
      </c>
      <c r="AN236" s="705">
        <v>3764</v>
      </c>
      <c r="AO236" s="705">
        <v>1394</v>
      </c>
      <c r="AP236" s="705">
        <v>281760</v>
      </c>
      <c r="AQ236" s="705">
        <v>234800</v>
      </c>
      <c r="AR236" s="705">
        <v>104965</v>
      </c>
      <c r="AS236" s="705">
        <v>38876</v>
      </c>
      <c r="AT236" s="705">
        <v>627091</v>
      </c>
      <c r="AU236" s="705">
        <f t="shared" si="16"/>
        <v>627092</v>
      </c>
      <c r="AV236" s="705">
        <f t="shared" si="17"/>
        <v>1223789</v>
      </c>
    </row>
    <row r="237" spans="2:48" ht="12.75" hidden="1" customHeight="1">
      <c r="B237" t="s">
        <v>535</v>
      </c>
      <c r="C237" t="s">
        <v>118</v>
      </c>
      <c r="D237" t="s">
        <v>671</v>
      </c>
      <c r="E237" t="s">
        <v>671</v>
      </c>
      <c r="F237" s="705">
        <v>6</v>
      </c>
      <c r="G237" s="705">
        <v>583</v>
      </c>
      <c r="H237" s="705">
        <v>1619</v>
      </c>
      <c r="I237" s="705">
        <v>96532</v>
      </c>
      <c r="J237" s="705">
        <v>87756</v>
      </c>
      <c r="K237" s="705">
        <v>55</v>
      </c>
      <c r="L237" s="705">
        <v>2999</v>
      </c>
      <c r="M237" s="705">
        <v>1111</v>
      </c>
      <c r="N237" s="705">
        <v>11483</v>
      </c>
      <c r="O237" s="705">
        <v>4253</v>
      </c>
      <c r="P237" s="705">
        <v>2106</v>
      </c>
      <c r="Q237" s="705">
        <v>780</v>
      </c>
      <c r="R237" s="705">
        <v>29947</v>
      </c>
      <c r="S237" s="705">
        <v>27225</v>
      </c>
      <c r="T237" s="705">
        <v>14478</v>
      </c>
      <c r="U237" s="705">
        <v>5362</v>
      </c>
      <c r="V237" s="705">
        <v>126487</v>
      </c>
      <c r="W237" s="705">
        <f t="shared" si="14"/>
        <v>126487</v>
      </c>
      <c r="X237" s="705">
        <f t="shared" si="15"/>
        <v>157545</v>
      </c>
      <c r="Y237" s="705"/>
      <c r="AA237" t="s">
        <v>120</v>
      </c>
      <c r="AB237" t="s">
        <v>228</v>
      </c>
      <c r="AC237" t="s">
        <v>667</v>
      </c>
      <c r="AD237">
        <v>2</v>
      </c>
      <c r="AE237" s="705">
        <v>162</v>
      </c>
      <c r="AF237" s="705">
        <v>629</v>
      </c>
      <c r="AG237" s="705">
        <v>27766</v>
      </c>
      <c r="AH237" s="705">
        <v>10284</v>
      </c>
      <c r="AI237">
        <v>100</v>
      </c>
      <c r="AJ237" s="705">
        <v>4049</v>
      </c>
      <c r="AK237" s="705">
        <v>3681</v>
      </c>
      <c r="AL237" s="705">
        <v>3559</v>
      </c>
      <c r="AM237" s="705">
        <v>1318</v>
      </c>
      <c r="AN237" s="705">
        <v>351</v>
      </c>
      <c r="AO237" s="705">
        <v>130</v>
      </c>
      <c r="AP237" s="705">
        <v>10800</v>
      </c>
      <c r="AQ237" s="705">
        <v>9818</v>
      </c>
      <c r="AR237" s="705">
        <v>4354</v>
      </c>
      <c r="AS237" s="705">
        <v>1613</v>
      </c>
      <c r="AT237" s="705">
        <v>26843</v>
      </c>
      <c r="AU237" s="705">
        <f t="shared" si="16"/>
        <v>26844</v>
      </c>
      <c r="AV237" s="705">
        <f t="shared" si="17"/>
        <v>50879</v>
      </c>
    </row>
    <row r="238" spans="2:48" ht="12.75" hidden="1" customHeight="1">
      <c r="B238" t="s">
        <v>535</v>
      </c>
      <c r="C238" t="s">
        <v>118</v>
      </c>
      <c r="D238" t="s">
        <v>665</v>
      </c>
      <c r="E238" t="s">
        <v>228</v>
      </c>
      <c r="F238">
        <v>24</v>
      </c>
      <c r="G238" s="705">
        <v>1764</v>
      </c>
      <c r="H238" s="705">
        <v>6817</v>
      </c>
      <c r="I238" s="705">
        <v>309317</v>
      </c>
      <c r="J238" s="705">
        <v>281197</v>
      </c>
      <c r="K238" s="705">
        <v>56</v>
      </c>
      <c r="L238" s="705">
        <v>5860</v>
      </c>
      <c r="M238" s="705">
        <v>7897</v>
      </c>
      <c r="N238" s="705">
        <v>35232</v>
      </c>
      <c r="O238" s="705">
        <v>13049</v>
      </c>
      <c r="P238" s="705">
        <v>8424</v>
      </c>
      <c r="Q238" s="705">
        <v>3120</v>
      </c>
      <c r="R238" s="705">
        <v>154291</v>
      </c>
      <c r="S238" s="705">
        <v>57145</v>
      </c>
      <c r="T238" s="705">
        <v>0</v>
      </c>
      <c r="U238" s="705">
        <v>0</v>
      </c>
      <c r="V238" s="705">
        <v>362407</v>
      </c>
      <c r="W238" s="705">
        <f t="shared" si="14"/>
        <v>362408</v>
      </c>
      <c r="X238" s="705">
        <f t="shared" si="15"/>
        <v>513124</v>
      </c>
      <c r="Y238" s="705"/>
      <c r="AA238" t="s">
        <v>120</v>
      </c>
      <c r="AB238" t="s">
        <v>228</v>
      </c>
      <c r="AC238" t="s">
        <v>671</v>
      </c>
      <c r="AD238">
        <v>4</v>
      </c>
      <c r="AE238">
        <v>309</v>
      </c>
      <c r="AF238" s="705">
        <v>1385</v>
      </c>
      <c r="AG238" s="705">
        <v>62583</v>
      </c>
      <c r="AH238" s="705">
        <v>23179</v>
      </c>
      <c r="AI238">
        <v>100</v>
      </c>
      <c r="AJ238" s="705">
        <v>7422</v>
      </c>
      <c r="AK238" s="705">
        <v>6747</v>
      </c>
      <c r="AL238" s="705">
        <v>6275</v>
      </c>
      <c r="AM238" s="705">
        <v>2324</v>
      </c>
      <c r="AN238">
        <v>351</v>
      </c>
      <c r="AO238">
        <v>130</v>
      </c>
      <c r="AP238" s="705">
        <v>21723</v>
      </c>
      <c r="AQ238" s="705">
        <v>19748</v>
      </c>
      <c r="AR238" s="705">
        <v>8651</v>
      </c>
      <c r="AS238" s="705">
        <v>3204</v>
      </c>
      <c r="AT238" s="705">
        <v>55333</v>
      </c>
      <c r="AU238" s="705">
        <f t="shared" si="16"/>
        <v>55332</v>
      </c>
      <c r="AV238" s="705">
        <f t="shared" si="17"/>
        <v>107005</v>
      </c>
    </row>
    <row r="239" spans="2:48" ht="12.75" hidden="1" customHeight="1">
      <c r="B239" t="s">
        <v>535</v>
      </c>
      <c r="C239" t="s">
        <v>118</v>
      </c>
      <c r="D239" t="s">
        <v>665</v>
      </c>
      <c r="E239" t="s">
        <v>669</v>
      </c>
      <c r="F239" s="705">
        <v>1</v>
      </c>
      <c r="G239" s="705">
        <v>95</v>
      </c>
      <c r="H239" s="705">
        <v>272</v>
      </c>
      <c r="I239" s="705">
        <v>13427</v>
      </c>
      <c r="J239" s="705">
        <v>12206</v>
      </c>
      <c r="K239" s="705">
        <v>55</v>
      </c>
      <c r="L239" s="705">
        <v>2014</v>
      </c>
      <c r="M239" s="705">
        <v>746</v>
      </c>
      <c r="N239" s="705">
        <v>2064</v>
      </c>
      <c r="O239" s="705">
        <v>764</v>
      </c>
      <c r="P239" s="705">
        <v>351</v>
      </c>
      <c r="Q239" s="705">
        <v>130</v>
      </c>
      <c r="R239" s="705">
        <v>5664</v>
      </c>
      <c r="S239" s="705">
        <v>4720</v>
      </c>
      <c r="T239" s="705">
        <v>2365</v>
      </c>
      <c r="U239" s="705">
        <v>876</v>
      </c>
      <c r="V239" s="705">
        <v>19443</v>
      </c>
      <c r="W239" s="705">
        <f t="shared" si="14"/>
        <v>19442</v>
      </c>
      <c r="X239" s="705">
        <f t="shared" si="15"/>
        <v>25885</v>
      </c>
      <c r="Y239" s="705"/>
      <c r="AA239" t="s">
        <v>120</v>
      </c>
      <c r="AB239" t="s">
        <v>228</v>
      </c>
      <c r="AC239" t="s">
        <v>665</v>
      </c>
      <c r="AD239">
        <v>108</v>
      </c>
      <c r="AE239" s="705">
        <v>8324</v>
      </c>
      <c r="AF239" s="705">
        <v>36946</v>
      </c>
      <c r="AG239" s="705">
        <v>1637836</v>
      </c>
      <c r="AH239" s="705">
        <v>606606</v>
      </c>
      <c r="AI239">
        <v>102</v>
      </c>
      <c r="AJ239" s="705">
        <v>208176</v>
      </c>
      <c r="AK239" s="705">
        <v>185644</v>
      </c>
      <c r="AL239" s="705">
        <v>164285</v>
      </c>
      <c r="AM239" s="705">
        <v>60846</v>
      </c>
      <c r="AN239" s="705">
        <v>9551</v>
      </c>
      <c r="AO239" s="705">
        <v>3538</v>
      </c>
      <c r="AP239" s="705">
        <v>606531</v>
      </c>
      <c r="AQ239" s="705">
        <v>551392</v>
      </c>
      <c r="AR239" s="705">
        <v>214639</v>
      </c>
      <c r="AS239" s="705">
        <v>79496</v>
      </c>
      <c r="AT239" s="705">
        <v>1487521</v>
      </c>
      <c r="AU239" s="705">
        <f t="shared" si="16"/>
        <v>1487522</v>
      </c>
      <c r="AV239" s="705">
        <f t="shared" si="17"/>
        <v>2841018</v>
      </c>
    </row>
    <row r="240" spans="2:48" ht="12.75" hidden="1" customHeight="1">
      <c r="B240" t="s">
        <v>535</v>
      </c>
      <c r="C240" t="s">
        <v>118</v>
      </c>
      <c r="D240" t="s">
        <v>665</v>
      </c>
      <c r="E240" t="s">
        <v>665</v>
      </c>
      <c r="F240">
        <v>375</v>
      </c>
      <c r="G240" s="705">
        <v>30367</v>
      </c>
      <c r="H240" s="705">
        <v>99250</v>
      </c>
      <c r="I240" s="705">
        <v>4415005</v>
      </c>
      <c r="J240" s="705">
        <v>4013641</v>
      </c>
      <c r="K240" s="705">
        <v>62</v>
      </c>
      <c r="L240" s="705">
        <v>449435</v>
      </c>
      <c r="M240" s="705">
        <v>361955</v>
      </c>
      <c r="N240" s="705">
        <v>602848</v>
      </c>
      <c r="O240" s="705">
        <v>223277</v>
      </c>
      <c r="P240" s="705">
        <v>134335</v>
      </c>
      <c r="Q240" s="705">
        <v>49754</v>
      </c>
      <c r="R240" s="705">
        <v>1667904</v>
      </c>
      <c r="S240" s="705">
        <v>1516277</v>
      </c>
      <c r="T240" s="705">
        <v>793551</v>
      </c>
      <c r="U240" s="705">
        <v>293908</v>
      </c>
      <c r="V240" s="705">
        <v>6458811</v>
      </c>
      <c r="W240" s="705">
        <f t="shared" si="14"/>
        <v>6458812</v>
      </c>
      <c r="X240" s="705">
        <f t="shared" si="15"/>
        <v>8063078</v>
      </c>
      <c r="Y240" s="705"/>
      <c r="AA240" t="s">
        <v>120</v>
      </c>
      <c r="AB240" t="s">
        <v>583</v>
      </c>
      <c r="AC240" t="s">
        <v>674</v>
      </c>
      <c r="AD240">
        <v>2</v>
      </c>
      <c r="AE240">
        <v>174</v>
      </c>
      <c r="AF240">
        <v>724</v>
      </c>
      <c r="AG240" s="705">
        <v>37436</v>
      </c>
      <c r="AH240" s="705">
        <v>34033</v>
      </c>
      <c r="AI240">
        <v>75</v>
      </c>
      <c r="AJ240" s="705">
        <v>9691</v>
      </c>
      <c r="AK240" s="705">
        <v>8810</v>
      </c>
      <c r="AL240" s="705">
        <v>4246</v>
      </c>
      <c r="AM240" s="705">
        <v>1573</v>
      </c>
      <c r="AN240">
        <v>972</v>
      </c>
      <c r="AO240">
        <v>360</v>
      </c>
      <c r="AP240" s="705">
        <v>9372</v>
      </c>
      <c r="AQ240" s="705">
        <v>8520</v>
      </c>
      <c r="AR240" s="705">
        <v>1636</v>
      </c>
      <c r="AS240">
        <v>606</v>
      </c>
      <c r="AT240" s="705">
        <v>53901</v>
      </c>
      <c r="AU240" s="705">
        <f t="shared" si="16"/>
        <v>53902</v>
      </c>
      <c r="AV240" s="705">
        <f t="shared" si="17"/>
        <v>63353</v>
      </c>
    </row>
    <row r="241" spans="2:48" ht="12.75" hidden="1" customHeight="1">
      <c r="B241" t="s">
        <v>535</v>
      </c>
      <c r="C241" t="s">
        <v>118</v>
      </c>
      <c r="D241" t="s">
        <v>665</v>
      </c>
      <c r="E241" t="s">
        <v>722</v>
      </c>
      <c r="F241">
        <v>1</v>
      </c>
      <c r="G241" s="705">
        <v>80</v>
      </c>
      <c r="H241" s="705">
        <v>282</v>
      </c>
      <c r="I241" s="705">
        <v>13214</v>
      </c>
      <c r="J241" s="705">
        <v>12013</v>
      </c>
      <c r="K241" s="705">
        <v>55</v>
      </c>
      <c r="L241" s="705">
        <v>0</v>
      </c>
      <c r="M241" s="705">
        <v>0</v>
      </c>
      <c r="N241" s="705">
        <v>1579</v>
      </c>
      <c r="O241" s="705">
        <v>585</v>
      </c>
      <c r="P241" s="705">
        <v>351</v>
      </c>
      <c r="Q241" s="705">
        <v>130</v>
      </c>
      <c r="R241" s="705">
        <v>5093</v>
      </c>
      <c r="S241" s="705">
        <v>4630</v>
      </c>
      <c r="T241" s="705">
        <v>2300</v>
      </c>
      <c r="U241" s="705">
        <v>852</v>
      </c>
      <c r="V241" s="705">
        <v>18210</v>
      </c>
      <c r="W241" s="705">
        <f t="shared" si="14"/>
        <v>18210</v>
      </c>
      <c r="X241" s="705">
        <f t="shared" si="15"/>
        <v>22537</v>
      </c>
      <c r="Y241" s="705"/>
      <c r="AA241" t="s">
        <v>120</v>
      </c>
      <c r="AB241" t="s">
        <v>583</v>
      </c>
      <c r="AC241" t="s">
        <v>664</v>
      </c>
      <c r="AD241">
        <v>10</v>
      </c>
      <c r="AE241">
        <v>896</v>
      </c>
      <c r="AF241" s="705">
        <v>3345</v>
      </c>
      <c r="AG241" s="705">
        <v>169147</v>
      </c>
      <c r="AH241" s="705">
        <v>153770</v>
      </c>
      <c r="AI241">
        <v>71</v>
      </c>
      <c r="AJ241" s="705">
        <v>35767</v>
      </c>
      <c r="AK241" s="705">
        <v>32079</v>
      </c>
      <c r="AL241" s="705">
        <v>19405</v>
      </c>
      <c r="AM241" s="705">
        <v>7187</v>
      </c>
      <c r="AN241" s="705">
        <v>6494</v>
      </c>
      <c r="AO241" s="705">
        <v>2405</v>
      </c>
      <c r="AP241" s="705">
        <v>47641</v>
      </c>
      <c r="AQ241" s="705">
        <v>43310</v>
      </c>
      <c r="AR241" s="705">
        <v>24252</v>
      </c>
      <c r="AS241" s="705">
        <v>8982</v>
      </c>
      <c r="AT241" s="705">
        <v>247733</v>
      </c>
      <c r="AU241" s="705">
        <f t="shared" si="16"/>
        <v>247733</v>
      </c>
      <c r="AV241" s="705">
        <f t="shared" si="17"/>
        <v>302706</v>
      </c>
    </row>
    <row r="242" spans="2:48" ht="12.75" hidden="1" customHeight="1">
      <c r="B242" t="s">
        <v>535</v>
      </c>
      <c r="C242" t="s">
        <v>118</v>
      </c>
      <c r="D242" t="s">
        <v>722</v>
      </c>
      <c r="E242" t="s">
        <v>722</v>
      </c>
      <c r="F242" s="705">
        <v>1</v>
      </c>
      <c r="G242" s="705">
        <v>83</v>
      </c>
      <c r="H242" s="705">
        <v>279</v>
      </c>
      <c r="I242" s="705">
        <v>11376</v>
      </c>
      <c r="J242" s="705">
        <v>10342</v>
      </c>
      <c r="K242" s="705">
        <v>65</v>
      </c>
      <c r="L242" s="705">
        <v>2739</v>
      </c>
      <c r="M242" s="705">
        <v>2490</v>
      </c>
      <c r="N242" s="705">
        <v>1260</v>
      </c>
      <c r="O242" s="705">
        <v>467</v>
      </c>
      <c r="P242" s="705">
        <v>351</v>
      </c>
      <c r="Q242" s="705">
        <v>130</v>
      </c>
      <c r="R242" s="705">
        <v>4754</v>
      </c>
      <c r="S242" s="705">
        <v>4322</v>
      </c>
      <c r="T242" s="705">
        <v>2649</v>
      </c>
      <c r="U242" s="705">
        <v>981</v>
      </c>
      <c r="V242" s="705">
        <v>18731</v>
      </c>
      <c r="W242" s="705">
        <f t="shared" si="14"/>
        <v>18732</v>
      </c>
      <c r="X242" s="705">
        <f t="shared" si="15"/>
        <v>23129</v>
      </c>
      <c r="Y242" s="705"/>
      <c r="AA242" t="s">
        <v>120</v>
      </c>
      <c r="AB242" t="s">
        <v>583</v>
      </c>
      <c r="AC242" t="s">
        <v>228</v>
      </c>
      <c r="AD242">
        <v>124</v>
      </c>
      <c r="AE242" s="705">
        <v>12324</v>
      </c>
      <c r="AF242" s="705">
        <v>42248</v>
      </c>
      <c r="AG242" s="705">
        <v>2573594</v>
      </c>
      <c r="AH242" s="705">
        <v>2339631</v>
      </c>
      <c r="AI242">
        <v>81</v>
      </c>
      <c r="AJ242" s="705">
        <v>514500</v>
      </c>
      <c r="AK242" s="705">
        <v>427829</v>
      </c>
      <c r="AL242" s="705">
        <v>258633</v>
      </c>
      <c r="AM242" s="705">
        <v>95790</v>
      </c>
      <c r="AN242" s="705">
        <v>77187</v>
      </c>
      <c r="AO242" s="705">
        <v>28588</v>
      </c>
      <c r="AP242" s="705">
        <v>860232</v>
      </c>
      <c r="AQ242" s="705">
        <v>318604</v>
      </c>
      <c r="AR242" s="705">
        <v>4129</v>
      </c>
      <c r="AS242" s="705">
        <v>1529</v>
      </c>
      <c r="AT242" s="705">
        <v>3211970</v>
      </c>
      <c r="AU242" s="705">
        <f t="shared" si="16"/>
        <v>3211971</v>
      </c>
      <c r="AV242" s="705">
        <f t="shared" si="17"/>
        <v>4288275</v>
      </c>
    </row>
    <row r="243" spans="2:48" ht="12.75" hidden="1" customHeight="1">
      <c r="B243" t="s">
        <v>535</v>
      </c>
      <c r="C243" t="s">
        <v>118</v>
      </c>
      <c r="D243" t="s">
        <v>585</v>
      </c>
      <c r="E243" s="705" t="s">
        <v>585</v>
      </c>
      <c r="F243" s="705">
        <v>1</v>
      </c>
      <c r="G243" s="705">
        <v>80</v>
      </c>
      <c r="H243" s="705">
        <v>250</v>
      </c>
      <c r="I243" s="705">
        <v>9500</v>
      </c>
      <c r="J243" s="705">
        <v>8637</v>
      </c>
      <c r="K243" s="705">
        <v>65</v>
      </c>
      <c r="L243" s="705">
        <v>2287</v>
      </c>
      <c r="M243" s="705">
        <v>2079</v>
      </c>
      <c r="N243" s="705">
        <v>977</v>
      </c>
      <c r="O243" s="705">
        <v>362</v>
      </c>
      <c r="P243" s="705">
        <v>351</v>
      </c>
      <c r="Q243" s="705">
        <v>130</v>
      </c>
      <c r="R243" s="705">
        <v>4482</v>
      </c>
      <c r="S243" s="705">
        <v>4075</v>
      </c>
      <c r="T243" s="705">
        <v>2435</v>
      </c>
      <c r="U243" s="705">
        <v>902</v>
      </c>
      <c r="V243" s="705">
        <v>16184</v>
      </c>
      <c r="W243" s="705">
        <f t="shared" si="14"/>
        <v>16185</v>
      </c>
      <c r="X243" s="705">
        <f t="shared" si="15"/>
        <v>20032</v>
      </c>
      <c r="Y243" s="705"/>
      <c r="AA243" t="s">
        <v>120</v>
      </c>
      <c r="AB243" t="s">
        <v>583</v>
      </c>
      <c r="AC243" t="s">
        <v>583</v>
      </c>
      <c r="AD243" s="705">
        <v>12910</v>
      </c>
      <c r="AE243" s="705">
        <v>1240253</v>
      </c>
      <c r="AF243" s="705">
        <v>4364778</v>
      </c>
      <c r="AG243" s="705">
        <v>249338427</v>
      </c>
      <c r="AH243" s="705">
        <v>226671296</v>
      </c>
      <c r="AI243">
        <v>77</v>
      </c>
      <c r="AJ243" s="705">
        <v>55145952</v>
      </c>
      <c r="AK243" s="705">
        <v>46881342</v>
      </c>
      <c r="AL243" s="705">
        <v>25942613</v>
      </c>
      <c r="AM243" s="705">
        <v>9608375</v>
      </c>
      <c r="AN243" s="705">
        <v>8216602</v>
      </c>
      <c r="AO243" s="705">
        <v>3043186</v>
      </c>
      <c r="AP243" s="705">
        <v>61835138</v>
      </c>
      <c r="AQ243" s="705">
        <v>56213761</v>
      </c>
      <c r="AR243" s="705">
        <v>22843954</v>
      </c>
      <c r="AS243" s="705">
        <v>8460724</v>
      </c>
      <c r="AT243" s="705">
        <v>350878685</v>
      </c>
      <c r="AU243" s="705">
        <f t="shared" si="16"/>
        <v>350878684</v>
      </c>
      <c r="AV243" s="705">
        <f t="shared" si="17"/>
        <v>423322686</v>
      </c>
    </row>
    <row r="244" spans="2:48" ht="12.75" hidden="1" customHeight="1">
      <c r="B244" t="s">
        <v>535</v>
      </c>
      <c r="C244" t="s">
        <v>120</v>
      </c>
      <c r="D244" t="s">
        <v>664</v>
      </c>
      <c r="E244" t="s">
        <v>664</v>
      </c>
      <c r="F244">
        <v>1</v>
      </c>
      <c r="G244" s="705">
        <v>96</v>
      </c>
      <c r="H244" s="705">
        <v>355</v>
      </c>
      <c r="I244" s="705">
        <v>21572</v>
      </c>
      <c r="J244" s="705">
        <v>19611</v>
      </c>
      <c r="K244" s="705">
        <v>65</v>
      </c>
      <c r="L244" s="705">
        <v>2279</v>
      </c>
      <c r="M244" s="705">
        <v>2072</v>
      </c>
      <c r="N244" s="705">
        <v>2133</v>
      </c>
      <c r="O244" s="705">
        <v>790</v>
      </c>
      <c r="P244" s="705">
        <v>351</v>
      </c>
      <c r="Q244" s="705">
        <v>130</v>
      </c>
      <c r="R244" s="705">
        <v>4992</v>
      </c>
      <c r="S244" s="705">
        <v>4538</v>
      </c>
      <c r="T244" s="705">
        <v>2640</v>
      </c>
      <c r="U244" s="705">
        <v>978</v>
      </c>
      <c r="V244" s="705">
        <v>28119</v>
      </c>
      <c r="W244" s="705">
        <f t="shared" si="14"/>
        <v>28119</v>
      </c>
      <c r="X244" s="705">
        <f t="shared" si="15"/>
        <v>33967</v>
      </c>
      <c r="Y244" s="705"/>
      <c r="AA244" t="s">
        <v>120</v>
      </c>
      <c r="AB244" t="s">
        <v>583</v>
      </c>
      <c r="AC244" t="s">
        <v>666</v>
      </c>
      <c r="AD244">
        <v>10</v>
      </c>
      <c r="AE244" s="705">
        <v>879</v>
      </c>
      <c r="AF244" s="705">
        <v>3502</v>
      </c>
      <c r="AG244" s="705">
        <v>164612</v>
      </c>
      <c r="AH244" s="705">
        <v>149647</v>
      </c>
      <c r="AI244">
        <v>71</v>
      </c>
      <c r="AJ244" s="705">
        <v>35227</v>
      </c>
      <c r="AK244" s="705">
        <v>28333</v>
      </c>
      <c r="AL244" s="705">
        <v>19140</v>
      </c>
      <c r="AM244" s="705">
        <v>7089</v>
      </c>
      <c r="AN244" s="705">
        <v>5400</v>
      </c>
      <c r="AO244" s="705">
        <v>2000</v>
      </c>
      <c r="AP244" s="705">
        <v>54290</v>
      </c>
      <c r="AQ244" s="705">
        <v>49354</v>
      </c>
      <c r="AR244" s="705">
        <v>29549</v>
      </c>
      <c r="AS244" s="705">
        <v>10944</v>
      </c>
      <c r="AT244" s="705">
        <v>247367</v>
      </c>
      <c r="AU244" s="705">
        <f t="shared" si="16"/>
        <v>247367</v>
      </c>
      <c r="AV244" s="705">
        <f t="shared" si="17"/>
        <v>308218</v>
      </c>
    </row>
    <row r="245" spans="2:48" ht="12.75" hidden="1" customHeight="1">
      <c r="B245" t="s">
        <v>535</v>
      </c>
      <c r="C245" t="s">
        <v>120</v>
      </c>
      <c r="D245" t="s">
        <v>582</v>
      </c>
      <c r="E245" t="s">
        <v>582</v>
      </c>
      <c r="F245">
        <v>10</v>
      </c>
      <c r="G245" s="705">
        <v>1273</v>
      </c>
      <c r="H245" s="705">
        <v>3542</v>
      </c>
      <c r="I245" s="705">
        <v>289987</v>
      </c>
      <c r="J245" s="705">
        <v>263625</v>
      </c>
      <c r="K245" s="705">
        <v>76</v>
      </c>
      <c r="L245" s="705">
        <v>65309</v>
      </c>
      <c r="M245" s="705">
        <v>56516</v>
      </c>
      <c r="N245" s="705">
        <v>27806</v>
      </c>
      <c r="O245" s="705">
        <v>10299</v>
      </c>
      <c r="P245" s="705">
        <v>4712</v>
      </c>
      <c r="Q245" s="705">
        <v>1745</v>
      </c>
      <c r="R245" s="705">
        <v>47221</v>
      </c>
      <c r="S245" s="705">
        <v>42928</v>
      </c>
      <c r="T245" s="705">
        <v>15312</v>
      </c>
      <c r="U245" s="705">
        <v>5671</v>
      </c>
      <c r="V245" s="705">
        <v>380784</v>
      </c>
      <c r="W245" s="705">
        <f t="shared" si="14"/>
        <v>380784</v>
      </c>
      <c r="X245" s="705">
        <f t="shared" si="15"/>
        <v>450347</v>
      </c>
      <c r="Y245" s="705"/>
      <c r="AA245" t="s">
        <v>120</v>
      </c>
      <c r="AB245" t="s">
        <v>583</v>
      </c>
      <c r="AC245" t="s">
        <v>584</v>
      </c>
      <c r="AD245">
        <v>7</v>
      </c>
      <c r="AE245">
        <v>753</v>
      </c>
      <c r="AF245" s="705">
        <v>2341</v>
      </c>
      <c r="AG245" s="705">
        <v>153180</v>
      </c>
      <c r="AH245" s="705">
        <v>139255</v>
      </c>
      <c r="AI245">
        <v>72</v>
      </c>
      <c r="AJ245" s="705">
        <v>31163</v>
      </c>
      <c r="AK245" s="705">
        <v>27788</v>
      </c>
      <c r="AL245" s="705">
        <v>15628</v>
      </c>
      <c r="AM245" s="705">
        <v>5788</v>
      </c>
      <c r="AN245" s="705">
        <v>4347</v>
      </c>
      <c r="AO245" s="705">
        <v>1610</v>
      </c>
      <c r="AP245" s="705">
        <v>40738</v>
      </c>
      <c r="AQ245" s="705">
        <v>37035</v>
      </c>
      <c r="AR245" s="705">
        <v>6590</v>
      </c>
      <c r="AS245" s="705">
        <v>2441</v>
      </c>
      <c r="AT245" s="705">
        <v>213916</v>
      </c>
      <c r="AU245" s="705">
        <f t="shared" si="16"/>
        <v>213917</v>
      </c>
      <c r="AV245" s="705">
        <f t="shared" si="17"/>
        <v>251646</v>
      </c>
    </row>
    <row r="246" spans="2:48" ht="12.75" hidden="1" customHeight="1">
      <c r="B246" t="s">
        <v>535</v>
      </c>
      <c r="C246" t="s">
        <v>120</v>
      </c>
      <c r="D246" t="s">
        <v>228</v>
      </c>
      <c r="E246" t="s">
        <v>228</v>
      </c>
      <c r="F246">
        <v>239</v>
      </c>
      <c r="G246" s="705">
        <v>21615</v>
      </c>
      <c r="H246" s="705">
        <v>79708</v>
      </c>
      <c r="I246" s="705">
        <v>4424145</v>
      </c>
      <c r="J246" s="705">
        <v>1638572</v>
      </c>
      <c r="K246" s="705">
        <v>100</v>
      </c>
      <c r="L246" s="705">
        <v>633809</v>
      </c>
      <c r="M246" s="705">
        <v>430548</v>
      </c>
      <c r="N246" s="705">
        <v>477897</v>
      </c>
      <c r="O246" s="705">
        <v>176999</v>
      </c>
      <c r="P246" s="705">
        <v>2221</v>
      </c>
      <c r="Q246" s="705">
        <v>823</v>
      </c>
      <c r="R246" s="705">
        <v>1829861</v>
      </c>
      <c r="S246" s="705">
        <v>677726</v>
      </c>
      <c r="T246" s="705">
        <v>6487</v>
      </c>
      <c r="U246" s="705">
        <v>2403</v>
      </c>
      <c r="V246" s="705">
        <v>2927071</v>
      </c>
      <c r="W246" s="705">
        <f t="shared" si="14"/>
        <v>2927071</v>
      </c>
      <c r="X246" s="705">
        <f t="shared" si="15"/>
        <v>7374420</v>
      </c>
      <c r="Y246" s="705"/>
      <c r="AA246" t="s">
        <v>120</v>
      </c>
      <c r="AB246" t="s">
        <v>583</v>
      </c>
      <c r="AC246" t="s">
        <v>669</v>
      </c>
      <c r="AD246">
        <v>4</v>
      </c>
      <c r="AE246">
        <v>369</v>
      </c>
      <c r="AF246" s="705">
        <v>1370</v>
      </c>
      <c r="AG246" s="705">
        <v>65417</v>
      </c>
      <c r="AH246" s="705">
        <v>59470</v>
      </c>
      <c r="AI246">
        <v>71</v>
      </c>
      <c r="AJ246" s="705">
        <v>16158</v>
      </c>
      <c r="AK246" s="705">
        <v>14275</v>
      </c>
      <c r="AL246" s="705">
        <v>8716</v>
      </c>
      <c r="AM246" s="705">
        <v>3228</v>
      </c>
      <c r="AN246" s="705">
        <v>2484</v>
      </c>
      <c r="AO246">
        <v>920</v>
      </c>
      <c r="AP246" s="705">
        <v>22895</v>
      </c>
      <c r="AQ246" s="705">
        <v>19079</v>
      </c>
      <c r="AR246" s="705">
        <v>11443</v>
      </c>
      <c r="AS246" s="705">
        <v>4238</v>
      </c>
      <c r="AT246" s="705">
        <v>101210</v>
      </c>
      <c r="AU246" s="705">
        <f t="shared" si="16"/>
        <v>101210</v>
      </c>
      <c r="AV246" s="705">
        <f t="shared" si="17"/>
        <v>127113</v>
      </c>
    </row>
    <row r="247" spans="2:48" ht="12.75" hidden="1" customHeight="1">
      <c r="B247" t="s">
        <v>535</v>
      </c>
      <c r="C247" t="s">
        <v>120</v>
      </c>
      <c r="D247" t="s">
        <v>228</v>
      </c>
      <c r="E247" t="s">
        <v>583</v>
      </c>
      <c r="F247" s="705">
        <v>3</v>
      </c>
      <c r="G247" s="705">
        <v>338</v>
      </c>
      <c r="H247" s="705">
        <v>1101</v>
      </c>
      <c r="I247" s="705">
        <v>83471</v>
      </c>
      <c r="J247" s="705">
        <v>30915</v>
      </c>
      <c r="K247" s="705">
        <v>100</v>
      </c>
      <c r="L247" s="705">
        <v>8391</v>
      </c>
      <c r="M247" s="705">
        <v>7628</v>
      </c>
      <c r="N247" s="705">
        <v>7943</v>
      </c>
      <c r="O247" s="705">
        <v>2942</v>
      </c>
      <c r="P247" s="705">
        <v>0</v>
      </c>
      <c r="Q247" s="705">
        <v>0</v>
      </c>
      <c r="R247" s="705">
        <v>14747</v>
      </c>
      <c r="S247" s="705">
        <v>13406</v>
      </c>
      <c r="T247" s="705">
        <v>9035</v>
      </c>
      <c r="U247" s="705">
        <v>3346</v>
      </c>
      <c r="V247" s="705">
        <v>58238</v>
      </c>
      <c r="W247" s="705">
        <f t="shared" si="14"/>
        <v>58237</v>
      </c>
      <c r="X247" s="705">
        <f t="shared" si="15"/>
        <v>123587</v>
      </c>
      <c r="Y247" s="705"/>
      <c r="AA247" t="s">
        <v>120</v>
      </c>
      <c r="AB247" t="s">
        <v>583</v>
      </c>
      <c r="AC247" t="s">
        <v>671</v>
      </c>
      <c r="AD247">
        <v>1</v>
      </c>
      <c r="AE247" s="705">
        <v>68</v>
      </c>
      <c r="AF247" s="705">
        <v>337</v>
      </c>
      <c r="AG247" s="705">
        <v>23108</v>
      </c>
      <c r="AH247" s="705">
        <v>21008</v>
      </c>
      <c r="AI247">
        <v>81</v>
      </c>
      <c r="AJ247" s="705">
        <v>3057</v>
      </c>
      <c r="AK247" s="705">
        <v>2779</v>
      </c>
      <c r="AL247" s="705">
        <v>2213</v>
      </c>
      <c r="AM247" s="705">
        <v>820</v>
      </c>
      <c r="AN247" s="705">
        <v>621</v>
      </c>
      <c r="AO247" s="705">
        <v>230</v>
      </c>
      <c r="AP247" s="705">
        <v>4450</v>
      </c>
      <c r="AQ247" s="705">
        <v>4045</v>
      </c>
      <c r="AR247" s="705">
        <v>0</v>
      </c>
      <c r="AS247" s="705">
        <v>0</v>
      </c>
      <c r="AT247" s="705">
        <v>28882</v>
      </c>
      <c r="AU247" s="705">
        <f t="shared" si="16"/>
        <v>28882</v>
      </c>
      <c r="AV247" s="705">
        <f t="shared" si="17"/>
        <v>33449</v>
      </c>
    </row>
    <row r="248" spans="2:48" ht="12.75" hidden="1" customHeight="1">
      <c r="B248" t="s">
        <v>535</v>
      </c>
      <c r="C248" t="s">
        <v>120</v>
      </c>
      <c r="D248" t="s">
        <v>228</v>
      </c>
      <c r="E248" t="s">
        <v>666</v>
      </c>
      <c r="F248" s="705">
        <v>1</v>
      </c>
      <c r="G248" s="705">
        <v>63</v>
      </c>
      <c r="H248" s="705">
        <v>329</v>
      </c>
      <c r="I248" s="705">
        <v>9813</v>
      </c>
      <c r="J248" s="705">
        <v>3635</v>
      </c>
      <c r="K248" s="705">
        <v>100</v>
      </c>
      <c r="L248" s="705">
        <v>1999</v>
      </c>
      <c r="M248" s="705">
        <v>1817</v>
      </c>
      <c r="N248" s="705">
        <v>1527</v>
      </c>
      <c r="O248" s="705">
        <v>566</v>
      </c>
      <c r="P248" s="705">
        <v>0</v>
      </c>
      <c r="Q248" s="705">
        <v>0</v>
      </c>
      <c r="R248" s="705">
        <v>5208</v>
      </c>
      <c r="S248" s="705">
        <v>4734</v>
      </c>
      <c r="T248" s="705">
        <v>2061</v>
      </c>
      <c r="U248" s="705">
        <v>763</v>
      </c>
      <c r="V248" s="705">
        <v>11515</v>
      </c>
      <c r="W248" s="705">
        <f t="shared" si="14"/>
        <v>11515</v>
      </c>
      <c r="X248" s="705">
        <f t="shared" si="15"/>
        <v>20608</v>
      </c>
      <c r="Y248" s="705"/>
      <c r="AA248" t="s">
        <v>120</v>
      </c>
      <c r="AB248" t="s">
        <v>583</v>
      </c>
      <c r="AC248" t="s">
        <v>665</v>
      </c>
      <c r="AD248">
        <v>16</v>
      </c>
      <c r="AE248" s="705">
        <v>1551</v>
      </c>
      <c r="AF248" s="705">
        <v>5525</v>
      </c>
      <c r="AG248" s="705">
        <v>321110</v>
      </c>
      <c r="AH248" s="705">
        <v>291919</v>
      </c>
      <c r="AI248">
        <v>74</v>
      </c>
      <c r="AJ248" s="705">
        <v>59843</v>
      </c>
      <c r="AK248" s="705">
        <v>54269</v>
      </c>
      <c r="AL248" s="705">
        <v>33914</v>
      </c>
      <c r="AM248" s="705">
        <v>12561</v>
      </c>
      <c r="AN248" s="705">
        <v>9518</v>
      </c>
      <c r="AO248" s="705">
        <v>3525</v>
      </c>
      <c r="AP248" s="705">
        <v>86036</v>
      </c>
      <c r="AQ248" s="705">
        <v>78214</v>
      </c>
      <c r="AR248" s="705">
        <v>28130</v>
      </c>
      <c r="AS248" s="705">
        <v>10419</v>
      </c>
      <c r="AT248" s="705">
        <v>450906</v>
      </c>
      <c r="AU248" s="705">
        <f t="shared" si="16"/>
        <v>450907</v>
      </c>
      <c r="AV248" s="705">
        <f t="shared" si="17"/>
        <v>538551</v>
      </c>
    </row>
    <row r="249" spans="2:48" ht="12.75" hidden="1" customHeight="1">
      <c r="B249" t="s">
        <v>535</v>
      </c>
      <c r="C249" t="s">
        <v>120</v>
      </c>
      <c r="D249" t="s">
        <v>228</v>
      </c>
      <c r="E249" t="s">
        <v>669</v>
      </c>
      <c r="F249" s="705">
        <v>1</v>
      </c>
      <c r="G249" s="705">
        <v>61</v>
      </c>
      <c r="H249" s="705">
        <v>364</v>
      </c>
      <c r="I249" s="705">
        <v>13241</v>
      </c>
      <c r="J249" s="705">
        <v>4904</v>
      </c>
      <c r="K249" s="705">
        <v>100</v>
      </c>
      <c r="L249" s="705">
        <v>1189</v>
      </c>
      <c r="M249" s="705">
        <v>991</v>
      </c>
      <c r="N249" s="705">
        <v>1480</v>
      </c>
      <c r="O249" s="705">
        <v>548</v>
      </c>
      <c r="P249" s="705">
        <v>0</v>
      </c>
      <c r="Q249" s="705">
        <v>0</v>
      </c>
      <c r="R249" s="705">
        <v>6203</v>
      </c>
      <c r="S249" s="705">
        <v>5169</v>
      </c>
      <c r="T249" s="705">
        <v>0</v>
      </c>
      <c r="U249" s="705">
        <v>0</v>
      </c>
      <c r="V249" s="705">
        <v>11612</v>
      </c>
      <c r="W249" s="705">
        <f t="shared" si="14"/>
        <v>11612</v>
      </c>
      <c r="X249" s="705">
        <f t="shared" si="15"/>
        <v>22113</v>
      </c>
      <c r="Y249" s="705"/>
      <c r="AA249" t="s">
        <v>120</v>
      </c>
      <c r="AB249" t="s">
        <v>666</v>
      </c>
      <c r="AC249" t="s">
        <v>228</v>
      </c>
      <c r="AD249">
        <v>15</v>
      </c>
      <c r="AE249" s="705">
        <v>1110</v>
      </c>
      <c r="AF249" s="705">
        <v>5015</v>
      </c>
      <c r="AG249" s="705">
        <v>201228</v>
      </c>
      <c r="AH249" s="705">
        <v>182934</v>
      </c>
      <c r="AI249">
        <v>56</v>
      </c>
      <c r="AJ249" s="705">
        <v>27057</v>
      </c>
      <c r="AK249" s="705">
        <v>13033</v>
      </c>
      <c r="AL249" s="705">
        <v>24337</v>
      </c>
      <c r="AM249" s="705">
        <v>9014</v>
      </c>
      <c r="AN249" s="705">
        <v>3510</v>
      </c>
      <c r="AO249" s="705">
        <v>1300</v>
      </c>
      <c r="AP249" s="705">
        <v>127082</v>
      </c>
      <c r="AQ249" s="705">
        <v>47068</v>
      </c>
      <c r="AR249" s="705">
        <v>0</v>
      </c>
      <c r="AS249" s="705">
        <v>0</v>
      </c>
      <c r="AT249" s="705">
        <v>253348</v>
      </c>
      <c r="AU249" s="705">
        <f t="shared" si="16"/>
        <v>253349</v>
      </c>
      <c r="AV249" s="705">
        <f t="shared" si="17"/>
        <v>383214</v>
      </c>
    </row>
    <row r="250" spans="2:48" ht="12.75" hidden="1" customHeight="1">
      <c r="B250" t="s">
        <v>535</v>
      </c>
      <c r="C250" t="s">
        <v>120</v>
      </c>
      <c r="D250" t="s">
        <v>228</v>
      </c>
      <c r="E250" t="s">
        <v>665</v>
      </c>
      <c r="F250">
        <v>6</v>
      </c>
      <c r="G250" s="705">
        <v>674</v>
      </c>
      <c r="H250" s="705">
        <v>1975</v>
      </c>
      <c r="I250" s="705">
        <v>143241</v>
      </c>
      <c r="J250" s="705">
        <v>53052</v>
      </c>
      <c r="K250" s="705">
        <v>100</v>
      </c>
      <c r="L250" s="705">
        <v>21799</v>
      </c>
      <c r="M250" s="705">
        <v>19817</v>
      </c>
      <c r="N250" s="705">
        <v>13600</v>
      </c>
      <c r="O250" s="705">
        <v>5037</v>
      </c>
      <c r="P250" s="705">
        <v>0</v>
      </c>
      <c r="Q250" s="705">
        <v>0</v>
      </c>
      <c r="R250" s="705">
        <v>35631</v>
      </c>
      <c r="S250" s="705">
        <v>32392</v>
      </c>
      <c r="T250" s="705">
        <v>9728</v>
      </c>
      <c r="U250" s="705">
        <v>3603</v>
      </c>
      <c r="V250" s="705">
        <v>113902</v>
      </c>
      <c r="W250" s="705">
        <f t="shared" si="14"/>
        <v>113901</v>
      </c>
      <c r="X250" s="705">
        <f t="shared" si="15"/>
        <v>223999</v>
      </c>
      <c r="Y250" s="705"/>
      <c r="AA250" t="s">
        <v>120</v>
      </c>
      <c r="AB250" t="s">
        <v>666</v>
      </c>
      <c r="AC250" t="s">
        <v>583</v>
      </c>
      <c r="AD250">
        <v>7</v>
      </c>
      <c r="AE250" s="705">
        <v>540</v>
      </c>
      <c r="AF250" s="705">
        <v>2449</v>
      </c>
      <c r="AG250" s="705">
        <v>111042</v>
      </c>
      <c r="AH250" s="705">
        <v>100947</v>
      </c>
      <c r="AI250">
        <v>63</v>
      </c>
      <c r="AJ250" s="705">
        <v>11779</v>
      </c>
      <c r="AK250" s="705">
        <v>13597</v>
      </c>
      <c r="AL250" s="705">
        <v>11011</v>
      </c>
      <c r="AM250" s="705">
        <v>4078</v>
      </c>
      <c r="AN250" s="705">
        <v>3537</v>
      </c>
      <c r="AO250" s="705">
        <v>1310</v>
      </c>
      <c r="AP250" s="705">
        <v>33941</v>
      </c>
      <c r="AQ250" s="705">
        <v>30856</v>
      </c>
      <c r="AR250" s="705">
        <v>16285</v>
      </c>
      <c r="AS250" s="705">
        <v>6031</v>
      </c>
      <c r="AT250" s="705">
        <v>156820</v>
      </c>
      <c r="AU250" s="705">
        <f t="shared" si="16"/>
        <v>156819</v>
      </c>
      <c r="AV250" s="705">
        <f t="shared" si="17"/>
        <v>187595</v>
      </c>
    </row>
    <row r="251" spans="2:48" ht="12.75" hidden="1" customHeight="1">
      <c r="B251" t="s">
        <v>535</v>
      </c>
      <c r="C251" t="s">
        <v>120</v>
      </c>
      <c r="D251" t="s">
        <v>583</v>
      </c>
      <c r="E251" t="s">
        <v>674</v>
      </c>
      <c r="F251" s="705">
        <v>1</v>
      </c>
      <c r="G251" s="705">
        <v>74</v>
      </c>
      <c r="H251" s="705">
        <v>351</v>
      </c>
      <c r="I251" s="705">
        <v>14936</v>
      </c>
      <c r="J251" s="705">
        <v>13578</v>
      </c>
      <c r="K251" s="705">
        <v>79</v>
      </c>
      <c r="L251" s="705">
        <v>4149</v>
      </c>
      <c r="M251" s="705">
        <v>3772</v>
      </c>
      <c r="N251" s="705">
        <v>1798</v>
      </c>
      <c r="O251" s="705">
        <v>666</v>
      </c>
      <c r="P251" s="705">
        <v>351</v>
      </c>
      <c r="Q251" s="705">
        <v>130</v>
      </c>
      <c r="R251" s="705">
        <v>3001</v>
      </c>
      <c r="S251" s="705">
        <v>2729</v>
      </c>
      <c r="T251" s="705">
        <v>1636</v>
      </c>
      <c r="U251" s="705">
        <v>606</v>
      </c>
      <c r="V251" s="705">
        <v>21481</v>
      </c>
      <c r="W251" s="705">
        <f t="shared" si="14"/>
        <v>21481</v>
      </c>
      <c r="X251" s="705">
        <f t="shared" si="15"/>
        <v>25871</v>
      </c>
      <c r="Y251" s="705"/>
      <c r="AA251" t="s">
        <v>120</v>
      </c>
      <c r="AB251" t="s">
        <v>666</v>
      </c>
      <c r="AC251" t="s">
        <v>666</v>
      </c>
      <c r="AD251">
        <v>713</v>
      </c>
      <c r="AE251" s="705">
        <v>56178</v>
      </c>
      <c r="AF251" s="705">
        <v>243348</v>
      </c>
      <c r="AG251" s="705">
        <v>10710028</v>
      </c>
      <c r="AH251" s="705">
        <v>9736389</v>
      </c>
      <c r="AI251">
        <v>52</v>
      </c>
      <c r="AJ251" s="705">
        <v>1522875</v>
      </c>
      <c r="AK251" s="705">
        <v>1244945</v>
      </c>
      <c r="AL251" s="705">
        <v>1103380</v>
      </c>
      <c r="AM251" s="705">
        <v>408659</v>
      </c>
      <c r="AN251" s="705">
        <v>249318</v>
      </c>
      <c r="AO251" s="705">
        <v>92340</v>
      </c>
      <c r="AP251" s="705">
        <v>3968388</v>
      </c>
      <c r="AQ251" s="705">
        <v>3607625</v>
      </c>
      <c r="AR251" s="705">
        <v>1560069</v>
      </c>
      <c r="AS251" s="705">
        <v>577803</v>
      </c>
      <c r="AT251" s="705">
        <v>15667761</v>
      </c>
      <c r="AU251" s="705">
        <f t="shared" si="16"/>
        <v>15667761</v>
      </c>
      <c r="AV251" s="705">
        <f t="shared" si="17"/>
        <v>19114058</v>
      </c>
    </row>
    <row r="252" spans="2:48" ht="12.75" hidden="1" customHeight="1">
      <c r="B252" t="s">
        <v>535</v>
      </c>
      <c r="C252" t="s">
        <v>120</v>
      </c>
      <c r="D252" t="s">
        <v>583</v>
      </c>
      <c r="E252" t="s">
        <v>228</v>
      </c>
      <c r="F252">
        <v>2</v>
      </c>
      <c r="G252">
        <v>275</v>
      </c>
      <c r="H252" s="705">
        <v>706</v>
      </c>
      <c r="I252" s="705">
        <v>52380</v>
      </c>
      <c r="J252" s="705">
        <v>47619</v>
      </c>
      <c r="K252" s="705">
        <v>75</v>
      </c>
      <c r="L252" s="705">
        <v>13104</v>
      </c>
      <c r="M252" s="705">
        <v>8924</v>
      </c>
      <c r="N252" s="705">
        <v>6226</v>
      </c>
      <c r="O252" s="705">
        <v>2306</v>
      </c>
      <c r="P252" s="705">
        <v>1242</v>
      </c>
      <c r="Q252" s="705">
        <v>460</v>
      </c>
      <c r="R252" s="705">
        <v>21586</v>
      </c>
      <c r="S252" s="705">
        <v>7995</v>
      </c>
      <c r="T252" s="705">
        <v>2493</v>
      </c>
      <c r="U252" s="705">
        <v>923</v>
      </c>
      <c r="V252" s="705">
        <v>68227</v>
      </c>
      <c r="W252" s="705">
        <f t="shared" si="14"/>
        <v>68227</v>
      </c>
      <c r="X252" s="705">
        <f t="shared" si="15"/>
        <v>97031</v>
      </c>
      <c r="Y252" s="705"/>
      <c r="AA252" t="s">
        <v>120</v>
      </c>
      <c r="AB252" t="s">
        <v>584</v>
      </c>
      <c r="AC252" t="s">
        <v>664</v>
      </c>
      <c r="AD252" s="705">
        <v>1</v>
      </c>
      <c r="AE252" s="705">
        <v>70</v>
      </c>
      <c r="AF252" s="705">
        <v>314</v>
      </c>
      <c r="AG252" s="705">
        <v>13698</v>
      </c>
      <c r="AH252" s="705">
        <v>12452</v>
      </c>
      <c r="AI252">
        <v>91</v>
      </c>
      <c r="AJ252" s="705">
        <v>4388</v>
      </c>
      <c r="AK252" s="705">
        <v>3989</v>
      </c>
      <c r="AL252" s="705">
        <v>1604</v>
      </c>
      <c r="AM252" s="705">
        <v>594</v>
      </c>
      <c r="AN252" s="705">
        <v>473</v>
      </c>
      <c r="AO252" s="705">
        <v>175</v>
      </c>
      <c r="AP252" s="705">
        <v>1928</v>
      </c>
      <c r="AQ252" s="705">
        <v>1752</v>
      </c>
      <c r="AR252" s="705">
        <v>0</v>
      </c>
      <c r="AS252" s="705">
        <v>0</v>
      </c>
      <c r="AT252" s="705">
        <v>18963</v>
      </c>
      <c r="AU252" s="705">
        <f t="shared" si="16"/>
        <v>18962</v>
      </c>
      <c r="AV252" s="705">
        <f t="shared" si="17"/>
        <v>22091</v>
      </c>
    </row>
    <row r="253" spans="2:48" ht="12.75" hidden="1" customHeight="1">
      <c r="B253" t="s">
        <v>535</v>
      </c>
      <c r="C253" t="s">
        <v>120</v>
      </c>
      <c r="D253" t="s">
        <v>583</v>
      </c>
      <c r="E253" t="s">
        <v>583</v>
      </c>
      <c r="F253">
        <v>417</v>
      </c>
      <c r="G253" s="705">
        <v>39710</v>
      </c>
      <c r="H253" s="705">
        <v>140937</v>
      </c>
      <c r="I253" s="705">
        <v>8035328</v>
      </c>
      <c r="J253" s="705">
        <v>7304844</v>
      </c>
      <c r="K253" s="705">
        <v>77</v>
      </c>
      <c r="L253" s="705">
        <v>1686986</v>
      </c>
      <c r="M253" s="705">
        <v>1470987</v>
      </c>
      <c r="N253" s="705">
        <v>845808</v>
      </c>
      <c r="O253" s="705">
        <v>313262</v>
      </c>
      <c r="P253" s="705">
        <v>275535</v>
      </c>
      <c r="Q253" s="705">
        <v>102050</v>
      </c>
      <c r="R253" s="705">
        <v>1917825</v>
      </c>
      <c r="S253" s="705">
        <v>1743477</v>
      </c>
      <c r="T253" s="705">
        <v>805288</v>
      </c>
      <c r="U253" s="705">
        <v>298255</v>
      </c>
      <c r="V253" s="705">
        <v>11232876</v>
      </c>
      <c r="W253" s="705">
        <f t="shared" si="14"/>
        <v>11232875</v>
      </c>
      <c r="X253" s="705">
        <f t="shared" si="15"/>
        <v>13566770</v>
      </c>
      <c r="Y253" s="705"/>
      <c r="AA253" t="s">
        <v>120</v>
      </c>
      <c r="AB253" t="s">
        <v>584</v>
      </c>
      <c r="AC253" t="s">
        <v>582</v>
      </c>
      <c r="AD253">
        <v>6</v>
      </c>
      <c r="AE253">
        <v>558</v>
      </c>
      <c r="AF253" s="705">
        <v>1995</v>
      </c>
      <c r="AG253" s="705">
        <v>109674</v>
      </c>
      <c r="AH253" s="705">
        <v>99704</v>
      </c>
      <c r="AI253">
        <v>78</v>
      </c>
      <c r="AJ253" s="705">
        <v>25569</v>
      </c>
      <c r="AK253" s="705">
        <v>22821</v>
      </c>
      <c r="AL253" s="705">
        <v>13038</v>
      </c>
      <c r="AM253" s="705">
        <v>4829</v>
      </c>
      <c r="AN253" s="705">
        <v>2835</v>
      </c>
      <c r="AO253" s="705">
        <v>1050</v>
      </c>
      <c r="AP253" s="705">
        <v>28962</v>
      </c>
      <c r="AQ253" s="705">
        <v>26329</v>
      </c>
      <c r="AR253" s="705">
        <v>5350</v>
      </c>
      <c r="AS253" s="705">
        <v>1981</v>
      </c>
      <c r="AT253" s="705">
        <v>156714</v>
      </c>
      <c r="AU253" s="705">
        <f t="shared" si="16"/>
        <v>156714</v>
      </c>
      <c r="AV253" s="705">
        <f t="shared" si="17"/>
        <v>185428</v>
      </c>
    </row>
    <row r="254" spans="2:48" ht="12.75" hidden="1" customHeight="1">
      <c r="B254" t="s">
        <v>535</v>
      </c>
      <c r="C254" t="s">
        <v>120</v>
      </c>
      <c r="D254" t="s">
        <v>583</v>
      </c>
      <c r="E254" t="s">
        <v>584</v>
      </c>
      <c r="F254" s="705">
        <v>1</v>
      </c>
      <c r="G254" s="705">
        <v>202</v>
      </c>
      <c r="H254" s="705">
        <v>316</v>
      </c>
      <c r="I254" s="705">
        <v>40608</v>
      </c>
      <c r="J254" s="705">
        <v>36917</v>
      </c>
      <c r="K254" s="705">
        <v>79</v>
      </c>
      <c r="L254" s="705">
        <v>11280</v>
      </c>
      <c r="M254" s="705">
        <v>10255</v>
      </c>
      <c r="N254" s="705">
        <v>3445</v>
      </c>
      <c r="O254" s="705">
        <v>1276</v>
      </c>
      <c r="P254" s="705">
        <v>621</v>
      </c>
      <c r="Q254" s="705">
        <v>230</v>
      </c>
      <c r="R254" s="705">
        <v>7833</v>
      </c>
      <c r="S254" s="705">
        <v>7121</v>
      </c>
      <c r="T254" s="705">
        <v>0</v>
      </c>
      <c r="U254" s="705">
        <v>0</v>
      </c>
      <c r="V254" s="705">
        <v>55798</v>
      </c>
      <c r="W254" s="705">
        <f t="shared" si="14"/>
        <v>55799</v>
      </c>
      <c r="X254" s="705">
        <f t="shared" si="15"/>
        <v>63787</v>
      </c>
      <c r="Y254" s="705"/>
      <c r="AA254" t="s">
        <v>120</v>
      </c>
      <c r="AB254" t="s">
        <v>584</v>
      </c>
      <c r="AC254" t="s">
        <v>228</v>
      </c>
      <c r="AD254">
        <v>131</v>
      </c>
      <c r="AE254" s="705">
        <v>11824</v>
      </c>
      <c r="AF254" s="705">
        <v>45329</v>
      </c>
      <c r="AG254" s="705">
        <v>2477514</v>
      </c>
      <c r="AH254" s="705">
        <v>2252286</v>
      </c>
      <c r="AI254">
        <v>77</v>
      </c>
      <c r="AJ254" s="705">
        <v>487886</v>
      </c>
      <c r="AK254" s="705">
        <v>395728</v>
      </c>
      <c r="AL254" s="705">
        <v>243427</v>
      </c>
      <c r="AM254" s="705">
        <v>90158</v>
      </c>
      <c r="AN254" s="705">
        <v>56510</v>
      </c>
      <c r="AO254" s="705">
        <v>20930</v>
      </c>
      <c r="AP254" s="705">
        <v>874997</v>
      </c>
      <c r="AQ254" s="705">
        <v>324073</v>
      </c>
      <c r="AR254" s="705">
        <v>3566</v>
      </c>
      <c r="AS254" s="705">
        <v>1321</v>
      </c>
      <c r="AT254" s="705">
        <v>3084495</v>
      </c>
      <c r="AU254" s="705">
        <f t="shared" si="16"/>
        <v>3084496</v>
      </c>
      <c r="AV254" s="705">
        <f t="shared" si="17"/>
        <v>4143900</v>
      </c>
    </row>
    <row r="255" spans="2:48" ht="12.75" hidden="1" customHeight="1">
      <c r="B255" t="s">
        <v>535</v>
      </c>
      <c r="C255" t="s">
        <v>120</v>
      </c>
      <c r="D255" t="s">
        <v>583</v>
      </c>
      <c r="E255" t="s">
        <v>665</v>
      </c>
      <c r="F255">
        <v>1</v>
      </c>
      <c r="G255" s="705">
        <v>74</v>
      </c>
      <c r="H255" s="705">
        <v>311</v>
      </c>
      <c r="I255" s="705">
        <v>12275</v>
      </c>
      <c r="J255" s="705">
        <v>11160</v>
      </c>
      <c r="K255" s="705">
        <v>55</v>
      </c>
      <c r="L255" s="705">
        <v>1841</v>
      </c>
      <c r="M255" s="705">
        <v>682</v>
      </c>
      <c r="N255" s="705">
        <v>1744</v>
      </c>
      <c r="O255" s="705">
        <v>646</v>
      </c>
      <c r="P255" s="705">
        <v>351</v>
      </c>
      <c r="Q255" s="705">
        <v>130</v>
      </c>
      <c r="R255" s="705">
        <v>4774</v>
      </c>
      <c r="S255" s="705">
        <v>4340</v>
      </c>
      <c r="T255" s="705">
        <v>2087</v>
      </c>
      <c r="U255" s="705">
        <v>773</v>
      </c>
      <c r="V255" s="705">
        <v>17730</v>
      </c>
      <c r="W255" s="705">
        <f t="shared" si="14"/>
        <v>17731</v>
      </c>
      <c r="X255" s="705">
        <f t="shared" si="15"/>
        <v>23072</v>
      </c>
      <c r="Y255" s="705"/>
      <c r="AA255" t="s">
        <v>120</v>
      </c>
      <c r="AB255" t="s">
        <v>584</v>
      </c>
      <c r="AC255" t="s">
        <v>583</v>
      </c>
      <c r="AD255">
        <v>7</v>
      </c>
      <c r="AE255">
        <v>662</v>
      </c>
      <c r="AF255" s="705">
        <v>2353</v>
      </c>
      <c r="AG255" s="705">
        <v>123272</v>
      </c>
      <c r="AH255" s="705">
        <v>112065</v>
      </c>
      <c r="AI255">
        <v>83</v>
      </c>
      <c r="AJ255" s="705">
        <v>38447</v>
      </c>
      <c r="AK255" s="705">
        <v>28740</v>
      </c>
      <c r="AL255" s="705">
        <v>14681</v>
      </c>
      <c r="AM255" s="705">
        <v>5437</v>
      </c>
      <c r="AN255" s="705">
        <v>3308</v>
      </c>
      <c r="AO255" s="705">
        <v>1225</v>
      </c>
      <c r="AP255" s="705">
        <v>32014</v>
      </c>
      <c r="AQ255" s="705">
        <v>29104</v>
      </c>
      <c r="AR255" s="705">
        <v>12156</v>
      </c>
      <c r="AS255" s="705">
        <v>4502</v>
      </c>
      <c r="AT255" s="705">
        <v>181073</v>
      </c>
      <c r="AU255" s="705">
        <f t="shared" si="16"/>
        <v>181073</v>
      </c>
      <c r="AV255" s="705">
        <f t="shared" si="17"/>
        <v>223878</v>
      </c>
    </row>
    <row r="256" spans="2:48" ht="12.75" hidden="1" customHeight="1">
      <c r="B256" t="s">
        <v>535</v>
      </c>
      <c r="C256" t="s">
        <v>120</v>
      </c>
      <c r="D256" t="s">
        <v>666</v>
      </c>
      <c r="E256" t="s">
        <v>583</v>
      </c>
      <c r="F256" s="705">
        <v>1</v>
      </c>
      <c r="G256" s="705">
        <v>79</v>
      </c>
      <c r="H256" s="705">
        <v>369</v>
      </c>
      <c r="I256" s="705">
        <v>20850</v>
      </c>
      <c r="J256" s="705">
        <v>18955</v>
      </c>
      <c r="K256" s="705">
        <v>60</v>
      </c>
      <c r="L256" s="705">
        <v>0</v>
      </c>
      <c r="M256" s="705">
        <v>4002</v>
      </c>
      <c r="N256" s="705">
        <v>1369</v>
      </c>
      <c r="O256" s="705">
        <v>507</v>
      </c>
      <c r="P256" s="705">
        <v>621</v>
      </c>
      <c r="Q256" s="705">
        <v>230</v>
      </c>
      <c r="R256" s="705">
        <v>6368</v>
      </c>
      <c r="S256" s="705">
        <v>5789</v>
      </c>
      <c r="T256" s="705">
        <v>0</v>
      </c>
      <c r="U256" s="705">
        <v>0</v>
      </c>
      <c r="V256" s="705">
        <v>29482</v>
      </c>
      <c r="W256" s="705">
        <f t="shared" si="14"/>
        <v>29483</v>
      </c>
      <c r="X256" s="705">
        <f t="shared" si="15"/>
        <v>29208</v>
      </c>
      <c r="Y256" s="705"/>
      <c r="AA256" t="s">
        <v>120</v>
      </c>
      <c r="AB256" t="s">
        <v>584</v>
      </c>
      <c r="AC256" t="s">
        <v>666</v>
      </c>
      <c r="AD256">
        <v>1</v>
      </c>
      <c r="AE256">
        <v>45</v>
      </c>
      <c r="AF256" s="705">
        <v>332</v>
      </c>
      <c r="AG256" s="705">
        <v>7679</v>
      </c>
      <c r="AH256" s="705">
        <v>6980</v>
      </c>
      <c r="AI256">
        <v>78</v>
      </c>
      <c r="AJ256" s="705">
        <v>1057</v>
      </c>
      <c r="AK256" s="705">
        <v>960</v>
      </c>
      <c r="AL256" s="705">
        <v>932</v>
      </c>
      <c r="AM256" s="705">
        <v>345</v>
      </c>
      <c r="AN256" s="705">
        <v>473</v>
      </c>
      <c r="AO256">
        <v>175</v>
      </c>
      <c r="AP256" s="705">
        <v>4810</v>
      </c>
      <c r="AQ256" s="705">
        <v>4373</v>
      </c>
      <c r="AR256">
        <v>0</v>
      </c>
      <c r="AS256">
        <v>0</v>
      </c>
      <c r="AT256" s="705">
        <v>12834</v>
      </c>
      <c r="AU256" s="705">
        <f t="shared" si="16"/>
        <v>12833</v>
      </c>
      <c r="AV256" s="705">
        <f t="shared" si="17"/>
        <v>14951</v>
      </c>
    </row>
    <row r="257" spans="2:48" ht="12.75" hidden="1" customHeight="1">
      <c r="B257" t="s">
        <v>535</v>
      </c>
      <c r="C257" t="s">
        <v>120</v>
      </c>
      <c r="D257" t="s">
        <v>666</v>
      </c>
      <c r="E257" s="705" t="s">
        <v>666</v>
      </c>
      <c r="F257" s="705">
        <v>70</v>
      </c>
      <c r="G257" s="705">
        <v>5797</v>
      </c>
      <c r="H257" s="705">
        <v>24154</v>
      </c>
      <c r="I257" s="705">
        <v>1146749</v>
      </c>
      <c r="J257" s="705">
        <v>1042499</v>
      </c>
      <c r="K257" s="705">
        <v>51</v>
      </c>
      <c r="L257" s="705">
        <v>161861</v>
      </c>
      <c r="M257" s="705">
        <v>131711</v>
      </c>
      <c r="N257" s="705">
        <v>108458</v>
      </c>
      <c r="O257" s="705">
        <v>40170</v>
      </c>
      <c r="P257" s="705">
        <v>24071</v>
      </c>
      <c r="Q257" s="705">
        <v>8915</v>
      </c>
      <c r="R257" s="705">
        <v>397466</v>
      </c>
      <c r="S257" s="705">
        <v>361333</v>
      </c>
      <c r="T257" s="705">
        <v>160884</v>
      </c>
      <c r="U257" s="705">
        <v>59587</v>
      </c>
      <c r="V257" s="705">
        <v>1644213</v>
      </c>
      <c r="W257" s="705">
        <f t="shared" si="14"/>
        <v>1644215</v>
      </c>
      <c r="X257" s="705">
        <f t="shared" si="15"/>
        <v>1999489</v>
      </c>
      <c r="Y257" s="705"/>
      <c r="AA257" t="s">
        <v>120</v>
      </c>
      <c r="AB257" t="s">
        <v>584</v>
      </c>
      <c r="AC257" t="s">
        <v>584</v>
      </c>
      <c r="AD257" s="705">
        <v>19675</v>
      </c>
      <c r="AE257" s="705">
        <v>1856342</v>
      </c>
      <c r="AF257" s="705">
        <v>6645848</v>
      </c>
      <c r="AG257" s="705">
        <v>369859987</v>
      </c>
      <c r="AH257" s="705">
        <v>336236351</v>
      </c>
      <c r="AI257">
        <v>79</v>
      </c>
      <c r="AJ257" s="705">
        <v>95601481</v>
      </c>
      <c r="AK257" s="705">
        <v>81520834</v>
      </c>
      <c r="AL257" s="705">
        <v>39099858</v>
      </c>
      <c r="AM257" s="705">
        <v>14481429</v>
      </c>
      <c r="AN257" s="705">
        <v>9252003</v>
      </c>
      <c r="AO257" s="705">
        <v>3426668</v>
      </c>
      <c r="AP257" s="705">
        <v>94327040</v>
      </c>
      <c r="AQ257" s="705">
        <v>85751854</v>
      </c>
      <c r="AR257" s="705">
        <v>26602785</v>
      </c>
      <c r="AS257" s="705">
        <v>9852883</v>
      </c>
      <c r="AT257" s="705">
        <v>531270019</v>
      </c>
      <c r="AU257" s="705">
        <f t="shared" si="16"/>
        <v>531270019</v>
      </c>
      <c r="AV257" s="705">
        <f t="shared" si="17"/>
        <v>634743154</v>
      </c>
    </row>
    <row r="258" spans="2:48" ht="12.75" hidden="1" customHeight="1">
      <c r="B258" t="s">
        <v>535</v>
      </c>
      <c r="C258" t="s">
        <v>120</v>
      </c>
      <c r="D258" t="s">
        <v>584</v>
      </c>
      <c r="E258" t="s">
        <v>584</v>
      </c>
      <c r="F258">
        <v>16</v>
      </c>
      <c r="G258" s="705">
        <v>1435</v>
      </c>
      <c r="H258" s="705">
        <v>5387</v>
      </c>
      <c r="I258" s="705">
        <v>282232</v>
      </c>
      <c r="J258" s="705">
        <v>256575</v>
      </c>
      <c r="K258" s="705">
        <v>78</v>
      </c>
      <c r="L258" s="705">
        <v>72656</v>
      </c>
      <c r="M258" s="705">
        <v>65680</v>
      </c>
      <c r="N258" s="705">
        <v>31056</v>
      </c>
      <c r="O258" s="705">
        <v>11502</v>
      </c>
      <c r="P258" s="705">
        <v>7439</v>
      </c>
      <c r="Q258" s="705">
        <v>2755</v>
      </c>
      <c r="R258" s="705">
        <v>70385</v>
      </c>
      <c r="S258" s="705">
        <v>63986</v>
      </c>
      <c r="T258" s="705">
        <v>25581</v>
      </c>
      <c r="U258" s="705">
        <v>9475</v>
      </c>
      <c r="V258" s="705">
        <v>409972</v>
      </c>
      <c r="W258" s="705">
        <f t="shared" si="14"/>
        <v>409973</v>
      </c>
      <c r="X258" s="705">
        <f t="shared" si="15"/>
        <v>489349</v>
      </c>
      <c r="Y258" s="705"/>
      <c r="AA258" t="s">
        <v>120</v>
      </c>
      <c r="AB258" t="s">
        <v>584</v>
      </c>
      <c r="AC258" t="s">
        <v>669</v>
      </c>
      <c r="AD258">
        <v>9</v>
      </c>
      <c r="AE258" s="705">
        <v>961</v>
      </c>
      <c r="AF258" s="705">
        <v>2984</v>
      </c>
      <c r="AG258" s="705">
        <v>204623</v>
      </c>
      <c r="AH258" s="705">
        <v>186021</v>
      </c>
      <c r="AI258">
        <v>73</v>
      </c>
      <c r="AJ258" s="705">
        <v>33936</v>
      </c>
      <c r="AK258" s="705">
        <v>46630</v>
      </c>
      <c r="AL258" s="705">
        <v>21033</v>
      </c>
      <c r="AM258" s="705">
        <v>7790</v>
      </c>
      <c r="AN258" s="705">
        <v>4253</v>
      </c>
      <c r="AO258" s="705">
        <v>1575</v>
      </c>
      <c r="AP258" s="705">
        <v>48216</v>
      </c>
      <c r="AQ258" s="705">
        <v>40180</v>
      </c>
      <c r="AR258" s="705">
        <v>14933</v>
      </c>
      <c r="AS258" s="705">
        <v>5531</v>
      </c>
      <c r="AT258" s="705">
        <v>287727</v>
      </c>
      <c r="AU258" s="705">
        <f t="shared" si="16"/>
        <v>287727</v>
      </c>
      <c r="AV258" s="705">
        <f t="shared" si="17"/>
        <v>326994</v>
      </c>
    </row>
    <row r="259" spans="2:48" ht="12.75" hidden="1" customHeight="1">
      <c r="B259" t="s">
        <v>535</v>
      </c>
      <c r="C259" t="s">
        <v>120</v>
      </c>
      <c r="D259" t="s">
        <v>669</v>
      </c>
      <c r="E259" t="s">
        <v>228</v>
      </c>
      <c r="F259">
        <v>2</v>
      </c>
      <c r="G259">
        <v>169</v>
      </c>
      <c r="H259" s="705">
        <v>649</v>
      </c>
      <c r="I259" s="705">
        <v>26510</v>
      </c>
      <c r="J259" s="705">
        <v>22091</v>
      </c>
      <c r="K259" s="705">
        <v>59</v>
      </c>
      <c r="L259" s="705">
        <v>6021</v>
      </c>
      <c r="M259" s="705">
        <v>2230</v>
      </c>
      <c r="N259" s="705">
        <v>3989</v>
      </c>
      <c r="O259" s="705">
        <v>1477</v>
      </c>
      <c r="P259" s="705">
        <v>702</v>
      </c>
      <c r="Q259" s="705">
        <v>260</v>
      </c>
      <c r="R259" s="705">
        <v>17595</v>
      </c>
      <c r="S259" s="705">
        <v>6517</v>
      </c>
      <c r="T259" s="705">
        <v>0</v>
      </c>
      <c r="U259" s="705">
        <v>0</v>
      </c>
      <c r="V259" s="705">
        <v>32576</v>
      </c>
      <c r="W259" s="705">
        <f t="shared" si="14"/>
        <v>32575</v>
      </c>
      <c r="X259" s="705">
        <f t="shared" si="15"/>
        <v>54817</v>
      </c>
      <c r="Y259" s="705"/>
      <c r="AA259" t="s">
        <v>120</v>
      </c>
      <c r="AB259" t="s">
        <v>584</v>
      </c>
      <c r="AC259" t="s">
        <v>667</v>
      </c>
      <c r="AD259">
        <v>1</v>
      </c>
      <c r="AE259">
        <v>70</v>
      </c>
      <c r="AF259">
        <v>317</v>
      </c>
      <c r="AG259" s="705">
        <v>11014</v>
      </c>
      <c r="AH259" s="705">
        <v>10013</v>
      </c>
      <c r="AI259">
        <v>79</v>
      </c>
      <c r="AJ259" s="705">
        <v>3064</v>
      </c>
      <c r="AK259" s="705">
        <v>2785</v>
      </c>
      <c r="AL259" s="705">
        <v>1426</v>
      </c>
      <c r="AM259" s="705">
        <v>528</v>
      </c>
      <c r="AN259">
        <v>473</v>
      </c>
      <c r="AO259">
        <v>175</v>
      </c>
      <c r="AP259" s="705">
        <v>3824</v>
      </c>
      <c r="AQ259" s="705">
        <v>3477</v>
      </c>
      <c r="AR259" s="705">
        <v>2387</v>
      </c>
      <c r="AS259">
        <v>884</v>
      </c>
      <c r="AT259" s="705">
        <v>17862</v>
      </c>
      <c r="AU259" s="705">
        <f t="shared" si="16"/>
        <v>17862</v>
      </c>
      <c r="AV259" s="705">
        <f t="shared" si="17"/>
        <v>22188</v>
      </c>
    </row>
    <row r="260" spans="2:48" ht="12.75" hidden="1" customHeight="1">
      <c r="B260" t="s">
        <v>535</v>
      </c>
      <c r="C260" t="s">
        <v>120</v>
      </c>
      <c r="D260" t="s">
        <v>669</v>
      </c>
      <c r="E260" t="s">
        <v>669</v>
      </c>
      <c r="F260">
        <v>78</v>
      </c>
      <c r="G260" s="705">
        <v>5992</v>
      </c>
      <c r="H260" s="705">
        <v>26702</v>
      </c>
      <c r="I260" s="705">
        <v>1165244</v>
      </c>
      <c r="J260" s="705">
        <v>971037</v>
      </c>
      <c r="K260" s="705">
        <v>60</v>
      </c>
      <c r="L260" s="705">
        <v>166312</v>
      </c>
      <c r="M260" s="705">
        <v>119970</v>
      </c>
      <c r="N260" s="705">
        <v>120497</v>
      </c>
      <c r="O260" s="705">
        <v>44628</v>
      </c>
      <c r="P260" s="705">
        <v>28472</v>
      </c>
      <c r="Q260" s="705">
        <v>10545</v>
      </c>
      <c r="R260" s="705">
        <v>395862</v>
      </c>
      <c r="S260" s="705">
        <v>329885</v>
      </c>
      <c r="T260" s="705">
        <v>168665</v>
      </c>
      <c r="U260" s="705">
        <v>62468</v>
      </c>
      <c r="V260" s="705">
        <v>1538533</v>
      </c>
      <c r="W260" s="705">
        <f t="shared" si="14"/>
        <v>1538533</v>
      </c>
      <c r="X260" s="705">
        <f t="shared" si="15"/>
        <v>2045052</v>
      </c>
      <c r="Y260" s="705"/>
      <c r="AA260" t="s">
        <v>120</v>
      </c>
      <c r="AB260" t="s">
        <v>584</v>
      </c>
      <c r="AC260" t="s">
        <v>665</v>
      </c>
      <c r="AD260">
        <v>4</v>
      </c>
      <c r="AE260" s="705">
        <v>372</v>
      </c>
      <c r="AF260" s="705">
        <v>1314</v>
      </c>
      <c r="AG260" s="705">
        <v>67395</v>
      </c>
      <c r="AH260" s="705">
        <v>61268</v>
      </c>
      <c r="AI260">
        <v>69</v>
      </c>
      <c r="AJ260" s="705">
        <v>13489</v>
      </c>
      <c r="AK260" s="705">
        <v>12263</v>
      </c>
      <c r="AL260" s="705">
        <v>7728</v>
      </c>
      <c r="AM260" s="705">
        <v>2862</v>
      </c>
      <c r="AN260" s="705">
        <v>1890</v>
      </c>
      <c r="AO260" s="705">
        <v>700</v>
      </c>
      <c r="AP260" s="705">
        <v>29360</v>
      </c>
      <c r="AQ260" s="705">
        <v>26691</v>
      </c>
      <c r="AR260" s="705">
        <v>2626</v>
      </c>
      <c r="AS260" s="705">
        <v>973</v>
      </c>
      <c r="AT260" s="705">
        <v>104756</v>
      </c>
      <c r="AU260" s="705">
        <f t="shared" si="16"/>
        <v>104757</v>
      </c>
      <c r="AV260" s="705">
        <f t="shared" si="17"/>
        <v>122488</v>
      </c>
    </row>
    <row r="261" spans="2:48" ht="12.75" hidden="1" customHeight="1">
      <c r="B261" t="s">
        <v>535</v>
      </c>
      <c r="C261" t="s">
        <v>120</v>
      </c>
      <c r="D261" t="s">
        <v>669</v>
      </c>
      <c r="E261" t="s">
        <v>665</v>
      </c>
      <c r="F261" s="705">
        <v>2</v>
      </c>
      <c r="G261" s="705">
        <v>172</v>
      </c>
      <c r="H261" s="705">
        <v>725</v>
      </c>
      <c r="I261" s="705">
        <v>33621</v>
      </c>
      <c r="J261" s="705">
        <v>28017</v>
      </c>
      <c r="K261" s="705">
        <v>50</v>
      </c>
      <c r="L261" s="705">
        <v>9375</v>
      </c>
      <c r="M261" s="705">
        <v>3472</v>
      </c>
      <c r="N261" s="705">
        <v>3967</v>
      </c>
      <c r="O261" s="705">
        <v>1469</v>
      </c>
      <c r="P261" s="705">
        <v>702</v>
      </c>
      <c r="Q261" s="705">
        <v>260</v>
      </c>
      <c r="R261" s="705">
        <v>10180</v>
      </c>
      <c r="S261" s="705">
        <v>9255</v>
      </c>
      <c r="T261" s="705">
        <v>4493</v>
      </c>
      <c r="U261" s="705">
        <v>1664</v>
      </c>
      <c r="V261" s="705">
        <v>44138</v>
      </c>
      <c r="W261" s="705">
        <f t="shared" si="14"/>
        <v>44137</v>
      </c>
      <c r="X261" s="705">
        <f t="shared" si="15"/>
        <v>62338</v>
      </c>
      <c r="Y261" s="705"/>
      <c r="AA261" t="s">
        <v>120</v>
      </c>
      <c r="AB261" t="s">
        <v>669</v>
      </c>
      <c r="AC261" t="s">
        <v>228</v>
      </c>
      <c r="AD261">
        <v>78</v>
      </c>
      <c r="AE261" s="705">
        <v>6510</v>
      </c>
      <c r="AF261" s="705">
        <v>25813</v>
      </c>
      <c r="AG261" s="705">
        <v>1152714</v>
      </c>
      <c r="AH261" s="705">
        <v>960595</v>
      </c>
      <c r="AI261">
        <v>60</v>
      </c>
      <c r="AJ261" s="705">
        <v>173039</v>
      </c>
      <c r="AK261" s="705">
        <v>118096</v>
      </c>
      <c r="AL261" s="705">
        <v>139576</v>
      </c>
      <c r="AM261" s="705">
        <v>51695</v>
      </c>
      <c r="AN261" s="705">
        <v>24962</v>
      </c>
      <c r="AO261" s="705">
        <v>9245</v>
      </c>
      <c r="AP261" s="705">
        <v>640821</v>
      </c>
      <c r="AQ261" s="705">
        <v>237341</v>
      </c>
      <c r="AR261" s="705">
        <v>29180</v>
      </c>
      <c r="AS261" s="705">
        <v>10807</v>
      </c>
      <c r="AT261" s="705">
        <v>1387780</v>
      </c>
      <c r="AU261" s="705">
        <f t="shared" si="16"/>
        <v>1387779</v>
      </c>
      <c r="AV261" s="705">
        <f t="shared" si="17"/>
        <v>2160292</v>
      </c>
    </row>
    <row r="262" spans="2:48" ht="12.75" hidden="1" customHeight="1">
      <c r="B262" t="s">
        <v>535</v>
      </c>
      <c r="C262" t="s">
        <v>120</v>
      </c>
      <c r="D262" t="s">
        <v>671</v>
      </c>
      <c r="E262" t="s">
        <v>671</v>
      </c>
      <c r="F262">
        <v>1</v>
      </c>
      <c r="G262" s="705">
        <v>107</v>
      </c>
      <c r="H262" s="705">
        <v>356</v>
      </c>
      <c r="I262" s="705">
        <v>19570</v>
      </c>
      <c r="J262" s="705">
        <v>17791</v>
      </c>
      <c r="K262">
        <v>55</v>
      </c>
      <c r="L262" s="705">
        <v>3986</v>
      </c>
      <c r="M262" s="705">
        <v>3624</v>
      </c>
      <c r="N262" s="705">
        <v>2182</v>
      </c>
      <c r="O262" s="705">
        <v>808</v>
      </c>
      <c r="P262" s="705">
        <v>351</v>
      </c>
      <c r="Q262" s="705">
        <v>130</v>
      </c>
      <c r="R262" s="705">
        <v>7126</v>
      </c>
      <c r="S262" s="705">
        <v>6478</v>
      </c>
      <c r="T262" s="705">
        <v>4738</v>
      </c>
      <c r="U262" s="705">
        <v>1755</v>
      </c>
      <c r="V262" s="705">
        <v>30586</v>
      </c>
      <c r="W262" s="705">
        <f t="shared" si="14"/>
        <v>30586</v>
      </c>
      <c r="X262" s="705">
        <f t="shared" si="15"/>
        <v>37953</v>
      </c>
      <c r="Y262" s="705"/>
      <c r="AA262" t="s">
        <v>120</v>
      </c>
      <c r="AB262" t="s">
        <v>669</v>
      </c>
      <c r="AC262" t="s">
        <v>666</v>
      </c>
      <c r="AD262">
        <v>1</v>
      </c>
      <c r="AE262">
        <v>91</v>
      </c>
      <c r="AF262" s="705">
        <v>323</v>
      </c>
      <c r="AG262" s="705">
        <v>19530</v>
      </c>
      <c r="AH262" s="705">
        <v>16275</v>
      </c>
      <c r="AI262">
        <v>50</v>
      </c>
      <c r="AJ262" s="705">
        <v>0</v>
      </c>
      <c r="AK262" s="705">
        <v>0</v>
      </c>
      <c r="AL262" s="705">
        <v>1614</v>
      </c>
      <c r="AM262" s="705">
        <v>598</v>
      </c>
      <c r="AN262" s="705">
        <v>0</v>
      </c>
      <c r="AO262">
        <v>0</v>
      </c>
      <c r="AP262" s="705">
        <v>8403</v>
      </c>
      <c r="AQ262" s="705">
        <v>7639</v>
      </c>
      <c r="AR262" s="705">
        <v>0</v>
      </c>
      <c r="AS262" s="705">
        <v>0</v>
      </c>
      <c r="AT262" s="705">
        <v>24511</v>
      </c>
      <c r="AU262" s="705">
        <f t="shared" si="16"/>
        <v>24512</v>
      </c>
      <c r="AV262" s="705">
        <f t="shared" si="17"/>
        <v>29547</v>
      </c>
    </row>
    <row r="263" spans="2:48" hidden="1">
      <c r="B263" t="s">
        <v>535</v>
      </c>
      <c r="C263" t="s">
        <v>120</v>
      </c>
      <c r="D263" t="s">
        <v>665</v>
      </c>
      <c r="E263" t="s">
        <v>228</v>
      </c>
      <c r="F263">
        <v>7</v>
      </c>
      <c r="G263">
        <v>488</v>
      </c>
      <c r="H263" s="705">
        <v>2366</v>
      </c>
      <c r="I263" s="705">
        <v>105013</v>
      </c>
      <c r="J263" s="705">
        <v>95467</v>
      </c>
      <c r="K263" s="705">
        <v>59</v>
      </c>
      <c r="L263" s="705">
        <v>20202</v>
      </c>
      <c r="M263" s="705">
        <v>10728</v>
      </c>
      <c r="N263" s="705">
        <v>12541</v>
      </c>
      <c r="O263" s="705">
        <v>4645</v>
      </c>
      <c r="P263" s="705">
        <v>1053</v>
      </c>
      <c r="Q263" s="705">
        <v>390</v>
      </c>
      <c r="R263" s="705">
        <v>51609</v>
      </c>
      <c r="S263" s="705">
        <v>19115</v>
      </c>
      <c r="T263">
        <v>0</v>
      </c>
      <c r="U263" s="705">
        <v>0</v>
      </c>
      <c r="V263" s="705">
        <v>130344</v>
      </c>
      <c r="W263" s="705">
        <f t="shared" ref="W263:W326" si="18">SUM(ABS(J263),ABS(M263),ABS(O263),ABS(Q263),ABS(S263),ABS(U263))</f>
        <v>130345</v>
      </c>
      <c r="X263" s="705">
        <f t="shared" ref="X263:X326" si="19">SUM(ABS(I263),ABS(N263),ABS(P263),ABS(R263),ABS(T263),ABS(L263))</f>
        <v>190418</v>
      </c>
      <c r="Y263" s="705"/>
      <c r="AA263" t="s">
        <v>120</v>
      </c>
      <c r="AB263" t="s">
        <v>669</v>
      </c>
      <c r="AC263" s="705" t="s">
        <v>584</v>
      </c>
      <c r="AD263" s="705">
        <v>1</v>
      </c>
      <c r="AE263" s="705">
        <v>85</v>
      </c>
      <c r="AF263" s="705">
        <v>315</v>
      </c>
      <c r="AG263" s="705">
        <v>15267</v>
      </c>
      <c r="AH263" s="705">
        <v>12723</v>
      </c>
      <c r="AI263" s="706">
        <v>55</v>
      </c>
      <c r="AJ263" s="705">
        <v>2099</v>
      </c>
      <c r="AK263" s="705">
        <v>777</v>
      </c>
      <c r="AL263" s="705">
        <v>1030</v>
      </c>
      <c r="AM263" s="705">
        <v>381</v>
      </c>
      <c r="AN263" s="705">
        <v>351</v>
      </c>
      <c r="AO263" s="705">
        <v>130</v>
      </c>
      <c r="AP263" s="705">
        <v>5385</v>
      </c>
      <c r="AQ263" s="705">
        <v>4895</v>
      </c>
      <c r="AR263" s="705">
        <v>2494</v>
      </c>
      <c r="AS263" s="705">
        <v>924</v>
      </c>
      <c r="AT263" s="705">
        <v>19830</v>
      </c>
      <c r="AU263" s="705">
        <f t="shared" ref="AU263:AU294" si="20">SUM(ABS(AH263), ABS(AK263),ABS(AM263),ABS(AO263),ABS(AQ263),ABS(AS263))</f>
        <v>19830</v>
      </c>
      <c r="AV263" s="705">
        <f t="shared" ref="AV263:AV294" si="21">SUM(ABS(AG263),ABS(AJ263),ABS(AL263),ABS(AN263),ABS(AP263),ABS(AR263))</f>
        <v>26626</v>
      </c>
    </row>
    <row r="264" spans="2:48" hidden="1">
      <c r="B264" t="s">
        <v>535</v>
      </c>
      <c r="C264" t="s">
        <v>120</v>
      </c>
      <c r="D264" t="s">
        <v>665</v>
      </c>
      <c r="E264" s="705" t="s">
        <v>665</v>
      </c>
      <c r="F264" s="705">
        <v>310</v>
      </c>
      <c r="G264" s="705">
        <v>21703</v>
      </c>
      <c r="H264" s="705">
        <v>104768</v>
      </c>
      <c r="I264" s="705">
        <v>4235005</v>
      </c>
      <c r="J264" s="705">
        <v>3850004</v>
      </c>
      <c r="K264" s="705">
        <v>58</v>
      </c>
      <c r="L264" s="705">
        <v>453552</v>
      </c>
      <c r="M264" s="705">
        <v>345367</v>
      </c>
      <c r="N264" s="705">
        <v>428577</v>
      </c>
      <c r="O264" s="705">
        <v>158732</v>
      </c>
      <c r="P264" s="705">
        <v>122657</v>
      </c>
      <c r="Q264" s="705">
        <v>45428</v>
      </c>
      <c r="R264" s="705">
        <v>1496116</v>
      </c>
      <c r="S264" s="705">
        <v>1360105</v>
      </c>
      <c r="T264" s="705">
        <v>635320</v>
      </c>
      <c r="U264" s="705">
        <v>235304</v>
      </c>
      <c r="V264" s="705">
        <v>5994941</v>
      </c>
      <c r="W264" s="705">
        <f t="shared" si="18"/>
        <v>5994940</v>
      </c>
      <c r="X264" s="705">
        <f t="shared" si="19"/>
        <v>7371227</v>
      </c>
      <c r="Y264" s="705"/>
      <c r="AA264" t="s">
        <v>120</v>
      </c>
      <c r="AB264" t="s">
        <v>669</v>
      </c>
      <c r="AC264" s="705" t="s">
        <v>669</v>
      </c>
      <c r="AD264" s="705">
        <v>1356</v>
      </c>
      <c r="AE264" s="705">
        <v>110479</v>
      </c>
      <c r="AF264" s="705">
        <v>461438</v>
      </c>
      <c r="AG264" s="705">
        <v>21479981</v>
      </c>
      <c r="AH264" s="705">
        <v>17899984</v>
      </c>
      <c r="AI264" s="706">
        <v>54</v>
      </c>
      <c r="AJ264" s="705">
        <v>2554459</v>
      </c>
      <c r="AK264" s="705">
        <v>1981059</v>
      </c>
      <c r="AL264" s="705">
        <v>2141627</v>
      </c>
      <c r="AM264" s="705">
        <v>793195</v>
      </c>
      <c r="AN264" s="705">
        <v>488715</v>
      </c>
      <c r="AO264" s="705">
        <v>181006</v>
      </c>
      <c r="AP264" s="705">
        <v>8057679</v>
      </c>
      <c r="AQ264" s="705">
        <v>6714733</v>
      </c>
      <c r="AR264" s="705">
        <v>2919539</v>
      </c>
      <c r="AS264" s="705">
        <v>1081311</v>
      </c>
      <c r="AT264" s="705">
        <v>28651288</v>
      </c>
      <c r="AU264" s="705">
        <f t="shared" si="20"/>
        <v>28651288</v>
      </c>
      <c r="AV264" s="705">
        <f t="shared" si="21"/>
        <v>37642000</v>
      </c>
    </row>
    <row r="265" spans="2:48" hidden="1">
      <c r="B265" t="s">
        <v>535</v>
      </c>
      <c r="C265" t="s">
        <v>120</v>
      </c>
      <c r="D265" t="s">
        <v>673</v>
      </c>
      <c r="E265" t="s">
        <v>228</v>
      </c>
      <c r="F265">
        <v>1</v>
      </c>
      <c r="G265" s="705">
        <v>35</v>
      </c>
      <c r="H265" s="705">
        <v>350</v>
      </c>
      <c r="I265" s="705">
        <v>7244</v>
      </c>
      <c r="J265" s="705">
        <v>6586</v>
      </c>
      <c r="K265">
        <v>74</v>
      </c>
      <c r="L265" s="705">
        <v>0</v>
      </c>
      <c r="M265" s="705">
        <v>0</v>
      </c>
      <c r="N265" s="705">
        <v>426</v>
      </c>
      <c r="O265" s="705">
        <v>158</v>
      </c>
      <c r="P265" s="705">
        <v>351</v>
      </c>
      <c r="Q265" s="705">
        <v>130</v>
      </c>
      <c r="R265" s="705">
        <v>4217</v>
      </c>
      <c r="S265" s="705">
        <v>1562</v>
      </c>
      <c r="T265" s="705">
        <v>0</v>
      </c>
      <c r="U265" s="705">
        <v>0</v>
      </c>
      <c r="V265" s="705">
        <v>8435</v>
      </c>
      <c r="W265" s="705">
        <f t="shared" si="18"/>
        <v>8436</v>
      </c>
      <c r="X265" s="705">
        <f t="shared" si="19"/>
        <v>12238</v>
      </c>
      <c r="Y265" s="705"/>
      <c r="AA265" t="s">
        <v>120</v>
      </c>
      <c r="AB265" t="s">
        <v>669</v>
      </c>
      <c r="AC265" s="705" t="s">
        <v>667</v>
      </c>
      <c r="AD265" s="705">
        <v>1</v>
      </c>
      <c r="AE265" s="705">
        <v>81</v>
      </c>
      <c r="AF265" s="705">
        <v>303</v>
      </c>
      <c r="AG265" s="705">
        <v>15759</v>
      </c>
      <c r="AH265" s="705">
        <v>13133</v>
      </c>
      <c r="AI265" s="706">
        <v>65</v>
      </c>
      <c r="AJ265" s="705">
        <v>0</v>
      </c>
      <c r="AK265" s="705">
        <v>0</v>
      </c>
      <c r="AL265" s="705">
        <v>984</v>
      </c>
      <c r="AM265" s="705">
        <v>365</v>
      </c>
      <c r="AN265" s="705">
        <v>473</v>
      </c>
      <c r="AO265" s="705">
        <v>175</v>
      </c>
      <c r="AP265" s="705">
        <v>4368</v>
      </c>
      <c r="AQ265" s="705">
        <v>3971</v>
      </c>
      <c r="AR265" s="705">
        <v>2889</v>
      </c>
      <c r="AS265" s="705">
        <v>1070</v>
      </c>
      <c r="AT265" s="705">
        <v>18714</v>
      </c>
      <c r="AU265" s="705">
        <f t="shared" si="20"/>
        <v>18714</v>
      </c>
      <c r="AV265" s="705">
        <f t="shared" si="21"/>
        <v>24473</v>
      </c>
    </row>
    <row r="266" spans="2:48" hidden="1">
      <c r="B266" t="s">
        <v>535</v>
      </c>
      <c r="C266" t="s">
        <v>120</v>
      </c>
      <c r="D266" t="s">
        <v>673</v>
      </c>
      <c r="E266" t="s">
        <v>673</v>
      </c>
      <c r="F266">
        <v>2</v>
      </c>
      <c r="G266" s="705">
        <v>143</v>
      </c>
      <c r="H266" s="705">
        <v>682</v>
      </c>
      <c r="I266" s="705">
        <v>31593</v>
      </c>
      <c r="J266" s="705">
        <v>28721</v>
      </c>
      <c r="K266" s="705">
        <v>63</v>
      </c>
      <c r="L266" s="705">
        <v>2533</v>
      </c>
      <c r="M266" s="705">
        <v>2303</v>
      </c>
      <c r="N266" s="705">
        <v>2347</v>
      </c>
      <c r="O266" s="705">
        <v>869</v>
      </c>
      <c r="P266">
        <v>702</v>
      </c>
      <c r="Q266" s="705">
        <v>260</v>
      </c>
      <c r="R266" s="705">
        <v>8323</v>
      </c>
      <c r="S266" s="705">
        <v>7566</v>
      </c>
      <c r="T266" s="705">
        <v>4090</v>
      </c>
      <c r="U266" s="705">
        <v>1515</v>
      </c>
      <c r="V266" s="705">
        <v>41234</v>
      </c>
      <c r="W266" s="705">
        <f t="shared" si="18"/>
        <v>41234</v>
      </c>
      <c r="X266" s="705">
        <f t="shared" si="19"/>
        <v>49588</v>
      </c>
      <c r="Y266" s="705"/>
      <c r="AA266" t="s">
        <v>120</v>
      </c>
      <c r="AB266" t="s">
        <v>669</v>
      </c>
      <c r="AC266" s="705" t="s">
        <v>665</v>
      </c>
      <c r="AD266" s="705">
        <v>3</v>
      </c>
      <c r="AE266" s="705">
        <v>250</v>
      </c>
      <c r="AF266" s="705">
        <v>1065</v>
      </c>
      <c r="AG266" s="705">
        <v>52975</v>
      </c>
      <c r="AH266" s="705">
        <v>44146</v>
      </c>
      <c r="AI266" s="706">
        <v>52</v>
      </c>
      <c r="AJ266" s="705">
        <v>9375</v>
      </c>
      <c r="AK266" s="705">
        <v>6757</v>
      </c>
      <c r="AL266" s="705">
        <v>4917</v>
      </c>
      <c r="AM266" s="705">
        <v>1821</v>
      </c>
      <c r="AN266" s="705">
        <v>1053</v>
      </c>
      <c r="AO266" s="705">
        <v>390</v>
      </c>
      <c r="AP266" s="705">
        <v>13899</v>
      </c>
      <c r="AQ266" s="705">
        <v>12636</v>
      </c>
      <c r="AR266" s="705">
        <v>6646</v>
      </c>
      <c r="AS266" s="705">
        <v>2461</v>
      </c>
      <c r="AT266" s="705">
        <v>68211</v>
      </c>
      <c r="AU266" s="705">
        <f t="shared" si="20"/>
        <v>68211</v>
      </c>
      <c r="AV266" s="705">
        <f t="shared" si="21"/>
        <v>88865</v>
      </c>
    </row>
    <row r="267" spans="2:48" hidden="1">
      <c r="B267" t="s">
        <v>535</v>
      </c>
      <c r="C267" t="s">
        <v>120</v>
      </c>
      <c r="D267" t="s">
        <v>585</v>
      </c>
      <c r="E267" t="s">
        <v>585</v>
      </c>
      <c r="F267" s="705">
        <v>2</v>
      </c>
      <c r="G267" s="705">
        <v>183</v>
      </c>
      <c r="H267" s="705">
        <v>659</v>
      </c>
      <c r="I267" s="705">
        <v>46892</v>
      </c>
      <c r="J267" s="705">
        <v>42630</v>
      </c>
      <c r="K267" s="705">
        <v>65</v>
      </c>
      <c r="L267" s="705">
        <v>7095</v>
      </c>
      <c r="M267" s="705">
        <v>6450</v>
      </c>
      <c r="N267" s="705">
        <v>3978</v>
      </c>
      <c r="O267" s="705">
        <v>1473</v>
      </c>
      <c r="P267" s="705">
        <v>1323</v>
      </c>
      <c r="Q267" s="705">
        <v>490</v>
      </c>
      <c r="R267" s="705">
        <v>8549</v>
      </c>
      <c r="S267" s="705">
        <v>7772</v>
      </c>
      <c r="T267" s="705">
        <v>5212</v>
      </c>
      <c r="U267" s="705">
        <v>1931</v>
      </c>
      <c r="V267" s="705">
        <v>60745</v>
      </c>
      <c r="W267" s="705">
        <f t="shared" si="18"/>
        <v>60746</v>
      </c>
      <c r="X267" s="705">
        <f t="shared" si="19"/>
        <v>73049</v>
      </c>
      <c r="Y267" s="705"/>
      <c r="AA267" t="s">
        <v>120</v>
      </c>
      <c r="AB267" t="s">
        <v>667</v>
      </c>
      <c r="AC267" s="705" t="s">
        <v>674</v>
      </c>
      <c r="AD267" s="705">
        <v>1</v>
      </c>
      <c r="AE267" s="705">
        <v>79</v>
      </c>
      <c r="AF267" s="705">
        <v>346</v>
      </c>
      <c r="AG267" s="705">
        <v>15142</v>
      </c>
      <c r="AH267" s="705">
        <v>13765</v>
      </c>
      <c r="AI267" s="706">
        <v>45</v>
      </c>
      <c r="AJ267" s="705">
        <v>1858</v>
      </c>
      <c r="AK267" s="705">
        <v>688</v>
      </c>
      <c r="AL267" s="705">
        <v>1533</v>
      </c>
      <c r="AM267" s="705">
        <v>568</v>
      </c>
      <c r="AN267" s="705">
        <v>351</v>
      </c>
      <c r="AO267" s="705">
        <v>130</v>
      </c>
      <c r="AP267" s="705">
        <v>5765</v>
      </c>
      <c r="AQ267" s="705">
        <v>5241</v>
      </c>
      <c r="AR267" s="705">
        <v>2593</v>
      </c>
      <c r="AS267" s="705">
        <v>960</v>
      </c>
      <c r="AT267" s="705">
        <v>21352</v>
      </c>
      <c r="AU267" s="705">
        <f t="shared" si="20"/>
        <v>21352</v>
      </c>
      <c r="AV267" s="705">
        <f t="shared" si="21"/>
        <v>27242</v>
      </c>
    </row>
    <row r="268" spans="2:48" hidden="1">
      <c r="B268" t="s">
        <v>535</v>
      </c>
      <c r="C268" t="s">
        <v>122</v>
      </c>
      <c r="D268" t="s">
        <v>664</v>
      </c>
      <c r="E268" t="s">
        <v>664</v>
      </c>
      <c r="F268" s="705">
        <v>1</v>
      </c>
      <c r="G268" s="705">
        <v>87</v>
      </c>
      <c r="H268" s="705">
        <v>412</v>
      </c>
      <c r="I268" s="705">
        <v>23912</v>
      </c>
      <c r="J268" s="705">
        <v>21738</v>
      </c>
      <c r="K268" s="705">
        <v>75</v>
      </c>
      <c r="L268" s="705">
        <v>3444</v>
      </c>
      <c r="M268" s="705">
        <v>3131</v>
      </c>
      <c r="N268" s="705">
        <v>2112</v>
      </c>
      <c r="O268" s="705">
        <v>782</v>
      </c>
      <c r="P268" s="705">
        <v>473</v>
      </c>
      <c r="Q268" s="705">
        <v>175</v>
      </c>
      <c r="R268" s="705">
        <v>3404</v>
      </c>
      <c r="S268" s="705">
        <v>3094</v>
      </c>
      <c r="T268" s="705">
        <v>2389</v>
      </c>
      <c r="U268" s="705">
        <v>885</v>
      </c>
      <c r="V268" s="705">
        <v>29805</v>
      </c>
      <c r="W268" s="705">
        <f t="shared" si="18"/>
        <v>29805</v>
      </c>
      <c r="X268" s="705">
        <f t="shared" si="19"/>
        <v>35734</v>
      </c>
      <c r="Y268" s="705"/>
      <c r="AA268" t="s">
        <v>120</v>
      </c>
      <c r="AB268" t="s">
        <v>667</v>
      </c>
      <c r="AC268" s="705" t="s">
        <v>667</v>
      </c>
      <c r="AD268" s="705">
        <v>46</v>
      </c>
      <c r="AE268" s="705">
        <v>3356</v>
      </c>
      <c r="AF268" s="705">
        <v>15803</v>
      </c>
      <c r="AG268" s="705">
        <v>649278</v>
      </c>
      <c r="AH268" s="705">
        <v>590253</v>
      </c>
      <c r="AI268" s="706">
        <v>58</v>
      </c>
      <c r="AJ268" s="705">
        <v>95512</v>
      </c>
      <c r="AK268" s="705">
        <v>81775</v>
      </c>
      <c r="AL268" s="705">
        <v>63524</v>
      </c>
      <c r="AM268" s="705">
        <v>23528</v>
      </c>
      <c r="AN268" s="705">
        <v>16065</v>
      </c>
      <c r="AO268" s="705">
        <v>5950</v>
      </c>
      <c r="AP268" s="705">
        <v>257311</v>
      </c>
      <c r="AQ268" s="705">
        <v>233919</v>
      </c>
      <c r="AR268" s="705">
        <v>62603</v>
      </c>
      <c r="AS268" s="705">
        <v>23186</v>
      </c>
      <c r="AT268" s="705">
        <v>958611</v>
      </c>
      <c r="AU268" s="705">
        <f t="shared" si="20"/>
        <v>958611</v>
      </c>
      <c r="AV268" s="705">
        <f t="shared" si="21"/>
        <v>1144293</v>
      </c>
    </row>
    <row r="269" spans="2:48" hidden="1">
      <c r="B269" t="s">
        <v>535</v>
      </c>
      <c r="C269" t="s">
        <v>122</v>
      </c>
      <c r="D269" t="s">
        <v>582</v>
      </c>
      <c r="E269" t="s">
        <v>582</v>
      </c>
      <c r="F269">
        <v>3</v>
      </c>
      <c r="G269">
        <v>209</v>
      </c>
      <c r="H269" s="705">
        <v>1232</v>
      </c>
      <c r="I269" s="705">
        <v>62890</v>
      </c>
      <c r="J269" s="705">
        <v>57173</v>
      </c>
      <c r="K269" s="705">
        <v>68</v>
      </c>
      <c r="L269" s="705">
        <v>8117</v>
      </c>
      <c r="M269" s="705">
        <v>7379</v>
      </c>
      <c r="N269" s="705">
        <v>4917</v>
      </c>
      <c r="O269" s="705">
        <v>1821</v>
      </c>
      <c r="P269" s="705">
        <v>1418</v>
      </c>
      <c r="Q269" s="705">
        <v>525</v>
      </c>
      <c r="R269" s="705">
        <v>16061</v>
      </c>
      <c r="S269" s="705">
        <v>14601</v>
      </c>
      <c r="T269" s="705">
        <v>4238</v>
      </c>
      <c r="U269" s="705">
        <v>1570</v>
      </c>
      <c r="V269" s="705">
        <v>83068</v>
      </c>
      <c r="W269" s="705">
        <f t="shared" si="18"/>
        <v>83069</v>
      </c>
      <c r="X269" s="705">
        <f t="shared" si="19"/>
        <v>97641</v>
      </c>
      <c r="Y269" s="705"/>
      <c r="AA269" t="s">
        <v>120</v>
      </c>
      <c r="AB269" t="s">
        <v>667</v>
      </c>
      <c r="AC269" s="705" t="s">
        <v>665</v>
      </c>
      <c r="AD269" s="705">
        <v>1</v>
      </c>
      <c r="AE269" s="705">
        <v>81</v>
      </c>
      <c r="AF269" s="705">
        <v>303</v>
      </c>
      <c r="AG269" s="705">
        <v>14006</v>
      </c>
      <c r="AH269" s="705">
        <v>12732</v>
      </c>
      <c r="AI269" s="706">
        <v>45</v>
      </c>
      <c r="AJ269" s="705">
        <v>1000</v>
      </c>
      <c r="AK269" s="705">
        <v>909</v>
      </c>
      <c r="AL269" s="705">
        <v>1756</v>
      </c>
      <c r="AM269" s="705">
        <v>650</v>
      </c>
      <c r="AN269" s="705">
        <v>621</v>
      </c>
      <c r="AO269" s="705">
        <v>230</v>
      </c>
      <c r="AP269" s="705">
        <v>5003</v>
      </c>
      <c r="AQ269" s="705">
        <v>4548</v>
      </c>
      <c r="AR269" s="705">
        <v>2178</v>
      </c>
      <c r="AS269" s="705">
        <v>807</v>
      </c>
      <c r="AT269" s="705">
        <v>19877</v>
      </c>
      <c r="AU269" s="705">
        <f t="shared" si="20"/>
        <v>19876</v>
      </c>
      <c r="AV269" s="705">
        <f t="shared" si="21"/>
        <v>24564</v>
      </c>
    </row>
    <row r="270" spans="2:48" hidden="1">
      <c r="B270" t="s">
        <v>535</v>
      </c>
      <c r="C270" t="s">
        <v>122</v>
      </c>
      <c r="D270" t="s">
        <v>228</v>
      </c>
      <c r="E270" t="s">
        <v>228</v>
      </c>
      <c r="F270">
        <v>48</v>
      </c>
      <c r="G270" s="705">
        <v>3935</v>
      </c>
      <c r="H270" s="705">
        <v>19825</v>
      </c>
      <c r="I270" s="705">
        <v>1094403</v>
      </c>
      <c r="J270" s="705">
        <v>405334</v>
      </c>
      <c r="K270" s="705">
        <v>100</v>
      </c>
      <c r="L270" s="705">
        <v>149656</v>
      </c>
      <c r="M270" s="705">
        <v>120888</v>
      </c>
      <c r="N270" s="705">
        <v>89701</v>
      </c>
      <c r="O270" s="705">
        <v>33222</v>
      </c>
      <c r="P270" s="705">
        <v>1806</v>
      </c>
      <c r="Q270" s="705">
        <v>669</v>
      </c>
      <c r="R270" s="705">
        <v>340365</v>
      </c>
      <c r="S270" s="705">
        <v>126061</v>
      </c>
      <c r="T270" s="705">
        <v>0</v>
      </c>
      <c r="U270" s="705">
        <v>0</v>
      </c>
      <c r="V270" s="705">
        <v>686175</v>
      </c>
      <c r="W270" s="705">
        <f t="shared" si="18"/>
        <v>686174</v>
      </c>
      <c r="X270" s="705">
        <f t="shared" si="19"/>
        <v>1675931</v>
      </c>
      <c r="Y270" s="705"/>
      <c r="AA270" t="s">
        <v>120</v>
      </c>
      <c r="AB270" t="s">
        <v>667</v>
      </c>
      <c r="AC270" s="705" t="s">
        <v>673</v>
      </c>
      <c r="AD270" s="705">
        <v>1</v>
      </c>
      <c r="AE270" s="705">
        <v>52</v>
      </c>
      <c r="AF270" s="705">
        <v>365</v>
      </c>
      <c r="AG270" s="705">
        <v>11321</v>
      </c>
      <c r="AH270" s="705">
        <v>10292</v>
      </c>
      <c r="AI270" s="706">
        <v>55</v>
      </c>
      <c r="AJ270" s="705">
        <v>1064</v>
      </c>
      <c r="AK270" s="705">
        <v>968</v>
      </c>
      <c r="AL270" s="705">
        <v>835</v>
      </c>
      <c r="AM270" s="705">
        <v>309</v>
      </c>
      <c r="AN270" s="705">
        <v>351</v>
      </c>
      <c r="AO270" s="705">
        <v>130</v>
      </c>
      <c r="AP270" s="705">
        <v>3478</v>
      </c>
      <c r="AQ270" s="705">
        <v>3161</v>
      </c>
      <c r="AR270" s="705">
        <v>1769</v>
      </c>
      <c r="AS270" s="705">
        <v>655</v>
      </c>
      <c r="AT270" s="705">
        <v>15516</v>
      </c>
      <c r="AU270" s="705">
        <f t="shared" si="20"/>
        <v>15515</v>
      </c>
      <c r="AV270" s="705">
        <f t="shared" si="21"/>
        <v>18818</v>
      </c>
    </row>
    <row r="271" spans="2:48" hidden="1">
      <c r="B271" t="s">
        <v>535</v>
      </c>
      <c r="C271" t="s">
        <v>122</v>
      </c>
      <c r="D271" t="s">
        <v>228</v>
      </c>
      <c r="E271" t="s">
        <v>669</v>
      </c>
      <c r="F271">
        <v>2</v>
      </c>
      <c r="G271" s="705">
        <v>165</v>
      </c>
      <c r="H271" s="705">
        <v>786</v>
      </c>
      <c r="I271" s="705">
        <v>40876</v>
      </c>
      <c r="J271" s="705">
        <v>15139</v>
      </c>
      <c r="K271" s="705">
        <v>100</v>
      </c>
      <c r="L271" s="705">
        <v>6376</v>
      </c>
      <c r="M271" s="705">
        <v>5313</v>
      </c>
      <c r="N271" s="705">
        <v>3467</v>
      </c>
      <c r="O271" s="705">
        <v>1284</v>
      </c>
      <c r="P271" s="705">
        <v>351</v>
      </c>
      <c r="Q271" s="705">
        <v>130</v>
      </c>
      <c r="R271" s="705">
        <v>10351</v>
      </c>
      <c r="S271" s="705">
        <v>8626</v>
      </c>
      <c r="T271" s="705">
        <v>3510</v>
      </c>
      <c r="U271" s="705">
        <v>1300</v>
      </c>
      <c r="V271" s="705">
        <v>31792</v>
      </c>
      <c r="W271" s="705">
        <f t="shared" si="18"/>
        <v>31792</v>
      </c>
      <c r="X271" s="705">
        <f t="shared" si="19"/>
        <v>64931</v>
      </c>
      <c r="Y271" s="705"/>
      <c r="AA271" t="s">
        <v>120</v>
      </c>
      <c r="AB271" t="s">
        <v>671</v>
      </c>
      <c r="AC271" s="705" t="s">
        <v>228</v>
      </c>
      <c r="AD271" s="705">
        <v>3</v>
      </c>
      <c r="AE271" s="705">
        <v>239</v>
      </c>
      <c r="AF271" s="705">
        <v>1027</v>
      </c>
      <c r="AG271" s="705">
        <v>46949</v>
      </c>
      <c r="AH271" s="705">
        <v>42681</v>
      </c>
      <c r="AI271" s="706">
        <v>53</v>
      </c>
      <c r="AJ271" s="705">
        <v>4269</v>
      </c>
      <c r="AK271" s="705">
        <v>1581</v>
      </c>
      <c r="AL271" s="705">
        <v>4188</v>
      </c>
      <c r="AM271" s="705">
        <v>1551</v>
      </c>
      <c r="AN271" s="705">
        <v>351</v>
      </c>
      <c r="AO271" s="705">
        <v>130</v>
      </c>
      <c r="AP271" s="705">
        <v>25917</v>
      </c>
      <c r="AQ271" s="705">
        <v>9599</v>
      </c>
      <c r="AR271" s="705">
        <v>0</v>
      </c>
      <c r="AS271" s="705">
        <v>0</v>
      </c>
      <c r="AT271" s="705">
        <v>55542</v>
      </c>
      <c r="AU271" s="705">
        <f t="shared" si="20"/>
        <v>55542</v>
      </c>
      <c r="AV271" s="705">
        <f t="shared" si="21"/>
        <v>81674</v>
      </c>
    </row>
    <row r="272" spans="2:48" hidden="1">
      <c r="B272" t="s">
        <v>535</v>
      </c>
      <c r="C272" t="s">
        <v>122</v>
      </c>
      <c r="D272" t="s">
        <v>228</v>
      </c>
      <c r="E272" t="s">
        <v>665</v>
      </c>
      <c r="F272" s="705">
        <v>6</v>
      </c>
      <c r="G272" s="705">
        <v>462</v>
      </c>
      <c r="H272" s="705">
        <v>2515</v>
      </c>
      <c r="I272" s="705">
        <v>131018</v>
      </c>
      <c r="J272" s="705">
        <v>48525</v>
      </c>
      <c r="K272" s="705">
        <v>100</v>
      </c>
      <c r="L272" s="705">
        <v>13739</v>
      </c>
      <c r="M272" s="705">
        <v>12490</v>
      </c>
      <c r="N272" s="705">
        <v>7671</v>
      </c>
      <c r="O272" s="705">
        <v>2841</v>
      </c>
      <c r="P272" s="705">
        <v>702</v>
      </c>
      <c r="Q272" s="705">
        <v>260</v>
      </c>
      <c r="R272" s="705">
        <v>29673</v>
      </c>
      <c r="S272" s="705">
        <v>26975</v>
      </c>
      <c r="T272" s="705">
        <v>10141</v>
      </c>
      <c r="U272" s="705">
        <v>3756</v>
      </c>
      <c r="V272" s="705">
        <v>94848</v>
      </c>
      <c r="W272" s="705">
        <f t="shared" si="18"/>
        <v>94847</v>
      </c>
      <c r="X272" s="705">
        <f t="shared" si="19"/>
        <v>192944</v>
      </c>
      <c r="Y272" s="705"/>
      <c r="AA272" t="s">
        <v>120</v>
      </c>
      <c r="AB272" t="s">
        <v>671</v>
      </c>
      <c r="AC272" s="705" t="s">
        <v>671</v>
      </c>
      <c r="AD272" s="705">
        <v>176</v>
      </c>
      <c r="AE272" s="705">
        <v>14755</v>
      </c>
      <c r="AF272" s="705">
        <v>59598</v>
      </c>
      <c r="AG272" s="705">
        <v>2840513</v>
      </c>
      <c r="AH272" s="705">
        <v>2582285</v>
      </c>
      <c r="AI272" s="706">
        <v>50</v>
      </c>
      <c r="AJ272" s="705">
        <v>405757</v>
      </c>
      <c r="AK272" s="705">
        <v>359257</v>
      </c>
      <c r="AL272" s="705">
        <v>277610</v>
      </c>
      <c r="AM272" s="705">
        <v>102819</v>
      </c>
      <c r="AN272" s="705">
        <v>61533</v>
      </c>
      <c r="AO272" s="705">
        <v>22790</v>
      </c>
      <c r="AP272" s="705">
        <v>1067965</v>
      </c>
      <c r="AQ272" s="705">
        <v>970877</v>
      </c>
      <c r="AR272" s="705">
        <v>356651</v>
      </c>
      <c r="AS272" s="705">
        <v>132093</v>
      </c>
      <c r="AT272" s="705">
        <v>4170120</v>
      </c>
      <c r="AU272" s="705">
        <f t="shared" si="20"/>
        <v>4170121</v>
      </c>
      <c r="AV272" s="705">
        <f t="shared" si="21"/>
        <v>5010029</v>
      </c>
    </row>
    <row r="273" spans="2:48" hidden="1">
      <c r="B273" t="s">
        <v>535</v>
      </c>
      <c r="C273" t="s">
        <v>122</v>
      </c>
      <c r="D273" t="s">
        <v>583</v>
      </c>
      <c r="E273" t="s">
        <v>228</v>
      </c>
      <c r="F273" s="705">
        <v>2</v>
      </c>
      <c r="G273" s="705">
        <v>240</v>
      </c>
      <c r="H273" s="705">
        <v>883</v>
      </c>
      <c r="I273" s="705">
        <v>67300</v>
      </c>
      <c r="J273" s="705">
        <v>61182</v>
      </c>
      <c r="K273" s="705">
        <v>86</v>
      </c>
      <c r="L273" s="705">
        <v>20264</v>
      </c>
      <c r="M273" s="705">
        <v>18422</v>
      </c>
      <c r="N273" s="705">
        <v>2921</v>
      </c>
      <c r="O273" s="705">
        <v>1082</v>
      </c>
      <c r="P273" s="705">
        <v>1242</v>
      </c>
      <c r="Q273" s="705">
        <v>460</v>
      </c>
      <c r="R273" s="705">
        <v>14126</v>
      </c>
      <c r="S273" s="705">
        <v>5232</v>
      </c>
      <c r="T273" s="705">
        <v>0</v>
      </c>
      <c r="U273" s="705">
        <v>0</v>
      </c>
      <c r="V273" s="705">
        <v>86378</v>
      </c>
      <c r="W273" s="705">
        <f t="shared" si="18"/>
        <v>86378</v>
      </c>
      <c r="X273" s="705">
        <f t="shared" si="19"/>
        <v>105853</v>
      </c>
      <c r="Y273" s="705"/>
      <c r="AA273" t="s">
        <v>120</v>
      </c>
      <c r="AB273" t="s">
        <v>665</v>
      </c>
      <c r="AC273" s="705" t="s">
        <v>228</v>
      </c>
      <c r="AD273" s="705">
        <v>79</v>
      </c>
      <c r="AE273" s="705">
        <v>6438</v>
      </c>
      <c r="AF273" s="705">
        <v>27142</v>
      </c>
      <c r="AG273" s="705">
        <v>1305230</v>
      </c>
      <c r="AH273" s="705">
        <v>1186573</v>
      </c>
      <c r="AI273" s="706">
        <v>54</v>
      </c>
      <c r="AJ273" s="705">
        <v>206983</v>
      </c>
      <c r="AK273" s="705">
        <v>115479</v>
      </c>
      <c r="AL273" s="705">
        <v>138772</v>
      </c>
      <c r="AM273" s="705">
        <v>51397</v>
      </c>
      <c r="AN273" s="705">
        <v>11583</v>
      </c>
      <c r="AO273" s="705">
        <v>4290</v>
      </c>
      <c r="AP273" s="705">
        <v>583437</v>
      </c>
      <c r="AQ273" s="705">
        <v>216088</v>
      </c>
      <c r="AR273" s="705">
        <v>12051</v>
      </c>
      <c r="AS273" s="705">
        <v>4463</v>
      </c>
      <c r="AT273" s="705">
        <v>1578289</v>
      </c>
      <c r="AU273" s="705">
        <f t="shared" si="20"/>
        <v>1578290</v>
      </c>
      <c r="AV273" s="705">
        <f t="shared" si="21"/>
        <v>2258056</v>
      </c>
    </row>
    <row r="274" spans="2:48" hidden="1">
      <c r="B274" t="s">
        <v>535</v>
      </c>
      <c r="C274" t="s">
        <v>122</v>
      </c>
      <c r="D274" t="s">
        <v>583</v>
      </c>
      <c r="E274" t="s">
        <v>583</v>
      </c>
      <c r="F274">
        <v>171</v>
      </c>
      <c r="G274" s="705">
        <v>16016</v>
      </c>
      <c r="H274" s="705">
        <v>70695</v>
      </c>
      <c r="I274" s="705">
        <v>4230241</v>
      </c>
      <c r="J274" s="705">
        <v>3845674</v>
      </c>
      <c r="K274" s="705">
        <v>76</v>
      </c>
      <c r="L274" s="705">
        <v>854462</v>
      </c>
      <c r="M274" s="705">
        <v>732567</v>
      </c>
      <c r="N274" s="705">
        <v>341205</v>
      </c>
      <c r="O274" s="705">
        <v>126372</v>
      </c>
      <c r="P274" s="705">
        <v>110484</v>
      </c>
      <c r="Q274" s="705">
        <v>40920</v>
      </c>
      <c r="R274" s="705">
        <v>808560</v>
      </c>
      <c r="S274" s="705">
        <v>735055</v>
      </c>
      <c r="T274" s="705">
        <v>343495</v>
      </c>
      <c r="U274" s="705">
        <v>127221</v>
      </c>
      <c r="V274" s="705">
        <v>5607808</v>
      </c>
      <c r="W274" s="705">
        <f t="shared" si="18"/>
        <v>5607809</v>
      </c>
      <c r="X274" s="705">
        <f t="shared" si="19"/>
        <v>6688447</v>
      </c>
      <c r="Y274" s="705"/>
      <c r="AA274" t="s">
        <v>120</v>
      </c>
      <c r="AB274" t="s">
        <v>665</v>
      </c>
      <c r="AC274" s="705" t="s">
        <v>583</v>
      </c>
      <c r="AD274" s="705">
        <v>4</v>
      </c>
      <c r="AE274" s="705">
        <v>372</v>
      </c>
      <c r="AF274" s="705">
        <v>1399</v>
      </c>
      <c r="AG274" s="705">
        <v>82427</v>
      </c>
      <c r="AH274" s="705">
        <v>74933</v>
      </c>
      <c r="AI274" s="706">
        <v>71</v>
      </c>
      <c r="AJ274" s="705">
        <v>13149</v>
      </c>
      <c r="AK274" s="705">
        <v>11248</v>
      </c>
      <c r="AL274" s="705">
        <v>7836</v>
      </c>
      <c r="AM274" s="705">
        <v>2902</v>
      </c>
      <c r="AN274" s="705">
        <v>1944</v>
      </c>
      <c r="AO274" s="705">
        <v>720</v>
      </c>
      <c r="AP274" s="705">
        <v>18088</v>
      </c>
      <c r="AQ274" s="705">
        <v>16443</v>
      </c>
      <c r="AR274" s="705">
        <v>7891</v>
      </c>
      <c r="AS274" s="705">
        <v>2923</v>
      </c>
      <c r="AT274" s="705">
        <v>109169</v>
      </c>
      <c r="AU274" s="705">
        <f t="shared" si="20"/>
        <v>109169</v>
      </c>
      <c r="AV274" s="705">
        <f t="shared" si="21"/>
        <v>131335</v>
      </c>
    </row>
    <row r="275" spans="2:48" hidden="1">
      <c r="B275" t="s">
        <v>535</v>
      </c>
      <c r="C275" t="s">
        <v>122</v>
      </c>
      <c r="D275" t="s">
        <v>666</v>
      </c>
      <c r="E275" t="s">
        <v>228</v>
      </c>
      <c r="F275">
        <v>2</v>
      </c>
      <c r="G275">
        <v>191</v>
      </c>
      <c r="H275" s="705">
        <v>817</v>
      </c>
      <c r="I275" s="705">
        <v>51658</v>
      </c>
      <c r="J275" s="705">
        <v>46961</v>
      </c>
      <c r="K275" s="705">
        <v>45</v>
      </c>
      <c r="L275" s="705">
        <v>2796</v>
      </c>
      <c r="M275" s="705">
        <v>1035</v>
      </c>
      <c r="N275" s="705">
        <v>3686</v>
      </c>
      <c r="O275" s="705">
        <v>1365</v>
      </c>
      <c r="P275" s="705">
        <v>351</v>
      </c>
      <c r="Q275" s="705">
        <v>130</v>
      </c>
      <c r="R275" s="705">
        <v>20090</v>
      </c>
      <c r="S275" s="705">
        <v>7441</v>
      </c>
      <c r="T275" s="705">
        <v>0</v>
      </c>
      <c r="U275" s="705">
        <v>0</v>
      </c>
      <c r="V275" s="705">
        <v>56933</v>
      </c>
      <c r="W275" s="705">
        <f t="shared" si="18"/>
        <v>56932</v>
      </c>
      <c r="X275" s="705">
        <f t="shared" si="19"/>
        <v>78581</v>
      </c>
      <c r="Y275" s="705"/>
      <c r="AA275" t="s">
        <v>120</v>
      </c>
      <c r="AB275" t="s">
        <v>665</v>
      </c>
      <c r="AC275" s="705" t="s">
        <v>666</v>
      </c>
      <c r="AD275" s="705">
        <v>1</v>
      </c>
      <c r="AE275" s="705">
        <v>86</v>
      </c>
      <c r="AF275" s="705">
        <v>326</v>
      </c>
      <c r="AG275" s="705">
        <v>16474</v>
      </c>
      <c r="AH275" s="705">
        <v>14976</v>
      </c>
      <c r="AI275" s="706">
        <v>55</v>
      </c>
      <c r="AJ275" s="705">
        <v>2471</v>
      </c>
      <c r="AK275" s="705">
        <v>915</v>
      </c>
      <c r="AL275" s="705">
        <v>1045</v>
      </c>
      <c r="AM275" s="705">
        <v>387</v>
      </c>
      <c r="AN275" s="705">
        <v>351</v>
      </c>
      <c r="AO275" s="705">
        <v>130</v>
      </c>
      <c r="AP275" s="705">
        <v>5208</v>
      </c>
      <c r="AQ275" s="705">
        <v>4735</v>
      </c>
      <c r="AR275" s="705">
        <v>2376</v>
      </c>
      <c r="AS275" s="705">
        <v>880</v>
      </c>
      <c r="AT275" s="705">
        <v>22024</v>
      </c>
      <c r="AU275" s="705">
        <f t="shared" si="20"/>
        <v>22023</v>
      </c>
      <c r="AV275" s="705">
        <f t="shared" si="21"/>
        <v>27925</v>
      </c>
    </row>
    <row r="276" spans="2:48" hidden="1">
      <c r="B276" t="s">
        <v>535</v>
      </c>
      <c r="C276" t="s">
        <v>122</v>
      </c>
      <c r="D276" t="s">
        <v>666</v>
      </c>
      <c r="E276" s="705" t="s">
        <v>583</v>
      </c>
      <c r="F276" s="705">
        <v>1</v>
      </c>
      <c r="G276" s="705">
        <v>87</v>
      </c>
      <c r="H276" s="705">
        <v>405</v>
      </c>
      <c r="I276" s="705">
        <v>20479</v>
      </c>
      <c r="J276" s="705">
        <v>18618</v>
      </c>
      <c r="K276" s="705">
        <v>45</v>
      </c>
      <c r="L276" s="705">
        <v>3413</v>
      </c>
      <c r="M276" s="705">
        <v>3103</v>
      </c>
      <c r="N276" s="705">
        <v>1402</v>
      </c>
      <c r="O276" s="705">
        <v>519</v>
      </c>
      <c r="P276" s="705">
        <v>351</v>
      </c>
      <c r="Q276" s="705">
        <v>130</v>
      </c>
      <c r="R276" s="705">
        <v>6794</v>
      </c>
      <c r="S276" s="705">
        <v>6177</v>
      </c>
      <c r="T276" s="705">
        <v>2609</v>
      </c>
      <c r="U276" s="705">
        <v>966</v>
      </c>
      <c r="V276" s="705">
        <v>29513</v>
      </c>
      <c r="W276" s="705">
        <f t="shared" si="18"/>
        <v>29513</v>
      </c>
      <c r="X276" s="705">
        <f t="shared" si="19"/>
        <v>35048</v>
      </c>
      <c r="Y276" s="705"/>
      <c r="AA276" t="s">
        <v>120</v>
      </c>
      <c r="AB276" t="s">
        <v>665</v>
      </c>
      <c r="AC276" s="705" t="s">
        <v>665</v>
      </c>
      <c r="AD276" s="705">
        <v>5662</v>
      </c>
      <c r="AE276" s="705">
        <v>437274</v>
      </c>
      <c r="AF276" s="705">
        <v>1922045</v>
      </c>
      <c r="AG276" s="705">
        <v>83400587</v>
      </c>
      <c r="AH276" s="705">
        <v>75818716</v>
      </c>
      <c r="AI276" s="706">
        <v>53</v>
      </c>
      <c r="AJ276" s="705">
        <v>11104786</v>
      </c>
      <c r="AK276" s="705">
        <v>9151380</v>
      </c>
      <c r="AL276" s="705">
        <v>8359101</v>
      </c>
      <c r="AM276" s="705">
        <v>3095963</v>
      </c>
      <c r="AN276" s="705">
        <v>2025662</v>
      </c>
      <c r="AO276" s="705">
        <v>750245</v>
      </c>
      <c r="AP276" s="705">
        <v>31538559</v>
      </c>
      <c r="AQ276" s="705">
        <v>28671417</v>
      </c>
      <c r="AR276" s="705">
        <v>12192915</v>
      </c>
      <c r="AS276" s="705">
        <v>4515894</v>
      </c>
      <c r="AT276" s="705">
        <v>122003616</v>
      </c>
      <c r="AU276" s="705">
        <f t="shared" si="20"/>
        <v>122003615</v>
      </c>
      <c r="AV276" s="705">
        <f t="shared" si="21"/>
        <v>148621610</v>
      </c>
    </row>
    <row r="277" spans="2:48" hidden="1">
      <c r="B277" t="s">
        <v>535</v>
      </c>
      <c r="C277" t="s">
        <v>122</v>
      </c>
      <c r="D277" t="s">
        <v>666</v>
      </c>
      <c r="E277" t="s">
        <v>666</v>
      </c>
      <c r="F277">
        <v>51</v>
      </c>
      <c r="G277" s="705">
        <v>3755</v>
      </c>
      <c r="H277" s="705">
        <v>20950</v>
      </c>
      <c r="I277" s="705">
        <v>910855</v>
      </c>
      <c r="J277" s="705">
        <v>828050</v>
      </c>
      <c r="K277" s="705">
        <v>50</v>
      </c>
      <c r="L277" s="705">
        <v>129287</v>
      </c>
      <c r="M277" s="705">
        <v>110028</v>
      </c>
      <c r="N277" s="705">
        <v>68072</v>
      </c>
      <c r="O277" s="705">
        <v>25212</v>
      </c>
      <c r="P277" s="705">
        <v>17901</v>
      </c>
      <c r="Q277" s="705">
        <v>6630</v>
      </c>
      <c r="R277" s="705">
        <v>298916</v>
      </c>
      <c r="S277" s="705">
        <v>271742</v>
      </c>
      <c r="T277" s="705">
        <v>116839</v>
      </c>
      <c r="U277" s="705">
        <v>43274</v>
      </c>
      <c r="V277" s="705">
        <v>1284936</v>
      </c>
      <c r="W277" s="705">
        <f t="shared" si="18"/>
        <v>1284936</v>
      </c>
      <c r="X277" s="705">
        <f t="shared" si="19"/>
        <v>1541870</v>
      </c>
      <c r="Y277" s="705"/>
      <c r="AA277" t="s">
        <v>120</v>
      </c>
      <c r="AB277" t="s">
        <v>665</v>
      </c>
      <c r="AC277" s="705" t="s">
        <v>722</v>
      </c>
      <c r="AD277" s="705">
        <v>5</v>
      </c>
      <c r="AE277" s="705">
        <v>386</v>
      </c>
      <c r="AF277" s="705">
        <v>1627</v>
      </c>
      <c r="AG277" s="705">
        <v>68363</v>
      </c>
      <c r="AH277" s="705">
        <v>62148</v>
      </c>
      <c r="AI277" s="706">
        <v>65</v>
      </c>
      <c r="AJ277" s="705">
        <v>18934</v>
      </c>
      <c r="AK277" s="705">
        <v>13848</v>
      </c>
      <c r="AL277" s="705">
        <v>4697</v>
      </c>
      <c r="AM277" s="705">
        <v>1740</v>
      </c>
      <c r="AN277" s="705">
        <v>1755</v>
      </c>
      <c r="AO277" s="705">
        <v>650</v>
      </c>
      <c r="AP277" s="705">
        <v>19839</v>
      </c>
      <c r="AQ277" s="705">
        <v>18035</v>
      </c>
      <c r="AR277" s="705">
        <v>10154</v>
      </c>
      <c r="AS277" s="705">
        <v>3761</v>
      </c>
      <c r="AT277" s="705">
        <v>100182</v>
      </c>
      <c r="AU277" s="705">
        <f t="shared" si="20"/>
        <v>100182</v>
      </c>
      <c r="AV277" s="705">
        <f t="shared" si="21"/>
        <v>123742</v>
      </c>
    </row>
    <row r="278" spans="2:48" hidden="1">
      <c r="B278" t="s">
        <v>535</v>
      </c>
      <c r="C278" t="s">
        <v>122</v>
      </c>
      <c r="D278" t="s">
        <v>584</v>
      </c>
      <c r="E278" t="s">
        <v>584</v>
      </c>
      <c r="F278">
        <v>4</v>
      </c>
      <c r="G278" s="705">
        <v>370</v>
      </c>
      <c r="H278" s="705">
        <v>1604</v>
      </c>
      <c r="I278" s="705">
        <v>98506</v>
      </c>
      <c r="J278" s="705">
        <v>89551</v>
      </c>
      <c r="K278" s="705">
        <v>79</v>
      </c>
      <c r="L278" s="705">
        <v>19524</v>
      </c>
      <c r="M278" s="705">
        <v>17749</v>
      </c>
      <c r="N278" s="705">
        <v>8210</v>
      </c>
      <c r="O278" s="705">
        <v>3041</v>
      </c>
      <c r="P278" s="705">
        <v>1890</v>
      </c>
      <c r="Q278" s="705">
        <v>700</v>
      </c>
      <c r="R278" s="705">
        <v>14012</v>
      </c>
      <c r="S278" s="705">
        <v>12738</v>
      </c>
      <c r="T278" s="705">
        <v>4892</v>
      </c>
      <c r="U278" s="705">
        <v>1812</v>
      </c>
      <c r="V278" s="705">
        <v>125591</v>
      </c>
      <c r="W278" s="705">
        <f t="shared" si="18"/>
        <v>125591</v>
      </c>
      <c r="X278" s="705">
        <f t="shared" si="19"/>
        <v>147034</v>
      </c>
      <c r="Y278" s="705"/>
      <c r="AA278" t="s">
        <v>120</v>
      </c>
      <c r="AB278" t="s">
        <v>722</v>
      </c>
      <c r="AC278" s="705" t="s">
        <v>665</v>
      </c>
      <c r="AD278" s="705">
        <v>6</v>
      </c>
      <c r="AE278" s="705">
        <v>359</v>
      </c>
      <c r="AF278" s="705">
        <v>2019</v>
      </c>
      <c r="AG278" s="705">
        <v>69964</v>
      </c>
      <c r="AH278" s="705">
        <v>63604</v>
      </c>
      <c r="AI278" s="706">
        <v>58</v>
      </c>
      <c r="AJ278" s="705">
        <v>4846</v>
      </c>
      <c r="AK278" s="705">
        <v>4405</v>
      </c>
      <c r="AL278" s="705">
        <v>4588</v>
      </c>
      <c r="AM278" s="705">
        <v>1699</v>
      </c>
      <c r="AN278" s="705">
        <v>2106</v>
      </c>
      <c r="AO278" s="705">
        <v>780</v>
      </c>
      <c r="AP278" s="705">
        <v>27378</v>
      </c>
      <c r="AQ278" s="705">
        <v>24889</v>
      </c>
      <c r="AR278" s="705">
        <v>11836</v>
      </c>
      <c r="AS278" s="705">
        <v>4384</v>
      </c>
      <c r="AT278" s="705">
        <v>99761</v>
      </c>
      <c r="AU278" s="705">
        <f t="shared" si="20"/>
        <v>99761</v>
      </c>
      <c r="AV278" s="705">
        <f t="shared" si="21"/>
        <v>120718</v>
      </c>
    </row>
    <row r="279" spans="2:48" hidden="1">
      <c r="B279" t="s">
        <v>535</v>
      </c>
      <c r="C279" t="s">
        <v>122</v>
      </c>
      <c r="D279" t="s">
        <v>669</v>
      </c>
      <c r="E279" t="s">
        <v>669</v>
      </c>
      <c r="F279">
        <v>33</v>
      </c>
      <c r="G279" s="705">
        <v>2273</v>
      </c>
      <c r="H279" s="705">
        <v>13642</v>
      </c>
      <c r="I279" s="705">
        <v>575809</v>
      </c>
      <c r="J279" s="705">
        <v>479841</v>
      </c>
      <c r="K279" s="705">
        <v>57</v>
      </c>
      <c r="L279" s="705">
        <v>71357</v>
      </c>
      <c r="M279" s="705">
        <v>45486</v>
      </c>
      <c r="N279" s="705">
        <v>43805</v>
      </c>
      <c r="O279" s="705">
        <v>16224</v>
      </c>
      <c r="P279" s="705">
        <v>10881</v>
      </c>
      <c r="Q279" s="705">
        <v>4030</v>
      </c>
      <c r="R279" s="705">
        <v>176665</v>
      </c>
      <c r="S279" s="705">
        <v>147221</v>
      </c>
      <c r="T279" s="705">
        <v>61551</v>
      </c>
      <c r="U279" s="705">
        <v>22797</v>
      </c>
      <c r="V279" s="705">
        <v>715599</v>
      </c>
      <c r="W279" s="705">
        <f t="shared" si="18"/>
        <v>715599</v>
      </c>
      <c r="X279" s="705">
        <f t="shared" si="19"/>
        <v>940068</v>
      </c>
      <c r="Y279" s="705"/>
      <c r="AA279" t="s">
        <v>120</v>
      </c>
      <c r="AB279" t="s">
        <v>673</v>
      </c>
      <c r="AC279" s="705" t="s">
        <v>228</v>
      </c>
      <c r="AD279" s="705">
        <v>2</v>
      </c>
      <c r="AE279" s="705">
        <v>92</v>
      </c>
      <c r="AF279" s="705">
        <v>659</v>
      </c>
      <c r="AG279" s="705">
        <v>12136</v>
      </c>
      <c r="AH279" s="705">
        <v>11033</v>
      </c>
      <c r="AI279" s="706">
        <v>75</v>
      </c>
      <c r="AJ279" s="705">
        <v>2257</v>
      </c>
      <c r="AK279" s="705">
        <v>836</v>
      </c>
      <c r="AL279" s="705">
        <v>1602</v>
      </c>
      <c r="AM279" s="705">
        <v>593</v>
      </c>
      <c r="AN279" s="705">
        <v>702</v>
      </c>
      <c r="AO279" s="705">
        <v>260</v>
      </c>
      <c r="AP279" s="705">
        <v>13098</v>
      </c>
      <c r="AQ279" s="705">
        <v>4851</v>
      </c>
      <c r="AR279" s="705">
        <v>0</v>
      </c>
      <c r="AS279" s="705">
        <v>0</v>
      </c>
      <c r="AT279" s="705">
        <v>17573</v>
      </c>
      <c r="AU279" s="705">
        <f t="shared" si="20"/>
        <v>17573</v>
      </c>
      <c r="AV279" s="705">
        <f t="shared" si="21"/>
        <v>29795</v>
      </c>
    </row>
    <row r="280" spans="2:48" hidden="1">
      <c r="B280" t="s">
        <v>535</v>
      </c>
      <c r="C280" t="s">
        <v>122</v>
      </c>
      <c r="D280" t="s">
        <v>671</v>
      </c>
      <c r="E280" t="s">
        <v>671</v>
      </c>
      <c r="F280" s="705">
        <v>1</v>
      </c>
      <c r="G280" s="705">
        <v>88</v>
      </c>
      <c r="H280" s="705">
        <v>413</v>
      </c>
      <c r="I280" s="705">
        <v>20948</v>
      </c>
      <c r="J280" s="705">
        <v>19044</v>
      </c>
      <c r="K280" s="705">
        <v>45</v>
      </c>
      <c r="L280" s="705">
        <v>3491</v>
      </c>
      <c r="M280" s="705">
        <v>3174</v>
      </c>
      <c r="N280" s="705">
        <v>1665</v>
      </c>
      <c r="O280" s="705">
        <v>617</v>
      </c>
      <c r="P280" s="705">
        <v>351</v>
      </c>
      <c r="Q280" s="705">
        <v>130</v>
      </c>
      <c r="R280" s="705">
        <v>6984</v>
      </c>
      <c r="S280" s="705">
        <v>6349</v>
      </c>
      <c r="T280" s="705">
        <v>2713</v>
      </c>
      <c r="U280" s="705">
        <v>1005</v>
      </c>
      <c r="V280" s="705">
        <v>30319</v>
      </c>
      <c r="W280" s="705">
        <f t="shared" si="18"/>
        <v>30319</v>
      </c>
      <c r="X280" s="705">
        <f t="shared" si="19"/>
        <v>36152</v>
      </c>
      <c r="Y280" s="705"/>
      <c r="AA280" t="s">
        <v>120</v>
      </c>
      <c r="AB280" t="s">
        <v>673</v>
      </c>
      <c r="AC280" s="705" t="s">
        <v>673</v>
      </c>
      <c r="AD280" s="705">
        <v>43</v>
      </c>
      <c r="AE280" s="705">
        <v>3120</v>
      </c>
      <c r="AF280" s="705">
        <v>14604</v>
      </c>
      <c r="AG280" s="705">
        <v>611869</v>
      </c>
      <c r="AH280" s="705">
        <v>556245</v>
      </c>
      <c r="AI280" s="706">
        <v>58</v>
      </c>
      <c r="AJ280" s="705">
        <v>85552</v>
      </c>
      <c r="AK280" s="705">
        <v>65261</v>
      </c>
      <c r="AL280" s="705">
        <v>58060</v>
      </c>
      <c r="AM280" s="705">
        <v>21504</v>
      </c>
      <c r="AN280" s="705">
        <v>15093</v>
      </c>
      <c r="AO280" s="705">
        <v>5590</v>
      </c>
      <c r="AP280" s="705">
        <v>204500</v>
      </c>
      <c r="AQ280" s="705">
        <v>185909</v>
      </c>
      <c r="AR280" s="705">
        <v>88322</v>
      </c>
      <c r="AS280" s="705">
        <v>32712</v>
      </c>
      <c r="AT280" s="705">
        <v>867221</v>
      </c>
      <c r="AU280" s="705">
        <f t="shared" si="20"/>
        <v>867221</v>
      </c>
      <c r="AV280" s="705">
        <f t="shared" si="21"/>
        <v>1063396</v>
      </c>
    </row>
    <row r="281" spans="2:48" hidden="1">
      <c r="B281" t="s">
        <v>535</v>
      </c>
      <c r="C281" t="s">
        <v>122</v>
      </c>
      <c r="D281" t="s">
        <v>665</v>
      </c>
      <c r="E281" t="s">
        <v>228</v>
      </c>
      <c r="F281" s="705">
        <v>2</v>
      </c>
      <c r="G281" s="705">
        <v>139</v>
      </c>
      <c r="H281" s="705">
        <v>809</v>
      </c>
      <c r="I281" s="705">
        <v>34852</v>
      </c>
      <c r="J281" s="705">
        <v>31684</v>
      </c>
      <c r="K281" s="705">
        <v>55</v>
      </c>
      <c r="L281" s="705">
        <v>0</v>
      </c>
      <c r="M281" s="705">
        <v>1836</v>
      </c>
      <c r="N281" s="705">
        <v>2425</v>
      </c>
      <c r="O281" s="705">
        <v>898</v>
      </c>
      <c r="P281" s="705">
        <v>0</v>
      </c>
      <c r="Q281" s="705">
        <v>0</v>
      </c>
      <c r="R281" s="705">
        <v>18729</v>
      </c>
      <c r="S281" s="705">
        <v>6937</v>
      </c>
      <c r="T281" s="705">
        <v>0</v>
      </c>
      <c r="U281" s="705">
        <v>0</v>
      </c>
      <c r="V281" s="705">
        <v>41355</v>
      </c>
      <c r="W281" s="705">
        <f t="shared" si="18"/>
        <v>41355</v>
      </c>
      <c r="X281" s="705">
        <f t="shared" si="19"/>
        <v>56006</v>
      </c>
      <c r="Y281" s="705"/>
      <c r="AA281" t="s">
        <v>120</v>
      </c>
      <c r="AB281" t="s">
        <v>585</v>
      </c>
      <c r="AC281" s="705" t="s">
        <v>585</v>
      </c>
      <c r="AD281" s="705">
        <v>12</v>
      </c>
      <c r="AE281" s="705">
        <v>1186</v>
      </c>
      <c r="AF281" s="705">
        <v>4086</v>
      </c>
      <c r="AG281" s="705">
        <v>272692</v>
      </c>
      <c r="AH281" s="705">
        <v>247902</v>
      </c>
      <c r="AI281" s="706">
        <v>69</v>
      </c>
      <c r="AJ281" s="705">
        <v>35687</v>
      </c>
      <c r="AK281" s="705">
        <v>32251</v>
      </c>
      <c r="AL281" s="705">
        <v>24192</v>
      </c>
      <c r="AM281" s="705">
        <v>8960</v>
      </c>
      <c r="AN281" s="705">
        <v>6156</v>
      </c>
      <c r="AO281" s="705">
        <v>2280</v>
      </c>
      <c r="AP281" s="705">
        <v>52958</v>
      </c>
      <c r="AQ281" s="705">
        <v>48144</v>
      </c>
      <c r="AR281" s="705">
        <v>20389</v>
      </c>
      <c r="AS281" s="705">
        <v>7551</v>
      </c>
      <c r="AT281" s="705">
        <v>347088</v>
      </c>
      <c r="AU281" s="705">
        <f t="shared" si="20"/>
        <v>347088</v>
      </c>
      <c r="AV281" s="705">
        <f t="shared" si="21"/>
        <v>412074</v>
      </c>
    </row>
    <row r="282" spans="2:48" hidden="1">
      <c r="B282" t="s">
        <v>535</v>
      </c>
      <c r="C282" t="s">
        <v>122</v>
      </c>
      <c r="D282" t="s">
        <v>665</v>
      </c>
      <c r="E282" t="s">
        <v>665</v>
      </c>
      <c r="F282">
        <v>111</v>
      </c>
      <c r="G282" s="705">
        <v>7371</v>
      </c>
      <c r="H282" s="705">
        <v>45334</v>
      </c>
      <c r="I282" s="705">
        <v>1847291</v>
      </c>
      <c r="J282" s="705">
        <v>1679355</v>
      </c>
      <c r="K282" s="705">
        <v>55</v>
      </c>
      <c r="L282" s="705">
        <v>209636</v>
      </c>
      <c r="M282" s="705">
        <v>176209</v>
      </c>
      <c r="N282" s="705">
        <v>148086</v>
      </c>
      <c r="O282" s="705">
        <v>54847</v>
      </c>
      <c r="P282" s="705">
        <v>40473</v>
      </c>
      <c r="Q282" s="705">
        <v>14990</v>
      </c>
      <c r="R282" s="705">
        <v>556789</v>
      </c>
      <c r="S282" s="705">
        <v>506172</v>
      </c>
      <c r="T282" s="705">
        <v>227050</v>
      </c>
      <c r="U282" s="705">
        <v>84093</v>
      </c>
      <c r="V282" s="705">
        <v>2515665</v>
      </c>
      <c r="W282" s="705">
        <f t="shared" si="18"/>
        <v>2515666</v>
      </c>
      <c r="X282" s="705">
        <f t="shared" si="19"/>
        <v>3029325</v>
      </c>
      <c r="Y282" s="705"/>
      <c r="AA282" t="s">
        <v>120</v>
      </c>
      <c r="AB282" t="s">
        <v>668</v>
      </c>
      <c r="AC282" s="705" t="s">
        <v>228</v>
      </c>
      <c r="AD282" s="705">
        <v>2</v>
      </c>
      <c r="AE282" s="705">
        <v>254</v>
      </c>
      <c r="AF282" s="705">
        <v>661</v>
      </c>
      <c r="AG282" s="705">
        <v>65727</v>
      </c>
      <c r="AH282" s="705">
        <v>59752</v>
      </c>
      <c r="AI282" s="706">
        <v>65</v>
      </c>
      <c r="AJ282" s="705">
        <v>3356</v>
      </c>
      <c r="AK282" s="705">
        <v>2796</v>
      </c>
      <c r="AL282" s="705">
        <v>5314</v>
      </c>
      <c r="AM282" s="705">
        <v>1968</v>
      </c>
      <c r="AN282" s="705">
        <v>702</v>
      </c>
      <c r="AO282" s="705">
        <v>260</v>
      </c>
      <c r="AP282" s="705">
        <v>13540</v>
      </c>
      <c r="AQ282" s="705">
        <v>5015</v>
      </c>
      <c r="AR282" s="705">
        <v>1916</v>
      </c>
      <c r="AS282" s="705">
        <v>710</v>
      </c>
      <c r="AT282" s="705">
        <v>70501</v>
      </c>
      <c r="AU282" s="705">
        <f t="shared" si="20"/>
        <v>70501</v>
      </c>
      <c r="AV282" s="705">
        <f t="shared" si="21"/>
        <v>90555</v>
      </c>
    </row>
    <row r="283" spans="2:48" hidden="1">
      <c r="B283" t="s">
        <v>535</v>
      </c>
      <c r="C283" t="s">
        <v>124</v>
      </c>
      <c r="F283">
        <v>2</v>
      </c>
      <c r="G283" s="705">
        <v>167</v>
      </c>
      <c r="H283" s="705">
        <v>1088</v>
      </c>
      <c r="I283" s="705"/>
      <c r="J283" s="705">
        <v>0</v>
      </c>
      <c r="K283" s="705"/>
      <c r="L283" s="705"/>
      <c r="M283" s="705">
        <v>0</v>
      </c>
      <c r="N283" s="705">
        <v>4079</v>
      </c>
      <c r="O283" s="705">
        <v>1511</v>
      </c>
      <c r="P283" s="705">
        <v>1242</v>
      </c>
      <c r="Q283" s="705">
        <v>460</v>
      </c>
      <c r="R283" s="705"/>
      <c r="S283" s="705">
        <v>0</v>
      </c>
      <c r="T283">
        <v>0</v>
      </c>
      <c r="U283" s="705">
        <v>0</v>
      </c>
      <c r="V283" s="705">
        <v>1971</v>
      </c>
      <c r="W283" s="705">
        <f t="shared" si="18"/>
        <v>1971</v>
      </c>
      <c r="X283" s="705">
        <f t="shared" si="19"/>
        <v>5321</v>
      </c>
      <c r="Y283" s="705"/>
      <c r="AA283" t="s">
        <v>120</v>
      </c>
      <c r="AB283" t="s">
        <v>668</v>
      </c>
      <c r="AC283" s="705" t="s">
        <v>668</v>
      </c>
      <c r="AD283" s="705">
        <v>4</v>
      </c>
      <c r="AE283" s="705">
        <v>389</v>
      </c>
      <c r="AF283" s="705">
        <v>1335</v>
      </c>
      <c r="AG283" s="705">
        <v>88661</v>
      </c>
      <c r="AH283" s="705">
        <v>80601</v>
      </c>
      <c r="AI283" s="706">
        <v>73</v>
      </c>
      <c r="AJ283" s="705">
        <v>9302</v>
      </c>
      <c r="AK283" s="705">
        <v>8456</v>
      </c>
      <c r="AL283" s="705">
        <v>6414</v>
      </c>
      <c r="AM283" s="705">
        <v>2376</v>
      </c>
      <c r="AN283" s="705">
        <v>1404</v>
      </c>
      <c r="AO283" s="705">
        <v>520</v>
      </c>
      <c r="AP283" s="705">
        <v>20678</v>
      </c>
      <c r="AQ283" s="705">
        <v>18798</v>
      </c>
      <c r="AR283" s="705">
        <v>2226</v>
      </c>
      <c r="AS283" s="705">
        <v>824</v>
      </c>
      <c r="AT283" s="705">
        <v>111575</v>
      </c>
      <c r="AU283" s="705">
        <f t="shared" si="20"/>
        <v>111575</v>
      </c>
      <c r="AV283" s="705">
        <f t="shared" si="21"/>
        <v>128685</v>
      </c>
    </row>
    <row r="284" spans="2:48" hidden="1">
      <c r="B284" t="s">
        <v>535</v>
      </c>
      <c r="C284" t="s">
        <v>124</v>
      </c>
      <c r="D284" t="s">
        <v>664</v>
      </c>
      <c r="E284" t="s">
        <v>664</v>
      </c>
      <c r="F284" s="705">
        <v>1</v>
      </c>
      <c r="G284" s="705">
        <v>70</v>
      </c>
      <c r="H284" s="705">
        <v>486</v>
      </c>
      <c r="I284" s="705">
        <v>22243</v>
      </c>
      <c r="J284" s="705">
        <v>20221</v>
      </c>
      <c r="K284">
        <v>65</v>
      </c>
      <c r="L284" s="705">
        <v>2350</v>
      </c>
      <c r="M284" s="705">
        <v>2136</v>
      </c>
      <c r="N284" s="705">
        <v>1287</v>
      </c>
      <c r="O284" s="705">
        <v>477</v>
      </c>
      <c r="P284" s="705">
        <v>351</v>
      </c>
      <c r="Q284" s="705">
        <v>130</v>
      </c>
      <c r="R284" s="705">
        <v>8025</v>
      </c>
      <c r="S284" s="705">
        <v>7295</v>
      </c>
      <c r="T284" s="705">
        <v>0</v>
      </c>
      <c r="U284" s="705">
        <v>0</v>
      </c>
      <c r="V284" s="705">
        <v>30259</v>
      </c>
      <c r="W284" s="705">
        <f t="shared" si="18"/>
        <v>30259</v>
      </c>
      <c r="X284" s="705">
        <f t="shared" si="19"/>
        <v>34256</v>
      </c>
      <c r="Y284" s="705"/>
      <c r="AA284" t="s">
        <v>122</v>
      </c>
      <c r="AC284" s="705"/>
      <c r="AD284" s="705">
        <v>29</v>
      </c>
      <c r="AE284" s="705">
        <v>2770</v>
      </c>
      <c r="AF284" s="705">
        <v>12209</v>
      </c>
      <c r="AG284" s="705"/>
      <c r="AH284" s="705">
        <v>0</v>
      </c>
      <c r="AI284" s="706"/>
      <c r="AJ284" s="705"/>
      <c r="AK284" s="705">
        <v>0</v>
      </c>
      <c r="AL284" s="705">
        <v>57429</v>
      </c>
      <c r="AM284" s="705">
        <v>21270</v>
      </c>
      <c r="AN284" s="705">
        <v>9221</v>
      </c>
      <c r="AO284" s="705">
        <v>3415</v>
      </c>
      <c r="AP284" s="705"/>
      <c r="AQ284" s="705">
        <v>0</v>
      </c>
      <c r="AR284" s="705">
        <v>14149</v>
      </c>
      <c r="AS284" s="705">
        <v>5240</v>
      </c>
      <c r="AT284" s="705">
        <v>29925</v>
      </c>
      <c r="AU284" s="705">
        <f t="shared" si="20"/>
        <v>29925</v>
      </c>
      <c r="AV284" s="705">
        <f t="shared" si="21"/>
        <v>80799</v>
      </c>
    </row>
    <row r="285" spans="2:48" hidden="1">
      <c r="B285" t="s">
        <v>535</v>
      </c>
      <c r="C285" t="s">
        <v>124</v>
      </c>
      <c r="D285" t="s">
        <v>582</v>
      </c>
      <c r="E285" t="s">
        <v>228</v>
      </c>
      <c r="F285">
        <v>1</v>
      </c>
      <c r="G285">
        <v>67</v>
      </c>
      <c r="H285" s="705">
        <v>525</v>
      </c>
      <c r="I285" s="705">
        <v>20580</v>
      </c>
      <c r="J285" s="705">
        <v>18709</v>
      </c>
      <c r="K285">
        <v>70</v>
      </c>
      <c r="L285" s="705">
        <v>6240</v>
      </c>
      <c r="M285" s="705">
        <v>2311</v>
      </c>
      <c r="N285" s="705">
        <v>1151</v>
      </c>
      <c r="O285" s="705">
        <v>426</v>
      </c>
      <c r="P285" s="705">
        <v>122</v>
      </c>
      <c r="Q285" s="705">
        <v>45</v>
      </c>
      <c r="R285" s="705">
        <v>6815</v>
      </c>
      <c r="S285" s="705">
        <v>2524</v>
      </c>
      <c r="T285" s="705">
        <v>0</v>
      </c>
      <c r="U285" s="705">
        <v>0</v>
      </c>
      <c r="V285" s="705">
        <v>24015</v>
      </c>
      <c r="W285" s="705">
        <f t="shared" si="18"/>
        <v>24015</v>
      </c>
      <c r="X285" s="705">
        <f t="shared" si="19"/>
        <v>34908</v>
      </c>
      <c r="Y285" s="705"/>
      <c r="AA285" t="s">
        <v>122</v>
      </c>
      <c r="AB285" t="s">
        <v>674</v>
      </c>
      <c r="AC285" s="705" t="s">
        <v>674</v>
      </c>
      <c r="AD285" s="705">
        <v>2</v>
      </c>
      <c r="AE285" s="705">
        <v>176</v>
      </c>
      <c r="AF285" s="705">
        <v>818</v>
      </c>
      <c r="AG285" s="705">
        <v>52455</v>
      </c>
      <c r="AH285" s="705">
        <v>47687</v>
      </c>
      <c r="AI285" s="706">
        <v>65</v>
      </c>
      <c r="AJ285" s="705">
        <v>0</v>
      </c>
      <c r="AK285" s="705">
        <v>0</v>
      </c>
      <c r="AL285" s="705">
        <v>3646</v>
      </c>
      <c r="AM285" s="705">
        <v>1350</v>
      </c>
      <c r="AN285" s="705">
        <v>702</v>
      </c>
      <c r="AO285" s="705">
        <v>260</v>
      </c>
      <c r="AP285" s="705">
        <v>9554</v>
      </c>
      <c r="AQ285" s="705">
        <v>8685</v>
      </c>
      <c r="AR285" s="705">
        <v>5877</v>
      </c>
      <c r="AS285" s="705">
        <v>2177</v>
      </c>
      <c r="AT285" s="705">
        <v>60159</v>
      </c>
      <c r="AU285" s="705">
        <f t="shared" si="20"/>
        <v>60159</v>
      </c>
      <c r="AV285" s="705">
        <f t="shared" si="21"/>
        <v>72234</v>
      </c>
    </row>
    <row r="286" spans="2:48" hidden="1">
      <c r="B286" t="s">
        <v>535</v>
      </c>
      <c r="C286" t="s">
        <v>124</v>
      </c>
      <c r="D286" t="s">
        <v>228</v>
      </c>
      <c r="E286" t="s">
        <v>228</v>
      </c>
      <c r="F286">
        <v>111</v>
      </c>
      <c r="G286" s="705">
        <v>9399</v>
      </c>
      <c r="H286" s="705">
        <v>72989</v>
      </c>
      <c r="I286" s="705">
        <v>4304925</v>
      </c>
      <c r="J286" s="705">
        <v>1594417</v>
      </c>
      <c r="K286" s="705">
        <v>100</v>
      </c>
      <c r="L286" s="705">
        <v>719484</v>
      </c>
      <c r="M286" s="705">
        <v>575988</v>
      </c>
      <c r="N286" s="705">
        <v>209511</v>
      </c>
      <c r="O286" s="705">
        <v>77597</v>
      </c>
      <c r="P286" s="705">
        <v>1674</v>
      </c>
      <c r="Q286" s="705">
        <v>620</v>
      </c>
      <c r="R286" s="705">
        <v>797761</v>
      </c>
      <c r="S286" s="705">
        <v>295467</v>
      </c>
      <c r="T286" s="705">
        <v>0</v>
      </c>
      <c r="U286" s="705">
        <v>0</v>
      </c>
      <c r="V286" s="705">
        <v>2544088</v>
      </c>
      <c r="W286" s="705">
        <f t="shared" si="18"/>
        <v>2544089</v>
      </c>
      <c r="X286" s="705">
        <f t="shared" si="19"/>
        <v>6033355</v>
      </c>
      <c r="Y286" s="705"/>
      <c r="AA286" t="s">
        <v>122</v>
      </c>
      <c r="AB286" t="s">
        <v>580</v>
      </c>
      <c r="AC286" s="705" t="s">
        <v>228</v>
      </c>
      <c r="AD286" s="705">
        <v>1</v>
      </c>
      <c r="AE286" s="705">
        <v>68</v>
      </c>
      <c r="AF286" s="705">
        <v>414</v>
      </c>
      <c r="AG286" s="705">
        <v>16672</v>
      </c>
      <c r="AH286" s="705">
        <v>6175</v>
      </c>
      <c r="AI286" s="706">
        <v>100</v>
      </c>
      <c r="AJ286" s="705">
        <v>5660</v>
      </c>
      <c r="AK286" s="705">
        <v>5146</v>
      </c>
      <c r="AL286" s="705">
        <v>1645</v>
      </c>
      <c r="AM286" s="705">
        <v>609</v>
      </c>
      <c r="AN286" s="705">
        <v>0</v>
      </c>
      <c r="AO286" s="705">
        <v>0</v>
      </c>
      <c r="AP286" s="705">
        <v>3991</v>
      </c>
      <c r="AQ286" s="705">
        <v>1478</v>
      </c>
      <c r="AR286" s="705">
        <v>0</v>
      </c>
      <c r="AS286" s="705">
        <v>0</v>
      </c>
      <c r="AT286" s="705">
        <v>13407</v>
      </c>
      <c r="AU286" s="705">
        <f t="shared" si="20"/>
        <v>13408</v>
      </c>
      <c r="AV286" s="705">
        <f t="shared" si="21"/>
        <v>27968</v>
      </c>
    </row>
    <row r="287" spans="2:48" hidden="1">
      <c r="B287" t="s">
        <v>535</v>
      </c>
      <c r="C287" t="s">
        <v>124</v>
      </c>
      <c r="D287" t="s">
        <v>228</v>
      </c>
      <c r="E287" t="s">
        <v>583</v>
      </c>
      <c r="F287" s="705">
        <v>4</v>
      </c>
      <c r="G287" s="705">
        <v>496</v>
      </c>
      <c r="H287" s="705">
        <v>2424</v>
      </c>
      <c r="I287" s="705">
        <v>251444</v>
      </c>
      <c r="J287" s="705">
        <v>93127</v>
      </c>
      <c r="K287" s="705">
        <v>100</v>
      </c>
      <c r="L287" s="705">
        <v>27231</v>
      </c>
      <c r="M287" s="705">
        <v>24755</v>
      </c>
      <c r="N287" s="705">
        <v>11391</v>
      </c>
      <c r="O287" s="705">
        <v>4219</v>
      </c>
      <c r="P287" s="705">
        <v>1512</v>
      </c>
      <c r="Q287" s="705">
        <v>560</v>
      </c>
      <c r="R287" s="705">
        <v>20293</v>
      </c>
      <c r="S287" s="705">
        <v>18448</v>
      </c>
      <c r="T287" s="705">
        <v>6891</v>
      </c>
      <c r="U287" s="705">
        <v>2552</v>
      </c>
      <c r="V287" s="705">
        <v>143662</v>
      </c>
      <c r="W287" s="705">
        <f t="shared" si="18"/>
        <v>143661</v>
      </c>
      <c r="X287" s="705">
        <f t="shared" si="19"/>
        <v>318762</v>
      </c>
      <c r="Y287" s="705"/>
      <c r="AA287" t="s">
        <v>122</v>
      </c>
      <c r="AB287" t="s">
        <v>664</v>
      </c>
      <c r="AC287" s="705" t="s">
        <v>664</v>
      </c>
      <c r="AD287" s="705">
        <v>14</v>
      </c>
      <c r="AE287" s="705">
        <v>1221</v>
      </c>
      <c r="AF287" s="705">
        <v>5833</v>
      </c>
      <c r="AG287" s="705">
        <v>374585</v>
      </c>
      <c r="AH287" s="705">
        <v>340532</v>
      </c>
      <c r="AI287" s="706">
        <v>76</v>
      </c>
      <c r="AJ287" s="705">
        <v>80166</v>
      </c>
      <c r="AK287" s="705">
        <v>63429</v>
      </c>
      <c r="AL287" s="705">
        <v>28206</v>
      </c>
      <c r="AM287" s="705">
        <v>10447</v>
      </c>
      <c r="AN287" s="705">
        <v>6021</v>
      </c>
      <c r="AO287" s="705">
        <v>2230</v>
      </c>
      <c r="AP287" s="705">
        <v>58670</v>
      </c>
      <c r="AQ287" s="705">
        <v>53336</v>
      </c>
      <c r="AR287" s="705">
        <v>8164</v>
      </c>
      <c r="AS287" s="705">
        <v>3024</v>
      </c>
      <c r="AT287" s="705">
        <v>472997</v>
      </c>
      <c r="AU287" s="705">
        <f t="shared" si="20"/>
        <v>472998</v>
      </c>
      <c r="AV287" s="705">
        <f t="shared" si="21"/>
        <v>555812</v>
      </c>
    </row>
    <row r="288" spans="2:48" hidden="1">
      <c r="B288" t="s">
        <v>535</v>
      </c>
      <c r="C288" t="s">
        <v>124</v>
      </c>
      <c r="D288" t="s">
        <v>228</v>
      </c>
      <c r="E288" t="s">
        <v>669</v>
      </c>
      <c r="F288">
        <v>3</v>
      </c>
      <c r="G288" s="705">
        <v>272</v>
      </c>
      <c r="H288" s="705">
        <v>1707</v>
      </c>
      <c r="I288" s="705">
        <v>111542</v>
      </c>
      <c r="J288" s="705">
        <v>41312</v>
      </c>
      <c r="K288" s="705">
        <v>100</v>
      </c>
      <c r="L288" s="705">
        <v>15852</v>
      </c>
      <c r="M288" s="705">
        <v>13210</v>
      </c>
      <c r="N288" s="705">
        <v>5454</v>
      </c>
      <c r="O288" s="705">
        <v>2020</v>
      </c>
      <c r="P288" s="705">
        <v>0</v>
      </c>
      <c r="Q288" s="705">
        <v>0</v>
      </c>
      <c r="R288" s="705">
        <v>20583</v>
      </c>
      <c r="S288" s="705">
        <v>17153</v>
      </c>
      <c r="T288" s="705">
        <v>4941</v>
      </c>
      <c r="U288" s="705">
        <v>1830</v>
      </c>
      <c r="V288" s="705">
        <v>75525</v>
      </c>
      <c r="W288" s="705">
        <f t="shared" si="18"/>
        <v>75525</v>
      </c>
      <c r="X288" s="705">
        <f t="shared" si="19"/>
        <v>158372</v>
      </c>
      <c r="Y288" s="705"/>
      <c r="AA288" t="s">
        <v>122</v>
      </c>
      <c r="AB288" t="s">
        <v>664</v>
      </c>
      <c r="AC288" s="705" t="s">
        <v>228</v>
      </c>
      <c r="AD288" s="705">
        <v>3</v>
      </c>
      <c r="AE288" s="705">
        <v>265</v>
      </c>
      <c r="AF288" s="705">
        <v>1204</v>
      </c>
      <c r="AG288" s="705">
        <v>50643</v>
      </c>
      <c r="AH288" s="705">
        <v>46039</v>
      </c>
      <c r="AI288" s="706">
        <v>83</v>
      </c>
      <c r="AJ288" s="705">
        <v>18268</v>
      </c>
      <c r="AK288" s="705">
        <v>12875</v>
      </c>
      <c r="AL288" s="705">
        <v>6007</v>
      </c>
      <c r="AM288" s="705">
        <v>2225</v>
      </c>
      <c r="AN288" s="705">
        <v>898</v>
      </c>
      <c r="AO288" s="705">
        <v>333</v>
      </c>
      <c r="AP288" s="705">
        <v>29511</v>
      </c>
      <c r="AQ288" s="705">
        <v>10930</v>
      </c>
      <c r="AR288" s="705">
        <v>0</v>
      </c>
      <c r="AS288" s="705">
        <v>0</v>
      </c>
      <c r="AT288" s="705">
        <v>72401</v>
      </c>
      <c r="AU288" s="705">
        <f t="shared" si="20"/>
        <v>72402</v>
      </c>
      <c r="AV288" s="705">
        <f t="shared" si="21"/>
        <v>105327</v>
      </c>
    </row>
    <row r="289" spans="2:48" hidden="1">
      <c r="B289" t="s">
        <v>535</v>
      </c>
      <c r="C289" t="s">
        <v>124</v>
      </c>
      <c r="D289" t="s">
        <v>228</v>
      </c>
      <c r="E289" t="s">
        <v>665</v>
      </c>
      <c r="F289" s="705">
        <v>13</v>
      </c>
      <c r="G289" s="705">
        <v>1174</v>
      </c>
      <c r="H289" s="705">
        <v>7793</v>
      </c>
      <c r="I289" s="705">
        <v>468758</v>
      </c>
      <c r="J289" s="705">
        <v>173614</v>
      </c>
      <c r="K289" s="705">
        <v>100</v>
      </c>
      <c r="L289" s="705">
        <v>60016</v>
      </c>
      <c r="M289" s="705">
        <v>54560</v>
      </c>
      <c r="N289" s="705">
        <v>25405</v>
      </c>
      <c r="O289" s="705">
        <v>9409</v>
      </c>
      <c r="P289" s="705">
        <v>1053</v>
      </c>
      <c r="Q289" s="705">
        <v>390</v>
      </c>
      <c r="R289" s="705">
        <v>85434</v>
      </c>
      <c r="S289" s="705">
        <v>77668</v>
      </c>
      <c r="T289" s="705">
        <v>33997</v>
      </c>
      <c r="U289" s="705">
        <v>12592</v>
      </c>
      <c r="V289" s="705">
        <v>328232</v>
      </c>
      <c r="W289" s="705">
        <f t="shared" si="18"/>
        <v>328233</v>
      </c>
      <c r="X289" s="705">
        <f t="shared" si="19"/>
        <v>674663</v>
      </c>
      <c r="Y289" s="705"/>
      <c r="AA289" t="s">
        <v>122</v>
      </c>
      <c r="AB289" t="s">
        <v>582</v>
      </c>
      <c r="AC289" s="705" t="s">
        <v>664</v>
      </c>
      <c r="AD289" s="705">
        <v>1</v>
      </c>
      <c r="AE289" s="705">
        <v>65</v>
      </c>
      <c r="AF289" s="705">
        <v>449</v>
      </c>
      <c r="AG289" s="705">
        <v>16755</v>
      </c>
      <c r="AH289" s="705">
        <v>15231</v>
      </c>
      <c r="AI289" s="706">
        <v>65</v>
      </c>
      <c r="AJ289" s="705">
        <v>2876</v>
      </c>
      <c r="AK289" s="705">
        <v>2615</v>
      </c>
      <c r="AL289" s="705">
        <v>1337</v>
      </c>
      <c r="AM289" s="705">
        <v>495</v>
      </c>
      <c r="AN289" s="705">
        <v>473</v>
      </c>
      <c r="AO289" s="705">
        <v>175</v>
      </c>
      <c r="AP289" s="705">
        <v>5035</v>
      </c>
      <c r="AQ289" s="705">
        <v>4578</v>
      </c>
      <c r="AR289" s="705">
        <v>2672</v>
      </c>
      <c r="AS289" s="705">
        <v>990</v>
      </c>
      <c r="AT289" s="705">
        <v>24084</v>
      </c>
      <c r="AU289" s="705">
        <f t="shared" si="20"/>
        <v>24084</v>
      </c>
      <c r="AV289" s="705">
        <f t="shared" si="21"/>
        <v>29148</v>
      </c>
    </row>
    <row r="290" spans="2:48" hidden="1">
      <c r="B290" t="s">
        <v>535</v>
      </c>
      <c r="C290" t="s">
        <v>124</v>
      </c>
      <c r="D290" t="s">
        <v>583</v>
      </c>
      <c r="E290" t="s">
        <v>228</v>
      </c>
      <c r="F290" s="705">
        <v>7</v>
      </c>
      <c r="G290" s="705">
        <v>511</v>
      </c>
      <c r="H290" s="705">
        <v>3836</v>
      </c>
      <c r="I290" s="705">
        <v>180416</v>
      </c>
      <c r="J290" s="705">
        <v>164015</v>
      </c>
      <c r="K290" s="705">
        <v>70</v>
      </c>
      <c r="L290" s="705">
        <v>44089</v>
      </c>
      <c r="M290" s="705">
        <v>37903</v>
      </c>
      <c r="N290" s="705">
        <v>11949</v>
      </c>
      <c r="O290" s="705">
        <v>4425</v>
      </c>
      <c r="P290" s="705">
        <v>3375</v>
      </c>
      <c r="Q290" s="705">
        <v>1250</v>
      </c>
      <c r="R290" s="705">
        <v>42496</v>
      </c>
      <c r="S290" s="705">
        <v>15739</v>
      </c>
      <c r="T290" s="705">
        <v>0</v>
      </c>
      <c r="U290" s="705">
        <v>0</v>
      </c>
      <c r="V290" s="705">
        <v>223333</v>
      </c>
      <c r="W290" s="705">
        <f t="shared" si="18"/>
        <v>223332</v>
      </c>
      <c r="X290" s="705">
        <f t="shared" si="19"/>
        <v>282325</v>
      </c>
      <c r="Y290" s="705"/>
      <c r="AA290" t="s">
        <v>122</v>
      </c>
      <c r="AB290" t="s">
        <v>582</v>
      </c>
      <c r="AC290" s="705" t="s">
        <v>582</v>
      </c>
      <c r="AD290" s="705">
        <v>28</v>
      </c>
      <c r="AE290" s="705">
        <v>2758</v>
      </c>
      <c r="AF290" s="705">
        <v>11517</v>
      </c>
      <c r="AG290" s="705">
        <v>736679</v>
      </c>
      <c r="AH290" s="705">
        <v>669708</v>
      </c>
      <c r="AI290" s="706">
        <v>72</v>
      </c>
      <c r="AJ290" s="705">
        <v>147658</v>
      </c>
      <c r="AK290" s="705">
        <v>131181</v>
      </c>
      <c r="AL290" s="705">
        <v>57708</v>
      </c>
      <c r="AM290" s="705">
        <v>21373</v>
      </c>
      <c r="AN290" s="705">
        <v>12798</v>
      </c>
      <c r="AO290" s="705">
        <v>4740</v>
      </c>
      <c r="AP290" s="705">
        <v>143309</v>
      </c>
      <c r="AQ290" s="705">
        <v>130281</v>
      </c>
      <c r="AR290" s="705">
        <v>44932</v>
      </c>
      <c r="AS290" s="705">
        <v>16641</v>
      </c>
      <c r="AT290" s="705">
        <v>973925</v>
      </c>
      <c r="AU290" s="705">
        <f t="shared" si="20"/>
        <v>973924</v>
      </c>
      <c r="AV290" s="705">
        <f t="shared" si="21"/>
        <v>1143084</v>
      </c>
    </row>
    <row r="291" spans="2:48" hidden="1">
      <c r="B291" t="s">
        <v>535</v>
      </c>
      <c r="C291" t="s">
        <v>124</v>
      </c>
      <c r="D291" t="s">
        <v>583</v>
      </c>
      <c r="E291" t="s">
        <v>583</v>
      </c>
      <c r="F291">
        <v>136</v>
      </c>
      <c r="G291" s="705">
        <v>12464</v>
      </c>
      <c r="H291" s="705">
        <v>72225</v>
      </c>
      <c r="I291" s="705">
        <v>4480197</v>
      </c>
      <c r="J291" s="705">
        <v>4072906</v>
      </c>
      <c r="K291" s="705">
        <v>72</v>
      </c>
      <c r="L291" s="705">
        <v>887724</v>
      </c>
      <c r="M291" s="705">
        <v>775683</v>
      </c>
      <c r="N291" s="705">
        <v>274659</v>
      </c>
      <c r="O291" s="705">
        <v>101726</v>
      </c>
      <c r="P291" s="705">
        <v>90206</v>
      </c>
      <c r="Q291" s="705">
        <v>33410</v>
      </c>
      <c r="R291" s="705">
        <v>638487</v>
      </c>
      <c r="S291" s="705">
        <v>580442</v>
      </c>
      <c r="T291" s="705">
        <v>263565</v>
      </c>
      <c r="U291" s="705">
        <v>97617</v>
      </c>
      <c r="V291" s="705">
        <v>5661784</v>
      </c>
      <c r="W291" s="705">
        <f t="shared" si="18"/>
        <v>5661784</v>
      </c>
      <c r="X291" s="705">
        <f t="shared" si="19"/>
        <v>6634838</v>
      </c>
      <c r="Y291" s="705"/>
      <c r="AA291" t="s">
        <v>122</v>
      </c>
      <c r="AB291" t="s">
        <v>228</v>
      </c>
      <c r="AC291" s="705" t="s">
        <v>674</v>
      </c>
      <c r="AD291" s="705">
        <v>1</v>
      </c>
      <c r="AE291" s="705">
        <v>81</v>
      </c>
      <c r="AF291" s="705">
        <v>402</v>
      </c>
      <c r="AG291" s="705">
        <v>23046</v>
      </c>
      <c r="AH291" s="705">
        <v>8536</v>
      </c>
      <c r="AI291" s="706">
        <v>100</v>
      </c>
      <c r="AJ291" s="705">
        <v>2086</v>
      </c>
      <c r="AK291" s="705">
        <v>1897</v>
      </c>
      <c r="AL291" s="705">
        <v>1482</v>
      </c>
      <c r="AM291" s="705">
        <v>549</v>
      </c>
      <c r="AN291" s="705">
        <v>0</v>
      </c>
      <c r="AO291" s="705">
        <v>0</v>
      </c>
      <c r="AP291" s="705">
        <v>4244</v>
      </c>
      <c r="AQ291" s="705">
        <v>3858</v>
      </c>
      <c r="AR291" s="705">
        <v>1735</v>
      </c>
      <c r="AS291" s="705">
        <v>643</v>
      </c>
      <c r="AT291" s="705">
        <v>15482</v>
      </c>
      <c r="AU291" s="705">
        <f t="shared" si="20"/>
        <v>15483</v>
      </c>
      <c r="AV291" s="705">
        <f t="shared" si="21"/>
        <v>32593</v>
      </c>
    </row>
    <row r="292" spans="2:48" hidden="1">
      <c r="B292" t="s">
        <v>535</v>
      </c>
      <c r="C292" t="s">
        <v>124</v>
      </c>
      <c r="D292" t="s">
        <v>666</v>
      </c>
      <c r="E292" t="s">
        <v>228</v>
      </c>
      <c r="F292">
        <v>1</v>
      </c>
      <c r="G292" s="705">
        <v>62</v>
      </c>
      <c r="H292" s="705">
        <v>474</v>
      </c>
      <c r="I292" s="705">
        <v>15016</v>
      </c>
      <c r="J292" s="705">
        <v>13651</v>
      </c>
      <c r="K292" s="705">
        <v>60</v>
      </c>
      <c r="L292" s="705">
        <v>2457</v>
      </c>
      <c r="M292" s="705">
        <v>910</v>
      </c>
      <c r="N292" s="705">
        <v>1521</v>
      </c>
      <c r="O292" s="705">
        <v>563</v>
      </c>
      <c r="P292" s="705">
        <v>351</v>
      </c>
      <c r="Q292" s="705">
        <v>130</v>
      </c>
      <c r="R292" s="705">
        <v>10204</v>
      </c>
      <c r="S292" s="705">
        <v>3779</v>
      </c>
      <c r="T292" s="705">
        <v>0</v>
      </c>
      <c r="U292" s="705">
        <v>0</v>
      </c>
      <c r="V292" s="705">
        <v>19034</v>
      </c>
      <c r="W292" s="705">
        <f t="shared" si="18"/>
        <v>19033</v>
      </c>
      <c r="X292" s="705">
        <f t="shared" si="19"/>
        <v>29549</v>
      </c>
      <c r="Y292" s="705"/>
      <c r="AA292" t="s">
        <v>122</v>
      </c>
      <c r="AB292" t="s">
        <v>228</v>
      </c>
      <c r="AC292" s="705" t="s">
        <v>580</v>
      </c>
      <c r="AD292" s="705">
        <v>1</v>
      </c>
      <c r="AE292" s="705">
        <v>57</v>
      </c>
      <c r="AF292" s="705">
        <v>435</v>
      </c>
      <c r="AG292" s="705">
        <v>14439</v>
      </c>
      <c r="AH292" s="705">
        <v>5348</v>
      </c>
      <c r="AI292" s="706">
        <v>100</v>
      </c>
      <c r="AJ292" s="705">
        <v>5348</v>
      </c>
      <c r="AK292" s="705">
        <v>4456</v>
      </c>
      <c r="AL292" s="705">
        <v>1220</v>
      </c>
      <c r="AM292" s="705">
        <v>452</v>
      </c>
      <c r="AN292" s="705">
        <v>0</v>
      </c>
      <c r="AO292" s="705">
        <v>0</v>
      </c>
      <c r="AP292" s="705">
        <v>3595</v>
      </c>
      <c r="AQ292" s="705">
        <v>1332</v>
      </c>
      <c r="AR292" s="705">
        <v>0</v>
      </c>
      <c r="AS292" s="705">
        <v>0</v>
      </c>
      <c r="AT292" s="705">
        <v>11588</v>
      </c>
      <c r="AU292" s="705">
        <f t="shared" si="20"/>
        <v>11588</v>
      </c>
      <c r="AV292" s="705">
        <f t="shared" si="21"/>
        <v>24602</v>
      </c>
    </row>
    <row r="293" spans="2:48" hidden="1">
      <c r="B293" t="s">
        <v>535</v>
      </c>
      <c r="C293" t="s">
        <v>124</v>
      </c>
      <c r="D293" t="s">
        <v>666</v>
      </c>
      <c r="E293" s="705" t="s">
        <v>666</v>
      </c>
      <c r="F293" s="705">
        <v>13</v>
      </c>
      <c r="G293" s="705">
        <v>878</v>
      </c>
      <c r="H293" s="705">
        <v>6557</v>
      </c>
      <c r="I293" s="705">
        <v>314349</v>
      </c>
      <c r="J293" s="705">
        <v>285772</v>
      </c>
      <c r="K293" s="705">
        <v>56</v>
      </c>
      <c r="L293" s="705">
        <v>31858</v>
      </c>
      <c r="M293" s="705">
        <v>18599</v>
      </c>
      <c r="N293" s="705">
        <v>16395</v>
      </c>
      <c r="O293" s="705">
        <v>6072</v>
      </c>
      <c r="P293" s="705">
        <v>4212</v>
      </c>
      <c r="Q293" s="705">
        <v>1560</v>
      </c>
      <c r="R293" s="705">
        <v>63095</v>
      </c>
      <c r="S293" s="705">
        <v>57359</v>
      </c>
      <c r="T293" s="705">
        <v>24849</v>
      </c>
      <c r="U293" s="705">
        <v>9203</v>
      </c>
      <c r="V293" s="705">
        <v>378565</v>
      </c>
      <c r="W293" s="705">
        <f t="shared" si="18"/>
        <v>378565</v>
      </c>
      <c r="X293" s="705">
        <f t="shared" si="19"/>
        <v>454758</v>
      </c>
      <c r="Y293" s="705"/>
      <c r="AA293" t="s">
        <v>122</v>
      </c>
      <c r="AB293" t="s">
        <v>228</v>
      </c>
      <c r="AC293" s="705" t="s">
        <v>228</v>
      </c>
      <c r="AD293" s="705">
        <v>2045</v>
      </c>
      <c r="AE293" s="705">
        <v>156771</v>
      </c>
      <c r="AF293" s="705">
        <v>846122</v>
      </c>
      <c r="AG293" s="705">
        <v>41818301</v>
      </c>
      <c r="AH293" s="705">
        <v>15488260</v>
      </c>
      <c r="AI293" s="706">
        <v>100</v>
      </c>
      <c r="AJ293" s="705">
        <v>6415658</v>
      </c>
      <c r="AK293" s="705">
        <v>4721404</v>
      </c>
      <c r="AL293" s="705">
        <v>3348472</v>
      </c>
      <c r="AM293" s="705">
        <v>1240175</v>
      </c>
      <c r="AN293" s="705">
        <v>48763</v>
      </c>
      <c r="AO293" s="705">
        <v>18060</v>
      </c>
      <c r="AP293" s="705">
        <v>13965082</v>
      </c>
      <c r="AQ293" s="705">
        <v>5172252</v>
      </c>
      <c r="AR293" s="705">
        <v>46086</v>
      </c>
      <c r="AS293" s="705">
        <v>17069</v>
      </c>
      <c r="AT293" s="705">
        <v>26657220</v>
      </c>
      <c r="AU293" s="705">
        <f t="shared" si="20"/>
        <v>26657220</v>
      </c>
      <c r="AV293" s="705">
        <f t="shared" si="21"/>
        <v>65642362</v>
      </c>
    </row>
    <row r="294" spans="2:48" hidden="1">
      <c r="B294" t="s">
        <v>535</v>
      </c>
      <c r="C294" t="s">
        <v>124</v>
      </c>
      <c r="D294" t="s">
        <v>584</v>
      </c>
      <c r="E294" t="s">
        <v>584</v>
      </c>
      <c r="F294" s="705">
        <v>2</v>
      </c>
      <c r="G294" s="705">
        <v>113</v>
      </c>
      <c r="H294" s="705">
        <v>1125</v>
      </c>
      <c r="I294" s="705">
        <v>46251</v>
      </c>
      <c r="J294" s="705">
        <v>42047</v>
      </c>
      <c r="K294" s="705">
        <v>76</v>
      </c>
      <c r="L294" s="705">
        <v>4528</v>
      </c>
      <c r="M294" s="705">
        <v>4116</v>
      </c>
      <c r="N294" s="705">
        <v>2432</v>
      </c>
      <c r="O294" s="705">
        <v>901</v>
      </c>
      <c r="P294" s="705">
        <v>945</v>
      </c>
      <c r="Q294" s="705">
        <v>350</v>
      </c>
      <c r="R294" s="705">
        <v>7494</v>
      </c>
      <c r="S294" s="705">
        <v>6813</v>
      </c>
      <c r="T294" s="705">
        <v>0</v>
      </c>
      <c r="U294" s="705">
        <v>0</v>
      </c>
      <c r="V294" s="705">
        <v>54226</v>
      </c>
      <c r="W294" s="705">
        <f t="shared" si="18"/>
        <v>54227</v>
      </c>
      <c r="X294" s="705">
        <f t="shared" si="19"/>
        <v>61650</v>
      </c>
      <c r="Y294" s="705"/>
      <c r="AA294" t="s">
        <v>122</v>
      </c>
      <c r="AB294" t="s">
        <v>228</v>
      </c>
      <c r="AC294" s="705" t="s">
        <v>583</v>
      </c>
      <c r="AD294" s="705">
        <v>9</v>
      </c>
      <c r="AE294" s="705">
        <v>1143</v>
      </c>
      <c r="AF294" s="705">
        <v>3847</v>
      </c>
      <c r="AG294" s="705">
        <v>355187</v>
      </c>
      <c r="AH294" s="705">
        <v>131551</v>
      </c>
      <c r="AI294" s="706">
        <v>100</v>
      </c>
      <c r="AJ294" s="705">
        <v>42483</v>
      </c>
      <c r="AK294" s="705">
        <v>37943</v>
      </c>
      <c r="AL294" s="705">
        <v>23491</v>
      </c>
      <c r="AM294" s="705">
        <v>8700</v>
      </c>
      <c r="AN294" s="705">
        <v>1431</v>
      </c>
      <c r="AO294" s="705">
        <v>530</v>
      </c>
      <c r="AP294" s="705">
        <v>59954</v>
      </c>
      <c r="AQ294" s="705">
        <v>54503</v>
      </c>
      <c r="AR294" s="705">
        <v>6514</v>
      </c>
      <c r="AS294" s="705">
        <v>2413</v>
      </c>
      <c r="AT294" s="705">
        <v>235640</v>
      </c>
      <c r="AU294" s="705">
        <f t="shared" si="20"/>
        <v>235640</v>
      </c>
      <c r="AV294" s="705">
        <f t="shared" si="21"/>
        <v>489060</v>
      </c>
    </row>
    <row r="295" spans="2:48" hidden="1">
      <c r="B295" t="s">
        <v>535</v>
      </c>
      <c r="C295" t="s">
        <v>124</v>
      </c>
      <c r="D295" t="s">
        <v>669</v>
      </c>
      <c r="E295" t="s">
        <v>228</v>
      </c>
      <c r="F295" s="705">
        <v>2</v>
      </c>
      <c r="G295" s="705">
        <v>307</v>
      </c>
      <c r="H295" s="705">
        <v>1503</v>
      </c>
      <c r="I295" s="705">
        <v>216675</v>
      </c>
      <c r="J295" s="705">
        <v>180563</v>
      </c>
      <c r="K295" s="705">
        <v>45</v>
      </c>
      <c r="L295" s="705">
        <v>19502</v>
      </c>
      <c r="M295" s="705">
        <v>7223</v>
      </c>
      <c r="N295" s="705">
        <v>8098</v>
      </c>
      <c r="O295" s="705">
        <v>2999</v>
      </c>
      <c r="P295" s="705">
        <v>0</v>
      </c>
      <c r="Q295" s="705">
        <v>0</v>
      </c>
      <c r="R295" s="705">
        <v>19254</v>
      </c>
      <c r="S295" s="705">
        <v>7131</v>
      </c>
      <c r="T295" s="705">
        <v>0</v>
      </c>
      <c r="U295" s="705">
        <v>0</v>
      </c>
      <c r="V295" s="705">
        <v>197916</v>
      </c>
      <c r="W295" s="705">
        <f t="shared" si="18"/>
        <v>197916</v>
      </c>
      <c r="X295" s="705">
        <f t="shared" si="19"/>
        <v>263529</v>
      </c>
      <c r="Y295" s="705"/>
      <c r="AA295" t="s">
        <v>122</v>
      </c>
      <c r="AB295" t="s">
        <v>228</v>
      </c>
      <c r="AC295" s="705" t="s">
        <v>666</v>
      </c>
      <c r="AD295" s="705">
        <v>16</v>
      </c>
      <c r="AE295" s="705">
        <v>1059</v>
      </c>
      <c r="AF295" s="705">
        <v>6549</v>
      </c>
      <c r="AG295" s="705">
        <v>247901</v>
      </c>
      <c r="AH295" s="705">
        <v>91815</v>
      </c>
      <c r="AI295" s="706">
        <v>100</v>
      </c>
      <c r="AJ295" s="705">
        <v>23699</v>
      </c>
      <c r="AK295" s="705">
        <v>21544</v>
      </c>
      <c r="AL295" s="705">
        <v>21908</v>
      </c>
      <c r="AM295" s="705">
        <v>8114</v>
      </c>
      <c r="AN295" s="705">
        <v>1053</v>
      </c>
      <c r="AO295" s="705">
        <v>390</v>
      </c>
      <c r="AP295" s="705">
        <v>95119</v>
      </c>
      <c r="AQ295" s="705">
        <v>86472</v>
      </c>
      <c r="AR295" s="705">
        <v>38648</v>
      </c>
      <c r="AS295" s="705">
        <v>14314</v>
      </c>
      <c r="AT295" s="705">
        <v>222650</v>
      </c>
      <c r="AU295" s="705">
        <f t="shared" ref="AU295:AU326" si="22">SUM(ABS(AH295), ABS(AK295),ABS(AM295),ABS(AO295),ABS(AQ295),ABS(AS295))</f>
        <v>222649</v>
      </c>
      <c r="AV295" s="705">
        <f t="shared" ref="AV295:AV326" si="23">SUM(ABS(AG295),ABS(AJ295),ABS(AL295),ABS(AN295),ABS(AP295),ABS(AR295))</f>
        <v>428328</v>
      </c>
    </row>
    <row r="296" spans="2:48" hidden="1">
      <c r="B296" t="s">
        <v>535</v>
      </c>
      <c r="C296" t="s">
        <v>124</v>
      </c>
      <c r="D296" t="s">
        <v>669</v>
      </c>
      <c r="E296" t="s">
        <v>669</v>
      </c>
      <c r="F296">
        <v>21</v>
      </c>
      <c r="G296" s="705">
        <v>1701</v>
      </c>
      <c r="H296" s="705">
        <v>12567</v>
      </c>
      <c r="I296" s="705">
        <v>730167</v>
      </c>
      <c r="J296" s="705">
        <v>608472</v>
      </c>
      <c r="K296" s="705">
        <v>53</v>
      </c>
      <c r="L296" s="705">
        <v>74435</v>
      </c>
      <c r="M296" s="705">
        <v>50750</v>
      </c>
      <c r="N296" s="705">
        <v>32777</v>
      </c>
      <c r="O296" s="705">
        <v>12140</v>
      </c>
      <c r="P296" s="705">
        <v>6588</v>
      </c>
      <c r="Q296" s="705">
        <v>2440</v>
      </c>
      <c r="R296" s="705">
        <v>126976</v>
      </c>
      <c r="S296" s="705">
        <v>105814</v>
      </c>
      <c r="T296" s="705">
        <v>40993</v>
      </c>
      <c r="U296" s="705">
        <v>15182</v>
      </c>
      <c r="V296" s="705">
        <v>794797</v>
      </c>
      <c r="W296" s="705">
        <f t="shared" si="18"/>
        <v>794798</v>
      </c>
      <c r="X296" s="705">
        <f t="shared" si="19"/>
        <v>1011936</v>
      </c>
      <c r="Y296" s="705"/>
      <c r="AA296" t="s">
        <v>122</v>
      </c>
      <c r="AB296" t="s">
        <v>228</v>
      </c>
      <c r="AC296" s="705" t="s">
        <v>584</v>
      </c>
      <c r="AD296" s="705">
        <v>3</v>
      </c>
      <c r="AE296" s="705">
        <v>483</v>
      </c>
      <c r="AF296" s="705">
        <v>1244</v>
      </c>
      <c r="AG296" s="705">
        <v>158535</v>
      </c>
      <c r="AH296" s="705">
        <v>58717</v>
      </c>
      <c r="AI296" s="706">
        <v>100</v>
      </c>
      <c r="AJ296" s="705">
        <v>26409</v>
      </c>
      <c r="AK296" s="705">
        <v>23439</v>
      </c>
      <c r="AL296" s="705">
        <v>10272</v>
      </c>
      <c r="AM296" s="705">
        <v>3804</v>
      </c>
      <c r="AN296" s="705">
        <v>473</v>
      </c>
      <c r="AO296" s="705">
        <v>175</v>
      </c>
      <c r="AP296" s="705">
        <v>14259</v>
      </c>
      <c r="AQ296" s="705">
        <v>12963</v>
      </c>
      <c r="AR296" s="705">
        <v>3870</v>
      </c>
      <c r="AS296" s="705">
        <v>1433</v>
      </c>
      <c r="AT296" s="705">
        <v>100531</v>
      </c>
      <c r="AU296" s="705">
        <f t="shared" si="22"/>
        <v>100531</v>
      </c>
      <c r="AV296" s="705">
        <f t="shared" si="23"/>
        <v>213818</v>
      </c>
    </row>
    <row r="297" spans="2:48" hidden="1">
      <c r="B297" t="s">
        <v>535</v>
      </c>
      <c r="C297" t="s">
        <v>124</v>
      </c>
      <c r="D297" t="s">
        <v>665</v>
      </c>
      <c r="E297" t="s">
        <v>228</v>
      </c>
      <c r="F297" s="705">
        <v>27</v>
      </c>
      <c r="G297" s="705">
        <v>2069</v>
      </c>
      <c r="H297" s="705">
        <v>31269</v>
      </c>
      <c r="I297" s="705">
        <v>1955569</v>
      </c>
      <c r="J297" s="705">
        <v>1777790</v>
      </c>
      <c r="K297" s="705">
        <v>35</v>
      </c>
      <c r="L297" s="705">
        <v>131294</v>
      </c>
      <c r="M297" s="705">
        <v>78879</v>
      </c>
      <c r="N297" s="705">
        <v>47633</v>
      </c>
      <c r="O297" s="705">
        <v>17642</v>
      </c>
      <c r="P297" s="705">
        <v>1404</v>
      </c>
      <c r="Q297" s="705">
        <v>520</v>
      </c>
      <c r="R297" s="705">
        <v>150950</v>
      </c>
      <c r="S297" s="705">
        <v>55907</v>
      </c>
      <c r="T297" s="705">
        <v>2651</v>
      </c>
      <c r="U297" s="705">
        <v>982</v>
      </c>
      <c r="V297" s="705">
        <v>1931720</v>
      </c>
      <c r="W297" s="705">
        <f t="shared" si="18"/>
        <v>1931720</v>
      </c>
      <c r="X297" s="705">
        <f t="shared" si="19"/>
        <v>2289501</v>
      </c>
      <c r="Y297" s="705"/>
      <c r="AA297" t="s">
        <v>122</v>
      </c>
      <c r="AB297" t="s">
        <v>228</v>
      </c>
      <c r="AC297" s="705" t="s">
        <v>669</v>
      </c>
      <c r="AD297" s="705">
        <v>26</v>
      </c>
      <c r="AE297" s="705">
        <v>2262</v>
      </c>
      <c r="AF297" s="705">
        <v>10727</v>
      </c>
      <c r="AG297" s="705">
        <v>592478</v>
      </c>
      <c r="AH297" s="705">
        <v>219436</v>
      </c>
      <c r="AI297" s="706">
        <v>100</v>
      </c>
      <c r="AJ297" s="705">
        <v>77836</v>
      </c>
      <c r="AK297" s="705">
        <v>64863</v>
      </c>
      <c r="AL297" s="705">
        <v>48509</v>
      </c>
      <c r="AM297" s="705">
        <v>17966</v>
      </c>
      <c r="AN297" s="705">
        <v>3159</v>
      </c>
      <c r="AO297" s="705">
        <v>1170</v>
      </c>
      <c r="AP297" s="705">
        <v>158166</v>
      </c>
      <c r="AQ297" s="705">
        <v>131805</v>
      </c>
      <c r="AR297" s="705">
        <v>54648</v>
      </c>
      <c r="AS297" s="705">
        <v>20240</v>
      </c>
      <c r="AT297" s="705">
        <v>455481</v>
      </c>
      <c r="AU297" s="705">
        <f t="shared" si="22"/>
        <v>455480</v>
      </c>
      <c r="AV297" s="705">
        <f t="shared" si="23"/>
        <v>934796</v>
      </c>
    </row>
    <row r="298" spans="2:48" hidden="1">
      <c r="B298" t="s">
        <v>535</v>
      </c>
      <c r="C298" t="s">
        <v>124</v>
      </c>
      <c r="D298" t="s">
        <v>665</v>
      </c>
      <c r="E298" t="s">
        <v>583</v>
      </c>
      <c r="F298">
        <v>1</v>
      </c>
      <c r="G298" s="705">
        <v>57</v>
      </c>
      <c r="H298" s="705">
        <v>703</v>
      </c>
      <c r="I298" s="705">
        <v>31512</v>
      </c>
      <c r="J298" s="705">
        <v>28647</v>
      </c>
      <c r="K298" s="705">
        <v>55</v>
      </c>
      <c r="L298" s="705">
        <v>2812</v>
      </c>
      <c r="M298" s="705">
        <v>2556</v>
      </c>
      <c r="N298" s="705">
        <v>1224</v>
      </c>
      <c r="O298" s="705">
        <v>453</v>
      </c>
      <c r="P298" s="705">
        <v>621</v>
      </c>
      <c r="Q298" s="705">
        <v>230</v>
      </c>
      <c r="R298" s="705">
        <v>2749</v>
      </c>
      <c r="S298" s="705">
        <v>2499</v>
      </c>
      <c r="T298" s="705">
        <v>1407</v>
      </c>
      <c r="U298" s="705">
        <v>521</v>
      </c>
      <c r="V298" s="705">
        <v>34907</v>
      </c>
      <c r="W298" s="705">
        <f t="shared" si="18"/>
        <v>34906</v>
      </c>
      <c r="X298" s="705">
        <f t="shared" si="19"/>
        <v>40325</v>
      </c>
      <c r="Y298" s="705"/>
      <c r="AA298" t="s">
        <v>122</v>
      </c>
      <c r="AB298" t="s">
        <v>228</v>
      </c>
      <c r="AC298" s="705" t="s">
        <v>671</v>
      </c>
      <c r="AD298" s="705">
        <v>5</v>
      </c>
      <c r="AE298" s="705">
        <v>494</v>
      </c>
      <c r="AF298" s="705">
        <v>2077</v>
      </c>
      <c r="AG298" s="705">
        <v>128275</v>
      </c>
      <c r="AH298" s="705">
        <v>47509</v>
      </c>
      <c r="AI298" s="706">
        <v>100</v>
      </c>
      <c r="AJ298" s="705">
        <v>25195</v>
      </c>
      <c r="AK298" s="705">
        <v>22905</v>
      </c>
      <c r="AL298" s="705">
        <v>10335</v>
      </c>
      <c r="AM298" s="705">
        <v>3828</v>
      </c>
      <c r="AN298" s="705">
        <v>351</v>
      </c>
      <c r="AO298" s="705">
        <v>130</v>
      </c>
      <c r="AP298" s="705">
        <v>31575</v>
      </c>
      <c r="AQ298" s="705">
        <v>28705</v>
      </c>
      <c r="AR298" s="705">
        <v>9153</v>
      </c>
      <c r="AS298" s="705">
        <v>3390</v>
      </c>
      <c r="AT298" s="705">
        <v>106467</v>
      </c>
      <c r="AU298" s="705">
        <f t="shared" si="22"/>
        <v>106467</v>
      </c>
      <c r="AV298" s="705">
        <f t="shared" si="23"/>
        <v>204884</v>
      </c>
    </row>
    <row r="299" spans="2:48" hidden="1">
      <c r="B299" t="s">
        <v>535</v>
      </c>
      <c r="C299" t="s">
        <v>124</v>
      </c>
      <c r="D299" t="s">
        <v>665</v>
      </c>
      <c r="E299" t="s">
        <v>665</v>
      </c>
      <c r="F299" s="705">
        <v>86</v>
      </c>
      <c r="G299" s="705">
        <v>6494</v>
      </c>
      <c r="H299" s="705">
        <v>51779</v>
      </c>
      <c r="I299" s="705">
        <v>2851250</v>
      </c>
      <c r="J299" s="705">
        <v>2592045</v>
      </c>
      <c r="K299" s="705">
        <v>53</v>
      </c>
      <c r="L299" s="705">
        <v>336587</v>
      </c>
      <c r="M299" s="705">
        <v>237145</v>
      </c>
      <c r="N299" s="705">
        <v>143412</v>
      </c>
      <c r="O299" s="705">
        <v>53115</v>
      </c>
      <c r="P299" s="705">
        <v>32049</v>
      </c>
      <c r="Q299" s="705">
        <v>11870</v>
      </c>
      <c r="R299" s="705">
        <v>482287</v>
      </c>
      <c r="S299" s="705">
        <v>438443</v>
      </c>
      <c r="T299" s="705">
        <v>194566</v>
      </c>
      <c r="U299" s="705">
        <v>72061</v>
      </c>
      <c r="V299" s="705">
        <v>3404680</v>
      </c>
      <c r="W299" s="705">
        <f t="shared" si="18"/>
        <v>3404679</v>
      </c>
      <c r="X299" s="705">
        <f t="shared" si="19"/>
        <v>4040151</v>
      </c>
      <c r="Y299" s="705"/>
      <c r="AA299" t="s">
        <v>122</v>
      </c>
      <c r="AB299" t="s">
        <v>228</v>
      </c>
      <c r="AC299" s="705" t="s">
        <v>665</v>
      </c>
      <c r="AD299" s="705">
        <v>107</v>
      </c>
      <c r="AE299" s="705">
        <v>7332</v>
      </c>
      <c r="AF299" s="705">
        <v>44153</v>
      </c>
      <c r="AG299" s="705">
        <v>1845997</v>
      </c>
      <c r="AH299" s="705">
        <v>683703</v>
      </c>
      <c r="AI299" s="706">
        <v>100</v>
      </c>
      <c r="AJ299" s="705">
        <v>220659</v>
      </c>
      <c r="AK299" s="705">
        <v>193152</v>
      </c>
      <c r="AL299" s="705">
        <v>148721</v>
      </c>
      <c r="AM299" s="705">
        <v>55082</v>
      </c>
      <c r="AN299" s="705">
        <v>13460</v>
      </c>
      <c r="AO299" s="705">
        <v>4985</v>
      </c>
      <c r="AP299" s="705">
        <v>587684</v>
      </c>
      <c r="AQ299" s="705">
        <v>534258</v>
      </c>
      <c r="AR299" s="705">
        <v>214286</v>
      </c>
      <c r="AS299" s="705">
        <v>79365</v>
      </c>
      <c r="AT299" s="705">
        <v>1550544</v>
      </c>
      <c r="AU299" s="705">
        <f t="shared" si="22"/>
        <v>1550545</v>
      </c>
      <c r="AV299" s="705">
        <f t="shared" si="23"/>
        <v>3030807</v>
      </c>
    </row>
    <row r="300" spans="2:48" hidden="1">
      <c r="B300" t="s">
        <v>537</v>
      </c>
      <c r="C300" t="s">
        <v>108</v>
      </c>
      <c r="F300">
        <v>37</v>
      </c>
      <c r="G300" s="705">
        <v>3780</v>
      </c>
      <c r="H300" s="705">
        <v>2597</v>
      </c>
      <c r="I300" s="705"/>
      <c r="J300" s="705">
        <v>0</v>
      </c>
      <c r="K300" s="705"/>
      <c r="L300" s="705"/>
      <c r="M300" s="705">
        <v>0</v>
      </c>
      <c r="N300" s="705">
        <v>46051</v>
      </c>
      <c r="O300" s="705">
        <v>17056</v>
      </c>
      <c r="P300" s="705">
        <v>12987</v>
      </c>
      <c r="Q300" s="705">
        <v>4810</v>
      </c>
      <c r="R300" s="705"/>
      <c r="S300" s="705">
        <v>0</v>
      </c>
      <c r="T300" s="705">
        <v>0</v>
      </c>
      <c r="U300" s="705">
        <v>0</v>
      </c>
      <c r="V300" s="705">
        <v>21866</v>
      </c>
      <c r="W300" s="705">
        <f t="shared" si="18"/>
        <v>21866</v>
      </c>
      <c r="X300" s="705">
        <f t="shared" si="19"/>
        <v>59038</v>
      </c>
      <c r="Y300" s="705"/>
      <c r="AA300" t="s">
        <v>122</v>
      </c>
      <c r="AB300" t="s">
        <v>583</v>
      </c>
      <c r="AC300" s="705" t="s">
        <v>664</v>
      </c>
      <c r="AD300" s="705">
        <v>4</v>
      </c>
      <c r="AE300" s="705">
        <v>393</v>
      </c>
      <c r="AF300" s="705">
        <v>1659</v>
      </c>
      <c r="AG300" s="705">
        <v>102859</v>
      </c>
      <c r="AH300" s="705">
        <v>93508</v>
      </c>
      <c r="AI300" s="706">
        <v>82</v>
      </c>
      <c r="AJ300" s="705">
        <v>25583</v>
      </c>
      <c r="AK300" s="705">
        <v>21319</v>
      </c>
      <c r="AL300" s="705">
        <v>8008</v>
      </c>
      <c r="AM300" s="705">
        <v>2966</v>
      </c>
      <c r="AN300" s="705">
        <v>2484</v>
      </c>
      <c r="AO300" s="705">
        <v>920</v>
      </c>
      <c r="AP300" s="705">
        <v>18744</v>
      </c>
      <c r="AQ300" s="705">
        <v>17040</v>
      </c>
      <c r="AR300" s="705">
        <v>5859</v>
      </c>
      <c r="AS300" s="705">
        <v>2170</v>
      </c>
      <c r="AT300" s="705">
        <v>137923</v>
      </c>
      <c r="AU300" s="705">
        <f t="shared" si="22"/>
        <v>137923</v>
      </c>
      <c r="AV300" s="705">
        <f t="shared" si="23"/>
        <v>163537</v>
      </c>
    </row>
    <row r="301" spans="2:48" hidden="1">
      <c r="B301" t="s">
        <v>537</v>
      </c>
      <c r="C301" t="s">
        <v>108</v>
      </c>
      <c r="D301" t="s">
        <v>582</v>
      </c>
      <c r="E301" t="s">
        <v>582</v>
      </c>
      <c r="F301">
        <v>15</v>
      </c>
      <c r="G301" s="705">
        <v>1899</v>
      </c>
      <c r="H301" s="705">
        <v>923</v>
      </c>
      <c r="I301" s="705">
        <v>33213</v>
      </c>
      <c r="J301" s="705">
        <v>30194</v>
      </c>
      <c r="K301" s="705">
        <v>92</v>
      </c>
      <c r="L301" s="705">
        <v>4595</v>
      </c>
      <c r="M301" s="705">
        <v>4178</v>
      </c>
      <c r="N301" s="705">
        <v>26001</v>
      </c>
      <c r="O301" s="705">
        <v>9630</v>
      </c>
      <c r="P301" s="705">
        <v>21507</v>
      </c>
      <c r="Q301" s="705">
        <v>7966</v>
      </c>
      <c r="R301" s="705">
        <v>33264</v>
      </c>
      <c r="S301" s="705">
        <v>30240</v>
      </c>
      <c r="T301" s="705">
        <v>0</v>
      </c>
      <c r="U301" s="705">
        <v>0</v>
      </c>
      <c r="V301" s="705">
        <v>82207</v>
      </c>
      <c r="W301" s="705">
        <f t="shared" si="18"/>
        <v>82208</v>
      </c>
      <c r="X301" s="705">
        <f t="shared" si="19"/>
        <v>118580</v>
      </c>
      <c r="Y301" s="705"/>
      <c r="AA301" t="s">
        <v>122</v>
      </c>
      <c r="AB301" t="s">
        <v>583</v>
      </c>
      <c r="AC301" s="705" t="s">
        <v>582</v>
      </c>
      <c r="AD301" s="705">
        <v>1</v>
      </c>
      <c r="AE301" s="705">
        <v>142</v>
      </c>
      <c r="AF301" s="705">
        <v>406</v>
      </c>
      <c r="AG301" s="705">
        <v>41998</v>
      </c>
      <c r="AH301" s="705">
        <v>38180</v>
      </c>
      <c r="AI301" s="706">
        <v>75</v>
      </c>
      <c r="AJ301" s="705">
        <v>5545</v>
      </c>
      <c r="AK301" s="705">
        <v>5041</v>
      </c>
      <c r="AL301" s="705">
        <v>2676</v>
      </c>
      <c r="AM301" s="705">
        <v>991</v>
      </c>
      <c r="AN301" s="705">
        <v>621</v>
      </c>
      <c r="AO301" s="705">
        <v>230</v>
      </c>
      <c r="AP301" s="705">
        <v>6690</v>
      </c>
      <c r="AQ301" s="705">
        <v>6082</v>
      </c>
      <c r="AR301" s="705">
        <v>0</v>
      </c>
      <c r="AS301" s="705">
        <v>0</v>
      </c>
      <c r="AT301" s="705">
        <v>50525</v>
      </c>
      <c r="AU301" s="705">
        <f t="shared" si="22"/>
        <v>50524</v>
      </c>
      <c r="AV301" s="705">
        <f t="shared" si="23"/>
        <v>57530</v>
      </c>
    </row>
    <row r="302" spans="2:48" hidden="1">
      <c r="B302" t="s">
        <v>537</v>
      </c>
      <c r="C302" t="s">
        <v>108</v>
      </c>
      <c r="D302" t="s">
        <v>228</v>
      </c>
      <c r="E302" t="s">
        <v>228</v>
      </c>
      <c r="F302" s="705">
        <v>1269</v>
      </c>
      <c r="G302" s="705">
        <v>143666</v>
      </c>
      <c r="H302" s="705">
        <v>71038</v>
      </c>
      <c r="I302" s="705">
        <v>127890</v>
      </c>
      <c r="J302" s="705">
        <v>47367</v>
      </c>
      <c r="K302" s="705">
        <v>467</v>
      </c>
      <c r="L302" s="705">
        <v>51841</v>
      </c>
      <c r="M302" s="705">
        <v>50174</v>
      </c>
      <c r="N302" s="705">
        <v>1876137</v>
      </c>
      <c r="O302" s="705">
        <v>694865</v>
      </c>
      <c r="P302" s="705">
        <v>921619</v>
      </c>
      <c r="Q302" s="705">
        <v>341340</v>
      </c>
      <c r="R302" s="705">
        <v>5023331</v>
      </c>
      <c r="S302" s="705">
        <v>1860493</v>
      </c>
      <c r="T302" s="705">
        <v>0</v>
      </c>
      <c r="U302" s="705">
        <v>0</v>
      </c>
      <c r="V302" s="705">
        <v>2994239</v>
      </c>
      <c r="W302" s="705">
        <f t="shared" si="18"/>
        <v>2994239</v>
      </c>
      <c r="X302" s="705">
        <f t="shared" si="19"/>
        <v>8000818</v>
      </c>
      <c r="Y302" s="705"/>
      <c r="AA302" t="s">
        <v>122</v>
      </c>
      <c r="AB302" t="s">
        <v>583</v>
      </c>
      <c r="AC302" s="705" t="s">
        <v>228</v>
      </c>
      <c r="AD302" s="705">
        <v>89</v>
      </c>
      <c r="AE302" s="705">
        <v>8571</v>
      </c>
      <c r="AF302" s="705">
        <v>37222</v>
      </c>
      <c r="AG302" s="705">
        <v>2247878</v>
      </c>
      <c r="AH302" s="705">
        <v>2043525</v>
      </c>
      <c r="AI302" s="706">
        <v>78</v>
      </c>
      <c r="AJ302" s="705">
        <v>499738</v>
      </c>
      <c r="AK302" s="705">
        <v>417798</v>
      </c>
      <c r="AL302" s="705">
        <v>187052</v>
      </c>
      <c r="AM302" s="705">
        <v>69279</v>
      </c>
      <c r="AN302" s="705">
        <v>54720</v>
      </c>
      <c r="AO302" s="705">
        <v>20267</v>
      </c>
      <c r="AP302" s="705">
        <v>591483</v>
      </c>
      <c r="AQ302" s="705">
        <v>219068</v>
      </c>
      <c r="AR302" s="705">
        <v>6782</v>
      </c>
      <c r="AS302" s="705">
        <v>2512</v>
      </c>
      <c r="AT302" s="705">
        <v>2772448</v>
      </c>
      <c r="AU302" s="705">
        <f t="shared" si="22"/>
        <v>2772449</v>
      </c>
      <c r="AV302" s="705">
        <f t="shared" si="23"/>
        <v>3587653</v>
      </c>
    </row>
    <row r="303" spans="2:48" hidden="1">
      <c r="B303" t="s">
        <v>537</v>
      </c>
      <c r="C303" t="s">
        <v>108</v>
      </c>
      <c r="D303" t="s">
        <v>228</v>
      </c>
      <c r="E303" s="705" t="s">
        <v>584</v>
      </c>
      <c r="F303" s="705">
        <v>2</v>
      </c>
      <c r="G303" s="705">
        <v>164</v>
      </c>
      <c r="H303" s="705">
        <v>91</v>
      </c>
      <c r="I303" s="705">
        <v>1857</v>
      </c>
      <c r="J303" s="705">
        <v>688</v>
      </c>
      <c r="K303" s="705">
        <v>397</v>
      </c>
      <c r="L303" s="705">
        <v>280</v>
      </c>
      <c r="M303" s="705">
        <v>273</v>
      </c>
      <c r="N303" s="705">
        <v>1992</v>
      </c>
      <c r="O303" s="705">
        <v>738</v>
      </c>
      <c r="P303" s="705">
        <v>473</v>
      </c>
      <c r="Q303" s="705">
        <v>175</v>
      </c>
      <c r="R303" s="705">
        <v>3916</v>
      </c>
      <c r="S303" s="705">
        <v>3560</v>
      </c>
      <c r="T303" s="705">
        <v>0</v>
      </c>
      <c r="U303" s="705">
        <v>0</v>
      </c>
      <c r="V303" s="705">
        <v>5433</v>
      </c>
      <c r="W303" s="705">
        <f t="shared" si="18"/>
        <v>5434</v>
      </c>
      <c r="X303" s="705">
        <f t="shared" si="19"/>
        <v>8518</v>
      </c>
      <c r="Y303" s="705"/>
      <c r="AA303" t="s">
        <v>122</v>
      </c>
      <c r="AB303" t="s">
        <v>583</v>
      </c>
      <c r="AC303" s="705" t="s">
        <v>583</v>
      </c>
      <c r="AD303" s="705">
        <v>5864</v>
      </c>
      <c r="AE303" s="705">
        <v>576344</v>
      </c>
      <c r="AF303" s="705">
        <v>2426234</v>
      </c>
      <c r="AG303" s="705">
        <v>151043454</v>
      </c>
      <c r="AH303" s="705">
        <v>137312230</v>
      </c>
      <c r="AI303" s="706">
        <v>75</v>
      </c>
      <c r="AJ303" s="705">
        <v>33321037</v>
      </c>
      <c r="AK303" s="705">
        <v>28409615</v>
      </c>
      <c r="AL303" s="705">
        <v>12382113</v>
      </c>
      <c r="AM303" s="705">
        <v>4585968</v>
      </c>
      <c r="AN303" s="705">
        <v>3722622</v>
      </c>
      <c r="AO303" s="705">
        <v>1378749</v>
      </c>
      <c r="AP303" s="705">
        <v>29174756</v>
      </c>
      <c r="AQ303" s="705">
        <v>26522505</v>
      </c>
      <c r="AR303" s="705">
        <v>10989683</v>
      </c>
      <c r="AS303" s="705">
        <v>4070253</v>
      </c>
      <c r="AT303" s="705">
        <v>202279321</v>
      </c>
      <c r="AU303" s="705">
        <f t="shared" si="22"/>
        <v>202279320</v>
      </c>
      <c r="AV303" s="705">
        <f t="shared" si="23"/>
        <v>240633665</v>
      </c>
    </row>
    <row r="304" spans="2:48" hidden="1">
      <c r="B304" t="s">
        <v>537</v>
      </c>
      <c r="C304" t="s">
        <v>108</v>
      </c>
      <c r="D304" t="s">
        <v>583</v>
      </c>
      <c r="E304" t="s">
        <v>583</v>
      </c>
      <c r="F304" s="705">
        <v>50</v>
      </c>
      <c r="G304" s="705">
        <v>5897</v>
      </c>
      <c r="H304" s="705">
        <v>2917</v>
      </c>
      <c r="I304" s="705">
        <v>91073</v>
      </c>
      <c r="J304" s="705">
        <v>82793</v>
      </c>
      <c r="K304" s="705">
        <v>95</v>
      </c>
      <c r="L304" s="705">
        <v>13100</v>
      </c>
      <c r="M304" s="705">
        <v>11642</v>
      </c>
      <c r="N304" s="705">
        <v>72130</v>
      </c>
      <c r="O304" s="705">
        <v>26715</v>
      </c>
      <c r="P304" s="705">
        <v>39634</v>
      </c>
      <c r="Q304" s="705">
        <v>14679</v>
      </c>
      <c r="R304" s="705">
        <v>128928</v>
      </c>
      <c r="S304" s="705">
        <v>117208</v>
      </c>
      <c r="T304" s="705">
        <v>0</v>
      </c>
      <c r="U304" s="705">
        <v>0</v>
      </c>
      <c r="V304" s="705">
        <v>253037</v>
      </c>
      <c r="W304" s="705">
        <f t="shared" si="18"/>
        <v>253037</v>
      </c>
      <c r="X304" s="705">
        <f t="shared" si="19"/>
        <v>344865</v>
      </c>
      <c r="Y304" s="705"/>
      <c r="AA304" t="s">
        <v>122</v>
      </c>
      <c r="AB304" t="s">
        <v>583</v>
      </c>
      <c r="AC304" s="705" t="s">
        <v>666</v>
      </c>
      <c r="AD304" s="705">
        <v>1</v>
      </c>
      <c r="AE304" s="705">
        <v>152</v>
      </c>
      <c r="AF304" s="705">
        <v>426</v>
      </c>
      <c r="AG304" s="705">
        <v>33146</v>
      </c>
      <c r="AH304" s="705">
        <v>30133</v>
      </c>
      <c r="AI304" s="706">
        <v>70</v>
      </c>
      <c r="AJ304" s="705">
        <v>20038</v>
      </c>
      <c r="AK304" s="705">
        <v>7422</v>
      </c>
      <c r="AL304" s="705">
        <v>3699</v>
      </c>
      <c r="AM304" s="705">
        <v>1370</v>
      </c>
      <c r="AN304" s="705">
        <v>621</v>
      </c>
      <c r="AO304" s="705">
        <v>230</v>
      </c>
      <c r="AP304" s="705">
        <v>4579</v>
      </c>
      <c r="AQ304" s="705">
        <v>4162</v>
      </c>
      <c r="AR304" s="705">
        <v>2594</v>
      </c>
      <c r="AS304" s="705">
        <v>961</v>
      </c>
      <c r="AT304" s="705">
        <v>44278</v>
      </c>
      <c r="AU304" s="705">
        <f t="shared" si="22"/>
        <v>44278</v>
      </c>
      <c r="AV304" s="705">
        <f t="shared" si="23"/>
        <v>64677</v>
      </c>
    </row>
    <row r="305" spans="2:48" hidden="1">
      <c r="B305" t="s">
        <v>537</v>
      </c>
      <c r="C305" t="s">
        <v>108</v>
      </c>
      <c r="D305" t="s">
        <v>584</v>
      </c>
      <c r="E305" t="s">
        <v>228</v>
      </c>
      <c r="F305">
        <v>1</v>
      </c>
      <c r="G305" s="705">
        <v>378</v>
      </c>
      <c r="H305" s="705">
        <v>73</v>
      </c>
      <c r="I305" s="705">
        <v>11778</v>
      </c>
      <c r="J305" s="705">
        <v>10707</v>
      </c>
      <c r="K305" s="705">
        <v>93</v>
      </c>
      <c r="L305" s="705">
        <v>1980</v>
      </c>
      <c r="M305" s="705">
        <v>1800</v>
      </c>
      <c r="N305" s="705">
        <v>4606</v>
      </c>
      <c r="O305" s="705">
        <v>1706</v>
      </c>
      <c r="P305" s="705">
        <v>4016</v>
      </c>
      <c r="Q305" s="705">
        <v>1487</v>
      </c>
      <c r="R305" s="705">
        <v>5337</v>
      </c>
      <c r="S305" s="705">
        <v>1977</v>
      </c>
      <c r="T305" s="705">
        <v>0</v>
      </c>
      <c r="U305" s="705">
        <v>0</v>
      </c>
      <c r="V305" s="705">
        <v>17677</v>
      </c>
      <c r="W305" s="705">
        <f t="shared" si="18"/>
        <v>17677</v>
      </c>
      <c r="X305" s="705">
        <f t="shared" si="19"/>
        <v>27717</v>
      </c>
      <c r="Y305" s="705"/>
      <c r="AA305" t="s">
        <v>122</v>
      </c>
      <c r="AB305" t="s">
        <v>583</v>
      </c>
      <c r="AC305" s="705" t="s">
        <v>584</v>
      </c>
      <c r="AD305" s="705">
        <v>3</v>
      </c>
      <c r="AE305" s="705">
        <v>314</v>
      </c>
      <c r="AF305" s="705">
        <v>1191</v>
      </c>
      <c r="AG305" s="705">
        <v>74464</v>
      </c>
      <c r="AH305" s="705">
        <v>67695</v>
      </c>
      <c r="AI305" s="706">
        <v>68</v>
      </c>
      <c r="AJ305" s="705">
        <v>19033</v>
      </c>
      <c r="AK305" s="705">
        <v>16391</v>
      </c>
      <c r="AL305" s="705">
        <v>5798</v>
      </c>
      <c r="AM305" s="705">
        <v>2147</v>
      </c>
      <c r="AN305" s="705">
        <v>1863</v>
      </c>
      <c r="AO305" s="705">
        <v>690</v>
      </c>
      <c r="AP305" s="705">
        <v>14572</v>
      </c>
      <c r="AQ305" s="705">
        <v>13247</v>
      </c>
      <c r="AR305" s="705">
        <v>8876</v>
      </c>
      <c r="AS305" s="705">
        <v>3287</v>
      </c>
      <c r="AT305" s="705">
        <v>103458</v>
      </c>
      <c r="AU305" s="705">
        <f t="shared" si="22"/>
        <v>103457</v>
      </c>
      <c r="AV305" s="705">
        <f t="shared" si="23"/>
        <v>124606</v>
      </c>
    </row>
    <row r="306" spans="2:48" hidden="1">
      <c r="B306" t="s">
        <v>537</v>
      </c>
      <c r="C306" t="s">
        <v>108</v>
      </c>
      <c r="D306" t="s">
        <v>584</v>
      </c>
      <c r="E306" t="s">
        <v>584</v>
      </c>
      <c r="F306" s="705">
        <v>1207</v>
      </c>
      <c r="G306" s="705">
        <v>135591</v>
      </c>
      <c r="H306" s="705">
        <v>70554</v>
      </c>
      <c r="I306" s="705">
        <v>1682138</v>
      </c>
      <c r="J306" s="705">
        <v>1529217</v>
      </c>
      <c r="K306" s="705">
        <v>91</v>
      </c>
      <c r="L306" s="705">
        <v>218665</v>
      </c>
      <c r="M306" s="705">
        <v>185686</v>
      </c>
      <c r="N306" s="705">
        <v>1729920</v>
      </c>
      <c r="O306" s="705">
        <v>640711</v>
      </c>
      <c r="P306" s="705">
        <v>1073730</v>
      </c>
      <c r="Q306" s="705">
        <v>397678</v>
      </c>
      <c r="R306" s="705">
        <v>3179696</v>
      </c>
      <c r="S306" s="705">
        <v>2890633</v>
      </c>
      <c r="T306" s="705">
        <v>0</v>
      </c>
      <c r="U306" s="705">
        <v>0</v>
      </c>
      <c r="V306" s="705">
        <v>5643924</v>
      </c>
      <c r="W306" s="705">
        <f t="shared" si="18"/>
        <v>5643925</v>
      </c>
      <c r="X306" s="705">
        <f t="shared" si="19"/>
        <v>7884149</v>
      </c>
      <c r="Y306" s="705"/>
      <c r="AA306" t="s">
        <v>122</v>
      </c>
      <c r="AB306" t="s">
        <v>583</v>
      </c>
      <c r="AC306" s="705" t="s">
        <v>667</v>
      </c>
      <c r="AD306" s="705">
        <v>1</v>
      </c>
      <c r="AE306" s="705">
        <v>138</v>
      </c>
      <c r="AF306" s="705">
        <v>434</v>
      </c>
      <c r="AG306" s="705">
        <v>49556</v>
      </c>
      <c r="AH306" s="705">
        <v>45051</v>
      </c>
      <c r="AI306" s="706">
        <v>70</v>
      </c>
      <c r="AJ306" s="705">
        <v>7323</v>
      </c>
      <c r="AK306" s="705">
        <v>6658</v>
      </c>
      <c r="AL306" s="705">
        <v>2997</v>
      </c>
      <c r="AM306" s="705">
        <v>1110</v>
      </c>
      <c r="AN306" s="705">
        <v>621</v>
      </c>
      <c r="AO306" s="705">
        <v>230</v>
      </c>
      <c r="AP306" s="705">
        <v>7412</v>
      </c>
      <c r="AQ306" s="705">
        <v>6738</v>
      </c>
      <c r="AR306" s="705">
        <v>3169</v>
      </c>
      <c r="AS306" s="705">
        <v>1174</v>
      </c>
      <c r="AT306" s="705">
        <v>60960</v>
      </c>
      <c r="AU306" s="705">
        <f t="shared" si="22"/>
        <v>60961</v>
      </c>
      <c r="AV306" s="705">
        <f t="shared" si="23"/>
        <v>71078</v>
      </c>
    </row>
    <row r="307" spans="2:48" hidden="1">
      <c r="B307" t="s">
        <v>537</v>
      </c>
      <c r="C307" t="s">
        <v>108</v>
      </c>
      <c r="D307" t="s">
        <v>668</v>
      </c>
      <c r="E307" t="s">
        <v>668</v>
      </c>
      <c r="F307">
        <v>1</v>
      </c>
      <c r="G307" s="705">
        <v>102</v>
      </c>
      <c r="H307" s="705">
        <v>74</v>
      </c>
      <c r="I307" s="705">
        <v>3773</v>
      </c>
      <c r="J307" s="705">
        <v>3430</v>
      </c>
      <c r="K307" s="705">
        <v>92</v>
      </c>
      <c r="L307" s="705">
        <v>0</v>
      </c>
      <c r="M307" s="705">
        <v>0</v>
      </c>
      <c r="N307" s="705">
        <v>1243</v>
      </c>
      <c r="O307" s="705">
        <v>460</v>
      </c>
      <c r="P307" s="705">
        <v>351</v>
      </c>
      <c r="Q307" s="705">
        <v>130</v>
      </c>
      <c r="R307" s="705">
        <v>2161</v>
      </c>
      <c r="S307" s="705">
        <v>1965</v>
      </c>
      <c r="T307" s="705">
        <v>0</v>
      </c>
      <c r="U307" s="705">
        <v>0</v>
      </c>
      <c r="V307" s="705">
        <v>5985</v>
      </c>
      <c r="W307" s="705">
        <f t="shared" si="18"/>
        <v>5985</v>
      </c>
      <c r="X307" s="705">
        <f t="shared" si="19"/>
        <v>7528</v>
      </c>
      <c r="Y307" s="705"/>
      <c r="AA307" t="s">
        <v>122</v>
      </c>
      <c r="AB307" t="s">
        <v>583</v>
      </c>
      <c r="AC307" s="705" t="s">
        <v>665</v>
      </c>
      <c r="AD307" s="705">
        <v>9</v>
      </c>
      <c r="AE307" s="705">
        <v>847</v>
      </c>
      <c r="AF307" s="705">
        <v>3809</v>
      </c>
      <c r="AG307" s="705">
        <v>223719</v>
      </c>
      <c r="AH307" s="705">
        <v>203381</v>
      </c>
      <c r="AI307" s="706">
        <v>71</v>
      </c>
      <c r="AJ307" s="705">
        <v>43484</v>
      </c>
      <c r="AK307" s="705">
        <v>39267</v>
      </c>
      <c r="AL307" s="705">
        <v>19900</v>
      </c>
      <c r="AM307" s="705">
        <v>7370</v>
      </c>
      <c r="AN307" s="705">
        <v>4968</v>
      </c>
      <c r="AO307" s="705">
        <v>1840</v>
      </c>
      <c r="AP307" s="705">
        <v>52633</v>
      </c>
      <c r="AQ307" s="705">
        <v>47848</v>
      </c>
      <c r="AR307" s="705">
        <v>24084</v>
      </c>
      <c r="AS307" s="705">
        <v>8920</v>
      </c>
      <c r="AT307" s="705">
        <v>308627</v>
      </c>
      <c r="AU307" s="705">
        <f t="shared" si="22"/>
        <v>308626</v>
      </c>
      <c r="AV307" s="705">
        <f t="shared" si="23"/>
        <v>368788</v>
      </c>
    </row>
    <row r="308" spans="2:48" hidden="1">
      <c r="B308" t="s">
        <v>537</v>
      </c>
      <c r="C308" t="s">
        <v>110</v>
      </c>
      <c r="F308" s="705">
        <v>9</v>
      </c>
      <c r="G308" s="705">
        <v>841</v>
      </c>
      <c r="H308" s="705">
        <v>816</v>
      </c>
      <c r="I308" s="705"/>
      <c r="J308" s="705">
        <v>0</v>
      </c>
      <c r="K308" s="705"/>
      <c r="L308" s="705"/>
      <c r="M308" s="705">
        <v>0</v>
      </c>
      <c r="N308" s="705">
        <v>10247</v>
      </c>
      <c r="O308" s="705">
        <v>3795</v>
      </c>
      <c r="P308" s="705">
        <v>3159</v>
      </c>
      <c r="Q308" s="705">
        <v>1170</v>
      </c>
      <c r="R308" s="705"/>
      <c r="S308" s="705">
        <v>0</v>
      </c>
      <c r="T308" s="705">
        <v>0</v>
      </c>
      <c r="U308" s="705">
        <v>0</v>
      </c>
      <c r="V308" s="705">
        <v>4965</v>
      </c>
      <c r="W308" s="705">
        <f t="shared" si="18"/>
        <v>4965</v>
      </c>
      <c r="X308" s="705">
        <f t="shared" si="19"/>
        <v>13406</v>
      </c>
      <c r="Y308" s="705"/>
      <c r="AA308" t="s">
        <v>122</v>
      </c>
      <c r="AB308" t="s">
        <v>666</v>
      </c>
      <c r="AC308" s="705" t="s">
        <v>228</v>
      </c>
      <c r="AD308" s="705">
        <v>15</v>
      </c>
      <c r="AE308" s="705">
        <v>1208</v>
      </c>
      <c r="AF308" s="705">
        <v>6145</v>
      </c>
      <c r="AG308" s="705">
        <v>286161</v>
      </c>
      <c r="AH308" s="705">
        <v>260146</v>
      </c>
      <c r="AI308" s="706">
        <v>58</v>
      </c>
      <c r="AJ308" s="705">
        <v>38444</v>
      </c>
      <c r="AK308" s="705">
        <v>19225</v>
      </c>
      <c r="AL308" s="705">
        <v>25831</v>
      </c>
      <c r="AM308" s="705">
        <v>9567</v>
      </c>
      <c r="AN308" s="705">
        <v>3159</v>
      </c>
      <c r="AO308" s="705">
        <v>1170</v>
      </c>
      <c r="AP308" s="705">
        <v>141147</v>
      </c>
      <c r="AQ308" s="705">
        <v>52277</v>
      </c>
      <c r="AR308" s="705">
        <v>0</v>
      </c>
      <c r="AS308" s="705">
        <v>0</v>
      </c>
      <c r="AT308" s="705">
        <v>342385</v>
      </c>
      <c r="AU308" s="705">
        <f t="shared" si="22"/>
        <v>342385</v>
      </c>
      <c r="AV308" s="705">
        <f t="shared" si="23"/>
        <v>494742</v>
      </c>
    </row>
    <row r="309" spans="2:48" hidden="1">
      <c r="B309" t="s">
        <v>537</v>
      </c>
      <c r="C309" t="s">
        <v>110</v>
      </c>
      <c r="D309" t="s">
        <v>582</v>
      </c>
      <c r="E309" t="s">
        <v>582</v>
      </c>
      <c r="F309" s="705">
        <v>10</v>
      </c>
      <c r="G309" s="705">
        <v>1324</v>
      </c>
      <c r="H309" s="705">
        <v>939</v>
      </c>
      <c r="I309" s="705">
        <v>60290</v>
      </c>
      <c r="J309" s="705">
        <v>54809</v>
      </c>
      <c r="K309" s="705">
        <v>91</v>
      </c>
      <c r="L309" s="705">
        <v>12438</v>
      </c>
      <c r="M309" s="705">
        <v>10915</v>
      </c>
      <c r="N309" s="705">
        <v>18009</v>
      </c>
      <c r="O309" s="705">
        <v>6670</v>
      </c>
      <c r="P309" s="705">
        <v>4604</v>
      </c>
      <c r="Q309" s="705">
        <v>1705</v>
      </c>
      <c r="R309" s="705">
        <v>28843</v>
      </c>
      <c r="S309" s="705">
        <v>26221</v>
      </c>
      <c r="T309" s="705">
        <v>0</v>
      </c>
      <c r="U309" s="705">
        <v>0</v>
      </c>
      <c r="V309" s="705">
        <v>100320</v>
      </c>
      <c r="W309" s="705">
        <f t="shared" si="18"/>
        <v>100320</v>
      </c>
      <c r="X309" s="705">
        <f t="shared" si="19"/>
        <v>124184</v>
      </c>
      <c r="Y309" s="705"/>
      <c r="AA309" t="s">
        <v>122</v>
      </c>
      <c r="AB309" t="s">
        <v>666</v>
      </c>
      <c r="AC309" s="705" t="s">
        <v>583</v>
      </c>
      <c r="AD309" s="705">
        <v>8</v>
      </c>
      <c r="AE309" s="705">
        <v>552</v>
      </c>
      <c r="AF309" s="705">
        <v>3250</v>
      </c>
      <c r="AG309" s="705">
        <v>122613</v>
      </c>
      <c r="AH309" s="705">
        <v>111466</v>
      </c>
      <c r="AI309" s="706">
        <v>57</v>
      </c>
      <c r="AJ309" s="705">
        <v>23073</v>
      </c>
      <c r="AK309" s="705">
        <v>19710</v>
      </c>
      <c r="AL309" s="705">
        <v>11124</v>
      </c>
      <c r="AM309" s="705">
        <v>4120</v>
      </c>
      <c r="AN309" s="705">
        <v>3348</v>
      </c>
      <c r="AO309" s="705">
        <v>1240</v>
      </c>
      <c r="AP309" s="705">
        <v>47947</v>
      </c>
      <c r="AQ309" s="705">
        <v>43588</v>
      </c>
      <c r="AR309" s="705">
        <v>15042</v>
      </c>
      <c r="AS309" s="705">
        <v>5571</v>
      </c>
      <c r="AT309" s="705">
        <v>185695</v>
      </c>
      <c r="AU309" s="705">
        <f t="shared" si="22"/>
        <v>185695</v>
      </c>
      <c r="AV309" s="705">
        <f t="shared" si="23"/>
        <v>223147</v>
      </c>
    </row>
    <row r="310" spans="2:48" hidden="1">
      <c r="B310" t="s">
        <v>537</v>
      </c>
      <c r="C310" t="s">
        <v>110</v>
      </c>
      <c r="D310" t="s">
        <v>228</v>
      </c>
      <c r="E310" t="s">
        <v>228</v>
      </c>
      <c r="F310" s="705">
        <v>143</v>
      </c>
      <c r="G310" s="705">
        <v>12729</v>
      </c>
      <c r="H310" s="705">
        <v>12814</v>
      </c>
      <c r="I310" s="705">
        <v>268524</v>
      </c>
      <c r="J310" s="705">
        <v>99453</v>
      </c>
      <c r="K310" s="705">
        <v>391</v>
      </c>
      <c r="L310" s="705">
        <v>71410</v>
      </c>
      <c r="M310" s="705">
        <v>63426</v>
      </c>
      <c r="N310" s="705">
        <v>199669</v>
      </c>
      <c r="O310" s="705">
        <v>73952</v>
      </c>
      <c r="P310" s="705">
        <v>65158</v>
      </c>
      <c r="Q310" s="705">
        <v>24133</v>
      </c>
      <c r="R310" s="705">
        <v>530521</v>
      </c>
      <c r="S310" s="705">
        <v>196489</v>
      </c>
      <c r="T310" s="705">
        <v>0</v>
      </c>
      <c r="U310" s="705">
        <v>0</v>
      </c>
      <c r="V310" s="705">
        <v>457453</v>
      </c>
      <c r="W310" s="705">
        <f t="shared" si="18"/>
        <v>457453</v>
      </c>
      <c r="X310" s="705">
        <f t="shared" si="19"/>
        <v>1135282</v>
      </c>
      <c r="Y310" s="705"/>
      <c r="AA310" t="s">
        <v>122</v>
      </c>
      <c r="AB310" t="s">
        <v>666</v>
      </c>
      <c r="AC310" s="705" t="s">
        <v>666</v>
      </c>
      <c r="AD310" s="705">
        <v>400</v>
      </c>
      <c r="AE310" s="705">
        <v>28554</v>
      </c>
      <c r="AF310" s="705">
        <v>163867</v>
      </c>
      <c r="AG310" s="705">
        <v>6919570</v>
      </c>
      <c r="AH310" s="705">
        <v>6290518</v>
      </c>
      <c r="AI310" s="706">
        <v>50</v>
      </c>
      <c r="AJ310" s="705">
        <v>929557</v>
      </c>
      <c r="AK310" s="705">
        <v>763163</v>
      </c>
      <c r="AL310" s="705">
        <v>552177</v>
      </c>
      <c r="AM310" s="705">
        <v>204510</v>
      </c>
      <c r="AN310" s="705">
        <v>137430</v>
      </c>
      <c r="AO310" s="705">
        <v>50900</v>
      </c>
      <c r="AP310" s="705">
        <v>2349072</v>
      </c>
      <c r="AQ310" s="705">
        <v>2135520</v>
      </c>
      <c r="AR310" s="705">
        <v>826990</v>
      </c>
      <c r="AS310" s="705">
        <v>306292</v>
      </c>
      <c r="AT310" s="705">
        <v>9750905</v>
      </c>
      <c r="AU310" s="705">
        <f t="shared" si="22"/>
        <v>9750903</v>
      </c>
      <c r="AV310" s="705">
        <f t="shared" si="23"/>
        <v>11714796</v>
      </c>
    </row>
    <row r="311" spans="2:48" hidden="1">
      <c r="B311" t="s">
        <v>537</v>
      </c>
      <c r="C311" t="s">
        <v>110</v>
      </c>
      <c r="D311" t="s">
        <v>583</v>
      </c>
      <c r="E311" t="s">
        <v>583</v>
      </c>
      <c r="F311">
        <v>32</v>
      </c>
      <c r="G311" s="705">
        <v>3719</v>
      </c>
      <c r="H311" s="705">
        <v>2981</v>
      </c>
      <c r="I311" s="705">
        <v>156771</v>
      </c>
      <c r="J311" s="705">
        <v>142519</v>
      </c>
      <c r="K311" s="705">
        <v>94</v>
      </c>
      <c r="L311" s="705">
        <v>25874</v>
      </c>
      <c r="M311" s="705">
        <v>25852</v>
      </c>
      <c r="N311" s="705">
        <v>52651</v>
      </c>
      <c r="O311" s="705">
        <v>19500</v>
      </c>
      <c r="P311" s="705">
        <v>27640</v>
      </c>
      <c r="Q311" s="705">
        <v>10237</v>
      </c>
      <c r="R311" s="705">
        <v>90135</v>
      </c>
      <c r="S311" s="705">
        <v>81941</v>
      </c>
      <c r="T311" s="705">
        <v>0</v>
      </c>
      <c r="U311" s="705">
        <v>0</v>
      </c>
      <c r="V311" s="705">
        <v>280050</v>
      </c>
      <c r="W311" s="705">
        <f t="shared" si="18"/>
        <v>280049</v>
      </c>
      <c r="X311" s="705">
        <f t="shared" si="19"/>
        <v>353071</v>
      </c>
      <c r="Y311" s="705"/>
      <c r="AA311" t="s">
        <v>122</v>
      </c>
      <c r="AB311" t="s">
        <v>584</v>
      </c>
      <c r="AC311" s="705" t="s">
        <v>582</v>
      </c>
      <c r="AD311" s="705">
        <v>2</v>
      </c>
      <c r="AE311" s="705">
        <v>347</v>
      </c>
      <c r="AF311" s="705">
        <v>829</v>
      </c>
      <c r="AG311" s="705">
        <v>94600</v>
      </c>
      <c r="AH311" s="705">
        <v>86000</v>
      </c>
      <c r="AI311" s="706">
        <v>65</v>
      </c>
      <c r="AJ311" s="705">
        <v>20701</v>
      </c>
      <c r="AK311" s="705">
        <v>18819</v>
      </c>
      <c r="AL311" s="705">
        <v>7752</v>
      </c>
      <c r="AM311" s="705">
        <v>2871</v>
      </c>
      <c r="AN311" s="705">
        <v>702</v>
      </c>
      <c r="AO311" s="705">
        <v>260</v>
      </c>
      <c r="AP311" s="705">
        <v>12614</v>
      </c>
      <c r="AQ311" s="705">
        <v>11467</v>
      </c>
      <c r="AR311" s="705">
        <v>7243</v>
      </c>
      <c r="AS311" s="705">
        <v>2682</v>
      </c>
      <c r="AT311" s="705">
        <v>122100</v>
      </c>
      <c r="AU311" s="705">
        <f t="shared" si="22"/>
        <v>122099</v>
      </c>
      <c r="AV311" s="705">
        <f t="shared" si="23"/>
        <v>143612</v>
      </c>
    </row>
    <row r="312" spans="2:48" hidden="1">
      <c r="B312" t="s">
        <v>537</v>
      </c>
      <c r="C312" t="s">
        <v>110</v>
      </c>
      <c r="D312" t="s">
        <v>583</v>
      </c>
      <c r="E312" t="s">
        <v>666</v>
      </c>
      <c r="F312" s="705">
        <v>3</v>
      </c>
      <c r="G312" s="705">
        <v>255</v>
      </c>
      <c r="H312" s="705">
        <v>288</v>
      </c>
      <c r="I312" s="705">
        <v>11077</v>
      </c>
      <c r="J312" s="705">
        <v>10070</v>
      </c>
      <c r="K312" s="705">
        <v>93</v>
      </c>
      <c r="L312" s="705">
        <v>1916</v>
      </c>
      <c r="M312" s="705">
        <v>1742</v>
      </c>
      <c r="N312" s="705">
        <v>3111</v>
      </c>
      <c r="O312" s="705">
        <v>1152</v>
      </c>
      <c r="P312" s="705">
        <v>4045</v>
      </c>
      <c r="Q312" s="705">
        <v>1498</v>
      </c>
      <c r="R312" s="705">
        <v>4369</v>
      </c>
      <c r="S312" s="705">
        <v>3972</v>
      </c>
      <c r="T312" s="705">
        <v>0</v>
      </c>
      <c r="U312" s="705">
        <v>0</v>
      </c>
      <c r="V312" s="705">
        <v>18434</v>
      </c>
      <c r="W312" s="705">
        <f t="shared" si="18"/>
        <v>18434</v>
      </c>
      <c r="X312" s="705">
        <f t="shared" si="19"/>
        <v>24518</v>
      </c>
      <c r="Y312" s="705"/>
      <c r="AA312" t="s">
        <v>122</v>
      </c>
      <c r="AB312" t="s">
        <v>584</v>
      </c>
      <c r="AC312" s="705" t="s">
        <v>228</v>
      </c>
      <c r="AD312" s="705">
        <v>139</v>
      </c>
      <c r="AE312" s="705">
        <v>12647</v>
      </c>
      <c r="AF312" s="705">
        <v>57733</v>
      </c>
      <c r="AG312" s="705">
        <v>3290313</v>
      </c>
      <c r="AH312" s="705">
        <v>2991194</v>
      </c>
      <c r="AI312" s="706">
        <v>74</v>
      </c>
      <c r="AJ312" s="705">
        <v>676099</v>
      </c>
      <c r="AK312" s="705">
        <v>554804</v>
      </c>
      <c r="AL312" s="705">
        <v>263873</v>
      </c>
      <c r="AM312" s="705">
        <v>97731</v>
      </c>
      <c r="AN312" s="705">
        <v>58599</v>
      </c>
      <c r="AO312" s="705">
        <v>21703</v>
      </c>
      <c r="AP312" s="705">
        <v>997003</v>
      </c>
      <c r="AQ312" s="705">
        <v>369260</v>
      </c>
      <c r="AR312" s="705">
        <v>4194</v>
      </c>
      <c r="AS312" s="705">
        <v>1553</v>
      </c>
      <c r="AT312" s="705">
        <v>4036245</v>
      </c>
      <c r="AU312" s="705">
        <f t="shared" si="22"/>
        <v>4036245</v>
      </c>
      <c r="AV312" s="705">
        <f t="shared" si="23"/>
        <v>5290081</v>
      </c>
    </row>
    <row r="313" spans="2:48" hidden="1">
      <c r="B313" t="s">
        <v>537</v>
      </c>
      <c r="C313" t="s">
        <v>110</v>
      </c>
      <c r="D313" t="s">
        <v>584</v>
      </c>
      <c r="E313" t="s">
        <v>584</v>
      </c>
      <c r="F313">
        <v>335</v>
      </c>
      <c r="G313" s="705">
        <v>37418</v>
      </c>
      <c r="H313" s="705">
        <v>30217</v>
      </c>
      <c r="I313" s="705">
        <v>1482818</v>
      </c>
      <c r="J313" s="705">
        <v>1348016</v>
      </c>
      <c r="K313" s="705">
        <v>91</v>
      </c>
      <c r="L313" s="705">
        <v>291439</v>
      </c>
      <c r="M313" s="705">
        <v>261583</v>
      </c>
      <c r="N313" s="705">
        <v>513337</v>
      </c>
      <c r="O313" s="705">
        <v>190125</v>
      </c>
      <c r="P313" s="705">
        <v>184833</v>
      </c>
      <c r="Q313" s="705">
        <v>68457</v>
      </c>
      <c r="R313" s="705">
        <v>917398</v>
      </c>
      <c r="S313" s="705">
        <v>833998</v>
      </c>
      <c r="T313" s="705">
        <v>-2906</v>
      </c>
      <c r="U313" s="705">
        <v>-1076</v>
      </c>
      <c r="V313" s="705">
        <v>2701103</v>
      </c>
      <c r="W313" s="705">
        <f t="shared" si="18"/>
        <v>2703255</v>
      </c>
      <c r="X313" s="705">
        <f t="shared" si="19"/>
        <v>3392731</v>
      </c>
      <c r="Y313" s="705"/>
      <c r="AA313" t="s">
        <v>122</v>
      </c>
      <c r="AB313" t="s">
        <v>584</v>
      </c>
      <c r="AC313" s="705" t="s">
        <v>583</v>
      </c>
      <c r="AD313" s="705">
        <v>3</v>
      </c>
      <c r="AE313" s="705">
        <v>289</v>
      </c>
      <c r="AF313" s="705">
        <v>1203</v>
      </c>
      <c r="AG313" s="705">
        <v>70411</v>
      </c>
      <c r="AH313" s="705">
        <v>64010</v>
      </c>
      <c r="AI313" s="706">
        <v>82</v>
      </c>
      <c r="AJ313" s="705">
        <v>21065</v>
      </c>
      <c r="AK313" s="705">
        <v>18205</v>
      </c>
      <c r="AL313" s="705">
        <v>5751</v>
      </c>
      <c r="AM313" s="705">
        <v>2130</v>
      </c>
      <c r="AN313" s="705">
        <v>1418</v>
      </c>
      <c r="AO313" s="705">
        <v>525</v>
      </c>
      <c r="AP313" s="705">
        <v>14815</v>
      </c>
      <c r="AQ313" s="705">
        <v>13468</v>
      </c>
      <c r="AR313" s="705">
        <v>3384</v>
      </c>
      <c r="AS313" s="705">
        <v>1253</v>
      </c>
      <c r="AT313" s="705">
        <v>99591</v>
      </c>
      <c r="AU313" s="705">
        <f t="shared" si="22"/>
        <v>99591</v>
      </c>
      <c r="AV313" s="705">
        <f t="shared" si="23"/>
        <v>116844</v>
      </c>
    </row>
    <row r="314" spans="2:48" hidden="1">
      <c r="B314" t="s">
        <v>537</v>
      </c>
      <c r="C314" t="s">
        <v>110</v>
      </c>
      <c r="D314" t="s">
        <v>585</v>
      </c>
      <c r="E314" t="s">
        <v>585</v>
      </c>
      <c r="F314">
        <v>23</v>
      </c>
      <c r="G314" s="705">
        <v>2174</v>
      </c>
      <c r="H314" s="705">
        <v>2036</v>
      </c>
      <c r="I314" s="705">
        <v>106184</v>
      </c>
      <c r="J314" s="705">
        <v>96531</v>
      </c>
      <c r="K314" s="705">
        <v>94</v>
      </c>
      <c r="L314" s="705">
        <v>0</v>
      </c>
      <c r="M314" s="705">
        <v>0</v>
      </c>
      <c r="N314" s="705">
        <v>26492</v>
      </c>
      <c r="O314" s="705">
        <v>9812</v>
      </c>
      <c r="P314" s="705">
        <v>35555</v>
      </c>
      <c r="Q314" s="705">
        <v>13169</v>
      </c>
      <c r="R314" s="705">
        <v>23987</v>
      </c>
      <c r="S314" s="705">
        <v>21807</v>
      </c>
      <c r="T314" s="705">
        <v>0</v>
      </c>
      <c r="U314" s="705">
        <v>0</v>
      </c>
      <c r="V314" s="705">
        <v>141318</v>
      </c>
      <c r="W314" s="705">
        <f t="shared" si="18"/>
        <v>141319</v>
      </c>
      <c r="X314" s="705">
        <f t="shared" si="19"/>
        <v>192218</v>
      </c>
      <c r="Y314" s="705"/>
      <c r="AA314" t="s">
        <v>122</v>
      </c>
      <c r="AB314" t="s">
        <v>584</v>
      </c>
      <c r="AC314" s="705" t="s">
        <v>666</v>
      </c>
      <c r="AD314" s="705">
        <v>1</v>
      </c>
      <c r="AE314" s="705">
        <v>85</v>
      </c>
      <c r="AF314" s="705">
        <v>404</v>
      </c>
      <c r="AG314" s="705">
        <v>20398</v>
      </c>
      <c r="AH314" s="705">
        <v>18544</v>
      </c>
      <c r="AI314" s="706">
        <v>73</v>
      </c>
      <c r="AJ314" s="705">
        <v>3008</v>
      </c>
      <c r="AK314" s="705">
        <v>2735</v>
      </c>
      <c r="AL314" s="705">
        <v>2079</v>
      </c>
      <c r="AM314" s="705">
        <v>770</v>
      </c>
      <c r="AN314" s="705">
        <v>473</v>
      </c>
      <c r="AO314" s="705">
        <v>175</v>
      </c>
      <c r="AP314" s="705">
        <v>8469</v>
      </c>
      <c r="AQ314" s="705">
        <v>7699</v>
      </c>
      <c r="AR314" s="705">
        <v>0</v>
      </c>
      <c r="AS314" s="705">
        <v>0</v>
      </c>
      <c r="AT314" s="705">
        <v>29922</v>
      </c>
      <c r="AU314" s="705">
        <f t="shared" si="22"/>
        <v>29923</v>
      </c>
      <c r="AV314" s="705">
        <f t="shared" si="23"/>
        <v>34427</v>
      </c>
    </row>
    <row r="315" spans="2:48" hidden="1">
      <c r="B315" t="s">
        <v>537</v>
      </c>
      <c r="C315" t="s">
        <v>110</v>
      </c>
      <c r="D315" t="s">
        <v>668</v>
      </c>
      <c r="E315" s="705" t="s">
        <v>668</v>
      </c>
      <c r="F315" s="705">
        <v>5</v>
      </c>
      <c r="G315" s="705">
        <v>486</v>
      </c>
      <c r="H315" s="705">
        <v>433</v>
      </c>
      <c r="I315" s="705">
        <v>20843</v>
      </c>
      <c r="J315" s="705">
        <v>18949</v>
      </c>
      <c r="K315" s="705">
        <v>94</v>
      </c>
      <c r="L315" s="705">
        <v>0</v>
      </c>
      <c r="M315" s="705">
        <v>0</v>
      </c>
      <c r="N315" s="705">
        <v>5919</v>
      </c>
      <c r="O315" s="705">
        <v>2192</v>
      </c>
      <c r="P315" s="705">
        <v>7865</v>
      </c>
      <c r="Q315" s="705">
        <v>2913</v>
      </c>
      <c r="R315" s="705">
        <v>7464</v>
      </c>
      <c r="S315" s="705">
        <v>6785</v>
      </c>
      <c r="T315" s="705">
        <v>0</v>
      </c>
      <c r="U315" s="705">
        <v>0</v>
      </c>
      <c r="V315" s="705">
        <v>30839</v>
      </c>
      <c r="W315" s="705">
        <f t="shared" si="18"/>
        <v>30839</v>
      </c>
      <c r="X315" s="705">
        <f t="shared" si="19"/>
        <v>42091</v>
      </c>
      <c r="Y315" s="705"/>
      <c r="AA315" t="s">
        <v>122</v>
      </c>
      <c r="AB315" t="s">
        <v>584</v>
      </c>
      <c r="AC315" s="705" t="s">
        <v>584</v>
      </c>
      <c r="AD315" s="705">
        <v>8306</v>
      </c>
      <c r="AE315" s="705">
        <v>766745</v>
      </c>
      <c r="AF315" s="705">
        <v>3434712</v>
      </c>
      <c r="AG315" s="705">
        <v>196479137</v>
      </c>
      <c r="AH315" s="705">
        <v>178617397</v>
      </c>
      <c r="AI315" s="706">
        <v>75</v>
      </c>
      <c r="AJ315" s="705">
        <v>48952333</v>
      </c>
      <c r="AK315" s="705">
        <v>41935306</v>
      </c>
      <c r="AL315" s="705">
        <v>16511734</v>
      </c>
      <c r="AM315" s="705">
        <v>6115457</v>
      </c>
      <c r="AN315" s="705">
        <v>3864838</v>
      </c>
      <c r="AO315" s="705">
        <v>1431421</v>
      </c>
      <c r="AP315" s="705">
        <v>41334537</v>
      </c>
      <c r="AQ315" s="705">
        <v>37576852</v>
      </c>
      <c r="AR315" s="705">
        <v>13383776</v>
      </c>
      <c r="AS315" s="705">
        <v>4956954</v>
      </c>
      <c r="AT315" s="705">
        <v>270633387</v>
      </c>
      <c r="AU315" s="705">
        <f t="shared" si="22"/>
        <v>270633387</v>
      </c>
      <c r="AV315" s="705">
        <f t="shared" si="23"/>
        <v>320526355</v>
      </c>
    </row>
    <row r="316" spans="2:48" hidden="1">
      <c r="B316" t="s">
        <v>537</v>
      </c>
      <c r="C316" t="s">
        <v>112</v>
      </c>
      <c r="F316">
        <v>6</v>
      </c>
      <c r="G316">
        <v>528</v>
      </c>
      <c r="H316" s="705">
        <v>714</v>
      </c>
      <c r="I316" s="705"/>
      <c r="J316" s="705">
        <v>0</v>
      </c>
      <c r="K316" s="705"/>
      <c r="L316" s="705"/>
      <c r="M316" s="705">
        <v>0</v>
      </c>
      <c r="N316" s="705">
        <v>15489</v>
      </c>
      <c r="O316" s="705">
        <v>5737</v>
      </c>
      <c r="P316" s="705">
        <v>2106</v>
      </c>
      <c r="Q316" s="705">
        <v>780</v>
      </c>
      <c r="R316" s="705"/>
      <c r="S316" s="705">
        <v>0</v>
      </c>
      <c r="T316" s="705">
        <v>0</v>
      </c>
      <c r="U316" s="705">
        <v>0</v>
      </c>
      <c r="V316" s="705">
        <v>6517</v>
      </c>
      <c r="W316" s="705">
        <f t="shared" si="18"/>
        <v>6517</v>
      </c>
      <c r="X316" s="705">
        <f t="shared" si="19"/>
        <v>17595</v>
      </c>
      <c r="Y316" s="705"/>
      <c r="AA316" t="s">
        <v>122</v>
      </c>
      <c r="AB316" t="s">
        <v>584</v>
      </c>
      <c r="AC316" s="705" t="s">
        <v>669</v>
      </c>
      <c r="AD316" s="705">
        <v>1</v>
      </c>
      <c r="AE316" s="705">
        <v>80</v>
      </c>
      <c r="AF316" s="705">
        <v>397</v>
      </c>
      <c r="AG316" s="705">
        <v>16647</v>
      </c>
      <c r="AH316" s="705">
        <v>15134</v>
      </c>
      <c r="AI316" s="706">
        <v>77</v>
      </c>
      <c r="AJ316" s="705">
        <v>11063</v>
      </c>
      <c r="AK316" s="705">
        <v>4097</v>
      </c>
      <c r="AL316" s="705">
        <v>980</v>
      </c>
      <c r="AM316" s="705">
        <v>363</v>
      </c>
      <c r="AN316" s="705">
        <v>473</v>
      </c>
      <c r="AO316" s="705">
        <v>175</v>
      </c>
      <c r="AP316" s="705">
        <v>2762</v>
      </c>
      <c r="AQ316" s="705">
        <v>2302</v>
      </c>
      <c r="AR316" s="705">
        <v>0</v>
      </c>
      <c r="AS316" s="705">
        <v>0</v>
      </c>
      <c r="AT316" s="705">
        <v>22071</v>
      </c>
      <c r="AU316" s="705">
        <f t="shared" si="22"/>
        <v>22071</v>
      </c>
      <c r="AV316" s="705">
        <f t="shared" si="23"/>
        <v>31925</v>
      </c>
    </row>
    <row r="317" spans="2:48" hidden="1">
      <c r="B317" t="s">
        <v>537</v>
      </c>
      <c r="C317" t="s">
        <v>112</v>
      </c>
      <c r="D317" t="s">
        <v>582</v>
      </c>
      <c r="E317" t="s">
        <v>582</v>
      </c>
      <c r="F317">
        <v>38</v>
      </c>
      <c r="G317" s="705">
        <v>4858</v>
      </c>
      <c r="H317" s="705">
        <v>4451</v>
      </c>
      <c r="I317" s="705">
        <v>243205</v>
      </c>
      <c r="J317" s="705">
        <v>221096</v>
      </c>
      <c r="K317" s="705">
        <v>90</v>
      </c>
      <c r="L317" s="705">
        <v>49293</v>
      </c>
      <c r="M317" s="705">
        <v>39312</v>
      </c>
      <c r="N317" s="705">
        <v>96688</v>
      </c>
      <c r="O317" s="705">
        <v>35810</v>
      </c>
      <c r="P317" s="705">
        <v>19359</v>
      </c>
      <c r="Q317" s="705">
        <v>7170</v>
      </c>
      <c r="R317" s="705">
        <v>162094</v>
      </c>
      <c r="S317" s="705">
        <v>147358</v>
      </c>
      <c r="T317" s="705">
        <v>0</v>
      </c>
      <c r="U317" s="705">
        <v>0</v>
      </c>
      <c r="V317" s="705">
        <v>450747</v>
      </c>
      <c r="W317" s="705">
        <f t="shared" si="18"/>
        <v>450746</v>
      </c>
      <c r="X317" s="705">
        <f t="shared" si="19"/>
        <v>570639</v>
      </c>
      <c r="Y317" s="705"/>
      <c r="AA317" t="s">
        <v>122</v>
      </c>
      <c r="AB317" t="s">
        <v>584</v>
      </c>
      <c r="AC317" s="705" t="s">
        <v>665</v>
      </c>
      <c r="AD317" s="705">
        <v>2</v>
      </c>
      <c r="AE317" s="705">
        <v>168</v>
      </c>
      <c r="AF317" s="705">
        <v>803</v>
      </c>
      <c r="AG317" s="705">
        <v>44503</v>
      </c>
      <c r="AH317" s="705">
        <v>40457</v>
      </c>
      <c r="AI317" s="706">
        <v>85</v>
      </c>
      <c r="AJ317" s="705">
        <v>6185</v>
      </c>
      <c r="AK317" s="705">
        <v>11963</v>
      </c>
      <c r="AL317" s="705">
        <v>3476</v>
      </c>
      <c r="AM317" s="705">
        <v>1287</v>
      </c>
      <c r="AN317" s="705">
        <v>945</v>
      </c>
      <c r="AO317" s="705">
        <v>350</v>
      </c>
      <c r="AP317" s="705">
        <v>9494</v>
      </c>
      <c r="AQ317" s="705">
        <v>8631</v>
      </c>
      <c r="AR317" s="705">
        <v>2651</v>
      </c>
      <c r="AS317" s="705">
        <v>982</v>
      </c>
      <c r="AT317" s="705">
        <v>63669</v>
      </c>
      <c r="AU317" s="705">
        <f t="shared" si="22"/>
        <v>63670</v>
      </c>
      <c r="AV317" s="705">
        <f t="shared" si="23"/>
        <v>67254</v>
      </c>
    </row>
    <row r="318" spans="2:48" hidden="1">
      <c r="B318" t="s">
        <v>537</v>
      </c>
      <c r="C318" t="s">
        <v>112</v>
      </c>
      <c r="D318" t="s">
        <v>582</v>
      </c>
      <c r="E318" t="s">
        <v>665</v>
      </c>
      <c r="F318" s="705">
        <v>1</v>
      </c>
      <c r="G318" s="705">
        <v>126</v>
      </c>
      <c r="H318" s="705">
        <v>103</v>
      </c>
      <c r="I318" s="705">
        <v>4723</v>
      </c>
      <c r="J318" s="705">
        <v>4294</v>
      </c>
      <c r="K318" s="705">
        <v>92</v>
      </c>
      <c r="L318" s="705">
        <v>1536</v>
      </c>
      <c r="M318" s="705">
        <v>1396</v>
      </c>
      <c r="N318" s="705">
        <v>1914</v>
      </c>
      <c r="O318" s="705">
        <v>709</v>
      </c>
      <c r="P318" s="705">
        <v>351</v>
      </c>
      <c r="Q318" s="705">
        <v>130</v>
      </c>
      <c r="R318" s="705">
        <v>4434</v>
      </c>
      <c r="S318" s="705">
        <v>4031</v>
      </c>
      <c r="T318" s="705">
        <v>0</v>
      </c>
      <c r="U318" s="705">
        <v>0</v>
      </c>
      <c r="V318" s="705">
        <v>10560</v>
      </c>
      <c r="W318" s="705">
        <f t="shared" si="18"/>
        <v>10560</v>
      </c>
      <c r="X318" s="705">
        <f t="shared" si="19"/>
        <v>12958</v>
      </c>
      <c r="Y318" s="705"/>
      <c r="AA318" t="s">
        <v>122</v>
      </c>
      <c r="AB318" t="s">
        <v>669</v>
      </c>
      <c r="AC318" s="705" t="s">
        <v>228</v>
      </c>
      <c r="AD318" s="705">
        <v>37</v>
      </c>
      <c r="AE318" s="705">
        <v>2708</v>
      </c>
      <c r="AF318" s="705">
        <v>15316</v>
      </c>
      <c r="AG318" s="705">
        <v>716440</v>
      </c>
      <c r="AH318" s="705">
        <v>597033</v>
      </c>
      <c r="AI318" s="706">
        <v>52</v>
      </c>
      <c r="AJ318" s="705">
        <v>95982</v>
      </c>
      <c r="AK318" s="705">
        <v>50150</v>
      </c>
      <c r="AL318" s="705">
        <v>56987</v>
      </c>
      <c r="AM318" s="705">
        <v>21106</v>
      </c>
      <c r="AN318" s="705">
        <v>6912</v>
      </c>
      <c r="AO318" s="705">
        <v>2560</v>
      </c>
      <c r="AP318" s="705">
        <v>278987</v>
      </c>
      <c r="AQ318" s="705">
        <v>103328</v>
      </c>
      <c r="AR318" s="705">
        <v>3580</v>
      </c>
      <c r="AS318" s="705">
        <v>1326</v>
      </c>
      <c r="AT318" s="705">
        <v>775504</v>
      </c>
      <c r="AU318" s="705">
        <f t="shared" si="22"/>
        <v>775503</v>
      </c>
      <c r="AV318" s="705">
        <f t="shared" si="23"/>
        <v>1158888</v>
      </c>
    </row>
    <row r="319" spans="2:48" hidden="1">
      <c r="B319" t="s">
        <v>537</v>
      </c>
      <c r="C319" t="s">
        <v>112</v>
      </c>
      <c r="D319" t="s">
        <v>228</v>
      </c>
      <c r="E319" t="s">
        <v>228</v>
      </c>
      <c r="F319">
        <v>166</v>
      </c>
      <c r="G319" s="705">
        <v>14393</v>
      </c>
      <c r="H319" s="705">
        <v>18551</v>
      </c>
      <c r="I319" s="705">
        <v>503865</v>
      </c>
      <c r="J319" s="705">
        <v>186617</v>
      </c>
      <c r="K319" s="705">
        <v>343</v>
      </c>
      <c r="L319" s="705">
        <v>131889</v>
      </c>
      <c r="M319" s="705">
        <v>114903</v>
      </c>
      <c r="N319" s="705">
        <v>247795</v>
      </c>
      <c r="O319" s="705">
        <v>91776</v>
      </c>
      <c r="P319" s="705">
        <v>83578</v>
      </c>
      <c r="Q319" s="705">
        <v>30955</v>
      </c>
      <c r="R319" s="705">
        <v>644165</v>
      </c>
      <c r="S319" s="705">
        <v>238580</v>
      </c>
      <c r="T319" s="705">
        <v>0</v>
      </c>
      <c r="U319" s="705">
        <v>0</v>
      </c>
      <c r="V319" s="705">
        <v>662830</v>
      </c>
      <c r="W319" s="705">
        <f t="shared" si="18"/>
        <v>662831</v>
      </c>
      <c r="X319" s="705">
        <f t="shared" si="19"/>
        <v>1611292</v>
      </c>
      <c r="Y319" s="705"/>
      <c r="AA319" t="s">
        <v>122</v>
      </c>
      <c r="AB319" t="s">
        <v>669</v>
      </c>
      <c r="AC319" s="705" t="s">
        <v>583</v>
      </c>
      <c r="AD319" s="705">
        <v>1</v>
      </c>
      <c r="AE319" s="705">
        <v>110</v>
      </c>
      <c r="AF319" s="705">
        <v>422</v>
      </c>
      <c r="AG319" s="705">
        <v>33425</v>
      </c>
      <c r="AH319" s="705">
        <v>27854</v>
      </c>
      <c r="AI319" s="706">
        <v>60</v>
      </c>
      <c r="AJ319" s="705">
        <v>2985</v>
      </c>
      <c r="AK319" s="705">
        <v>2714</v>
      </c>
      <c r="AL319" s="705">
        <v>2485</v>
      </c>
      <c r="AM319" s="705">
        <v>920</v>
      </c>
      <c r="AN319" s="705">
        <v>621</v>
      </c>
      <c r="AO319" s="705">
        <v>230</v>
      </c>
      <c r="AP319" s="705">
        <v>4630</v>
      </c>
      <c r="AQ319" s="705">
        <v>4209</v>
      </c>
      <c r="AR319" s="705">
        <v>2103</v>
      </c>
      <c r="AS319" s="705">
        <v>779</v>
      </c>
      <c r="AT319" s="705">
        <v>36706</v>
      </c>
      <c r="AU319" s="705">
        <f t="shared" si="22"/>
        <v>36706</v>
      </c>
      <c r="AV319" s="705">
        <f t="shared" si="23"/>
        <v>46249</v>
      </c>
    </row>
    <row r="320" spans="2:48" hidden="1">
      <c r="B320" t="s">
        <v>537</v>
      </c>
      <c r="C320" t="s">
        <v>112</v>
      </c>
      <c r="D320" t="s">
        <v>583</v>
      </c>
      <c r="E320" t="s">
        <v>583</v>
      </c>
      <c r="F320" s="705">
        <v>213</v>
      </c>
      <c r="G320" s="705">
        <v>24522</v>
      </c>
      <c r="H320" s="705">
        <v>24902</v>
      </c>
      <c r="I320" s="705">
        <v>1299056</v>
      </c>
      <c r="J320" s="705">
        <v>1180960</v>
      </c>
      <c r="K320" s="705">
        <v>93</v>
      </c>
      <c r="L320" s="705">
        <v>279381</v>
      </c>
      <c r="M320" s="705">
        <v>241204</v>
      </c>
      <c r="N320" s="705">
        <v>389450</v>
      </c>
      <c r="O320" s="705">
        <v>144241</v>
      </c>
      <c r="P320" s="705">
        <v>138090</v>
      </c>
      <c r="Q320" s="705">
        <v>51145</v>
      </c>
      <c r="R320" s="705">
        <v>816022</v>
      </c>
      <c r="S320" s="705">
        <v>741838</v>
      </c>
      <c r="T320" s="705">
        <v>5357</v>
      </c>
      <c r="U320" s="705">
        <v>1984</v>
      </c>
      <c r="V320" s="705">
        <v>2361372</v>
      </c>
      <c r="W320" s="705">
        <f t="shared" si="18"/>
        <v>2361372</v>
      </c>
      <c r="X320" s="705">
        <f t="shared" si="19"/>
        <v>2927356</v>
      </c>
      <c r="Y320" s="705"/>
      <c r="AA320" t="s">
        <v>122</v>
      </c>
      <c r="AB320" t="s">
        <v>669</v>
      </c>
      <c r="AC320" s="705" t="s">
        <v>669</v>
      </c>
      <c r="AD320" s="705">
        <v>783</v>
      </c>
      <c r="AE320" s="705">
        <v>60283</v>
      </c>
      <c r="AF320" s="705">
        <v>320283</v>
      </c>
      <c r="AG320" s="705">
        <v>14800918</v>
      </c>
      <c r="AH320" s="705">
        <v>12334099</v>
      </c>
      <c r="AI320" s="706">
        <v>52</v>
      </c>
      <c r="AJ320" s="705">
        <v>1876998</v>
      </c>
      <c r="AK320" s="705">
        <v>1459830</v>
      </c>
      <c r="AL320" s="705">
        <v>1187062</v>
      </c>
      <c r="AM320" s="705">
        <v>439653</v>
      </c>
      <c r="AN320" s="705">
        <v>277557</v>
      </c>
      <c r="AO320" s="705">
        <v>102799</v>
      </c>
      <c r="AP320" s="705">
        <v>4927333</v>
      </c>
      <c r="AQ320" s="705">
        <v>4106111</v>
      </c>
      <c r="AR320" s="705">
        <v>1590210</v>
      </c>
      <c r="AS320" s="705">
        <v>588967</v>
      </c>
      <c r="AT320" s="705">
        <v>19031458</v>
      </c>
      <c r="AU320" s="705">
        <f t="shared" si="22"/>
        <v>19031459</v>
      </c>
      <c r="AV320" s="705">
        <f t="shared" si="23"/>
        <v>24660078</v>
      </c>
    </row>
    <row r="321" spans="2:48" hidden="1">
      <c r="B321" t="s">
        <v>537</v>
      </c>
      <c r="C321" t="s">
        <v>112</v>
      </c>
      <c r="D321" t="s">
        <v>584</v>
      </c>
      <c r="E321" t="s">
        <v>584</v>
      </c>
      <c r="F321">
        <v>960</v>
      </c>
      <c r="G321" s="705">
        <v>110113</v>
      </c>
      <c r="H321" s="705">
        <v>111319</v>
      </c>
      <c r="I321" s="705">
        <v>5690712</v>
      </c>
      <c r="J321" s="705">
        <v>5173374</v>
      </c>
      <c r="K321" s="705">
        <v>89</v>
      </c>
      <c r="L321" s="705">
        <v>1115010</v>
      </c>
      <c r="M321" s="705">
        <v>973084</v>
      </c>
      <c r="N321" s="705">
        <v>1824185</v>
      </c>
      <c r="O321" s="705">
        <v>675624</v>
      </c>
      <c r="P321" s="705">
        <v>473998</v>
      </c>
      <c r="Q321" s="705">
        <v>175555</v>
      </c>
      <c r="R321" s="705">
        <v>3824549</v>
      </c>
      <c r="S321" s="705">
        <v>3476862</v>
      </c>
      <c r="T321" s="705">
        <v>6147</v>
      </c>
      <c r="U321" s="705">
        <v>2277</v>
      </c>
      <c r="V321" s="705">
        <v>10476776</v>
      </c>
      <c r="W321" s="705">
        <f t="shared" si="18"/>
        <v>10476776</v>
      </c>
      <c r="X321" s="705">
        <f t="shared" si="19"/>
        <v>12934601</v>
      </c>
      <c r="Y321" s="705"/>
      <c r="AA321" t="s">
        <v>122</v>
      </c>
      <c r="AB321" t="s">
        <v>669</v>
      </c>
      <c r="AC321" s="705" t="s">
        <v>667</v>
      </c>
      <c r="AD321" s="705">
        <v>1</v>
      </c>
      <c r="AE321" s="705">
        <v>104</v>
      </c>
      <c r="AF321" s="705">
        <v>403</v>
      </c>
      <c r="AG321" s="705">
        <v>24702</v>
      </c>
      <c r="AH321" s="705">
        <v>20585</v>
      </c>
      <c r="AI321" s="706">
        <v>45</v>
      </c>
      <c r="AJ321" s="705">
        <v>4117</v>
      </c>
      <c r="AK321" s="705">
        <v>3431</v>
      </c>
      <c r="AL321" s="705">
        <v>1723</v>
      </c>
      <c r="AM321" s="705">
        <v>638</v>
      </c>
      <c r="AN321" s="705">
        <v>351</v>
      </c>
      <c r="AO321" s="705">
        <v>130</v>
      </c>
      <c r="AP321" s="705">
        <v>7864</v>
      </c>
      <c r="AQ321" s="705">
        <v>7149</v>
      </c>
      <c r="AR321" s="705">
        <v>3191</v>
      </c>
      <c r="AS321" s="705">
        <v>1182</v>
      </c>
      <c r="AT321" s="705">
        <v>33115</v>
      </c>
      <c r="AU321" s="705">
        <f t="shared" si="22"/>
        <v>33115</v>
      </c>
      <c r="AV321" s="705">
        <f t="shared" si="23"/>
        <v>41948</v>
      </c>
    </row>
    <row r="322" spans="2:48" hidden="1">
      <c r="B322" t="s">
        <v>537</v>
      </c>
      <c r="C322" t="s">
        <v>112</v>
      </c>
      <c r="D322" t="s">
        <v>585</v>
      </c>
      <c r="E322" t="s">
        <v>585</v>
      </c>
      <c r="F322">
        <v>2</v>
      </c>
      <c r="G322">
        <v>274</v>
      </c>
      <c r="H322" s="705">
        <v>221</v>
      </c>
      <c r="I322" s="705">
        <v>16844</v>
      </c>
      <c r="J322" s="705">
        <v>15313</v>
      </c>
      <c r="K322" s="705">
        <v>93</v>
      </c>
      <c r="L322" s="705">
        <v>2069</v>
      </c>
      <c r="M322" s="705">
        <v>1881</v>
      </c>
      <c r="N322" s="705">
        <v>4785</v>
      </c>
      <c r="O322" s="705">
        <v>1772</v>
      </c>
      <c r="P322" s="705">
        <v>1611</v>
      </c>
      <c r="Q322" s="705">
        <v>597</v>
      </c>
      <c r="R322" s="705">
        <v>5938</v>
      </c>
      <c r="S322" s="705">
        <v>5399</v>
      </c>
      <c r="T322">
        <v>0</v>
      </c>
      <c r="U322" s="705">
        <v>0</v>
      </c>
      <c r="V322" s="705">
        <v>24962</v>
      </c>
      <c r="W322" s="705">
        <f t="shared" si="18"/>
        <v>24962</v>
      </c>
      <c r="X322" s="705">
        <f t="shared" si="19"/>
        <v>31247</v>
      </c>
      <c r="Y322" s="705"/>
      <c r="AA322" t="s">
        <v>122</v>
      </c>
      <c r="AB322" t="s">
        <v>669</v>
      </c>
      <c r="AC322" s="705" t="s">
        <v>671</v>
      </c>
      <c r="AD322" s="705">
        <v>1</v>
      </c>
      <c r="AE322" s="705">
        <v>79</v>
      </c>
      <c r="AF322" s="705">
        <v>404</v>
      </c>
      <c r="AG322" s="705">
        <v>19871</v>
      </c>
      <c r="AH322" s="705">
        <v>16559</v>
      </c>
      <c r="AI322" s="706">
        <v>65</v>
      </c>
      <c r="AJ322" s="705">
        <v>4784</v>
      </c>
      <c r="AK322" s="705">
        <v>3986</v>
      </c>
      <c r="AL322" s="705">
        <v>1648</v>
      </c>
      <c r="AM322" s="705">
        <v>610</v>
      </c>
      <c r="AN322" s="705">
        <v>351</v>
      </c>
      <c r="AO322" s="705">
        <v>130</v>
      </c>
      <c r="AP322" s="705">
        <v>3557</v>
      </c>
      <c r="AQ322" s="705">
        <v>3234</v>
      </c>
      <c r="AR322" s="705">
        <v>1708</v>
      </c>
      <c r="AS322" s="705">
        <v>633</v>
      </c>
      <c r="AT322" s="705">
        <v>25152</v>
      </c>
      <c r="AU322" s="705">
        <f t="shared" si="22"/>
        <v>25152</v>
      </c>
      <c r="AV322" s="705">
        <f t="shared" si="23"/>
        <v>31919</v>
      </c>
    </row>
    <row r="323" spans="2:48" hidden="1">
      <c r="B323" t="s">
        <v>537</v>
      </c>
      <c r="C323" t="s">
        <v>114</v>
      </c>
      <c r="F323">
        <v>51</v>
      </c>
      <c r="G323" s="705">
        <v>3764</v>
      </c>
      <c r="H323" s="705">
        <v>7130</v>
      </c>
      <c r="I323" s="705"/>
      <c r="J323" s="705">
        <v>0</v>
      </c>
      <c r="K323" s="705"/>
      <c r="L323" s="705"/>
      <c r="M323" s="705">
        <v>0</v>
      </c>
      <c r="N323" s="705">
        <v>79935</v>
      </c>
      <c r="O323" s="705">
        <v>29606</v>
      </c>
      <c r="P323" s="705">
        <v>12987</v>
      </c>
      <c r="Q323" s="705">
        <v>4810</v>
      </c>
      <c r="R323" s="705"/>
      <c r="S323" s="705">
        <v>0</v>
      </c>
      <c r="T323">
        <v>0</v>
      </c>
      <c r="U323" s="705">
        <v>0</v>
      </c>
      <c r="V323" s="705">
        <v>34416</v>
      </c>
      <c r="W323" s="705">
        <f t="shared" si="18"/>
        <v>34416</v>
      </c>
      <c r="X323" s="705">
        <f t="shared" si="19"/>
        <v>92922</v>
      </c>
      <c r="Y323" s="705"/>
      <c r="AA323" t="s">
        <v>122</v>
      </c>
      <c r="AB323" t="s">
        <v>667</v>
      </c>
      <c r="AC323" s="705" t="s">
        <v>228</v>
      </c>
      <c r="AD323" s="705">
        <v>1</v>
      </c>
      <c r="AE323" s="705">
        <v>92</v>
      </c>
      <c r="AF323" s="705">
        <v>447</v>
      </c>
      <c r="AG323" s="705">
        <v>25694</v>
      </c>
      <c r="AH323" s="705">
        <v>23358</v>
      </c>
      <c r="AI323" s="706">
        <v>55</v>
      </c>
      <c r="AJ323" s="705">
        <v>5234</v>
      </c>
      <c r="AK323" s="705">
        <v>4758</v>
      </c>
      <c r="AL323" s="705">
        <v>1597</v>
      </c>
      <c r="AM323" s="705">
        <v>591</v>
      </c>
      <c r="AN323" s="705">
        <v>351</v>
      </c>
      <c r="AO323" s="705">
        <v>130</v>
      </c>
      <c r="AP323" s="705">
        <v>8406</v>
      </c>
      <c r="AQ323" s="705">
        <v>3113</v>
      </c>
      <c r="AR323" s="705">
        <v>0</v>
      </c>
      <c r="AS323" s="705">
        <v>0</v>
      </c>
      <c r="AT323" s="705">
        <v>31951</v>
      </c>
      <c r="AU323" s="705">
        <f t="shared" si="22"/>
        <v>31950</v>
      </c>
      <c r="AV323" s="705">
        <f t="shared" si="23"/>
        <v>41282</v>
      </c>
    </row>
    <row r="324" spans="2:48" hidden="1">
      <c r="B324" t="s">
        <v>537</v>
      </c>
      <c r="C324" t="s">
        <v>114</v>
      </c>
      <c r="D324" t="s">
        <v>664</v>
      </c>
      <c r="E324" t="s">
        <v>664</v>
      </c>
      <c r="F324" s="705">
        <v>2</v>
      </c>
      <c r="G324" s="705">
        <v>213</v>
      </c>
      <c r="H324" s="705">
        <v>284</v>
      </c>
      <c r="I324" s="705">
        <v>14326</v>
      </c>
      <c r="J324" s="705">
        <v>13024</v>
      </c>
      <c r="K324" s="705">
        <v>91</v>
      </c>
      <c r="L324" s="705">
        <v>3952</v>
      </c>
      <c r="M324" s="705">
        <v>3592</v>
      </c>
      <c r="N324" s="705">
        <v>3652</v>
      </c>
      <c r="O324" s="705">
        <v>1352</v>
      </c>
      <c r="P324" s="705">
        <v>945</v>
      </c>
      <c r="Q324" s="705">
        <v>350</v>
      </c>
      <c r="R324" s="705">
        <v>7544</v>
      </c>
      <c r="S324" s="705">
        <v>6858</v>
      </c>
      <c r="T324" s="705">
        <v>0</v>
      </c>
      <c r="U324" s="705">
        <v>0</v>
      </c>
      <c r="V324" s="705">
        <v>25177</v>
      </c>
      <c r="W324" s="705">
        <f t="shared" si="18"/>
        <v>25176</v>
      </c>
      <c r="X324" s="705">
        <f t="shared" si="19"/>
        <v>30419</v>
      </c>
      <c r="Y324" s="705"/>
      <c r="AA324" t="s">
        <v>122</v>
      </c>
      <c r="AB324" t="s">
        <v>667</v>
      </c>
      <c r="AC324" s="705" t="s">
        <v>667</v>
      </c>
      <c r="AD324" s="705">
        <v>15</v>
      </c>
      <c r="AE324" s="705">
        <v>1135</v>
      </c>
      <c r="AF324" s="705">
        <v>6223</v>
      </c>
      <c r="AG324" s="705">
        <v>264988</v>
      </c>
      <c r="AH324" s="705">
        <v>240898</v>
      </c>
      <c r="AI324" s="706">
        <v>48</v>
      </c>
      <c r="AJ324" s="705">
        <v>38140</v>
      </c>
      <c r="AK324" s="705">
        <v>31799</v>
      </c>
      <c r="AL324" s="705">
        <v>24213</v>
      </c>
      <c r="AM324" s="705">
        <v>8968</v>
      </c>
      <c r="AN324" s="705">
        <v>5535</v>
      </c>
      <c r="AO324" s="705">
        <v>2050</v>
      </c>
      <c r="AP324" s="705">
        <v>98042</v>
      </c>
      <c r="AQ324" s="705">
        <v>89129</v>
      </c>
      <c r="AR324" s="705">
        <v>37771</v>
      </c>
      <c r="AS324" s="705">
        <v>13989</v>
      </c>
      <c r="AT324" s="705">
        <v>386833</v>
      </c>
      <c r="AU324" s="705">
        <f t="shared" si="22"/>
        <v>386833</v>
      </c>
      <c r="AV324" s="705">
        <f t="shared" si="23"/>
        <v>468689</v>
      </c>
    </row>
    <row r="325" spans="2:48" hidden="1">
      <c r="B325" t="s">
        <v>537</v>
      </c>
      <c r="C325" t="s">
        <v>114</v>
      </c>
      <c r="D325" t="s">
        <v>664</v>
      </c>
      <c r="E325" t="s">
        <v>582</v>
      </c>
      <c r="F325">
        <v>1</v>
      </c>
      <c r="G325" s="705">
        <v>108</v>
      </c>
      <c r="H325" s="705">
        <v>137</v>
      </c>
      <c r="I325" s="705">
        <v>9043</v>
      </c>
      <c r="J325" s="705">
        <v>8221</v>
      </c>
      <c r="K325" s="705">
        <v>80</v>
      </c>
      <c r="L325" s="705">
        <v>1341</v>
      </c>
      <c r="M325" s="705">
        <v>1219</v>
      </c>
      <c r="N325" s="705">
        <v>3025</v>
      </c>
      <c r="O325" s="705">
        <v>1121</v>
      </c>
      <c r="P325" s="705">
        <v>473</v>
      </c>
      <c r="Q325" s="705">
        <v>175</v>
      </c>
      <c r="R325" s="705">
        <v>6276</v>
      </c>
      <c r="S325" s="705">
        <v>5705</v>
      </c>
      <c r="T325" s="705">
        <v>0</v>
      </c>
      <c r="U325" s="705">
        <v>0</v>
      </c>
      <c r="V325" s="705">
        <v>16441</v>
      </c>
      <c r="W325" s="705">
        <f t="shared" si="18"/>
        <v>16441</v>
      </c>
      <c r="X325" s="705">
        <f t="shared" si="19"/>
        <v>20158</v>
      </c>
      <c r="Y325" s="705"/>
      <c r="AA325" t="s">
        <v>122</v>
      </c>
      <c r="AB325" t="s">
        <v>667</v>
      </c>
      <c r="AC325" s="705" t="s">
        <v>671</v>
      </c>
      <c r="AD325" s="705">
        <v>1</v>
      </c>
      <c r="AE325" s="705">
        <v>71</v>
      </c>
      <c r="AF325" s="705">
        <v>384</v>
      </c>
      <c r="AG325" s="705">
        <v>15616</v>
      </c>
      <c r="AH325" s="705">
        <v>14197</v>
      </c>
      <c r="AI325" s="706">
        <v>45</v>
      </c>
      <c r="AJ325" s="705">
        <v>2603</v>
      </c>
      <c r="AK325" s="705">
        <v>2366</v>
      </c>
      <c r="AL325" s="705">
        <v>1488</v>
      </c>
      <c r="AM325" s="705">
        <v>551</v>
      </c>
      <c r="AN325" s="705">
        <v>351</v>
      </c>
      <c r="AO325" s="705">
        <v>130</v>
      </c>
      <c r="AP325" s="705">
        <v>7082</v>
      </c>
      <c r="AQ325" s="705">
        <v>6438</v>
      </c>
      <c r="AR325" s="705">
        <v>0</v>
      </c>
      <c r="AS325" s="705">
        <v>0</v>
      </c>
      <c r="AT325" s="705">
        <v>23682</v>
      </c>
      <c r="AU325" s="705">
        <f t="shared" si="22"/>
        <v>23682</v>
      </c>
      <c r="AV325" s="705">
        <f t="shared" si="23"/>
        <v>27140</v>
      </c>
    </row>
    <row r="326" spans="2:48" hidden="1">
      <c r="B326" t="s">
        <v>537</v>
      </c>
      <c r="C326" t="s">
        <v>114</v>
      </c>
      <c r="D326" t="s">
        <v>664</v>
      </c>
      <c r="E326" t="s">
        <v>583</v>
      </c>
      <c r="F326">
        <v>1</v>
      </c>
      <c r="G326" s="705">
        <v>116</v>
      </c>
      <c r="H326" s="705">
        <v>135</v>
      </c>
      <c r="I326" s="705">
        <v>6014</v>
      </c>
      <c r="J326" s="705">
        <v>5468</v>
      </c>
      <c r="K326" s="705">
        <v>86</v>
      </c>
      <c r="L326" s="705">
        <v>1905</v>
      </c>
      <c r="M326" s="705">
        <v>1731</v>
      </c>
      <c r="N326" s="705">
        <v>2437</v>
      </c>
      <c r="O326" s="705">
        <v>903</v>
      </c>
      <c r="P326" s="705">
        <v>621</v>
      </c>
      <c r="Q326" s="705">
        <v>230</v>
      </c>
      <c r="R326" s="705">
        <v>4776</v>
      </c>
      <c r="S326" s="705">
        <v>4342</v>
      </c>
      <c r="T326" s="705">
        <v>0</v>
      </c>
      <c r="U326" s="705">
        <v>0</v>
      </c>
      <c r="V326" s="705">
        <v>12673</v>
      </c>
      <c r="W326" s="705">
        <f t="shared" si="18"/>
        <v>12674</v>
      </c>
      <c r="X326" s="705">
        <f t="shared" si="19"/>
        <v>15753</v>
      </c>
      <c r="Y326" s="705"/>
      <c r="AA326" t="s">
        <v>122</v>
      </c>
      <c r="AB326" t="s">
        <v>671</v>
      </c>
      <c r="AC326" s="705" t="s">
        <v>228</v>
      </c>
      <c r="AD326" s="705">
        <v>1</v>
      </c>
      <c r="AE326" s="705">
        <v>76</v>
      </c>
      <c r="AF326" s="705">
        <v>417</v>
      </c>
      <c r="AG326" s="705">
        <v>22751</v>
      </c>
      <c r="AH326" s="705">
        <v>20683</v>
      </c>
      <c r="AI326" s="706">
        <v>30</v>
      </c>
      <c r="AJ326" s="705">
        <v>1861</v>
      </c>
      <c r="AK326" s="705">
        <v>689</v>
      </c>
      <c r="AL326" s="705">
        <v>1842</v>
      </c>
      <c r="AM326" s="705">
        <v>682</v>
      </c>
      <c r="AN326" s="705">
        <v>0</v>
      </c>
      <c r="AO326" s="705">
        <v>0</v>
      </c>
      <c r="AP326" s="705">
        <v>5033</v>
      </c>
      <c r="AQ326" s="705">
        <v>1864</v>
      </c>
      <c r="AR326" s="705">
        <v>0</v>
      </c>
      <c r="AS326" s="705">
        <v>0</v>
      </c>
      <c r="AT326" s="705">
        <v>23918</v>
      </c>
      <c r="AU326" s="705">
        <f t="shared" si="22"/>
        <v>23918</v>
      </c>
      <c r="AV326" s="705">
        <f t="shared" si="23"/>
        <v>31487</v>
      </c>
    </row>
    <row r="327" spans="2:48" hidden="1">
      <c r="B327" t="s">
        <v>537</v>
      </c>
      <c r="C327" t="s">
        <v>114</v>
      </c>
      <c r="D327" t="s">
        <v>582</v>
      </c>
      <c r="E327" t="s">
        <v>664</v>
      </c>
      <c r="F327">
        <v>1</v>
      </c>
      <c r="G327" s="705">
        <v>157</v>
      </c>
      <c r="H327" s="705">
        <v>147</v>
      </c>
      <c r="I327" s="705">
        <v>11395</v>
      </c>
      <c r="J327" s="705">
        <v>10359</v>
      </c>
      <c r="K327" s="705">
        <v>78</v>
      </c>
      <c r="L327" s="705">
        <v>3127</v>
      </c>
      <c r="M327" s="705">
        <v>2843</v>
      </c>
      <c r="N327" s="705">
        <v>2185</v>
      </c>
      <c r="O327" s="705">
        <v>809</v>
      </c>
      <c r="P327" s="705">
        <v>473</v>
      </c>
      <c r="Q327" s="705">
        <v>175</v>
      </c>
      <c r="R327" s="705">
        <v>5920</v>
      </c>
      <c r="S327" s="705">
        <v>5382</v>
      </c>
      <c r="T327" s="705">
        <v>0</v>
      </c>
      <c r="U327" s="705">
        <v>0</v>
      </c>
      <c r="V327" s="705">
        <v>19568</v>
      </c>
      <c r="W327" s="705">
        <f t="shared" ref="W327:W390" si="24">SUM(ABS(J327),ABS(M327),ABS(O327),ABS(Q327),ABS(S327),ABS(U327))</f>
        <v>19568</v>
      </c>
      <c r="X327" s="705">
        <f t="shared" ref="X327:X390" si="25">SUM(ABS(I327),ABS(N327),ABS(P327),ABS(R327),ABS(T327),ABS(L327))</f>
        <v>23100</v>
      </c>
      <c r="Y327" s="705"/>
      <c r="AA327" t="s">
        <v>122</v>
      </c>
      <c r="AB327" t="s">
        <v>671</v>
      </c>
      <c r="AC327" s="705" t="s">
        <v>666</v>
      </c>
      <c r="AD327" s="705">
        <v>1</v>
      </c>
      <c r="AE327" s="705">
        <v>46</v>
      </c>
      <c r="AF327" s="705">
        <v>410</v>
      </c>
      <c r="AG327" s="705">
        <v>18943</v>
      </c>
      <c r="AH327" s="705">
        <v>17221</v>
      </c>
      <c r="AI327" s="706">
        <v>45</v>
      </c>
      <c r="AJ327" s="705">
        <v>3157</v>
      </c>
      <c r="AK327" s="705">
        <v>2870</v>
      </c>
      <c r="AL327" s="705">
        <v>1717</v>
      </c>
      <c r="AM327" s="705">
        <v>636</v>
      </c>
      <c r="AN327" s="705">
        <v>351</v>
      </c>
      <c r="AO327" s="705">
        <v>130</v>
      </c>
      <c r="AP327" s="705">
        <v>6326</v>
      </c>
      <c r="AQ327" s="705">
        <v>5751</v>
      </c>
      <c r="AR327" s="705">
        <v>2898</v>
      </c>
      <c r="AS327" s="705">
        <v>1073</v>
      </c>
      <c r="AT327" s="705">
        <v>27682</v>
      </c>
      <c r="AU327" s="705">
        <f t="shared" ref="AU327:AU358" si="26">SUM(ABS(AH327), ABS(AK327),ABS(AM327),ABS(AO327),ABS(AQ327),ABS(AS327))</f>
        <v>27681</v>
      </c>
      <c r="AV327" s="705">
        <f t="shared" ref="AV327:AV358" si="27">SUM(ABS(AG327),ABS(AJ327),ABS(AL327),ABS(AN327),ABS(AP327),ABS(AR327))</f>
        <v>33392</v>
      </c>
    </row>
    <row r="328" spans="2:48" hidden="1">
      <c r="B328" t="s">
        <v>537</v>
      </c>
      <c r="C328" t="s">
        <v>114</v>
      </c>
      <c r="D328" t="s">
        <v>582</v>
      </c>
      <c r="E328" t="s">
        <v>582</v>
      </c>
      <c r="F328" s="705">
        <v>112</v>
      </c>
      <c r="G328" s="705">
        <v>12641</v>
      </c>
      <c r="H328" s="705">
        <v>15698</v>
      </c>
      <c r="I328" s="705">
        <v>789385</v>
      </c>
      <c r="J328" s="705">
        <v>717622</v>
      </c>
      <c r="K328" s="705">
        <v>85</v>
      </c>
      <c r="L328" s="705">
        <v>204865</v>
      </c>
      <c r="M328" s="705">
        <v>181626</v>
      </c>
      <c r="N328" s="705">
        <v>248757</v>
      </c>
      <c r="O328" s="705">
        <v>92132</v>
      </c>
      <c r="P328" s="705">
        <v>54405</v>
      </c>
      <c r="Q328" s="705">
        <v>20150</v>
      </c>
      <c r="R328" s="705">
        <v>480207</v>
      </c>
      <c r="S328" s="705">
        <v>436552</v>
      </c>
      <c r="T328" s="705">
        <v>8677</v>
      </c>
      <c r="U328" s="705">
        <v>3214</v>
      </c>
      <c r="V328" s="705">
        <v>1451296</v>
      </c>
      <c r="W328" s="705">
        <f t="shared" si="24"/>
        <v>1451296</v>
      </c>
      <c r="X328" s="705">
        <f t="shared" si="25"/>
        <v>1786296</v>
      </c>
      <c r="Y328" s="705"/>
      <c r="AA328" t="s">
        <v>122</v>
      </c>
      <c r="AB328" t="s">
        <v>671</v>
      </c>
      <c r="AC328" s="705" t="s">
        <v>671</v>
      </c>
      <c r="AD328" s="705">
        <v>88</v>
      </c>
      <c r="AE328" s="705">
        <v>7107</v>
      </c>
      <c r="AF328" s="705">
        <v>36006</v>
      </c>
      <c r="AG328" s="705">
        <v>1782583</v>
      </c>
      <c r="AH328" s="705">
        <v>1620530</v>
      </c>
      <c r="AI328" s="706">
        <v>49</v>
      </c>
      <c r="AJ328" s="705">
        <v>261847</v>
      </c>
      <c r="AK328" s="705">
        <v>230557</v>
      </c>
      <c r="AL328" s="705">
        <v>141253</v>
      </c>
      <c r="AM328" s="705">
        <v>52316</v>
      </c>
      <c r="AN328" s="705">
        <v>30375</v>
      </c>
      <c r="AO328" s="705">
        <v>11250</v>
      </c>
      <c r="AP328" s="705">
        <v>560127</v>
      </c>
      <c r="AQ328" s="705">
        <v>509206</v>
      </c>
      <c r="AR328" s="705">
        <v>160759</v>
      </c>
      <c r="AS328" s="705">
        <v>59541</v>
      </c>
      <c r="AT328" s="705">
        <v>2483399</v>
      </c>
      <c r="AU328" s="705">
        <f t="shared" si="26"/>
        <v>2483400</v>
      </c>
      <c r="AV328" s="705">
        <f t="shared" si="27"/>
        <v>2936944</v>
      </c>
    </row>
    <row r="329" spans="2:48" hidden="1">
      <c r="B329" t="s">
        <v>537</v>
      </c>
      <c r="C329" t="s">
        <v>114</v>
      </c>
      <c r="D329" t="s">
        <v>582</v>
      </c>
      <c r="E329" t="s">
        <v>584</v>
      </c>
      <c r="F329" s="705">
        <v>2</v>
      </c>
      <c r="G329" s="705">
        <v>245</v>
      </c>
      <c r="H329" s="705">
        <v>287</v>
      </c>
      <c r="I329" s="705">
        <v>20827</v>
      </c>
      <c r="J329" s="705">
        <v>18933</v>
      </c>
      <c r="K329" s="705">
        <v>90</v>
      </c>
      <c r="L329" s="705">
        <v>6609</v>
      </c>
      <c r="M329" s="705">
        <v>6008</v>
      </c>
      <c r="N329" s="705">
        <v>3312</v>
      </c>
      <c r="O329" s="705">
        <v>1227</v>
      </c>
      <c r="P329" s="705">
        <v>945</v>
      </c>
      <c r="Q329" s="705">
        <v>350</v>
      </c>
      <c r="R329" s="705">
        <v>7195</v>
      </c>
      <c r="S329" s="705">
        <v>6541</v>
      </c>
      <c r="T329" s="705">
        <v>0</v>
      </c>
      <c r="U329" s="705">
        <v>0</v>
      </c>
      <c r="V329" s="705">
        <v>33059</v>
      </c>
      <c r="W329" s="705">
        <f t="shared" si="24"/>
        <v>33059</v>
      </c>
      <c r="X329" s="705">
        <f t="shared" si="25"/>
        <v>38888</v>
      </c>
      <c r="Y329" s="705"/>
      <c r="AA329" t="s">
        <v>122</v>
      </c>
      <c r="AB329" t="s">
        <v>665</v>
      </c>
      <c r="AC329" s="705" t="s">
        <v>228</v>
      </c>
      <c r="AD329" s="705">
        <v>59</v>
      </c>
      <c r="AE329" s="705">
        <v>4246</v>
      </c>
      <c r="AF329" s="705">
        <v>24673</v>
      </c>
      <c r="AG329" s="705">
        <v>1113685</v>
      </c>
      <c r="AH329" s="705">
        <v>1012441</v>
      </c>
      <c r="AI329" s="706">
        <v>52</v>
      </c>
      <c r="AJ329" s="705">
        <v>130889</v>
      </c>
      <c r="AK329" s="705">
        <v>93279</v>
      </c>
      <c r="AL329" s="705">
        <v>90835</v>
      </c>
      <c r="AM329" s="705">
        <v>33643</v>
      </c>
      <c r="AN329" s="705">
        <v>9477</v>
      </c>
      <c r="AO329" s="705">
        <v>3510</v>
      </c>
      <c r="AP329" s="705">
        <v>455739</v>
      </c>
      <c r="AQ329" s="705">
        <v>168792</v>
      </c>
      <c r="AR329" s="705">
        <v>17005</v>
      </c>
      <c r="AS329" s="705">
        <v>6298</v>
      </c>
      <c r="AT329" s="705">
        <v>1317963</v>
      </c>
      <c r="AU329" s="705">
        <f t="shared" si="26"/>
        <v>1317963</v>
      </c>
      <c r="AV329" s="705">
        <f t="shared" si="27"/>
        <v>1817630</v>
      </c>
    </row>
    <row r="330" spans="2:48" hidden="1">
      <c r="B330" t="s">
        <v>537</v>
      </c>
      <c r="C330" t="s">
        <v>114</v>
      </c>
      <c r="D330" t="s">
        <v>228</v>
      </c>
      <c r="E330" t="s">
        <v>228</v>
      </c>
      <c r="F330">
        <v>78</v>
      </c>
      <c r="G330" s="705">
        <v>6366</v>
      </c>
      <c r="H330" s="705">
        <v>10839</v>
      </c>
      <c r="I330" s="705">
        <v>264999</v>
      </c>
      <c r="J330" s="705">
        <v>98148</v>
      </c>
      <c r="K330">
        <v>326</v>
      </c>
      <c r="L330" s="705">
        <v>87850</v>
      </c>
      <c r="M330" s="705">
        <v>71372</v>
      </c>
      <c r="N330" s="705">
        <v>96468</v>
      </c>
      <c r="O330" s="705">
        <v>35729</v>
      </c>
      <c r="P330" s="705">
        <v>26967</v>
      </c>
      <c r="Q330" s="705">
        <v>9988</v>
      </c>
      <c r="R330" s="705">
        <v>406709</v>
      </c>
      <c r="S330" s="705">
        <v>150633</v>
      </c>
      <c r="T330">
        <v>0</v>
      </c>
      <c r="U330" s="705">
        <v>0</v>
      </c>
      <c r="V330" s="705">
        <v>365869</v>
      </c>
      <c r="W330" s="705">
        <f t="shared" si="24"/>
        <v>365870</v>
      </c>
      <c r="X330" s="705">
        <f t="shared" si="25"/>
        <v>882993</v>
      </c>
      <c r="Y330" s="705"/>
      <c r="AA330" t="s">
        <v>122</v>
      </c>
      <c r="AB330" t="s">
        <v>665</v>
      </c>
      <c r="AC330" s="705" t="s">
        <v>583</v>
      </c>
      <c r="AD330" s="705">
        <v>1</v>
      </c>
      <c r="AE330" s="705">
        <v>47</v>
      </c>
      <c r="AF330" s="705">
        <v>429</v>
      </c>
      <c r="AG330" s="705">
        <v>9725</v>
      </c>
      <c r="AH330" s="705">
        <v>8841</v>
      </c>
      <c r="AI330" s="706">
        <v>45</v>
      </c>
      <c r="AJ330" s="705">
        <v>0</v>
      </c>
      <c r="AK330" s="705">
        <v>0</v>
      </c>
      <c r="AL330" s="705">
        <v>956</v>
      </c>
      <c r="AM330" s="705">
        <v>354</v>
      </c>
      <c r="AN330" s="705">
        <v>621</v>
      </c>
      <c r="AO330" s="705">
        <v>230</v>
      </c>
      <c r="AP330" s="705">
        <v>6438</v>
      </c>
      <c r="AQ330" s="705">
        <v>5853</v>
      </c>
      <c r="AR330" s="705">
        <v>2416</v>
      </c>
      <c r="AS330" s="705">
        <v>895</v>
      </c>
      <c r="AT330" s="705">
        <v>16173</v>
      </c>
      <c r="AU330" s="705">
        <f t="shared" si="26"/>
        <v>16173</v>
      </c>
      <c r="AV330" s="705">
        <f t="shared" si="27"/>
        <v>20156</v>
      </c>
    </row>
    <row r="331" spans="2:48" hidden="1">
      <c r="B331" t="s">
        <v>537</v>
      </c>
      <c r="C331" t="s">
        <v>114</v>
      </c>
      <c r="D331" t="s">
        <v>583</v>
      </c>
      <c r="E331" t="s">
        <v>664</v>
      </c>
      <c r="F331">
        <v>3</v>
      </c>
      <c r="G331">
        <v>455</v>
      </c>
      <c r="H331" s="705">
        <v>424</v>
      </c>
      <c r="I331" s="705">
        <v>37270</v>
      </c>
      <c r="J331" s="705">
        <v>33882</v>
      </c>
      <c r="K331" s="705">
        <v>90</v>
      </c>
      <c r="L331" s="705">
        <v>6131</v>
      </c>
      <c r="M331" s="705">
        <v>5407</v>
      </c>
      <c r="N331" s="705">
        <v>7545</v>
      </c>
      <c r="O331" s="705">
        <v>2795</v>
      </c>
      <c r="P331" s="705">
        <v>2214</v>
      </c>
      <c r="Q331" s="705">
        <v>820</v>
      </c>
      <c r="R331" s="705">
        <v>14640</v>
      </c>
      <c r="S331" s="705">
        <v>13309</v>
      </c>
      <c r="T331" s="705">
        <v>0</v>
      </c>
      <c r="U331" s="705">
        <v>0</v>
      </c>
      <c r="V331" s="705">
        <v>56213</v>
      </c>
      <c r="W331" s="705">
        <f t="shared" si="24"/>
        <v>56213</v>
      </c>
      <c r="X331" s="705">
        <f t="shared" si="25"/>
        <v>67800</v>
      </c>
      <c r="Y331" s="705"/>
      <c r="AA331" t="s">
        <v>122</v>
      </c>
      <c r="AB331" t="s">
        <v>665</v>
      </c>
      <c r="AC331" s="705" t="s">
        <v>584</v>
      </c>
      <c r="AD331" s="705">
        <v>1</v>
      </c>
      <c r="AE331" s="705">
        <v>74</v>
      </c>
      <c r="AF331" s="705">
        <v>415</v>
      </c>
      <c r="AG331" s="705">
        <v>18906</v>
      </c>
      <c r="AH331" s="705">
        <v>17187</v>
      </c>
      <c r="AI331" s="706">
        <v>50</v>
      </c>
      <c r="AJ331" s="705">
        <v>5801</v>
      </c>
      <c r="AK331" s="705">
        <v>2148</v>
      </c>
      <c r="AL331" s="705">
        <v>1602</v>
      </c>
      <c r="AM331" s="705">
        <v>593</v>
      </c>
      <c r="AN331" s="705">
        <v>122</v>
      </c>
      <c r="AO331" s="705">
        <v>45</v>
      </c>
      <c r="AP331" s="705">
        <v>4380</v>
      </c>
      <c r="AQ331" s="705">
        <v>3982</v>
      </c>
      <c r="AR331" s="705">
        <v>0</v>
      </c>
      <c r="AS331" s="705">
        <v>0</v>
      </c>
      <c r="AT331" s="705">
        <v>23956</v>
      </c>
      <c r="AU331" s="705">
        <f t="shared" si="26"/>
        <v>23955</v>
      </c>
      <c r="AV331" s="705">
        <f t="shared" si="27"/>
        <v>30811</v>
      </c>
    </row>
    <row r="332" spans="2:48" hidden="1">
      <c r="B332" t="s">
        <v>537</v>
      </c>
      <c r="C332" t="s">
        <v>114</v>
      </c>
      <c r="D332" t="s">
        <v>583</v>
      </c>
      <c r="E332" t="s">
        <v>583</v>
      </c>
      <c r="F332" s="705">
        <v>1183</v>
      </c>
      <c r="G332" s="705">
        <v>124944</v>
      </c>
      <c r="H332" s="705">
        <v>166026</v>
      </c>
      <c r="I332" s="705">
        <v>7724341</v>
      </c>
      <c r="J332" s="705">
        <v>7022128</v>
      </c>
      <c r="K332" s="705">
        <v>90</v>
      </c>
      <c r="L332" s="705">
        <v>1937886</v>
      </c>
      <c r="M332" s="705">
        <v>1724383</v>
      </c>
      <c r="N332" s="705">
        <v>2280103</v>
      </c>
      <c r="O332" s="705">
        <v>844483</v>
      </c>
      <c r="P332" s="705">
        <v>757147</v>
      </c>
      <c r="Q332" s="705">
        <v>280425</v>
      </c>
      <c r="R332" s="705">
        <v>4902299</v>
      </c>
      <c r="S332" s="705">
        <v>4456635</v>
      </c>
      <c r="T332" s="705">
        <v>190187</v>
      </c>
      <c r="U332" s="705">
        <v>70440</v>
      </c>
      <c r="V332" s="705">
        <v>14398493</v>
      </c>
      <c r="W332" s="705">
        <f t="shared" si="24"/>
        <v>14398494</v>
      </c>
      <c r="X332" s="705">
        <f t="shared" si="25"/>
        <v>17791963</v>
      </c>
      <c r="Y332" s="705"/>
      <c r="AA332" t="s">
        <v>122</v>
      </c>
      <c r="AB332" t="s">
        <v>665</v>
      </c>
      <c r="AC332" s="705" t="s">
        <v>669</v>
      </c>
      <c r="AD332" s="705">
        <v>1</v>
      </c>
      <c r="AE332" s="705">
        <v>78</v>
      </c>
      <c r="AF332" s="705">
        <v>431</v>
      </c>
      <c r="AG332" s="705">
        <v>21029</v>
      </c>
      <c r="AH332" s="705">
        <v>19117</v>
      </c>
      <c r="AI332" s="706">
        <v>65</v>
      </c>
      <c r="AJ332" s="705">
        <v>3728</v>
      </c>
      <c r="AK332" s="705">
        <v>1381</v>
      </c>
      <c r="AL332" s="705">
        <v>1498</v>
      </c>
      <c r="AM332" s="705">
        <v>555</v>
      </c>
      <c r="AN332" s="705">
        <v>351</v>
      </c>
      <c r="AO332" s="705">
        <v>130</v>
      </c>
      <c r="AP332" s="705">
        <v>4661</v>
      </c>
      <c r="AQ332" s="705">
        <v>3884</v>
      </c>
      <c r="AR332" s="705">
        <v>2270</v>
      </c>
      <c r="AS332" s="705">
        <v>841</v>
      </c>
      <c r="AT332" s="705">
        <v>25907</v>
      </c>
      <c r="AU332" s="705">
        <f t="shared" si="26"/>
        <v>25908</v>
      </c>
      <c r="AV332" s="705">
        <f t="shared" si="27"/>
        <v>33537</v>
      </c>
    </row>
    <row r="333" spans="2:48" hidden="1">
      <c r="B333" t="s">
        <v>537</v>
      </c>
      <c r="C333" t="s">
        <v>114</v>
      </c>
      <c r="D333" t="s">
        <v>584</v>
      </c>
      <c r="E333" s="705" t="s">
        <v>582</v>
      </c>
      <c r="F333" s="705">
        <v>1</v>
      </c>
      <c r="G333" s="705">
        <v>104</v>
      </c>
      <c r="H333" s="705">
        <v>143</v>
      </c>
      <c r="I333" s="705">
        <v>4608</v>
      </c>
      <c r="J333" s="705">
        <v>4189</v>
      </c>
      <c r="K333" s="705">
        <v>79</v>
      </c>
      <c r="L333" s="705">
        <v>1465</v>
      </c>
      <c r="M333" s="705">
        <v>1221</v>
      </c>
      <c r="N333" s="705">
        <v>2341</v>
      </c>
      <c r="O333" s="705">
        <v>867</v>
      </c>
      <c r="P333" s="705">
        <v>473</v>
      </c>
      <c r="Q333" s="705">
        <v>175</v>
      </c>
      <c r="R333" s="705">
        <v>3315</v>
      </c>
      <c r="S333" s="705">
        <v>3014</v>
      </c>
      <c r="T333" s="705">
        <v>2611</v>
      </c>
      <c r="U333" s="705">
        <v>967</v>
      </c>
      <c r="V333" s="705">
        <v>10433</v>
      </c>
      <c r="W333" s="705">
        <f t="shared" si="24"/>
        <v>10433</v>
      </c>
      <c r="X333" s="705">
        <f t="shared" si="25"/>
        <v>14813</v>
      </c>
      <c r="Y333" s="705"/>
      <c r="AA333" t="s">
        <v>122</v>
      </c>
      <c r="AB333" t="s">
        <v>665</v>
      </c>
      <c r="AC333" s="705" t="s">
        <v>665</v>
      </c>
      <c r="AD333" s="705">
        <v>2550</v>
      </c>
      <c r="AE333" s="705">
        <v>177458</v>
      </c>
      <c r="AF333" s="705">
        <v>1047272</v>
      </c>
      <c r="AG333" s="705">
        <v>43802910</v>
      </c>
      <c r="AH333" s="705">
        <v>39820827</v>
      </c>
      <c r="AI333" s="706">
        <v>51</v>
      </c>
      <c r="AJ333" s="705">
        <v>5249286</v>
      </c>
      <c r="AK333" s="705">
        <v>4250418</v>
      </c>
      <c r="AL333" s="705">
        <v>3511571</v>
      </c>
      <c r="AM333" s="705">
        <v>1300582</v>
      </c>
      <c r="AN333" s="705">
        <v>897068</v>
      </c>
      <c r="AO333" s="705">
        <v>332248</v>
      </c>
      <c r="AP333" s="705">
        <v>14355226</v>
      </c>
      <c r="AQ333" s="705">
        <v>13050206</v>
      </c>
      <c r="AR333" s="705">
        <v>5247822</v>
      </c>
      <c r="AS333" s="705">
        <v>1943638</v>
      </c>
      <c r="AT333" s="705">
        <v>60697918</v>
      </c>
      <c r="AU333" s="705">
        <f t="shared" si="26"/>
        <v>60697919</v>
      </c>
      <c r="AV333" s="705">
        <f t="shared" si="27"/>
        <v>73063883</v>
      </c>
    </row>
    <row r="334" spans="2:48" hidden="1">
      <c r="B334" t="s">
        <v>537</v>
      </c>
      <c r="C334" t="s">
        <v>114</v>
      </c>
      <c r="D334" t="s">
        <v>584</v>
      </c>
      <c r="E334" t="s">
        <v>583</v>
      </c>
      <c r="F334">
        <v>2</v>
      </c>
      <c r="G334" s="705">
        <v>125</v>
      </c>
      <c r="H334" s="705">
        <v>262</v>
      </c>
      <c r="I334" s="705">
        <v>6046</v>
      </c>
      <c r="J334" s="705">
        <v>5496</v>
      </c>
      <c r="K334" s="705">
        <v>90</v>
      </c>
      <c r="L334" s="705">
        <v>765</v>
      </c>
      <c r="M334" s="705">
        <v>695</v>
      </c>
      <c r="N334" s="705">
        <v>1522</v>
      </c>
      <c r="O334" s="705">
        <v>564</v>
      </c>
      <c r="P334" s="705">
        <v>945</v>
      </c>
      <c r="Q334" s="705">
        <v>350</v>
      </c>
      <c r="R334" s="705">
        <v>7105</v>
      </c>
      <c r="S334" s="705">
        <v>6460</v>
      </c>
      <c r="T334" s="705">
        <v>0</v>
      </c>
      <c r="U334" s="705">
        <v>0</v>
      </c>
      <c r="V334" s="705">
        <v>13564</v>
      </c>
      <c r="W334" s="705">
        <f t="shared" si="24"/>
        <v>13565</v>
      </c>
      <c r="X334" s="705">
        <f t="shared" si="25"/>
        <v>16383</v>
      </c>
      <c r="Y334" s="705"/>
      <c r="AA334" t="s">
        <v>122</v>
      </c>
      <c r="AB334" t="s">
        <v>665</v>
      </c>
      <c r="AC334" s="705" t="s">
        <v>722</v>
      </c>
      <c r="AD334" s="705">
        <v>2</v>
      </c>
      <c r="AE334" s="705">
        <v>114</v>
      </c>
      <c r="AF334" s="705">
        <v>894</v>
      </c>
      <c r="AG334" s="705">
        <v>27934</v>
      </c>
      <c r="AH334" s="705">
        <v>25394</v>
      </c>
      <c r="AI334" s="706">
        <v>45</v>
      </c>
      <c r="AJ334" s="705">
        <v>5743</v>
      </c>
      <c r="AK334" s="705">
        <v>3550</v>
      </c>
      <c r="AL334" s="705">
        <v>1769</v>
      </c>
      <c r="AM334" s="705">
        <v>655</v>
      </c>
      <c r="AN334" s="705">
        <v>702</v>
      </c>
      <c r="AO334" s="705">
        <v>260</v>
      </c>
      <c r="AP334" s="705">
        <v>10855</v>
      </c>
      <c r="AQ334" s="705">
        <v>9869</v>
      </c>
      <c r="AR334" s="705">
        <v>4146</v>
      </c>
      <c r="AS334" s="705">
        <v>1536</v>
      </c>
      <c r="AT334" s="705">
        <v>41264</v>
      </c>
      <c r="AU334" s="705">
        <f t="shared" si="26"/>
        <v>41264</v>
      </c>
      <c r="AV334" s="705">
        <f t="shared" si="27"/>
        <v>51149</v>
      </c>
    </row>
    <row r="335" spans="2:48" hidden="1">
      <c r="B335" t="s">
        <v>537</v>
      </c>
      <c r="C335" t="s">
        <v>114</v>
      </c>
      <c r="D335" t="s">
        <v>584</v>
      </c>
      <c r="E335" t="s">
        <v>584</v>
      </c>
      <c r="F335" s="705">
        <v>3776</v>
      </c>
      <c r="G335" s="705">
        <v>401688</v>
      </c>
      <c r="H335" s="705">
        <v>529642</v>
      </c>
      <c r="I335" s="705">
        <v>25595742</v>
      </c>
      <c r="J335" s="705">
        <v>23268856</v>
      </c>
      <c r="K335" s="705">
        <v>86</v>
      </c>
      <c r="L335" s="705">
        <v>5839354</v>
      </c>
      <c r="M335" s="705">
        <v>5030306</v>
      </c>
      <c r="N335" s="705">
        <v>7653528</v>
      </c>
      <c r="O335" s="705">
        <v>2834640</v>
      </c>
      <c r="P335" s="705">
        <v>1827822</v>
      </c>
      <c r="Q335" s="705">
        <v>676971</v>
      </c>
      <c r="R335" s="705">
        <v>15992146</v>
      </c>
      <c r="S335" s="705">
        <v>14538314</v>
      </c>
      <c r="T335" s="705">
        <v>165045</v>
      </c>
      <c r="U335" s="705">
        <v>61128</v>
      </c>
      <c r="V335" s="705">
        <v>46410215</v>
      </c>
      <c r="W335" s="705">
        <f t="shared" si="24"/>
        <v>46410215</v>
      </c>
      <c r="X335" s="705">
        <f t="shared" si="25"/>
        <v>57073637</v>
      </c>
      <c r="Y335" s="705"/>
      <c r="AA335" t="s">
        <v>122</v>
      </c>
      <c r="AB335" t="s">
        <v>673</v>
      </c>
      <c r="AC335" s="705" t="s">
        <v>673</v>
      </c>
      <c r="AD335" s="705">
        <v>16</v>
      </c>
      <c r="AE335" s="705">
        <v>1118</v>
      </c>
      <c r="AF335" s="705">
        <v>6614</v>
      </c>
      <c r="AG335" s="705">
        <v>295428</v>
      </c>
      <c r="AH335" s="705">
        <v>268570</v>
      </c>
      <c r="AI335" s="706">
        <v>60</v>
      </c>
      <c r="AJ335" s="705">
        <v>37117</v>
      </c>
      <c r="AK335" s="705">
        <v>30136</v>
      </c>
      <c r="AL335" s="705">
        <v>20328</v>
      </c>
      <c r="AM335" s="705">
        <v>7529</v>
      </c>
      <c r="AN335" s="705">
        <v>5738</v>
      </c>
      <c r="AO335" s="705">
        <v>2125</v>
      </c>
      <c r="AP335" s="705">
        <v>78142</v>
      </c>
      <c r="AQ335" s="705">
        <v>71038</v>
      </c>
      <c r="AR335" s="705">
        <v>29854</v>
      </c>
      <c r="AS335" s="705">
        <v>11057</v>
      </c>
      <c r="AT335" s="705">
        <v>390455</v>
      </c>
      <c r="AU335" s="705">
        <f t="shared" si="26"/>
        <v>390455</v>
      </c>
      <c r="AV335" s="705">
        <f t="shared" si="27"/>
        <v>466607</v>
      </c>
    </row>
    <row r="336" spans="2:48" hidden="1">
      <c r="B336" t="s">
        <v>537</v>
      </c>
      <c r="C336" t="s">
        <v>114</v>
      </c>
      <c r="D336" t="s">
        <v>665</v>
      </c>
      <c r="E336" t="s">
        <v>665</v>
      </c>
      <c r="F336">
        <v>1</v>
      </c>
      <c r="G336" s="705">
        <v>117</v>
      </c>
      <c r="H336" s="705">
        <v>131</v>
      </c>
      <c r="I336" s="705">
        <v>9917</v>
      </c>
      <c r="J336" s="705">
        <v>9015</v>
      </c>
      <c r="K336">
        <v>77</v>
      </c>
      <c r="L336" s="705">
        <v>0</v>
      </c>
      <c r="M336" s="705">
        <v>0</v>
      </c>
      <c r="N336" s="705">
        <v>1429</v>
      </c>
      <c r="O336" s="705">
        <v>529</v>
      </c>
      <c r="P336" s="705">
        <v>351</v>
      </c>
      <c r="Q336" s="705">
        <v>130</v>
      </c>
      <c r="R336" s="705">
        <v>3712</v>
      </c>
      <c r="S336" s="705">
        <v>3375</v>
      </c>
      <c r="T336" s="705">
        <v>0</v>
      </c>
      <c r="U336" s="705">
        <v>0</v>
      </c>
      <c r="V336" s="705">
        <v>13049</v>
      </c>
      <c r="W336" s="705">
        <f t="shared" si="24"/>
        <v>13049</v>
      </c>
      <c r="X336" s="705">
        <f t="shared" si="25"/>
        <v>15409</v>
      </c>
      <c r="Y336" s="705"/>
      <c r="AA336" t="s">
        <v>122</v>
      </c>
      <c r="AB336" t="s">
        <v>585</v>
      </c>
      <c r="AC336" s="705" t="s">
        <v>228</v>
      </c>
      <c r="AD336" s="705">
        <v>1</v>
      </c>
      <c r="AE336" s="705">
        <v>78</v>
      </c>
      <c r="AF336" s="705">
        <v>432</v>
      </c>
      <c r="AG336" s="705">
        <v>27424</v>
      </c>
      <c r="AH336" s="705">
        <v>24931</v>
      </c>
      <c r="AI336" s="706">
        <v>65</v>
      </c>
      <c r="AJ336" s="705">
        <v>0</v>
      </c>
      <c r="AK336" s="705">
        <v>0</v>
      </c>
      <c r="AL336" s="705">
        <v>1080</v>
      </c>
      <c r="AM336" s="705">
        <v>400</v>
      </c>
      <c r="AN336" s="705">
        <v>0</v>
      </c>
      <c r="AO336" s="705">
        <v>0</v>
      </c>
      <c r="AP336" s="705">
        <v>5123</v>
      </c>
      <c r="AQ336" s="705">
        <v>1897</v>
      </c>
      <c r="AR336" s="705">
        <v>0</v>
      </c>
      <c r="AS336" s="705">
        <v>0</v>
      </c>
      <c r="AT336" s="705">
        <v>27228</v>
      </c>
      <c r="AU336" s="705">
        <f t="shared" si="26"/>
        <v>27228</v>
      </c>
      <c r="AV336" s="705">
        <f t="shared" si="27"/>
        <v>33627</v>
      </c>
    </row>
    <row r="337" spans="2:48" hidden="1">
      <c r="B337" t="s">
        <v>537</v>
      </c>
      <c r="C337" t="s">
        <v>114</v>
      </c>
      <c r="D337" t="s">
        <v>585</v>
      </c>
      <c r="E337" t="s">
        <v>585</v>
      </c>
      <c r="F337" s="705">
        <v>2</v>
      </c>
      <c r="G337" s="705">
        <v>198</v>
      </c>
      <c r="H337" s="705">
        <v>285</v>
      </c>
      <c r="I337" s="705">
        <v>13410</v>
      </c>
      <c r="J337" s="705">
        <v>12191</v>
      </c>
      <c r="K337" s="705">
        <v>78</v>
      </c>
      <c r="L337" s="705">
        <v>2230</v>
      </c>
      <c r="M337" s="705">
        <v>2473</v>
      </c>
      <c r="N337" s="705">
        <v>3813</v>
      </c>
      <c r="O337" s="705">
        <v>1412</v>
      </c>
      <c r="P337" s="705">
        <v>702</v>
      </c>
      <c r="Q337" s="705">
        <v>260</v>
      </c>
      <c r="R337" s="705">
        <v>7983</v>
      </c>
      <c r="S337" s="705">
        <v>7257</v>
      </c>
      <c r="T337" s="705">
        <v>0</v>
      </c>
      <c r="U337" s="705">
        <v>0</v>
      </c>
      <c r="V337" s="705">
        <v>23593</v>
      </c>
      <c r="W337" s="705">
        <f t="shared" si="24"/>
        <v>23593</v>
      </c>
      <c r="X337" s="705">
        <f t="shared" si="25"/>
        <v>28138</v>
      </c>
      <c r="Y337" s="705"/>
      <c r="AA337" t="s">
        <v>122</v>
      </c>
      <c r="AB337" t="s">
        <v>585</v>
      </c>
      <c r="AC337" s="705" t="s">
        <v>585</v>
      </c>
      <c r="AD337" s="705">
        <v>18</v>
      </c>
      <c r="AE337" s="705">
        <v>1808</v>
      </c>
      <c r="AF337" s="705">
        <v>7421</v>
      </c>
      <c r="AG337" s="705">
        <v>474985</v>
      </c>
      <c r="AH337" s="705">
        <v>431805</v>
      </c>
      <c r="AI337" s="706">
        <v>75</v>
      </c>
      <c r="AJ337" s="705">
        <v>113935</v>
      </c>
      <c r="AK337" s="705">
        <v>98944</v>
      </c>
      <c r="AL337" s="705">
        <v>36089</v>
      </c>
      <c r="AM337" s="705">
        <v>13366</v>
      </c>
      <c r="AN337" s="705">
        <v>6318</v>
      </c>
      <c r="AO337" s="705">
        <v>2340</v>
      </c>
      <c r="AP337" s="705">
        <v>91503</v>
      </c>
      <c r="AQ337" s="705">
        <v>83184</v>
      </c>
      <c r="AR337" s="705">
        <v>17031</v>
      </c>
      <c r="AS337" s="705">
        <v>6308</v>
      </c>
      <c r="AT337" s="705">
        <v>635947</v>
      </c>
      <c r="AU337" s="705">
        <f t="shared" si="26"/>
        <v>635947</v>
      </c>
      <c r="AV337" s="705">
        <f t="shared" si="27"/>
        <v>739861</v>
      </c>
    </row>
    <row r="338" spans="2:48" hidden="1">
      <c r="B338" t="s">
        <v>537</v>
      </c>
      <c r="C338" t="s">
        <v>114</v>
      </c>
      <c r="D338" t="s">
        <v>668</v>
      </c>
      <c r="E338" t="s">
        <v>668</v>
      </c>
      <c r="F338">
        <v>1</v>
      </c>
      <c r="G338" s="705">
        <v>101</v>
      </c>
      <c r="H338" s="705">
        <v>139</v>
      </c>
      <c r="I338" s="705">
        <v>7920</v>
      </c>
      <c r="J338" s="705">
        <v>7200</v>
      </c>
      <c r="K338">
        <v>65</v>
      </c>
      <c r="L338" s="705">
        <v>880</v>
      </c>
      <c r="M338" s="705">
        <v>800</v>
      </c>
      <c r="N338" s="705">
        <v>1752</v>
      </c>
      <c r="O338" s="705">
        <v>649</v>
      </c>
      <c r="P338" s="705">
        <v>2045</v>
      </c>
      <c r="Q338" s="705">
        <v>757</v>
      </c>
      <c r="R338" s="705">
        <v>1494</v>
      </c>
      <c r="S338" s="705">
        <v>1358</v>
      </c>
      <c r="T338" s="705">
        <v>0</v>
      </c>
      <c r="U338" s="705">
        <v>0</v>
      </c>
      <c r="V338" s="705">
        <v>10765</v>
      </c>
      <c r="W338" s="705">
        <f t="shared" si="24"/>
        <v>10764</v>
      </c>
      <c r="X338" s="705">
        <f t="shared" si="25"/>
        <v>14091</v>
      </c>
      <c r="Y338" s="705"/>
      <c r="AA338" t="s">
        <v>122</v>
      </c>
      <c r="AB338" t="s">
        <v>668</v>
      </c>
      <c r="AC338" s="705" t="s">
        <v>668</v>
      </c>
      <c r="AD338" s="705">
        <v>1</v>
      </c>
      <c r="AE338" s="705">
        <v>85</v>
      </c>
      <c r="AF338" s="705">
        <v>416</v>
      </c>
      <c r="AG338" s="705">
        <v>27473</v>
      </c>
      <c r="AH338" s="705">
        <v>24976</v>
      </c>
      <c r="AI338" s="706">
        <v>65</v>
      </c>
      <c r="AJ338" s="705">
        <v>0</v>
      </c>
      <c r="AK338" s="705">
        <v>0</v>
      </c>
      <c r="AL338" s="705">
        <v>1905</v>
      </c>
      <c r="AM338" s="705">
        <v>706</v>
      </c>
      <c r="AN338" s="705">
        <v>351</v>
      </c>
      <c r="AO338" s="705">
        <v>130</v>
      </c>
      <c r="AP338" s="705">
        <v>3649</v>
      </c>
      <c r="AQ338" s="705">
        <v>3318</v>
      </c>
      <c r="AR338" s="705">
        <v>1781</v>
      </c>
      <c r="AS338" s="705">
        <v>660</v>
      </c>
      <c r="AT338" s="705">
        <v>29789</v>
      </c>
      <c r="AU338" s="705">
        <f t="shared" si="26"/>
        <v>29790</v>
      </c>
      <c r="AV338" s="705">
        <f t="shared" si="27"/>
        <v>35159</v>
      </c>
    </row>
    <row r="339" spans="2:48">
      <c r="B339" t="s">
        <v>537</v>
      </c>
      <c r="C339" t="s">
        <v>116</v>
      </c>
      <c r="F339" s="705">
        <v>47</v>
      </c>
      <c r="G339" s="705">
        <v>3075</v>
      </c>
      <c r="H339" s="705">
        <v>8677</v>
      </c>
      <c r="I339" s="705"/>
      <c r="J339" s="705">
        <v>0</v>
      </c>
      <c r="L339" s="705"/>
      <c r="M339" s="705">
        <v>0</v>
      </c>
      <c r="N339" s="705">
        <v>60064</v>
      </c>
      <c r="O339" s="705">
        <v>22246</v>
      </c>
      <c r="P339" s="705">
        <v>15687</v>
      </c>
      <c r="Q339" s="705">
        <v>5810</v>
      </c>
      <c r="R339" s="705"/>
      <c r="S339" s="705">
        <v>0</v>
      </c>
      <c r="T339" s="705">
        <v>12277</v>
      </c>
      <c r="U339" s="705">
        <v>4547</v>
      </c>
      <c r="V339" s="705">
        <v>32603</v>
      </c>
      <c r="W339" s="705">
        <f t="shared" si="24"/>
        <v>32603</v>
      </c>
      <c r="X339" s="705">
        <f t="shared" si="25"/>
        <v>88028</v>
      </c>
      <c r="Y339" s="705"/>
      <c r="AA339" t="s">
        <v>124</v>
      </c>
      <c r="AC339" s="705"/>
      <c r="AD339" s="705">
        <v>59</v>
      </c>
      <c r="AE339" s="705">
        <v>5477</v>
      </c>
      <c r="AF339" s="705">
        <v>32969</v>
      </c>
      <c r="AG339" s="705"/>
      <c r="AH339" s="705">
        <v>0</v>
      </c>
      <c r="AI339" s="706"/>
      <c r="AJ339" s="705"/>
      <c r="AK339" s="705">
        <v>0</v>
      </c>
      <c r="AL339" s="705">
        <v>116435</v>
      </c>
      <c r="AM339" s="705">
        <v>43124</v>
      </c>
      <c r="AN339" s="705">
        <v>24680</v>
      </c>
      <c r="AO339" s="705">
        <v>9141</v>
      </c>
      <c r="AP339" s="705"/>
      <c r="AQ339" s="705">
        <v>0</v>
      </c>
      <c r="AR339" s="705">
        <v>30340</v>
      </c>
      <c r="AS339" s="705">
        <v>11237</v>
      </c>
      <c r="AT339" s="705">
        <v>63502</v>
      </c>
      <c r="AU339" s="705">
        <f t="shared" si="26"/>
        <v>63502</v>
      </c>
      <c r="AV339" s="705">
        <f t="shared" si="27"/>
        <v>171455</v>
      </c>
    </row>
    <row r="340" spans="2:48">
      <c r="B340" t="s">
        <v>537</v>
      </c>
      <c r="C340" t="s">
        <v>116</v>
      </c>
      <c r="D340" t="s">
        <v>664</v>
      </c>
      <c r="E340" t="s">
        <v>664</v>
      </c>
      <c r="F340">
        <v>7</v>
      </c>
      <c r="G340" s="705">
        <v>811</v>
      </c>
      <c r="H340" s="705">
        <v>1314</v>
      </c>
      <c r="I340" s="705">
        <v>81740</v>
      </c>
      <c r="J340" s="705">
        <v>74309</v>
      </c>
      <c r="K340" s="705">
        <v>86</v>
      </c>
      <c r="L340" s="705">
        <v>18443</v>
      </c>
      <c r="M340" s="705">
        <v>15490</v>
      </c>
      <c r="N340" s="705">
        <v>16506</v>
      </c>
      <c r="O340" s="705">
        <v>6113</v>
      </c>
      <c r="P340" s="705">
        <v>3308</v>
      </c>
      <c r="Q340" s="705">
        <v>1225</v>
      </c>
      <c r="R340" s="705">
        <v>33188</v>
      </c>
      <c r="S340" s="705">
        <v>30171</v>
      </c>
      <c r="T340" s="705">
        <v>2201</v>
      </c>
      <c r="U340" s="705">
        <v>815</v>
      </c>
      <c r="V340" s="705">
        <v>128124</v>
      </c>
      <c r="W340" s="705">
        <f t="shared" si="24"/>
        <v>128123</v>
      </c>
      <c r="X340" s="705">
        <f t="shared" si="25"/>
        <v>155386</v>
      </c>
      <c r="Y340" s="705"/>
      <c r="AA340" t="s">
        <v>124</v>
      </c>
      <c r="AB340" t="s">
        <v>674</v>
      </c>
      <c r="AC340" s="705" t="s">
        <v>674</v>
      </c>
      <c r="AD340" s="705">
        <v>4</v>
      </c>
      <c r="AE340" s="705">
        <v>314</v>
      </c>
      <c r="AF340" s="705">
        <v>2229</v>
      </c>
      <c r="AG340" s="705">
        <v>129957</v>
      </c>
      <c r="AH340" s="705">
        <v>118143</v>
      </c>
      <c r="AI340" s="706">
        <v>48</v>
      </c>
      <c r="AJ340" s="705">
        <v>13954</v>
      </c>
      <c r="AK340" s="705">
        <v>15537</v>
      </c>
      <c r="AL340" s="705">
        <v>5681</v>
      </c>
      <c r="AM340" s="705">
        <v>2104</v>
      </c>
      <c r="AN340" s="705">
        <v>1053</v>
      </c>
      <c r="AO340" s="705">
        <v>390</v>
      </c>
      <c r="AP340" s="705">
        <v>21502</v>
      </c>
      <c r="AQ340" s="705">
        <v>19547</v>
      </c>
      <c r="AR340" s="705">
        <v>5646</v>
      </c>
      <c r="AS340" s="705">
        <v>2091</v>
      </c>
      <c r="AT340" s="705">
        <v>157812</v>
      </c>
      <c r="AU340" s="705">
        <f t="shared" si="26"/>
        <v>157812</v>
      </c>
      <c r="AV340" s="705">
        <f t="shared" si="27"/>
        <v>177793</v>
      </c>
    </row>
    <row r="341" spans="2:48">
      <c r="B341" t="s">
        <v>537</v>
      </c>
      <c r="C341" t="s">
        <v>116</v>
      </c>
      <c r="D341" t="s">
        <v>664</v>
      </c>
      <c r="E341" t="s">
        <v>583</v>
      </c>
      <c r="F341">
        <v>2</v>
      </c>
      <c r="G341" s="705">
        <v>232</v>
      </c>
      <c r="H341" s="705">
        <v>431</v>
      </c>
      <c r="I341" s="705">
        <v>28275</v>
      </c>
      <c r="J341" s="705">
        <v>25705</v>
      </c>
      <c r="K341" s="705">
        <v>70</v>
      </c>
      <c r="L341" s="705">
        <v>4739</v>
      </c>
      <c r="M341" s="705">
        <v>4106</v>
      </c>
      <c r="N341" s="705">
        <v>3235</v>
      </c>
      <c r="O341" s="705">
        <v>1198</v>
      </c>
      <c r="P341" s="705">
        <v>1242</v>
      </c>
      <c r="Q341" s="705">
        <v>460</v>
      </c>
      <c r="R341" s="705">
        <v>12719</v>
      </c>
      <c r="S341" s="705">
        <v>11562</v>
      </c>
      <c r="T341" s="705">
        <v>0</v>
      </c>
      <c r="U341" s="705">
        <v>0</v>
      </c>
      <c r="V341" s="705">
        <v>43031</v>
      </c>
      <c r="W341" s="705">
        <f t="shared" si="24"/>
        <v>43031</v>
      </c>
      <c r="X341" s="705">
        <f t="shared" si="25"/>
        <v>50210</v>
      </c>
      <c r="Y341" s="705"/>
      <c r="AA341" t="s">
        <v>124</v>
      </c>
      <c r="AB341" t="s">
        <v>674</v>
      </c>
      <c r="AC341" s="705" t="s">
        <v>228</v>
      </c>
      <c r="AD341" s="705">
        <v>1</v>
      </c>
      <c r="AE341" s="705">
        <v>50</v>
      </c>
      <c r="AF341" s="705">
        <v>646</v>
      </c>
      <c r="AG341" s="705">
        <v>13612</v>
      </c>
      <c r="AH341" s="705">
        <v>12375</v>
      </c>
      <c r="AI341" s="706">
        <v>55</v>
      </c>
      <c r="AJ341" s="705">
        <v>2042</v>
      </c>
      <c r="AK341" s="705">
        <v>756</v>
      </c>
      <c r="AL341" s="705">
        <v>1090</v>
      </c>
      <c r="AM341" s="705">
        <v>404</v>
      </c>
      <c r="AN341" s="705">
        <v>351</v>
      </c>
      <c r="AO341" s="705">
        <v>130</v>
      </c>
      <c r="AP341" s="705">
        <v>15347</v>
      </c>
      <c r="AQ341" s="705">
        <v>5684</v>
      </c>
      <c r="AR341" s="705">
        <v>0</v>
      </c>
      <c r="AS341" s="705">
        <v>0</v>
      </c>
      <c r="AT341" s="705">
        <v>19349</v>
      </c>
      <c r="AU341" s="705">
        <f t="shared" si="26"/>
        <v>19349</v>
      </c>
      <c r="AV341" s="705">
        <f t="shared" si="27"/>
        <v>32442</v>
      </c>
    </row>
    <row r="342" spans="2:48">
      <c r="B342" t="s">
        <v>537</v>
      </c>
      <c r="C342" t="s">
        <v>116</v>
      </c>
      <c r="D342" t="s">
        <v>664</v>
      </c>
      <c r="E342" t="s">
        <v>584</v>
      </c>
      <c r="F342" s="705">
        <v>1</v>
      </c>
      <c r="G342" s="705">
        <v>83</v>
      </c>
      <c r="H342" s="705">
        <v>215</v>
      </c>
      <c r="I342" s="705">
        <v>7143</v>
      </c>
      <c r="J342" s="705">
        <v>6494</v>
      </c>
      <c r="K342" s="705">
        <v>90</v>
      </c>
      <c r="L342" s="705">
        <v>2476</v>
      </c>
      <c r="M342" s="705">
        <v>2064</v>
      </c>
      <c r="N342" s="705">
        <v>1718</v>
      </c>
      <c r="O342" s="705">
        <v>636</v>
      </c>
      <c r="P342" s="705">
        <v>473</v>
      </c>
      <c r="Q342" s="705">
        <v>175</v>
      </c>
      <c r="R342" s="705">
        <v>3525</v>
      </c>
      <c r="S342" s="705">
        <v>3204</v>
      </c>
      <c r="T342" s="705">
        <v>2568</v>
      </c>
      <c r="U342" s="705">
        <v>951</v>
      </c>
      <c r="V342" s="705">
        <v>13524</v>
      </c>
      <c r="W342" s="705">
        <f t="shared" si="24"/>
        <v>13524</v>
      </c>
      <c r="X342" s="705">
        <f t="shared" si="25"/>
        <v>17903</v>
      </c>
      <c r="Y342" s="705"/>
      <c r="AA342" t="s">
        <v>124</v>
      </c>
      <c r="AB342" t="s">
        <v>674</v>
      </c>
      <c r="AC342" s="705" t="s">
        <v>669</v>
      </c>
      <c r="AD342" s="705">
        <v>1</v>
      </c>
      <c r="AE342" s="705">
        <v>71</v>
      </c>
      <c r="AF342" s="705">
        <v>1246</v>
      </c>
      <c r="AG342" s="705">
        <v>68073</v>
      </c>
      <c r="AH342" s="705">
        <v>61885</v>
      </c>
      <c r="AI342" s="706">
        <v>30</v>
      </c>
      <c r="AJ342" s="705">
        <v>7564</v>
      </c>
      <c r="AK342" s="705">
        <v>6876</v>
      </c>
      <c r="AL342" s="705">
        <v>971</v>
      </c>
      <c r="AM342" s="705">
        <v>360</v>
      </c>
      <c r="AN342" s="705">
        <v>0</v>
      </c>
      <c r="AO342" s="705">
        <v>0</v>
      </c>
      <c r="AP342" s="705">
        <v>12066</v>
      </c>
      <c r="AQ342" s="705">
        <v>10055</v>
      </c>
      <c r="AR342" s="705">
        <v>0</v>
      </c>
      <c r="AS342" s="705">
        <v>0</v>
      </c>
      <c r="AT342" s="705">
        <v>79176</v>
      </c>
      <c r="AU342" s="705">
        <f t="shared" si="26"/>
        <v>79176</v>
      </c>
      <c r="AV342" s="705">
        <f t="shared" si="27"/>
        <v>88674</v>
      </c>
    </row>
    <row r="343" spans="2:48">
      <c r="B343" t="s">
        <v>537</v>
      </c>
      <c r="C343" t="s">
        <v>116</v>
      </c>
      <c r="D343" t="s">
        <v>582</v>
      </c>
      <c r="E343" t="s">
        <v>664</v>
      </c>
      <c r="F343" s="705">
        <v>2</v>
      </c>
      <c r="G343" s="705">
        <v>267</v>
      </c>
      <c r="H343" s="705">
        <v>333</v>
      </c>
      <c r="I343" s="705">
        <v>22311</v>
      </c>
      <c r="J343" s="705">
        <v>20283</v>
      </c>
      <c r="K343" s="705">
        <v>78</v>
      </c>
      <c r="L343" s="705">
        <v>6256</v>
      </c>
      <c r="M343" s="705">
        <v>5687</v>
      </c>
      <c r="N343" s="705">
        <v>4847</v>
      </c>
      <c r="O343" s="705">
        <v>1795</v>
      </c>
      <c r="P343" s="705">
        <v>824</v>
      </c>
      <c r="Q343" s="705">
        <v>305</v>
      </c>
      <c r="R343" s="705">
        <v>10413</v>
      </c>
      <c r="S343" s="705">
        <v>9466</v>
      </c>
      <c r="T343" s="705">
        <v>0</v>
      </c>
      <c r="U343" s="705">
        <v>0</v>
      </c>
      <c r="V343" s="705">
        <v>37536</v>
      </c>
      <c r="W343" s="705">
        <f t="shared" si="24"/>
        <v>37536</v>
      </c>
      <c r="X343" s="705">
        <f t="shared" si="25"/>
        <v>44651</v>
      </c>
      <c r="Y343" s="705"/>
      <c r="AA343" t="s">
        <v>124</v>
      </c>
      <c r="AB343" t="s">
        <v>664</v>
      </c>
      <c r="AC343" s="705" t="s">
        <v>664</v>
      </c>
      <c r="AD343" s="705">
        <v>16</v>
      </c>
      <c r="AE343" s="705">
        <v>1404</v>
      </c>
      <c r="AF343" s="705">
        <v>8444</v>
      </c>
      <c r="AG343" s="705">
        <v>500829</v>
      </c>
      <c r="AH343" s="705">
        <v>455299</v>
      </c>
      <c r="AI343" s="706">
        <v>71</v>
      </c>
      <c r="AJ343" s="705">
        <v>122680</v>
      </c>
      <c r="AK343" s="705">
        <v>107515</v>
      </c>
      <c r="AL343" s="705">
        <v>30547</v>
      </c>
      <c r="AM343" s="705">
        <v>11314</v>
      </c>
      <c r="AN343" s="705">
        <v>7074</v>
      </c>
      <c r="AO343" s="705">
        <v>2620</v>
      </c>
      <c r="AP343" s="705">
        <v>79958</v>
      </c>
      <c r="AQ343" s="705">
        <v>72689</v>
      </c>
      <c r="AR343" s="705">
        <v>15489</v>
      </c>
      <c r="AS343" s="705">
        <v>5737</v>
      </c>
      <c r="AT343" s="705">
        <v>655174</v>
      </c>
      <c r="AU343" s="705">
        <f t="shared" si="26"/>
        <v>655174</v>
      </c>
      <c r="AV343" s="705">
        <f t="shared" si="27"/>
        <v>756577</v>
      </c>
    </row>
    <row r="344" spans="2:48">
      <c r="B344" t="s">
        <v>537</v>
      </c>
      <c r="C344" t="s">
        <v>116</v>
      </c>
      <c r="D344" t="s">
        <v>582</v>
      </c>
      <c r="E344" t="s">
        <v>582</v>
      </c>
      <c r="F344" s="705">
        <v>279</v>
      </c>
      <c r="G344" s="705">
        <v>29310</v>
      </c>
      <c r="H344" s="705">
        <v>49493</v>
      </c>
      <c r="I344" s="705">
        <v>2486227</v>
      </c>
      <c r="J344" s="705">
        <v>2260206</v>
      </c>
      <c r="K344" s="705">
        <v>82</v>
      </c>
      <c r="L344" s="705">
        <v>642868</v>
      </c>
      <c r="M344" s="705">
        <v>562863</v>
      </c>
      <c r="N344" s="705">
        <v>621636</v>
      </c>
      <c r="O344" s="705">
        <v>230235</v>
      </c>
      <c r="P344" s="705">
        <v>131976</v>
      </c>
      <c r="Q344" s="705">
        <v>48880</v>
      </c>
      <c r="R344" s="705">
        <v>1263893</v>
      </c>
      <c r="S344" s="705">
        <v>1148993</v>
      </c>
      <c r="T344" s="705">
        <v>73527</v>
      </c>
      <c r="U344" s="705">
        <v>27232</v>
      </c>
      <c r="V344" s="705">
        <v>4278410</v>
      </c>
      <c r="W344" s="705">
        <f t="shared" si="24"/>
        <v>4278409</v>
      </c>
      <c r="X344" s="705">
        <f t="shared" si="25"/>
        <v>5220127</v>
      </c>
      <c r="Y344" s="705"/>
      <c r="AA344" t="s">
        <v>124</v>
      </c>
      <c r="AB344" t="s">
        <v>664</v>
      </c>
      <c r="AC344" s="705" t="s">
        <v>582</v>
      </c>
      <c r="AD344" s="705">
        <v>1</v>
      </c>
      <c r="AE344" s="705">
        <v>54</v>
      </c>
      <c r="AF344" s="705">
        <v>544</v>
      </c>
      <c r="AG344" s="705">
        <v>19559</v>
      </c>
      <c r="AH344" s="705">
        <v>17781</v>
      </c>
      <c r="AI344" s="706">
        <v>75</v>
      </c>
      <c r="AJ344" s="705">
        <v>2829</v>
      </c>
      <c r="AK344" s="705">
        <v>2572</v>
      </c>
      <c r="AL344" s="705">
        <v>1328</v>
      </c>
      <c r="AM344" s="705">
        <v>492</v>
      </c>
      <c r="AN344" s="705">
        <v>473</v>
      </c>
      <c r="AO344" s="705">
        <v>175</v>
      </c>
      <c r="AP344" s="705">
        <v>5456</v>
      </c>
      <c r="AQ344" s="705">
        <v>4960</v>
      </c>
      <c r="AR344" s="705">
        <v>0</v>
      </c>
      <c r="AS344" s="705">
        <v>0</v>
      </c>
      <c r="AT344" s="705">
        <v>25979</v>
      </c>
      <c r="AU344" s="705">
        <f t="shared" si="26"/>
        <v>25980</v>
      </c>
      <c r="AV344" s="705">
        <f t="shared" si="27"/>
        <v>29645</v>
      </c>
    </row>
    <row r="345" spans="2:48">
      <c r="B345" t="s">
        <v>537</v>
      </c>
      <c r="C345" t="s">
        <v>116</v>
      </c>
      <c r="D345" t="s">
        <v>582</v>
      </c>
      <c r="E345" t="s">
        <v>584</v>
      </c>
      <c r="F345">
        <v>2</v>
      </c>
      <c r="G345" s="705">
        <v>182</v>
      </c>
      <c r="H345" s="705">
        <v>418</v>
      </c>
      <c r="I345" s="705">
        <v>18913</v>
      </c>
      <c r="J345" s="705">
        <v>17194</v>
      </c>
      <c r="K345" s="705">
        <v>85</v>
      </c>
      <c r="L345" s="705">
        <v>5731</v>
      </c>
      <c r="M345" s="705">
        <v>5210</v>
      </c>
      <c r="N345" s="705">
        <v>3231</v>
      </c>
      <c r="O345" s="705">
        <v>1197</v>
      </c>
      <c r="P345" s="705">
        <v>945</v>
      </c>
      <c r="Q345" s="705">
        <v>350</v>
      </c>
      <c r="R345" s="705">
        <v>9238</v>
      </c>
      <c r="S345" s="705">
        <v>8398</v>
      </c>
      <c r="T345" s="705">
        <v>0</v>
      </c>
      <c r="U345" s="705">
        <v>0</v>
      </c>
      <c r="V345" s="705">
        <v>32348</v>
      </c>
      <c r="W345" s="705">
        <f t="shared" si="24"/>
        <v>32349</v>
      </c>
      <c r="X345" s="705">
        <f t="shared" si="25"/>
        <v>38058</v>
      </c>
      <c r="Y345" s="705"/>
      <c r="AA345" t="s">
        <v>124</v>
      </c>
      <c r="AB345" t="s">
        <v>664</v>
      </c>
      <c r="AC345" s="705" t="s">
        <v>228</v>
      </c>
      <c r="AD345" s="705">
        <v>6</v>
      </c>
      <c r="AE345" s="705">
        <v>526</v>
      </c>
      <c r="AF345" s="705">
        <v>3404</v>
      </c>
      <c r="AG345" s="705">
        <v>178674</v>
      </c>
      <c r="AH345" s="705">
        <v>162431</v>
      </c>
      <c r="AI345" s="706">
        <v>63</v>
      </c>
      <c r="AJ345" s="705">
        <v>37805</v>
      </c>
      <c r="AK345" s="705">
        <v>32655</v>
      </c>
      <c r="AL345" s="705">
        <v>11476</v>
      </c>
      <c r="AM345" s="705">
        <v>4250</v>
      </c>
      <c r="AN345" s="705">
        <v>1175</v>
      </c>
      <c r="AO345" s="705">
        <v>435</v>
      </c>
      <c r="AP345" s="705">
        <v>62996</v>
      </c>
      <c r="AQ345" s="705">
        <v>23332</v>
      </c>
      <c r="AR345" s="705">
        <v>0</v>
      </c>
      <c r="AS345" s="705">
        <v>0</v>
      </c>
      <c r="AT345" s="705">
        <v>223103</v>
      </c>
      <c r="AU345" s="705">
        <f t="shared" si="26"/>
        <v>223103</v>
      </c>
      <c r="AV345" s="705">
        <f t="shared" si="27"/>
        <v>292126</v>
      </c>
    </row>
    <row r="346" spans="2:48">
      <c r="B346" t="s">
        <v>537</v>
      </c>
      <c r="C346" t="s">
        <v>116</v>
      </c>
      <c r="D346" t="s">
        <v>228</v>
      </c>
      <c r="E346" t="s">
        <v>228</v>
      </c>
      <c r="F346">
        <v>356</v>
      </c>
      <c r="G346" s="705">
        <v>33513</v>
      </c>
      <c r="H346" s="705">
        <v>70990</v>
      </c>
      <c r="I346" s="705">
        <v>3177211</v>
      </c>
      <c r="J346" s="705">
        <v>1176745</v>
      </c>
      <c r="K346" s="705">
        <v>153</v>
      </c>
      <c r="L346" s="705">
        <v>529153</v>
      </c>
      <c r="M346" s="705">
        <v>332056</v>
      </c>
      <c r="N346" s="705">
        <v>617500</v>
      </c>
      <c r="O346" s="705">
        <v>228704</v>
      </c>
      <c r="P346" s="705">
        <v>31818</v>
      </c>
      <c r="Q346" s="705">
        <v>11784</v>
      </c>
      <c r="R346" s="705">
        <v>2460563</v>
      </c>
      <c r="S346" s="705">
        <v>911320</v>
      </c>
      <c r="T346" s="705">
        <v>7731</v>
      </c>
      <c r="U346" s="705">
        <v>2863</v>
      </c>
      <c r="V346" s="705">
        <v>2663472</v>
      </c>
      <c r="W346" s="705">
        <f t="shared" si="24"/>
        <v>2663472</v>
      </c>
      <c r="X346" s="705">
        <f t="shared" si="25"/>
        <v>6823976</v>
      </c>
      <c r="Y346" s="705"/>
      <c r="AA346" t="s">
        <v>124</v>
      </c>
      <c r="AB346" t="s">
        <v>664</v>
      </c>
      <c r="AC346" s="705" t="s">
        <v>583</v>
      </c>
      <c r="AD346" s="705">
        <v>2</v>
      </c>
      <c r="AE346" s="705">
        <v>304</v>
      </c>
      <c r="AF346" s="705">
        <v>1113</v>
      </c>
      <c r="AG346" s="705">
        <v>111050</v>
      </c>
      <c r="AH346" s="705">
        <v>100955</v>
      </c>
      <c r="AI346" s="706">
        <v>70</v>
      </c>
      <c r="AJ346" s="705">
        <v>27351</v>
      </c>
      <c r="AK346" s="705">
        <v>24865</v>
      </c>
      <c r="AL346" s="705">
        <v>7211</v>
      </c>
      <c r="AM346" s="705">
        <v>2671</v>
      </c>
      <c r="AN346" s="705">
        <v>1242</v>
      </c>
      <c r="AO346" s="705">
        <v>460</v>
      </c>
      <c r="AP346" s="705">
        <v>16600</v>
      </c>
      <c r="AQ346" s="705">
        <v>15091</v>
      </c>
      <c r="AR346" s="705">
        <v>4436</v>
      </c>
      <c r="AS346" s="705">
        <v>1643</v>
      </c>
      <c r="AT346" s="705">
        <v>145684</v>
      </c>
      <c r="AU346" s="705">
        <f t="shared" si="26"/>
        <v>145685</v>
      </c>
      <c r="AV346" s="705">
        <f t="shared" si="27"/>
        <v>167890</v>
      </c>
    </row>
    <row r="347" spans="2:48">
      <c r="B347" t="s">
        <v>537</v>
      </c>
      <c r="C347" t="s">
        <v>116</v>
      </c>
      <c r="D347" t="s">
        <v>228</v>
      </c>
      <c r="E347" t="s">
        <v>665</v>
      </c>
      <c r="F347">
        <v>1</v>
      </c>
      <c r="G347" s="705">
        <v>123</v>
      </c>
      <c r="H347" s="705">
        <v>218</v>
      </c>
      <c r="I347" s="705">
        <v>16588</v>
      </c>
      <c r="J347" s="705">
        <v>6144</v>
      </c>
      <c r="K347" s="705">
        <v>100</v>
      </c>
      <c r="L347" s="705">
        <v>2816</v>
      </c>
      <c r="M347" s="705">
        <v>2560</v>
      </c>
      <c r="N347" s="705">
        <v>2392</v>
      </c>
      <c r="O347" s="705">
        <v>886</v>
      </c>
      <c r="P347" s="705">
        <v>0</v>
      </c>
      <c r="Q347" s="705">
        <v>0</v>
      </c>
      <c r="R347" s="705">
        <v>4054</v>
      </c>
      <c r="S347" s="705">
        <v>3685</v>
      </c>
      <c r="T347" s="705">
        <v>1089</v>
      </c>
      <c r="U347" s="705">
        <v>403</v>
      </c>
      <c r="V347" s="705">
        <v>13678</v>
      </c>
      <c r="W347" s="705">
        <f t="shared" si="24"/>
        <v>13678</v>
      </c>
      <c r="X347" s="705">
        <f t="shared" si="25"/>
        <v>26939</v>
      </c>
      <c r="Y347" s="705"/>
      <c r="AA347" t="s">
        <v>124</v>
      </c>
      <c r="AB347" t="s">
        <v>664</v>
      </c>
      <c r="AC347" s="705" t="s">
        <v>584</v>
      </c>
      <c r="AD347" s="705">
        <v>1</v>
      </c>
      <c r="AE347" s="705">
        <v>119</v>
      </c>
      <c r="AF347" s="705">
        <v>457</v>
      </c>
      <c r="AG347" s="705">
        <v>33732</v>
      </c>
      <c r="AH347" s="705">
        <v>30666</v>
      </c>
      <c r="AI347" s="706">
        <v>65</v>
      </c>
      <c r="AJ347" s="705">
        <v>8423</v>
      </c>
      <c r="AK347" s="705">
        <v>7019</v>
      </c>
      <c r="AL347" s="705">
        <v>2700</v>
      </c>
      <c r="AM347" s="705">
        <v>1000</v>
      </c>
      <c r="AN347" s="705">
        <v>621</v>
      </c>
      <c r="AO347" s="705">
        <v>230</v>
      </c>
      <c r="AP347" s="705">
        <v>5612</v>
      </c>
      <c r="AQ347" s="705">
        <v>5102</v>
      </c>
      <c r="AR347" s="705">
        <v>3103</v>
      </c>
      <c r="AS347" s="705">
        <v>1149</v>
      </c>
      <c r="AT347" s="705">
        <v>45166</v>
      </c>
      <c r="AU347" s="705">
        <f t="shared" si="26"/>
        <v>45166</v>
      </c>
      <c r="AV347" s="705">
        <f t="shared" si="27"/>
        <v>54191</v>
      </c>
    </row>
    <row r="348" spans="2:48">
      <c r="B348" t="s">
        <v>537</v>
      </c>
      <c r="C348" t="s">
        <v>116</v>
      </c>
      <c r="D348" t="s">
        <v>583</v>
      </c>
      <c r="E348" t="s">
        <v>664</v>
      </c>
      <c r="F348" s="705">
        <v>3</v>
      </c>
      <c r="G348" s="705">
        <v>271</v>
      </c>
      <c r="H348" s="705">
        <v>572</v>
      </c>
      <c r="I348" s="705">
        <v>21391</v>
      </c>
      <c r="J348" s="705">
        <v>19446</v>
      </c>
      <c r="K348" s="705">
        <v>88</v>
      </c>
      <c r="L348" s="705">
        <v>7278</v>
      </c>
      <c r="M348" s="705">
        <v>6065</v>
      </c>
      <c r="N348" s="705">
        <v>4892</v>
      </c>
      <c r="O348" s="705">
        <v>1812</v>
      </c>
      <c r="P348" s="705">
        <v>1863</v>
      </c>
      <c r="Q348" s="705">
        <v>690</v>
      </c>
      <c r="R348" s="705">
        <v>11317</v>
      </c>
      <c r="S348" s="705">
        <v>10288</v>
      </c>
      <c r="T348" s="705">
        <v>5144</v>
      </c>
      <c r="U348" s="705">
        <v>1905</v>
      </c>
      <c r="V348" s="705">
        <v>40206</v>
      </c>
      <c r="W348" s="705">
        <f t="shared" si="24"/>
        <v>40206</v>
      </c>
      <c r="X348" s="705">
        <f t="shared" si="25"/>
        <v>51885</v>
      </c>
      <c r="Y348" s="705"/>
      <c r="AA348" t="s">
        <v>124</v>
      </c>
      <c r="AB348" t="s">
        <v>582</v>
      </c>
      <c r="AC348" s="705" t="s">
        <v>582</v>
      </c>
      <c r="AD348" s="705">
        <v>17</v>
      </c>
      <c r="AE348" s="705">
        <v>1827</v>
      </c>
      <c r="AF348" s="705">
        <v>8950</v>
      </c>
      <c r="AG348" s="705">
        <v>686139</v>
      </c>
      <c r="AH348" s="705">
        <v>623762</v>
      </c>
      <c r="AI348" s="706">
        <v>68</v>
      </c>
      <c r="AJ348" s="705">
        <v>138896</v>
      </c>
      <c r="AK348" s="705">
        <v>123978</v>
      </c>
      <c r="AL348" s="705">
        <v>45504</v>
      </c>
      <c r="AM348" s="705">
        <v>16853</v>
      </c>
      <c r="AN348" s="705">
        <v>8384</v>
      </c>
      <c r="AO348" s="705">
        <v>3105</v>
      </c>
      <c r="AP348" s="705">
        <v>98603</v>
      </c>
      <c r="AQ348" s="705">
        <v>89639</v>
      </c>
      <c r="AR348" s="705">
        <v>27293</v>
      </c>
      <c r="AS348" s="705">
        <v>10109</v>
      </c>
      <c r="AT348" s="705">
        <v>867446</v>
      </c>
      <c r="AU348" s="705">
        <f t="shared" si="26"/>
        <v>867446</v>
      </c>
      <c r="AV348" s="705">
        <f t="shared" si="27"/>
        <v>1004819</v>
      </c>
    </row>
    <row r="349" spans="2:48">
      <c r="B349" t="s">
        <v>537</v>
      </c>
      <c r="C349" t="s">
        <v>116</v>
      </c>
      <c r="D349" t="s">
        <v>583</v>
      </c>
      <c r="E349" t="s">
        <v>228</v>
      </c>
      <c r="F349">
        <v>15</v>
      </c>
      <c r="G349" s="705">
        <v>1745</v>
      </c>
      <c r="H349" s="705">
        <v>2908</v>
      </c>
      <c r="I349" s="705">
        <v>159591</v>
      </c>
      <c r="J349" s="705">
        <v>145083</v>
      </c>
      <c r="K349" s="705">
        <v>85</v>
      </c>
      <c r="L349" s="705">
        <v>29110</v>
      </c>
      <c r="M349" s="705">
        <v>23264</v>
      </c>
      <c r="N349" s="705">
        <v>35081</v>
      </c>
      <c r="O349" s="705">
        <v>12993</v>
      </c>
      <c r="P349" s="705">
        <v>9315</v>
      </c>
      <c r="Q349" s="705">
        <v>3450</v>
      </c>
      <c r="R349" s="705">
        <v>96022</v>
      </c>
      <c r="S349" s="705">
        <v>35564</v>
      </c>
      <c r="T349" s="705">
        <v>2662</v>
      </c>
      <c r="U349" s="705">
        <v>986</v>
      </c>
      <c r="V349" s="705">
        <v>221339</v>
      </c>
      <c r="W349" s="705">
        <f t="shared" si="24"/>
        <v>221340</v>
      </c>
      <c r="X349" s="705">
        <f t="shared" si="25"/>
        <v>331781</v>
      </c>
      <c r="Y349" s="705"/>
      <c r="AA349" t="s">
        <v>124</v>
      </c>
      <c r="AB349" t="s">
        <v>582</v>
      </c>
      <c r="AC349" s="705" t="s">
        <v>228</v>
      </c>
      <c r="AD349" s="705">
        <v>5</v>
      </c>
      <c r="AE349" s="705">
        <v>528</v>
      </c>
      <c r="AF349" s="705">
        <v>2871</v>
      </c>
      <c r="AG349" s="705">
        <v>184890</v>
      </c>
      <c r="AH349" s="705">
        <v>168081</v>
      </c>
      <c r="AI349" s="706">
        <v>63</v>
      </c>
      <c r="AJ349" s="705">
        <v>42613</v>
      </c>
      <c r="AK349" s="705">
        <v>32116</v>
      </c>
      <c r="AL349" s="705">
        <v>11574</v>
      </c>
      <c r="AM349" s="705">
        <v>4287</v>
      </c>
      <c r="AN349" s="705">
        <v>1067</v>
      </c>
      <c r="AO349" s="705">
        <v>395</v>
      </c>
      <c r="AP349" s="705">
        <v>35096</v>
      </c>
      <c r="AQ349" s="705">
        <v>12999</v>
      </c>
      <c r="AR349" s="705">
        <v>0</v>
      </c>
      <c r="AS349" s="705">
        <v>0</v>
      </c>
      <c r="AT349" s="705">
        <v>217878</v>
      </c>
      <c r="AU349" s="705">
        <f t="shared" si="26"/>
        <v>217878</v>
      </c>
      <c r="AV349" s="705">
        <f t="shared" si="27"/>
        <v>275240</v>
      </c>
    </row>
    <row r="350" spans="2:48">
      <c r="B350" t="s">
        <v>537</v>
      </c>
      <c r="C350" t="s">
        <v>116</v>
      </c>
      <c r="D350" t="s">
        <v>583</v>
      </c>
      <c r="E350" t="s">
        <v>583</v>
      </c>
      <c r="F350" s="705">
        <v>5200</v>
      </c>
      <c r="G350" s="705">
        <v>511020</v>
      </c>
      <c r="H350" s="705">
        <v>972229</v>
      </c>
      <c r="I350" s="705">
        <v>45049550</v>
      </c>
      <c r="J350" s="705">
        <v>40954136</v>
      </c>
      <c r="K350">
        <v>86</v>
      </c>
      <c r="L350" s="705">
        <v>11674598</v>
      </c>
      <c r="M350" s="705">
        <v>10457716</v>
      </c>
      <c r="N350" s="705">
        <v>10194640</v>
      </c>
      <c r="O350" s="705">
        <v>3775793</v>
      </c>
      <c r="P350" s="705">
        <v>3298174</v>
      </c>
      <c r="Q350" s="705">
        <v>1221546</v>
      </c>
      <c r="R350" s="705">
        <v>22997572</v>
      </c>
      <c r="S350" s="705">
        <v>20906883</v>
      </c>
      <c r="T350" s="705">
        <v>3478711</v>
      </c>
      <c r="U350" s="705">
        <v>1288412</v>
      </c>
      <c r="V350" s="705">
        <v>78604485</v>
      </c>
      <c r="W350" s="705">
        <f t="shared" si="24"/>
        <v>78604486</v>
      </c>
      <c r="X350" s="705">
        <f t="shared" si="25"/>
        <v>96693245</v>
      </c>
      <c r="Y350" s="705"/>
      <c r="AA350" t="s">
        <v>124</v>
      </c>
      <c r="AB350" t="s">
        <v>582</v>
      </c>
      <c r="AC350" s="705" t="s">
        <v>584</v>
      </c>
      <c r="AD350" s="705">
        <v>1</v>
      </c>
      <c r="AE350" s="705">
        <v>36</v>
      </c>
      <c r="AF350" s="705">
        <v>555</v>
      </c>
      <c r="AG350" s="705">
        <v>15122</v>
      </c>
      <c r="AH350" s="705">
        <v>13748</v>
      </c>
      <c r="AI350" s="706">
        <v>79</v>
      </c>
      <c r="AJ350" s="705">
        <v>0</v>
      </c>
      <c r="AK350" s="705">
        <v>0</v>
      </c>
      <c r="AL350" s="705">
        <v>836</v>
      </c>
      <c r="AM350" s="705">
        <v>310</v>
      </c>
      <c r="AN350" s="705">
        <v>473</v>
      </c>
      <c r="AO350" s="705">
        <v>175</v>
      </c>
      <c r="AP350" s="705">
        <v>2400</v>
      </c>
      <c r="AQ350" s="705">
        <v>2182</v>
      </c>
      <c r="AR350" s="705">
        <v>1093</v>
      </c>
      <c r="AS350" s="705">
        <v>405</v>
      </c>
      <c r="AT350" s="705">
        <v>16819</v>
      </c>
      <c r="AU350" s="705">
        <f t="shared" si="26"/>
        <v>16820</v>
      </c>
      <c r="AV350" s="705">
        <f t="shared" si="27"/>
        <v>19924</v>
      </c>
    </row>
    <row r="351" spans="2:48">
      <c r="B351" t="s">
        <v>537</v>
      </c>
      <c r="C351" t="s">
        <v>116</v>
      </c>
      <c r="D351" t="s">
        <v>583</v>
      </c>
      <c r="E351" t="s">
        <v>666</v>
      </c>
      <c r="F351">
        <v>2</v>
      </c>
      <c r="G351">
        <v>237</v>
      </c>
      <c r="H351" s="705">
        <v>412</v>
      </c>
      <c r="I351" s="705">
        <v>24590</v>
      </c>
      <c r="J351" s="705">
        <v>22354</v>
      </c>
      <c r="K351">
        <v>70</v>
      </c>
      <c r="L351" s="705">
        <v>4351</v>
      </c>
      <c r="M351" s="705">
        <v>3956</v>
      </c>
      <c r="N351" s="705">
        <v>3680</v>
      </c>
      <c r="O351" s="705">
        <v>1363</v>
      </c>
      <c r="P351" s="705">
        <v>1242</v>
      </c>
      <c r="Q351" s="705">
        <v>460</v>
      </c>
      <c r="R351" s="705">
        <v>12029</v>
      </c>
      <c r="S351" s="705">
        <v>10935</v>
      </c>
      <c r="T351" s="705">
        <v>2784</v>
      </c>
      <c r="U351" s="705">
        <v>1031</v>
      </c>
      <c r="V351" s="705">
        <v>40100</v>
      </c>
      <c r="W351" s="705">
        <f t="shared" si="24"/>
        <v>40099</v>
      </c>
      <c r="X351" s="705">
        <f t="shared" si="25"/>
        <v>48676</v>
      </c>
      <c r="Y351" s="705"/>
      <c r="AA351" t="s">
        <v>124</v>
      </c>
      <c r="AB351" t="s">
        <v>582</v>
      </c>
      <c r="AC351" s="705" t="s">
        <v>669</v>
      </c>
      <c r="AD351" s="705">
        <v>1</v>
      </c>
      <c r="AE351" s="705">
        <v>100</v>
      </c>
      <c r="AF351" s="705">
        <v>612</v>
      </c>
      <c r="AG351" s="705">
        <v>51779</v>
      </c>
      <c r="AH351" s="705">
        <v>47072</v>
      </c>
      <c r="AI351" s="706">
        <v>65</v>
      </c>
      <c r="AJ351" s="705">
        <v>0</v>
      </c>
      <c r="AK351" s="705">
        <v>10774</v>
      </c>
      <c r="AL351" s="705">
        <v>2430</v>
      </c>
      <c r="AM351" s="705">
        <v>900</v>
      </c>
      <c r="AN351" s="705">
        <v>351</v>
      </c>
      <c r="AO351" s="705">
        <v>130</v>
      </c>
      <c r="AP351" s="705">
        <v>4480</v>
      </c>
      <c r="AQ351" s="705">
        <v>3733</v>
      </c>
      <c r="AR351" s="705">
        <v>1979</v>
      </c>
      <c r="AS351" s="705">
        <v>733</v>
      </c>
      <c r="AT351" s="705">
        <v>63342</v>
      </c>
      <c r="AU351" s="705">
        <f t="shared" si="26"/>
        <v>63342</v>
      </c>
      <c r="AV351" s="705">
        <f t="shared" si="27"/>
        <v>61019</v>
      </c>
    </row>
    <row r="352" spans="2:48">
      <c r="B352" t="s">
        <v>537</v>
      </c>
      <c r="C352" t="s">
        <v>116</v>
      </c>
      <c r="D352" t="s">
        <v>583</v>
      </c>
      <c r="E352" t="s">
        <v>584</v>
      </c>
      <c r="F352">
        <v>2</v>
      </c>
      <c r="G352" s="705">
        <v>196</v>
      </c>
      <c r="H352" s="705">
        <v>397</v>
      </c>
      <c r="I352" s="705">
        <v>21948</v>
      </c>
      <c r="J352" s="705">
        <v>19952</v>
      </c>
      <c r="K352" s="705">
        <v>84</v>
      </c>
      <c r="L352" s="705">
        <v>2629</v>
      </c>
      <c r="M352" s="705">
        <v>2390</v>
      </c>
      <c r="N352" s="705">
        <v>3130</v>
      </c>
      <c r="O352" s="705">
        <v>1159</v>
      </c>
      <c r="P352" s="705">
        <v>1242</v>
      </c>
      <c r="Q352" s="705">
        <v>460</v>
      </c>
      <c r="R352" s="705">
        <v>10228</v>
      </c>
      <c r="S352" s="705">
        <v>9298</v>
      </c>
      <c r="T352" s="705">
        <v>0</v>
      </c>
      <c r="U352" s="705">
        <v>0</v>
      </c>
      <c r="V352" s="705">
        <v>33260</v>
      </c>
      <c r="W352" s="705">
        <f t="shared" si="24"/>
        <v>33259</v>
      </c>
      <c r="X352" s="705">
        <f t="shared" si="25"/>
        <v>39177</v>
      </c>
      <c r="Y352" s="705"/>
      <c r="AA352" t="s">
        <v>124</v>
      </c>
      <c r="AB352" t="s">
        <v>228</v>
      </c>
      <c r="AC352" s="705" t="s">
        <v>664</v>
      </c>
      <c r="AD352" s="705">
        <v>3</v>
      </c>
      <c r="AE352" s="705">
        <v>358</v>
      </c>
      <c r="AF352" s="705">
        <v>1935</v>
      </c>
      <c r="AG352" s="705">
        <v>183011</v>
      </c>
      <c r="AH352" s="705">
        <v>67782</v>
      </c>
      <c r="AI352" s="706">
        <v>100</v>
      </c>
      <c r="AJ352" s="705">
        <v>28655</v>
      </c>
      <c r="AK352" s="705">
        <v>26050</v>
      </c>
      <c r="AL352" s="705">
        <v>8071</v>
      </c>
      <c r="AM352" s="705">
        <v>2989</v>
      </c>
      <c r="AN352" s="705">
        <v>122</v>
      </c>
      <c r="AO352" s="705">
        <v>45</v>
      </c>
      <c r="AP352" s="705">
        <v>12811</v>
      </c>
      <c r="AQ352" s="705">
        <v>11647</v>
      </c>
      <c r="AR352" s="705">
        <v>0</v>
      </c>
      <c r="AS352" s="705">
        <v>0</v>
      </c>
      <c r="AT352" s="705">
        <v>108512</v>
      </c>
      <c r="AU352" s="705">
        <f t="shared" si="26"/>
        <v>108513</v>
      </c>
      <c r="AV352" s="705">
        <f t="shared" si="27"/>
        <v>232670</v>
      </c>
    </row>
    <row r="353" spans="2:48">
      <c r="B353" t="s">
        <v>537</v>
      </c>
      <c r="C353" t="s">
        <v>116</v>
      </c>
      <c r="D353" t="s">
        <v>583</v>
      </c>
      <c r="E353" t="s">
        <v>665</v>
      </c>
      <c r="F353">
        <v>2</v>
      </c>
      <c r="G353" s="705">
        <v>243</v>
      </c>
      <c r="H353" s="705">
        <v>376</v>
      </c>
      <c r="I353" s="705">
        <v>20375</v>
      </c>
      <c r="J353" s="705">
        <v>18523</v>
      </c>
      <c r="K353" s="705">
        <v>86</v>
      </c>
      <c r="L353" s="705">
        <v>7222</v>
      </c>
      <c r="M353" s="705">
        <v>6566</v>
      </c>
      <c r="N353" s="705">
        <v>5038</v>
      </c>
      <c r="O353" s="705">
        <v>1866</v>
      </c>
      <c r="P353" s="705">
        <v>1364</v>
      </c>
      <c r="Q353" s="705">
        <v>505</v>
      </c>
      <c r="R353" s="705">
        <v>8426</v>
      </c>
      <c r="S353" s="705">
        <v>7660</v>
      </c>
      <c r="T353" s="705">
        <v>2584</v>
      </c>
      <c r="U353" s="705">
        <v>957</v>
      </c>
      <c r="V353" s="705">
        <v>36077</v>
      </c>
      <c r="W353" s="705">
        <f t="shared" si="24"/>
        <v>36077</v>
      </c>
      <c r="X353" s="705">
        <f t="shared" si="25"/>
        <v>45009</v>
      </c>
      <c r="Y353" s="705"/>
      <c r="AA353" t="s">
        <v>124</v>
      </c>
      <c r="AB353" t="s">
        <v>228</v>
      </c>
      <c r="AC353" s="705" t="s">
        <v>582</v>
      </c>
      <c r="AD353" s="705">
        <v>2</v>
      </c>
      <c r="AE353" s="705">
        <v>308</v>
      </c>
      <c r="AF353" s="705">
        <v>1151</v>
      </c>
      <c r="AG353" s="705">
        <v>139801</v>
      </c>
      <c r="AH353" s="705">
        <v>51778</v>
      </c>
      <c r="AI353" s="706">
        <v>100</v>
      </c>
      <c r="AJ353" s="705">
        <v>10763</v>
      </c>
      <c r="AK353" s="705">
        <v>9785</v>
      </c>
      <c r="AL353" s="705">
        <v>5376</v>
      </c>
      <c r="AM353" s="705">
        <v>1991</v>
      </c>
      <c r="AN353" s="705">
        <v>473</v>
      </c>
      <c r="AO353" s="705">
        <v>175</v>
      </c>
      <c r="AP353" s="705">
        <v>7943</v>
      </c>
      <c r="AQ353" s="705">
        <v>7221</v>
      </c>
      <c r="AR353" s="705">
        <v>4034</v>
      </c>
      <c r="AS353" s="705">
        <v>1494</v>
      </c>
      <c r="AT353" s="705">
        <v>72444</v>
      </c>
      <c r="AU353" s="705">
        <f t="shared" si="26"/>
        <v>72444</v>
      </c>
      <c r="AV353" s="705">
        <f t="shared" si="27"/>
        <v>168390</v>
      </c>
    </row>
    <row r="354" spans="2:48">
      <c r="B354" t="s">
        <v>537</v>
      </c>
      <c r="C354" t="s">
        <v>116</v>
      </c>
      <c r="D354" t="s">
        <v>666</v>
      </c>
      <c r="E354" s="705" t="s">
        <v>583</v>
      </c>
      <c r="F354" s="705">
        <v>1</v>
      </c>
      <c r="G354" s="705">
        <v>146</v>
      </c>
      <c r="H354" s="705">
        <v>223</v>
      </c>
      <c r="I354" s="705">
        <v>21065</v>
      </c>
      <c r="J354" s="705">
        <v>19150</v>
      </c>
      <c r="K354" s="705">
        <v>79</v>
      </c>
      <c r="L354" s="705">
        <v>0</v>
      </c>
      <c r="M354" s="705">
        <v>0</v>
      </c>
      <c r="N354" s="705">
        <v>2585</v>
      </c>
      <c r="O354" s="705">
        <v>957</v>
      </c>
      <c r="P354" s="705">
        <v>621</v>
      </c>
      <c r="Q354" s="705">
        <v>230</v>
      </c>
      <c r="R354" s="705">
        <v>4973</v>
      </c>
      <c r="S354" s="705">
        <v>4521</v>
      </c>
      <c r="T354" s="705">
        <v>3425</v>
      </c>
      <c r="U354" s="705">
        <v>1268</v>
      </c>
      <c r="V354" s="705">
        <v>26126</v>
      </c>
      <c r="W354" s="705">
        <f t="shared" si="24"/>
        <v>26126</v>
      </c>
      <c r="X354" s="705">
        <f t="shared" si="25"/>
        <v>32669</v>
      </c>
      <c r="Y354" s="705"/>
      <c r="AA354" t="s">
        <v>124</v>
      </c>
      <c r="AB354" t="s">
        <v>228</v>
      </c>
      <c r="AC354" s="705" t="s">
        <v>228</v>
      </c>
      <c r="AD354" s="705">
        <v>5191</v>
      </c>
      <c r="AE354" s="705">
        <v>423596</v>
      </c>
      <c r="AF354" s="705">
        <v>3297235</v>
      </c>
      <c r="AG354" s="705">
        <v>188544498</v>
      </c>
      <c r="AH354" s="705">
        <v>69831295</v>
      </c>
      <c r="AI354" s="706">
        <v>100</v>
      </c>
      <c r="AJ354" s="705">
        <v>34631187</v>
      </c>
      <c r="AK354" s="705">
        <v>27696713</v>
      </c>
      <c r="AL354" s="705">
        <v>9345984</v>
      </c>
      <c r="AM354" s="705">
        <v>3461475</v>
      </c>
      <c r="AN354" s="705">
        <v>90489</v>
      </c>
      <c r="AO354" s="705">
        <v>33514</v>
      </c>
      <c r="AP354" s="705">
        <v>36275438</v>
      </c>
      <c r="AQ354" s="705">
        <v>13435347</v>
      </c>
      <c r="AR354" s="705">
        <v>160141</v>
      </c>
      <c r="AS354" s="705">
        <v>59311</v>
      </c>
      <c r="AT354" s="705">
        <v>114517658</v>
      </c>
      <c r="AU354" s="705">
        <f t="shared" si="26"/>
        <v>114517655</v>
      </c>
      <c r="AV354" s="705">
        <f t="shared" si="27"/>
        <v>269047737</v>
      </c>
    </row>
    <row r="355" spans="2:48">
      <c r="B355" t="s">
        <v>537</v>
      </c>
      <c r="C355" t="s">
        <v>116</v>
      </c>
      <c r="D355" t="s">
        <v>584</v>
      </c>
      <c r="E355" t="s">
        <v>664</v>
      </c>
      <c r="F355" s="705">
        <v>1</v>
      </c>
      <c r="G355" s="705">
        <v>89</v>
      </c>
      <c r="H355" s="705">
        <v>161</v>
      </c>
      <c r="I355" s="705">
        <v>5789</v>
      </c>
      <c r="J355" s="705">
        <v>5263</v>
      </c>
      <c r="K355" s="705">
        <v>78</v>
      </c>
      <c r="L355" s="705">
        <v>1824</v>
      </c>
      <c r="M355" s="705">
        <v>1520</v>
      </c>
      <c r="N355" s="705">
        <v>2165</v>
      </c>
      <c r="O355" s="705">
        <v>802</v>
      </c>
      <c r="P355" s="705">
        <v>473</v>
      </c>
      <c r="Q355" s="705">
        <v>175</v>
      </c>
      <c r="R355" s="705">
        <v>4038</v>
      </c>
      <c r="S355" s="705">
        <v>3671</v>
      </c>
      <c r="T355" s="705">
        <v>0</v>
      </c>
      <c r="U355" s="705">
        <v>0</v>
      </c>
      <c r="V355" s="705">
        <v>11431</v>
      </c>
      <c r="W355" s="705">
        <f t="shared" si="24"/>
        <v>11431</v>
      </c>
      <c r="X355" s="705">
        <f t="shared" si="25"/>
        <v>14289</v>
      </c>
      <c r="Y355" s="705"/>
      <c r="AA355" t="s">
        <v>124</v>
      </c>
      <c r="AB355" t="s">
        <v>228</v>
      </c>
      <c r="AC355" s="705" t="s">
        <v>583</v>
      </c>
      <c r="AD355" s="705">
        <v>40</v>
      </c>
      <c r="AE355" s="705">
        <v>5279</v>
      </c>
      <c r="AF355" s="705">
        <v>23842</v>
      </c>
      <c r="AG355" s="705">
        <v>2384815</v>
      </c>
      <c r="AH355" s="705">
        <v>883265</v>
      </c>
      <c r="AI355" s="706">
        <v>100</v>
      </c>
      <c r="AJ355" s="705">
        <v>321038</v>
      </c>
      <c r="AK355" s="705">
        <v>277698</v>
      </c>
      <c r="AL355" s="705">
        <v>118595</v>
      </c>
      <c r="AM355" s="705">
        <v>43924</v>
      </c>
      <c r="AN355" s="705">
        <v>8640</v>
      </c>
      <c r="AO355" s="705">
        <v>3200</v>
      </c>
      <c r="AP355" s="705">
        <v>241910</v>
      </c>
      <c r="AQ355" s="705">
        <v>219918</v>
      </c>
      <c r="AR355" s="705">
        <v>70562</v>
      </c>
      <c r="AS355" s="705">
        <v>26134</v>
      </c>
      <c r="AT355" s="705">
        <v>1454140</v>
      </c>
      <c r="AU355" s="705">
        <f t="shared" si="26"/>
        <v>1454139</v>
      </c>
      <c r="AV355" s="705">
        <f t="shared" si="27"/>
        <v>3145560</v>
      </c>
    </row>
    <row r="356" spans="2:48">
      <c r="B356" t="s">
        <v>537</v>
      </c>
      <c r="C356" t="s">
        <v>116</v>
      </c>
      <c r="D356" t="s">
        <v>584</v>
      </c>
      <c r="E356" t="s">
        <v>582</v>
      </c>
      <c r="F356" s="705">
        <v>2</v>
      </c>
      <c r="G356" s="705">
        <v>231</v>
      </c>
      <c r="H356" s="705">
        <v>360</v>
      </c>
      <c r="I356" s="705">
        <v>25112</v>
      </c>
      <c r="J356" s="705">
        <v>22829</v>
      </c>
      <c r="K356" s="705">
        <v>89</v>
      </c>
      <c r="L356" s="705">
        <v>8185</v>
      </c>
      <c r="M356" s="705">
        <v>7108</v>
      </c>
      <c r="N356" s="705">
        <v>4728</v>
      </c>
      <c r="O356" s="705">
        <v>1751</v>
      </c>
      <c r="P356" s="705">
        <v>945</v>
      </c>
      <c r="Q356" s="705">
        <v>350</v>
      </c>
      <c r="R356" s="705">
        <v>7707</v>
      </c>
      <c r="S356" s="705">
        <v>7006</v>
      </c>
      <c r="T356" s="705">
        <v>0</v>
      </c>
      <c r="U356" s="705">
        <v>0</v>
      </c>
      <c r="V356" s="705">
        <v>39044</v>
      </c>
      <c r="W356" s="705">
        <f t="shared" si="24"/>
        <v>39044</v>
      </c>
      <c r="X356" s="705">
        <f t="shared" si="25"/>
        <v>46677</v>
      </c>
      <c r="Y356" s="705"/>
      <c r="AA356" t="s">
        <v>124</v>
      </c>
      <c r="AB356" t="s">
        <v>228</v>
      </c>
      <c r="AC356" s="705" t="s">
        <v>666</v>
      </c>
      <c r="AD356" s="705">
        <v>31</v>
      </c>
      <c r="AE356" s="705">
        <v>2036</v>
      </c>
      <c r="AF356" s="705">
        <v>18194</v>
      </c>
      <c r="AG356" s="705">
        <v>864038</v>
      </c>
      <c r="AH356" s="705">
        <v>320014</v>
      </c>
      <c r="AI356" s="706">
        <v>100</v>
      </c>
      <c r="AJ356" s="705">
        <v>93310</v>
      </c>
      <c r="AK356" s="705">
        <v>78035</v>
      </c>
      <c r="AL356" s="705">
        <v>43074</v>
      </c>
      <c r="AM356" s="705">
        <v>15953</v>
      </c>
      <c r="AN356" s="705">
        <v>1404</v>
      </c>
      <c r="AO356" s="705">
        <v>520</v>
      </c>
      <c r="AP356" s="705">
        <v>187818</v>
      </c>
      <c r="AQ356" s="705">
        <v>170744</v>
      </c>
      <c r="AR356" s="705">
        <v>59525</v>
      </c>
      <c r="AS356" s="705">
        <v>22046</v>
      </c>
      <c r="AT356" s="705">
        <v>607313</v>
      </c>
      <c r="AU356" s="705">
        <f t="shared" si="26"/>
        <v>607312</v>
      </c>
      <c r="AV356" s="705">
        <f t="shared" si="27"/>
        <v>1249169</v>
      </c>
    </row>
    <row r="357" spans="2:48">
      <c r="B357" t="s">
        <v>537</v>
      </c>
      <c r="C357" t="s">
        <v>116</v>
      </c>
      <c r="D357" t="s">
        <v>584</v>
      </c>
      <c r="E357" t="s">
        <v>228</v>
      </c>
      <c r="F357" s="705">
        <v>11</v>
      </c>
      <c r="G357" s="705">
        <v>1004</v>
      </c>
      <c r="H357" s="705">
        <v>2097</v>
      </c>
      <c r="I357" s="705">
        <v>66024</v>
      </c>
      <c r="J357" s="705">
        <v>60022</v>
      </c>
      <c r="K357" s="705">
        <v>83</v>
      </c>
      <c r="L357" s="705">
        <v>14021</v>
      </c>
      <c r="M357" s="705">
        <v>9624</v>
      </c>
      <c r="N357" s="705">
        <v>21387</v>
      </c>
      <c r="O357" s="705">
        <v>7921</v>
      </c>
      <c r="P357" s="705">
        <v>6248</v>
      </c>
      <c r="Q357" s="705">
        <v>2314</v>
      </c>
      <c r="R357" s="705">
        <v>82224</v>
      </c>
      <c r="S357" s="705">
        <v>30453</v>
      </c>
      <c r="T357" s="705">
        <v>0</v>
      </c>
      <c r="U357" s="705">
        <v>0</v>
      </c>
      <c r="V357" s="705">
        <v>110334</v>
      </c>
      <c r="W357" s="705">
        <f t="shared" si="24"/>
        <v>110334</v>
      </c>
      <c r="X357" s="705">
        <f t="shared" si="25"/>
        <v>189904</v>
      </c>
      <c r="Y357" s="705"/>
      <c r="AA357" t="s">
        <v>124</v>
      </c>
      <c r="AB357" t="s">
        <v>228</v>
      </c>
      <c r="AC357" s="705" t="s">
        <v>584</v>
      </c>
      <c r="AD357" s="705">
        <v>28</v>
      </c>
      <c r="AE357" s="705">
        <v>2506</v>
      </c>
      <c r="AF357" s="705">
        <v>16719</v>
      </c>
      <c r="AG357" s="705">
        <v>1044871</v>
      </c>
      <c r="AH357" s="705">
        <v>386989</v>
      </c>
      <c r="AI357" s="706">
        <v>100</v>
      </c>
      <c r="AJ357" s="705">
        <v>229753</v>
      </c>
      <c r="AK357" s="705">
        <v>199557</v>
      </c>
      <c r="AL357" s="705">
        <v>55462</v>
      </c>
      <c r="AM357" s="705">
        <v>20542</v>
      </c>
      <c r="AN357" s="705">
        <v>2147</v>
      </c>
      <c r="AO357" s="705">
        <v>795</v>
      </c>
      <c r="AP357" s="705">
        <v>127592</v>
      </c>
      <c r="AQ357" s="705">
        <v>115993</v>
      </c>
      <c r="AR357" s="705">
        <v>8265</v>
      </c>
      <c r="AS357" s="705">
        <v>3061</v>
      </c>
      <c r="AT357" s="705">
        <v>726937</v>
      </c>
      <c r="AU357" s="705">
        <f t="shared" si="26"/>
        <v>726937</v>
      </c>
      <c r="AV357" s="705">
        <f t="shared" si="27"/>
        <v>1468090</v>
      </c>
    </row>
    <row r="358" spans="2:48">
      <c r="B358" t="s">
        <v>537</v>
      </c>
      <c r="C358" t="s">
        <v>116</v>
      </c>
      <c r="D358" t="s">
        <v>584</v>
      </c>
      <c r="E358" t="s">
        <v>583</v>
      </c>
      <c r="F358" s="705">
        <v>3</v>
      </c>
      <c r="G358" s="705">
        <v>321</v>
      </c>
      <c r="H358" s="705">
        <v>594</v>
      </c>
      <c r="I358" s="705">
        <v>32158</v>
      </c>
      <c r="J358" s="705">
        <v>29235</v>
      </c>
      <c r="K358" s="705">
        <v>78</v>
      </c>
      <c r="L358" s="705">
        <v>7136</v>
      </c>
      <c r="M358" s="705">
        <v>6487</v>
      </c>
      <c r="N358" s="705">
        <v>6423</v>
      </c>
      <c r="O358" s="705">
        <v>2379</v>
      </c>
      <c r="P358" s="705">
        <v>1418</v>
      </c>
      <c r="Q358" s="705">
        <v>525</v>
      </c>
      <c r="R358" s="705">
        <v>13906</v>
      </c>
      <c r="S358" s="705">
        <v>12642</v>
      </c>
      <c r="T358" s="705">
        <v>2943</v>
      </c>
      <c r="U358" s="705">
        <v>1090</v>
      </c>
      <c r="V358" s="705">
        <v>52358</v>
      </c>
      <c r="W358" s="705">
        <f t="shared" si="24"/>
        <v>52358</v>
      </c>
      <c r="X358" s="705">
        <f t="shared" si="25"/>
        <v>63984</v>
      </c>
      <c r="Y358" s="705"/>
      <c r="AA358" t="s">
        <v>124</v>
      </c>
      <c r="AB358" t="s">
        <v>228</v>
      </c>
      <c r="AC358" s="705" t="s">
        <v>669</v>
      </c>
      <c r="AD358" s="705">
        <v>117</v>
      </c>
      <c r="AE358" s="705">
        <v>8566</v>
      </c>
      <c r="AF358" s="705">
        <v>70825</v>
      </c>
      <c r="AG358" s="705">
        <v>3468801</v>
      </c>
      <c r="AH358" s="705">
        <v>1284741</v>
      </c>
      <c r="AI358" s="706">
        <v>100</v>
      </c>
      <c r="AJ358" s="705">
        <v>563582</v>
      </c>
      <c r="AK358" s="705">
        <v>455286</v>
      </c>
      <c r="AL358" s="705">
        <v>184215</v>
      </c>
      <c r="AM358" s="705">
        <v>68228</v>
      </c>
      <c r="AN358" s="705">
        <v>7290</v>
      </c>
      <c r="AO358" s="705">
        <v>2700</v>
      </c>
      <c r="AP358" s="705">
        <v>693440</v>
      </c>
      <c r="AQ358" s="705">
        <v>577867</v>
      </c>
      <c r="AR358" s="705">
        <v>219838</v>
      </c>
      <c r="AS358" s="705">
        <v>81422</v>
      </c>
      <c r="AT358" s="705">
        <v>2470243</v>
      </c>
      <c r="AU358" s="705">
        <f t="shared" si="26"/>
        <v>2470244</v>
      </c>
      <c r="AV358" s="705">
        <f t="shared" si="27"/>
        <v>5137166</v>
      </c>
    </row>
    <row r="359" spans="2:48">
      <c r="B359" t="s">
        <v>537</v>
      </c>
      <c r="C359" t="s">
        <v>116</v>
      </c>
      <c r="D359" t="s">
        <v>584</v>
      </c>
      <c r="E359" t="s">
        <v>584</v>
      </c>
      <c r="F359" s="705">
        <v>14737</v>
      </c>
      <c r="G359" s="705">
        <v>1442834</v>
      </c>
      <c r="H359" s="705">
        <v>2719386</v>
      </c>
      <c r="I359" s="705">
        <v>126008122</v>
      </c>
      <c r="J359" s="705">
        <v>114552837</v>
      </c>
      <c r="K359" s="705">
        <v>82</v>
      </c>
      <c r="L359" s="705">
        <v>33503737</v>
      </c>
      <c r="M359" s="705">
        <v>28736561</v>
      </c>
      <c r="N359" s="705">
        <v>28799690</v>
      </c>
      <c r="O359" s="705">
        <v>10666552</v>
      </c>
      <c r="P359" s="705">
        <v>7082580</v>
      </c>
      <c r="Q359" s="705">
        <v>2623178</v>
      </c>
      <c r="R359" s="705">
        <v>67407260</v>
      </c>
      <c r="S359" s="705">
        <v>61279327</v>
      </c>
      <c r="T359" s="705">
        <v>5583183</v>
      </c>
      <c r="U359" s="705">
        <v>2067846</v>
      </c>
      <c r="V359" s="705">
        <v>219926300</v>
      </c>
      <c r="W359" s="705">
        <f t="shared" si="24"/>
        <v>219926301</v>
      </c>
      <c r="X359" s="705">
        <f t="shared" si="25"/>
        <v>268384572</v>
      </c>
      <c r="Y359" s="705"/>
      <c r="AA359" t="s">
        <v>124</v>
      </c>
      <c r="AB359" t="s">
        <v>228</v>
      </c>
      <c r="AC359" s="705" t="s">
        <v>667</v>
      </c>
      <c r="AD359" s="705">
        <v>1</v>
      </c>
      <c r="AE359" s="705">
        <v>64</v>
      </c>
      <c r="AF359" s="705">
        <v>892</v>
      </c>
      <c r="AG359" s="705">
        <v>44191</v>
      </c>
      <c r="AH359" s="705">
        <v>16367</v>
      </c>
      <c r="AI359" s="706">
        <v>100</v>
      </c>
      <c r="AJ359" s="705">
        <v>3078</v>
      </c>
      <c r="AK359" s="705">
        <v>2798</v>
      </c>
      <c r="AL359" s="705">
        <v>1562</v>
      </c>
      <c r="AM359" s="705">
        <v>579</v>
      </c>
      <c r="AN359" s="705">
        <v>0</v>
      </c>
      <c r="AO359" s="705">
        <v>0</v>
      </c>
      <c r="AP359" s="705">
        <v>8325</v>
      </c>
      <c r="AQ359" s="705">
        <v>7568</v>
      </c>
      <c r="AR359" s="705">
        <v>0</v>
      </c>
      <c r="AS359" s="705">
        <v>0</v>
      </c>
      <c r="AT359" s="705">
        <v>27311</v>
      </c>
      <c r="AU359" s="705">
        <f t="shared" ref="AU359:AU390" si="28">SUM(ABS(AH359), ABS(AK359),ABS(AM359),ABS(AO359),ABS(AQ359),ABS(AS359))</f>
        <v>27312</v>
      </c>
      <c r="AV359" s="705">
        <f t="shared" ref="AV359:AV390" si="29">SUM(ABS(AG359),ABS(AJ359),ABS(AL359),ABS(AN359),ABS(AP359),ABS(AR359))</f>
        <v>57156</v>
      </c>
    </row>
    <row r="360" spans="2:48">
      <c r="B360" t="s">
        <v>537</v>
      </c>
      <c r="C360" t="s">
        <v>116</v>
      </c>
      <c r="D360" t="s">
        <v>584</v>
      </c>
      <c r="E360" t="s">
        <v>665</v>
      </c>
      <c r="F360">
        <v>5</v>
      </c>
      <c r="G360" s="705">
        <v>639</v>
      </c>
      <c r="H360" s="705">
        <v>1003</v>
      </c>
      <c r="I360" s="705">
        <v>66851</v>
      </c>
      <c r="J360" s="705">
        <v>60773</v>
      </c>
      <c r="K360" s="705">
        <v>81</v>
      </c>
      <c r="L360" s="705">
        <v>17439</v>
      </c>
      <c r="M360" s="705">
        <v>15528</v>
      </c>
      <c r="N360" s="705">
        <v>13921</v>
      </c>
      <c r="O360" s="705">
        <v>5156</v>
      </c>
      <c r="P360" s="705">
        <v>2363</v>
      </c>
      <c r="Q360" s="705">
        <v>875</v>
      </c>
      <c r="R360" s="705">
        <v>23999</v>
      </c>
      <c r="S360" s="705">
        <v>21817</v>
      </c>
      <c r="T360" s="705">
        <v>2490</v>
      </c>
      <c r="U360" s="705">
        <v>922</v>
      </c>
      <c r="V360" s="705">
        <v>105072</v>
      </c>
      <c r="W360" s="705">
        <f t="shared" si="24"/>
        <v>105071</v>
      </c>
      <c r="X360" s="705">
        <f t="shared" si="25"/>
        <v>127063</v>
      </c>
      <c r="Y360" s="705"/>
      <c r="AA360" t="s">
        <v>124</v>
      </c>
      <c r="AB360" t="s">
        <v>228</v>
      </c>
      <c r="AC360" s="705" t="s">
        <v>671</v>
      </c>
      <c r="AD360" s="705">
        <v>2</v>
      </c>
      <c r="AE360" s="705">
        <v>178</v>
      </c>
      <c r="AF360" s="705">
        <v>1515</v>
      </c>
      <c r="AG360" s="705">
        <v>93650</v>
      </c>
      <c r="AH360" s="705">
        <v>34685</v>
      </c>
      <c r="AI360" s="706">
        <v>100</v>
      </c>
      <c r="AJ360" s="705">
        <v>15836</v>
      </c>
      <c r="AK360" s="705">
        <v>14396</v>
      </c>
      <c r="AL360" s="705">
        <v>4233</v>
      </c>
      <c r="AM360" s="705">
        <v>1568</v>
      </c>
      <c r="AN360" s="705">
        <v>351</v>
      </c>
      <c r="AO360" s="705">
        <v>130</v>
      </c>
      <c r="AP360" s="705">
        <v>15850</v>
      </c>
      <c r="AQ360" s="705">
        <v>14409</v>
      </c>
      <c r="AR360" s="705">
        <v>4548</v>
      </c>
      <c r="AS360" s="705">
        <v>1684</v>
      </c>
      <c r="AT360" s="705">
        <v>66872</v>
      </c>
      <c r="AU360" s="705">
        <f t="shared" si="28"/>
        <v>66872</v>
      </c>
      <c r="AV360" s="705">
        <f t="shared" si="29"/>
        <v>134468</v>
      </c>
    </row>
    <row r="361" spans="2:48">
      <c r="B361" t="s">
        <v>537</v>
      </c>
      <c r="C361" t="s">
        <v>116</v>
      </c>
      <c r="D361" t="s">
        <v>669</v>
      </c>
      <c r="E361" t="s">
        <v>669</v>
      </c>
      <c r="F361" s="705">
        <v>5</v>
      </c>
      <c r="G361" s="705">
        <v>436</v>
      </c>
      <c r="H361" s="705">
        <v>1034</v>
      </c>
      <c r="I361" s="705">
        <v>45402</v>
      </c>
      <c r="J361" s="705">
        <v>37835</v>
      </c>
      <c r="K361" s="705">
        <v>74</v>
      </c>
      <c r="L361" s="705">
        <v>1993</v>
      </c>
      <c r="M361" s="705">
        <v>1135</v>
      </c>
      <c r="N361" s="705">
        <v>8624</v>
      </c>
      <c r="O361" s="705">
        <v>3194</v>
      </c>
      <c r="P361" s="705">
        <v>1755</v>
      </c>
      <c r="Q361" s="705">
        <v>650</v>
      </c>
      <c r="R361" s="705">
        <v>20882</v>
      </c>
      <c r="S361" s="705">
        <v>17402</v>
      </c>
      <c r="T361" s="705">
        <v>11711</v>
      </c>
      <c r="U361" s="705">
        <v>4338</v>
      </c>
      <c r="V361" s="705">
        <v>64554</v>
      </c>
      <c r="W361" s="705">
        <f t="shared" si="24"/>
        <v>64554</v>
      </c>
      <c r="X361" s="705">
        <f t="shared" si="25"/>
        <v>90367</v>
      </c>
      <c r="Y361" s="705"/>
      <c r="AA361" t="s">
        <v>124</v>
      </c>
      <c r="AB361" t="s">
        <v>228</v>
      </c>
      <c r="AC361" s="705" t="s">
        <v>665</v>
      </c>
      <c r="AD361" s="705">
        <v>295</v>
      </c>
      <c r="AE361" s="705">
        <v>22355</v>
      </c>
      <c r="AF361" s="705">
        <v>184943</v>
      </c>
      <c r="AG361" s="705">
        <v>9887206</v>
      </c>
      <c r="AH361" s="705">
        <v>3661928</v>
      </c>
      <c r="AI361" s="706">
        <v>100</v>
      </c>
      <c r="AJ361" s="705">
        <v>1343813</v>
      </c>
      <c r="AK361" s="705">
        <v>1151181</v>
      </c>
      <c r="AL361" s="705">
        <v>495964</v>
      </c>
      <c r="AM361" s="705">
        <v>183690</v>
      </c>
      <c r="AN361" s="705">
        <v>19134</v>
      </c>
      <c r="AO361" s="705">
        <v>7087</v>
      </c>
      <c r="AP361" s="705">
        <v>1769954</v>
      </c>
      <c r="AQ361" s="705">
        <v>1609049</v>
      </c>
      <c r="AR361" s="705">
        <v>546126</v>
      </c>
      <c r="AS361" s="705">
        <v>202269</v>
      </c>
      <c r="AT361" s="705">
        <v>6815204</v>
      </c>
      <c r="AU361" s="705">
        <f t="shared" si="28"/>
        <v>6815204</v>
      </c>
      <c r="AV361" s="705">
        <f t="shared" si="29"/>
        <v>14062197</v>
      </c>
    </row>
    <row r="362" spans="2:48">
      <c r="B362" t="s">
        <v>537</v>
      </c>
      <c r="C362" t="s">
        <v>116</v>
      </c>
      <c r="D362" t="s">
        <v>665</v>
      </c>
      <c r="E362" t="s">
        <v>665</v>
      </c>
      <c r="F362">
        <v>34</v>
      </c>
      <c r="G362" s="705">
        <v>3060</v>
      </c>
      <c r="H362" s="705">
        <v>7019</v>
      </c>
      <c r="I362" s="705">
        <v>342874</v>
      </c>
      <c r="J362" s="705">
        <v>311704</v>
      </c>
      <c r="K362" s="705">
        <v>66</v>
      </c>
      <c r="L362" s="705">
        <v>24778</v>
      </c>
      <c r="M362" s="705">
        <v>15387</v>
      </c>
      <c r="N362" s="705">
        <v>58111</v>
      </c>
      <c r="O362" s="705">
        <v>21523</v>
      </c>
      <c r="P362" s="705">
        <v>14820</v>
      </c>
      <c r="Q362" s="705">
        <v>5489</v>
      </c>
      <c r="R362" s="705">
        <v>139796</v>
      </c>
      <c r="S362" s="705">
        <v>127087</v>
      </c>
      <c r="T362" s="705">
        <v>70605</v>
      </c>
      <c r="U362" s="705">
        <v>26150</v>
      </c>
      <c r="V362" s="705">
        <v>507340</v>
      </c>
      <c r="W362" s="705">
        <f t="shared" si="24"/>
        <v>507340</v>
      </c>
      <c r="X362" s="705">
        <f t="shared" si="25"/>
        <v>650984</v>
      </c>
      <c r="Y362" s="705"/>
      <c r="AA362" t="s">
        <v>124</v>
      </c>
      <c r="AB362" t="s">
        <v>228</v>
      </c>
      <c r="AC362" s="705" t="s">
        <v>673</v>
      </c>
      <c r="AD362" s="705">
        <v>2</v>
      </c>
      <c r="AE362" s="705">
        <v>352</v>
      </c>
      <c r="AF362" s="705">
        <v>1349</v>
      </c>
      <c r="AG362" s="705">
        <v>162014</v>
      </c>
      <c r="AH362" s="705">
        <v>60005</v>
      </c>
      <c r="AI362" s="706">
        <v>100</v>
      </c>
      <c r="AJ362" s="705">
        <v>26468</v>
      </c>
      <c r="AK362" s="705">
        <v>22559</v>
      </c>
      <c r="AL362" s="705">
        <v>4996</v>
      </c>
      <c r="AM362" s="705">
        <v>1850</v>
      </c>
      <c r="AN362" s="705">
        <v>0</v>
      </c>
      <c r="AO362" s="705">
        <v>0</v>
      </c>
      <c r="AP362" s="705">
        <v>22308</v>
      </c>
      <c r="AQ362" s="705">
        <v>20280</v>
      </c>
      <c r="AR362" s="705">
        <v>3633</v>
      </c>
      <c r="AS362" s="705">
        <v>1346</v>
      </c>
      <c r="AT362" s="705">
        <v>106041</v>
      </c>
      <c r="AU362" s="705">
        <f t="shared" si="28"/>
        <v>106040</v>
      </c>
      <c r="AV362" s="705">
        <f t="shared" si="29"/>
        <v>219419</v>
      </c>
    </row>
    <row r="363" spans="2:48">
      <c r="B363" t="s">
        <v>537</v>
      </c>
      <c r="C363" t="s">
        <v>116</v>
      </c>
      <c r="D363" t="s">
        <v>722</v>
      </c>
      <c r="E363" t="s">
        <v>722</v>
      </c>
      <c r="F363">
        <v>1</v>
      </c>
      <c r="G363" s="705">
        <v>60</v>
      </c>
      <c r="H363" s="705">
        <v>214</v>
      </c>
      <c r="I363" s="705">
        <v>5875</v>
      </c>
      <c r="J363" s="705">
        <v>5341</v>
      </c>
      <c r="K363" s="705">
        <v>85</v>
      </c>
      <c r="L363" s="705">
        <v>854</v>
      </c>
      <c r="M363" s="705">
        <v>776</v>
      </c>
      <c r="N363" s="705">
        <v>729</v>
      </c>
      <c r="O363" s="705">
        <v>270</v>
      </c>
      <c r="P363" s="705">
        <v>351</v>
      </c>
      <c r="Q363" s="705">
        <v>130</v>
      </c>
      <c r="R363" s="705">
        <v>4967</v>
      </c>
      <c r="S363" s="705">
        <v>4515</v>
      </c>
      <c r="T363">
        <v>0</v>
      </c>
      <c r="U363" s="705">
        <v>0</v>
      </c>
      <c r="V363" s="705">
        <v>11032</v>
      </c>
      <c r="W363" s="705">
        <f t="shared" si="24"/>
        <v>11032</v>
      </c>
      <c r="X363" s="705">
        <f t="shared" si="25"/>
        <v>12776</v>
      </c>
      <c r="Y363" s="705"/>
      <c r="AA363" t="s">
        <v>124</v>
      </c>
      <c r="AB363" t="s">
        <v>583</v>
      </c>
      <c r="AC363" s="705" t="s">
        <v>674</v>
      </c>
      <c r="AD363" s="705">
        <v>1</v>
      </c>
      <c r="AE363" s="705">
        <v>54</v>
      </c>
      <c r="AF363" s="705">
        <v>516</v>
      </c>
      <c r="AG363" s="705">
        <v>36351</v>
      </c>
      <c r="AH363" s="705">
        <v>33047</v>
      </c>
      <c r="AI363" s="706">
        <v>70</v>
      </c>
      <c r="AJ363" s="705">
        <v>6593</v>
      </c>
      <c r="AK363" s="705">
        <v>2442</v>
      </c>
      <c r="AL363" s="705">
        <v>1932</v>
      </c>
      <c r="AM363" s="705">
        <v>715</v>
      </c>
      <c r="AN363" s="705">
        <v>972</v>
      </c>
      <c r="AO363" s="705">
        <v>360</v>
      </c>
      <c r="AP363" s="705">
        <v>7256</v>
      </c>
      <c r="AQ363" s="705">
        <v>6596</v>
      </c>
      <c r="AR363" s="705">
        <v>0</v>
      </c>
      <c r="AS363" s="705">
        <v>0</v>
      </c>
      <c r="AT363" s="705">
        <v>43160</v>
      </c>
      <c r="AU363" s="705">
        <f t="shared" si="28"/>
        <v>43160</v>
      </c>
      <c r="AV363" s="705">
        <f t="shared" si="29"/>
        <v>53104</v>
      </c>
    </row>
    <row r="364" spans="2:48">
      <c r="B364" t="s">
        <v>537</v>
      </c>
      <c r="C364" t="s">
        <v>116</v>
      </c>
      <c r="D364" t="s">
        <v>673</v>
      </c>
      <c r="E364" t="s">
        <v>673</v>
      </c>
      <c r="F364">
        <v>3</v>
      </c>
      <c r="G364" s="705">
        <v>239</v>
      </c>
      <c r="H364" s="705">
        <v>567</v>
      </c>
      <c r="I364" s="705">
        <v>25222</v>
      </c>
      <c r="J364" s="705">
        <v>22929</v>
      </c>
      <c r="K364" s="705">
        <v>74</v>
      </c>
      <c r="L364" s="705">
        <v>996</v>
      </c>
      <c r="M364" s="705">
        <v>905</v>
      </c>
      <c r="N364" s="705">
        <v>5561</v>
      </c>
      <c r="O364" s="705">
        <v>2060</v>
      </c>
      <c r="P364" s="705">
        <v>1053</v>
      </c>
      <c r="Q364" s="705">
        <v>390</v>
      </c>
      <c r="R364" s="705">
        <v>11606</v>
      </c>
      <c r="S364" s="705">
        <v>10551</v>
      </c>
      <c r="T364" s="705">
        <v>7060</v>
      </c>
      <c r="U364" s="705">
        <v>2615</v>
      </c>
      <c r="V364" s="705">
        <v>39449</v>
      </c>
      <c r="W364" s="705">
        <f t="shared" si="24"/>
        <v>39450</v>
      </c>
      <c r="X364" s="705">
        <f t="shared" si="25"/>
        <v>51498</v>
      </c>
      <c r="Y364" s="705"/>
      <c r="AA364" t="s">
        <v>124</v>
      </c>
      <c r="AB364" t="s">
        <v>583</v>
      </c>
      <c r="AC364" s="705" t="s">
        <v>664</v>
      </c>
      <c r="AD364" s="705">
        <v>2</v>
      </c>
      <c r="AE364" s="705">
        <v>178</v>
      </c>
      <c r="AF364" s="705">
        <v>1102</v>
      </c>
      <c r="AG364" s="705">
        <v>64069</v>
      </c>
      <c r="AH364" s="705">
        <v>58244</v>
      </c>
      <c r="AI364" s="706">
        <v>70</v>
      </c>
      <c r="AJ364" s="705">
        <v>15444</v>
      </c>
      <c r="AK364" s="705">
        <v>14040</v>
      </c>
      <c r="AL364" s="705">
        <v>4033</v>
      </c>
      <c r="AM364" s="705">
        <v>1494</v>
      </c>
      <c r="AN364" s="705">
        <v>1242</v>
      </c>
      <c r="AO364" s="705">
        <v>460</v>
      </c>
      <c r="AP364" s="705">
        <v>10326</v>
      </c>
      <c r="AQ364" s="705">
        <v>9387</v>
      </c>
      <c r="AR364" s="705">
        <v>2880</v>
      </c>
      <c r="AS364" s="705">
        <v>1067</v>
      </c>
      <c r="AT364" s="705">
        <v>84692</v>
      </c>
      <c r="AU364" s="705">
        <f t="shared" si="28"/>
        <v>84692</v>
      </c>
      <c r="AV364" s="705">
        <f t="shared" si="29"/>
        <v>97994</v>
      </c>
    </row>
    <row r="365" spans="2:48">
      <c r="B365" t="s">
        <v>537</v>
      </c>
      <c r="C365" t="s">
        <v>116</v>
      </c>
      <c r="D365" t="s">
        <v>585</v>
      </c>
      <c r="E365" t="s">
        <v>585</v>
      </c>
      <c r="F365" s="705">
        <v>18</v>
      </c>
      <c r="G365" s="705">
        <v>2022</v>
      </c>
      <c r="H365" s="705">
        <v>3411</v>
      </c>
      <c r="I365" s="705">
        <v>195903</v>
      </c>
      <c r="J365" s="705">
        <v>178093</v>
      </c>
      <c r="K365" s="705">
        <v>68</v>
      </c>
      <c r="L365" s="705">
        <v>18156</v>
      </c>
      <c r="M365" s="705">
        <v>14408</v>
      </c>
      <c r="N365" s="705">
        <v>45512</v>
      </c>
      <c r="O365" s="705">
        <v>16856</v>
      </c>
      <c r="P365" s="705">
        <v>10565</v>
      </c>
      <c r="Q365" s="705">
        <v>3913</v>
      </c>
      <c r="R365" s="705">
        <v>108103</v>
      </c>
      <c r="S365" s="705">
        <v>98276</v>
      </c>
      <c r="T365" s="705">
        <v>0</v>
      </c>
      <c r="U365" s="705">
        <v>0</v>
      </c>
      <c r="V365" s="705">
        <v>311546</v>
      </c>
      <c r="W365" s="705">
        <f t="shared" si="24"/>
        <v>311546</v>
      </c>
      <c r="X365" s="705">
        <f t="shared" si="25"/>
        <v>378239</v>
      </c>
      <c r="Y365" s="705"/>
      <c r="AA365" t="s">
        <v>124</v>
      </c>
      <c r="AB365" t="s">
        <v>583</v>
      </c>
      <c r="AC365" s="705" t="s">
        <v>228</v>
      </c>
      <c r="AD365" s="705">
        <v>127</v>
      </c>
      <c r="AE365" s="705">
        <v>11013</v>
      </c>
      <c r="AF365" s="705">
        <v>71593</v>
      </c>
      <c r="AG365" s="705">
        <v>4074627</v>
      </c>
      <c r="AH365" s="705">
        <v>3704206</v>
      </c>
      <c r="AI365" s="706">
        <v>71</v>
      </c>
      <c r="AJ365" s="705">
        <v>901897</v>
      </c>
      <c r="AK365" s="705">
        <v>760257</v>
      </c>
      <c r="AL365" s="705">
        <v>243728</v>
      </c>
      <c r="AM365" s="705">
        <v>90270</v>
      </c>
      <c r="AN365" s="705">
        <v>73899</v>
      </c>
      <c r="AO365" s="705">
        <v>27370</v>
      </c>
      <c r="AP365" s="705">
        <v>890721</v>
      </c>
      <c r="AQ365" s="705">
        <v>329897</v>
      </c>
      <c r="AR365" s="705">
        <v>6430</v>
      </c>
      <c r="AS365" s="705">
        <v>2381</v>
      </c>
      <c r="AT365" s="705">
        <v>4914381</v>
      </c>
      <c r="AU365" s="705">
        <f t="shared" si="28"/>
        <v>4914381</v>
      </c>
      <c r="AV365" s="705">
        <f t="shared" si="29"/>
        <v>6191302</v>
      </c>
    </row>
    <row r="366" spans="2:48">
      <c r="B366" t="s">
        <v>537</v>
      </c>
      <c r="C366" t="s">
        <v>116</v>
      </c>
      <c r="D366" t="s">
        <v>668</v>
      </c>
      <c r="E366" s="705" t="s">
        <v>668</v>
      </c>
      <c r="F366" s="705">
        <v>7</v>
      </c>
      <c r="G366" s="705">
        <v>615</v>
      </c>
      <c r="H366" s="705">
        <v>1306</v>
      </c>
      <c r="I366" s="705">
        <v>70402</v>
      </c>
      <c r="J366" s="705">
        <v>64002</v>
      </c>
      <c r="K366" s="705">
        <v>65</v>
      </c>
      <c r="L366" s="705">
        <v>3640</v>
      </c>
      <c r="M366" s="705">
        <v>1922</v>
      </c>
      <c r="N366" s="705">
        <v>11739</v>
      </c>
      <c r="O366" s="705">
        <v>4348</v>
      </c>
      <c r="P366" s="705">
        <v>8029</v>
      </c>
      <c r="Q366" s="705">
        <v>2974</v>
      </c>
      <c r="R366" s="705">
        <v>19769</v>
      </c>
      <c r="S366" s="705">
        <v>17972</v>
      </c>
      <c r="T366" s="705">
        <v>292</v>
      </c>
      <c r="U366" s="705">
        <v>108</v>
      </c>
      <c r="V366" s="705">
        <v>91326</v>
      </c>
      <c r="W366" s="705">
        <f t="shared" si="24"/>
        <v>91326</v>
      </c>
      <c r="X366" s="705">
        <f t="shared" si="25"/>
        <v>113871</v>
      </c>
      <c r="Y366" s="705"/>
      <c r="AA366" t="s">
        <v>124</v>
      </c>
      <c r="AB366" t="s">
        <v>583</v>
      </c>
      <c r="AC366" s="705" t="s">
        <v>583</v>
      </c>
      <c r="AD366" s="705">
        <v>4300</v>
      </c>
      <c r="AE366" s="705">
        <v>396945</v>
      </c>
      <c r="AF366" s="705">
        <v>2279392</v>
      </c>
      <c r="AG366" s="705">
        <v>138624946</v>
      </c>
      <c r="AH366" s="705">
        <v>126022678</v>
      </c>
      <c r="AI366" s="706">
        <v>71</v>
      </c>
      <c r="AJ366" s="705">
        <v>30834200</v>
      </c>
      <c r="AK366" s="705">
        <v>26629614</v>
      </c>
      <c r="AL366" s="705">
        <v>8716010</v>
      </c>
      <c r="AM366" s="705">
        <v>3228152</v>
      </c>
      <c r="AN366" s="705">
        <v>2715806</v>
      </c>
      <c r="AO366" s="705">
        <v>1005854</v>
      </c>
      <c r="AP366" s="705">
        <v>22134125</v>
      </c>
      <c r="AQ366" s="705">
        <v>20121932</v>
      </c>
      <c r="AR366" s="705">
        <v>8083547</v>
      </c>
      <c r="AS366" s="705">
        <v>2993906</v>
      </c>
      <c r="AT366" s="705">
        <v>180002135</v>
      </c>
      <c r="AU366" s="705">
        <f t="shared" si="28"/>
        <v>180002136</v>
      </c>
      <c r="AV366" s="705">
        <f t="shared" si="29"/>
        <v>211108634</v>
      </c>
    </row>
    <row r="367" spans="2:48">
      <c r="B367" t="s">
        <v>537</v>
      </c>
      <c r="C367" t="s">
        <v>118</v>
      </c>
      <c r="F367">
        <v>30</v>
      </c>
      <c r="G367" s="705">
        <v>1644</v>
      </c>
      <c r="H367" s="705">
        <v>7418</v>
      </c>
      <c r="I367" s="705"/>
      <c r="J367" s="705">
        <v>0</v>
      </c>
      <c r="K367" s="705"/>
      <c r="L367" s="705"/>
      <c r="M367" s="705">
        <v>0</v>
      </c>
      <c r="N367" s="705">
        <v>37925</v>
      </c>
      <c r="O367" s="705">
        <v>14046</v>
      </c>
      <c r="P367" s="705">
        <v>5252</v>
      </c>
      <c r="Q367" s="705">
        <v>1945</v>
      </c>
      <c r="R367" s="705"/>
      <c r="S367" s="705">
        <v>0</v>
      </c>
      <c r="T367" s="705">
        <v>38269</v>
      </c>
      <c r="U367" s="705">
        <v>14174</v>
      </c>
      <c r="V367" s="705">
        <v>30165</v>
      </c>
      <c r="W367" s="705">
        <f t="shared" si="24"/>
        <v>30165</v>
      </c>
      <c r="X367" s="705">
        <f t="shared" si="25"/>
        <v>81446</v>
      </c>
      <c r="Y367" s="705"/>
      <c r="AA367" t="s">
        <v>124</v>
      </c>
      <c r="AB367" t="s">
        <v>583</v>
      </c>
      <c r="AC367" s="705" t="s">
        <v>666</v>
      </c>
      <c r="AD367" s="705">
        <v>2</v>
      </c>
      <c r="AE367" s="705">
        <v>229</v>
      </c>
      <c r="AF367" s="705">
        <v>1121</v>
      </c>
      <c r="AG367" s="705">
        <v>88759</v>
      </c>
      <c r="AH367" s="705">
        <v>80690</v>
      </c>
      <c r="AI367" s="706">
        <v>63</v>
      </c>
      <c r="AJ367" s="705">
        <v>15669</v>
      </c>
      <c r="AK367" s="705">
        <v>14244</v>
      </c>
      <c r="AL367" s="705">
        <v>4938</v>
      </c>
      <c r="AM367" s="705">
        <v>1829</v>
      </c>
      <c r="AN367" s="705">
        <v>1242</v>
      </c>
      <c r="AO367" s="705">
        <v>460</v>
      </c>
      <c r="AP367" s="705">
        <v>10695</v>
      </c>
      <c r="AQ367" s="705">
        <v>9723</v>
      </c>
      <c r="AR367" s="705">
        <v>4898</v>
      </c>
      <c r="AS367" s="705">
        <v>1814</v>
      </c>
      <c r="AT367" s="705">
        <v>108760</v>
      </c>
      <c r="AU367" s="705">
        <f t="shared" si="28"/>
        <v>108760</v>
      </c>
      <c r="AV367" s="705">
        <f t="shared" si="29"/>
        <v>126201</v>
      </c>
    </row>
    <row r="368" spans="2:48">
      <c r="B368" t="s">
        <v>537</v>
      </c>
      <c r="C368" t="s">
        <v>118</v>
      </c>
      <c r="D368" t="s">
        <v>674</v>
      </c>
      <c r="E368" t="s">
        <v>674</v>
      </c>
      <c r="F368">
        <v>1</v>
      </c>
      <c r="G368" s="705">
        <v>80</v>
      </c>
      <c r="H368" s="705">
        <v>243</v>
      </c>
      <c r="I368" s="705">
        <v>9075</v>
      </c>
      <c r="J368" s="705">
        <v>8250</v>
      </c>
      <c r="K368" s="705">
        <v>65</v>
      </c>
      <c r="L368" s="705">
        <v>1008</v>
      </c>
      <c r="M368" s="705">
        <v>917</v>
      </c>
      <c r="N368" s="705">
        <v>1726</v>
      </c>
      <c r="O368" s="705">
        <v>639</v>
      </c>
      <c r="P368" s="705">
        <v>351</v>
      </c>
      <c r="Q368" s="705">
        <v>130</v>
      </c>
      <c r="R368" s="705">
        <v>4707</v>
      </c>
      <c r="S368" s="705">
        <v>4279</v>
      </c>
      <c r="T368" s="705">
        <v>2612</v>
      </c>
      <c r="U368" s="705">
        <v>967</v>
      </c>
      <c r="V368" s="705">
        <v>15182</v>
      </c>
      <c r="W368" s="705">
        <f t="shared" si="24"/>
        <v>15182</v>
      </c>
      <c r="X368" s="705">
        <f t="shared" si="25"/>
        <v>19479</v>
      </c>
      <c r="Y368" s="705"/>
      <c r="AA368" t="s">
        <v>124</v>
      </c>
      <c r="AB368" t="s">
        <v>583</v>
      </c>
      <c r="AC368" s="705" t="s">
        <v>584</v>
      </c>
      <c r="AD368" s="705">
        <v>8</v>
      </c>
      <c r="AE368" s="705">
        <v>843</v>
      </c>
      <c r="AF368" s="705">
        <v>3993</v>
      </c>
      <c r="AG368" s="705">
        <v>273001</v>
      </c>
      <c r="AH368" s="705">
        <v>248182</v>
      </c>
      <c r="AI368" s="706">
        <v>66</v>
      </c>
      <c r="AJ368" s="705">
        <v>58582</v>
      </c>
      <c r="AK368" s="705">
        <v>50872</v>
      </c>
      <c r="AL368" s="705">
        <v>19162</v>
      </c>
      <c r="AM368" s="705">
        <v>7097</v>
      </c>
      <c r="AN368" s="705">
        <v>4968</v>
      </c>
      <c r="AO368" s="705">
        <v>1840</v>
      </c>
      <c r="AP368" s="705">
        <v>45204</v>
      </c>
      <c r="AQ368" s="705">
        <v>41094</v>
      </c>
      <c r="AR368" s="705">
        <v>17875</v>
      </c>
      <c r="AS368" s="705">
        <v>6620</v>
      </c>
      <c r="AT368" s="705">
        <v>355706</v>
      </c>
      <c r="AU368" s="705">
        <f t="shared" si="28"/>
        <v>355705</v>
      </c>
      <c r="AV368" s="705">
        <f t="shared" si="29"/>
        <v>418792</v>
      </c>
    </row>
    <row r="369" spans="2:48">
      <c r="B369" t="s">
        <v>537</v>
      </c>
      <c r="C369" t="s">
        <v>118</v>
      </c>
      <c r="D369" t="s">
        <v>664</v>
      </c>
      <c r="E369" t="s">
        <v>664</v>
      </c>
      <c r="F369">
        <v>4</v>
      </c>
      <c r="G369">
        <v>451</v>
      </c>
      <c r="H369" s="705">
        <v>1053</v>
      </c>
      <c r="I369" s="705">
        <v>73868</v>
      </c>
      <c r="J369" s="705">
        <v>67153</v>
      </c>
      <c r="K369" s="705">
        <v>86</v>
      </c>
      <c r="L369" s="705">
        <v>14139</v>
      </c>
      <c r="M369" s="705">
        <v>12854</v>
      </c>
      <c r="N369" s="705">
        <v>8810</v>
      </c>
      <c r="O369" s="705">
        <v>3263</v>
      </c>
      <c r="P369" s="705">
        <v>2039</v>
      </c>
      <c r="Q369" s="705">
        <v>755</v>
      </c>
      <c r="R369" s="705">
        <v>16275</v>
      </c>
      <c r="S369" s="705">
        <v>14796</v>
      </c>
      <c r="T369" s="705">
        <v>5160</v>
      </c>
      <c r="U369" s="705">
        <v>1911</v>
      </c>
      <c r="V369" s="705">
        <v>100731</v>
      </c>
      <c r="W369" s="705">
        <f t="shared" si="24"/>
        <v>100732</v>
      </c>
      <c r="X369" s="705">
        <f t="shared" si="25"/>
        <v>120291</v>
      </c>
      <c r="Y369" s="705"/>
      <c r="AA369" t="s">
        <v>124</v>
      </c>
      <c r="AB369" t="s">
        <v>583</v>
      </c>
      <c r="AC369" s="705" t="s">
        <v>669</v>
      </c>
      <c r="AD369" s="705">
        <v>1</v>
      </c>
      <c r="AE369" s="705">
        <v>86</v>
      </c>
      <c r="AF369" s="705">
        <v>469</v>
      </c>
      <c r="AG369" s="705">
        <v>25188</v>
      </c>
      <c r="AH369" s="705">
        <v>22898</v>
      </c>
      <c r="AI369" s="706">
        <v>65</v>
      </c>
      <c r="AJ369" s="705">
        <v>6289</v>
      </c>
      <c r="AK369" s="705">
        <v>5241</v>
      </c>
      <c r="AL369" s="705">
        <v>2091</v>
      </c>
      <c r="AM369" s="705">
        <v>774</v>
      </c>
      <c r="AN369" s="705">
        <v>621</v>
      </c>
      <c r="AO369" s="705">
        <v>230</v>
      </c>
      <c r="AP369" s="705">
        <v>4216</v>
      </c>
      <c r="AQ369" s="705">
        <v>3513</v>
      </c>
      <c r="AR369" s="705">
        <v>1798</v>
      </c>
      <c r="AS369" s="705">
        <v>666</v>
      </c>
      <c r="AT369" s="705">
        <v>33322</v>
      </c>
      <c r="AU369" s="705">
        <f t="shared" si="28"/>
        <v>33322</v>
      </c>
      <c r="AV369" s="705">
        <f t="shared" si="29"/>
        <v>40203</v>
      </c>
    </row>
    <row r="370" spans="2:48">
      <c r="B370" t="s">
        <v>537</v>
      </c>
      <c r="C370" t="s">
        <v>118</v>
      </c>
      <c r="D370" t="s">
        <v>664</v>
      </c>
      <c r="E370" t="s">
        <v>228</v>
      </c>
      <c r="F370">
        <v>1</v>
      </c>
      <c r="G370">
        <v>95</v>
      </c>
      <c r="H370" s="705">
        <v>296</v>
      </c>
      <c r="I370" s="705">
        <v>19141</v>
      </c>
      <c r="J370" s="705">
        <v>17401</v>
      </c>
      <c r="K370" s="705">
        <v>63</v>
      </c>
      <c r="L370" s="705">
        <v>2436</v>
      </c>
      <c r="M370" s="705">
        <v>2215</v>
      </c>
      <c r="N370" s="705">
        <v>1538</v>
      </c>
      <c r="O370" s="705">
        <v>570</v>
      </c>
      <c r="P370" s="705">
        <v>0</v>
      </c>
      <c r="Q370" s="705">
        <v>0</v>
      </c>
      <c r="R370" s="705">
        <v>4938</v>
      </c>
      <c r="S370" s="705">
        <v>1829</v>
      </c>
      <c r="T370" s="705">
        <v>0</v>
      </c>
      <c r="U370" s="705">
        <v>0</v>
      </c>
      <c r="V370" s="705">
        <v>22014</v>
      </c>
      <c r="W370" s="705">
        <f t="shared" si="24"/>
        <v>22015</v>
      </c>
      <c r="X370" s="705">
        <f t="shared" si="25"/>
        <v>28053</v>
      </c>
      <c r="Y370" s="705"/>
      <c r="AA370" t="s">
        <v>124</v>
      </c>
      <c r="AB370" t="s">
        <v>583</v>
      </c>
      <c r="AC370" s="705" t="s">
        <v>671</v>
      </c>
      <c r="AD370" s="705">
        <v>1</v>
      </c>
      <c r="AE370" s="705">
        <v>59</v>
      </c>
      <c r="AF370" s="705">
        <v>600</v>
      </c>
      <c r="AG370" s="705">
        <v>20576</v>
      </c>
      <c r="AH370" s="705">
        <v>18706</v>
      </c>
      <c r="AI370" s="706">
        <v>70</v>
      </c>
      <c r="AJ370" s="705">
        <v>5068</v>
      </c>
      <c r="AK370" s="705">
        <v>4607</v>
      </c>
      <c r="AL370" s="705">
        <v>1433</v>
      </c>
      <c r="AM370" s="705">
        <v>531</v>
      </c>
      <c r="AN370" s="705">
        <v>621</v>
      </c>
      <c r="AO370" s="705">
        <v>230</v>
      </c>
      <c r="AP370" s="705">
        <v>5727</v>
      </c>
      <c r="AQ370" s="705">
        <v>5207</v>
      </c>
      <c r="AR370" s="705">
        <v>1873</v>
      </c>
      <c r="AS370" s="705">
        <v>694</v>
      </c>
      <c r="AT370" s="705">
        <v>29974</v>
      </c>
      <c r="AU370" s="705">
        <f t="shared" si="28"/>
        <v>29975</v>
      </c>
      <c r="AV370" s="705">
        <f t="shared" si="29"/>
        <v>35298</v>
      </c>
    </row>
    <row r="371" spans="2:48">
      <c r="B371" t="s">
        <v>537</v>
      </c>
      <c r="C371" t="s">
        <v>118</v>
      </c>
      <c r="D371" t="s">
        <v>664</v>
      </c>
      <c r="E371" t="s">
        <v>583</v>
      </c>
      <c r="F371">
        <v>1</v>
      </c>
      <c r="G371" s="705">
        <v>70</v>
      </c>
      <c r="H371" s="705">
        <v>282</v>
      </c>
      <c r="I371" s="705">
        <v>9554</v>
      </c>
      <c r="J371" s="705">
        <v>8686</v>
      </c>
      <c r="K371" s="705">
        <v>70</v>
      </c>
      <c r="L371" s="705">
        <v>1086</v>
      </c>
      <c r="M371" s="705">
        <v>987</v>
      </c>
      <c r="N371" s="705">
        <v>1382</v>
      </c>
      <c r="O371" s="705">
        <v>512</v>
      </c>
      <c r="P371" s="705">
        <v>621</v>
      </c>
      <c r="Q371" s="705">
        <v>230</v>
      </c>
      <c r="R371" s="705">
        <v>7111</v>
      </c>
      <c r="S371" s="705">
        <v>6464</v>
      </c>
      <c r="T371" s="705">
        <v>0</v>
      </c>
      <c r="U371" s="705">
        <v>0</v>
      </c>
      <c r="V371" s="705">
        <v>16879</v>
      </c>
      <c r="W371" s="705">
        <f t="shared" si="24"/>
        <v>16879</v>
      </c>
      <c r="X371" s="705">
        <f t="shared" si="25"/>
        <v>19754</v>
      </c>
      <c r="Y371" s="705"/>
      <c r="AA371" t="s">
        <v>124</v>
      </c>
      <c r="AB371" t="s">
        <v>583</v>
      </c>
      <c r="AC371" s="705" t="s">
        <v>665</v>
      </c>
      <c r="AD371" s="705">
        <v>9</v>
      </c>
      <c r="AE371" s="705">
        <v>851</v>
      </c>
      <c r="AF371" s="705">
        <v>4706</v>
      </c>
      <c r="AG371" s="705">
        <v>286492</v>
      </c>
      <c r="AH371" s="705">
        <v>260447</v>
      </c>
      <c r="AI371" s="706">
        <v>74</v>
      </c>
      <c r="AJ371" s="705">
        <v>57173</v>
      </c>
      <c r="AK371" s="705">
        <v>42078</v>
      </c>
      <c r="AL371" s="705">
        <v>18775</v>
      </c>
      <c r="AM371" s="705">
        <v>6954</v>
      </c>
      <c r="AN371" s="705">
        <v>5940</v>
      </c>
      <c r="AO371" s="705">
        <v>2200</v>
      </c>
      <c r="AP371" s="705">
        <v>48721</v>
      </c>
      <c r="AQ371" s="705">
        <v>44292</v>
      </c>
      <c r="AR371" s="705">
        <v>17301</v>
      </c>
      <c r="AS371" s="705">
        <v>6408</v>
      </c>
      <c r="AT371" s="705">
        <v>362378</v>
      </c>
      <c r="AU371" s="705">
        <f t="shared" si="28"/>
        <v>362379</v>
      </c>
      <c r="AV371" s="705">
        <f t="shared" si="29"/>
        <v>434402</v>
      </c>
    </row>
    <row r="372" spans="2:48">
      <c r="B372" t="s">
        <v>537</v>
      </c>
      <c r="C372" t="s">
        <v>118</v>
      </c>
      <c r="D372" t="s">
        <v>582</v>
      </c>
      <c r="E372" t="s">
        <v>582</v>
      </c>
      <c r="F372">
        <v>32</v>
      </c>
      <c r="G372" s="705">
        <v>3372</v>
      </c>
      <c r="H372" s="705">
        <v>8319</v>
      </c>
      <c r="I372" s="705">
        <v>518710</v>
      </c>
      <c r="J372" s="705">
        <v>471555</v>
      </c>
      <c r="K372">
        <v>80</v>
      </c>
      <c r="L372" s="705">
        <v>96860</v>
      </c>
      <c r="M372" s="705">
        <v>80799</v>
      </c>
      <c r="N372" s="705">
        <v>71877</v>
      </c>
      <c r="O372" s="705">
        <v>26621</v>
      </c>
      <c r="P372" s="705">
        <v>15620</v>
      </c>
      <c r="Q372" s="705">
        <v>5785</v>
      </c>
      <c r="R372" s="705">
        <v>128490</v>
      </c>
      <c r="S372" s="705">
        <v>116809</v>
      </c>
      <c r="T372" s="705">
        <v>50027</v>
      </c>
      <c r="U372" s="705">
        <v>18528</v>
      </c>
      <c r="V372" s="705">
        <v>720097</v>
      </c>
      <c r="W372" s="705">
        <f t="shared" si="24"/>
        <v>720097</v>
      </c>
      <c r="X372" s="705">
        <f t="shared" si="25"/>
        <v>881584</v>
      </c>
      <c r="Y372" s="705"/>
      <c r="AA372" t="s">
        <v>124</v>
      </c>
      <c r="AB372" t="s">
        <v>666</v>
      </c>
      <c r="AC372" s="705" t="s">
        <v>664</v>
      </c>
      <c r="AD372" s="705">
        <v>1</v>
      </c>
      <c r="AE372" s="705">
        <v>79</v>
      </c>
      <c r="AF372" s="705">
        <v>975</v>
      </c>
      <c r="AG372" s="705">
        <v>70164</v>
      </c>
      <c r="AH372" s="705">
        <v>63786</v>
      </c>
      <c r="AI372" s="706">
        <v>30</v>
      </c>
      <c r="AJ372" s="705">
        <v>0</v>
      </c>
      <c r="AK372" s="705">
        <v>0</v>
      </c>
      <c r="AL372" s="705">
        <v>1745</v>
      </c>
      <c r="AM372" s="705">
        <v>646</v>
      </c>
      <c r="AN372" s="705">
        <v>0</v>
      </c>
      <c r="AO372" s="705">
        <v>0</v>
      </c>
      <c r="AP372" s="705">
        <v>4814</v>
      </c>
      <c r="AQ372" s="705">
        <v>4376</v>
      </c>
      <c r="AR372" s="705">
        <v>0</v>
      </c>
      <c r="AS372" s="705">
        <v>0</v>
      </c>
      <c r="AT372" s="705">
        <v>68808</v>
      </c>
      <c r="AU372" s="705">
        <f t="shared" si="28"/>
        <v>68808</v>
      </c>
      <c r="AV372" s="705">
        <f t="shared" si="29"/>
        <v>76723</v>
      </c>
    </row>
    <row r="373" spans="2:48">
      <c r="B373" t="s">
        <v>537</v>
      </c>
      <c r="C373" t="s">
        <v>118</v>
      </c>
      <c r="D373" t="s">
        <v>582</v>
      </c>
      <c r="E373" t="s">
        <v>228</v>
      </c>
      <c r="F373" s="705">
        <v>1</v>
      </c>
      <c r="G373" s="705">
        <v>64</v>
      </c>
      <c r="H373" s="705">
        <v>246</v>
      </c>
      <c r="I373" s="705">
        <v>8546</v>
      </c>
      <c r="J373" s="705">
        <v>7769</v>
      </c>
      <c r="K373" s="705">
        <v>92</v>
      </c>
      <c r="L373" s="705">
        <v>0</v>
      </c>
      <c r="M373" s="705">
        <v>0</v>
      </c>
      <c r="N373" s="705">
        <v>1552</v>
      </c>
      <c r="O373" s="705">
        <v>575</v>
      </c>
      <c r="P373" s="705">
        <v>473</v>
      </c>
      <c r="Q373" s="705">
        <v>175</v>
      </c>
      <c r="R373" s="705">
        <v>5075</v>
      </c>
      <c r="S373" s="705">
        <v>1880</v>
      </c>
      <c r="T373" s="705">
        <v>0</v>
      </c>
      <c r="U373" s="705">
        <v>0</v>
      </c>
      <c r="V373" s="705">
        <v>10399</v>
      </c>
      <c r="W373" s="705">
        <f t="shared" si="24"/>
        <v>10399</v>
      </c>
      <c r="X373" s="705">
        <f t="shared" si="25"/>
        <v>15646</v>
      </c>
      <c r="Y373" s="705"/>
      <c r="AA373" t="s">
        <v>124</v>
      </c>
      <c r="AB373" t="s">
        <v>666</v>
      </c>
      <c r="AC373" s="705" t="s">
        <v>228</v>
      </c>
      <c r="AD373" s="705">
        <v>140</v>
      </c>
      <c r="AE373" s="705">
        <v>11413</v>
      </c>
      <c r="AF373" s="705">
        <v>139991</v>
      </c>
      <c r="AG373" s="705">
        <v>8705375</v>
      </c>
      <c r="AH373" s="705">
        <v>7913977</v>
      </c>
      <c r="AI373" s="706">
        <v>36</v>
      </c>
      <c r="AJ373" s="705">
        <v>776705</v>
      </c>
      <c r="AK373" s="705">
        <v>463614</v>
      </c>
      <c r="AL373" s="705">
        <v>262760</v>
      </c>
      <c r="AM373" s="705">
        <v>97318</v>
      </c>
      <c r="AN373" s="705">
        <v>7371</v>
      </c>
      <c r="AO373" s="705">
        <v>2730</v>
      </c>
      <c r="AP373" s="705">
        <v>1328508</v>
      </c>
      <c r="AQ373" s="705">
        <v>492040</v>
      </c>
      <c r="AR373" s="705">
        <v>13186</v>
      </c>
      <c r="AS373" s="705">
        <v>4884</v>
      </c>
      <c r="AT373" s="705">
        <v>8974564</v>
      </c>
      <c r="AU373" s="705">
        <f t="shared" si="28"/>
        <v>8974563</v>
      </c>
      <c r="AV373" s="705">
        <f t="shared" si="29"/>
        <v>11093905</v>
      </c>
    </row>
    <row r="374" spans="2:48">
      <c r="B374" t="s">
        <v>537</v>
      </c>
      <c r="C374" t="s">
        <v>118</v>
      </c>
      <c r="D374" t="s">
        <v>228</v>
      </c>
      <c r="E374" t="s">
        <v>228</v>
      </c>
      <c r="F374">
        <v>785</v>
      </c>
      <c r="G374" s="705">
        <v>74279</v>
      </c>
      <c r="H374" s="705">
        <v>209103</v>
      </c>
      <c r="I374" s="705">
        <v>10942678</v>
      </c>
      <c r="J374" s="705">
        <v>4052844</v>
      </c>
      <c r="K374" s="705">
        <v>102</v>
      </c>
      <c r="L374" s="705">
        <v>1712089</v>
      </c>
      <c r="M374" s="705">
        <v>1208494</v>
      </c>
      <c r="N374" s="705">
        <v>1584111</v>
      </c>
      <c r="O374" s="705">
        <v>586708</v>
      </c>
      <c r="P374" s="705">
        <v>11672</v>
      </c>
      <c r="Q374" s="705">
        <v>4323</v>
      </c>
      <c r="R374" s="705">
        <v>5799208</v>
      </c>
      <c r="S374" s="705">
        <v>2147855</v>
      </c>
      <c r="T374" s="705">
        <v>40342</v>
      </c>
      <c r="U374" s="705">
        <v>14941</v>
      </c>
      <c r="V374" s="705">
        <v>8015165</v>
      </c>
      <c r="W374" s="705">
        <f t="shared" si="24"/>
        <v>8015165</v>
      </c>
      <c r="X374" s="705">
        <f t="shared" si="25"/>
        <v>20090100</v>
      </c>
      <c r="Y374" s="705"/>
      <c r="AA374" t="s">
        <v>124</v>
      </c>
      <c r="AB374" t="s">
        <v>666</v>
      </c>
      <c r="AC374" s="705" t="s">
        <v>583</v>
      </c>
      <c r="AD374" s="705">
        <v>10</v>
      </c>
      <c r="AE374" s="705">
        <v>948</v>
      </c>
      <c r="AF374" s="705">
        <v>6086</v>
      </c>
      <c r="AG374" s="705">
        <v>509388</v>
      </c>
      <c r="AH374" s="705">
        <v>463080</v>
      </c>
      <c r="AI374" s="706">
        <v>53</v>
      </c>
      <c r="AJ374" s="705">
        <v>39001</v>
      </c>
      <c r="AK374" s="705">
        <v>31463</v>
      </c>
      <c r="AL374" s="705">
        <v>20266</v>
      </c>
      <c r="AM374" s="705">
        <v>7506</v>
      </c>
      <c r="AN374" s="705">
        <v>3267</v>
      </c>
      <c r="AO374" s="705">
        <v>1210</v>
      </c>
      <c r="AP374" s="705">
        <v>68900</v>
      </c>
      <c r="AQ374" s="705">
        <v>62636</v>
      </c>
      <c r="AR374" s="705">
        <v>24186</v>
      </c>
      <c r="AS374" s="705">
        <v>8958</v>
      </c>
      <c r="AT374" s="705">
        <v>574853</v>
      </c>
      <c r="AU374" s="705">
        <f t="shared" si="28"/>
        <v>574853</v>
      </c>
      <c r="AV374" s="705">
        <f t="shared" si="29"/>
        <v>665008</v>
      </c>
    </row>
    <row r="375" spans="2:48">
      <c r="B375" t="s">
        <v>537</v>
      </c>
      <c r="C375" t="s">
        <v>118</v>
      </c>
      <c r="D375" t="s">
        <v>228</v>
      </c>
      <c r="E375" t="s">
        <v>584</v>
      </c>
      <c r="F375" s="705">
        <v>1</v>
      </c>
      <c r="G375" s="705">
        <v>111</v>
      </c>
      <c r="H375" s="705">
        <v>296</v>
      </c>
      <c r="I375" s="705">
        <v>21951</v>
      </c>
      <c r="J375" s="705">
        <v>8130</v>
      </c>
      <c r="K375" s="705">
        <v>100</v>
      </c>
      <c r="L375" s="705">
        <v>2841</v>
      </c>
      <c r="M375" s="705">
        <v>2583</v>
      </c>
      <c r="N375" s="705">
        <v>2035</v>
      </c>
      <c r="O375" s="705">
        <v>754</v>
      </c>
      <c r="P375" s="705">
        <v>473</v>
      </c>
      <c r="Q375" s="705">
        <v>175</v>
      </c>
      <c r="R375" s="705">
        <v>3553</v>
      </c>
      <c r="S375" s="705">
        <v>3230</v>
      </c>
      <c r="T375" s="705">
        <v>2125</v>
      </c>
      <c r="U375" s="705">
        <v>787</v>
      </c>
      <c r="V375" s="705">
        <v>15659</v>
      </c>
      <c r="W375" s="705">
        <f t="shared" si="24"/>
        <v>15659</v>
      </c>
      <c r="X375" s="705">
        <f t="shared" si="25"/>
        <v>32978</v>
      </c>
      <c r="Y375" s="705"/>
      <c r="AA375" t="s">
        <v>124</v>
      </c>
      <c r="AB375" t="s">
        <v>666</v>
      </c>
      <c r="AC375" s="705" t="s">
        <v>666</v>
      </c>
      <c r="AD375" s="705">
        <v>367</v>
      </c>
      <c r="AE375" s="705">
        <v>26383</v>
      </c>
      <c r="AF375" s="705">
        <v>221184</v>
      </c>
      <c r="AG375" s="705">
        <v>11012146</v>
      </c>
      <c r="AH375" s="705">
        <v>10011042</v>
      </c>
      <c r="AI375" s="706">
        <v>52</v>
      </c>
      <c r="AJ375" s="705">
        <v>1448932</v>
      </c>
      <c r="AK375" s="705">
        <v>1337240</v>
      </c>
      <c r="AL375" s="705">
        <v>567817</v>
      </c>
      <c r="AM375" s="705">
        <v>210303</v>
      </c>
      <c r="AN375" s="705">
        <v>108608</v>
      </c>
      <c r="AO375" s="705">
        <v>40225</v>
      </c>
      <c r="AP375" s="705">
        <v>2203548</v>
      </c>
      <c r="AQ375" s="705">
        <v>2003225</v>
      </c>
      <c r="AR375" s="705">
        <v>684009</v>
      </c>
      <c r="AS375" s="705">
        <v>253337</v>
      </c>
      <c r="AT375" s="705">
        <v>13855371</v>
      </c>
      <c r="AU375" s="705">
        <f t="shared" si="28"/>
        <v>13855372</v>
      </c>
      <c r="AV375" s="705">
        <f t="shared" si="29"/>
        <v>16025060</v>
      </c>
    </row>
    <row r="376" spans="2:48">
      <c r="B376" t="s">
        <v>537</v>
      </c>
      <c r="C376" t="s">
        <v>118</v>
      </c>
      <c r="D376" t="s">
        <v>228</v>
      </c>
      <c r="E376" t="s">
        <v>669</v>
      </c>
      <c r="F376">
        <v>3</v>
      </c>
      <c r="G376" s="705">
        <v>231</v>
      </c>
      <c r="H376" s="705">
        <v>790</v>
      </c>
      <c r="I376" s="705">
        <v>29493</v>
      </c>
      <c r="J376" s="705">
        <v>10923</v>
      </c>
      <c r="K376" s="705">
        <v>100</v>
      </c>
      <c r="L376" s="705">
        <v>4142</v>
      </c>
      <c r="M376" s="705">
        <v>3452</v>
      </c>
      <c r="N376" s="705">
        <v>4999</v>
      </c>
      <c r="O376" s="705">
        <v>1851</v>
      </c>
      <c r="P376" s="705">
        <v>351</v>
      </c>
      <c r="Q376" s="705">
        <v>130</v>
      </c>
      <c r="R376" s="705">
        <v>17653</v>
      </c>
      <c r="S376" s="705">
        <v>14711</v>
      </c>
      <c r="T376" s="705">
        <v>4116</v>
      </c>
      <c r="U376" s="705">
        <v>1524</v>
      </c>
      <c r="V376" s="705">
        <v>32592</v>
      </c>
      <c r="W376" s="705">
        <f t="shared" si="24"/>
        <v>32591</v>
      </c>
      <c r="X376" s="705">
        <f t="shared" si="25"/>
        <v>60754</v>
      </c>
      <c r="Y376" s="705"/>
      <c r="AA376" t="s">
        <v>124</v>
      </c>
      <c r="AB376" t="s">
        <v>666</v>
      </c>
      <c r="AC376" s="705" t="s">
        <v>584</v>
      </c>
      <c r="AD376" s="705">
        <v>3</v>
      </c>
      <c r="AE376" s="705">
        <v>499</v>
      </c>
      <c r="AF376" s="705">
        <v>2364</v>
      </c>
      <c r="AG376" s="705">
        <v>350937</v>
      </c>
      <c r="AH376" s="705">
        <v>319033</v>
      </c>
      <c r="AI376" s="706">
        <v>30</v>
      </c>
      <c r="AJ376" s="705">
        <v>17591</v>
      </c>
      <c r="AK376" s="705">
        <v>15783</v>
      </c>
      <c r="AL376" s="705">
        <v>11732</v>
      </c>
      <c r="AM376" s="705">
        <v>4345</v>
      </c>
      <c r="AN376" s="705">
        <v>0</v>
      </c>
      <c r="AO376" s="705">
        <v>0</v>
      </c>
      <c r="AP376" s="705">
        <v>18121</v>
      </c>
      <c r="AQ376" s="705">
        <v>16474</v>
      </c>
      <c r="AR376" s="705">
        <v>0</v>
      </c>
      <c r="AS376" s="705">
        <v>0</v>
      </c>
      <c r="AT376" s="705">
        <v>355636</v>
      </c>
      <c r="AU376" s="705">
        <f t="shared" si="28"/>
        <v>355635</v>
      </c>
      <c r="AV376" s="705">
        <f t="shared" si="29"/>
        <v>398381</v>
      </c>
    </row>
    <row r="377" spans="2:48">
      <c r="B377" t="s">
        <v>537</v>
      </c>
      <c r="C377" t="s">
        <v>118</v>
      </c>
      <c r="D377" t="s">
        <v>228</v>
      </c>
      <c r="E377" t="s">
        <v>665</v>
      </c>
      <c r="F377">
        <v>5</v>
      </c>
      <c r="G377" s="705">
        <v>476</v>
      </c>
      <c r="H377" s="705">
        <v>1417</v>
      </c>
      <c r="I377" s="705">
        <v>72785</v>
      </c>
      <c r="J377" s="705">
        <v>26958</v>
      </c>
      <c r="K377" s="705">
        <v>100</v>
      </c>
      <c r="L377" s="705">
        <v>9103</v>
      </c>
      <c r="M377" s="705">
        <v>8276</v>
      </c>
      <c r="N377" s="705">
        <v>9135</v>
      </c>
      <c r="O377" s="705">
        <v>3383</v>
      </c>
      <c r="P377" s="705">
        <v>0</v>
      </c>
      <c r="Q377" s="705">
        <v>0</v>
      </c>
      <c r="R377" s="705">
        <v>30380</v>
      </c>
      <c r="S377" s="705">
        <v>27619</v>
      </c>
      <c r="T377" s="705">
        <v>13962</v>
      </c>
      <c r="U377" s="705">
        <v>5171</v>
      </c>
      <c r="V377" s="705">
        <v>71406</v>
      </c>
      <c r="W377" s="705">
        <f t="shared" si="24"/>
        <v>71407</v>
      </c>
      <c r="X377" s="705">
        <f t="shared" si="25"/>
        <v>135365</v>
      </c>
      <c r="Y377" s="705"/>
      <c r="AA377" t="s">
        <v>124</v>
      </c>
      <c r="AB377" t="s">
        <v>666</v>
      </c>
      <c r="AC377" s="705" t="s">
        <v>671</v>
      </c>
      <c r="AD377" s="705">
        <v>2</v>
      </c>
      <c r="AE377" s="705">
        <v>225</v>
      </c>
      <c r="AF377" s="705">
        <v>1147</v>
      </c>
      <c r="AG377" s="705">
        <v>95406</v>
      </c>
      <c r="AH377" s="705">
        <v>86733</v>
      </c>
      <c r="AI377" s="706">
        <v>48</v>
      </c>
      <c r="AJ377" s="705">
        <v>10401</v>
      </c>
      <c r="AK377" s="705">
        <v>9455</v>
      </c>
      <c r="AL377" s="705">
        <v>4871</v>
      </c>
      <c r="AM377" s="705">
        <v>1804</v>
      </c>
      <c r="AN377" s="705">
        <v>0</v>
      </c>
      <c r="AO377" s="705">
        <v>0</v>
      </c>
      <c r="AP377" s="705">
        <v>23425</v>
      </c>
      <c r="AQ377" s="705">
        <v>21296</v>
      </c>
      <c r="AR377" s="705">
        <v>0</v>
      </c>
      <c r="AS377" s="705">
        <v>0</v>
      </c>
      <c r="AT377" s="705">
        <v>119288</v>
      </c>
      <c r="AU377" s="705">
        <f t="shared" si="28"/>
        <v>119288</v>
      </c>
      <c r="AV377" s="705">
        <f t="shared" si="29"/>
        <v>134103</v>
      </c>
    </row>
    <row r="378" spans="2:48">
      <c r="B378" t="s">
        <v>537</v>
      </c>
      <c r="C378" t="s">
        <v>118</v>
      </c>
      <c r="D378" t="s">
        <v>670</v>
      </c>
      <c r="E378" t="s">
        <v>670</v>
      </c>
      <c r="F378">
        <v>2</v>
      </c>
      <c r="G378" s="705">
        <v>187</v>
      </c>
      <c r="H378" s="705">
        <v>492</v>
      </c>
      <c r="I378" s="705">
        <v>23662</v>
      </c>
      <c r="J378" s="705">
        <v>8764</v>
      </c>
      <c r="K378" s="705">
        <v>100</v>
      </c>
      <c r="L378" s="705">
        <v>3570</v>
      </c>
      <c r="M378" s="705">
        <v>3246</v>
      </c>
      <c r="N378" s="705">
        <v>4549</v>
      </c>
      <c r="O378" s="705">
        <v>1685</v>
      </c>
      <c r="P378" s="705">
        <v>0</v>
      </c>
      <c r="Q378" s="705">
        <v>0</v>
      </c>
      <c r="R378" s="705">
        <v>14194</v>
      </c>
      <c r="S378" s="705">
        <v>5257</v>
      </c>
      <c r="T378" s="705">
        <v>0</v>
      </c>
      <c r="U378" s="705">
        <v>0</v>
      </c>
      <c r="V378" s="705">
        <v>18952</v>
      </c>
      <c r="W378" s="705">
        <f t="shared" si="24"/>
        <v>18952</v>
      </c>
      <c r="X378" s="705">
        <f t="shared" si="25"/>
        <v>45975</v>
      </c>
      <c r="Y378" s="705"/>
      <c r="AA378" t="s">
        <v>124</v>
      </c>
      <c r="AB378" t="s">
        <v>666</v>
      </c>
      <c r="AC378" s="705" t="s">
        <v>665</v>
      </c>
      <c r="AD378" s="705">
        <v>1</v>
      </c>
      <c r="AE378" s="705">
        <v>68</v>
      </c>
      <c r="AF378" s="705">
        <v>624</v>
      </c>
      <c r="AG378" s="705">
        <v>24475</v>
      </c>
      <c r="AH378" s="705">
        <v>22250</v>
      </c>
      <c r="AI378" s="706">
        <v>55</v>
      </c>
      <c r="AJ378" s="705">
        <v>4732</v>
      </c>
      <c r="AK378" s="705">
        <v>4302</v>
      </c>
      <c r="AL378" s="705">
        <v>1667</v>
      </c>
      <c r="AM378" s="705">
        <v>617</v>
      </c>
      <c r="AN378" s="705">
        <v>351</v>
      </c>
      <c r="AO378" s="705">
        <v>130</v>
      </c>
      <c r="AP378" s="705">
        <v>7187</v>
      </c>
      <c r="AQ378" s="705">
        <v>6533</v>
      </c>
      <c r="AR378" s="705">
        <v>4235</v>
      </c>
      <c r="AS378" s="705">
        <v>1569</v>
      </c>
      <c r="AT378" s="705">
        <v>35401</v>
      </c>
      <c r="AU378" s="705">
        <f t="shared" si="28"/>
        <v>35401</v>
      </c>
      <c r="AV378" s="705">
        <f t="shared" si="29"/>
        <v>42647</v>
      </c>
    </row>
    <row r="379" spans="2:48">
      <c r="B379" t="s">
        <v>537</v>
      </c>
      <c r="C379" t="s">
        <v>118</v>
      </c>
      <c r="D379" t="s">
        <v>583</v>
      </c>
      <c r="E379" t="s">
        <v>664</v>
      </c>
      <c r="F379" s="705">
        <v>5</v>
      </c>
      <c r="G379" s="705">
        <v>479</v>
      </c>
      <c r="H379" s="705">
        <v>1227</v>
      </c>
      <c r="I379" s="705">
        <v>60834</v>
      </c>
      <c r="J379" s="705">
        <v>55304</v>
      </c>
      <c r="K379" s="705">
        <v>84</v>
      </c>
      <c r="L379" s="705">
        <v>15071</v>
      </c>
      <c r="M379" s="705">
        <v>13480</v>
      </c>
      <c r="N379" s="705">
        <v>10353</v>
      </c>
      <c r="O379" s="705">
        <v>3834</v>
      </c>
      <c r="P379" s="705">
        <v>3105</v>
      </c>
      <c r="Q379" s="705">
        <v>1150</v>
      </c>
      <c r="R379" s="705">
        <v>16819</v>
      </c>
      <c r="S379" s="705">
        <v>15290</v>
      </c>
      <c r="T379" s="705">
        <v>10515</v>
      </c>
      <c r="U379" s="705">
        <v>3895</v>
      </c>
      <c r="V379" s="705">
        <v>92953</v>
      </c>
      <c r="W379" s="705">
        <f t="shared" si="24"/>
        <v>92953</v>
      </c>
      <c r="X379" s="705">
        <f t="shared" si="25"/>
        <v>116697</v>
      </c>
      <c r="Y379" s="705"/>
      <c r="AA379" t="s">
        <v>124</v>
      </c>
      <c r="AB379" t="s">
        <v>584</v>
      </c>
      <c r="AC379" s="705" t="s">
        <v>582</v>
      </c>
      <c r="AD379" s="705">
        <v>2</v>
      </c>
      <c r="AE379" s="705">
        <v>153</v>
      </c>
      <c r="AF379" s="705">
        <v>1075</v>
      </c>
      <c r="AG379" s="705">
        <v>60525</v>
      </c>
      <c r="AH379" s="705">
        <v>55022</v>
      </c>
      <c r="AI379" s="706">
        <v>74</v>
      </c>
      <c r="AJ379" s="705">
        <v>4786</v>
      </c>
      <c r="AK379" s="705">
        <v>4351</v>
      </c>
      <c r="AL379" s="705">
        <v>2420</v>
      </c>
      <c r="AM379" s="705">
        <v>896</v>
      </c>
      <c r="AN379" s="705">
        <v>945</v>
      </c>
      <c r="AO379" s="705">
        <v>350</v>
      </c>
      <c r="AP379" s="705">
        <v>13599</v>
      </c>
      <c r="AQ379" s="705">
        <v>12363</v>
      </c>
      <c r="AR379" s="705">
        <v>0</v>
      </c>
      <c r="AS379" s="705">
        <v>0</v>
      </c>
      <c r="AT379" s="705">
        <v>72983</v>
      </c>
      <c r="AU379" s="705">
        <f t="shared" si="28"/>
        <v>72982</v>
      </c>
      <c r="AV379" s="705">
        <f t="shared" si="29"/>
        <v>82275</v>
      </c>
    </row>
    <row r="380" spans="2:48">
      <c r="B380" t="s">
        <v>537</v>
      </c>
      <c r="C380" t="s">
        <v>118</v>
      </c>
      <c r="D380" t="s">
        <v>583</v>
      </c>
      <c r="E380" t="s">
        <v>582</v>
      </c>
      <c r="F380" s="705">
        <v>1</v>
      </c>
      <c r="G380" s="705">
        <v>72</v>
      </c>
      <c r="H380" s="705">
        <v>270</v>
      </c>
      <c r="I380" s="705">
        <v>8706</v>
      </c>
      <c r="J380" s="705">
        <v>7914</v>
      </c>
      <c r="K380" s="705">
        <v>70</v>
      </c>
      <c r="L380" s="705">
        <v>2144</v>
      </c>
      <c r="M380" s="705">
        <v>1949</v>
      </c>
      <c r="N380" s="705">
        <v>1168</v>
      </c>
      <c r="O380" s="705">
        <v>432</v>
      </c>
      <c r="P380" s="705">
        <v>621</v>
      </c>
      <c r="Q380" s="705">
        <v>230</v>
      </c>
      <c r="R380" s="705">
        <v>6652</v>
      </c>
      <c r="S380" s="705">
        <v>6047</v>
      </c>
      <c r="T380" s="705">
        <v>0</v>
      </c>
      <c r="U380" s="705">
        <v>0</v>
      </c>
      <c r="V380" s="705">
        <v>16573</v>
      </c>
      <c r="W380" s="705">
        <f t="shared" si="24"/>
        <v>16572</v>
      </c>
      <c r="X380" s="705">
        <f t="shared" si="25"/>
        <v>19291</v>
      </c>
      <c r="Y380" s="705"/>
      <c r="AA380" t="s">
        <v>124</v>
      </c>
      <c r="AB380" t="s">
        <v>584</v>
      </c>
      <c r="AC380" s="705" t="s">
        <v>228</v>
      </c>
      <c r="AD380" s="705">
        <v>221</v>
      </c>
      <c r="AE380" s="705">
        <v>17198</v>
      </c>
      <c r="AF380" s="705">
        <v>127158</v>
      </c>
      <c r="AG380" s="705">
        <v>6577271</v>
      </c>
      <c r="AH380" s="705">
        <v>5979337</v>
      </c>
      <c r="AI380" s="706">
        <v>65</v>
      </c>
      <c r="AJ380" s="705">
        <v>1238118</v>
      </c>
      <c r="AK380" s="705">
        <v>985430</v>
      </c>
      <c r="AL380" s="705">
        <v>382178</v>
      </c>
      <c r="AM380" s="705">
        <v>141547</v>
      </c>
      <c r="AN380" s="705">
        <v>64612</v>
      </c>
      <c r="AO380" s="705">
        <v>23930</v>
      </c>
      <c r="AP380" s="705">
        <v>1562428</v>
      </c>
      <c r="AQ380" s="705">
        <v>578677</v>
      </c>
      <c r="AR380" s="705">
        <v>8396</v>
      </c>
      <c r="AS380" s="705">
        <v>3110</v>
      </c>
      <c r="AT380" s="705">
        <v>7712031</v>
      </c>
      <c r="AU380" s="705">
        <f t="shared" si="28"/>
        <v>7712031</v>
      </c>
      <c r="AV380" s="705">
        <f t="shared" si="29"/>
        <v>9833003</v>
      </c>
    </row>
    <row r="381" spans="2:48">
      <c r="B381" t="s">
        <v>537</v>
      </c>
      <c r="C381" t="s">
        <v>118</v>
      </c>
      <c r="D381" t="s">
        <v>583</v>
      </c>
      <c r="E381" t="s">
        <v>228</v>
      </c>
      <c r="F381">
        <v>21</v>
      </c>
      <c r="G381" s="705">
        <v>2324</v>
      </c>
      <c r="H381" s="705">
        <v>5632</v>
      </c>
      <c r="I381" s="705">
        <v>344457</v>
      </c>
      <c r="J381" s="705">
        <v>313142</v>
      </c>
      <c r="K381" s="705">
        <v>85</v>
      </c>
      <c r="L381" s="705">
        <v>83659</v>
      </c>
      <c r="M381" s="705">
        <v>65503</v>
      </c>
      <c r="N381" s="705">
        <v>47763</v>
      </c>
      <c r="O381" s="705">
        <v>17690</v>
      </c>
      <c r="P381" s="705">
        <v>13041</v>
      </c>
      <c r="Q381" s="705">
        <v>4830</v>
      </c>
      <c r="R381" s="705">
        <v>146916</v>
      </c>
      <c r="S381" s="705">
        <v>54413</v>
      </c>
      <c r="T381" s="705">
        <v>161</v>
      </c>
      <c r="U381" s="705">
        <v>60</v>
      </c>
      <c r="V381" s="705">
        <v>455638</v>
      </c>
      <c r="W381" s="705">
        <f t="shared" si="24"/>
        <v>455638</v>
      </c>
      <c r="X381" s="705">
        <f t="shared" si="25"/>
        <v>635997</v>
      </c>
      <c r="Y381" s="705"/>
      <c r="AA381" t="s">
        <v>124</v>
      </c>
      <c r="AB381" t="s">
        <v>584</v>
      </c>
      <c r="AC381" s="705" t="s">
        <v>583</v>
      </c>
      <c r="AD381" s="705">
        <v>1</v>
      </c>
      <c r="AE381" s="705">
        <v>71</v>
      </c>
      <c r="AF381" s="705">
        <v>530</v>
      </c>
      <c r="AG381" s="705">
        <v>24454</v>
      </c>
      <c r="AH381" s="705">
        <v>22231</v>
      </c>
      <c r="AI381" s="706">
        <v>68</v>
      </c>
      <c r="AJ381" s="705">
        <v>5851</v>
      </c>
      <c r="AK381" s="705">
        <v>5319</v>
      </c>
      <c r="AL381" s="705">
        <v>1627</v>
      </c>
      <c r="AM381" s="705">
        <v>603</v>
      </c>
      <c r="AN381" s="705">
        <v>473</v>
      </c>
      <c r="AO381" s="705">
        <v>175</v>
      </c>
      <c r="AP381" s="705">
        <v>3432</v>
      </c>
      <c r="AQ381" s="705">
        <v>3120</v>
      </c>
      <c r="AR381" s="705">
        <v>1593</v>
      </c>
      <c r="AS381" s="705">
        <v>590</v>
      </c>
      <c r="AT381" s="705">
        <v>32038</v>
      </c>
      <c r="AU381" s="705">
        <f t="shared" si="28"/>
        <v>32038</v>
      </c>
      <c r="AV381" s="705">
        <f t="shared" si="29"/>
        <v>37430</v>
      </c>
    </row>
    <row r="382" spans="2:48">
      <c r="B382" t="s">
        <v>537</v>
      </c>
      <c r="C382" t="s">
        <v>118</v>
      </c>
      <c r="D382" t="s">
        <v>583</v>
      </c>
      <c r="E382" s="705" t="s">
        <v>583</v>
      </c>
      <c r="F382" s="705">
        <v>2508</v>
      </c>
      <c r="G382" s="705">
        <v>240198</v>
      </c>
      <c r="H382" s="705">
        <v>649223</v>
      </c>
      <c r="I382" s="705">
        <v>33322680</v>
      </c>
      <c r="J382" s="705">
        <v>30293345</v>
      </c>
      <c r="K382" s="705">
        <v>81</v>
      </c>
      <c r="L382" s="705">
        <v>7914688</v>
      </c>
      <c r="M382" s="705">
        <v>6740679</v>
      </c>
      <c r="N382" s="705">
        <v>4974926</v>
      </c>
      <c r="O382" s="705">
        <v>1842565</v>
      </c>
      <c r="P382" s="705">
        <v>1596926</v>
      </c>
      <c r="Q382" s="705">
        <v>591454</v>
      </c>
      <c r="R382" s="705">
        <v>11885640</v>
      </c>
      <c r="S382" s="705">
        <v>10805128</v>
      </c>
      <c r="T382" s="705">
        <v>3113729</v>
      </c>
      <c r="U382" s="705">
        <v>1153233</v>
      </c>
      <c r="V382" s="705">
        <v>51426404</v>
      </c>
      <c r="W382" s="705">
        <f t="shared" si="24"/>
        <v>51426404</v>
      </c>
      <c r="X382" s="705">
        <f t="shared" si="25"/>
        <v>62808589</v>
      </c>
      <c r="Y382" s="705"/>
      <c r="AA382" t="s">
        <v>124</v>
      </c>
      <c r="AB382" t="s">
        <v>584</v>
      </c>
      <c r="AC382" s="705" t="s">
        <v>584</v>
      </c>
      <c r="AD382" s="705">
        <v>4844</v>
      </c>
      <c r="AE382" s="705">
        <v>395955</v>
      </c>
      <c r="AF382" s="705">
        <v>2537170</v>
      </c>
      <c r="AG382" s="705">
        <v>130227868</v>
      </c>
      <c r="AH382" s="705">
        <v>118388971</v>
      </c>
      <c r="AI382" s="706">
        <v>72</v>
      </c>
      <c r="AJ382" s="705">
        <v>34370223</v>
      </c>
      <c r="AK382" s="705">
        <v>29218832</v>
      </c>
      <c r="AL382" s="705">
        <v>8669440</v>
      </c>
      <c r="AM382" s="705">
        <v>3210904</v>
      </c>
      <c r="AN382" s="705">
        <v>2231466</v>
      </c>
      <c r="AO382" s="705">
        <v>826469</v>
      </c>
      <c r="AP382" s="705">
        <v>24077248</v>
      </c>
      <c r="AQ382" s="705">
        <v>21888407</v>
      </c>
      <c r="AR382" s="705">
        <v>8167608</v>
      </c>
      <c r="AS382" s="705">
        <v>3025040</v>
      </c>
      <c r="AT382" s="705">
        <v>176558623</v>
      </c>
      <c r="AU382" s="705">
        <f t="shared" si="28"/>
        <v>176558623</v>
      </c>
      <c r="AV382" s="705">
        <f t="shared" si="29"/>
        <v>207743853</v>
      </c>
    </row>
    <row r="383" spans="2:48">
      <c r="B383" t="s">
        <v>537</v>
      </c>
      <c r="C383" t="s">
        <v>118</v>
      </c>
      <c r="D383" t="s">
        <v>583</v>
      </c>
      <c r="E383" t="s">
        <v>666</v>
      </c>
      <c r="F383">
        <v>2</v>
      </c>
      <c r="G383" s="705">
        <v>223</v>
      </c>
      <c r="H383" s="705">
        <v>470</v>
      </c>
      <c r="I383" s="705">
        <v>26331</v>
      </c>
      <c r="J383" s="705">
        <v>23937</v>
      </c>
      <c r="K383" s="705">
        <v>75</v>
      </c>
      <c r="L383" s="705">
        <v>5514</v>
      </c>
      <c r="M383" s="705">
        <v>5012</v>
      </c>
      <c r="N383" s="705">
        <v>4944</v>
      </c>
      <c r="O383" s="705">
        <v>1831</v>
      </c>
      <c r="P383" s="705">
        <v>1242</v>
      </c>
      <c r="Q383" s="705">
        <v>460</v>
      </c>
      <c r="R383" s="705">
        <v>11984</v>
      </c>
      <c r="S383" s="705">
        <v>10895</v>
      </c>
      <c r="T383" s="705">
        <v>2486</v>
      </c>
      <c r="U383" s="705">
        <v>921</v>
      </c>
      <c r="V383" s="705">
        <v>43055</v>
      </c>
      <c r="W383" s="705">
        <f t="shared" si="24"/>
        <v>43056</v>
      </c>
      <c r="X383" s="705">
        <f t="shared" si="25"/>
        <v>52501</v>
      </c>
      <c r="Y383" s="705"/>
      <c r="AA383" t="s">
        <v>124</v>
      </c>
      <c r="AB383" t="s">
        <v>584</v>
      </c>
      <c r="AC383" s="705" t="s">
        <v>669</v>
      </c>
      <c r="AD383" s="705">
        <v>2</v>
      </c>
      <c r="AE383" s="705">
        <v>154</v>
      </c>
      <c r="AF383" s="705">
        <v>1193</v>
      </c>
      <c r="AG383" s="705">
        <v>46562</v>
      </c>
      <c r="AH383" s="705">
        <v>42329</v>
      </c>
      <c r="AI383" s="706">
        <v>85</v>
      </c>
      <c r="AJ383" s="705">
        <v>21505</v>
      </c>
      <c r="AK383" s="705">
        <v>12949</v>
      </c>
      <c r="AL383" s="705">
        <v>3266</v>
      </c>
      <c r="AM383" s="705">
        <v>1210</v>
      </c>
      <c r="AN383" s="705">
        <v>945</v>
      </c>
      <c r="AO383" s="705">
        <v>350</v>
      </c>
      <c r="AP383" s="705">
        <v>9142</v>
      </c>
      <c r="AQ383" s="705">
        <v>7618</v>
      </c>
      <c r="AR383" s="705">
        <v>2421</v>
      </c>
      <c r="AS383" s="705">
        <v>897</v>
      </c>
      <c r="AT383" s="705">
        <v>65353</v>
      </c>
      <c r="AU383" s="705">
        <f t="shared" si="28"/>
        <v>65353</v>
      </c>
      <c r="AV383" s="705">
        <f t="shared" si="29"/>
        <v>83841</v>
      </c>
    </row>
    <row r="384" spans="2:48">
      <c r="B384" t="s">
        <v>537</v>
      </c>
      <c r="C384" t="s">
        <v>118</v>
      </c>
      <c r="D384" t="s">
        <v>583</v>
      </c>
      <c r="E384" t="s">
        <v>584</v>
      </c>
      <c r="F384" s="705">
        <v>3</v>
      </c>
      <c r="G384" s="705">
        <v>257</v>
      </c>
      <c r="H384" s="705">
        <v>819</v>
      </c>
      <c r="I384" s="705">
        <v>35107</v>
      </c>
      <c r="J384" s="705">
        <v>31916</v>
      </c>
      <c r="K384" s="705">
        <v>75</v>
      </c>
      <c r="L384" s="705">
        <v>7408</v>
      </c>
      <c r="M384" s="705">
        <v>3981</v>
      </c>
      <c r="N384" s="705">
        <v>5755</v>
      </c>
      <c r="O384" s="705">
        <v>2131</v>
      </c>
      <c r="P384" s="705">
        <v>1863</v>
      </c>
      <c r="Q384" s="705">
        <v>690</v>
      </c>
      <c r="R384" s="705">
        <v>12419</v>
      </c>
      <c r="S384" s="705">
        <v>11290</v>
      </c>
      <c r="T384" s="705">
        <v>7430</v>
      </c>
      <c r="U384" s="705">
        <v>2752</v>
      </c>
      <c r="V384" s="705">
        <v>52760</v>
      </c>
      <c r="W384" s="705">
        <f t="shared" si="24"/>
        <v>52760</v>
      </c>
      <c r="X384" s="705">
        <f t="shared" si="25"/>
        <v>69982</v>
      </c>
      <c r="Y384" s="705"/>
      <c r="AA384" t="s">
        <v>124</v>
      </c>
      <c r="AB384" t="s">
        <v>584</v>
      </c>
      <c r="AC384" s="705" t="s">
        <v>665</v>
      </c>
      <c r="AD384" s="705">
        <v>2</v>
      </c>
      <c r="AE384" s="705">
        <v>131</v>
      </c>
      <c r="AF384" s="705">
        <v>1095</v>
      </c>
      <c r="AG384" s="705">
        <v>46370</v>
      </c>
      <c r="AH384" s="705">
        <v>42154</v>
      </c>
      <c r="AI384" s="706">
        <v>71</v>
      </c>
      <c r="AJ384" s="705">
        <v>8478</v>
      </c>
      <c r="AK384" s="705">
        <v>7707</v>
      </c>
      <c r="AL384" s="705">
        <v>2908</v>
      </c>
      <c r="AM384" s="705">
        <v>1077</v>
      </c>
      <c r="AN384" s="705">
        <v>473</v>
      </c>
      <c r="AO384" s="705">
        <v>175</v>
      </c>
      <c r="AP384" s="705">
        <v>12798</v>
      </c>
      <c r="AQ384" s="705">
        <v>11634</v>
      </c>
      <c r="AR384" s="705">
        <v>1882</v>
      </c>
      <c r="AS384" s="705">
        <v>697</v>
      </c>
      <c r="AT384" s="705">
        <v>63445</v>
      </c>
      <c r="AU384" s="705">
        <f t="shared" si="28"/>
        <v>63444</v>
      </c>
      <c r="AV384" s="705">
        <f t="shared" si="29"/>
        <v>72909</v>
      </c>
    </row>
    <row r="385" spans="2:48">
      <c r="B385" t="s">
        <v>537</v>
      </c>
      <c r="C385" t="s">
        <v>118</v>
      </c>
      <c r="D385" t="s">
        <v>583</v>
      </c>
      <c r="E385" t="s">
        <v>665</v>
      </c>
      <c r="F385">
        <v>4</v>
      </c>
      <c r="G385">
        <v>356</v>
      </c>
      <c r="H385" s="705">
        <v>1064</v>
      </c>
      <c r="I385" s="705">
        <v>50166</v>
      </c>
      <c r="J385" s="705">
        <v>45605</v>
      </c>
      <c r="K385" s="705">
        <v>79</v>
      </c>
      <c r="L385" s="705">
        <v>10808</v>
      </c>
      <c r="M385" s="705">
        <v>9825</v>
      </c>
      <c r="N385" s="705">
        <v>6688</v>
      </c>
      <c r="O385" s="705">
        <v>2477</v>
      </c>
      <c r="P385" s="705">
        <v>2484</v>
      </c>
      <c r="Q385" s="705">
        <v>920</v>
      </c>
      <c r="R385" s="705">
        <v>22713</v>
      </c>
      <c r="S385" s="705">
        <v>20648</v>
      </c>
      <c r="T385" s="705">
        <v>1749</v>
      </c>
      <c r="U385" s="705">
        <v>648</v>
      </c>
      <c r="V385" s="705">
        <v>80124</v>
      </c>
      <c r="W385" s="705">
        <f t="shared" si="24"/>
        <v>80123</v>
      </c>
      <c r="X385" s="705">
        <f t="shared" si="25"/>
        <v>94608</v>
      </c>
      <c r="Y385" s="705"/>
      <c r="AA385" t="s">
        <v>124</v>
      </c>
      <c r="AB385" t="s">
        <v>584</v>
      </c>
      <c r="AC385" s="705" t="s">
        <v>673</v>
      </c>
      <c r="AD385" s="705">
        <v>1</v>
      </c>
      <c r="AE385" s="705">
        <v>107</v>
      </c>
      <c r="AF385" s="705">
        <v>473</v>
      </c>
      <c r="AG385" s="705">
        <v>32648</v>
      </c>
      <c r="AH385" s="705">
        <v>29680</v>
      </c>
      <c r="AI385" s="706">
        <v>68</v>
      </c>
      <c r="AJ385" s="705">
        <v>7811</v>
      </c>
      <c r="AK385" s="705">
        <v>7101</v>
      </c>
      <c r="AL385" s="705">
        <v>2617</v>
      </c>
      <c r="AM385" s="705">
        <v>969</v>
      </c>
      <c r="AN385" s="705">
        <v>473</v>
      </c>
      <c r="AO385" s="705">
        <v>175</v>
      </c>
      <c r="AP385" s="705">
        <v>7218</v>
      </c>
      <c r="AQ385" s="705">
        <v>6561</v>
      </c>
      <c r="AR385" s="705">
        <v>0</v>
      </c>
      <c r="AS385" s="705">
        <v>0</v>
      </c>
      <c r="AT385" s="705">
        <v>44486</v>
      </c>
      <c r="AU385" s="705">
        <f t="shared" si="28"/>
        <v>44486</v>
      </c>
      <c r="AV385" s="705">
        <f t="shared" si="29"/>
        <v>50767</v>
      </c>
    </row>
    <row r="386" spans="2:48">
      <c r="B386" t="s">
        <v>537</v>
      </c>
      <c r="C386" t="s">
        <v>118</v>
      </c>
      <c r="D386" t="s">
        <v>666</v>
      </c>
      <c r="E386" t="s">
        <v>583</v>
      </c>
      <c r="F386">
        <v>2</v>
      </c>
      <c r="G386" s="705">
        <v>202</v>
      </c>
      <c r="H386" s="705">
        <v>487</v>
      </c>
      <c r="I386" s="705">
        <v>25539</v>
      </c>
      <c r="J386" s="705">
        <v>23218</v>
      </c>
      <c r="K386" s="705">
        <v>72</v>
      </c>
      <c r="L386" s="705">
        <v>5119</v>
      </c>
      <c r="M386" s="705">
        <v>4654</v>
      </c>
      <c r="N386" s="705">
        <v>3335</v>
      </c>
      <c r="O386" s="705">
        <v>1235</v>
      </c>
      <c r="P386" s="705">
        <v>1242</v>
      </c>
      <c r="Q386" s="705">
        <v>460</v>
      </c>
      <c r="R386" s="705">
        <v>11431</v>
      </c>
      <c r="S386" s="705">
        <v>10392</v>
      </c>
      <c r="T386" s="705">
        <v>2261</v>
      </c>
      <c r="U386" s="705">
        <v>838</v>
      </c>
      <c r="V386" s="705">
        <v>40797</v>
      </c>
      <c r="W386" s="705">
        <f t="shared" si="24"/>
        <v>40797</v>
      </c>
      <c r="X386" s="705">
        <f t="shared" si="25"/>
        <v>48927</v>
      </c>
      <c r="Y386" s="705"/>
      <c r="AA386" t="s">
        <v>124</v>
      </c>
      <c r="AB386" t="s">
        <v>669</v>
      </c>
      <c r="AC386" s="705" t="s">
        <v>664</v>
      </c>
      <c r="AD386" s="705">
        <v>1</v>
      </c>
      <c r="AE386" s="705">
        <v>76</v>
      </c>
      <c r="AF386" s="705">
        <v>1056</v>
      </c>
      <c r="AG386" s="705">
        <v>67004</v>
      </c>
      <c r="AH386" s="705">
        <v>55837</v>
      </c>
      <c r="AI386" s="706">
        <v>30</v>
      </c>
      <c r="AJ386" s="705">
        <v>6398</v>
      </c>
      <c r="AK386" s="705">
        <v>5816</v>
      </c>
      <c r="AL386" s="705">
        <v>1509</v>
      </c>
      <c r="AM386" s="705">
        <v>559</v>
      </c>
      <c r="AN386" s="705">
        <v>0</v>
      </c>
      <c r="AO386" s="705">
        <v>0</v>
      </c>
      <c r="AP386" s="705">
        <v>3682</v>
      </c>
      <c r="AQ386" s="705">
        <v>3347</v>
      </c>
      <c r="AR386" s="705">
        <v>2118</v>
      </c>
      <c r="AS386" s="705">
        <v>784</v>
      </c>
      <c r="AT386" s="705">
        <v>66344</v>
      </c>
      <c r="AU386" s="705">
        <f t="shared" si="28"/>
        <v>66343</v>
      </c>
      <c r="AV386" s="705">
        <f t="shared" si="29"/>
        <v>80711</v>
      </c>
    </row>
    <row r="387" spans="2:48">
      <c r="B387" t="s">
        <v>537</v>
      </c>
      <c r="C387" t="s">
        <v>118</v>
      </c>
      <c r="D387" t="s">
        <v>666</v>
      </c>
      <c r="E387" t="s">
        <v>666</v>
      </c>
      <c r="F387" s="705">
        <v>44</v>
      </c>
      <c r="G387" s="705">
        <v>3636</v>
      </c>
      <c r="H387" s="705">
        <v>12020</v>
      </c>
      <c r="I387" s="705">
        <v>502741</v>
      </c>
      <c r="J387" s="705">
        <v>457037</v>
      </c>
      <c r="K387" s="705">
        <v>56</v>
      </c>
      <c r="L387" s="705">
        <v>71513</v>
      </c>
      <c r="M387" s="705">
        <v>45767</v>
      </c>
      <c r="N387" s="705">
        <v>79972</v>
      </c>
      <c r="O387" s="705">
        <v>29619</v>
      </c>
      <c r="P387" s="705">
        <v>15444</v>
      </c>
      <c r="Q387" s="705">
        <v>5720</v>
      </c>
      <c r="R387" s="705">
        <v>234106</v>
      </c>
      <c r="S387" s="705">
        <v>212824</v>
      </c>
      <c r="T387" s="705">
        <v>88610</v>
      </c>
      <c r="U387" s="705">
        <v>32818</v>
      </c>
      <c r="V387" s="705">
        <v>783786</v>
      </c>
      <c r="W387" s="705">
        <f t="shared" si="24"/>
        <v>783785</v>
      </c>
      <c r="X387" s="705">
        <f t="shared" si="25"/>
        <v>992386</v>
      </c>
      <c r="Y387" s="705"/>
      <c r="AA387" t="s">
        <v>124</v>
      </c>
      <c r="AB387" t="s">
        <v>669</v>
      </c>
      <c r="AC387" s="705" t="s">
        <v>228</v>
      </c>
      <c r="AD387" s="705">
        <v>584</v>
      </c>
      <c r="AE387" s="705">
        <v>52580</v>
      </c>
      <c r="AF387" s="705">
        <v>571431</v>
      </c>
      <c r="AG387" s="705">
        <v>42486370</v>
      </c>
      <c r="AH387" s="705">
        <v>35405309</v>
      </c>
      <c r="AI387" s="706">
        <v>33</v>
      </c>
      <c r="AJ387" s="705">
        <v>2725750</v>
      </c>
      <c r="AK387" s="705">
        <v>1401584</v>
      </c>
      <c r="AL387" s="705">
        <v>1177240</v>
      </c>
      <c r="AM387" s="705">
        <v>436015</v>
      </c>
      <c r="AN387" s="705">
        <v>11435</v>
      </c>
      <c r="AO387" s="705">
        <v>4235</v>
      </c>
      <c r="AP387" s="705">
        <v>4366840</v>
      </c>
      <c r="AQ387" s="705">
        <v>1617348</v>
      </c>
      <c r="AR387" s="705">
        <v>16254</v>
      </c>
      <c r="AS387" s="705">
        <v>6020</v>
      </c>
      <c r="AT387" s="705">
        <v>38870510</v>
      </c>
      <c r="AU387" s="705">
        <f t="shared" si="28"/>
        <v>38870511</v>
      </c>
      <c r="AV387" s="705">
        <f t="shared" si="29"/>
        <v>50783889</v>
      </c>
    </row>
    <row r="388" spans="2:48">
      <c r="B388" t="s">
        <v>537</v>
      </c>
      <c r="C388" t="s">
        <v>118</v>
      </c>
      <c r="D388" t="s">
        <v>584</v>
      </c>
      <c r="E388" t="s">
        <v>582</v>
      </c>
      <c r="F388">
        <v>2</v>
      </c>
      <c r="G388" s="705">
        <v>207</v>
      </c>
      <c r="H388" s="705">
        <v>536</v>
      </c>
      <c r="I388" s="705">
        <v>27813</v>
      </c>
      <c r="J388" s="705">
        <v>25285</v>
      </c>
      <c r="K388" s="705">
        <v>71</v>
      </c>
      <c r="L388" s="705">
        <v>8785</v>
      </c>
      <c r="M388" s="705">
        <v>7678</v>
      </c>
      <c r="N388" s="705">
        <v>4965</v>
      </c>
      <c r="O388" s="705">
        <v>1839</v>
      </c>
      <c r="P388" s="705">
        <v>945</v>
      </c>
      <c r="Q388" s="705">
        <v>350</v>
      </c>
      <c r="R388" s="705">
        <v>12256</v>
      </c>
      <c r="S388" s="705">
        <v>11141</v>
      </c>
      <c r="T388" s="705">
        <v>0</v>
      </c>
      <c r="U388" s="705">
        <v>0</v>
      </c>
      <c r="V388" s="705">
        <v>46293</v>
      </c>
      <c r="W388" s="705">
        <f t="shared" si="24"/>
        <v>46293</v>
      </c>
      <c r="X388" s="705">
        <f t="shared" si="25"/>
        <v>54764</v>
      </c>
      <c r="Y388" s="705"/>
      <c r="AA388" t="s">
        <v>124</v>
      </c>
      <c r="AB388" t="s">
        <v>669</v>
      </c>
      <c r="AC388" s="705" t="s">
        <v>583</v>
      </c>
      <c r="AD388" s="705">
        <v>2</v>
      </c>
      <c r="AE388" s="705">
        <v>268</v>
      </c>
      <c r="AF388" s="705">
        <v>1615</v>
      </c>
      <c r="AG388" s="705">
        <v>180911</v>
      </c>
      <c r="AH388" s="705">
        <v>150759</v>
      </c>
      <c r="AI388" s="706">
        <v>30</v>
      </c>
      <c r="AJ388" s="705">
        <v>13568</v>
      </c>
      <c r="AK388" s="705">
        <v>5025</v>
      </c>
      <c r="AL388" s="705">
        <v>6079</v>
      </c>
      <c r="AM388" s="705">
        <v>2252</v>
      </c>
      <c r="AN388" s="705">
        <v>270</v>
      </c>
      <c r="AO388" s="705">
        <v>100</v>
      </c>
      <c r="AP388" s="705">
        <v>10819</v>
      </c>
      <c r="AQ388" s="705">
        <v>9835</v>
      </c>
      <c r="AR388" s="705">
        <v>5674</v>
      </c>
      <c r="AS388" s="705">
        <v>2101</v>
      </c>
      <c r="AT388" s="705">
        <v>170073</v>
      </c>
      <c r="AU388" s="705">
        <f t="shared" si="28"/>
        <v>170072</v>
      </c>
      <c r="AV388" s="705">
        <f t="shared" si="29"/>
        <v>217321</v>
      </c>
    </row>
    <row r="389" spans="2:48">
      <c r="B389" t="s">
        <v>537</v>
      </c>
      <c r="C389" t="s">
        <v>118</v>
      </c>
      <c r="D389" t="s">
        <v>584</v>
      </c>
      <c r="E389" t="s">
        <v>228</v>
      </c>
      <c r="F389" s="705">
        <v>31</v>
      </c>
      <c r="G389" s="705">
        <v>2482</v>
      </c>
      <c r="H389" s="705">
        <v>8500</v>
      </c>
      <c r="I389" s="705">
        <v>378058</v>
      </c>
      <c r="J389" s="705">
        <v>343689</v>
      </c>
      <c r="K389" s="705">
        <v>80</v>
      </c>
      <c r="L389" s="705">
        <v>67360</v>
      </c>
      <c r="M389" s="705">
        <v>55621</v>
      </c>
      <c r="N389" s="705">
        <v>49245</v>
      </c>
      <c r="O389" s="705">
        <v>18239</v>
      </c>
      <c r="P389" s="705">
        <v>14850</v>
      </c>
      <c r="Q389" s="705">
        <v>5500</v>
      </c>
      <c r="R389" s="705">
        <v>193487</v>
      </c>
      <c r="S389" s="705">
        <v>71662</v>
      </c>
      <c r="T389" s="705">
        <v>0</v>
      </c>
      <c r="U389" s="705">
        <v>0</v>
      </c>
      <c r="V389" s="705">
        <v>494711</v>
      </c>
      <c r="W389" s="705">
        <f t="shared" si="24"/>
        <v>494711</v>
      </c>
      <c r="X389" s="705">
        <f t="shared" si="25"/>
        <v>703000</v>
      </c>
      <c r="Y389" s="705"/>
      <c r="AA389" t="s">
        <v>124</v>
      </c>
      <c r="AB389" t="s">
        <v>669</v>
      </c>
      <c r="AC389" s="705" t="s">
        <v>584</v>
      </c>
      <c r="AD389" s="705">
        <v>13</v>
      </c>
      <c r="AE389" s="705">
        <v>1446</v>
      </c>
      <c r="AF389" s="705">
        <v>12065</v>
      </c>
      <c r="AG389" s="705">
        <v>1177157</v>
      </c>
      <c r="AH389" s="705">
        <v>980964</v>
      </c>
      <c r="AI389" s="706">
        <v>32</v>
      </c>
      <c r="AJ389" s="705">
        <v>65891</v>
      </c>
      <c r="AK389" s="705">
        <v>49758</v>
      </c>
      <c r="AL389" s="705">
        <v>33569</v>
      </c>
      <c r="AM389" s="705">
        <v>12433</v>
      </c>
      <c r="AN389" s="705">
        <v>2012</v>
      </c>
      <c r="AO389" s="705">
        <v>745</v>
      </c>
      <c r="AP389" s="705">
        <v>55929</v>
      </c>
      <c r="AQ389" s="705">
        <v>50845</v>
      </c>
      <c r="AR389" s="705">
        <v>6857</v>
      </c>
      <c r="AS389" s="705">
        <v>2539</v>
      </c>
      <c r="AT389" s="705">
        <v>1097285</v>
      </c>
      <c r="AU389" s="705">
        <f t="shared" si="28"/>
        <v>1097284</v>
      </c>
      <c r="AV389" s="705">
        <f t="shared" si="29"/>
        <v>1341415</v>
      </c>
    </row>
    <row r="390" spans="2:48">
      <c r="B390" t="s">
        <v>537</v>
      </c>
      <c r="C390" t="s">
        <v>118</v>
      </c>
      <c r="D390" t="s">
        <v>584</v>
      </c>
      <c r="E390" t="s">
        <v>583</v>
      </c>
      <c r="F390" s="705">
        <v>1</v>
      </c>
      <c r="G390" s="705">
        <v>102</v>
      </c>
      <c r="H390" s="705">
        <v>234</v>
      </c>
      <c r="I390" s="705">
        <v>12354</v>
      </c>
      <c r="J390" s="705">
        <v>11231</v>
      </c>
      <c r="K390" s="705">
        <v>79</v>
      </c>
      <c r="L390" s="705">
        <v>3436</v>
      </c>
      <c r="M390" s="705">
        <v>3124</v>
      </c>
      <c r="N390" s="705">
        <v>1969</v>
      </c>
      <c r="O390" s="705">
        <v>729</v>
      </c>
      <c r="P390" s="705">
        <v>473</v>
      </c>
      <c r="Q390" s="705">
        <v>175</v>
      </c>
      <c r="R390" s="705">
        <v>5676</v>
      </c>
      <c r="S390" s="705">
        <v>5160</v>
      </c>
      <c r="T390" s="705">
        <v>0</v>
      </c>
      <c r="U390" s="705">
        <v>0</v>
      </c>
      <c r="V390" s="705">
        <v>20418</v>
      </c>
      <c r="W390" s="705">
        <f t="shared" si="24"/>
        <v>20419</v>
      </c>
      <c r="X390" s="705">
        <f t="shared" si="25"/>
        <v>23908</v>
      </c>
      <c r="Y390" s="705"/>
      <c r="AA390" t="s">
        <v>124</v>
      </c>
      <c r="AB390" t="s">
        <v>669</v>
      </c>
      <c r="AC390" s="705" t="s">
        <v>669</v>
      </c>
      <c r="AD390" s="705">
        <v>997</v>
      </c>
      <c r="AE390" s="705">
        <v>77996</v>
      </c>
      <c r="AF390" s="705">
        <v>630367</v>
      </c>
      <c r="AG390" s="705">
        <v>36005859</v>
      </c>
      <c r="AH390" s="705">
        <v>30004883</v>
      </c>
      <c r="AI390" s="706">
        <v>52</v>
      </c>
      <c r="AJ390" s="705">
        <v>4073286</v>
      </c>
      <c r="AK390" s="705">
        <v>2985130</v>
      </c>
      <c r="AL390" s="705">
        <v>1673977</v>
      </c>
      <c r="AM390" s="705">
        <v>619991</v>
      </c>
      <c r="AN390" s="705">
        <v>297565</v>
      </c>
      <c r="AO390" s="705">
        <v>110209</v>
      </c>
      <c r="AP390" s="705">
        <v>5924569</v>
      </c>
      <c r="AQ390" s="705">
        <v>4937141</v>
      </c>
      <c r="AR390" s="705">
        <v>2016892</v>
      </c>
      <c r="AS390" s="705">
        <v>746997</v>
      </c>
      <c r="AT390" s="705">
        <v>39404351</v>
      </c>
      <c r="AU390" s="705">
        <f t="shared" si="28"/>
        <v>39404351</v>
      </c>
      <c r="AV390" s="705">
        <f t="shared" si="29"/>
        <v>49992148</v>
      </c>
    </row>
    <row r="391" spans="2:48">
      <c r="B391" t="s">
        <v>537</v>
      </c>
      <c r="C391" t="s">
        <v>118</v>
      </c>
      <c r="D391" t="s">
        <v>584</v>
      </c>
      <c r="E391" t="s">
        <v>666</v>
      </c>
      <c r="F391">
        <v>1</v>
      </c>
      <c r="G391" s="705">
        <v>130</v>
      </c>
      <c r="H391" s="705">
        <v>230</v>
      </c>
      <c r="I391" s="705">
        <v>20557</v>
      </c>
      <c r="J391" s="705">
        <v>18688</v>
      </c>
      <c r="K391" s="705">
        <v>68</v>
      </c>
      <c r="L391" s="705">
        <v>4918</v>
      </c>
      <c r="M391" s="705">
        <v>4471</v>
      </c>
      <c r="N391" s="705">
        <v>1925</v>
      </c>
      <c r="O391" s="705">
        <v>713</v>
      </c>
      <c r="P391" s="705">
        <v>473</v>
      </c>
      <c r="Q391" s="705">
        <v>175</v>
      </c>
      <c r="R391" s="705">
        <v>8524</v>
      </c>
      <c r="S391" s="705">
        <v>7749</v>
      </c>
      <c r="T391">
        <v>0</v>
      </c>
      <c r="U391" s="705">
        <v>0</v>
      </c>
      <c r="V391" s="705">
        <v>31796</v>
      </c>
      <c r="W391" s="705">
        <f t="shared" ref="W391:W454" si="30">SUM(ABS(J391),ABS(M391),ABS(O391),ABS(Q391),ABS(S391),ABS(U391))</f>
        <v>31796</v>
      </c>
      <c r="X391" s="705">
        <f t="shared" ref="X391:X454" si="31">SUM(ABS(I391),ABS(N391),ABS(P391),ABS(R391),ABS(T391),ABS(L391))</f>
        <v>36397</v>
      </c>
      <c r="Y391" s="705"/>
      <c r="AA391" t="s">
        <v>124</v>
      </c>
      <c r="AB391" t="s">
        <v>669</v>
      </c>
      <c r="AC391" s="705" t="s">
        <v>665</v>
      </c>
      <c r="AD391" s="705">
        <v>2</v>
      </c>
      <c r="AE391" s="705">
        <v>139</v>
      </c>
      <c r="AF391" s="705">
        <v>1120</v>
      </c>
      <c r="AG391" s="705">
        <v>61734</v>
      </c>
      <c r="AH391" s="705">
        <v>51445</v>
      </c>
      <c r="AI391" s="706">
        <v>43</v>
      </c>
      <c r="AJ391" s="705">
        <v>4594</v>
      </c>
      <c r="AK391" s="705">
        <v>1702</v>
      </c>
      <c r="AL391" s="705">
        <v>3021</v>
      </c>
      <c r="AM391" s="705">
        <v>1119</v>
      </c>
      <c r="AN391" s="705">
        <v>351</v>
      </c>
      <c r="AO391" s="705">
        <v>130</v>
      </c>
      <c r="AP391" s="705">
        <v>6786</v>
      </c>
      <c r="AQ391" s="705">
        <v>6169</v>
      </c>
      <c r="AR391" s="705">
        <v>2205</v>
      </c>
      <c r="AS391" s="705">
        <v>817</v>
      </c>
      <c r="AT391" s="705">
        <v>61381</v>
      </c>
      <c r="AU391" s="705">
        <f t="shared" ref="AU391:AU413" si="32">SUM(ABS(AH391), ABS(AK391),ABS(AM391),ABS(AO391),ABS(AQ391),ABS(AS391))</f>
        <v>61382</v>
      </c>
      <c r="AV391" s="705">
        <f t="shared" ref="AV391:AV413" si="33">SUM(ABS(AG391),ABS(AJ391),ABS(AL391),ABS(AN391),ABS(AP391),ABS(AR391))</f>
        <v>78691</v>
      </c>
    </row>
    <row r="392" spans="2:48">
      <c r="B392" t="s">
        <v>537</v>
      </c>
      <c r="C392" t="s">
        <v>118</v>
      </c>
      <c r="D392" t="s">
        <v>584</v>
      </c>
      <c r="E392" t="s">
        <v>584</v>
      </c>
      <c r="F392" s="705">
        <v>5460</v>
      </c>
      <c r="G392" s="705">
        <v>501747</v>
      </c>
      <c r="H392" s="705">
        <v>1413605</v>
      </c>
      <c r="I392" s="705">
        <v>69626791</v>
      </c>
      <c r="J392" s="705">
        <v>63297082</v>
      </c>
      <c r="K392" s="705">
        <v>80</v>
      </c>
      <c r="L392" s="705">
        <v>17920048</v>
      </c>
      <c r="M392" s="705">
        <v>15128361</v>
      </c>
      <c r="N392" s="705">
        <v>10267872</v>
      </c>
      <c r="O392" s="705">
        <v>3802915</v>
      </c>
      <c r="P392" s="705">
        <v>2603835</v>
      </c>
      <c r="Q392" s="705">
        <v>964383</v>
      </c>
      <c r="R392" s="705">
        <v>25395032</v>
      </c>
      <c r="S392" s="705">
        <v>23086392</v>
      </c>
      <c r="T392" s="705">
        <v>5283208</v>
      </c>
      <c r="U392" s="705">
        <v>1956744</v>
      </c>
      <c r="V392" s="705">
        <v>108235878</v>
      </c>
      <c r="W392" s="705">
        <f t="shared" si="30"/>
        <v>108235877</v>
      </c>
      <c r="X392" s="705">
        <f t="shared" si="31"/>
        <v>131096786</v>
      </c>
      <c r="Y392" s="705"/>
      <c r="AA392" t="s">
        <v>124</v>
      </c>
      <c r="AB392" t="s">
        <v>667</v>
      </c>
      <c r="AC392" s="705" t="s">
        <v>228</v>
      </c>
      <c r="AD392" s="705">
        <v>2</v>
      </c>
      <c r="AE392" s="705">
        <v>229</v>
      </c>
      <c r="AF392" s="705">
        <v>1653</v>
      </c>
      <c r="AG392" s="705">
        <v>156323</v>
      </c>
      <c r="AH392" s="705">
        <v>142112</v>
      </c>
      <c r="AI392" s="706">
        <v>30</v>
      </c>
      <c r="AJ392" s="705">
        <v>8566</v>
      </c>
      <c r="AK392" s="705">
        <v>3173</v>
      </c>
      <c r="AL392" s="705">
        <v>5377</v>
      </c>
      <c r="AM392" s="705">
        <v>1992</v>
      </c>
      <c r="AN392" s="705">
        <v>0</v>
      </c>
      <c r="AO392" s="705">
        <v>0</v>
      </c>
      <c r="AP392" s="705">
        <v>23358</v>
      </c>
      <c r="AQ392" s="705">
        <v>8651</v>
      </c>
      <c r="AR392" s="705">
        <v>0</v>
      </c>
      <c r="AS392" s="705">
        <v>0</v>
      </c>
      <c r="AT392" s="705">
        <v>155928</v>
      </c>
      <c r="AU392" s="705">
        <f t="shared" si="32"/>
        <v>155928</v>
      </c>
      <c r="AV392" s="705">
        <f t="shared" si="33"/>
        <v>193624</v>
      </c>
    </row>
    <row r="393" spans="2:48">
      <c r="B393" t="s">
        <v>537</v>
      </c>
      <c r="C393" t="s">
        <v>118</v>
      </c>
      <c r="D393" t="s">
        <v>584</v>
      </c>
      <c r="E393" t="s">
        <v>665</v>
      </c>
      <c r="F393">
        <v>1</v>
      </c>
      <c r="G393" s="705">
        <v>153</v>
      </c>
      <c r="H393" s="705">
        <v>243</v>
      </c>
      <c r="I393" s="705">
        <v>20061</v>
      </c>
      <c r="J393" s="705">
        <v>18237</v>
      </c>
      <c r="K393">
        <v>78</v>
      </c>
      <c r="L393" s="705">
        <v>5506</v>
      </c>
      <c r="M393" s="705">
        <v>5005</v>
      </c>
      <c r="N393" s="705">
        <v>3730</v>
      </c>
      <c r="O393" s="705">
        <v>1382</v>
      </c>
      <c r="P393" s="705">
        <v>473</v>
      </c>
      <c r="Q393" s="705">
        <v>175</v>
      </c>
      <c r="R393" s="705">
        <v>4522</v>
      </c>
      <c r="S393" s="705">
        <v>4111</v>
      </c>
      <c r="T393" s="705">
        <v>2964</v>
      </c>
      <c r="U393" s="705">
        <v>1098</v>
      </c>
      <c r="V393" s="705">
        <v>30008</v>
      </c>
      <c r="W393" s="705">
        <f t="shared" si="30"/>
        <v>30008</v>
      </c>
      <c r="X393" s="705">
        <f t="shared" si="31"/>
        <v>37256</v>
      </c>
      <c r="Y393" s="705"/>
      <c r="AA393" t="s">
        <v>124</v>
      </c>
      <c r="AB393" t="s">
        <v>667</v>
      </c>
      <c r="AC393" s="705" t="s">
        <v>584</v>
      </c>
      <c r="AD393" s="705">
        <v>1</v>
      </c>
      <c r="AE393" s="705">
        <v>52</v>
      </c>
      <c r="AF393" s="705">
        <v>1057</v>
      </c>
      <c r="AG393" s="705">
        <v>48862</v>
      </c>
      <c r="AH393" s="705">
        <v>44420</v>
      </c>
      <c r="AI393" s="706">
        <v>30</v>
      </c>
      <c r="AJ393" s="705">
        <v>0</v>
      </c>
      <c r="AK393" s="705">
        <v>0</v>
      </c>
      <c r="AL393" s="705">
        <v>1257</v>
      </c>
      <c r="AM393" s="705">
        <v>466</v>
      </c>
      <c r="AN393" s="705">
        <v>0</v>
      </c>
      <c r="AO393" s="705">
        <v>0</v>
      </c>
      <c r="AP393" s="705">
        <v>4424</v>
      </c>
      <c r="AQ393" s="705">
        <v>4022</v>
      </c>
      <c r="AR393" s="705">
        <v>0</v>
      </c>
      <c r="AS393" s="705">
        <v>0</v>
      </c>
      <c r="AT393" s="705">
        <v>48907</v>
      </c>
      <c r="AU393" s="705">
        <f t="shared" si="32"/>
        <v>48908</v>
      </c>
      <c r="AV393" s="705">
        <f t="shared" si="33"/>
        <v>54543</v>
      </c>
    </row>
    <row r="394" spans="2:48">
      <c r="B394" t="s">
        <v>537</v>
      </c>
      <c r="C394" t="s">
        <v>118</v>
      </c>
      <c r="D394" t="s">
        <v>669</v>
      </c>
      <c r="E394" t="s">
        <v>228</v>
      </c>
      <c r="F394" s="705">
        <v>3</v>
      </c>
      <c r="G394" s="705">
        <v>252</v>
      </c>
      <c r="H394" s="705">
        <v>807</v>
      </c>
      <c r="I394" s="705">
        <v>34824</v>
      </c>
      <c r="J394" s="705">
        <v>29020</v>
      </c>
      <c r="K394" s="705">
        <v>58</v>
      </c>
      <c r="L394" s="705">
        <v>4708</v>
      </c>
      <c r="M394" s="705">
        <v>2426</v>
      </c>
      <c r="N394" s="705">
        <v>5204</v>
      </c>
      <c r="O394" s="705">
        <v>1928</v>
      </c>
      <c r="P394" s="705">
        <v>702</v>
      </c>
      <c r="Q394" s="705">
        <v>260</v>
      </c>
      <c r="R394" s="705">
        <v>22235</v>
      </c>
      <c r="S394" s="705">
        <v>8235</v>
      </c>
      <c r="T394" s="705">
        <v>0</v>
      </c>
      <c r="U394" s="705">
        <v>0</v>
      </c>
      <c r="V394" s="705">
        <v>41869</v>
      </c>
      <c r="W394" s="705">
        <f t="shared" si="30"/>
        <v>41869</v>
      </c>
      <c r="X394" s="705">
        <f t="shared" si="31"/>
        <v>67673</v>
      </c>
      <c r="Y394" s="705"/>
      <c r="AA394" t="s">
        <v>124</v>
      </c>
      <c r="AB394" t="s">
        <v>667</v>
      </c>
      <c r="AC394" s="705" t="s">
        <v>667</v>
      </c>
      <c r="AD394" s="705">
        <v>35</v>
      </c>
      <c r="AE394" s="705">
        <v>2632</v>
      </c>
      <c r="AF394" s="705">
        <v>21271</v>
      </c>
      <c r="AG394" s="705">
        <v>1111423</v>
      </c>
      <c r="AH394" s="705">
        <v>1010385</v>
      </c>
      <c r="AI394" s="706">
        <v>52</v>
      </c>
      <c r="AJ394" s="705">
        <v>144702</v>
      </c>
      <c r="AK394" s="705">
        <v>124841</v>
      </c>
      <c r="AL394" s="705">
        <v>56572</v>
      </c>
      <c r="AM394" s="705">
        <v>20953</v>
      </c>
      <c r="AN394" s="705">
        <v>10098</v>
      </c>
      <c r="AO394" s="705">
        <v>3740</v>
      </c>
      <c r="AP394" s="705">
        <v>220408</v>
      </c>
      <c r="AQ394" s="705">
        <v>200371</v>
      </c>
      <c r="AR394" s="705">
        <v>54327</v>
      </c>
      <c r="AS394" s="705">
        <v>20121</v>
      </c>
      <c r="AT394" s="705">
        <v>1380411</v>
      </c>
      <c r="AU394" s="705">
        <f t="shared" si="32"/>
        <v>1380411</v>
      </c>
      <c r="AV394" s="705">
        <f t="shared" si="33"/>
        <v>1597530</v>
      </c>
    </row>
    <row r="395" spans="2:48">
      <c r="B395" t="s">
        <v>537</v>
      </c>
      <c r="C395" t="s">
        <v>118</v>
      </c>
      <c r="D395" t="s">
        <v>669</v>
      </c>
      <c r="E395" t="s">
        <v>669</v>
      </c>
      <c r="F395">
        <v>72</v>
      </c>
      <c r="G395" s="705">
        <v>6081</v>
      </c>
      <c r="H395" s="705">
        <v>19855</v>
      </c>
      <c r="I395" s="705">
        <v>915844</v>
      </c>
      <c r="J395" s="705">
        <v>763204</v>
      </c>
      <c r="K395" s="705">
        <v>59</v>
      </c>
      <c r="L395" s="705">
        <v>82452</v>
      </c>
      <c r="M395" s="705">
        <v>57202</v>
      </c>
      <c r="N395" s="705">
        <v>123308</v>
      </c>
      <c r="O395" s="705">
        <v>45670</v>
      </c>
      <c r="P395" s="705">
        <v>26285</v>
      </c>
      <c r="Q395" s="705">
        <v>9735</v>
      </c>
      <c r="R395" s="705">
        <v>391385</v>
      </c>
      <c r="S395" s="705">
        <v>326154</v>
      </c>
      <c r="T395" s="705">
        <v>163553</v>
      </c>
      <c r="U395" s="705">
        <v>60575</v>
      </c>
      <c r="V395" s="705">
        <v>1262540</v>
      </c>
      <c r="W395" s="705">
        <f t="shared" si="30"/>
        <v>1262540</v>
      </c>
      <c r="X395" s="705">
        <f t="shared" si="31"/>
        <v>1702827</v>
      </c>
      <c r="Y395" s="705"/>
      <c r="AA395" t="s">
        <v>124</v>
      </c>
      <c r="AB395" t="s">
        <v>671</v>
      </c>
      <c r="AC395" s="705" t="s">
        <v>228</v>
      </c>
      <c r="AD395" s="705">
        <v>2</v>
      </c>
      <c r="AE395" s="705">
        <v>150</v>
      </c>
      <c r="AF395" s="705">
        <v>1047</v>
      </c>
      <c r="AG395" s="705">
        <v>50726</v>
      </c>
      <c r="AH395" s="705">
        <v>46114</v>
      </c>
      <c r="AI395" s="706">
        <v>63</v>
      </c>
      <c r="AJ395" s="705">
        <v>10193</v>
      </c>
      <c r="AK395" s="705">
        <v>6972</v>
      </c>
      <c r="AL395" s="705">
        <v>3655</v>
      </c>
      <c r="AM395" s="705">
        <v>1354</v>
      </c>
      <c r="AN395" s="705">
        <v>0</v>
      </c>
      <c r="AO395" s="705">
        <v>0</v>
      </c>
      <c r="AP395" s="705">
        <v>13964</v>
      </c>
      <c r="AQ395" s="705">
        <v>5172</v>
      </c>
      <c r="AR395" s="705">
        <v>0</v>
      </c>
      <c r="AS395" s="705">
        <v>0</v>
      </c>
      <c r="AT395" s="705">
        <v>59612</v>
      </c>
      <c r="AU395" s="705">
        <f t="shared" si="32"/>
        <v>59612</v>
      </c>
      <c r="AV395" s="705">
        <f t="shared" si="33"/>
        <v>78538</v>
      </c>
    </row>
    <row r="396" spans="2:48">
      <c r="B396" t="s">
        <v>537</v>
      </c>
      <c r="C396" t="s">
        <v>118</v>
      </c>
      <c r="D396" t="s">
        <v>665</v>
      </c>
      <c r="E396" t="s">
        <v>228</v>
      </c>
      <c r="F396">
        <v>4</v>
      </c>
      <c r="G396" s="705">
        <v>263</v>
      </c>
      <c r="H396" s="705">
        <v>1146</v>
      </c>
      <c r="I396" s="705">
        <v>37130</v>
      </c>
      <c r="J396" s="705">
        <v>33754</v>
      </c>
      <c r="K396" s="705">
        <v>61</v>
      </c>
      <c r="L396" s="705">
        <v>5318</v>
      </c>
      <c r="M396" s="705">
        <v>2893</v>
      </c>
      <c r="N396" s="705">
        <v>4305</v>
      </c>
      <c r="O396" s="705">
        <v>1594</v>
      </c>
      <c r="P396" s="705">
        <v>702</v>
      </c>
      <c r="Q396" s="705">
        <v>260</v>
      </c>
      <c r="R396" s="705">
        <v>27797</v>
      </c>
      <c r="S396" s="705">
        <v>10295</v>
      </c>
      <c r="T396" s="705">
        <v>0</v>
      </c>
      <c r="U396" s="705">
        <v>0</v>
      </c>
      <c r="V396" s="705">
        <v>48797</v>
      </c>
      <c r="W396" s="705">
        <f t="shared" si="30"/>
        <v>48796</v>
      </c>
      <c r="X396" s="705">
        <f t="shared" si="31"/>
        <v>75252</v>
      </c>
      <c r="Y396" s="705"/>
      <c r="AA396" t="s">
        <v>124</v>
      </c>
      <c r="AB396" t="s">
        <v>671</v>
      </c>
      <c r="AC396" s="705" t="s">
        <v>667</v>
      </c>
      <c r="AD396" s="705">
        <v>1</v>
      </c>
      <c r="AE396" s="705">
        <v>92</v>
      </c>
      <c r="AF396" s="705">
        <v>549</v>
      </c>
      <c r="AG396" s="705">
        <v>33879</v>
      </c>
      <c r="AH396" s="705">
        <v>30799</v>
      </c>
      <c r="AI396" s="706">
        <v>45</v>
      </c>
      <c r="AJ396" s="705">
        <v>5647</v>
      </c>
      <c r="AK396" s="705">
        <v>5133</v>
      </c>
      <c r="AL396" s="705">
        <v>1995</v>
      </c>
      <c r="AM396" s="705">
        <v>739</v>
      </c>
      <c r="AN396" s="705">
        <v>351</v>
      </c>
      <c r="AO396" s="705">
        <v>130</v>
      </c>
      <c r="AP396" s="705">
        <v>6271</v>
      </c>
      <c r="AQ396" s="705">
        <v>5701</v>
      </c>
      <c r="AR396" s="705">
        <v>2324</v>
      </c>
      <c r="AS396" s="705">
        <v>861</v>
      </c>
      <c r="AT396" s="705">
        <v>43363</v>
      </c>
      <c r="AU396" s="705">
        <f t="shared" si="32"/>
        <v>43363</v>
      </c>
      <c r="AV396" s="705">
        <f t="shared" si="33"/>
        <v>50467</v>
      </c>
    </row>
    <row r="397" spans="2:48">
      <c r="B397" t="s">
        <v>537</v>
      </c>
      <c r="C397" t="s">
        <v>118</v>
      </c>
      <c r="D397" t="s">
        <v>665</v>
      </c>
      <c r="E397" t="s">
        <v>665</v>
      </c>
      <c r="F397" s="705">
        <v>428</v>
      </c>
      <c r="G397" s="705">
        <v>36428</v>
      </c>
      <c r="H397" s="705">
        <v>116136</v>
      </c>
      <c r="I397" s="705">
        <v>5103796</v>
      </c>
      <c r="J397" s="705">
        <v>4639814</v>
      </c>
      <c r="K397" s="705">
        <v>57</v>
      </c>
      <c r="L397" s="705">
        <v>694909</v>
      </c>
      <c r="M397" s="705">
        <v>556854</v>
      </c>
      <c r="N397" s="705">
        <v>745950</v>
      </c>
      <c r="O397" s="705">
        <v>276278</v>
      </c>
      <c r="P397" s="705">
        <v>154535</v>
      </c>
      <c r="Q397" s="705">
        <v>57235</v>
      </c>
      <c r="R397" s="705">
        <v>2298118</v>
      </c>
      <c r="S397" s="705">
        <v>2089198</v>
      </c>
      <c r="T397" s="705">
        <v>892765</v>
      </c>
      <c r="U397" s="705">
        <v>330654</v>
      </c>
      <c r="V397" s="705">
        <v>7950033</v>
      </c>
      <c r="W397" s="705">
        <f t="shared" si="30"/>
        <v>7950033</v>
      </c>
      <c r="X397" s="705">
        <f t="shared" si="31"/>
        <v>9890073</v>
      </c>
      <c r="Y397" s="705"/>
      <c r="AA397" t="s">
        <v>124</v>
      </c>
      <c r="AB397" t="s">
        <v>671</v>
      </c>
      <c r="AC397" s="705" t="s">
        <v>671</v>
      </c>
      <c r="AD397" s="705">
        <v>86</v>
      </c>
      <c r="AE397" s="705">
        <v>6968</v>
      </c>
      <c r="AF397" s="705">
        <v>51654</v>
      </c>
      <c r="AG397" s="705">
        <v>2849911</v>
      </c>
      <c r="AH397" s="705">
        <v>2590828</v>
      </c>
      <c r="AI397" s="706">
        <v>48</v>
      </c>
      <c r="AJ397" s="705">
        <v>443589</v>
      </c>
      <c r="AK397" s="705">
        <v>366499</v>
      </c>
      <c r="AL397" s="705">
        <v>141367</v>
      </c>
      <c r="AM397" s="705">
        <v>52358</v>
      </c>
      <c r="AN397" s="705">
        <v>28701</v>
      </c>
      <c r="AO397" s="705">
        <v>10630</v>
      </c>
      <c r="AP397" s="705">
        <v>574698</v>
      </c>
      <c r="AQ397" s="705">
        <v>522453</v>
      </c>
      <c r="AR397" s="705">
        <v>156997</v>
      </c>
      <c r="AS397" s="705">
        <v>58147</v>
      </c>
      <c r="AT397" s="705">
        <v>3600916</v>
      </c>
      <c r="AU397" s="705">
        <f t="shared" si="32"/>
        <v>3600915</v>
      </c>
      <c r="AV397" s="705">
        <f t="shared" si="33"/>
        <v>4195263</v>
      </c>
    </row>
    <row r="398" spans="2:48">
      <c r="B398" t="s">
        <v>537</v>
      </c>
      <c r="C398" t="s">
        <v>118</v>
      </c>
      <c r="D398" t="s">
        <v>673</v>
      </c>
      <c r="E398" t="s">
        <v>228</v>
      </c>
      <c r="F398">
        <v>1</v>
      </c>
      <c r="G398" s="705">
        <v>67</v>
      </c>
      <c r="H398" s="705">
        <v>292</v>
      </c>
      <c r="I398" s="705">
        <v>8553</v>
      </c>
      <c r="J398" s="705">
        <v>7775</v>
      </c>
      <c r="K398" s="705">
        <v>78</v>
      </c>
      <c r="L398" s="705">
        <v>4088</v>
      </c>
      <c r="M398" s="705">
        <v>1514</v>
      </c>
      <c r="N398" s="705">
        <v>814</v>
      </c>
      <c r="O398" s="705">
        <v>301</v>
      </c>
      <c r="P398" s="705">
        <v>0</v>
      </c>
      <c r="Q398" s="705">
        <v>0</v>
      </c>
      <c r="R398" s="705">
        <v>6017</v>
      </c>
      <c r="S398" s="705">
        <v>2228</v>
      </c>
      <c r="T398" s="705">
        <v>0</v>
      </c>
      <c r="U398" s="705">
        <v>0</v>
      </c>
      <c r="V398" s="705">
        <v>11819</v>
      </c>
      <c r="W398" s="705">
        <f t="shared" si="30"/>
        <v>11818</v>
      </c>
      <c r="X398" s="705">
        <f t="shared" si="31"/>
        <v>19472</v>
      </c>
      <c r="Y398" s="705"/>
      <c r="AA398" t="s">
        <v>124</v>
      </c>
      <c r="AB398" t="s">
        <v>665</v>
      </c>
      <c r="AC398" s="705" t="s">
        <v>674</v>
      </c>
      <c r="AD398" s="705">
        <v>1</v>
      </c>
      <c r="AE398" s="705">
        <v>120</v>
      </c>
      <c r="AF398" s="705">
        <v>1508</v>
      </c>
      <c r="AG398" s="705">
        <v>145906</v>
      </c>
      <c r="AH398" s="705">
        <v>132642</v>
      </c>
      <c r="AI398" s="706">
        <v>30</v>
      </c>
      <c r="AJ398" s="705">
        <v>16212</v>
      </c>
      <c r="AK398" s="705">
        <v>14738</v>
      </c>
      <c r="AL398" s="705">
        <v>2634</v>
      </c>
      <c r="AM398" s="705">
        <v>976</v>
      </c>
      <c r="AN398" s="705">
        <v>0</v>
      </c>
      <c r="AO398" s="705">
        <v>0</v>
      </c>
      <c r="AP398" s="705">
        <v>12833</v>
      </c>
      <c r="AQ398" s="705">
        <v>11666</v>
      </c>
      <c r="AR398" s="705">
        <v>3567</v>
      </c>
      <c r="AS398" s="705">
        <v>1321</v>
      </c>
      <c r="AT398" s="705">
        <v>161343</v>
      </c>
      <c r="AU398" s="705">
        <f t="shared" si="32"/>
        <v>161343</v>
      </c>
      <c r="AV398" s="705">
        <f t="shared" si="33"/>
        <v>181152</v>
      </c>
    </row>
    <row r="399" spans="2:48">
      <c r="B399" t="s">
        <v>537</v>
      </c>
      <c r="C399" t="s">
        <v>118</v>
      </c>
      <c r="D399" t="s">
        <v>673</v>
      </c>
      <c r="E399" t="s">
        <v>673</v>
      </c>
      <c r="F399">
        <v>6</v>
      </c>
      <c r="G399" s="705">
        <v>449</v>
      </c>
      <c r="H399" s="705">
        <v>1548</v>
      </c>
      <c r="I399" s="705">
        <v>70741</v>
      </c>
      <c r="J399" s="705">
        <v>64310</v>
      </c>
      <c r="K399" s="705">
        <v>65</v>
      </c>
      <c r="L399" s="705">
        <v>4866</v>
      </c>
      <c r="M399" s="705">
        <v>3218</v>
      </c>
      <c r="N399" s="705">
        <v>9595</v>
      </c>
      <c r="O399" s="705">
        <v>3554</v>
      </c>
      <c r="P399" s="705">
        <v>2106</v>
      </c>
      <c r="Q399" s="705">
        <v>780</v>
      </c>
      <c r="R399" s="705">
        <v>25218</v>
      </c>
      <c r="S399" s="705">
        <v>22926</v>
      </c>
      <c r="T399" s="705">
        <v>11784</v>
      </c>
      <c r="U399" s="705">
        <v>4364</v>
      </c>
      <c r="V399" s="705">
        <v>99152</v>
      </c>
      <c r="W399" s="705">
        <f t="shared" si="30"/>
        <v>99152</v>
      </c>
      <c r="X399" s="705">
        <f t="shared" si="31"/>
        <v>124310</v>
      </c>
      <c r="Y399" s="705"/>
      <c r="AA399" t="s">
        <v>124</v>
      </c>
      <c r="AB399" t="s">
        <v>665</v>
      </c>
      <c r="AC399" s="705" t="s">
        <v>664</v>
      </c>
      <c r="AD399" s="705">
        <v>1</v>
      </c>
      <c r="AE399" s="705">
        <v>45</v>
      </c>
      <c r="AF399" s="705">
        <v>781</v>
      </c>
      <c r="AG399" s="705">
        <v>26315</v>
      </c>
      <c r="AH399" s="705">
        <v>23923</v>
      </c>
      <c r="AI399" s="706">
        <v>60</v>
      </c>
      <c r="AJ399" s="705">
        <v>5848</v>
      </c>
      <c r="AK399" s="705">
        <v>5316</v>
      </c>
      <c r="AL399" s="705">
        <v>1097</v>
      </c>
      <c r="AM399" s="705">
        <v>406</v>
      </c>
      <c r="AN399" s="705">
        <v>0</v>
      </c>
      <c r="AO399" s="705">
        <v>0</v>
      </c>
      <c r="AP399" s="705">
        <v>1870</v>
      </c>
      <c r="AQ399" s="705">
        <v>1700</v>
      </c>
      <c r="AR399" s="705">
        <v>0</v>
      </c>
      <c r="AS399" s="705">
        <v>0</v>
      </c>
      <c r="AT399" s="705">
        <v>31345</v>
      </c>
      <c r="AU399" s="705">
        <f t="shared" si="32"/>
        <v>31345</v>
      </c>
      <c r="AV399" s="705">
        <f t="shared" si="33"/>
        <v>35130</v>
      </c>
    </row>
    <row r="400" spans="2:48">
      <c r="B400" t="s">
        <v>537</v>
      </c>
      <c r="C400" t="s">
        <v>118</v>
      </c>
      <c r="D400" t="s">
        <v>585</v>
      </c>
      <c r="E400" t="s">
        <v>583</v>
      </c>
      <c r="F400" s="705">
        <v>1</v>
      </c>
      <c r="G400" s="705">
        <v>153</v>
      </c>
      <c r="H400" s="705">
        <v>261</v>
      </c>
      <c r="I400" s="705">
        <v>26677</v>
      </c>
      <c r="J400" s="705">
        <v>24252</v>
      </c>
      <c r="K400" s="705">
        <v>82</v>
      </c>
      <c r="L400" s="705">
        <v>2843</v>
      </c>
      <c r="M400" s="705">
        <v>2584</v>
      </c>
      <c r="N400" s="705">
        <v>1862</v>
      </c>
      <c r="O400" s="705">
        <v>690</v>
      </c>
      <c r="P400" s="705">
        <v>621</v>
      </c>
      <c r="Q400" s="705">
        <v>230</v>
      </c>
      <c r="R400" s="705">
        <v>4434</v>
      </c>
      <c r="S400" s="705">
        <v>4031</v>
      </c>
      <c r="T400" s="705">
        <v>3496</v>
      </c>
      <c r="U400" s="705">
        <v>1295</v>
      </c>
      <c r="V400" s="705">
        <v>33081</v>
      </c>
      <c r="W400" s="705">
        <f t="shared" si="30"/>
        <v>33082</v>
      </c>
      <c r="X400" s="705">
        <f t="shared" si="31"/>
        <v>39933</v>
      </c>
      <c r="Y400" s="705"/>
      <c r="AA400" t="s">
        <v>124</v>
      </c>
      <c r="AB400" t="s">
        <v>665</v>
      </c>
      <c r="AC400" s="705" t="s">
        <v>228</v>
      </c>
      <c r="AD400" s="705">
        <v>712</v>
      </c>
      <c r="AE400" s="705">
        <v>63688</v>
      </c>
      <c r="AF400" s="705">
        <v>663708</v>
      </c>
      <c r="AG400" s="705">
        <v>47717024</v>
      </c>
      <c r="AH400" s="705">
        <v>43379113</v>
      </c>
      <c r="AI400" s="706">
        <v>37</v>
      </c>
      <c r="AJ400" s="705">
        <v>3971867</v>
      </c>
      <c r="AK400" s="705">
        <v>2295030</v>
      </c>
      <c r="AL400" s="705">
        <v>1481331</v>
      </c>
      <c r="AM400" s="705">
        <v>548641</v>
      </c>
      <c r="AN400" s="705">
        <v>30830</v>
      </c>
      <c r="AO400" s="705">
        <v>11419</v>
      </c>
      <c r="AP400" s="705">
        <v>5394492</v>
      </c>
      <c r="AQ400" s="705">
        <v>1997960</v>
      </c>
      <c r="AR400" s="705">
        <v>44595</v>
      </c>
      <c r="AS400" s="705">
        <v>16517</v>
      </c>
      <c r="AT400" s="705">
        <v>48248680</v>
      </c>
      <c r="AU400" s="705">
        <f t="shared" si="32"/>
        <v>48248680</v>
      </c>
      <c r="AV400" s="705">
        <f t="shared" si="33"/>
        <v>58640139</v>
      </c>
    </row>
    <row r="401" spans="2:48">
      <c r="B401" t="s">
        <v>537</v>
      </c>
      <c r="C401" t="s">
        <v>118</v>
      </c>
      <c r="D401" t="s">
        <v>585</v>
      </c>
      <c r="E401" t="s">
        <v>585</v>
      </c>
      <c r="F401" s="705">
        <v>2</v>
      </c>
      <c r="G401" s="705">
        <v>181</v>
      </c>
      <c r="H401" s="705">
        <v>492</v>
      </c>
      <c r="I401" s="705">
        <v>24548</v>
      </c>
      <c r="J401" s="705">
        <v>22316</v>
      </c>
      <c r="K401" s="705">
        <v>65</v>
      </c>
      <c r="L401" s="705">
        <v>4668</v>
      </c>
      <c r="M401" s="705">
        <v>4244</v>
      </c>
      <c r="N401" s="705">
        <v>3120</v>
      </c>
      <c r="O401" s="705">
        <v>1156</v>
      </c>
      <c r="P401" s="705">
        <v>1589</v>
      </c>
      <c r="Q401" s="705">
        <v>589</v>
      </c>
      <c r="R401" s="705">
        <v>10812</v>
      </c>
      <c r="S401" s="705">
        <v>9829</v>
      </c>
      <c r="T401" s="705">
        <v>0</v>
      </c>
      <c r="U401" s="705">
        <v>0</v>
      </c>
      <c r="V401" s="705">
        <v>38133</v>
      </c>
      <c r="W401" s="705">
        <f t="shared" si="30"/>
        <v>38134</v>
      </c>
      <c r="X401" s="705">
        <f t="shared" si="31"/>
        <v>44737</v>
      </c>
      <c r="Y401" s="705"/>
      <c r="AA401" t="s">
        <v>124</v>
      </c>
      <c r="AB401" t="s">
        <v>665</v>
      </c>
      <c r="AC401" s="705" t="s">
        <v>583</v>
      </c>
      <c r="AD401" s="705">
        <v>12</v>
      </c>
      <c r="AE401" s="705">
        <v>1076</v>
      </c>
      <c r="AF401" s="705">
        <v>10168</v>
      </c>
      <c r="AG401" s="705">
        <v>692086</v>
      </c>
      <c r="AH401" s="705">
        <v>629169</v>
      </c>
      <c r="AI401" s="706">
        <v>40</v>
      </c>
      <c r="AJ401" s="705">
        <v>68408</v>
      </c>
      <c r="AK401" s="705">
        <v>55180</v>
      </c>
      <c r="AL401" s="705">
        <v>22555</v>
      </c>
      <c r="AM401" s="705">
        <v>8354</v>
      </c>
      <c r="AN401" s="705">
        <v>3186</v>
      </c>
      <c r="AO401" s="705">
        <v>1180</v>
      </c>
      <c r="AP401" s="705">
        <v>76098</v>
      </c>
      <c r="AQ401" s="705">
        <v>69180</v>
      </c>
      <c r="AR401" s="705">
        <v>18549</v>
      </c>
      <c r="AS401" s="705">
        <v>6870</v>
      </c>
      <c r="AT401" s="705">
        <v>769933</v>
      </c>
      <c r="AU401" s="705">
        <f t="shared" si="32"/>
        <v>769933</v>
      </c>
      <c r="AV401" s="705">
        <f t="shared" si="33"/>
        <v>880882</v>
      </c>
    </row>
    <row r="402" spans="2:48">
      <c r="B402" t="s">
        <v>537</v>
      </c>
      <c r="C402" t="s">
        <v>120</v>
      </c>
      <c r="F402">
        <v>18</v>
      </c>
      <c r="G402">
        <v>962</v>
      </c>
      <c r="H402" s="705">
        <v>6375</v>
      </c>
      <c r="I402" s="705"/>
      <c r="J402" s="705">
        <v>0</v>
      </c>
      <c r="K402" s="705"/>
      <c r="L402" s="705"/>
      <c r="M402" s="705">
        <v>0</v>
      </c>
      <c r="N402" s="705">
        <v>15296</v>
      </c>
      <c r="O402" s="705">
        <v>5665</v>
      </c>
      <c r="P402" s="705">
        <v>6710</v>
      </c>
      <c r="Q402" s="705">
        <v>2485</v>
      </c>
      <c r="R402" s="705"/>
      <c r="S402" s="705">
        <v>0</v>
      </c>
      <c r="T402" s="705">
        <v>1845</v>
      </c>
      <c r="U402" s="705">
        <v>683</v>
      </c>
      <c r="V402" s="705">
        <v>8833</v>
      </c>
      <c r="W402" s="705">
        <f t="shared" si="30"/>
        <v>8833</v>
      </c>
      <c r="X402" s="705">
        <f t="shared" si="31"/>
        <v>23851</v>
      </c>
      <c r="Y402" s="705"/>
      <c r="AA402" t="s">
        <v>124</v>
      </c>
      <c r="AB402" t="s">
        <v>665</v>
      </c>
      <c r="AC402" s="705" t="s">
        <v>666</v>
      </c>
      <c r="AD402" s="705">
        <v>1</v>
      </c>
      <c r="AE402" s="705">
        <v>80</v>
      </c>
      <c r="AF402" s="705">
        <v>499</v>
      </c>
      <c r="AG402" s="705">
        <v>26649</v>
      </c>
      <c r="AH402" s="705">
        <v>24226</v>
      </c>
      <c r="AI402" s="706">
        <v>45</v>
      </c>
      <c r="AJ402" s="705">
        <v>4442</v>
      </c>
      <c r="AK402" s="705">
        <v>4038</v>
      </c>
      <c r="AL402" s="705">
        <v>1710</v>
      </c>
      <c r="AM402" s="705">
        <v>633</v>
      </c>
      <c r="AN402" s="705">
        <v>351</v>
      </c>
      <c r="AO402" s="705">
        <v>130</v>
      </c>
      <c r="AP402" s="705">
        <v>5165</v>
      </c>
      <c r="AQ402" s="705">
        <v>4696</v>
      </c>
      <c r="AR402" s="705">
        <v>1723</v>
      </c>
      <c r="AS402" s="705">
        <v>638</v>
      </c>
      <c r="AT402" s="705">
        <v>34361</v>
      </c>
      <c r="AU402" s="705">
        <f t="shared" si="32"/>
        <v>34361</v>
      </c>
      <c r="AV402" s="705">
        <f t="shared" si="33"/>
        <v>40040</v>
      </c>
    </row>
    <row r="403" spans="2:48">
      <c r="B403" t="s">
        <v>537</v>
      </c>
      <c r="C403" t="s">
        <v>120</v>
      </c>
      <c r="D403" t="s">
        <v>674</v>
      </c>
      <c r="E403" t="s">
        <v>669</v>
      </c>
      <c r="F403">
        <v>1</v>
      </c>
      <c r="G403" s="705">
        <v>89</v>
      </c>
      <c r="H403" s="705">
        <v>334</v>
      </c>
      <c r="I403" s="705">
        <v>15777</v>
      </c>
      <c r="J403" s="705">
        <v>14342</v>
      </c>
      <c r="K403" s="705">
        <v>55</v>
      </c>
      <c r="L403" s="705">
        <v>3506</v>
      </c>
      <c r="M403" s="705">
        <v>2922</v>
      </c>
      <c r="N403" s="705">
        <v>1085</v>
      </c>
      <c r="O403" s="705">
        <v>402</v>
      </c>
      <c r="P403" s="705">
        <v>351</v>
      </c>
      <c r="Q403" s="705">
        <v>130</v>
      </c>
      <c r="R403" s="705">
        <v>6265</v>
      </c>
      <c r="S403" s="705">
        <v>5221</v>
      </c>
      <c r="T403" s="705">
        <v>2731</v>
      </c>
      <c r="U403" s="705">
        <v>1012</v>
      </c>
      <c r="V403" s="705">
        <v>24028</v>
      </c>
      <c r="W403" s="705">
        <f t="shared" si="30"/>
        <v>24029</v>
      </c>
      <c r="X403" s="705">
        <f t="shared" si="31"/>
        <v>29715</v>
      </c>
      <c r="Y403" s="705"/>
      <c r="AA403" t="s">
        <v>124</v>
      </c>
      <c r="AB403" t="s">
        <v>665</v>
      </c>
      <c r="AC403" s="705" t="s">
        <v>584</v>
      </c>
      <c r="AD403" s="705">
        <v>10</v>
      </c>
      <c r="AE403" s="705">
        <v>938</v>
      </c>
      <c r="AF403" s="705">
        <v>8903</v>
      </c>
      <c r="AG403" s="705">
        <v>725616</v>
      </c>
      <c r="AH403" s="705">
        <v>659651</v>
      </c>
      <c r="AI403" s="706">
        <v>32</v>
      </c>
      <c r="AJ403" s="705">
        <v>45258</v>
      </c>
      <c r="AK403" s="705">
        <v>31655</v>
      </c>
      <c r="AL403" s="705">
        <v>20566</v>
      </c>
      <c r="AM403" s="705">
        <v>7617</v>
      </c>
      <c r="AN403" s="705">
        <v>1539</v>
      </c>
      <c r="AO403" s="705">
        <v>570</v>
      </c>
      <c r="AP403" s="705">
        <v>39535</v>
      </c>
      <c r="AQ403" s="705">
        <v>35941</v>
      </c>
      <c r="AR403" s="705">
        <v>7750</v>
      </c>
      <c r="AS403" s="705">
        <v>2870</v>
      </c>
      <c r="AT403" s="705">
        <v>738304</v>
      </c>
      <c r="AU403" s="705">
        <f t="shared" si="32"/>
        <v>738304</v>
      </c>
      <c r="AV403" s="705">
        <f t="shared" si="33"/>
        <v>840264</v>
      </c>
    </row>
    <row r="404" spans="2:48">
      <c r="B404" t="s">
        <v>537</v>
      </c>
      <c r="C404" t="s">
        <v>120</v>
      </c>
      <c r="D404" t="s">
        <v>664</v>
      </c>
      <c r="E404" t="s">
        <v>664</v>
      </c>
      <c r="F404">
        <v>3</v>
      </c>
      <c r="G404">
        <v>204</v>
      </c>
      <c r="H404" s="705">
        <v>1003</v>
      </c>
      <c r="I404" s="705">
        <v>38748</v>
      </c>
      <c r="J404" s="705">
        <v>35225</v>
      </c>
      <c r="K404">
        <v>84</v>
      </c>
      <c r="L404" s="705">
        <v>8546</v>
      </c>
      <c r="M404" s="705">
        <v>7428</v>
      </c>
      <c r="N404" s="705">
        <v>4880</v>
      </c>
      <c r="O404" s="705">
        <v>1807</v>
      </c>
      <c r="P404" s="705">
        <v>1418</v>
      </c>
      <c r="Q404" s="705">
        <v>525</v>
      </c>
      <c r="R404" s="705">
        <v>10441</v>
      </c>
      <c r="S404" s="705">
        <v>9492</v>
      </c>
      <c r="T404" s="705">
        <v>4284</v>
      </c>
      <c r="U404" s="705">
        <v>1587</v>
      </c>
      <c r="V404" s="705">
        <v>56064</v>
      </c>
      <c r="W404" s="705">
        <f t="shared" si="30"/>
        <v>56064</v>
      </c>
      <c r="X404" s="705">
        <f t="shared" si="31"/>
        <v>68317</v>
      </c>
      <c r="Y404" s="705"/>
      <c r="AA404" t="s">
        <v>124</v>
      </c>
      <c r="AB404" t="s">
        <v>665</v>
      </c>
      <c r="AC404" s="705" t="s">
        <v>669</v>
      </c>
      <c r="AD404" s="705">
        <v>1</v>
      </c>
      <c r="AE404" s="705">
        <v>82</v>
      </c>
      <c r="AF404" s="705">
        <v>607</v>
      </c>
      <c r="AG404" s="705">
        <v>40262</v>
      </c>
      <c r="AH404" s="705">
        <v>36602</v>
      </c>
      <c r="AI404" s="706">
        <v>55</v>
      </c>
      <c r="AJ404" s="705">
        <v>0</v>
      </c>
      <c r="AK404" s="705">
        <v>0</v>
      </c>
      <c r="AL404" s="705">
        <v>1640</v>
      </c>
      <c r="AM404" s="705">
        <v>607</v>
      </c>
      <c r="AN404" s="705">
        <v>351</v>
      </c>
      <c r="AO404" s="705">
        <v>130</v>
      </c>
      <c r="AP404" s="705">
        <v>5383</v>
      </c>
      <c r="AQ404" s="705">
        <v>4485</v>
      </c>
      <c r="AR404" s="705">
        <v>2194</v>
      </c>
      <c r="AS404" s="705">
        <v>812</v>
      </c>
      <c r="AT404" s="705">
        <v>42637</v>
      </c>
      <c r="AU404" s="705">
        <f t="shared" si="32"/>
        <v>42636</v>
      </c>
      <c r="AV404" s="705">
        <f t="shared" si="33"/>
        <v>49830</v>
      </c>
    </row>
    <row r="405" spans="2:48">
      <c r="B405" t="s">
        <v>537</v>
      </c>
      <c r="C405" t="s">
        <v>120</v>
      </c>
      <c r="D405" t="s">
        <v>664</v>
      </c>
      <c r="E405" s="705" t="s">
        <v>583</v>
      </c>
      <c r="F405" s="705">
        <v>1</v>
      </c>
      <c r="G405" s="705">
        <v>86</v>
      </c>
      <c r="H405" s="705">
        <v>326</v>
      </c>
      <c r="I405" s="705">
        <v>15854</v>
      </c>
      <c r="J405" s="705">
        <v>14413</v>
      </c>
      <c r="K405" s="705">
        <v>65</v>
      </c>
      <c r="L405" s="705">
        <v>1814</v>
      </c>
      <c r="M405" s="705">
        <v>1649</v>
      </c>
      <c r="N405" s="705">
        <v>1563</v>
      </c>
      <c r="O405" s="705">
        <v>579</v>
      </c>
      <c r="P405" s="705">
        <v>621</v>
      </c>
      <c r="Q405" s="705">
        <v>230</v>
      </c>
      <c r="R405" s="705">
        <v>8076</v>
      </c>
      <c r="S405" s="705">
        <v>7342</v>
      </c>
      <c r="T405" s="705">
        <v>0</v>
      </c>
      <c r="U405" s="705">
        <v>0</v>
      </c>
      <c r="V405" s="705">
        <v>24213</v>
      </c>
      <c r="W405" s="705">
        <f t="shared" si="30"/>
        <v>24213</v>
      </c>
      <c r="X405" s="705">
        <f t="shared" si="31"/>
        <v>27928</v>
      </c>
      <c r="Y405" s="705"/>
      <c r="AA405" t="s">
        <v>124</v>
      </c>
      <c r="AB405" t="s">
        <v>665</v>
      </c>
      <c r="AC405" s="705" t="s">
        <v>665</v>
      </c>
      <c r="AD405" s="705">
        <v>2825</v>
      </c>
      <c r="AE405" s="705">
        <v>202800</v>
      </c>
      <c r="AF405" s="705">
        <v>1719023</v>
      </c>
      <c r="AG405" s="705">
        <v>87283347</v>
      </c>
      <c r="AH405" s="705">
        <v>79348497</v>
      </c>
      <c r="AI405" s="706">
        <v>50</v>
      </c>
      <c r="AJ405" s="705">
        <v>10989745</v>
      </c>
      <c r="AK405" s="705">
        <v>8392627</v>
      </c>
      <c r="AL405" s="705">
        <v>4335425</v>
      </c>
      <c r="AM405" s="705">
        <v>1605713</v>
      </c>
      <c r="AN405" s="705">
        <v>898805</v>
      </c>
      <c r="AO405" s="705">
        <v>332891</v>
      </c>
      <c r="AP405" s="705">
        <v>16405866</v>
      </c>
      <c r="AQ405" s="705">
        <v>14914423</v>
      </c>
      <c r="AR405" s="705">
        <v>5529887</v>
      </c>
      <c r="AS405" s="705">
        <v>2048106</v>
      </c>
      <c r="AT405" s="705">
        <v>106642258</v>
      </c>
      <c r="AU405" s="705">
        <f t="shared" si="32"/>
        <v>106642257</v>
      </c>
      <c r="AV405" s="705">
        <f t="shared" si="33"/>
        <v>125443075</v>
      </c>
    </row>
    <row r="406" spans="2:48">
      <c r="B406" t="s">
        <v>537</v>
      </c>
      <c r="C406" t="s">
        <v>120</v>
      </c>
      <c r="D406" t="s">
        <v>582</v>
      </c>
      <c r="E406" t="s">
        <v>582</v>
      </c>
      <c r="F406">
        <v>9</v>
      </c>
      <c r="G406" s="705">
        <v>810</v>
      </c>
      <c r="H406" s="705">
        <v>3113</v>
      </c>
      <c r="I406" s="705">
        <v>198150</v>
      </c>
      <c r="J406" s="705">
        <v>180137</v>
      </c>
      <c r="K406" s="705">
        <v>72</v>
      </c>
      <c r="L406" s="705">
        <v>25247</v>
      </c>
      <c r="M406" s="705">
        <v>22952</v>
      </c>
      <c r="N406" s="705">
        <v>16736</v>
      </c>
      <c r="O406" s="705">
        <v>6199</v>
      </c>
      <c r="P406" s="705">
        <v>4860</v>
      </c>
      <c r="Q406" s="705">
        <v>1800</v>
      </c>
      <c r="R406" s="705">
        <v>48450</v>
      </c>
      <c r="S406" s="705">
        <v>44045</v>
      </c>
      <c r="T406" s="705">
        <v>2549</v>
      </c>
      <c r="U406" s="705">
        <v>944</v>
      </c>
      <c r="V406" s="705">
        <v>256077</v>
      </c>
      <c r="W406" s="705">
        <f t="shared" si="30"/>
        <v>256077</v>
      </c>
      <c r="X406" s="705">
        <f t="shared" si="31"/>
        <v>295992</v>
      </c>
      <c r="Y406" s="705"/>
      <c r="AA406" t="s">
        <v>124</v>
      </c>
      <c r="AB406" t="s">
        <v>665</v>
      </c>
      <c r="AC406" s="705" t="s">
        <v>722</v>
      </c>
      <c r="AD406" s="705">
        <v>2</v>
      </c>
      <c r="AE406" s="705">
        <v>117</v>
      </c>
      <c r="AF406" s="705">
        <v>1118</v>
      </c>
      <c r="AG406" s="705">
        <v>41142</v>
      </c>
      <c r="AH406" s="705">
        <v>37402</v>
      </c>
      <c r="AI406" s="706">
        <v>45</v>
      </c>
      <c r="AJ406" s="705">
        <v>5190</v>
      </c>
      <c r="AK406" s="705">
        <v>4719</v>
      </c>
      <c r="AL406" s="705">
        <v>2182</v>
      </c>
      <c r="AM406" s="705">
        <v>808</v>
      </c>
      <c r="AN406" s="705">
        <v>702</v>
      </c>
      <c r="AO406" s="705">
        <v>260</v>
      </c>
      <c r="AP406" s="705">
        <v>18981</v>
      </c>
      <c r="AQ406" s="705">
        <v>17255</v>
      </c>
      <c r="AR406" s="705">
        <v>0</v>
      </c>
      <c r="AS406" s="705">
        <v>0</v>
      </c>
      <c r="AT406" s="705">
        <v>60444</v>
      </c>
      <c r="AU406" s="705">
        <f t="shared" si="32"/>
        <v>60444</v>
      </c>
      <c r="AV406" s="705">
        <f t="shared" si="33"/>
        <v>68197</v>
      </c>
    </row>
    <row r="407" spans="2:48">
      <c r="B407" t="s">
        <v>537</v>
      </c>
      <c r="C407" t="s">
        <v>120</v>
      </c>
      <c r="D407" t="s">
        <v>228</v>
      </c>
      <c r="E407" t="s">
        <v>228</v>
      </c>
      <c r="F407">
        <v>608</v>
      </c>
      <c r="G407" s="705">
        <v>49916</v>
      </c>
      <c r="H407" s="705">
        <v>205245</v>
      </c>
      <c r="I407" s="705">
        <v>10395347</v>
      </c>
      <c r="J407" s="705">
        <v>3850129</v>
      </c>
      <c r="K407" s="705">
        <v>100</v>
      </c>
      <c r="L407" s="705">
        <v>1621849</v>
      </c>
      <c r="M407" s="705">
        <v>1230773</v>
      </c>
      <c r="N407" s="705">
        <v>1066565</v>
      </c>
      <c r="O407" s="705">
        <v>395024</v>
      </c>
      <c r="P407" s="705">
        <v>8951</v>
      </c>
      <c r="Q407" s="705">
        <v>3315</v>
      </c>
      <c r="R407" s="705">
        <v>4151722</v>
      </c>
      <c r="S407" s="705">
        <v>1537675</v>
      </c>
      <c r="T407" s="705">
        <v>4166</v>
      </c>
      <c r="U407" s="705">
        <v>1543</v>
      </c>
      <c r="V407" s="705">
        <v>7018458</v>
      </c>
      <c r="W407" s="705">
        <f t="shared" si="30"/>
        <v>7018459</v>
      </c>
      <c r="X407" s="705">
        <f t="shared" si="31"/>
        <v>17248600</v>
      </c>
      <c r="Y407" s="705"/>
      <c r="AA407" t="s">
        <v>124</v>
      </c>
      <c r="AB407" t="s">
        <v>722</v>
      </c>
      <c r="AC407" s="705" t="s">
        <v>228</v>
      </c>
      <c r="AD407" s="705">
        <v>1</v>
      </c>
      <c r="AE407" s="705">
        <v>74</v>
      </c>
      <c r="AF407" s="705">
        <v>699</v>
      </c>
      <c r="AG407" s="705">
        <v>37650</v>
      </c>
      <c r="AH407" s="705">
        <v>34228</v>
      </c>
      <c r="AI407" s="706">
        <v>60</v>
      </c>
      <c r="AJ407" s="705">
        <v>8367</v>
      </c>
      <c r="AK407" s="705">
        <v>7606</v>
      </c>
      <c r="AL407" s="705">
        <v>1814</v>
      </c>
      <c r="AM407" s="705">
        <v>672</v>
      </c>
      <c r="AN407" s="705">
        <v>0</v>
      </c>
      <c r="AO407" s="705">
        <v>0</v>
      </c>
      <c r="AP407" s="705">
        <v>2839</v>
      </c>
      <c r="AQ407" s="705">
        <v>1051</v>
      </c>
      <c r="AR407" s="705">
        <v>1398</v>
      </c>
      <c r="AS407" s="705">
        <v>518</v>
      </c>
      <c r="AT407" s="705">
        <v>44075</v>
      </c>
      <c r="AU407" s="705">
        <f t="shared" si="32"/>
        <v>44075</v>
      </c>
      <c r="AV407" s="705">
        <f t="shared" si="33"/>
        <v>52068</v>
      </c>
    </row>
    <row r="408" spans="2:48">
      <c r="B408" t="s">
        <v>537</v>
      </c>
      <c r="C408" t="s">
        <v>120</v>
      </c>
      <c r="D408" t="s">
        <v>228</v>
      </c>
      <c r="E408" t="s">
        <v>669</v>
      </c>
      <c r="F408">
        <v>7</v>
      </c>
      <c r="G408" s="705">
        <v>562</v>
      </c>
      <c r="H408" s="705">
        <v>2422</v>
      </c>
      <c r="I408" s="705">
        <v>109085</v>
      </c>
      <c r="J408" s="705">
        <v>40402</v>
      </c>
      <c r="K408" s="705">
        <v>100</v>
      </c>
      <c r="L408" s="705">
        <v>12856</v>
      </c>
      <c r="M408" s="705">
        <v>10713</v>
      </c>
      <c r="N408" s="705">
        <v>12671</v>
      </c>
      <c r="O408" s="705">
        <v>4693</v>
      </c>
      <c r="P408" s="705">
        <v>702</v>
      </c>
      <c r="Q408" s="705">
        <v>260</v>
      </c>
      <c r="R408" s="705">
        <v>41996</v>
      </c>
      <c r="S408" s="705">
        <v>34997</v>
      </c>
      <c r="T408" s="705">
        <v>16967</v>
      </c>
      <c r="U408" s="705">
        <v>6284</v>
      </c>
      <c r="V408" s="705">
        <v>97349</v>
      </c>
      <c r="W408" s="705">
        <f t="shared" si="30"/>
        <v>97349</v>
      </c>
      <c r="X408" s="705">
        <f t="shared" si="31"/>
        <v>194277</v>
      </c>
      <c r="Y408" s="705"/>
      <c r="AA408" t="s">
        <v>124</v>
      </c>
      <c r="AB408" t="s">
        <v>722</v>
      </c>
      <c r="AC408" s="705" t="s">
        <v>665</v>
      </c>
      <c r="AD408" s="705">
        <v>2</v>
      </c>
      <c r="AE408" s="705">
        <v>150</v>
      </c>
      <c r="AF408" s="705">
        <v>1073</v>
      </c>
      <c r="AG408" s="705">
        <v>51426</v>
      </c>
      <c r="AH408" s="705">
        <v>46751</v>
      </c>
      <c r="AI408" s="706">
        <v>60</v>
      </c>
      <c r="AJ408" s="705">
        <v>9858</v>
      </c>
      <c r="AK408" s="705">
        <v>6715</v>
      </c>
      <c r="AL408" s="705">
        <v>2976</v>
      </c>
      <c r="AM408" s="705">
        <v>1102</v>
      </c>
      <c r="AN408" s="705">
        <v>702</v>
      </c>
      <c r="AO408" s="705">
        <v>260</v>
      </c>
      <c r="AP408" s="705">
        <v>10001</v>
      </c>
      <c r="AQ408" s="705">
        <v>9091</v>
      </c>
      <c r="AR408" s="705">
        <v>5000</v>
      </c>
      <c r="AS408" s="705">
        <v>1852</v>
      </c>
      <c r="AT408" s="705">
        <v>65771</v>
      </c>
      <c r="AU408" s="705">
        <f t="shared" si="32"/>
        <v>65771</v>
      </c>
      <c r="AV408" s="705">
        <f t="shared" si="33"/>
        <v>79963</v>
      </c>
    </row>
    <row r="409" spans="2:48">
      <c r="B409" t="s">
        <v>537</v>
      </c>
      <c r="C409" t="s">
        <v>120</v>
      </c>
      <c r="D409" t="s">
        <v>228</v>
      </c>
      <c r="E409" t="s">
        <v>665</v>
      </c>
      <c r="F409">
        <v>12</v>
      </c>
      <c r="G409" s="705">
        <v>963</v>
      </c>
      <c r="H409" s="705">
        <v>4219</v>
      </c>
      <c r="I409" s="705">
        <v>203890</v>
      </c>
      <c r="J409" s="705">
        <v>75515</v>
      </c>
      <c r="K409" s="705">
        <v>100</v>
      </c>
      <c r="L409" s="705">
        <v>24589</v>
      </c>
      <c r="M409" s="705">
        <v>22354</v>
      </c>
      <c r="N409" s="705">
        <v>20481</v>
      </c>
      <c r="O409" s="705">
        <v>7586</v>
      </c>
      <c r="P409" s="705">
        <v>0</v>
      </c>
      <c r="Q409" s="705">
        <v>0</v>
      </c>
      <c r="R409" s="705">
        <v>62254</v>
      </c>
      <c r="S409" s="705">
        <v>56594</v>
      </c>
      <c r="T409" s="705">
        <v>25436</v>
      </c>
      <c r="U409" s="705">
        <v>9421</v>
      </c>
      <c r="V409" s="705">
        <v>171469</v>
      </c>
      <c r="W409" s="705">
        <f t="shared" si="30"/>
        <v>171470</v>
      </c>
      <c r="X409" s="705">
        <f t="shared" si="31"/>
        <v>336650</v>
      </c>
      <c r="Y409" s="705"/>
      <c r="AA409" t="s">
        <v>124</v>
      </c>
      <c r="AB409" t="s">
        <v>673</v>
      </c>
      <c r="AC409" s="705" t="s">
        <v>228</v>
      </c>
      <c r="AD409" s="705">
        <v>6</v>
      </c>
      <c r="AE409" s="705">
        <v>522</v>
      </c>
      <c r="AF409" s="705">
        <v>4659</v>
      </c>
      <c r="AG409" s="705">
        <v>319112</v>
      </c>
      <c r="AH409" s="705">
        <v>290102</v>
      </c>
      <c r="AI409" s="706">
        <v>45</v>
      </c>
      <c r="AJ409" s="705">
        <v>29678</v>
      </c>
      <c r="AK409" s="705">
        <v>21686</v>
      </c>
      <c r="AL409" s="705">
        <v>12720</v>
      </c>
      <c r="AM409" s="705">
        <v>4711</v>
      </c>
      <c r="AN409" s="705">
        <v>351</v>
      </c>
      <c r="AO409" s="705">
        <v>130</v>
      </c>
      <c r="AP409" s="705">
        <v>37633</v>
      </c>
      <c r="AQ409" s="705">
        <v>13938</v>
      </c>
      <c r="AR409" s="705">
        <v>0</v>
      </c>
      <c r="AS409" s="705">
        <v>0</v>
      </c>
      <c r="AT409" s="705">
        <v>330567</v>
      </c>
      <c r="AU409" s="705">
        <f t="shared" si="32"/>
        <v>330567</v>
      </c>
      <c r="AV409" s="705">
        <f t="shared" si="33"/>
        <v>399494</v>
      </c>
    </row>
    <row r="410" spans="2:48">
      <c r="B410" t="s">
        <v>537</v>
      </c>
      <c r="C410" t="s">
        <v>120</v>
      </c>
      <c r="D410" t="s">
        <v>583</v>
      </c>
      <c r="E410" t="s">
        <v>664</v>
      </c>
      <c r="F410">
        <v>1</v>
      </c>
      <c r="G410" s="705">
        <v>82</v>
      </c>
      <c r="H410" s="705">
        <v>312</v>
      </c>
      <c r="I410" s="705">
        <v>13578</v>
      </c>
      <c r="J410" s="705">
        <v>12343</v>
      </c>
      <c r="K410" s="705">
        <v>80</v>
      </c>
      <c r="L410" s="705">
        <v>2296</v>
      </c>
      <c r="M410" s="705">
        <v>2087</v>
      </c>
      <c r="N410" s="705">
        <v>1998</v>
      </c>
      <c r="O410" s="705">
        <v>740</v>
      </c>
      <c r="P410" s="705">
        <v>473</v>
      </c>
      <c r="Q410" s="705">
        <v>175</v>
      </c>
      <c r="R410" s="705">
        <v>4340</v>
      </c>
      <c r="S410" s="705">
        <v>3945</v>
      </c>
      <c r="T410" s="705">
        <v>2906</v>
      </c>
      <c r="U410" s="705">
        <v>1076</v>
      </c>
      <c r="V410" s="705">
        <v>20367</v>
      </c>
      <c r="W410" s="705">
        <f t="shared" si="30"/>
        <v>20366</v>
      </c>
      <c r="X410" s="705">
        <f t="shared" si="31"/>
        <v>25591</v>
      </c>
      <c r="Y410" s="705"/>
      <c r="AA410" t="s">
        <v>124</v>
      </c>
      <c r="AB410" t="s">
        <v>673</v>
      </c>
      <c r="AC410" s="705" t="s">
        <v>584</v>
      </c>
      <c r="AD410" s="705">
        <v>1</v>
      </c>
      <c r="AE410" s="705">
        <v>35</v>
      </c>
      <c r="AF410" s="705">
        <v>1246</v>
      </c>
      <c r="AG410" s="705">
        <v>37847</v>
      </c>
      <c r="AH410" s="705">
        <v>34406</v>
      </c>
      <c r="AI410" s="706">
        <v>30</v>
      </c>
      <c r="AJ410" s="705">
        <v>3097</v>
      </c>
      <c r="AK410" s="705">
        <v>1147</v>
      </c>
      <c r="AL410" s="705">
        <v>849</v>
      </c>
      <c r="AM410" s="705">
        <v>315</v>
      </c>
      <c r="AN410" s="705">
        <v>0</v>
      </c>
      <c r="AO410" s="705">
        <v>0</v>
      </c>
      <c r="AP410" s="705">
        <v>1615</v>
      </c>
      <c r="AQ410" s="705">
        <v>1468</v>
      </c>
      <c r="AR410" s="705">
        <v>0</v>
      </c>
      <c r="AS410" s="705">
        <v>0</v>
      </c>
      <c r="AT410" s="705">
        <v>37336</v>
      </c>
      <c r="AU410" s="705">
        <f t="shared" si="32"/>
        <v>37336</v>
      </c>
      <c r="AV410" s="705">
        <f t="shared" si="33"/>
        <v>43408</v>
      </c>
    </row>
    <row r="411" spans="2:48">
      <c r="B411" t="s">
        <v>537</v>
      </c>
      <c r="C411" t="s">
        <v>120</v>
      </c>
      <c r="D411" t="s">
        <v>583</v>
      </c>
      <c r="E411" t="s">
        <v>228</v>
      </c>
      <c r="F411" s="705">
        <v>25</v>
      </c>
      <c r="G411" s="705">
        <v>2494</v>
      </c>
      <c r="H411" s="705">
        <v>8581</v>
      </c>
      <c r="I411" s="705">
        <v>524871</v>
      </c>
      <c r="J411" s="705">
        <v>477156</v>
      </c>
      <c r="K411" s="705">
        <v>83</v>
      </c>
      <c r="L411" s="705">
        <v>123025</v>
      </c>
      <c r="M411" s="705">
        <v>100281</v>
      </c>
      <c r="N411" s="705">
        <v>52867</v>
      </c>
      <c r="O411" s="705">
        <v>19580</v>
      </c>
      <c r="P411" s="705">
        <v>15876</v>
      </c>
      <c r="Q411" s="705">
        <v>5880</v>
      </c>
      <c r="R411" s="705">
        <v>163359</v>
      </c>
      <c r="S411" s="705">
        <v>60503</v>
      </c>
      <c r="T411" s="705">
        <v>0</v>
      </c>
      <c r="U411" s="705">
        <v>0</v>
      </c>
      <c r="V411" s="705">
        <v>663401</v>
      </c>
      <c r="W411" s="705">
        <f t="shared" si="30"/>
        <v>663400</v>
      </c>
      <c r="X411" s="705">
        <f t="shared" si="31"/>
        <v>879998</v>
      </c>
      <c r="Y411" s="705"/>
      <c r="AA411" t="s">
        <v>124</v>
      </c>
      <c r="AB411" t="s">
        <v>673</v>
      </c>
      <c r="AC411" s="705" t="s">
        <v>673</v>
      </c>
      <c r="AD411" s="705">
        <v>30</v>
      </c>
      <c r="AE411" s="705">
        <v>2182</v>
      </c>
      <c r="AF411" s="705">
        <v>19206</v>
      </c>
      <c r="AG411" s="705">
        <v>979716</v>
      </c>
      <c r="AH411" s="705">
        <v>890651</v>
      </c>
      <c r="AI411" s="706">
        <v>53</v>
      </c>
      <c r="AJ411" s="705">
        <v>129496</v>
      </c>
      <c r="AK411" s="705">
        <v>93630</v>
      </c>
      <c r="AL411" s="705">
        <v>47116</v>
      </c>
      <c r="AM411" s="705">
        <v>17450</v>
      </c>
      <c r="AN411" s="705">
        <v>10179</v>
      </c>
      <c r="AO411" s="705">
        <v>3770</v>
      </c>
      <c r="AP411" s="705">
        <v>155267</v>
      </c>
      <c r="AQ411" s="705">
        <v>141152</v>
      </c>
      <c r="AR411" s="705">
        <v>62141</v>
      </c>
      <c r="AS411" s="705">
        <v>23015</v>
      </c>
      <c r="AT411" s="705">
        <v>1169668</v>
      </c>
      <c r="AU411" s="705">
        <f t="shared" si="32"/>
        <v>1169668</v>
      </c>
      <c r="AV411" s="705">
        <f t="shared" si="33"/>
        <v>1383915</v>
      </c>
    </row>
    <row r="412" spans="2:48">
      <c r="B412" t="s">
        <v>537</v>
      </c>
      <c r="C412" t="s">
        <v>120</v>
      </c>
      <c r="D412" t="s">
        <v>583</v>
      </c>
      <c r="E412" t="s">
        <v>583</v>
      </c>
      <c r="F412" s="705">
        <v>1113</v>
      </c>
      <c r="G412" s="705">
        <v>110858</v>
      </c>
      <c r="H412" s="705">
        <v>378222</v>
      </c>
      <c r="I412" s="705">
        <v>22684059</v>
      </c>
      <c r="J412" s="705">
        <v>20621872</v>
      </c>
      <c r="K412" s="705">
        <v>80</v>
      </c>
      <c r="L412" s="705">
        <v>5282920</v>
      </c>
      <c r="M412" s="705">
        <v>4541521</v>
      </c>
      <c r="N412" s="705">
        <v>2324649</v>
      </c>
      <c r="O412" s="705">
        <v>860981</v>
      </c>
      <c r="P412" s="705">
        <v>708426</v>
      </c>
      <c r="Q412" s="705">
        <v>262380</v>
      </c>
      <c r="R412" s="705">
        <v>5299815</v>
      </c>
      <c r="S412" s="705">
        <v>4818013</v>
      </c>
      <c r="T412" s="705">
        <v>1713034</v>
      </c>
      <c r="U412" s="705">
        <v>634457</v>
      </c>
      <c r="V412" s="705">
        <v>31739225</v>
      </c>
      <c r="W412" s="705">
        <f t="shared" si="30"/>
        <v>31739224</v>
      </c>
      <c r="X412" s="705">
        <f t="shared" si="31"/>
        <v>38012903</v>
      </c>
      <c r="Y412" s="705"/>
      <c r="AA412" t="s">
        <v>124</v>
      </c>
      <c r="AB412" t="s">
        <v>585</v>
      </c>
      <c r="AC412" s="705" t="s">
        <v>228</v>
      </c>
      <c r="AD412" s="705">
        <v>1</v>
      </c>
      <c r="AE412" s="705">
        <v>172</v>
      </c>
      <c r="AF412" s="705">
        <v>559</v>
      </c>
      <c r="AG412" s="705">
        <v>66836</v>
      </c>
      <c r="AH412" s="705">
        <v>60760</v>
      </c>
      <c r="AI412" s="706">
        <v>65</v>
      </c>
      <c r="AJ412" s="705">
        <v>26659</v>
      </c>
      <c r="AK412" s="705">
        <v>9874</v>
      </c>
      <c r="AL412" s="705">
        <v>4365</v>
      </c>
      <c r="AM412" s="705">
        <v>1617</v>
      </c>
      <c r="AN412" s="705">
        <v>0</v>
      </c>
      <c r="AO412" s="705">
        <v>0</v>
      </c>
      <c r="AP412" s="705">
        <v>12778</v>
      </c>
      <c r="AQ412" s="705">
        <v>4732</v>
      </c>
      <c r="AR412" s="705">
        <v>0</v>
      </c>
      <c r="AS412" s="705">
        <v>0</v>
      </c>
      <c r="AT412" s="705">
        <v>76983</v>
      </c>
      <c r="AU412" s="705">
        <f t="shared" si="32"/>
        <v>76983</v>
      </c>
      <c r="AV412" s="705">
        <f t="shared" si="33"/>
        <v>110638</v>
      </c>
    </row>
    <row r="413" spans="2:48">
      <c r="B413" t="s">
        <v>537</v>
      </c>
      <c r="C413" t="s">
        <v>120</v>
      </c>
      <c r="D413" t="s">
        <v>583</v>
      </c>
      <c r="E413" t="s">
        <v>666</v>
      </c>
      <c r="F413">
        <v>2</v>
      </c>
      <c r="G413" s="705">
        <v>162</v>
      </c>
      <c r="H413" s="705">
        <v>706</v>
      </c>
      <c r="I413" s="705">
        <v>35968</v>
      </c>
      <c r="J413" s="705">
        <v>32698</v>
      </c>
      <c r="K413" s="705">
        <v>82</v>
      </c>
      <c r="L413" s="705">
        <v>7892</v>
      </c>
      <c r="M413" s="705">
        <v>7174</v>
      </c>
      <c r="N413" s="705">
        <v>3873</v>
      </c>
      <c r="O413" s="705">
        <v>1435</v>
      </c>
      <c r="P413" s="705">
        <v>1242</v>
      </c>
      <c r="Q413" s="705">
        <v>460</v>
      </c>
      <c r="R413" s="705">
        <v>6776</v>
      </c>
      <c r="S413" s="705">
        <v>6160</v>
      </c>
      <c r="T413" s="705">
        <v>1801</v>
      </c>
      <c r="U413" s="705">
        <v>667</v>
      </c>
      <c r="V413" s="705">
        <v>48594</v>
      </c>
      <c r="W413" s="705">
        <f t="shared" si="30"/>
        <v>48594</v>
      </c>
      <c r="X413" s="705">
        <f t="shared" si="31"/>
        <v>57552</v>
      </c>
      <c r="Y413" s="705"/>
      <c r="AA413" t="s">
        <v>124</v>
      </c>
      <c r="AB413" t="s">
        <v>585</v>
      </c>
      <c r="AC413" s="705" t="s">
        <v>585</v>
      </c>
      <c r="AD413" s="705">
        <v>1</v>
      </c>
      <c r="AE413" s="705">
        <v>75</v>
      </c>
      <c r="AF413" s="705">
        <v>459</v>
      </c>
      <c r="AG413" s="705">
        <v>22232</v>
      </c>
      <c r="AH413" s="705">
        <v>20211</v>
      </c>
      <c r="AI413" s="706">
        <v>65</v>
      </c>
      <c r="AJ413" s="705">
        <v>3568</v>
      </c>
      <c r="AK413" s="705">
        <v>3244</v>
      </c>
      <c r="AL413" s="705">
        <v>1590</v>
      </c>
      <c r="AM413" s="705">
        <v>589</v>
      </c>
      <c r="AN413" s="705">
        <v>702</v>
      </c>
      <c r="AO413" s="705">
        <v>260</v>
      </c>
      <c r="AP413" s="705">
        <v>4046</v>
      </c>
      <c r="AQ413" s="705">
        <v>3678</v>
      </c>
      <c r="AR413" s="705">
        <v>2093</v>
      </c>
      <c r="AS413" s="705">
        <v>775</v>
      </c>
      <c r="AT413" s="705">
        <v>28758</v>
      </c>
      <c r="AU413" s="705">
        <f t="shared" si="32"/>
        <v>28757</v>
      </c>
      <c r="AV413" s="705">
        <f t="shared" si="33"/>
        <v>34231</v>
      </c>
    </row>
    <row r="414" spans="2:48">
      <c r="B414" t="s">
        <v>537</v>
      </c>
      <c r="C414" t="s">
        <v>120</v>
      </c>
      <c r="D414" t="s">
        <v>666</v>
      </c>
      <c r="E414" t="s">
        <v>228</v>
      </c>
      <c r="F414" s="705">
        <v>1</v>
      </c>
      <c r="G414" s="705">
        <v>65</v>
      </c>
      <c r="H414" s="705">
        <v>310</v>
      </c>
      <c r="I414" s="705">
        <v>10071</v>
      </c>
      <c r="J414" s="705">
        <v>9155</v>
      </c>
      <c r="K414">
        <v>75</v>
      </c>
      <c r="L414" s="705">
        <v>4629</v>
      </c>
      <c r="M414" s="705">
        <v>1714</v>
      </c>
      <c r="N414" s="705">
        <v>1481</v>
      </c>
      <c r="O414" s="705">
        <v>549</v>
      </c>
      <c r="P414" s="705">
        <v>0</v>
      </c>
      <c r="Q414" s="705">
        <v>0</v>
      </c>
      <c r="R414" s="705">
        <v>3890</v>
      </c>
      <c r="S414" s="705">
        <v>1441</v>
      </c>
      <c r="T414" s="705">
        <v>0</v>
      </c>
      <c r="U414" s="705">
        <v>0</v>
      </c>
      <c r="V414" s="705">
        <v>12859</v>
      </c>
      <c r="W414" s="705">
        <f t="shared" si="30"/>
        <v>12859</v>
      </c>
      <c r="X414" s="705">
        <f t="shared" si="31"/>
        <v>20071</v>
      </c>
      <c r="Y414" s="705"/>
    </row>
    <row r="415" spans="2:48">
      <c r="B415" t="s">
        <v>537</v>
      </c>
      <c r="C415" t="s">
        <v>120</v>
      </c>
      <c r="D415" t="s">
        <v>666</v>
      </c>
      <c r="E415" t="s">
        <v>583</v>
      </c>
      <c r="F415">
        <v>1</v>
      </c>
      <c r="G415">
        <v>85</v>
      </c>
      <c r="H415">
        <v>325</v>
      </c>
      <c r="I415" s="705">
        <v>16542</v>
      </c>
      <c r="J415" s="705">
        <v>15038</v>
      </c>
      <c r="K415">
        <v>79</v>
      </c>
      <c r="L415" s="705">
        <v>2298</v>
      </c>
      <c r="M415" s="705">
        <v>2089</v>
      </c>
      <c r="N415" s="705">
        <v>1817</v>
      </c>
      <c r="O415">
        <v>673</v>
      </c>
      <c r="P415">
        <v>621</v>
      </c>
      <c r="Q415">
        <v>230</v>
      </c>
      <c r="R415" s="705">
        <v>3957</v>
      </c>
      <c r="S415" s="705">
        <v>3597</v>
      </c>
      <c r="T415" s="705">
        <v>2503</v>
      </c>
      <c r="U415">
        <v>927</v>
      </c>
      <c r="V415" s="705">
        <v>22554</v>
      </c>
      <c r="W415" s="705">
        <f t="shared" si="30"/>
        <v>22554</v>
      </c>
      <c r="X415" s="705">
        <f t="shared" si="31"/>
        <v>27738</v>
      </c>
      <c r="Y415" s="705"/>
    </row>
    <row r="416" spans="2:48">
      <c r="B416" t="s">
        <v>537</v>
      </c>
      <c r="C416" t="s">
        <v>120</v>
      </c>
      <c r="D416" t="s">
        <v>666</v>
      </c>
      <c r="E416" t="s">
        <v>666</v>
      </c>
      <c r="F416">
        <v>66</v>
      </c>
      <c r="G416" s="705">
        <v>4755</v>
      </c>
      <c r="H416" s="705">
        <v>22577</v>
      </c>
      <c r="I416" s="705">
        <v>875285</v>
      </c>
      <c r="J416" s="705">
        <v>795714</v>
      </c>
      <c r="K416">
        <v>55</v>
      </c>
      <c r="L416" s="705">
        <v>134562</v>
      </c>
      <c r="M416" s="705">
        <v>93070</v>
      </c>
      <c r="N416" s="705">
        <v>102431</v>
      </c>
      <c r="O416" s="705">
        <v>37937</v>
      </c>
      <c r="P416" s="705">
        <v>22815</v>
      </c>
      <c r="Q416" s="705">
        <v>8450</v>
      </c>
      <c r="R416" s="705">
        <v>334707</v>
      </c>
      <c r="S416" s="705">
        <v>304279</v>
      </c>
      <c r="T416" s="705">
        <v>143950</v>
      </c>
      <c r="U416" s="705">
        <v>53315</v>
      </c>
      <c r="V416" s="705">
        <v>1292765</v>
      </c>
      <c r="W416" s="705">
        <f t="shared" si="30"/>
        <v>1292765</v>
      </c>
      <c r="X416" s="705">
        <f t="shared" si="31"/>
        <v>1613750</v>
      </c>
      <c r="Y416" s="705"/>
      <c r="AD416" s="705">
        <f>SUM(AD339:AD413)</f>
        <v>21208</v>
      </c>
    </row>
    <row r="417" spans="2:25">
      <c r="B417" t="s">
        <v>537</v>
      </c>
      <c r="C417" t="s">
        <v>120</v>
      </c>
      <c r="D417" t="s">
        <v>584</v>
      </c>
      <c r="E417" t="s">
        <v>228</v>
      </c>
      <c r="F417">
        <v>37</v>
      </c>
      <c r="G417" s="705">
        <v>2922</v>
      </c>
      <c r="H417" s="705">
        <v>12633</v>
      </c>
      <c r="I417" s="705">
        <v>569487</v>
      </c>
      <c r="J417" s="705">
        <v>517715</v>
      </c>
      <c r="K417">
        <v>75</v>
      </c>
      <c r="L417" s="705">
        <v>117320</v>
      </c>
      <c r="M417" s="705">
        <v>82807</v>
      </c>
      <c r="N417" s="705">
        <v>59614</v>
      </c>
      <c r="O417" s="705">
        <v>22079</v>
      </c>
      <c r="P417" s="705">
        <v>16538</v>
      </c>
      <c r="Q417" s="705">
        <v>6125</v>
      </c>
      <c r="R417" s="705">
        <v>240793</v>
      </c>
      <c r="S417" s="705">
        <v>89183</v>
      </c>
      <c r="T417" s="705">
        <v>0</v>
      </c>
      <c r="U417" s="705">
        <v>0</v>
      </c>
      <c r="V417" s="705">
        <v>717909</v>
      </c>
      <c r="W417" s="705">
        <f t="shared" si="30"/>
        <v>717909</v>
      </c>
      <c r="X417" s="705">
        <f t="shared" si="31"/>
        <v>1003752</v>
      </c>
      <c r="Y417" s="705"/>
    </row>
    <row r="418" spans="2:25">
      <c r="B418" t="s">
        <v>537</v>
      </c>
      <c r="C418" t="s">
        <v>120</v>
      </c>
      <c r="D418" t="s">
        <v>584</v>
      </c>
      <c r="E418" t="s">
        <v>584</v>
      </c>
      <c r="F418" s="705">
        <v>2295</v>
      </c>
      <c r="G418" s="705">
        <v>204282</v>
      </c>
      <c r="H418" s="705">
        <v>775284</v>
      </c>
      <c r="I418" s="705">
        <v>41020527</v>
      </c>
      <c r="J418" s="705">
        <v>37291388</v>
      </c>
      <c r="K418">
        <v>79</v>
      </c>
      <c r="L418" s="705">
        <v>10554227</v>
      </c>
      <c r="M418" s="705">
        <v>8774556</v>
      </c>
      <c r="N418" s="705">
        <v>4282074</v>
      </c>
      <c r="O418" s="705">
        <v>1585953</v>
      </c>
      <c r="P418" s="705">
        <v>1089768</v>
      </c>
      <c r="Q418" s="705">
        <v>403618</v>
      </c>
      <c r="R418" s="705">
        <v>10494726</v>
      </c>
      <c r="S418" s="705">
        <v>9540660</v>
      </c>
      <c r="T418" s="705">
        <v>2480462</v>
      </c>
      <c r="U418" s="705">
        <v>918689</v>
      </c>
      <c r="V418" s="705">
        <v>58514865</v>
      </c>
      <c r="W418" s="705">
        <f t="shared" si="30"/>
        <v>58514864</v>
      </c>
      <c r="X418" s="705">
        <f t="shared" si="31"/>
        <v>69921784</v>
      </c>
      <c r="Y418" s="705"/>
    </row>
    <row r="419" spans="2:25">
      <c r="B419" t="s">
        <v>537</v>
      </c>
      <c r="C419" t="s">
        <v>120</v>
      </c>
      <c r="D419" t="s">
        <v>584</v>
      </c>
      <c r="E419" t="s">
        <v>669</v>
      </c>
      <c r="F419">
        <v>1</v>
      </c>
      <c r="G419">
        <v>109</v>
      </c>
      <c r="H419">
        <v>310</v>
      </c>
      <c r="I419" s="705">
        <v>17696</v>
      </c>
      <c r="J419" s="705">
        <v>16087</v>
      </c>
      <c r="K419">
        <v>73</v>
      </c>
      <c r="L419" s="705">
        <v>6823</v>
      </c>
      <c r="M419" s="705">
        <v>6203</v>
      </c>
      <c r="N419" s="705">
        <v>2617</v>
      </c>
      <c r="O419" s="705">
        <v>969</v>
      </c>
      <c r="P419" s="705">
        <v>473</v>
      </c>
      <c r="Q419">
        <v>175</v>
      </c>
      <c r="R419" s="705">
        <v>6181</v>
      </c>
      <c r="S419" s="705">
        <v>5151</v>
      </c>
      <c r="T419" s="705">
        <v>0</v>
      </c>
      <c r="U419" s="705">
        <v>0</v>
      </c>
      <c r="V419" s="705">
        <v>28585</v>
      </c>
      <c r="W419" s="705">
        <f t="shared" si="30"/>
        <v>28585</v>
      </c>
      <c r="X419" s="705">
        <f t="shared" si="31"/>
        <v>33790</v>
      </c>
      <c r="Y419" s="705"/>
    </row>
    <row r="420" spans="2:25">
      <c r="B420" t="s">
        <v>537</v>
      </c>
      <c r="C420" t="s">
        <v>120</v>
      </c>
      <c r="D420" t="s">
        <v>584</v>
      </c>
      <c r="E420" t="s">
        <v>665</v>
      </c>
      <c r="F420">
        <v>1</v>
      </c>
      <c r="G420">
        <v>89</v>
      </c>
      <c r="H420">
        <v>307</v>
      </c>
      <c r="I420" s="705">
        <v>14416</v>
      </c>
      <c r="J420" s="705">
        <v>13105</v>
      </c>
      <c r="K420">
        <v>65</v>
      </c>
      <c r="L420" s="705">
        <v>3300</v>
      </c>
      <c r="M420" s="705">
        <v>3000</v>
      </c>
      <c r="N420" s="705">
        <v>1088</v>
      </c>
      <c r="O420">
        <v>403</v>
      </c>
      <c r="P420">
        <v>473</v>
      </c>
      <c r="Q420">
        <v>175</v>
      </c>
      <c r="R420" s="705">
        <v>8177</v>
      </c>
      <c r="S420" s="705">
        <v>7433</v>
      </c>
      <c r="T420">
        <v>0</v>
      </c>
      <c r="U420">
        <v>0</v>
      </c>
      <c r="V420" s="705">
        <v>24117</v>
      </c>
      <c r="W420" s="705">
        <f t="shared" si="30"/>
        <v>24116</v>
      </c>
      <c r="X420" s="705">
        <f t="shared" si="31"/>
        <v>27454</v>
      </c>
      <c r="Y420" s="705"/>
    </row>
    <row r="421" spans="2:25">
      <c r="B421" t="s">
        <v>537</v>
      </c>
      <c r="C421" t="s">
        <v>120</v>
      </c>
      <c r="D421" t="s">
        <v>669</v>
      </c>
      <c r="E421" t="s">
        <v>228</v>
      </c>
      <c r="F421">
        <v>8</v>
      </c>
      <c r="G421">
        <v>718</v>
      </c>
      <c r="H421" s="705">
        <v>2689</v>
      </c>
      <c r="I421" s="705">
        <v>142748</v>
      </c>
      <c r="J421" s="705">
        <v>118957</v>
      </c>
      <c r="K421">
        <v>57</v>
      </c>
      <c r="L421" s="705">
        <v>20662</v>
      </c>
      <c r="M421" s="705">
        <v>11832</v>
      </c>
      <c r="N421" s="705">
        <v>15341</v>
      </c>
      <c r="O421" s="705">
        <v>5682</v>
      </c>
      <c r="P421" s="705">
        <v>2808</v>
      </c>
      <c r="Q421" s="705">
        <v>1040</v>
      </c>
      <c r="R421" s="705">
        <v>58849</v>
      </c>
      <c r="S421" s="705">
        <v>21796</v>
      </c>
      <c r="T421" s="705">
        <v>0</v>
      </c>
      <c r="U421" s="705">
        <v>0</v>
      </c>
      <c r="V421" s="705">
        <v>159307</v>
      </c>
      <c r="W421" s="705">
        <f t="shared" si="30"/>
        <v>159307</v>
      </c>
      <c r="X421" s="705">
        <f t="shared" si="31"/>
        <v>240408</v>
      </c>
      <c r="Y421" s="705"/>
    </row>
    <row r="422" spans="2:25">
      <c r="B422" t="s">
        <v>537</v>
      </c>
      <c r="C422" t="s">
        <v>120</v>
      </c>
      <c r="D422" t="s">
        <v>669</v>
      </c>
      <c r="E422" t="s">
        <v>669</v>
      </c>
      <c r="F422">
        <v>111</v>
      </c>
      <c r="G422" s="705">
        <v>9168</v>
      </c>
      <c r="H422" s="705">
        <v>37592</v>
      </c>
      <c r="I422" s="705">
        <v>1810096</v>
      </c>
      <c r="J422" s="705">
        <v>1508413</v>
      </c>
      <c r="K422">
        <v>57</v>
      </c>
      <c r="L422" s="705">
        <v>255153</v>
      </c>
      <c r="M422" s="705">
        <v>181944</v>
      </c>
      <c r="N422" s="705">
        <v>180117</v>
      </c>
      <c r="O422" s="705">
        <v>66710</v>
      </c>
      <c r="P422" s="705">
        <v>38421</v>
      </c>
      <c r="Q422" s="705">
        <v>14230</v>
      </c>
      <c r="R422" s="705">
        <v>611799</v>
      </c>
      <c r="S422" s="705">
        <v>509833</v>
      </c>
      <c r="T422" s="705">
        <v>231782</v>
      </c>
      <c r="U422" s="705">
        <v>85845</v>
      </c>
      <c r="V422" s="705">
        <v>2366975</v>
      </c>
      <c r="W422" s="705">
        <f t="shared" si="30"/>
        <v>2366975</v>
      </c>
      <c r="X422" s="705">
        <f t="shared" si="31"/>
        <v>3127368</v>
      </c>
      <c r="Y422" s="705"/>
    </row>
    <row r="423" spans="2:25">
      <c r="B423" t="s">
        <v>537</v>
      </c>
      <c r="C423" t="s">
        <v>120</v>
      </c>
      <c r="D423" t="s">
        <v>665</v>
      </c>
      <c r="E423" t="s">
        <v>228</v>
      </c>
      <c r="F423">
        <v>9</v>
      </c>
      <c r="G423" s="705">
        <v>756</v>
      </c>
      <c r="H423" s="705">
        <v>3001</v>
      </c>
      <c r="I423" s="705">
        <v>143638</v>
      </c>
      <c r="J423" s="705">
        <v>130580</v>
      </c>
      <c r="K423">
        <v>60</v>
      </c>
      <c r="L423" s="705">
        <v>28948</v>
      </c>
      <c r="M423" s="705">
        <v>15059</v>
      </c>
      <c r="N423" s="705">
        <v>14794</v>
      </c>
      <c r="O423" s="705">
        <v>5479</v>
      </c>
      <c r="P423" s="705">
        <v>1404</v>
      </c>
      <c r="Q423" s="705">
        <v>520</v>
      </c>
      <c r="R423" s="705">
        <v>65487</v>
      </c>
      <c r="S423" s="705">
        <v>24255</v>
      </c>
      <c r="T423" s="705">
        <v>0</v>
      </c>
      <c r="U423" s="705">
        <v>0</v>
      </c>
      <c r="V423" s="705">
        <v>175893</v>
      </c>
      <c r="W423" s="705">
        <f t="shared" si="30"/>
        <v>175893</v>
      </c>
      <c r="X423" s="705">
        <f t="shared" si="31"/>
        <v>254271</v>
      </c>
      <c r="Y423" s="705"/>
    </row>
    <row r="424" spans="2:25">
      <c r="B424" t="s">
        <v>537</v>
      </c>
      <c r="C424" t="s">
        <v>120</v>
      </c>
      <c r="D424" t="s">
        <v>665</v>
      </c>
      <c r="E424" t="s">
        <v>665</v>
      </c>
      <c r="F424">
        <v>348</v>
      </c>
      <c r="G424" s="705">
        <v>25844</v>
      </c>
      <c r="H424" s="705">
        <v>116960</v>
      </c>
      <c r="I424" s="705">
        <v>4811617</v>
      </c>
      <c r="J424" s="705">
        <v>4374197</v>
      </c>
      <c r="K424">
        <v>56</v>
      </c>
      <c r="L424" s="705">
        <v>623007</v>
      </c>
      <c r="M424" s="705">
        <v>470447</v>
      </c>
      <c r="N424" s="705">
        <v>520799</v>
      </c>
      <c r="O424" s="705">
        <v>192888</v>
      </c>
      <c r="P424" s="705">
        <v>120501</v>
      </c>
      <c r="Q424" s="705">
        <v>44630</v>
      </c>
      <c r="R424" s="705">
        <v>1910662</v>
      </c>
      <c r="S424" s="705">
        <v>1736966</v>
      </c>
      <c r="T424" s="705">
        <v>669207</v>
      </c>
      <c r="U424" s="705">
        <v>247855</v>
      </c>
      <c r="V424" s="705">
        <v>7066982</v>
      </c>
      <c r="W424" s="705">
        <f t="shared" si="30"/>
        <v>7066983</v>
      </c>
      <c r="X424" s="705">
        <f t="shared" si="31"/>
        <v>8655793</v>
      </c>
      <c r="Y424" s="705"/>
    </row>
    <row r="425" spans="2:25">
      <c r="B425" t="s">
        <v>537</v>
      </c>
      <c r="C425" t="s">
        <v>120</v>
      </c>
      <c r="D425" t="s">
        <v>673</v>
      </c>
      <c r="E425" t="s">
        <v>673</v>
      </c>
      <c r="F425" s="705">
        <v>2</v>
      </c>
      <c r="G425" s="705">
        <v>116</v>
      </c>
      <c r="H425" s="705">
        <v>659</v>
      </c>
      <c r="I425" s="705">
        <v>24511</v>
      </c>
      <c r="J425" s="705">
        <v>22283</v>
      </c>
      <c r="K425">
        <v>61</v>
      </c>
      <c r="L425" s="705">
        <v>0</v>
      </c>
      <c r="M425" s="705">
        <v>0</v>
      </c>
      <c r="N425" s="705">
        <v>1512</v>
      </c>
      <c r="O425" s="705">
        <v>560</v>
      </c>
      <c r="P425" s="705">
        <v>702</v>
      </c>
      <c r="Q425" s="705">
        <v>260</v>
      </c>
      <c r="R425" s="705">
        <v>8068</v>
      </c>
      <c r="S425" s="705">
        <v>7335</v>
      </c>
      <c r="T425" s="705">
        <v>3663</v>
      </c>
      <c r="U425" s="705">
        <v>1357</v>
      </c>
      <c r="V425" s="705">
        <v>31794</v>
      </c>
      <c r="W425" s="705">
        <f t="shared" si="30"/>
        <v>31795</v>
      </c>
      <c r="X425" s="705">
        <f t="shared" si="31"/>
        <v>38456</v>
      </c>
      <c r="Y425" s="705"/>
    </row>
    <row r="426" spans="2:25">
      <c r="B426" t="s">
        <v>537</v>
      </c>
      <c r="C426" t="s">
        <v>122</v>
      </c>
      <c r="F426">
        <v>4</v>
      </c>
      <c r="G426">
        <v>261</v>
      </c>
      <c r="H426" s="705">
        <v>1742</v>
      </c>
      <c r="I426" s="705"/>
      <c r="J426" s="705">
        <v>0</v>
      </c>
      <c r="L426" s="705"/>
      <c r="M426" s="705">
        <v>0</v>
      </c>
      <c r="N426" s="705">
        <v>5263</v>
      </c>
      <c r="O426" s="705">
        <v>1949</v>
      </c>
      <c r="P426" s="705">
        <v>351</v>
      </c>
      <c r="Q426">
        <v>130</v>
      </c>
      <c r="R426" s="705"/>
      <c r="S426" s="705">
        <v>0</v>
      </c>
      <c r="T426" s="705">
        <v>2125</v>
      </c>
      <c r="U426" s="705">
        <v>787</v>
      </c>
      <c r="V426" s="705">
        <v>2866</v>
      </c>
      <c r="W426" s="705">
        <f t="shared" si="30"/>
        <v>2866</v>
      </c>
      <c r="X426" s="705">
        <f t="shared" si="31"/>
        <v>7739</v>
      </c>
      <c r="Y426" s="705"/>
    </row>
    <row r="427" spans="2:25">
      <c r="B427" t="s">
        <v>537</v>
      </c>
      <c r="C427" t="s">
        <v>122</v>
      </c>
      <c r="D427" t="s">
        <v>664</v>
      </c>
      <c r="E427" t="s">
        <v>664</v>
      </c>
      <c r="F427">
        <v>2</v>
      </c>
      <c r="G427">
        <v>145</v>
      </c>
      <c r="H427">
        <v>836</v>
      </c>
      <c r="I427" s="705">
        <v>72380</v>
      </c>
      <c r="J427" s="705">
        <v>65800</v>
      </c>
      <c r="K427">
        <v>87</v>
      </c>
      <c r="L427" s="705">
        <v>9185</v>
      </c>
      <c r="M427" s="705">
        <v>8350</v>
      </c>
      <c r="N427" s="705">
        <v>4093</v>
      </c>
      <c r="O427" s="705">
        <v>1516</v>
      </c>
      <c r="P427" s="705">
        <v>945</v>
      </c>
      <c r="Q427">
        <v>350</v>
      </c>
      <c r="R427" s="705">
        <v>10356</v>
      </c>
      <c r="S427" s="705">
        <v>9415</v>
      </c>
      <c r="T427" s="705">
        <v>0</v>
      </c>
      <c r="U427" s="705">
        <v>0</v>
      </c>
      <c r="V427" s="705">
        <v>85430</v>
      </c>
      <c r="W427" s="705">
        <f t="shared" si="30"/>
        <v>85431</v>
      </c>
      <c r="X427" s="705">
        <f t="shared" si="31"/>
        <v>96959</v>
      </c>
      <c r="Y427" s="705"/>
    </row>
    <row r="428" spans="2:25">
      <c r="B428" t="s">
        <v>537</v>
      </c>
      <c r="C428" t="s">
        <v>122</v>
      </c>
      <c r="D428" t="s">
        <v>582</v>
      </c>
      <c r="E428" t="s">
        <v>582</v>
      </c>
      <c r="F428">
        <v>4</v>
      </c>
      <c r="G428" s="705">
        <v>408</v>
      </c>
      <c r="H428" s="705">
        <v>1658</v>
      </c>
      <c r="I428" s="705">
        <v>103812</v>
      </c>
      <c r="J428" s="705">
        <v>94374</v>
      </c>
      <c r="K428">
        <v>78</v>
      </c>
      <c r="L428" s="705">
        <v>28765</v>
      </c>
      <c r="M428" s="705">
        <v>26150</v>
      </c>
      <c r="N428" s="705">
        <v>9288</v>
      </c>
      <c r="O428" s="705">
        <v>3440</v>
      </c>
      <c r="P428" s="705">
        <v>1769</v>
      </c>
      <c r="Q428" s="705">
        <v>655</v>
      </c>
      <c r="R428" s="705">
        <v>16427</v>
      </c>
      <c r="S428" s="705">
        <v>14934</v>
      </c>
      <c r="T428" s="705">
        <v>8104</v>
      </c>
      <c r="U428" s="705">
        <v>3002</v>
      </c>
      <c r="V428" s="705">
        <v>142555</v>
      </c>
      <c r="W428" s="705">
        <f t="shared" si="30"/>
        <v>142555</v>
      </c>
      <c r="X428" s="705">
        <f t="shared" si="31"/>
        <v>168165</v>
      </c>
      <c r="Y428" s="705"/>
    </row>
    <row r="429" spans="2:25">
      <c r="B429" t="s">
        <v>537</v>
      </c>
      <c r="C429" t="s">
        <v>122</v>
      </c>
      <c r="D429" t="s">
        <v>228</v>
      </c>
      <c r="E429" t="s">
        <v>674</v>
      </c>
      <c r="F429" s="705">
        <v>1</v>
      </c>
      <c r="G429" s="705">
        <v>81</v>
      </c>
      <c r="H429" s="705">
        <v>402</v>
      </c>
      <c r="I429" s="705">
        <v>23046</v>
      </c>
      <c r="J429" s="705">
        <v>8536</v>
      </c>
      <c r="K429">
        <v>100</v>
      </c>
      <c r="L429" s="705">
        <v>2086</v>
      </c>
      <c r="M429" s="705">
        <v>1897</v>
      </c>
      <c r="N429" s="705">
        <v>1482</v>
      </c>
      <c r="O429" s="705">
        <v>549</v>
      </c>
      <c r="P429" s="705">
        <v>0</v>
      </c>
      <c r="Q429" s="705">
        <v>0</v>
      </c>
      <c r="R429" s="705">
        <v>4244</v>
      </c>
      <c r="S429" s="705">
        <v>3858</v>
      </c>
      <c r="T429" s="705">
        <v>1735</v>
      </c>
      <c r="U429" s="705">
        <v>643</v>
      </c>
      <c r="V429" s="705">
        <v>15482</v>
      </c>
      <c r="W429" s="705">
        <f t="shared" si="30"/>
        <v>15483</v>
      </c>
      <c r="X429" s="705">
        <f t="shared" si="31"/>
        <v>32593</v>
      </c>
      <c r="Y429" s="705"/>
    </row>
    <row r="430" spans="2:25">
      <c r="B430" t="s">
        <v>537</v>
      </c>
      <c r="C430" t="s">
        <v>122</v>
      </c>
      <c r="D430" t="s">
        <v>228</v>
      </c>
      <c r="E430" t="s">
        <v>580</v>
      </c>
      <c r="F430">
        <v>1</v>
      </c>
      <c r="G430" s="705">
        <v>57</v>
      </c>
      <c r="H430" s="705">
        <v>435</v>
      </c>
      <c r="I430" s="705">
        <v>14439</v>
      </c>
      <c r="J430" s="705">
        <v>5348</v>
      </c>
      <c r="K430">
        <v>100</v>
      </c>
      <c r="L430" s="705">
        <v>5348</v>
      </c>
      <c r="M430" s="705">
        <v>4456</v>
      </c>
      <c r="N430" s="705">
        <v>1220</v>
      </c>
      <c r="O430" s="705">
        <v>452</v>
      </c>
      <c r="P430" s="705">
        <v>0</v>
      </c>
      <c r="Q430" s="705">
        <v>0</v>
      </c>
      <c r="R430" s="705">
        <v>3595</v>
      </c>
      <c r="S430" s="705">
        <v>1332</v>
      </c>
      <c r="T430" s="705">
        <v>0</v>
      </c>
      <c r="U430" s="705">
        <v>0</v>
      </c>
      <c r="V430" s="705">
        <v>11588</v>
      </c>
      <c r="W430" s="705">
        <f t="shared" si="30"/>
        <v>11588</v>
      </c>
      <c r="X430" s="705">
        <f t="shared" si="31"/>
        <v>24602</v>
      </c>
      <c r="Y430" s="705"/>
    </row>
    <row r="431" spans="2:25">
      <c r="B431" t="s">
        <v>537</v>
      </c>
      <c r="C431" t="s">
        <v>122</v>
      </c>
      <c r="D431" t="s">
        <v>228</v>
      </c>
      <c r="E431" t="s">
        <v>228</v>
      </c>
      <c r="F431">
        <v>304</v>
      </c>
      <c r="G431" s="705">
        <v>25549</v>
      </c>
      <c r="H431" s="705">
        <v>125604</v>
      </c>
      <c r="I431" s="705">
        <v>6904166</v>
      </c>
      <c r="J431" s="705">
        <v>2557098</v>
      </c>
      <c r="K431">
        <v>100</v>
      </c>
      <c r="L431" s="705">
        <v>1122606</v>
      </c>
      <c r="M431" s="705">
        <v>858926</v>
      </c>
      <c r="N431" s="705">
        <v>538286</v>
      </c>
      <c r="O431" s="705">
        <v>199365</v>
      </c>
      <c r="P431" s="705">
        <v>9288</v>
      </c>
      <c r="Q431" s="705">
        <v>3440</v>
      </c>
      <c r="R431" s="705">
        <v>2143727</v>
      </c>
      <c r="S431" s="705">
        <v>793973</v>
      </c>
      <c r="T431" s="705">
        <v>5066</v>
      </c>
      <c r="U431" s="705">
        <v>1876</v>
      </c>
      <c r="V431" s="705">
        <v>4414679</v>
      </c>
      <c r="W431" s="705">
        <f t="shared" si="30"/>
        <v>4414678</v>
      </c>
      <c r="X431" s="705">
        <f t="shared" si="31"/>
        <v>10723139</v>
      </c>
      <c r="Y431" s="705"/>
    </row>
    <row r="432" spans="2:25">
      <c r="B432" t="s">
        <v>537</v>
      </c>
      <c r="C432" t="s">
        <v>122</v>
      </c>
      <c r="D432" t="s">
        <v>228</v>
      </c>
      <c r="E432" t="s">
        <v>666</v>
      </c>
      <c r="F432">
        <v>1</v>
      </c>
      <c r="G432">
        <v>85</v>
      </c>
      <c r="H432">
        <v>393</v>
      </c>
      <c r="I432" s="705">
        <v>20498</v>
      </c>
      <c r="J432" s="705">
        <v>7592</v>
      </c>
      <c r="K432">
        <v>100</v>
      </c>
      <c r="L432" s="705">
        <v>1687</v>
      </c>
      <c r="M432" s="705">
        <v>1534</v>
      </c>
      <c r="N432" s="705">
        <v>1758</v>
      </c>
      <c r="O432" s="705">
        <v>651</v>
      </c>
      <c r="P432" s="705">
        <v>0</v>
      </c>
      <c r="Q432">
        <v>0</v>
      </c>
      <c r="R432" s="705">
        <v>6330</v>
      </c>
      <c r="S432" s="705">
        <v>5755</v>
      </c>
      <c r="T432" s="705">
        <v>3122</v>
      </c>
      <c r="U432" s="705">
        <v>1156</v>
      </c>
      <c r="V432" s="705">
        <v>16688</v>
      </c>
      <c r="W432" s="705">
        <f t="shared" si="30"/>
        <v>16688</v>
      </c>
      <c r="X432" s="705">
        <f t="shared" si="31"/>
        <v>33395</v>
      </c>
      <c r="Y432" s="705"/>
    </row>
    <row r="433" spans="2:25">
      <c r="B433" t="s">
        <v>537</v>
      </c>
      <c r="C433" t="s">
        <v>122</v>
      </c>
      <c r="D433" t="s">
        <v>228</v>
      </c>
      <c r="E433" t="s">
        <v>584</v>
      </c>
      <c r="F433">
        <v>1</v>
      </c>
      <c r="G433" s="705">
        <v>78</v>
      </c>
      <c r="H433">
        <v>422</v>
      </c>
      <c r="I433" s="705">
        <v>20302</v>
      </c>
      <c r="J433" s="705">
        <v>7519</v>
      </c>
      <c r="K433">
        <v>100</v>
      </c>
      <c r="L433" s="705">
        <v>7519</v>
      </c>
      <c r="M433" s="705">
        <v>6266</v>
      </c>
      <c r="N433" s="705">
        <v>1901</v>
      </c>
      <c r="O433" s="705">
        <v>704</v>
      </c>
      <c r="P433" s="705">
        <v>0</v>
      </c>
      <c r="Q433">
        <v>0</v>
      </c>
      <c r="R433" s="705">
        <v>3217</v>
      </c>
      <c r="S433" s="705">
        <v>2925</v>
      </c>
      <c r="T433">
        <v>0</v>
      </c>
      <c r="U433">
        <v>0</v>
      </c>
      <c r="V433" s="705">
        <v>17414</v>
      </c>
      <c r="W433" s="705">
        <f t="shared" si="30"/>
        <v>17414</v>
      </c>
      <c r="X433" s="705">
        <f t="shared" si="31"/>
        <v>32939</v>
      </c>
      <c r="Y433" s="705"/>
    </row>
    <row r="434" spans="2:25">
      <c r="B434" t="s">
        <v>537</v>
      </c>
      <c r="C434" t="s">
        <v>122</v>
      </c>
      <c r="D434" t="s">
        <v>228</v>
      </c>
      <c r="E434" t="s">
        <v>669</v>
      </c>
      <c r="F434">
        <v>2</v>
      </c>
      <c r="G434">
        <v>217</v>
      </c>
      <c r="H434">
        <v>820</v>
      </c>
      <c r="I434" s="705">
        <v>62107</v>
      </c>
      <c r="J434" s="705">
        <v>23003</v>
      </c>
      <c r="K434">
        <v>100</v>
      </c>
      <c r="L434" s="705">
        <v>6989</v>
      </c>
      <c r="M434" s="705">
        <v>5824</v>
      </c>
      <c r="N434" s="705">
        <v>4901</v>
      </c>
      <c r="O434" s="705">
        <v>1815</v>
      </c>
      <c r="P434" s="705">
        <v>0</v>
      </c>
      <c r="Q434">
        <v>0</v>
      </c>
      <c r="R434" s="705">
        <v>13157</v>
      </c>
      <c r="S434" s="705">
        <v>10964</v>
      </c>
      <c r="T434" s="705">
        <v>2290</v>
      </c>
      <c r="U434">
        <v>848</v>
      </c>
      <c r="V434" s="705">
        <v>42454</v>
      </c>
      <c r="W434" s="705">
        <f t="shared" si="30"/>
        <v>42454</v>
      </c>
      <c r="X434" s="705">
        <f t="shared" si="31"/>
        <v>89444</v>
      </c>
      <c r="Y434" s="705"/>
    </row>
    <row r="435" spans="2:25">
      <c r="B435" t="s">
        <v>537</v>
      </c>
      <c r="C435" t="s">
        <v>122</v>
      </c>
      <c r="D435" t="s">
        <v>228</v>
      </c>
      <c r="E435" t="s">
        <v>665</v>
      </c>
      <c r="F435">
        <v>13</v>
      </c>
      <c r="G435" s="705">
        <v>967</v>
      </c>
      <c r="H435" s="705">
        <v>5300</v>
      </c>
      <c r="I435" s="705">
        <v>258587</v>
      </c>
      <c r="J435" s="705">
        <v>95773</v>
      </c>
      <c r="K435">
        <v>100</v>
      </c>
      <c r="L435" s="705">
        <v>28293</v>
      </c>
      <c r="M435" s="705">
        <v>24514</v>
      </c>
      <c r="N435" s="705">
        <v>19470</v>
      </c>
      <c r="O435" s="705">
        <v>7211</v>
      </c>
      <c r="P435" s="705">
        <v>1755</v>
      </c>
      <c r="Q435" s="705">
        <v>650</v>
      </c>
      <c r="R435" s="705">
        <v>64179</v>
      </c>
      <c r="S435" s="705">
        <v>58345</v>
      </c>
      <c r="T435" s="705">
        <v>22960</v>
      </c>
      <c r="U435" s="705">
        <v>8504</v>
      </c>
      <c r="V435" s="705">
        <v>194996</v>
      </c>
      <c r="W435" s="705">
        <f t="shared" si="30"/>
        <v>194997</v>
      </c>
      <c r="X435" s="705">
        <f t="shared" si="31"/>
        <v>395244</v>
      </c>
      <c r="Y435" s="705"/>
    </row>
    <row r="436" spans="2:25">
      <c r="B436" t="s">
        <v>537</v>
      </c>
      <c r="C436" t="s">
        <v>122</v>
      </c>
      <c r="D436" t="s">
        <v>583</v>
      </c>
      <c r="E436" t="s">
        <v>228</v>
      </c>
      <c r="F436">
        <v>17</v>
      </c>
      <c r="G436" s="705">
        <v>1738</v>
      </c>
      <c r="H436" s="705">
        <v>7196</v>
      </c>
      <c r="I436" s="705">
        <v>452310</v>
      </c>
      <c r="J436" s="705">
        <v>411191</v>
      </c>
      <c r="K436">
        <v>78</v>
      </c>
      <c r="L436" s="705">
        <v>114299</v>
      </c>
      <c r="M436" s="705">
        <v>98616</v>
      </c>
      <c r="N436" s="705">
        <v>40923</v>
      </c>
      <c r="O436" s="705">
        <v>15157</v>
      </c>
      <c r="P436" s="705">
        <v>10557</v>
      </c>
      <c r="Q436" s="705">
        <v>3910</v>
      </c>
      <c r="R436" s="705">
        <v>126541</v>
      </c>
      <c r="S436" s="705">
        <v>46867</v>
      </c>
      <c r="T436" s="705">
        <v>3962</v>
      </c>
      <c r="U436" s="705">
        <v>1467</v>
      </c>
      <c r="V436" s="705">
        <v>577208</v>
      </c>
      <c r="W436" s="705">
        <f t="shared" si="30"/>
        <v>577208</v>
      </c>
      <c r="X436" s="705">
        <f t="shared" si="31"/>
        <v>748592</v>
      </c>
      <c r="Y436" s="705"/>
    </row>
    <row r="437" spans="2:25">
      <c r="B437" t="s">
        <v>537</v>
      </c>
      <c r="C437" t="s">
        <v>122</v>
      </c>
      <c r="D437" t="s">
        <v>583</v>
      </c>
      <c r="E437" t="s">
        <v>583</v>
      </c>
      <c r="F437">
        <v>534</v>
      </c>
      <c r="G437" s="705">
        <v>55171</v>
      </c>
      <c r="H437" s="705">
        <v>221638</v>
      </c>
      <c r="I437" s="705">
        <v>14576076</v>
      </c>
      <c r="J437" s="705">
        <v>13250978</v>
      </c>
      <c r="K437">
        <v>76</v>
      </c>
      <c r="L437" s="705">
        <v>3359172</v>
      </c>
      <c r="M437" s="705">
        <v>2879887</v>
      </c>
      <c r="N437" s="705">
        <v>1208145</v>
      </c>
      <c r="O437" s="705">
        <v>447461</v>
      </c>
      <c r="P437" s="705">
        <v>338135</v>
      </c>
      <c r="Q437" s="705">
        <v>125235</v>
      </c>
      <c r="R437" s="705">
        <v>2611390</v>
      </c>
      <c r="S437" s="705">
        <v>2373991</v>
      </c>
      <c r="T437" s="705">
        <v>992168</v>
      </c>
      <c r="U437" s="705">
        <v>367470</v>
      </c>
      <c r="V437" s="705">
        <v>19445022</v>
      </c>
      <c r="W437" s="705">
        <f t="shared" si="30"/>
        <v>19445022</v>
      </c>
      <c r="X437" s="705">
        <f t="shared" si="31"/>
        <v>23085086</v>
      </c>
      <c r="Y437" s="705"/>
    </row>
    <row r="438" spans="2:25">
      <c r="B438" t="s">
        <v>537</v>
      </c>
      <c r="C438" t="s">
        <v>122</v>
      </c>
      <c r="D438" t="s">
        <v>583</v>
      </c>
      <c r="E438" t="s">
        <v>666</v>
      </c>
      <c r="F438">
        <v>1</v>
      </c>
      <c r="G438" s="705">
        <v>152</v>
      </c>
      <c r="H438" s="705">
        <v>426</v>
      </c>
      <c r="I438" s="705">
        <v>33146</v>
      </c>
      <c r="J438" s="705">
        <v>30133</v>
      </c>
      <c r="K438">
        <v>70</v>
      </c>
      <c r="L438" s="705">
        <v>20038</v>
      </c>
      <c r="M438" s="705">
        <v>7422</v>
      </c>
      <c r="N438" s="705">
        <v>3699</v>
      </c>
      <c r="O438" s="705">
        <v>1370</v>
      </c>
      <c r="P438" s="705">
        <v>621</v>
      </c>
      <c r="Q438" s="705">
        <v>230</v>
      </c>
      <c r="R438" s="705">
        <v>4579</v>
      </c>
      <c r="S438" s="705">
        <v>4162</v>
      </c>
      <c r="T438" s="705">
        <v>2594</v>
      </c>
      <c r="U438" s="705">
        <v>961</v>
      </c>
      <c r="V438" s="705">
        <v>44278</v>
      </c>
      <c r="W438" s="705">
        <f t="shared" si="30"/>
        <v>44278</v>
      </c>
      <c r="X438" s="705">
        <f t="shared" si="31"/>
        <v>64677</v>
      </c>
      <c r="Y438" s="705"/>
    </row>
    <row r="439" spans="2:25">
      <c r="B439" t="s">
        <v>537</v>
      </c>
      <c r="C439" t="s">
        <v>122</v>
      </c>
      <c r="D439" t="s">
        <v>666</v>
      </c>
      <c r="E439" t="s">
        <v>228</v>
      </c>
      <c r="F439">
        <v>4</v>
      </c>
      <c r="G439" s="705">
        <v>314</v>
      </c>
      <c r="H439" s="705">
        <v>1647</v>
      </c>
      <c r="I439" s="705">
        <v>86787</v>
      </c>
      <c r="J439" s="705">
        <v>78897</v>
      </c>
      <c r="K439">
        <v>62</v>
      </c>
      <c r="L439" s="705">
        <v>6609</v>
      </c>
      <c r="M439" s="705">
        <v>4662</v>
      </c>
      <c r="N439" s="705">
        <v>6096</v>
      </c>
      <c r="O439" s="705">
        <v>2258</v>
      </c>
      <c r="P439" s="705">
        <v>351</v>
      </c>
      <c r="Q439" s="705">
        <v>130</v>
      </c>
      <c r="R439" s="705">
        <v>29300</v>
      </c>
      <c r="S439" s="705">
        <v>10852</v>
      </c>
      <c r="T439" s="705">
        <v>0</v>
      </c>
      <c r="U439" s="705">
        <v>0</v>
      </c>
      <c r="V439" s="705">
        <v>96799</v>
      </c>
      <c r="W439" s="705">
        <f t="shared" si="30"/>
        <v>96799</v>
      </c>
      <c r="X439" s="705">
        <f t="shared" si="31"/>
        <v>129143</v>
      </c>
      <c r="Y439" s="705"/>
    </row>
    <row r="440" spans="2:25">
      <c r="B440" t="s">
        <v>537</v>
      </c>
      <c r="C440" t="s">
        <v>122</v>
      </c>
      <c r="D440" t="s">
        <v>666</v>
      </c>
      <c r="E440" t="s">
        <v>583</v>
      </c>
      <c r="F440">
        <v>1</v>
      </c>
      <c r="G440" s="705">
        <v>51</v>
      </c>
      <c r="H440" s="705">
        <v>386</v>
      </c>
      <c r="I440" s="705">
        <v>9532</v>
      </c>
      <c r="J440" s="705">
        <v>8666</v>
      </c>
      <c r="K440">
        <v>55</v>
      </c>
      <c r="L440" s="705">
        <v>1430</v>
      </c>
      <c r="M440" s="705">
        <v>530</v>
      </c>
      <c r="N440" s="705">
        <v>1234</v>
      </c>
      <c r="O440" s="705">
        <v>457</v>
      </c>
      <c r="P440" s="705">
        <v>351</v>
      </c>
      <c r="Q440" s="705">
        <v>130</v>
      </c>
      <c r="R440" s="705">
        <v>4530</v>
      </c>
      <c r="S440" s="705">
        <v>4118</v>
      </c>
      <c r="T440" s="705">
        <v>2469</v>
      </c>
      <c r="U440" s="705">
        <v>914</v>
      </c>
      <c r="V440" s="705">
        <v>14815</v>
      </c>
      <c r="W440" s="705">
        <f t="shared" si="30"/>
        <v>14815</v>
      </c>
      <c r="X440" s="705">
        <f t="shared" si="31"/>
        <v>19546</v>
      </c>
      <c r="Y440" s="705"/>
    </row>
    <row r="441" spans="2:25">
      <c r="B441" t="s">
        <v>537</v>
      </c>
      <c r="C441" t="s">
        <v>122</v>
      </c>
      <c r="D441" t="s">
        <v>666</v>
      </c>
      <c r="E441" t="s">
        <v>666</v>
      </c>
      <c r="F441" s="705">
        <v>24</v>
      </c>
      <c r="G441" s="705">
        <v>1488</v>
      </c>
      <c r="H441" s="705">
        <v>9941</v>
      </c>
      <c r="I441" s="705">
        <v>363362</v>
      </c>
      <c r="J441" s="705">
        <v>330329</v>
      </c>
      <c r="K441">
        <v>55</v>
      </c>
      <c r="L441" s="705">
        <v>48022</v>
      </c>
      <c r="M441" s="705">
        <v>27766</v>
      </c>
      <c r="N441" s="705">
        <v>32884</v>
      </c>
      <c r="O441" s="705">
        <v>12179</v>
      </c>
      <c r="P441" s="705">
        <v>8073</v>
      </c>
      <c r="Q441" s="705">
        <v>2990</v>
      </c>
      <c r="R441" s="705">
        <v>142219</v>
      </c>
      <c r="S441" s="705">
        <v>129290</v>
      </c>
      <c r="T441" s="705">
        <v>36411</v>
      </c>
      <c r="U441" s="705">
        <v>13485</v>
      </c>
      <c r="V441" s="705">
        <v>516040</v>
      </c>
      <c r="W441" s="705">
        <f t="shared" si="30"/>
        <v>516039</v>
      </c>
      <c r="X441" s="705">
        <f t="shared" si="31"/>
        <v>630971</v>
      </c>
      <c r="Y441" s="705"/>
    </row>
    <row r="442" spans="2:25">
      <c r="B442" t="s">
        <v>537</v>
      </c>
      <c r="C442" t="s">
        <v>122</v>
      </c>
      <c r="D442" t="s">
        <v>584</v>
      </c>
      <c r="E442" t="s">
        <v>228</v>
      </c>
      <c r="F442">
        <v>37</v>
      </c>
      <c r="G442" s="705">
        <v>2840</v>
      </c>
      <c r="H442" s="705">
        <v>15319</v>
      </c>
      <c r="I442" s="705">
        <v>707533</v>
      </c>
      <c r="J442" s="705">
        <v>643211</v>
      </c>
      <c r="K442">
        <v>75</v>
      </c>
      <c r="L442" s="705">
        <v>162297</v>
      </c>
      <c r="M442" s="705">
        <v>133852</v>
      </c>
      <c r="N442" s="705">
        <v>57912</v>
      </c>
      <c r="O442" s="705">
        <v>21449</v>
      </c>
      <c r="P442" s="705">
        <v>16646</v>
      </c>
      <c r="Q442" s="705">
        <v>6165</v>
      </c>
      <c r="R442" s="705">
        <v>256136</v>
      </c>
      <c r="S442" s="705">
        <v>94865</v>
      </c>
      <c r="T442" s="705">
        <v>0</v>
      </c>
      <c r="U442" s="705">
        <v>0</v>
      </c>
      <c r="V442" s="705">
        <v>899543</v>
      </c>
      <c r="W442" s="705">
        <f t="shared" si="30"/>
        <v>899542</v>
      </c>
      <c r="X442" s="705">
        <f t="shared" si="31"/>
        <v>1200524</v>
      </c>
      <c r="Y442" s="705"/>
    </row>
    <row r="443" spans="2:25">
      <c r="B443" t="s">
        <v>537</v>
      </c>
      <c r="C443" t="s">
        <v>122</v>
      </c>
      <c r="D443" t="s">
        <v>584</v>
      </c>
      <c r="E443" t="s">
        <v>584</v>
      </c>
      <c r="F443">
        <v>943</v>
      </c>
      <c r="G443" s="705">
        <v>82233</v>
      </c>
      <c r="H443" s="705">
        <v>389546</v>
      </c>
      <c r="I443" s="705">
        <v>21139543</v>
      </c>
      <c r="J443" s="705">
        <v>19217766</v>
      </c>
      <c r="K443">
        <v>75</v>
      </c>
      <c r="L443" s="705">
        <v>5370861</v>
      </c>
      <c r="M443" s="705">
        <v>4522098</v>
      </c>
      <c r="N443" s="705">
        <v>1783589</v>
      </c>
      <c r="O443" s="705">
        <v>660589</v>
      </c>
      <c r="P443" s="705">
        <v>445265</v>
      </c>
      <c r="Q443" s="705">
        <v>164913</v>
      </c>
      <c r="R443" s="705">
        <v>4496511</v>
      </c>
      <c r="S443" s="705">
        <v>4087737</v>
      </c>
      <c r="T443" s="705">
        <v>1254707</v>
      </c>
      <c r="U443" s="705">
        <v>464706</v>
      </c>
      <c r="V443" s="705">
        <v>29117809</v>
      </c>
      <c r="W443" s="705">
        <f t="shared" si="30"/>
        <v>29117809</v>
      </c>
      <c r="X443" s="705">
        <f t="shared" si="31"/>
        <v>34490476</v>
      </c>
      <c r="Y443" s="705"/>
    </row>
    <row r="444" spans="2:25">
      <c r="B444" t="s">
        <v>537</v>
      </c>
      <c r="C444" t="s">
        <v>122</v>
      </c>
      <c r="D444" t="s">
        <v>584</v>
      </c>
      <c r="E444" t="s">
        <v>665</v>
      </c>
      <c r="F444">
        <v>1</v>
      </c>
      <c r="G444">
        <v>85</v>
      </c>
      <c r="H444" s="705">
        <v>398</v>
      </c>
      <c r="I444" s="705">
        <v>25241</v>
      </c>
      <c r="J444" s="705">
        <v>22947</v>
      </c>
      <c r="K444">
        <v>79</v>
      </c>
      <c r="L444" s="705">
        <v>0</v>
      </c>
      <c r="M444" s="705">
        <v>6340</v>
      </c>
      <c r="N444" s="705">
        <v>2061</v>
      </c>
      <c r="O444" s="705">
        <v>764</v>
      </c>
      <c r="P444" s="705">
        <v>473</v>
      </c>
      <c r="Q444">
        <v>175</v>
      </c>
      <c r="R444" s="705">
        <v>5929</v>
      </c>
      <c r="S444" s="705">
        <v>5390</v>
      </c>
      <c r="T444" s="705">
        <v>0</v>
      </c>
      <c r="U444" s="705">
        <v>0</v>
      </c>
      <c r="V444" s="705">
        <v>35615</v>
      </c>
      <c r="W444" s="705">
        <f t="shared" si="30"/>
        <v>35616</v>
      </c>
      <c r="X444" s="705">
        <f t="shared" si="31"/>
        <v>33704</v>
      </c>
      <c r="Y444" s="705"/>
    </row>
    <row r="445" spans="2:25">
      <c r="B445" t="s">
        <v>537</v>
      </c>
      <c r="C445" t="s">
        <v>122</v>
      </c>
      <c r="D445" t="s">
        <v>669</v>
      </c>
      <c r="E445" t="s">
        <v>228</v>
      </c>
      <c r="F445">
        <v>6</v>
      </c>
      <c r="G445">
        <v>533</v>
      </c>
      <c r="H445" s="705">
        <v>2488</v>
      </c>
      <c r="I445" s="705">
        <v>147059</v>
      </c>
      <c r="J445" s="705">
        <v>122549</v>
      </c>
      <c r="K445">
        <v>43</v>
      </c>
      <c r="L445" s="705">
        <v>17060</v>
      </c>
      <c r="M445" s="705">
        <v>9198</v>
      </c>
      <c r="N445" s="705">
        <v>11135</v>
      </c>
      <c r="O445" s="705">
        <v>4124</v>
      </c>
      <c r="P445" s="705">
        <v>1175</v>
      </c>
      <c r="Q445">
        <v>435</v>
      </c>
      <c r="R445" s="705">
        <v>44746</v>
      </c>
      <c r="S445" s="705">
        <v>16573</v>
      </c>
      <c r="T445" s="705">
        <v>0</v>
      </c>
      <c r="U445" s="705">
        <v>0</v>
      </c>
      <c r="V445" s="705">
        <v>152879</v>
      </c>
      <c r="W445" s="705">
        <f t="shared" si="30"/>
        <v>152879</v>
      </c>
      <c r="X445" s="705">
        <f t="shared" si="31"/>
        <v>221175</v>
      </c>
      <c r="Y445" s="705"/>
    </row>
    <row r="446" spans="2:25">
      <c r="B446" t="s">
        <v>537</v>
      </c>
      <c r="C446" t="s">
        <v>122</v>
      </c>
      <c r="D446" t="s">
        <v>669</v>
      </c>
      <c r="E446" t="s">
        <v>669</v>
      </c>
      <c r="F446">
        <v>38</v>
      </c>
      <c r="G446" s="705">
        <v>2693</v>
      </c>
      <c r="H446" s="705">
        <v>15803</v>
      </c>
      <c r="I446" s="705">
        <v>691395</v>
      </c>
      <c r="J446" s="705">
        <v>576162</v>
      </c>
      <c r="K446">
        <v>55</v>
      </c>
      <c r="L446" s="705">
        <v>54664</v>
      </c>
      <c r="M446" s="705">
        <v>42694</v>
      </c>
      <c r="N446" s="705">
        <v>61708</v>
      </c>
      <c r="O446" s="705">
        <v>22855</v>
      </c>
      <c r="P446" s="705">
        <v>12987</v>
      </c>
      <c r="Q446" s="705">
        <v>4810</v>
      </c>
      <c r="R446" s="705">
        <v>218342</v>
      </c>
      <c r="S446" s="705">
        <v>181952</v>
      </c>
      <c r="T446" s="705">
        <v>84586</v>
      </c>
      <c r="U446" s="705">
        <v>31328</v>
      </c>
      <c r="V446" s="705">
        <v>859801</v>
      </c>
      <c r="W446" s="705">
        <f t="shared" si="30"/>
        <v>859801</v>
      </c>
      <c r="X446" s="705">
        <f t="shared" si="31"/>
        <v>1123682</v>
      </c>
      <c r="Y446" s="705"/>
    </row>
    <row r="447" spans="2:25">
      <c r="B447" t="s">
        <v>537</v>
      </c>
      <c r="C447" t="s">
        <v>122</v>
      </c>
      <c r="D447" t="s">
        <v>665</v>
      </c>
      <c r="E447" t="s">
        <v>228</v>
      </c>
      <c r="F447">
        <v>10</v>
      </c>
      <c r="G447" s="705">
        <v>721</v>
      </c>
      <c r="H447" s="705">
        <v>4229</v>
      </c>
      <c r="I447" s="705">
        <v>184214</v>
      </c>
      <c r="J447" s="705">
        <v>167468</v>
      </c>
      <c r="K447">
        <v>55</v>
      </c>
      <c r="L447" s="705">
        <v>23627</v>
      </c>
      <c r="M447" s="705">
        <v>11840</v>
      </c>
      <c r="N447" s="705">
        <v>15130</v>
      </c>
      <c r="O447" s="705">
        <v>5604</v>
      </c>
      <c r="P447" s="705">
        <v>1755</v>
      </c>
      <c r="Q447" s="705">
        <v>650</v>
      </c>
      <c r="R447" s="705">
        <v>82440</v>
      </c>
      <c r="S447" s="705">
        <v>30533</v>
      </c>
      <c r="T447" s="705">
        <v>0</v>
      </c>
      <c r="U447" s="705">
        <v>0</v>
      </c>
      <c r="V447" s="705">
        <v>216095</v>
      </c>
      <c r="W447" s="705">
        <f t="shared" si="30"/>
        <v>216095</v>
      </c>
      <c r="X447" s="705">
        <f t="shared" si="31"/>
        <v>307166</v>
      </c>
      <c r="Y447" s="705"/>
    </row>
    <row r="448" spans="2:25">
      <c r="B448" t="s">
        <v>537</v>
      </c>
      <c r="C448" t="s">
        <v>122</v>
      </c>
      <c r="D448" t="s">
        <v>665</v>
      </c>
      <c r="E448" t="s">
        <v>584</v>
      </c>
      <c r="F448">
        <v>1</v>
      </c>
      <c r="G448">
        <v>74</v>
      </c>
      <c r="H448">
        <v>415</v>
      </c>
      <c r="I448" s="705">
        <v>18906</v>
      </c>
      <c r="J448" s="705">
        <v>17187</v>
      </c>
      <c r="K448">
        <v>50</v>
      </c>
      <c r="L448" s="705">
        <v>5801</v>
      </c>
      <c r="M448" s="705">
        <v>2148</v>
      </c>
      <c r="N448" s="705">
        <v>1602</v>
      </c>
      <c r="O448" s="705">
        <v>593</v>
      </c>
      <c r="P448">
        <v>122</v>
      </c>
      <c r="Q448">
        <v>45</v>
      </c>
      <c r="R448" s="705">
        <v>4380</v>
      </c>
      <c r="S448" s="705">
        <v>3982</v>
      </c>
      <c r="T448" s="705">
        <v>0</v>
      </c>
      <c r="U448">
        <v>0</v>
      </c>
      <c r="V448" s="705">
        <v>23956</v>
      </c>
      <c r="W448" s="705">
        <f t="shared" si="30"/>
        <v>23955</v>
      </c>
      <c r="X448" s="705">
        <f t="shared" si="31"/>
        <v>30811</v>
      </c>
      <c r="Y448" s="705"/>
    </row>
    <row r="449" spans="2:25">
      <c r="B449" t="s">
        <v>537</v>
      </c>
      <c r="C449" t="s">
        <v>122</v>
      </c>
      <c r="D449" t="s">
        <v>665</v>
      </c>
      <c r="E449" t="s">
        <v>665</v>
      </c>
      <c r="F449">
        <v>107</v>
      </c>
      <c r="G449" s="705">
        <v>7135</v>
      </c>
      <c r="H449" s="705">
        <v>43868</v>
      </c>
      <c r="I449" s="705">
        <v>1855681</v>
      </c>
      <c r="J449" s="705">
        <v>1686983</v>
      </c>
      <c r="K449">
        <v>56</v>
      </c>
      <c r="L449" s="705">
        <v>205029</v>
      </c>
      <c r="M449" s="705">
        <v>115111</v>
      </c>
      <c r="N449" s="705">
        <v>148463</v>
      </c>
      <c r="O449" s="705">
        <v>54986</v>
      </c>
      <c r="P449" s="705">
        <v>34398</v>
      </c>
      <c r="Q449" s="705">
        <v>12740</v>
      </c>
      <c r="R449" s="705">
        <v>573273</v>
      </c>
      <c r="S449" s="705">
        <v>521157</v>
      </c>
      <c r="T449" s="705">
        <v>166683</v>
      </c>
      <c r="U449" s="705">
        <v>61735</v>
      </c>
      <c r="V449" s="705">
        <v>2452712</v>
      </c>
      <c r="W449" s="705">
        <f t="shared" si="30"/>
        <v>2452712</v>
      </c>
      <c r="X449" s="705">
        <f t="shared" si="31"/>
        <v>2983527</v>
      </c>
      <c r="Y449" s="705"/>
    </row>
    <row r="450" spans="2:25">
      <c r="B450" t="s">
        <v>537</v>
      </c>
      <c r="C450" t="s">
        <v>122</v>
      </c>
      <c r="D450" t="s">
        <v>673</v>
      </c>
      <c r="E450" t="s">
        <v>673</v>
      </c>
      <c r="F450">
        <v>3</v>
      </c>
      <c r="G450" s="705">
        <v>238</v>
      </c>
      <c r="H450" s="705">
        <v>1290</v>
      </c>
      <c r="I450" s="705">
        <v>69945</v>
      </c>
      <c r="J450" s="705">
        <v>63586</v>
      </c>
      <c r="K450">
        <v>58</v>
      </c>
      <c r="L450" s="705">
        <v>8111</v>
      </c>
      <c r="M450" s="705">
        <v>5103</v>
      </c>
      <c r="N450" s="705">
        <v>4245</v>
      </c>
      <c r="O450" s="705">
        <v>1572</v>
      </c>
      <c r="P450" s="705">
        <v>1053</v>
      </c>
      <c r="Q450" s="705">
        <v>390</v>
      </c>
      <c r="R450" s="705">
        <v>12625</v>
      </c>
      <c r="S450" s="705">
        <v>11477</v>
      </c>
      <c r="T450" s="705">
        <v>7180</v>
      </c>
      <c r="U450" s="705">
        <v>2659</v>
      </c>
      <c r="V450" s="705">
        <v>84788</v>
      </c>
      <c r="W450" s="705">
        <f t="shared" si="30"/>
        <v>84787</v>
      </c>
      <c r="X450" s="705">
        <f t="shared" si="31"/>
        <v>103159</v>
      </c>
      <c r="Y450" s="705"/>
    </row>
    <row r="451" spans="2:25">
      <c r="B451" t="s">
        <v>537</v>
      </c>
      <c r="C451" t="s">
        <v>122</v>
      </c>
      <c r="D451" t="s">
        <v>585</v>
      </c>
      <c r="E451" t="s">
        <v>585</v>
      </c>
      <c r="F451">
        <v>1</v>
      </c>
      <c r="G451">
        <v>277</v>
      </c>
      <c r="H451" s="705">
        <v>392</v>
      </c>
      <c r="I451" s="705">
        <v>72654</v>
      </c>
      <c r="J451" s="705">
        <v>66049</v>
      </c>
      <c r="K451">
        <v>65</v>
      </c>
      <c r="L451" s="705">
        <v>19081</v>
      </c>
      <c r="M451" s="705">
        <v>15901</v>
      </c>
      <c r="N451" s="705">
        <v>6504</v>
      </c>
      <c r="O451" s="705">
        <v>2409</v>
      </c>
      <c r="P451" s="705">
        <v>351</v>
      </c>
      <c r="Q451" s="705">
        <v>130</v>
      </c>
      <c r="R451" s="705">
        <v>9893</v>
      </c>
      <c r="S451" s="705">
        <v>8993</v>
      </c>
      <c r="T451" s="705">
        <v>0</v>
      </c>
      <c r="U451" s="705">
        <v>0</v>
      </c>
      <c r="V451" s="705">
        <v>93482</v>
      </c>
      <c r="W451" s="705">
        <f t="shared" si="30"/>
        <v>93482</v>
      </c>
      <c r="X451" s="705">
        <f t="shared" si="31"/>
        <v>108483</v>
      </c>
      <c r="Y451" s="705"/>
    </row>
    <row r="452" spans="2:25">
      <c r="B452" t="s">
        <v>537</v>
      </c>
      <c r="C452" t="s">
        <v>124</v>
      </c>
      <c r="F452">
        <v>2</v>
      </c>
      <c r="G452">
        <v>171</v>
      </c>
      <c r="H452" s="705">
        <v>1273</v>
      </c>
      <c r="I452" s="705"/>
      <c r="J452" s="705">
        <v>0</v>
      </c>
      <c r="L452" s="705"/>
      <c r="M452" s="705">
        <v>0</v>
      </c>
      <c r="N452" s="705">
        <v>3226</v>
      </c>
      <c r="O452" s="705">
        <v>1195</v>
      </c>
      <c r="P452" s="705">
        <v>621</v>
      </c>
      <c r="Q452">
        <v>230</v>
      </c>
      <c r="R452" s="705"/>
      <c r="S452" s="705">
        <v>0</v>
      </c>
      <c r="T452" s="705">
        <v>0</v>
      </c>
      <c r="U452" s="705">
        <v>0</v>
      </c>
      <c r="V452" s="705">
        <v>1425</v>
      </c>
      <c r="W452" s="705">
        <f t="shared" si="30"/>
        <v>1425</v>
      </c>
      <c r="X452" s="705">
        <f t="shared" si="31"/>
        <v>3847</v>
      </c>
      <c r="Y452" s="705"/>
    </row>
    <row r="453" spans="2:25">
      <c r="B453" t="s">
        <v>537</v>
      </c>
      <c r="C453" t="s">
        <v>124</v>
      </c>
      <c r="D453" t="s">
        <v>664</v>
      </c>
      <c r="E453" t="s">
        <v>664</v>
      </c>
      <c r="F453">
        <v>2</v>
      </c>
      <c r="G453" s="705">
        <v>157</v>
      </c>
      <c r="H453" s="705">
        <v>1112</v>
      </c>
      <c r="I453" s="705">
        <v>67650</v>
      </c>
      <c r="J453" s="705">
        <v>61500</v>
      </c>
      <c r="K453">
        <v>79</v>
      </c>
      <c r="L453" s="705">
        <v>18701</v>
      </c>
      <c r="M453" s="705">
        <v>17001</v>
      </c>
      <c r="N453" s="705">
        <v>3030</v>
      </c>
      <c r="O453" s="705">
        <v>1122</v>
      </c>
      <c r="P453" s="705">
        <v>945</v>
      </c>
      <c r="Q453" s="705">
        <v>350</v>
      </c>
      <c r="R453" s="705">
        <v>9325</v>
      </c>
      <c r="S453" s="705">
        <v>8477</v>
      </c>
      <c r="T453" s="705">
        <v>2947</v>
      </c>
      <c r="U453" s="705">
        <v>1092</v>
      </c>
      <c r="V453" s="705">
        <v>89541</v>
      </c>
      <c r="W453" s="705">
        <f t="shared" si="30"/>
        <v>89542</v>
      </c>
      <c r="X453" s="705">
        <f t="shared" si="31"/>
        <v>102598</v>
      </c>
      <c r="Y453" s="705"/>
    </row>
    <row r="454" spans="2:25">
      <c r="B454" t="s">
        <v>537</v>
      </c>
      <c r="C454" t="s">
        <v>124</v>
      </c>
      <c r="D454" t="s">
        <v>664</v>
      </c>
      <c r="E454" t="s">
        <v>582</v>
      </c>
      <c r="F454">
        <v>1</v>
      </c>
      <c r="G454">
        <v>54</v>
      </c>
      <c r="H454" s="705">
        <v>544</v>
      </c>
      <c r="I454" s="705">
        <v>19559</v>
      </c>
      <c r="J454" s="705">
        <v>17781</v>
      </c>
      <c r="K454">
        <v>75</v>
      </c>
      <c r="L454" s="705">
        <v>2829</v>
      </c>
      <c r="M454" s="705">
        <v>2572</v>
      </c>
      <c r="N454" s="705">
        <v>1328</v>
      </c>
      <c r="O454" s="705">
        <v>492</v>
      </c>
      <c r="P454" s="705">
        <v>473</v>
      </c>
      <c r="Q454">
        <v>175</v>
      </c>
      <c r="R454" s="705">
        <v>5456</v>
      </c>
      <c r="S454" s="705">
        <v>4960</v>
      </c>
      <c r="T454" s="705">
        <v>0</v>
      </c>
      <c r="U454">
        <v>0</v>
      </c>
      <c r="V454" s="705">
        <v>25979</v>
      </c>
      <c r="W454" s="705">
        <f t="shared" si="30"/>
        <v>25980</v>
      </c>
      <c r="X454" s="705">
        <f t="shared" si="31"/>
        <v>29645</v>
      </c>
      <c r="Y454" s="705"/>
    </row>
    <row r="455" spans="2:25">
      <c r="B455" t="s">
        <v>537</v>
      </c>
      <c r="C455" t="s">
        <v>124</v>
      </c>
      <c r="D455" t="s">
        <v>582</v>
      </c>
      <c r="E455" t="s">
        <v>582</v>
      </c>
      <c r="F455">
        <v>2</v>
      </c>
      <c r="G455" s="705">
        <v>245</v>
      </c>
      <c r="H455" s="705">
        <v>1124</v>
      </c>
      <c r="I455" s="705">
        <v>97413</v>
      </c>
      <c r="J455" s="705">
        <v>88558</v>
      </c>
      <c r="K455">
        <v>73</v>
      </c>
      <c r="L455" s="705">
        <v>17961</v>
      </c>
      <c r="M455" s="705">
        <v>16329</v>
      </c>
      <c r="N455" s="705">
        <v>5772</v>
      </c>
      <c r="O455" s="705">
        <v>2138</v>
      </c>
      <c r="P455" s="705">
        <v>945</v>
      </c>
      <c r="Q455" s="705">
        <v>350</v>
      </c>
      <c r="R455" s="705">
        <v>11064</v>
      </c>
      <c r="S455" s="705">
        <v>10058</v>
      </c>
      <c r="T455" s="705">
        <v>3268</v>
      </c>
      <c r="U455" s="705">
        <v>1210</v>
      </c>
      <c r="V455" s="705">
        <v>118642</v>
      </c>
      <c r="W455" s="705">
        <f t="shared" ref="W455:W518" si="34">SUM(ABS(J455),ABS(M455),ABS(O455),ABS(Q455),ABS(S455),ABS(U455))</f>
        <v>118643</v>
      </c>
      <c r="X455" s="705">
        <f t="shared" ref="X455:X518" si="35">SUM(ABS(I455),ABS(N455),ABS(P455),ABS(R455),ABS(T455),ABS(L455))</f>
        <v>136423</v>
      </c>
      <c r="Y455" s="705"/>
    </row>
    <row r="456" spans="2:25">
      <c r="B456" t="s">
        <v>537</v>
      </c>
      <c r="C456" t="s">
        <v>124</v>
      </c>
      <c r="D456" t="s">
        <v>582</v>
      </c>
      <c r="E456" t="s">
        <v>228</v>
      </c>
      <c r="F456">
        <v>1</v>
      </c>
      <c r="G456">
        <v>83</v>
      </c>
      <c r="H456" s="705">
        <v>515</v>
      </c>
      <c r="I456" s="705">
        <v>24655</v>
      </c>
      <c r="J456" s="705">
        <v>22413</v>
      </c>
      <c r="K456">
        <v>92</v>
      </c>
      <c r="L456" s="705">
        <v>11903</v>
      </c>
      <c r="M456" s="705">
        <v>10821</v>
      </c>
      <c r="N456" s="705">
        <v>1381</v>
      </c>
      <c r="O456" s="705">
        <v>511</v>
      </c>
      <c r="P456" s="705">
        <v>473</v>
      </c>
      <c r="Q456">
        <v>175</v>
      </c>
      <c r="R456" s="705">
        <v>4546</v>
      </c>
      <c r="S456" s="705">
        <v>1684</v>
      </c>
      <c r="T456" s="705">
        <v>0</v>
      </c>
      <c r="U456" s="705">
        <v>0</v>
      </c>
      <c r="V456" s="705">
        <v>35604</v>
      </c>
      <c r="W456" s="705">
        <f t="shared" si="34"/>
        <v>35604</v>
      </c>
      <c r="X456" s="705">
        <f t="shared" si="35"/>
        <v>42958</v>
      </c>
      <c r="Y456" s="705"/>
    </row>
    <row r="457" spans="2:25">
      <c r="B457" t="s">
        <v>537</v>
      </c>
      <c r="C457" t="s">
        <v>124</v>
      </c>
      <c r="D457" t="s">
        <v>228</v>
      </c>
      <c r="E457" t="s">
        <v>664</v>
      </c>
      <c r="F457">
        <v>1</v>
      </c>
      <c r="G457">
        <v>92</v>
      </c>
      <c r="H457">
        <v>596</v>
      </c>
      <c r="I457" s="705">
        <v>41602</v>
      </c>
      <c r="J457" s="705">
        <v>15408</v>
      </c>
      <c r="K457">
        <v>100</v>
      </c>
      <c r="L457" s="705">
        <v>6277</v>
      </c>
      <c r="M457" s="705">
        <v>5707</v>
      </c>
      <c r="N457" s="705">
        <v>2248</v>
      </c>
      <c r="O457" s="705">
        <v>832</v>
      </c>
      <c r="P457" s="705">
        <v>0</v>
      </c>
      <c r="Q457">
        <v>0</v>
      </c>
      <c r="R457" s="705">
        <v>4878</v>
      </c>
      <c r="S457" s="705">
        <v>4435</v>
      </c>
      <c r="T457">
        <v>0</v>
      </c>
      <c r="U457">
        <v>0</v>
      </c>
      <c r="V457" s="705">
        <v>26382</v>
      </c>
      <c r="W457" s="705">
        <f t="shared" si="34"/>
        <v>26382</v>
      </c>
      <c r="X457" s="705">
        <f t="shared" si="35"/>
        <v>55005</v>
      </c>
      <c r="Y457" s="705"/>
    </row>
    <row r="458" spans="2:25">
      <c r="B458" t="s">
        <v>537</v>
      </c>
      <c r="C458" t="s">
        <v>124</v>
      </c>
      <c r="D458" t="s">
        <v>228</v>
      </c>
      <c r="E458" t="s">
        <v>228</v>
      </c>
      <c r="F458">
        <v>897</v>
      </c>
      <c r="G458" s="705">
        <v>74098</v>
      </c>
      <c r="H458" s="705">
        <v>566504</v>
      </c>
      <c r="I458" s="705">
        <v>32749352</v>
      </c>
      <c r="J458" s="705">
        <v>12129390</v>
      </c>
      <c r="K458">
        <v>100</v>
      </c>
      <c r="L458" s="705">
        <v>6224859</v>
      </c>
      <c r="M458" s="705">
        <v>5128507</v>
      </c>
      <c r="N458" s="705">
        <v>1668074</v>
      </c>
      <c r="O458" s="705">
        <v>617805</v>
      </c>
      <c r="P458" s="705">
        <v>15928</v>
      </c>
      <c r="Q458" s="705">
        <v>5899</v>
      </c>
      <c r="R458" s="705">
        <v>6027987</v>
      </c>
      <c r="S458" s="705">
        <v>2232588</v>
      </c>
      <c r="T458" s="705">
        <v>21350</v>
      </c>
      <c r="U458" s="705">
        <v>7907</v>
      </c>
      <c r="V458" s="705">
        <v>20122096</v>
      </c>
      <c r="W458" s="705">
        <f t="shared" si="34"/>
        <v>20122096</v>
      </c>
      <c r="X458" s="705">
        <f t="shared" si="35"/>
        <v>46707550</v>
      </c>
      <c r="Y458" s="705"/>
    </row>
    <row r="459" spans="2:25">
      <c r="B459" t="s">
        <v>537</v>
      </c>
      <c r="C459" t="s">
        <v>124</v>
      </c>
      <c r="D459" t="s">
        <v>228</v>
      </c>
      <c r="E459" t="s">
        <v>583</v>
      </c>
      <c r="F459">
        <v>6</v>
      </c>
      <c r="G459" s="705">
        <v>870</v>
      </c>
      <c r="H459" s="705">
        <v>3870</v>
      </c>
      <c r="I459" s="705">
        <v>438241</v>
      </c>
      <c r="J459" s="705">
        <v>162311</v>
      </c>
      <c r="K459">
        <v>100</v>
      </c>
      <c r="L459" s="705">
        <v>68361</v>
      </c>
      <c r="M459" s="705">
        <v>54713</v>
      </c>
      <c r="N459" s="705">
        <v>19952</v>
      </c>
      <c r="O459" s="705">
        <v>7390</v>
      </c>
      <c r="P459" s="705">
        <v>1431</v>
      </c>
      <c r="Q459" s="705">
        <v>530</v>
      </c>
      <c r="R459" s="705">
        <v>46620</v>
      </c>
      <c r="S459" s="705">
        <v>42382</v>
      </c>
      <c r="T459" s="705">
        <v>7657</v>
      </c>
      <c r="U459" s="705">
        <v>2836</v>
      </c>
      <c r="V459" s="705">
        <v>270162</v>
      </c>
      <c r="W459" s="705">
        <f t="shared" si="34"/>
        <v>270162</v>
      </c>
      <c r="X459" s="705">
        <f t="shared" si="35"/>
        <v>582262</v>
      </c>
      <c r="Y459" s="705"/>
    </row>
    <row r="460" spans="2:25">
      <c r="B460" t="s">
        <v>537</v>
      </c>
      <c r="C460" t="s">
        <v>124</v>
      </c>
      <c r="D460" t="s">
        <v>228</v>
      </c>
      <c r="E460" t="s">
        <v>666</v>
      </c>
      <c r="F460">
        <v>1</v>
      </c>
      <c r="G460">
        <v>35</v>
      </c>
      <c r="H460" s="705">
        <v>585</v>
      </c>
      <c r="I460" s="705">
        <v>14091</v>
      </c>
      <c r="J460" s="705">
        <v>5219</v>
      </c>
      <c r="K460">
        <v>100</v>
      </c>
      <c r="L460" s="705">
        <v>1276</v>
      </c>
      <c r="M460" s="705">
        <v>1160</v>
      </c>
      <c r="N460" s="705">
        <v>591</v>
      </c>
      <c r="O460" s="705">
        <v>219</v>
      </c>
      <c r="P460" s="705">
        <v>0</v>
      </c>
      <c r="Q460">
        <v>0</v>
      </c>
      <c r="R460" s="705">
        <v>3251</v>
      </c>
      <c r="S460" s="705">
        <v>2955</v>
      </c>
      <c r="T460" s="705">
        <v>1075</v>
      </c>
      <c r="U460">
        <v>398</v>
      </c>
      <c r="V460" s="705">
        <v>9951</v>
      </c>
      <c r="W460" s="705">
        <f t="shared" si="34"/>
        <v>9951</v>
      </c>
      <c r="X460" s="705">
        <f t="shared" si="35"/>
        <v>20284</v>
      </c>
      <c r="Y460" s="705"/>
    </row>
    <row r="461" spans="2:25">
      <c r="B461" t="s">
        <v>537</v>
      </c>
      <c r="C461" t="s">
        <v>124</v>
      </c>
      <c r="D461" t="s">
        <v>228</v>
      </c>
      <c r="E461" t="s">
        <v>584</v>
      </c>
      <c r="F461">
        <v>9</v>
      </c>
      <c r="G461">
        <v>954</v>
      </c>
      <c r="H461" s="705">
        <v>5173</v>
      </c>
      <c r="I461" s="705">
        <v>389343</v>
      </c>
      <c r="J461" s="705">
        <v>144201</v>
      </c>
      <c r="K461">
        <v>100</v>
      </c>
      <c r="L461" s="705">
        <v>87737</v>
      </c>
      <c r="M461" s="705">
        <v>76058</v>
      </c>
      <c r="N461" s="705">
        <v>22217</v>
      </c>
      <c r="O461" s="705">
        <v>8229</v>
      </c>
      <c r="P461">
        <v>365</v>
      </c>
      <c r="Q461">
        <v>135</v>
      </c>
      <c r="R461" s="705">
        <v>46025</v>
      </c>
      <c r="S461" s="705">
        <v>41841</v>
      </c>
      <c r="T461" s="705">
        <v>0</v>
      </c>
      <c r="U461">
        <v>0</v>
      </c>
      <c r="V461" s="705">
        <v>270463</v>
      </c>
      <c r="W461" s="705">
        <f t="shared" si="34"/>
        <v>270464</v>
      </c>
      <c r="X461" s="705">
        <f t="shared" si="35"/>
        <v>545687</v>
      </c>
      <c r="Y461" s="705"/>
    </row>
    <row r="462" spans="2:25">
      <c r="B462" t="s">
        <v>537</v>
      </c>
      <c r="C462" t="s">
        <v>124</v>
      </c>
      <c r="D462" t="s">
        <v>228</v>
      </c>
      <c r="E462" t="s">
        <v>669</v>
      </c>
      <c r="F462">
        <v>12</v>
      </c>
      <c r="G462">
        <v>975</v>
      </c>
      <c r="H462" s="705">
        <v>7812</v>
      </c>
      <c r="I462" s="705">
        <v>433624</v>
      </c>
      <c r="J462" s="705">
        <v>160601</v>
      </c>
      <c r="K462">
        <v>100</v>
      </c>
      <c r="L462" s="705">
        <v>79801</v>
      </c>
      <c r="M462" s="705">
        <v>63854</v>
      </c>
      <c r="N462" s="705">
        <v>22177</v>
      </c>
      <c r="O462" s="705">
        <v>8214</v>
      </c>
      <c r="P462">
        <v>351</v>
      </c>
      <c r="Q462">
        <v>130</v>
      </c>
      <c r="R462" s="705">
        <v>70027</v>
      </c>
      <c r="S462" s="705">
        <v>58355</v>
      </c>
      <c r="T462" s="705">
        <v>23696</v>
      </c>
      <c r="U462" s="705">
        <v>8776</v>
      </c>
      <c r="V462" s="705">
        <v>299931</v>
      </c>
      <c r="W462" s="705">
        <f t="shared" si="34"/>
        <v>299930</v>
      </c>
      <c r="X462" s="705">
        <f t="shared" si="35"/>
        <v>629676</v>
      </c>
      <c r="Y462" s="705"/>
    </row>
    <row r="463" spans="2:25">
      <c r="B463" t="s">
        <v>537</v>
      </c>
      <c r="C463" t="s">
        <v>124</v>
      </c>
      <c r="D463" t="s">
        <v>228</v>
      </c>
      <c r="E463" t="s">
        <v>665</v>
      </c>
      <c r="F463">
        <v>41</v>
      </c>
      <c r="G463" s="705">
        <v>3195</v>
      </c>
      <c r="H463" s="705">
        <v>26314</v>
      </c>
      <c r="I463" s="705">
        <v>1440370</v>
      </c>
      <c r="J463" s="705">
        <v>533471</v>
      </c>
      <c r="K463">
        <v>100</v>
      </c>
      <c r="L463" s="705">
        <v>226518</v>
      </c>
      <c r="M463" s="705">
        <v>184925</v>
      </c>
      <c r="N463" s="705">
        <v>75045</v>
      </c>
      <c r="O463" s="705">
        <v>27794</v>
      </c>
      <c r="P463" s="705">
        <v>2727</v>
      </c>
      <c r="Q463" s="705">
        <v>1010</v>
      </c>
      <c r="R463" s="705">
        <v>236825</v>
      </c>
      <c r="S463" s="705">
        <v>215296</v>
      </c>
      <c r="T463" s="705">
        <v>69545</v>
      </c>
      <c r="U463" s="705">
        <v>25758</v>
      </c>
      <c r="V463" s="705">
        <v>988254</v>
      </c>
      <c r="W463" s="705">
        <f t="shared" si="34"/>
        <v>988254</v>
      </c>
      <c r="X463" s="705">
        <f t="shared" si="35"/>
        <v>2051030</v>
      </c>
      <c r="Y463" s="705"/>
    </row>
    <row r="464" spans="2:25">
      <c r="B464" t="s">
        <v>537</v>
      </c>
      <c r="C464" t="s">
        <v>124</v>
      </c>
      <c r="D464" t="s">
        <v>583</v>
      </c>
      <c r="E464" t="s">
        <v>228</v>
      </c>
      <c r="F464">
        <v>13</v>
      </c>
      <c r="G464" s="705">
        <v>978</v>
      </c>
      <c r="H464" s="705">
        <v>7506</v>
      </c>
      <c r="I464" s="705">
        <v>362909</v>
      </c>
      <c r="J464" s="705">
        <v>329917</v>
      </c>
      <c r="K464">
        <v>72</v>
      </c>
      <c r="L464" s="705">
        <v>102508</v>
      </c>
      <c r="M464" s="705">
        <v>74024</v>
      </c>
      <c r="N464" s="705">
        <v>23659</v>
      </c>
      <c r="O464" s="705">
        <v>8762</v>
      </c>
      <c r="P464" s="705">
        <v>8073</v>
      </c>
      <c r="Q464" s="705">
        <v>2990</v>
      </c>
      <c r="R464" s="705">
        <v>91196</v>
      </c>
      <c r="S464" s="705">
        <v>33776</v>
      </c>
      <c r="T464" s="705">
        <v>3277</v>
      </c>
      <c r="U464" s="705">
        <v>1214</v>
      </c>
      <c r="V464" s="705">
        <v>450684</v>
      </c>
      <c r="W464" s="705">
        <f t="shared" si="34"/>
        <v>450683</v>
      </c>
      <c r="X464" s="705">
        <f t="shared" si="35"/>
        <v>591622</v>
      </c>
      <c r="Y464" s="705"/>
    </row>
    <row r="465" spans="2:25">
      <c r="B465" t="s">
        <v>537</v>
      </c>
      <c r="C465" t="s">
        <v>124</v>
      </c>
      <c r="D465" t="s">
        <v>583</v>
      </c>
      <c r="E465" t="s">
        <v>583</v>
      </c>
      <c r="F465">
        <v>397</v>
      </c>
      <c r="G465" s="705">
        <v>36726</v>
      </c>
      <c r="H465" s="705">
        <v>208168</v>
      </c>
      <c r="I465" s="705">
        <v>12639192</v>
      </c>
      <c r="J465" s="705">
        <v>11490175</v>
      </c>
      <c r="K465">
        <v>72</v>
      </c>
      <c r="L465" s="705">
        <v>2914155</v>
      </c>
      <c r="M465" s="705">
        <v>2529776</v>
      </c>
      <c r="N465" s="705">
        <v>823832</v>
      </c>
      <c r="O465" s="705">
        <v>305123</v>
      </c>
      <c r="P465" s="705">
        <v>248036</v>
      </c>
      <c r="Q465" s="705">
        <v>91865</v>
      </c>
      <c r="R465" s="705">
        <v>1971294</v>
      </c>
      <c r="S465" s="705">
        <v>1792085</v>
      </c>
      <c r="T465" s="705">
        <v>661586</v>
      </c>
      <c r="U465" s="705">
        <v>245032</v>
      </c>
      <c r="V465" s="705">
        <v>16454056</v>
      </c>
      <c r="W465" s="705">
        <f t="shared" si="34"/>
        <v>16454056</v>
      </c>
      <c r="X465" s="705">
        <f t="shared" si="35"/>
        <v>19258095</v>
      </c>
      <c r="Y465" s="705"/>
    </row>
    <row r="466" spans="2:25">
      <c r="B466" t="s">
        <v>537</v>
      </c>
      <c r="C466" t="s">
        <v>124</v>
      </c>
      <c r="D466" t="s">
        <v>583</v>
      </c>
      <c r="E466" t="s">
        <v>666</v>
      </c>
      <c r="F466">
        <v>1</v>
      </c>
      <c r="G466">
        <v>98</v>
      </c>
      <c r="H466" s="705">
        <v>626</v>
      </c>
      <c r="I466" s="705">
        <v>45465</v>
      </c>
      <c r="J466" s="705">
        <v>41331</v>
      </c>
      <c r="K466">
        <v>60</v>
      </c>
      <c r="L466" s="705">
        <v>5759</v>
      </c>
      <c r="M466" s="705">
        <v>5235</v>
      </c>
      <c r="N466" s="705">
        <v>2169</v>
      </c>
      <c r="O466" s="705">
        <v>803</v>
      </c>
      <c r="P466" s="705">
        <v>621</v>
      </c>
      <c r="Q466">
        <v>230</v>
      </c>
      <c r="R466" s="705">
        <v>5296</v>
      </c>
      <c r="S466" s="705">
        <v>4815</v>
      </c>
      <c r="T466" s="705">
        <v>1954</v>
      </c>
      <c r="U466">
        <v>724</v>
      </c>
      <c r="V466" s="705">
        <v>53139</v>
      </c>
      <c r="W466" s="705">
        <f t="shared" si="34"/>
        <v>53138</v>
      </c>
      <c r="X466" s="705">
        <f t="shared" si="35"/>
        <v>61264</v>
      </c>
      <c r="Y466" s="705"/>
    </row>
    <row r="467" spans="2:25">
      <c r="B467" t="s">
        <v>537</v>
      </c>
      <c r="C467" t="s">
        <v>124</v>
      </c>
      <c r="D467" t="s">
        <v>583</v>
      </c>
      <c r="E467" t="s">
        <v>665</v>
      </c>
      <c r="F467" s="705">
        <v>1</v>
      </c>
      <c r="G467" s="705">
        <v>102</v>
      </c>
      <c r="H467" s="705">
        <v>466</v>
      </c>
      <c r="I467" s="705">
        <v>26134</v>
      </c>
      <c r="J467" s="705">
        <v>23758</v>
      </c>
      <c r="K467">
        <v>86</v>
      </c>
      <c r="L467" s="705">
        <v>9646</v>
      </c>
      <c r="M467" s="705">
        <v>3573</v>
      </c>
      <c r="N467" s="705">
        <v>2490</v>
      </c>
      <c r="O467" s="705">
        <v>922</v>
      </c>
      <c r="P467" s="705">
        <v>621</v>
      </c>
      <c r="Q467" s="705">
        <v>230</v>
      </c>
      <c r="R467" s="705">
        <v>8770</v>
      </c>
      <c r="S467" s="705">
        <v>7973</v>
      </c>
      <c r="T467" s="705">
        <v>0</v>
      </c>
      <c r="U467" s="705">
        <v>0</v>
      </c>
      <c r="V467" s="705">
        <v>36456</v>
      </c>
      <c r="W467" s="705">
        <f t="shared" si="34"/>
        <v>36456</v>
      </c>
      <c r="X467" s="705">
        <f t="shared" si="35"/>
        <v>47661</v>
      </c>
      <c r="Y467" s="705"/>
    </row>
    <row r="468" spans="2:25">
      <c r="B468" t="s">
        <v>537</v>
      </c>
      <c r="C468" t="s">
        <v>124</v>
      </c>
      <c r="D468" t="s">
        <v>666</v>
      </c>
      <c r="E468" t="s">
        <v>228</v>
      </c>
      <c r="F468">
        <v>20</v>
      </c>
      <c r="G468" s="705">
        <v>1562</v>
      </c>
      <c r="H468" s="705">
        <v>18462</v>
      </c>
      <c r="I468" s="705">
        <v>1102736</v>
      </c>
      <c r="J468" s="705">
        <v>1002487</v>
      </c>
      <c r="K468">
        <v>38</v>
      </c>
      <c r="L468" s="705">
        <v>95153</v>
      </c>
      <c r="M468" s="705">
        <v>73564</v>
      </c>
      <c r="N468" s="705">
        <v>35468</v>
      </c>
      <c r="O468" s="705">
        <v>13136</v>
      </c>
      <c r="P468" s="705">
        <v>1053</v>
      </c>
      <c r="Q468" s="705">
        <v>390</v>
      </c>
      <c r="R468" s="705">
        <v>249076</v>
      </c>
      <c r="S468" s="705">
        <v>92250</v>
      </c>
      <c r="T468" s="705">
        <v>7702</v>
      </c>
      <c r="U468" s="705">
        <v>2853</v>
      </c>
      <c r="V468" s="705">
        <v>1184681</v>
      </c>
      <c r="W468" s="705">
        <f t="shared" si="34"/>
        <v>1184680</v>
      </c>
      <c r="X468" s="705">
        <f t="shared" si="35"/>
        <v>1491188</v>
      </c>
      <c r="Y468" s="705"/>
    </row>
    <row r="469" spans="2:25">
      <c r="B469" t="s">
        <v>537</v>
      </c>
      <c r="C469" t="s">
        <v>124</v>
      </c>
      <c r="D469" t="s">
        <v>666</v>
      </c>
      <c r="E469" t="s">
        <v>583</v>
      </c>
      <c r="F469">
        <v>2</v>
      </c>
      <c r="G469" s="705">
        <v>174</v>
      </c>
      <c r="H469" s="705">
        <v>1283</v>
      </c>
      <c r="I469" s="705">
        <v>80778</v>
      </c>
      <c r="J469" s="705">
        <v>73435</v>
      </c>
      <c r="K469">
        <v>48</v>
      </c>
      <c r="L469" s="705">
        <v>2856</v>
      </c>
      <c r="M469" s="705">
        <v>1058</v>
      </c>
      <c r="N469" s="705">
        <v>4233</v>
      </c>
      <c r="O469" s="705">
        <v>1568</v>
      </c>
      <c r="P469" s="705">
        <v>0</v>
      </c>
      <c r="Q469">
        <v>0</v>
      </c>
      <c r="R469" s="705">
        <v>21878</v>
      </c>
      <c r="S469" s="705">
        <v>19889</v>
      </c>
      <c r="T469" s="705">
        <v>4655</v>
      </c>
      <c r="U469" s="705">
        <v>1724</v>
      </c>
      <c r="V469" s="705">
        <v>97674</v>
      </c>
      <c r="W469" s="705">
        <f t="shared" si="34"/>
        <v>97674</v>
      </c>
      <c r="X469" s="705">
        <f t="shared" si="35"/>
        <v>114400</v>
      </c>
      <c r="Y469" s="705"/>
    </row>
    <row r="470" spans="2:25">
      <c r="B470" t="s">
        <v>537</v>
      </c>
      <c r="C470" t="s">
        <v>124</v>
      </c>
      <c r="D470" t="s">
        <v>666</v>
      </c>
      <c r="E470" t="s">
        <v>666</v>
      </c>
      <c r="F470">
        <v>35</v>
      </c>
      <c r="G470" s="705">
        <v>2837</v>
      </c>
      <c r="H470" s="705">
        <v>21884</v>
      </c>
      <c r="I470" s="705">
        <v>1285935</v>
      </c>
      <c r="J470" s="705">
        <v>1169032</v>
      </c>
      <c r="K470">
        <v>54</v>
      </c>
      <c r="L470" s="705">
        <v>178177</v>
      </c>
      <c r="M470" s="705">
        <v>113578</v>
      </c>
      <c r="N470" s="705">
        <v>65438</v>
      </c>
      <c r="O470" s="705">
        <v>24236</v>
      </c>
      <c r="P470" s="705">
        <v>9126</v>
      </c>
      <c r="Q470" s="705">
        <v>3380</v>
      </c>
      <c r="R470" s="705">
        <v>201215</v>
      </c>
      <c r="S470" s="705">
        <v>182922</v>
      </c>
      <c r="T470" s="705">
        <v>69946</v>
      </c>
      <c r="U470" s="705">
        <v>25906</v>
      </c>
      <c r="V470" s="705">
        <v>1519054</v>
      </c>
      <c r="W470" s="705">
        <f t="shared" si="34"/>
        <v>1519054</v>
      </c>
      <c r="X470" s="705">
        <f t="shared" si="35"/>
        <v>1809837</v>
      </c>
      <c r="Y470" s="705"/>
    </row>
    <row r="471" spans="2:25">
      <c r="B471" t="s">
        <v>537</v>
      </c>
      <c r="C471" t="s">
        <v>124</v>
      </c>
      <c r="D471" t="s">
        <v>584</v>
      </c>
      <c r="E471" t="s">
        <v>228</v>
      </c>
      <c r="F471">
        <v>42</v>
      </c>
      <c r="G471" s="705">
        <v>3345</v>
      </c>
      <c r="H471" s="705">
        <v>22339</v>
      </c>
      <c r="I471" s="705">
        <v>1200723</v>
      </c>
      <c r="J471" s="705">
        <v>1091566</v>
      </c>
      <c r="K471">
        <v>70</v>
      </c>
      <c r="L471" s="705">
        <v>247390</v>
      </c>
      <c r="M471" s="705">
        <v>204115</v>
      </c>
      <c r="N471" s="705">
        <v>72621</v>
      </c>
      <c r="O471" s="705">
        <v>26897</v>
      </c>
      <c r="P471" s="705">
        <v>16815</v>
      </c>
      <c r="Q471" s="705">
        <v>6228</v>
      </c>
      <c r="R471" s="705">
        <v>274607</v>
      </c>
      <c r="S471" s="705">
        <v>101706</v>
      </c>
      <c r="T471" s="705">
        <v>0</v>
      </c>
      <c r="U471">
        <v>0</v>
      </c>
      <c r="V471" s="705">
        <v>1430512</v>
      </c>
      <c r="W471" s="705">
        <f t="shared" si="34"/>
        <v>1430512</v>
      </c>
      <c r="X471" s="705">
        <f t="shared" si="35"/>
        <v>1812156</v>
      </c>
      <c r="Y471" s="705"/>
    </row>
    <row r="472" spans="2:25">
      <c r="B472" t="s">
        <v>537</v>
      </c>
      <c r="C472" t="s">
        <v>124</v>
      </c>
      <c r="D472" t="s">
        <v>584</v>
      </c>
      <c r="E472" t="s">
        <v>584</v>
      </c>
      <c r="F472">
        <v>507</v>
      </c>
      <c r="G472" s="705">
        <v>42163</v>
      </c>
      <c r="H472" s="705">
        <v>263311</v>
      </c>
      <c r="I472" s="705">
        <v>13933787</v>
      </c>
      <c r="J472" s="705">
        <v>12667079</v>
      </c>
      <c r="K472">
        <v>72</v>
      </c>
      <c r="L472" s="705">
        <v>3739113</v>
      </c>
      <c r="M472" s="705">
        <v>3166373</v>
      </c>
      <c r="N472" s="705">
        <v>938847</v>
      </c>
      <c r="O472" s="705">
        <v>347721</v>
      </c>
      <c r="P472" s="705">
        <v>240044</v>
      </c>
      <c r="Q472" s="705">
        <v>88905</v>
      </c>
      <c r="R472" s="705">
        <v>2479163</v>
      </c>
      <c r="S472" s="705">
        <v>2253784</v>
      </c>
      <c r="T472" s="705">
        <v>792720</v>
      </c>
      <c r="U472" s="705">
        <v>293600</v>
      </c>
      <c r="V472" s="705">
        <v>18817463</v>
      </c>
      <c r="W472" s="705">
        <f t="shared" si="34"/>
        <v>18817462</v>
      </c>
      <c r="X472" s="705">
        <f t="shared" si="35"/>
        <v>22123674</v>
      </c>
      <c r="Y472" s="705"/>
    </row>
    <row r="473" spans="2:25">
      <c r="B473" t="s">
        <v>537</v>
      </c>
      <c r="C473" t="s">
        <v>124</v>
      </c>
      <c r="D473" t="s">
        <v>669</v>
      </c>
      <c r="E473" t="s">
        <v>228</v>
      </c>
      <c r="F473">
        <v>72</v>
      </c>
      <c r="G473" s="705">
        <v>6640</v>
      </c>
      <c r="H473" s="705">
        <v>64873</v>
      </c>
      <c r="I473" s="705">
        <v>5115389</v>
      </c>
      <c r="J473" s="705">
        <v>4262824</v>
      </c>
      <c r="K473">
        <v>34</v>
      </c>
      <c r="L473" s="705">
        <v>353943</v>
      </c>
      <c r="M473" s="705">
        <v>186078</v>
      </c>
      <c r="N473" s="705">
        <v>155439</v>
      </c>
      <c r="O473" s="705">
        <v>57570</v>
      </c>
      <c r="P473" s="705">
        <v>3159</v>
      </c>
      <c r="Q473" s="705">
        <v>1170</v>
      </c>
      <c r="R473" s="705">
        <v>487785</v>
      </c>
      <c r="S473" s="705">
        <v>180661</v>
      </c>
      <c r="T473" s="705">
        <v>0</v>
      </c>
      <c r="U473">
        <v>0</v>
      </c>
      <c r="V473" s="705">
        <v>4688303</v>
      </c>
      <c r="W473" s="705">
        <f t="shared" si="34"/>
        <v>4688303</v>
      </c>
      <c r="X473" s="705">
        <f t="shared" si="35"/>
        <v>6115715</v>
      </c>
      <c r="Y473" s="705"/>
    </row>
    <row r="474" spans="2:25">
      <c r="B474" t="s">
        <v>537</v>
      </c>
      <c r="C474" t="s">
        <v>124</v>
      </c>
      <c r="D474" t="s">
        <v>669</v>
      </c>
      <c r="E474" t="s">
        <v>584</v>
      </c>
      <c r="F474">
        <v>2</v>
      </c>
      <c r="G474" s="705">
        <v>184</v>
      </c>
      <c r="H474" s="705">
        <v>1745</v>
      </c>
      <c r="I474" s="705">
        <v>134434</v>
      </c>
      <c r="J474" s="705">
        <v>112029</v>
      </c>
      <c r="K474">
        <v>30</v>
      </c>
      <c r="L474" s="705">
        <v>10083</v>
      </c>
      <c r="M474" s="705">
        <v>3734</v>
      </c>
      <c r="N474" s="705">
        <v>4481</v>
      </c>
      <c r="O474" s="705">
        <v>1660</v>
      </c>
      <c r="P474" s="705">
        <v>473</v>
      </c>
      <c r="Q474" s="705">
        <v>175</v>
      </c>
      <c r="R474" s="705">
        <v>7130</v>
      </c>
      <c r="S474" s="705">
        <v>6482</v>
      </c>
      <c r="T474">
        <v>0</v>
      </c>
      <c r="U474">
        <v>0</v>
      </c>
      <c r="V474" s="705">
        <v>124080</v>
      </c>
      <c r="W474" s="705">
        <f t="shared" si="34"/>
        <v>124080</v>
      </c>
      <c r="X474" s="705">
        <f t="shared" si="35"/>
        <v>156601</v>
      </c>
      <c r="Y474" s="705"/>
    </row>
    <row r="475" spans="2:25">
      <c r="B475" t="s">
        <v>537</v>
      </c>
      <c r="C475" t="s">
        <v>124</v>
      </c>
      <c r="D475" t="s">
        <v>669</v>
      </c>
      <c r="E475" t="s">
        <v>669</v>
      </c>
      <c r="F475" s="705">
        <v>67</v>
      </c>
      <c r="G475" s="705">
        <v>5197</v>
      </c>
      <c r="H475" s="705">
        <v>44676</v>
      </c>
      <c r="I475" s="705">
        <v>2571245</v>
      </c>
      <c r="J475" s="705">
        <v>2142704</v>
      </c>
      <c r="K475">
        <v>53</v>
      </c>
      <c r="L475" s="705">
        <v>343725</v>
      </c>
      <c r="M475" s="705">
        <v>217386</v>
      </c>
      <c r="N475" s="705">
        <v>116498</v>
      </c>
      <c r="O475" s="705">
        <v>43147</v>
      </c>
      <c r="P475" s="705">
        <v>18603</v>
      </c>
      <c r="Q475" s="705">
        <v>6890</v>
      </c>
      <c r="R475" s="705">
        <v>387193</v>
      </c>
      <c r="S475" s="705">
        <v>322661</v>
      </c>
      <c r="T475" s="705">
        <v>123752</v>
      </c>
      <c r="U475" s="705">
        <v>45834</v>
      </c>
      <c r="V475" s="705">
        <v>2778623</v>
      </c>
      <c r="W475" s="705">
        <f t="shared" si="34"/>
        <v>2778622</v>
      </c>
      <c r="X475" s="705">
        <f t="shared" si="35"/>
        <v>3561016</v>
      </c>
      <c r="Y475" s="705"/>
    </row>
    <row r="476" spans="2:25">
      <c r="B476" t="s">
        <v>537</v>
      </c>
      <c r="C476" t="s">
        <v>124</v>
      </c>
      <c r="D476" t="s">
        <v>671</v>
      </c>
      <c r="E476" t="s">
        <v>671</v>
      </c>
      <c r="F476">
        <v>1</v>
      </c>
      <c r="G476" s="705">
        <v>81</v>
      </c>
      <c r="H476" s="705">
        <v>602</v>
      </c>
      <c r="I476" s="705">
        <v>34728</v>
      </c>
      <c r="J476" s="705">
        <v>31571</v>
      </c>
      <c r="K476">
        <v>50</v>
      </c>
      <c r="L476" s="705">
        <v>6431</v>
      </c>
      <c r="M476" s="705">
        <v>5846</v>
      </c>
      <c r="N476" s="705">
        <v>982</v>
      </c>
      <c r="O476" s="705">
        <v>364</v>
      </c>
      <c r="P476" s="705">
        <v>0</v>
      </c>
      <c r="Q476" s="705">
        <v>0</v>
      </c>
      <c r="R476" s="705">
        <v>4658</v>
      </c>
      <c r="S476" s="705">
        <v>4234</v>
      </c>
      <c r="T476" s="705">
        <v>1728</v>
      </c>
      <c r="U476" s="705">
        <v>640</v>
      </c>
      <c r="V476" s="705">
        <v>42656</v>
      </c>
      <c r="W476" s="705">
        <f t="shared" si="34"/>
        <v>42655</v>
      </c>
      <c r="X476" s="705">
        <f t="shared" si="35"/>
        <v>48527</v>
      </c>
      <c r="Y476" s="705"/>
    </row>
    <row r="477" spans="2:25">
      <c r="B477" t="s">
        <v>537</v>
      </c>
      <c r="C477" t="s">
        <v>124</v>
      </c>
      <c r="D477" t="s">
        <v>665</v>
      </c>
      <c r="E477" t="s">
        <v>228</v>
      </c>
      <c r="F477">
        <v>116</v>
      </c>
      <c r="G477" s="705">
        <v>10554</v>
      </c>
      <c r="H477" s="705">
        <v>105991</v>
      </c>
      <c r="I477" s="705">
        <v>7809616</v>
      </c>
      <c r="J477" s="705">
        <v>7099651</v>
      </c>
      <c r="K477">
        <v>35</v>
      </c>
      <c r="L477" s="705">
        <v>647677</v>
      </c>
      <c r="M477" s="705">
        <v>356709</v>
      </c>
      <c r="N477" s="705">
        <v>247413</v>
      </c>
      <c r="O477" s="705">
        <v>91635</v>
      </c>
      <c r="P477" s="705">
        <v>2457</v>
      </c>
      <c r="Q477" s="705">
        <v>910</v>
      </c>
      <c r="R477" s="705">
        <v>908032</v>
      </c>
      <c r="S477" s="705">
        <v>336308</v>
      </c>
      <c r="T477" s="705">
        <v>6283</v>
      </c>
      <c r="U477" s="705">
        <v>2327</v>
      </c>
      <c r="V477" s="705">
        <v>7887541</v>
      </c>
      <c r="W477" s="705">
        <f t="shared" si="34"/>
        <v>7887540</v>
      </c>
      <c r="X477" s="705">
        <f t="shared" si="35"/>
        <v>9621478</v>
      </c>
      <c r="Y477" s="705"/>
    </row>
    <row r="478" spans="2:25">
      <c r="B478" t="s">
        <v>537</v>
      </c>
      <c r="C478" t="s">
        <v>124</v>
      </c>
      <c r="D478" t="s">
        <v>665</v>
      </c>
      <c r="E478" t="s">
        <v>583</v>
      </c>
      <c r="F478">
        <v>1</v>
      </c>
      <c r="G478">
        <v>112</v>
      </c>
      <c r="H478" s="705">
        <v>837</v>
      </c>
      <c r="I478" s="705">
        <v>77862</v>
      </c>
      <c r="J478" s="705">
        <v>70784</v>
      </c>
      <c r="K478">
        <v>30</v>
      </c>
      <c r="L478" s="705">
        <v>6371</v>
      </c>
      <c r="M478" s="705">
        <v>2359</v>
      </c>
      <c r="N478" s="705">
        <v>2732</v>
      </c>
      <c r="O478" s="705">
        <v>1012</v>
      </c>
      <c r="P478" s="705">
        <v>270</v>
      </c>
      <c r="Q478">
        <v>100</v>
      </c>
      <c r="R478" s="705">
        <v>4440</v>
      </c>
      <c r="S478" s="705">
        <v>4036</v>
      </c>
      <c r="T478" s="705">
        <v>2134</v>
      </c>
      <c r="U478" s="705">
        <v>790</v>
      </c>
      <c r="V478" s="705">
        <v>79082</v>
      </c>
      <c r="W478" s="705">
        <f t="shared" si="34"/>
        <v>79081</v>
      </c>
      <c r="X478" s="705">
        <f t="shared" si="35"/>
        <v>93809</v>
      </c>
      <c r="Y478" s="705"/>
    </row>
    <row r="479" spans="2:25">
      <c r="B479" t="s">
        <v>537</v>
      </c>
      <c r="C479" t="s">
        <v>124</v>
      </c>
      <c r="D479" t="s">
        <v>665</v>
      </c>
      <c r="E479" t="s">
        <v>584</v>
      </c>
      <c r="F479">
        <v>2</v>
      </c>
      <c r="G479" s="705">
        <v>148</v>
      </c>
      <c r="H479" s="705">
        <v>1528</v>
      </c>
      <c r="I479" s="705">
        <v>88849</v>
      </c>
      <c r="J479" s="705">
        <v>80771</v>
      </c>
      <c r="K479">
        <v>40</v>
      </c>
      <c r="L479" s="705">
        <v>11507</v>
      </c>
      <c r="M479" s="705">
        <v>8351</v>
      </c>
      <c r="N479" s="705">
        <v>2526</v>
      </c>
      <c r="O479" s="705">
        <v>936</v>
      </c>
      <c r="P479" s="705">
        <v>122</v>
      </c>
      <c r="Q479" s="705">
        <v>45</v>
      </c>
      <c r="R479" s="705">
        <v>8086</v>
      </c>
      <c r="S479" s="705">
        <v>7351</v>
      </c>
      <c r="T479" s="705">
        <v>0</v>
      </c>
      <c r="U479" s="705">
        <v>0</v>
      </c>
      <c r="V479" s="705">
        <v>97454</v>
      </c>
      <c r="W479" s="705">
        <f t="shared" si="34"/>
        <v>97454</v>
      </c>
      <c r="X479" s="705">
        <f t="shared" si="35"/>
        <v>111090</v>
      </c>
      <c r="Y479" s="705"/>
    </row>
    <row r="480" spans="2:25">
      <c r="B480" t="s">
        <v>537</v>
      </c>
      <c r="C480" t="s">
        <v>124</v>
      </c>
      <c r="D480" t="s">
        <v>665</v>
      </c>
      <c r="E480" t="s">
        <v>665</v>
      </c>
      <c r="F480">
        <v>211</v>
      </c>
      <c r="G480" s="705">
        <v>16418</v>
      </c>
      <c r="H480" s="705">
        <v>138845</v>
      </c>
      <c r="I480" s="705">
        <v>7874738</v>
      </c>
      <c r="J480" s="705">
        <v>7158852</v>
      </c>
      <c r="K480">
        <v>53</v>
      </c>
      <c r="L480" s="705">
        <v>1055666</v>
      </c>
      <c r="M480" s="705">
        <v>651749</v>
      </c>
      <c r="N480" s="705">
        <v>376542</v>
      </c>
      <c r="O480" s="705">
        <v>139460</v>
      </c>
      <c r="P480" s="705">
        <v>59711</v>
      </c>
      <c r="Q480" s="705">
        <v>22115</v>
      </c>
      <c r="R480" s="705">
        <v>1199518</v>
      </c>
      <c r="S480" s="705">
        <v>1090471</v>
      </c>
      <c r="T480" s="705">
        <v>381369</v>
      </c>
      <c r="U480" s="705">
        <v>141248</v>
      </c>
      <c r="V480" s="705">
        <v>9203895</v>
      </c>
      <c r="W480" s="705">
        <f t="shared" si="34"/>
        <v>9203895</v>
      </c>
      <c r="X480" s="705">
        <f t="shared" si="35"/>
        <v>10947544</v>
      </c>
      <c r="Y480" s="705"/>
    </row>
    <row r="481" spans="2:25">
      <c r="B481" t="s">
        <v>537</v>
      </c>
      <c r="C481" t="s">
        <v>124</v>
      </c>
      <c r="D481" t="s">
        <v>673</v>
      </c>
      <c r="E481" t="s">
        <v>228</v>
      </c>
      <c r="F481">
        <v>1</v>
      </c>
      <c r="G481" s="705">
        <v>69</v>
      </c>
      <c r="H481" s="705">
        <v>964</v>
      </c>
      <c r="I481" s="705">
        <v>59598</v>
      </c>
      <c r="J481" s="705">
        <v>54180</v>
      </c>
      <c r="K481">
        <v>30</v>
      </c>
      <c r="L481" s="705">
        <v>0</v>
      </c>
      <c r="M481" s="705">
        <v>0</v>
      </c>
      <c r="N481" s="705">
        <v>1682</v>
      </c>
      <c r="O481" s="705">
        <v>623</v>
      </c>
      <c r="P481" s="705">
        <v>0</v>
      </c>
      <c r="Q481">
        <v>0</v>
      </c>
      <c r="R481" s="705">
        <v>5262</v>
      </c>
      <c r="S481" s="705">
        <v>1949</v>
      </c>
      <c r="T481" s="705">
        <v>0</v>
      </c>
      <c r="U481" s="705">
        <v>0</v>
      </c>
      <c r="V481" s="705">
        <v>56751</v>
      </c>
      <c r="W481" s="705">
        <f t="shared" si="34"/>
        <v>56752</v>
      </c>
      <c r="X481" s="705">
        <f t="shared" si="35"/>
        <v>66542</v>
      </c>
      <c r="Y481" s="705"/>
    </row>
    <row r="482" spans="2:25">
      <c r="B482" t="s">
        <v>537</v>
      </c>
      <c r="C482" t="s">
        <v>124</v>
      </c>
      <c r="D482" t="s">
        <v>673</v>
      </c>
      <c r="E482" t="s">
        <v>673</v>
      </c>
      <c r="F482">
        <v>1</v>
      </c>
      <c r="G482" s="705">
        <v>55</v>
      </c>
      <c r="H482" s="705">
        <v>854</v>
      </c>
      <c r="I482" s="705">
        <v>34882</v>
      </c>
      <c r="J482" s="705">
        <v>31711</v>
      </c>
      <c r="K482">
        <v>55</v>
      </c>
      <c r="L482" s="705">
        <v>5232</v>
      </c>
      <c r="M482" s="705">
        <v>1938</v>
      </c>
      <c r="N482" s="705">
        <v>1351</v>
      </c>
      <c r="O482" s="705">
        <v>500</v>
      </c>
      <c r="P482" s="705">
        <v>351</v>
      </c>
      <c r="Q482" s="705">
        <v>130</v>
      </c>
      <c r="R482" s="705">
        <v>5537</v>
      </c>
      <c r="S482" s="705">
        <v>5033</v>
      </c>
      <c r="T482" s="705">
        <v>0</v>
      </c>
      <c r="U482" s="705">
        <v>0</v>
      </c>
      <c r="V482" s="705">
        <v>39313</v>
      </c>
      <c r="W482" s="705">
        <f t="shared" si="34"/>
        <v>39312</v>
      </c>
      <c r="X482" s="705">
        <f t="shared" si="35"/>
        <v>47353</v>
      </c>
      <c r="Y482" s="705"/>
    </row>
    <row r="483" spans="2:25">
      <c r="B483" t="s">
        <v>538</v>
      </c>
      <c r="C483" t="s">
        <v>108</v>
      </c>
      <c r="D483" t="s">
        <v>228</v>
      </c>
      <c r="E483" t="s">
        <v>228</v>
      </c>
      <c r="F483">
        <v>60</v>
      </c>
      <c r="G483" s="705">
        <v>5175</v>
      </c>
      <c r="H483" s="705">
        <v>3068</v>
      </c>
      <c r="I483" s="705">
        <v>-47472</v>
      </c>
      <c r="J483" s="705">
        <v>-17582</v>
      </c>
      <c r="K483">
        <v>441</v>
      </c>
      <c r="L483" s="705">
        <v>-7011</v>
      </c>
      <c r="M483" s="705">
        <v>-6971</v>
      </c>
      <c r="N483" s="705">
        <v>66876</v>
      </c>
      <c r="O483" s="705">
        <v>24769</v>
      </c>
      <c r="P483" s="705">
        <v>31269</v>
      </c>
      <c r="Q483" s="705">
        <v>11581</v>
      </c>
      <c r="R483" s="705">
        <v>221630</v>
      </c>
      <c r="S483" s="705">
        <v>82085</v>
      </c>
      <c r="T483" s="705">
        <v>0</v>
      </c>
      <c r="U483">
        <v>0</v>
      </c>
      <c r="V483" s="705">
        <v>93882</v>
      </c>
      <c r="W483" s="705">
        <f t="shared" si="34"/>
        <v>142988</v>
      </c>
      <c r="X483" s="705">
        <f t="shared" si="35"/>
        <v>374258</v>
      </c>
      <c r="Y483" s="705"/>
    </row>
    <row r="484" spans="2:25">
      <c r="B484" t="s">
        <v>538</v>
      </c>
      <c r="C484" t="s">
        <v>108</v>
      </c>
      <c r="D484" t="s">
        <v>583</v>
      </c>
      <c r="E484" t="s">
        <v>583</v>
      </c>
      <c r="F484">
        <v>103</v>
      </c>
      <c r="G484" s="705">
        <v>11890</v>
      </c>
      <c r="H484" s="705">
        <v>5899</v>
      </c>
      <c r="I484" s="705">
        <v>189778</v>
      </c>
      <c r="J484" s="705">
        <v>172525</v>
      </c>
      <c r="K484">
        <v>98</v>
      </c>
      <c r="L484" s="705">
        <v>29921</v>
      </c>
      <c r="M484" s="705">
        <v>26897</v>
      </c>
      <c r="N484" s="705">
        <v>147076</v>
      </c>
      <c r="O484" s="705">
        <v>54473</v>
      </c>
      <c r="P484" s="705">
        <v>63896</v>
      </c>
      <c r="Q484" s="705">
        <v>23665</v>
      </c>
      <c r="R484" s="705">
        <v>251378</v>
      </c>
      <c r="S484" s="705">
        <v>228526</v>
      </c>
      <c r="T484" s="705">
        <v>0</v>
      </c>
      <c r="U484" s="705">
        <v>0</v>
      </c>
      <c r="V484" s="705">
        <v>506085</v>
      </c>
      <c r="W484" s="705">
        <f t="shared" si="34"/>
        <v>506086</v>
      </c>
      <c r="X484" s="705">
        <f t="shared" si="35"/>
        <v>682049</v>
      </c>
      <c r="Y484" s="705"/>
    </row>
    <row r="485" spans="2:25">
      <c r="B485" t="s">
        <v>538</v>
      </c>
      <c r="C485" t="s">
        <v>110</v>
      </c>
      <c r="D485" t="s">
        <v>228</v>
      </c>
      <c r="E485" t="s">
        <v>228</v>
      </c>
      <c r="F485">
        <v>10</v>
      </c>
      <c r="G485" s="705">
        <v>844</v>
      </c>
      <c r="H485" s="705">
        <v>921</v>
      </c>
      <c r="I485" s="705">
        <v>18960</v>
      </c>
      <c r="J485" s="705">
        <v>7022</v>
      </c>
      <c r="K485">
        <v>369</v>
      </c>
      <c r="L485" s="705">
        <v>5924</v>
      </c>
      <c r="M485" s="705">
        <v>5386</v>
      </c>
      <c r="N485" s="705">
        <v>12727</v>
      </c>
      <c r="O485" s="705">
        <v>4714</v>
      </c>
      <c r="P485" s="705">
        <v>3861</v>
      </c>
      <c r="Q485" s="705">
        <v>1430</v>
      </c>
      <c r="R485" s="705">
        <v>34140</v>
      </c>
      <c r="S485" s="705">
        <v>12645</v>
      </c>
      <c r="T485" s="705">
        <v>0</v>
      </c>
      <c r="U485" s="705">
        <v>0</v>
      </c>
      <c r="V485" s="705">
        <v>31196</v>
      </c>
      <c r="W485" s="705">
        <f t="shared" si="34"/>
        <v>31197</v>
      </c>
      <c r="X485" s="705">
        <f t="shared" si="35"/>
        <v>75612</v>
      </c>
      <c r="Y485" s="705"/>
    </row>
    <row r="486" spans="2:25">
      <c r="B486" t="s">
        <v>538</v>
      </c>
      <c r="C486" t="s">
        <v>110</v>
      </c>
      <c r="D486" t="s">
        <v>583</v>
      </c>
      <c r="E486" t="s">
        <v>583</v>
      </c>
      <c r="F486">
        <v>33</v>
      </c>
      <c r="G486" s="705">
        <v>3030</v>
      </c>
      <c r="H486" s="705">
        <v>3082</v>
      </c>
      <c r="I486" s="705">
        <v>125942</v>
      </c>
      <c r="J486" s="705">
        <v>114493</v>
      </c>
      <c r="K486">
        <v>93</v>
      </c>
      <c r="L486" s="705">
        <v>23020</v>
      </c>
      <c r="M486" s="705">
        <v>20928</v>
      </c>
      <c r="N486" s="705">
        <v>40221</v>
      </c>
      <c r="O486" s="705">
        <v>14896</v>
      </c>
      <c r="P486" s="705">
        <v>20493</v>
      </c>
      <c r="Q486" s="705">
        <v>7590</v>
      </c>
      <c r="R486" s="705">
        <v>73528</v>
      </c>
      <c r="S486" s="705">
        <v>66844</v>
      </c>
      <c r="T486" s="705">
        <v>0</v>
      </c>
      <c r="U486" s="705">
        <v>0</v>
      </c>
      <c r="V486" s="705">
        <v>224751</v>
      </c>
      <c r="W486" s="705">
        <f t="shared" si="34"/>
        <v>224751</v>
      </c>
      <c r="X486" s="705">
        <f t="shared" si="35"/>
        <v>283204</v>
      </c>
      <c r="Y486" s="705"/>
    </row>
    <row r="487" spans="2:25">
      <c r="B487" t="s">
        <v>538</v>
      </c>
      <c r="C487" t="s">
        <v>112</v>
      </c>
      <c r="D487" t="s">
        <v>664</v>
      </c>
      <c r="E487" t="s">
        <v>664</v>
      </c>
      <c r="F487">
        <v>1</v>
      </c>
      <c r="G487">
        <v>108</v>
      </c>
      <c r="H487" s="705">
        <v>110</v>
      </c>
      <c r="I487" s="705">
        <v>5964</v>
      </c>
      <c r="J487" s="705">
        <v>5422</v>
      </c>
      <c r="K487">
        <v>93</v>
      </c>
      <c r="L487" s="705">
        <v>0</v>
      </c>
      <c r="M487" s="705">
        <v>0</v>
      </c>
      <c r="N487" s="705">
        <v>2620</v>
      </c>
      <c r="O487" s="705">
        <v>970</v>
      </c>
      <c r="P487" s="705">
        <v>473</v>
      </c>
      <c r="Q487">
        <v>175</v>
      </c>
      <c r="R487" s="705">
        <v>2772</v>
      </c>
      <c r="S487" s="705">
        <v>2520</v>
      </c>
      <c r="T487" s="705">
        <v>0</v>
      </c>
      <c r="U487" s="705">
        <v>0</v>
      </c>
      <c r="V487" s="705">
        <v>9087</v>
      </c>
      <c r="W487" s="705">
        <f t="shared" si="34"/>
        <v>9087</v>
      </c>
      <c r="X487" s="705">
        <f t="shared" si="35"/>
        <v>11829</v>
      </c>
      <c r="Y487" s="705"/>
    </row>
    <row r="488" spans="2:25">
      <c r="B488" t="s">
        <v>538</v>
      </c>
      <c r="C488" t="s">
        <v>112</v>
      </c>
      <c r="D488" t="s">
        <v>582</v>
      </c>
      <c r="E488" t="s">
        <v>582</v>
      </c>
      <c r="F488" s="705">
        <v>1</v>
      </c>
      <c r="G488" s="705">
        <v>107</v>
      </c>
      <c r="H488" s="705">
        <v>123</v>
      </c>
      <c r="I488" s="705">
        <v>5960</v>
      </c>
      <c r="J488" s="705">
        <v>5418</v>
      </c>
      <c r="K488">
        <v>92</v>
      </c>
      <c r="L488" s="705">
        <v>1110</v>
      </c>
      <c r="M488" s="705">
        <v>1009</v>
      </c>
      <c r="N488" s="705">
        <v>1429</v>
      </c>
      <c r="O488" s="705">
        <v>529</v>
      </c>
      <c r="P488" s="705">
        <v>824</v>
      </c>
      <c r="Q488" s="705">
        <v>305</v>
      </c>
      <c r="R488" s="705">
        <v>3791</v>
      </c>
      <c r="S488" s="705">
        <v>3446</v>
      </c>
      <c r="T488" s="705">
        <v>0</v>
      </c>
      <c r="U488" s="705">
        <v>0</v>
      </c>
      <c r="V488" s="705">
        <v>10708</v>
      </c>
      <c r="W488" s="705">
        <f t="shared" si="34"/>
        <v>10707</v>
      </c>
      <c r="X488" s="705">
        <f t="shared" si="35"/>
        <v>13114</v>
      </c>
      <c r="Y488" s="705"/>
    </row>
    <row r="489" spans="2:25">
      <c r="B489" t="s">
        <v>538</v>
      </c>
      <c r="C489" t="s">
        <v>112</v>
      </c>
      <c r="D489" t="s">
        <v>228</v>
      </c>
      <c r="E489" t="s">
        <v>228</v>
      </c>
      <c r="F489" s="705">
        <v>6</v>
      </c>
      <c r="G489" s="705">
        <v>784</v>
      </c>
      <c r="H489" s="705">
        <v>665</v>
      </c>
      <c r="I489" s="705">
        <v>28174</v>
      </c>
      <c r="J489" s="705">
        <v>10435</v>
      </c>
      <c r="K489">
        <v>350</v>
      </c>
      <c r="L489" s="705">
        <v>8583</v>
      </c>
      <c r="M489" s="705">
        <v>7064</v>
      </c>
      <c r="N489" s="705">
        <v>13834</v>
      </c>
      <c r="O489" s="705">
        <v>5124</v>
      </c>
      <c r="P489" s="705">
        <v>3078</v>
      </c>
      <c r="Q489" s="705">
        <v>1140</v>
      </c>
      <c r="R489" s="705">
        <v>30435</v>
      </c>
      <c r="S489" s="705">
        <v>11272</v>
      </c>
      <c r="T489" s="705">
        <v>2673</v>
      </c>
      <c r="U489" s="705">
        <v>990</v>
      </c>
      <c r="V489" s="705">
        <v>36024</v>
      </c>
      <c r="W489" s="705">
        <f t="shared" si="34"/>
        <v>36025</v>
      </c>
      <c r="X489" s="705">
        <f t="shared" si="35"/>
        <v>86777</v>
      </c>
      <c r="Y489" s="705"/>
    </row>
    <row r="490" spans="2:25">
      <c r="B490" t="s">
        <v>538</v>
      </c>
      <c r="C490" t="s">
        <v>112</v>
      </c>
      <c r="D490" t="s">
        <v>583</v>
      </c>
      <c r="E490" t="s">
        <v>583</v>
      </c>
      <c r="F490">
        <v>82</v>
      </c>
      <c r="G490" s="705">
        <v>8919</v>
      </c>
      <c r="H490" s="705">
        <v>9652</v>
      </c>
      <c r="I490" s="705">
        <v>470157</v>
      </c>
      <c r="J490" s="705">
        <v>427416</v>
      </c>
      <c r="K490">
        <v>93</v>
      </c>
      <c r="L490" s="705">
        <v>83171</v>
      </c>
      <c r="M490" s="705">
        <v>73737</v>
      </c>
      <c r="N490" s="705">
        <v>146954</v>
      </c>
      <c r="O490" s="705">
        <v>54427</v>
      </c>
      <c r="P490" s="705">
        <v>56538</v>
      </c>
      <c r="Q490" s="705">
        <v>20940</v>
      </c>
      <c r="R490" s="705">
        <v>289780</v>
      </c>
      <c r="S490" s="705">
        <v>263436</v>
      </c>
      <c r="T490" s="705">
        <v>2840</v>
      </c>
      <c r="U490" s="705">
        <v>1052</v>
      </c>
      <c r="V490" s="705">
        <v>841008</v>
      </c>
      <c r="W490" s="705">
        <f t="shared" si="34"/>
        <v>841008</v>
      </c>
      <c r="X490" s="705">
        <f t="shared" si="35"/>
        <v>1049440</v>
      </c>
      <c r="Y490" s="705"/>
    </row>
    <row r="491" spans="2:25">
      <c r="B491" t="s">
        <v>538</v>
      </c>
      <c r="C491" t="s">
        <v>114</v>
      </c>
      <c r="D491" t="s">
        <v>582</v>
      </c>
      <c r="E491" t="s">
        <v>582</v>
      </c>
      <c r="F491" s="705">
        <v>20</v>
      </c>
      <c r="G491" s="705">
        <v>2080</v>
      </c>
      <c r="H491" s="705">
        <v>2826</v>
      </c>
      <c r="I491" s="705">
        <v>160822</v>
      </c>
      <c r="J491" s="705">
        <v>146202</v>
      </c>
      <c r="K491">
        <v>89</v>
      </c>
      <c r="L491" s="705">
        <v>32968</v>
      </c>
      <c r="M491" s="705">
        <v>29971</v>
      </c>
      <c r="N491" s="705">
        <v>30947</v>
      </c>
      <c r="O491" s="705">
        <v>11462</v>
      </c>
      <c r="P491" s="705">
        <v>9450</v>
      </c>
      <c r="Q491" s="705">
        <v>3500</v>
      </c>
      <c r="R491" s="705">
        <v>54677</v>
      </c>
      <c r="S491" s="705">
        <v>49707</v>
      </c>
      <c r="T491" s="705">
        <v>2029</v>
      </c>
      <c r="U491" s="705">
        <v>752</v>
      </c>
      <c r="V491" s="705">
        <v>241593</v>
      </c>
      <c r="W491" s="705">
        <f t="shared" si="34"/>
        <v>241594</v>
      </c>
      <c r="X491" s="705">
        <f t="shared" si="35"/>
        <v>290893</v>
      </c>
      <c r="Y491" s="705"/>
    </row>
    <row r="492" spans="2:25">
      <c r="B492" t="s">
        <v>538</v>
      </c>
      <c r="C492" t="s">
        <v>114</v>
      </c>
      <c r="D492" t="s">
        <v>583</v>
      </c>
      <c r="E492" t="s">
        <v>583</v>
      </c>
      <c r="F492">
        <v>460</v>
      </c>
      <c r="G492" s="705">
        <v>49311</v>
      </c>
      <c r="H492" s="705">
        <v>64747</v>
      </c>
      <c r="I492" s="705">
        <v>3205666</v>
      </c>
      <c r="J492" s="705">
        <v>2914242</v>
      </c>
      <c r="K492">
        <v>91</v>
      </c>
      <c r="L492" s="705">
        <v>658932</v>
      </c>
      <c r="M492" s="705">
        <v>588232</v>
      </c>
      <c r="N492" s="705">
        <v>907162</v>
      </c>
      <c r="O492" s="705">
        <v>335986</v>
      </c>
      <c r="P492" s="705">
        <v>292329</v>
      </c>
      <c r="Q492" s="705">
        <v>108270</v>
      </c>
      <c r="R492" s="705">
        <v>1906113</v>
      </c>
      <c r="S492" s="705">
        <v>1732830</v>
      </c>
      <c r="T492" s="705">
        <v>52377</v>
      </c>
      <c r="U492" s="705">
        <v>19399</v>
      </c>
      <c r="V492" s="705">
        <v>5698959</v>
      </c>
      <c r="W492" s="705">
        <f t="shared" si="34"/>
        <v>5698959</v>
      </c>
      <c r="X492" s="705">
        <f t="shared" si="35"/>
        <v>7022579</v>
      </c>
      <c r="Y492" s="705"/>
    </row>
    <row r="493" spans="2:25">
      <c r="B493" t="s">
        <v>538</v>
      </c>
      <c r="C493" t="s">
        <v>114</v>
      </c>
      <c r="D493" t="s">
        <v>584</v>
      </c>
      <c r="E493" t="s">
        <v>584</v>
      </c>
      <c r="F493">
        <v>2</v>
      </c>
      <c r="G493">
        <v>211</v>
      </c>
      <c r="H493">
        <v>294</v>
      </c>
      <c r="I493" s="705">
        <v>10381</v>
      </c>
      <c r="J493" s="705">
        <v>9438</v>
      </c>
      <c r="K493">
        <v>77</v>
      </c>
      <c r="L493" s="705">
        <v>2807</v>
      </c>
      <c r="M493" s="705">
        <v>2552</v>
      </c>
      <c r="N493" s="705">
        <v>4886</v>
      </c>
      <c r="O493" s="705">
        <v>1809</v>
      </c>
      <c r="P493">
        <v>945</v>
      </c>
      <c r="Q493">
        <v>350</v>
      </c>
      <c r="R493" s="705">
        <v>9380</v>
      </c>
      <c r="S493" s="705">
        <v>8527</v>
      </c>
      <c r="T493" s="705">
        <v>2667</v>
      </c>
      <c r="U493">
        <v>988</v>
      </c>
      <c r="V493" s="705">
        <v>23664</v>
      </c>
      <c r="W493" s="705">
        <f t="shared" si="34"/>
        <v>23664</v>
      </c>
      <c r="X493" s="705">
        <f t="shared" si="35"/>
        <v>31066</v>
      </c>
      <c r="Y493" s="705"/>
    </row>
    <row r="494" spans="2:25">
      <c r="B494" t="s">
        <v>538</v>
      </c>
      <c r="C494" t="s">
        <v>116</v>
      </c>
      <c r="D494" t="s">
        <v>664</v>
      </c>
      <c r="E494" t="s">
        <v>664</v>
      </c>
      <c r="F494">
        <v>6</v>
      </c>
      <c r="G494">
        <v>541</v>
      </c>
      <c r="H494" s="705">
        <v>1091</v>
      </c>
      <c r="I494" s="705">
        <v>53030</v>
      </c>
      <c r="J494" s="705">
        <v>48209</v>
      </c>
      <c r="K494">
        <v>90</v>
      </c>
      <c r="L494" s="705">
        <v>10157</v>
      </c>
      <c r="M494" s="705">
        <v>6957</v>
      </c>
      <c r="N494" s="705">
        <v>11978</v>
      </c>
      <c r="O494" s="705">
        <v>4436</v>
      </c>
      <c r="P494" s="705">
        <v>2835</v>
      </c>
      <c r="Q494" s="705">
        <v>1050</v>
      </c>
      <c r="R494" s="705">
        <v>18810</v>
      </c>
      <c r="S494" s="705">
        <v>17100</v>
      </c>
      <c r="T494" s="705">
        <v>0</v>
      </c>
      <c r="U494">
        <v>0</v>
      </c>
      <c r="V494" s="705">
        <v>77753</v>
      </c>
      <c r="W494" s="705">
        <f t="shared" si="34"/>
        <v>77752</v>
      </c>
      <c r="X494" s="705">
        <f t="shared" si="35"/>
        <v>96810</v>
      </c>
      <c r="Y494" s="705"/>
    </row>
    <row r="495" spans="2:25">
      <c r="B495" t="s">
        <v>538</v>
      </c>
      <c r="C495" t="s">
        <v>116</v>
      </c>
      <c r="D495" t="s">
        <v>582</v>
      </c>
      <c r="E495" t="s">
        <v>664</v>
      </c>
      <c r="F495">
        <v>1</v>
      </c>
      <c r="G495" s="705">
        <v>88</v>
      </c>
      <c r="H495" s="705">
        <v>225</v>
      </c>
      <c r="I495" s="705">
        <v>9393</v>
      </c>
      <c r="J495" s="705">
        <v>8539</v>
      </c>
      <c r="K495">
        <v>92</v>
      </c>
      <c r="L495" s="705">
        <v>1662</v>
      </c>
      <c r="M495" s="705">
        <v>1511</v>
      </c>
      <c r="N495" s="705">
        <v>1076</v>
      </c>
      <c r="O495" s="705">
        <v>399</v>
      </c>
      <c r="P495" s="705">
        <v>621</v>
      </c>
      <c r="Q495" s="705">
        <v>230</v>
      </c>
      <c r="R495" s="705">
        <v>7115</v>
      </c>
      <c r="S495" s="705">
        <v>6468</v>
      </c>
      <c r="T495" s="705">
        <v>0</v>
      </c>
      <c r="U495" s="705">
        <v>0</v>
      </c>
      <c r="V495" s="705">
        <v>17146</v>
      </c>
      <c r="W495" s="705">
        <f t="shared" si="34"/>
        <v>17147</v>
      </c>
      <c r="X495" s="705">
        <f t="shared" si="35"/>
        <v>19867</v>
      </c>
      <c r="Y495" s="705"/>
    </row>
    <row r="496" spans="2:25">
      <c r="B496" t="s">
        <v>538</v>
      </c>
      <c r="C496" t="s">
        <v>116</v>
      </c>
      <c r="D496" t="s">
        <v>582</v>
      </c>
      <c r="E496" t="s">
        <v>582</v>
      </c>
      <c r="F496">
        <v>84</v>
      </c>
      <c r="G496" s="705">
        <v>7868</v>
      </c>
      <c r="H496" s="705">
        <v>15456</v>
      </c>
      <c r="I496" s="705">
        <v>807845</v>
      </c>
      <c r="J496" s="705">
        <v>734405</v>
      </c>
      <c r="K496">
        <v>82</v>
      </c>
      <c r="L496" s="705">
        <v>168104</v>
      </c>
      <c r="M496" s="705">
        <v>142744</v>
      </c>
      <c r="N496" s="705">
        <v>155162</v>
      </c>
      <c r="O496" s="705">
        <v>57467</v>
      </c>
      <c r="P496" s="705">
        <v>39623</v>
      </c>
      <c r="Q496" s="705">
        <v>14675</v>
      </c>
      <c r="R496" s="705">
        <v>280133</v>
      </c>
      <c r="S496" s="705">
        <v>254666</v>
      </c>
      <c r="T496" s="705">
        <v>22550</v>
      </c>
      <c r="U496" s="705">
        <v>8352</v>
      </c>
      <c r="V496" s="705">
        <v>1212310</v>
      </c>
      <c r="W496" s="705">
        <f t="shared" si="34"/>
        <v>1212309</v>
      </c>
      <c r="X496" s="705">
        <f t="shared" si="35"/>
        <v>1473417</v>
      </c>
      <c r="Y496" s="705"/>
    </row>
    <row r="497" spans="2:25">
      <c r="B497" t="s">
        <v>538</v>
      </c>
      <c r="C497" t="s">
        <v>116</v>
      </c>
      <c r="D497" t="s">
        <v>582</v>
      </c>
      <c r="E497" t="s">
        <v>665</v>
      </c>
      <c r="F497">
        <v>1</v>
      </c>
      <c r="G497" s="705">
        <v>99</v>
      </c>
      <c r="H497" s="705">
        <v>171</v>
      </c>
      <c r="I497" s="705">
        <v>11146</v>
      </c>
      <c r="J497" s="705">
        <v>10132</v>
      </c>
      <c r="K497">
        <v>89</v>
      </c>
      <c r="L497" s="705">
        <v>0</v>
      </c>
      <c r="M497" s="705">
        <v>3164</v>
      </c>
      <c r="N497" s="705">
        <v>2411</v>
      </c>
      <c r="O497" s="705">
        <v>893</v>
      </c>
      <c r="P497" s="705">
        <v>473</v>
      </c>
      <c r="Q497">
        <v>175</v>
      </c>
      <c r="R497" s="705">
        <v>2884</v>
      </c>
      <c r="S497" s="705">
        <v>2622</v>
      </c>
      <c r="T497" s="705">
        <v>0</v>
      </c>
      <c r="U497" s="705">
        <v>0</v>
      </c>
      <c r="V497" s="705">
        <v>16986</v>
      </c>
      <c r="W497" s="705">
        <f t="shared" si="34"/>
        <v>16986</v>
      </c>
      <c r="X497" s="705">
        <f t="shared" si="35"/>
        <v>16914</v>
      </c>
      <c r="Y497" s="705"/>
    </row>
    <row r="498" spans="2:25">
      <c r="B498" t="s">
        <v>538</v>
      </c>
      <c r="C498" t="s">
        <v>116</v>
      </c>
      <c r="D498" t="s">
        <v>228</v>
      </c>
      <c r="E498" t="s">
        <v>228</v>
      </c>
      <c r="F498">
        <v>21</v>
      </c>
      <c r="G498" s="705">
        <v>2572</v>
      </c>
      <c r="H498" s="705">
        <v>4205</v>
      </c>
      <c r="I498" s="705">
        <v>259704</v>
      </c>
      <c r="J498" s="705">
        <v>96187</v>
      </c>
      <c r="K498">
        <v>114</v>
      </c>
      <c r="L498" s="705">
        <v>54084</v>
      </c>
      <c r="M498" s="705">
        <v>44446</v>
      </c>
      <c r="N498" s="705">
        <v>54976</v>
      </c>
      <c r="O498" s="705">
        <v>20361</v>
      </c>
      <c r="P498" s="705">
        <v>2370</v>
      </c>
      <c r="Q498" s="705">
        <v>878</v>
      </c>
      <c r="R498" s="705">
        <v>160075</v>
      </c>
      <c r="S498" s="705">
        <v>59287</v>
      </c>
      <c r="T498" s="705">
        <v>0</v>
      </c>
      <c r="U498" s="705">
        <v>0</v>
      </c>
      <c r="V498" s="705">
        <v>221160</v>
      </c>
      <c r="W498" s="705">
        <f t="shared" si="34"/>
        <v>221159</v>
      </c>
      <c r="X498" s="705">
        <f t="shared" si="35"/>
        <v>531209</v>
      </c>
      <c r="Y498" s="705"/>
    </row>
    <row r="499" spans="2:25">
      <c r="B499" t="s">
        <v>538</v>
      </c>
      <c r="C499" t="s">
        <v>116</v>
      </c>
      <c r="D499" t="s">
        <v>583</v>
      </c>
      <c r="E499" t="s">
        <v>664</v>
      </c>
      <c r="F499">
        <v>2</v>
      </c>
      <c r="G499">
        <v>226</v>
      </c>
      <c r="H499" s="705">
        <v>390</v>
      </c>
      <c r="I499" s="705">
        <v>20227</v>
      </c>
      <c r="J499" s="705">
        <v>18388</v>
      </c>
      <c r="K499">
        <v>82</v>
      </c>
      <c r="L499" s="705">
        <v>4967</v>
      </c>
      <c r="M499" s="705">
        <v>4516</v>
      </c>
      <c r="N499" s="705">
        <v>5174</v>
      </c>
      <c r="O499" s="705">
        <v>1916</v>
      </c>
      <c r="P499" s="705">
        <v>1242</v>
      </c>
      <c r="Q499">
        <v>460</v>
      </c>
      <c r="R499" s="705">
        <v>9878</v>
      </c>
      <c r="S499" s="705">
        <v>8980</v>
      </c>
      <c r="T499" s="705">
        <v>3178</v>
      </c>
      <c r="U499" s="705">
        <v>1177</v>
      </c>
      <c r="V499" s="705">
        <v>35438</v>
      </c>
      <c r="W499" s="705">
        <f t="shared" si="34"/>
        <v>35437</v>
      </c>
      <c r="X499" s="705">
        <f t="shared" si="35"/>
        <v>44666</v>
      </c>
      <c r="Y499" s="705"/>
    </row>
    <row r="500" spans="2:25">
      <c r="B500" t="s">
        <v>538</v>
      </c>
      <c r="C500" t="s">
        <v>116</v>
      </c>
      <c r="D500" t="s">
        <v>583</v>
      </c>
      <c r="E500" t="s">
        <v>228</v>
      </c>
      <c r="F500">
        <v>6</v>
      </c>
      <c r="G500" s="705">
        <v>727</v>
      </c>
      <c r="H500" s="705">
        <v>1214</v>
      </c>
      <c r="I500" s="705">
        <v>66698</v>
      </c>
      <c r="J500" s="705">
        <v>60635</v>
      </c>
      <c r="K500">
        <v>85</v>
      </c>
      <c r="L500" s="705">
        <v>20540</v>
      </c>
      <c r="M500" s="705">
        <v>18112</v>
      </c>
      <c r="N500" s="705">
        <v>15252</v>
      </c>
      <c r="O500" s="705">
        <v>5649</v>
      </c>
      <c r="P500" s="705">
        <v>3726</v>
      </c>
      <c r="Q500" s="705">
        <v>1380</v>
      </c>
      <c r="R500" s="705">
        <v>41250</v>
      </c>
      <c r="S500" s="705">
        <v>15278</v>
      </c>
      <c r="T500" s="705">
        <v>0</v>
      </c>
      <c r="U500" s="705">
        <v>0</v>
      </c>
      <c r="V500" s="705">
        <v>101054</v>
      </c>
      <c r="W500" s="705">
        <f t="shared" si="34"/>
        <v>101054</v>
      </c>
      <c r="X500" s="705">
        <f t="shared" si="35"/>
        <v>147466</v>
      </c>
      <c r="Y500" s="705"/>
    </row>
    <row r="501" spans="2:25">
      <c r="B501" t="s">
        <v>538</v>
      </c>
      <c r="C501" t="s">
        <v>116</v>
      </c>
      <c r="D501" t="s">
        <v>583</v>
      </c>
      <c r="E501" t="s">
        <v>583</v>
      </c>
      <c r="F501" s="705">
        <v>4468</v>
      </c>
      <c r="G501" s="705">
        <v>449556</v>
      </c>
      <c r="H501" s="705">
        <v>844168</v>
      </c>
      <c r="I501" s="705">
        <v>39547320</v>
      </c>
      <c r="J501" s="705">
        <v>35952109</v>
      </c>
      <c r="K501">
        <v>85</v>
      </c>
      <c r="L501" s="705">
        <v>9974614</v>
      </c>
      <c r="M501" s="705">
        <v>8812129</v>
      </c>
      <c r="N501" s="705">
        <v>8967302</v>
      </c>
      <c r="O501" s="705">
        <v>3321223</v>
      </c>
      <c r="P501" s="705">
        <v>2828073</v>
      </c>
      <c r="Q501" s="705">
        <v>1047434</v>
      </c>
      <c r="R501" s="705">
        <v>19590112</v>
      </c>
      <c r="S501" s="705">
        <v>17809192</v>
      </c>
      <c r="T501" s="705">
        <v>4645887</v>
      </c>
      <c r="U501" s="705">
        <v>1720699</v>
      </c>
      <c r="V501" s="705">
        <v>68662786</v>
      </c>
      <c r="W501" s="705">
        <f t="shared" si="34"/>
        <v>68662786</v>
      </c>
      <c r="X501" s="705">
        <f t="shared" si="35"/>
        <v>85553308</v>
      </c>
      <c r="Y501" s="705"/>
    </row>
    <row r="502" spans="2:25">
      <c r="B502" t="s">
        <v>538</v>
      </c>
      <c r="C502" t="s">
        <v>116</v>
      </c>
      <c r="D502" t="s">
        <v>583</v>
      </c>
      <c r="E502" t="s">
        <v>666</v>
      </c>
      <c r="F502">
        <v>3</v>
      </c>
      <c r="G502">
        <v>343</v>
      </c>
      <c r="H502" s="705">
        <v>473</v>
      </c>
      <c r="I502" s="705">
        <v>27263</v>
      </c>
      <c r="J502" s="705">
        <v>24784</v>
      </c>
      <c r="K502">
        <v>85</v>
      </c>
      <c r="L502" s="705">
        <v>3910</v>
      </c>
      <c r="M502" s="705">
        <v>3555</v>
      </c>
      <c r="N502" s="705">
        <v>6129</v>
      </c>
      <c r="O502" s="705">
        <v>2270</v>
      </c>
      <c r="P502" s="705">
        <v>1863</v>
      </c>
      <c r="Q502" s="705">
        <v>690</v>
      </c>
      <c r="R502" s="705">
        <v>12427</v>
      </c>
      <c r="S502" s="705">
        <v>11297</v>
      </c>
      <c r="T502" s="705">
        <v>2604</v>
      </c>
      <c r="U502" s="705">
        <v>964</v>
      </c>
      <c r="V502" s="705">
        <v>43560</v>
      </c>
      <c r="W502" s="705">
        <f t="shared" si="34"/>
        <v>43560</v>
      </c>
      <c r="X502" s="705">
        <f t="shared" si="35"/>
        <v>54196</v>
      </c>
      <c r="Y502" s="705"/>
    </row>
    <row r="503" spans="2:25">
      <c r="B503" t="s">
        <v>538</v>
      </c>
      <c r="C503" t="s">
        <v>116</v>
      </c>
      <c r="D503" t="s">
        <v>583</v>
      </c>
      <c r="E503" t="s">
        <v>665</v>
      </c>
      <c r="F503">
        <v>1</v>
      </c>
      <c r="G503" s="705">
        <v>117</v>
      </c>
      <c r="H503" s="705">
        <v>186</v>
      </c>
      <c r="I503" s="705">
        <v>11552</v>
      </c>
      <c r="J503" s="705">
        <v>10502</v>
      </c>
      <c r="K503">
        <v>86</v>
      </c>
      <c r="L503" s="705">
        <v>1900</v>
      </c>
      <c r="M503" s="705">
        <v>1727</v>
      </c>
      <c r="N503" s="705">
        <v>1574</v>
      </c>
      <c r="O503" s="705">
        <v>583</v>
      </c>
      <c r="P503" s="705">
        <v>621</v>
      </c>
      <c r="Q503" s="705">
        <v>230</v>
      </c>
      <c r="R503" s="705">
        <v>3420</v>
      </c>
      <c r="S503" s="705">
        <v>3109</v>
      </c>
      <c r="T503" s="705">
        <v>2822</v>
      </c>
      <c r="U503" s="705">
        <v>1045</v>
      </c>
      <c r="V503" s="705">
        <v>17196</v>
      </c>
      <c r="W503" s="705">
        <f t="shared" si="34"/>
        <v>17196</v>
      </c>
      <c r="X503" s="705">
        <f t="shared" si="35"/>
        <v>21889</v>
      </c>
      <c r="Y503" s="705"/>
    </row>
    <row r="504" spans="2:25">
      <c r="B504" t="s">
        <v>538</v>
      </c>
      <c r="C504" t="s">
        <v>116</v>
      </c>
      <c r="D504" t="s">
        <v>666</v>
      </c>
      <c r="E504" t="s">
        <v>666</v>
      </c>
      <c r="F504">
        <v>2</v>
      </c>
      <c r="G504" s="705">
        <v>254</v>
      </c>
      <c r="H504" s="705">
        <v>403</v>
      </c>
      <c r="I504" s="705">
        <v>28757</v>
      </c>
      <c r="J504" s="705">
        <v>26142</v>
      </c>
      <c r="K504">
        <v>65</v>
      </c>
      <c r="L504" s="705">
        <v>3265</v>
      </c>
      <c r="M504" s="705">
        <v>6182</v>
      </c>
      <c r="N504" s="705">
        <v>3858</v>
      </c>
      <c r="O504" s="705">
        <v>1429</v>
      </c>
      <c r="P504" s="705">
        <v>702</v>
      </c>
      <c r="Q504" s="705">
        <v>260</v>
      </c>
      <c r="R504" s="705">
        <v>11793</v>
      </c>
      <c r="S504" s="705">
        <v>10721</v>
      </c>
      <c r="T504" s="705">
        <v>2995</v>
      </c>
      <c r="U504" s="705">
        <v>1109</v>
      </c>
      <c r="V504" s="705">
        <v>45844</v>
      </c>
      <c r="W504" s="705">
        <f t="shared" si="34"/>
        <v>45843</v>
      </c>
      <c r="X504" s="705">
        <f t="shared" si="35"/>
        <v>51370</v>
      </c>
      <c r="Y504" s="705"/>
    </row>
    <row r="505" spans="2:25">
      <c r="B505" t="s">
        <v>538</v>
      </c>
      <c r="C505" t="s">
        <v>116</v>
      </c>
      <c r="D505" t="s">
        <v>584</v>
      </c>
      <c r="E505" t="s">
        <v>584</v>
      </c>
      <c r="F505">
        <v>12</v>
      </c>
      <c r="G505" s="705">
        <v>1174</v>
      </c>
      <c r="H505" s="705">
        <v>2142</v>
      </c>
      <c r="I505" s="705">
        <v>100633</v>
      </c>
      <c r="J505" s="705">
        <v>91484</v>
      </c>
      <c r="K505">
        <v>81</v>
      </c>
      <c r="L505" s="705">
        <v>25176</v>
      </c>
      <c r="M505" s="705">
        <v>22621</v>
      </c>
      <c r="N505" s="705">
        <v>26082</v>
      </c>
      <c r="O505" s="705">
        <v>9660</v>
      </c>
      <c r="P505" s="705">
        <v>5670</v>
      </c>
      <c r="Q505" s="705">
        <v>2100</v>
      </c>
      <c r="R505" s="705">
        <v>52428</v>
      </c>
      <c r="S505" s="705">
        <v>47661</v>
      </c>
      <c r="T505" s="705">
        <v>6034</v>
      </c>
      <c r="U505" s="705">
        <v>2235</v>
      </c>
      <c r="V505" s="705">
        <v>175762</v>
      </c>
      <c r="W505" s="705">
        <f t="shared" si="34"/>
        <v>175761</v>
      </c>
      <c r="X505" s="705">
        <f t="shared" si="35"/>
        <v>216023</v>
      </c>
      <c r="Y505" s="705"/>
    </row>
    <row r="506" spans="2:25">
      <c r="B506" t="s">
        <v>538</v>
      </c>
      <c r="C506" t="s">
        <v>116</v>
      </c>
      <c r="D506" t="s">
        <v>665</v>
      </c>
      <c r="E506" t="s">
        <v>665</v>
      </c>
      <c r="F506">
        <v>7</v>
      </c>
      <c r="G506" s="705">
        <v>637</v>
      </c>
      <c r="H506" s="705">
        <v>1473</v>
      </c>
      <c r="I506" s="705">
        <v>67126</v>
      </c>
      <c r="J506" s="705">
        <v>61023</v>
      </c>
      <c r="K506">
        <v>67</v>
      </c>
      <c r="L506" s="705">
        <v>8051</v>
      </c>
      <c r="M506" s="705">
        <v>6818</v>
      </c>
      <c r="N506" s="705">
        <v>12202</v>
      </c>
      <c r="O506" s="705">
        <v>4519</v>
      </c>
      <c r="P506" s="705">
        <v>2727</v>
      </c>
      <c r="Q506" s="705">
        <v>1010</v>
      </c>
      <c r="R506" s="705">
        <v>28583</v>
      </c>
      <c r="S506" s="705">
        <v>25985</v>
      </c>
      <c r="T506" s="705">
        <v>14249</v>
      </c>
      <c r="U506" s="705">
        <v>5277</v>
      </c>
      <c r="V506" s="705">
        <v>104632</v>
      </c>
      <c r="W506" s="705">
        <f t="shared" si="34"/>
        <v>104632</v>
      </c>
      <c r="X506" s="705">
        <f t="shared" si="35"/>
        <v>132938</v>
      </c>
      <c r="Y506" s="705"/>
    </row>
    <row r="507" spans="2:25">
      <c r="B507" t="s">
        <v>538</v>
      </c>
      <c r="C507" t="s">
        <v>118</v>
      </c>
      <c r="F507">
        <v>21</v>
      </c>
      <c r="G507" s="705">
        <v>1321</v>
      </c>
      <c r="H507" s="705">
        <v>5250</v>
      </c>
      <c r="I507" s="705"/>
      <c r="J507" s="705">
        <v>0</v>
      </c>
      <c r="L507" s="705"/>
      <c r="M507" s="705">
        <v>0</v>
      </c>
      <c r="N507" s="705">
        <v>29639</v>
      </c>
      <c r="O507" s="705">
        <v>10977</v>
      </c>
      <c r="P507" s="705">
        <v>13446</v>
      </c>
      <c r="Q507" s="705">
        <v>4980</v>
      </c>
      <c r="R507" s="705"/>
      <c r="S507" s="705">
        <v>0</v>
      </c>
      <c r="T507" s="705">
        <v>0</v>
      </c>
      <c r="U507" s="705">
        <v>0</v>
      </c>
      <c r="V507" s="705">
        <v>15957</v>
      </c>
      <c r="W507" s="705">
        <f t="shared" si="34"/>
        <v>15957</v>
      </c>
      <c r="X507" s="705">
        <f t="shared" si="35"/>
        <v>43085</v>
      </c>
      <c r="Y507" s="705"/>
    </row>
    <row r="508" spans="2:25">
      <c r="B508" t="s">
        <v>538</v>
      </c>
      <c r="C508" t="s">
        <v>118</v>
      </c>
      <c r="D508" t="s">
        <v>664</v>
      </c>
      <c r="E508" t="s">
        <v>664</v>
      </c>
      <c r="F508">
        <v>1</v>
      </c>
      <c r="G508">
        <v>65</v>
      </c>
      <c r="H508" s="705">
        <v>279</v>
      </c>
      <c r="I508" s="705">
        <v>8598</v>
      </c>
      <c r="J508" s="705">
        <v>7816</v>
      </c>
      <c r="K508">
        <v>73</v>
      </c>
      <c r="L508" s="705">
        <v>2210</v>
      </c>
      <c r="M508" s="705">
        <v>2009</v>
      </c>
      <c r="N508" s="705">
        <v>1342</v>
      </c>
      <c r="O508" s="705">
        <v>497</v>
      </c>
      <c r="P508" s="705">
        <v>473</v>
      </c>
      <c r="Q508">
        <v>175</v>
      </c>
      <c r="R508" s="705">
        <v>5420</v>
      </c>
      <c r="S508" s="705">
        <v>4927</v>
      </c>
      <c r="T508" s="705">
        <v>0</v>
      </c>
      <c r="U508" s="705">
        <v>0</v>
      </c>
      <c r="V508" s="705">
        <v>15424</v>
      </c>
      <c r="W508" s="705">
        <f t="shared" si="34"/>
        <v>15424</v>
      </c>
      <c r="X508" s="705">
        <f t="shared" si="35"/>
        <v>18043</v>
      </c>
      <c r="Y508" s="705"/>
    </row>
    <row r="509" spans="2:25">
      <c r="B509" t="s">
        <v>538</v>
      </c>
      <c r="C509" t="s">
        <v>118</v>
      </c>
      <c r="D509" t="s">
        <v>664</v>
      </c>
      <c r="E509" t="s">
        <v>583</v>
      </c>
      <c r="F509">
        <v>2</v>
      </c>
      <c r="G509">
        <v>153</v>
      </c>
      <c r="H509">
        <v>478</v>
      </c>
      <c r="I509" s="705">
        <v>17005</v>
      </c>
      <c r="J509" s="705">
        <v>15459</v>
      </c>
      <c r="K509">
        <v>85</v>
      </c>
      <c r="L509" s="705">
        <v>4117</v>
      </c>
      <c r="M509" s="705">
        <v>3743</v>
      </c>
      <c r="N509" s="705">
        <v>2977</v>
      </c>
      <c r="O509" s="705">
        <v>1102</v>
      </c>
      <c r="P509" s="705">
        <v>1593</v>
      </c>
      <c r="Q509">
        <v>590</v>
      </c>
      <c r="R509" s="705">
        <v>6463</v>
      </c>
      <c r="S509" s="705">
        <v>5876</v>
      </c>
      <c r="T509" s="705">
        <v>4321</v>
      </c>
      <c r="U509" s="705">
        <v>1600</v>
      </c>
      <c r="V509" s="705">
        <v>28370</v>
      </c>
      <c r="W509" s="705">
        <f t="shared" si="34"/>
        <v>28370</v>
      </c>
      <c r="X509" s="705">
        <f t="shared" si="35"/>
        <v>36476</v>
      </c>
      <c r="Y509" s="705"/>
    </row>
    <row r="510" spans="2:25">
      <c r="B510" t="s">
        <v>538</v>
      </c>
      <c r="C510" t="s">
        <v>118</v>
      </c>
      <c r="D510" t="s">
        <v>582</v>
      </c>
      <c r="E510" t="s">
        <v>582</v>
      </c>
      <c r="F510">
        <v>35</v>
      </c>
      <c r="G510" s="705">
        <v>3167</v>
      </c>
      <c r="H510" s="705">
        <v>9232</v>
      </c>
      <c r="I510" s="705">
        <v>480760</v>
      </c>
      <c r="J510" s="705">
        <v>437054</v>
      </c>
      <c r="K510">
        <v>74</v>
      </c>
      <c r="L510" s="705">
        <v>125940</v>
      </c>
      <c r="M510" s="705">
        <v>112753</v>
      </c>
      <c r="N510" s="705">
        <v>72004</v>
      </c>
      <c r="O510" s="705">
        <v>26668</v>
      </c>
      <c r="P510" s="705">
        <v>16754</v>
      </c>
      <c r="Q510" s="705">
        <v>6205</v>
      </c>
      <c r="R510" s="705">
        <v>144141</v>
      </c>
      <c r="S510" s="705">
        <v>131037</v>
      </c>
      <c r="T510" s="705">
        <v>36253</v>
      </c>
      <c r="U510" s="705">
        <v>13427</v>
      </c>
      <c r="V510" s="705">
        <v>727145</v>
      </c>
      <c r="W510" s="705">
        <f t="shared" si="34"/>
        <v>727144</v>
      </c>
      <c r="X510" s="705">
        <f t="shared" si="35"/>
        <v>875852</v>
      </c>
      <c r="Y510" s="705"/>
    </row>
    <row r="511" spans="2:25">
      <c r="B511" t="s">
        <v>538</v>
      </c>
      <c r="C511" t="s">
        <v>118</v>
      </c>
      <c r="D511" t="s">
        <v>228</v>
      </c>
      <c r="E511" t="s">
        <v>228</v>
      </c>
      <c r="F511">
        <v>97</v>
      </c>
      <c r="G511" s="705">
        <v>10072</v>
      </c>
      <c r="H511" s="705">
        <v>25704</v>
      </c>
      <c r="I511" s="705">
        <v>1474531</v>
      </c>
      <c r="J511" s="705">
        <v>546122</v>
      </c>
      <c r="K511">
        <v>100</v>
      </c>
      <c r="L511" s="705">
        <v>285697</v>
      </c>
      <c r="M511" s="705">
        <v>239481</v>
      </c>
      <c r="N511" s="705">
        <v>230683</v>
      </c>
      <c r="O511" s="705">
        <v>85438</v>
      </c>
      <c r="P511" s="705">
        <v>621</v>
      </c>
      <c r="Q511" s="705">
        <v>230</v>
      </c>
      <c r="R511" s="705">
        <v>674048</v>
      </c>
      <c r="S511" s="705">
        <v>249647</v>
      </c>
      <c r="T511">
        <v>0</v>
      </c>
      <c r="U511">
        <v>0</v>
      </c>
      <c r="V511" s="705">
        <v>1120919</v>
      </c>
      <c r="W511" s="705">
        <f t="shared" si="34"/>
        <v>1120918</v>
      </c>
      <c r="X511" s="705">
        <f t="shared" si="35"/>
        <v>2665580</v>
      </c>
      <c r="Y511" s="705"/>
    </row>
    <row r="512" spans="2:25">
      <c r="B512" t="s">
        <v>538</v>
      </c>
      <c r="C512" t="s">
        <v>118</v>
      </c>
      <c r="D512" t="s">
        <v>228</v>
      </c>
      <c r="E512" t="s">
        <v>583</v>
      </c>
      <c r="F512">
        <v>1</v>
      </c>
      <c r="G512" s="705">
        <v>193</v>
      </c>
      <c r="H512" s="705">
        <v>238</v>
      </c>
      <c r="I512" s="705">
        <v>26757</v>
      </c>
      <c r="J512" s="705">
        <v>9910</v>
      </c>
      <c r="K512">
        <v>100</v>
      </c>
      <c r="L512" s="705">
        <v>9084</v>
      </c>
      <c r="M512" s="705">
        <v>8258</v>
      </c>
      <c r="N512" s="705">
        <v>4234</v>
      </c>
      <c r="O512" s="705">
        <v>1568</v>
      </c>
      <c r="P512" s="705">
        <v>621</v>
      </c>
      <c r="Q512" s="705">
        <v>230</v>
      </c>
      <c r="R512" s="705">
        <v>5315</v>
      </c>
      <c r="S512" s="705">
        <v>4832</v>
      </c>
      <c r="T512">
        <v>0</v>
      </c>
      <c r="U512">
        <v>0</v>
      </c>
      <c r="V512" s="705">
        <v>24799</v>
      </c>
      <c r="W512" s="705">
        <f t="shared" si="34"/>
        <v>24798</v>
      </c>
      <c r="X512" s="705">
        <f t="shared" si="35"/>
        <v>46011</v>
      </c>
      <c r="Y512" s="705"/>
    </row>
    <row r="513" spans="2:25">
      <c r="B513" t="s">
        <v>538</v>
      </c>
      <c r="C513" t="s">
        <v>118</v>
      </c>
      <c r="D513" t="s">
        <v>228</v>
      </c>
      <c r="E513" t="s">
        <v>666</v>
      </c>
      <c r="F513">
        <v>1</v>
      </c>
      <c r="G513" s="705">
        <v>81</v>
      </c>
      <c r="H513" s="705">
        <v>265</v>
      </c>
      <c r="I513" s="705">
        <v>11009</v>
      </c>
      <c r="J513" s="705">
        <v>4077</v>
      </c>
      <c r="K513">
        <v>100</v>
      </c>
      <c r="L513" s="705">
        <v>1107</v>
      </c>
      <c r="M513" s="705">
        <v>1007</v>
      </c>
      <c r="N513" s="705">
        <v>1289</v>
      </c>
      <c r="O513" s="705">
        <v>477</v>
      </c>
      <c r="P513" s="705">
        <v>0</v>
      </c>
      <c r="Q513" s="705">
        <v>0</v>
      </c>
      <c r="R513" s="705">
        <v>6013</v>
      </c>
      <c r="S513" s="705">
        <v>5467</v>
      </c>
      <c r="T513" s="705">
        <v>2184</v>
      </c>
      <c r="U513">
        <v>809</v>
      </c>
      <c r="V513" s="705">
        <v>11837</v>
      </c>
      <c r="W513" s="705">
        <f t="shared" si="34"/>
        <v>11837</v>
      </c>
      <c r="X513" s="705">
        <f t="shared" si="35"/>
        <v>21602</v>
      </c>
      <c r="Y513" s="705"/>
    </row>
    <row r="514" spans="2:25">
      <c r="B514" t="s">
        <v>538</v>
      </c>
      <c r="C514" t="s">
        <v>118</v>
      </c>
      <c r="D514" t="s">
        <v>228</v>
      </c>
      <c r="E514" t="s">
        <v>669</v>
      </c>
      <c r="F514">
        <v>1</v>
      </c>
      <c r="G514" s="705">
        <v>74</v>
      </c>
      <c r="H514" s="705">
        <v>289</v>
      </c>
      <c r="I514" s="705">
        <v>7762</v>
      </c>
      <c r="J514" s="705">
        <v>2875</v>
      </c>
      <c r="K514">
        <v>100</v>
      </c>
      <c r="L514" s="705">
        <v>1941</v>
      </c>
      <c r="M514" s="705">
        <v>719</v>
      </c>
      <c r="N514" s="705">
        <v>1175</v>
      </c>
      <c r="O514" s="705">
        <v>435</v>
      </c>
      <c r="P514" s="705">
        <v>0</v>
      </c>
      <c r="Q514" s="705">
        <v>0</v>
      </c>
      <c r="R514" s="705">
        <v>7794</v>
      </c>
      <c r="S514" s="705">
        <v>6495</v>
      </c>
      <c r="T514" s="705">
        <v>2800</v>
      </c>
      <c r="U514" s="705">
        <v>1037</v>
      </c>
      <c r="V514" s="705">
        <v>11561</v>
      </c>
      <c r="W514" s="705">
        <f t="shared" si="34"/>
        <v>11561</v>
      </c>
      <c r="X514" s="705">
        <f t="shared" si="35"/>
        <v>21472</v>
      </c>
      <c r="Y514" s="705"/>
    </row>
    <row r="515" spans="2:25">
      <c r="B515" t="s">
        <v>538</v>
      </c>
      <c r="C515" t="s">
        <v>118</v>
      </c>
      <c r="D515" t="s">
        <v>228</v>
      </c>
      <c r="E515" t="s">
        <v>665</v>
      </c>
      <c r="F515">
        <v>47</v>
      </c>
      <c r="G515" s="705">
        <v>4706</v>
      </c>
      <c r="H515" s="705">
        <v>11374</v>
      </c>
      <c r="I515" s="705">
        <v>637142</v>
      </c>
      <c r="J515" s="705">
        <v>235979</v>
      </c>
      <c r="K515">
        <v>100</v>
      </c>
      <c r="L515" s="705">
        <v>96783</v>
      </c>
      <c r="M515" s="705">
        <v>87984</v>
      </c>
      <c r="N515" s="705">
        <v>108222</v>
      </c>
      <c r="O515" s="705">
        <v>40082</v>
      </c>
      <c r="P515" s="705">
        <v>351</v>
      </c>
      <c r="Q515" s="705">
        <v>130</v>
      </c>
      <c r="R515" s="705">
        <v>179123</v>
      </c>
      <c r="S515" s="705">
        <v>162839</v>
      </c>
      <c r="T515" s="705">
        <v>113876</v>
      </c>
      <c r="U515" s="705">
        <v>42176</v>
      </c>
      <c r="V515" s="705">
        <v>569190</v>
      </c>
      <c r="W515" s="705">
        <f t="shared" si="34"/>
        <v>569190</v>
      </c>
      <c r="X515" s="705">
        <f t="shared" si="35"/>
        <v>1135497</v>
      </c>
      <c r="Y515" s="705"/>
    </row>
    <row r="516" spans="2:25">
      <c r="B516" t="s">
        <v>538</v>
      </c>
      <c r="C516" t="s">
        <v>118</v>
      </c>
      <c r="D516" t="s">
        <v>583</v>
      </c>
      <c r="E516" t="s">
        <v>664</v>
      </c>
      <c r="F516">
        <v>2</v>
      </c>
      <c r="G516" s="705">
        <v>211</v>
      </c>
      <c r="H516" s="705">
        <v>545</v>
      </c>
      <c r="I516" s="705">
        <v>27937</v>
      </c>
      <c r="J516" s="705">
        <v>25398</v>
      </c>
      <c r="K516">
        <v>70</v>
      </c>
      <c r="L516" s="705">
        <v>7742</v>
      </c>
      <c r="M516" s="705">
        <v>6886</v>
      </c>
      <c r="N516" s="705">
        <v>4807</v>
      </c>
      <c r="O516" s="705">
        <v>1780</v>
      </c>
      <c r="P516" s="705">
        <v>1242</v>
      </c>
      <c r="Q516" s="705">
        <v>460</v>
      </c>
      <c r="R516" s="705">
        <v>10126</v>
      </c>
      <c r="S516" s="705">
        <v>9205</v>
      </c>
      <c r="T516" s="705">
        <v>5967</v>
      </c>
      <c r="U516" s="705">
        <v>2210</v>
      </c>
      <c r="V516" s="705">
        <v>45939</v>
      </c>
      <c r="W516" s="705">
        <f t="shared" si="34"/>
        <v>45939</v>
      </c>
      <c r="X516" s="705">
        <f t="shared" si="35"/>
        <v>57821</v>
      </c>
      <c r="Y516" s="705"/>
    </row>
    <row r="517" spans="2:25">
      <c r="B517" t="s">
        <v>538</v>
      </c>
      <c r="C517" t="s">
        <v>118</v>
      </c>
      <c r="D517" t="s">
        <v>583</v>
      </c>
      <c r="E517" t="s">
        <v>228</v>
      </c>
      <c r="F517">
        <v>13</v>
      </c>
      <c r="G517" s="705">
        <v>1379</v>
      </c>
      <c r="H517" s="705">
        <v>3395</v>
      </c>
      <c r="I517" s="705">
        <v>210738</v>
      </c>
      <c r="J517" s="705">
        <v>191580</v>
      </c>
      <c r="K517">
        <v>77</v>
      </c>
      <c r="L517" s="705">
        <v>41671</v>
      </c>
      <c r="M517" s="705">
        <v>31438</v>
      </c>
      <c r="N517" s="705">
        <v>29604</v>
      </c>
      <c r="O517" s="705">
        <v>10965</v>
      </c>
      <c r="P517" s="705">
        <v>8073</v>
      </c>
      <c r="Q517" s="705">
        <v>2990</v>
      </c>
      <c r="R517" s="705">
        <v>70416</v>
      </c>
      <c r="S517" s="705">
        <v>26080</v>
      </c>
      <c r="T517" s="705">
        <v>0</v>
      </c>
      <c r="U517" s="705">
        <v>0</v>
      </c>
      <c r="V517" s="705">
        <v>263052</v>
      </c>
      <c r="W517" s="705">
        <f t="shared" si="34"/>
        <v>263053</v>
      </c>
      <c r="X517" s="705">
        <f t="shared" si="35"/>
        <v>360502</v>
      </c>
      <c r="Y517" s="705"/>
    </row>
    <row r="518" spans="2:25">
      <c r="B518" t="s">
        <v>538</v>
      </c>
      <c r="C518" t="s">
        <v>118</v>
      </c>
      <c r="D518" t="s">
        <v>583</v>
      </c>
      <c r="E518" t="s">
        <v>583</v>
      </c>
      <c r="F518" s="705">
        <v>1715</v>
      </c>
      <c r="G518" s="705">
        <v>153081</v>
      </c>
      <c r="H518" s="705">
        <v>439024</v>
      </c>
      <c r="I518" s="705">
        <v>20421770</v>
      </c>
      <c r="J518" s="705">
        <v>18565245</v>
      </c>
      <c r="K518">
        <v>81</v>
      </c>
      <c r="L518" s="705">
        <v>4488196</v>
      </c>
      <c r="M518" s="705">
        <v>3919323</v>
      </c>
      <c r="N518" s="705">
        <v>3191309</v>
      </c>
      <c r="O518" s="705">
        <v>1181966</v>
      </c>
      <c r="P518" s="705">
        <v>1110078</v>
      </c>
      <c r="Q518" s="705">
        <v>411140</v>
      </c>
      <c r="R518" s="705">
        <v>7508212</v>
      </c>
      <c r="S518" s="705">
        <v>6825647</v>
      </c>
      <c r="T518" s="705">
        <v>2812286</v>
      </c>
      <c r="U518" s="705">
        <v>1041587</v>
      </c>
      <c r="V518" s="705">
        <v>31944909</v>
      </c>
      <c r="W518" s="705">
        <f t="shared" si="34"/>
        <v>31944908</v>
      </c>
      <c r="X518" s="705">
        <f t="shared" si="35"/>
        <v>39531851</v>
      </c>
      <c r="Y518" s="705"/>
    </row>
    <row r="519" spans="2:25">
      <c r="B519" t="s">
        <v>538</v>
      </c>
      <c r="C519" t="s">
        <v>118</v>
      </c>
      <c r="D519" t="s">
        <v>583</v>
      </c>
      <c r="E519" t="s">
        <v>584</v>
      </c>
      <c r="F519">
        <v>1</v>
      </c>
      <c r="G519" s="705">
        <v>91</v>
      </c>
      <c r="H519" s="705">
        <v>242</v>
      </c>
      <c r="I519" s="705">
        <v>11705</v>
      </c>
      <c r="J519" s="705">
        <v>10641</v>
      </c>
      <c r="K519">
        <v>85</v>
      </c>
      <c r="L519" s="705">
        <v>3498</v>
      </c>
      <c r="M519" s="705">
        <v>3180</v>
      </c>
      <c r="N519" s="705">
        <v>1105</v>
      </c>
      <c r="O519" s="705">
        <v>409</v>
      </c>
      <c r="P519" s="705">
        <v>621</v>
      </c>
      <c r="Q519" s="705">
        <v>230</v>
      </c>
      <c r="R519" s="705">
        <v>2692</v>
      </c>
      <c r="S519" s="705">
        <v>2448</v>
      </c>
      <c r="T519" s="705">
        <v>2308</v>
      </c>
      <c r="U519" s="705">
        <v>855</v>
      </c>
      <c r="V519" s="705">
        <v>17763</v>
      </c>
      <c r="W519" s="705">
        <f t="shared" ref="W519:W582" si="36">SUM(ABS(J519),ABS(M519),ABS(O519),ABS(Q519),ABS(S519),ABS(U519))</f>
        <v>17763</v>
      </c>
      <c r="X519" s="705">
        <f t="shared" ref="X519:X582" si="37">SUM(ABS(I519),ABS(N519),ABS(P519),ABS(R519),ABS(T519),ABS(L519))</f>
        <v>21929</v>
      </c>
      <c r="Y519" s="705"/>
    </row>
    <row r="520" spans="2:25">
      <c r="B520" t="s">
        <v>538</v>
      </c>
      <c r="C520" t="s">
        <v>118</v>
      </c>
      <c r="D520" t="s">
        <v>583</v>
      </c>
      <c r="E520" t="s">
        <v>665</v>
      </c>
      <c r="F520">
        <v>1</v>
      </c>
      <c r="G520" s="705">
        <v>78</v>
      </c>
      <c r="H520" s="705">
        <v>262</v>
      </c>
      <c r="I520" s="705">
        <v>8881</v>
      </c>
      <c r="J520" s="705">
        <v>8074</v>
      </c>
      <c r="K520">
        <v>85</v>
      </c>
      <c r="L520" s="705">
        <v>1776</v>
      </c>
      <c r="M520" s="705">
        <v>1615</v>
      </c>
      <c r="N520" s="705">
        <v>1853</v>
      </c>
      <c r="O520" s="705">
        <v>686</v>
      </c>
      <c r="P520" s="705">
        <v>621</v>
      </c>
      <c r="Q520" s="705">
        <v>230</v>
      </c>
      <c r="R520" s="705">
        <v>5190</v>
      </c>
      <c r="S520" s="705">
        <v>4718</v>
      </c>
      <c r="T520" s="705">
        <v>2139</v>
      </c>
      <c r="U520">
        <v>792</v>
      </c>
      <c r="V520" s="705">
        <v>16115</v>
      </c>
      <c r="W520" s="705">
        <f t="shared" si="36"/>
        <v>16115</v>
      </c>
      <c r="X520" s="705">
        <f t="shared" si="37"/>
        <v>20460</v>
      </c>
      <c r="Y520" s="705"/>
    </row>
    <row r="521" spans="2:25">
      <c r="B521" t="s">
        <v>538</v>
      </c>
      <c r="C521" t="s">
        <v>118</v>
      </c>
      <c r="D521" t="s">
        <v>666</v>
      </c>
      <c r="E521" t="s">
        <v>666</v>
      </c>
      <c r="F521">
        <v>40</v>
      </c>
      <c r="G521" s="705">
        <v>3307</v>
      </c>
      <c r="H521" s="705">
        <v>10747</v>
      </c>
      <c r="I521" s="705">
        <v>510791</v>
      </c>
      <c r="J521" s="705">
        <v>464355</v>
      </c>
      <c r="K521">
        <v>57</v>
      </c>
      <c r="L521" s="705">
        <v>27187</v>
      </c>
      <c r="M521" s="705">
        <v>22034</v>
      </c>
      <c r="N521" s="705">
        <v>67167</v>
      </c>
      <c r="O521" s="705">
        <v>24877</v>
      </c>
      <c r="P521" s="705">
        <v>14243</v>
      </c>
      <c r="Q521" s="705">
        <v>5275</v>
      </c>
      <c r="R521" s="705">
        <v>185451</v>
      </c>
      <c r="S521" s="705">
        <v>168591</v>
      </c>
      <c r="T521" s="705">
        <v>82844</v>
      </c>
      <c r="U521" s="705">
        <v>30683</v>
      </c>
      <c r="V521" s="705">
        <v>715815</v>
      </c>
      <c r="W521" s="705">
        <f t="shared" si="36"/>
        <v>715815</v>
      </c>
      <c r="X521" s="705">
        <f t="shared" si="37"/>
        <v>887683</v>
      </c>
      <c r="Y521" s="705"/>
    </row>
    <row r="522" spans="2:25">
      <c r="B522" t="s">
        <v>538</v>
      </c>
      <c r="C522" t="s">
        <v>118</v>
      </c>
      <c r="D522" t="s">
        <v>584</v>
      </c>
      <c r="E522" t="s">
        <v>584</v>
      </c>
      <c r="F522">
        <v>8</v>
      </c>
      <c r="G522" s="705">
        <v>852</v>
      </c>
      <c r="H522" s="705">
        <v>2124</v>
      </c>
      <c r="I522" s="705">
        <v>157878</v>
      </c>
      <c r="J522" s="705">
        <v>143526</v>
      </c>
      <c r="K522">
        <v>77</v>
      </c>
      <c r="L522" s="705">
        <v>12099</v>
      </c>
      <c r="M522" s="705">
        <v>10664</v>
      </c>
      <c r="N522" s="705">
        <v>19239</v>
      </c>
      <c r="O522" s="705">
        <v>7126</v>
      </c>
      <c r="P522" s="705">
        <v>3780</v>
      </c>
      <c r="Q522" s="705">
        <v>1400</v>
      </c>
      <c r="R522" s="705">
        <v>28950</v>
      </c>
      <c r="S522" s="705">
        <v>26318</v>
      </c>
      <c r="T522" s="705">
        <v>2157</v>
      </c>
      <c r="U522" s="705">
        <v>799</v>
      </c>
      <c r="V522" s="705">
        <v>189832</v>
      </c>
      <c r="W522" s="705">
        <f t="shared" si="36"/>
        <v>189833</v>
      </c>
      <c r="X522" s="705">
        <f t="shared" si="37"/>
        <v>224103</v>
      </c>
      <c r="Y522" s="705"/>
    </row>
    <row r="523" spans="2:25">
      <c r="B523" t="s">
        <v>538</v>
      </c>
      <c r="C523" t="s">
        <v>118</v>
      </c>
      <c r="D523" t="s">
        <v>669</v>
      </c>
      <c r="E523" t="s">
        <v>669</v>
      </c>
      <c r="F523">
        <v>13</v>
      </c>
      <c r="G523" s="705">
        <v>1126</v>
      </c>
      <c r="H523" s="705">
        <v>3691</v>
      </c>
      <c r="I523" s="705">
        <v>166805</v>
      </c>
      <c r="J523" s="705">
        <v>139004</v>
      </c>
      <c r="K523">
        <v>58</v>
      </c>
      <c r="L523" s="705">
        <v>14155</v>
      </c>
      <c r="M523" s="705">
        <v>8601</v>
      </c>
      <c r="N523" s="705">
        <v>22198</v>
      </c>
      <c r="O523" s="705">
        <v>8222</v>
      </c>
      <c r="P523" s="705">
        <v>5103</v>
      </c>
      <c r="Q523" s="705">
        <v>1890</v>
      </c>
      <c r="R523" s="705">
        <v>78446</v>
      </c>
      <c r="S523" s="705">
        <v>65371</v>
      </c>
      <c r="T523" s="705">
        <v>32591</v>
      </c>
      <c r="U523" s="705">
        <v>12071</v>
      </c>
      <c r="V523" s="705">
        <v>235159</v>
      </c>
      <c r="W523" s="705">
        <f t="shared" si="36"/>
        <v>235159</v>
      </c>
      <c r="X523" s="705">
        <f t="shared" si="37"/>
        <v>319298</v>
      </c>
      <c r="Y523" s="705"/>
    </row>
    <row r="524" spans="2:25">
      <c r="B524" t="s">
        <v>538</v>
      </c>
      <c r="C524" t="s">
        <v>118</v>
      </c>
      <c r="D524" t="s">
        <v>671</v>
      </c>
      <c r="E524" t="s">
        <v>671</v>
      </c>
      <c r="F524">
        <v>2</v>
      </c>
      <c r="G524" s="705">
        <v>153</v>
      </c>
      <c r="H524" s="705">
        <v>523</v>
      </c>
      <c r="I524" s="705">
        <v>21389</v>
      </c>
      <c r="J524" s="705">
        <v>19444</v>
      </c>
      <c r="K524">
        <v>65</v>
      </c>
      <c r="L524" s="705">
        <v>2307</v>
      </c>
      <c r="M524" s="705">
        <v>2098</v>
      </c>
      <c r="N524" s="705">
        <v>3112</v>
      </c>
      <c r="O524" s="705">
        <v>1153</v>
      </c>
      <c r="P524" s="705">
        <v>702</v>
      </c>
      <c r="Q524" s="705">
        <v>260</v>
      </c>
      <c r="R524" s="705">
        <v>8159</v>
      </c>
      <c r="S524" s="705">
        <v>7417</v>
      </c>
      <c r="T524" s="705">
        <v>4237</v>
      </c>
      <c r="U524" s="705">
        <v>1569</v>
      </c>
      <c r="V524" s="705">
        <v>31941</v>
      </c>
      <c r="W524" s="705">
        <f t="shared" si="36"/>
        <v>31941</v>
      </c>
      <c r="X524" s="705">
        <f t="shared" si="37"/>
        <v>39906</v>
      </c>
      <c r="Y524" s="705"/>
    </row>
    <row r="525" spans="2:25">
      <c r="B525" t="s">
        <v>538</v>
      </c>
      <c r="C525" t="s">
        <v>118</v>
      </c>
      <c r="D525" t="s">
        <v>665</v>
      </c>
      <c r="E525" t="s">
        <v>228</v>
      </c>
      <c r="F525">
        <v>1</v>
      </c>
      <c r="G525" s="705">
        <v>102</v>
      </c>
      <c r="H525" s="705">
        <v>299</v>
      </c>
      <c r="I525" s="705">
        <v>18636</v>
      </c>
      <c r="J525" s="705">
        <v>16942</v>
      </c>
      <c r="K525">
        <v>45</v>
      </c>
      <c r="L525" s="705">
        <v>1694</v>
      </c>
      <c r="M525" s="705">
        <v>1540</v>
      </c>
      <c r="N525" s="705">
        <v>1897</v>
      </c>
      <c r="O525" s="705">
        <v>703</v>
      </c>
      <c r="P525" s="705">
        <v>351</v>
      </c>
      <c r="Q525" s="705">
        <v>130</v>
      </c>
      <c r="R525" s="705">
        <v>7830</v>
      </c>
      <c r="S525" s="705">
        <v>2900</v>
      </c>
      <c r="T525" s="705">
        <v>0</v>
      </c>
      <c r="U525" s="705">
        <v>0</v>
      </c>
      <c r="V525" s="705">
        <v>22215</v>
      </c>
      <c r="W525" s="705">
        <f t="shared" si="36"/>
        <v>22215</v>
      </c>
      <c r="X525" s="705">
        <f t="shared" si="37"/>
        <v>30408</v>
      </c>
      <c r="Y525" s="705"/>
    </row>
    <row r="526" spans="2:25">
      <c r="B526" t="s">
        <v>538</v>
      </c>
      <c r="C526" t="s">
        <v>118</v>
      </c>
      <c r="D526" t="s">
        <v>665</v>
      </c>
      <c r="E526" t="s">
        <v>583</v>
      </c>
      <c r="F526">
        <v>1</v>
      </c>
      <c r="G526">
        <v>74</v>
      </c>
      <c r="H526" s="705">
        <v>248</v>
      </c>
      <c r="I526" s="705">
        <v>8586</v>
      </c>
      <c r="J526" s="705">
        <v>7805</v>
      </c>
      <c r="K526">
        <v>55</v>
      </c>
      <c r="L526" s="705">
        <v>954</v>
      </c>
      <c r="M526" s="705">
        <v>867</v>
      </c>
      <c r="N526" s="705">
        <v>1234</v>
      </c>
      <c r="O526" s="705">
        <v>457</v>
      </c>
      <c r="P526" s="705">
        <v>351</v>
      </c>
      <c r="Q526" s="705">
        <v>130</v>
      </c>
      <c r="R526" s="705">
        <v>7326</v>
      </c>
      <c r="S526" s="705">
        <v>6660</v>
      </c>
      <c r="T526">
        <v>0</v>
      </c>
      <c r="U526">
        <v>0</v>
      </c>
      <c r="V526" s="705">
        <v>15919</v>
      </c>
      <c r="W526" s="705">
        <f t="shared" si="36"/>
        <v>15919</v>
      </c>
      <c r="X526" s="705">
        <f t="shared" si="37"/>
        <v>18451</v>
      </c>
      <c r="Y526" s="705"/>
    </row>
    <row r="527" spans="2:25">
      <c r="B527" t="s">
        <v>538</v>
      </c>
      <c r="C527" t="s">
        <v>118</v>
      </c>
      <c r="D527" t="s">
        <v>665</v>
      </c>
      <c r="E527" t="s">
        <v>665</v>
      </c>
      <c r="F527">
        <v>98</v>
      </c>
      <c r="G527" s="705">
        <v>8462</v>
      </c>
      <c r="H527" s="705">
        <v>26443</v>
      </c>
      <c r="I527" s="705">
        <v>1200879</v>
      </c>
      <c r="J527" s="705">
        <v>1091708</v>
      </c>
      <c r="K527">
        <v>60</v>
      </c>
      <c r="L527" s="705">
        <v>141059</v>
      </c>
      <c r="M527" s="705">
        <v>116864</v>
      </c>
      <c r="N527" s="705">
        <v>166133</v>
      </c>
      <c r="O527" s="705">
        <v>61531</v>
      </c>
      <c r="P527" s="705">
        <v>37485</v>
      </c>
      <c r="Q527" s="705">
        <v>13883</v>
      </c>
      <c r="R527" s="705">
        <v>510033</v>
      </c>
      <c r="S527" s="705">
        <v>463666</v>
      </c>
      <c r="T527" s="705">
        <v>227066</v>
      </c>
      <c r="U527" s="705">
        <v>84099</v>
      </c>
      <c r="V527" s="705">
        <v>1831751</v>
      </c>
      <c r="W527" s="705">
        <f t="shared" si="36"/>
        <v>1831751</v>
      </c>
      <c r="X527" s="705">
        <f t="shared" si="37"/>
        <v>2282655</v>
      </c>
      <c r="Y527" s="705"/>
    </row>
    <row r="528" spans="2:25">
      <c r="B528" t="s">
        <v>538</v>
      </c>
      <c r="C528" t="s">
        <v>120</v>
      </c>
      <c r="F528">
        <v>5</v>
      </c>
      <c r="G528">
        <v>651</v>
      </c>
      <c r="H528" s="705">
        <v>1778</v>
      </c>
      <c r="I528" s="705"/>
      <c r="J528" s="705">
        <v>0</v>
      </c>
      <c r="L528" s="705"/>
      <c r="M528" s="705">
        <v>0</v>
      </c>
      <c r="N528" s="705">
        <v>15263</v>
      </c>
      <c r="O528" s="705">
        <v>5653</v>
      </c>
      <c r="P528" s="705">
        <v>3105</v>
      </c>
      <c r="Q528" s="705">
        <v>1150</v>
      </c>
      <c r="R528" s="705"/>
      <c r="S528" s="705">
        <v>0</v>
      </c>
      <c r="T528" s="705">
        <v>8903</v>
      </c>
      <c r="U528" s="705">
        <v>3297</v>
      </c>
      <c r="V528" s="705">
        <v>10100</v>
      </c>
      <c r="W528" s="705">
        <f t="shared" si="36"/>
        <v>10100</v>
      </c>
      <c r="X528" s="705">
        <f t="shared" si="37"/>
        <v>27271</v>
      </c>
      <c r="Y528" s="705"/>
    </row>
    <row r="529" spans="2:25">
      <c r="B529" t="s">
        <v>538</v>
      </c>
      <c r="C529" t="s">
        <v>120</v>
      </c>
      <c r="D529" t="s">
        <v>664</v>
      </c>
      <c r="E529" t="s">
        <v>664</v>
      </c>
      <c r="F529">
        <v>1</v>
      </c>
      <c r="G529" s="705">
        <v>66</v>
      </c>
      <c r="H529" s="705">
        <v>333</v>
      </c>
      <c r="I529" s="705">
        <v>9370</v>
      </c>
      <c r="J529" s="705">
        <v>8518</v>
      </c>
      <c r="K529">
        <v>73</v>
      </c>
      <c r="L529" s="705">
        <v>1774</v>
      </c>
      <c r="M529" s="705">
        <v>657</v>
      </c>
      <c r="N529" s="705">
        <v>800</v>
      </c>
      <c r="O529" s="705">
        <v>296</v>
      </c>
      <c r="P529" s="705">
        <v>473</v>
      </c>
      <c r="Q529" s="705">
        <v>175</v>
      </c>
      <c r="R529" s="705">
        <v>9406</v>
      </c>
      <c r="S529" s="705">
        <v>8551</v>
      </c>
      <c r="T529" s="705">
        <v>0</v>
      </c>
      <c r="U529" s="705">
        <v>0</v>
      </c>
      <c r="V529" s="705">
        <v>18197</v>
      </c>
      <c r="W529" s="705">
        <f t="shared" si="36"/>
        <v>18197</v>
      </c>
      <c r="X529" s="705">
        <f t="shared" si="37"/>
        <v>21823</v>
      </c>
      <c r="Y529" s="705"/>
    </row>
    <row r="530" spans="2:25">
      <c r="B530" t="s">
        <v>538</v>
      </c>
      <c r="C530" t="s">
        <v>120</v>
      </c>
      <c r="D530" t="s">
        <v>582</v>
      </c>
      <c r="E530" t="s">
        <v>582</v>
      </c>
      <c r="F530">
        <v>7</v>
      </c>
      <c r="G530">
        <v>622</v>
      </c>
      <c r="H530" s="705">
        <v>2256</v>
      </c>
      <c r="I530" s="705">
        <v>121310</v>
      </c>
      <c r="J530" s="705">
        <v>110282</v>
      </c>
      <c r="K530">
        <v>71</v>
      </c>
      <c r="L530" s="705">
        <v>18960</v>
      </c>
      <c r="M530" s="705">
        <v>17063</v>
      </c>
      <c r="N530" s="705">
        <v>14494</v>
      </c>
      <c r="O530" s="705">
        <v>5368</v>
      </c>
      <c r="P530" s="705">
        <v>3996</v>
      </c>
      <c r="Q530" s="705">
        <v>1480</v>
      </c>
      <c r="R530" s="705">
        <v>32548</v>
      </c>
      <c r="S530" s="705">
        <v>29589</v>
      </c>
      <c r="T530" s="705">
        <v>9809</v>
      </c>
      <c r="U530" s="705">
        <v>3633</v>
      </c>
      <c r="V530" s="705">
        <v>167414</v>
      </c>
      <c r="W530" s="705">
        <f t="shared" si="36"/>
        <v>167415</v>
      </c>
      <c r="X530" s="705">
        <f t="shared" si="37"/>
        <v>201117</v>
      </c>
      <c r="Y530" s="705"/>
    </row>
    <row r="531" spans="2:25">
      <c r="B531" t="s">
        <v>538</v>
      </c>
      <c r="C531" t="s">
        <v>120</v>
      </c>
      <c r="D531" t="s">
        <v>228</v>
      </c>
      <c r="E531" t="s">
        <v>228</v>
      </c>
      <c r="F531">
        <v>76</v>
      </c>
      <c r="G531" s="705">
        <v>6712</v>
      </c>
      <c r="H531" s="705">
        <v>25399</v>
      </c>
      <c r="I531" s="705">
        <v>1397779</v>
      </c>
      <c r="J531" s="705">
        <v>517696</v>
      </c>
      <c r="K531">
        <v>100</v>
      </c>
      <c r="L531" s="705">
        <v>214193</v>
      </c>
      <c r="M531" s="705">
        <v>181414</v>
      </c>
      <c r="N531" s="705">
        <v>144308</v>
      </c>
      <c r="O531" s="705">
        <v>53447</v>
      </c>
      <c r="P531" s="705">
        <v>351</v>
      </c>
      <c r="Q531">
        <v>130</v>
      </c>
      <c r="R531" s="705">
        <v>507752</v>
      </c>
      <c r="S531" s="705">
        <v>188056</v>
      </c>
      <c r="T531" s="705">
        <v>2078</v>
      </c>
      <c r="U531" s="705">
        <v>770</v>
      </c>
      <c r="V531" s="705">
        <v>941514</v>
      </c>
      <c r="W531" s="705">
        <f t="shared" si="36"/>
        <v>941513</v>
      </c>
      <c r="X531" s="705">
        <f t="shared" si="37"/>
        <v>2266461</v>
      </c>
      <c r="Y531" s="705"/>
    </row>
    <row r="532" spans="2:25">
      <c r="B532" t="s">
        <v>538</v>
      </c>
      <c r="C532" t="s">
        <v>120</v>
      </c>
      <c r="D532" t="s">
        <v>228</v>
      </c>
      <c r="E532" t="s">
        <v>666</v>
      </c>
      <c r="F532">
        <v>3</v>
      </c>
      <c r="G532" s="705">
        <v>145</v>
      </c>
      <c r="H532" s="705">
        <v>1075</v>
      </c>
      <c r="I532" s="705">
        <v>28867</v>
      </c>
      <c r="J532" s="705">
        <v>10692</v>
      </c>
      <c r="K532">
        <v>100</v>
      </c>
      <c r="L532" s="705">
        <v>2757</v>
      </c>
      <c r="M532" s="705">
        <v>2506</v>
      </c>
      <c r="N532" s="705">
        <v>3012</v>
      </c>
      <c r="O532" s="705">
        <v>1115</v>
      </c>
      <c r="P532" s="705">
        <v>0</v>
      </c>
      <c r="Q532" s="705">
        <v>0</v>
      </c>
      <c r="R532" s="705">
        <v>12444</v>
      </c>
      <c r="S532" s="705">
        <v>11312</v>
      </c>
      <c r="T532" s="705">
        <v>4703</v>
      </c>
      <c r="U532" s="705">
        <v>1742</v>
      </c>
      <c r="V532" s="705">
        <v>27367</v>
      </c>
      <c r="W532" s="705">
        <f t="shared" si="36"/>
        <v>27367</v>
      </c>
      <c r="X532" s="705">
        <f t="shared" si="37"/>
        <v>51783</v>
      </c>
      <c r="Y532" s="705"/>
    </row>
    <row r="533" spans="2:25">
      <c r="B533" t="s">
        <v>538</v>
      </c>
      <c r="C533" t="s">
        <v>120</v>
      </c>
      <c r="D533" t="s">
        <v>228</v>
      </c>
      <c r="E533" t="s">
        <v>669</v>
      </c>
      <c r="F533">
        <v>1</v>
      </c>
      <c r="G533">
        <v>79</v>
      </c>
      <c r="H533">
        <v>329</v>
      </c>
      <c r="I533" s="705">
        <v>12238</v>
      </c>
      <c r="J533" s="705">
        <v>4533</v>
      </c>
      <c r="K533">
        <v>100</v>
      </c>
      <c r="L533" s="705">
        <v>1343</v>
      </c>
      <c r="M533" s="705">
        <v>1119</v>
      </c>
      <c r="N533" s="705">
        <v>1534</v>
      </c>
      <c r="O533">
        <v>568</v>
      </c>
      <c r="P533">
        <v>0</v>
      </c>
      <c r="Q533">
        <v>0</v>
      </c>
      <c r="R533" s="705">
        <v>7917</v>
      </c>
      <c r="S533" s="705">
        <v>6597</v>
      </c>
      <c r="T533" s="705">
        <v>2861</v>
      </c>
      <c r="U533" s="705">
        <v>1060</v>
      </c>
      <c r="V533" s="705">
        <v>13877</v>
      </c>
      <c r="W533" s="705">
        <f t="shared" si="36"/>
        <v>13877</v>
      </c>
      <c r="X533" s="705">
        <f t="shared" si="37"/>
        <v>25893</v>
      </c>
      <c r="Y533" s="705"/>
    </row>
    <row r="534" spans="2:25">
      <c r="B534" t="s">
        <v>538</v>
      </c>
      <c r="C534" t="s">
        <v>120</v>
      </c>
      <c r="D534" t="s">
        <v>228</v>
      </c>
      <c r="E534" t="s">
        <v>665</v>
      </c>
      <c r="F534">
        <v>5</v>
      </c>
      <c r="G534">
        <v>370</v>
      </c>
      <c r="H534" s="705">
        <v>1674</v>
      </c>
      <c r="I534" s="705">
        <v>70283</v>
      </c>
      <c r="J534" s="705">
        <v>26031</v>
      </c>
      <c r="K534">
        <v>100</v>
      </c>
      <c r="L534" s="705">
        <v>6594</v>
      </c>
      <c r="M534" s="705">
        <v>5994</v>
      </c>
      <c r="N534" s="705">
        <v>7377</v>
      </c>
      <c r="O534" s="705">
        <v>2732</v>
      </c>
      <c r="P534" s="705">
        <v>351</v>
      </c>
      <c r="Q534">
        <v>130</v>
      </c>
      <c r="R534" s="705">
        <v>27313</v>
      </c>
      <c r="S534" s="705">
        <v>24830</v>
      </c>
      <c r="T534" s="705">
        <v>10402</v>
      </c>
      <c r="U534" s="705">
        <v>3853</v>
      </c>
      <c r="V534" s="705">
        <v>63570</v>
      </c>
      <c r="W534" s="705">
        <f t="shared" si="36"/>
        <v>63570</v>
      </c>
      <c r="X534" s="705">
        <f t="shared" si="37"/>
        <v>122320</v>
      </c>
      <c r="Y534" s="705"/>
    </row>
    <row r="535" spans="2:25">
      <c r="B535" t="s">
        <v>538</v>
      </c>
      <c r="C535" t="s">
        <v>120</v>
      </c>
      <c r="D535" t="s">
        <v>583</v>
      </c>
      <c r="E535" t="s">
        <v>228</v>
      </c>
      <c r="F535">
        <v>8</v>
      </c>
      <c r="G535">
        <v>538</v>
      </c>
      <c r="H535" s="705">
        <v>2624</v>
      </c>
      <c r="I535" s="705">
        <v>99149</v>
      </c>
      <c r="J535" s="705">
        <v>90135</v>
      </c>
      <c r="K535">
        <v>79</v>
      </c>
      <c r="L535" s="705">
        <v>20758</v>
      </c>
      <c r="M535" s="705">
        <v>23244</v>
      </c>
      <c r="N535" s="705">
        <v>10967</v>
      </c>
      <c r="O535" s="705">
        <v>4062</v>
      </c>
      <c r="P535" s="705">
        <v>5240</v>
      </c>
      <c r="Q535" s="705">
        <v>1941</v>
      </c>
      <c r="R535" s="705">
        <v>38282</v>
      </c>
      <c r="S535" s="705">
        <v>14179</v>
      </c>
      <c r="T535" s="705">
        <v>0</v>
      </c>
      <c r="U535" s="705">
        <v>0</v>
      </c>
      <c r="V535" s="705">
        <v>133561</v>
      </c>
      <c r="W535" s="705">
        <f t="shared" si="36"/>
        <v>133561</v>
      </c>
      <c r="X535" s="705">
        <f t="shared" si="37"/>
        <v>174396</v>
      </c>
      <c r="Y535" s="705"/>
    </row>
    <row r="536" spans="2:25">
      <c r="B536" t="s">
        <v>538</v>
      </c>
      <c r="C536" t="s">
        <v>120</v>
      </c>
      <c r="D536" t="s">
        <v>583</v>
      </c>
      <c r="E536" t="s">
        <v>583</v>
      </c>
      <c r="F536">
        <v>569</v>
      </c>
      <c r="G536" s="705">
        <v>50753</v>
      </c>
      <c r="H536" s="705">
        <v>192674</v>
      </c>
      <c r="I536" s="705">
        <v>10416979</v>
      </c>
      <c r="J536" s="705">
        <v>9469981</v>
      </c>
      <c r="K536">
        <v>78</v>
      </c>
      <c r="L536" s="705">
        <v>2062609</v>
      </c>
      <c r="M536" s="705">
        <v>1771614</v>
      </c>
      <c r="N536" s="705">
        <v>1082636</v>
      </c>
      <c r="O536" s="705">
        <v>400976</v>
      </c>
      <c r="P536" s="705">
        <v>367858</v>
      </c>
      <c r="Q536" s="705">
        <v>136244</v>
      </c>
      <c r="R536" s="705">
        <v>2591635</v>
      </c>
      <c r="S536" s="705">
        <v>2356032</v>
      </c>
      <c r="T536" s="705">
        <v>930468</v>
      </c>
      <c r="U536" s="705">
        <v>344618</v>
      </c>
      <c r="V536" s="705">
        <v>14479465</v>
      </c>
      <c r="W536" s="705">
        <f t="shared" si="36"/>
        <v>14479465</v>
      </c>
      <c r="X536" s="705">
        <f t="shared" si="37"/>
        <v>17452185</v>
      </c>
      <c r="Y536" s="705"/>
    </row>
    <row r="537" spans="2:25">
      <c r="B537" t="s">
        <v>538</v>
      </c>
      <c r="C537" t="s">
        <v>120</v>
      </c>
      <c r="D537" t="s">
        <v>583</v>
      </c>
      <c r="E537" t="s">
        <v>665</v>
      </c>
      <c r="F537">
        <v>1</v>
      </c>
      <c r="G537" s="705">
        <v>77</v>
      </c>
      <c r="H537" s="705">
        <v>379</v>
      </c>
      <c r="I537" s="705">
        <v>17808</v>
      </c>
      <c r="J537" s="705">
        <v>16189</v>
      </c>
      <c r="K537">
        <v>79</v>
      </c>
      <c r="L537" s="705">
        <v>2968</v>
      </c>
      <c r="M537" s="705">
        <v>2698</v>
      </c>
      <c r="N537" s="705">
        <v>1686</v>
      </c>
      <c r="O537" s="705">
        <v>624</v>
      </c>
      <c r="P537" s="705">
        <v>621</v>
      </c>
      <c r="Q537" s="705">
        <v>230</v>
      </c>
      <c r="R537" s="705">
        <v>4377</v>
      </c>
      <c r="S537" s="705">
        <v>3980</v>
      </c>
      <c r="T537" s="705">
        <v>1678</v>
      </c>
      <c r="U537">
        <v>622</v>
      </c>
      <c r="V537" s="705">
        <v>24343</v>
      </c>
      <c r="W537" s="705">
        <f t="shared" si="36"/>
        <v>24343</v>
      </c>
      <c r="X537" s="705">
        <f t="shared" si="37"/>
        <v>29138</v>
      </c>
      <c r="Y537" s="705"/>
    </row>
    <row r="538" spans="2:25">
      <c r="B538" t="s">
        <v>538</v>
      </c>
      <c r="C538" t="s">
        <v>120</v>
      </c>
      <c r="D538" t="s">
        <v>666</v>
      </c>
      <c r="E538" t="s">
        <v>228</v>
      </c>
      <c r="F538">
        <v>1</v>
      </c>
      <c r="G538" s="705">
        <v>111</v>
      </c>
      <c r="H538" s="705">
        <v>370</v>
      </c>
      <c r="I538" s="705">
        <v>30142</v>
      </c>
      <c r="J538" s="705">
        <v>27401</v>
      </c>
      <c r="K538">
        <v>30</v>
      </c>
      <c r="L538" s="705">
        <v>0</v>
      </c>
      <c r="M538" s="705">
        <v>0</v>
      </c>
      <c r="N538" s="705">
        <v>2703</v>
      </c>
      <c r="O538" s="705">
        <v>1001</v>
      </c>
      <c r="P538" s="705">
        <v>0</v>
      </c>
      <c r="Q538" s="705">
        <v>0</v>
      </c>
      <c r="R538" s="705">
        <v>8176</v>
      </c>
      <c r="S538" s="705">
        <v>3028</v>
      </c>
      <c r="T538" s="705">
        <v>0</v>
      </c>
      <c r="U538" s="705">
        <v>0</v>
      </c>
      <c r="V538" s="705">
        <v>31430</v>
      </c>
      <c r="W538" s="705">
        <f t="shared" si="36"/>
        <v>31430</v>
      </c>
      <c r="X538" s="705">
        <f t="shared" si="37"/>
        <v>41021</v>
      </c>
      <c r="Y538" s="705"/>
    </row>
    <row r="539" spans="2:25">
      <c r="B539" t="s">
        <v>538</v>
      </c>
      <c r="C539" t="s">
        <v>120</v>
      </c>
      <c r="D539" t="s">
        <v>666</v>
      </c>
      <c r="E539" t="s">
        <v>666</v>
      </c>
      <c r="F539">
        <v>103</v>
      </c>
      <c r="G539" s="705">
        <v>7510</v>
      </c>
      <c r="H539" s="705">
        <v>35343</v>
      </c>
      <c r="I539" s="705">
        <v>1474459</v>
      </c>
      <c r="J539" s="705">
        <v>1340418</v>
      </c>
      <c r="K539">
        <v>50</v>
      </c>
      <c r="L539" s="705">
        <v>166093</v>
      </c>
      <c r="M539" s="705">
        <v>149860</v>
      </c>
      <c r="N539" s="705">
        <v>156673</v>
      </c>
      <c r="O539" s="705">
        <v>58027</v>
      </c>
      <c r="P539" s="705">
        <v>36153</v>
      </c>
      <c r="Q539" s="705">
        <v>13390</v>
      </c>
      <c r="R539" s="705">
        <v>520022</v>
      </c>
      <c r="S539" s="705">
        <v>472747</v>
      </c>
      <c r="T539" s="705">
        <v>211715</v>
      </c>
      <c r="U539" s="705">
        <v>78413</v>
      </c>
      <c r="V539" s="705">
        <v>2112855</v>
      </c>
      <c r="W539" s="705">
        <f t="shared" si="36"/>
        <v>2112855</v>
      </c>
      <c r="X539" s="705">
        <f t="shared" si="37"/>
        <v>2565115</v>
      </c>
      <c r="Y539" s="705"/>
    </row>
    <row r="540" spans="2:25">
      <c r="B540" t="s">
        <v>538</v>
      </c>
      <c r="C540" t="s">
        <v>120</v>
      </c>
      <c r="D540" t="s">
        <v>584</v>
      </c>
      <c r="E540" t="s">
        <v>584</v>
      </c>
      <c r="F540">
        <v>1</v>
      </c>
      <c r="G540">
        <v>88</v>
      </c>
      <c r="H540">
        <v>312</v>
      </c>
      <c r="I540" s="705">
        <v>15911</v>
      </c>
      <c r="J540" s="705">
        <v>14465</v>
      </c>
      <c r="K540">
        <v>65</v>
      </c>
      <c r="L540" s="705">
        <v>1986</v>
      </c>
      <c r="M540" s="705">
        <v>1806</v>
      </c>
      <c r="N540" s="705">
        <v>2154</v>
      </c>
      <c r="O540" s="705">
        <v>798</v>
      </c>
      <c r="P540">
        <v>824</v>
      </c>
      <c r="Q540">
        <v>305</v>
      </c>
      <c r="R540" s="705">
        <v>4136</v>
      </c>
      <c r="S540" s="705">
        <v>3760</v>
      </c>
      <c r="T540" s="705">
        <v>2544</v>
      </c>
      <c r="U540" s="705">
        <v>942</v>
      </c>
      <c r="V540" s="705">
        <v>22076</v>
      </c>
      <c r="W540" s="705">
        <f t="shared" si="36"/>
        <v>22076</v>
      </c>
      <c r="X540" s="705">
        <f t="shared" si="37"/>
        <v>27555</v>
      </c>
      <c r="Y540" s="705"/>
    </row>
    <row r="541" spans="2:25">
      <c r="B541" t="s">
        <v>538</v>
      </c>
      <c r="C541" t="s">
        <v>120</v>
      </c>
      <c r="D541" t="s">
        <v>669</v>
      </c>
      <c r="E541" t="s">
        <v>669</v>
      </c>
      <c r="F541">
        <v>23</v>
      </c>
      <c r="G541" s="705">
        <v>1835</v>
      </c>
      <c r="H541" s="705">
        <v>7897</v>
      </c>
      <c r="I541" s="705">
        <v>338909</v>
      </c>
      <c r="J541" s="705">
        <v>282424</v>
      </c>
      <c r="K541">
        <v>56</v>
      </c>
      <c r="L541" s="705">
        <v>35660</v>
      </c>
      <c r="M541" s="705">
        <v>17309</v>
      </c>
      <c r="N541" s="705">
        <v>37480</v>
      </c>
      <c r="O541" s="705">
        <v>13882</v>
      </c>
      <c r="P541" s="705">
        <v>8073</v>
      </c>
      <c r="Q541" s="705">
        <v>2990</v>
      </c>
      <c r="R541" s="705">
        <v>142676</v>
      </c>
      <c r="S541" s="705">
        <v>118897</v>
      </c>
      <c r="T541" s="705">
        <v>63468</v>
      </c>
      <c r="U541" s="705">
        <v>23507</v>
      </c>
      <c r="V541" s="705">
        <v>459008</v>
      </c>
      <c r="W541" s="705">
        <f t="shared" si="36"/>
        <v>459009</v>
      </c>
      <c r="X541" s="705">
        <f t="shared" si="37"/>
        <v>626266</v>
      </c>
      <c r="Y541" s="705"/>
    </row>
    <row r="542" spans="2:25">
      <c r="B542" t="s">
        <v>538</v>
      </c>
      <c r="C542" t="s">
        <v>120</v>
      </c>
      <c r="D542" t="s">
        <v>671</v>
      </c>
      <c r="E542" t="s">
        <v>671</v>
      </c>
      <c r="F542">
        <v>2</v>
      </c>
      <c r="G542">
        <v>150</v>
      </c>
      <c r="H542">
        <v>693</v>
      </c>
      <c r="I542" s="705">
        <v>25689</v>
      </c>
      <c r="J542" s="705">
        <v>23354</v>
      </c>
      <c r="K542">
        <v>55</v>
      </c>
      <c r="L542" s="705">
        <v>4717</v>
      </c>
      <c r="M542" s="705">
        <v>3511</v>
      </c>
      <c r="N542" s="705">
        <v>2833</v>
      </c>
      <c r="O542" s="705">
        <v>1049</v>
      </c>
      <c r="P542" s="705">
        <v>702</v>
      </c>
      <c r="Q542">
        <v>260</v>
      </c>
      <c r="R542" s="705">
        <v>13541</v>
      </c>
      <c r="S542" s="705">
        <v>12310</v>
      </c>
      <c r="T542" s="705">
        <v>4323</v>
      </c>
      <c r="U542" s="705">
        <v>1601</v>
      </c>
      <c r="V542" s="705">
        <v>42085</v>
      </c>
      <c r="W542" s="705">
        <f t="shared" si="36"/>
        <v>42085</v>
      </c>
      <c r="X542" s="705">
        <f t="shared" si="37"/>
        <v>51805</v>
      </c>
      <c r="Y542" s="705"/>
    </row>
    <row r="543" spans="2:25">
      <c r="B543" t="s">
        <v>538</v>
      </c>
      <c r="C543" t="s">
        <v>120</v>
      </c>
      <c r="D543" t="s">
        <v>665</v>
      </c>
      <c r="E543" t="s">
        <v>666</v>
      </c>
      <c r="F543">
        <v>1</v>
      </c>
      <c r="G543" s="705">
        <v>86</v>
      </c>
      <c r="H543" s="705">
        <v>326</v>
      </c>
      <c r="I543" s="705">
        <v>16474</v>
      </c>
      <c r="J543" s="705">
        <v>14976</v>
      </c>
      <c r="K543">
        <v>55</v>
      </c>
      <c r="L543" s="705">
        <v>2471</v>
      </c>
      <c r="M543" s="705">
        <v>915</v>
      </c>
      <c r="N543" s="705">
        <v>1045</v>
      </c>
      <c r="O543" s="705">
        <v>387</v>
      </c>
      <c r="P543" s="705">
        <v>351</v>
      </c>
      <c r="Q543" s="705">
        <v>130</v>
      </c>
      <c r="R543" s="705">
        <v>5208</v>
      </c>
      <c r="S543" s="705">
        <v>4735</v>
      </c>
      <c r="T543" s="705">
        <v>2376</v>
      </c>
      <c r="U543" s="705">
        <v>880</v>
      </c>
      <c r="V543" s="705">
        <v>22024</v>
      </c>
      <c r="W543" s="705">
        <f t="shared" si="36"/>
        <v>22023</v>
      </c>
      <c r="X543" s="705">
        <f t="shared" si="37"/>
        <v>27925</v>
      </c>
      <c r="Y543" s="705"/>
    </row>
    <row r="544" spans="2:25">
      <c r="B544" t="s">
        <v>538</v>
      </c>
      <c r="C544" t="s">
        <v>120</v>
      </c>
      <c r="D544" t="s">
        <v>665</v>
      </c>
      <c r="E544" t="s">
        <v>665</v>
      </c>
      <c r="F544">
        <v>130</v>
      </c>
      <c r="G544" s="705">
        <v>9912</v>
      </c>
      <c r="H544" s="705">
        <v>44247</v>
      </c>
      <c r="I544" s="705">
        <v>1943000</v>
      </c>
      <c r="J544" s="705">
        <v>1766364</v>
      </c>
      <c r="K544">
        <v>54</v>
      </c>
      <c r="L544" s="705">
        <v>211477</v>
      </c>
      <c r="M544" s="705">
        <v>168627</v>
      </c>
      <c r="N544" s="705">
        <v>195634</v>
      </c>
      <c r="O544" s="705">
        <v>72457</v>
      </c>
      <c r="P544" s="705">
        <v>46548</v>
      </c>
      <c r="Q544" s="705">
        <v>17240</v>
      </c>
      <c r="R544" s="705">
        <v>692835</v>
      </c>
      <c r="S544" s="705">
        <v>629850</v>
      </c>
      <c r="T544" s="705">
        <v>275569</v>
      </c>
      <c r="U544" s="705">
        <v>102062</v>
      </c>
      <c r="V544" s="705">
        <v>2756600</v>
      </c>
      <c r="W544" s="705">
        <f t="shared" si="36"/>
        <v>2756600</v>
      </c>
      <c r="X544" s="705">
        <f t="shared" si="37"/>
        <v>3365063</v>
      </c>
      <c r="Y544" s="705"/>
    </row>
    <row r="545" spans="2:25">
      <c r="B545" t="s">
        <v>538</v>
      </c>
      <c r="C545" t="s">
        <v>122</v>
      </c>
      <c r="F545">
        <v>2</v>
      </c>
      <c r="G545">
        <v>468</v>
      </c>
      <c r="H545">
        <v>832</v>
      </c>
      <c r="I545" s="705"/>
      <c r="J545" s="705">
        <v>0</v>
      </c>
      <c r="L545" s="705"/>
      <c r="M545" s="705">
        <v>0</v>
      </c>
      <c r="N545" s="705">
        <v>10607</v>
      </c>
      <c r="O545" s="705">
        <v>3929</v>
      </c>
      <c r="P545" s="705">
        <v>621</v>
      </c>
      <c r="Q545">
        <v>230</v>
      </c>
      <c r="R545" s="705"/>
      <c r="S545" s="705">
        <v>0</v>
      </c>
      <c r="T545" s="705">
        <v>0</v>
      </c>
      <c r="U545">
        <v>0</v>
      </c>
      <c r="V545" s="705">
        <v>4159</v>
      </c>
      <c r="W545" s="705">
        <f t="shared" si="36"/>
        <v>4159</v>
      </c>
      <c r="X545" s="705">
        <f t="shared" si="37"/>
        <v>11228</v>
      </c>
      <c r="Y545" s="705"/>
    </row>
    <row r="546" spans="2:25">
      <c r="B546" t="s">
        <v>538</v>
      </c>
      <c r="C546" t="s">
        <v>122</v>
      </c>
      <c r="D546" t="s">
        <v>664</v>
      </c>
      <c r="E546" t="s">
        <v>664</v>
      </c>
      <c r="F546">
        <v>1</v>
      </c>
      <c r="G546">
        <v>79</v>
      </c>
      <c r="H546">
        <v>439</v>
      </c>
      <c r="I546" s="705">
        <v>24837</v>
      </c>
      <c r="J546" s="705">
        <v>22579</v>
      </c>
      <c r="K546">
        <v>65</v>
      </c>
      <c r="L546" s="705">
        <v>4186</v>
      </c>
      <c r="M546" s="705">
        <v>1550</v>
      </c>
      <c r="N546" s="705">
        <v>1732</v>
      </c>
      <c r="O546" s="705">
        <v>642</v>
      </c>
      <c r="P546" s="705">
        <v>473</v>
      </c>
      <c r="Q546" s="705">
        <v>175</v>
      </c>
      <c r="R546" s="705">
        <v>3412</v>
      </c>
      <c r="S546" s="705">
        <v>3102</v>
      </c>
      <c r="T546" s="705">
        <v>0</v>
      </c>
      <c r="U546" s="705">
        <v>0</v>
      </c>
      <c r="V546" s="705">
        <v>28049</v>
      </c>
      <c r="W546" s="705">
        <f t="shared" si="36"/>
        <v>28048</v>
      </c>
      <c r="X546" s="705">
        <f t="shared" si="37"/>
        <v>34640</v>
      </c>
      <c r="Y546" s="705"/>
    </row>
    <row r="547" spans="2:25">
      <c r="B547" t="s">
        <v>538</v>
      </c>
      <c r="C547" t="s">
        <v>122</v>
      </c>
      <c r="D547" t="s">
        <v>582</v>
      </c>
      <c r="E547" t="s">
        <v>582</v>
      </c>
      <c r="F547">
        <v>2</v>
      </c>
      <c r="G547" s="705">
        <v>131</v>
      </c>
      <c r="H547" s="705">
        <v>855</v>
      </c>
      <c r="I547" s="705">
        <v>34437</v>
      </c>
      <c r="J547" s="705">
        <v>31306</v>
      </c>
      <c r="K547">
        <v>65</v>
      </c>
      <c r="L547" s="705">
        <v>5449</v>
      </c>
      <c r="M547" s="705">
        <v>4953</v>
      </c>
      <c r="N547" s="705">
        <v>2730</v>
      </c>
      <c r="O547" s="705">
        <v>1011</v>
      </c>
      <c r="P547" s="705">
        <v>702</v>
      </c>
      <c r="Q547" s="705">
        <v>260</v>
      </c>
      <c r="R547" s="705">
        <v>12690</v>
      </c>
      <c r="S547" s="705">
        <v>11536</v>
      </c>
      <c r="T547" s="705">
        <v>0</v>
      </c>
      <c r="U547" s="705">
        <v>0</v>
      </c>
      <c r="V547" s="705">
        <v>49067</v>
      </c>
      <c r="W547" s="705">
        <f t="shared" si="36"/>
        <v>49066</v>
      </c>
      <c r="X547" s="705">
        <f t="shared" si="37"/>
        <v>56008</v>
      </c>
      <c r="Y547" s="705"/>
    </row>
    <row r="548" spans="2:25">
      <c r="B548" t="s">
        <v>538</v>
      </c>
      <c r="C548" t="s">
        <v>122</v>
      </c>
      <c r="D548" t="s">
        <v>228</v>
      </c>
      <c r="E548" t="s">
        <v>228</v>
      </c>
      <c r="F548">
        <v>44</v>
      </c>
      <c r="G548" s="705">
        <v>3167</v>
      </c>
      <c r="H548" s="705">
        <v>18522</v>
      </c>
      <c r="I548" s="705">
        <v>828090</v>
      </c>
      <c r="J548" s="705">
        <v>306700</v>
      </c>
      <c r="K548">
        <v>100</v>
      </c>
      <c r="L548" s="705">
        <v>114396</v>
      </c>
      <c r="M548" s="705">
        <v>93030</v>
      </c>
      <c r="N548" s="705">
        <v>64487</v>
      </c>
      <c r="O548" s="705">
        <v>23884</v>
      </c>
      <c r="P548" s="705">
        <v>0</v>
      </c>
      <c r="Q548" s="705">
        <v>0</v>
      </c>
      <c r="R548" s="705">
        <v>310072</v>
      </c>
      <c r="S548" s="705">
        <v>114842</v>
      </c>
      <c r="T548" s="705">
        <v>5124</v>
      </c>
      <c r="U548" s="705">
        <v>1898</v>
      </c>
      <c r="V548" s="705">
        <v>540353</v>
      </c>
      <c r="W548" s="705">
        <f t="shared" si="36"/>
        <v>540354</v>
      </c>
      <c r="X548" s="705">
        <f t="shared" si="37"/>
        <v>1322169</v>
      </c>
      <c r="Y548" s="705"/>
    </row>
    <row r="549" spans="2:25">
      <c r="B549" t="s">
        <v>538</v>
      </c>
      <c r="C549" t="s">
        <v>122</v>
      </c>
      <c r="D549" t="s">
        <v>228</v>
      </c>
      <c r="E549" t="s">
        <v>666</v>
      </c>
      <c r="F549">
        <v>5</v>
      </c>
      <c r="G549">
        <v>226</v>
      </c>
      <c r="H549" s="705">
        <v>2045</v>
      </c>
      <c r="I549" s="705">
        <v>50964</v>
      </c>
      <c r="J549" s="705">
        <v>18876</v>
      </c>
      <c r="K549">
        <v>100</v>
      </c>
      <c r="L549" s="705">
        <v>5127</v>
      </c>
      <c r="M549" s="705">
        <v>4661</v>
      </c>
      <c r="N549" s="705">
        <v>5005</v>
      </c>
      <c r="O549" s="705">
        <v>1854</v>
      </c>
      <c r="P549" s="705">
        <v>0</v>
      </c>
      <c r="Q549">
        <v>0</v>
      </c>
      <c r="R549" s="705">
        <v>22553</v>
      </c>
      <c r="S549" s="705">
        <v>20503</v>
      </c>
      <c r="T549" s="705">
        <v>7922</v>
      </c>
      <c r="U549" s="705">
        <v>2934</v>
      </c>
      <c r="V549" s="705">
        <v>48827</v>
      </c>
      <c r="W549" s="705">
        <f t="shared" si="36"/>
        <v>48828</v>
      </c>
      <c r="X549" s="705">
        <f t="shared" si="37"/>
        <v>91571</v>
      </c>
      <c r="Y549" s="705"/>
    </row>
    <row r="550" spans="2:25">
      <c r="B550" t="s">
        <v>538</v>
      </c>
      <c r="C550" t="s">
        <v>122</v>
      </c>
      <c r="D550" t="s">
        <v>228</v>
      </c>
      <c r="E550" t="s">
        <v>665</v>
      </c>
      <c r="F550">
        <v>8</v>
      </c>
      <c r="G550" s="705">
        <v>493</v>
      </c>
      <c r="H550" s="705">
        <v>3364</v>
      </c>
      <c r="I550" s="705">
        <v>124655</v>
      </c>
      <c r="J550" s="705">
        <v>46169</v>
      </c>
      <c r="K550">
        <v>100</v>
      </c>
      <c r="L550" s="705">
        <v>12752</v>
      </c>
      <c r="M550" s="705">
        <v>10760</v>
      </c>
      <c r="N550" s="705">
        <v>10561</v>
      </c>
      <c r="O550" s="705">
        <v>3911</v>
      </c>
      <c r="P550" s="705">
        <v>0</v>
      </c>
      <c r="Q550" s="705">
        <v>0</v>
      </c>
      <c r="R550" s="705">
        <v>48122</v>
      </c>
      <c r="S550" s="705">
        <v>43747</v>
      </c>
      <c r="T550" s="705">
        <v>9198</v>
      </c>
      <c r="U550" s="705">
        <v>3407</v>
      </c>
      <c r="V550" s="705">
        <v>107994</v>
      </c>
      <c r="W550" s="705">
        <f t="shared" si="36"/>
        <v>107994</v>
      </c>
      <c r="X550" s="705">
        <f t="shared" si="37"/>
        <v>205288</v>
      </c>
      <c r="Y550" s="705"/>
    </row>
    <row r="551" spans="2:25">
      <c r="B551" t="s">
        <v>538</v>
      </c>
      <c r="C551" t="s">
        <v>122</v>
      </c>
      <c r="D551" t="s">
        <v>583</v>
      </c>
      <c r="E551" t="s">
        <v>228</v>
      </c>
      <c r="F551">
        <v>4</v>
      </c>
      <c r="G551" s="705">
        <v>323</v>
      </c>
      <c r="H551" s="705">
        <v>1602</v>
      </c>
      <c r="I551" s="705">
        <v>98080</v>
      </c>
      <c r="J551" s="705">
        <v>89163</v>
      </c>
      <c r="K551">
        <v>68</v>
      </c>
      <c r="L551" s="705">
        <v>0</v>
      </c>
      <c r="M551" s="705">
        <v>3565</v>
      </c>
      <c r="N551" s="705">
        <v>7237</v>
      </c>
      <c r="O551" s="705">
        <v>2680</v>
      </c>
      <c r="P551" s="705">
        <v>2484</v>
      </c>
      <c r="Q551" s="705">
        <v>920</v>
      </c>
      <c r="R551" s="705">
        <v>21951</v>
      </c>
      <c r="S551" s="705">
        <v>8130</v>
      </c>
      <c r="T551">
        <v>0</v>
      </c>
      <c r="U551">
        <v>0</v>
      </c>
      <c r="V551" s="705">
        <v>104459</v>
      </c>
      <c r="W551" s="705">
        <f t="shared" si="36"/>
        <v>104458</v>
      </c>
      <c r="X551" s="705">
        <f t="shared" si="37"/>
        <v>129752</v>
      </c>
      <c r="Y551" s="705"/>
    </row>
    <row r="552" spans="2:25">
      <c r="B552" t="s">
        <v>538</v>
      </c>
      <c r="C552" t="s">
        <v>122</v>
      </c>
      <c r="D552" t="s">
        <v>583</v>
      </c>
      <c r="E552" t="s">
        <v>583</v>
      </c>
      <c r="F552" s="705">
        <v>233</v>
      </c>
      <c r="G552" s="705">
        <v>21118</v>
      </c>
      <c r="H552" s="705">
        <v>96139</v>
      </c>
      <c r="I552" s="705">
        <v>5561997</v>
      </c>
      <c r="J552" s="705">
        <v>5056361</v>
      </c>
      <c r="K552">
        <v>75</v>
      </c>
      <c r="L552" s="705">
        <v>1144282</v>
      </c>
      <c r="M552" s="705">
        <v>986860</v>
      </c>
      <c r="N552" s="705">
        <v>455353</v>
      </c>
      <c r="O552" s="705">
        <v>168649</v>
      </c>
      <c r="P552" s="705">
        <v>148284</v>
      </c>
      <c r="Q552" s="705">
        <v>54920</v>
      </c>
      <c r="R552" s="705">
        <v>1054249</v>
      </c>
      <c r="S552" s="705">
        <v>958408</v>
      </c>
      <c r="T552" s="705">
        <v>447209</v>
      </c>
      <c r="U552" s="705">
        <v>165633</v>
      </c>
      <c r="V552" s="705">
        <v>7390832</v>
      </c>
      <c r="W552" s="705">
        <f t="shared" si="36"/>
        <v>7390831</v>
      </c>
      <c r="X552" s="705">
        <f t="shared" si="37"/>
        <v>8811374</v>
      </c>
      <c r="Y552" s="705"/>
    </row>
    <row r="553" spans="2:25">
      <c r="B553" t="s">
        <v>538</v>
      </c>
      <c r="C553" t="s">
        <v>122</v>
      </c>
      <c r="D553" t="s">
        <v>666</v>
      </c>
      <c r="E553" t="s">
        <v>666</v>
      </c>
      <c r="F553">
        <v>43</v>
      </c>
      <c r="G553" s="705">
        <v>2575</v>
      </c>
      <c r="H553" s="705">
        <v>17629</v>
      </c>
      <c r="I553" s="705">
        <v>607934</v>
      </c>
      <c r="J553" s="705">
        <v>552667</v>
      </c>
      <c r="K553">
        <v>51</v>
      </c>
      <c r="L553" s="705">
        <v>57884</v>
      </c>
      <c r="M553" s="705">
        <v>51846</v>
      </c>
      <c r="N553" s="705">
        <v>53217</v>
      </c>
      <c r="O553" s="705">
        <v>19710</v>
      </c>
      <c r="P553" s="705">
        <v>14742</v>
      </c>
      <c r="Q553" s="705">
        <v>5460</v>
      </c>
      <c r="R553" s="705">
        <v>232524</v>
      </c>
      <c r="S553" s="705">
        <v>211385</v>
      </c>
      <c r="T553" s="705">
        <v>85606</v>
      </c>
      <c r="U553" s="705">
        <v>31706</v>
      </c>
      <c r="V553" s="705">
        <v>872774</v>
      </c>
      <c r="W553" s="705">
        <f t="shared" si="36"/>
        <v>872774</v>
      </c>
      <c r="X553" s="705">
        <f t="shared" si="37"/>
        <v>1051907</v>
      </c>
      <c r="Y553" s="705"/>
    </row>
    <row r="554" spans="2:25">
      <c r="B554" t="s">
        <v>538</v>
      </c>
      <c r="C554" t="s">
        <v>122</v>
      </c>
      <c r="D554" t="s">
        <v>584</v>
      </c>
      <c r="E554" t="s">
        <v>584</v>
      </c>
      <c r="F554">
        <v>1</v>
      </c>
      <c r="G554">
        <v>82</v>
      </c>
      <c r="H554">
        <v>394</v>
      </c>
      <c r="I554" s="705">
        <v>20768</v>
      </c>
      <c r="J554" s="705">
        <v>18880</v>
      </c>
      <c r="K554">
        <v>65</v>
      </c>
      <c r="L554" s="705">
        <v>2264</v>
      </c>
      <c r="M554" s="705">
        <v>2058</v>
      </c>
      <c r="N554" s="705">
        <v>1772</v>
      </c>
      <c r="O554" s="705">
        <v>656</v>
      </c>
      <c r="P554" s="705">
        <v>473</v>
      </c>
      <c r="Q554">
        <v>175</v>
      </c>
      <c r="R554" s="705">
        <v>4567</v>
      </c>
      <c r="S554" s="705">
        <v>4152</v>
      </c>
      <c r="T554" s="705">
        <v>2322</v>
      </c>
      <c r="U554">
        <v>860</v>
      </c>
      <c r="V554" s="705">
        <v>26781</v>
      </c>
      <c r="W554" s="705">
        <f t="shared" si="36"/>
        <v>26781</v>
      </c>
      <c r="X554" s="705">
        <f t="shared" si="37"/>
        <v>32166</v>
      </c>
      <c r="Y554" s="705"/>
    </row>
    <row r="555" spans="2:25">
      <c r="B555" t="s">
        <v>538</v>
      </c>
      <c r="C555" t="s">
        <v>122</v>
      </c>
      <c r="D555" t="s">
        <v>669</v>
      </c>
      <c r="E555" t="s">
        <v>228</v>
      </c>
      <c r="F555">
        <v>1</v>
      </c>
      <c r="G555" s="705">
        <v>79</v>
      </c>
      <c r="H555" s="705">
        <v>408</v>
      </c>
      <c r="I555" s="705">
        <v>16267</v>
      </c>
      <c r="J555" s="705">
        <v>13555</v>
      </c>
      <c r="K555">
        <v>60</v>
      </c>
      <c r="L555" s="705">
        <v>3615</v>
      </c>
      <c r="M555" s="705">
        <v>3012</v>
      </c>
      <c r="N555" s="705">
        <v>1440</v>
      </c>
      <c r="O555" s="705">
        <v>533</v>
      </c>
      <c r="P555" s="705">
        <v>0</v>
      </c>
      <c r="Q555" s="705">
        <v>0</v>
      </c>
      <c r="R555" s="705">
        <v>10855</v>
      </c>
      <c r="S555" s="705">
        <v>4020</v>
      </c>
      <c r="T555" s="705">
        <v>0</v>
      </c>
      <c r="U555" s="705">
        <v>0</v>
      </c>
      <c r="V555" s="705">
        <v>21121</v>
      </c>
      <c r="W555" s="705">
        <f t="shared" si="36"/>
        <v>21120</v>
      </c>
      <c r="X555" s="705">
        <f t="shared" si="37"/>
        <v>32177</v>
      </c>
      <c r="Y555" s="705"/>
    </row>
    <row r="556" spans="2:25">
      <c r="B556" t="s">
        <v>538</v>
      </c>
      <c r="C556" t="s">
        <v>122</v>
      </c>
      <c r="D556" t="s">
        <v>669</v>
      </c>
      <c r="E556" t="s">
        <v>669</v>
      </c>
      <c r="F556">
        <v>10</v>
      </c>
      <c r="G556">
        <v>678</v>
      </c>
      <c r="H556" s="705">
        <v>4154</v>
      </c>
      <c r="I556" s="705">
        <v>170929</v>
      </c>
      <c r="J556" s="705">
        <v>142441</v>
      </c>
      <c r="K556">
        <v>59</v>
      </c>
      <c r="L556" s="705">
        <v>18379</v>
      </c>
      <c r="M556" s="705">
        <v>11961</v>
      </c>
      <c r="N556" s="705">
        <v>13117</v>
      </c>
      <c r="O556" s="705">
        <v>4858</v>
      </c>
      <c r="P556" s="705">
        <v>3780</v>
      </c>
      <c r="Q556" s="705">
        <v>1400</v>
      </c>
      <c r="R556" s="705">
        <v>51999</v>
      </c>
      <c r="S556" s="705">
        <v>43332</v>
      </c>
      <c r="T556" s="705">
        <v>22409</v>
      </c>
      <c r="U556" s="705">
        <v>8300</v>
      </c>
      <c r="V556" s="705">
        <v>212292</v>
      </c>
      <c r="W556" s="705">
        <f t="shared" si="36"/>
        <v>212292</v>
      </c>
      <c r="X556" s="705">
        <f t="shared" si="37"/>
        <v>280613</v>
      </c>
      <c r="Y556" s="705"/>
    </row>
    <row r="557" spans="2:25">
      <c r="B557" t="s">
        <v>538</v>
      </c>
      <c r="C557" t="s">
        <v>122</v>
      </c>
      <c r="D557" t="s">
        <v>671</v>
      </c>
      <c r="E557" t="s">
        <v>671</v>
      </c>
      <c r="F557">
        <v>2</v>
      </c>
      <c r="G557" s="705">
        <v>144</v>
      </c>
      <c r="H557" s="705">
        <v>830</v>
      </c>
      <c r="I557" s="705">
        <v>35072</v>
      </c>
      <c r="J557" s="705">
        <v>31884</v>
      </c>
      <c r="K557">
        <v>45</v>
      </c>
      <c r="L557" s="705">
        <v>5845</v>
      </c>
      <c r="M557" s="705">
        <v>5314</v>
      </c>
      <c r="N557" s="705">
        <v>2320</v>
      </c>
      <c r="O557" s="705">
        <v>859</v>
      </c>
      <c r="P557" s="705">
        <v>702</v>
      </c>
      <c r="Q557" s="705">
        <v>260</v>
      </c>
      <c r="R557" s="705">
        <v>11552</v>
      </c>
      <c r="S557" s="705">
        <v>10502</v>
      </c>
      <c r="T557" s="705">
        <v>4111</v>
      </c>
      <c r="U557" s="705">
        <v>1522</v>
      </c>
      <c r="V557" s="705">
        <v>50341</v>
      </c>
      <c r="W557" s="705">
        <f t="shared" si="36"/>
        <v>50341</v>
      </c>
      <c r="X557" s="705">
        <f t="shared" si="37"/>
        <v>59602</v>
      </c>
      <c r="Y557" s="705"/>
    </row>
    <row r="558" spans="2:25">
      <c r="B558" t="s">
        <v>538</v>
      </c>
      <c r="C558" t="s">
        <v>122</v>
      </c>
      <c r="D558" t="s">
        <v>665</v>
      </c>
      <c r="E558" t="s">
        <v>665</v>
      </c>
      <c r="F558">
        <v>67</v>
      </c>
      <c r="G558" s="705">
        <v>4664</v>
      </c>
      <c r="H558" s="705">
        <v>27612</v>
      </c>
      <c r="I558" s="705">
        <v>1134557</v>
      </c>
      <c r="J558" s="705">
        <v>1031416</v>
      </c>
      <c r="K558">
        <v>52</v>
      </c>
      <c r="L558" s="705">
        <v>137667</v>
      </c>
      <c r="M558" s="705">
        <v>113249</v>
      </c>
      <c r="N558" s="705">
        <v>97034</v>
      </c>
      <c r="O558" s="705">
        <v>35938</v>
      </c>
      <c r="P558" s="705">
        <v>23814</v>
      </c>
      <c r="Q558" s="705">
        <v>8820</v>
      </c>
      <c r="R558" s="705">
        <v>389359</v>
      </c>
      <c r="S558" s="705">
        <v>353963</v>
      </c>
      <c r="T558" s="705">
        <v>144886</v>
      </c>
      <c r="U558" s="705">
        <v>53661</v>
      </c>
      <c r="V558" s="705">
        <v>1597047</v>
      </c>
      <c r="W558" s="705">
        <f t="shared" si="36"/>
        <v>1597047</v>
      </c>
      <c r="X558" s="705">
        <f t="shared" si="37"/>
        <v>1927317</v>
      </c>
      <c r="Y558" s="705"/>
    </row>
    <row r="559" spans="2:25">
      <c r="B559" t="s">
        <v>538</v>
      </c>
      <c r="C559" t="s">
        <v>124</v>
      </c>
      <c r="F559">
        <v>10</v>
      </c>
      <c r="G559">
        <v>824</v>
      </c>
      <c r="H559" s="705">
        <v>5647</v>
      </c>
      <c r="I559" s="705"/>
      <c r="J559" s="705">
        <v>0</v>
      </c>
      <c r="L559" s="705"/>
      <c r="M559" s="705">
        <v>0</v>
      </c>
      <c r="N559" s="705">
        <v>17335</v>
      </c>
      <c r="O559" s="705">
        <v>6420</v>
      </c>
      <c r="P559" s="705">
        <v>5319</v>
      </c>
      <c r="Q559" s="705">
        <v>1970</v>
      </c>
      <c r="R559" s="705"/>
      <c r="S559" s="705">
        <v>0</v>
      </c>
      <c r="T559" s="705">
        <v>3241</v>
      </c>
      <c r="U559" s="705">
        <v>1200</v>
      </c>
      <c r="V559" s="705">
        <v>9591</v>
      </c>
      <c r="W559" s="705">
        <f t="shared" si="36"/>
        <v>9590</v>
      </c>
      <c r="X559" s="705">
        <f t="shared" si="37"/>
        <v>25895</v>
      </c>
      <c r="Y559" s="705"/>
    </row>
    <row r="560" spans="2:25">
      <c r="B560" t="s">
        <v>538</v>
      </c>
      <c r="C560" t="s">
        <v>124</v>
      </c>
      <c r="D560" t="s">
        <v>664</v>
      </c>
      <c r="E560" t="s">
        <v>664</v>
      </c>
      <c r="F560">
        <v>2</v>
      </c>
      <c r="G560" s="705">
        <v>212</v>
      </c>
      <c r="H560" s="705">
        <v>1073</v>
      </c>
      <c r="I560" s="705">
        <v>75561</v>
      </c>
      <c r="J560" s="705">
        <v>68692</v>
      </c>
      <c r="K560">
        <v>72</v>
      </c>
      <c r="L560" s="705">
        <v>19584</v>
      </c>
      <c r="M560" s="705">
        <v>17804</v>
      </c>
      <c r="N560" s="705">
        <v>5171</v>
      </c>
      <c r="O560" s="705">
        <v>1915</v>
      </c>
      <c r="P560" s="705">
        <v>945</v>
      </c>
      <c r="Q560" s="705">
        <v>350</v>
      </c>
      <c r="R560" s="705">
        <v>9786</v>
      </c>
      <c r="S560" s="705">
        <v>8897</v>
      </c>
      <c r="T560" s="705">
        <v>0</v>
      </c>
      <c r="U560" s="705">
        <v>0</v>
      </c>
      <c r="V560" s="705">
        <v>97658</v>
      </c>
      <c r="W560" s="705">
        <f t="shared" si="36"/>
        <v>97658</v>
      </c>
      <c r="X560" s="705">
        <f t="shared" si="37"/>
        <v>111047</v>
      </c>
      <c r="Y560" s="705"/>
    </row>
    <row r="561" spans="2:35">
      <c r="B561" t="s">
        <v>538</v>
      </c>
      <c r="C561" t="s">
        <v>124</v>
      </c>
      <c r="D561" t="s">
        <v>664</v>
      </c>
      <c r="E561" t="s">
        <v>228</v>
      </c>
      <c r="F561">
        <v>1</v>
      </c>
      <c r="G561">
        <v>69</v>
      </c>
      <c r="H561" s="705">
        <v>665</v>
      </c>
      <c r="I561" s="705">
        <v>35805</v>
      </c>
      <c r="J561" s="705">
        <v>32550</v>
      </c>
      <c r="K561">
        <v>20</v>
      </c>
      <c r="L561" s="705">
        <v>1953</v>
      </c>
      <c r="M561" s="705">
        <v>723</v>
      </c>
      <c r="N561" s="705">
        <v>1684</v>
      </c>
      <c r="O561" s="705">
        <v>624</v>
      </c>
      <c r="P561" s="705">
        <v>0</v>
      </c>
      <c r="Q561">
        <v>0</v>
      </c>
      <c r="R561" s="705">
        <v>6519</v>
      </c>
      <c r="S561" s="705">
        <v>2414</v>
      </c>
      <c r="T561">
        <v>0</v>
      </c>
      <c r="U561">
        <v>0</v>
      </c>
      <c r="V561" s="705">
        <v>36312</v>
      </c>
      <c r="W561" s="705">
        <f t="shared" si="36"/>
        <v>36311</v>
      </c>
      <c r="X561" s="705">
        <f t="shared" si="37"/>
        <v>45961</v>
      </c>
      <c r="Y561" s="705"/>
    </row>
    <row r="562" spans="2:35">
      <c r="B562" t="s">
        <v>538</v>
      </c>
      <c r="C562" t="s">
        <v>124</v>
      </c>
      <c r="D562" t="s">
        <v>582</v>
      </c>
      <c r="E562" t="s">
        <v>582</v>
      </c>
      <c r="F562" s="705">
        <v>1</v>
      </c>
      <c r="G562" s="705">
        <v>61</v>
      </c>
      <c r="H562" s="705">
        <v>665</v>
      </c>
      <c r="I562" s="705">
        <v>24593</v>
      </c>
      <c r="J562" s="705">
        <v>22358</v>
      </c>
      <c r="K562">
        <v>65</v>
      </c>
      <c r="L562" s="705">
        <v>2598</v>
      </c>
      <c r="M562" s="705">
        <v>2362</v>
      </c>
      <c r="N562" s="705">
        <v>1253</v>
      </c>
      <c r="O562" s="705">
        <v>464</v>
      </c>
      <c r="P562" s="705">
        <v>702</v>
      </c>
      <c r="Q562" s="705">
        <v>260</v>
      </c>
      <c r="R562" s="705">
        <v>6981</v>
      </c>
      <c r="S562" s="705">
        <v>6347</v>
      </c>
      <c r="T562" s="705">
        <v>4125</v>
      </c>
      <c r="U562" s="705">
        <v>1528</v>
      </c>
      <c r="V562" s="705">
        <v>33318</v>
      </c>
      <c r="W562" s="705">
        <f t="shared" si="36"/>
        <v>33319</v>
      </c>
      <c r="X562" s="705">
        <f t="shared" si="37"/>
        <v>40252</v>
      </c>
      <c r="Y562" s="705"/>
    </row>
    <row r="563" spans="2:35">
      <c r="B563" t="s">
        <v>538</v>
      </c>
      <c r="C563" t="s">
        <v>124</v>
      </c>
      <c r="D563" t="s">
        <v>228</v>
      </c>
      <c r="E563" t="s">
        <v>228</v>
      </c>
      <c r="F563">
        <v>106</v>
      </c>
      <c r="G563" s="705">
        <v>8662</v>
      </c>
      <c r="H563" s="705">
        <v>70383</v>
      </c>
      <c r="I563" s="705">
        <v>3903399</v>
      </c>
      <c r="J563" s="705">
        <v>1445703</v>
      </c>
      <c r="K563">
        <v>100</v>
      </c>
      <c r="L563" s="705">
        <v>780334</v>
      </c>
      <c r="M563" s="705">
        <v>658741</v>
      </c>
      <c r="N563" s="705">
        <v>194223</v>
      </c>
      <c r="O563" s="705">
        <v>71934</v>
      </c>
      <c r="P563" s="705">
        <v>1036</v>
      </c>
      <c r="Q563" s="705">
        <v>384</v>
      </c>
      <c r="R563" s="705">
        <v>702503</v>
      </c>
      <c r="S563" s="705">
        <v>260186</v>
      </c>
      <c r="T563" s="705">
        <v>1609</v>
      </c>
      <c r="U563" s="705">
        <v>596</v>
      </c>
      <c r="V563" s="705">
        <v>2437544</v>
      </c>
      <c r="W563" s="705">
        <f t="shared" si="36"/>
        <v>2437544</v>
      </c>
      <c r="X563" s="705">
        <f t="shared" si="37"/>
        <v>5583104</v>
      </c>
      <c r="Y563" s="705"/>
    </row>
    <row r="564" spans="2:35">
      <c r="B564" t="s">
        <v>538</v>
      </c>
      <c r="C564" t="s">
        <v>124</v>
      </c>
      <c r="D564" t="s">
        <v>228</v>
      </c>
      <c r="E564" t="s">
        <v>666</v>
      </c>
      <c r="F564">
        <v>5</v>
      </c>
      <c r="G564">
        <v>198</v>
      </c>
      <c r="H564" s="705">
        <v>2551</v>
      </c>
      <c r="I564" s="705">
        <v>60169</v>
      </c>
      <c r="J564" s="705">
        <v>22285</v>
      </c>
      <c r="K564">
        <v>100</v>
      </c>
      <c r="L564" s="705">
        <v>6053</v>
      </c>
      <c r="M564" s="705">
        <v>5502</v>
      </c>
      <c r="N564" s="705">
        <v>4355</v>
      </c>
      <c r="O564" s="705">
        <v>1613</v>
      </c>
      <c r="P564">
        <v>0</v>
      </c>
      <c r="Q564">
        <v>0</v>
      </c>
      <c r="R564" s="705">
        <v>22826</v>
      </c>
      <c r="S564" s="705">
        <v>20751</v>
      </c>
      <c r="T564" s="705">
        <v>7526</v>
      </c>
      <c r="U564" s="705">
        <v>2788</v>
      </c>
      <c r="V564" s="705">
        <v>52939</v>
      </c>
      <c r="W564" s="705">
        <f t="shared" si="36"/>
        <v>52939</v>
      </c>
      <c r="X564" s="705">
        <f t="shared" si="37"/>
        <v>100929</v>
      </c>
      <c r="Y564" s="705"/>
    </row>
    <row r="565" spans="2:35">
      <c r="B565" t="s">
        <v>538</v>
      </c>
      <c r="C565" t="s">
        <v>124</v>
      </c>
      <c r="D565" t="s">
        <v>228</v>
      </c>
      <c r="E565" t="s">
        <v>669</v>
      </c>
      <c r="F565">
        <v>3</v>
      </c>
      <c r="G565">
        <v>221</v>
      </c>
      <c r="H565" s="705">
        <v>1580</v>
      </c>
      <c r="I565" s="705">
        <v>77259</v>
      </c>
      <c r="J565" s="705">
        <v>28614</v>
      </c>
      <c r="K565">
        <v>100</v>
      </c>
      <c r="L565" s="705">
        <v>11775</v>
      </c>
      <c r="M565" s="705">
        <v>9812</v>
      </c>
      <c r="N565" s="705">
        <v>4519</v>
      </c>
      <c r="O565" s="705">
        <v>1674</v>
      </c>
      <c r="P565" s="705">
        <v>0</v>
      </c>
      <c r="Q565">
        <v>0</v>
      </c>
      <c r="R565" s="705">
        <v>18277</v>
      </c>
      <c r="S565" s="705">
        <v>15231</v>
      </c>
      <c r="T565" s="705">
        <v>4417</v>
      </c>
      <c r="U565" s="705">
        <v>1636</v>
      </c>
      <c r="V565" s="705">
        <v>56968</v>
      </c>
      <c r="W565" s="705">
        <f t="shared" si="36"/>
        <v>56967</v>
      </c>
      <c r="X565" s="705">
        <f t="shared" si="37"/>
        <v>116247</v>
      </c>
      <c r="Y565" s="705"/>
    </row>
    <row r="566" spans="2:35">
      <c r="B566" t="s">
        <v>538</v>
      </c>
      <c r="C566" t="s">
        <v>124</v>
      </c>
      <c r="D566" t="s">
        <v>228</v>
      </c>
      <c r="E566" t="s">
        <v>671</v>
      </c>
      <c r="F566">
        <v>1</v>
      </c>
      <c r="G566">
        <v>92</v>
      </c>
      <c r="H566" s="705">
        <v>691</v>
      </c>
      <c r="I566" s="705">
        <v>34514</v>
      </c>
      <c r="J566" s="705">
        <v>12783</v>
      </c>
      <c r="K566">
        <v>100</v>
      </c>
      <c r="L566" s="705">
        <v>11718</v>
      </c>
      <c r="M566" s="705">
        <v>10652</v>
      </c>
      <c r="N566" s="705">
        <v>2234</v>
      </c>
      <c r="O566" s="705">
        <v>828</v>
      </c>
      <c r="P566" s="705">
        <v>0</v>
      </c>
      <c r="Q566" s="705">
        <v>0</v>
      </c>
      <c r="R566" s="705">
        <v>10358</v>
      </c>
      <c r="S566" s="705">
        <v>9416</v>
      </c>
      <c r="T566" s="705">
        <v>4548</v>
      </c>
      <c r="U566" s="705">
        <v>1684</v>
      </c>
      <c r="V566" s="705">
        <v>35364</v>
      </c>
      <c r="W566" s="705">
        <f t="shared" si="36"/>
        <v>35363</v>
      </c>
      <c r="X566" s="705">
        <f t="shared" si="37"/>
        <v>63372</v>
      </c>
      <c r="Y566" s="705"/>
    </row>
    <row r="567" spans="2:35">
      <c r="B567" t="s">
        <v>538</v>
      </c>
      <c r="C567" t="s">
        <v>124</v>
      </c>
      <c r="D567" t="s">
        <v>228</v>
      </c>
      <c r="E567" t="s">
        <v>665</v>
      </c>
      <c r="F567">
        <v>34</v>
      </c>
      <c r="G567" s="705">
        <v>2314</v>
      </c>
      <c r="H567" s="705">
        <v>20486</v>
      </c>
      <c r="I567" s="705">
        <v>1000475</v>
      </c>
      <c r="J567" s="705">
        <v>370546</v>
      </c>
      <c r="K567">
        <v>100</v>
      </c>
      <c r="L567" s="705">
        <v>115798</v>
      </c>
      <c r="M567" s="705">
        <v>104455</v>
      </c>
      <c r="N567" s="705">
        <v>49769</v>
      </c>
      <c r="O567" s="705">
        <v>18433</v>
      </c>
      <c r="P567">
        <v>621</v>
      </c>
      <c r="Q567">
        <v>230</v>
      </c>
      <c r="R567" s="705">
        <v>176723</v>
      </c>
      <c r="S567" s="705">
        <v>160657</v>
      </c>
      <c r="T567" s="705">
        <v>60249</v>
      </c>
      <c r="U567" s="705">
        <v>22314</v>
      </c>
      <c r="V567" s="705">
        <v>676636</v>
      </c>
      <c r="W567" s="705">
        <f t="shared" si="36"/>
        <v>676635</v>
      </c>
      <c r="X567" s="705">
        <f t="shared" si="37"/>
        <v>1403635</v>
      </c>
      <c r="Y567" s="705"/>
    </row>
    <row r="568" spans="2:35">
      <c r="B568" t="s">
        <v>538</v>
      </c>
      <c r="C568" t="s">
        <v>124</v>
      </c>
      <c r="D568" t="s">
        <v>583</v>
      </c>
      <c r="E568" t="s">
        <v>664</v>
      </c>
      <c r="F568">
        <v>1</v>
      </c>
      <c r="G568">
        <v>78</v>
      </c>
      <c r="H568">
        <v>562</v>
      </c>
      <c r="I568" s="705">
        <v>28777</v>
      </c>
      <c r="J568" s="705">
        <v>26161</v>
      </c>
      <c r="K568">
        <v>79</v>
      </c>
      <c r="L568" s="705">
        <v>7994</v>
      </c>
      <c r="M568" s="705">
        <v>7267</v>
      </c>
      <c r="N568" s="705">
        <v>1705</v>
      </c>
      <c r="O568" s="705">
        <v>631</v>
      </c>
      <c r="P568" s="705">
        <v>621</v>
      </c>
      <c r="Q568" s="705">
        <v>230</v>
      </c>
      <c r="R568" s="705">
        <v>4568</v>
      </c>
      <c r="S568" s="705">
        <v>4153</v>
      </c>
      <c r="T568">
        <v>0</v>
      </c>
      <c r="U568">
        <v>0</v>
      </c>
      <c r="V568" s="705">
        <v>38442</v>
      </c>
      <c r="W568" s="705">
        <f t="shared" si="36"/>
        <v>38442</v>
      </c>
      <c r="X568" s="705">
        <f t="shared" si="37"/>
        <v>43665</v>
      </c>
      <c r="Y568" s="705"/>
    </row>
    <row r="569" spans="2:35">
      <c r="B569" t="s">
        <v>538</v>
      </c>
      <c r="C569" t="s">
        <v>124</v>
      </c>
      <c r="D569" t="s">
        <v>583</v>
      </c>
      <c r="E569" t="s">
        <v>228</v>
      </c>
      <c r="F569">
        <v>5</v>
      </c>
      <c r="G569">
        <v>457</v>
      </c>
      <c r="H569" s="705">
        <v>2777</v>
      </c>
      <c r="I569" s="705">
        <v>158162</v>
      </c>
      <c r="J569" s="705">
        <v>143784</v>
      </c>
      <c r="K569">
        <v>77</v>
      </c>
      <c r="L569" s="705">
        <v>42905</v>
      </c>
      <c r="M569" s="705">
        <v>39004</v>
      </c>
      <c r="N569" s="705">
        <v>10295</v>
      </c>
      <c r="O569" s="705">
        <v>3813</v>
      </c>
      <c r="P569" s="705">
        <v>3105</v>
      </c>
      <c r="Q569" s="705">
        <v>1150</v>
      </c>
      <c r="R569" s="705">
        <v>26383</v>
      </c>
      <c r="S569" s="705">
        <v>9771</v>
      </c>
      <c r="T569" s="705">
        <v>0</v>
      </c>
      <c r="U569">
        <v>0</v>
      </c>
      <c r="V569" s="705">
        <v>197522</v>
      </c>
      <c r="W569" s="705">
        <f t="shared" si="36"/>
        <v>197522</v>
      </c>
      <c r="X569" s="705">
        <f t="shared" si="37"/>
        <v>240850</v>
      </c>
      <c r="Y569" s="705"/>
    </row>
    <row r="570" spans="2:35">
      <c r="B570" t="s">
        <v>538</v>
      </c>
      <c r="C570" t="s">
        <v>124</v>
      </c>
      <c r="D570" t="s">
        <v>583</v>
      </c>
      <c r="E570" t="s">
        <v>583</v>
      </c>
      <c r="F570">
        <v>194</v>
      </c>
      <c r="G570" s="705">
        <v>16270</v>
      </c>
      <c r="H570" s="705">
        <v>103323</v>
      </c>
      <c r="I570" s="705">
        <v>5782967</v>
      </c>
      <c r="J570" s="705">
        <v>5257243</v>
      </c>
      <c r="K570">
        <v>71</v>
      </c>
      <c r="L570" s="705">
        <v>1117305</v>
      </c>
      <c r="M570" s="705">
        <v>983298</v>
      </c>
      <c r="N570" s="705">
        <v>355582</v>
      </c>
      <c r="O570" s="705">
        <v>131697</v>
      </c>
      <c r="P570" s="705">
        <v>122580</v>
      </c>
      <c r="Q570" s="705">
        <v>45400</v>
      </c>
      <c r="R570" s="705">
        <v>895420</v>
      </c>
      <c r="S570" s="705">
        <v>814018</v>
      </c>
      <c r="T570" s="705">
        <v>362339</v>
      </c>
      <c r="U570" s="705">
        <v>134200</v>
      </c>
      <c r="V570" s="705">
        <v>7365856</v>
      </c>
      <c r="W570" s="705">
        <f t="shared" si="36"/>
        <v>7365856</v>
      </c>
      <c r="X570" s="705">
        <f t="shared" si="37"/>
        <v>8636193</v>
      </c>
      <c r="Y570" s="705"/>
    </row>
    <row r="571" spans="2:35">
      <c r="B571" t="s">
        <v>538</v>
      </c>
      <c r="C571" t="s">
        <v>124</v>
      </c>
      <c r="D571" t="s">
        <v>666</v>
      </c>
      <c r="E571" t="s">
        <v>228</v>
      </c>
      <c r="F571">
        <v>2</v>
      </c>
      <c r="G571">
        <v>133</v>
      </c>
      <c r="H571" s="705">
        <v>2724</v>
      </c>
      <c r="I571" s="705">
        <v>159043</v>
      </c>
      <c r="J571" s="705">
        <v>144584</v>
      </c>
      <c r="K571">
        <v>30</v>
      </c>
      <c r="L571" s="705">
        <v>3943</v>
      </c>
      <c r="M571" s="705">
        <v>1461</v>
      </c>
      <c r="N571" s="705">
        <v>3247</v>
      </c>
      <c r="O571" s="705">
        <v>1203</v>
      </c>
      <c r="P571" s="705">
        <v>0</v>
      </c>
      <c r="Q571" s="705">
        <v>0</v>
      </c>
      <c r="R571" s="705">
        <v>20573</v>
      </c>
      <c r="S571" s="705">
        <v>7620</v>
      </c>
      <c r="T571" s="705">
        <v>0</v>
      </c>
      <c r="U571" s="705">
        <v>0</v>
      </c>
      <c r="V571" s="705">
        <v>154867</v>
      </c>
      <c r="W571" s="705">
        <f t="shared" si="36"/>
        <v>154868</v>
      </c>
      <c r="X571" s="705">
        <f t="shared" si="37"/>
        <v>186806</v>
      </c>
      <c r="Y571" s="705"/>
    </row>
    <row r="572" spans="2:35">
      <c r="B572" t="s">
        <v>538</v>
      </c>
      <c r="C572" t="s">
        <v>124</v>
      </c>
      <c r="D572" t="s">
        <v>666</v>
      </c>
      <c r="E572" t="s">
        <v>583</v>
      </c>
      <c r="F572">
        <v>1</v>
      </c>
      <c r="G572">
        <v>50</v>
      </c>
      <c r="H572">
        <v>468</v>
      </c>
      <c r="I572" s="705">
        <v>15680</v>
      </c>
      <c r="J572" s="705">
        <v>14254</v>
      </c>
      <c r="K572">
        <v>55</v>
      </c>
      <c r="L572" s="705">
        <v>0</v>
      </c>
      <c r="M572" s="705">
        <v>0</v>
      </c>
      <c r="N572" s="705">
        <v>1211</v>
      </c>
      <c r="O572" s="705">
        <v>448</v>
      </c>
      <c r="P572" s="705">
        <v>351</v>
      </c>
      <c r="Q572" s="705">
        <v>130</v>
      </c>
      <c r="R572" s="705">
        <v>4338</v>
      </c>
      <c r="S572" s="705">
        <v>3944</v>
      </c>
      <c r="T572" s="705">
        <v>1653</v>
      </c>
      <c r="U572">
        <v>612</v>
      </c>
      <c r="V572" s="705">
        <v>19389</v>
      </c>
      <c r="W572" s="705">
        <f t="shared" si="36"/>
        <v>19388</v>
      </c>
      <c r="X572" s="705">
        <f t="shared" si="37"/>
        <v>23233</v>
      </c>
      <c r="Y572" s="705"/>
      <c r="AI572" s="429"/>
    </row>
    <row r="573" spans="2:35">
      <c r="B573" t="s">
        <v>538</v>
      </c>
      <c r="C573" t="s">
        <v>124</v>
      </c>
      <c r="D573" t="s">
        <v>666</v>
      </c>
      <c r="E573" t="s">
        <v>666</v>
      </c>
      <c r="F573">
        <v>22</v>
      </c>
      <c r="G573" s="705">
        <v>1404</v>
      </c>
      <c r="H573" s="705">
        <v>13125</v>
      </c>
      <c r="I573" s="705">
        <v>527663</v>
      </c>
      <c r="J573" s="705">
        <v>479693</v>
      </c>
      <c r="K573">
        <v>51</v>
      </c>
      <c r="L573" s="705">
        <v>83730</v>
      </c>
      <c r="M573" s="705">
        <v>47439</v>
      </c>
      <c r="N573" s="705">
        <v>32942</v>
      </c>
      <c r="O573" s="705">
        <v>12201</v>
      </c>
      <c r="P573" s="705">
        <v>4563</v>
      </c>
      <c r="Q573" s="705">
        <v>1690</v>
      </c>
      <c r="R573" s="705">
        <v>119035</v>
      </c>
      <c r="S573" s="705">
        <v>108214</v>
      </c>
      <c r="T573" s="705">
        <v>43138</v>
      </c>
      <c r="U573" s="705">
        <v>15977</v>
      </c>
      <c r="V573" s="705">
        <v>665214</v>
      </c>
      <c r="W573" s="705">
        <f t="shared" si="36"/>
        <v>665214</v>
      </c>
      <c r="X573" s="705">
        <f t="shared" si="37"/>
        <v>811071</v>
      </c>
      <c r="Y573" s="705"/>
      <c r="AI573" s="429"/>
    </row>
    <row r="574" spans="2:35">
      <c r="B574" t="s">
        <v>538</v>
      </c>
      <c r="C574" t="s">
        <v>124</v>
      </c>
      <c r="D574" t="s">
        <v>666</v>
      </c>
      <c r="E574" t="s">
        <v>671</v>
      </c>
      <c r="F574">
        <v>1</v>
      </c>
      <c r="G574" s="705">
        <v>150</v>
      </c>
      <c r="H574" s="705">
        <v>642</v>
      </c>
      <c r="I574" s="705">
        <v>70204</v>
      </c>
      <c r="J574" s="705">
        <v>63822</v>
      </c>
      <c r="K574">
        <v>30</v>
      </c>
      <c r="L574" s="705">
        <v>5200</v>
      </c>
      <c r="M574" s="705">
        <v>4728</v>
      </c>
      <c r="N574" s="705">
        <v>3662</v>
      </c>
      <c r="O574" s="705">
        <v>1356</v>
      </c>
      <c r="P574" s="705">
        <v>0</v>
      </c>
      <c r="Q574" s="705">
        <v>0</v>
      </c>
      <c r="R574" s="705">
        <v>17387</v>
      </c>
      <c r="S574" s="705">
        <v>15807</v>
      </c>
      <c r="T574" s="705">
        <v>0</v>
      </c>
      <c r="U574" s="705">
        <v>0</v>
      </c>
      <c r="V574" s="705">
        <v>85712</v>
      </c>
      <c r="W574" s="705">
        <f t="shared" si="36"/>
        <v>85713</v>
      </c>
      <c r="X574" s="705">
        <f t="shared" si="37"/>
        <v>96453</v>
      </c>
      <c r="Y574" s="705"/>
      <c r="AI574" s="429"/>
    </row>
    <row r="575" spans="2:35">
      <c r="B575" t="s">
        <v>538</v>
      </c>
      <c r="C575" t="s">
        <v>124</v>
      </c>
      <c r="D575" t="s">
        <v>669</v>
      </c>
      <c r="E575" t="s">
        <v>228</v>
      </c>
      <c r="F575">
        <v>1</v>
      </c>
      <c r="G575" s="705">
        <v>66</v>
      </c>
      <c r="H575" s="705">
        <v>1176</v>
      </c>
      <c r="I575" s="705">
        <v>65497</v>
      </c>
      <c r="J575" s="705">
        <v>54581</v>
      </c>
      <c r="K575">
        <v>30</v>
      </c>
      <c r="L575" s="705">
        <v>4852</v>
      </c>
      <c r="M575" s="705">
        <v>4043</v>
      </c>
      <c r="N575" s="705">
        <v>1613</v>
      </c>
      <c r="O575" s="705">
        <v>597</v>
      </c>
      <c r="P575" s="705">
        <v>0</v>
      </c>
      <c r="Q575">
        <v>0</v>
      </c>
      <c r="R575" s="705">
        <v>5856</v>
      </c>
      <c r="S575" s="705">
        <v>2169</v>
      </c>
      <c r="T575" s="705">
        <v>0</v>
      </c>
      <c r="U575" s="705">
        <v>0</v>
      </c>
      <c r="V575" s="705">
        <v>61391</v>
      </c>
      <c r="W575" s="705">
        <f t="shared" si="36"/>
        <v>61390</v>
      </c>
      <c r="X575" s="705">
        <f t="shared" si="37"/>
        <v>77818</v>
      </c>
      <c r="Y575" s="705"/>
      <c r="AI575" s="429"/>
    </row>
    <row r="576" spans="2:35">
      <c r="B576" t="s">
        <v>538</v>
      </c>
      <c r="C576" t="s">
        <v>124</v>
      </c>
      <c r="D576" t="s">
        <v>669</v>
      </c>
      <c r="E576" t="s">
        <v>669</v>
      </c>
      <c r="F576">
        <v>10</v>
      </c>
      <c r="G576" s="705">
        <v>801</v>
      </c>
      <c r="H576" s="705">
        <v>5658</v>
      </c>
      <c r="I576" s="705">
        <v>307406</v>
      </c>
      <c r="J576" s="705">
        <v>256172</v>
      </c>
      <c r="K576">
        <v>54</v>
      </c>
      <c r="L576" s="705">
        <v>32615</v>
      </c>
      <c r="M576" s="705">
        <v>24991</v>
      </c>
      <c r="N576" s="705">
        <v>17085</v>
      </c>
      <c r="O576" s="705">
        <v>6328</v>
      </c>
      <c r="P576" s="705">
        <v>3861</v>
      </c>
      <c r="Q576" s="705">
        <v>1430</v>
      </c>
      <c r="R576" s="705">
        <v>59948</v>
      </c>
      <c r="S576" s="705">
        <v>49957</v>
      </c>
      <c r="T576" s="705">
        <v>19440</v>
      </c>
      <c r="U576" s="705">
        <v>7200</v>
      </c>
      <c r="V576" s="705">
        <v>346078</v>
      </c>
      <c r="W576" s="705">
        <f t="shared" si="36"/>
        <v>346078</v>
      </c>
      <c r="X576" s="705">
        <f t="shared" si="37"/>
        <v>440355</v>
      </c>
      <c r="Y576" s="705"/>
      <c r="AI576" s="429"/>
    </row>
    <row r="577" spans="2:35">
      <c r="B577" t="s">
        <v>538</v>
      </c>
      <c r="C577" t="s">
        <v>124</v>
      </c>
      <c r="D577" t="s">
        <v>671</v>
      </c>
      <c r="E577" t="s">
        <v>671</v>
      </c>
      <c r="F577">
        <v>3</v>
      </c>
      <c r="G577" s="705">
        <v>244</v>
      </c>
      <c r="H577" s="705">
        <v>1784</v>
      </c>
      <c r="I577" s="705">
        <v>102244</v>
      </c>
      <c r="J577" s="705">
        <v>92949</v>
      </c>
      <c r="K577">
        <v>62</v>
      </c>
      <c r="L577" s="705">
        <v>14445</v>
      </c>
      <c r="M577" s="705">
        <v>7589</v>
      </c>
      <c r="N577" s="705">
        <v>4776</v>
      </c>
      <c r="O577" s="705">
        <v>1769</v>
      </c>
      <c r="P577" s="705">
        <v>351</v>
      </c>
      <c r="Q577" s="705">
        <v>130</v>
      </c>
      <c r="R577" s="705">
        <v>15520</v>
      </c>
      <c r="S577" s="705">
        <v>14109</v>
      </c>
      <c r="T577" s="705">
        <v>7872</v>
      </c>
      <c r="U577" s="705">
        <v>2916</v>
      </c>
      <c r="V577" s="705">
        <v>119462</v>
      </c>
      <c r="W577" s="705">
        <f t="shared" si="36"/>
        <v>119462</v>
      </c>
      <c r="X577" s="705">
        <f t="shared" si="37"/>
        <v>145208</v>
      </c>
      <c r="Y577" s="705"/>
      <c r="AI577" s="429"/>
    </row>
    <row r="578" spans="2:35">
      <c r="B578" t="s">
        <v>538</v>
      </c>
      <c r="C578" t="s">
        <v>124</v>
      </c>
      <c r="D578" t="s">
        <v>665</v>
      </c>
      <c r="E578" t="s">
        <v>228</v>
      </c>
      <c r="F578">
        <v>30</v>
      </c>
      <c r="G578" s="705">
        <v>2594</v>
      </c>
      <c r="H578" s="705">
        <v>29584</v>
      </c>
      <c r="I578" s="705">
        <v>2075879</v>
      </c>
      <c r="J578" s="705">
        <v>1887163</v>
      </c>
      <c r="K578">
        <v>37</v>
      </c>
      <c r="L578" s="705">
        <v>164300</v>
      </c>
      <c r="M578" s="705">
        <v>90847</v>
      </c>
      <c r="N578" s="705">
        <v>61037</v>
      </c>
      <c r="O578" s="705">
        <v>22606</v>
      </c>
      <c r="P578" s="705">
        <v>1053</v>
      </c>
      <c r="Q578">
        <v>390</v>
      </c>
      <c r="R578" s="705">
        <v>165723</v>
      </c>
      <c r="S578" s="705">
        <v>61379</v>
      </c>
      <c r="T578" s="705">
        <v>4152</v>
      </c>
      <c r="U578" s="705">
        <v>1538</v>
      </c>
      <c r="V578" s="705">
        <v>2063923</v>
      </c>
      <c r="W578" s="705">
        <f t="shared" si="36"/>
        <v>2063923</v>
      </c>
      <c r="X578" s="705">
        <f t="shared" si="37"/>
        <v>2472144</v>
      </c>
      <c r="Y578" s="705"/>
      <c r="AI578" s="429"/>
    </row>
    <row r="579" spans="2:35">
      <c r="B579" t="s">
        <v>538</v>
      </c>
      <c r="C579" t="s">
        <v>124</v>
      </c>
      <c r="D579" t="s">
        <v>665</v>
      </c>
      <c r="E579" t="s">
        <v>665</v>
      </c>
      <c r="F579">
        <v>98</v>
      </c>
      <c r="G579" s="705">
        <v>6734</v>
      </c>
      <c r="H579" s="705">
        <v>63175</v>
      </c>
      <c r="I579" s="705">
        <v>3063129</v>
      </c>
      <c r="J579" s="705">
        <v>2784663</v>
      </c>
      <c r="K579">
        <v>51</v>
      </c>
      <c r="L579" s="705">
        <v>364205</v>
      </c>
      <c r="M579" s="705">
        <v>284305</v>
      </c>
      <c r="N579" s="705">
        <v>147656</v>
      </c>
      <c r="O579" s="705">
        <v>54687</v>
      </c>
      <c r="P579" s="705">
        <v>26163</v>
      </c>
      <c r="Q579" s="705">
        <v>9690</v>
      </c>
      <c r="R579" s="705">
        <v>522595</v>
      </c>
      <c r="S579" s="705">
        <v>475087</v>
      </c>
      <c r="T579" s="705">
        <v>185149</v>
      </c>
      <c r="U579" s="705">
        <v>68574</v>
      </c>
      <c r="V579" s="705">
        <v>3677006</v>
      </c>
      <c r="W579" s="705">
        <f t="shared" si="36"/>
        <v>3677006</v>
      </c>
      <c r="X579" s="705">
        <f t="shared" si="37"/>
        <v>4308897</v>
      </c>
      <c r="Y579" s="705"/>
      <c r="AI579" s="429"/>
    </row>
    <row r="580" spans="2:35">
      <c r="B580" t="s">
        <v>538</v>
      </c>
      <c r="C580" t="s">
        <v>124</v>
      </c>
      <c r="D580" t="s">
        <v>673</v>
      </c>
      <c r="E580" t="s">
        <v>673</v>
      </c>
      <c r="F580">
        <v>3</v>
      </c>
      <c r="G580" s="705">
        <v>216</v>
      </c>
      <c r="H580" s="705">
        <v>1789</v>
      </c>
      <c r="I580" s="705">
        <v>77599</v>
      </c>
      <c r="J580" s="705">
        <v>70545</v>
      </c>
      <c r="K580">
        <v>48</v>
      </c>
      <c r="L580" s="705">
        <v>20071</v>
      </c>
      <c r="M580" s="705">
        <v>9490</v>
      </c>
      <c r="N580" s="705">
        <v>5258</v>
      </c>
      <c r="O580" s="705">
        <v>1947</v>
      </c>
      <c r="P580" s="705">
        <v>1053</v>
      </c>
      <c r="Q580" s="705">
        <v>390</v>
      </c>
      <c r="R580" s="705">
        <v>15958</v>
      </c>
      <c r="S580" s="705">
        <v>14507</v>
      </c>
      <c r="T580" s="705">
        <v>7503</v>
      </c>
      <c r="U580" s="705">
        <v>2779</v>
      </c>
      <c r="V580" s="705">
        <v>99658</v>
      </c>
      <c r="W580" s="705">
        <f t="shared" si="36"/>
        <v>99658</v>
      </c>
      <c r="X580" s="705">
        <f t="shared" si="37"/>
        <v>127442</v>
      </c>
      <c r="Y580" s="705"/>
      <c r="AI580" s="429"/>
    </row>
    <row r="581" spans="2:35">
      <c r="B581" t="s">
        <v>539</v>
      </c>
      <c r="C581" t="s">
        <v>108</v>
      </c>
      <c r="F581">
        <v>38</v>
      </c>
      <c r="G581" s="705">
        <v>4130</v>
      </c>
      <c r="H581" s="705">
        <v>2139</v>
      </c>
      <c r="I581" s="705"/>
      <c r="J581" s="705">
        <v>0</v>
      </c>
      <c r="M581" s="705">
        <v>0</v>
      </c>
      <c r="N581" s="705">
        <v>50317</v>
      </c>
      <c r="O581" s="705">
        <v>18636</v>
      </c>
      <c r="P581" s="705">
        <v>48868</v>
      </c>
      <c r="Q581" s="705">
        <v>18099</v>
      </c>
      <c r="R581" s="705"/>
      <c r="S581" s="705">
        <v>0</v>
      </c>
      <c r="T581" s="705">
        <v>0</v>
      </c>
      <c r="U581">
        <v>0</v>
      </c>
      <c r="V581" s="705">
        <v>36735</v>
      </c>
      <c r="W581" s="705">
        <f t="shared" si="36"/>
        <v>36735</v>
      </c>
      <c r="X581" s="705">
        <f t="shared" si="37"/>
        <v>99185</v>
      </c>
      <c r="Y581" s="705"/>
      <c r="AI581" s="429"/>
    </row>
    <row r="582" spans="2:35">
      <c r="B582" t="s">
        <v>539</v>
      </c>
      <c r="C582" t="s">
        <v>108</v>
      </c>
      <c r="D582" t="s">
        <v>228</v>
      </c>
      <c r="E582" t="s">
        <v>228</v>
      </c>
      <c r="F582" s="705">
        <v>4163</v>
      </c>
      <c r="G582" s="705">
        <v>556099</v>
      </c>
      <c r="H582" s="705">
        <v>210799</v>
      </c>
      <c r="I582" s="705">
        <v>-885895</v>
      </c>
      <c r="J582" s="705">
        <v>-328109</v>
      </c>
      <c r="K582">
        <v>457</v>
      </c>
      <c r="L582" s="705">
        <v>54020</v>
      </c>
      <c r="M582" s="705">
        <v>93430</v>
      </c>
      <c r="N582" s="705">
        <v>7076083</v>
      </c>
      <c r="O582" s="705">
        <v>2620771</v>
      </c>
      <c r="P582" s="705">
        <v>3185622</v>
      </c>
      <c r="Q582" s="705">
        <v>1179860</v>
      </c>
      <c r="R582" s="705">
        <v>18479206</v>
      </c>
      <c r="S582" s="705">
        <v>6844150</v>
      </c>
      <c r="T582" s="705">
        <v>1674</v>
      </c>
      <c r="U582" s="705">
        <v>620</v>
      </c>
      <c r="V582" s="705">
        <v>10410723</v>
      </c>
      <c r="W582" s="705">
        <f t="shared" si="36"/>
        <v>11066940</v>
      </c>
      <c r="X582" s="705">
        <f t="shared" si="37"/>
        <v>29682500</v>
      </c>
      <c r="Y582" s="705"/>
      <c r="AI582" s="429"/>
    </row>
    <row r="583" spans="2:35">
      <c r="B583" t="s">
        <v>539</v>
      </c>
      <c r="C583" t="s">
        <v>108</v>
      </c>
      <c r="D583" t="s">
        <v>228</v>
      </c>
      <c r="E583" t="s">
        <v>584</v>
      </c>
      <c r="F583">
        <v>3</v>
      </c>
      <c r="G583" s="705">
        <v>272</v>
      </c>
      <c r="H583" s="705">
        <v>132</v>
      </c>
      <c r="I583" s="705">
        <v>-207</v>
      </c>
      <c r="J583" s="705">
        <v>-77</v>
      </c>
      <c r="K583">
        <v>503</v>
      </c>
      <c r="L583" s="705">
        <v>0</v>
      </c>
      <c r="M583" s="705">
        <v>0</v>
      </c>
      <c r="N583" s="705">
        <v>3311</v>
      </c>
      <c r="O583" s="705">
        <v>1226</v>
      </c>
      <c r="P583" s="705">
        <v>1401</v>
      </c>
      <c r="Q583" s="705">
        <v>519</v>
      </c>
      <c r="R583" s="705">
        <v>8872</v>
      </c>
      <c r="S583" s="705">
        <v>8065</v>
      </c>
      <c r="T583" s="705">
        <v>0</v>
      </c>
      <c r="U583" s="705">
        <v>0</v>
      </c>
      <c r="V583" s="705">
        <v>9734</v>
      </c>
      <c r="W583" s="705">
        <f t="shared" ref="W583:W646" si="38">SUM(ABS(J583),ABS(M583),ABS(O583),ABS(Q583),ABS(S583),ABS(U583))</f>
        <v>9887</v>
      </c>
      <c r="X583" s="705">
        <f t="shared" ref="X583:X646" si="39">SUM(ABS(I583),ABS(N583),ABS(P583),ABS(R583),ABS(T583),ABS(L583))</f>
        <v>13791</v>
      </c>
      <c r="Y583" s="705"/>
      <c r="AI583" s="429"/>
    </row>
    <row r="584" spans="2:35">
      <c r="B584" t="s">
        <v>539</v>
      </c>
      <c r="C584" t="s">
        <v>108</v>
      </c>
      <c r="D584" t="s">
        <v>583</v>
      </c>
      <c r="E584" t="s">
        <v>583</v>
      </c>
      <c r="F584">
        <v>6</v>
      </c>
      <c r="G584">
        <v>629</v>
      </c>
      <c r="H584">
        <v>330</v>
      </c>
      <c r="I584" s="705">
        <v>-2691</v>
      </c>
      <c r="J584" s="705">
        <v>-2446</v>
      </c>
      <c r="K584">
        <v>93</v>
      </c>
      <c r="L584" s="705">
        <v>0</v>
      </c>
      <c r="M584" s="705">
        <v>0</v>
      </c>
      <c r="N584" s="705">
        <v>7658</v>
      </c>
      <c r="O584" s="705">
        <v>2836</v>
      </c>
      <c r="P584" s="705">
        <v>9163</v>
      </c>
      <c r="Q584" s="705">
        <v>3394</v>
      </c>
      <c r="R584" s="705">
        <v>20549</v>
      </c>
      <c r="S584" s="705">
        <v>18681</v>
      </c>
      <c r="T584" s="705">
        <v>0</v>
      </c>
      <c r="U584" s="705">
        <v>0</v>
      </c>
      <c r="V584" s="705">
        <v>22464</v>
      </c>
      <c r="W584" s="705">
        <f t="shared" si="38"/>
        <v>27357</v>
      </c>
      <c r="X584" s="705">
        <f t="shared" si="39"/>
        <v>40061</v>
      </c>
      <c r="Y584" s="705"/>
      <c r="AI584" s="429"/>
    </row>
    <row r="585" spans="2:35">
      <c r="B585" t="s">
        <v>539</v>
      </c>
      <c r="C585" t="s">
        <v>108</v>
      </c>
      <c r="D585" t="s">
        <v>584</v>
      </c>
      <c r="E585" t="s">
        <v>582</v>
      </c>
      <c r="F585">
        <v>1</v>
      </c>
      <c r="G585">
        <v>103</v>
      </c>
      <c r="H585">
        <v>56</v>
      </c>
      <c r="I585" s="705">
        <v>-934</v>
      </c>
      <c r="J585" s="705">
        <v>-849</v>
      </c>
      <c r="K585">
        <v>90</v>
      </c>
      <c r="L585" s="705">
        <v>0</v>
      </c>
      <c r="M585" s="705">
        <v>0</v>
      </c>
      <c r="N585" s="705">
        <v>1343</v>
      </c>
      <c r="O585" s="705">
        <v>497</v>
      </c>
      <c r="P585" s="705">
        <v>1360</v>
      </c>
      <c r="Q585">
        <v>504</v>
      </c>
      <c r="R585" s="705">
        <v>3997</v>
      </c>
      <c r="S585" s="705">
        <v>3633</v>
      </c>
      <c r="T585">
        <v>0</v>
      </c>
      <c r="U585">
        <v>0</v>
      </c>
      <c r="V585" s="705">
        <v>3785</v>
      </c>
      <c r="W585" s="705">
        <f t="shared" si="38"/>
        <v>5483</v>
      </c>
      <c r="X585" s="705">
        <f t="shared" si="39"/>
        <v>7634</v>
      </c>
      <c r="Y585" s="705"/>
      <c r="AI585" s="429"/>
    </row>
    <row r="586" spans="2:35">
      <c r="B586" t="s">
        <v>539</v>
      </c>
      <c r="C586" t="s">
        <v>108</v>
      </c>
      <c r="D586" t="s">
        <v>584</v>
      </c>
      <c r="E586" t="s">
        <v>228</v>
      </c>
      <c r="F586">
        <v>3</v>
      </c>
      <c r="G586" s="705">
        <v>304</v>
      </c>
      <c r="H586" s="705">
        <v>179</v>
      </c>
      <c r="I586" s="705">
        <v>5642</v>
      </c>
      <c r="J586" s="705">
        <v>5129</v>
      </c>
      <c r="K586">
        <v>90</v>
      </c>
      <c r="L586" s="705">
        <v>381</v>
      </c>
      <c r="M586" s="705">
        <v>347</v>
      </c>
      <c r="N586" s="705">
        <v>3700</v>
      </c>
      <c r="O586" s="705">
        <v>1371</v>
      </c>
      <c r="P586" s="705">
        <v>2530</v>
      </c>
      <c r="Q586" s="705">
        <v>937</v>
      </c>
      <c r="R586" s="705">
        <v>5613</v>
      </c>
      <c r="S586" s="705">
        <v>2079</v>
      </c>
      <c r="T586" s="705">
        <v>0</v>
      </c>
      <c r="U586" s="705">
        <v>0</v>
      </c>
      <c r="V586" s="705">
        <v>9862</v>
      </c>
      <c r="W586" s="705">
        <f t="shared" si="38"/>
        <v>9863</v>
      </c>
      <c r="X586" s="705">
        <f t="shared" si="39"/>
        <v>17866</v>
      </c>
      <c r="Y586" s="705"/>
      <c r="AI586" s="429"/>
    </row>
    <row r="587" spans="2:35">
      <c r="B587" t="s">
        <v>539</v>
      </c>
      <c r="C587" t="s">
        <v>108</v>
      </c>
      <c r="D587" t="s">
        <v>584</v>
      </c>
      <c r="E587" t="s">
        <v>584</v>
      </c>
      <c r="F587" s="705">
        <v>10051</v>
      </c>
      <c r="G587" s="705">
        <v>1303587</v>
      </c>
      <c r="H587" s="705">
        <v>543230</v>
      </c>
      <c r="I587" s="705">
        <v>3295176</v>
      </c>
      <c r="J587" s="705">
        <v>2995614</v>
      </c>
      <c r="K587">
        <v>91</v>
      </c>
      <c r="L587" s="705">
        <v>310620</v>
      </c>
      <c r="M587" s="705">
        <v>219683</v>
      </c>
      <c r="N587" s="705">
        <v>16306417</v>
      </c>
      <c r="O587" s="705">
        <v>6039414</v>
      </c>
      <c r="P587" s="705">
        <v>13089630</v>
      </c>
      <c r="Q587" s="705">
        <v>4848011</v>
      </c>
      <c r="R587" s="705">
        <v>36581926</v>
      </c>
      <c r="S587" s="705">
        <v>33256296</v>
      </c>
      <c r="T587" s="705">
        <v>8082</v>
      </c>
      <c r="U587" s="705">
        <v>2993</v>
      </c>
      <c r="V587" s="705">
        <v>47362011</v>
      </c>
      <c r="W587" s="705">
        <f t="shared" si="38"/>
        <v>47362011</v>
      </c>
      <c r="X587" s="705">
        <f t="shared" si="39"/>
        <v>69591851</v>
      </c>
      <c r="Y587" s="705"/>
      <c r="AI587" s="429"/>
    </row>
    <row r="588" spans="2:35">
      <c r="B588" t="s">
        <v>539</v>
      </c>
      <c r="C588" t="s">
        <v>110</v>
      </c>
      <c r="D588" t="s">
        <v>582</v>
      </c>
      <c r="E588" t="s">
        <v>582</v>
      </c>
      <c r="F588">
        <v>2</v>
      </c>
      <c r="G588" s="705">
        <v>204</v>
      </c>
      <c r="H588" s="705">
        <v>184</v>
      </c>
      <c r="I588" s="705">
        <v>7141</v>
      </c>
      <c r="J588" s="705">
        <v>6492</v>
      </c>
      <c r="K588">
        <v>90</v>
      </c>
      <c r="L588" s="705">
        <v>0</v>
      </c>
      <c r="M588" s="705">
        <v>0</v>
      </c>
      <c r="N588" s="705">
        <v>2491</v>
      </c>
      <c r="O588" s="705">
        <v>923</v>
      </c>
      <c r="P588" s="705">
        <v>945</v>
      </c>
      <c r="Q588">
        <v>350</v>
      </c>
      <c r="R588" s="705">
        <v>8242</v>
      </c>
      <c r="S588" s="705">
        <v>7493</v>
      </c>
      <c r="T588" s="705">
        <v>0</v>
      </c>
      <c r="U588" s="705">
        <v>0</v>
      </c>
      <c r="V588" s="705">
        <v>15257</v>
      </c>
      <c r="W588" s="705">
        <f t="shared" si="38"/>
        <v>15258</v>
      </c>
      <c r="X588" s="705">
        <f t="shared" si="39"/>
        <v>18819</v>
      </c>
      <c r="Y588" s="705"/>
      <c r="AI588" s="429"/>
    </row>
    <row r="589" spans="2:35">
      <c r="B589" t="s">
        <v>539</v>
      </c>
      <c r="C589" t="s">
        <v>110</v>
      </c>
      <c r="D589" t="s">
        <v>228</v>
      </c>
      <c r="E589" t="s">
        <v>228</v>
      </c>
      <c r="F589">
        <v>110</v>
      </c>
      <c r="G589" s="705">
        <v>15984</v>
      </c>
      <c r="H589" s="705">
        <v>9591</v>
      </c>
      <c r="I589" s="705">
        <v>435347</v>
      </c>
      <c r="J589" s="705">
        <v>161240</v>
      </c>
      <c r="K589">
        <v>388</v>
      </c>
      <c r="L589" s="705">
        <v>121134</v>
      </c>
      <c r="M589" s="705">
        <v>96926</v>
      </c>
      <c r="N589" s="705">
        <v>247572</v>
      </c>
      <c r="O589" s="705">
        <v>91693</v>
      </c>
      <c r="P589" s="705">
        <v>106396</v>
      </c>
      <c r="Q589" s="705">
        <v>39406</v>
      </c>
      <c r="R589" s="705">
        <v>506654</v>
      </c>
      <c r="S589" s="705">
        <v>187649</v>
      </c>
      <c r="T589" s="705">
        <v>0</v>
      </c>
      <c r="U589" s="705">
        <v>0</v>
      </c>
      <c r="V589" s="705">
        <v>576915</v>
      </c>
      <c r="W589" s="705">
        <f t="shared" si="38"/>
        <v>576914</v>
      </c>
      <c r="X589" s="705">
        <f t="shared" si="39"/>
        <v>1417103</v>
      </c>
      <c r="Y589" s="705"/>
      <c r="AI589" s="429"/>
    </row>
    <row r="590" spans="2:35">
      <c r="B590" t="s">
        <v>539</v>
      </c>
      <c r="C590" t="s">
        <v>110</v>
      </c>
      <c r="D590" t="s">
        <v>228</v>
      </c>
      <c r="E590" t="s">
        <v>584</v>
      </c>
      <c r="F590">
        <v>1</v>
      </c>
      <c r="G590" s="705">
        <v>139</v>
      </c>
      <c r="H590" s="705">
        <v>95</v>
      </c>
      <c r="I590" s="705">
        <v>4110</v>
      </c>
      <c r="J590" s="705">
        <v>1522</v>
      </c>
      <c r="K590">
        <v>250</v>
      </c>
      <c r="L590" s="705">
        <v>1691</v>
      </c>
      <c r="M590" s="705">
        <v>1410</v>
      </c>
      <c r="N590" s="705">
        <v>2037</v>
      </c>
      <c r="O590" s="705">
        <v>755</v>
      </c>
      <c r="P590" s="705">
        <v>473</v>
      </c>
      <c r="Q590" s="705">
        <v>175</v>
      </c>
      <c r="R590" s="705">
        <v>4892</v>
      </c>
      <c r="S590" s="705">
        <v>4447</v>
      </c>
      <c r="T590" s="705">
        <v>0</v>
      </c>
      <c r="U590" s="705">
        <v>0</v>
      </c>
      <c r="V590" s="705">
        <v>8309</v>
      </c>
      <c r="W590" s="705">
        <f t="shared" si="38"/>
        <v>8309</v>
      </c>
      <c r="X590" s="705">
        <f t="shared" si="39"/>
        <v>13203</v>
      </c>
      <c r="Y590" s="705"/>
      <c r="AI590" s="429"/>
    </row>
    <row r="591" spans="2:35">
      <c r="B591" t="s">
        <v>539</v>
      </c>
      <c r="C591" t="s">
        <v>110</v>
      </c>
      <c r="D591" t="s">
        <v>583</v>
      </c>
      <c r="E591" t="s">
        <v>583</v>
      </c>
      <c r="F591" s="705">
        <v>7</v>
      </c>
      <c r="G591" s="705">
        <v>786</v>
      </c>
      <c r="H591" s="705">
        <v>654</v>
      </c>
      <c r="I591" s="705">
        <v>29705</v>
      </c>
      <c r="J591" s="705">
        <v>27004</v>
      </c>
      <c r="K591">
        <v>94</v>
      </c>
      <c r="L591" s="705">
        <v>5273</v>
      </c>
      <c r="M591" s="705">
        <v>4730</v>
      </c>
      <c r="N591" s="705">
        <v>11990</v>
      </c>
      <c r="O591" s="705">
        <v>4441</v>
      </c>
      <c r="P591" s="705">
        <v>4698</v>
      </c>
      <c r="Q591" s="705">
        <v>1740</v>
      </c>
      <c r="R591" s="705">
        <v>20682</v>
      </c>
      <c r="S591" s="705">
        <v>18802</v>
      </c>
      <c r="T591" s="705">
        <v>0</v>
      </c>
      <c r="U591" s="705">
        <v>0</v>
      </c>
      <c r="V591" s="705">
        <v>56716</v>
      </c>
      <c r="W591" s="705">
        <f t="shared" si="38"/>
        <v>56717</v>
      </c>
      <c r="X591" s="705">
        <f t="shared" si="39"/>
        <v>72348</v>
      </c>
      <c r="Y591" s="705"/>
      <c r="AI591" s="429"/>
    </row>
    <row r="592" spans="2:35">
      <c r="B592" t="s">
        <v>539</v>
      </c>
      <c r="C592" t="s">
        <v>110</v>
      </c>
      <c r="D592" t="s">
        <v>584</v>
      </c>
      <c r="E592" t="s">
        <v>228</v>
      </c>
      <c r="F592">
        <v>2</v>
      </c>
      <c r="G592">
        <v>298</v>
      </c>
      <c r="H592">
        <v>192</v>
      </c>
      <c r="I592" s="705">
        <v>10852</v>
      </c>
      <c r="J592" s="705">
        <v>9866</v>
      </c>
      <c r="K592">
        <v>91</v>
      </c>
      <c r="L592" s="705">
        <v>722</v>
      </c>
      <c r="M592" s="705">
        <v>602</v>
      </c>
      <c r="N592" s="705">
        <v>4430</v>
      </c>
      <c r="O592" s="705">
        <v>1641</v>
      </c>
      <c r="P592">
        <v>945</v>
      </c>
      <c r="Q592">
        <v>350</v>
      </c>
      <c r="R592" s="705">
        <v>11762</v>
      </c>
      <c r="S592" s="705">
        <v>4356</v>
      </c>
      <c r="T592" s="705">
        <v>0</v>
      </c>
      <c r="U592" s="705">
        <v>0</v>
      </c>
      <c r="V592" s="705">
        <v>16815</v>
      </c>
      <c r="W592" s="705">
        <f t="shared" si="38"/>
        <v>16815</v>
      </c>
      <c r="X592" s="705">
        <f t="shared" si="39"/>
        <v>28711</v>
      </c>
      <c r="Y592" s="705"/>
      <c r="AI592" s="429"/>
    </row>
    <row r="593" spans="2:35">
      <c r="B593" t="s">
        <v>539</v>
      </c>
      <c r="C593" t="s">
        <v>110</v>
      </c>
      <c r="D593" t="s">
        <v>584</v>
      </c>
      <c r="E593" t="s">
        <v>584</v>
      </c>
      <c r="F593">
        <v>842</v>
      </c>
      <c r="G593" s="705">
        <v>112048</v>
      </c>
      <c r="H593" s="705">
        <v>76058</v>
      </c>
      <c r="I593" s="705">
        <v>4739893</v>
      </c>
      <c r="J593" s="705">
        <v>4308994</v>
      </c>
      <c r="K593">
        <v>91</v>
      </c>
      <c r="L593" s="705">
        <v>637807</v>
      </c>
      <c r="M593" s="705">
        <v>539146</v>
      </c>
      <c r="N593" s="705">
        <v>1659181</v>
      </c>
      <c r="O593" s="705">
        <v>614511</v>
      </c>
      <c r="P593" s="705">
        <v>496690</v>
      </c>
      <c r="Q593" s="705">
        <v>183959</v>
      </c>
      <c r="R593" s="705">
        <v>2900739</v>
      </c>
      <c r="S593" s="705">
        <v>2637035</v>
      </c>
      <c r="T593" s="705">
        <v>11621</v>
      </c>
      <c r="U593" s="705">
        <v>4304</v>
      </c>
      <c r="V593" s="705">
        <v>8287950</v>
      </c>
      <c r="W593" s="705">
        <f t="shared" si="38"/>
        <v>8287949</v>
      </c>
      <c r="X593" s="705">
        <f t="shared" si="39"/>
        <v>10445931</v>
      </c>
      <c r="Y593" s="705"/>
      <c r="AI593" s="429"/>
    </row>
    <row r="594" spans="2:35">
      <c r="B594" t="s">
        <v>539</v>
      </c>
      <c r="C594" t="s">
        <v>110</v>
      </c>
      <c r="D594" t="s">
        <v>673</v>
      </c>
      <c r="E594" t="s">
        <v>673</v>
      </c>
      <c r="F594">
        <v>1</v>
      </c>
      <c r="G594" s="705">
        <v>183</v>
      </c>
      <c r="H594" s="705">
        <v>100</v>
      </c>
      <c r="I594" s="705">
        <v>11776</v>
      </c>
      <c r="J594" s="705">
        <v>10706</v>
      </c>
      <c r="K594">
        <v>86</v>
      </c>
      <c r="L594" s="705">
        <v>1721</v>
      </c>
      <c r="M594" s="705">
        <v>1565</v>
      </c>
      <c r="N594" s="705">
        <v>3051</v>
      </c>
      <c r="O594" s="705">
        <v>1130</v>
      </c>
      <c r="P594" s="705">
        <v>351</v>
      </c>
      <c r="Q594" s="705">
        <v>130</v>
      </c>
      <c r="R594" s="705">
        <v>4071</v>
      </c>
      <c r="S594" s="705">
        <v>3701</v>
      </c>
      <c r="T594" s="705">
        <v>0</v>
      </c>
      <c r="U594" s="705">
        <v>0</v>
      </c>
      <c r="V594" s="705">
        <v>17231</v>
      </c>
      <c r="W594" s="705">
        <f t="shared" si="38"/>
        <v>17232</v>
      </c>
      <c r="X594" s="705">
        <f t="shared" si="39"/>
        <v>20970</v>
      </c>
      <c r="Y594" s="705"/>
      <c r="AI594" s="429"/>
    </row>
    <row r="595" spans="2:35">
      <c r="B595" t="s">
        <v>539</v>
      </c>
      <c r="C595" t="s">
        <v>112</v>
      </c>
      <c r="F595">
        <v>7</v>
      </c>
      <c r="G595">
        <v>723</v>
      </c>
      <c r="H595">
        <v>825</v>
      </c>
      <c r="I595" s="705"/>
      <c r="J595" s="705">
        <v>0</v>
      </c>
      <c r="L595" s="705"/>
      <c r="M595" s="705">
        <v>0</v>
      </c>
      <c r="N595" s="705">
        <v>12716</v>
      </c>
      <c r="O595" s="705">
        <v>4710</v>
      </c>
      <c r="P595" s="705">
        <v>3364</v>
      </c>
      <c r="Q595" s="705">
        <v>1246</v>
      </c>
      <c r="R595" s="705"/>
      <c r="S595" s="705">
        <v>0</v>
      </c>
      <c r="T595" s="705">
        <v>0</v>
      </c>
      <c r="U595">
        <v>0</v>
      </c>
      <c r="V595" s="705">
        <v>5956</v>
      </c>
      <c r="W595" s="705">
        <f t="shared" si="38"/>
        <v>5956</v>
      </c>
      <c r="X595" s="705">
        <f t="shared" si="39"/>
        <v>16080</v>
      </c>
      <c r="Y595" s="705"/>
      <c r="AI595" s="429"/>
    </row>
    <row r="596" spans="2:35">
      <c r="B596" t="s">
        <v>539</v>
      </c>
      <c r="C596" t="s">
        <v>112</v>
      </c>
      <c r="D596" t="s">
        <v>582</v>
      </c>
      <c r="E596" t="s">
        <v>582</v>
      </c>
      <c r="F596">
        <v>5</v>
      </c>
      <c r="G596" s="705">
        <v>684</v>
      </c>
      <c r="H596" s="705">
        <v>573</v>
      </c>
      <c r="I596" s="705">
        <v>39818</v>
      </c>
      <c r="J596" s="705">
        <v>36198</v>
      </c>
      <c r="K596">
        <v>92</v>
      </c>
      <c r="L596" s="705">
        <v>5937</v>
      </c>
      <c r="M596" s="705">
        <v>5194</v>
      </c>
      <c r="N596" s="705">
        <v>9757</v>
      </c>
      <c r="O596" s="705">
        <v>3614</v>
      </c>
      <c r="P596" s="705">
        <v>2363</v>
      </c>
      <c r="Q596" s="705">
        <v>875</v>
      </c>
      <c r="R596" s="705">
        <v>20280</v>
      </c>
      <c r="S596" s="705">
        <v>18436</v>
      </c>
      <c r="T596" s="705">
        <v>3206</v>
      </c>
      <c r="U596" s="705">
        <v>1188</v>
      </c>
      <c r="V596" s="705">
        <v>65504</v>
      </c>
      <c r="W596" s="705">
        <f t="shared" si="38"/>
        <v>65505</v>
      </c>
      <c r="X596" s="705">
        <f t="shared" si="39"/>
        <v>81361</v>
      </c>
      <c r="Y596" s="705"/>
      <c r="AI596" s="429"/>
    </row>
    <row r="597" spans="2:35">
      <c r="B597" t="s">
        <v>539</v>
      </c>
      <c r="C597" t="s">
        <v>112</v>
      </c>
      <c r="D597" t="s">
        <v>228</v>
      </c>
      <c r="E597" t="s">
        <v>228</v>
      </c>
      <c r="F597">
        <v>60</v>
      </c>
      <c r="G597" s="705">
        <v>7851</v>
      </c>
      <c r="H597" s="705">
        <v>6710</v>
      </c>
      <c r="I597" s="705">
        <v>310810</v>
      </c>
      <c r="J597" s="705">
        <v>115115</v>
      </c>
      <c r="K597">
        <v>360</v>
      </c>
      <c r="L597" s="705">
        <v>93594</v>
      </c>
      <c r="M597" s="705">
        <v>75359</v>
      </c>
      <c r="N597" s="705">
        <v>133039</v>
      </c>
      <c r="O597" s="705">
        <v>49274</v>
      </c>
      <c r="P597" s="705">
        <v>48064</v>
      </c>
      <c r="Q597" s="705">
        <v>17801</v>
      </c>
      <c r="R597" s="705">
        <v>311053</v>
      </c>
      <c r="S597" s="705">
        <v>115205</v>
      </c>
      <c r="T597" s="705">
        <v>0</v>
      </c>
      <c r="U597" s="705">
        <v>0</v>
      </c>
      <c r="V597" s="705">
        <v>372754</v>
      </c>
      <c r="W597" s="705">
        <f t="shared" si="38"/>
        <v>372754</v>
      </c>
      <c r="X597" s="705">
        <f t="shared" si="39"/>
        <v>896560</v>
      </c>
      <c r="Y597" s="705"/>
      <c r="AI597" s="429"/>
    </row>
    <row r="598" spans="2:35">
      <c r="B598" t="s">
        <v>539</v>
      </c>
      <c r="C598" t="s">
        <v>112</v>
      </c>
      <c r="D598" t="s">
        <v>228</v>
      </c>
      <c r="E598" t="s">
        <v>584</v>
      </c>
      <c r="F598">
        <v>1</v>
      </c>
      <c r="G598" s="705">
        <v>118</v>
      </c>
      <c r="H598" s="705">
        <v>109</v>
      </c>
      <c r="I598" s="705">
        <v>7426</v>
      </c>
      <c r="J598" s="705">
        <v>2750</v>
      </c>
      <c r="K598">
        <v>296</v>
      </c>
      <c r="L598" s="705">
        <v>0</v>
      </c>
      <c r="M598" s="705">
        <v>0</v>
      </c>
      <c r="N598" s="705">
        <v>2113</v>
      </c>
      <c r="O598" s="705">
        <v>783</v>
      </c>
      <c r="P598" s="705">
        <v>351</v>
      </c>
      <c r="Q598" s="705">
        <v>130</v>
      </c>
      <c r="R598" s="705">
        <v>2992</v>
      </c>
      <c r="S598" s="705">
        <v>2720</v>
      </c>
      <c r="T598" s="705">
        <v>0</v>
      </c>
      <c r="U598" s="705">
        <v>0</v>
      </c>
      <c r="V598" s="705">
        <v>6383</v>
      </c>
      <c r="W598" s="705">
        <f t="shared" si="38"/>
        <v>6383</v>
      </c>
      <c r="X598" s="705">
        <f t="shared" si="39"/>
        <v>12882</v>
      </c>
      <c r="Y598" s="705"/>
      <c r="AI598" s="429"/>
    </row>
    <row r="599" spans="2:35">
      <c r="B599" t="s">
        <v>539</v>
      </c>
      <c r="C599" t="s">
        <v>112</v>
      </c>
      <c r="D599" t="s">
        <v>583</v>
      </c>
      <c r="E599" t="s">
        <v>583</v>
      </c>
      <c r="F599">
        <v>30</v>
      </c>
      <c r="G599" s="705">
        <v>3746</v>
      </c>
      <c r="H599" s="705">
        <v>3530</v>
      </c>
      <c r="I599" s="705">
        <v>223331</v>
      </c>
      <c r="J599" s="705">
        <v>203028</v>
      </c>
      <c r="K599">
        <v>94</v>
      </c>
      <c r="L599" s="705">
        <v>35992</v>
      </c>
      <c r="M599" s="705">
        <v>27859</v>
      </c>
      <c r="N599" s="705">
        <v>57700</v>
      </c>
      <c r="O599" s="705">
        <v>21370</v>
      </c>
      <c r="P599" s="705">
        <v>19076</v>
      </c>
      <c r="Q599" s="705">
        <v>7065</v>
      </c>
      <c r="R599" s="705">
        <v>109975</v>
      </c>
      <c r="S599" s="705">
        <v>99977</v>
      </c>
      <c r="T599" s="705">
        <v>2837</v>
      </c>
      <c r="U599" s="705">
        <v>1051</v>
      </c>
      <c r="V599" s="705">
        <v>360351</v>
      </c>
      <c r="W599" s="705">
        <f t="shared" si="38"/>
        <v>360350</v>
      </c>
      <c r="X599" s="705">
        <f t="shared" si="39"/>
        <v>448911</v>
      </c>
      <c r="Y599" s="705"/>
      <c r="AI599" s="429"/>
    </row>
    <row r="600" spans="2:35">
      <c r="B600" t="s">
        <v>539</v>
      </c>
      <c r="C600" t="s">
        <v>112</v>
      </c>
      <c r="D600" t="s">
        <v>583</v>
      </c>
      <c r="E600" t="s">
        <v>584</v>
      </c>
      <c r="F600">
        <v>1</v>
      </c>
      <c r="G600">
        <v>83</v>
      </c>
      <c r="H600" s="705">
        <v>121</v>
      </c>
      <c r="I600" s="705">
        <v>3627</v>
      </c>
      <c r="J600" s="705">
        <v>3297</v>
      </c>
      <c r="K600">
        <v>95</v>
      </c>
      <c r="L600" s="705">
        <v>759</v>
      </c>
      <c r="M600" s="705">
        <v>633</v>
      </c>
      <c r="N600" s="705">
        <v>1482</v>
      </c>
      <c r="O600" s="705">
        <v>549</v>
      </c>
      <c r="P600">
        <v>621</v>
      </c>
      <c r="Q600">
        <v>230</v>
      </c>
      <c r="R600" s="705">
        <v>3511</v>
      </c>
      <c r="S600" s="705">
        <v>3192</v>
      </c>
      <c r="T600" s="705">
        <v>0</v>
      </c>
      <c r="U600">
        <v>0</v>
      </c>
      <c r="V600" s="705">
        <v>7901</v>
      </c>
      <c r="W600" s="705">
        <f t="shared" si="38"/>
        <v>7901</v>
      </c>
      <c r="X600" s="705">
        <f t="shared" si="39"/>
        <v>10000</v>
      </c>
      <c r="Y600" s="705"/>
      <c r="AI600" s="429"/>
    </row>
    <row r="601" spans="2:35">
      <c r="B601" t="s">
        <v>539</v>
      </c>
      <c r="C601" t="s">
        <v>112</v>
      </c>
      <c r="D601" t="s">
        <v>584</v>
      </c>
      <c r="E601" t="s">
        <v>228</v>
      </c>
      <c r="F601">
        <v>6</v>
      </c>
      <c r="G601" s="705">
        <v>920</v>
      </c>
      <c r="H601" s="705">
        <v>692</v>
      </c>
      <c r="I601" s="705">
        <v>58601</v>
      </c>
      <c r="J601" s="705">
        <v>53274</v>
      </c>
      <c r="K601">
        <v>117</v>
      </c>
      <c r="L601" s="705">
        <v>12880</v>
      </c>
      <c r="M601" s="705">
        <v>11036</v>
      </c>
      <c r="N601" s="705">
        <v>15294</v>
      </c>
      <c r="O601" s="705">
        <v>5665</v>
      </c>
      <c r="P601" s="705">
        <v>2835</v>
      </c>
      <c r="Q601" s="705">
        <v>1050</v>
      </c>
      <c r="R601" s="705">
        <v>21435</v>
      </c>
      <c r="S601" s="705">
        <v>7939</v>
      </c>
      <c r="T601" s="705">
        <v>0</v>
      </c>
      <c r="U601" s="705">
        <v>0</v>
      </c>
      <c r="V601" s="705">
        <v>78963</v>
      </c>
      <c r="W601" s="705">
        <f t="shared" si="38"/>
        <v>78964</v>
      </c>
      <c r="X601" s="705">
        <f t="shared" si="39"/>
        <v>111045</v>
      </c>
      <c r="Y601" s="705"/>
      <c r="AI601" s="429"/>
    </row>
    <row r="602" spans="2:35">
      <c r="B602" t="s">
        <v>539</v>
      </c>
      <c r="C602" t="s">
        <v>112</v>
      </c>
      <c r="D602" t="s">
        <v>584</v>
      </c>
      <c r="E602" t="s">
        <v>583</v>
      </c>
      <c r="F602">
        <v>1</v>
      </c>
      <c r="G602" s="705">
        <v>125</v>
      </c>
      <c r="H602" s="705">
        <v>112</v>
      </c>
      <c r="I602" s="705">
        <v>7827</v>
      </c>
      <c r="J602" s="705">
        <v>7115</v>
      </c>
      <c r="K602">
        <v>91</v>
      </c>
      <c r="L602" s="705">
        <v>1433</v>
      </c>
      <c r="M602" s="705">
        <v>1302</v>
      </c>
      <c r="N602" s="705">
        <v>1525</v>
      </c>
      <c r="O602" s="705">
        <v>565</v>
      </c>
      <c r="P602" s="705">
        <v>473</v>
      </c>
      <c r="Q602" s="705">
        <v>175</v>
      </c>
      <c r="R602" s="705">
        <v>2802</v>
      </c>
      <c r="S602" s="705">
        <v>2547</v>
      </c>
      <c r="T602" s="705">
        <v>0</v>
      </c>
      <c r="U602" s="705">
        <v>0</v>
      </c>
      <c r="V602" s="705">
        <v>11705</v>
      </c>
      <c r="W602" s="705">
        <f t="shared" si="38"/>
        <v>11704</v>
      </c>
      <c r="X602" s="705">
        <f t="shared" si="39"/>
        <v>14060</v>
      </c>
      <c r="Y602" s="705"/>
      <c r="AI602" s="429"/>
    </row>
    <row r="603" spans="2:35">
      <c r="B603" t="s">
        <v>539</v>
      </c>
      <c r="C603" t="s">
        <v>112</v>
      </c>
      <c r="D603" t="s">
        <v>584</v>
      </c>
      <c r="E603" t="s">
        <v>584</v>
      </c>
      <c r="F603" s="705">
        <v>2670</v>
      </c>
      <c r="G603" s="705">
        <v>333614</v>
      </c>
      <c r="H603" s="705">
        <v>309120</v>
      </c>
      <c r="I603" s="705">
        <v>18664544</v>
      </c>
      <c r="J603" s="705">
        <v>16967767</v>
      </c>
      <c r="K603">
        <v>89</v>
      </c>
      <c r="L603" s="705">
        <v>2854147</v>
      </c>
      <c r="M603" s="705">
        <v>2421725</v>
      </c>
      <c r="N603" s="705">
        <v>5583622</v>
      </c>
      <c r="O603" s="705">
        <v>2068008</v>
      </c>
      <c r="P603" s="705">
        <v>1399973</v>
      </c>
      <c r="Q603" s="705">
        <v>518509</v>
      </c>
      <c r="R603" s="705">
        <v>10934378</v>
      </c>
      <c r="S603" s="705">
        <v>9940344</v>
      </c>
      <c r="T603" s="705">
        <v>136710</v>
      </c>
      <c r="U603" s="705">
        <v>50633</v>
      </c>
      <c r="V603" s="705">
        <v>31966986</v>
      </c>
      <c r="W603" s="705">
        <f t="shared" si="38"/>
        <v>31966986</v>
      </c>
      <c r="X603" s="705">
        <f t="shared" si="39"/>
        <v>39573374</v>
      </c>
      <c r="Y603" s="705"/>
      <c r="AI603" s="429"/>
    </row>
    <row r="604" spans="2:35">
      <c r="B604" t="s">
        <v>539</v>
      </c>
      <c r="C604" t="s">
        <v>112</v>
      </c>
      <c r="D604" t="s">
        <v>585</v>
      </c>
      <c r="E604" t="s">
        <v>585</v>
      </c>
      <c r="F604">
        <v>1</v>
      </c>
      <c r="G604">
        <v>175</v>
      </c>
      <c r="H604" s="705">
        <v>115</v>
      </c>
      <c r="I604" s="705">
        <v>16558</v>
      </c>
      <c r="J604" s="705">
        <v>15052</v>
      </c>
      <c r="K604">
        <v>94</v>
      </c>
      <c r="L604" s="705">
        <v>1977</v>
      </c>
      <c r="M604" s="705">
        <v>1797</v>
      </c>
      <c r="N604" s="705">
        <v>2278</v>
      </c>
      <c r="O604" s="705">
        <v>844</v>
      </c>
      <c r="P604" s="705">
        <v>1053</v>
      </c>
      <c r="Q604">
        <v>390</v>
      </c>
      <c r="R604" s="705">
        <v>-408</v>
      </c>
      <c r="S604" s="705">
        <v>-371</v>
      </c>
      <c r="T604" s="705">
        <v>0</v>
      </c>
      <c r="U604" s="705">
        <v>0</v>
      </c>
      <c r="V604" s="705">
        <v>17713</v>
      </c>
      <c r="W604" s="705">
        <f t="shared" si="38"/>
        <v>18454</v>
      </c>
      <c r="X604" s="705">
        <f t="shared" si="39"/>
        <v>22274</v>
      </c>
      <c r="Y604" s="705"/>
      <c r="AI604" s="429"/>
    </row>
    <row r="605" spans="2:35">
      <c r="B605" t="s">
        <v>539</v>
      </c>
      <c r="C605" t="s">
        <v>112</v>
      </c>
      <c r="D605" t="s">
        <v>585</v>
      </c>
      <c r="E605" t="s">
        <v>668</v>
      </c>
      <c r="F605">
        <v>2</v>
      </c>
      <c r="G605" s="705">
        <v>219</v>
      </c>
      <c r="H605">
        <v>229</v>
      </c>
      <c r="I605" s="705">
        <v>11766</v>
      </c>
      <c r="J605" s="705">
        <v>10696</v>
      </c>
      <c r="K605">
        <v>88</v>
      </c>
      <c r="L605" s="705">
        <v>1187</v>
      </c>
      <c r="M605" s="705">
        <v>1079</v>
      </c>
      <c r="N605" s="705">
        <v>2674</v>
      </c>
      <c r="O605" s="705">
        <v>990</v>
      </c>
      <c r="P605" s="705">
        <v>1912</v>
      </c>
      <c r="Q605">
        <v>708</v>
      </c>
      <c r="R605" s="705">
        <v>7161</v>
      </c>
      <c r="S605" s="705">
        <v>6510</v>
      </c>
      <c r="T605" s="705">
        <v>0</v>
      </c>
      <c r="U605">
        <v>0</v>
      </c>
      <c r="V605" s="705">
        <v>19983</v>
      </c>
      <c r="W605" s="705">
        <f t="shared" si="38"/>
        <v>19983</v>
      </c>
      <c r="X605" s="705">
        <f t="shared" si="39"/>
        <v>24700</v>
      </c>
      <c r="Y605" s="705"/>
      <c r="AI605" s="429"/>
    </row>
    <row r="606" spans="2:35">
      <c r="B606" t="s">
        <v>539</v>
      </c>
      <c r="C606" t="s">
        <v>114</v>
      </c>
      <c r="F606">
        <v>3</v>
      </c>
      <c r="G606" s="705">
        <v>305</v>
      </c>
      <c r="H606" s="705">
        <v>395</v>
      </c>
      <c r="I606" s="705"/>
      <c r="J606" s="705">
        <v>0</v>
      </c>
      <c r="L606" s="705"/>
      <c r="M606" s="705">
        <v>0</v>
      </c>
      <c r="N606" s="705">
        <v>7301</v>
      </c>
      <c r="O606" s="705">
        <v>2704</v>
      </c>
      <c r="P606" s="705">
        <v>0</v>
      </c>
      <c r="Q606" s="705">
        <v>0</v>
      </c>
      <c r="R606" s="705"/>
      <c r="S606" s="705">
        <v>0</v>
      </c>
      <c r="T606">
        <v>0</v>
      </c>
      <c r="U606">
        <v>0</v>
      </c>
      <c r="V606" s="705">
        <v>2704</v>
      </c>
      <c r="W606" s="705">
        <f t="shared" si="38"/>
        <v>2704</v>
      </c>
      <c r="X606" s="705">
        <f t="shared" si="39"/>
        <v>7301</v>
      </c>
      <c r="Y606" s="705"/>
      <c r="AI606" s="429"/>
    </row>
    <row r="607" spans="2:35">
      <c r="B607" t="s">
        <v>539</v>
      </c>
      <c r="C607" t="s">
        <v>114</v>
      </c>
      <c r="D607" t="s">
        <v>582</v>
      </c>
      <c r="E607" t="s">
        <v>582</v>
      </c>
      <c r="F607">
        <v>5</v>
      </c>
      <c r="G607" s="705">
        <v>476</v>
      </c>
      <c r="H607" s="705">
        <v>708</v>
      </c>
      <c r="I607" s="705">
        <v>35349</v>
      </c>
      <c r="J607" s="705">
        <v>32135</v>
      </c>
      <c r="K607">
        <v>89</v>
      </c>
      <c r="L607" s="705">
        <v>4811</v>
      </c>
      <c r="M607" s="705">
        <v>4278</v>
      </c>
      <c r="N607" s="705">
        <v>9698</v>
      </c>
      <c r="O607" s="705">
        <v>3592</v>
      </c>
      <c r="P607" s="705">
        <v>2241</v>
      </c>
      <c r="Q607" s="705">
        <v>830</v>
      </c>
      <c r="R607" s="705">
        <v>20546</v>
      </c>
      <c r="S607" s="705">
        <v>18678</v>
      </c>
      <c r="T607" s="705">
        <v>0</v>
      </c>
      <c r="U607" s="705">
        <v>0</v>
      </c>
      <c r="V607" s="705">
        <v>59513</v>
      </c>
      <c r="W607" s="705">
        <f t="shared" si="38"/>
        <v>59513</v>
      </c>
      <c r="X607" s="705">
        <f t="shared" si="39"/>
        <v>72645</v>
      </c>
      <c r="Y607" s="705"/>
      <c r="AI607" s="429"/>
    </row>
    <row r="608" spans="2:35">
      <c r="B608" t="s">
        <v>539</v>
      </c>
      <c r="C608" t="s">
        <v>114</v>
      </c>
      <c r="D608" t="s">
        <v>228</v>
      </c>
      <c r="E608" t="s">
        <v>228</v>
      </c>
      <c r="F608">
        <v>32</v>
      </c>
      <c r="G608" s="705">
        <v>4647</v>
      </c>
      <c r="H608" s="705">
        <v>4375</v>
      </c>
      <c r="I608" s="705">
        <v>275999</v>
      </c>
      <c r="J608" s="705">
        <v>102222</v>
      </c>
      <c r="K608">
        <v>272</v>
      </c>
      <c r="L608" s="705">
        <v>76529</v>
      </c>
      <c r="M608" s="705">
        <v>59408</v>
      </c>
      <c r="N608" s="705">
        <v>82506</v>
      </c>
      <c r="O608" s="705">
        <v>30558</v>
      </c>
      <c r="P608" s="705">
        <v>17756</v>
      </c>
      <c r="Q608" s="705">
        <v>6576</v>
      </c>
      <c r="R608" s="705">
        <v>180865</v>
      </c>
      <c r="S608" s="705">
        <v>66987</v>
      </c>
      <c r="T608" s="705">
        <v>0</v>
      </c>
      <c r="U608" s="705">
        <v>0</v>
      </c>
      <c r="V608" s="705">
        <v>265751</v>
      </c>
      <c r="W608" s="705">
        <f t="shared" si="38"/>
        <v>265751</v>
      </c>
      <c r="X608" s="705">
        <f t="shared" si="39"/>
        <v>633655</v>
      </c>
      <c r="Y608" s="705"/>
      <c r="AI608" s="429"/>
    </row>
    <row r="609" spans="2:35">
      <c r="B609" t="s">
        <v>539</v>
      </c>
      <c r="C609" t="s">
        <v>114</v>
      </c>
      <c r="D609" t="s">
        <v>228</v>
      </c>
      <c r="E609" t="s">
        <v>584</v>
      </c>
      <c r="F609">
        <v>3</v>
      </c>
      <c r="G609" s="705">
        <v>569</v>
      </c>
      <c r="H609" s="705">
        <v>420</v>
      </c>
      <c r="I609" s="705">
        <v>53918</v>
      </c>
      <c r="J609" s="705">
        <v>19970</v>
      </c>
      <c r="K609">
        <v>150</v>
      </c>
      <c r="L609" s="705">
        <v>6799</v>
      </c>
      <c r="M609" s="705">
        <v>5903</v>
      </c>
      <c r="N609" s="705">
        <v>8697</v>
      </c>
      <c r="O609" s="705">
        <v>3221</v>
      </c>
      <c r="P609" s="705">
        <v>824</v>
      </c>
      <c r="Q609" s="705">
        <v>305</v>
      </c>
      <c r="R609" s="705">
        <v>14173</v>
      </c>
      <c r="S609" s="705">
        <v>12885</v>
      </c>
      <c r="T609" s="705">
        <v>0</v>
      </c>
      <c r="U609" s="705">
        <v>0</v>
      </c>
      <c r="V609" s="705">
        <v>42283</v>
      </c>
      <c r="W609" s="705">
        <f t="shared" si="38"/>
        <v>42284</v>
      </c>
      <c r="X609" s="705">
        <f t="shared" si="39"/>
        <v>84411</v>
      </c>
      <c r="Y609" s="705"/>
      <c r="AI609" s="429"/>
    </row>
    <row r="610" spans="2:35">
      <c r="B610" t="s">
        <v>539</v>
      </c>
      <c r="C610" t="s">
        <v>114</v>
      </c>
      <c r="D610" t="s">
        <v>583</v>
      </c>
      <c r="E610" t="s">
        <v>228</v>
      </c>
      <c r="F610">
        <v>1</v>
      </c>
      <c r="G610" s="705">
        <v>170</v>
      </c>
      <c r="H610" s="705">
        <v>139</v>
      </c>
      <c r="I610" s="705">
        <v>14151</v>
      </c>
      <c r="J610" s="705">
        <v>12865</v>
      </c>
      <c r="K610">
        <v>85</v>
      </c>
      <c r="L610" s="705">
        <v>2430</v>
      </c>
      <c r="M610" s="705">
        <v>2025</v>
      </c>
      <c r="N610" s="705">
        <v>2719</v>
      </c>
      <c r="O610" s="705">
        <v>1007</v>
      </c>
      <c r="P610">
        <v>621</v>
      </c>
      <c r="Q610">
        <v>230</v>
      </c>
      <c r="R610" s="705">
        <v>7530</v>
      </c>
      <c r="S610" s="705">
        <v>2789</v>
      </c>
      <c r="T610" s="705">
        <v>0</v>
      </c>
      <c r="U610">
        <v>0</v>
      </c>
      <c r="V610" s="705">
        <v>18915</v>
      </c>
      <c r="W610" s="705">
        <f t="shared" si="38"/>
        <v>18916</v>
      </c>
      <c r="X610" s="705">
        <f t="shared" si="39"/>
        <v>27451</v>
      </c>
      <c r="Y610" s="705"/>
      <c r="AI610" s="429"/>
    </row>
    <row r="611" spans="2:35">
      <c r="B611" t="s">
        <v>539</v>
      </c>
      <c r="C611" t="s">
        <v>114</v>
      </c>
      <c r="D611" t="s">
        <v>583</v>
      </c>
      <c r="E611" t="s">
        <v>583</v>
      </c>
      <c r="F611">
        <v>217</v>
      </c>
      <c r="G611" s="705">
        <v>25680</v>
      </c>
      <c r="H611" s="705">
        <v>30483</v>
      </c>
      <c r="I611" s="705">
        <v>1775418</v>
      </c>
      <c r="J611" s="705">
        <v>1614016</v>
      </c>
      <c r="K611">
        <v>93</v>
      </c>
      <c r="L611" s="705">
        <v>380508</v>
      </c>
      <c r="M611" s="705">
        <v>315869</v>
      </c>
      <c r="N611" s="705">
        <v>454794</v>
      </c>
      <c r="O611" s="705">
        <v>168442</v>
      </c>
      <c r="P611" s="705">
        <v>136985</v>
      </c>
      <c r="Q611" s="705">
        <v>50735</v>
      </c>
      <c r="R611" s="705">
        <v>883637</v>
      </c>
      <c r="S611" s="705">
        <v>803306</v>
      </c>
      <c r="T611" s="705">
        <v>45777</v>
      </c>
      <c r="U611" s="705">
        <v>16954</v>
      </c>
      <c r="V611" s="705">
        <v>2969323</v>
      </c>
      <c r="W611" s="705">
        <f t="shared" si="38"/>
        <v>2969322</v>
      </c>
      <c r="X611" s="705">
        <f t="shared" si="39"/>
        <v>3677119</v>
      </c>
      <c r="Y611" s="705"/>
      <c r="AI611" s="429"/>
    </row>
    <row r="612" spans="2:35">
      <c r="B612" t="s">
        <v>539</v>
      </c>
      <c r="C612" t="s">
        <v>114</v>
      </c>
      <c r="D612" t="s">
        <v>583</v>
      </c>
      <c r="E612" t="s">
        <v>584</v>
      </c>
      <c r="F612">
        <v>1</v>
      </c>
      <c r="G612" s="705">
        <v>99</v>
      </c>
      <c r="H612" s="705">
        <v>147</v>
      </c>
      <c r="I612" s="705">
        <v>6831</v>
      </c>
      <c r="J612" s="705">
        <v>6210</v>
      </c>
      <c r="K612">
        <v>85</v>
      </c>
      <c r="L612" s="705">
        <v>1587</v>
      </c>
      <c r="M612" s="705">
        <v>588</v>
      </c>
      <c r="N612" s="705">
        <v>2358</v>
      </c>
      <c r="O612" s="705">
        <v>873</v>
      </c>
      <c r="P612" s="705">
        <v>621</v>
      </c>
      <c r="Q612" s="705">
        <v>230</v>
      </c>
      <c r="R612" s="705">
        <v>3168</v>
      </c>
      <c r="S612" s="705">
        <v>2880</v>
      </c>
      <c r="T612" s="705">
        <v>0</v>
      </c>
      <c r="U612">
        <v>0</v>
      </c>
      <c r="V612" s="705">
        <v>10782</v>
      </c>
      <c r="W612" s="705">
        <f t="shared" si="38"/>
        <v>10781</v>
      </c>
      <c r="X612" s="705">
        <f t="shared" si="39"/>
        <v>14565</v>
      </c>
      <c r="Y612" s="705"/>
      <c r="AI612" s="429"/>
    </row>
    <row r="613" spans="2:35">
      <c r="B613" t="s">
        <v>539</v>
      </c>
      <c r="C613" t="s">
        <v>114</v>
      </c>
      <c r="D613" t="s">
        <v>584</v>
      </c>
      <c r="E613" t="s">
        <v>582</v>
      </c>
      <c r="F613">
        <v>3</v>
      </c>
      <c r="G613" s="705">
        <v>309</v>
      </c>
      <c r="H613" s="705">
        <v>401</v>
      </c>
      <c r="I613" s="705">
        <v>20595</v>
      </c>
      <c r="J613" s="705">
        <v>18723</v>
      </c>
      <c r="K613">
        <v>91</v>
      </c>
      <c r="L613" s="705">
        <v>3094</v>
      </c>
      <c r="M613" s="705">
        <v>2502</v>
      </c>
      <c r="N613" s="705">
        <v>5317</v>
      </c>
      <c r="O613" s="705">
        <v>1969</v>
      </c>
      <c r="P613" s="705">
        <v>1418</v>
      </c>
      <c r="Q613" s="705">
        <v>525</v>
      </c>
      <c r="R613" s="705">
        <v>11087</v>
      </c>
      <c r="S613" s="705">
        <v>10079</v>
      </c>
      <c r="T613" s="705">
        <v>0</v>
      </c>
      <c r="U613" s="705">
        <v>0</v>
      </c>
      <c r="V613" s="705">
        <v>33799</v>
      </c>
      <c r="W613" s="705">
        <f t="shared" si="38"/>
        <v>33798</v>
      </c>
      <c r="X613" s="705">
        <f t="shared" si="39"/>
        <v>41511</v>
      </c>
      <c r="Y613" s="705"/>
      <c r="AI613" s="429"/>
    </row>
    <row r="614" spans="2:35">
      <c r="B614" t="s">
        <v>539</v>
      </c>
      <c r="C614" t="s">
        <v>114</v>
      </c>
      <c r="D614" t="s">
        <v>584</v>
      </c>
      <c r="E614" t="s">
        <v>228</v>
      </c>
      <c r="F614">
        <v>7</v>
      </c>
      <c r="G614" s="705">
        <v>905</v>
      </c>
      <c r="H614">
        <v>952</v>
      </c>
      <c r="I614" s="705">
        <v>72816</v>
      </c>
      <c r="J614" s="705">
        <v>66197</v>
      </c>
      <c r="K614">
        <v>91</v>
      </c>
      <c r="L614" s="705">
        <v>8429</v>
      </c>
      <c r="M614" s="705">
        <v>6476</v>
      </c>
      <c r="N614" s="705">
        <v>15284</v>
      </c>
      <c r="O614" s="705">
        <v>5661</v>
      </c>
      <c r="P614" s="705">
        <v>3308</v>
      </c>
      <c r="Q614" s="705">
        <v>1225</v>
      </c>
      <c r="R614" s="705">
        <v>26814</v>
      </c>
      <c r="S614" s="705">
        <v>9931</v>
      </c>
      <c r="T614">
        <v>0</v>
      </c>
      <c r="U614">
        <v>0</v>
      </c>
      <c r="V614" s="705">
        <v>89490</v>
      </c>
      <c r="W614" s="705">
        <f t="shared" si="38"/>
        <v>89490</v>
      </c>
      <c r="X614" s="705">
        <f t="shared" si="39"/>
        <v>126651</v>
      </c>
      <c r="Y614" s="705"/>
      <c r="AI614" s="429"/>
    </row>
    <row r="615" spans="2:35">
      <c r="B615" t="s">
        <v>539</v>
      </c>
      <c r="C615" t="s">
        <v>114</v>
      </c>
      <c r="D615" t="s">
        <v>584</v>
      </c>
      <c r="E615" t="s">
        <v>583</v>
      </c>
      <c r="F615">
        <v>1</v>
      </c>
      <c r="G615" s="705">
        <v>147</v>
      </c>
      <c r="H615" s="705">
        <v>133</v>
      </c>
      <c r="I615" s="705">
        <v>14388</v>
      </c>
      <c r="J615" s="705">
        <v>13080</v>
      </c>
      <c r="K615">
        <v>90</v>
      </c>
      <c r="L615" s="705">
        <v>0</v>
      </c>
      <c r="M615" s="705">
        <v>0</v>
      </c>
      <c r="N615" s="705">
        <v>1887</v>
      </c>
      <c r="O615" s="705">
        <v>699</v>
      </c>
      <c r="P615" s="705">
        <v>473</v>
      </c>
      <c r="Q615" s="705">
        <v>175</v>
      </c>
      <c r="R615" s="705">
        <v>2864</v>
      </c>
      <c r="S615" s="705">
        <v>2603</v>
      </c>
      <c r="T615" s="705">
        <v>0</v>
      </c>
      <c r="U615" s="705">
        <v>0</v>
      </c>
      <c r="V615" s="705">
        <v>16557</v>
      </c>
      <c r="W615" s="705">
        <f t="shared" si="38"/>
        <v>16557</v>
      </c>
      <c r="X615" s="705">
        <f t="shared" si="39"/>
        <v>19612</v>
      </c>
      <c r="Y615" s="705"/>
      <c r="AI615" s="429"/>
    </row>
    <row r="616" spans="2:35">
      <c r="B616" t="s">
        <v>539</v>
      </c>
      <c r="C616" t="s">
        <v>114</v>
      </c>
      <c r="D616" t="s">
        <v>584</v>
      </c>
      <c r="E616" t="s">
        <v>666</v>
      </c>
      <c r="F616">
        <v>1</v>
      </c>
      <c r="G616" s="705">
        <v>253</v>
      </c>
      <c r="H616" s="705">
        <v>146</v>
      </c>
      <c r="I616" s="705">
        <v>20365</v>
      </c>
      <c r="J616" s="705">
        <v>18514</v>
      </c>
      <c r="K616">
        <v>93</v>
      </c>
      <c r="L616" s="705">
        <v>6630</v>
      </c>
      <c r="M616" s="705">
        <v>6027</v>
      </c>
      <c r="N616" s="705">
        <v>3086</v>
      </c>
      <c r="O616" s="705">
        <v>1143</v>
      </c>
      <c r="P616" s="705">
        <v>1175</v>
      </c>
      <c r="Q616" s="705">
        <v>435</v>
      </c>
      <c r="R616" s="705">
        <v>5704</v>
      </c>
      <c r="S616" s="705">
        <v>5185</v>
      </c>
      <c r="T616" s="705">
        <v>0</v>
      </c>
      <c r="U616" s="705">
        <v>0</v>
      </c>
      <c r="V616" s="705">
        <v>31304</v>
      </c>
      <c r="W616" s="705">
        <f t="shared" si="38"/>
        <v>31304</v>
      </c>
      <c r="X616" s="705">
        <f t="shared" si="39"/>
        <v>36960</v>
      </c>
      <c r="Y616" s="705"/>
      <c r="AI616" s="429"/>
    </row>
    <row r="617" spans="2:35">
      <c r="B617" t="s">
        <v>539</v>
      </c>
      <c r="C617" t="s">
        <v>114</v>
      </c>
      <c r="D617" t="s">
        <v>584</v>
      </c>
      <c r="E617" t="s">
        <v>584</v>
      </c>
      <c r="F617" s="705">
        <v>7640</v>
      </c>
      <c r="G617" s="705">
        <v>854006</v>
      </c>
      <c r="H617" s="705">
        <v>1069221</v>
      </c>
      <c r="I617" s="705">
        <v>58529597</v>
      </c>
      <c r="J617" s="705">
        <v>53208724</v>
      </c>
      <c r="K617">
        <v>88</v>
      </c>
      <c r="L617" s="705">
        <v>11029604</v>
      </c>
      <c r="M617" s="705">
        <v>9071629</v>
      </c>
      <c r="N617" s="705">
        <v>15956558</v>
      </c>
      <c r="O617" s="705">
        <v>5909836</v>
      </c>
      <c r="P617" s="705">
        <v>3760323</v>
      </c>
      <c r="Q617" s="705">
        <v>1392712</v>
      </c>
      <c r="R617" s="705">
        <v>32579497</v>
      </c>
      <c r="S617" s="705">
        <v>29617725</v>
      </c>
      <c r="T617" s="705">
        <v>1141196</v>
      </c>
      <c r="U617" s="705">
        <v>422665</v>
      </c>
      <c r="V617" s="705">
        <v>99623292</v>
      </c>
      <c r="W617" s="705">
        <f t="shared" si="38"/>
        <v>99623291</v>
      </c>
      <c r="X617" s="705">
        <f t="shared" si="39"/>
        <v>122996775</v>
      </c>
      <c r="Y617" s="705"/>
      <c r="AI617" s="429"/>
    </row>
    <row r="618" spans="2:35">
      <c r="B618" t="s">
        <v>539</v>
      </c>
      <c r="C618" t="s">
        <v>114</v>
      </c>
      <c r="D618" t="s">
        <v>584</v>
      </c>
      <c r="E618" t="s">
        <v>671</v>
      </c>
      <c r="F618">
        <v>1</v>
      </c>
      <c r="G618" s="705">
        <v>169</v>
      </c>
      <c r="H618" s="705">
        <v>140</v>
      </c>
      <c r="I618" s="705">
        <v>11663</v>
      </c>
      <c r="J618" s="705">
        <v>10603</v>
      </c>
      <c r="K618">
        <v>91</v>
      </c>
      <c r="L618" s="705">
        <v>3909</v>
      </c>
      <c r="M618" s="705">
        <v>3554</v>
      </c>
      <c r="N618" s="705">
        <v>2055</v>
      </c>
      <c r="O618" s="705">
        <v>761</v>
      </c>
      <c r="P618" s="705">
        <v>473</v>
      </c>
      <c r="Q618" s="705">
        <v>175</v>
      </c>
      <c r="R618" s="705">
        <v>5495</v>
      </c>
      <c r="S618" s="705">
        <v>4996</v>
      </c>
      <c r="T618" s="705">
        <v>0</v>
      </c>
      <c r="U618" s="705">
        <v>0</v>
      </c>
      <c r="V618" s="705">
        <v>20089</v>
      </c>
      <c r="W618" s="705">
        <f t="shared" si="38"/>
        <v>20089</v>
      </c>
      <c r="X618" s="705">
        <f t="shared" si="39"/>
        <v>23595</v>
      </c>
      <c r="Y618" s="705"/>
      <c r="AI618" s="429"/>
    </row>
    <row r="619" spans="2:35">
      <c r="B619" t="s">
        <v>539</v>
      </c>
      <c r="C619" t="s">
        <v>114</v>
      </c>
      <c r="D619" t="s">
        <v>585</v>
      </c>
      <c r="E619" t="s">
        <v>585</v>
      </c>
      <c r="F619">
        <v>1</v>
      </c>
      <c r="G619">
        <v>181</v>
      </c>
      <c r="H619">
        <v>137</v>
      </c>
      <c r="I619" s="705">
        <v>18531</v>
      </c>
      <c r="J619" s="705">
        <v>16846</v>
      </c>
      <c r="K619">
        <v>65</v>
      </c>
      <c r="L619" s="705">
        <v>2433</v>
      </c>
      <c r="M619" s="705">
        <v>2028</v>
      </c>
      <c r="N619" s="705">
        <v>2563</v>
      </c>
      <c r="O619" s="705">
        <v>949</v>
      </c>
      <c r="P619" s="705">
        <v>351</v>
      </c>
      <c r="Q619">
        <v>130</v>
      </c>
      <c r="R619" s="705">
        <v>4886</v>
      </c>
      <c r="S619" s="705">
        <v>4442</v>
      </c>
      <c r="T619">
        <v>0</v>
      </c>
      <c r="U619">
        <v>0</v>
      </c>
      <c r="V619" s="705">
        <v>24395</v>
      </c>
      <c r="W619" s="705">
        <f t="shared" si="38"/>
        <v>24395</v>
      </c>
      <c r="X619" s="705">
        <f t="shared" si="39"/>
        <v>28764</v>
      </c>
      <c r="Y619" s="705"/>
      <c r="AI619" s="429"/>
    </row>
    <row r="620" spans="2:35">
      <c r="B620" t="s">
        <v>539</v>
      </c>
      <c r="C620" t="s">
        <v>116</v>
      </c>
      <c r="F620" s="705">
        <v>68</v>
      </c>
      <c r="G620" s="705">
        <v>4613</v>
      </c>
      <c r="H620" s="705">
        <v>13445</v>
      </c>
      <c r="I620" s="705"/>
      <c r="J620" s="705">
        <v>0</v>
      </c>
      <c r="L620" s="705"/>
      <c r="M620" s="705">
        <v>0</v>
      </c>
      <c r="N620" s="705">
        <v>88201</v>
      </c>
      <c r="O620" s="705">
        <v>32667</v>
      </c>
      <c r="P620" s="705">
        <v>16145</v>
      </c>
      <c r="Q620" s="705">
        <v>5979</v>
      </c>
      <c r="R620" s="705"/>
      <c r="S620" s="705">
        <v>0</v>
      </c>
      <c r="T620" s="705">
        <v>12771</v>
      </c>
      <c r="U620" s="705">
        <v>4730</v>
      </c>
      <c r="V620" s="705">
        <v>43377</v>
      </c>
      <c r="W620" s="705">
        <f t="shared" si="38"/>
        <v>43376</v>
      </c>
      <c r="X620" s="705">
        <f t="shared" si="39"/>
        <v>117117</v>
      </c>
      <c r="Y620" s="705"/>
      <c r="AI620" s="429"/>
    </row>
    <row r="621" spans="2:35">
      <c r="B621" t="s">
        <v>539</v>
      </c>
      <c r="C621" t="s">
        <v>116</v>
      </c>
      <c r="D621" t="s">
        <v>664</v>
      </c>
      <c r="E621" t="s">
        <v>664</v>
      </c>
      <c r="F621">
        <v>3</v>
      </c>
      <c r="G621" s="705">
        <v>255</v>
      </c>
      <c r="H621" s="705">
        <v>515</v>
      </c>
      <c r="I621" s="705">
        <v>21877</v>
      </c>
      <c r="J621" s="705">
        <v>19888</v>
      </c>
      <c r="K621">
        <v>91</v>
      </c>
      <c r="L621" s="705">
        <v>5848</v>
      </c>
      <c r="M621" s="705">
        <v>5316</v>
      </c>
      <c r="N621" s="705">
        <v>4279</v>
      </c>
      <c r="O621" s="705">
        <v>1585</v>
      </c>
      <c r="P621" s="705">
        <v>1296</v>
      </c>
      <c r="Q621" s="705">
        <v>480</v>
      </c>
      <c r="R621" s="705">
        <v>10761</v>
      </c>
      <c r="S621" s="705">
        <v>9783</v>
      </c>
      <c r="T621">
        <v>0</v>
      </c>
      <c r="U621">
        <v>0</v>
      </c>
      <c r="V621" s="705">
        <v>37052</v>
      </c>
      <c r="W621" s="705">
        <f t="shared" si="38"/>
        <v>37052</v>
      </c>
      <c r="X621" s="705">
        <f t="shared" si="39"/>
        <v>44061</v>
      </c>
      <c r="Y621" s="705"/>
      <c r="AI621" s="429"/>
    </row>
    <row r="622" spans="2:35">
      <c r="B622" t="s">
        <v>539</v>
      </c>
      <c r="C622" t="s">
        <v>116</v>
      </c>
      <c r="D622" t="s">
        <v>664</v>
      </c>
      <c r="E622" t="s">
        <v>583</v>
      </c>
      <c r="F622">
        <v>3</v>
      </c>
      <c r="G622">
        <v>366</v>
      </c>
      <c r="H622" s="705">
        <v>567</v>
      </c>
      <c r="I622" s="705">
        <v>34686</v>
      </c>
      <c r="J622" s="705">
        <v>31532</v>
      </c>
      <c r="K622">
        <v>85</v>
      </c>
      <c r="L622" s="705">
        <v>7852</v>
      </c>
      <c r="M622" s="705">
        <v>6997</v>
      </c>
      <c r="N622" s="705">
        <v>7034</v>
      </c>
      <c r="O622" s="705">
        <v>2605</v>
      </c>
      <c r="P622" s="705">
        <v>1863</v>
      </c>
      <c r="Q622">
        <v>690</v>
      </c>
      <c r="R622" s="705">
        <v>15101</v>
      </c>
      <c r="S622" s="705">
        <v>13728</v>
      </c>
      <c r="T622" s="705">
        <v>2428</v>
      </c>
      <c r="U622" s="705">
        <v>899</v>
      </c>
      <c r="V622" s="705">
        <v>56452</v>
      </c>
      <c r="W622" s="705">
        <f t="shared" si="38"/>
        <v>56451</v>
      </c>
      <c r="X622" s="705">
        <f t="shared" si="39"/>
        <v>68964</v>
      </c>
      <c r="Y622" s="705"/>
      <c r="AI622" s="429"/>
    </row>
    <row r="623" spans="2:35">
      <c r="B623" t="s">
        <v>539</v>
      </c>
      <c r="C623" t="s">
        <v>116</v>
      </c>
      <c r="D623" t="s">
        <v>582</v>
      </c>
      <c r="E623" t="s">
        <v>664</v>
      </c>
      <c r="F623">
        <v>1</v>
      </c>
      <c r="G623" s="705">
        <v>118</v>
      </c>
      <c r="H623" s="705">
        <v>218</v>
      </c>
      <c r="I623" s="705">
        <v>10465</v>
      </c>
      <c r="J623" s="705">
        <v>9514</v>
      </c>
      <c r="K623">
        <v>73</v>
      </c>
      <c r="L623" s="705">
        <v>2690</v>
      </c>
      <c r="M623" s="705">
        <v>2445</v>
      </c>
      <c r="N623" s="705">
        <v>2458</v>
      </c>
      <c r="O623" s="705">
        <v>910</v>
      </c>
      <c r="P623" s="705">
        <v>473</v>
      </c>
      <c r="Q623">
        <v>175</v>
      </c>
      <c r="R623" s="705">
        <v>5840</v>
      </c>
      <c r="S623" s="705">
        <v>5309</v>
      </c>
      <c r="T623" s="705">
        <v>3809</v>
      </c>
      <c r="U623" s="705">
        <v>1411</v>
      </c>
      <c r="V623" s="705">
        <v>19764</v>
      </c>
      <c r="W623" s="705">
        <f t="shared" si="38"/>
        <v>19764</v>
      </c>
      <c r="X623" s="705">
        <f t="shared" si="39"/>
        <v>25735</v>
      </c>
      <c r="Y623" s="705"/>
      <c r="AI623" s="429"/>
    </row>
    <row r="624" spans="2:35">
      <c r="B624" t="s">
        <v>539</v>
      </c>
      <c r="C624" t="s">
        <v>116</v>
      </c>
      <c r="D624" t="s">
        <v>582</v>
      </c>
      <c r="E624" t="s">
        <v>582</v>
      </c>
      <c r="F624">
        <v>13</v>
      </c>
      <c r="G624" s="705">
        <v>1495</v>
      </c>
      <c r="H624" s="705">
        <v>2626</v>
      </c>
      <c r="I624" s="705">
        <v>177421</v>
      </c>
      <c r="J624" s="705">
        <v>161292</v>
      </c>
      <c r="K624">
        <v>90</v>
      </c>
      <c r="L624" s="705">
        <v>48510</v>
      </c>
      <c r="M624" s="705">
        <v>43191</v>
      </c>
      <c r="N624" s="705">
        <v>35811</v>
      </c>
      <c r="O624" s="705">
        <v>13263</v>
      </c>
      <c r="P624" s="705">
        <v>6170</v>
      </c>
      <c r="Q624" s="705">
        <v>2285</v>
      </c>
      <c r="R624" s="705">
        <v>59742</v>
      </c>
      <c r="S624" s="705">
        <v>54311</v>
      </c>
      <c r="T624" s="705">
        <v>5122</v>
      </c>
      <c r="U624" s="705">
        <v>1897</v>
      </c>
      <c r="V624" s="705">
        <v>276239</v>
      </c>
      <c r="W624" s="705">
        <f t="shared" si="38"/>
        <v>276239</v>
      </c>
      <c r="X624" s="705">
        <f t="shared" si="39"/>
        <v>332776</v>
      </c>
      <c r="Y624" s="705"/>
      <c r="AI624" s="429"/>
    </row>
    <row r="625" spans="2:35">
      <c r="B625" t="s">
        <v>539</v>
      </c>
      <c r="C625" t="s">
        <v>116</v>
      </c>
      <c r="D625" t="s">
        <v>582</v>
      </c>
      <c r="E625" t="s">
        <v>584</v>
      </c>
      <c r="F625">
        <v>2</v>
      </c>
      <c r="G625" s="705">
        <v>228</v>
      </c>
      <c r="H625" s="705">
        <v>411</v>
      </c>
      <c r="I625" s="705">
        <v>22484</v>
      </c>
      <c r="J625" s="705">
        <v>20440</v>
      </c>
      <c r="K625">
        <v>85</v>
      </c>
      <c r="L625" s="705">
        <v>7135</v>
      </c>
      <c r="M625" s="705">
        <v>5945</v>
      </c>
      <c r="N625" s="705">
        <v>5558</v>
      </c>
      <c r="O625" s="705">
        <v>2059</v>
      </c>
      <c r="P625" s="705">
        <v>945</v>
      </c>
      <c r="Q625" s="705">
        <v>350</v>
      </c>
      <c r="R625" s="705">
        <v>8485</v>
      </c>
      <c r="S625" s="705">
        <v>7713</v>
      </c>
      <c r="T625" s="705">
        <v>3018</v>
      </c>
      <c r="U625" s="705">
        <v>1118</v>
      </c>
      <c r="V625" s="705">
        <v>37625</v>
      </c>
      <c r="W625" s="705">
        <f t="shared" si="38"/>
        <v>37625</v>
      </c>
      <c r="X625" s="705">
        <f t="shared" si="39"/>
        <v>47625</v>
      </c>
      <c r="Y625" s="705"/>
      <c r="AI625" s="429"/>
    </row>
    <row r="626" spans="2:35">
      <c r="B626" t="s">
        <v>539</v>
      </c>
      <c r="C626" t="s">
        <v>116</v>
      </c>
      <c r="D626" t="s">
        <v>228</v>
      </c>
      <c r="E626" t="s">
        <v>228</v>
      </c>
      <c r="F626">
        <v>411</v>
      </c>
      <c r="G626" s="705">
        <v>36615</v>
      </c>
      <c r="H626" s="705">
        <v>83053</v>
      </c>
      <c r="I626" s="705">
        <v>3422877</v>
      </c>
      <c r="J626" s="705">
        <v>1267732</v>
      </c>
      <c r="K626">
        <v>111</v>
      </c>
      <c r="L626" s="705">
        <v>553675</v>
      </c>
      <c r="M626" s="705">
        <v>292563</v>
      </c>
      <c r="N626" s="705">
        <v>730895</v>
      </c>
      <c r="O626" s="705">
        <v>270702</v>
      </c>
      <c r="P626" s="705">
        <v>17575</v>
      </c>
      <c r="Q626" s="705">
        <v>6509</v>
      </c>
      <c r="R626" s="705">
        <v>2749136</v>
      </c>
      <c r="S626" s="705">
        <v>1018198</v>
      </c>
      <c r="T626" s="705">
        <v>0</v>
      </c>
      <c r="U626" s="705">
        <v>0</v>
      </c>
      <c r="V626" s="705">
        <v>2855705</v>
      </c>
      <c r="W626" s="705">
        <f t="shared" si="38"/>
        <v>2855704</v>
      </c>
      <c r="X626" s="705">
        <f t="shared" si="39"/>
        <v>7474158</v>
      </c>
      <c r="Y626" s="705"/>
      <c r="AI626" s="429"/>
    </row>
    <row r="627" spans="2:35">
      <c r="B627" t="s">
        <v>539</v>
      </c>
      <c r="C627" t="s">
        <v>116</v>
      </c>
      <c r="D627" t="s">
        <v>228</v>
      </c>
      <c r="E627" t="s">
        <v>669</v>
      </c>
      <c r="F627">
        <v>1</v>
      </c>
      <c r="G627" s="705">
        <v>77</v>
      </c>
      <c r="H627" s="705">
        <v>224</v>
      </c>
      <c r="I627" s="705">
        <v>7288</v>
      </c>
      <c r="J627" s="705">
        <v>2699</v>
      </c>
      <c r="K627">
        <v>100</v>
      </c>
      <c r="L627" s="705">
        <v>6073</v>
      </c>
      <c r="M627" s="705">
        <v>2249</v>
      </c>
      <c r="N627" s="705">
        <v>1003</v>
      </c>
      <c r="O627" s="705">
        <v>372</v>
      </c>
      <c r="P627" s="705">
        <v>0</v>
      </c>
      <c r="Q627" s="705">
        <v>0</v>
      </c>
      <c r="R627" s="705">
        <v>2861</v>
      </c>
      <c r="S627" s="705">
        <v>2385</v>
      </c>
      <c r="T627">
        <v>0</v>
      </c>
      <c r="U627">
        <v>0</v>
      </c>
      <c r="V627" s="705">
        <v>7705</v>
      </c>
      <c r="W627" s="705">
        <f t="shared" si="38"/>
        <v>7705</v>
      </c>
      <c r="X627" s="705">
        <f t="shared" si="39"/>
        <v>17225</v>
      </c>
      <c r="Y627" s="705"/>
      <c r="AI627" s="429"/>
    </row>
    <row r="628" spans="2:35">
      <c r="B628" t="s">
        <v>539</v>
      </c>
      <c r="C628" t="s">
        <v>116</v>
      </c>
      <c r="D628" t="s">
        <v>583</v>
      </c>
      <c r="E628" t="s">
        <v>228</v>
      </c>
      <c r="F628">
        <v>6</v>
      </c>
      <c r="G628" s="705">
        <v>738</v>
      </c>
      <c r="H628" s="705">
        <v>1133</v>
      </c>
      <c r="I628" s="705">
        <v>77666</v>
      </c>
      <c r="J628" s="705">
        <v>70605</v>
      </c>
      <c r="K628">
        <v>81</v>
      </c>
      <c r="L628" s="705">
        <v>10521</v>
      </c>
      <c r="M628" s="705">
        <v>8122</v>
      </c>
      <c r="N628" s="705">
        <v>12384</v>
      </c>
      <c r="O628" s="705">
        <v>4586</v>
      </c>
      <c r="P628" s="705">
        <v>3024</v>
      </c>
      <c r="Q628" s="705">
        <v>1120</v>
      </c>
      <c r="R628" s="705">
        <v>40267</v>
      </c>
      <c r="S628" s="705">
        <v>14914</v>
      </c>
      <c r="T628" s="705">
        <v>0</v>
      </c>
      <c r="U628" s="705">
        <v>0</v>
      </c>
      <c r="V628" s="705">
        <v>99347</v>
      </c>
      <c r="W628" s="705">
        <f t="shared" si="38"/>
        <v>99347</v>
      </c>
      <c r="X628" s="705">
        <f t="shared" si="39"/>
        <v>143862</v>
      </c>
      <c r="Y628" s="705"/>
      <c r="AI628" s="429"/>
    </row>
    <row r="629" spans="2:35">
      <c r="B629" t="s">
        <v>539</v>
      </c>
      <c r="C629" t="s">
        <v>116</v>
      </c>
      <c r="D629" t="s">
        <v>583</v>
      </c>
      <c r="E629" t="s">
        <v>583</v>
      </c>
      <c r="F629" s="705">
        <v>2502</v>
      </c>
      <c r="G629" s="705">
        <v>273550</v>
      </c>
      <c r="H629" s="705">
        <v>489234</v>
      </c>
      <c r="I629" s="705">
        <v>27482280</v>
      </c>
      <c r="J629" s="705">
        <v>24983891</v>
      </c>
      <c r="K629">
        <v>87</v>
      </c>
      <c r="L629" s="705">
        <v>6772506</v>
      </c>
      <c r="M629" s="705">
        <v>5471079</v>
      </c>
      <c r="N629" s="705">
        <v>5458495</v>
      </c>
      <c r="O629" s="705">
        <v>2021665</v>
      </c>
      <c r="P629" s="705">
        <v>1563504</v>
      </c>
      <c r="Q629" s="705">
        <v>579075</v>
      </c>
      <c r="R629" s="705">
        <v>11063736</v>
      </c>
      <c r="S629" s="705">
        <v>10057942</v>
      </c>
      <c r="T629" s="705">
        <v>2287131</v>
      </c>
      <c r="U629" s="705">
        <v>847085</v>
      </c>
      <c r="V629" s="705">
        <v>43960738</v>
      </c>
      <c r="W629" s="705">
        <f t="shared" si="38"/>
        <v>43960737</v>
      </c>
      <c r="X629" s="705">
        <f t="shared" si="39"/>
        <v>54627652</v>
      </c>
      <c r="Y629" s="705"/>
      <c r="AI629" s="429"/>
    </row>
    <row r="630" spans="2:35">
      <c r="B630" t="s">
        <v>539</v>
      </c>
      <c r="C630" t="s">
        <v>116</v>
      </c>
      <c r="D630" t="s">
        <v>583</v>
      </c>
      <c r="E630" t="s">
        <v>666</v>
      </c>
      <c r="F630">
        <v>4</v>
      </c>
      <c r="G630" s="705">
        <v>385</v>
      </c>
      <c r="H630" s="705">
        <v>759</v>
      </c>
      <c r="I630" s="705">
        <v>39542</v>
      </c>
      <c r="J630" s="705">
        <v>35947</v>
      </c>
      <c r="K630">
        <v>78</v>
      </c>
      <c r="L630" s="705">
        <v>9729</v>
      </c>
      <c r="M630" s="705">
        <v>8084</v>
      </c>
      <c r="N630" s="705">
        <v>9803</v>
      </c>
      <c r="O630" s="705">
        <v>3631</v>
      </c>
      <c r="P630" s="705">
        <v>2484</v>
      </c>
      <c r="Q630" s="705">
        <v>920</v>
      </c>
      <c r="R630" s="705">
        <v>19621</v>
      </c>
      <c r="S630" s="705">
        <v>17837</v>
      </c>
      <c r="T630" s="705">
        <v>5877</v>
      </c>
      <c r="U630" s="705">
        <v>2177</v>
      </c>
      <c r="V630" s="705">
        <v>68596</v>
      </c>
      <c r="W630" s="705">
        <f t="shared" si="38"/>
        <v>68596</v>
      </c>
      <c r="X630" s="705">
        <f t="shared" si="39"/>
        <v>87056</v>
      </c>
      <c r="Y630" s="705"/>
      <c r="AI630" s="429"/>
    </row>
    <row r="631" spans="2:35">
      <c r="B631" t="s">
        <v>539</v>
      </c>
      <c r="C631" t="s">
        <v>116</v>
      </c>
      <c r="D631" t="s">
        <v>583</v>
      </c>
      <c r="E631" t="s">
        <v>584</v>
      </c>
      <c r="F631">
        <v>9</v>
      </c>
      <c r="G631" s="705">
        <v>1173</v>
      </c>
      <c r="H631" s="705">
        <v>1778</v>
      </c>
      <c r="I631" s="705">
        <v>123864</v>
      </c>
      <c r="J631" s="705">
        <v>112604</v>
      </c>
      <c r="K631">
        <v>86</v>
      </c>
      <c r="L631" s="705">
        <v>31953</v>
      </c>
      <c r="M631" s="705">
        <v>28467</v>
      </c>
      <c r="N631" s="705">
        <v>21555</v>
      </c>
      <c r="O631" s="705">
        <v>7983</v>
      </c>
      <c r="P631" s="705">
        <v>5589</v>
      </c>
      <c r="Q631" s="705">
        <v>2070</v>
      </c>
      <c r="R631" s="705">
        <v>46631</v>
      </c>
      <c r="S631" s="705">
        <v>42392</v>
      </c>
      <c r="T631" s="705">
        <v>4809</v>
      </c>
      <c r="U631" s="705">
        <v>1781</v>
      </c>
      <c r="V631" s="705">
        <v>195297</v>
      </c>
      <c r="W631" s="705">
        <f t="shared" si="38"/>
        <v>195297</v>
      </c>
      <c r="X631" s="705">
        <f t="shared" si="39"/>
        <v>234401</v>
      </c>
      <c r="Y631" s="705"/>
      <c r="AI631" s="429"/>
    </row>
    <row r="632" spans="2:35">
      <c r="B632" t="s">
        <v>539</v>
      </c>
      <c r="C632" t="s">
        <v>116</v>
      </c>
      <c r="D632" t="s">
        <v>583</v>
      </c>
      <c r="E632" t="s">
        <v>669</v>
      </c>
      <c r="F632">
        <v>1</v>
      </c>
      <c r="G632">
        <v>113</v>
      </c>
      <c r="H632">
        <v>186</v>
      </c>
      <c r="I632" s="705">
        <v>11375</v>
      </c>
      <c r="J632" s="705">
        <v>10341</v>
      </c>
      <c r="K632">
        <v>94</v>
      </c>
      <c r="L632" s="705">
        <v>1976</v>
      </c>
      <c r="M632" s="705">
        <v>1796</v>
      </c>
      <c r="N632" s="705">
        <v>2676</v>
      </c>
      <c r="O632" s="705">
        <v>991</v>
      </c>
      <c r="P632">
        <v>621</v>
      </c>
      <c r="Q632">
        <v>230</v>
      </c>
      <c r="R632" s="705">
        <v>4439</v>
      </c>
      <c r="S632" s="705">
        <v>3699</v>
      </c>
      <c r="T632">
        <v>0</v>
      </c>
      <c r="U632">
        <v>0</v>
      </c>
      <c r="V632" s="705">
        <v>17057</v>
      </c>
      <c r="W632" s="705">
        <f t="shared" si="38"/>
        <v>17057</v>
      </c>
      <c r="X632" s="705">
        <f t="shared" si="39"/>
        <v>21087</v>
      </c>
      <c r="Y632" s="705"/>
      <c r="AI632" s="429"/>
    </row>
    <row r="633" spans="2:35">
      <c r="B633" t="s">
        <v>539</v>
      </c>
      <c r="C633" t="s">
        <v>116</v>
      </c>
      <c r="D633" t="s">
        <v>583</v>
      </c>
      <c r="E633" t="s">
        <v>665</v>
      </c>
      <c r="F633">
        <v>2</v>
      </c>
      <c r="G633" s="705">
        <v>198</v>
      </c>
      <c r="H633" s="705">
        <v>393</v>
      </c>
      <c r="I633" s="705">
        <v>21475</v>
      </c>
      <c r="J633" s="705">
        <v>19523</v>
      </c>
      <c r="K633">
        <v>86</v>
      </c>
      <c r="L633" s="705">
        <v>5716</v>
      </c>
      <c r="M633" s="705">
        <v>4268</v>
      </c>
      <c r="N633" s="705">
        <v>4751</v>
      </c>
      <c r="O633" s="705">
        <v>1760</v>
      </c>
      <c r="P633" s="705">
        <v>891</v>
      </c>
      <c r="Q633" s="705">
        <v>330</v>
      </c>
      <c r="R633" s="705">
        <v>11420</v>
      </c>
      <c r="S633" s="705">
        <v>10381</v>
      </c>
      <c r="T633" s="705">
        <v>0</v>
      </c>
      <c r="U633" s="705">
        <v>0</v>
      </c>
      <c r="V633" s="705">
        <v>36261</v>
      </c>
      <c r="W633" s="705">
        <f t="shared" si="38"/>
        <v>36262</v>
      </c>
      <c r="X633" s="705">
        <f t="shared" si="39"/>
        <v>44253</v>
      </c>
      <c r="Y633" s="705"/>
      <c r="AI633" s="429"/>
    </row>
    <row r="634" spans="2:35">
      <c r="B634" t="s">
        <v>539</v>
      </c>
      <c r="C634" t="s">
        <v>116</v>
      </c>
      <c r="D634" t="s">
        <v>584</v>
      </c>
      <c r="E634" t="s">
        <v>582</v>
      </c>
      <c r="F634">
        <v>13</v>
      </c>
      <c r="G634" s="705">
        <v>1211</v>
      </c>
      <c r="H634" s="705">
        <v>2451</v>
      </c>
      <c r="I634" s="705">
        <v>111723</v>
      </c>
      <c r="J634" s="705">
        <v>101566</v>
      </c>
      <c r="K634">
        <v>84</v>
      </c>
      <c r="L634" s="705">
        <v>26428</v>
      </c>
      <c r="M634" s="705">
        <v>22812</v>
      </c>
      <c r="N634" s="705">
        <v>23107</v>
      </c>
      <c r="O634" s="705">
        <v>8558</v>
      </c>
      <c r="P634" s="705">
        <v>6021</v>
      </c>
      <c r="Q634" s="705">
        <v>2230</v>
      </c>
      <c r="R634" s="705">
        <v>50975</v>
      </c>
      <c r="S634" s="705">
        <v>46341</v>
      </c>
      <c r="T634" s="705">
        <v>6582</v>
      </c>
      <c r="U634" s="705">
        <v>2438</v>
      </c>
      <c r="V634" s="705">
        <v>183945</v>
      </c>
      <c r="W634" s="705">
        <f t="shared" si="38"/>
        <v>183945</v>
      </c>
      <c r="X634" s="705">
        <f t="shared" si="39"/>
        <v>224836</v>
      </c>
      <c r="Y634" s="705"/>
      <c r="AI634" s="429"/>
    </row>
    <row r="635" spans="2:35">
      <c r="B635" t="s">
        <v>539</v>
      </c>
      <c r="C635" t="s">
        <v>116</v>
      </c>
      <c r="D635" t="s">
        <v>584</v>
      </c>
      <c r="E635" t="s">
        <v>228</v>
      </c>
      <c r="F635">
        <v>31</v>
      </c>
      <c r="G635" s="705">
        <v>3575</v>
      </c>
      <c r="H635" s="705">
        <v>5916</v>
      </c>
      <c r="I635" s="705">
        <v>357637</v>
      </c>
      <c r="J635" s="705">
        <v>325125</v>
      </c>
      <c r="K635">
        <v>83</v>
      </c>
      <c r="L635" s="705">
        <v>66890</v>
      </c>
      <c r="M635" s="705">
        <v>60052</v>
      </c>
      <c r="N635" s="705">
        <v>64101</v>
      </c>
      <c r="O635" s="705">
        <v>23741</v>
      </c>
      <c r="P635" s="705">
        <v>15002</v>
      </c>
      <c r="Q635" s="705">
        <v>5556</v>
      </c>
      <c r="R635" s="705">
        <v>184777</v>
      </c>
      <c r="S635" s="705">
        <v>68436</v>
      </c>
      <c r="T635" s="705">
        <v>751</v>
      </c>
      <c r="U635" s="705">
        <v>278</v>
      </c>
      <c r="V635" s="705">
        <v>483189</v>
      </c>
      <c r="W635" s="705">
        <f t="shared" si="38"/>
        <v>483188</v>
      </c>
      <c r="X635" s="705">
        <f t="shared" si="39"/>
        <v>689158</v>
      </c>
      <c r="Y635" s="705"/>
      <c r="AI635" s="429"/>
    </row>
    <row r="636" spans="2:35">
      <c r="B636" t="s">
        <v>539</v>
      </c>
      <c r="C636" t="s">
        <v>116</v>
      </c>
      <c r="D636" t="s">
        <v>584</v>
      </c>
      <c r="E636" t="s">
        <v>583</v>
      </c>
      <c r="F636">
        <v>10</v>
      </c>
      <c r="G636" s="705">
        <v>951</v>
      </c>
      <c r="H636" s="705">
        <v>1842</v>
      </c>
      <c r="I636" s="705">
        <v>82914</v>
      </c>
      <c r="J636" s="705">
        <v>75376</v>
      </c>
      <c r="K636">
        <v>83</v>
      </c>
      <c r="L636" s="705">
        <v>23283</v>
      </c>
      <c r="M636" s="705">
        <v>18044</v>
      </c>
      <c r="N636" s="705">
        <v>21946</v>
      </c>
      <c r="O636" s="705">
        <v>8128</v>
      </c>
      <c r="P636" s="705">
        <v>4725</v>
      </c>
      <c r="Q636" s="705">
        <v>1750</v>
      </c>
      <c r="R636" s="705">
        <v>42827</v>
      </c>
      <c r="S636" s="705">
        <v>38933</v>
      </c>
      <c r="T636" s="705">
        <v>2478</v>
      </c>
      <c r="U636" s="705">
        <v>918</v>
      </c>
      <c r="V636" s="705">
        <v>143149</v>
      </c>
      <c r="W636" s="705">
        <f t="shared" si="38"/>
        <v>143149</v>
      </c>
      <c r="X636" s="705">
        <f t="shared" si="39"/>
        <v>178173</v>
      </c>
      <c r="Y636" s="705"/>
      <c r="AI636" s="429"/>
    </row>
    <row r="637" spans="2:35">
      <c r="B637" t="s">
        <v>539</v>
      </c>
      <c r="C637" t="s">
        <v>116</v>
      </c>
      <c r="D637" t="s">
        <v>584</v>
      </c>
      <c r="E637" t="s">
        <v>666</v>
      </c>
      <c r="F637">
        <v>2</v>
      </c>
      <c r="G637">
        <v>150</v>
      </c>
      <c r="H637">
        <v>403</v>
      </c>
      <c r="I637" s="705">
        <v>11392</v>
      </c>
      <c r="J637" s="705">
        <v>10357</v>
      </c>
      <c r="K637">
        <v>78</v>
      </c>
      <c r="L637" s="705">
        <v>3127</v>
      </c>
      <c r="M637" s="705">
        <v>2842</v>
      </c>
      <c r="N637" s="705">
        <v>3647</v>
      </c>
      <c r="O637" s="705">
        <v>1351</v>
      </c>
      <c r="P637" s="705">
        <v>945</v>
      </c>
      <c r="Q637">
        <v>350</v>
      </c>
      <c r="R637" s="705">
        <v>11044</v>
      </c>
      <c r="S637" s="705">
        <v>10040</v>
      </c>
      <c r="T637">
        <v>0</v>
      </c>
      <c r="U637">
        <v>0</v>
      </c>
      <c r="V637" s="705">
        <v>24940</v>
      </c>
      <c r="W637" s="705">
        <f t="shared" si="38"/>
        <v>24940</v>
      </c>
      <c r="X637" s="705">
        <f t="shared" si="39"/>
        <v>30155</v>
      </c>
      <c r="Y637" s="705"/>
      <c r="AI637" s="429"/>
    </row>
    <row r="638" spans="2:35">
      <c r="B638" t="s">
        <v>539</v>
      </c>
      <c r="C638" t="s">
        <v>116</v>
      </c>
      <c r="D638" t="s">
        <v>584</v>
      </c>
      <c r="E638" t="s">
        <v>584</v>
      </c>
      <c r="F638" s="705">
        <v>43903</v>
      </c>
      <c r="G638" s="705">
        <v>4418405</v>
      </c>
      <c r="H638" s="705">
        <v>8316210</v>
      </c>
      <c r="I638" s="705">
        <v>415723407</v>
      </c>
      <c r="J638" s="705">
        <v>377930368</v>
      </c>
      <c r="K638">
        <v>84</v>
      </c>
      <c r="L638" s="705">
        <v>104630336</v>
      </c>
      <c r="M638" s="705">
        <v>88557571</v>
      </c>
      <c r="N638" s="705">
        <v>87395852</v>
      </c>
      <c r="O638" s="705">
        <v>32368833</v>
      </c>
      <c r="P638" s="705">
        <v>20962329</v>
      </c>
      <c r="Q638" s="705">
        <v>7763826</v>
      </c>
      <c r="R638" s="705">
        <v>198117394</v>
      </c>
      <c r="S638" s="705">
        <v>180106720</v>
      </c>
      <c r="T638" s="705">
        <v>26704976</v>
      </c>
      <c r="U638" s="705">
        <v>9890732</v>
      </c>
      <c r="V638" s="705">
        <v>696618050</v>
      </c>
      <c r="W638" s="705">
        <f t="shared" si="38"/>
        <v>696618050</v>
      </c>
      <c r="X638" s="705">
        <f t="shared" si="39"/>
        <v>853534294</v>
      </c>
      <c r="Y638" s="705"/>
      <c r="AI638" s="429"/>
    </row>
    <row r="639" spans="2:35">
      <c r="B639" t="s">
        <v>539</v>
      </c>
      <c r="C639" t="s">
        <v>116</v>
      </c>
      <c r="D639" t="s">
        <v>584</v>
      </c>
      <c r="E639" t="s">
        <v>669</v>
      </c>
      <c r="F639">
        <v>9</v>
      </c>
      <c r="G639">
        <v>833</v>
      </c>
      <c r="H639" s="705">
        <v>1802</v>
      </c>
      <c r="I639" s="705">
        <v>80995</v>
      </c>
      <c r="J639" s="705">
        <v>73631</v>
      </c>
      <c r="K639">
        <v>78</v>
      </c>
      <c r="L639" s="705">
        <v>16834</v>
      </c>
      <c r="M639" s="705">
        <v>17634</v>
      </c>
      <c r="N639" s="705">
        <v>18198</v>
      </c>
      <c r="O639" s="705">
        <v>6740</v>
      </c>
      <c r="P639" s="705">
        <v>4253</v>
      </c>
      <c r="Q639" s="705">
        <v>1575</v>
      </c>
      <c r="R639" s="705">
        <v>50824</v>
      </c>
      <c r="S639" s="705">
        <v>42353</v>
      </c>
      <c r="T639" s="705">
        <v>4359</v>
      </c>
      <c r="U639" s="705">
        <v>1614</v>
      </c>
      <c r="V639" s="705">
        <v>143549</v>
      </c>
      <c r="W639" s="705">
        <f t="shared" si="38"/>
        <v>143547</v>
      </c>
      <c r="X639" s="705">
        <f t="shared" si="39"/>
        <v>175463</v>
      </c>
      <c r="Y639" s="705"/>
      <c r="AI639" s="429"/>
    </row>
    <row r="640" spans="2:35">
      <c r="B640" t="s">
        <v>539</v>
      </c>
      <c r="C640" t="s">
        <v>116</v>
      </c>
      <c r="D640" t="s">
        <v>584</v>
      </c>
      <c r="E640" t="s">
        <v>665</v>
      </c>
      <c r="F640">
        <v>5</v>
      </c>
      <c r="G640" s="705">
        <v>512</v>
      </c>
      <c r="H640" s="705">
        <v>922</v>
      </c>
      <c r="I640" s="705">
        <v>46379</v>
      </c>
      <c r="J640" s="705">
        <v>42163</v>
      </c>
      <c r="K640">
        <v>88</v>
      </c>
      <c r="L640" s="705">
        <v>7837</v>
      </c>
      <c r="M640" s="705">
        <v>9163</v>
      </c>
      <c r="N640" s="705">
        <v>11056</v>
      </c>
      <c r="O640" s="705">
        <v>4095</v>
      </c>
      <c r="P640" s="705">
        <v>2363</v>
      </c>
      <c r="Q640" s="705">
        <v>875</v>
      </c>
      <c r="R640" s="705">
        <v>24922</v>
      </c>
      <c r="S640" s="705">
        <v>22656</v>
      </c>
      <c r="T640" s="705">
        <v>0</v>
      </c>
      <c r="U640" s="705">
        <v>0</v>
      </c>
      <c r="V640" s="705">
        <v>78952</v>
      </c>
      <c r="W640" s="705">
        <f t="shared" si="38"/>
        <v>78952</v>
      </c>
      <c r="X640" s="705">
        <f t="shared" si="39"/>
        <v>92557</v>
      </c>
      <c r="Y640" s="705"/>
      <c r="AI640" s="429"/>
    </row>
    <row r="641" spans="2:35">
      <c r="B641" t="s">
        <v>539</v>
      </c>
      <c r="C641" t="s">
        <v>116</v>
      </c>
      <c r="D641" t="s">
        <v>584</v>
      </c>
      <c r="E641" t="s">
        <v>673</v>
      </c>
      <c r="F641">
        <v>3</v>
      </c>
      <c r="G641">
        <v>317</v>
      </c>
      <c r="H641" s="705">
        <v>601</v>
      </c>
      <c r="I641" s="705">
        <v>37212</v>
      </c>
      <c r="J641" s="705">
        <v>33829</v>
      </c>
      <c r="K641">
        <v>83</v>
      </c>
      <c r="L641" s="705">
        <v>7204</v>
      </c>
      <c r="M641" s="705">
        <v>6549</v>
      </c>
      <c r="N641" s="705">
        <v>6083</v>
      </c>
      <c r="O641" s="705">
        <v>2253</v>
      </c>
      <c r="P641" s="705">
        <v>1418</v>
      </c>
      <c r="Q641" s="705">
        <v>525</v>
      </c>
      <c r="R641" s="705">
        <v>16525</v>
      </c>
      <c r="S641" s="705">
        <v>15023</v>
      </c>
      <c r="T641" s="705">
        <v>2751</v>
      </c>
      <c r="U641" s="705">
        <v>1019</v>
      </c>
      <c r="V641" s="705">
        <v>59197</v>
      </c>
      <c r="W641" s="705">
        <f t="shared" si="38"/>
        <v>59198</v>
      </c>
      <c r="X641" s="705">
        <f t="shared" si="39"/>
        <v>71193</v>
      </c>
      <c r="Y641" s="705"/>
      <c r="AI641" s="429"/>
    </row>
    <row r="642" spans="2:35">
      <c r="B642" t="s">
        <v>539</v>
      </c>
      <c r="C642" t="s">
        <v>116</v>
      </c>
      <c r="D642" t="s">
        <v>669</v>
      </c>
      <c r="E642" t="s">
        <v>584</v>
      </c>
      <c r="F642">
        <v>1</v>
      </c>
      <c r="G642">
        <v>82</v>
      </c>
      <c r="H642" s="705">
        <v>170</v>
      </c>
      <c r="I642" s="705">
        <v>5270</v>
      </c>
      <c r="J642" s="705">
        <v>4392</v>
      </c>
      <c r="K642">
        <v>78</v>
      </c>
      <c r="L642" s="705">
        <v>1326</v>
      </c>
      <c r="M642" s="705">
        <v>1205</v>
      </c>
      <c r="N642" s="705">
        <v>996</v>
      </c>
      <c r="O642" s="705">
        <v>369</v>
      </c>
      <c r="P642" s="705">
        <v>473</v>
      </c>
      <c r="Q642" s="705">
        <v>175</v>
      </c>
      <c r="R642" s="705">
        <v>3657</v>
      </c>
      <c r="S642" s="705">
        <v>3325</v>
      </c>
      <c r="T642" s="705">
        <v>2189</v>
      </c>
      <c r="U642" s="705">
        <v>811</v>
      </c>
      <c r="V642" s="705">
        <v>10277</v>
      </c>
      <c r="W642" s="705">
        <f t="shared" si="38"/>
        <v>10277</v>
      </c>
      <c r="X642" s="705">
        <f t="shared" si="39"/>
        <v>13911</v>
      </c>
      <c r="Y642" s="705"/>
      <c r="AI642" s="429"/>
    </row>
    <row r="643" spans="2:35">
      <c r="B643" t="s">
        <v>539</v>
      </c>
      <c r="C643" t="s">
        <v>116</v>
      </c>
      <c r="D643" t="s">
        <v>669</v>
      </c>
      <c r="E643" t="s">
        <v>669</v>
      </c>
      <c r="F643">
        <v>5</v>
      </c>
      <c r="G643">
        <v>484</v>
      </c>
      <c r="H643" s="705">
        <v>1077</v>
      </c>
      <c r="I643" s="705">
        <v>57220</v>
      </c>
      <c r="J643" s="705">
        <v>47684</v>
      </c>
      <c r="K643">
        <v>65</v>
      </c>
      <c r="L643" s="705">
        <v>3208</v>
      </c>
      <c r="M643" s="705">
        <v>4615</v>
      </c>
      <c r="N643" s="705">
        <v>8449</v>
      </c>
      <c r="O643" s="705">
        <v>3129</v>
      </c>
      <c r="P643" s="705">
        <v>1755</v>
      </c>
      <c r="Q643">
        <v>650</v>
      </c>
      <c r="R643" s="705">
        <v>25034</v>
      </c>
      <c r="S643" s="705">
        <v>20861</v>
      </c>
      <c r="T643" s="705">
        <v>7587</v>
      </c>
      <c r="U643" s="705">
        <v>2810</v>
      </c>
      <c r="V643" s="705">
        <v>79749</v>
      </c>
      <c r="W643" s="705">
        <f t="shared" si="38"/>
        <v>79749</v>
      </c>
      <c r="X643" s="705">
        <f t="shared" si="39"/>
        <v>103253</v>
      </c>
      <c r="Y643" s="705"/>
      <c r="AI643" s="429"/>
    </row>
    <row r="644" spans="2:35">
      <c r="B644" t="s">
        <v>539</v>
      </c>
      <c r="C644" t="s">
        <v>116</v>
      </c>
      <c r="D644" t="s">
        <v>665</v>
      </c>
      <c r="E644" t="s">
        <v>665</v>
      </c>
      <c r="F644">
        <v>2</v>
      </c>
      <c r="G644">
        <v>214</v>
      </c>
      <c r="H644">
        <v>409</v>
      </c>
      <c r="I644" s="705">
        <v>25709</v>
      </c>
      <c r="J644" s="705">
        <v>23372</v>
      </c>
      <c r="K644">
        <v>70</v>
      </c>
      <c r="L644" s="705">
        <v>2660</v>
      </c>
      <c r="M644" s="705">
        <v>2418</v>
      </c>
      <c r="N644" s="705">
        <v>4658</v>
      </c>
      <c r="O644" s="705">
        <v>1725</v>
      </c>
      <c r="P644" s="705">
        <v>972</v>
      </c>
      <c r="Q644">
        <v>360</v>
      </c>
      <c r="R644" s="705">
        <v>8168</v>
      </c>
      <c r="S644" s="705">
        <v>7425</v>
      </c>
      <c r="T644" s="705">
        <v>5247</v>
      </c>
      <c r="U644" s="705">
        <v>1943</v>
      </c>
      <c r="V644" s="705">
        <v>37244</v>
      </c>
      <c r="W644" s="705">
        <f t="shared" si="38"/>
        <v>37243</v>
      </c>
      <c r="X644" s="705">
        <f t="shared" si="39"/>
        <v>47414</v>
      </c>
      <c r="Y644" s="705"/>
      <c r="AI644" s="429"/>
    </row>
    <row r="645" spans="2:35">
      <c r="B645" t="s">
        <v>539</v>
      </c>
      <c r="C645" t="s">
        <v>116</v>
      </c>
      <c r="D645" t="s">
        <v>673</v>
      </c>
      <c r="E645" t="s">
        <v>228</v>
      </c>
      <c r="F645">
        <v>1</v>
      </c>
      <c r="G645" s="705">
        <v>202</v>
      </c>
      <c r="H645" s="705">
        <v>190</v>
      </c>
      <c r="I645" s="705">
        <v>16961</v>
      </c>
      <c r="J645" s="705">
        <v>15419</v>
      </c>
      <c r="K645">
        <v>73</v>
      </c>
      <c r="L645" s="705">
        <v>2293</v>
      </c>
      <c r="M645" s="705">
        <v>2084</v>
      </c>
      <c r="N645" s="705">
        <v>4386</v>
      </c>
      <c r="O645" s="705">
        <v>1625</v>
      </c>
      <c r="P645" s="705">
        <v>351</v>
      </c>
      <c r="Q645" s="705">
        <v>130</v>
      </c>
      <c r="R645" s="705">
        <v>14526</v>
      </c>
      <c r="S645" s="705">
        <v>5380</v>
      </c>
      <c r="T645" s="705">
        <v>0</v>
      </c>
      <c r="U645" s="705">
        <v>0</v>
      </c>
      <c r="V645" s="705">
        <v>24638</v>
      </c>
      <c r="W645" s="705">
        <f t="shared" si="38"/>
        <v>24638</v>
      </c>
      <c r="X645" s="705">
        <f t="shared" si="39"/>
        <v>38517</v>
      </c>
      <c r="Y645" s="705"/>
      <c r="AI645" s="429"/>
    </row>
    <row r="646" spans="2:35">
      <c r="B646" t="s">
        <v>539</v>
      </c>
      <c r="C646" t="s">
        <v>116</v>
      </c>
      <c r="D646" t="s">
        <v>585</v>
      </c>
      <c r="E646" t="s">
        <v>585</v>
      </c>
      <c r="F646" s="705">
        <v>10</v>
      </c>
      <c r="G646" s="705">
        <v>1146</v>
      </c>
      <c r="H646" s="705">
        <v>1900</v>
      </c>
      <c r="I646" s="705">
        <v>132033</v>
      </c>
      <c r="J646" s="705">
        <v>120030</v>
      </c>
      <c r="K646">
        <v>72</v>
      </c>
      <c r="L646" s="705">
        <v>13339</v>
      </c>
      <c r="M646" s="705">
        <v>11160</v>
      </c>
      <c r="N646" s="705">
        <v>24703</v>
      </c>
      <c r="O646" s="705">
        <v>9149</v>
      </c>
      <c r="P646" s="705">
        <v>3632</v>
      </c>
      <c r="Q646" s="705">
        <v>1345</v>
      </c>
      <c r="R646" s="705">
        <v>53770</v>
      </c>
      <c r="S646" s="705">
        <v>48882</v>
      </c>
      <c r="T646" s="705">
        <v>2375</v>
      </c>
      <c r="U646" s="705">
        <v>880</v>
      </c>
      <c r="V646" s="705">
        <v>191446</v>
      </c>
      <c r="W646" s="705">
        <f t="shared" si="38"/>
        <v>191446</v>
      </c>
      <c r="X646" s="705">
        <f t="shared" si="39"/>
        <v>229852</v>
      </c>
      <c r="Y646" s="705"/>
      <c r="AI646" s="429"/>
    </row>
    <row r="647" spans="2:35">
      <c r="B647" t="s">
        <v>539</v>
      </c>
      <c r="C647" t="s">
        <v>116</v>
      </c>
      <c r="D647" t="s">
        <v>668</v>
      </c>
      <c r="E647" t="s">
        <v>668</v>
      </c>
      <c r="F647">
        <v>6</v>
      </c>
      <c r="G647">
        <v>542</v>
      </c>
      <c r="H647" s="705">
        <v>1183</v>
      </c>
      <c r="I647" s="705">
        <v>49728</v>
      </c>
      <c r="J647" s="705">
        <v>45207</v>
      </c>
      <c r="K647">
        <v>65</v>
      </c>
      <c r="L647" s="705">
        <v>12386</v>
      </c>
      <c r="M647" s="705">
        <v>9674</v>
      </c>
      <c r="N647" s="705">
        <v>9591</v>
      </c>
      <c r="O647" s="705">
        <v>3552</v>
      </c>
      <c r="P647" s="705">
        <v>2106</v>
      </c>
      <c r="Q647">
        <v>780</v>
      </c>
      <c r="R647" s="705">
        <v>30664</v>
      </c>
      <c r="S647" s="705">
        <v>27877</v>
      </c>
      <c r="T647" s="705">
        <v>2282</v>
      </c>
      <c r="U647">
        <v>845</v>
      </c>
      <c r="V647" s="705">
        <v>87935</v>
      </c>
      <c r="W647" s="705">
        <f t="shared" ref="W647:W710" si="40">SUM(ABS(J647),ABS(M647),ABS(O647),ABS(Q647),ABS(S647),ABS(U647))</f>
        <v>87935</v>
      </c>
      <c r="X647" s="705">
        <f t="shared" ref="X647:X710" si="41">SUM(ABS(I647),ABS(N647),ABS(P647),ABS(R647),ABS(T647),ABS(L647))</f>
        <v>106757</v>
      </c>
      <c r="Y647" s="705"/>
      <c r="AI647" s="429"/>
    </row>
    <row r="648" spans="2:35">
      <c r="B648" t="s">
        <v>539</v>
      </c>
      <c r="C648" t="s">
        <v>118</v>
      </c>
      <c r="F648">
        <v>71</v>
      </c>
      <c r="G648" s="705">
        <v>3829</v>
      </c>
      <c r="H648" s="705">
        <v>18182</v>
      </c>
      <c r="I648" s="705"/>
      <c r="J648" s="705">
        <v>0</v>
      </c>
      <c r="L648" s="705"/>
      <c r="M648" s="705">
        <v>0</v>
      </c>
      <c r="N648" s="705">
        <v>80325</v>
      </c>
      <c r="O648" s="705">
        <v>29750</v>
      </c>
      <c r="P648" s="705">
        <v>11880</v>
      </c>
      <c r="Q648" s="705">
        <v>4400</v>
      </c>
      <c r="R648" s="705"/>
      <c r="S648" s="705">
        <v>0</v>
      </c>
      <c r="T648" s="705">
        <v>20539</v>
      </c>
      <c r="U648" s="705">
        <v>7607</v>
      </c>
      <c r="V648" s="705">
        <v>41757</v>
      </c>
      <c r="W648" s="705">
        <f t="shared" si="40"/>
        <v>41757</v>
      </c>
      <c r="X648" s="705">
        <f t="shared" si="41"/>
        <v>112744</v>
      </c>
      <c r="Y648" s="705"/>
      <c r="AI648" s="429"/>
    </row>
    <row r="649" spans="2:35">
      <c r="B649" t="s">
        <v>539</v>
      </c>
      <c r="C649" t="s">
        <v>118</v>
      </c>
      <c r="D649" t="s">
        <v>674</v>
      </c>
      <c r="E649" t="s">
        <v>674</v>
      </c>
      <c r="F649">
        <v>1</v>
      </c>
      <c r="G649" s="705">
        <v>81</v>
      </c>
      <c r="H649" s="705">
        <v>270</v>
      </c>
      <c r="I649" s="705">
        <v>12974</v>
      </c>
      <c r="J649" s="705">
        <v>11794</v>
      </c>
      <c r="K649">
        <v>63</v>
      </c>
      <c r="L649" s="705">
        <v>0</v>
      </c>
      <c r="M649" s="705">
        <v>0</v>
      </c>
      <c r="N649" s="705">
        <v>1523</v>
      </c>
      <c r="O649" s="705">
        <v>564</v>
      </c>
      <c r="P649" s="705">
        <v>351</v>
      </c>
      <c r="Q649" s="705">
        <v>130</v>
      </c>
      <c r="R649" s="705">
        <v>4642</v>
      </c>
      <c r="S649" s="705">
        <v>4220</v>
      </c>
      <c r="T649" s="705">
        <v>2449</v>
      </c>
      <c r="U649" s="705">
        <v>907</v>
      </c>
      <c r="V649" s="705">
        <v>17616</v>
      </c>
      <c r="W649" s="705">
        <f t="shared" si="40"/>
        <v>17615</v>
      </c>
      <c r="X649" s="705">
        <f t="shared" si="41"/>
        <v>21939</v>
      </c>
      <c r="Y649" s="705"/>
      <c r="AI649" s="429"/>
    </row>
    <row r="650" spans="2:35">
      <c r="B650" t="s">
        <v>539</v>
      </c>
      <c r="C650" t="s">
        <v>118</v>
      </c>
      <c r="D650" t="s">
        <v>664</v>
      </c>
      <c r="E650" t="s">
        <v>664</v>
      </c>
      <c r="F650">
        <v>1</v>
      </c>
      <c r="G650">
        <v>87</v>
      </c>
      <c r="H650">
        <v>280</v>
      </c>
      <c r="I650" s="705">
        <v>12649</v>
      </c>
      <c r="J650" s="705">
        <v>11499</v>
      </c>
      <c r="K650">
        <v>80</v>
      </c>
      <c r="L650" s="705">
        <v>3565</v>
      </c>
      <c r="M650" s="705">
        <v>3241</v>
      </c>
      <c r="N650" s="705">
        <v>1804</v>
      </c>
      <c r="O650" s="705">
        <v>668</v>
      </c>
      <c r="P650">
        <v>473</v>
      </c>
      <c r="Q650">
        <v>175</v>
      </c>
      <c r="R650" s="705">
        <v>3639</v>
      </c>
      <c r="S650" s="705">
        <v>3308</v>
      </c>
      <c r="T650" s="705">
        <v>2260</v>
      </c>
      <c r="U650">
        <v>837</v>
      </c>
      <c r="V650" s="705">
        <v>19728</v>
      </c>
      <c r="W650" s="705">
        <f t="shared" si="40"/>
        <v>19728</v>
      </c>
      <c r="X650" s="705">
        <f t="shared" si="41"/>
        <v>24390</v>
      </c>
      <c r="Y650" s="705"/>
      <c r="AI650" s="429"/>
    </row>
    <row r="651" spans="2:35">
      <c r="B651" t="s">
        <v>539</v>
      </c>
      <c r="C651" t="s">
        <v>118</v>
      </c>
      <c r="D651" t="s">
        <v>664</v>
      </c>
      <c r="E651" t="s">
        <v>582</v>
      </c>
      <c r="F651">
        <v>1</v>
      </c>
      <c r="G651" s="705">
        <v>58</v>
      </c>
      <c r="H651" s="705">
        <v>231</v>
      </c>
      <c r="I651" s="705">
        <v>7028</v>
      </c>
      <c r="J651" s="705">
        <v>6389</v>
      </c>
      <c r="K651">
        <v>91</v>
      </c>
      <c r="L651" s="705">
        <v>1298</v>
      </c>
      <c r="M651" s="705">
        <v>1081</v>
      </c>
      <c r="N651" s="705">
        <v>1343</v>
      </c>
      <c r="O651" s="705">
        <v>497</v>
      </c>
      <c r="P651" s="705">
        <v>473</v>
      </c>
      <c r="Q651" s="705">
        <v>175</v>
      </c>
      <c r="R651" s="705">
        <v>3183</v>
      </c>
      <c r="S651" s="705">
        <v>2893</v>
      </c>
      <c r="T651" s="705">
        <v>0</v>
      </c>
      <c r="U651" s="705">
        <v>0</v>
      </c>
      <c r="V651" s="705">
        <v>11036</v>
      </c>
      <c r="W651" s="705">
        <f t="shared" si="40"/>
        <v>11035</v>
      </c>
      <c r="X651" s="705">
        <f t="shared" si="41"/>
        <v>13325</v>
      </c>
      <c r="Y651" s="705"/>
      <c r="AI651" s="429"/>
    </row>
    <row r="652" spans="2:35">
      <c r="B652" t="s">
        <v>539</v>
      </c>
      <c r="C652" t="s">
        <v>118</v>
      </c>
      <c r="D652" t="s">
        <v>664</v>
      </c>
      <c r="E652" t="s">
        <v>583</v>
      </c>
      <c r="F652">
        <v>2</v>
      </c>
      <c r="G652">
        <v>248</v>
      </c>
      <c r="H652" s="705">
        <v>541</v>
      </c>
      <c r="I652" s="705">
        <v>36776</v>
      </c>
      <c r="J652" s="705">
        <v>33433</v>
      </c>
      <c r="K652">
        <v>78</v>
      </c>
      <c r="L652" s="705">
        <v>9679</v>
      </c>
      <c r="M652" s="705">
        <v>8799</v>
      </c>
      <c r="N652" s="705">
        <v>5642</v>
      </c>
      <c r="O652" s="705">
        <v>2089</v>
      </c>
      <c r="P652" s="705">
        <v>1242</v>
      </c>
      <c r="Q652" s="705">
        <v>460</v>
      </c>
      <c r="R652" s="705">
        <v>9103</v>
      </c>
      <c r="S652" s="705">
        <v>8276</v>
      </c>
      <c r="T652" s="705">
        <v>5765</v>
      </c>
      <c r="U652" s="705">
        <v>2135</v>
      </c>
      <c r="V652" s="705">
        <v>55192</v>
      </c>
      <c r="W652" s="705">
        <f t="shared" si="40"/>
        <v>55192</v>
      </c>
      <c r="X652" s="705">
        <f t="shared" si="41"/>
        <v>68207</v>
      </c>
      <c r="Y652" s="705"/>
      <c r="AI652" s="429"/>
    </row>
    <row r="653" spans="2:35">
      <c r="B653" t="s">
        <v>539</v>
      </c>
      <c r="C653" t="s">
        <v>118</v>
      </c>
      <c r="D653" t="s">
        <v>582</v>
      </c>
      <c r="E653" t="s">
        <v>582</v>
      </c>
      <c r="F653">
        <v>11</v>
      </c>
      <c r="G653" s="705">
        <v>1152</v>
      </c>
      <c r="H653" s="705">
        <v>2841</v>
      </c>
      <c r="I653" s="705">
        <v>173569</v>
      </c>
      <c r="J653" s="705">
        <v>157790</v>
      </c>
      <c r="K653">
        <v>82</v>
      </c>
      <c r="L653" s="705">
        <v>45625</v>
      </c>
      <c r="M653" s="705">
        <v>35744</v>
      </c>
      <c r="N653" s="705">
        <v>25367</v>
      </c>
      <c r="O653" s="705">
        <v>9395</v>
      </c>
      <c r="P653" s="705">
        <v>5346</v>
      </c>
      <c r="Q653" s="705">
        <v>1980</v>
      </c>
      <c r="R653" s="705">
        <v>52663</v>
      </c>
      <c r="S653" s="705">
        <v>47876</v>
      </c>
      <c r="T653" s="705">
        <v>10172</v>
      </c>
      <c r="U653" s="705">
        <v>3767</v>
      </c>
      <c r="V653" s="705">
        <v>256552</v>
      </c>
      <c r="W653" s="705">
        <f t="shared" si="40"/>
        <v>256552</v>
      </c>
      <c r="X653" s="705">
        <f t="shared" si="41"/>
        <v>312742</v>
      </c>
      <c r="Y653" s="705"/>
      <c r="AI653" s="429"/>
    </row>
    <row r="654" spans="2:35">
      <c r="B654" t="s">
        <v>539</v>
      </c>
      <c r="C654" t="s">
        <v>118</v>
      </c>
      <c r="D654" t="s">
        <v>582</v>
      </c>
      <c r="E654" t="s">
        <v>584</v>
      </c>
      <c r="F654">
        <v>2</v>
      </c>
      <c r="G654" s="705">
        <v>143</v>
      </c>
      <c r="H654" s="705">
        <v>524</v>
      </c>
      <c r="I654" s="705">
        <v>17240</v>
      </c>
      <c r="J654" s="705">
        <v>15673</v>
      </c>
      <c r="K654">
        <v>79</v>
      </c>
      <c r="L654" s="705">
        <v>5054</v>
      </c>
      <c r="M654" s="705">
        <v>4368</v>
      </c>
      <c r="N654" s="705">
        <v>2649</v>
      </c>
      <c r="O654" s="705">
        <v>981</v>
      </c>
      <c r="P654" s="705">
        <v>945</v>
      </c>
      <c r="Q654" s="705">
        <v>350</v>
      </c>
      <c r="R654" s="705">
        <v>8970</v>
      </c>
      <c r="S654" s="705">
        <v>8154</v>
      </c>
      <c r="T654" s="705">
        <v>2305</v>
      </c>
      <c r="U654" s="705">
        <v>854</v>
      </c>
      <c r="V654" s="705">
        <v>30380</v>
      </c>
      <c r="W654" s="705">
        <f t="shared" si="40"/>
        <v>30380</v>
      </c>
      <c r="X654" s="705">
        <f t="shared" si="41"/>
        <v>37163</v>
      </c>
      <c r="Y654" s="705"/>
      <c r="AI654" s="429"/>
    </row>
    <row r="655" spans="2:35">
      <c r="B655" t="s">
        <v>539</v>
      </c>
      <c r="C655" t="s">
        <v>118</v>
      </c>
      <c r="D655" t="s">
        <v>228</v>
      </c>
      <c r="E655" t="s">
        <v>228</v>
      </c>
      <c r="F655" s="705">
        <v>1069</v>
      </c>
      <c r="G655" s="705">
        <v>85789</v>
      </c>
      <c r="H655" s="705">
        <v>283977</v>
      </c>
      <c r="I655" s="705">
        <v>12183605</v>
      </c>
      <c r="J655" s="705">
        <v>4512446</v>
      </c>
      <c r="K655">
        <v>102</v>
      </c>
      <c r="L655" s="705">
        <v>1983420</v>
      </c>
      <c r="M655" s="705">
        <v>1128708</v>
      </c>
      <c r="N655" s="705">
        <v>1758642</v>
      </c>
      <c r="O655" s="705">
        <v>651349</v>
      </c>
      <c r="P655" s="705">
        <v>14390</v>
      </c>
      <c r="Q655" s="705">
        <v>5330</v>
      </c>
      <c r="R655" s="705">
        <v>7217858</v>
      </c>
      <c r="S655" s="705">
        <v>2673281</v>
      </c>
      <c r="T655" s="705">
        <v>8653</v>
      </c>
      <c r="U655" s="705">
        <v>3205</v>
      </c>
      <c r="V655" s="705">
        <v>8974318</v>
      </c>
      <c r="W655" s="705">
        <f t="shared" si="40"/>
        <v>8974319</v>
      </c>
      <c r="X655" s="705">
        <f t="shared" si="41"/>
        <v>23166568</v>
      </c>
      <c r="Y655" s="705"/>
      <c r="AI655" s="429"/>
    </row>
    <row r="656" spans="2:35">
      <c r="B656" t="s">
        <v>539</v>
      </c>
      <c r="C656" t="s">
        <v>118</v>
      </c>
      <c r="D656" t="s">
        <v>228</v>
      </c>
      <c r="E656" t="s">
        <v>669</v>
      </c>
      <c r="F656">
        <v>2</v>
      </c>
      <c r="G656" s="705">
        <v>163</v>
      </c>
      <c r="H656" s="705">
        <v>550</v>
      </c>
      <c r="I656" s="705">
        <v>22518</v>
      </c>
      <c r="J656" s="705">
        <v>8340</v>
      </c>
      <c r="K656">
        <v>100</v>
      </c>
      <c r="L656" s="705">
        <v>2224</v>
      </c>
      <c r="M656" s="705">
        <v>1853</v>
      </c>
      <c r="N656" s="705">
        <v>3245</v>
      </c>
      <c r="O656" s="705">
        <v>1202</v>
      </c>
      <c r="P656" s="705">
        <v>351</v>
      </c>
      <c r="Q656" s="705">
        <v>130</v>
      </c>
      <c r="R656" s="705">
        <v>12083</v>
      </c>
      <c r="S656" s="705">
        <v>10069</v>
      </c>
      <c r="T656" s="705">
        <v>4372</v>
      </c>
      <c r="U656" s="705">
        <v>1619</v>
      </c>
      <c r="V656" s="705">
        <v>23214</v>
      </c>
      <c r="W656" s="705">
        <f t="shared" si="40"/>
        <v>23213</v>
      </c>
      <c r="X656" s="705">
        <f t="shared" si="41"/>
        <v>44793</v>
      </c>
      <c r="Y656" s="705"/>
      <c r="AI656" s="429"/>
    </row>
    <row r="657" spans="2:35">
      <c r="B657" t="s">
        <v>539</v>
      </c>
      <c r="C657" t="s">
        <v>118</v>
      </c>
      <c r="D657" t="s">
        <v>583</v>
      </c>
      <c r="E657" t="s">
        <v>664</v>
      </c>
      <c r="F657">
        <v>3</v>
      </c>
      <c r="G657" s="705">
        <v>263</v>
      </c>
      <c r="H657" s="705">
        <v>841</v>
      </c>
      <c r="I657" s="705">
        <v>36696</v>
      </c>
      <c r="J657" s="705">
        <v>33360</v>
      </c>
      <c r="K657">
        <v>73</v>
      </c>
      <c r="L657" s="705">
        <v>10264</v>
      </c>
      <c r="M657" s="705">
        <v>7842</v>
      </c>
      <c r="N657" s="705">
        <v>5708</v>
      </c>
      <c r="O657" s="705">
        <v>2114</v>
      </c>
      <c r="P657" s="705">
        <v>1863</v>
      </c>
      <c r="Q657" s="705">
        <v>690</v>
      </c>
      <c r="R657" s="705">
        <v>14034</v>
      </c>
      <c r="S657" s="705">
        <v>12758</v>
      </c>
      <c r="T657" s="705">
        <v>4884</v>
      </c>
      <c r="U657" s="705">
        <v>1809</v>
      </c>
      <c r="V657" s="705">
        <v>58573</v>
      </c>
      <c r="W657" s="705">
        <f t="shared" si="40"/>
        <v>58573</v>
      </c>
      <c r="X657" s="705">
        <f t="shared" si="41"/>
        <v>73449</v>
      </c>
      <c r="Y657" s="705"/>
      <c r="AI657" s="429"/>
    </row>
    <row r="658" spans="2:35">
      <c r="B658" t="s">
        <v>539</v>
      </c>
      <c r="C658" t="s">
        <v>118</v>
      </c>
      <c r="D658" t="s">
        <v>583</v>
      </c>
      <c r="E658" t="s">
        <v>228</v>
      </c>
      <c r="F658">
        <v>10</v>
      </c>
      <c r="G658" s="705">
        <v>1204</v>
      </c>
      <c r="H658" s="705">
        <v>2616</v>
      </c>
      <c r="I658" s="705">
        <v>184433</v>
      </c>
      <c r="J658" s="705">
        <v>167667</v>
      </c>
      <c r="K658">
        <v>79</v>
      </c>
      <c r="L658" s="705">
        <v>32041</v>
      </c>
      <c r="M658" s="705">
        <v>29732</v>
      </c>
      <c r="N658" s="705">
        <v>22740</v>
      </c>
      <c r="O658" s="705">
        <v>8422</v>
      </c>
      <c r="P658" s="705">
        <v>6210</v>
      </c>
      <c r="Q658" s="705">
        <v>2300</v>
      </c>
      <c r="R658" s="705">
        <v>77997</v>
      </c>
      <c r="S658" s="705">
        <v>28888</v>
      </c>
      <c r="T658" s="705">
        <v>0</v>
      </c>
      <c r="U658">
        <v>0</v>
      </c>
      <c r="V658" s="705">
        <v>237009</v>
      </c>
      <c r="W658" s="705">
        <f t="shared" si="40"/>
        <v>237009</v>
      </c>
      <c r="X658" s="705">
        <f t="shared" si="41"/>
        <v>323421</v>
      </c>
      <c r="Y658" s="705"/>
      <c r="AI658" s="429"/>
    </row>
    <row r="659" spans="2:35">
      <c r="B659" t="s">
        <v>539</v>
      </c>
      <c r="C659" t="s">
        <v>118</v>
      </c>
      <c r="D659" t="s">
        <v>583</v>
      </c>
      <c r="E659" t="s">
        <v>583</v>
      </c>
      <c r="F659" s="705">
        <v>3590</v>
      </c>
      <c r="G659" s="705">
        <v>376678</v>
      </c>
      <c r="H659" s="705">
        <v>943607</v>
      </c>
      <c r="I659" s="705">
        <v>54559771</v>
      </c>
      <c r="J659" s="705">
        <v>49599791</v>
      </c>
      <c r="K659">
        <v>80</v>
      </c>
      <c r="L659" s="705">
        <v>13470562</v>
      </c>
      <c r="M659" s="705">
        <v>11004268</v>
      </c>
      <c r="N659" s="705">
        <v>7851121</v>
      </c>
      <c r="O659" s="705">
        <v>2907823</v>
      </c>
      <c r="P659" s="705">
        <v>2251890</v>
      </c>
      <c r="Q659" s="705">
        <v>834034</v>
      </c>
      <c r="R659" s="705">
        <v>17577073</v>
      </c>
      <c r="S659" s="705">
        <v>15979157</v>
      </c>
      <c r="T659" s="705">
        <v>5109669</v>
      </c>
      <c r="U659" s="705">
        <v>1892470</v>
      </c>
      <c r="V659" s="705">
        <v>82217543</v>
      </c>
      <c r="W659" s="705">
        <f t="shared" si="40"/>
        <v>82217543</v>
      </c>
      <c r="X659" s="705">
        <f t="shared" si="41"/>
        <v>100820086</v>
      </c>
      <c r="Y659" s="705"/>
      <c r="AI659" s="429"/>
    </row>
    <row r="660" spans="2:35">
      <c r="B660" t="s">
        <v>539</v>
      </c>
      <c r="C660" t="s">
        <v>118</v>
      </c>
      <c r="D660" t="s">
        <v>583</v>
      </c>
      <c r="E660" t="s">
        <v>666</v>
      </c>
      <c r="F660">
        <v>4</v>
      </c>
      <c r="G660">
        <v>408</v>
      </c>
      <c r="H660" s="705">
        <v>1121</v>
      </c>
      <c r="I660" s="705">
        <v>62565</v>
      </c>
      <c r="J660" s="705">
        <v>56877</v>
      </c>
      <c r="K660">
        <v>80</v>
      </c>
      <c r="L660" s="705">
        <v>19520</v>
      </c>
      <c r="M660" s="705">
        <v>16506</v>
      </c>
      <c r="N660" s="705">
        <v>8770</v>
      </c>
      <c r="O660" s="705">
        <v>3248</v>
      </c>
      <c r="P660" s="705">
        <v>2484</v>
      </c>
      <c r="Q660">
        <v>920</v>
      </c>
      <c r="R660" s="705">
        <v>17359</v>
      </c>
      <c r="S660" s="705">
        <v>15781</v>
      </c>
      <c r="T660" s="705">
        <v>4493</v>
      </c>
      <c r="U660" s="705">
        <v>1664</v>
      </c>
      <c r="V660" s="705">
        <v>94997</v>
      </c>
      <c r="W660" s="705">
        <f t="shared" si="40"/>
        <v>94996</v>
      </c>
      <c r="X660" s="705">
        <f t="shared" si="41"/>
        <v>115191</v>
      </c>
      <c r="Y660" s="705"/>
      <c r="AI660" s="429"/>
    </row>
    <row r="661" spans="2:35">
      <c r="B661" t="s">
        <v>539</v>
      </c>
      <c r="C661" t="s">
        <v>118</v>
      </c>
      <c r="D661" t="s">
        <v>583</v>
      </c>
      <c r="E661" t="s">
        <v>584</v>
      </c>
      <c r="F661">
        <v>7</v>
      </c>
      <c r="G661" s="705">
        <v>791</v>
      </c>
      <c r="H661" s="705">
        <v>1953</v>
      </c>
      <c r="I661" s="705">
        <v>130688</v>
      </c>
      <c r="J661" s="705">
        <v>118807</v>
      </c>
      <c r="K661">
        <v>80</v>
      </c>
      <c r="L661" s="705">
        <v>31265</v>
      </c>
      <c r="M661" s="705">
        <v>24529</v>
      </c>
      <c r="N661" s="705">
        <v>16543</v>
      </c>
      <c r="O661" s="705">
        <v>6127</v>
      </c>
      <c r="P661" s="705">
        <v>4199</v>
      </c>
      <c r="Q661" s="705">
        <v>1555</v>
      </c>
      <c r="R661" s="705">
        <v>36494</v>
      </c>
      <c r="S661" s="705">
        <v>33176</v>
      </c>
      <c r="T661" s="705">
        <v>8108</v>
      </c>
      <c r="U661" s="705">
        <v>3003</v>
      </c>
      <c r="V661" s="705">
        <v>187198</v>
      </c>
      <c r="W661" s="705">
        <f t="shared" si="40"/>
        <v>187197</v>
      </c>
      <c r="X661" s="705">
        <f t="shared" si="41"/>
        <v>227297</v>
      </c>
      <c r="Y661" s="705"/>
      <c r="AI661" s="429"/>
    </row>
    <row r="662" spans="2:35">
      <c r="B662" t="s">
        <v>539</v>
      </c>
      <c r="C662" t="s">
        <v>118</v>
      </c>
      <c r="D662" t="s">
        <v>583</v>
      </c>
      <c r="E662" t="s">
        <v>669</v>
      </c>
      <c r="F662">
        <v>1</v>
      </c>
      <c r="G662">
        <v>79</v>
      </c>
      <c r="H662" s="705">
        <v>279</v>
      </c>
      <c r="I662" s="705">
        <v>9450</v>
      </c>
      <c r="J662" s="705">
        <v>8591</v>
      </c>
      <c r="K662">
        <v>85</v>
      </c>
      <c r="L662" s="705">
        <v>3081</v>
      </c>
      <c r="M662" s="705">
        <v>2568</v>
      </c>
      <c r="N662" s="705">
        <v>1577</v>
      </c>
      <c r="O662" s="705">
        <v>584</v>
      </c>
      <c r="P662" s="705">
        <v>621</v>
      </c>
      <c r="Q662">
        <v>230</v>
      </c>
      <c r="R662" s="705">
        <v>4416</v>
      </c>
      <c r="S662" s="705">
        <v>3680</v>
      </c>
      <c r="T662" s="705">
        <v>2865</v>
      </c>
      <c r="U662" s="705">
        <v>1061</v>
      </c>
      <c r="V662" s="705">
        <v>16713</v>
      </c>
      <c r="W662" s="705">
        <f t="shared" si="40"/>
        <v>16714</v>
      </c>
      <c r="X662" s="705">
        <f t="shared" si="41"/>
        <v>22010</v>
      </c>
      <c r="Y662" s="705"/>
      <c r="AI662" s="429"/>
    </row>
    <row r="663" spans="2:35">
      <c r="B663" t="s">
        <v>539</v>
      </c>
      <c r="C663" t="s">
        <v>118</v>
      </c>
      <c r="D663" t="s">
        <v>666</v>
      </c>
      <c r="E663" t="s">
        <v>583</v>
      </c>
      <c r="F663">
        <v>2</v>
      </c>
      <c r="G663">
        <v>204</v>
      </c>
      <c r="H663">
        <v>537</v>
      </c>
      <c r="I663" s="705">
        <v>29368</v>
      </c>
      <c r="J663" s="705">
        <v>26699</v>
      </c>
      <c r="K663">
        <v>82</v>
      </c>
      <c r="L663" s="705">
        <v>9448</v>
      </c>
      <c r="M663" s="705">
        <v>7874</v>
      </c>
      <c r="N663" s="705">
        <v>4466</v>
      </c>
      <c r="O663" s="705">
        <v>1654</v>
      </c>
      <c r="P663" s="705">
        <v>1242</v>
      </c>
      <c r="Q663">
        <v>460</v>
      </c>
      <c r="R663" s="705">
        <v>8668</v>
      </c>
      <c r="S663" s="705">
        <v>7880</v>
      </c>
      <c r="T663" s="705">
        <v>2037</v>
      </c>
      <c r="U663">
        <v>755</v>
      </c>
      <c r="V663" s="705">
        <v>45321</v>
      </c>
      <c r="W663" s="705">
        <f t="shared" si="40"/>
        <v>45322</v>
      </c>
      <c r="X663" s="705">
        <f t="shared" si="41"/>
        <v>55229</v>
      </c>
      <c r="Y663" s="705"/>
      <c r="AI663" s="429"/>
    </row>
    <row r="664" spans="2:35">
      <c r="B664" t="s">
        <v>539</v>
      </c>
      <c r="C664" t="s">
        <v>118</v>
      </c>
      <c r="D664" t="s">
        <v>666</v>
      </c>
      <c r="E664" t="s">
        <v>666</v>
      </c>
      <c r="F664">
        <v>6</v>
      </c>
      <c r="G664" s="705">
        <v>439</v>
      </c>
      <c r="H664" s="705">
        <v>1553</v>
      </c>
      <c r="I664" s="705">
        <v>61428</v>
      </c>
      <c r="J664" s="705">
        <v>55844</v>
      </c>
      <c r="K664">
        <v>60</v>
      </c>
      <c r="L664" s="705">
        <v>4928</v>
      </c>
      <c r="M664" s="705">
        <v>5048</v>
      </c>
      <c r="N664" s="705">
        <v>8766</v>
      </c>
      <c r="O664" s="705">
        <v>3247</v>
      </c>
      <c r="P664" s="705">
        <v>1755</v>
      </c>
      <c r="Q664" s="705">
        <v>650</v>
      </c>
      <c r="R664" s="705">
        <v>35484</v>
      </c>
      <c r="S664" s="705">
        <v>32258</v>
      </c>
      <c r="T664" s="705">
        <v>9569</v>
      </c>
      <c r="U664" s="705">
        <v>3544</v>
      </c>
      <c r="V664" s="705">
        <v>100590</v>
      </c>
      <c r="W664" s="705">
        <f t="shared" si="40"/>
        <v>100591</v>
      </c>
      <c r="X664" s="705">
        <f t="shared" si="41"/>
        <v>121930</v>
      </c>
      <c r="Y664" s="705"/>
      <c r="AI664" s="429"/>
    </row>
    <row r="665" spans="2:35">
      <c r="B665" t="s">
        <v>539</v>
      </c>
      <c r="C665" t="s">
        <v>118</v>
      </c>
      <c r="D665" t="s">
        <v>584</v>
      </c>
      <c r="E665" t="s">
        <v>664</v>
      </c>
      <c r="F665">
        <v>1</v>
      </c>
      <c r="G665">
        <v>84</v>
      </c>
      <c r="H665" s="705">
        <v>268</v>
      </c>
      <c r="I665" s="705">
        <v>13407</v>
      </c>
      <c r="J665" s="705">
        <v>12189</v>
      </c>
      <c r="K665">
        <v>79</v>
      </c>
      <c r="L665">
        <v>0</v>
      </c>
      <c r="M665">
        <v>0</v>
      </c>
      <c r="N665" s="705">
        <v>2047</v>
      </c>
      <c r="O665" s="705">
        <v>758</v>
      </c>
      <c r="P665" s="705">
        <v>473</v>
      </c>
      <c r="Q665">
        <v>175</v>
      </c>
      <c r="R665" s="705">
        <v>6620</v>
      </c>
      <c r="S665" s="705">
        <v>6018</v>
      </c>
      <c r="T665" s="705">
        <v>0</v>
      </c>
      <c r="U665">
        <v>0</v>
      </c>
      <c r="V665" s="705">
        <v>19140</v>
      </c>
      <c r="W665" s="705">
        <f t="shared" si="40"/>
        <v>19140</v>
      </c>
      <c r="X665" s="705">
        <f t="shared" si="41"/>
        <v>22547</v>
      </c>
      <c r="Y665" s="705"/>
      <c r="AI665" s="429"/>
    </row>
    <row r="666" spans="2:35">
      <c r="B666" t="s">
        <v>539</v>
      </c>
      <c r="C666" t="s">
        <v>118</v>
      </c>
      <c r="D666" t="s">
        <v>584</v>
      </c>
      <c r="E666" t="s">
        <v>582</v>
      </c>
      <c r="F666">
        <v>9</v>
      </c>
      <c r="G666">
        <v>788</v>
      </c>
      <c r="H666" s="705">
        <v>2322</v>
      </c>
      <c r="I666" s="705">
        <v>100644</v>
      </c>
      <c r="J666" s="705">
        <v>91494</v>
      </c>
      <c r="K666">
        <v>82</v>
      </c>
      <c r="L666" s="705">
        <v>31579</v>
      </c>
      <c r="M666" s="705">
        <v>26636</v>
      </c>
      <c r="N666" s="705">
        <v>15141</v>
      </c>
      <c r="O666" s="705">
        <v>5608</v>
      </c>
      <c r="P666" s="705">
        <v>4253</v>
      </c>
      <c r="Q666" s="705">
        <v>1575</v>
      </c>
      <c r="R666" s="705">
        <v>45839</v>
      </c>
      <c r="S666" s="705">
        <v>41672</v>
      </c>
      <c r="T666" s="705">
        <v>11209</v>
      </c>
      <c r="U666" s="705">
        <v>4152</v>
      </c>
      <c r="V666" s="705">
        <v>171136</v>
      </c>
      <c r="W666" s="705">
        <f t="shared" si="40"/>
        <v>171137</v>
      </c>
      <c r="X666" s="705">
        <f t="shared" si="41"/>
        <v>208665</v>
      </c>
      <c r="Y666" s="705"/>
      <c r="AI666" s="429"/>
    </row>
    <row r="667" spans="2:35">
      <c r="B667" t="s">
        <v>539</v>
      </c>
      <c r="C667" t="s">
        <v>118</v>
      </c>
      <c r="D667" t="s">
        <v>584</v>
      </c>
      <c r="E667" t="s">
        <v>228</v>
      </c>
      <c r="F667">
        <v>47</v>
      </c>
      <c r="G667" s="705">
        <v>4882</v>
      </c>
      <c r="H667" s="705">
        <v>12339</v>
      </c>
      <c r="I667" s="705">
        <v>738760</v>
      </c>
      <c r="J667" s="705">
        <v>671600</v>
      </c>
      <c r="K667">
        <v>81</v>
      </c>
      <c r="L667" s="705">
        <v>129657</v>
      </c>
      <c r="M667" s="705">
        <v>105010</v>
      </c>
      <c r="N667" s="705">
        <v>97532</v>
      </c>
      <c r="O667" s="705">
        <v>36123</v>
      </c>
      <c r="P667" s="705">
        <v>27101</v>
      </c>
      <c r="Q667" s="705">
        <v>10037</v>
      </c>
      <c r="R667" s="705">
        <v>324225</v>
      </c>
      <c r="S667" s="705">
        <v>120083</v>
      </c>
      <c r="T667" s="705">
        <v>0</v>
      </c>
      <c r="U667" s="705">
        <v>0</v>
      </c>
      <c r="V667" s="705">
        <v>942854</v>
      </c>
      <c r="W667" s="705">
        <f t="shared" si="40"/>
        <v>942853</v>
      </c>
      <c r="X667" s="705">
        <f t="shared" si="41"/>
        <v>1317275</v>
      </c>
      <c r="Y667" s="705"/>
      <c r="AI667" s="429"/>
    </row>
    <row r="668" spans="2:35">
      <c r="B668" t="s">
        <v>539</v>
      </c>
      <c r="C668" t="s">
        <v>118</v>
      </c>
      <c r="D668" t="s">
        <v>584</v>
      </c>
      <c r="E668" t="s">
        <v>583</v>
      </c>
      <c r="F668">
        <v>6</v>
      </c>
      <c r="G668" s="705">
        <v>755</v>
      </c>
      <c r="H668" s="705">
        <v>1563</v>
      </c>
      <c r="I668" s="705">
        <v>100384</v>
      </c>
      <c r="J668" s="705">
        <v>91258</v>
      </c>
      <c r="K668">
        <v>83</v>
      </c>
      <c r="L668" s="705">
        <v>35951</v>
      </c>
      <c r="M668" s="705">
        <v>26109</v>
      </c>
      <c r="N668" s="705">
        <v>17338</v>
      </c>
      <c r="O668" s="705">
        <v>6422</v>
      </c>
      <c r="P668" s="705">
        <v>2835</v>
      </c>
      <c r="Q668" s="705">
        <v>1050</v>
      </c>
      <c r="R668" s="705">
        <v>31210</v>
      </c>
      <c r="S668" s="705">
        <v>28372</v>
      </c>
      <c r="T668" s="705">
        <v>7682</v>
      </c>
      <c r="U668" s="705">
        <v>2845</v>
      </c>
      <c r="V668" s="705">
        <v>156056</v>
      </c>
      <c r="W668" s="705">
        <f t="shared" si="40"/>
        <v>156056</v>
      </c>
      <c r="X668" s="705">
        <f t="shared" si="41"/>
        <v>195400</v>
      </c>
      <c r="Y668" s="705"/>
      <c r="AI668" s="429"/>
    </row>
    <row r="669" spans="2:35">
      <c r="B669" t="s">
        <v>539</v>
      </c>
      <c r="C669" t="s">
        <v>118</v>
      </c>
      <c r="D669" t="s">
        <v>584</v>
      </c>
      <c r="E669" t="s">
        <v>666</v>
      </c>
      <c r="F669">
        <v>3</v>
      </c>
      <c r="G669" s="705">
        <v>232</v>
      </c>
      <c r="H669" s="705">
        <v>794</v>
      </c>
      <c r="I669" s="705">
        <v>25141</v>
      </c>
      <c r="J669" s="705">
        <v>22855</v>
      </c>
      <c r="K669">
        <v>78</v>
      </c>
      <c r="L669" s="705">
        <v>8349</v>
      </c>
      <c r="M669" s="705">
        <v>5595</v>
      </c>
      <c r="N669" s="705">
        <v>5065</v>
      </c>
      <c r="O669" s="705">
        <v>1876</v>
      </c>
      <c r="P669" s="705">
        <v>1418</v>
      </c>
      <c r="Q669">
        <v>525</v>
      </c>
      <c r="R669" s="705">
        <v>14720</v>
      </c>
      <c r="S669" s="705">
        <v>13382</v>
      </c>
      <c r="T669" s="705">
        <v>6850</v>
      </c>
      <c r="U669" s="705">
        <v>2537</v>
      </c>
      <c r="V669" s="705">
        <v>46770</v>
      </c>
      <c r="W669" s="705">
        <f t="shared" si="40"/>
        <v>46770</v>
      </c>
      <c r="X669" s="705">
        <f t="shared" si="41"/>
        <v>61543</v>
      </c>
      <c r="Y669" s="705"/>
      <c r="AI669" s="429"/>
    </row>
    <row r="670" spans="2:35">
      <c r="B670" t="s">
        <v>539</v>
      </c>
      <c r="C670" t="s">
        <v>118</v>
      </c>
      <c r="D670" t="s">
        <v>584</v>
      </c>
      <c r="E670" t="s">
        <v>584</v>
      </c>
      <c r="F670" s="705">
        <v>29521</v>
      </c>
      <c r="G670" s="705">
        <v>2923999</v>
      </c>
      <c r="H670" s="705">
        <v>7686759</v>
      </c>
      <c r="I670" s="705">
        <v>413713641</v>
      </c>
      <c r="J670" s="705">
        <v>376103309</v>
      </c>
      <c r="K670">
        <v>81</v>
      </c>
      <c r="L670" s="705">
        <v>112054976</v>
      </c>
      <c r="M670" s="705">
        <v>96154507</v>
      </c>
      <c r="N670" s="705">
        <v>60692418</v>
      </c>
      <c r="O670" s="705">
        <v>22478673</v>
      </c>
      <c r="P670" s="705">
        <v>13965249</v>
      </c>
      <c r="Q670" s="705">
        <v>5172314</v>
      </c>
      <c r="R670" s="705">
        <v>140802937</v>
      </c>
      <c r="S670" s="705">
        <v>128002669</v>
      </c>
      <c r="T670" s="705">
        <v>31933710</v>
      </c>
      <c r="U670" s="705">
        <v>11827300</v>
      </c>
      <c r="V670" s="705">
        <v>639738771</v>
      </c>
      <c r="W670" s="705">
        <f t="shared" si="40"/>
        <v>639738772</v>
      </c>
      <c r="X670" s="705">
        <f t="shared" si="41"/>
        <v>773162931</v>
      </c>
      <c r="Y670" s="705"/>
      <c r="AI670" s="429"/>
    </row>
    <row r="671" spans="2:35">
      <c r="B671" t="s">
        <v>539</v>
      </c>
      <c r="C671" t="s">
        <v>118</v>
      </c>
      <c r="D671" t="s">
        <v>584</v>
      </c>
      <c r="E671" t="s">
        <v>669</v>
      </c>
      <c r="F671">
        <v>11</v>
      </c>
      <c r="G671" s="705">
        <v>994</v>
      </c>
      <c r="H671" s="705">
        <v>2892</v>
      </c>
      <c r="I671" s="705">
        <v>134936</v>
      </c>
      <c r="J671" s="705">
        <v>122669</v>
      </c>
      <c r="K671">
        <v>77</v>
      </c>
      <c r="L671" s="705">
        <v>30618</v>
      </c>
      <c r="M671" s="705">
        <v>32602</v>
      </c>
      <c r="N671" s="705">
        <v>20535</v>
      </c>
      <c r="O671" s="705">
        <v>7605</v>
      </c>
      <c r="P671" s="705">
        <v>5198</v>
      </c>
      <c r="Q671" s="705">
        <v>1925</v>
      </c>
      <c r="R671" s="705">
        <v>54009</v>
      </c>
      <c r="S671" s="705">
        <v>45007</v>
      </c>
      <c r="T671" s="705">
        <v>16658</v>
      </c>
      <c r="U671" s="705">
        <v>6170</v>
      </c>
      <c r="V671" s="705">
        <v>215979</v>
      </c>
      <c r="W671" s="705">
        <f t="shared" si="40"/>
        <v>215978</v>
      </c>
      <c r="X671" s="705">
        <f t="shared" si="41"/>
        <v>261954</v>
      </c>
      <c r="Y671" s="705"/>
      <c r="AI671" s="429"/>
    </row>
    <row r="672" spans="2:35">
      <c r="B672" t="s">
        <v>539</v>
      </c>
      <c r="C672" t="s">
        <v>118</v>
      </c>
      <c r="D672" t="s">
        <v>584</v>
      </c>
      <c r="E672" t="s">
        <v>665</v>
      </c>
      <c r="F672">
        <v>3</v>
      </c>
      <c r="G672">
        <v>222</v>
      </c>
      <c r="H672">
        <v>744</v>
      </c>
      <c r="I672" s="705">
        <v>29120</v>
      </c>
      <c r="J672" s="705">
        <v>26473</v>
      </c>
      <c r="K672">
        <v>79</v>
      </c>
      <c r="L672" s="705">
        <v>2672</v>
      </c>
      <c r="M672" s="705">
        <v>2429</v>
      </c>
      <c r="N672" s="705">
        <v>5345</v>
      </c>
      <c r="O672" s="705">
        <v>1980</v>
      </c>
      <c r="P672" s="705">
        <v>1296</v>
      </c>
      <c r="Q672">
        <v>480</v>
      </c>
      <c r="R672" s="705">
        <v>16699</v>
      </c>
      <c r="S672" s="705">
        <v>15181</v>
      </c>
      <c r="T672" s="705">
        <v>0</v>
      </c>
      <c r="U672">
        <v>0</v>
      </c>
      <c r="V672" s="705">
        <v>46543</v>
      </c>
      <c r="W672" s="705">
        <f t="shared" si="40"/>
        <v>46543</v>
      </c>
      <c r="X672" s="705">
        <f t="shared" si="41"/>
        <v>55132</v>
      </c>
      <c r="Y672" s="705"/>
      <c r="AI672" s="429"/>
    </row>
    <row r="673" spans="2:35">
      <c r="B673" t="s">
        <v>539</v>
      </c>
      <c r="C673" t="s">
        <v>118</v>
      </c>
      <c r="D673" t="s">
        <v>584</v>
      </c>
      <c r="E673" t="s">
        <v>673</v>
      </c>
      <c r="F673">
        <v>1</v>
      </c>
      <c r="G673" s="705">
        <v>93</v>
      </c>
      <c r="H673" s="705">
        <v>250</v>
      </c>
      <c r="I673" s="705">
        <v>14211</v>
      </c>
      <c r="J673" s="705">
        <v>12919</v>
      </c>
      <c r="K673">
        <v>91</v>
      </c>
      <c r="L673" s="705">
        <v>4763</v>
      </c>
      <c r="M673" s="705">
        <v>4330</v>
      </c>
      <c r="N673" s="705">
        <v>1131</v>
      </c>
      <c r="O673" s="705">
        <v>419</v>
      </c>
      <c r="P673" s="705">
        <v>473</v>
      </c>
      <c r="Q673">
        <v>175</v>
      </c>
      <c r="R673" s="705">
        <v>2577</v>
      </c>
      <c r="S673" s="705">
        <v>2343</v>
      </c>
      <c r="T673" s="705">
        <v>0</v>
      </c>
      <c r="U673" s="705">
        <v>0</v>
      </c>
      <c r="V673" s="705">
        <v>20186</v>
      </c>
      <c r="W673" s="705">
        <f t="shared" si="40"/>
        <v>20186</v>
      </c>
      <c r="X673" s="705">
        <f t="shared" si="41"/>
        <v>23155</v>
      </c>
      <c r="Y673" s="705"/>
      <c r="AI673" s="429"/>
    </row>
    <row r="674" spans="2:35">
      <c r="B674" t="s">
        <v>539</v>
      </c>
      <c r="C674" t="s">
        <v>118</v>
      </c>
      <c r="D674" t="s">
        <v>669</v>
      </c>
      <c r="E674" t="s">
        <v>228</v>
      </c>
      <c r="F674">
        <v>2</v>
      </c>
      <c r="G674" s="705">
        <v>145</v>
      </c>
      <c r="H674" s="705">
        <v>537</v>
      </c>
      <c r="I674" s="705">
        <v>21775</v>
      </c>
      <c r="J674" s="705">
        <v>18146</v>
      </c>
      <c r="K674">
        <v>69</v>
      </c>
      <c r="L674" s="705">
        <v>3636</v>
      </c>
      <c r="M674" s="705">
        <v>1347</v>
      </c>
      <c r="N674" s="705">
        <v>2316</v>
      </c>
      <c r="O674" s="705">
        <v>858</v>
      </c>
      <c r="P674" s="705">
        <v>351</v>
      </c>
      <c r="Q674" s="705">
        <v>130</v>
      </c>
      <c r="R674" s="705">
        <v>10889</v>
      </c>
      <c r="S674" s="705">
        <v>4033</v>
      </c>
      <c r="T674">
        <v>0</v>
      </c>
      <c r="U674">
        <v>0</v>
      </c>
      <c r="V674" s="705">
        <v>24513</v>
      </c>
      <c r="W674" s="705">
        <f t="shared" si="40"/>
        <v>24514</v>
      </c>
      <c r="X674" s="705">
        <f t="shared" si="41"/>
        <v>38967</v>
      </c>
      <c r="Y674" s="705"/>
      <c r="AI674" s="429"/>
    </row>
    <row r="675" spans="2:35">
      <c r="B675" t="s">
        <v>539</v>
      </c>
      <c r="C675" t="s">
        <v>118</v>
      </c>
      <c r="D675" t="s">
        <v>669</v>
      </c>
      <c r="E675" t="s">
        <v>669</v>
      </c>
      <c r="F675">
        <v>43</v>
      </c>
      <c r="G675" s="705">
        <v>3882</v>
      </c>
      <c r="H675" s="705">
        <v>11480</v>
      </c>
      <c r="I675" s="705">
        <v>558826</v>
      </c>
      <c r="J675" s="705">
        <v>465689</v>
      </c>
      <c r="K675">
        <v>61</v>
      </c>
      <c r="L675" s="705">
        <v>61306</v>
      </c>
      <c r="M675" s="705">
        <v>44154</v>
      </c>
      <c r="N675" s="705">
        <v>75629</v>
      </c>
      <c r="O675" s="705">
        <v>28011</v>
      </c>
      <c r="P675" s="705">
        <v>15215</v>
      </c>
      <c r="Q675" s="705">
        <v>5635</v>
      </c>
      <c r="R675" s="705">
        <v>233990</v>
      </c>
      <c r="S675" s="705">
        <v>194992</v>
      </c>
      <c r="T675" s="705">
        <v>95462</v>
      </c>
      <c r="U675" s="705">
        <v>35356</v>
      </c>
      <c r="V675" s="705">
        <v>773836</v>
      </c>
      <c r="W675" s="705">
        <f t="shared" si="40"/>
        <v>773837</v>
      </c>
      <c r="X675" s="705">
        <f t="shared" si="41"/>
        <v>1040428</v>
      </c>
      <c r="Y675" s="705"/>
      <c r="AI675" s="429"/>
    </row>
    <row r="676" spans="2:35">
      <c r="B676" t="s">
        <v>539</v>
      </c>
      <c r="C676" t="s">
        <v>118</v>
      </c>
      <c r="D676" t="s">
        <v>665</v>
      </c>
      <c r="E676" t="s">
        <v>228</v>
      </c>
      <c r="F676">
        <v>2</v>
      </c>
      <c r="G676" s="705">
        <v>150</v>
      </c>
      <c r="H676" s="705">
        <v>495</v>
      </c>
      <c r="I676" s="705">
        <v>16650</v>
      </c>
      <c r="J676" s="705">
        <v>15137</v>
      </c>
      <c r="K676">
        <v>63</v>
      </c>
      <c r="L676" s="705">
        <v>2838</v>
      </c>
      <c r="M676" s="705">
        <v>1051</v>
      </c>
      <c r="N676" s="705">
        <v>3140</v>
      </c>
      <c r="O676" s="705">
        <v>1163</v>
      </c>
      <c r="P676" s="705">
        <v>351</v>
      </c>
      <c r="Q676" s="705">
        <v>130</v>
      </c>
      <c r="R676" s="705">
        <v>14015</v>
      </c>
      <c r="S676" s="705">
        <v>5191</v>
      </c>
      <c r="T676" s="705">
        <v>0</v>
      </c>
      <c r="U676" s="705">
        <v>0</v>
      </c>
      <c r="V676" s="705">
        <v>22672</v>
      </c>
      <c r="W676" s="705">
        <f t="shared" si="40"/>
        <v>22672</v>
      </c>
      <c r="X676" s="705">
        <f t="shared" si="41"/>
        <v>36994</v>
      </c>
      <c r="Y676" s="705"/>
      <c r="AI676" s="429"/>
    </row>
    <row r="677" spans="2:35">
      <c r="B677" t="s">
        <v>539</v>
      </c>
      <c r="C677" t="s">
        <v>118</v>
      </c>
      <c r="D677" t="s">
        <v>665</v>
      </c>
      <c r="E677" t="s">
        <v>584</v>
      </c>
      <c r="F677">
        <v>1</v>
      </c>
      <c r="G677" s="705">
        <v>127</v>
      </c>
      <c r="H677" s="705">
        <v>291</v>
      </c>
      <c r="I677" s="705">
        <v>20380</v>
      </c>
      <c r="J677" s="705">
        <v>18527</v>
      </c>
      <c r="K677">
        <v>79</v>
      </c>
      <c r="L677" s="705">
        <v>5963</v>
      </c>
      <c r="M677" s="705">
        <v>5421</v>
      </c>
      <c r="N677" s="705">
        <v>3087</v>
      </c>
      <c r="O677" s="705">
        <v>1143</v>
      </c>
      <c r="P677" s="705">
        <v>351</v>
      </c>
      <c r="Q677" s="705">
        <v>130</v>
      </c>
      <c r="R677" s="705">
        <v>3920</v>
      </c>
      <c r="S677" s="705">
        <v>3564</v>
      </c>
      <c r="T677" s="705">
        <v>3200</v>
      </c>
      <c r="U677" s="705">
        <v>1185</v>
      </c>
      <c r="V677" s="705">
        <v>29970</v>
      </c>
      <c r="W677" s="705">
        <f t="shared" si="40"/>
        <v>29970</v>
      </c>
      <c r="X677" s="705">
        <f t="shared" si="41"/>
        <v>36901</v>
      </c>
      <c r="Y677" s="705"/>
      <c r="AI677" s="429"/>
    </row>
    <row r="678" spans="2:35">
      <c r="B678" t="s">
        <v>539</v>
      </c>
      <c r="C678" t="s">
        <v>118</v>
      </c>
      <c r="D678" t="s">
        <v>665</v>
      </c>
      <c r="E678" t="s">
        <v>665</v>
      </c>
      <c r="F678">
        <v>16</v>
      </c>
      <c r="G678" s="705">
        <v>1455</v>
      </c>
      <c r="H678" s="705">
        <v>4313</v>
      </c>
      <c r="I678" s="705">
        <v>218867</v>
      </c>
      <c r="J678" s="705">
        <v>198970</v>
      </c>
      <c r="K678">
        <v>57</v>
      </c>
      <c r="L678" s="705">
        <v>27519</v>
      </c>
      <c r="M678" s="705">
        <v>22711</v>
      </c>
      <c r="N678" s="705">
        <v>28306</v>
      </c>
      <c r="O678" s="705">
        <v>10484</v>
      </c>
      <c r="P678" s="705">
        <v>5589</v>
      </c>
      <c r="Q678" s="705">
        <v>2070</v>
      </c>
      <c r="R678" s="705">
        <v>85608</v>
      </c>
      <c r="S678" s="705">
        <v>77825</v>
      </c>
      <c r="T678" s="705">
        <v>31929</v>
      </c>
      <c r="U678" s="705">
        <v>11826</v>
      </c>
      <c r="V678" s="705">
        <v>323886</v>
      </c>
      <c r="W678" s="705">
        <f t="shared" si="40"/>
        <v>323886</v>
      </c>
      <c r="X678" s="705">
        <f t="shared" si="41"/>
        <v>397818</v>
      </c>
      <c r="Y678" s="705"/>
      <c r="AI678" s="429"/>
    </row>
    <row r="679" spans="2:35">
      <c r="B679" t="s">
        <v>539</v>
      </c>
      <c r="C679" t="s">
        <v>118</v>
      </c>
      <c r="D679" t="s">
        <v>673</v>
      </c>
      <c r="E679" t="s">
        <v>673</v>
      </c>
      <c r="F679">
        <v>4</v>
      </c>
      <c r="G679" s="705">
        <v>328</v>
      </c>
      <c r="H679" s="705">
        <v>1063</v>
      </c>
      <c r="I679" s="705">
        <v>43147</v>
      </c>
      <c r="J679" s="705">
        <v>39225</v>
      </c>
      <c r="K679">
        <v>65</v>
      </c>
      <c r="L679" s="705">
        <v>5437</v>
      </c>
      <c r="M679" s="705">
        <v>3890</v>
      </c>
      <c r="N679" s="705">
        <v>5945</v>
      </c>
      <c r="O679" s="705">
        <v>2202</v>
      </c>
      <c r="P679" s="705">
        <v>1053</v>
      </c>
      <c r="Q679" s="705">
        <v>390</v>
      </c>
      <c r="R679" s="705">
        <v>24128</v>
      </c>
      <c r="S679" s="705">
        <v>21934</v>
      </c>
      <c r="T679" s="705">
        <v>6752</v>
      </c>
      <c r="U679" s="705">
        <v>2501</v>
      </c>
      <c r="V679" s="705">
        <v>70142</v>
      </c>
      <c r="W679" s="705">
        <f t="shared" si="40"/>
        <v>70142</v>
      </c>
      <c r="X679" s="705">
        <f t="shared" si="41"/>
        <v>86462</v>
      </c>
      <c r="Y679" s="705"/>
      <c r="AI679" s="429"/>
    </row>
    <row r="680" spans="2:35">
      <c r="B680" t="s">
        <v>539</v>
      </c>
      <c r="C680" t="s">
        <v>118</v>
      </c>
      <c r="D680" t="s">
        <v>585</v>
      </c>
      <c r="E680" t="s">
        <v>585</v>
      </c>
      <c r="F680">
        <v>5</v>
      </c>
      <c r="G680" s="705">
        <v>755</v>
      </c>
      <c r="H680" s="705">
        <v>1268</v>
      </c>
      <c r="I680" s="705">
        <v>130548</v>
      </c>
      <c r="J680" s="705">
        <v>118680</v>
      </c>
      <c r="K680">
        <v>65</v>
      </c>
      <c r="L680" s="705">
        <v>16017</v>
      </c>
      <c r="M680" s="705">
        <v>13779</v>
      </c>
      <c r="N680" s="705">
        <v>13885</v>
      </c>
      <c r="O680" s="705">
        <v>5143</v>
      </c>
      <c r="P680" s="705">
        <v>1755</v>
      </c>
      <c r="Q680">
        <v>650</v>
      </c>
      <c r="R680" s="705">
        <v>28626</v>
      </c>
      <c r="S680" s="705">
        <v>26023</v>
      </c>
      <c r="T680" s="705">
        <v>902</v>
      </c>
      <c r="U680" s="705">
        <v>334</v>
      </c>
      <c r="V680" s="705">
        <v>164609</v>
      </c>
      <c r="W680" s="705">
        <f t="shared" si="40"/>
        <v>164609</v>
      </c>
      <c r="X680" s="705">
        <f t="shared" si="41"/>
        <v>191733</v>
      </c>
      <c r="Y680" s="705"/>
      <c r="AI680" s="429"/>
    </row>
    <row r="681" spans="2:35">
      <c r="B681" t="s">
        <v>539</v>
      </c>
      <c r="C681" t="s">
        <v>118</v>
      </c>
      <c r="D681" t="s">
        <v>668</v>
      </c>
      <c r="E681" t="s">
        <v>668</v>
      </c>
      <c r="F681">
        <v>1</v>
      </c>
      <c r="G681" s="705">
        <v>90</v>
      </c>
      <c r="H681" s="705">
        <v>234</v>
      </c>
      <c r="I681" s="705">
        <v>12814</v>
      </c>
      <c r="J681" s="705">
        <v>11649</v>
      </c>
      <c r="K681">
        <v>79</v>
      </c>
      <c r="L681" s="705">
        <v>2035</v>
      </c>
      <c r="M681" s="705">
        <v>1696</v>
      </c>
      <c r="N681" s="705">
        <v>1253</v>
      </c>
      <c r="O681" s="705">
        <v>464</v>
      </c>
      <c r="P681" s="705">
        <v>351</v>
      </c>
      <c r="Q681">
        <v>130</v>
      </c>
      <c r="R681" s="705">
        <v>4679</v>
      </c>
      <c r="S681" s="705">
        <v>4254</v>
      </c>
      <c r="T681">
        <v>0</v>
      </c>
      <c r="U681">
        <v>0</v>
      </c>
      <c r="V681" s="705">
        <v>18193</v>
      </c>
      <c r="W681" s="705">
        <f t="shared" si="40"/>
        <v>18193</v>
      </c>
      <c r="X681" s="705">
        <f t="shared" si="41"/>
        <v>21132</v>
      </c>
      <c r="Y681" s="705"/>
      <c r="AI681" s="429"/>
    </row>
    <row r="682" spans="2:35">
      <c r="B682" t="s">
        <v>539</v>
      </c>
      <c r="C682" t="s">
        <v>120</v>
      </c>
      <c r="F682">
        <v>31</v>
      </c>
      <c r="G682" s="705">
        <v>1699</v>
      </c>
      <c r="H682" s="705">
        <v>10405</v>
      </c>
      <c r="I682" s="705"/>
      <c r="J682" s="705">
        <v>0</v>
      </c>
      <c r="L682" s="705"/>
      <c r="M682" s="705">
        <v>0</v>
      </c>
      <c r="N682" s="705">
        <v>35892</v>
      </c>
      <c r="O682" s="705">
        <v>13293</v>
      </c>
      <c r="P682" s="705">
        <v>4928</v>
      </c>
      <c r="Q682" s="705">
        <v>1825</v>
      </c>
      <c r="R682" s="705"/>
      <c r="S682" s="705">
        <v>0</v>
      </c>
      <c r="T682" s="705">
        <v>25488</v>
      </c>
      <c r="U682" s="705">
        <v>9440</v>
      </c>
      <c r="V682" s="705">
        <v>24558</v>
      </c>
      <c r="W682" s="705">
        <f t="shared" si="40"/>
        <v>24558</v>
      </c>
      <c r="X682" s="705">
        <f t="shared" si="41"/>
        <v>66308</v>
      </c>
      <c r="Y682" s="705"/>
      <c r="AI682" s="429"/>
    </row>
    <row r="683" spans="2:35">
      <c r="B683" t="s">
        <v>539</v>
      </c>
      <c r="C683" t="s">
        <v>120</v>
      </c>
      <c r="D683" t="s">
        <v>674</v>
      </c>
      <c r="E683" t="s">
        <v>674</v>
      </c>
      <c r="F683">
        <v>2</v>
      </c>
      <c r="G683">
        <v>160</v>
      </c>
      <c r="H683">
        <v>701</v>
      </c>
      <c r="I683" s="705">
        <v>34920</v>
      </c>
      <c r="J683" s="705">
        <v>31745</v>
      </c>
      <c r="K683">
        <v>65</v>
      </c>
      <c r="L683" s="705">
        <v>1869</v>
      </c>
      <c r="M683" s="705">
        <v>2887</v>
      </c>
      <c r="N683" s="705">
        <v>3763</v>
      </c>
      <c r="O683" s="705">
        <v>1394</v>
      </c>
      <c r="P683">
        <v>702</v>
      </c>
      <c r="Q683">
        <v>260</v>
      </c>
      <c r="R683" s="705">
        <v>12269</v>
      </c>
      <c r="S683" s="705">
        <v>11154</v>
      </c>
      <c r="T683" s="705">
        <v>2568</v>
      </c>
      <c r="U683">
        <v>951</v>
      </c>
      <c r="V683" s="705">
        <v>48392</v>
      </c>
      <c r="W683" s="705">
        <f t="shared" si="40"/>
        <v>48391</v>
      </c>
      <c r="X683" s="705">
        <f t="shared" si="41"/>
        <v>56091</v>
      </c>
      <c r="Y683" s="705"/>
      <c r="AI683" s="429"/>
    </row>
    <row r="684" spans="2:35">
      <c r="B684" t="s">
        <v>539</v>
      </c>
      <c r="C684" t="s">
        <v>120</v>
      </c>
      <c r="D684" t="s">
        <v>664</v>
      </c>
      <c r="E684" t="s">
        <v>664</v>
      </c>
      <c r="F684">
        <v>1</v>
      </c>
      <c r="G684">
        <v>66</v>
      </c>
      <c r="H684" s="705">
        <v>371</v>
      </c>
      <c r="I684" s="705">
        <v>16137</v>
      </c>
      <c r="J684" s="705">
        <v>14670</v>
      </c>
      <c r="K684">
        <v>81</v>
      </c>
      <c r="L684" s="705">
        <v>2186</v>
      </c>
      <c r="M684" s="705">
        <v>1987</v>
      </c>
      <c r="N684" s="705">
        <v>806</v>
      </c>
      <c r="O684" s="705">
        <v>298</v>
      </c>
      <c r="P684" s="705">
        <v>473</v>
      </c>
      <c r="Q684">
        <v>175</v>
      </c>
      <c r="R684" s="705">
        <v>4927</v>
      </c>
      <c r="S684" s="705">
        <v>4479</v>
      </c>
      <c r="T684" s="705">
        <v>0</v>
      </c>
      <c r="U684" s="705">
        <v>0</v>
      </c>
      <c r="V684" s="705">
        <v>21609</v>
      </c>
      <c r="W684" s="705">
        <f t="shared" si="40"/>
        <v>21609</v>
      </c>
      <c r="X684" s="705">
        <f t="shared" si="41"/>
        <v>24529</v>
      </c>
      <c r="Y684" s="705"/>
      <c r="AI684" s="429"/>
    </row>
    <row r="685" spans="2:35">
      <c r="B685" t="s">
        <v>539</v>
      </c>
      <c r="C685" t="s">
        <v>120</v>
      </c>
      <c r="D685" t="s">
        <v>664</v>
      </c>
      <c r="E685" t="s">
        <v>228</v>
      </c>
      <c r="F685">
        <v>3</v>
      </c>
      <c r="G685">
        <v>217</v>
      </c>
      <c r="H685">
        <v>965</v>
      </c>
      <c r="I685" s="705">
        <v>28097</v>
      </c>
      <c r="J685" s="705">
        <v>25543</v>
      </c>
      <c r="K685">
        <v>72</v>
      </c>
      <c r="L685" s="705">
        <v>7579</v>
      </c>
      <c r="M685" s="705">
        <v>6890</v>
      </c>
      <c r="N685" s="705">
        <v>4861</v>
      </c>
      <c r="O685" s="705">
        <v>1801</v>
      </c>
      <c r="P685">
        <v>702</v>
      </c>
      <c r="Q685">
        <v>260</v>
      </c>
      <c r="R685" s="705">
        <v>28701</v>
      </c>
      <c r="S685" s="705">
        <v>10630</v>
      </c>
      <c r="T685">
        <v>0</v>
      </c>
      <c r="U685">
        <v>0</v>
      </c>
      <c r="V685" s="705">
        <v>45123</v>
      </c>
      <c r="W685" s="705">
        <f t="shared" si="40"/>
        <v>45124</v>
      </c>
      <c r="X685" s="705">
        <f t="shared" si="41"/>
        <v>69940</v>
      </c>
      <c r="Y685" s="705"/>
      <c r="AI685" s="429"/>
    </row>
    <row r="686" spans="2:35">
      <c r="B686" t="s">
        <v>539</v>
      </c>
      <c r="C686" t="s">
        <v>120</v>
      </c>
      <c r="D686" t="s">
        <v>664</v>
      </c>
      <c r="E686" t="s">
        <v>583</v>
      </c>
      <c r="F686">
        <v>1</v>
      </c>
      <c r="G686">
        <v>65</v>
      </c>
      <c r="H686" s="705">
        <v>376</v>
      </c>
      <c r="I686" s="705">
        <v>12662</v>
      </c>
      <c r="J686" s="705">
        <v>11511</v>
      </c>
      <c r="K686">
        <v>70</v>
      </c>
      <c r="L686" s="705">
        <v>3402</v>
      </c>
      <c r="M686" s="705">
        <v>2835</v>
      </c>
      <c r="N686" s="705">
        <v>1113</v>
      </c>
      <c r="O686" s="705">
        <v>412</v>
      </c>
      <c r="P686" s="705">
        <v>621</v>
      </c>
      <c r="Q686">
        <v>230</v>
      </c>
      <c r="R686" s="705">
        <v>4348</v>
      </c>
      <c r="S686" s="705">
        <v>3953</v>
      </c>
      <c r="T686" s="705">
        <v>2409</v>
      </c>
      <c r="U686" s="705">
        <v>892</v>
      </c>
      <c r="V686" s="705">
        <v>19833</v>
      </c>
      <c r="W686" s="705">
        <f t="shared" si="40"/>
        <v>19833</v>
      </c>
      <c r="X686" s="705">
        <f t="shared" si="41"/>
        <v>24555</v>
      </c>
      <c r="Y686" s="705"/>
      <c r="AI686" s="429"/>
    </row>
    <row r="687" spans="2:35">
      <c r="B687" t="s">
        <v>539</v>
      </c>
      <c r="C687" t="s">
        <v>120</v>
      </c>
      <c r="D687" t="s">
        <v>582</v>
      </c>
      <c r="E687" t="s">
        <v>582</v>
      </c>
      <c r="F687">
        <v>5</v>
      </c>
      <c r="G687" s="705">
        <v>502</v>
      </c>
      <c r="H687" s="705">
        <v>1711</v>
      </c>
      <c r="I687" s="705">
        <v>101059</v>
      </c>
      <c r="J687" s="705">
        <v>91872</v>
      </c>
      <c r="K687">
        <v>76</v>
      </c>
      <c r="L687" s="705">
        <v>20797</v>
      </c>
      <c r="M687" s="705">
        <v>18469</v>
      </c>
      <c r="N687" s="705">
        <v>11130</v>
      </c>
      <c r="O687" s="705">
        <v>4122</v>
      </c>
      <c r="P687" s="705">
        <v>2390</v>
      </c>
      <c r="Q687" s="705">
        <v>885</v>
      </c>
      <c r="R687" s="705">
        <v>24094</v>
      </c>
      <c r="S687" s="705">
        <v>21904</v>
      </c>
      <c r="T687" s="705">
        <v>12428</v>
      </c>
      <c r="U687" s="705">
        <v>4603</v>
      </c>
      <c r="V687" s="705">
        <v>141855</v>
      </c>
      <c r="W687" s="705">
        <f t="shared" si="40"/>
        <v>141855</v>
      </c>
      <c r="X687" s="705">
        <f t="shared" si="41"/>
        <v>171898</v>
      </c>
      <c r="Y687" s="705"/>
      <c r="AI687" s="429"/>
    </row>
    <row r="688" spans="2:35">
      <c r="B688" t="s">
        <v>539</v>
      </c>
      <c r="C688" t="s">
        <v>120</v>
      </c>
      <c r="D688" t="s">
        <v>582</v>
      </c>
      <c r="E688" t="s">
        <v>584</v>
      </c>
      <c r="F688">
        <v>1</v>
      </c>
      <c r="G688" s="705">
        <v>90</v>
      </c>
      <c r="H688" s="705">
        <v>317</v>
      </c>
      <c r="I688" s="705">
        <v>15607</v>
      </c>
      <c r="J688" s="705">
        <v>14188</v>
      </c>
      <c r="K688">
        <v>75</v>
      </c>
      <c r="L688" s="705">
        <v>4139</v>
      </c>
      <c r="M688" s="705">
        <v>3762</v>
      </c>
      <c r="N688" s="705">
        <v>1709</v>
      </c>
      <c r="O688" s="705">
        <v>633</v>
      </c>
      <c r="P688" s="705">
        <v>473</v>
      </c>
      <c r="Q688" s="705">
        <v>175</v>
      </c>
      <c r="R688" s="705">
        <v>6602</v>
      </c>
      <c r="S688" s="705">
        <v>6002</v>
      </c>
      <c r="T688" s="705">
        <v>0</v>
      </c>
      <c r="U688" s="705">
        <v>0</v>
      </c>
      <c r="V688" s="705">
        <v>24760</v>
      </c>
      <c r="W688" s="705">
        <f t="shared" si="40"/>
        <v>24760</v>
      </c>
      <c r="X688" s="705">
        <f t="shared" si="41"/>
        <v>28530</v>
      </c>
      <c r="Y688" s="705"/>
      <c r="AI688" s="429"/>
    </row>
    <row r="689" spans="2:35">
      <c r="B689" t="s">
        <v>539</v>
      </c>
      <c r="C689" t="s">
        <v>120</v>
      </c>
      <c r="D689" t="s">
        <v>228</v>
      </c>
      <c r="E689" t="s">
        <v>664</v>
      </c>
      <c r="F689">
        <v>1</v>
      </c>
      <c r="G689">
        <v>88</v>
      </c>
      <c r="H689" s="705">
        <v>321</v>
      </c>
      <c r="I689" s="705">
        <v>22063</v>
      </c>
      <c r="J689" s="705">
        <v>8171</v>
      </c>
      <c r="K689">
        <v>100</v>
      </c>
      <c r="L689" s="705">
        <v>1816</v>
      </c>
      <c r="M689" s="705">
        <v>1513</v>
      </c>
      <c r="N689" s="705">
        <v>1677</v>
      </c>
      <c r="O689" s="705">
        <v>621</v>
      </c>
      <c r="P689" s="705">
        <v>0</v>
      </c>
      <c r="Q689" s="705">
        <v>0</v>
      </c>
      <c r="R689" s="705">
        <v>2743</v>
      </c>
      <c r="S689" s="705">
        <v>2493</v>
      </c>
      <c r="T689">
        <v>0</v>
      </c>
      <c r="U689">
        <v>0</v>
      </c>
      <c r="V689" s="705">
        <v>12799</v>
      </c>
      <c r="W689" s="705">
        <f t="shared" si="40"/>
        <v>12798</v>
      </c>
      <c r="X689" s="705">
        <f t="shared" si="41"/>
        <v>28299</v>
      </c>
      <c r="Y689" s="705"/>
      <c r="AI689" s="429"/>
    </row>
    <row r="690" spans="2:35">
      <c r="B690" t="s">
        <v>539</v>
      </c>
      <c r="C690" t="s">
        <v>120</v>
      </c>
      <c r="D690" t="s">
        <v>228</v>
      </c>
      <c r="E690" t="s">
        <v>228</v>
      </c>
      <c r="F690">
        <v>872</v>
      </c>
      <c r="G690" s="705">
        <v>67739</v>
      </c>
      <c r="H690" s="705">
        <v>295163</v>
      </c>
      <c r="I690" s="705">
        <v>13757080</v>
      </c>
      <c r="J690" s="705">
        <v>5095215</v>
      </c>
      <c r="K690">
        <v>100</v>
      </c>
      <c r="L690" s="705">
        <v>2149242</v>
      </c>
      <c r="M690" s="705">
        <v>1438245</v>
      </c>
      <c r="N690" s="705">
        <v>1434383</v>
      </c>
      <c r="O690" s="705">
        <v>531253</v>
      </c>
      <c r="P690" s="705">
        <v>19552</v>
      </c>
      <c r="Q690" s="705">
        <v>7242</v>
      </c>
      <c r="R690" s="705">
        <v>5924418</v>
      </c>
      <c r="S690" s="705">
        <v>2194229</v>
      </c>
      <c r="T690" s="705">
        <v>19754</v>
      </c>
      <c r="U690" s="705">
        <v>7316</v>
      </c>
      <c r="V690" s="705">
        <v>9273500</v>
      </c>
      <c r="W690" s="705">
        <f t="shared" si="40"/>
        <v>9273500</v>
      </c>
      <c r="X690" s="705">
        <f t="shared" si="41"/>
        <v>23304429</v>
      </c>
      <c r="Y690" s="705"/>
      <c r="AI690" s="429"/>
    </row>
    <row r="691" spans="2:35">
      <c r="B691" t="s">
        <v>539</v>
      </c>
      <c r="C691" t="s">
        <v>120</v>
      </c>
      <c r="D691" t="s">
        <v>228</v>
      </c>
      <c r="E691" t="s">
        <v>584</v>
      </c>
      <c r="F691">
        <v>5</v>
      </c>
      <c r="G691">
        <v>633</v>
      </c>
      <c r="H691" s="705">
        <v>1719</v>
      </c>
      <c r="I691" s="705">
        <v>165999</v>
      </c>
      <c r="J691" s="705">
        <v>61481</v>
      </c>
      <c r="K691">
        <v>100</v>
      </c>
      <c r="L691" s="705">
        <v>24391</v>
      </c>
      <c r="M691" s="705">
        <v>19123</v>
      </c>
      <c r="N691" s="705">
        <v>13792</v>
      </c>
      <c r="O691" s="705">
        <v>5108</v>
      </c>
      <c r="P691" s="705">
        <v>945</v>
      </c>
      <c r="Q691">
        <v>350</v>
      </c>
      <c r="R691" s="705">
        <v>23862</v>
      </c>
      <c r="S691" s="705">
        <v>21693</v>
      </c>
      <c r="T691" s="705">
        <v>0</v>
      </c>
      <c r="U691">
        <v>0</v>
      </c>
      <c r="V691" s="705">
        <v>107755</v>
      </c>
      <c r="W691" s="705">
        <f t="shared" si="40"/>
        <v>107755</v>
      </c>
      <c r="X691" s="705">
        <f t="shared" si="41"/>
        <v>228989</v>
      </c>
      <c r="Y691" s="705"/>
      <c r="AI691" s="429"/>
    </row>
    <row r="692" spans="2:35">
      <c r="B692" t="s">
        <v>539</v>
      </c>
      <c r="C692" t="s">
        <v>120</v>
      </c>
      <c r="D692" t="s">
        <v>228</v>
      </c>
      <c r="E692" t="s">
        <v>669</v>
      </c>
      <c r="F692">
        <v>6</v>
      </c>
      <c r="G692">
        <v>457</v>
      </c>
      <c r="H692" s="705">
        <v>2021</v>
      </c>
      <c r="I692" s="705">
        <v>84778</v>
      </c>
      <c r="J692" s="705">
        <v>31399</v>
      </c>
      <c r="K692">
        <v>100</v>
      </c>
      <c r="L692" s="705">
        <v>12532</v>
      </c>
      <c r="M692" s="705">
        <v>10443</v>
      </c>
      <c r="N692" s="705">
        <v>9963</v>
      </c>
      <c r="O692" s="705">
        <v>3690</v>
      </c>
      <c r="P692" s="705">
        <v>0</v>
      </c>
      <c r="Q692">
        <v>0</v>
      </c>
      <c r="R692" s="705">
        <v>33713</v>
      </c>
      <c r="S692" s="705">
        <v>28095</v>
      </c>
      <c r="T692" s="705">
        <v>13083</v>
      </c>
      <c r="U692" s="705">
        <v>4846</v>
      </c>
      <c r="V692" s="705">
        <v>78473</v>
      </c>
      <c r="W692" s="705">
        <f t="shared" si="40"/>
        <v>78473</v>
      </c>
      <c r="X692" s="705">
        <f t="shared" si="41"/>
        <v>154069</v>
      </c>
      <c r="Y692" s="705"/>
      <c r="AI692" s="429"/>
    </row>
    <row r="693" spans="2:35">
      <c r="B693" t="s">
        <v>539</v>
      </c>
      <c r="C693" t="s">
        <v>120</v>
      </c>
      <c r="D693" t="s">
        <v>228</v>
      </c>
      <c r="E693" t="s">
        <v>667</v>
      </c>
      <c r="F693">
        <v>1</v>
      </c>
      <c r="G693">
        <v>79</v>
      </c>
      <c r="H693">
        <v>314</v>
      </c>
      <c r="I693" s="705">
        <v>14202</v>
      </c>
      <c r="J693" s="705">
        <v>5260</v>
      </c>
      <c r="K693">
        <v>100</v>
      </c>
      <c r="L693" s="705">
        <v>1286</v>
      </c>
      <c r="M693" s="705">
        <v>1169</v>
      </c>
      <c r="N693" s="705">
        <v>1935</v>
      </c>
      <c r="O693" s="705">
        <v>717</v>
      </c>
      <c r="P693">
        <v>0</v>
      </c>
      <c r="Q693">
        <v>0</v>
      </c>
      <c r="R693" s="705">
        <v>5368</v>
      </c>
      <c r="S693" s="705">
        <v>4880</v>
      </c>
      <c r="T693" s="705">
        <v>2158</v>
      </c>
      <c r="U693">
        <v>799</v>
      </c>
      <c r="V693" s="705">
        <v>12825</v>
      </c>
      <c r="W693" s="705">
        <f t="shared" si="40"/>
        <v>12825</v>
      </c>
      <c r="X693" s="705">
        <f t="shared" si="41"/>
        <v>24949</v>
      </c>
      <c r="Y693" s="705"/>
      <c r="AI693" s="429"/>
    </row>
    <row r="694" spans="2:35">
      <c r="B694" t="s">
        <v>539</v>
      </c>
      <c r="C694" t="s">
        <v>120</v>
      </c>
      <c r="D694" t="s">
        <v>228</v>
      </c>
      <c r="E694" t="s">
        <v>665</v>
      </c>
      <c r="F694">
        <v>2</v>
      </c>
      <c r="G694" s="705">
        <v>164</v>
      </c>
      <c r="H694" s="705">
        <v>611</v>
      </c>
      <c r="I694" s="705">
        <v>26210</v>
      </c>
      <c r="J694" s="705">
        <v>9708</v>
      </c>
      <c r="K694">
        <v>100</v>
      </c>
      <c r="L694" s="705">
        <v>3104</v>
      </c>
      <c r="M694" s="705">
        <v>2821</v>
      </c>
      <c r="N694" s="705">
        <v>2929</v>
      </c>
      <c r="O694" s="705">
        <v>1085</v>
      </c>
      <c r="P694" s="705">
        <v>351</v>
      </c>
      <c r="Q694" s="705">
        <v>130</v>
      </c>
      <c r="R694" s="705">
        <v>12186</v>
      </c>
      <c r="S694" s="705">
        <v>11078</v>
      </c>
      <c r="T694" s="705">
        <v>5368</v>
      </c>
      <c r="U694" s="705">
        <v>1988</v>
      </c>
      <c r="V694" s="705">
        <v>26809</v>
      </c>
      <c r="W694" s="705">
        <f t="shared" si="40"/>
        <v>26810</v>
      </c>
      <c r="X694" s="705">
        <f t="shared" si="41"/>
        <v>50148</v>
      </c>
      <c r="Y694" s="705"/>
      <c r="AI694" s="429"/>
    </row>
    <row r="695" spans="2:35">
      <c r="B695" t="s">
        <v>539</v>
      </c>
      <c r="C695" t="s">
        <v>120</v>
      </c>
      <c r="D695" t="s">
        <v>583</v>
      </c>
      <c r="E695" t="s">
        <v>664</v>
      </c>
      <c r="F695" s="705">
        <v>1</v>
      </c>
      <c r="G695" s="705">
        <v>100</v>
      </c>
      <c r="H695" s="705">
        <v>314</v>
      </c>
      <c r="I695" s="705">
        <v>17074</v>
      </c>
      <c r="J695" s="705">
        <v>15521</v>
      </c>
      <c r="K695">
        <v>70</v>
      </c>
      <c r="L695" s="705">
        <v>4205</v>
      </c>
      <c r="M695" s="705">
        <v>3823</v>
      </c>
      <c r="N695" s="705">
        <v>2390</v>
      </c>
      <c r="O695" s="705">
        <v>885</v>
      </c>
      <c r="P695" s="705">
        <v>621</v>
      </c>
      <c r="Q695" s="705">
        <v>230</v>
      </c>
      <c r="R695" s="705">
        <v>4539</v>
      </c>
      <c r="S695" s="705">
        <v>4126</v>
      </c>
      <c r="T695" s="705">
        <v>2562</v>
      </c>
      <c r="U695">
        <v>949</v>
      </c>
      <c r="V695" s="705">
        <v>25535</v>
      </c>
      <c r="W695" s="705">
        <f t="shared" si="40"/>
        <v>25534</v>
      </c>
      <c r="X695" s="705">
        <f t="shared" si="41"/>
        <v>31391</v>
      </c>
      <c r="Y695" s="705"/>
      <c r="AI695" s="429"/>
    </row>
    <row r="696" spans="2:35">
      <c r="B696" t="s">
        <v>539</v>
      </c>
      <c r="C696" t="s">
        <v>120</v>
      </c>
      <c r="D696" t="s">
        <v>583</v>
      </c>
      <c r="E696" t="s">
        <v>228</v>
      </c>
      <c r="F696">
        <v>14</v>
      </c>
      <c r="G696" s="705">
        <v>2577</v>
      </c>
      <c r="H696" s="705">
        <v>4774</v>
      </c>
      <c r="I696" s="705">
        <v>615327</v>
      </c>
      <c r="J696" s="705">
        <v>559388</v>
      </c>
      <c r="K696">
        <v>77</v>
      </c>
      <c r="L696" s="705">
        <v>73911</v>
      </c>
      <c r="M696" s="705">
        <v>56340</v>
      </c>
      <c r="N696" s="705">
        <v>54872</v>
      </c>
      <c r="O696" s="705">
        <v>20323</v>
      </c>
      <c r="P696" s="705">
        <v>8830</v>
      </c>
      <c r="Q696" s="705">
        <v>3270</v>
      </c>
      <c r="R696" s="705">
        <v>130338</v>
      </c>
      <c r="S696" s="705">
        <v>48273</v>
      </c>
      <c r="T696" s="705">
        <v>0</v>
      </c>
      <c r="U696" s="705">
        <v>0</v>
      </c>
      <c r="V696" s="705">
        <v>687595</v>
      </c>
      <c r="W696" s="705">
        <f t="shared" si="40"/>
        <v>687594</v>
      </c>
      <c r="X696" s="705">
        <f t="shared" si="41"/>
        <v>883278</v>
      </c>
      <c r="Y696" s="705"/>
      <c r="AI696" s="429"/>
    </row>
    <row r="697" spans="2:35">
      <c r="B697" t="s">
        <v>539</v>
      </c>
      <c r="C697" t="s">
        <v>120</v>
      </c>
      <c r="D697" t="s">
        <v>583</v>
      </c>
      <c r="E697" t="s">
        <v>583</v>
      </c>
      <c r="F697" s="705">
        <v>2501</v>
      </c>
      <c r="G697" s="705">
        <v>266565</v>
      </c>
      <c r="H697" s="705">
        <v>851674</v>
      </c>
      <c r="I697" s="705">
        <v>53952734</v>
      </c>
      <c r="J697" s="705">
        <v>49047940</v>
      </c>
      <c r="K697">
        <v>76</v>
      </c>
      <c r="L697" s="705">
        <v>13202813</v>
      </c>
      <c r="M697" s="705">
        <v>10889958</v>
      </c>
      <c r="N697" s="705">
        <v>5675261</v>
      </c>
      <c r="O697" s="705">
        <v>2101948</v>
      </c>
      <c r="P697" s="705">
        <v>1557235</v>
      </c>
      <c r="Q697" s="705">
        <v>576754</v>
      </c>
      <c r="R697" s="705">
        <v>12962614</v>
      </c>
      <c r="S697" s="705">
        <v>11784194</v>
      </c>
      <c r="T697" s="705">
        <v>4449195</v>
      </c>
      <c r="U697" s="705">
        <v>1647850</v>
      </c>
      <c r="V697" s="705">
        <v>76048644</v>
      </c>
      <c r="W697" s="705">
        <f t="shared" si="40"/>
        <v>76048644</v>
      </c>
      <c r="X697" s="705">
        <f t="shared" si="41"/>
        <v>91799852</v>
      </c>
      <c r="Y697" s="705"/>
      <c r="AI697" s="429"/>
    </row>
    <row r="698" spans="2:35">
      <c r="B698" t="s">
        <v>539</v>
      </c>
      <c r="C698" t="s">
        <v>120</v>
      </c>
      <c r="D698" t="s">
        <v>583</v>
      </c>
      <c r="E698" t="s">
        <v>666</v>
      </c>
      <c r="F698" s="705">
        <v>1</v>
      </c>
      <c r="G698" s="705">
        <v>83</v>
      </c>
      <c r="H698" s="705">
        <v>334</v>
      </c>
      <c r="I698" s="705">
        <v>14487</v>
      </c>
      <c r="J698" s="705">
        <v>13170</v>
      </c>
      <c r="K698">
        <v>85</v>
      </c>
      <c r="L698" s="705">
        <v>4330</v>
      </c>
      <c r="M698" s="705">
        <v>3936</v>
      </c>
      <c r="N698" s="705">
        <v>1266</v>
      </c>
      <c r="O698" s="705">
        <v>469</v>
      </c>
      <c r="P698" s="705">
        <v>621</v>
      </c>
      <c r="Q698" s="705">
        <v>230</v>
      </c>
      <c r="R698" s="705">
        <v>4105</v>
      </c>
      <c r="S698" s="705">
        <v>3732</v>
      </c>
      <c r="T698" s="705">
        <v>2920</v>
      </c>
      <c r="U698" s="705">
        <v>1082</v>
      </c>
      <c r="V698" s="705">
        <v>22618</v>
      </c>
      <c r="W698" s="705">
        <f t="shared" si="40"/>
        <v>22619</v>
      </c>
      <c r="X698" s="705">
        <f t="shared" si="41"/>
        <v>27729</v>
      </c>
      <c r="Y698" s="705"/>
      <c r="AI698" s="429"/>
    </row>
    <row r="699" spans="2:35">
      <c r="B699" t="s">
        <v>539</v>
      </c>
      <c r="C699" t="s">
        <v>120</v>
      </c>
      <c r="D699" t="s">
        <v>583</v>
      </c>
      <c r="E699" t="s">
        <v>584</v>
      </c>
      <c r="F699">
        <v>3</v>
      </c>
      <c r="G699" s="705">
        <v>271</v>
      </c>
      <c r="H699" s="705">
        <v>1043</v>
      </c>
      <c r="I699" s="705">
        <v>57854</v>
      </c>
      <c r="J699" s="705">
        <v>52595</v>
      </c>
      <c r="K699">
        <v>73</v>
      </c>
      <c r="L699" s="705">
        <v>9065</v>
      </c>
      <c r="M699" s="705">
        <v>7975</v>
      </c>
      <c r="N699" s="705">
        <v>6334</v>
      </c>
      <c r="O699" s="705">
        <v>2346</v>
      </c>
      <c r="P699" s="705">
        <v>1863</v>
      </c>
      <c r="Q699" s="705">
        <v>690</v>
      </c>
      <c r="R699" s="705">
        <v>15091</v>
      </c>
      <c r="S699" s="705">
        <v>13719</v>
      </c>
      <c r="T699" s="705">
        <v>3906</v>
      </c>
      <c r="U699" s="705">
        <v>1447</v>
      </c>
      <c r="V699" s="705">
        <v>78771</v>
      </c>
      <c r="W699" s="705">
        <f t="shared" si="40"/>
        <v>78772</v>
      </c>
      <c r="X699" s="705">
        <f t="shared" si="41"/>
        <v>94113</v>
      </c>
      <c r="Y699" s="705"/>
      <c r="AI699" s="429"/>
    </row>
    <row r="700" spans="2:35">
      <c r="B700" t="s">
        <v>539</v>
      </c>
      <c r="C700" t="s">
        <v>120</v>
      </c>
      <c r="D700" t="s">
        <v>583</v>
      </c>
      <c r="E700" t="s">
        <v>669</v>
      </c>
      <c r="F700">
        <v>4</v>
      </c>
      <c r="G700">
        <v>369</v>
      </c>
      <c r="H700" s="705">
        <v>1370</v>
      </c>
      <c r="I700" s="705">
        <v>65417</v>
      </c>
      <c r="J700" s="705">
        <v>59470</v>
      </c>
      <c r="K700">
        <v>71</v>
      </c>
      <c r="L700" s="705">
        <v>16158</v>
      </c>
      <c r="M700" s="705">
        <v>14275</v>
      </c>
      <c r="N700" s="705">
        <v>8716</v>
      </c>
      <c r="O700" s="705">
        <v>3228</v>
      </c>
      <c r="P700" s="705">
        <v>2484</v>
      </c>
      <c r="Q700" s="705">
        <v>920</v>
      </c>
      <c r="R700" s="705">
        <v>22895</v>
      </c>
      <c r="S700" s="705">
        <v>19079</v>
      </c>
      <c r="T700" s="705">
        <v>11443</v>
      </c>
      <c r="U700" s="705">
        <v>4238</v>
      </c>
      <c r="V700" s="705">
        <v>101210</v>
      </c>
      <c r="W700" s="705">
        <f t="shared" si="40"/>
        <v>101210</v>
      </c>
      <c r="X700" s="705">
        <f t="shared" si="41"/>
        <v>127113</v>
      </c>
      <c r="Y700" s="705"/>
      <c r="AI700" s="429"/>
    </row>
    <row r="701" spans="2:35">
      <c r="B701" t="s">
        <v>539</v>
      </c>
      <c r="C701" t="s">
        <v>120</v>
      </c>
      <c r="D701" t="s">
        <v>583</v>
      </c>
      <c r="E701" t="s">
        <v>665</v>
      </c>
      <c r="F701">
        <v>3</v>
      </c>
      <c r="G701" s="705">
        <v>258</v>
      </c>
      <c r="H701" s="705">
        <v>1066</v>
      </c>
      <c r="I701" s="705">
        <v>55939</v>
      </c>
      <c r="J701" s="705">
        <v>50853</v>
      </c>
      <c r="K701">
        <v>71</v>
      </c>
      <c r="L701" s="705">
        <v>8742</v>
      </c>
      <c r="M701" s="705">
        <v>9986</v>
      </c>
      <c r="N701" s="705">
        <v>5619</v>
      </c>
      <c r="O701" s="705">
        <v>2081</v>
      </c>
      <c r="P701" s="705">
        <v>1863</v>
      </c>
      <c r="Q701" s="705">
        <v>690</v>
      </c>
      <c r="R701" s="705">
        <v>15891</v>
      </c>
      <c r="S701" s="705">
        <v>14446</v>
      </c>
      <c r="T701" s="705">
        <v>4771</v>
      </c>
      <c r="U701" s="705">
        <v>1767</v>
      </c>
      <c r="V701" s="705">
        <v>79823</v>
      </c>
      <c r="W701" s="705">
        <f t="shared" si="40"/>
        <v>79823</v>
      </c>
      <c r="X701" s="705">
        <f t="shared" si="41"/>
        <v>92825</v>
      </c>
      <c r="Y701" s="705"/>
      <c r="AI701" s="429"/>
    </row>
    <row r="702" spans="2:35">
      <c r="B702" t="s">
        <v>539</v>
      </c>
      <c r="C702" t="s">
        <v>120</v>
      </c>
      <c r="D702" t="s">
        <v>666</v>
      </c>
      <c r="E702" t="s">
        <v>583</v>
      </c>
      <c r="F702">
        <v>1</v>
      </c>
      <c r="G702" s="705">
        <v>94</v>
      </c>
      <c r="H702" s="705">
        <v>316</v>
      </c>
      <c r="I702" s="705">
        <v>16621</v>
      </c>
      <c r="J702" s="705">
        <v>15110</v>
      </c>
      <c r="K702">
        <v>70</v>
      </c>
      <c r="L702" s="705">
        <v>4094</v>
      </c>
      <c r="M702" s="705">
        <v>3722</v>
      </c>
      <c r="N702" s="705">
        <v>2279</v>
      </c>
      <c r="O702" s="705">
        <v>844</v>
      </c>
      <c r="P702" s="705">
        <v>621</v>
      </c>
      <c r="Q702" s="705">
        <v>230</v>
      </c>
      <c r="R702" s="705">
        <v>3592</v>
      </c>
      <c r="S702" s="705">
        <v>3265</v>
      </c>
      <c r="T702" s="705">
        <v>2344</v>
      </c>
      <c r="U702" s="705">
        <v>868</v>
      </c>
      <c r="V702" s="705">
        <v>24039</v>
      </c>
      <c r="W702" s="705">
        <f t="shared" si="40"/>
        <v>24039</v>
      </c>
      <c r="X702" s="705">
        <f t="shared" si="41"/>
        <v>29551</v>
      </c>
      <c r="Y702" s="705"/>
      <c r="AI702" s="429"/>
    </row>
    <row r="703" spans="2:35">
      <c r="B703" t="s">
        <v>539</v>
      </c>
      <c r="C703" t="s">
        <v>120</v>
      </c>
      <c r="D703" t="s">
        <v>666</v>
      </c>
      <c r="E703" t="s">
        <v>666</v>
      </c>
      <c r="F703">
        <v>11</v>
      </c>
      <c r="G703" s="705">
        <v>917</v>
      </c>
      <c r="H703" s="705">
        <v>3761</v>
      </c>
      <c r="I703" s="705">
        <v>173855</v>
      </c>
      <c r="J703" s="705">
        <v>158050</v>
      </c>
      <c r="K703">
        <v>54</v>
      </c>
      <c r="L703" s="705">
        <v>37401</v>
      </c>
      <c r="M703" s="705">
        <v>23117</v>
      </c>
      <c r="N703" s="705">
        <v>18561</v>
      </c>
      <c r="O703" s="705">
        <v>6875</v>
      </c>
      <c r="P703" s="705">
        <v>3159</v>
      </c>
      <c r="Q703" s="705">
        <v>1170</v>
      </c>
      <c r="R703" s="705">
        <v>68009</v>
      </c>
      <c r="S703" s="705">
        <v>61826</v>
      </c>
      <c r="T703" s="705">
        <v>17378</v>
      </c>
      <c r="U703" s="705">
        <v>6436</v>
      </c>
      <c r="V703" s="705">
        <v>257475</v>
      </c>
      <c r="W703" s="705">
        <f t="shared" si="40"/>
        <v>257474</v>
      </c>
      <c r="X703" s="705">
        <f t="shared" si="41"/>
        <v>318363</v>
      </c>
      <c r="Y703" s="705"/>
      <c r="AI703" s="429"/>
    </row>
    <row r="704" spans="2:35">
      <c r="B704" t="s">
        <v>539</v>
      </c>
      <c r="C704" t="s">
        <v>120</v>
      </c>
      <c r="D704" t="s">
        <v>584</v>
      </c>
      <c r="E704" t="s">
        <v>664</v>
      </c>
      <c r="F704">
        <v>1</v>
      </c>
      <c r="G704" s="705">
        <v>70</v>
      </c>
      <c r="H704" s="705">
        <v>314</v>
      </c>
      <c r="I704" s="705">
        <v>13698</v>
      </c>
      <c r="J704" s="705">
        <v>12452</v>
      </c>
      <c r="K704">
        <v>91</v>
      </c>
      <c r="L704" s="705">
        <v>4388</v>
      </c>
      <c r="M704" s="705">
        <v>3989</v>
      </c>
      <c r="N704" s="705">
        <v>1604</v>
      </c>
      <c r="O704" s="705">
        <v>594</v>
      </c>
      <c r="P704" s="705">
        <v>473</v>
      </c>
      <c r="Q704" s="705">
        <v>175</v>
      </c>
      <c r="R704" s="705">
        <v>1928</v>
      </c>
      <c r="S704" s="705">
        <v>1752</v>
      </c>
      <c r="T704" s="705">
        <v>0</v>
      </c>
      <c r="U704" s="705">
        <v>0</v>
      </c>
      <c r="V704" s="705">
        <v>18963</v>
      </c>
      <c r="W704" s="705">
        <f t="shared" si="40"/>
        <v>18962</v>
      </c>
      <c r="X704" s="705">
        <f t="shared" si="41"/>
        <v>22091</v>
      </c>
      <c r="Y704" s="705"/>
      <c r="AI704" s="429"/>
    </row>
    <row r="705" spans="2:35">
      <c r="B705" t="s">
        <v>539</v>
      </c>
      <c r="C705" t="s">
        <v>120</v>
      </c>
      <c r="D705" t="s">
        <v>584</v>
      </c>
      <c r="E705" t="s">
        <v>582</v>
      </c>
      <c r="F705">
        <v>4</v>
      </c>
      <c r="G705" s="705">
        <v>363</v>
      </c>
      <c r="H705" s="705">
        <v>1314</v>
      </c>
      <c r="I705" s="705">
        <v>73167</v>
      </c>
      <c r="J705" s="705">
        <v>66516</v>
      </c>
      <c r="K705">
        <v>78</v>
      </c>
      <c r="L705" s="705">
        <v>12937</v>
      </c>
      <c r="M705" s="705">
        <v>11761</v>
      </c>
      <c r="N705" s="705">
        <v>8673</v>
      </c>
      <c r="O705" s="705">
        <v>3212</v>
      </c>
      <c r="P705" s="705">
        <v>1890</v>
      </c>
      <c r="Q705" s="705">
        <v>700</v>
      </c>
      <c r="R705" s="705">
        <v>19772</v>
      </c>
      <c r="S705" s="705">
        <v>17975</v>
      </c>
      <c r="T705" s="705">
        <v>2502</v>
      </c>
      <c r="U705" s="705">
        <v>927</v>
      </c>
      <c r="V705" s="705">
        <v>101090</v>
      </c>
      <c r="W705" s="705">
        <f t="shared" si="40"/>
        <v>101091</v>
      </c>
      <c r="X705" s="705">
        <f t="shared" si="41"/>
        <v>118941</v>
      </c>
      <c r="Y705" s="705"/>
      <c r="AI705" s="429"/>
    </row>
    <row r="706" spans="2:35">
      <c r="B706" t="s">
        <v>539</v>
      </c>
      <c r="C706" t="s">
        <v>120</v>
      </c>
      <c r="D706" t="s">
        <v>584</v>
      </c>
      <c r="E706" t="s">
        <v>228</v>
      </c>
      <c r="F706">
        <v>74</v>
      </c>
      <c r="G706" s="705">
        <v>6797</v>
      </c>
      <c r="H706" s="705">
        <v>25705</v>
      </c>
      <c r="I706" s="705">
        <v>1429518</v>
      </c>
      <c r="J706" s="705">
        <v>1299562</v>
      </c>
      <c r="K706">
        <v>77</v>
      </c>
      <c r="L706" s="705">
        <v>292544</v>
      </c>
      <c r="M706" s="705">
        <v>249258</v>
      </c>
      <c r="N706" s="705">
        <v>136680</v>
      </c>
      <c r="O706" s="705">
        <v>50622</v>
      </c>
      <c r="P706" s="705">
        <v>31238</v>
      </c>
      <c r="Q706" s="705">
        <v>11570</v>
      </c>
      <c r="R706" s="705">
        <v>506732</v>
      </c>
      <c r="S706" s="705">
        <v>187679</v>
      </c>
      <c r="T706" s="705">
        <v>2460</v>
      </c>
      <c r="U706" s="705">
        <v>911</v>
      </c>
      <c r="V706" s="705">
        <v>1799601</v>
      </c>
      <c r="W706" s="705">
        <f t="shared" si="40"/>
        <v>1799602</v>
      </c>
      <c r="X706" s="705">
        <f t="shared" si="41"/>
        <v>2399172</v>
      </c>
      <c r="Y706" s="705"/>
      <c r="AI706" s="429"/>
    </row>
    <row r="707" spans="2:35">
      <c r="B707" t="s">
        <v>539</v>
      </c>
      <c r="C707" t="s">
        <v>120</v>
      </c>
      <c r="D707" t="s">
        <v>584</v>
      </c>
      <c r="E707" t="s">
        <v>583</v>
      </c>
      <c r="F707">
        <v>2</v>
      </c>
      <c r="G707" s="705">
        <v>217</v>
      </c>
      <c r="H707" s="705">
        <v>671</v>
      </c>
      <c r="I707" s="705">
        <v>41539</v>
      </c>
      <c r="J707" s="705">
        <v>37763</v>
      </c>
      <c r="K707">
        <v>82</v>
      </c>
      <c r="L707" s="705">
        <v>12770</v>
      </c>
      <c r="M707" s="705">
        <v>11352</v>
      </c>
      <c r="N707" s="705">
        <v>5124</v>
      </c>
      <c r="O707" s="705">
        <v>1898</v>
      </c>
      <c r="P707" s="705">
        <v>945</v>
      </c>
      <c r="Q707" s="705">
        <v>350</v>
      </c>
      <c r="R707" s="705">
        <v>10773</v>
      </c>
      <c r="S707" s="705">
        <v>9794</v>
      </c>
      <c r="T707" s="705">
        <v>3580</v>
      </c>
      <c r="U707" s="705">
        <v>1326</v>
      </c>
      <c r="V707" s="705">
        <v>62482</v>
      </c>
      <c r="W707" s="705">
        <f t="shared" si="40"/>
        <v>62483</v>
      </c>
      <c r="X707" s="705">
        <f t="shared" si="41"/>
        <v>74731</v>
      </c>
      <c r="Y707" s="705"/>
      <c r="AI707" s="429"/>
    </row>
    <row r="708" spans="2:35">
      <c r="B708" t="s">
        <v>539</v>
      </c>
      <c r="C708" t="s">
        <v>120</v>
      </c>
      <c r="D708" t="s">
        <v>584</v>
      </c>
      <c r="E708" t="s">
        <v>666</v>
      </c>
      <c r="F708">
        <v>1</v>
      </c>
      <c r="G708" s="705">
        <v>45</v>
      </c>
      <c r="H708" s="705">
        <v>332</v>
      </c>
      <c r="I708" s="705">
        <v>7679</v>
      </c>
      <c r="J708" s="705">
        <v>6980</v>
      </c>
      <c r="K708">
        <v>78</v>
      </c>
      <c r="L708" s="705">
        <v>1057</v>
      </c>
      <c r="M708" s="705">
        <v>960</v>
      </c>
      <c r="N708" s="705">
        <v>932</v>
      </c>
      <c r="O708" s="705">
        <v>345</v>
      </c>
      <c r="P708" s="705">
        <v>473</v>
      </c>
      <c r="Q708" s="705">
        <v>175</v>
      </c>
      <c r="R708" s="705">
        <v>4810</v>
      </c>
      <c r="S708" s="705">
        <v>4373</v>
      </c>
      <c r="T708" s="705">
        <v>0</v>
      </c>
      <c r="U708" s="705">
        <v>0</v>
      </c>
      <c r="V708" s="705">
        <v>12834</v>
      </c>
      <c r="W708" s="705">
        <f t="shared" si="40"/>
        <v>12833</v>
      </c>
      <c r="X708" s="705">
        <f t="shared" si="41"/>
        <v>14951</v>
      </c>
      <c r="Y708" s="705"/>
      <c r="AI708" s="429"/>
    </row>
    <row r="709" spans="2:35">
      <c r="B709" t="s">
        <v>539</v>
      </c>
      <c r="C709" t="s">
        <v>120</v>
      </c>
      <c r="D709" t="s">
        <v>584</v>
      </c>
      <c r="E709" t="s">
        <v>584</v>
      </c>
      <c r="F709" s="705">
        <v>14248</v>
      </c>
      <c r="G709" s="705">
        <v>1384225</v>
      </c>
      <c r="H709" s="705">
        <v>4820865</v>
      </c>
      <c r="I709" s="705">
        <v>277007260</v>
      </c>
      <c r="J709" s="705">
        <v>251824782</v>
      </c>
      <c r="K709">
        <v>79</v>
      </c>
      <c r="L709" s="705">
        <v>72038357</v>
      </c>
      <c r="M709" s="705">
        <v>61585166</v>
      </c>
      <c r="N709" s="705">
        <v>29220166</v>
      </c>
      <c r="O709" s="705">
        <v>10822283</v>
      </c>
      <c r="P709" s="705">
        <v>6679141</v>
      </c>
      <c r="Q709" s="705">
        <v>2473756</v>
      </c>
      <c r="R709" s="705">
        <v>69214288</v>
      </c>
      <c r="S709" s="705">
        <v>62922080</v>
      </c>
      <c r="T709" s="705">
        <v>19812160</v>
      </c>
      <c r="U709" s="705">
        <v>7337837</v>
      </c>
      <c r="V709" s="705">
        <v>396965904</v>
      </c>
      <c r="W709" s="705">
        <f t="shared" si="40"/>
        <v>396965904</v>
      </c>
      <c r="X709" s="705">
        <f t="shared" si="41"/>
        <v>473971372</v>
      </c>
      <c r="Y709" s="705"/>
      <c r="AI709" s="429"/>
    </row>
    <row r="710" spans="2:35">
      <c r="B710" t="s">
        <v>539</v>
      </c>
      <c r="C710" t="s">
        <v>120</v>
      </c>
      <c r="D710" t="s">
        <v>584</v>
      </c>
      <c r="E710" t="s">
        <v>669</v>
      </c>
      <c r="F710">
        <v>5</v>
      </c>
      <c r="G710">
        <v>429</v>
      </c>
      <c r="H710" s="705">
        <v>1673</v>
      </c>
      <c r="I710" s="705">
        <v>81475</v>
      </c>
      <c r="J710" s="705">
        <v>74068</v>
      </c>
      <c r="K710">
        <v>76</v>
      </c>
      <c r="L710" s="705">
        <v>17557</v>
      </c>
      <c r="M710" s="705">
        <v>16602</v>
      </c>
      <c r="N710" s="705">
        <v>8417</v>
      </c>
      <c r="O710" s="705">
        <v>3117</v>
      </c>
      <c r="P710" s="705">
        <v>2363</v>
      </c>
      <c r="Q710" s="705">
        <v>875</v>
      </c>
      <c r="R710" s="705">
        <v>23657</v>
      </c>
      <c r="S710" s="705">
        <v>19714</v>
      </c>
      <c r="T710" s="705">
        <v>9645</v>
      </c>
      <c r="U710" s="705">
        <v>3572</v>
      </c>
      <c r="V710" s="705">
        <v>117950</v>
      </c>
      <c r="W710" s="705">
        <f t="shared" si="40"/>
        <v>117948</v>
      </c>
      <c r="X710" s="705">
        <f t="shared" si="41"/>
        <v>143114</v>
      </c>
      <c r="Y710" s="705"/>
      <c r="AI710" s="429"/>
    </row>
    <row r="711" spans="2:35">
      <c r="B711" t="s">
        <v>539</v>
      </c>
      <c r="C711" t="s">
        <v>120</v>
      </c>
      <c r="D711" t="s">
        <v>584</v>
      </c>
      <c r="E711" t="s">
        <v>667</v>
      </c>
      <c r="F711">
        <v>1</v>
      </c>
      <c r="G711" s="705">
        <v>70</v>
      </c>
      <c r="H711" s="705">
        <v>317</v>
      </c>
      <c r="I711" s="705">
        <v>11014</v>
      </c>
      <c r="J711" s="705">
        <v>10013</v>
      </c>
      <c r="K711">
        <v>79</v>
      </c>
      <c r="L711" s="705">
        <v>3064</v>
      </c>
      <c r="M711" s="705">
        <v>2785</v>
      </c>
      <c r="N711" s="705">
        <v>1426</v>
      </c>
      <c r="O711" s="705">
        <v>528</v>
      </c>
      <c r="P711" s="705">
        <v>473</v>
      </c>
      <c r="Q711" s="705">
        <v>175</v>
      </c>
      <c r="R711" s="705">
        <v>3824</v>
      </c>
      <c r="S711" s="705">
        <v>3477</v>
      </c>
      <c r="T711" s="705">
        <v>2387</v>
      </c>
      <c r="U711" s="705">
        <v>884</v>
      </c>
      <c r="V711" s="705">
        <v>17862</v>
      </c>
      <c r="W711" s="705">
        <f t="shared" ref="W711:W774" si="42">SUM(ABS(J711),ABS(M711),ABS(O711),ABS(Q711),ABS(S711),ABS(U711))</f>
        <v>17862</v>
      </c>
      <c r="X711" s="705">
        <f t="shared" ref="X711:X774" si="43">SUM(ABS(I711),ABS(N711),ABS(P711),ABS(R711),ABS(T711),ABS(L711))</f>
        <v>22188</v>
      </c>
      <c r="Y711" s="705"/>
      <c r="AI711" s="429"/>
    </row>
    <row r="712" spans="2:35">
      <c r="B712" t="s">
        <v>539</v>
      </c>
      <c r="C712" t="s">
        <v>120</v>
      </c>
      <c r="D712" t="s">
        <v>584</v>
      </c>
      <c r="E712" t="s">
        <v>665</v>
      </c>
      <c r="F712">
        <v>2</v>
      </c>
      <c r="G712">
        <v>183</v>
      </c>
      <c r="H712">
        <v>669</v>
      </c>
      <c r="I712" s="705">
        <v>32942</v>
      </c>
      <c r="J712" s="705">
        <v>29947</v>
      </c>
      <c r="K712">
        <v>72</v>
      </c>
      <c r="L712" s="705">
        <v>5395</v>
      </c>
      <c r="M712" s="705">
        <v>4905</v>
      </c>
      <c r="N712" s="705">
        <v>4215</v>
      </c>
      <c r="O712" s="705">
        <v>1561</v>
      </c>
      <c r="P712" s="705">
        <v>945</v>
      </c>
      <c r="Q712" s="705">
        <v>350</v>
      </c>
      <c r="R712" s="705">
        <v>15329</v>
      </c>
      <c r="S712" s="705">
        <v>13936</v>
      </c>
      <c r="T712" s="705">
        <v>2626</v>
      </c>
      <c r="U712">
        <v>973</v>
      </c>
      <c r="V712" s="705">
        <v>51671</v>
      </c>
      <c r="W712" s="705">
        <f t="shared" si="42"/>
        <v>51672</v>
      </c>
      <c r="X712" s="705">
        <f t="shared" si="43"/>
        <v>61452</v>
      </c>
      <c r="Y712" s="705"/>
      <c r="AI712" s="429"/>
    </row>
    <row r="713" spans="2:35">
      <c r="B713" t="s">
        <v>539</v>
      </c>
      <c r="C713" t="s">
        <v>120</v>
      </c>
      <c r="D713" t="s">
        <v>669</v>
      </c>
      <c r="E713" t="s">
        <v>228</v>
      </c>
      <c r="F713">
        <v>6</v>
      </c>
      <c r="G713">
        <v>588</v>
      </c>
      <c r="H713" s="705">
        <v>2049</v>
      </c>
      <c r="I713" s="705">
        <v>124671</v>
      </c>
      <c r="J713" s="705">
        <v>103892</v>
      </c>
      <c r="K713">
        <v>67</v>
      </c>
      <c r="L713" s="705">
        <v>14637</v>
      </c>
      <c r="M713" s="705">
        <v>16637</v>
      </c>
      <c r="N713" s="705">
        <v>12634</v>
      </c>
      <c r="O713" s="705">
        <v>4679</v>
      </c>
      <c r="P713" s="705">
        <v>1053</v>
      </c>
      <c r="Q713">
        <v>390</v>
      </c>
      <c r="R713" s="705">
        <v>48113</v>
      </c>
      <c r="S713" s="705">
        <v>17820</v>
      </c>
      <c r="T713" s="705">
        <v>0</v>
      </c>
      <c r="U713" s="705">
        <v>0</v>
      </c>
      <c r="V713" s="705">
        <v>143419</v>
      </c>
      <c r="W713" s="705">
        <f t="shared" si="42"/>
        <v>143418</v>
      </c>
      <c r="X713" s="705">
        <f t="shared" si="43"/>
        <v>201108</v>
      </c>
      <c r="Y713" s="705"/>
      <c r="AI713" s="429"/>
    </row>
    <row r="714" spans="2:35">
      <c r="B714" t="s">
        <v>539</v>
      </c>
      <c r="C714" t="s">
        <v>120</v>
      </c>
      <c r="D714" t="s">
        <v>669</v>
      </c>
      <c r="E714" t="s">
        <v>669</v>
      </c>
      <c r="F714">
        <v>64</v>
      </c>
      <c r="G714" s="705">
        <v>5431</v>
      </c>
      <c r="H714" s="705">
        <v>21517</v>
      </c>
      <c r="I714" s="705">
        <v>1111006</v>
      </c>
      <c r="J714" s="705">
        <v>925839</v>
      </c>
      <c r="K714">
        <v>58</v>
      </c>
      <c r="L714" s="705">
        <v>100757</v>
      </c>
      <c r="M714" s="705">
        <v>73939</v>
      </c>
      <c r="N714" s="705">
        <v>110557</v>
      </c>
      <c r="O714" s="705">
        <v>40947</v>
      </c>
      <c r="P714" s="705">
        <v>23625</v>
      </c>
      <c r="Q714" s="705">
        <v>8750</v>
      </c>
      <c r="R714" s="705">
        <v>358201</v>
      </c>
      <c r="S714" s="705">
        <v>298501</v>
      </c>
      <c r="T714" s="705">
        <v>140923</v>
      </c>
      <c r="U714" s="705">
        <v>52194</v>
      </c>
      <c r="V714" s="705">
        <v>1400170</v>
      </c>
      <c r="W714" s="705">
        <f t="shared" si="42"/>
        <v>1400170</v>
      </c>
      <c r="X714" s="705">
        <f t="shared" si="43"/>
        <v>1845069</v>
      </c>
      <c r="Y714" s="705"/>
      <c r="AI714" s="429"/>
    </row>
    <row r="715" spans="2:35">
      <c r="B715" t="s">
        <v>539</v>
      </c>
      <c r="C715" t="s">
        <v>120</v>
      </c>
      <c r="D715" t="s">
        <v>667</v>
      </c>
      <c r="E715" t="s">
        <v>667</v>
      </c>
      <c r="F715">
        <v>1</v>
      </c>
      <c r="G715">
        <v>74</v>
      </c>
      <c r="H715">
        <v>323</v>
      </c>
      <c r="I715" s="705">
        <v>13180</v>
      </c>
      <c r="J715" s="705">
        <v>11981</v>
      </c>
      <c r="K715">
        <v>55</v>
      </c>
      <c r="L715" s="705">
        <v>1977</v>
      </c>
      <c r="M715" s="705">
        <v>732</v>
      </c>
      <c r="N715" s="705">
        <v>1560</v>
      </c>
      <c r="O715">
        <v>578</v>
      </c>
      <c r="P715">
        <v>351</v>
      </c>
      <c r="Q715">
        <v>130</v>
      </c>
      <c r="R715" s="705">
        <v>4770</v>
      </c>
      <c r="S715" s="705">
        <v>4336</v>
      </c>
      <c r="T715" s="705">
        <v>2085</v>
      </c>
      <c r="U715">
        <v>772</v>
      </c>
      <c r="V715" s="705">
        <v>18530</v>
      </c>
      <c r="W715" s="705">
        <f t="shared" si="42"/>
        <v>18529</v>
      </c>
      <c r="X715" s="705">
        <f t="shared" si="43"/>
        <v>23923</v>
      </c>
      <c r="Y715" s="705"/>
      <c r="AI715" s="429"/>
    </row>
    <row r="716" spans="2:35">
      <c r="B716" t="s">
        <v>539</v>
      </c>
      <c r="C716" t="s">
        <v>120</v>
      </c>
      <c r="D716" t="s">
        <v>665</v>
      </c>
      <c r="E716" t="s">
        <v>228</v>
      </c>
      <c r="F716">
        <v>1</v>
      </c>
      <c r="G716">
        <v>110</v>
      </c>
      <c r="H716">
        <v>334</v>
      </c>
      <c r="I716" s="705">
        <v>19203</v>
      </c>
      <c r="J716" s="705">
        <v>17457</v>
      </c>
      <c r="K716">
        <v>55</v>
      </c>
      <c r="L716" s="705">
        <v>3912</v>
      </c>
      <c r="M716" s="705">
        <v>3556</v>
      </c>
      <c r="N716" s="705">
        <v>2335</v>
      </c>
      <c r="O716" s="705">
        <v>865</v>
      </c>
      <c r="P716" s="705">
        <v>351</v>
      </c>
      <c r="Q716">
        <v>130</v>
      </c>
      <c r="R716" s="705">
        <v>10715</v>
      </c>
      <c r="S716" s="705">
        <v>3969</v>
      </c>
      <c r="T716" s="705">
        <v>0</v>
      </c>
      <c r="U716" s="705">
        <v>0</v>
      </c>
      <c r="V716" s="705">
        <v>25977</v>
      </c>
      <c r="W716" s="705">
        <f t="shared" si="42"/>
        <v>25977</v>
      </c>
      <c r="X716" s="705">
        <f t="shared" si="43"/>
        <v>36516</v>
      </c>
      <c r="Y716" s="705"/>
      <c r="AI716" s="429"/>
    </row>
    <row r="717" spans="2:35">
      <c r="B717" t="s">
        <v>539</v>
      </c>
      <c r="C717" t="s">
        <v>120</v>
      </c>
      <c r="D717" t="s">
        <v>665</v>
      </c>
      <c r="E717" t="s">
        <v>665</v>
      </c>
      <c r="F717">
        <v>22</v>
      </c>
      <c r="G717" s="705">
        <v>1891</v>
      </c>
      <c r="H717" s="705">
        <v>7450</v>
      </c>
      <c r="I717" s="705">
        <v>383484</v>
      </c>
      <c r="J717" s="705">
        <v>348622</v>
      </c>
      <c r="K717">
        <v>56</v>
      </c>
      <c r="L717" s="705">
        <v>43373</v>
      </c>
      <c r="M717" s="705">
        <v>30273</v>
      </c>
      <c r="N717" s="705">
        <v>40386</v>
      </c>
      <c r="O717" s="705">
        <v>14958</v>
      </c>
      <c r="P717" s="705">
        <v>7884</v>
      </c>
      <c r="Q717" s="705">
        <v>2920</v>
      </c>
      <c r="R717" s="705">
        <v>126692</v>
      </c>
      <c r="S717" s="705">
        <v>115175</v>
      </c>
      <c r="T717" s="705">
        <v>46431</v>
      </c>
      <c r="U717" s="705">
        <v>17197</v>
      </c>
      <c r="V717" s="705">
        <v>529144</v>
      </c>
      <c r="W717" s="705">
        <f t="shared" si="42"/>
        <v>529145</v>
      </c>
      <c r="X717" s="705">
        <f t="shared" si="43"/>
        <v>648250</v>
      </c>
      <c r="Y717" s="705"/>
      <c r="AI717" s="429"/>
    </row>
    <row r="718" spans="2:35">
      <c r="B718" t="s">
        <v>539</v>
      </c>
      <c r="C718" t="s">
        <v>122</v>
      </c>
      <c r="F718">
        <v>4</v>
      </c>
      <c r="G718" s="705">
        <v>222</v>
      </c>
      <c r="H718" s="705">
        <v>1619</v>
      </c>
      <c r="I718" s="705"/>
      <c r="J718" s="705">
        <v>0</v>
      </c>
      <c r="L718" s="705"/>
      <c r="M718" s="705">
        <v>0</v>
      </c>
      <c r="N718" s="705">
        <v>4587</v>
      </c>
      <c r="O718" s="705">
        <v>1699</v>
      </c>
      <c r="P718" s="705">
        <v>945</v>
      </c>
      <c r="Q718" s="705">
        <v>350</v>
      </c>
      <c r="R718" s="705"/>
      <c r="S718" s="705">
        <v>0</v>
      </c>
      <c r="T718" s="705">
        <v>0</v>
      </c>
      <c r="U718" s="705">
        <v>0</v>
      </c>
      <c r="V718" s="705">
        <v>2049</v>
      </c>
      <c r="W718" s="705">
        <f t="shared" si="42"/>
        <v>2049</v>
      </c>
      <c r="X718" s="705">
        <f t="shared" si="43"/>
        <v>5532</v>
      </c>
      <c r="Y718" s="705"/>
      <c r="AI718" s="429"/>
    </row>
    <row r="719" spans="2:35">
      <c r="B719" t="s">
        <v>539</v>
      </c>
      <c r="C719" t="s">
        <v>122</v>
      </c>
      <c r="D719" t="s">
        <v>664</v>
      </c>
      <c r="E719" t="s">
        <v>664</v>
      </c>
      <c r="F719">
        <v>2</v>
      </c>
      <c r="G719" s="705">
        <v>128</v>
      </c>
      <c r="H719" s="705">
        <v>868</v>
      </c>
      <c r="I719" s="705">
        <v>31637</v>
      </c>
      <c r="J719" s="705">
        <v>28761</v>
      </c>
      <c r="K719">
        <v>69</v>
      </c>
      <c r="L719" s="705">
        <v>8219</v>
      </c>
      <c r="M719" s="705">
        <v>7472</v>
      </c>
      <c r="N719" s="705">
        <v>2634</v>
      </c>
      <c r="O719" s="705">
        <v>975</v>
      </c>
      <c r="P719" s="705">
        <v>824</v>
      </c>
      <c r="Q719" s="705">
        <v>305</v>
      </c>
      <c r="R719" s="705">
        <v>10239</v>
      </c>
      <c r="S719" s="705">
        <v>9309</v>
      </c>
      <c r="T719" s="705">
        <v>1678</v>
      </c>
      <c r="U719" s="705">
        <v>621</v>
      </c>
      <c r="V719" s="705">
        <v>47443</v>
      </c>
      <c r="W719" s="705">
        <f t="shared" si="42"/>
        <v>47443</v>
      </c>
      <c r="X719" s="705">
        <f t="shared" si="43"/>
        <v>55231</v>
      </c>
      <c r="Y719" s="705"/>
      <c r="AI719" s="429"/>
    </row>
    <row r="720" spans="2:35">
      <c r="B720" t="s">
        <v>539</v>
      </c>
      <c r="C720" t="s">
        <v>122</v>
      </c>
      <c r="D720" t="s">
        <v>664</v>
      </c>
      <c r="E720" t="s">
        <v>228</v>
      </c>
      <c r="F720">
        <v>3</v>
      </c>
      <c r="G720" s="705">
        <v>265</v>
      </c>
      <c r="H720" s="705">
        <v>1204</v>
      </c>
      <c r="I720" s="705">
        <v>50643</v>
      </c>
      <c r="J720" s="705">
        <v>46039</v>
      </c>
      <c r="K720">
        <v>83</v>
      </c>
      <c r="L720" s="705">
        <v>18268</v>
      </c>
      <c r="M720" s="705">
        <v>12875</v>
      </c>
      <c r="N720" s="705">
        <v>6007</v>
      </c>
      <c r="O720" s="705">
        <v>2225</v>
      </c>
      <c r="P720" s="705">
        <v>898</v>
      </c>
      <c r="Q720" s="705">
        <v>333</v>
      </c>
      <c r="R720" s="705">
        <v>29511</v>
      </c>
      <c r="S720" s="705">
        <v>10930</v>
      </c>
      <c r="T720" s="705">
        <v>0</v>
      </c>
      <c r="U720" s="705">
        <v>0</v>
      </c>
      <c r="V720" s="705">
        <v>72401</v>
      </c>
      <c r="W720" s="705">
        <f t="shared" si="42"/>
        <v>72402</v>
      </c>
      <c r="X720" s="705">
        <f t="shared" si="43"/>
        <v>105327</v>
      </c>
      <c r="Y720" s="705"/>
      <c r="AI720" s="429"/>
    </row>
    <row r="721" spans="2:35">
      <c r="B721" t="s">
        <v>539</v>
      </c>
      <c r="C721" t="s">
        <v>122</v>
      </c>
      <c r="D721" t="s">
        <v>228</v>
      </c>
      <c r="E721" t="s">
        <v>228</v>
      </c>
      <c r="F721">
        <v>410</v>
      </c>
      <c r="G721" s="705">
        <v>32881</v>
      </c>
      <c r="H721" s="705">
        <v>169964</v>
      </c>
      <c r="I721" s="705">
        <v>8954777</v>
      </c>
      <c r="J721" s="705">
        <v>3316584</v>
      </c>
      <c r="K721">
        <v>100</v>
      </c>
      <c r="L721" s="705">
        <v>1312847</v>
      </c>
      <c r="M721" s="705">
        <v>933919</v>
      </c>
      <c r="N721" s="705">
        <v>697270</v>
      </c>
      <c r="O721" s="705">
        <v>258248</v>
      </c>
      <c r="P721" s="705">
        <v>9439</v>
      </c>
      <c r="Q721" s="705">
        <v>3496</v>
      </c>
      <c r="R721" s="705">
        <v>2837326</v>
      </c>
      <c r="S721" s="705">
        <v>1050862</v>
      </c>
      <c r="T721" s="705">
        <v>20613</v>
      </c>
      <c r="U721" s="705">
        <v>7634</v>
      </c>
      <c r="V721" s="705">
        <v>5570743</v>
      </c>
      <c r="W721" s="705">
        <f t="shared" si="42"/>
        <v>5570743</v>
      </c>
      <c r="X721" s="705">
        <f t="shared" si="43"/>
        <v>13832272</v>
      </c>
      <c r="Y721" s="705"/>
      <c r="AI721" s="429"/>
    </row>
    <row r="722" spans="2:35">
      <c r="B722" t="s">
        <v>539</v>
      </c>
      <c r="C722" t="s">
        <v>122</v>
      </c>
      <c r="D722" t="s">
        <v>228</v>
      </c>
      <c r="E722" t="s">
        <v>669</v>
      </c>
      <c r="F722">
        <v>4</v>
      </c>
      <c r="G722">
        <v>318</v>
      </c>
      <c r="H722" s="705">
        <v>1634</v>
      </c>
      <c r="I722" s="705">
        <v>75995</v>
      </c>
      <c r="J722" s="705">
        <v>28146</v>
      </c>
      <c r="K722">
        <v>100</v>
      </c>
      <c r="L722" s="705">
        <v>15550</v>
      </c>
      <c r="M722" s="705">
        <v>12959</v>
      </c>
      <c r="N722" s="705">
        <v>7640</v>
      </c>
      <c r="O722" s="705">
        <v>2830</v>
      </c>
      <c r="P722" s="705">
        <v>0</v>
      </c>
      <c r="Q722" s="705">
        <v>0</v>
      </c>
      <c r="R722" s="705">
        <v>22052</v>
      </c>
      <c r="S722" s="705">
        <v>18376</v>
      </c>
      <c r="T722" s="705">
        <v>7871</v>
      </c>
      <c r="U722" s="705">
        <v>2915</v>
      </c>
      <c r="V722" s="705">
        <v>65226</v>
      </c>
      <c r="W722" s="705">
        <f t="shared" si="42"/>
        <v>65226</v>
      </c>
      <c r="X722" s="705">
        <f t="shared" si="43"/>
        <v>129108</v>
      </c>
      <c r="Y722" s="705"/>
      <c r="AI722" s="429"/>
    </row>
    <row r="723" spans="2:35">
      <c r="B723" t="s">
        <v>539</v>
      </c>
      <c r="C723" t="s">
        <v>122</v>
      </c>
      <c r="D723" t="s">
        <v>228</v>
      </c>
      <c r="E723" t="s">
        <v>665</v>
      </c>
      <c r="F723">
        <v>1</v>
      </c>
      <c r="G723">
        <v>79</v>
      </c>
      <c r="H723" s="705">
        <v>450</v>
      </c>
      <c r="I723" s="705">
        <v>20988</v>
      </c>
      <c r="J723" s="705">
        <v>7773</v>
      </c>
      <c r="K723">
        <v>100</v>
      </c>
      <c r="L723" s="705">
        <v>5030</v>
      </c>
      <c r="M723" s="705">
        <v>4573</v>
      </c>
      <c r="N723" s="705">
        <v>1687</v>
      </c>
      <c r="O723" s="705">
        <v>625</v>
      </c>
      <c r="P723" s="705">
        <v>0</v>
      </c>
      <c r="Q723" s="705">
        <v>0</v>
      </c>
      <c r="R723" s="705">
        <v>5267</v>
      </c>
      <c r="S723" s="705">
        <v>4788</v>
      </c>
      <c r="T723" s="705">
        <v>2415</v>
      </c>
      <c r="U723" s="705">
        <v>894</v>
      </c>
      <c r="V723" s="705">
        <v>18653</v>
      </c>
      <c r="W723" s="705">
        <f t="shared" si="42"/>
        <v>18653</v>
      </c>
      <c r="X723" s="705">
        <f t="shared" si="43"/>
        <v>35387</v>
      </c>
      <c r="Y723" s="705"/>
      <c r="AI723" s="429"/>
    </row>
    <row r="724" spans="2:35">
      <c r="B724" t="s">
        <v>539</v>
      </c>
      <c r="C724" t="s">
        <v>122</v>
      </c>
      <c r="D724" t="s">
        <v>583</v>
      </c>
      <c r="E724" t="s">
        <v>664</v>
      </c>
      <c r="F724">
        <v>2</v>
      </c>
      <c r="G724">
        <v>177</v>
      </c>
      <c r="H724" s="705">
        <v>832</v>
      </c>
      <c r="I724" s="705">
        <v>45115</v>
      </c>
      <c r="J724" s="705">
        <v>41014</v>
      </c>
      <c r="K724">
        <v>89</v>
      </c>
      <c r="L724" s="705">
        <v>15478</v>
      </c>
      <c r="M724" s="705">
        <v>12898</v>
      </c>
      <c r="N724" s="705">
        <v>2925</v>
      </c>
      <c r="O724" s="705">
        <v>1083</v>
      </c>
      <c r="P724" s="705">
        <v>1242</v>
      </c>
      <c r="Q724">
        <v>460</v>
      </c>
      <c r="R724" s="705">
        <v>9422</v>
      </c>
      <c r="S724" s="705">
        <v>8566</v>
      </c>
      <c r="T724">
        <v>0</v>
      </c>
      <c r="U724">
        <v>0</v>
      </c>
      <c r="V724" s="705">
        <v>64021</v>
      </c>
      <c r="W724" s="705">
        <f t="shared" si="42"/>
        <v>64021</v>
      </c>
      <c r="X724" s="705">
        <f t="shared" si="43"/>
        <v>74182</v>
      </c>
      <c r="Y724" s="705"/>
      <c r="AI724" s="429"/>
    </row>
    <row r="725" spans="2:35">
      <c r="B725" t="s">
        <v>539</v>
      </c>
      <c r="C725" t="s">
        <v>122</v>
      </c>
      <c r="D725" t="s">
        <v>583</v>
      </c>
      <c r="E725" t="s">
        <v>228</v>
      </c>
      <c r="F725" s="705">
        <v>11</v>
      </c>
      <c r="G725" s="705">
        <v>1126</v>
      </c>
      <c r="H725" s="705">
        <v>4609</v>
      </c>
      <c r="I725" s="705">
        <v>291318</v>
      </c>
      <c r="J725" s="705">
        <v>264834</v>
      </c>
      <c r="K725">
        <v>73</v>
      </c>
      <c r="L725" s="705">
        <v>63832</v>
      </c>
      <c r="M725" s="705">
        <v>45408</v>
      </c>
      <c r="N725" s="705">
        <v>26411</v>
      </c>
      <c r="O725" s="705">
        <v>9782</v>
      </c>
      <c r="P725" s="705">
        <v>6602</v>
      </c>
      <c r="Q725" s="705">
        <v>2445</v>
      </c>
      <c r="R725" s="705">
        <v>87632</v>
      </c>
      <c r="S725" s="705">
        <v>32456</v>
      </c>
      <c r="T725" s="705">
        <v>0</v>
      </c>
      <c r="U725" s="705">
        <v>0</v>
      </c>
      <c r="V725" s="705">
        <v>354925</v>
      </c>
      <c r="W725" s="705">
        <f t="shared" si="42"/>
        <v>354925</v>
      </c>
      <c r="X725" s="705">
        <f t="shared" si="43"/>
        <v>475795</v>
      </c>
      <c r="Y725" s="705"/>
      <c r="AI725" s="429"/>
    </row>
    <row r="726" spans="2:35">
      <c r="B726" t="s">
        <v>539</v>
      </c>
      <c r="C726" t="s">
        <v>122</v>
      </c>
      <c r="D726" t="s">
        <v>583</v>
      </c>
      <c r="E726" t="s">
        <v>583</v>
      </c>
      <c r="F726" s="705">
        <v>1359</v>
      </c>
      <c r="G726" s="705">
        <v>148924</v>
      </c>
      <c r="H726" s="705">
        <v>563955</v>
      </c>
      <c r="I726" s="705">
        <v>38774999</v>
      </c>
      <c r="J726" s="705">
        <v>35249999</v>
      </c>
      <c r="K726">
        <v>71</v>
      </c>
      <c r="L726" s="705">
        <v>9216339</v>
      </c>
      <c r="M726" s="705">
        <v>7631639</v>
      </c>
      <c r="N726" s="705">
        <v>3212432</v>
      </c>
      <c r="O726" s="705">
        <v>1189790</v>
      </c>
      <c r="P726" s="705">
        <v>848029</v>
      </c>
      <c r="Q726" s="705">
        <v>314085</v>
      </c>
      <c r="R726" s="705">
        <v>7609309</v>
      </c>
      <c r="S726" s="705">
        <v>6917553</v>
      </c>
      <c r="T726" s="705">
        <v>2642951</v>
      </c>
      <c r="U726" s="705">
        <v>978871</v>
      </c>
      <c r="V726" s="705">
        <v>52281937</v>
      </c>
      <c r="W726" s="705">
        <f t="shared" si="42"/>
        <v>52281937</v>
      </c>
      <c r="X726" s="705">
        <f t="shared" si="43"/>
        <v>62304059</v>
      </c>
      <c r="Y726" s="705"/>
      <c r="AI726" s="429"/>
    </row>
    <row r="727" spans="2:35">
      <c r="B727" t="s">
        <v>539</v>
      </c>
      <c r="C727" t="s">
        <v>122</v>
      </c>
      <c r="D727" t="s">
        <v>583</v>
      </c>
      <c r="E727" t="s">
        <v>584</v>
      </c>
      <c r="F727">
        <v>2</v>
      </c>
      <c r="G727" s="705">
        <v>232</v>
      </c>
      <c r="H727" s="705">
        <v>789</v>
      </c>
      <c r="I727" s="705">
        <v>56625</v>
      </c>
      <c r="J727" s="705">
        <v>51477</v>
      </c>
      <c r="K727">
        <v>70</v>
      </c>
      <c r="L727" s="705">
        <v>14579</v>
      </c>
      <c r="M727" s="705">
        <v>12679</v>
      </c>
      <c r="N727" s="705">
        <v>3790</v>
      </c>
      <c r="O727" s="705">
        <v>1404</v>
      </c>
      <c r="P727" s="705">
        <v>1242</v>
      </c>
      <c r="Q727" s="705">
        <v>460</v>
      </c>
      <c r="R727" s="705">
        <v>9217</v>
      </c>
      <c r="S727" s="705">
        <v>8379</v>
      </c>
      <c r="T727" s="705">
        <v>5965</v>
      </c>
      <c r="U727" s="705">
        <v>2209</v>
      </c>
      <c r="V727" s="705">
        <v>76607</v>
      </c>
      <c r="W727" s="705">
        <f t="shared" si="42"/>
        <v>76608</v>
      </c>
      <c r="X727" s="705">
        <f t="shared" si="43"/>
        <v>91418</v>
      </c>
      <c r="Y727" s="705"/>
      <c r="AI727" s="429"/>
    </row>
    <row r="728" spans="2:35">
      <c r="B728" t="s">
        <v>539</v>
      </c>
      <c r="C728" t="s">
        <v>122</v>
      </c>
      <c r="D728" t="s">
        <v>583</v>
      </c>
      <c r="E728" t="s">
        <v>665</v>
      </c>
      <c r="F728">
        <v>1</v>
      </c>
      <c r="G728">
        <v>137</v>
      </c>
      <c r="H728">
        <v>443</v>
      </c>
      <c r="I728" s="705">
        <v>47503</v>
      </c>
      <c r="J728" s="705">
        <v>43184</v>
      </c>
      <c r="K728">
        <v>65</v>
      </c>
      <c r="L728" s="705">
        <v>10873</v>
      </c>
      <c r="M728" s="705">
        <v>9884</v>
      </c>
      <c r="N728" s="705">
        <v>3483</v>
      </c>
      <c r="O728" s="705">
        <v>1290</v>
      </c>
      <c r="P728" s="705">
        <v>621</v>
      </c>
      <c r="Q728">
        <v>230</v>
      </c>
      <c r="R728" s="705">
        <v>5092</v>
      </c>
      <c r="S728" s="705">
        <v>4629</v>
      </c>
      <c r="T728" s="705">
        <v>2715</v>
      </c>
      <c r="U728" s="705">
        <v>1005</v>
      </c>
      <c r="V728" s="705">
        <v>60223</v>
      </c>
      <c r="W728" s="705">
        <f t="shared" si="42"/>
        <v>60222</v>
      </c>
      <c r="X728" s="705">
        <f t="shared" si="43"/>
        <v>70287</v>
      </c>
      <c r="Y728" s="705"/>
      <c r="AI728" s="429"/>
    </row>
    <row r="729" spans="2:35">
      <c r="B729" t="s">
        <v>539</v>
      </c>
      <c r="C729" t="s">
        <v>122</v>
      </c>
      <c r="D729" t="s">
        <v>666</v>
      </c>
      <c r="E729" t="s">
        <v>228</v>
      </c>
      <c r="F729">
        <v>1</v>
      </c>
      <c r="G729" s="705">
        <v>75</v>
      </c>
      <c r="H729" s="705">
        <v>386</v>
      </c>
      <c r="I729" s="705">
        <v>15210</v>
      </c>
      <c r="J729" s="705">
        <v>13827</v>
      </c>
      <c r="K729">
        <v>55</v>
      </c>
      <c r="L729" s="705">
        <v>3098</v>
      </c>
      <c r="M729" s="705">
        <v>2817</v>
      </c>
      <c r="N729" s="705">
        <v>1832</v>
      </c>
      <c r="O729" s="705">
        <v>679</v>
      </c>
      <c r="P729" s="705">
        <v>351</v>
      </c>
      <c r="Q729" s="705">
        <v>130</v>
      </c>
      <c r="R729" s="705">
        <v>8526</v>
      </c>
      <c r="S729" s="705">
        <v>3158</v>
      </c>
      <c r="T729" s="705">
        <v>0</v>
      </c>
      <c r="U729" s="705">
        <v>0</v>
      </c>
      <c r="V729" s="705">
        <v>20611</v>
      </c>
      <c r="W729" s="705">
        <f t="shared" si="42"/>
        <v>20611</v>
      </c>
      <c r="X729" s="705">
        <f t="shared" si="43"/>
        <v>29017</v>
      </c>
      <c r="Y729" s="705"/>
      <c r="AI729" s="429"/>
    </row>
    <row r="730" spans="2:35">
      <c r="B730" t="s">
        <v>539</v>
      </c>
      <c r="C730" t="s">
        <v>122</v>
      </c>
      <c r="D730" t="s">
        <v>666</v>
      </c>
      <c r="E730" t="s">
        <v>583</v>
      </c>
      <c r="F730">
        <v>1</v>
      </c>
      <c r="G730" s="705">
        <v>97</v>
      </c>
      <c r="H730" s="705">
        <v>381</v>
      </c>
      <c r="I730" s="705">
        <v>21602</v>
      </c>
      <c r="J730" s="705">
        <v>19638</v>
      </c>
      <c r="K730">
        <v>79</v>
      </c>
      <c r="L730" s="705">
        <v>6546</v>
      </c>
      <c r="M730" s="705">
        <v>5455</v>
      </c>
      <c r="N730" s="705">
        <v>2009</v>
      </c>
      <c r="O730" s="705">
        <v>744</v>
      </c>
      <c r="P730" s="705">
        <v>621</v>
      </c>
      <c r="Q730" s="705">
        <v>230</v>
      </c>
      <c r="R730" s="705">
        <v>3831</v>
      </c>
      <c r="S730" s="705">
        <v>3483</v>
      </c>
      <c r="T730" s="705">
        <v>2389</v>
      </c>
      <c r="U730" s="705">
        <v>885</v>
      </c>
      <c r="V730" s="705">
        <v>30435</v>
      </c>
      <c r="W730" s="705">
        <f t="shared" si="42"/>
        <v>30435</v>
      </c>
      <c r="X730" s="705">
        <f t="shared" si="43"/>
        <v>36998</v>
      </c>
      <c r="Y730" s="705"/>
      <c r="AI730" s="429"/>
    </row>
    <row r="731" spans="2:35">
      <c r="B731" t="s">
        <v>539</v>
      </c>
      <c r="C731" t="s">
        <v>122</v>
      </c>
      <c r="D731" t="s">
        <v>666</v>
      </c>
      <c r="E731" t="s">
        <v>666</v>
      </c>
      <c r="F731">
        <v>10</v>
      </c>
      <c r="G731" s="705">
        <v>777</v>
      </c>
      <c r="H731" s="705">
        <v>4268</v>
      </c>
      <c r="I731" s="705">
        <v>211215</v>
      </c>
      <c r="J731" s="705">
        <v>192014</v>
      </c>
      <c r="K731">
        <v>53</v>
      </c>
      <c r="L731" s="705">
        <v>33991</v>
      </c>
      <c r="M731" s="705">
        <v>20090</v>
      </c>
      <c r="N731" s="705">
        <v>15040</v>
      </c>
      <c r="O731" s="705">
        <v>5570</v>
      </c>
      <c r="P731" s="705">
        <v>2457</v>
      </c>
      <c r="Q731" s="705">
        <v>910</v>
      </c>
      <c r="R731" s="705">
        <v>49047</v>
      </c>
      <c r="S731" s="705">
        <v>44588</v>
      </c>
      <c r="T731" s="705">
        <v>19400</v>
      </c>
      <c r="U731" s="705">
        <v>7185</v>
      </c>
      <c r="V731" s="705">
        <v>270357</v>
      </c>
      <c r="W731" s="705">
        <f t="shared" si="42"/>
        <v>270357</v>
      </c>
      <c r="X731" s="705">
        <f t="shared" si="43"/>
        <v>331150</v>
      </c>
      <c r="Y731" s="705"/>
      <c r="AI731" s="429"/>
    </row>
    <row r="732" spans="2:35">
      <c r="B732" t="s">
        <v>539</v>
      </c>
      <c r="C732" t="s">
        <v>122</v>
      </c>
      <c r="D732" t="s">
        <v>584</v>
      </c>
      <c r="E732" t="s">
        <v>582</v>
      </c>
      <c r="F732">
        <v>2</v>
      </c>
      <c r="G732">
        <v>347</v>
      </c>
      <c r="H732">
        <v>829</v>
      </c>
      <c r="I732" s="705">
        <v>94600</v>
      </c>
      <c r="J732" s="705">
        <v>86000</v>
      </c>
      <c r="K732">
        <v>65</v>
      </c>
      <c r="L732" s="705">
        <v>20701</v>
      </c>
      <c r="M732" s="705">
        <v>18819</v>
      </c>
      <c r="N732" s="705">
        <v>7752</v>
      </c>
      <c r="O732" s="705">
        <v>2871</v>
      </c>
      <c r="P732" s="705">
        <v>702</v>
      </c>
      <c r="Q732">
        <v>260</v>
      </c>
      <c r="R732" s="705">
        <v>12614</v>
      </c>
      <c r="S732" s="705">
        <v>11467</v>
      </c>
      <c r="T732" s="705">
        <v>7243</v>
      </c>
      <c r="U732" s="705">
        <v>2682</v>
      </c>
      <c r="V732" s="705">
        <v>122100</v>
      </c>
      <c r="W732" s="705">
        <f t="shared" si="42"/>
        <v>122099</v>
      </c>
      <c r="X732" s="705">
        <f t="shared" si="43"/>
        <v>143612</v>
      </c>
      <c r="Y732" s="705"/>
      <c r="AI732" s="429"/>
    </row>
    <row r="733" spans="2:35">
      <c r="B733" t="s">
        <v>539</v>
      </c>
      <c r="C733" t="s">
        <v>122</v>
      </c>
      <c r="D733" t="s">
        <v>584</v>
      </c>
      <c r="E733" t="s">
        <v>228</v>
      </c>
      <c r="F733">
        <v>84</v>
      </c>
      <c r="G733" s="705">
        <v>8194</v>
      </c>
      <c r="H733" s="705">
        <v>34957</v>
      </c>
      <c r="I733" s="705">
        <v>2144311</v>
      </c>
      <c r="J733" s="705">
        <v>1949374</v>
      </c>
      <c r="K733">
        <v>73</v>
      </c>
      <c r="L733" s="705">
        <v>435968</v>
      </c>
      <c r="M733" s="705">
        <v>359045</v>
      </c>
      <c r="N733" s="705">
        <v>170695</v>
      </c>
      <c r="O733" s="705">
        <v>63220</v>
      </c>
      <c r="P733" s="705">
        <v>34394</v>
      </c>
      <c r="Q733" s="705">
        <v>12738</v>
      </c>
      <c r="R733" s="705">
        <v>631672</v>
      </c>
      <c r="S733" s="705">
        <v>233952</v>
      </c>
      <c r="T733" s="705">
        <v>4194</v>
      </c>
      <c r="U733" s="705">
        <v>1553</v>
      </c>
      <c r="V733" s="705">
        <v>2619883</v>
      </c>
      <c r="W733" s="705">
        <f t="shared" si="42"/>
        <v>2619882</v>
      </c>
      <c r="X733" s="705">
        <f t="shared" si="43"/>
        <v>3421234</v>
      </c>
      <c r="Y733" s="705"/>
      <c r="AI733" s="429"/>
    </row>
    <row r="734" spans="2:35">
      <c r="B734" t="s">
        <v>539</v>
      </c>
      <c r="C734" t="s">
        <v>122</v>
      </c>
      <c r="D734" t="s">
        <v>584</v>
      </c>
      <c r="E734" t="s">
        <v>583</v>
      </c>
      <c r="F734" s="705">
        <v>2</v>
      </c>
      <c r="G734" s="705">
        <v>169</v>
      </c>
      <c r="H734" s="705">
        <v>776</v>
      </c>
      <c r="I734" s="705">
        <v>39525</v>
      </c>
      <c r="J734" s="705">
        <v>35932</v>
      </c>
      <c r="K734">
        <v>83</v>
      </c>
      <c r="L734" s="705">
        <v>12474</v>
      </c>
      <c r="M734" s="705">
        <v>10395</v>
      </c>
      <c r="N734" s="705">
        <v>2907</v>
      </c>
      <c r="O734" s="705">
        <v>1077</v>
      </c>
      <c r="P734" s="705">
        <v>945</v>
      </c>
      <c r="Q734" s="705">
        <v>350</v>
      </c>
      <c r="R734" s="705">
        <v>9893</v>
      </c>
      <c r="S734" s="705">
        <v>8994</v>
      </c>
      <c r="T734" s="705">
        <v>0</v>
      </c>
      <c r="U734" s="705">
        <v>0</v>
      </c>
      <c r="V734" s="705">
        <v>56748</v>
      </c>
      <c r="W734" s="705">
        <f t="shared" si="42"/>
        <v>56748</v>
      </c>
      <c r="X734" s="705">
        <f t="shared" si="43"/>
        <v>65744</v>
      </c>
      <c r="Y734" s="705"/>
      <c r="AI734" s="429"/>
    </row>
    <row r="735" spans="2:35">
      <c r="B735" t="s">
        <v>539</v>
      </c>
      <c r="C735" t="s">
        <v>122</v>
      </c>
      <c r="D735" t="s">
        <v>584</v>
      </c>
      <c r="E735" t="s">
        <v>666</v>
      </c>
      <c r="F735">
        <v>1</v>
      </c>
      <c r="G735">
        <v>85</v>
      </c>
      <c r="H735" s="705">
        <v>404</v>
      </c>
      <c r="I735" s="705">
        <v>20398</v>
      </c>
      <c r="J735" s="705">
        <v>18544</v>
      </c>
      <c r="K735">
        <v>73</v>
      </c>
      <c r="L735" s="705">
        <v>3008</v>
      </c>
      <c r="M735" s="705">
        <v>2735</v>
      </c>
      <c r="N735" s="705">
        <v>2079</v>
      </c>
      <c r="O735" s="705">
        <v>770</v>
      </c>
      <c r="P735" s="705">
        <v>473</v>
      </c>
      <c r="Q735">
        <v>175</v>
      </c>
      <c r="R735" s="705">
        <v>8469</v>
      </c>
      <c r="S735" s="705">
        <v>7699</v>
      </c>
      <c r="T735" s="705">
        <v>0</v>
      </c>
      <c r="U735">
        <v>0</v>
      </c>
      <c r="V735" s="705">
        <v>29922</v>
      </c>
      <c r="W735" s="705">
        <f t="shared" si="42"/>
        <v>29923</v>
      </c>
      <c r="X735" s="705">
        <f t="shared" si="43"/>
        <v>34427</v>
      </c>
      <c r="Y735" s="705"/>
      <c r="AI735" s="429"/>
    </row>
    <row r="736" spans="2:35">
      <c r="B736" t="s">
        <v>539</v>
      </c>
      <c r="C736" t="s">
        <v>122</v>
      </c>
      <c r="D736" t="s">
        <v>584</v>
      </c>
      <c r="E736" t="s">
        <v>584</v>
      </c>
      <c r="F736" s="705">
        <v>6300</v>
      </c>
      <c r="G736" s="705">
        <v>593945</v>
      </c>
      <c r="H736" s="705">
        <v>2607276</v>
      </c>
      <c r="I736" s="705">
        <v>152386077</v>
      </c>
      <c r="J736" s="705">
        <v>138532797</v>
      </c>
      <c r="K736">
        <v>75</v>
      </c>
      <c r="L736" s="705">
        <v>37752641</v>
      </c>
      <c r="M736" s="705">
        <v>32444400</v>
      </c>
      <c r="N736" s="705">
        <v>12803322</v>
      </c>
      <c r="O736" s="705">
        <v>4741971</v>
      </c>
      <c r="P736" s="705">
        <v>2916569</v>
      </c>
      <c r="Q736" s="705">
        <v>1080211</v>
      </c>
      <c r="R736" s="705">
        <v>31905831</v>
      </c>
      <c r="S736" s="705">
        <v>29005301</v>
      </c>
      <c r="T736" s="705">
        <v>10630772</v>
      </c>
      <c r="U736" s="705">
        <v>3937323</v>
      </c>
      <c r="V736" s="705">
        <v>209742003</v>
      </c>
      <c r="W736" s="705">
        <f t="shared" si="42"/>
        <v>209742003</v>
      </c>
      <c r="X736" s="705">
        <f t="shared" si="43"/>
        <v>248395212</v>
      </c>
      <c r="Y736" s="705"/>
      <c r="AI736" s="429"/>
    </row>
    <row r="737" spans="2:35">
      <c r="B737" t="s">
        <v>539</v>
      </c>
      <c r="C737" t="s">
        <v>122</v>
      </c>
      <c r="D737" t="s">
        <v>584</v>
      </c>
      <c r="E737" t="s">
        <v>669</v>
      </c>
      <c r="F737">
        <v>1</v>
      </c>
      <c r="G737" s="705">
        <v>80</v>
      </c>
      <c r="H737" s="705">
        <v>397</v>
      </c>
      <c r="I737" s="705">
        <v>16647</v>
      </c>
      <c r="J737" s="705">
        <v>15134</v>
      </c>
      <c r="K737">
        <v>77</v>
      </c>
      <c r="L737" s="705">
        <v>11063</v>
      </c>
      <c r="M737" s="705">
        <v>4097</v>
      </c>
      <c r="N737" s="705">
        <v>980</v>
      </c>
      <c r="O737" s="705">
        <v>363</v>
      </c>
      <c r="P737" s="705">
        <v>473</v>
      </c>
      <c r="Q737">
        <v>175</v>
      </c>
      <c r="R737" s="705">
        <v>2762</v>
      </c>
      <c r="S737" s="705">
        <v>2302</v>
      </c>
      <c r="T737" s="705">
        <v>0</v>
      </c>
      <c r="U737" s="705">
        <v>0</v>
      </c>
      <c r="V737" s="705">
        <v>22071</v>
      </c>
      <c r="W737" s="705">
        <f t="shared" si="42"/>
        <v>22071</v>
      </c>
      <c r="X737" s="705">
        <f t="shared" si="43"/>
        <v>31925</v>
      </c>
      <c r="Y737" s="705"/>
      <c r="AI737" s="429"/>
    </row>
    <row r="738" spans="2:35">
      <c r="B738" t="s">
        <v>539</v>
      </c>
      <c r="C738" t="s">
        <v>122</v>
      </c>
      <c r="D738" t="s">
        <v>669</v>
      </c>
      <c r="E738" t="s">
        <v>228</v>
      </c>
      <c r="F738">
        <v>8</v>
      </c>
      <c r="G738" s="705">
        <v>538</v>
      </c>
      <c r="H738" s="705">
        <v>3337</v>
      </c>
      <c r="I738" s="705">
        <v>148811</v>
      </c>
      <c r="J738" s="705">
        <v>124009</v>
      </c>
      <c r="K738">
        <v>57</v>
      </c>
      <c r="L738" s="705">
        <v>33861</v>
      </c>
      <c r="M738" s="705">
        <v>17517</v>
      </c>
      <c r="N738" s="705">
        <v>11433</v>
      </c>
      <c r="O738" s="705">
        <v>4235</v>
      </c>
      <c r="P738" s="705">
        <v>351</v>
      </c>
      <c r="Q738" s="705">
        <v>130</v>
      </c>
      <c r="R738" s="705">
        <v>49312</v>
      </c>
      <c r="S738" s="705">
        <v>18264</v>
      </c>
      <c r="T738" s="705">
        <v>0</v>
      </c>
      <c r="U738" s="705">
        <v>0</v>
      </c>
      <c r="V738" s="705">
        <v>164154</v>
      </c>
      <c r="W738" s="705">
        <f t="shared" si="42"/>
        <v>164155</v>
      </c>
      <c r="X738" s="705">
        <f t="shared" si="43"/>
        <v>243768</v>
      </c>
      <c r="Y738" s="705"/>
      <c r="AI738" s="429"/>
    </row>
    <row r="739" spans="2:35">
      <c r="B739" t="s">
        <v>539</v>
      </c>
      <c r="C739" t="s">
        <v>122</v>
      </c>
      <c r="D739" t="s">
        <v>669</v>
      </c>
      <c r="E739" t="s">
        <v>669</v>
      </c>
      <c r="F739">
        <v>55</v>
      </c>
      <c r="G739" s="705">
        <v>4434</v>
      </c>
      <c r="H739" s="705">
        <v>22922</v>
      </c>
      <c r="I739" s="705">
        <v>1173416</v>
      </c>
      <c r="J739" s="705">
        <v>977846</v>
      </c>
      <c r="K739">
        <v>56</v>
      </c>
      <c r="L739" s="705">
        <v>129510</v>
      </c>
      <c r="M739" s="705">
        <v>97456</v>
      </c>
      <c r="N739" s="705">
        <v>93566</v>
      </c>
      <c r="O739" s="705">
        <v>34654</v>
      </c>
      <c r="P739" s="705">
        <v>17577</v>
      </c>
      <c r="Q739" s="705">
        <v>6510</v>
      </c>
      <c r="R739" s="705">
        <v>315207</v>
      </c>
      <c r="S739" s="705">
        <v>262673</v>
      </c>
      <c r="T739" s="705">
        <v>113099</v>
      </c>
      <c r="U739" s="705">
        <v>41888</v>
      </c>
      <c r="V739" s="705">
        <v>1421028</v>
      </c>
      <c r="W739" s="705">
        <f t="shared" si="42"/>
        <v>1421027</v>
      </c>
      <c r="X739" s="705">
        <f t="shared" si="43"/>
        <v>1842375</v>
      </c>
      <c r="Y739" s="705"/>
      <c r="AI739" s="429"/>
    </row>
    <row r="740" spans="2:35">
      <c r="B740" t="s">
        <v>539</v>
      </c>
      <c r="C740" t="s">
        <v>122</v>
      </c>
      <c r="D740" t="s">
        <v>665</v>
      </c>
      <c r="E740" t="s">
        <v>228</v>
      </c>
      <c r="F740">
        <v>4</v>
      </c>
      <c r="G740" s="705">
        <v>341</v>
      </c>
      <c r="H740" s="705">
        <v>1675</v>
      </c>
      <c r="I740" s="705">
        <v>97134</v>
      </c>
      <c r="J740" s="705">
        <v>88304</v>
      </c>
      <c r="K740">
        <v>49</v>
      </c>
      <c r="L740" s="705">
        <v>14600</v>
      </c>
      <c r="M740" s="705">
        <v>8165</v>
      </c>
      <c r="N740" s="705">
        <v>6335</v>
      </c>
      <c r="O740" s="705">
        <v>2346</v>
      </c>
      <c r="P740" s="705">
        <v>0</v>
      </c>
      <c r="Q740" s="705">
        <v>0</v>
      </c>
      <c r="R740" s="705">
        <v>31553</v>
      </c>
      <c r="S740" s="705">
        <v>11686</v>
      </c>
      <c r="T740" s="705">
        <v>0</v>
      </c>
      <c r="U740" s="705">
        <v>0</v>
      </c>
      <c r="V740" s="705">
        <v>110502</v>
      </c>
      <c r="W740" s="705">
        <f t="shared" si="42"/>
        <v>110501</v>
      </c>
      <c r="X740" s="705">
        <f t="shared" si="43"/>
        <v>149622</v>
      </c>
      <c r="Y740" s="705"/>
      <c r="AI740" s="429"/>
    </row>
    <row r="741" spans="2:35">
      <c r="B741" t="s">
        <v>539</v>
      </c>
      <c r="C741" t="s">
        <v>122</v>
      </c>
      <c r="D741" t="s">
        <v>665</v>
      </c>
      <c r="E741" t="s">
        <v>665</v>
      </c>
      <c r="F741">
        <v>17</v>
      </c>
      <c r="G741" s="705">
        <v>1354</v>
      </c>
      <c r="H741" s="705">
        <v>7138</v>
      </c>
      <c r="I741" s="705">
        <v>371163</v>
      </c>
      <c r="J741" s="705">
        <v>337421</v>
      </c>
      <c r="K741">
        <v>55</v>
      </c>
      <c r="L741" s="705">
        <v>47995</v>
      </c>
      <c r="M741" s="705">
        <v>36044</v>
      </c>
      <c r="N741" s="705">
        <v>29975</v>
      </c>
      <c r="O741" s="705">
        <v>11102</v>
      </c>
      <c r="P741" s="705">
        <v>5616</v>
      </c>
      <c r="Q741" s="705">
        <v>2080</v>
      </c>
      <c r="R741" s="705">
        <v>103325</v>
      </c>
      <c r="S741" s="705">
        <v>93932</v>
      </c>
      <c r="T741" s="705">
        <v>46304</v>
      </c>
      <c r="U741" s="705">
        <v>17149</v>
      </c>
      <c r="V741" s="705">
        <v>497728</v>
      </c>
      <c r="W741" s="705">
        <f t="shared" si="42"/>
        <v>497728</v>
      </c>
      <c r="X741" s="705">
        <f t="shared" si="43"/>
        <v>604378</v>
      </c>
      <c r="Y741" s="705"/>
      <c r="AI741" s="429"/>
    </row>
    <row r="742" spans="2:35">
      <c r="B742" t="s">
        <v>539</v>
      </c>
      <c r="C742" t="s">
        <v>122</v>
      </c>
      <c r="D742" t="s">
        <v>673</v>
      </c>
      <c r="E742" t="s">
        <v>673</v>
      </c>
      <c r="F742">
        <v>1</v>
      </c>
      <c r="G742">
        <v>60</v>
      </c>
      <c r="H742" s="705">
        <v>415</v>
      </c>
      <c r="I742" s="705">
        <v>14458</v>
      </c>
      <c r="J742" s="705">
        <v>13143</v>
      </c>
      <c r="K742">
        <v>65</v>
      </c>
      <c r="L742" s="705">
        <v>1606</v>
      </c>
      <c r="M742" s="705">
        <v>1460</v>
      </c>
      <c r="N742" s="705">
        <v>1349</v>
      </c>
      <c r="O742" s="705">
        <v>500</v>
      </c>
      <c r="P742" s="705">
        <v>351</v>
      </c>
      <c r="Q742">
        <v>130</v>
      </c>
      <c r="R742" s="705">
        <v>4704</v>
      </c>
      <c r="S742" s="705">
        <v>4276</v>
      </c>
      <c r="T742" s="705">
        <v>2609</v>
      </c>
      <c r="U742" s="705">
        <v>966</v>
      </c>
      <c r="V742" s="705">
        <v>20476</v>
      </c>
      <c r="W742" s="705">
        <f t="shared" si="42"/>
        <v>20475</v>
      </c>
      <c r="X742" s="705">
        <f t="shared" si="43"/>
        <v>25077</v>
      </c>
      <c r="Y742" s="705"/>
      <c r="AI742" s="429"/>
    </row>
    <row r="743" spans="2:35">
      <c r="B743" t="s">
        <v>539</v>
      </c>
      <c r="C743" t="s">
        <v>122</v>
      </c>
      <c r="D743" t="s">
        <v>585</v>
      </c>
      <c r="E743" t="s">
        <v>585</v>
      </c>
      <c r="F743">
        <v>1</v>
      </c>
      <c r="G743">
        <v>83</v>
      </c>
      <c r="H743" s="705">
        <v>443</v>
      </c>
      <c r="I743" s="705">
        <v>21812</v>
      </c>
      <c r="J743" s="705">
        <v>19829</v>
      </c>
      <c r="K743">
        <v>65</v>
      </c>
      <c r="L743" s="705">
        <v>5728</v>
      </c>
      <c r="M743" s="705">
        <v>4774</v>
      </c>
      <c r="N743" s="705">
        <v>2013</v>
      </c>
      <c r="O743" s="705">
        <v>746</v>
      </c>
      <c r="P743" s="705">
        <v>351</v>
      </c>
      <c r="Q743" s="705">
        <v>130</v>
      </c>
      <c r="R743" s="705">
        <v>4354</v>
      </c>
      <c r="S743" s="705">
        <v>3959</v>
      </c>
      <c r="T743" s="705">
        <v>2335</v>
      </c>
      <c r="U743" s="705">
        <v>865</v>
      </c>
      <c r="V743" s="705">
        <v>30302</v>
      </c>
      <c r="W743" s="705">
        <f t="shared" si="42"/>
        <v>30303</v>
      </c>
      <c r="X743" s="705">
        <f t="shared" si="43"/>
        <v>36593</v>
      </c>
      <c r="Y743" s="705"/>
      <c r="AI743" s="429"/>
    </row>
    <row r="744" spans="2:35">
      <c r="B744" t="s">
        <v>539</v>
      </c>
      <c r="C744" t="s">
        <v>124</v>
      </c>
      <c r="F744">
        <v>2</v>
      </c>
      <c r="G744">
        <v>68</v>
      </c>
      <c r="H744" s="705">
        <v>1071</v>
      </c>
      <c r="I744" s="705"/>
      <c r="J744" s="705">
        <v>0</v>
      </c>
      <c r="L744" s="705"/>
      <c r="M744" s="705">
        <v>0</v>
      </c>
      <c r="N744" s="705">
        <v>1651</v>
      </c>
      <c r="O744">
        <v>612</v>
      </c>
      <c r="P744">
        <v>0</v>
      </c>
      <c r="Q744">
        <v>0</v>
      </c>
      <c r="R744" s="705"/>
      <c r="S744" s="705">
        <v>0</v>
      </c>
      <c r="T744" s="705">
        <v>0</v>
      </c>
      <c r="U744" s="705">
        <v>0</v>
      </c>
      <c r="V744" s="705">
        <v>612</v>
      </c>
      <c r="W744" s="705">
        <f t="shared" si="42"/>
        <v>612</v>
      </c>
      <c r="X744" s="705">
        <f t="shared" si="43"/>
        <v>1651</v>
      </c>
      <c r="Y744" s="705"/>
      <c r="AI744" s="429"/>
    </row>
    <row r="745" spans="2:35">
      <c r="B745" t="s">
        <v>539</v>
      </c>
      <c r="C745" t="s">
        <v>124</v>
      </c>
      <c r="D745" t="s">
        <v>674</v>
      </c>
      <c r="E745" t="s">
        <v>674</v>
      </c>
      <c r="F745">
        <v>2</v>
      </c>
      <c r="G745">
        <v>126</v>
      </c>
      <c r="H745" s="705">
        <v>990</v>
      </c>
      <c r="I745" s="705">
        <v>43857</v>
      </c>
      <c r="J745" s="705">
        <v>39870</v>
      </c>
      <c r="K745">
        <v>50</v>
      </c>
      <c r="L745" s="705">
        <v>3443</v>
      </c>
      <c r="M745" s="705">
        <v>5982</v>
      </c>
      <c r="N745" s="705">
        <v>2449</v>
      </c>
      <c r="O745" s="705">
        <v>907</v>
      </c>
      <c r="P745" s="705">
        <v>702</v>
      </c>
      <c r="Q745">
        <v>260</v>
      </c>
      <c r="R745" s="705">
        <v>10521</v>
      </c>
      <c r="S745" s="705">
        <v>9564</v>
      </c>
      <c r="T745" s="705">
        <v>1846</v>
      </c>
      <c r="U745" s="705">
        <v>684</v>
      </c>
      <c r="V745" s="705">
        <v>57267</v>
      </c>
      <c r="W745" s="705">
        <f t="shared" si="42"/>
        <v>57267</v>
      </c>
      <c r="X745" s="705">
        <f t="shared" si="43"/>
        <v>62818</v>
      </c>
      <c r="Y745" s="705"/>
      <c r="AI745" s="429"/>
    </row>
    <row r="746" spans="2:35">
      <c r="B746" t="s">
        <v>539</v>
      </c>
      <c r="C746" t="s">
        <v>124</v>
      </c>
      <c r="D746" t="s">
        <v>674</v>
      </c>
      <c r="E746" t="s">
        <v>228</v>
      </c>
      <c r="F746">
        <v>1</v>
      </c>
      <c r="G746">
        <v>50</v>
      </c>
      <c r="H746">
        <v>646</v>
      </c>
      <c r="I746" s="705">
        <v>13612</v>
      </c>
      <c r="J746" s="705">
        <v>12375</v>
      </c>
      <c r="K746">
        <v>55</v>
      </c>
      <c r="L746" s="705">
        <v>2042</v>
      </c>
      <c r="M746" s="705">
        <v>756</v>
      </c>
      <c r="N746" s="705">
        <v>1090</v>
      </c>
      <c r="O746">
        <v>404</v>
      </c>
      <c r="P746">
        <v>351</v>
      </c>
      <c r="Q746">
        <v>130</v>
      </c>
      <c r="R746" s="705">
        <v>15347</v>
      </c>
      <c r="S746" s="705">
        <v>5684</v>
      </c>
      <c r="T746" s="705">
        <v>0</v>
      </c>
      <c r="U746">
        <v>0</v>
      </c>
      <c r="V746" s="705">
        <v>19349</v>
      </c>
      <c r="W746" s="705">
        <f t="shared" si="42"/>
        <v>19349</v>
      </c>
      <c r="X746" s="705">
        <f t="shared" si="43"/>
        <v>32442</v>
      </c>
      <c r="Y746" s="705"/>
      <c r="AI746" s="429"/>
    </row>
    <row r="747" spans="2:35">
      <c r="B747" t="s">
        <v>539</v>
      </c>
      <c r="C747" t="s">
        <v>124</v>
      </c>
      <c r="D747" t="s">
        <v>674</v>
      </c>
      <c r="E747" t="s">
        <v>669</v>
      </c>
      <c r="F747">
        <v>1</v>
      </c>
      <c r="G747">
        <v>71</v>
      </c>
      <c r="H747" s="705">
        <v>1246</v>
      </c>
      <c r="I747" s="705">
        <v>68073</v>
      </c>
      <c r="J747" s="705">
        <v>61885</v>
      </c>
      <c r="K747">
        <v>30</v>
      </c>
      <c r="L747" s="705">
        <v>7564</v>
      </c>
      <c r="M747" s="705">
        <v>6876</v>
      </c>
      <c r="N747" s="705">
        <v>971</v>
      </c>
      <c r="O747" s="705">
        <v>360</v>
      </c>
      <c r="P747">
        <v>0</v>
      </c>
      <c r="Q747">
        <v>0</v>
      </c>
      <c r="R747" s="705">
        <v>12066</v>
      </c>
      <c r="S747" s="705">
        <v>10055</v>
      </c>
      <c r="T747">
        <v>0</v>
      </c>
      <c r="U747">
        <v>0</v>
      </c>
      <c r="V747" s="705">
        <v>79176</v>
      </c>
      <c r="W747" s="705">
        <f t="shared" si="42"/>
        <v>79176</v>
      </c>
      <c r="X747" s="705">
        <f t="shared" si="43"/>
        <v>88674</v>
      </c>
      <c r="Y747" s="705"/>
      <c r="AI747" s="429"/>
    </row>
    <row r="748" spans="2:35">
      <c r="B748" t="s">
        <v>539</v>
      </c>
      <c r="C748" t="s">
        <v>124</v>
      </c>
      <c r="D748" t="s">
        <v>664</v>
      </c>
      <c r="E748" t="s">
        <v>228</v>
      </c>
      <c r="F748">
        <v>2</v>
      </c>
      <c r="G748">
        <v>131</v>
      </c>
      <c r="H748" s="705">
        <v>1041</v>
      </c>
      <c r="I748" s="705">
        <v>35226</v>
      </c>
      <c r="J748" s="705">
        <v>32023</v>
      </c>
      <c r="K748">
        <v>90</v>
      </c>
      <c r="L748" s="705">
        <v>12470</v>
      </c>
      <c r="M748" s="705">
        <v>10674</v>
      </c>
      <c r="N748" s="705">
        <v>2763</v>
      </c>
      <c r="O748" s="705">
        <v>1024</v>
      </c>
      <c r="P748" s="705">
        <v>351</v>
      </c>
      <c r="Q748">
        <v>130</v>
      </c>
      <c r="R748" s="705">
        <v>15976</v>
      </c>
      <c r="S748" s="705">
        <v>5917</v>
      </c>
      <c r="T748" s="705">
        <v>0</v>
      </c>
      <c r="U748" s="705">
        <v>0</v>
      </c>
      <c r="V748" s="705">
        <v>49768</v>
      </c>
      <c r="W748" s="705">
        <f t="shared" si="42"/>
        <v>49768</v>
      </c>
      <c r="X748" s="705">
        <f t="shared" si="43"/>
        <v>66786</v>
      </c>
      <c r="Y748" s="705"/>
      <c r="AI748" s="429"/>
    </row>
    <row r="749" spans="2:35">
      <c r="B749" t="s">
        <v>539</v>
      </c>
      <c r="C749" t="s">
        <v>124</v>
      </c>
      <c r="D749" t="s">
        <v>664</v>
      </c>
      <c r="E749" t="s">
        <v>584</v>
      </c>
      <c r="F749">
        <v>1</v>
      </c>
      <c r="G749" s="705">
        <v>119</v>
      </c>
      <c r="H749" s="705">
        <v>457</v>
      </c>
      <c r="I749" s="705">
        <v>33732</v>
      </c>
      <c r="J749" s="705">
        <v>30666</v>
      </c>
      <c r="K749">
        <v>65</v>
      </c>
      <c r="L749" s="705">
        <v>8423</v>
      </c>
      <c r="M749" s="705">
        <v>7019</v>
      </c>
      <c r="N749" s="705">
        <v>2700</v>
      </c>
      <c r="O749" s="705">
        <v>1000</v>
      </c>
      <c r="P749" s="705">
        <v>621</v>
      </c>
      <c r="Q749" s="705">
        <v>230</v>
      </c>
      <c r="R749" s="705">
        <v>5612</v>
      </c>
      <c r="S749" s="705">
        <v>5102</v>
      </c>
      <c r="T749" s="705">
        <v>3103</v>
      </c>
      <c r="U749" s="705">
        <v>1149</v>
      </c>
      <c r="V749" s="705">
        <v>45166</v>
      </c>
      <c r="W749" s="705">
        <f t="shared" si="42"/>
        <v>45166</v>
      </c>
      <c r="X749" s="705">
        <f t="shared" si="43"/>
        <v>54191</v>
      </c>
      <c r="Y749" s="705"/>
      <c r="AI749" s="429"/>
    </row>
    <row r="750" spans="2:35">
      <c r="B750" t="s">
        <v>539</v>
      </c>
      <c r="C750" t="s">
        <v>124</v>
      </c>
      <c r="D750" t="s">
        <v>582</v>
      </c>
      <c r="E750" t="s">
        <v>582</v>
      </c>
      <c r="F750">
        <v>2</v>
      </c>
      <c r="G750">
        <v>175</v>
      </c>
      <c r="H750" s="705">
        <v>1070</v>
      </c>
      <c r="I750" s="705">
        <v>59338</v>
      </c>
      <c r="J750" s="705">
        <v>53943</v>
      </c>
      <c r="K750">
        <v>64</v>
      </c>
      <c r="L750" s="705">
        <v>10505</v>
      </c>
      <c r="M750" s="705">
        <v>9550</v>
      </c>
      <c r="N750" s="705">
        <v>4090</v>
      </c>
      <c r="O750" s="705">
        <v>1515</v>
      </c>
      <c r="P750" s="705">
        <v>824</v>
      </c>
      <c r="Q750">
        <v>305</v>
      </c>
      <c r="R750" s="705">
        <v>14400</v>
      </c>
      <c r="S750" s="705">
        <v>13091</v>
      </c>
      <c r="T750" s="705">
        <v>2696</v>
      </c>
      <c r="U750" s="705">
        <v>999</v>
      </c>
      <c r="V750" s="705">
        <v>79403</v>
      </c>
      <c r="W750" s="705">
        <f t="shared" si="42"/>
        <v>79403</v>
      </c>
      <c r="X750" s="705">
        <f t="shared" si="43"/>
        <v>91853</v>
      </c>
      <c r="Y750" s="705"/>
      <c r="AI750" s="429"/>
    </row>
    <row r="751" spans="2:35">
      <c r="B751" t="s">
        <v>539</v>
      </c>
      <c r="C751" t="s">
        <v>124</v>
      </c>
      <c r="D751" t="s">
        <v>582</v>
      </c>
      <c r="E751" t="s">
        <v>228</v>
      </c>
      <c r="F751">
        <v>1</v>
      </c>
      <c r="G751">
        <v>290</v>
      </c>
      <c r="H751" s="705">
        <v>474</v>
      </c>
      <c r="I751" s="705">
        <v>95254</v>
      </c>
      <c r="J751" s="705">
        <v>86595</v>
      </c>
      <c r="K751">
        <v>55</v>
      </c>
      <c r="L751" s="705">
        <v>18416</v>
      </c>
      <c r="M751" s="705">
        <v>16742</v>
      </c>
      <c r="N751" s="705">
        <v>6888</v>
      </c>
      <c r="O751" s="705">
        <v>2551</v>
      </c>
      <c r="P751" s="705">
        <v>473</v>
      </c>
      <c r="Q751">
        <v>175</v>
      </c>
      <c r="R751" s="705">
        <v>16253</v>
      </c>
      <c r="S751" s="705">
        <v>6020</v>
      </c>
      <c r="T751" s="705">
        <v>0</v>
      </c>
      <c r="U751" s="705">
        <v>0</v>
      </c>
      <c r="V751" s="705">
        <v>112082</v>
      </c>
      <c r="W751" s="705">
        <f t="shared" si="42"/>
        <v>112083</v>
      </c>
      <c r="X751" s="705">
        <f t="shared" si="43"/>
        <v>137284</v>
      </c>
      <c r="Y751" s="705"/>
      <c r="AI751" s="429"/>
    </row>
    <row r="752" spans="2:35">
      <c r="B752" t="s">
        <v>539</v>
      </c>
      <c r="C752" t="s">
        <v>124</v>
      </c>
      <c r="D752" t="s">
        <v>582</v>
      </c>
      <c r="E752" t="s">
        <v>584</v>
      </c>
      <c r="F752">
        <v>1</v>
      </c>
      <c r="G752">
        <v>36</v>
      </c>
      <c r="H752">
        <v>555</v>
      </c>
      <c r="I752" s="705">
        <v>15122</v>
      </c>
      <c r="J752" s="705">
        <v>13748</v>
      </c>
      <c r="K752">
        <v>79</v>
      </c>
      <c r="L752" s="705">
        <v>0</v>
      </c>
      <c r="M752" s="705">
        <v>0</v>
      </c>
      <c r="N752" s="705">
        <v>836</v>
      </c>
      <c r="O752" s="705">
        <v>310</v>
      </c>
      <c r="P752">
        <v>473</v>
      </c>
      <c r="Q752">
        <v>175</v>
      </c>
      <c r="R752" s="705">
        <v>2400</v>
      </c>
      <c r="S752" s="705">
        <v>2182</v>
      </c>
      <c r="T752" s="705">
        <v>1093</v>
      </c>
      <c r="U752">
        <v>405</v>
      </c>
      <c r="V752" s="705">
        <v>16819</v>
      </c>
      <c r="W752" s="705">
        <f t="shared" si="42"/>
        <v>16820</v>
      </c>
      <c r="X752" s="705">
        <f t="shared" si="43"/>
        <v>19924</v>
      </c>
      <c r="Y752" s="705"/>
      <c r="AI752" s="429"/>
    </row>
    <row r="753" spans="2:35">
      <c r="B753" t="s">
        <v>539</v>
      </c>
      <c r="C753" t="s">
        <v>124</v>
      </c>
      <c r="D753" t="s">
        <v>228</v>
      </c>
      <c r="E753" t="s">
        <v>664</v>
      </c>
      <c r="F753">
        <v>1</v>
      </c>
      <c r="G753" s="705">
        <v>133</v>
      </c>
      <c r="H753" s="705">
        <v>730</v>
      </c>
      <c r="I753" s="705">
        <v>71304</v>
      </c>
      <c r="J753" s="705">
        <v>26409</v>
      </c>
      <c r="K753">
        <v>100</v>
      </c>
      <c r="L753" s="705">
        <v>17088</v>
      </c>
      <c r="M753" s="705">
        <v>15535</v>
      </c>
      <c r="N753" s="705">
        <v>3229</v>
      </c>
      <c r="O753" s="705">
        <v>1196</v>
      </c>
      <c r="P753" s="705">
        <v>122</v>
      </c>
      <c r="Q753" s="705">
        <v>45</v>
      </c>
      <c r="R753" s="705">
        <v>4991</v>
      </c>
      <c r="S753" s="705">
        <v>4537</v>
      </c>
      <c r="T753" s="705">
        <v>0</v>
      </c>
      <c r="U753">
        <v>0</v>
      </c>
      <c r="V753" s="705">
        <v>47721</v>
      </c>
      <c r="W753" s="705">
        <f t="shared" si="42"/>
        <v>47722</v>
      </c>
      <c r="X753" s="705">
        <f t="shared" si="43"/>
        <v>96734</v>
      </c>
      <c r="Y753" s="705"/>
      <c r="AI753" s="429"/>
    </row>
    <row r="754" spans="2:35">
      <c r="B754" t="s">
        <v>539</v>
      </c>
      <c r="C754" t="s">
        <v>124</v>
      </c>
      <c r="D754" t="s">
        <v>228</v>
      </c>
      <c r="E754" t="s">
        <v>228</v>
      </c>
      <c r="F754" s="705">
        <v>1459</v>
      </c>
      <c r="G754" s="705">
        <v>125135</v>
      </c>
      <c r="H754" s="705">
        <v>930575</v>
      </c>
      <c r="I754" s="705">
        <v>55623638</v>
      </c>
      <c r="J754" s="705">
        <v>20601347</v>
      </c>
      <c r="K754">
        <v>100</v>
      </c>
      <c r="L754" s="705">
        <v>9476471</v>
      </c>
      <c r="M754" s="705">
        <v>7204329</v>
      </c>
      <c r="N754" s="705">
        <v>2710301</v>
      </c>
      <c r="O754" s="705">
        <v>1003815</v>
      </c>
      <c r="P754" s="705">
        <v>12529</v>
      </c>
      <c r="Q754" s="705">
        <v>4641</v>
      </c>
      <c r="R754" s="705">
        <v>10839039</v>
      </c>
      <c r="S754" s="705">
        <v>4014459</v>
      </c>
      <c r="T754" s="705">
        <v>45933</v>
      </c>
      <c r="U754" s="705">
        <v>17012</v>
      </c>
      <c r="V754" s="705">
        <v>32845603</v>
      </c>
      <c r="W754" s="705">
        <f t="shared" si="42"/>
        <v>32845603</v>
      </c>
      <c r="X754" s="705">
        <f t="shared" si="43"/>
        <v>78707911</v>
      </c>
      <c r="Y754" s="705"/>
      <c r="AI754" s="429"/>
    </row>
    <row r="755" spans="2:35">
      <c r="B755" t="s">
        <v>539</v>
      </c>
      <c r="C755" t="s">
        <v>124</v>
      </c>
      <c r="D755" t="s">
        <v>228</v>
      </c>
      <c r="E755" t="s">
        <v>666</v>
      </c>
      <c r="F755" s="705">
        <v>4</v>
      </c>
      <c r="G755" s="705">
        <v>321</v>
      </c>
      <c r="H755" s="705">
        <v>2411</v>
      </c>
      <c r="I755" s="705">
        <v>124804</v>
      </c>
      <c r="J755" s="705">
        <v>46224</v>
      </c>
      <c r="K755">
        <v>100</v>
      </c>
      <c r="L755" s="705">
        <v>18546</v>
      </c>
      <c r="M755" s="705">
        <v>12144</v>
      </c>
      <c r="N755" s="705">
        <v>7412</v>
      </c>
      <c r="O755" s="705">
        <v>2745</v>
      </c>
      <c r="P755" s="705">
        <v>351</v>
      </c>
      <c r="Q755" s="705">
        <v>130</v>
      </c>
      <c r="R755" s="705">
        <v>32662</v>
      </c>
      <c r="S755" s="705">
        <v>29693</v>
      </c>
      <c r="T755" s="705">
        <v>8457</v>
      </c>
      <c r="U755" s="705">
        <v>3132</v>
      </c>
      <c r="V755" s="705">
        <v>94068</v>
      </c>
      <c r="W755" s="705">
        <f t="shared" si="42"/>
        <v>94068</v>
      </c>
      <c r="X755" s="705">
        <f t="shared" si="43"/>
        <v>192232</v>
      </c>
      <c r="Y755" s="705"/>
      <c r="AI755" s="429"/>
    </row>
    <row r="756" spans="2:35">
      <c r="B756" t="s">
        <v>539</v>
      </c>
      <c r="C756" t="s">
        <v>124</v>
      </c>
      <c r="D756" t="s">
        <v>228</v>
      </c>
      <c r="E756" t="s">
        <v>584</v>
      </c>
      <c r="F756">
        <v>17</v>
      </c>
      <c r="G756" s="705">
        <v>1353</v>
      </c>
      <c r="H756" s="705">
        <v>10102</v>
      </c>
      <c r="I756" s="705">
        <v>545916</v>
      </c>
      <c r="J756" s="705">
        <v>202191</v>
      </c>
      <c r="K756">
        <v>100</v>
      </c>
      <c r="L756" s="705">
        <v>124589</v>
      </c>
      <c r="M756" s="705">
        <v>108463</v>
      </c>
      <c r="N756" s="705">
        <v>28877</v>
      </c>
      <c r="O756" s="705">
        <v>10695</v>
      </c>
      <c r="P756" s="705">
        <v>1661</v>
      </c>
      <c r="Q756">
        <v>615</v>
      </c>
      <c r="R756" s="705">
        <v>72051</v>
      </c>
      <c r="S756" s="705">
        <v>65501</v>
      </c>
      <c r="T756" s="705">
        <v>8265</v>
      </c>
      <c r="U756" s="705">
        <v>3061</v>
      </c>
      <c r="V756" s="705">
        <v>390527</v>
      </c>
      <c r="W756" s="705">
        <f t="shared" si="42"/>
        <v>390526</v>
      </c>
      <c r="X756" s="705">
        <f t="shared" si="43"/>
        <v>781359</v>
      </c>
      <c r="Y756" s="705"/>
      <c r="AI756" s="429"/>
    </row>
    <row r="757" spans="2:35">
      <c r="B757" t="s">
        <v>539</v>
      </c>
      <c r="C757" t="s">
        <v>124</v>
      </c>
      <c r="D757" t="s">
        <v>228</v>
      </c>
      <c r="E757" t="s">
        <v>669</v>
      </c>
      <c r="F757">
        <v>31</v>
      </c>
      <c r="G757" s="705">
        <v>2741</v>
      </c>
      <c r="H757" s="705">
        <v>18637</v>
      </c>
      <c r="I757" s="705">
        <v>1115478</v>
      </c>
      <c r="J757" s="705">
        <v>413140</v>
      </c>
      <c r="K757">
        <v>100</v>
      </c>
      <c r="L757" s="705">
        <v>195179</v>
      </c>
      <c r="M757" s="705">
        <v>150930</v>
      </c>
      <c r="N757" s="705">
        <v>57774</v>
      </c>
      <c r="O757" s="705">
        <v>21398</v>
      </c>
      <c r="P757" s="705">
        <v>1404</v>
      </c>
      <c r="Q757" s="705">
        <v>520</v>
      </c>
      <c r="R757" s="705">
        <v>204797</v>
      </c>
      <c r="S757" s="705">
        <v>170664</v>
      </c>
      <c r="T757" s="705">
        <v>62572</v>
      </c>
      <c r="U757" s="705">
        <v>23175</v>
      </c>
      <c r="V757" s="705">
        <v>779826</v>
      </c>
      <c r="W757" s="705">
        <f t="shared" si="42"/>
        <v>779827</v>
      </c>
      <c r="X757" s="705">
        <f t="shared" si="43"/>
        <v>1637204</v>
      </c>
      <c r="Y757" s="705"/>
      <c r="AI757" s="429"/>
    </row>
    <row r="758" spans="2:35">
      <c r="B758" t="s">
        <v>539</v>
      </c>
      <c r="C758" t="s">
        <v>124</v>
      </c>
      <c r="D758" t="s">
        <v>228</v>
      </c>
      <c r="E758" t="s">
        <v>665</v>
      </c>
      <c r="F758">
        <v>6</v>
      </c>
      <c r="G758">
        <v>442</v>
      </c>
      <c r="H758" s="705">
        <v>3850</v>
      </c>
      <c r="I758" s="705">
        <v>199579</v>
      </c>
      <c r="J758" s="705">
        <v>73918</v>
      </c>
      <c r="K758">
        <v>100</v>
      </c>
      <c r="L758" s="705">
        <v>31282</v>
      </c>
      <c r="M758" s="705">
        <v>28354</v>
      </c>
      <c r="N758" s="705">
        <v>9601</v>
      </c>
      <c r="O758" s="705">
        <v>3556</v>
      </c>
      <c r="P758" s="705">
        <v>0</v>
      </c>
      <c r="Q758">
        <v>0</v>
      </c>
      <c r="R758" s="705">
        <v>39470</v>
      </c>
      <c r="S758" s="705">
        <v>35882</v>
      </c>
      <c r="T758" s="705">
        <v>8785</v>
      </c>
      <c r="U758" s="705">
        <v>3254</v>
      </c>
      <c r="V758" s="705">
        <v>144964</v>
      </c>
      <c r="W758" s="705">
        <f t="shared" si="42"/>
        <v>144964</v>
      </c>
      <c r="X758" s="705">
        <f t="shared" si="43"/>
        <v>288717</v>
      </c>
      <c r="Y758" s="705"/>
      <c r="AI758" s="429"/>
    </row>
    <row r="759" spans="2:35">
      <c r="B759" t="s">
        <v>539</v>
      </c>
      <c r="C759" t="s">
        <v>124</v>
      </c>
      <c r="D759" t="s">
        <v>583</v>
      </c>
      <c r="E759" t="s">
        <v>228</v>
      </c>
      <c r="F759">
        <v>15</v>
      </c>
      <c r="G759" s="705">
        <v>1718</v>
      </c>
      <c r="H759" s="705">
        <v>8004</v>
      </c>
      <c r="I759" s="705">
        <v>589102</v>
      </c>
      <c r="J759" s="705">
        <v>535547</v>
      </c>
      <c r="K759">
        <v>74</v>
      </c>
      <c r="L759" s="705">
        <v>130373</v>
      </c>
      <c r="M759" s="705">
        <v>111460</v>
      </c>
      <c r="N759" s="705">
        <v>36646</v>
      </c>
      <c r="O759" s="705">
        <v>13572</v>
      </c>
      <c r="P759" s="705">
        <v>8343</v>
      </c>
      <c r="Q759" s="705">
        <v>3090</v>
      </c>
      <c r="R759" s="705">
        <v>133534</v>
      </c>
      <c r="S759" s="705">
        <v>49457</v>
      </c>
      <c r="T759">
        <v>0</v>
      </c>
      <c r="U759">
        <v>0</v>
      </c>
      <c r="V759" s="705">
        <v>713127</v>
      </c>
      <c r="W759" s="705">
        <f t="shared" si="42"/>
        <v>713126</v>
      </c>
      <c r="X759" s="705">
        <f t="shared" si="43"/>
        <v>897998</v>
      </c>
      <c r="Y759" s="705"/>
      <c r="AI759" s="429"/>
    </row>
    <row r="760" spans="2:35">
      <c r="B760" t="s">
        <v>539</v>
      </c>
      <c r="C760" t="s">
        <v>124</v>
      </c>
      <c r="D760" t="s">
        <v>583</v>
      </c>
      <c r="E760" t="s">
        <v>583</v>
      </c>
      <c r="F760">
        <v>793</v>
      </c>
      <c r="G760" s="705">
        <v>82984</v>
      </c>
      <c r="H760" s="705">
        <v>408486</v>
      </c>
      <c r="I760" s="705">
        <v>27433598</v>
      </c>
      <c r="J760" s="705">
        <v>24939635</v>
      </c>
      <c r="K760">
        <v>68</v>
      </c>
      <c r="L760" s="705">
        <v>6538382</v>
      </c>
      <c r="M760" s="705">
        <v>5472415</v>
      </c>
      <c r="N760" s="705">
        <v>1802864</v>
      </c>
      <c r="O760" s="705">
        <v>667727</v>
      </c>
      <c r="P760" s="705">
        <v>496388</v>
      </c>
      <c r="Q760" s="705">
        <v>183847</v>
      </c>
      <c r="R760" s="705">
        <v>5091213</v>
      </c>
      <c r="S760" s="705">
        <v>4628376</v>
      </c>
      <c r="T760" s="705">
        <v>1642690</v>
      </c>
      <c r="U760" s="705">
        <v>608404</v>
      </c>
      <c r="V760" s="705">
        <v>36500403</v>
      </c>
      <c r="W760" s="705">
        <f t="shared" si="42"/>
        <v>36500404</v>
      </c>
      <c r="X760" s="705">
        <f t="shared" si="43"/>
        <v>43005135</v>
      </c>
      <c r="Y760" s="705"/>
      <c r="AI760" s="429"/>
    </row>
    <row r="761" spans="2:35">
      <c r="B761" t="s">
        <v>539</v>
      </c>
      <c r="C761" t="s">
        <v>124</v>
      </c>
      <c r="D761" t="s">
        <v>583</v>
      </c>
      <c r="E761" t="s">
        <v>584</v>
      </c>
      <c r="F761">
        <v>6</v>
      </c>
      <c r="G761" s="705">
        <v>677</v>
      </c>
      <c r="H761" s="705">
        <v>2970</v>
      </c>
      <c r="I761" s="705">
        <v>216864</v>
      </c>
      <c r="J761" s="705">
        <v>197149</v>
      </c>
      <c r="K761">
        <v>66</v>
      </c>
      <c r="L761" s="705">
        <v>48218</v>
      </c>
      <c r="M761" s="705">
        <v>42001</v>
      </c>
      <c r="N761" s="705">
        <v>15597</v>
      </c>
      <c r="O761" s="705">
        <v>5777</v>
      </c>
      <c r="P761" s="705">
        <v>3726</v>
      </c>
      <c r="Q761" s="705">
        <v>1380</v>
      </c>
      <c r="R761" s="705">
        <v>32246</v>
      </c>
      <c r="S761" s="705">
        <v>29315</v>
      </c>
      <c r="T761" s="705">
        <v>17875</v>
      </c>
      <c r="U761" s="705">
        <v>6620</v>
      </c>
      <c r="V761" s="705">
        <v>282242</v>
      </c>
      <c r="W761" s="705">
        <f t="shared" si="42"/>
        <v>282242</v>
      </c>
      <c r="X761" s="705">
        <f t="shared" si="43"/>
        <v>334526</v>
      </c>
      <c r="Y761" s="705"/>
      <c r="AI761" s="429"/>
    </row>
    <row r="762" spans="2:35">
      <c r="B762" t="s">
        <v>539</v>
      </c>
      <c r="C762" t="s">
        <v>124</v>
      </c>
      <c r="D762" t="s">
        <v>583</v>
      </c>
      <c r="E762" t="s">
        <v>665</v>
      </c>
      <c r="F762">
        <v>1</v>
      </c>
      <c r="G762">
        <v>86</v>
      </c>
      <c r="H762">
        <v>580</v>
      </c>
      <c r="I762" s="705">
        <v>32744</v>
      </c>
      <c r="J762" s="705">
        <v>29768</v>
      </c>
      <c r="K762">
        <v>70</v>
      </c>
      <c r="L762" s="705">
        <v>8065</v>
      </c>
      <c r="M762" s="705">
        <v>7332</v>
      </c>
      <c r="N762" s="705">
        <v>1923</v>
      </c>
      <c r="O762">
        <v>712</v>
      </c>
      <c r="P762">
        <v>621</v>
      </c>
      <c r="Q762">
        <v>230</v>
      </c>
      <c r="R762" s="705">
        <v>6689</v>
      </c>
      <c r="S762" s="705">
        <v>6081</v>
      </c>
      <c r="T762" s="705">
        <v>0</v>
      </c>
      <c r="U762">
        <v>0</v>
      </c>
      <c r="V762" s="705">
        <v>44123</v>
      </c>
      <c r="W762" s="705">
        <f t="shared" si="42"/>
        <v>44123</v>
      </c>
      <c r="X762" s="705">
        <f t="shared" si="43"/>
        <v>50042</v>
      </c>
      <c r="Y762" s="705"/>
      <c r="AI762" s="429"/>
    </row>
    <row r="763" spans="2:35">
      <c r="B763" t="s">
        <v>539</v>
      </c>
      <c r="C763" t="s">
        <v>124</v>
      </c>
      <c r="D763" t="s">
        <v>666</v>
      </c>
      <c r="E763" t="s">
        <v>228</v>
      </c>
      <c r="F763">
        <v>66</v>
      </c>
      <c r="G763" s="705">
        <v>5832</v>
      </c>
      <c r="H763" s="705">
        <v>68605</v>
      </c>
      <c r="I763" s="705">
        <v>4560453</v>
      </c>
      <c r="J763" s="705">
        <v>4145866</v>
      </c>
      <c r="K763">
        <v>32</v>
      </c>
      <c r="L763" s="705">
        <v>375680</v>
      </c>
      <c r="M763" s="705">
        <v>205252</v>
      </c>
      <c r="N763" s="705">
        <v>134260</v>
      </c>
      <c r="O763" s="705">
        <v>49726</v>
      </c>
      <c r="P763" s="705">
        <v>2808</v>
      </c>
      <c r="Q763" s="705">
        <v>1040</v>
      </c>
      <c r="R763" s="705">
        <v>629180</v>
      </c>
      <c r="S763" s="705">
        <v>233030</v>
      </c>
      <c r="T763" s="705">
        <v>5484</v>
      </c>
      <c r="U763" s="705">
        <v>2031</v>
      </c>
      <c r="V763" s="705">
        <v>4636945</v>
      </c>
      <c r="W763" s="705">
        <f t="shared" si="42"/>
        <v>4636945</v>
      </c>
      <c r="X763" s="705">
        <f t="shared" si="43"/>
        <v>5707865</v>
      </c>
      <c r="Y763" s="705"/>
      <c r="AI763" s="429"/>
    </row>
    <row r="764" spans="2:35">
      <c r="B764" t="s">
        <v>539</v>
      </c>
      <c r="C764" t="s">
        <v>124</v>
      </c>
      <c r="D764" t="s">
        <v>666</v>
      </c>
      <c r="E764" t="s">
        <v>583</v>
      </c>
      <c r="F764">
        <v>1</v>
      </c>
      <c r="G764" s="705">
        <v>98</v>
      </c>
      <c r="H764" s="705">
        <v>527</v>
      </c>
      <c r="I764" s="705">
        <v>32560</v>
      </c>
      <c r="J764" s="705">
        <v>29600</v>
      </c>
      <c r="K764">
        <v>65</v>
      </c>
      <c r="L764" s="705">
        <v>8130</v>
      </c>
      <c r="M764" s="705">
        <v>6775</v>
      </c>
      <c r="N764" s="705">
        <v>2233</v>
      </c>
      <c r="O764" s="705">
        <v>827</v>
      </c>
      <c r="P764" s="705">
        <v>621</v>
      </c>
      <c r="Q764" s="705">
        <v>230</v>
      </c>
      <c r="R764" s="705">
        <v>5270</v>
      </c>
      <c r="S764" s="705">
        <v>4791</v>
      </c>
      <c r="T764" s="705">
        <v>2847</v>
      </c>
      <c r="U764" s="705">
        <v>1055</v>
      </c>
      <c r="V764" s="705">
        <v>43278</v>
      </c>
      <c r="W764" s="705">
        <f t="shared" si="42"/>
        <v>43278</v>
      </c>
      <c r="X764" s="705">
        <f t="shared" si="43"/>
        <v>51661</v>
      </c>
      <c r="Y764" s="705"/>
      <c r="AI764" s="429"/>
    </row>
    <row r="765" spans="2:35">
      <c r="B765" t="s">
        <v>539</v>
      </c>
      <c r="C765" t="s">
        <v>124</v>
      </c>
      <c r="D765" t="s">
        <v>666</v>
      </c>
      <c r="E765" t="s">
        <v>666</v>
      </c>
      <c r="F765">
        <v>36</v>
      </c>
      <c r="G765" s="705">
        <v>2884</v>
      </c>
      <c r="H765" s="705">
        <v>23959</v>
      </c>
      <c r="I765" s="705">
        <v>1341584</v>
      </c>
      <c r="J765" s="705">
        <v>1219622</v>
      </c>
      <c r="K765">
        <v>51</v>
      </c>
      <c r="L765" s="705">
        <v>182987</v>
      </c>
      <c r="M765" s="705">
        <v>313102</v>
      </c>
      <c r="N765" s="705">
        <v>64143</v>
      </c>
      <c r="O765" s="705">
        <v>23757</v>
      </c>
      <c r="P765" s="705">
        <v>7722</v>
      </c>
      <c r="Q765" s="705">
        <v>2860</v>
      </c>
      <c r="R765" s="705">
        <v>257965</v>
      </c>
      <c r="S765" s="705">
        <v>234513</v>
      </c>
      <c r="T765" s="705">
        <v>60123</v>
      </c>
      <c r="U765" s="705">
        <v>22268</v>
      </c>
      <c r="V765" s="705">
        <v>1816122</v>
      </c>
      <c r="W765" s="705">
        <f t="shared" si="42"/>
        <v>1816122</v>
      </c>
      <c r="X765" s="705">
        <f t="shared" si="43"/>
        <v>1914524</v>
      </c>
      <c r="Y765" s="705"/>
      <c r="AI765" s="429"/>
    </row>
    <row r="766" spans="2:35">
      <c r="B766" t="s">
        <v>539</v>
      </c>
      <c r="C766" t="s">
        <v>124</v>
      </c>
      <c r="D766" t="s">
        <v>666</v>
      </c>
      <c r="E766" t="s">
        <v>584</v>
      </c>
      <c r="F766">
        <v>3</v>
      </c>
      <c r="G766" s="705">
        <v>499</v>
      </c>
      <c r="H766" s="705">
        <v>2364</v>
      </c>
      <c r="I766" s="705">
        <v>350937</v>
      </c>
      <c r="J766" s="705">
        <v>319033</v>
      </c>
      <c r="K766">
        <v>30</v>
      </c>
      <c r="L766" s="705">
        <v>17591</v>
      </c>
      <c r="M766" s="705">
        <v>15783</v>
      </c>
      <c r="N766" s="705">
        <v>11732</v>
      </c>
      <c r="O766" s="705">
        <v>4345</v>
      </c>
      <c r="P766" s="705">
        <v>0</v>
      </c>
      <c r="Q766" s="705">
        <v>0</v>
      </c>
      <c r="R766" s="705">
        <v>18121</v>
      </c>
      <c r="S766" s="705">
        <v>16474</v>
      </c>
      <c r="T766" s="705">
        <v>0</v>
      </c>
      <c r="U766" s="705">
        <v>0</v>
      </c>
      <c r="V766" s="705">
        <v>355636</v>
      </c>
      <c r="W766" s="705">
        <f t="shared" si="42"/>
        <v>355635</v>
      </c>
      <c r="X766" s="705">
        <f t="shared" si="43"/>
        <v>398381</v>
      </c>
      <c r="Y766" s="705"/>
      <c r="AI766" s="429"/>
    </row>
    <row r="767" spans="2:35">
      <c r="B767" t="s">
        <v>539</v>
      </c>
      <c r="C767" t="s">
        <v>124</v>
      </c>
      <c r="D767" t="s">
        <v>584</v>
      </c>
      <c r="E767" t="s">
        <v>582</v>
      </c>
      <c r="F767">
        <v>2</v>
      </c>
      <c r="G767" s="705">
        <v>153</v>
      </c>
      <c r="H767" s="705">
        <v>1075</v>
      </c>
      <c r="I767" s="705">
        <v>60525</v>
      </c>
      <c r="J767" s="705">
        <v>55022</v>
      </c>
      <c r="K767">
        <v>74</v>
      </c>
      <c r="L767" s="705">
        <v>4786</v>
      </c>
      <c r="M767" s="705">
        <v>4351</v>
      </c>
      <c r="N767" s="705">
        <v>2420</v>
      </c>
      <c r="O767" s="705">
        <v>896</v>
      </c>
      <c r="P767" s="705">
        <v>945</v>
      </c>
      <c r="Q767" s="705">
        <v>350</v>
      </c>
      <c r="R767" s="705">
        <v>13599</v>
      </c>
      <c r="S767" s="705">
        <v>12363</v>
      </c>
      <c r="T767" s="705">
        <v>0</v>
      </c>
      <c r="U767" s="705">
        <v>0</v>
      </c>
      <c r="V767" s="705">
        <v>72983</v>
      </c>
      <c r="W767" s="705">
        <f t="shared" si="42"/>
        <v>72982</v>
      </c>
      <c r="X767" s="705">
        <f t="shared" si="43"/>
        <v>82275</v>
      </c>
      <c r="Y767" s="705"/>
      <c r="AI767" s="429"/>
    </row>
    <row r="768" spans="2:35">
      <c r="B768" t="s">
        <v>539</v>
      </c>
      <c r="C768" t="s">
        <v>124</v>
      </c>
      <c r="D768" t="s">
        <v>584</v>
      </c>
      <c r="E768" t="s">
        <v>228</v>
      </c>
      <c r="F768">
        <v>154</v>
      </c>
      <c r="G768" s="705">
        <v>11758</v>
      </c>
      <c r="H768" s="705">
        <v>89445</v>
      </c>
      <c r="I768" s="705">
        <v>4388119</v>
      </c>
      <c r="J768" s="705">
        <v>3989199</v>
      </c>
      <c r="K768">
        <v>64</v>
      </c>
      <c r="L768" s="705">
        <v>847162</v>
      </c>
      <c r="M768" s="705">
        <v>663182</v>
      </c>
      <c r="N768" s="705">
        <v>260742</v>
      </c>
      <c r="O768" s="705">
        <v>96571</v>
      </c>
      <c r="P768" s="705">
        <v>40480</v>
      </c>
      <c r="Q768" s="705">
        <v>14993</v>
      </c>
      <c r="R768" s="705">
        <v>1095332</v>
      </c>
      <c r="S768" s="705">
        <v>405678</v>
      </c>
      <c r="T768" s="705">
        <v>8396</v>
      </c>
      <c r="U768" s="705">
        <v>3110</v>
      </c>
      <c r="V768" s="705">
        <v>5172732</v>
      </c>
      <c r="W768" s="705">
        <f t="shared" si="42"/>
        <v>5172733</v>
      </c>
      <c r="X768" s="705">
        <f t="shared" si="43"/>
        <v>6640231</v>
      </c>
      <c r="Y768" s="705"/>
      <c r="AI768" s="429"/>
    </row>
    <row r="769" spans="2:35">
      <c r="B769" t="s">
        <v>539</v>
      </c>
      <c r="C769" t="s">
        <v>124</v>
      </c>
      <c r="D769" t="s">
        <v>584</v>
      </c>
      <c r="E769" t="s">
        <v>584</v>
      </c>
      <c r="F769" s="705">
        <v>3660</v>
      </c>
      <c r="G769" s="705">
        <v>301275</v>
      </c>
      <c r="H769" s="705">
        <v>1913709</v>
      </c>
      <c r="I769" s="705">
        <v>98969735</v>
      </c>
      <c r="J769" s="705">
        <v>89972486</v>
      </c>
      <c r="K769">
        <v>71</v>
      </c>
      <c r="L769" s="705">
        <v>25449902</v>
      </c>
      <c r="M769" s="705">
        <v>21613610</v>
      </c>
      <c r="N769" s="705">
        <v>6578445</v>
      </c>
      <c r="O769" s="705">
        <v>2436461</v>
      </c>
      <c r="P769" s="705">
        <v>1674699</v>
      </c>
      <c r="Q769" s="705">
        <v>620259</v>
      </c>
      <c r="R769" s="705">
        <v>18413797</v>
      </c>
      <c r="S769" s="705">
        <v>16739815</v>
      </c>
      <c r="T769" s="705">
        <v>6374152</v>
      </c>
      <c r="U769" s="705">
        <v>2360797</v>
      </c>
      <c r="V769" s="705">
        <v>133743429</v>
      </c>
      <c r="W769" s="705">
        <f t="shared" si="42"/>
        <v>133743428</v>
      </c>
      <c r="X769" s="705">
        <f t="shared" si="43"/>
        <v>157460730</v>
      </c>
      <c r="Y769" s="705"/>
      <c r="AI769" s="429"/>
    </row>
    <row r="770" spans="2:35">
      <c r="B770" t="s">
        <v>539</v>
      </c>
      <c r="C770" t="s">
        <v>124</v>
      </c>
      <c r="D770" t="s">
        <v>584</v>
      </c>
      <c r="E770" t="s">
        <v>669</v>
      </c>
      <c r="F770">
        <v>2</v>
      </c>
      <c r="G770" s="705">
        <v>154</v>
      </c>
      <c r="H770" s="705">
        <v>1193</v>
      </c>
      <c r="I770" s="705">
        <v>46562</v>
      </c>
      <c r="J770" s="705">
        <v>42329</v>
      </c>
      <c r="K770">
        <v>85</v>
      </c>
      <c r="L770" s="705">
        <v>21505</v>
      </c>
      <c r="M770" s="705">
        <v>12949</v>
      </c>
      <c r="N770" s="705">
        <v>3266</v>
      </c>
      <c r="O770" s="705">
        <v>1210</v>
      </c>
      <c r="P770" s="705">
        <v>945</v>
      </c>
      <c r="Q770">
        <v>350</v>
      </c>
      <c r="R770" s="705">
        <v>9142</v>
      </c>
      <c r="S770" s="705">
        <v>7618</v>
      </c>
      <c r="T770" s="705">
        <v>2421</v>
      </c>
      <c r="U770" s="705">
        <v>897</v>
      </c>
      <c r="V770" s="705">
        <v>65353</v>
      </c>
      <c r="W770" s="705">
        <f t="shared" si="42"/>
        <v>65353</v>
      </c>
      <c r="X770" s="705">
        <f t="shared" si="43"/>
        <v>83841</v>
      </c>
      <c r="Y770" s="705"/>
      <c r="AI770" s="429"/>
    </row>
    <row r="771" spans="2:35">
      <c r="B771" t="s">
        <v>539</v>
      </c>
      <c r="C771" t="s">
        <v>124</v>
      </c>
      <c r="D771" t="s">
        <v>584</v>
      </c>
      <c r="E771" t="s">
        <v>665</v>
      </c>
      <c r="F771">
        <v>2</v>
      </c>
      <c r="G771" s="705">
        <v>131</v>
      </c>
      <c r="H771" s="705">
        <v>1095</v>
      </c>
      <c r="I771" s="705">
        <v>46370</v>
      </c>
      <c r="J771" s="705">
        <v>42154</v>
      </c>
      <c r="K771">
        <v>71</v>
      </c>
      <c r="L771" s="705">
        <v>8478</v>
      </c>
      <c r="M771" s="705">
        <v>7707</v>
      </c>
      <c r="N771" s="705">
        <v>2908</v>
      </c>
      <c r="O771" s="705">
        <v>1077</v>
      </c>
      <c r="P771" s="705">
        <v>473</v>
      </c>
      <c r="Q771" s="705">
        <v>175</v>
      </c>
      <c r="R771" s="705">
        <v>12798</v>
      </c>
      <c r="S771" s="705">
        <v>11634</v>
      </c>
      <c r="T771" s="705">
        <v>1882</v>
      </c>
      <c r="U771" s="705">
        <v>697</v>
      </c>
      <c r="V771" s="705">
        <v>63445</v>
      </c>
      <c r="W771" s="705">
        <f t="shared" si="42"/>
        <v>63444</v>
      </c>
      <c r="X771" s="705">
        <f t="shared" si="43"/>
        <v>72909</v>
      </c>
      <c r="Y771" s="705"/>
      <c r="AI771" s="429"/>
    </row>
    <row r="772" spans="2:35">
      <c r="B772" t="s">
        <v>539</v>
      </c>
      <c r="C772" t="s">
        <v>124</v>
      </c>
      <c r="D772" t="s">
        <v>584</v>
      </c>
      <c r="E772" t="s">
        <v>673</v>
      </c>
      <c r="F772">
        <v>1</v>
      </c>
      <c r="G772">
        <v>107</v>
      </c>
      <c r="H772">
        <v>473</v>
      </c>
      <c r="I772" s="705">
        <v>32648</v>
      </c>
      <c r="J772" s="705">
        <v>29680</v>
      </c>
      <c r="K772">
        <v>68</v>
      </c>
      <c r="L772" s="705">
        <v>7811</v>
      </c>
      <c r="M772" s="705">
        <v>7101</v>
      </c>
      <c r="N772" s="705">
        <v>2617</v>
      </c>
      <c r="O772">
        <v>969</v>
      </c>
      <c r="P772">
        <v>473</v>
      </c>
      <c r="Q772">
        <v>175</v>
      </c>
      <c r="R772" s="705">
        <v>7218</v>
      </c>
      <c r="S772" s="705">
        <v>6561</v>
      </c>
      <c r="T772" s="705">
        <v>0</v>
      </c>
      <c r="U772">
        <v>0</v>
      </c>
      <c r="V772" s="705">
        <v>44486</v>
      </c>
      <c r="W772" s="705">
        <f t="shared" si="42"/>
        <v>44486</v>
      </c>
      <c r="X772" s="705">
        <f t="shared" si="43"/>
        <v>50767</v>
      </c>
      <c r="Y772" s="705"/>
      <c r="AI772" s="429"/>
    </row>
    <row r="773" spans="2:35">
      <c r="B773" t="s">
        <v>539</v>
      </c>
      <c r="C773" t="s">
        <v>124</v>
      </c>
      <c r="D773" t="s">
        <v>669</v>
      </c>
      <c r="E773" t="s">
        <v>664</v>
      </c>
      <c r="F773">
        <v>1</v>
      </c>
      <c r="G773" s="705">
        <v>76</v>
      </c>
      <c r="H773" s="705">
        <v>1056</v>
      </c>
      <c r="I773" s="705">
        <v>67004</v>
      </c>
      <c r="J773" s="705">
        <v>55837</v>
      </c>
      <c r="K773">
        <v>30</v>
      </c>
      <c r="L773" s="705">
        <v>6398</v>
      </c>
      <c r="M773" s="705">
        <v>5816</v>
      </c>
      <c r="N773" s="705">
        <v>1509</v>
      </c>
      <c r="O773" s="705">
        <v>559</v>
      </c>
      <c r="P773" s="705">
        <v>0</v>
      </c>
      <c r="Q773" s="705">
        <v>0</v>
      </c>
      <c r="R773" s="705">
        <v>3682</v>
      </c>
      <c r="S773" s="705">
        <v>3347</v>
      </c>
      <c r="T773" s="705">
        <v>2118</v>
      </c>
      <c r="U773">
        <v>784</v>
      </c>
      <c r="V773" s="705">
        <v>66344</v>
      </c>
      <c r="W773" s="705">
        <f t="shared" si="42"/>
        <v>66343</v>
      </c>
      <c r="X773" s="705">
        <f t="shared" si="43"/>
        <v>80711</v>
      </c>
      <c r="Y773" s="705"/>
      <c r="AI773" s="429"/>
    </row>
    <row r="774" spans="2:35">
      <c r="B774" t="s">
        <v>539</v>
      </c>
      <c r="C774" t="s">
        <v>124</v>
      </c>
      <c r="D774" t="s">
        <v>669</v>
      </c>
      <c r="E774" t="s">
        <v>228</v>
      </c>
      <c r="F774">
        <v>307</v>
      </c>
      <c r="G774" s="705">
        <v>30277</v>
      </c>
      <c r="H774" s="705">
        <v>301672</v>
      </c>
      <c r="I774" s="705">
        <v>24374769</v>
      </c>
      <c r="J774" s="705">
        <v>20312307</v>
      </c>
      <c r="K774">
        <v>32</v>
      </c>
      <c r="L774" s="705">
        <v>1524622</v>
      </c>
      <c r="M774" s="705">
        <v>786975</v>
      </c>
      <c r="N774" s="705">
        <v>670314</v>
      </c>
      <c r="O774" s="705">
        <v>248265</v>
      </c>
      <c r="P774" s="705">
        <v>3713</v>
      </c>
      <c r="Q774" s="705">
        <v>1375</v>
      </c>
      <c r="R774" s="705">
        <v>2488990</v>
      </c>
      <c r="S774" s="705">
        <v>921848</v>
      </c>
      <c r="T774" s="705">
        <v>12683</v>
      </c>
      <c r="U774" s="705">
        <v>4697</v>
      </c>
      <c r="V774" s="705">
        <v>22275468</v>
      </c>
      <c r="W774" s="705">
        <f t="shared" si="42"/>
        <v>22275467</v>
      </c>
      <c r="X774" s="705">
        <f t="shared" si="43"/>
        <v>29075091</v>
      </c>
      <c r="Y774" s="705"/>
      <c r="AI774" s="429"/>
    </row>
    <row r="775" spans="2:35">
      <c r="B775" t="s">
        <v>539</v>
      </c>
      <c r="C775" t="s">
        <v>124</v>
      </c>
      <c r="D775" t="s">
        <v>669</v>
      </c>
      <c r="E775" t="s">
        <v>583</v>
      </c>
      <c r="F775">
        <v>1</v>
      </c>
      <c r="G775" s="705">
        <v>151</v>
      </c>
      <c r="H775" s="705">
        <v>824</v>
      </c>
      <c r="I775" s="705">
        <v>104618</v>
      </c>
      <c r="J775" s="705">
        <v>87182</v>
      </c>
      <c r="K775">
        <v>30</v>
      </c>
      <c r="L775" s="705">
        <v>7846</v>
      </c>
      <c r="M775" s="705">
        <v>2906</v>
      </c>
      <c r="N775" s="705">
        <v>3225</v>
      </c>
      <c r="O775" s="705">
        <v>1195</v>
      </c>
      <c r="P775" s="705">
        <v>270</v>
      </c>
      <c r="Q775" s="705">
        <v>100</v>
      </c>
      <c r="R775" s="705">
        <v>5681</v>
      </c>
      <c r="S775" s="705">
        <v>5164</v>
      </c>
      <c r="T775" s="705">
        <v>3034</v>
      </c>
      <c r="U775" s="705">
        <v>1124</v>
      </c>
      <c r="V775" s="705">
        <v>97670</v>
      </c>
      <c r="W775" s="705">
        <f t="shared" ref="W775:W838" si="44">SUM(ABS(J775),ABS(M775),ABS(O775),ABS(Q775),ABS(S775),ABS(U775))</f>
        <v>97671</v>
      </c>
      <c r="X775" s="705">
        <f t="shared" ref="X775:X838" si="45">SUM(ABS(I775),ABS(N775),ABS(P775),ABS(R775),ABS(T775),ABS(L775))</f>
        <v>124674</v>
      </c>
      <c r="Y775" s="705"/>
      <c r="AI775" s="429"/>
    </row>
    <row r="776" spans="2:35">
      <c r="B776" t="s">
        <v>539</v>
      </c>
      <c r="C776" t="s">
        <v>124</v>
      </c>
      <c r="D776" t="s">
        <v>669</v>
      </c>
      <c r="E776" t="s">
        <v>584</v>
      </c>
      <c r="F776">
        <v>10</v>
      </c>
      <c r="G776" s="705">
        <v>1048</v>
      </c>
      <c r="H776" s="705">
        <v>9311</v>
      </c>
      <c r="I776" s="705">
        <v>850461</v>
      </c>
      <c r="J776" s="705">
        <v>708717</v>
      </c>
      <c r="K776">
        <v>32</v>
      </c>
      <c r="L776" s="705">
        <v>44059</v>
      </c>
      <c r="M776" s="705">
        <v>35343</v>
      </c>
      <c r="N776" s="705">
        <v>23887</v>
      </c>
      <c r="O776" s="705">
        <v>8847</v>
      </c>
      <c r="P776" s="705">
        <v>1539</v>
      </c>
      <c r="Q776" s="705">
        <v>570</v>
      </c>
      <c r="R776" s="705">
        <v>42726</v>
      </c>
      <c r="S776" s="705">
        <v>38842</v>
      </c>
      <c r="T776" s="705">
        <v>6857</v>
      </c>
      <c r="U776" s="705">
        <v>2539</v>
      </c>
      <c r="V776" s="705">
        <v>794859</v>
      </c>
      <c r="W776" s="705">
        <f t="shared" si="44"/>
        <v>794858</v>
      </c>
      <c r="X776" s="705">
        <f t="shared" si="45"/>
        <v>969529</v>
      </c>
      <c r="Y776" s="705"/>
      <c r="AI776" s="429"/>
    </row>
    <row r="777" spans="2:35">
      <c r="B777" t="s">
        <v>539</v>
      </c>
      <c r="C777" t="s">
        <v>124</v>
      </c>
      <c r="D777" t="s">
        <v>669</v>
      </c>
      <c r="E777" t="s">
        <v>669</v>
      </c>
      <c r="F777">
        <v>233</v>
      </c>
      <c r="G777" s="705">
        <v>19516</v>
      </c>
      <c r="H777" s="705">
        <v>159304</v>
      </c>
      <c r="I777" s="705">
        <v>9878608</v>
      </c>
      <c r="J777" s="705">
        <v>8232173</v>
      </c>
      <c r="K777">
        <v>52</v>
      </c>
      <c r="L777" s="705">
        <v>1089543</v>
      </c>
      <c r="M777" s="705">
        <v>810041</v>
      </c>
      <c r="N777" s="705">
        <v>426917</v>
      </c>
      <c r="O777" s="705">
        <v>158117</v>
      </c>
      <c r="P777" s="705">
        <v>58224</v>
      </c>
      <c r="Q777" s="705">
        <v>21564</v>
      </c>
      <c r="R777" s="705">
        <v>1447000</v>
      </c>
      <c r="S777" s="705">
        <v>1205833</v>
      </c>
      <c r="T777" s="705">
        <v>499732</v>
      </c>
      <c r="U777" s="705">
        <v>185086</v>
      </c>
      <c r="V777" s="705">
        <v>10612815</v>
      </c>
      <c r="W777" s="705">
        <f t="shared" si="44"/>
        <v>10612814</v>
      </c>
      <c r="X777" s="705">
        <f t="shared" si="45"/>
        <v>13400024</v>
      </c>
      <c r="Y777" s="705"/>
      <c r="AI777" s="429"/>
    </row>
    <row r="778" spans="2:35">
      <c r="B778" t="s">
        <v>539</v>
      </c>
      <c r="C778" t="s">
        <v>124</v>
      </c>
      <c r="D778" t="s">
        <v>667</v>
      </c>
      <c r="E778" t="s">
        <v>228</v>
      </c>
      <c r="F778">
        <v>1</v>
      </c>
      <c r="G778" s="705">
        <v>142</v>
      </c>
      <c r="H778" s="705">
        <v>900</v>
      </c>
      <c r="I778" s="705">
        <v>104701</v>
      </c>
      <c r="J778" s="705">
        <v>95182</v>
      </c>
      <c r="K778">
        <v>30</v>
      </c>
      <c r="L778" s="705">
        <v>8566</v>
      </c>
      <c r="M778" s="705">
        <v>3173</v>
      </c>
      <c r="N778" s="705">
        <v>3460</v>
      </c>
      <c r="O778" s="705">
        <v>1282</v>
      </c>
      <c r="P778" s="705">
        <v>0</v>
      </c>
      <c r="Q778" s="705">
        <v>0</v>
      </c>
      <c r="R778" s="705">
        <v>11042</v>
      </c>
      <c r="S778" s="705">
        <v>4089</v>
      </c>
      <c r="T778">
        <v>0</v>
      </c>
      <c r="U778">
        <v>0</v>
      </c>
      <c r="V778" s="705">
        <v>103726</v>
      </c>
      <c r="W778" s="705">
        <f t="shared" si="44"/>
        <v>103726</v>
      </c>
      <c r="X778" s="705">
        <f t="shared" si="45"/>
        <v>127769</v>
      </c>
      <c r="Y778" s="705"/>
      <c r="AI778" s="429"/>
    </row>
    <row r="779" spans="2:35">
      <c r="B779" t="s">
        <v>539</v>
      </c>
      <c r="C779" t="s">
        <v>124</v>
      </c>
      <c r="D779" t="s">
        <v>667</v>
      </c>
      <c r="E779" t="s">
        <v>584</v>
      </c>
      <c r="F779">
        <v>1</v>
      </c>
      <c r="G779" s="705">
        <v>52</v>
      </c>
      <c r="H779" s="705">
        <v>1057</v>
      </c>
      <c r="I779" s="705">
        <v>48862</v>
      </c>
      <c r="J779" s="705">
        <v>44420</v>
      </c>
      <c r="K779">
        <v>30</v>
      </c>
      <c r="L779" s="705">
        <v>0</v>
      </c>
      <c r="M779" s="705">
        <v>0</v>
      </c>
      <c r="N779" s="705">
        <v>1257</v>
      </c>
      <c r="O779" s="705">
        <v>466</v>
      </c>
      <c r="P779" s="705">
        <v>0</v>
      </c>
      <c r="Q779" s="705">
        <v>0</v>
      </c>
      <c r="R779" s="705">
        <v>4424</v>
      </c>
      <c r="S779" s="705">
        <v>4022</v>
      </c>
      <c r="T779" s="705">
        <v>0</v>
      </c>
      <c r="U779" s="705">
        <v>0</v>
      </c>
      <c r="V779" s="705">
        <v>48907</v>
      </c>
      <c r="W779" s="705">
        <f t="shared" si="44"/>
        <v>48908</v>
      </c>
      <c r="X779" s="705">
        <f t="shared" si="45"/>
        <v>54543</v>
      </c>
      <c r="Y779" s="705"/>
      <c r="AI779" s="429"/>
    </row>
    <row r="780" spans="2:35">
      <c r="B780" t="s">
        <v>539</v>
      </c>
      <c r="C780" t="s">
        <v>124</v>
      </c>
      <c r="D780" t="s">
        <v>667</v>
      </c>
      <c r="E780" t="s">
        <v>667</v>
      </c>
      <c r="F780">
        <v>5</v>
      </c>
      <c r="G780">
        <v>343</v>
      </c>
      <c r="H780" s="705">
        <v>3326</v>
      </c>
      <c r="I780" s="705">
        <v>153290</v>
      </c>
      <c r="J780" s="705">
        <v>139355</v>
      </c>
      <c r="K780">
        <v>49</v>
      </c>
      <c r="L780" s="705">
        <v>14775</v>
      </c>
      <c r="M780" s="705">
        <v>14829</v>
      </c>
      <c r="N780" s="705">
        <v>7602</v>
      </c>
      <c r="O780" s="705">
        <v>2815</v>
      </c>
      <c r="P780" s="705">
        <v>702</v>
      </c>
      <c r="Q780" s="705">
        <v>260</v>
      </c>
      <c r="R780" s="705">
        <v>43116</v>
      </c>
      <c r="S780" s="705">
        <v>39197</v>
      </c>
      <c r="T780" s="705">
        <v>7636</v>
      </c>
      <c r="U780" s="705">
        <v>2828</v>
      </c>
      <c r="V780" s="705">
        <v>199284</v>
      </c>
      <c r="W780" s="705">
        <f t="shared" si="44"/>
        <v>199284</v>
      </c>
      <c r="X780" s="705">
        <f t="shared" si="45"/>
        <v>227121</v>
      </c>
      <c r="Y780" s="705"/>
      <c r="AI780" s="429"/>
    </row>
    <row r="781" spans="2:35">
      <c r="B781" t="s">
        <v>539</v>
      </c>
      <c r="C781" t="s">
        <v>124</v>
      </c>
      <c r="D781" t="s">
        <v>665</v>
      </c>
      <c r="E781" t="s">
        <v>674</v>
      </c>
      <c r="F781">
        <v>1</v>
      </c>
      <c r="G781" s="705">
        <v>120</v>
      </c>
      <c r="H781" s="705">
        <v>1508</v>
      </c>
      <c r="I781" s="705">
        <v>145906</v>
      </c>
      <c r="J781" s="705">
        <v>132642</v>
      </c>
      <c r="K781">
        <v>30</v>
      </c>
      <c r="L781" s="705">
        <v>16212</v>
      </c>
      <c r="M781" s="705">
        <v>14738</v>
      </c>
      <c r="N781" s="705">
        <v>2634</v>
      </c>
      <c r="O781" s="705">
        <v>976</v>
      </c>
      <c r="P781" s="705">
        <v>0</v>
      </c>
      <c r="Q781" s="705">
        <v>0</v>
      </c>
      <c r="R781" s="705">
        <v>12833</v>
      </c>
      <c r="S781" s="705">
        <v>11666</v>
      </c>
      <c r="T781" s="705">
        <v>3567</v>
      </c>
      <c r="U781" s="705">
        <v>1321</v>
      </c>
      <c r="V781" s="705">
        <v>161343</v>
      </c>
      <c r="W781" s="705">
        <f t="shared" si="44"/>
        <v>161343</v>
      </c>
      <c r="X781" s="705">
        <f t="shared" si="45"/>
        <v>181152</v>
      </c>
      <c r="Y781" s="705"/>
      <c r="AI781" s="429"/>
    </row>
    <row r="782" spans="2:35">
      <c r="B782" t="s">
        <v>539</v>
      </c>
      <c r="C782" t="s">
        <v>124</v>
      </c>
      <c r="D782" t="s">
        <v>665</v>
      </c>
      <c r="E782" t="s">
        <v>664</v>
      </c>
      <c r="F782">
        <v>1</v>
      </c>
      <c r="G782" s="705">
        <v>45</v>
      </c>
      <c r="H782">
        <v>781</v>
      </c>
      <c r="I782" s="705">
        <v>26315</v>
      </c>
      <c r="J782" s="705">
        <v>23923</v>
      </c>
      <c r="K782">
        <v>60</v>
      </c>
      <c r="L782" s="705">
        <v>5848</v>
      </c>
      <c r="M782" s="705">
        <v>5316</v>
      </c>
      <c r="N782" s="705">
        <v>1097</v>
      </c>
      <c r="O782" s="705">
        <v>406</v>
      </c>
      <c r="P782" s="705">
        <v>0</v>
      </c>
      <c r="Q782" s="705">
        <v>0</v>
      </c>
      <c r="R782" s="705">
        <v>1870</v>
      </c>
      <c r="S782" s="705">
        <v>1700</v>
      </c>
      <c r="T782">
        <v>0</v>
      </c>
      <c r="U782">
        <v>0</v>
      </c>
      <c r="V782" s="705">
        <v>31345</v>
      </c>
      <c r="W782" s="705">
        <f t="shared" si="44"/>
        <v>31345</v>
      </c>
      <c r="X782" s="705">
        <f t="shared" si="45"/>
        <v>35130</v>
      </c>
      <c r="Y782" s="705"/>
      <c r="AI782" s="429"/>
    </row>
    <row r="783" spans="2:35">
      <c r="B783" t="s">
        <v>539</v>
      </c>
      <c r="C783" t="s">
        <v>124</v>
      </c>
      <c r="D783" t="s">
        <v>665</v>
      </c>
      <c r="E783" t="s">
        <v>228</v>
      </c>
      <c r="F783">
        <v>87</v>
      </c>
      <c r="G783" s="705">
        <v>8455</v>
      </c>
      <c r="H783" s="705">
        <v>84205</v>
      </c>
      <c r="I783" s="705">
        <v>6447373</v>
      </c>
      <c r="J783" s="705">
        <v>5861248</v>
      </c>
      <c r="K783">
        <v>35</v>
      </c>
      <c r="L783" s="705">
        <v>483326</v>
      </c>
      <c r="M783" s="705">
        <v>401157</v>
      </c>
      <c r="N783" s="705">
        <v>194583</v>
      </c>
      <c r="O783" s="705">
        <v>72068</v>
      </c>
      <c r="P783" s="705">
        <v>3159</v>
      </c>
      <c r="Q783" s="705">
        <v>1170</v>
      </c>
      <c r="R783" s="705">
        <v>897195</v>
      </c>
      <c r="S783" s="705">
        <v>332295</v>
      </c>
      <c r="T783" s="705">
        <v>8780</v>
      </c>
      <c r="U783" s="705">
        <v>3252</v>
      </c>
      <c r="V783" s="705">
        <v>6671189</v>
      </c>
      <c r="W783" s="705">
        <f t="shared" si="44"/>
        <v>6671190</v>
      </c>
      <c r="X783" s="705">
        <f t="shared" si="45"/>
        <v>8034416</v>
      </c>
      <c r="Y783" s="705"/>
      <c r="AI783" s="429"/>
    </row>
    <row r="784" spans="2:35">
      <c r="B784" t="s">
        <v>539</v>
      </c>
      <c r="C784" t="s">
        <v>124</v>
      </c>
      <c r="D784" t="s">
        <v>665</v>
      </c>
      <c r="E784" t="s">
        <v>584</v>
      </c>
      <c r="F784">
        <v>8</v>
      </c>
      <c r="G784" s="705">
        <v>789</v>
      </c>
      <c r="H784" s="705">
        <v>7375</v>
      </c>
      <c r="I784" s="705">
        <v>636767</v>
      </c>
      <c r="J784" s="705">
        <v>578879</v>
      </c>
      <c r="K784">
        <v>30</v>
      </c>
      <c r="L784" s="705">
        <v>33751</v>
      </c>
      <c r="M784" s="705">
        <v>23304</v>
      </c>
      <c r="N784" s="705">
        <v>18040</v>
      </c>
      <c r="O784" s="705">
        <v>6681</v>
      </c>
      <c r="P784" s="705">
        <v>1418</v>
      </c>
      <c r="Q784" s="705">
        <v>525</v>
      </c>
      <c r="R784" s="705">
        <v>31449</v>
      </c>
      <c r="S784" s="705">
        <v>28590</v>
      </c>
      <c r="T784" s="705">
        <v>7750</v>
      </c>
      <c r="U784" s="705">
        <v>2870</v>
      </c>
      <c r="V784" s="705">
        <v>640849</v>
      </c>
      <c r="W784" s="705">
        <f t="shared" si="44"/>
        <v>640849</v>
      </c>
      <c r="X784" s="705">
        <f t="shared" si="45"/>
        <v>729175</v>
      </c>
      <c r="Y784" s="705"/>
      <c r="AI784" s="429"/>
    </row>
    <row r="785" spans="2:35">
      <c r="B785" t="s">
        <v>539</v>
      </c>
      <c r="C785" t="s">
        <v>124</v>
      </c>
      <c r="D785" t="s">
        <v>665</v>
      </c>
      <c r="E785" t="s">
        <v>665</v>
      </c>
      <c r="F785">
        <v>94</v>
      </c>
      <c r="G785" s="705">
        <v>8110</v>
      </c>
      <c r="H785" s="705">
        <v>64585</v>
      </c>
      <c r="I785" s="705">
        <v>3974091</v>
      </c>
      <c r="J785" s="705">
        <v>3612810</v>
      </c>
      <c r="K785">
        <v>50</v>
      </c>
      <c r="L785" s="705">
        <v>513957</v>
      </c>
      <c r="M785" s="705">
        <v>397767</v>
      </c>
      <c r="N785" s="705">
        <v>179721</v>
      </c>
      <c r="O785" s="705">
        <v>66563</v>
      </c>
      <c r="P785" s="705">
        <v>23517</v>
      </c>
      <c r="Q785" s="705">
        <v>8710</v>
      </c>
      <c r="R785" s="705">
        <v>665960</v>
      </c>
      <c r="S785" s="705">
        <v>605419</v>
      </c>
      <c r="T785" s="705">
        <v>193979</v>
      </c>
      <c r="U785" s="705">
        <v>71844</v>
      </c>
      <c r="V785" s="705">
        <v>4763112</v>
      </c>
      <c r="W785" s="705">
        <f t="shared" si="44"/>
        <v>4763113</v>
      </c>
      <c r="X785" s="705">
        <f t="shared" si="45"/>
        <v>5551225</v>
      </c>
      <c r="Y785" s="705"/>
      <c r="AI785" s="429"/>
    </row>
    <row r="786" spans="2:35">
      <c r="B786" t="s">
        <v>539</v>
      </c>
      <c r="C786" t="s">
        <v>124</v>
      </c>
      <c r="D786" t="s">
        <v>673</v>
      </c>
      <c r="E786" t="s">
        <v>584</v>
      </c>
      <c r="F786">
        <v>1</v>
      </c>
      <c r="G786" s="705">
        <v>35</v>
      </c>
      <c r="H786" s="705">
        <v>1246</v>
      </c>
      <c r="I786" s="705">
        <v>37847</v>
      </c>
      <c r="J786" s="705">
        <v>34406</v>
      </c>
      <c r="K786">
        <v>30</v>
      </c>
      <c r="L786" s="705">
        <v>3097</v>
      </c>
      <c r="M786" s="705">
        <v>1147</v>
      </c>
      <c r="N786" s="705">
        <v>849</v>
      </c>
      <c r="O786" s="705">
        <v>315</v>
      </c>
      <c r="P786" s="705">
        <v>0</v>
      </c>
      <c r="Q786" s="705">
        <v>0</v>
      </c>
      <c r="R786" s="705">
        <v>1615</v>
      </c>
      <c r="S786" s="705">
        <v>1468</v>
      </c>
      <c r="T786" s="705">
        <v>0</v>
      </c>
      <c r="U786" s="705">
        <v>0</v>
      </c>
      <c r="V786" s="705">
        <v>37336</v>
      </c>
      <c r="W786" s="705">
        <f t="shared" si="44"/>
        <v>37336</v>
      </c>
      <c r="X786" s="705">
        <f t="shared" si="45"/>
        <v>43408</v>
      </c>
      <c r="Y786" s="705"/>
      <c r="AI786" s="429"/>
    </row>
    <row r="787" spans="2:35">
      <c r="B787" t="s">
        <v>539</v>
      </c>
      <c r="C787" t="s">
        <v>124</v>
      </c>
      <c r="D787" t="s">
        <v>673</v>
      </c>
      <c r="E787" t="s">
        <v>673</v>
      </c>
      <c r="F787">
        <v>4</v>
      </c>
      <c r="G787">
        <v>331</v>
      </c>
      <c r="H787" s="705">
        <v>2106</v>
      </c>
      <c r="I787" s="705">
        <v>131564</v>
      </c>
      <c r="J787" s="705">
        <v>119603</v>
      </c>
      <c r="K787">
        <v>58</v>
      </c>
      <c r="L787" s="705">
        <v>4941</v>
      </c>
      <c r="M787" s="705">
        <v>4492</v>
      </c>
      <c r="N787" s="705">
        <v>8062</v>
      </c>
      <c r="O787" s="705">
        <v>2986</v>
      </c>
      <c r="P787" s="705">
        <v>1404</v>
      </c>
      <c r="Q787" s="705">
        <v>520</v>
      </c>
      <c r="R787" s="705">
        <v>19203</v>
      </c>
      <c r="S787" s="705">
        <v>17457</v>
      </c>
      <c r="T787" s="705">
        <v>8885</v>
      </c>
      <c r="U787" s="705">
        <v>3291</v>
      </c>
      <c r="V787" s="705">
        <v>148349</v>
      </c>
      <c r="W787" s="705">
        <f t="shared" si="44"/>
        <v>148349</v>
      </c>
      <c r="X787" s="705">
        <f t="shared" si="45"/>
        <v>174059</v>
      </c>
      <c r="Y787" s="705"/>
      <c r="AI787" s="429"/>
    </row>
    <row r="788" spans="2:35">
      <c r="B788" t="s">
        <v>539</v>
      </c>
      <c r="C788" t="s">
        <v>124</v>
      </c>
      <c r="D788" t="s">
        <v>585</v>
      </c>
      <c r="E788" t="s">
        <v>228</v>
      </c>
      <c r="F788">
        <v>1</v>
      </c>
      <c r="G788" s="705">
        <v>172</v>
      </c>
      <c r="H788" s="705">
        <v>559</v>
      </c>
      <c r="I788" s="705">
        <v>66836</v>
      </c>
      <c r="J788" s="705">
        <v>60760</v>
      </c>
      <c r="K788">
        <v>65</v>
      </c>
      <c r="L788" s="705">
        <v>26659</v>
      </c>
      <c r="M788" s="705">
        <v>9874</v>
      </c>
      <c r="N788" s="705">
        <v>4365</v>
      </c>
      <c r="O788" s="705">
        <v>1617</v>
      </c>
      <c r="P788" s="705">
        <v>0</v>
      </c>
      <c r="Q788" s="705">
        <v>0</v>
      </c>
      <c r="R788" s="705">
        <v>12778</v>
      </c>
      <c r="S788" s="705">
        <v>4732</v>
      </c>
      <c r="T788">
        <v>0</v>
      </c>
      <c r="U788">
        <v>0</v>
      </c>
      <c r="V788" s="705">
        <v>76983</v>
      </c>
      <c r="W788" s="705">
        <f t="shared" si="44"/>
        <v>76983</v>
      </c>
      <c r="X788" s="705">
        <f t="shared" si="45"/>
        <v>110638</v>
      </c>
      <c r="Y788" s="705"/>
      <c r="AI788" s="429"/>
    </row>
    <row r="789" spans="2:35">
      <c r="B789" t="s">
        <v>540</v>
      </c>
      <c r="C789" t="s">
        <v>108</v>
      </c>
      <c r="D789" t="s">
        <v>582</v>
      </c>
      <c r="E789" t="s">
        <v>582</v>
      </c>
      <c r="F789">
        <v>82</v>
      </c>
      <c r="G789" s="705">
        <v>9607</v>
      </c>
      <c r="H789" s="705">
        <v>4455</v>
      </c>
      <c r="I789" s="705">
        <v>22715</v>
      </c>
      <c r="J789" s="705">
        <v>20650</v>
      </c>
      <c r="K789">
        <v>92</v>
      </c>
      <c r="L789" s="705">
        <v>5992</v>
      </c>
      <c r="M789" s="705">
        <v>2152</v>
      </c>
      <c r="N789" s="705">
        <v>171372</v>
      </c>
      <c r="O789" s="705">
        <v>63471</v>
      </c>
      <c r="P789" s="705">
        <v>126441</v>
      </c>
      <c r="Q789" s="705">
        <v>46830</v>
      </c>
      <c r="R789" s="705">
        <v>193197</v>
      </c>
      <c r="S789" s="705">
        <v>175634</v>
      </c>
      <c r="T789">
        <v>0</v>
      </c>
      <c r="U789">
        <v>0</v>
      </c>
      <c r="V789" s="705">
        <v>308737</v>
      </c>
      <c r="W789" s="705">
        <f t="shared" si="44"/>
        <v>308737</v>
      </c>
      <c r="X789" s="705">
        <f t="shared" si="45"/>
        <v>519717</v>
      </c>
      <c r="Y789" s="705"/>
      <c r="AI789" s="429"/>
    </row>
    <row r="790" spans="2:35">
      <c r="B790" t="s">
        <v>540</v>
      </c>
      <c r="C790" t="s">
        <v>108</v>
      </c>
      <c r="D790" t="s">
        <v>228</v>
      </c>
      <c r="E790" t="s">
        <v>228</v>
      </c>
      <c r="F790">
        <v>353</v>
      </c>
      <c r="G790" s="705">
        <v>44858</v>
      </c>
      <c r="H790" s="705">
        <v>18660</v>
      </c>
      <c r="I790" s="705">
        <v>-51476</v>
      </c>
      <c r="J790" s="705">
        <v>-19065</v>
      </c>
      <c r="K790">
        <v>499</v>
      </c>
      <c r="L790" s="705">
        <v>7618</v>
      </c>
      <c r="M790" s="705">
        <v>9243</v>
      </c>
      <c r="N790" s="705">
        <v>609035</v>
      </c>
      <c r="O790" s="705">
        <v>225568</v>
      </c>
      <c r="P790" s="705">
        <v>463174</v>
      </c>
      <c r="Q790" s="705">
        <v>171546</v>
      </c>
      <c r="R790" s="705">
        <v>1348635</v>
      </c>
      <c r="S790" s="705">
        <v>499494</v>
      </c>
      <c r="T790" s="705">
        <v>0</v>
      </c>
      <c r="U790" s="705">
        <v>0</v>
      </c>
      <c r="V790" s="705">
        <v>886787</v>
      </c>
      <c r="W790" s="705">
        <f t="shared" si="44"/>
        <v>924916</v>
      </c>
      <c r="X790" s="705">
        <f t="shared" si="45"/>
        <v>2479938</v>
      </c>
      <c r="Y790" s="705"/>
      <c r="AI790" s="429"/>
    </row>
    <row r="791" spans="2:35">
      <c r="B791" t="s">
        <v>540</v>
      </c>
      <c r="C791" t="s">
        <v>108</v>
      </c>
      <c r="D791" t="s">
        <v>583</v>
      </c>
      <c r="E791" t="s">
        <v>583</v>
      </c>
      <c r="F791">
        <v>49</v>
      </c>
      <c r="G791" s="705">
        <v>6475</v>
      </c>
      <c r="H791" s="705">
        <v>3109</v>
      </c>
      <c r="I791" s="705">
        <v>99357</v>
      </c>
      <c r="J791" s="705">
        <v>90324</v>
      </c>
      <c r="K791">
        <v>95</v>
      </c>
      <c r="L791" s="705">
        <v>11405</v>
      </c>
      <c r="M791" s="705">
        <v>7824</v>
      </c>
      <c r="N791" s="705">
        <v>106472</v>
      </c>
      <c r="O791" s="705">
        <v>39434</v>
      </c>
      <c r="P791" s="705">
        <v>53346</v>
      </c>
      <c r="Q791" s="705">
        <v>19758</v>
      </c>
      <c r="R791" s="705">
        <v>145610</v>
      </c>
      <c r="S791" s="705">
        <v>132372</v>
      </c>
      <c r="T791" s="705">
        <v>0</v>
      </c>
      <c r="U791" s="705">
        <v>0</v>
      </c>
      <c r="V791" s="705">
        <v>289713</v>
      </c>
      <c r="W791" s="705">
        <f t="shared" si="44"/>
        <v>289712</v>
      </c>
      <c r="X791" s="705">
        <f t="shared" si="45"/>
        <v>416190</v>
      </c>
      <c r="Y791" s="705"/>
      <c r="AI791" s="429"/>
    </row>
    <row r="792" spans="2:35">
      <c r="B792" t="s">
        <v>540</v>
      </c>
      <c r="C792" t="s">
        <v>108</v>
      </c>
      <c r="D792" t="s">
        <v>584</v>
      </c>
      <c r="E792" t="s">
        <v>584</v>
      </c>
      <c r="F792">
        <v>145</v>
      </c>
      <c r="G792" s="705">
        <v>16971</v>
      </c>
      <c r="H792" s="705">
        <v>7239</v>
      </c>
      <c r="I792" s="705">
        <v>-85634</v>
      </c>
      <c r="J792" s="705">
        <v>-77849</v>
      </c>
      <c r="K792">
        <v>91</v>
      </c>
      <c r="L792" s="705">
        <v>-5742</v>
      </c>
      <c r="M792" s="705">
        <v>-2394</v>
      </c>
      <c r="N792" s="705">
        <v>209509</v>
      </c>
      <c r="O792" s="705">
        <v>77596</v>
      </c>
      <c r="P792" s="705">
        <v>168911</v>
      </c>
      <c r="Q792" s="705">
        <v>62560</v>
      </c>
      <c r="R792" s="705">
        <v>569108</v>
      </c>
      <c r="S792" s="705">
        <v>517371</v>
      </c>
      <c r="T792" s="705">
        <v>0</v>
      </c>
      <c r="U792" s="705">
        <v>0</v>
      </c>
      <c r="V792" s="705">
        <v>577284</v>
      </c>
      <c r="W792" s="705">
        <f t="shared" si="44"/>
        <v>737770</v>
      </c>
      <c r="X792" s="705">
        <f t="shared" si="45"/>
        <v>1038904</v>
      </c>
      <c r="Y792" s="705"/>
      <c r="AI792" s="429"/>
    </row>
    <row r="793" spans="2:35">
      <c r="B793" t="s">
        <v>540</v>
      </c>
      <c r="C793" t="s">
        <v>110</v>
      </c>
      <c r="D793" t="s">
        <v>228</v>
      </c>
      <c r="E793" t="s">
        <v>228</v>
      </c>
      <c r="F793">
        <v>64</v>
      </c>
      <c r="G793" s="705">
        <v>6716</v>
      </c>
      <c r="H793" s="705">
        <v>5447</v>
      </c>
      <c r="I793" s="705">
        <v>177108</v>
      </c>
      <c r="J793" s="705">
        <v>65595</v>
      </c>
      <c r="K793">
        <v>378</v>
      </c>
      <c r="L793" s="705">
        <v>41580</v>
      </c>
      <c r="M793" s="705">
        <v>37400</v>
      </c>
      <c r="N793" s="705">
        <v>114584</v>
      </c>
      <c r="O793" s="705">
        <v>42439</v>
      </c>
      <c r="P793" s="705">
        <v>36185</v>
      </c>
      <c r="Q793" s="705">
        <v>13402</v>
      </c>
      <c r="R793" s="705">
        <v>207598</v>
      </c>
      <c r="S793" s="705">
        <v>76888</v>
      </c>
      <c r="T793" s="705">
        <v>0</v>
      </c>
      <c r="U793" s="705">
        <v>0</v>
      </c>
      <c r="V793" s="705">
        <v>235724</v>
      </c>
      <c r="W793" s="705">
        <f t="shared" si="44"/>
        <v>235724</v>
      </c>
      <c r="X793" s="705">
        <f t="shared" si="45"/>
        <v>577055</v>
      </c>
      <c r="Y793" s="705"/>
      <c r="AI793" s="429"/>
    </row>
    <row r="794" spans="2:35">
      <c r="B794" t="s">
        <v>540</v>
      </c>
      <c r="C794" t="s">
        <v>110</v>
      </c>
      <c r="D794" t="s">
        <v>583</v>
      </c>
      <c r="E794" t="s">
        <v>583</v>
      </c>
      <c r="F794">
        <v>13</v>
      </c>
      <c r="G794" s="705">
        <v>1993</v>
      </c>
      <c r="H794" s="705">
        <v>1219</v>
      </c>
      <c r="I794" s="705">
        <v>80725</v>
      </c>
      <c r="J794" s="705">
        <v>73387</v>
      </c>
      <c r="K794">
        <v>96</v>
      </c>
      <c r="L794" s="705">
        <v>13654</v>
      </c>
      <c r="M794" s="705">
        <v>11638</v>
      </c>
      <c r="N794" s="705">
        <v>31641</v>
      </c>
      <c r="O794" s="705">
        <v>11719</v>
      </c>
      <c r="P794" s="705">
        <v>15005</v>
      </c>
      <c r="Q794" s="705">
        <v>5557</v>
      </c>
      <c r="R794" s="705">
        <v>48867</v>
      </c>
      <c r="S794" s="705">
        <v>44424</v>
      </c>
      <c r="T794">
        <v>0</v>
      </c>
      <c r="U794">
        <v>0</v>
      </c>
      <c r="V794" s="705">
        <v>146725</v>
      </c>
      <c r="W794" s="705">
        <f t="shared" si="44"/>
        <v>146725</v>
      </c>
      <c r="X794" s="705">
        <f t="shared" si="45"/>
        <v>189892</v>
      </c>
      <c r="Y794" s="705"/>
      <c r="AI794" s="429"/>
    </row>
    <row r="795" spans="2:35">
      <c r="B795" t="s">
        <v>540</v>
      </c>
      <c r="C795" t="s">
        <v>110</v>
      </c>
      <c r="D795" t="s">
        <v>584</v>
      </c>
      <c r="E795" t="s">
        <v>584</v>
      </c>
      <c r="F795">
        <v>25</v>
      </c>
      <c r="G795" s="705">
        <v>3153</v>
      </c>
      <c r="H795" s="705">
        <v>2245</v>
      </c>
      <c r="I795" s="705">
        <v>113966</v>
      </c>
      <c r="J795" s="705">
        <v>103606</v>
      </c>
      <c r="K795">
        <v>91</v>
      </c>
      <c r="L795" s="705">
        <v>12140</v>
      </c>
      <c r="M795" s="705">
        <v>10475</v>
      </c>
      <c r="N795" s="705">
        <v>57671</v>
      </c>
      <c r="O795" s="705">
        <v>21359</v>
      </c>
      <c r="P795" s="705">
        <v>18290</v>
      </c>
      <c r="Q795" s="705">
        <v>6774</v>
      </c>
      <c r="R795" s="705">
        <v>81045</v>
      </c>
      <c r="S795" s="705">
        <v>73677</v>
      </c>
      <c r="T795" s="705">
        <v>0</v>
      </c>
      <c r="U795" s="705">
        <v>0</v>
      </c>
      <c r="V795" s="705">
        <v>215891</v>
      </c>
      <c r="W795" s="705">
        <f t="shared" si="44"/>
        <v>215891</v>
      </c>
      <c r="X795" s="705">
        <f t="shared" si="45"/>
        <v>283112</v>
      </c>
      <c r="Y795" s="705"/>
      <c r="AI795" s="429"/>
    </row>
    <row r="796" spans="2:35">
      <c r="B796" t="s">
        <v>540</v>
      </c>
      <c r="C796" t="s">
        <v>112</v>
      </c>
      <c r="F796">
        <v>2</v>
      </c>
      <c r="G796">
        <v>189</v>
      </c>
      <c r="H796">
        <v>220</v>
      </c>
      <c r="I796" s="705"/>
      <c r="J796" s="705">
        <v>0</v>
      </c>
      <c r="L796" s="705"/>
      <c r="M796" s="705">
        <v>0</v>
      </c>
      <c r="N796" s="705">
        <v>4603</v>
      </c>
      <c r="O796" s="705">
        <v>1705</v>
      </c>
      <c r="P796" s="705">
        <v>702</v>
      </c>
      <c r="Q796">
        <v>260</v>
      </c>
      <c r="R796" s="705"/>
      <c r="S796" s="705">
        <v>0</v>
      </c>
      <c r="T796" s="705">
        <v>0</v>
      </c>
      <c r="U796" s="705">
        <v>0</v>
      </c>
      <c r="V796" s="705">
        <v>1965</v>
      </c>
      <c r="W796" s="705">
        <f t="shared" si="44"/>
        <v>1965</v>
      </c>
      <c r="X796" s="705">
        <f t="shared" si="45"/>
        <v>5305</v>
      </c>
      <c r="Y796" s="705"/>
      <c r="AI796" s="429"/>
    </row>
    <row r="797" spans="2:35">
      <c r="B797" t="s">
        <v>540</v>
      </c>
      <c r="C797" t="s">
        <v>112</v>
      </c>
      <c r="D797" t="s">
        <v>582</v>
      </c>
      <c r="E797" t="s">
        <v>582</v>
      </c>
      <c r="F797">
        <v>28</v>
      </c>
      <c r="G797" s="705">
        <v>3731</v>
      </c>
      <c r="H797" s="705">
        <v>3190</v>
      </c>
      <c r="I797" s="705">
        <v>203973</v>
      </c>
      <c r="J797" s="705">
        <v>185430</v>
      </c>
      <c r="K797">
        <v>90</v>
      </c>
      <c r="L797" s="705">
        <v>17913</v>
      </c>
      <c r="M797" s="705">
        <v>18710</v>
      </c>
      <c r="N797" s="705">
        <v>63941</v>
      </c>
      <c r="O797" s="705">
        <v>23682</v>
      </c>
      <c r="P797" s="705">
        <v>15869</v>
      </c>
      <c r="Q797" s="705">
        <v>5877</v>
      </c>
      <c r="R797" s="705">
        <v>118113</v>
      </c>
      <c r="S797" s="705">
        <v>107376</v>
      </c>
      <c r="T797" s="705">
        <v>3217</v>
      </c>
      <c r="U797" s="705">
        <v>1191</v>
      </c>
      <c r="V797" s="705">
        <v>342266</v>
      </c>
      <c r="W797" s="705">
        <f t="shared" si="44"/>
        <v>342266</v>
      </c>
      <c r="X797" s="705">
        <f t="shared" si="45"/>
        <v>423026</v>
      </c>
      <c r="Y797" s="705"/>
      <c r="AI797" s="429"/>
    </row>
    <row r="798" spans="2:35">
      <c r="B798" t="s">
        <v>540</v>
      </c>
      <c r="C798" t="s">
        <v>112</v>
      </c>
      <c r="D798" t="s">
        <v>228</v>
      </c>
      <c r="E798" t="s">
        <v>228</v>
      </c>
      <c r="F798" s="705">
        <v>20</v>
      </c>
      <c r="G798" s="705">
        <v>2412</v>
      </c>
      <c r="H798" s="705">
        <v>2232</v>
      </c>
      <c r="I798" s="705">
        <v>106171</v>
      </c>
      <c r="J798" s="705">
        <v>39322</v>
      </c>
      <c r="K798">
        <v>353</v>
      </c>
      <c r="L798" s="705">
        <v>18584</v>
      </c>
      <c r="M798" s="705">
        <v>14624</v>
      </c>
      <c r="N798" s="705">
        <v>45195</v>
      </c>
      <c r="O798" s="705">
        <v>16739</v>
      </c>
      <c r="P798" s="705">
        <v>10101</v>
      </c>
      <c r="Q798" s="705">
        <v>3741</v>
      </c>
      <c r="R798" s="705">
        <v>99422</v>
      </c>
      <c r="S798" s="705">
        <v>36823</v>
      </c>
      <c r="T798">
        <v>0</v>
      </c>
      <c r="U798">
        <v>0</v>
      </c>
      <c r="V798" s="705">
        <v>111250</v>
      </c>
      <c r="W798" s="705">
        <f t="shared" si="44"/>
        <v>111249</v>
      </c>
      <c r="X798" s="705">
        <f t="shared" si="45"/>
        <v>279473</v>
      </c>
      <c r="Y798" s="705"/>
      <c r="AI798" s="429"/>
    </row>
    <row r="799" spans="2:35">
      <c r="B799" t="s">
        <v>540</v>
      </c>
      <c r="C799" t="s">
        <v>112</v>
      </c>
      <c r="D799" t="s">
        <v>583</v>
      </c>
      <c r="E799" t="s">
        <v>583</v>
      </c>
      <c r="F799">
        <v>148</v>
      </c>
      <c r="G799" s="705">
        <v>19847</v>
      </c>
      <c r="H799" s="705">
        <v>17253</v>
      </c>
      <c r="I799" s="705">
        <v>1131304</v>
      </c>
      <c r="J799" s="705">
        <v>1028458</v>
      </c>
      <c r="K799">
        <v>93</v>
      </c>
      <c r="L799" s="705">
        <v>232248</v>
      </c>
      <c r="M799" s="705">
        <v>191678</v>
      </c>
      <c r="N799" s="705">
        <v>335224</v>
      </c>
      <c r="O799" s="705">
        <v>124157</v>
      </c>
      <c r="P799" s="705">
        <v>111787</v>
      </c>
      <c r="Q799" s="705">
        <v>41403</v>
      </c>
      <c r="R799" s="705">
        <v>633166</v>
      </c>
      <c r="S799" s="705">
        <v>575605</v>
      </c>
      <c r="T799" s="705">
        <v>4452</v>
      </c>
      <c r="U799" s="705">
        <v>1649</v>
      </c>
      <c r="V799" s="705">
        <v>1962950</v>
      </c>
      <c r="W799" s="705">
        <f t="shared" si="44"/>
        <v>1962950</v>
      </c>
      <c r="X799" s="705">
        <f t="shared" si="45"/>
        <v>2448181</v>
      </c>
      <c r="Y799" s="705"/>
      <c r="AI799" s="429"/>
    </row>
    <row r="800" spans="2:35">
      <c r="B800" t="s">
        <v>540</v>
      </c>
      <c r="C800" t="s">
        <v>112</v>
      </c>
      <c r="D800" t="s">
        <v>584</v>
      </c>
      <c r="E800" t="s">
        <v>584</v>
      </c>
      <c r="F800">
        <v>83</v>
      </c>
      <c r="G800" s="705">
        <v>9162</v>
      </c>
      <c r="H800" s="705">
        <v>9746</v>
      </c>
      <c r="I800" s="705">
        <v>448736</v>
      </c>
      <c r="J800" s="705">
        <v>407942</v>
      </c>
      <c r="K800">
        <v>89</v>
      </c>
      <c r="L800" s="705">
        <v>94820</v>
      </c>
      <c r="M800" s="705">
        <v>79192</v>
      </c>
      <c r="N800" s="705">
        <v>162842</v>
      </c>
      <c r="O800" s="705">
        <v>60312</v>
      </c>
      <c r="P800" s="705">
        <v>43535</v>
      </c>
      <c r="Q800" s="705">
        <v>16124</v>
      </c>
      <c r="R800" s="705">
        <v>342452</v>
      </c>
      <c r="S800" s="705">
        <v>311320</v>
      </c>
      <c r="T800" s="705">
        <v>2361</v>
      </c>
      <c r="U800" s="705">
        <v>875</v>
      </c>
      <c r="V800" s="705">
        <v>875765</v>
      </c>
      <c r="W800" s="705">
        <f t="shared" si="44"/>
        <v>875765</v>
      </c>
      <c r="X800" s="705">
        <f t="shared" si="45"/>
        <v>1094746</v>
      </c>
      <c r="Y800" s="705"/>
      <c r="AI800" s="429"/>
    </row>
    <row r="801" spans="2:35">
      <c r="B801" t="s">
        <v>540</v>
      </c>
      <c r="C801" t="s">
        <v>114</v>
      </c>
      <c r="D801" t="s">
        <v>664</v>
      </c>
      <c r="E801" t="s">
        <v>664</v>
      </c>
      <c r="F801">
        <v>2</v>
      </c>
      <c r="G801" s="705">
        <v>155</v>
      </c>
      <c r="H801" s="705">
        <v>286</v>
      </c>
      <c r="I801" s="705">
        <v>10552</v>
      </c>
      <c r="J801" s="705">
        <v>9593</v>
      </c>
      <c r="K801">
        <v>91</v>
      </c>
      <c r="L801" s="705">
        <v>1897</v>
      </c>
      <c r="M801" s="705">
        <v>1619</v>
      </c>
      <c r="N801" s="705">
        <v>1929</v>
      </c>
      <c r="O801" s="705">
        <v>714</v>
      </c>
      <c r="P801" s="705">
        <v>1296</v>
      </c>
      <c r="Q801">
        <v>480</v>
      </c>
      <c r="R801" s="705">
        <v>6805</v>
      </c>
      <c r="S801" s="705">
        <v>6186</v>
      </c>
      <c r="T801" s="705">
        <v>0</v>
      </c>
      <c r="U801">
        <v>0</v>
      </c>
      <c r="V801" s="705">
        <v>18593</v>
      </c>
      <c r="W801" s="705">
        <f t="shared" si="44"/>
        <v>18592</v>
      </c>
      <c r="X801" s="705">
        <f t="shared" si="45"/>
        <v>22479</v>
      </c>
      <c r="Y801" s="705"/>
      <c r="AI801" s="429"/>
    </row>
    <row r="802" spans="2:35">
      <c r="B802" t="s">
        <v>540</v>
      </c>
      <c r="C802" t="s">
        <v>114</v>
      </c>
      <c r="D802" t="s">
        <v>582</v>
      </c>
      <c r="E802" t="s">
        <v>582</v>
      </c>
      <c r="F802">
        <v>42</v>
      </c>
      <c r="G802" s="705">
        <v>5042</v>
      </c>
      <c r="H802" s="705">
        <v>5863</v>
      </c>
      <c r="I802" s="705">
        <v>366036</v>
      </c>
      <c r="J802" s="705">
        <v>332760</v>
      </c>
      <c r="K802">
        <v>88</v>
      </c>
      <c r="L802" s="705">
        <v>68912</v>
      </c>
      <c r="M802" s="705">
        <v>61035</v>
      </c>
      <c r="N802" s="705">
        <v>91110</v>
      </c>
      <c r="O802" s="705">
        <v>33744</v>
      </c>
      <c r="P802" s="705">
        <v>22535</v>
      </c>
      <c r="Q802" s="705">
        <v>8346</v>
      </c>
      <c r="R802" s="705">
        <v>189365</v>
      </c>
      <c r="S802" s="705">
        <v>172150</v>
      </c>
      <c r="T802" s="705">
        <v>2533</v>
      </c>
      <c r="U802">
        <v>938</v>
      </c>
      <c r="V802" s="705">
        <v>608974</v>
      </c>
      <c r="W802" s="705">
        <f t="shared" si="44"/>
        <v>608973</v>
      </c>
      <c r="X802" s="705">
        <f t="shared" si="45"/>
        <v>740491</v>
      </c>
      <c r="Y802" s="705"/>
      <c r="AI802" s="429"/>
    </row>
    <row r="803" spans="2:35">
      <c r="B803" t="s">
        <v>540</v>
      </c>
      <c r="C803" t="s">
        <v>114</v>
      </c>
      <c r="D803" t="s">
        <v>228</v>
      </c>
      <c r="E803" t="s">
        <v>228</v>
      </c>
      <c r="F803">
        <v>9</v>
      </c>
      <c r="G803">
        <v>860</v>
      </c>
      <c r="H803" s="705">
        <v>1295</v>
      </c>
      <c r="I803" s="705">
        <v>52691</v>
      </c>
      <c r="J803" s="705">
        <v>19515</v>
      </c>
      <c r="K803">
        <v>258</v>
      </c>
      <c r="L803" s="705">
        <v>5071</v>
      </c>
      <c r="M803" s="705">
        <v>2063</v>
      </c>
      <c r="N803" s="705">
        <v>21810</v>
      </c>
      <c r="O803" s="705">
        <v>8078</v>
      </c>
      <c r="P803" s="705">
        <v>10610</v>
      </c>
      <c r="Q803" s="705">
        <v>3930</v>
      </c>
      <c r="R803" s="705">
        <v>66968</v>
      </c>
      <c r="S803" s="705">
        <v>24803</v>
      </c>
      <c r="T803" s="705">
        <v>0</v>
      </c>
      <c r="U803">
        <v>0</v>
      </c>
      <c r="V803" s="705">
        <v>58388</v>
      </c>
      <c r="W803" s="705">
        <f t="shared" si="44"/>
        <v>58389</v>
      </c>
      <c r="X803" s="705">
        <f t="shared" si="45"/>
        <v>157150</v>
      </c>
      <c r="Y803" s="705"/>
      <c r="AI803" s="429"/>
    </row>
    <row r="804" spans="2:35">
      <c r="B804" t="s">
        <v>540</v>
      </c>
      <c r="C804" t="s">
        <v>114</v>
      </c>
      <c r="D804" t="s">
        <v>583</v>
      </c>
      <c r="E804" t="s">
        <v>664</v>
      </c>
      <c r="F804">
        <v>1</v>
      </c>
      <c r="G804" s="705">
        <v>118</v>
      </c>
      <c r="H804" s="705">
        <v>139</v>
      </c>
      <c r="I804" s="705">
        <v>9604</v>
      </c>
      <c r="J804" s="705">
        <v>8731</v>
      </c>
      <c r="K804">
        <v>85</v>
      </c>
      <c r="L804" s="705">
        <v>0</v>
      </c>
      <c r="M804" s="705">
        <v>1209</v>
      </c>
      <c r="N804" s="705">
        <v>1660</v>
      </c>
      <c r="O804" s="705">
        <v>615</v>
      </c>
      <c r="P804" s="705">
        <v>621</v>
      </c>
      <c r="Q804" s="705">
        <v>230</v>
      </c>
      <c r="R804" s="705">
        <v>4536</v>
      </c>
      <c r="S804" s="705">
        <v>4124</v>
      </c>
      <c r="T804" s="705">
        <v>0</v>
      </c>
      <c r="U804" s="705">
        <v>0</v>
      </c>
      <c r="V804" s="705">
        <v>14908</v>
      </c>
      <c r="W804" s="705">
        <f t="shared" si="44"/>
        <v>14909</v>
      </c>
      <c r="X804" s="705">
        <f t="shared" si="45"/>
        <v>16421</v>
      </c>
      <c r="Y804" s="705"/>
      <c r="AI804" s="429"/>
    </row>
    <row r="805" spans="2:35">
      <c r="B805" t="s">
        <v>540</v>
      </c>
      <c r="C805" t="s">
        <v>114</v>
      </c>
      <c r="D805" t="s">
        <v>583</v>
      </c>
      <c r="E805" t="s">
        <v>583</v>
      </c>
      <c r="F805">
        <v>495</v>
      </c>
      <c r="G805" s="705">
        <v>58778</v>
      </c>
      <c r="H805" s="705">
        <v>69345</v>
      </c>
      <c r="I805" s="705">
        <v>3919325</v>
      </c>
      <c r="J805" s="705">
        <v>3563023</v>
      </c>
      <c r="K805">
        <v>91</v>
      </c>
      <c r="L805" s="705">
        <v>795193</v>
      </c>
      <c r="M805" s="705">
        <v>700060</v>
      </c>
      <c r="N805" s="705">
        <v>1054970</v>
      </c>
      <c r="O805" s="705">
        <v>390730</v>
      </c>
      <c r="P805" s="705">
        <v>336766</v>
      </c>
      <c r="Q805" s="705">
        <v>124728</v>
      </c>
      <c r="R805" s="705">
        <v>2174193</v>
      </c>
      <c r="S805" s="705">
        <v>1976539</v>
      </c>
      <c r="T805" s="705">
        <v>99396</v>
      </c>
      <c r="U805" s="705">
        <v>36813</v>
      </c>
      <c r="V805" s="705">
        <v>6791892</v>
      </c>
      <c r="W805" s="705">
        <f t="shared" si="44"/>
        <v>6791893</v>
      </c>
      <c r="X805" s="705">
        <f t="shared" si="45"/>
        <v>8379843</v>
      </c>
      <c r="Y805" s="705"/>
      <c r="AI805" s="429"/>
    </row>
    <row r="806" spans="2:35">
      <c r="B806" t="s">
        <v>540</v>
      </c>
      <c r="C806" t="s">
        <v>114</v>
      </c>
      <c r="D806" t="s">
        <v>584</v>
      </c>
      <c r="E806" t="s">
        <v>228</v>
      </c>
      <c r="F806" s="705">
        <v>1</v>
      </c>
      <c r="G806" s="705">
        <v>150</v>
      </c>
      <c r="H806" s="705">
        <v>141</v>
      </c>
      <c r="I806" s="705">
        <v>10439</v>
      </c>
      <c r="J806" s="705">
        <v>9490</v>
      </c>
      <c r="K806">
        <v>91</v>
      </c>
      <c r="L806" s="705">
        <v>1923</v>
      </c>
      <c r="M806" s="705">
        <v>1603</v>
      </c>
      <c r="N806" s="705">
        <v>2695</v>
      </c>
      <c r="O806" s="705">
        <v>998</v>
      </c>
      <c r="P806" s="705">
        <v>473</v>
      </c>
      <c r="Q806" s="705">
        <v>175</v>
      </c>
      <c r="R806" s="705">
        <v>5710</v>
      </c>
      <c r="S806" s="705">
        <v>2115</v>
      </c>
      <c r="T806" s="705">
        <v>0</v>
      </c>
      <c r="U806" s="705">
        <v>0</v>
      </c>
      <c r="V806" s="705">
        <v>14381</v>
      </c>
      <c r="W806" s="705">
        <f t="shared" si="44"/>
        <v>14381</v>
      </c>
      <c r="X806" s="705">
        <f t="shared" si="45"/>
        <v>21240</v>
      </c>
      <c r="Y806" s="705"/>
      <c r="AI806" s="429"/>
    </row>
    <row r="807" spans="2:35">
      <c r="B807" t="s">
        <v>540</v>
      </c>
      <c r="C807" t="s">
        <v>114</v>
      </c>
      <c r="D807" t="s">
        <v>584</v>
      </c>
      <c r="E807" t="s">
        <v>584</v>
      </c>
      <c r="F807">
        <v>308</v>
      </c>
      <c r="G807" s="705">
        <v>34772</v>
      </c>
      <c r="H807" s="705">
        <v>43237</v>
      </c>
      <c r="I807" s="705">
        <v>2227432</v>
      </c>
      <c r="J807" s="705">
        <v>2024938</v>
      </c>
      <c r="K807">
        <v>86</v>
      </c>
      <c r="L807" s="705">
        <v>490075</v>
      </c>
      <c r="M807" s="705">
        <v>430307</v>
      </c>
      <c r="N807" s="705">
        <v>630944</v>
      </c>
      <c r="O807" s="705">
        <v>233683</v>
      </c>
      <c r="P807" s="705">
        <v>153409</v>
      </c>
      <c r="Q807" s="705">
        <v>56818</v>
      </c>
      <c r="R807" s="705">
        <v>1435068</v>
      </c>
      <c r="S807" s="705">
        <v>1304607</v>
      </c>
      <c r="T807" s="705">
        <v>28761</v>
      </c>
      <c r="U807" s="705">
        <v>10652</v>
      </c>
      <c r="V807" s="705">
        <v>4061006</v>
      </c>
      <c r="W807" s="705">
        <f t="shared" si="44"/>
        <v>4061005</v>
      </c>
      <c r="X807" s="705">
        <f t="shared" si="45"/>
        <v>4965689</v>
      </c>
      <c r="Y807" s="705"/>
      <c r="AI807" s="429"/>
    </row>
    <row r="808" spans="2:35">
      <c r="B808" t="s">
        <v>540</v>
      </c>
      <c r="C808" t="s">
        <v>114</v>
      </c>
      <c r="D808" t="s">
        <v>585</v>
      </c>
      <c r="E808" t="s">
        <v>585</v>
      </c>
      <c r="F808">
        <v>1</v>
      </c>
      <c r="G808">
        <v>93</v>
      </c>
      <c r="H808">
        <v>139</v>
      </c>
      <c r="I808" s="705">
        <v>9064</v>
      </c>
      <c r="J808" s="705">
        <v>8240</v>
      </c>
      <c r="K808">
        <v>96</v>
      </c>
      <c r="L808" s="705">
        <v>0</v>
      </c>
      <c r="M808" s="705">
        <v>0</v>
      </c>
      <c r="N808" s="705">
        <v>1665</v>
      </c>
      <c r="O808" s="705">
        <v>617</v>
      </c>
      <c r="P808" s="705">
        <v>351</v>
      </c>
      <c r="Q808">
        <v>130</v>
      </c>
      <c r="R808" s="705">
        <v>1859</v>
      </c>
      <c r="S808" s="705">
        <v>1690</v>
      </c>
      <c r="T808">
        <v>0</v>
      </c>
      <c r="U808">
        <v>0</v>
      </c>
      <c r="V808" s="705">
        <v>10677</v>
      </c>
      <c r="W808" s="705">
        <f t="shared" si="44"/>
        <v>10677</v>
      </c>
      <c r="X808" s="705">
        <f t="shared" si="45"/>
        <v>12939</v>
      </c>
      <c r="Y808" s="705"/>
      <c r="AI808" s="429"/>
    </row>
    <row r="809" spans="2:35">
      <c r="B809" t="s">
        <v>540</v>
      </c>
      <c r="C809" t="s">
        <v>116</v>
      </c>
      <c r="F809">
        <v>1</v>
      </c>
      <c r="G809" s="705">
        <v>140</v>
      </c>
      <c r="H809" s="705">
        <v>192</v>
      </c>
      <c r="I809" s="705"/>
      <c r="J809" s="705">
        <v>0</v>
      </c>
      <c r="L809" s="705"/>
      <c r="M809" s="705">
        <v>0</v>
      </c>
      <c r="N809" s="705">
        <v>3405</v>
      </c>
      <c r="O809" s="705">
        <v>1261</v>
      </c>
      <c r="P809" s="705">
        <v>0</v>
      </c>
      <c r="Q809" s="705">
        <v>0</v>
      </c>
      <c r="R809" s="705"/>
      <c r="S809" s="705">
        <v>0</v>
      </c>
      <c r="T809" s="705">
        <v>0</v>
      </c>
      <c r="U809" s="705">
        <v>0</v>
      </c>
      <c r="V809" s="705">
        <v>1261</v>
      </c>
      <c r="W809" s="705">
        <f t="shared" si="44"/>
        <v>1261</v>
      </c>
      <c r="X809" s="705">
        <f t="shared" si="45"/>
        <v>3405</v>
      </c>
      <c r="Y809" s="705"/>
      <c r="AI809" s="429"/>
    </row>
    <row r="810" spans="2:35">
      <c r="B810" t="s">
        <v>540</v>
      </c>
      <c r="C810" t="s">
        <v>116</v>
      </c>
      <c r="D810" t="s">
        <v>664</v>
      </c>
      <c r="E810" t="s">
        <v>664</v>
      </c>
      <c r="F810">
        <v>17</v>
      </c>
      <c r="G810" s="705">
        <v>1532</v>
      </c>
      <c r="H810" s="705">
        <v>3086</v>
      </c>
      <c r="I810" s="705">
        <v>133410</v>
      </c>
      <c r="J810" s="705">
        <v>121282</v>
      </c>
      <c r="K810">
        <v>85</v>
      </c>
      <c r="L810" s="705">
        <v>29991</v>
      </c>
      <c r="M810" s="705">
        <v>23786</v>
      </c>
      <c r="N810" s="705">
        <v>25110</v>
      </c>
      <c r="O810" s="705">
        <v>9300</v>
      </c>
      <c r="P810" s="705">
        <v>8613</v>
      </c>
      <c r="Q810" s="705">
        <v>3190</v>
      </c>
      <c r="R810" s="705">
        <v>68941</v>
      </c>
      <c r="S810" s="705">
        <v>62673</v>
      </c>
      <c r="T810" s="705">
        <v>9891</v>
      </c>
      <c r="U810" s="705">
        <v>3664</v>
      </c>
      <c r="V810" s="705">
        <v>223895</v>
      </c>
      <c r="W810" s="705">
        <f t="shared" si="44"/>
        <v>223895</v>
      </c>
      <c r="X810" s="705">
        <f t="shared" si="45"/>
        <v>275956</v>
      </c>
      <c r="Y810" s="705"/>
      <c r="AI810" s="429"/>
    </row>
    <row r="811" spans="2:35">
      <c r="B811" t="s">
        <v>540</v>
      </c>
      <c r="C811" t="s">
        <v>116</v>
      </c>
      <c r="D811" t="s">
        <v>664</v>
      </c>
      <c r="E811" t="s">
        <v>582</v>
      </c>
      <c r="F811">
        <v>1</v>
      </c>
      <c r="G811">
        <v>146</v>
      </c>
      <c r="H811">
        <v>153</v>
      </c>
      <c r="I811" s="705">
        <v>12549</v>
      </c>
      <c r="J811" s="705">
        <v>11408</v>
      </c>
      <c r="K811">
        <v>81</v>
      </c>
      <c r="L811" s="705">
        <v>1952</v>
      </c>
      <c r="M811" s="705">
        <v>1627</v>
      </c>
      <c r="N811" s="705">
        <v>1784</v>
      </c>
      <c r="O811" s="705">
        <v>661</v>
      </c>
      <c r="P811" s="705">
        <v>473</v>
      </c>
      <c r="Q811">
        <v>175</v>
      </c>
      <c r="R811" s="705">
        <v>5653</v>
      </c>
      <c r="S811" s="705">
        <v>5139</v>
      </c>
      <c r="T811">
        <v>0</v>
      </c>
      <c r="U811">
        <v>0</v>
      </c>
      <c r="V811" s="705">
        <v>19010</v>
      </c>
      <c r="W811" s="705">
        <f t="shared" si="44"/>
        <v>19010</v>
      </c>
      <c r="X811" s="705">
        <f t="shared" si="45"/>
        <v>22411</v>
      </c>
      <c r="Y811" s="705"/>
      <c r="AI811" s="429"/>
    </row>
    <row r="812" spans="2:35">
      <c r="B812" t="s">
        <v>540</v>
      </c>
      <c r="C812" t="s">
        <v>116</v>
      </c>
      <c r="D812" t="s">
        <v>664</v>
      </c>
      <c r="E812" t="s">
        <v>228</v>
      </c>
      <c r="F812">
        <v>1</v>
      </c>
      <c r="G812" s="705">
        <v>81</v>
      </c>
      <c r="H812" s="705">
        <v>152</v>
      </c>
      <c r="I812" s="705">
        <v>6463</v>
      </c>
      <c r="J812" s="705">
        <v>5875</v>
      </c>
      <c r="K812">
        <v>90</v>
      </c>
      <c r="L812" s="705">
        <v>1028</v>
      </c>
      <c r="M812" s="705">
        <v>935</v>
      </c>
      <c r="N812" s="705">
        <v>1466</v>
      </c>
      <c r="O812" s="705">
        <v>543</v>
      </c>
      <c r="P812" s="705">
        <v>473</v>
      </c>
      <c r="Q812" s="705">
        <v>175</v>
      </c>
      <c r="R812" s="705">
        <v>2916</v>
      </c>
      <c r="S812" s="705">
        <v>1080</v>
      </c>
      <c r="T812" s="705">
        <v>0</v>
      </c>
      <c r="U812" s="705">
        <v>0</v>
      </c>
      <c r="V812" s="705">
        <v>8608</v>
      </c>
      <c r="W812" s="705">
        <f t="shared" si="44"/>
        <v>8608</v>
      </c>
      <c r="X812" s="705">
        <f t="shared" si="45"/>
        <v>12346</v>
      </c>
      <c r="Y812" s="705"/>
      <c r="AI812" s="429"/>
    </row>
    <row r="813" spans="2:35">
      <c r="B813" t="s">
        <v>540</v>
      </c>
      <c r="C813" t="s">
        <v>116</v>
      </c>
      <c r="D813" t="s">
        <v>664</v>
      </c>
      <c r="E813" t="s">
        <v>583</v>
      </c>
      <c r="F813" s="705">
        <v>3</v>
      </c>
      <c r="G813" s="705">
        <v>351</v>
      </c>
      <c r="H813" s="705">
        <v>613</v>
      </c>
      <c r="I813" s="705">
        <v>36266</v>
      </c>
      <c r="J813" s="705">
        <v>32969</v>
      </c>
      <c r="K813">
        <v>79</v>
      </c>
      <c r="L813" s="705">
        <v>6997</v>
      </c>
      <c r="M813" s="705">
        <v>5496</v>
      </c>
      <c r="N813" s="705">
        <v>7890</v>
      </c>
      <c r="O813" s="705">
        <v>2922</v>
      </c>
      <c r="P813" s="705">
        <v>1863</v>
      </c>
      <c r="Q813" s="705">
        <v>690</v>
      </c>
      <c r="R813" s="705">
        <v>16094</v>
      </c>
      <c r="S813" s="705">
        <v>14631</v>
      </c>
      <c r="T813" s="705">
        <v>2392</v>
      </c>
      <c r="U813" s="705">
        <v>886</v>
      </c>
      <c r="V813" s="705">
        <v>57595</v>
      </c>
      <c r="W813" s="705">
        <f t="shared" si="44"/>
        <v>57594</v>
      </c>
      <c r="X813" s="705">
        <f t="shared" si="45"/>
        <v>71502</v>
      </c>
      <c r="Y813" s="705"/>
      <c r="AI813" s="429"/>
    </row>
    <row r="814" spans="2:35">
      <c r="B814" t="s">
        <v>540</v>
      </c>
      <c r="C814" t="s">
        <v>116</v>
      </c>
      <c r="D814" t="s">
        <v>582</v>
      </c>
      <c r="E814" t="s">
        <v>664</v>
      </c>
      <c r="F814">
        <v>3</v>
      </c>
      <c r="G814">
        <v>309</v>
      </c>
      <c r="H814">
        <v>521</v>
      </c>
      <c r="I814" s="705">
        <v>25280</v>
      </c>
      <c r="J814" s="705">
        <v>22982</v>
      </c>
      <c r="K814">
        <v>81</v>
      </c>
      <c r="L814" s="705">
        <v>4964</v>
      </c>
      <c r="M814" s="705">
        <v>3371</v>
      </c>
      <c r="N814" s="705">
        <v>5601</v>
      </c>
      <c r="O814" s="705">
        <v>2074</v>
      </c>
      <c r="P814" s="705">
        <v>1418</v>
      </c>
      <c r="Q814">
        <v>525</v>
      </c>
      <c r="R814" s="705">
        <v>16426</v>
      </c>
      <c r="S814" s="705">
        <v>14933</v>
      </c>
      <c r="T814" s="705">
        <v>0</v>
      </c>
      <c r="U814" s="705">
        <v>0</v>
      </c>
      <c r="V814" s="705">
        <v>43885</v>
      </c>
      <c r="W814" s="705">
        <f t="shared" si="44"/>
        <v>43885</v>
      </c>
      <c r="X814" s="705">
        <f t="shared" si="45"/>
        <v>53689</v>
      </c>
      <c r="Y814" s="705"/>
      <c r="AI814" s="429"/>
    </row>
    <row r="815" spans="2:35">
      <c r="B815" t="s">
        <v>540</v>
      </c>
      <c r="C815" t="s">
        <v>116</v>
      </c>
      <c r="D815" t="s">
        <v>582</v>
      </c>
      <c r="E815" t="s">
        <v>582</v>
      </c>
      <c r="F815">
        <v>161</v>
      </c>
      <c r="G815" s="705">
        <v>16799</v>
      </c>
      <c r="H815" s="705">
        <v>29906</v>
      </c>
      <c r="I815" s="705">
        <v>1523227</v>
      </c>
      <c r="J815" s="705">
        <v>1384752</v>
      </c>
      <c r="K815">
        <v>82</v>
      </c>
      <c r="L815" s="705">
        <v>356755</v>
      </c>
      <c r="M815" s="705">
        <v>315898</v>
      </c>
      <c r="N815" s="705">
        <v>320816</v>
      </c>
      <c r="O815" s="705">
        <v>118821</v>
      </c>
      <c r="P815" s="705">
        <v>77666</v>
      </c>
      <c r="Q815" s="705">
        <v>28765</v>
      </c>
      <c r="R815" s="705">
        <v>752491</v>
      </c>
      <c r="S815" s="705">
        <v>684083</v>
      </c>
      <c r="T815" s="705">
        <v>128588</v>
      </c>
      <c r="U815" s="705">
        <v>47625</v>
      </c>
      <c r="V815" s="705">
        <v>2579944</v>
      </c>
      <c r="W815" s="705">
        <f t="shared" si="44"/>
        <v>2579944</v>
      </c>
      <c r="X815" s="705">
        <f t="shared" si="45"/>
        <v>3159543</v>
      </c>
      <c r="Y815" s="705"/>
      <c r="AI815" s="429"/>
    </row>
    <row r="816" spans="2:35">
      <c r="B816" t="s">
        <v>540</v>
      </c>
      <c r="C816" t="s">
        <v>116</v>
      </c>
      <c r="D816" t="s">
        <v>582</v>
      </c>
      <c r="E816" t="s">
        <v>228</v>
      </c>
      <c r="F816">
        <v>1</v>
      </c>
      <c r="G816" s="705">
        <v>96</v>
      </c>
      <c r="H816" s="705">
        <v>202</v>
      </c>
      <c r="I816" s="705">
        <v>8516</v>
      </c>
      <c r="J816" s="705">
        <v>7741</v>
      </c>
      <c r="K816">
        <v>79</v>
      </c>
      <c r="L816" s="705">
        <v>1125</v>
      </c>
      <c r="M816" s="705">
        <v>1023</v>
      </c>
      <c r="N816" s="705">
        <v>2339</v>
      </c>
      <c r="O816" s="705">
        <v>866</v>
      </c>
      <c r="P816" s="705">
        <v>351</v>
      </c>
      <c r="Q816" s="705">
        <v>130</v>
      </c>
      <c r="R816" s="705">
        <v>7066</v>
      </c>
      <c r="S816" s="705">
        <v>2617</v>
      </c>
      <c r="T816" s="705">
        <v>0</v>
      </c>
      <c r="U816" s="705">
        <v>0</v>
      </c>
      <c r="V816" s="705">
        <v>12377</v>
      </c>
      <c r="W816" s="705">
        <f t="shared" si="44"/>
        <v>12377</v>
      </c>
      <c r="X816" s="705">
        <f t="shared" si="45"/>
        <v>19397</v>
      </c>
      <c r="Y816" s="705"/>
      <c r="AI816" s="429"/>
    </row>
    <row r="817" spans="2:35">
      <c r="B817" t="s">
        <v>540</v>
      </c>
      <c r="C817" t="s">
        <v>116</v>
      </c>
      <c r="D817" t="s">
        <v>582</v>
      </c>
      <c r="E817" t="s">
        <v>584</v>
      </c>
      <c r="F817">
        <v>1</v>
      </c>
      <c r="G817">
        <v>105</v>
      </c>
      <c r="H817" s="705">
        <v>177</v>
      </c>
      <c r="I817" s="705">
        <v>10882</v>
      </c>
      <c r="J817" s="705">
        <v>9893</v>
      </c>
      <c r="K817">
        <v>79</v>
      </c>
      <c r="L817" s="705">
        <v>1413</v>
      </c>
      <c r="M817" s="705">
        <v>1285</v>
      </c>
      <c r="N817" s="705">
        <v>3059</v>
      </c>
      <c r="O817" s="705">
        <v>1133</v>
      </c>
      <c r="P817">
        <v>473</v>
      </c>
      <c r="Q817">
        <v>175</v>
      </c>
      <c r="R817" s="705">
        <v>3535</v>
      </c>
      <c r="S817" s="705">
        <v>3214</v>
      </c>
      <c r="T817" s="705">
        <v>2875</v>
      </c>
      <c r="U817" s="705">
        <v>1065</v>
      </c>
      <c r="V817" s="705">
        <v>16764</v>
      </c>
      <c r="W817" s="705">
        <f t="shared" si="44"/>
        <v>16765</v>
      </c>
      <c r="X817" s="705">
        <f t="shared" si="45"/>
        <v>22237</v>
      </c>
      <c r="Y817" s="705"/>
      <c r="AI817" s="429"/>
    </row>
    <row r="818" spans="2:35">
      <c r="B818" t="s">
        <v>540</v>
      </c>
      <c r="C818" t="s">
        <v>116</v>
      </c>
      <c r="D818" t="s">
        <v>582</v>
      </c>
      <c r="E818" t="s">
        <v>665</v>
      </c>
      <c r="F818">
        <v>2</v>
      </c>
      <c r="G818" s="705">
        <v>219</v>
      </c>
      <c r="H818" s="705">
        <v>408</v>
      </c>
      <c r="I818" s="705">
        <v>22164</v>
      </c>
      <c r="J818" s="705">
        <v>20149</v>
      </c>
      <c r="K818">
        <v>76</v>
      </c>
      <c r="L818" s="705">
        <v>6175</v>
      </c>
      <c r="M818" s="705">
        <v>5614</v>
      </c>
      <c r="N818" s="705">
        <v>2796</v>
      </c>
      <c r="O818" s="705">
        <v>1036</v>
      </c>
      <c r="P818" s="705">
        <v>824</v>
      </c>
      <c r="Q818" s="705">
        <v>305</v>
      </c>
      <c r="R818" s="705">
        <v>10038</v>
      </c>
      <c r="S818" s="705">
        <v>9126</v>
      </c>
      <c r="T818" s="705">
        <v>2719</v>
      </c>
      <c r="U818" s="705">
        <v>1007</v>
      </c>
      <c r="V818" s="705">
        <v>37237</v>
      </c>
      <c r="W818" s="705">
        <f t="shared" si="44"/>
        <v>37237</v>
      </c>
      <c r="X818" s="705">
        <f t="shared" si="45"/>
        <v>44716</v>
      </c>
      <c r="Y818" s="705"/>
      <c r="AI818" s="429"/>
    </row>
    <row r="819" spans="2:35">
      <c r="B819" t="s">
        <v>540</v>
      </c>
      <c r="C819" t="s">
        <v>116</v>
      </c>
      <c r="D819" t="s">
        <v>228</v>
      </c>
      <c r="E819" t="s">
        <v>228</v>
      </c>
      <c r="F819">
        <v>181</v>
      </c>
      <c r="G819" s="705">
        <v>18625</v>
      </c>
      <c r="H819" s="705">
        <v>36710</v>
      </c>
      <c r="I819" s="705">
        <v>1847228</v>
      </c>
      <c r="J819" s="705">
        <v>684158</v>
      </c>
      <c r="K819">
        <v>105</v>
      </c>
      <c r="L819" s="705">
        <v>275049</v>
      </c>
      <c r="M819" s="705">
        <v>121857</v>
      </c>
      <c r="N819" s="705">
        <v>381408</v>
      </c>
      <c r="O819" s="705">
        <v>141262</v>
      </c>
      <c r="P819" s="705">
        <v>5722</v>
      </c>
      <c r="Q819" s="705">
        <v>2119</v>
      </c>
      <c r="R819" s="705">
        <v>1364656</v>
      </c>
      <c r="S819" s="705">
        <v>505428</v>
      </c>
      <c r="T819" s="705">
        <v>2237</v>
      </c>
      <c r="U819">
        <v>828</v>
      </c>
      <c r="V819" s="705">
        <v>1455653</v>
      </c>
      <c r="W819" s="705">
        <f t="shared" si="44"/>
        <v>1455652</v>
      </c>
      <c r="X819" s="705">
        <f t="shared" si="45"/>
        <v>3876300</v>
      </c>
      <c r="Y819" s="705"/>
      <c r="AI819" s="429"/>
    </row>
    <row r="820" spans="2:35">
      <c r="B820" t="s">
        <v>540</v>
      </c>
      <c r="C820" t="s">
        <v>116</v>
      </c>
      <c r="D820" t="s">
        <v>228</v>
      </c>
      <c r="E820" t="s">
        <v>583</v>
      </c>
      <c r="F820">
        <v>1</v>
      </c>
      <c r="G820">
        <v>90</v>
      </c>
      <c r="H820" s="705">
        <v>218</v>
      </c>
      <c r="I820" s="705">
        <v>12146</v>
      </c>
      <c r="J820" s="705">
        <v>4498</v>
      </c>
      <c r="K820">
        <v>100</v>
      </c>
      <c r="L820" s="705">
        <v>2249</v>
      </c>
      <c r="M820" s="705">
        <v>1874</v>
      </c>
      <c r="N820" s="705">
        <v>1099</v>
      </c>
      <c r="O820" s="705">
        <v>407</v>
      </c>
      <c r="P820" s="705">
        <v>0</v>
      </c>
      <c r="Q820" s="705">
        <v>0</v>
      </c>
      <c r="R820" s="705">
        <v>4179</v>
      </c>
      <c r="S820" s="705">
        <v>3799</v>
      </c>
      <c r="T820" s="705">
        <v>0</v>
      </c>
      <c r="U820" s="705">
        <v>0</v>
      </c>
      <c r="V820" s="705">
        <v>10579</v>
      </c>
      <c r="W820" s="705">
        <f t="shared" si="44"/>
        <v>10578</v>
      </c>
      <c r="X820" s="705">
        <f t="shared" si="45"/>
        <v>19673</v>
      </c>
      <c r="Y820" s="705"/>
      <c r="AI820" s="429"/>
    </row>
    <row r="821" spans="2:35">
      <c r="B821" t="s">
        <v>540</v>
      </c>
      <c r="C821" t="s">
        <v>116</v>
      </c>
      <c r="D821" t="s">
        <v>670</v>
      </c>
      <c r="E821" t="s">
        <v>228</v>
      </c>
      <c r="F821">
        <v>1</v>
      </c>
      <c r="G821">
        <v>73</v>
      </c>
      <c r="H821">
        <v>208</v>
      </c>
      <c r="I821" s="705">
        <v>8676</v>
      </c>
      <c r="J821" s="705">
        <v>3213</v>
      </c>
      <c r="K821">
        <v>100</v>
      </c>
      <c r="L821" s="705">
        <v>1531</v>
      </c>
      <c r="M821">
        <v>567</v>
      </c>
      <c r="N821" s="705">
        <v>2019</v>
      </c>
      <c r="O821" s="705">
        <v>748</v>
      </c>
      <c r="P821" s="705">
        <v>0</v>
      </c>
      <c r="Q821" s="705">
        <v>0</v>
      </c>
      <c r="R821" s="705">
        <v>6910</v>
      </c>
      <c r="S821" s="705">
        <v>2559</v>
      </c>
      <c r="T821">
        <v>0</v>
      </c>
      <c r="U821">
        <v>0</v>
      </c>
      <c r="V821" s="705">
        <v>7087</v>
      </c>
      <c r="W821" s="705">
        <f t="shared" si="44"/>
        <v>7087</v>
      </c>
      <c r="X821" s="705">
        <f t="shared" si="45"/>
        <v>19136</v>
      </c>
      <c r="Y821" s="705"/>
      <c r="AI821" s="429"/>
    </row>
    <row r="822" spans="2:35">
      <c r="B822" t="s">
        <v>540</v>
      </c>
      <c r="C822" t="s">
        <v>116</v>
      </c>
      <c r="D822" t="s">
        <v>583</v>
      </c>
      <c r="E822" t="s">
        <v>664</v>
      </c>
      <c r="F822">
        <v>2</v>
      </c>
      <c r="G822">
        <v>261</v>
      </c>
      <c r="H822" s="705">
        <v>368</v>
      </c>
      <c r="I822" s="705">
        <v>26559</v>
      </c>
      <c r="J822" s="705">
        <v>24144</v>
      </c>
      <c r="K822">
        <v>82</v>
      </c>
      <c r="L822" s="705">
        <v>3838</v>
      </c>
      <c r="M822" s="705">
        <v>3489</v>
      </c>
      <c r="N822" s="705">
        <v>4829</v>
      </c>
      <c r="O822" s="705">
        <v>1788</v>
      </c>
      <c r="P822" s="705">
        <v>1242</v>
      </c>
      <c r="Q822" s="705">
        <v>460</v>
      </c>
      <c r="R822" s="705">
        <v>11972</v>
      </c>
      <c r="S822" s="705">
        <v>10884</v>
      </c>
      <c r="T822" s="705">
        <v>0</v>
      </c>
      <c r="U822">
        <v>0</v>
      </c>
      <c r="V822" s="705">
        <v>40766</v>
      </c>
      <c r="W822" s="705">
        <f t="shared" si="44"/>
        <v>40765</v>
      </c>
      <c r="X822" s="705">
        <f t="shared" si="45"/>
        <v>48440</v>
      </c>
      <c r="Y822" s="705"/>
      <c r="AI822" s="429"/>
    </row>
    <row r="823" spans="2:35">
      <c r="B823" t="s">
        <v>540</v>
      </c>
      <c r="C823" t="s">
        <v>116</v>
      </c>
      <c r="D823" t="s">
        <v>583</v>
      </c>
      <c r="E823" t="s">
        <v>228</v>
      </c>
      <c r="F823">
        <v>13</v>
      </c>
      <c r="G823" s="705">
        <v>1384</v>
      </c>
      <c r="H823" s="705">
        <v>2663</v>
      </c>
      <c r="I823" s="705">
        <v>133204</v>
      </c>
      <c r="J823" s="705">
        <v>121095</v>
      </c>
      <c r="K823">
        <v>86</v>
      </c>
      <c r="L823" s="705">
        <v>29178</v>
      </c>
      <c r="M823" s="705">
        <v>25117</v>
      </c>
      <c r="N823" s="705">
        <v>26869</v>
      </c>
      <c r="O823" s="705">
        <v>9951</v>
      </c>
      <c r="P823" s="705">
        <v>8424</v>
      </c>
      <c r="Q823" s="705">
        <v>3120</v>
      </c>
      <c r="R823" s="705">
        <v>82822</v>
      </c>
      <c r="S823" s="705">
        <v>30675</v>
      </c>
      <c r="T823" s="705">
        <v>0</v>
      </c>
      <c r="U823">
        <v>0</v>
      </c>
      <c r="V823" s="705">
        <v>189958</v>
      </c>
      <c r="W823" s="705">
        <f t="shared" si="44"/>
        <v>189958</v>
      </c>
      <c r="X823" s="705">
        <f t="shared" si="45"/>
        <v>280497</v>
      </c>
      <c r="Y823" s="705"/>
      <c r="AI823" s="429"/>
    </row>
    <row r="824" spans="2:35">
      <c r="B824" t="s">
        <v>540</v>
      </c>
      <c r="C824" t="s">
        <v>116</v>
      </c>
      <c r="D824" t="s">
        <v>583</v>
      </c>
      <c r="E824" t="s">
        <v>583</v>
      </c>
      <c r="F824" s="705">
        <v>5269</v>
      </c>
      <c r="G824" s="705">
        <v>561352</v>
      </c>
      <c r="H824" s="705">
        <v>1027912</v>
      </c>
      <c r="I824" s="705">
        <v>52973312</v>
      </c>
      <c r="J824" s="705">
        <v>48157557</v>
      </c>
      <c r="K824">
        <v>85</v>
      </c>
      <c r="L824" s="705">
        <v>12834280</v>
      </c>
      <c r="M824" s="705">
        <v>11210633</v>
      </c>
      <c r="N824" s="705">
        <v>10778391</v>
      </c>
      <c r="O824" s="705">
        <v>3991997</v>
      </c>
      <c r="P824" s="705">
        <v>3415337</v>
      </c>
      <c r="Q824" s="705">
        <v>1264940</v>
      </c>
      <c r="R824" s="705">
        <v>24202367</v>
      </c>
      <c r="S824" s="705">
        <v>22002152</v>
      </c>
      <c r="T824" s="705">
        <v>6014050</v>
      </c>
      <c r="U824" s="705">
        <v>2227426</v>
      </c>
      <c r="V824" s="705">
        <v>88854703</v>
      </c>
      <c r="W824" s="705">
        <f t="shared" si="44"/>
        <v>88854705</v>
      </c>
      <c r="X824" s="705">
        <f t="shared" si="45"/>
        <v>110217737</v>
      </c>
      <c r="Y824" s="705"/>
      <c r="AI824" s="429"/>
    </row>
    <row r="825" spans="2:35">
      <c r="B825" t="s">
        <v>540</v>
      </c>
      <c r="C825" t="s">
        <v>116</v>
      </c>
      <c r="D825" t="s">
        <v>583</v>
      </c>
      <c r="E825" t="s">
        <v>666</v>
      </c>
      <c r="F825">
        <v>1</v>
      </c>
      <c r="G825" s="705">
        <v>83</v>
      </c>
      <c r="H825" s="705">
        <v>197</v>
      </c>
      <c r="I825" s="705">
        <v>5692</v>
      </c>
      <c r="J825" s="705">
        <v>5175</v>
      </c>
      <c r="K825">
        <v>79</v>
      </c>
      <c r="L825" s="705">
        <v>2620</v>
      </c>
      <c r="M825" s="705">
        <v>970</v>
      </c>
      <c r="N825" s="705">
        <v>1508</v>
      </c>
      <c r="O825" s="705">
        <v>558</v>
      </c>
      <c r="P825" s="705">
        <v>621</v>
      </c>
      <c r="Q825" s="705">
        <v>230</v>
      </c>
      <c r="R825" s="705">
        <v>3622</v>
      </c>
      <c r="S825" s="705">
        <v>3293</v>
      </c>
      <c r="T825" s="705">
        <v>2199</v>
      </c>
      <c r="U825" s="705">
        <v>814</v>
      </c>
      <c r="V825" s="705">
        <v>11040</v>
      </c>
      <c r="W825" s="705">
        <f t="shared" si="44"/>
        <v>11040</v>
      </c>
      <c r="X825" s="705">
        <f t="shared" si="45"/>
        <v>16262</v>
      </c>
      <c r="Y825" s="705"/>
      <c r="AI825" s="429"/>
    </row>
    <row r="826" spans="2:35">
      <c r="B826" t="s">
        <v>540</v>
      </c>
      <c r="C826" t="s">
        <v>116</v>
      </c>
      <c r="D826" t="s">
        <v>583</v>
      </c>
      <c r="E826" t="s">
        <v>665</v>
      </c>
      <c r="F826">
        <v>2</v>
      </c>
      <c r="G826">
        <v>207</v>
      </c>
      <c r="H826">
        <v>384</v>
      </c>
      <c r="I826" s="705">
        <v>21424</v>
      </c>
      <c r="J826" s="705">
        <v>19476</v>
      </c>
      <c r="K826">
        <v>89</v>
      </c>
      <c r="L826" s="705">
        <v>3009</v>
      </c>
      <c r="M826" s="705">
        <v>6245</v>
      </c>
      <c r="N826" s="705">
        <v>3570</v>
      </c>
      <c r="O826" s="705">
        <v>1322</v>
      </c>
      <c r="P826" s="705">
        <v>1242</v>
      </c>
      <c r="Q826">
        <v>460</v>
      </c>
      <c r="R826" s="705">
        <v>10597</v>
      </c>
      <c r="S826" s="705">
        <v>9634</v>
      </c>
      <c r="T826">
        <v>0</v>
      </c>
      <c r="U826">
        <v>0</v>
      </c>
      <c r="V826" s="705">
        <v>37137</v>
      </c>
      <c r="W826" s="705">
        <f t="shared" si="44"/>
        <v>37137</v>
      </c>
      <c r="X826" s="705">
        <f t="shared" si="45"/>
        <v>39842</v>
      </c>
      <c r="Y826" s="705"/>
      <c r="AI826" s="429"/>
    </row>
    <row r="827" spans="2:35">
      <c r="B827" t="s">
        <v>540</v>
      </c>
      <c r="C827" t="s">
        <v>116</v>
      </c>
      <c r="D827" t="s">
        <v>666</v>
      </c>
      <c r="E827" t="s">
        <v>583</v>
      </c>
      <c r="F827">
        <v>1</v>
      </c>
      <c r="G827">
        <v>103</v>
      </c>
      <c r="H827" s="705">
        <v>213</v>
      </c>
      <c r="I827" s="705">
        <v>10634</v>
      </c>
      <c r="J827" s="705">
        <v>9667</v>
      </c>
      <c r="K827">
        <v>79</v>
      </c>
      <c r="L827" s="705">
        <v>2954</v>
      </c>
      <c r="M827" s="705">
        <v>2685</v>
      </c>
      <c r="N827" s="705">
        <v>2204</v>
      </c>
      <c r="O827" s="705">
        <v>816</v>
      </c>
      <c r="P827">
        <v>270</v>
      </c>
      <c r="Q827">
        <v>100</v>
      </c>
      <c r="R827" s="705">
        <v>5839</v>
      </c>
      <c r="S827" s="705">
        <v>5308</v>
      </c>
      <c r="T827" s="705">
        <v>0</v>
      </c>
      <c r="U827" s="705">
        <v>0</v>
      </c>
      <c r="V827" s="705">
        <v>18577</v>
      </c>
      <c r="W827" s="705">
        <f t="shared" si="44"/>
        <v>18576</v>
      </c>
      <c r="X827" s="705">
        <f t="shared" si="45"/>
        <v>21901</v>
      </c>
      <c r="Y827" s="705"/>
      <c r="AI827" s="429"/>
    </row>
    <row r="828" spans="2:35">
      <c r="B828" t="s">
        <v>540</v>
      </c>
      <c r="C828" t="s">
        <v>116</v>
      </c>
      <c r="D828" t="s">
        <v>666</v>
      </c>
      <c r="E828" t="s">
        <v>666</v>
      </c>
      <c r="F828">
        <v>2</v>
      </c>
      <c r="G828" s="705">
        <v>159</v>
      </c>
      <c r="H828" s="705">
        <v>425</v>
      </c>
      <c r="I828" s="705">
        <v>16453</v>
      </c>
      <c r="J828" s="705">
        <v>14957</v>
      </c>
      <c r="K828">
        <v>65</v>
      </c>
      <c r="L828" s="705">
        <v>2489</v>
      </c>
      <c r="M828" s="705">
        <v>1580</v>
      </c>
      <c r="N828" s="705">
        <v>3075</v>
      </c>
      <c r="O828" s="705">
        <v>1139</v>
      </c>
      <c r="P828" s="705">
        <v>639</v>
      </c>
      <c r="Q828" s="705">
        <v>237</v>
      </c>
      <c r="R828" s="705">
        <v>7000</v>
      </c>
      <c r="S828" s="705">
        <v>6364</v>
      </c>
      <c r="T828" s="705">
        <v>4093</v>
      </c>
      <c r="U828" s="705">
        <v>1516</v>
      </c>
      <c r="V828" s="705">
        <v>25793</v>
      </c>
      <c r="W828" s="705">
        <f t="shared" si="44"/>
        <v>25793</v>
      </c>
      <c r="X828" s="705">
        <f t="shared" si="45"/>
        <v>33749</v>
      </c>
      <c r="Y828" s="705"/>
      <c r="AI828" s="429"/>
    </row>
    <row r="829" spans="2:35">
      <c r="B829" t="s">
        <v>540</v>
      </c>
      <c r="C829" t="s">
        <v>116</v>
      </c>
      <c r="D829" t="s">
        <v>584</v>
      </c>
      <c r="E829" t="s">
        <v>228</v>
      </c>
      <c r="F829">
        <v>4</v>
      </c>
      <c r="G829">
        <v>485</v>
      </c>
      <c r="H829" s="705">
        <v>812</v>
      </c>
      <c r="I829" s="705">
        <v>48625</v>
      </c>
      <c r="J829" s="705">
        <v>44204</v>
      </c>
      <c r="K829">
        <v>76</v>
      </c>
      <c r="L829" s="705">
        <v>13030</v>
      </c>
      <c r="M829" s="705">
        <v>11846</v>
      </c>
      <c r="N829" s="705">
        <v>11815</v>
      </c>
      <c r="O829" s="705">
        <v>4376</v>
      </c>
      <c r="P829" s="705">
        <v>1890</v>
      </c>
      <c r="Q829">
        <v>700</v>
      </c>
      <c r="R829" s="705">
        <v>23120</v>
      </c>
      <c r="S829" s="705">
        <v>8563</v>
      </c>
      <c r="T829" s="705">
        <v>0</v>
      </c>
      <c r="U829" s="705">
        <v>0</v>
      </c>
      <c r="V829" s="705">
        <v>69688</v>
      </c>
      <c r="W829" s="705">
        <f t="shared" si="44"/>
        <v>69689</v>
      </c>
      <c r="X829" s="705">
        <f t="shared" si="45"/>
        <v>98480</v>
      </c>
      <c r="Y829" s="705"/>
      <c r="AI829" s="429"/>
    </row>
    <row r="830" spans="2:35">
      <c r="B830" t="s">
        <v>540</v>
      </c>
      <c r="C830" t="s">
        <v>116</v>
      </c>
      <c r="D830" t="s">
        <v>584</v>
      </c>
      <c r="E830" t="s">
        <v>583</v>
      </c>
      <c r="F830">
        <v>1</v>
      </c>
      <c r="G830" s="705">
        <v>165</v>
      </c>
      <c r="H830" s="705">
        <v>166</v>
      </c>
      <c r="I830" s="705">
        <v>12941</v>
      </c>
      <c r="J830" s="705">
        <v>11765</v>
      </c>
      <c r="K830">
        <v>80</v>
      </c>
      <c r="L830" s="705">
        <v>1681</v>
      </c>
      <c r="M830" s="705">
        <v>1528</v>
      </c>
      <c r="N830" s="705">
        <v>4027</v>
      </c>
      <c r="O830" s="705">
        <v>1492</v>
      </c>
      <c r="P830" s="705">
        <v>473</v>
      </c>
      <c r="Q830" s="705">
        <v>175</v>
      </c>
      <c r="R830" s="705">
        <v>8384</v>
      </c>
      <c r="S830" s="705">
        <v>7622</v>
      </c>
      <c r="T830">
        <v>0</v>
      </c>
      <c r="U830">
        <v>0</v>
      </c>
      <c r="V830" s="705">
        <v>22581</v>
      </c>
      <c r="W830" s="705">
        <f t="shared" si="44"/>
        <v>22582</v>
      </c>
      <c r="X830" s="705">
        <f t="shared" si="45"/>
        <v>27506</v>
      </c>
      <c r="Y830" s="705"/>
      <c r="AI830" s="429"/>
    </row>
    <row r="831" spans="2:35">
      <c r="B831" t="s">
        <v>540</v>
      </c>
      <c r="C831" t="s">
        <v>116</v>
      </c>
      <c r="D831" t="s">
        <v>584</v>
      </c>
      <c r="E831" t="s">
        <v>584</v>
      </c>
      <c r="F831" s="705">
        <v>1947</v>
      </c>
      <c r="G831" s="705">
        <v>198511</v>
      </c>
      <c r="H831" s="705">
        <v>361246</v>
      </c>
      <c r="I831" s="705">
        <v>17241710</v>
      </c>
      <c r="J831" s="705">
        <v>15674282</v>
      </c>
      <c r="K831">
        <v>80</v>
      </c>
      <c r="L831" s="705">
        <v>4462758</v>
      </c>
      <c r="M831" s="705">
        <v>3890307</v>
      </c>
      <c r="N831" s="705">
        <v>3940762</v>
      </c>
      <c r="O831" s="705">
        <v>1459541</v>
      </c>
      <c r="P831" s="705">
        <v>931589</v>
      </c>
      <c r="Q831" s="705">
        <v>345033</v>
      </c>
      <c r="R831" s="705">
        <v>9775595</v>
      </c>
      <c r="S831" s="705">
        <v>8886905</v>
      </c>
      <c r="T831" s="705">
        <v>616206</v>
      </c>
      <c r="U831" s="705">
        <v>228224</v>
      </c>
      <c r="V831" s="705">
        <v>30484292</v>
      </c>
      <c r="W831" s="705">
        <f t="shared" si="44"/>
        <v>30484292</v>
      </c>
      <c r="X831" s="705">
        <f t="shared" si="45"/>
        <v>36968620</v>
      </c>
      <c r="Y831" s="705"/>
      <c r="AI831" s="429"/>
    </row>
    <row r="832" spans="2:35">
      <c r="B832" t="s">
        <v>540</v>
      </c>
      <c r="C832" t="s">
        <v>116</v>
      </c>
      <c r="D832" t="s">
        <v>669</v>
      </c>
      <c r="E832" t="s">
        <v>669</v>
      </c>
      <c r="F832">
        <v>2</v>
      </c>
      <c r="G832">
        <v>163</v>
      </c>
      <c r="H832">
        <v>413</v>
      </c>
      <c r="I832" s="705">
        <v>17543</v>
      </c>
      <c r="J832" s="705">
        <v>14619</v>
      </c>
      <c r="K832">
        <v>60</v>
      </c>
      <c r="L832" s="705">
        <v>2421</v>
      </c>
      <c r="M832" s="705">
        <v>1231</v>
      </c>
      <c r="N832" s="705">
        <v>2257</v>
      </c>
      <c r="O832" s="705">
        <v>836</v>
      </c>
      <c r="P832" s="705">
        <v>702</v>
      </c>
      <c r="Q832">
        <v>260</v>
      </c>
      <c r="R832" s="705">
        <v>10588</v>
      </c>
      <c r="S832" s="705">
        <v>8824</v>
      </c>
      <c r="T832" s="705">
        <v>0</v>
      </c>
      <c r="U832" s="705">
        <v>0</v>
      </c>
      <c r="V832" s="705">
        <v>25769</v>
      </c>
      <c r="W832" s="705">
        <f t="shared" si="44"/>
        <v>25770</v>
      </c>
      <c r="X832" s="705">
        <f t="shared" si="45"/>
        <v>33511</v>
      </c>
      <c r="Y832" s="705"/>
      <c r="AI832" s="429"/>
    </row>
    <row r="833" spans="2:35">
      <c r="B833" t="s">
        <v>540</v>
      </c>
      <c r="C833" t="s">
        <v>116</v>
      </c>
      <c r="D833" t="s">
        <v>671</v>
      </c>
      <c r="E833" t="s">
        <v>671</v>
      </c>
      <c r="F833">
        <v>2</v>
      </c>
      <c r="G833" s="705">
        <v>227</v>
      </c>
      <c r="H833" s="705">
        <v>394</v>
      </c>
      <c r="I833" s="705">
        <v>22070</v>
      </c>
      <c r="J833" s="705">
        <v>20064</v>
      </c>
      <c r="K833">
        <v>75</v>
      </c>
      <c r="L833" s="705">
        <v>5481</v>
      </c>
      <c r="M833" s="705">
        <v>2805</v>
      </c>
      <c r="N833" s="705">
        <v>3797</v>
      </c>
      <c r="O833" s="705">
        <v>1406</v>
      </c>
      <c r="P833" s="705">
        <v>972</v>
      </c>
      <c r="Q833" s="705">
        <v>360</v>
      </c>
      <c r="R833" s="705">
        <v>8970</v>
      </c>
      <c r="S833" s="705">
        <v>8154</v>
      </c>
      <c r="T833" s="705">
        <v>3098</v>
      </c>
      <c r="U833" s="705">
        <v>1148</v>
      </c>
      <c r="V833" s="705">
        <v>33937</v>
      </c>
      <c r="W833" s="705">
        <f t="shared" si="44"/>
        <v>33937</v>
      </c>
      <c r="X833" s="705">
        <f t="shared" si="45"/>
        <v>44388</v>
      </c>
      <c r="Y833" s="705"/>
      <c r="AI833" s="429"/>
    </row>
    <row r="834" spans="2:35">
      <c r="B834" t="s">
        <v>540</v>
      </c>
      <c r="C834" t="s">
        <v>116</v>
      </c>
      <c r="D834" t="s">
        <v>665</v>
      </c>
      <c r="E834" t="s">
        <v>228</v>
      </c>
      <c r="F834">
        <v>2</v>
      </c>
      <c r="G834" s="705">
        <v>169</v>
      </c>
      <c r="H834" s="705">
        <v>379</v>
      </c>
      <c r="I834" s="705">
        <v>12531</v>
      </c>
      <c r="J834" s="705">
        <v>11392</v>
      </c>
      <c r="K834">
        <v>60</v>
      </c>
      <c r="L834" s="705">
        <v>2051</v>
      </c>
      <c r="M834" s="705">
        <v>759</v>
      </c>
      <c r="N834" s="705">
        <v>4121</v>
      </c>
      <c r="O834" s="705">
        <v>1526</v>
      </c>
      <c r="P834" s="705">
        <v>0</v>
      </c>
      <c r="Q834" s="705">
        <v>0</v>
      </c>
      <c r="R834" s="705">
        <v>13361</v>
      </c>
      <c r="S834" s="705">
        <v>4948</v>
      </c>
      <c r="T834" s="705">
        <v>0</v>
      </c>
      <c r="U834" s="705">
        <v>0</v>
      </c>
      <c r="V834" s="705">
        <v>18626</v>
      </c>
      <c r="W834" s="705">
        <f t="shared" si="44"/>
        <v>18625</v>
      </c>
      <c r="X834" s="705">
        <f t="shared" si="45"/>
        <v>32064</v>
      </c>
      <c r="Y834" s="705"/>
      <c r="AI834" s="429"/>
    </row>
    <row r="835" spans="2:35">
      <c r="B835" t="s">
        <v>540</v>
      </c>
      <c r="C835" t="s">
        <v>116</v>
      </c>
      <c r="D835" t="s">
        <v>665</v>
      </c>
      <c r="E835" t="s">
        <v>583</v>
      </c>
      <c r="F835">
        <v>1</v>
      </c>
      <c r="G835">
        <v>93</v>
      </c>
      <c r="H835" s="705">
        <v>218</v>
      </c>
      <c r="I835" s="705">
        <v>7975</v>
      </c>
      <c r="J835" s="705">
        <v>7250</v>
      </c>
      <c r="K835">
        <v>79</v>
      </c>
      <c r="L835" s="705">
        <v>3670</v>
      </c>
      <c r="M835" s="705">
        <v>1359</v>
      </c>
      <c r="N835" s="705">
        <v>2201</v>
      </c>
      <c r="O835" s="705">
        <v>815</v>
      </c>
      <c r="P835" s="705">
        <v>621</v>
      </c>
      <c r="Q835">
        <v>230</v>
      </c>
      <c r="R835" s="705">
        <v>5856</v>
      </c>
      <c r="S835" s="705">
        <v>5324</v>
      </c>
      <c r="T835" s="705">
        <v>0</v>
      </c>
      <c r="U835">
        <v>0</v>
      </c>
      <c r="V835" s="705">
        <v>14978</v>
      </c>
      <c r="W835" s="705">
        <f t="shared" si="44"/>
        <v>14978</v>
      </c>
      <c r="X835" s="705">
        <f t="shared" si="45"/>
        <v>20323</v>
      </c>
      <c r="Y835" s="705"/>
      <c r="AI835" s="429"/>
    </row>
    <row r="836" spans="2:35">
      <c r="B836" t="s">
        <v>540</v>
      </c>
      <c r="C836" t="s">
        <v>116</v>
      </c>
      <c r="D836" t="s">
        <v>665</v>
      </c>
      <c r="E836" t="s">
        <v>665</v>
      </c>
      <c r="F836">
        <v>9</v>
      </c>
      <c r="G836" s="705">
        <v>840</v>
      </c>
      <c r="H836" s="705">
        <v>1874</v>
      </c>
      <c r="I836" s="705">
        <v>91502</v>
      </c>
      <c r="J836" s="705">
        <v>83183</v>
      </c>
      <c r="K836">
        <v>66</v>
      </c>
      <c r="L836" s="705">
        <v>12592</v>
      </c>
      <c r="M836" s="705">
        <v>10603</v>
      </c>
      <c r="N836" s="705">
        <v>16767</v>
      </c>
      <c r="O836" s="705">
        <v>6210</v>
      </c>
      <c r="P836" s="705">
        <v>3780</v>
      </c>
      <c r="Q836" s="705">
        <v>1400</v>
      </c>
      <c r="R836" s="705">
        <v>39692</v>
      </c>
      <c r="S836" s="705">
        <v>36083</v>
      </c>
      <c r="T836" s="705">
        <v>18929</v>
      </c>
      <c r="U836" s="705">
        <v>7011</v>
      </c>
      <c r="V836" s="705">
        <v>144490</v>
      </c>
      <c r="W836" s="705">
        <f t="shared" si="44"/>
        <v>144490</v>
      </c>
      <c r="X836" s="705">
        <f t="shared" si="45"/>
        <v>183262</v>
      </c>
      <c r="Y836" s="705"/>
      <c r="AI836" s="429"/>
    </row>
    <row r="837" spans="2:35">
      <c r="B837" t="s">
        <v>540</v>
      </c>
      <c r="C837" t="s">
        <v>116</v>
      </c>
      <c r="D837" t="s">
        <v>585</v>
      </c>
      <c r="E837" t="s">
        <v>585</v>
      </c>
      <c r="F837">
        <v>2</v>
      </c>
      <c r="G837">
        <v>186</v>
      </c>
      <c r="H837" s="705">
        <v>349</v>
      </c>
      <c r="I837" s="705">
        <v>16315</v>
      </c>
      <c r="J837" s="705">
        <v>14832</v>
      </c>
      <c r="K837">
        <v>84</v>
      </c>
      <c r="L837" s="705">
        <v>1717</v>
      </c>
      <c r="M837" s="705">
        <v>636</v>
      </c>
      <c r="N837" s="705">
        <v>2465</v>
      </c>
      <c r="O837" s="705">
        <v>913</v>
      </c>
      <c r="P837" s="705">
        <v>702</v>
      </c>
      <c r="Q837">
        <v>260</v>
      </c>
      <c r="R837" s="705">
        <v>8356</v>
      </c>
      <c r="S837" s="705">
        <v>7596</v>
      </c>
      <c r="T837" s="705">
        <v>2421</v>
      </c>
      <c r="U837" s="705">
        <v>896</v>
      </c>
      <c r="V837" s="705">
        <v>25133</v>
      </c>
      <c r="W837" s="705">
        <f t="shared" si="44"/>
        <v>25133</v>
      </c>
      <c r="X837" s="705">
        <f t="shared" si="45"/>
        <v>31976</v>
      </c>
      <c r="Y837" s="705"/>
      <c r="AI837" s="429"/>
    </row>
    <row r="838" spans="2:35">
      <c r="B838" t="s">
        <v>540</v>
      </c>
      <c r="C838" t="s">
        <v>116</v>
      </c>
      <c r="D838" t="s">
        <v>668</v>
      </c>
      <c r="E838" t="s">
        <v>668</v>
      </c>
      <c r="F838">
        <v>1</v>
      </c>
      <c r="G838" s="705">
        <v>91</v>
      </c>
      <c r="H838" s="705">
        <v>159</v>
      </c>
      <c r="I838" s="705">
        <v>5110</v>
      </c>
      <c r="J838" s="705">
        <v>4646</v>
      </c>
      <c r="K838">
        <v>86</v>
      </c>
      <c r="L838" s="705">
        <v>888</v>
      </c>
      <c r="M838" s="705">
        <v>740</v>
      </c>
      <c r="N838" s="705">
        <v>1522</v>
      </c>
      <c r="O838" s="705">
        <v>564</v>
      </c>
      <c r="P838" s="705">
        <v>351</v>
      </c>
      <c r="Q838" s="705">
        <v>130</v>
      </c>
      <c r="R838" s="705">
        <v>6533</v>
      </c>
      <c r="S838" s="705">
        <v>5939</v>
      </c>
      <c r="T838" s="705">
        <v>0</v>
      </c>
      <c r="U838" s="705">
        <v>0</v>
      </c>
      <c r="V838" s="705">
        <v>12019</v>
      </c>
      <c r="W838" s="705">
        <f t="shared" si="44"/>
        <v>12019</v>
      </c>
      <c r="X838" s="705">
        <f t="shared" si="45"/>
        <v>14404</v>
      </c>
      <c r="Y838" s="705"/>
      <c r="AI838" s="429"/>
    </row>
    <row r="839" spans="2:35">
      <c r="B839" t="s">
        <v>540</v>
      </c>
      <c r="C839" t="s">
        <v>118</v>
      </c>
      <c r="F839" s="705">
        <v>7</v>
      </c>
      <c r="G839" s="705">
        <v>625</v>
      </c>
      <c r="H839" s="705">
        <v>1719</v>
      </c>
      <c r="I839" s="705"/>
      <c r="J839" s="705">
        <v>0</v>
      </c>
      <c r="L839" s="705"/>
      <c r="M839" s="705">
        <v>0</v>
      </c>
      <c r="N839" s="705">
        <v>12342</v>
      </c>
      <c r="O839" s="705">
        <v>4571</v>
      </c>
      <c r="P839" s="705">
        <v>2484</v>
      </c>
      <c r="Q839" s="705">
        <v>920</v>
      </c>
      <c r="R839" s="705"/>
      <c r="S839" s="705">
        <v>0</v>
      </c>
      <c r="T839" s="705">
        <v>4423</v>
      </c>
      <c r="U839" s="705">
        <v>1638</v>
      </c>
      <c r="V839" s="705">
        <v>7130</v>
      </c>
      <c r="W839" s="705">
        <f t="shared" ref="W839:W902" si="46">SUM(ABS(J839),ABS(M839),ABS(O839),ABS(Q839),ABS(S839),ABS(U839))</f>
        <v>7129</v>
      </c>
      <c r="X839" s="705">
        <f t="shared" ref="X839:X902" si="47">SUM(ABS(I839),ABS(N839),ABS(P839),ABS(R839),ABS(T839),ABS(L839))</f>
        <v>19249</v>
      </c>
      <c r="Y839" s="705"/>
      <c r="AI839" s="429"/>
    </row>
    <row r="840" spans="2:35">
      <c r="B840" t="s">
        <v>540</v>
      </c>
      <c r="C840" t="s">
        <v>118</v>
      </c>
      <c r="D840" t="s">
        <v>664</v>
      </c>
      <c r="E840" t="s">
        <v>664</v>
      </c>
      <c r="F840">
        <v>8</v>
      </c>
      <c r="G840" s="705">
        <v>861</v>
      </c>
      <c r="H840" s="705">
        <v>2175</v>
      </c>
      <c r="I840" s="705">
        <v>146775</v>
      </c>
      <c r="J840" s="705">
        <v>133431</v>
      </c>
      <c r="K840">
        <v>79</v>
      </c>
      <c r="L840" s="705">
        <v>36594</v>
      </c>
      <c r="M840" s="705">
        <v>32059</v>
      </c>
      <c r="N840" s="705">
        <v>19219</v>
      </c>
      <c r="O840" s="705">
        <v>7118</v>
      </c>
      <c r="P840" s="705">
        <v>3780</v>
      </c>
      <c r="Q840" s="705">
        <v>1400</v>
      </c>
      <c r="R840" s="705">
        <v>38946</v>
      </c>
      <c r="S840" s="705">
        <v>35406</v>
      </c>
      <c r="T840" s="705">
        <v>7369</v>
      </c>
      <c r="U840" s="705">
        <v>2729</v>
      </c>
      <c r="V840" s="705">
        <v>212144</v>
      </c>
      <c r="W840" s="705">
        <f t="shared" si="46"/>
        <v>212143</v>
      </c>
      <c r="X840" s="705">
        <f t="shared" si="47"/>
        <v>252683</v>
      </c>
      <c r="Y840" s="705"/>
      <c r="AI840" s="429"/>
    </row>
    <row r="841" spans="2:35">
      <c r="B841" t="s">
        <v>540</v>
      </c>
      <c r="C841" t="s">
        <v>118</v>
      </c>
      <c r="D841" t="s">
        <v>664</v>
      </c>
      <c r="E841" t="s">
        <v>583</v>
      </c>
      <c r="F841">
        <v>1</v>
      </c>
      <c r="G841" s="705">
        <v>78</v>
      </c>
      <c r="H841" s="705">
        <v>286</v>
      </c>
      <c r="I841" s="705">
        <v>9617</v>
      </c>
      <c r="J841" s="705">
        <v>8742</v>
      </c>
      <c r="K841">
        <v>79</v>
      </c>
      <c r="L841" s="705">
        <v>2671</v>
      </c>
      <c r="M841" s="705">
        <v>2428</v>
      </c>
      <c r="N841" s="705">
        <v>1907</v>
      </c>
      <c r="O841" s="705">
        <v>706</v>
      </c>
      <c r="P841" s="705">
        <v>972</v>
      </c>
      <c r="Q841" s="705">
        <v>360</v>
      </c>
      <c r="R841" s="705">
        <v>4345</v>
      </c>
      <c r="S841" s="705">
        <v>3950</v>
      </c>
      <c r="T841" s="705">
        <v>2855</v>
      </c>
      <c r="U841" s="705">
        <v>1057</v>
      </c>
      <c r="V841" s="705">
        <v>17245</v>
      </c>
      <c r="W841" s="705">
        <f t="shared" si="46"/>
        <v>17243</v>
      </c>
      <c r="X841" s="705">
        <f t="shared" si="47"/>
        <v>22367</v>
      </c>
      <c r="Y841" s="705"/>
      <c r="AI841" s="429"/>
    </row>
    <row r="842" spans="2:35">
      <c r="B842" t="s">
        <v>540</v>
      </c>
      <c r="C842" t="s">
        <v>118</v>
      </c>
      <c r="D842" t="s">
        <v>664</v>
      </c>
      <c r="E842" t="s">
        <v>584</v>
      </c>
      <c r="F842">
        <v>1</v>
      </c>
      <c r="G842" s="705">
        <v>51</v>
      </c>
      <c r="H842" s="705">
        <v>265</v>
      </c>
      <c r="I842" s="705">
        <v>8962</v>
      </c>
      <c r="J842" s="705">
        <v>8147</v>
      </c>
      <c r="K842">
        <v>92</v>
      </c>
      <c r="L842" s="705">
        <v>1447</v>
      </c>
      <c r="M842" s="705">
        <v>1316</v>
      </c>
      <c r="N842" s="705">
        <v>1081</v>
      </c>
      <c r="O842" s="705">
        <v>400</v>
      </c>
      <c r="P842" s="705">
        <v>351</v>
      </c>
      <c r="Q842" s="705">
        <v>130</v>
      </c>
      <c r="R842" s="705">
        <v>1775</v>
      </c>
      <c r="S842" s="705">
        <v>1614</v>
      </c>
      <c r="T842" s="705">
        <v>0</v>
      </c>
      <c r="U842" s="705">
        <v>0</v>
      </c>
      <c r="V842" s="705">
        <v>11607</v>
      </c>
      <c r="W842" s="705">
        <f t="shared" si="46"/>
        <v>11607</v>
      </c>
      <c r="X842" s="705">
        <f t="shared" si="47"/>
        <v>13616</v>
      </c>
      <c r="Y842" s="705"/>
      <c r="AI842" s="429"/>
    </row>
    <row r="843" spans="2:35">
      <c r="B843" t="s">
        <v>540</v>
      </c>
      <c r="C843" t="s">
        <v>118</v>
      </c>
      <c r="D843" t="s">
        <v>582</v>
      </c>
      <c r="E843" t="s">
        <v>582</v>
      </c>
      <c r="F843">
        <v>31</v>
      </c>
      <c r="G843" s="705">
        <v>3229</v>
      </c>
      <c r="H843" s="705">
        <v>7820</v>
      </c>
      <c r="I843" s="705">
        <v>472605</v>
      </c>
      <c r="J843" s="705">
        <v>429641</v>
      </c>
      <c r="K843">
        <v>77</v>
      </c>
      <c r="L843" s="705">
        <v>105117</v>
      </c>
      <c r="M843" s="705">
        <v>92830</v>
      </c>
      <c r="N843" s="705">
        <v>67664</v>
      </c>
      <c r="O843" s="705">
        <v>25061</v>
      </c>
      <c r="P843" s="705">
        <v>14985</v>
      </c>
      <c r="Q843" s="705">
        <v>5550</v>
      </c>
      <c r="R843" s="705">
        <v>163852</v>
      </c>
      <c r="S843" s="705">
        <v>148956</v>
      </c>
      <c r="T843" s="705">
        <v>25667</v>
      </c>
      <c r="U843" s="705">
        <v>9506</v>
      </c>
      <c r="V843" s="705">
        <v>711544</v>
      </c>
      <c r="W843" s="705">
        <f t="shared" si="46"/>
        <v>711544</v>
      </c>
      <c r="X843" s="705">
        <f t="shared" si="47"/>
        <v>849890</v>
      </c>
      <c r="Y843" s="705"/>
      <c r="AI843" s="429"/>
    </row>
    <row r="844" spans="2:35">
      <c r="B844" t="s">
        <v>540</v>
      </c>
      <c r="C844" t="s">
        <v>118</v>
      </c>
      <c r="D844" t="s">
        <v>228</v>
      </c>
      <c r="E844" t="s">
        <v>582</v>
      </c>
      <c r="F844">
        <v>1</v>
      </c>
      <c r="G844">
        <v>152</v>
      </c>
      <c r="H844" s="705">
        <v>298</v>
      </c>
      <c r="I844" s="705">
        <v>31270</v>
      </c>
      <c r="J844" s="705">
        <v>11581</v>
      </c>
      <c r="K844">
        <v>100</v>
      </c>
      <c r="L844" s="705">
        <v>5518</v>
      </c>
      <c r="M844" s="705">
        <v>2044</v>
      </c>
      <c r="N844" s="705">
        <v>2724</v>
      </c>
      <c r="O844" s="705">
        <v>1009</v>
      </c>
      <c r="P844">
        <v>0</v>
      </c>
      <c r="Q844">
        <v>0</v>
      </c>
      <c r="R844" s="705">
        <v>5779</v>
      </c>
      <c r="S844" s="705">
        <v>5253</v>
      </c>
      <c r="T844" s="705">
        <v>0</v>
      </c>
      <c r="U844" s="705">
        <v>0</v>
      </c>
      <c r="V844" s="705">
        <v>19887</v>
      </c>
      <c r="W844" s="705">
        <f t="shared" si="46"/>
        <v>19887</v>
      </c>
      <c r="X844" s="705">
        <f t="shared" si="47"/>
        <v>45291</v>
      </c>
      <c r="Y844" s="705"/>
      <c r="AI844" s="429"/>
    </row>
    <row r="845" spans="2:35">
      <c r="B845" t="s">
        <v>540</v>
      </c>
      <c r="C845" t="s">
        <v>118</v>
      </c>
      <c r="D845" t="s">
        <v>228</v>
      </c>
      <c r="E845" t="s">
        <v>228</v>
      </c>
      <c r="F845">
        <v>743</v>
      </c>
      <c r="G845" s="705">
        <v>67704</v>
      </c>
      <c r="H845" s="705">
        <v>200019</v>
      </c>
      <c r="I845" s="705">
        <v>10107900</v>
      </c>
      <c r="J845" s="705">
        <v>3743667</v>
      </c>
      <c r="K845">
        <v>100</v>
      </c>
      <c r="L845" s="705">
        <v>1613990</v>
      </c>
      <c r="M845" s="705">
        <v>866612</v>
      </c>
      <c r="N845" s="705">
        <v>1352036</v>
      </c>
      <c r="O845" s="705">
        <v>500754</v>
      </c>
      <c r="P845" s="705">
        <v>5455</v>
      </c>
      <c r="Q845" s="705">
        <v>2020</v>
      </c>
      <c r="R845" s="705">
        <v>5249715</v>
      </c>
      <c r="S845" s="705">
        <v>1944339</v>
      </c>
      <c r="T845" s="705">
        <v>4934</v>
      </c>
      <c r="U845" s="705">
        <v>1827</v>
      </c>
      <c r="V845" s="705">
        <v>7059220</v>
      </c>
      <c r="W845" s="705">
        <f t="shared" si="46"/>
        <v>7059219</v>
      </c>
      <c r="X845" s="705">
        <f t="shared" si="47"/>
        <v>18334030</v>
      </c>
      <c r="Y845" s="705"/>
      <c r="AI845" s="429"/>
    </row>
    <row r="846" spans="2:35">
      <c r="B846" t="s">
        <v>540</v>
      </c>
      <c r="C846" t="s">
        <v>118</v>
      </c>
      <c r="D846" t="s">
        <v>228</v>
      </c>
      <c r="E846" t="s">
        <v>583</v>
      </c>
      <c r="F846">
        <v>2</v>
      </c>
      <c r="G846" s="705">
        <v>190</v>
      </c>
      <c r="H846">
        <v>520</v>
      </c>
      <c r="I846" s="705">
        <v>30422</v>
      </c>
      <c r="J846" s="705">
        <v>11267</v>
      </c>
      <c r="K846">
        <v>100</v>
      </c>
      <c r="L846" s="705">
        <v>2969</v>
      </c>
      <c r="M846" s="705">
        <v>2699</v>
      </c>
      <c r="N846" s="705">
        <v>3510</v>
      </c>
      <c r="O846" s="705">
        <v>1300</v>
      </c>
      <c r="P846" s="705">
        <v>621</v>
      </c>
      <c r="Q846" s="705">
        <v>230</v>
      </c>
      <c r="R846" s="705">
        <v>9211</v>
      </c>
      <c r="S846" s="705">
        <v>8373</v>
      </c>
      <c r="T846" s="705">
        <v>2368</v>
      </c>
      <c r="U846">
        <v>877</v>
      </c>
      <c r="V846" s="705">
        <v>24747</v>
      </c>
      <c r="W846" s="705">
        <f t="shared" si="46"/>
        <v>24746</v>
      </c>
      <c r="X846" s="705">
        <f t="shared" si="47"/>
        <v>49101</v>
      </c>
      <c r="Y846" s="705"/>
      <c r="AI846" s="429"/>
    </row>
    <row r="847" spans="2:35">
      <c r="B847" t="s">
        <v>540</v>
      </c>
      <c r="C847" t="s">
        <v>118</v>
      </c>
      <c r="D847" t="s">
        <v>228</v>
      </c>
      <c r="E847" t="s">
        <v>666</v>
      </c>
      <c r="F847">
        <v>1</v>
      </c>
      <c r="G847" s="705">
        <v>81</v>
      </c>
      <c r="H847" s="705">
        <v>294</v>
      </c>
      <c r="I847" s="705">
        <v>11110</v>
      </c>
      <c r="J847" s="705">
        <v>4115</v>
      </c>
      <c r="K847">
        <v>100</v>
      </c>
      <c r="L847" s="705">
        <v>1886</v>
      </c>
      <c r="M847" s="705">
        <v>1714</v>
      </c>
      <c r="N847" s="705">
        <v>1984</v>
      </c>
      <c r="O847" s="705">
        <v>735</v>
      </c>
      <c r="P847" s="705">
        <v>0</v>
      </c>
      <c r="Q847" s="705">
        <v>0</v>
      </c>
      <c r="R847" s="705">
        <v>6506</v>
      </c>
      <c r="S847" s="705">
        <v>5915</v>
      </c>
      <c r="T847" s="705">
        <v>2453</v>
      </c>
      <c r="U847">
        <v>908</v>
      </c>
      <c r="V847" s="705">
        <v>13387</v>
      </c>
      <c r="W847" s="705">
        <f t="shared" si="46"/>
        <v>13387</v>
      </c>
      <c r="X847" s="705">
        <f t="shared" si="47"/>
        <v>23939</v>
      </c>
      <c r="Y847" s="705"/>
      <c r="AI847" s="429"/>
    </row>
    <row r="848" spans="2:35">
      <c r="B848" t="s">
        <v>540</v>
      </c>
      <c r="C848" t="s">
        <v>118</v>
      </c>
      <c r="D848" t="s">
        <v>228</v>
      </c>
      <c r="E848" t="s">
        <v>669</v>
      </c>
      <c r="F848">
        <v>2</v>
      </c>
      <c r="G848">
        <v>173</v>
      </c>
      <c r="H848">
        <v>536</v>
      </c>
      <c r="I848" s="705">
        <v>17613</v>
      </c>
      <c r="J848" s="705">
        <v>6523</v>
      </c>
      <c r="K848">
        <v>100</v>
      </c>
      <c r="L848" s="705">
        <v>4664</v>
      </c>
      <c r="M848" s="705">
        <v>3887</v>
      </c>
      <c r="N848" s="705">
        <v>2875</v>
      </c>
      <c r="O848" s="705">
        <v>1065</v>
      </c>
      <c r="P848">
        <v>0</v>
      </c>
      <c r="Q848">
        <v>0</v>
      </c>
      <c r="R848" s="705">
        <v>15054</v>
      </c>
      <c r="S848" s="705">
        <v>12545</v>
      </c>
      <c r="T848" s="705">
        <v>6017</v>
      </c>
      <c r="U848" s="705">
        <v>2228</v>
      </c>
      <c r="V848" s="705">
        <v>26248</v>
      </c>
      <c r="W848" s="705">
        <f t="shared" si="46"/>
        <v>26248</v>
      </c>
      <c r="X848" s="705">
        <f t="shared" si="47"/>
        <v>46223</v>
      </c>
      <c r="Y848" s="705"/>
      <c r="AI848" s="429"/>
    </row>
    <row r="849" spans="2:35">
      <c r="B849" t="s">
        <v>540</v>
      </c>
      <c r="C849" t="s">
        <v>118</v>
      </c>
      <c r="D849" t="s">
        <v>228</v>
      </c>
      <c r="E849" t="s">
        <v>671</v>
      </c>
      <c r="F849">
        <v>1</v>
      </c>
      <c r="G849" s="705">
        <v>99</v>
      </c>
      <c r="H849" s="705">
        <v>276</v>
      </c>
      <c r="I849" s="705">
        <v>13753</v>
      </c>
      <c r="J849" s="705">
        <v>5094</v>
      </c>
      <c r="K849">
        <v>100</v>
      </c>
      <c r="L849" s="705">
        <v>1384</v>
      </c>
      <c r="M849" s="705">
        <v>1258</v>
      </c>
      <c r="N849" s="705">
        <v>2304</v>
      </c>
      <c r="O849" s="705">
        <v>853</v>
      </c>
      <c r="P849" s="705">
        <v>0</v>
      </c>
      <c r="Q849" s="705">
        <v>0</v>
      </c>
      <c r="R849" s="705">
        <v>7092</v>
      </c>
      <c r="S849" s="705">
        <v>6447</v>
      </c>
      <c r="T849" s="705">
        <v>2771</v>
      </c>
      <c r="U849" s="705">
        <v>1026</v>
      </c>
      <c r="V849" s="705">
        <v>14678</v>
      </c>
      <c r="W849" s="705">
        <f t="shared" si="46"/>
        <v>14678</v>
      </c>
      <c r="X849" s="705">
        <f t="shared" si="47"/>
        <v>27304</v>
      </c>
      <c r="Y849" s="705"/>
      <c r="AI849" s="429"/>
    </row>
    <row r="850" spans="2:35">
      <c r="B850" t="s">
        <v>540</v>
      </c>
      <c r="C850" t="s">
        <v>118</v>
      </c>
      <c r="D850" t="s">
        <v>228</v>
      </c>
      <c r="E850" t="s">
        <v>665</v>
      </c>
      <c r="F850">
        <v>7</v>
      </c>
      <c r="G850" s="705">
        <v>595</v>
      </c>
      <c r="H850" s="705">
        <v>1943</v>
      </c>
      <c r="I850" s="705">
        <v>90832</v>
      </c>
      <c r="J850" s="705">
        <v>33642</v>
      </c>
      <c r="K850">
        <v>100</v>
      </c>
      <c r="L850" s="705">
        <v>13420</v>
      </c>
      <c r="M850" s="705">
        <v>12200</v>
      </c>
      <c r="N850" s="705">
        <v>13023</v>
      </c>
      <c r="O850" s="705">
        <v>4823</v>
      </c>
      <c r="P850" s="705">
        <v>1404</v>
      </c>
      <c r="Q850" s="705">
        <v>520</v>
      </c>
      <c r="R850" s="705">
        <v>44290</v>
      </c>
      <c r="S850" s="705">
        <v>40263</v>
      </c>
      <c r="T850" s="705">
        <v>13755</v>
      </c>
      <c r="U850" s="705">
        <v>5094</v>
      </c>
      <c r="V850" s="705">
        <v>96543</v>
      </c>
      <c r="W850" s="705">
        <f t="shared" si="46"/>
        <v>96542</v>
      </c>
      <c r="X850" s="705">
        <f t="shared" si="47"/>
        <v>176724</v>
      </c>
      <c r="Y850" s="705"/>
      <c r="AI850" s="429"/>
    </row>
    <row r="851" spans="2:35">
      <c r="B851" t="s">
        <v>540</v>
      </c>
      <c r="C851" t="s">
        <v>118</v>
      </c>
      <c r="D851" t="s">
        <v>583</v>
      </c>
      <c r="E851" t="s">
        <v>664</v>
      </c>
      <c r="F851">
        <v>3</v>
      </c>
      <c r="G851">
        <v>294</v>
      </c>
      <c r="H851">
        <v>814</v>
      </c>
      <c r="I851" s="705">
        <v>39967</v>
      </c>
      <c r="J851" s="705">
        <v>36333</v>
      </c>
      <c r="K851">
        <v>79</v>
      </c>
      <c r="L851" s="705">
        <v>6274</v>
      </c>
      <c r="M851" s="705">
        <v>5703</v>
      </c>
      <c r="N851" s="705">
        <v>5978</v>
      </c>
      <c r="O851" s="705">
        <v>2214</v>
      </c>
      <c r="P851" s="705">
        <v>1863</v>
      </c>
      <c r="Q851">
        <v>690</v>
      </c>
      <c r="R851" s="705">
        <v>17052</v>
      </c>
      <c r="S851" s="705">
        <v>15501</v>
      </c>
      <c r="T851" s="705">
        <v>9115</v>
      </c>
      <c r="U851" s="705">
        <v>3376</v>
      </c>
      <c r="V851" s="705">
        <v>63818</v>
      </c>
      <c r="W851" s="705">
        <f t="shared" si="46"/>
        <v>63817</v>
      </c>
      <c r="X851" s="705">
        <f t="shared" si="47"/>
        <v>80249</v>
      </c>
      <c r="Y851" s="705"/>
      <c r="AI851" s="429"/>
    </row>
    <row r="852" spans="2:35">
      <c r="B852" t="s">
        <v>540</v>
      </c>
      <c r="C852" t="s">
        <v>118</v>
      </c>
      <c r="D852" t="s">
        <v>583</v>
      </c>
      <c r="E852" t="s">
        <v>228</v>
      </c>
      <c r="F852">
        <v>14</v>
      </c>
      <c r="G852" s="705">
        <v>1444</v>
      </c>
      <c r="H852" s="705">
        <v>3611</v>
      </c>
      <c r="I852" s="705">
        <v>172846</v>
      </c>
      <c r="J852" s="705">
        <v>157133</v>
      </c>
      <c r="K852">
        <v>81</v>
      </c>
      <c r="L852" s="705">
        <v>43573</v>
      </c>
      <c r="M852" s="705">
        <v>37886</v>
      </c>
      <c r="N852" s="705">
        <v>29125</v>
      </c>
      <c r="O852" s="705">
        <v>10787</v>
      </c>
      <c r="P852" s="705">
        <v>8661</v>
      </c>
      <c r="Q852" s="705">
        <v>3208</v>
      </c>
      <c r="R852" s="705">
        <v>117863</v>
      </c>
      <c r="S852" s="705">
        <v>43653</v>
      </c>
      <c r="T852">
        <v>0</v>
      </c>
      <c r="U852">
        <v>0</v>
      </c>
      <c r="V852" s="705">
        <v>252666</v>
      </c>
      <c r="W852" s="705">
        <f t="shared" si="46"/>
        <v>252667</v>
      </c>
      <c r="X852" s="705">
        <f t="shared" si="47"/>
        <v>372068</v>
      </c>
      <c r="Y852" s="705"/>
      <c r="AI852" s="429"/>
    </row>
    <row r="853" spans="2:35">
      <c r="B853" t="s">
        <v>540</v>
      </c>
      <c r="C853" t="s">
        <v>118</v>
      </c>
      <c r="D853" t="s">
        <v>583</v>
      </c>
      <c r="E853" t="s">
        <v>583</v>
      </c>
      <c r="F853" s="705">
        <v>3056</v>
      </c>
      <c r="G853" s="705">
        <v>298297</v>
      </c>
      <c r="H853" s="705">
        <v>779319</v>
      </c>
      <c r="I853" s="705">
        <v>39639716</v>
      </c>
      <c r="J853" s="705">
        <v>36036105</v>
      </c>
      <c r="K853">
        <v>79</v>
      </c>
      <c r="L853" s="705">
        <v>9154824</v>
      </c>
      <c r="M853" s="705">
        <v>7888045</v>
      </c>
      <c r="N853" s="705">
        <v>6062814</v>
      </c>
      <c r="O853" s="705">
        <v>2245487</v>
      </c>
      <c r="P853" s="705">
        <v>1985087</v>
      </c>
      <c r="Q853" s="705">
        <v>735218</v>
      </c>
      <c r="R853" s="705">
        <v>14545314</v>
      </c>
      <c r="S853" s="705">
        <v>13223013</v>
      </c>
      <c r="T853" s="705">
        <v>5264163</v>
      </c>
      <c r="U853" s="705">
        <v>1949690</v>
      </c>
      <c r="V853" s="705">
        <v>62077557</v>
      </c>
      <c r="W853" s="705">
        <f t="shared" si="46"/>
        <v>62077558</v>
      </c>
      <c r="X853" s="705">
        <f t="shared" si="47"/>
        <v>76651918</v>
      </c>
      <c r="Y853" s="705"/>
      <c r="AI853" s="429"/>
    </row>
    <row r="854" spans="2:35">
      <c r="B854" t="s">
        <v>540</v>
      </c>
      <c r="C854" t="s">
        <v>118</v>
      </c>
      <c r="D854" t="s">
        <v>583</v>
      </c>
      <c r="E854" t="s">
        <v>666</v>
      </c>
      <c r="F854">
        <v>1</v>
      </c>
      <c r="G854">
        <v>80</v>
      </c>
      <c r="H854" s="705">
        <v>295</v>
      </c>
      <c r="I854" s="705">
        <v>11061</v>
      </c>
      <c r="J854" s="705">
        <v>10056</v>
      </c>
      <c r="K854">
        <v>79</v>
      </c>
      <c r="L854" s="705">
        <v>3073</v>
      </c>
      <c r="M854" s="705">
        <v>2793</v>
      </c>
      <c r="N854" s="705">
        <v>1713</v>
      </c>
      <c r="O854" s="705">
        <v>634</v>
      </c>
      <c r="P854" s="705">
        <v>621</v>
      </c>
      <c r="Q854" s="705">
        <v>230</v>
      </c>
      <c r="R854" s="705">
        <v>4376</v>
      </c>
      <c r="S854" s="705">
        <v>3978</v>
      </c>
      <c r="T854" s="705">
        <v>2883</v>
      </c>
      <c r="U854" s="705">
        <v>1068</v>
      </c>
      <c r="V854" s="705">
        <v>18759</v>
      </c>
      <c r="W854" s="705">
        <f t="shared" si="46"/>
        <v>18759</v>
      </c>
      <c r="X854" s="705">
        <f t="shared" si="47"/>
        <v>23727</v>
      </c>
      <c r="Y854" s="705"/>
      <c r="AI854" s="429"/>
    </row>
    <row r="855" spans="2:35">
      <c r="B855" t="s">
        <v>540</v>
      </c>
      <c r="C855" t="s">
        <v>118</v>
      </c>
      <c r="D855" t="s">
        <v>583</v>
      </c>
      <c r="E855" t="s">
        <v>584</v>
      </c>
      <c r="F855">
        <v>1</v>
      </c>
      <c r="G855">
        <v>104</v>
      </c>
      <c r="H855" s="705">
        <v>248</v>
      </c>
      <c r="I855" s="705">
        <v>15956</v>
      </c>
      <c r="J855" s="705">
        <v>14506</v>
      </c>
      <c r="K855">
        <v>79</v>
      </c>
      <c r="L855" s="705">
        <v>2111</v>
      </c>
      <c r="M855" s="705">
        <v>1919</v>
      </c>
      <c r="N855" s="705">
        <v>1897</v>
      </c>
      <c r="O855" s="705">
        <v>703</v>
      </c>
      <c r="P855" s="705">
        <v>621</v>
      </c>
      <c r="Q855" s="705">
        <v>230</v>
      </c>
      <c r="R855" s="705">
        <v>5128</v>
      </c>
      <c r="S855" s="705">
        <v>4662</v>
      </c>
      <c r="T855" s="705">
        <v>0</v>
      </c>
      <c r="U855" s="705">
        <v>0</v>
      </c>
      <c r="V855" s="705">
        <v>22019</v>
      </c>
      <c r="W855" s="705">
        <f t="shared" si="46"/>
        <v>22020</v>
      </c>
      <c r="X855" s="705">
        <f t="shared" si="47"/>
        <v>25713</v>
      </c>
      <c r="Y855" s="705"/>
      <c r="AI855" s="429"/>
    </row>
    <row r="856" spans="2:35">
      <c r="B856" t="s">
        <v>540</v>
      </c>
      <c r="C856" t="s">
        <v>118</v>
      </c>
      <c r="D856" t="s">
        <v>583</v>
      </c>
      <c r="E856" t="s">
        <v>669</v>
      </c>
      <c r="F856">
        <v>1</v>
      </c>
      <c r="G856">
        <v>134</v>
      </c>
      <c r="H856" s="705">
        <v>240</v>
      </c>
      <c r="I856" s="705">
        <v>16444</v>
      </c>
      <c r="J856" s="705">
        <v>14949</v>
      </c>
      <c r="K856">
        <v>70</v>
      </c>
      <c r="L856" s="705">
        <v>4050</v>
      </c>
      <c r="M856" s="705">
        <v>3682</v>
      </c>
      <c r="N856" s="705">
        <v>2929</v>
      </c>
      <c r="O856" s="705">
        <v>1085</v>
      </c>
      <c r="P856" s="705">
        <v>621</v>
      </c>
      <c r="Q856">
        <v>230</v>
      </c>
      <c r="R856" s="705">
        <v>5334</v>
      </c>
      <c r="S856" s="705">
        <v>4445</v>
      </c>
      <c r="T856" s="705">
        <v>2844</v>
      </c>
      <c r="U856" s="705">
        <v>1053</v>
      </c>
      <c r="V856" s="705">
        <v>25444</v>
      </c>
      <c r="W856" s="705">
        <f t="shared" si="46"/>
        <v>25444</v>
      </c>
      <c r="X856" s="705">
        <f t="shared" si="47"/>
        <v>32222</v>
      </c>
      <c r="Y856" s="705"/>
      <c r="AI856" s="429"/>
    </row>
    <row r="857" spans="2:35">
      <c r="B857" t="s">
        <v>540</v>
      </c>
      <c r="C857" t="s">
        <v>118</v>
      </c>
      <c r="D857" t="s">
        <v>583</v>
      </c>
      <c r="E857" t="s">
        <v>665</v>
      </c>
      <c r="F857">
        <v>1</v>
      </c>
      <c r="G857" s="705">
        <v>78</v>
      </c>
      <c r="H857" s="705">
        <v>287</v>
      </c>
      <c r="I857" s="705">
        <v>9523</v>
      </c>
      <c r="J857" s="705">
        <v>8657</v>
      </c>
      <c r="K857">
        <v>85</v>
      </c>
      <c r="L857" s="705">
        <v>1905</v>
      </c>
      <c r="M857" s="705">
        <v>1731</v>
      </c>
      <c r="N857" s="705">
        <v>1800</v>
      </c>
      <c r="O857" s="705">
        <v>667</v>
      </c>
      <c r="P857" s="705">
        <v>621</v>
      </c>
      <c r="Q857" s="705">
        <v>230</v>
      </c>
      <c r="R857" s="705">
        <v>6169</v>
      </c>
      <c r="S857" s="705">
        <v>5608</v>
      </c>
      <c r="T857" s="705">
        <v>2269</v>
      </c>
      <c r="U857" s="705">
        <v>840</v>
      </c>
      <c r="V857" s="705">
        <v>17734</v>
      </c>
      <c r="W857" s="705">
        <f t="shared" si="46"/>
        <v>17733</v>
      </c>
      <c r="X857" s="705">
        <f t="shared" si="47"/>
        <v>22287</v>
      </c>
      <c r="Y857" s="705"/>
      <c r="AI857" s="429"/>
    </row>
    <row r="858" spans="2:35">
      <c r="B858" t="s">
        <v>540</v>
      </c>
      <c r="C858" t="s">
        <v>118</v>
      </c>
      <c r="D858" t="s">
        <v>666</v>
      </c>
      <c r="E858" t="s">
        <v>228</v>
      </c>
      <c r="F858">
        <v>1</v>
      </c>
      <c r="G858" s="705">
        <v>83</v>
      </c>
      <c r="H858" s="705">
        <v>297</v>
      </c>
      <c r="I858" s="705">
        <v>14838</v>
      </c>
      <c r="J858" s="705">
        <v>13489</v>
      </c>
      <c r="K858">
        <v>55</v>
      </c>
      <c r="L858" s="705">
        <v>0</v>
      </c>
      <c r="M858" s="705">
        <v>0</v>
      </c>
      <c r="N858" s="705">
        <v>1713</v>
      </c>
      <c r="O858" s="705">
        <v>634</v>
      </c>
      <c r="P858" s="705">
        <v>351</v>
      </c>
      <c r="Q858" s="705">
        <v>130</v>
      </c>
      <c r="R858" s="705">
        <v>7772</v>
      </c>
      <c r="S858" s="705">
        <v>2879</v>
      </c>
      <c r="T858" s="705">
        <v>0</v>
      </c>
      <c r="U858">
        <v>0</v>
      </c>
      <c r="V858" s="705">
        <v>17132</v>
      </c>
      <c r="W858" s="705">
        <f t="shared" si="46"/>
        <v>17132</v>
      </c>
      <c r="X858" s="705">
        <f t="shared" si="47"/>
        <v>24674</v>
      </c>
      <c r="Y858" s="705"/>
      <c r="AI858" s="429"/>
    </row>
    <row r="859" spans="2:35">
      <c r="B859" t="s">
        <v>540</v>
      </c>
      <c r="C859" t="s">
        <v>118</v>
      </c>
      <c r="D859" t="s">
        <v>666</v>
      </c>
      <c r="E859" t="s">
        <v>666</v>
      </c>
      <c r="F859">
        <v>6</v>
      </c>
      <c r="G859" s="705">
        <v>548</v>
      </c>
      <c r="H859" s="705">
        <v>1519</v>
      </c>
      <c r="I859" s="705">
        <v>80009</v>
      </c>
      <c r="J859" s="705">
        <v>72736</v>
      </c>
      <c r="K859">
        <v>60</v>
      </c>
      <c r="L859" s="705">
        <v>9598</v>
      </c>
      <c r="M859" s="705">
        <v>8725</v>
      </c>
      <c r="N859" s="705">
        <v>9261</v>
      </c>
      <c r="O859" s="705">
        <v>3430</v>
      </c>
      <c r="P859" s="705">
        <v>2697</v>
      </c>
      <c r="Q859" s="705">
        <v>999</v>
      </c>
      <c r="R859" s="705">
        <v>33195</v>
      </c>
      <c r="S859" s="705">
        <v>30177</v>
      </c>
      <c r="T859" s="705">
        <v>4363</v>
      </c>
      <c r="U859" s="705">
        <v>1616</v>
      </c>
      <c r="V859" s="705">
        <v>117682</v>
      </c>
      <c r="W859" s="705">
        <f t="shared" si="46"/>
        <v>117683</v>
      </c>
      <c r="X859" s="705">
        <f t="shared" si="47"/>
        <v>139123</v>
      </c>
      <c r="Y859" s="705"/>
      <c r="AI859" s="429"/>
    </row>
    <row r="860" spans="2:35">
      <c r="B860" t="s">
        <v>540</v>
      </c>
      <c r="C860" t="s">
        <v>118</v>
      </c>
      <c r="D860" t="s">
        <v>584</v>
      </c>
      <c r="E860" t="s">
        <v>584</v>
      </c>
      <c r="F860">
        <v>256</v>
      </c>
      <c r="G860" s="705">
        <v>22533</v>
      </c>
      <c r="H860" s="705">
        <v>63212</v>
      </c>
      <c r="I860" s="705">
        <v>2879458</v>
      </c>
      <c r="J860" s="705">
        <v>2617689</v>
      </c>
      <c r="K860">
        <v>81</v>
      </c>
      <c r="L860" s="705">
        <v>823059</v>
      </c>
      <c r="M860" s="705">
        <v>718638</v>
      </c>
      <c r="N860" s="705">
        <v>461296</v>
      </c>
      <c r="O860" s="705">
        <v>170850</v>
      </c>
      <c r="P860" s="705">
        <v>124367</v>
      </c>
      <c r="Q860" s="705">
        <v>46062</v>
      </c>
      <c r="R860" s="705">
        <v>1213362</v>
      </c>
      <c r="S860" s="705">
        <v>1103056</v>
      </c>
      <c r="T860" s="705">
        <v>103376</v>
      </c>
      <c r="U860" s="705">
        <v>38287</v>
      </c>
      <c r="V860" s="705">
        <v>4694583</v>
      </c>
      <c r="W860" s="705">
        <f t="shared" si="46"/>
        <v>4694582</v>
      </c>
      <c r="X860" s="705">
        <f t="shared" si="47"/>
        <v>5604918</v>
      </c>
      <c r="Y860" s="705"/>
      <c r="AI860" s="429"/>
    </row>
    <row r="861" spans="2:35">
      <c r="B861" t="s">
        <v>540</v>
      </c>
      <c r="C861" t="s">
        <v>118</v>
      </c>
      <c r="D861" t="s">
        <v>669</v>
      </c>
      <c r="E861" t="s">
        <v>669</v>
      </c>
      <c r="F861">
        <v>26</v>
      </c>
      <c r="G861" s="705">
        <v>2251</v>
      </c>
      <c r="H861" s="705">
        <v>7229</v>
      </c>
      <c r="I861" s="705">
        <v>327210</v>
      </c>
      <c r="J861" s="705">
        <v>272675</v>
      </c>
      <c r="K861">
        <v>62</v>
      </c>
      <c r="L861" s="705">
        <v>46726</v>
      </c>
      <c r="M861" s="705">
        <v>38659</v>
      </c>
      <c r="N861" s="705">
        <v>43950</v>
      </c>
      <c r="O861" s="705">
        <v>16278</v>
      </c>
      <c r="P861" s="705">
        <v>12420</v>
      </c>
      <c r="Q861" s="705">
        <v>4600</v>
      </c>
      <c r="R861" s="705">
        <v>134514</v>
      </c>
      <c r="S861" s="705">
        <v>112095</v>
      </c>
      <c r="T861" s="705">
        <v>60276</v>
      </c>
      <c r="U861" s="705">
        <v>22325</v>
      </c>
      <c r="V861" s="705">
        <v>466632</v>
      </c>
      <c r="W861" s="705">
        <f t="shared" si="46"/>
        <v>466632</v>
      </c>
      <c r="X861" s="705">
        <f t="shared" si="47"/>
        <v>625096</v>
      </c>
      <c r="Y861" s="705"/>
      <c r="AI861" s="429"/>
    </row>
    <row r="862" spans="2:35">
      <c r="B862" t="s">
        <v>540</v>
      </c>
      <c r="C862" t="s">
        <v>118</v>
      </c>
      <c r="D862" t="s">
        <v>667</v>
      </c>
      <c r="E862" t="s">
        <v>228</v>
      </c>
      <c r="F862">
        <v>1</v>
      </c>
      <c r="G862" s="705">
        <v>83</v>
      </c>
      <c r="H862" s="705">
        <v>298</v>
      </c>
      <c r="I862" s="705">
        <v>10859</v>
      </c>
      <c r="J862" s="705">
        <v>9872</v>
      </c>
      <c r="K862">
        <v>65</v>
      </c>
      <c r="L862" s="705">
        <v>2614</v>
      </c>
      <c r="M862" s="705">
        <v>2377</v>
      </c>
      <c r="N862" s="705">
        <v>1013</v>
      </c>
      <c r="O862" s="705">
        <v>375</v>
      </c>
      <c r="P862" s="705">
        <v>0</v>
      </c>
      <c r="Q862" s="705">
        <v>0</v>
      </c>
      <c r="R862" s="705">
        <v>10294</v>
      </c>
      <c r="S862" s="705">
        <v>3813</v>
      </c>
      <c r="T862" s="705">
        <v>0</v>
      </c>
      <c r="U862" s="705">
        <v>0</v>
      </c>
      <c r="V862" s="705">
        <v>16437</v>
      </c>
      <c r="W862" s="705">
        <f t="shared" si="46"/>
        <v>16437</v>
      </c>
      <c r="X862" s="705">
        <f t="shared" si="47"/>
        <v>24780</v>
      </c>
      <c r="Y862" s="705"/>
      <c r="AI862" s="429"/>
    </row>
    <row r="863" spans="2:35">
      <c r="B863" t="s">
        <v>540</v>
      </c>
      <c r="C863" t="s">
        <v>118</v>
      </c>
      <c r="D863" t="s">
        <v>667</v>
      </c>
      <c r="E863" t="s">
        <v>667</v>
      </c>
      <c r="F863">
        <v>1</v>
      </c>
      <c r="G863" s="705">
        <v>104</v>
      </c>
      <c r="H863" s="705">
        <v>243</v>
      </c>
      <c r="I863" s="705">
        <v>13996</v>
      </c>
      <c r="J863" s="705">
        <v>12723</v>
      </c>
      <c r="K863">
        <v>65</v>
      </c>
      <c r="L863" s="705">
        <v>2481</v>
      </c>
      <c r="M863" s="705">
        <v>919</v>
      </c>
      <c r="N863" s="705">
        <v>2018</v>
      </c>
      <c r="O863" s="705">
        <v>748</v>
      </c>
      <c r="P863" s="705">
        <v>351</v>
      </c>
      <c r="Q863" s="705">
        <v>130</v>
      </c>
      <c r="R863" s="705">
        <v>3838</v>
      </c>
      <c r="S863" s="705">
        <v>3489</v>
      </c>
      <c r="T863" s="705">
        <v>2472</v>
      </c>
      <c r="U863">
        <v>916</v>
      </c>
      <c r="V863" s="705">
        <v>18925</v>
      </c>
      <c r="W863" s="705">
        <f t="shared" si="46"/>
        <v>18925</v>
      </c>
      <c r="X863" s="705">
        <f t="shared" si="47"/>
        <v>25156</v>
      </c>
      <c r="Y863" s="705"/>
      <c r="AI863" s="429"/>
    </row>
    <row r="864" spans="2:35">
      <c r="B864" t="s">
        <v>540</v>
      </c>
      <c r="C864" t="s">
        <v>118</v>
      </c>
      <c r="D864" t="s">
        <v>671</v>
      </c>
      <c r="E864" t="s">
        <v>671</v>
      </c>
      <c r="F864">
        <v>3</v>
      </c>
      <c r="G864" s="705">
        <v>234</v>
      </c>
      <c r="H864" s="705">
        <v>743</v>
      </c>
      <c r="I864" s="705">
        <v>28585</v>
      </c>
      <c r="J864" s="705">
        <v>25987</v>
      </c>
      <c r="K864">
        <v>62</v>
      </c>
      <c r="L864" s="705">
        <v>5595</v>
      </c>
      <c r="M864" s="705">
        <v>5087</v>
      </c>
      <c r="N864" s="705">
        <v>3824</v>
      </c>
      <c r="O864" s="705">
        <v>1416</v>
      </c>
      <c r="P864" s="705">
        <v>1053</v>
      </c>
      <c r="Q864" s="705">
        <v>390</v>
      </c>
      <c r="R864" s="705">
        <v>14080</v>
      </c>
      <c r="S864" s="705">
        <v>12800</v>
      </c>
      <c r="T864" s="705">
        <v>4855</v>
      </c>
      <c r="U864" s="705">
        <v>1798</v>
      </c>
      <c r="V864" s="705">
        <v>47477</v>
      </c>
      <c r="W864" s="705">
        <f t="shared" si="46"/>
        <v>47478</v>
      </c>
      <c r="X864" s="705">
        <f t="shared" si="47"/>
        <v>57992</v>
      </c>
      <c r="Y864" s="705"/>
      <c r="AI864" s="429"/>
    </row>
    <row r="865" spans="2:35">
      <c r="B865" t="s">
        <v>540</v>
      </c>
      <c r="C865" t="s">
        <v>118</v>
      </c>
      <c r="D865" t="s">
        <v>665</v>
      </c>
      <c r="E865" t="s">
        <v>228</v>
      </c>
      <c r="F865">
        <v>1</v>
      </c>
      <c r="G865" s="705">
        <v>464</v>
      </c>
      <c r="H865" s="705">
        <v>288</v>
      </c>
      <c r="I865" s="705">
        <v>109170</v>
      </c>
      <c r="J865" s="705">
        <v>99246</v>
      </c>
      <c r="K865">
        <v>60</v>
      </c>
      <c r="L865" s="705">
        <v>0</v>
      </c>
      <c r="M865" s="705">
        <v>0</v>
      </c>
      <c r="N865" s="705">
        <v>11305</v>
      </c>
      <c r="O865" s="705">
        <v>4187</v>
      </c>
      <c r="P865" s="705">
        <v>0</v>
      </c>
      <c r="Q865" s="705">
        <v>0</v>
      </c>
      <c r="R865" s="705">
        <v>13157</v>
      </c>
      <c r="S865" s="705">
        <v>4873</v>
      </c>
      <c r="T865" s="705">
        <v>0</v>
      </c>
      <c r="U865">
        <v>0</v>
      </c>
      <c r="V865" s="705">
        <v>108306</v>
      </c>
      <c r="W865" s="705">
        <f t="shared" si="46"/>
        <v>108306</v>
      </c>
      <c r="X865" s="705">
        <f t="shared" si="47"/>
        <v>133632</v>
      </c>
      <c r="Y865" s="705"/>
      <c r="AI865" s="429"/>
    </row>
    <row r="866" spans="2:35">
      <c r="B866" t="s">
        <v>540</v>
      </c>
      <c r="C866" t="s">
        <v>118</v>
      </c>
      <c r="D866" t="s">
        <v>665</v>
      </c>
      <c r="E866" t="s">
        <v>669</v>
      </c>
      <c r="F866">
        <v>1</v>
      </c>
      <c r="G866">
        <v>81</v>
      </c>
      <c r="H866">
        <v>277</v>
      </c>
      <c r="I866" s="705">
        <v>11457</v>
      </c>
      <c r="J866" s="705">
        <v>10416</v>
      </c>
      <c r="K866">
        <v>55</v>
      </c>
      <c r="L866" s="705">
        <v>1719</v>
      </c>
      <c r="M866">
        <v>637</v>
      </c>
      <c r="N866" s="705">
        <v>1482</v>
      </c>
      <c r="O866" s="705">
        <v>549</v>
      </c>
      <c r="P866" s="705">
        <v>351</v>
      </c>
      <c r="Q866" s="705">
        <v>130</v>
      </c>
      <c r="R866" s="705">
        <v>5288</v>
      </c>
      <c r="S866" s="705">
        <v>4407</v>
      </c>
      <c r="T866" s="705">
        <v>2136</v>
      </c>
      <c r="U866">
        <v>791</v>
      </c>
      <c r="V866" s="705">
        <v>16930</v>
      </c>
      <c r="W866" s="705">
        <f t="shared" si="46"/>
        <v>16930</v>
      </c>
      <c r="X866" s="705">
        <f t="shared" si="47"/>
        <v>22433</v>
      </c>
      <c r="Y866" s="705"/>
      <c r="AI866" s="429"/>
    </row>
    <row r="867" spans="2:35">
      <c r="B867" t="s">
        <v>540</v>
      </c>
      <c r="C867" t="s">
        <v>118</v>
      </c>
      <c r="D867" t="s">
        <v>665</v>
      </c>
      <c r="E867" t="s">
        <v>665</v>
      </c>
      <c r="F867">
        <v>89</v>
      </c>
      <c r="G867" s="705">
        <v>7935</v>
      </c>
      <c r="H867" s="705">
        <v>23621</v>
      </c>
      <c r="I867" s="705">
        <v>1129772</v>
      </c>
      <c r="J867" s="705">
        <v>1027065</v>
      </c>
      <c r="K867">
        <v>62</v>
      </c>
      <c r="L867" s="705">
        <v>153508</v>
      </c>
      <c r="M867" s="705">
        <v>123771</v>
      </c>
      <c r="N867" s="705">
        <v>152304</v>
      </c>
      <c r="O867" s="705">
        <v>56409</v>
      </c>
      <c r="P867" s="705">
        <v>38556</v>
      </c>
      <c r="Q867" s="705">
        <v>14280</v>
      </c>
      <c r="R867" s="705">
        <v>465140</v>
      </c>
      <c r="S867" s="705">
        <v>422854</v>
      </c>
      <c r="T867" s="705">
        <v>160740</v>
      </c>
      <c r="U867" s="705">
        <v>59533</v>
      </c>
      <c r="V867" s="705">
        <v>1703913</v>
      </c>
      <c r="W867" s="705">
        <f t="shared" si="46"/>
        <v>1703912</v>
      </c>
      <c r="X867" s="705">
        <f t="shared" si="47"/>
        <v>2100020</v>
      </c>
      <c r="Y867" s="705"/>
      <c r="AI867" s="429"/>
    </row>
    <row r="868" spans="2:35">
      <c r="B868" t="s">
        <v>540</v>
      </c>
      <c r="C868" t="s">
        <v>118</v>
      </c>
      <c r="D868" t="s">
        <v>673</v>
      </c>
      <c r="E868" t="s">
        <v>673</v>
      </c>
      <c r="F868">
        <v>3</v>
      </c>
      <c r="G868" s="705">
        <v>274</v>
      </c>
      <c r="H868" s="705">
        <v>762</v>
      </c>
      <c r="I868" s="705">
        <v>41371</v>
      </c>
      <c r="J868" s="705">
        <v>37610</v>
      </c>
      <c r="K868">
        <v>57</v>
      </c>
      <c r="L868" s="705">
        <v>3557</v>
      </c>
      <c r="M868" s="705">
        <v>2036</v>
      </c>
      <c r="N868" s="705">
        <v>5820</v>
      </c>
      <c r="O868" s="705">
        <v>2156</v>
      </c>
      <c r="P868" s="705">
        <v>1053</v>
      </c>
      <c r="Q868" s="705">
        <v>390</v>
      </c>
      <c r="R868" s="705">
        <v>14566</v>
      </c>
      <c r="S868" s="705">
        <v>13242</v>
      </c>
      <c r="T868" s="705">
        <v>7844</v>
      </c>
      <c r="U868" s="705">
        <v>2905</v>
      </c>
      <c r="V868" s="705">
        <v>58338</v>
      </c>
      <c r="W868" s="705">
        <f t="shared" si="46"/>
        <v>58339</v>
      </c>
      <c r="X868" s="705">
        <f t="shared" si="47"/>
        <v>74211</v>
      </c>
      <c r="Y868" s="705"/>
      <c r="AI868" s="429"/>
    </row>
    <row r="869" spans="2:35">
      <c r="B869" t="s">
        <v>540</v>
      </c>
      <c r="C869" t="s">
        <v>120</v>
      </c>
      <c r="F869">
        <v>3</v>
      </c>
      <c r="G869">
        <v>370</v>
      </c>
      <c r="H869" s="705">
        <v>1009</v>
      </c>
      <c r="I869" s="705"/>
      <c r="J869" s="705">
        <v>0</v>
      </c>
      <c r="L869" s="705"/>
      <c r="M869" s="705">
        <v>0</v>
      </c>
      <c r="N869" s="705">
        <v>6796</v>
      </c>
      <c r="O869" s="705">
        <v>2517</v>
      </c>
      <c r="P869" s="705">
        <v>1863</v>
      </c>
      <c r="Q869">
        <v>690</v>
      </c>
      <c r="R869" s="705"/>
      <c r="S869" s="705">
        <v>0</v>
      </c>
      <c r="T869">
        <v>0</v>
      </c>
      <c r="U869">
        <v>0</v>
      </c>
      <c r="V869" s="705">
        <v>3207</v>
      </c>
      <c r="W869" s="705">
        <f t="shared" si="46"/>
        <v>3207</v>
      </c>
      <c r="X869" s="705">
        <f t="shared" si="47"/>
        <v>8659</v>
      </c>
      <c r="Y869" s="705"/>
      <c r="AI869" s="429"/>
    </row>
    <row r="870" spans="2:35">
      <c r="B870" t="s">
        <v>540</v>
      </c>
      <c r="C870" t="s">
        <v>120</v>
      </c>
      <c r="D870" t="s">
        <v>674</v>
      </c>
      <c r="E870" t="s">
        <v>674</v>
      </c>
      <c r="F870">
        <v>2</v>
      </c>
      <c r="G870" s="705">
        <v>167</v>
      </c>
      <c r="H870" s="705">
        <v>614</v>
      </c>
      <c r="I870" s="705">
        <v>28594</v>
      </c>
      <c r="J870" s="705">
        <v>25995</v>
      </c>
      <c r="K870">
        <v>55</v>
      </c>
      <c r="L870" s="705">
        <v>1602</v>
      </c>
      <c r="M870" s="705">
        <v>2769</v>
      </c>
      <c r="N870" s="705">
        <v>3367</v>
      </c>
      <c r="O870" s="705">
        <v>1247</v>
      </c>
      <c r="P870">
        <v>702</v>
      </c>
      <c r="Q870">
        <v>260</v>
      </c>
      <c r="R870" s="705">
        <v>11111</v>
      </c>
      <c r="S870" s="705">
        <v>10101</v>
      </c>
      <c r="T870" s="705">
        <v>5757</v>
      </c>
      <c r="U870" s="705">
        <v>2132</v>
      </c>
      <c r="V870" s="705">
        <v>42504</v>
      </c>
      <c r="W870" s="705">
        <f t="shared" si="46"/>
        <v>42504</v>
      </c>
      <c r="X870" s="705">
        <f t="shared" si="47"/>
        <v>51133</v>
      </c>
      <c r="Y870" s="705"/>
      <c r="AI870" s="429"/>
    </row>
    <row r="871" spans="2:35">
      <c r="B871" t="s">
        <v>540</v>
      </c>
      <c r="C871" t="s">
        <v>120</v>
      </c>
      <c r="D871" t="s">
        <v>664</v>
      </c>
      <c r="E871" t="s">
        <v>664</v>
      </c>
      <c r="F871">
        <v>7</v>
      </c>
      <c r="G871" s="705">
        <v>723</v>
      </c>
      <c r="H871" s="705">
        <v>2355</v>
      </c>
      <c r="I871" s="705">
        <v>146610</v>
      </c>
      <c r="J871" s="705">
        <v>133282</v>
      </c>
      <c r="K871">
        <v>75</v>
      </c>
      <c r="L871" s="705">
        <v>33140</v>
      </c>
      <c r="M871" s="705">
        <v>25803</v>
      </c>
      <c r="N871" s="705">
        <v>14310</v>
      </c>
      <c r="O871" s="705">
        <v>5300</v>
      </c>
      <c r="P871" s="705">
        <v>3308</v>
      </c>
      <c r="Q871" s="705">
        <v>1225</v>
      </c>
      <c r="R871" s="705">
        <v>37301</v>
      </c>
      <c r="S871" s="705">
        <v>33910</v>
      </c>
      <c r="T871" s="705">
        <v>10010</v>
      </c>
      <c r="U871" s="705">
        <v>3707</v>
      </c>
      <c r="V871" s="705">
        <v>203228</v>
      </c>
      <c r="W871" s="705">
        <f t="shared" si="46"/>
        <v>203227</v>
      </c>
      <c r="X871" s="705">
        <f t="shared" si="47"/>
        <v>244679</v>
      </c>
      <c r="Y871" s="705"/>
      <c r="AI871" s="429"/>
    </row>
    <row r="872" spans="2:35">
      <c r="B872" t="s">
        <v>540</v>
      </c>
      <c r="C872" t="s">
        <v>120</v>
      </c>
      <c r="D872" t="s">
        <v>582</v>
      </c>
      <c r="E872" t="s">
        <v>664</v>
      </c>
      <c r="F872" s="705">
        <v>1</v>
      </c>
      <c r="G872" s="705">
        <v>90</v>
      </c>
      <c r="H872" s="705">
        <v>305</v>
      </c>
      <c r="I872" s="705">
        <v>14350</v>
      </c>
      <c r="J872" s="705">
        <v>13045</v>
      </c>
      <c r="K872">
        <v>65</v>
      </c>
      <c r="L872" s="705">
        <v>3285</v>
      </c>
      <c r="M872" s="705">
        <v>2986</v>
      </c>
      <c r="N872" s="705">
        <v>2096</v>
      </c>
      <c r="O872" s="705">
        <v>776</v>
      </c>
      <c r="P872" s="705">
        <v>473</v>
      </c>
      <c r="Q872" s="705">
        <v>175</v>
      </c>
      <c r="R872" s="705">
        <v>4707</v>
      </c>
      <c r="S872" s="705">
        <v>4279</v>
      </c>
      <c r="T872" s="705">
        <v>2427</v>
      </c>
      <c r="U872" s="705">
        <v>899</v>
      </c>
      <c r="V872" s="705">
        <v>22161</v>
      </c>
      <c r="W872" s="705">
        <f t="shared" si="46"/>
        <v>22160</v>
      </c>
      <c r="X872" s="705">
        <f t="shared" si="47"/>
        <v>27338</v>
      </c>
      <c r="Y872" s="705"/>
      <c r="AI872" s="429"/>
    </row>
    <row r="873" spans="2:35">
      <c r="B873" t="s">
        <v>540</v>
      </c>
      <c r="C873" t="s">
        <v>120</v>
      </c>
      <c r="D873" t="s">
        <v>582</v>
      </c>
      <c r="E873" t="s">
        <v>582</v>
      </c>
      <c r="F873">
        <v>7</v>
      </c>
      <c r="G873" s="705">
        <v>875</v>
      </c>
      <c r="H873" s="705">
        <v>2326</v>
      </c>
      <c r="I873" s="705">
        <v>180116</v>
      </c>
      <c r="J873" s="705">
        <v>163742</v>
      </c>
      <c r="K873">
        <v>76</v>
      </c>
      <c r="L873" s="705">
        <v>36615</v>
      </c>
      <c r="M873" s="705">
        <v>33000</v>
      </c>
      <c r="N873" s="705">
        <v>18708</v>
      </c>
      <c r="O873" s="705">
        <v>6929</v>
      </c>
      <c r="P873" s="705">
        <v>3213</v>
      </c>
      <c r="Q873" s="705">
        <v>1190</v>
      </c>
      <c r="R873" s="705">
        <v>41883</v>
      </c>
      <c r="S873" s="705">
        <v>38075</v>
      </c>
      <c r="T873" s="705">
        <v>10080</v>
      </c>
      <c r="U873" s="705">
        <v>3733</v>
      </c>
      <c r="V873" s="705">
        <v>246670</v>
      </c>
      <c r="W873" s="705">
        <f t="shared" si="46"/>
        <v>246669</v>
      </c>
      <c r="X873" s="705">
        <f t="shared" si="47"/>
        <v>290615</v>
      </c>
      <c r="Y873" s="705"/>
      <c r="AI873" s="429"/>
    </row>
    <row r="874" spans="2:35">
      <c r="B874" t="s">
        <v>540</v>
      </c>
      <c r="C874" t="s">
        <v>120</v>
      </c>
      <c r="D874" t="s">
        <v>228</v>
      </c>
      <c r="E874" t="s">
        <v>228</v>
      </c>
      <c r="F874">
        <v>399</v>
      </c>
      <c r="G874" s="705">
        <v>33541</v>
      </c>
      <c r="H874" s="705">
        <v>134822</v>
      </c>
      <c r="I874" s="705">
        <v>6973089</v>
      </c>
      <c r="J874" s="705">
        <v>2582625</v>
      </c>
      <c r="K874">
        <v>100</v>
      </c>
      <c r="L874" s="705">
        <v>1046752</v>
      </c>
      <c r="M874" s="705">
        <v>668989</v>
      </c>
      <c r="N874" s="705">
        <v>686055</v>
      </c>
      <c r="O874" s="705">
        <v>254094</v>
      </c>
      <c r="P874" s="705">
        <v>6270</v>
      </c>
      <c r="Q874" s="705">
        <v>2322</v>
      </c>
      <c r="R874" s="705">
        <v>2786415</v>
      </c>
      <c r="S874" s="705">
        <v>1032006</v>
      </c>
      <c r="T874" s="705">
        <v>5509</v>
      </c>
      <c r="U874" s="705">
        <v>2040</v>
      </c>
      <c r="V874" s="705">
        <v>4542076</v>
      </c>
      <c r="W874" s="705">
        <f t="shared" si="46"/>
        <v>4542076</v>
      </c>
      <c r="X874" s="705">
        <f t="shared" si="47"/>
        <v>11504090</v>
      </c>
      <c r="Y874" s="705"/>
      <c r="AI874" s="429"/>
    </row>
    <row r="875" spans="2:35">
      <c r="B875" t="s">
        <v>540</v>
      </c>
      <c r="C875" t="s">
        <v>120</v>
      </c>
      <c r="D875" t="s">
        <v>228</v>
      </c>
      <c r="E875" t="s">
        <v>584</v>
      </c>
      <c r="F875">
        <v>1</v>
      </c>
      <c r="G875">
        <v>156</v>
      </c>
      <c r="H875">
        <v>364</v>
      </c>
      <c r="I875" s="705">
        <v>35835</v>
      </c>
      <c r="J875" s="705">
        <v>13272</v>
      </c>
      <c r="K875">
        <v>100</v>
      </c>
      <c r="L875" s="705">
        <v>8959</v>
      </c>
      <c r="M875" s="705">
        <v>3318</v>
      </c>
      <c r="N875" s="705">
        <v>2399</v>
      </c>
      <c r="O875" s="705">
        <v>889</v>
      </c>
      <c r="P875" s="705">
        <v>122</v>
      </c>
      <c r="Q875" s="705">
        <v>45</v>
      </c>
      <c r="R875" s="705">
        <v>9622</v>
      </c>
      <c r="S875" s="705">
        <v>8747</v>
      </c>
      <c r="T875" s="705">
        <v>0</v>
      </c>
      <c r="U875" s="705">
        <v>0</v>
      </c>
      <c r="V875" s="705">
        <v>26271</v>
      </c>
      <c r="W875" s="705">
        <f t="shared" si="46"/>
        <v>26271</v>
      </c>
      <c r="X875" s="705">
        <f t="shared" si="47"/>
        <v>56937</v>
      </c>
      <c r="Y875" s="705"/>
      <c r="AI875" s="429"/>
    </row>
    <row r="876" spans="2:35">
      <c r="B876" t="s">
        <v>540</v>
      </c>
      <c r="C876" t="s">
        <v>120</v>
      </c>
      <c r="D876" t="s">
        <v>228</v>
      </c>
      <c r="E876" t="s">
        <v>669</v>
      </c>
      <c r="F876">
        <v>2</v>
      </c>
      <c r="G876" s="705">
        <v>153</v>
      </c>
      <c r="H876" s="705">
        <v>669</v>
      </c>
      <c r="I876" s="705">
        <v>28327</v>
      </c>
      <c r="J876" s="705">
        <v>10492</v>
      </c>
      <c r="K876">
        <v>100</v>
      </c>
      <c r="L876" s="705">
        <v>4146</v>
      </c>
      <c r="M876" s="705">
        <v>3455</v>
      </c>
      <c r="N876" s="705">
        <v>3125</v>
      </c>
      <c r="O876" s="705">
        <v>1157</v>
      </c>
      <c r="P876" s="705">
        <v>351</v>
      </c>
      <c r="Q876" s="705">
        <v>130</v>
      </c>
      <c r="R876" s="705">
        <v>10594</v>
      </c>
      <c r="S876" s="705">
        <v>8828</v>
      </c>
      <c r="T876" s="705">
        <v>4494</v>
      </c>
      <c r="U876" s="705">
        <v>1664</v>
      </c>
      <c r="V876" s="705">
        <v>25727</v>
      </c>
      <c r="W876" s="705">
        <f t="shared" si="46"/>
        <v>25726</v>
      </c>
      <c r="X876" s="705">
        <f t="shared" si="47"/>
        <v>51037</v>
      </c>
      <c r="Y876" s="705"/>
      <c r="AI876" s="429"/>
    </row>
    <row r="877" spans="2:35">
      <c r="B877" t="s">
        <v>540</v>
      </c>
      <c r="C877" t="s">
        <v>120</v>
      </c>
      <c r="D877" t="s">
        <v>228</v>
      </c>
      <c r="E877" t="s">
        <v>671</v>
      </c>
      <c r="F877">
        <v>1</v>
      </c>
      <c r="G877">
        <v>75</v>
      </c>
      <c r="H877" s="705">
        <v>347</v>
      </c>
      <c r="I877" s="705">
        <v>14602</v>
      </c>
      <c r="J877" s="705">
        <v>5408</v>
      </c>
      <c r="K877">
        <v>100</v>
      </c>
      <c r="L877" s="705">
        <v>1469</v>
      </c>
      <c r="M877" s="705">
        <v>1335</v>
      </c>
      <c r="N877" s="705">
        <v>911</v>
      </c>
      <c r="O877" s="705">
        <v>337</v>
      </c>
      <c r="P877" s="705">
        <v>0</v>
      </c>
      <c r="Q877" s="705">
        <v>0</v>
      </c>
      <c r="R877" s="705">
        <v>6504</v>
      </c>
      <c r="S877" s="705">
        <v>5913</v>
      </c>
      <c r="T877" s="705">
        <v>2451</v>
      </c>
      <c r="U877">
        <v>908</v>
      </c>
      <c r="V877" s="705">
        <v>13902</v>
      </c>
      <c r="W877" s="705">
        <f t="shared" si="46"/>
        <v>13901</v>
      </c>
      <c r="X877" s="705">
        <f t="shared" si="47"/>
        <v>25937</v>
      </c>
      <c r="Y877" s="705"/>
      <c r="AI877" s="429"/>
    </row>
    <row r="878" spans="2:35">
      <c r="B878" t="s">
        <v>540</v>
      </c>
      <c r="C878" t="s">
        <v>120</v>
      </c>
      <c r="D878" t="s">
        <v>228</v>
      </c>
      <c r="E878" t="s">
        <v>665</v>
      </c>
      <c r="F878">
        <v>10</v>
      </c>
      <c r="G878">
        <v>720</v>
      </c>
      <c r="H878" s="705">
        <v>3453</v>
      </c>
      <c r="I878" s="705">
        <v>140904</v>
      </c>
      <c r="J878" s="705">
        <v>52187</v>
      </c>
      <c r="K878">
        <v>100</v>
      </c>
      <c r="L878" s="705">
        <v>18772</v>
      </c>
      <c r="M878" s="705">
        <v>13584</v>
      </c>
      <c r="N878" s="705">
        <v>13325</v>
      </c>
      <c r="O878" s="705">
        <v>4935</v>
      </c>
      <c r="P878">
        <v>351</v>
      </c>
      <c r="Q878">
        <v>130</v>
      </c>
      <c r="R878" s="705">
        <v>54571</v>
      </c>
      <c r="S878" s="705">
        <v>49610</v>
      </c>
      <c r="T878" s="705">
        <v>18682</v>
      </c>
      <c r="U878" s="705">
        <v>6919</v>
      </c>
      <c r="V878" s="705">
        <v>127364</v>
      </c>
      <c r="W878" s="705">
        <f t="shared" si="46"/>
        <v>127365</v>
      </c>
      <c r="X878" s="705">
        <f t="shared" si="47"/>
        <v>246605</v>
      </c>
      <c r="Y878" s="705"/>
      <c r="AI878" s="429"/>
    </row>
    <row r="879" spans="2:35">
      <c r="B879" t="s">
        <v>540</v>
      </c>
      <c r="C879" t="s">
        <v>120</v>
      </c>
      <c r="D879" t="s">
        <v>583</v>
      </c>
      <c r="E879" t="s">
        <v>664</v>
      </c>
      <c r="F879" s="705">
        <v>1</v>
      </c>
      <c r="G879" s="705">
        <v>43</v>
      </c>
      <c r="H879" s="705">
        <v>324</v>
      </c>
      <c r="I879" s="705">
        <v>5101</v>
      </c>
      <c r="J879" s="705">
        <v>4638</v>
      </c>
      <c r="K879">
        <v>83</v>
      </c>
      <c r="L879" s="705">
        <v>993</v>
      </c>
      <c r="M879" s="705">
        <v>902</v>
      </c>
      <c r="N879" s="705">
        <v>945</v>
      </c>
      <c r="O879" s="705">
        <v>350</v>
      </c>
      <c r="P879" s="705">
        <v>972</v>
      </c>
      <c r="Q879" s="705">
        <v>360</v>
      </c>
      <c r="R879" s="705">
        <v>3614</v>
      </c>
      <c r="S879" s="705">
        <v>3286</v>
      </c>
      <c r="T879" s="705">
        <v>2358</v>
      </c>
      <c r="U879" s="705">
        <v>873</v>
      </c>
      <c r="V879" s="705">
        <v>10409</v>
      </c>
      <c r="W879" s="705">
        <f t="shared" si="46"/>
        <v>10409</v>
      </c>
      <c r="X879" s="705">
        <f t="shared" si="47"/>
        <v>13983</v>
      </c>
      <c r="Y879" s="705"/>
      <c r="AI879" s="429"/>
    </row>
    <row r="880" spans="2:35">
      <c r="B880" t="s">
        <v>540</v>
      </c>
      <c r="C880" t="s">
        <v>120</v>
      </c>
      <c r="D880" t="s">
        <v>583</v>
      </c>
      <c r="E880" t="s">
        <v>228</v>
      </c>
      <c r="F880">
        <v>9</v>
      </c>
      <c r="G880">
        <v>666</v>
      </c>
      <c r="H880" s="705">
        <v>3030</v>
      </c>
      <c r="I880" s="705">
        <v>112231</v>
      </c>
      <c r="J880" s="705">
        <v>102028</v>
      </c>
      <c r="K880">
        <v>85</v>
      </c>
      <c r="L880" s="705">
        <v>32327</v>
      </c>
      <c r="M880" s="705">
        <v>22435</v>
      </c>
      <c r="N880" s="705">
        <v>13587</v>
      </c>
      <c r="O880" s="705">
        <v>5032</v>
      </c>
      <c r="P880" s="705">
        <v>5589</v>
      </c>
      <c r="Q880" s="705">
        <v>2070</v>
      </c>
      <c r="R880" s="705">
        <v>61611</v>
      </c>
      <c r="S880" s="705">
        <v>22819</v>
      </c>
      <c r="T880">
        <v>0</v>
      </c>
      <c r="U880">
        <v>0</v>
      </c>
      <c r="V880" s="705">
        <v>154384</v>
      </c>
      <c r="W880" s="705">
        <f t="shared" si="46"/>
        <v>154384</v>
      </c>
      <c r="X880" s="705">
        <f t="shared" si="47"/>
        <v>225345</v>
      </c>
      <c r="Y880" s="705"/>
      <c r="AI880" s="429"/>
    </row>
    <row r="881" spans="2:35">
      <c r="B881" t="s">
        <v>540</v>
      </c>
      <c r="C881" t="s">
        <v>120</v>
      </c>
      <c r="D881" t="s">
        <v>583</v>
      </c>
      <c r="E881" t="s">
        <v>583</v>
      </c>
      <c r="F881">
        <v>773</v>
      </c>
      <c r="G881" s="705">
        <v>72277</v>
      </c>
      <c r="H881" s="705">
        <v>258567</v>
      </c>
      <c r="I881" s="705">
        <v>14226203</v>
      </c>
      <c r="J881" s="705">
        <v>12932911</v>
      </c>
      <c r="K881">
        <v>76</v>
      </c>
      <c r="L881" s="705">
        <v>3029454</v>
      </c>
      <c r="M881" s="705">
        <v>2576832</v>
      </c>
      <c r="N881" s="705">
        <v>1511831</v>
      </c>
      <c r="O881" s="705">
        <v>559937</v>
      </c>
      <c r="P881" s="705">
        <v>501126</v>
      </c>
      <c r="Q881" s="705">
        <v>185602</v>
      </c>
      <c r="R881" s="705">
        <v>3730743</v>
      </c>
      <c r="S881" s="705">
        <v>3391585</v>
      </c>
      <c r="T881" s="705">
        <v>1340421</v>
      </c>
      <c r="U881" s="705">
        <v>496452</v>
      </c>
      <c r="V881" s="705">
        <v>20143320</v>
      </c>
      <c r="W881" s="705">
        <f t="shared" si="46"/>
        <v>20143319</v>
      </c>
      <c r="X881" s="705">
        <f t="shared" si="47"/>
        <v>24339778</v>
      </c>
      <c r="Y881" s="705"/>
      <c r="AI881" s="429"/>
    </row>
    <row r="882" spans="2:35">
      <c r="B882" t="s">
        <v>540</v>
      </c>
      <c r="C882" t="s">
        <v>120</v>
      </c>
      <c r="D882" t="s">
        <v>583</v>
      </c>
      <c r="E882" t="s">
        <v>665</v>
      </c>
      <c r="F882">
        <v>1</v>
      </c>
      <c r="G882" s="705">
        <v>83</v>
      </c>
      <c r="H882" s="705">
        <v>352</v>
      </c>
      <c r="I882" s="705">
        <v>17231</v>
      </c>
      <c r="J882" s="705">
        <v>15665</v>
      </c>
      <c r="K882">
        <v>86</v>
      </c>
      <c r="L882" s="705">
        <v>2834</v>
      </c>
      <c r="M882" s="705">
        <v>2576</v>
      </c>
      <c r="N882" s="705">
        <v>1992</v>
      </c>
      <c r="O882" s="705">
        <v>738</v>
      </c>
      <c r="P882" s="705">
        <v>621</v>
      </c>
      <c r="Q882" s="705">
        <v>230</v>
      </c>
      <c r="R882" s="705">
        <v>4353</v>
      </c>
      <c r="S882" s="705">
        <v>3957</v>
      </c>
      <c r="T882" s="705">
        <v>2206</v>
      </c>
      <c r="U882" s="705">
        <v>817</v>
      </c>
      <c r="V882" s="705">
        <v>23982</v>
      </c>
      <c r="W882" s="705">
        <f t="shared" si="46"/>
        <v>23983</v>
      </c>
      <c r="X882" s="705">
        <f t="shared" si="47"/>
        <v>29237</v>
      </c>
      <c r="Y882" s="705"/>
      <c r="AI882" s="429"/>
    </row>
    <row r="883" spans="2:35">
      <c r="B883" t="s">
        <v>540</v>
      </c>
      <c r="C883" t="s">
        <v>120</v>
      </c>
      <c r="D883" t="s">
        <v>666</v>
      </c>
      <c r="E883" t="s">
        <v>228</v>
      </c>
      <c r="F883">
        <v>1</v>
      </c>
      <c r="G883">
        <v>42</v>
      </c>
      <c r="H883" s="705">
        <v>349</v>
      </c>
      <c r="I883" s="705">
        <v>6485</v>
      </c>
      <c r="J883" s="705">
        <v>5896</v>
      </c>
      <c r="K883">
        <v>60</v>
      </c>
      <c r="L883" s="705">
        <v>2388</v>
      </c>
      <c r="M883" s="705">
        <v>884</v>
      </c>
      <c r="N883" s="705">
        <v>709</v>
      </c>
      <c r="O883" s="705">
        <v>262</v>
      </c>
      <c r="P883" s="705">
        <v>0</v>
      </c>
      <c r="Q883" s="705">
        <v>0</v>
      </c>
      <c r="R883" s="705">
        <v>4918</v>
      </c>
      <c r="S883" s="705">
        <v>1821</v>
      </c>
      <c r="T883" s="705">
        <v>0</v>
      </c>
      <c r="U883" s="705">
        <v>0</v>
      </c>
      <c r="V883" s="705">
        <v>8864</v>
      </c>
      <c r="W883" s="705">
        <f t="shared" si="46"/>
        <v>8863</v>
      </c>
      <c r="X883" s="705">
        <f t="shared" si="47"/>
        <v>14500</v>
      </c>
      <c r="Y883" s="705"/>
      <c r="AI883" s="429"/>
    </row>
    <row r="884" spans="2:35">
      <c r="B884" t="s">
        <v>540</v>
      </c>
      <c r="C884" t="s">
        <v>120</v>
      </c>
      <c r="D884" t="s">
        <v>666</v>
      </c>
      <c r="E884" t="s">
        <v>666</v>
      </c>
      <c r="F884">
        <v>6</v>
      </c>
      <c r="G884" s="705">
        <v>457</v>
      </c>
      <c r="H884" s="705">
        <v>2076</v>
      </c>
      <c r="I884" s="705">
        <v>86351</v>
      </c>
      <c r="J884" s="705">
        <v>78501</v>
      </c>
      <c r="K884">
        <v>54</v>
      </c>
      <c r="L884" s="705">
        <v>11616</v>
      </c>
      <c r="M884" s="705">
        <v>9462</v>
      </c>
      <c r="N884" s="705">
        <v>9020</v>
      </c>
      <c r="O884" s="705">
        <v>3341</v>
      </c>
      <c r="P884" s="705">
        <v>2106</v>
      </c>
      <c r="Q884" s="705">
        <v>780</v>
      </c>
      <c r="R884" s="705">
        <v>40053</v>
      </c>
      <c r="S884" s="705">
        <v>36412</v>
      </c>
      <c r="T884" s="705">
        <v>9571</v>
      </c>
      <c r="U884" s="705">
        <v>3545</v>
      </c>
      <c r="V884" s="705">
        <v>132041</v>
      </c>
      <c r="W884" s="705">
        <f t="shared" si="46"/>
        <v>132041</v>
      </c>
      <c r="X884" s="705">
        <f t="shared" si="47"/>
        <v>158717</v>
      </c>
      <c r="Y884" s="705"/>
      <c r="AI884" s="429"/>
    </row>
    <row r="885" spans="2:35">
      <c r="B885" t="s">
        <v>540</v>
      </c>
      <c r="C885" t="s">
        <v>120</v>
      </c>
      <c r="D885" t="s">
        <v>584</v>
      </c>
      <c r="E885" t="s">
        <v>228</v>
      </c>
      <c r="F885">
        <v>2</v>
      </c>
      <c r="G885" s="705">
        <v>288</v>
      </c>
      <c r="H885" s="705">
        <v>662</v>
      </c>
      <c r="I885" s="705">
        <v>68121</v>
      </c>
      <c r="J885" s="705">
        <v>61928</v>
      </c>
      <c r="K885">
        <v>79</v>
      </c>
      <c r="L885" s="705">
        <v>3702</v>
      </c>
      <c r="M885" s="705">
        <v>3366</v>
      </c>
      <c r="N885" s="705">
        <v>7024</v>
      </c>
      <c r="O885" s="705">
        <v>2602</v>
      </c>
      <c r="P885" s="705">
        <v>945</v>
      </c>
      <c r="Q885" s="705">
        <v>350</v>
      </c>
      <c r="R885" s="705">
        <v>15119</v>
      </c>
      <c r="S885" s="705">
        <v>5600</v>
      </c>
      <c r="T885" s="705">
        <v>0</v>
      </c>
      <c r="U885" s="705">
        <v>0</v>
      </c>
      <c r="V885" s="705">
        <v>73845</v>
      </c>
      <c r="W885" s="705">
        <f t="shared" si="46"/>
        <v>73846</v>
      </c>
      <c r="X885" s="705">
        <f t="shared" si="47"/>
        <v>94911</v>
      </c>
      <c r="Y885" s="705"/>
      <c r="AI885" s="429"/>
    </row>
    <row r="886" spans="2:35">
      <c r="B886" t="s">
        <v>540</v>
      </c>
      <c r="C886" t="s">
        <v>120</v>
      </c>
      <c r="D886" t="s">
        <v>584</v>
      </c>
      <c r="E886" t="s">
        <v>584</v>
      </c>
      <c r="F886">
        <v>33</v>
      </c>
      <c r="G886" s="705">
        <v>3209</v>
      </c>
      <c r="H886" s="705">
        <v>11232</v>
      </c>
      <c r="I886" s="705">
        <v>716261</v>
      </c>
      <c r="J886" s="705">
        <v>651147</v>
      </c>
      <c r="K886">
        <v>76</v>
      </c>
      <c r="L886" s="705">
        <v>136169</v>
      </c>
      <c r="M886" s="705">
        <v>118296</v>
      </c>
      <c r="N886" s="705">
        <v>71607</v>
      </c>
      <c r="O886" s="705">
        <v>26521</v>
      </c>
      <c r="P886" s="705">
        <v>15350</v>
      </c>
      <c r="Q886" s="705">
        <v>5685</v>
      </c>
      <c r="R886" s="705">
        <v>145782</v>
      </c>
      <c r="S886" s="705">
        <v>132529</v>
      </c>
      <c r="T886" s="705">
        <v>44960</v>
      </c>
      <c r="U886" s="705">
        <v>16652</v>
      </c>
      <c r="V886" s="705">
        <v>950829</v>
      </c>
      <c r="W886" s="705">
        <f t="shared" si="46"/>
        <v>950830</v>
      </c>
      <c r="X886" s="705">
        <f t="shared" si="47"/>
        <v>1130129</v>
      </c>
      <c r="Y886" s="705"/>
      <c r="AI886" s="429"/>
    </row>
    <row r="887" spans="2:35">
      <c r="B887" t="s">
        <v>540</v>
      </c>
      <c r="C887" t="s">
        <v>120</v>
      </c>
      <c r="D887" t="s">
        <v>669</v>
      </c>
      <c r="E887" t="s">
        <v>669</v>
      </c>
      <c r="F887">
        <v>221</v>
      </c>
      <c r="G887" s="705">
        <v>18459</v>
      </c>
      <c r="H887" s="705">
        <v>78321</v>
      </c>
      <c r="I887" s="705">
        <v>3596055</v>
      </c>
      <c r="J887" s="705">
        <v>2996713</v>
      </c>
      <c r="K887">
        <v>48</v>
      </c>
      <c r="L887" s="705">
        <v>519214</v>
      </c>
      <c r="M887" s="705">
        <v>423429</v>
      </c>
      <c r="N887" s="705">
        <v>329972</v>
      </c>
      <c r="O887" s="705">
        <v>122212</v>
      </c>
      <c r="P887" s="705">
        <v>80703</v>
      </c>
      <c r="Q887" s="705">
        <v>29890</v>
      </c>
      <c r="R887" s="705">
        <v>1493368</v>
      </c>
      <c r="S887" s="705">
        <v>1244473</v>
      </c>
      <c r="T887" s="705">
        <v>519365</v>
      </c>
      <c r="U887" s="705">
        <v>192357</v>
      </c>
      <c r="V887" s="705">
        <v>5009074</v>
      </c>
      <c r="W887" s="705">
        <f t="shared" si="46"/>
        <v>5009074</v>
      </c>
      <c r="X887" s="705">
        <f t="shared" si="47"/>
        <v>6538677</v>
      </c>
      <c r="Y887" s="705"/>
      <c r="AI887" s="429"/>
    </row>
    <row r="888" spans="2:35">
      <c r="B888" t="s">
        <v>540</v>
      </c>
      <c r="C888" t="s">
        <v>120</v>
      </c>
      <c r="D888" t="s">
        <v>667</v>
      </c>
      <c r="E888" t="s">
        <v>674</v>
      </c>
      <c r="F888">
        <v>1</v>
      </c>
      <c r="G888">
        <v>79</v>
      </c>
      <c r="H888">
        <v>346</v>
      </c>
      <c r="I888" s="705">
        <v>15142</v>
      </c>
      <c r="J888" s="705">
        <v>13765</v>
      </c>
      <c r="K888">
        <v>45</v>
      </c>
      <c r="L888" s="705">
        <v>1858</v>
      </c>
      <c r="M888" s="705">
        <v>688</v>
      </c>
      <c r="N888" s="705">
        <v>1533</v>
      </c>
      <c r="O888" s="705">
        <v>568</v>
      </c>
      <c r="P888">
        <v>351</v>
      </c>
      <c r="Q888">
        <v>130</v>
      </c>
      <c r="R888" s="705">
        <v>5765</v>
      </c>
      <c r="S888" s="705">
        <v>5241</v>
      </c>
      <c r="T888" s="705">
        <v>2593</v>
      </c>
      <c r="U888">
        <v>960</v>
      </c>
      <c r="V888" s="705">
        <v>21352</v>
      </c>
      <c r="W888" s="705">
        <f t="shared" si="46"/>
        <v>21352</v>
      </c>
      <c r="X888" s="705">
        <f t="shared" si="47"/>
        <v>27242</v>
      </c>
      <c r="Y888" s="705"/>
      <c r="AI888" s="429"/>
    </row>
    <row r="889" spans="2:35">
      <c r="B889" t="s">
        <v>540</v>
      </c>
      <c r="C889" t="s">
        <v>120</v>
      </c>
      <c r="D889" t="s">
        <v>667</v>
      </c>
      <c r="E889" t="s">
        <v>667</v>
      </c>
      <c r="F889">
        <v>4</v>
      </c>
      <c r="G889" s="705">
        <v>319</v>
      </c>
      <c r="H889" s="705">
        <v>1353</v>
      </c>
      <c r="I889" s="705">
        <v>64865</v>
      </c>
      <c r="J889" s="705">
        <v>58969</v>
      </c>
      <c r="K889">
        <v>53</v>
      </c>
      <c r="L889" s="705">
        <v>6666</v>
      </c>
      <c r="M889" s="705">
        <v>6060</v>
      </c>
      <c r="N889" s="705">
        <v>5991</v>
      </c>
      <c r="O889" s="705">
        <v>2219</v>
      </c>
      <c r="P889" s="705">
        <v>1404</v>
      </c>
      <c r="Q889" s="705">
        <v>520</v>
      </c>
      <c r="R889" s="705">
        <v>22626</v>
      </c>
      <c r="S889" s="705">
        <v>20569</v>
      </c>
      <c r="T889" s="705">
        <v>6248</v>
      </c>
      <c r="U889" s="705">
        <v>2314</v>
      </c>
      <c r="V889" s="705">
        <v>90651</v>
      </c>
      <c r="W889" s="705">
        <f t="shared" si="46"/>
        <v>90651</v>
      </c>
      <c r="X889" s="705">
        <f t="shared" si="47"/>
        <v>107800</v>
      </c>
      <c r="Y889" s="705"/>
      <c r="AI889" s="429"/>
    </row>
    <row r="890" spans="2:35">
      <c r="B890" t="s">
        <v>540</v>
      </c>
      <c r="C890" t="s">
        <v>120</v>
      </c>
      <c r="D890" t="s">
        <v>667</v>
      </c>
      <c r="E890" t="s">
        <v>665</v>
      </c>
      <c r="F890">
        <v>1</v>
      </c>
      <c r="G890">
        <v>81</v>
      </c>
      <c r="H890" s="705">
        <v>303</v>
      </c>
      <c r="I890" s="705">
        <v>14006</v>
      </c>
      <c r="J890" s="705">
        <v>12732</v>
      </c>
      <c r="K890">
        <v>45</v>
      </c>
      <c r="L890" s="705">
        <v>1000</v>
      </c>
      <c r="M890" s="705">
        <v>909</v>
      </c>
      <c r="N890" s="705">
        <v>1756</v>
      </c>
      <c r="O890" s="705">
        <v>650</v>
      </c>
      <c r="P890" s="705">
        <v>621</v>
      </c>
      <c r="Q890">
        <v>230</v>
      </c>
      <c r="R890" s="705">
        <v>5003</v>
      </c>
      <c r="S890" s="705">
        <v>4548</v>
      </c>
      <c r="T890" s="705">
        <v>2178</v>
      </c>
      <c r="U890" s="705">
        <v>807</v>
      </c>
      <c r="V890" s="705">
        <v>19877</v>
      </c>
      <c r="W890" s="705">
        <f t="shared" si="46"/>
        <v>19876</v>
      </c>
      <c r="X890" s="705">
        <f t="shared" si="47"/>
        <v>24564</v>
      </c>
      <c r="Y890" s="705"/>
      <c r="AI890" s="429"/>
    </row>
    <row r="891" spans="2:35">
      <c r="B891" t="s">
        <v>540</v>
      </c>
      <c r="C891" t="s">
        <v>120</v>
      </c>
      <c r="D891" t="s">
        <v>671</v>
      </c>
      <c r="E891" t="s">
        <v>228</v>
      </c>
      <c r="F891">
        <v>1</v>
      </c>
      <c r="G891" s="705">
        <v>85</v>
      </c>
      <c r="H891" s="705">
        <v>327</v>
      </c>
      <c r="I891" s="705">
        <v>14424</v>
      </c>
      <c r="J891" s="705">
        <v>13112</v>
      </c>
      <c r="K891">
        <v>45</v>
      </c>
      <c r="L891" s="705">
        <v>1770</v>
      </c>
      <c r="M891" s="705">
        <v>656</v>
      </c>
      <c r="N891" s="705">
        <v>1663</v>
      </c>
      <c r="O891" s="705">
        <v>616</v>
      </c>
      <c r="P891" s="705">
        <v>0</v>
      </c>
      <c r="Q891" s="705">
        <v>0</v>
      </c>
      <c r="R891" s="705">
        <v>10072</v>
      </c>
      <c r="S891" s="705">
        <v>3730</v>
      </c>
      <c r="T891" s="705">
        <v>0</v>
      </c>
      <c r="U891" s="705">
        <v>0</v>
      </c>
      <c r="V891" s="705">
        <v>18114</v>
      </c>
      <c r="W891" s="705">
        <f t="shared" si="46"/>
        <v>18114</v>
      </c>
      <c r="X891" s="705">
        <f t="shared" si="47"/>
        <v>27929</v>
      </c>
      <c r="Y891" s="705"/>
      <c r="AI891" s="429"/>
    </row>
    <row r="892" spans="2:35">
      <c r="B892" t="s">
        <v>540</v>
      </c>
      <c r="C892" t="s">
        <v>120</v>
      </c>
      <c r="D892" t="s">
        <v>671</v>
      </c>
      <c r="E892" t="s">
        <v>671</v>
      </c>
      <c r="F892">
        <v>11</v>
      </c>
      <c r="G892" s="705">
        <v>998</v>
      </c>
      <c r="H892" s="705">
        <v>3703</v>
      </c>
      <c r="I892" s="705">
        <v>189996</v>
      </c>
      <c r="J892" s="705">
        <v>172724</v>
      </c>
      <c r="K892">
        <v>47</v>
      </c>
      <c r="L892" s="705">
        <v>26138</v>
      </c>
      <c r="M892" s="705">
        <v>23762</v>
      </c>
      <c r="N892" s="705">
        <v>20908</v>
      </c>
      <c r="O892" s="705">
        <v>7744</v>
      </c>
      <c r="P892" s="705">
        <v>3861</v>
      </c>
      <c r="Q892" s="705">
        <v>1430</v>
      </c>
      <c r="R892" s="705">
        <v>69327</v>
      </c>
      <c r="S892" s="705">
        <v>63024</v>
      </c>
      <c r="T892" s="705">
        <v>26945</v>
      </c>
      <c r="U892" s="705">
        <v>9980</v>
      </c>
      <c r="V892" s="705">
        <v>278664</v>
      </c>
      <c r="W892" s="705">
        <f t="shared" si="46"/>
        <v>278664</v>
      </c>
      <c r="X892" s="705">
        <f t="shared" si="47"/>
        <v>337175</v>
      </c>
      <c r="Y892" s="705"/>
      <c r="AI892" s="429"/>
    </row>
    <row r="893" spans="2:35">
      <c r="B893" t="s">
        <v>540</v>
      </c>
      <c r="C893" t="s">
        <v>120</v>
      </c>
      <c r="D893" t="s">
        <v>665</v>
      </c>
      <c r="E893" t="s">
        <v>665</v>
      </c>
      <c r="F893">
        <v>308</v>
      </c>
      <c r="G893" s="705">
        <v>24923</v>
      </c>
      <c r="H893" s="705">
        <v>105508</v>
      </c>
      <c r="I893" s="705">
        <v>4756990</v>
      </c>
      <c r="J893" s="705">
        <v>4324537</v>
      </c>
      <c r="K893">
        <v>49</v>
      </c>
      <c r="L893" s="705">
        <v>749351</v>
      </c>
      <c r="M893" s="705">
        <v>641958</v>
      </c>
      <c r="N893" s="705">
        <v>437267</v>
      </c>
      <c r="O893" s="705">
        <v>161951</v>
      </c>
      <c r="P893" s="705">
        <v>100987</v>
      </c>
      <c r="Q893" s="705">
        <v>37403</v>
      </c>
      <c r="R893" s="705">
        <v>1805199</v>
      </c>
      <c r="S893" s="705">
        <v>1641090</v>
      </c>
      <c r="T893" s="705">
        <v>707935</v>
      </c>
      <c r="U893" s="705">
        <v>262198</v>
      </c>
      <c r="V893" s="705">
        <v>7069136</v>
      </c>
      <c r="W893" s="705">
        <f t="shared" si="46"/>
        <v>7069137</v>
      </c>
      <c r="X893" s="705">
        <f t="shared" si="47"/>
        <v>8557729</v>
      </c>
      <c r="Y893" s="705"/>
      <c r="AI893" s="429"/>
    </row>
    <row r="894" spans="2:35">
      <c r="B894" t="s">
        <v>540</v>
      </c>
      <c r="C894" t="s">
        <v>120</v>
      </c>
      <c r="D894" t="s">
        <v>673</v>
      </c>
      <c r="E894" t="s">
        <v>673</v>
      </c>
      <c r="F894">
        <v>1</v>
      </c>
      <c r="G894" s="705">
        <v>104</v>
      </c>
      <c r="H894" s="705">
        <v>344</v>
      </c>
      <c r="I894" s="705">
        <v>20878</v>
      </c>
      <c r="J894" s="705">
        <v>18980</v>
      </c>
      <c r="K894">
        <v>78</v>
      </c>
      <c r="L894" s="705">
        <v>6031</v>
      </c>
      <c r="M894" s="705">
        <v>5483</v>
      </c>
      <c r="N894" s="705">
        <v>2522</v>
      </c>
      <c r="O894" s="705">
        <v>934</v>
      </c>
      <c r="P894" s="705">
        <v>351</v>
      </c>
      <c r="Q894" s="705">
        <v>130</v>
      </c>
      <c r="R894" s="705">
        <v>5845</v>
      </c>
      <c r="S894" s="705">
        <v>5313</v>
      </c>
      <c r="T894" s="705">
        <v>0</v>
      </c>
      <c r="U894" s="705">
        <v>0</v>
      </c>
      <c r="V894" s="705">
        <v>30841</v>
      </c>
      <c r="W894" s="705">
        <f t="shared" si="46"/>
        <v>30840</v>
      </c>
      <c r="X894" s="705">
        <f t="shared" si="47"/>
        <v>35627</v>
      </c>
      <c r="Y894" s="705"/>
      <c r="AI894" s="429"/>
    </row>
    <row r="895" spans="2:35">
      <c r="B895" t="s">
        <v>540</v>
      </c>
      <c r="C895" t="s">
        <v>122</v>
      </c>
      <c r="F895">
        <v>4</v>
      </c>
      <c r="G895">
        <v>573</v>
      </c>
      <c r="H895" s="705">
        <v>1704</v>
      </c>
      <c r="I895" s="705"/>
      <c r="J895" s="705">
        <v>0</v>
      </c>
      <c r="L895" s="705"/>
      <c r="M895" s="705">
        <v>0</v>
      </c>
      <c r="N895" s="705">
        <v>11064</v>
      </c>
      <c r="O895" s="705">
        <v>4098</v>
      </c>
      <c r="P895" s="705">
        <v>1242</v>
      </c>
      <c r="Q895" s="705">
        <v>460</v>
      </c>
      <c r="R895" s="705"/>
      <c r="S895" s="705">
        <v>0</v>
      </c>
      <c r="T895" s="705">
        <v>1753</v>
      </c>
      <c r="U895" s="705">
        <v>649</v>
      </c>
      <c r="V895" s="705">
        <v>5207</v>
      </c>
      <c r="W895" s="705">
        <f t="shared" si="46"/>
        <v>5207</v>
      </c>
      <c r="X895" s="705">
        <f t="shared" si="47"/>
        <v>14059</v>
      </c>
      <c r="Y895" s="705"/>
      <c r="AI895" s="429"/>
    </row>
    <row r="896" spans="2:35">
      <c r="B896" t="s">
        <v>540</v>
      </c>
      <c r="C896" t="s">
        <v>122</v>
      </c>
      <c r="D896" t="s">
        <v>580</v>
      </c>
      <c r="E896" t="s">
        <v>228</v>
      </c>
      <c r="F896">
        <v>1</v>
      </c>
      <c r="G896">
        <v>68</v>
      </c>
      <c r="H896">
        <v>414</v>
      </c>
      <c r="I896" s="705">
        <v>16672</v>
      </c>
      <c r="J896" s="705">
        <v>6175</v>
      </c>
      <c r="K896">
        <v>100</v>
      </c>
      <c r="L896" s="705">
        <v>5660</v>
      </c>
      <c r="M896" s="705">
        <v>5146</v>
      </c>
      <c r="N896" s="705">
        <v>1645</v>
      </c>
      <c r="O896" s="705">
        <v>609</v>
      </c>
      <c r="P896">
        <v>0</v>
      </c>
      <c r="Q896">
        <v>0</v>
      </c>
      <c r="R896" s="705">
        <v>3991</v>
      </c>
      <c r="S896" s="705">
        <v>1478</v>
      </c>
      <c r="T896" s="705">
        <v>0</v>
      </c>
      <c r="U896" s="705">
        <v>0</v>
      </c>
      <c r="V896" s="705">
        <v>13407</v>
      </c>
      <c r="W896" s="705">
        <f t="shared" si="46"/>
        <v>13408</v>
      </c>
      <c r="X896" s="705">
        <f t="shared" si="47"/>
        <v>27968</v>
      </c>
      <c r="Y896" s="705"/>
      <c r="AI896" s="429"/>
    </row>
    <row r="897" spans="2:35">
      <c r="B897" t="s">
        <v>540</v>
      </c>
      <c r="C897" t="s">
        <v>122</v>
      </c>
      <c r="D897" t="s">
        <v>664</v>
      </c>
      <c r="E897" t="s">
        <v>664</v>
      </c>
      <c r="F897">
        <v>1</v>
      </c>
      <c r="G897" s="705">
        <v>102</v>
      </c>
      <c r="H897" s="705">
        <v>399</v>
      </c>
      <c r="I897" s="705">
        <v>34736</v>
      </c>
      <c r="J897" s="705">
        <v>31578</v>
      </c>
      <c r="K897">
        <v>79</v>
      </c>
      <c r="L897" s="705">
        <v>10484</v>
      </c>
      <c r="M897" s="705">
        <v>8737</v>
      </c>
      <c r="N897" s="705">
        <v>2935</v>
      </c>
      <c r="O897" s="705">
        <v>1087</v>
      </c>
      <c r="P897" s="705">
        <v>473</v>
      </c>
      <c r="Q897" s="705">
        <v>175</v>
      </c>
      <c r="R897" s="705">
        <v>3913</v>
      </c>
      <c r="S897" s="705">
        <v>3558</v>
      </c>
      <c r="T897" s="705">
        <v>0</v>
      </c>
      <c r="U897" s="705">
        <v>0</v>
      </c>
      <c r="V897" s="705">
        <v>45134</v>
      </c>
      <c r="W897" s="705">
        <f t="shared" si="46"/>
        <v>45135</v>
      </c>
      <c r="X897" s="705">
        <f t="shared" si="47"/>
        <v>52541</v>
      </c>
      <c r="Y897" s="705"/>
      <c r="AI897" s="429"/>
    </row>
    <row r="898" spans="2:35">
      <c r="B898" t="s">
        <v>540</v>
      </c>
      <c r="C898" t="s">
        <v>122</v>
      </c>
      <c r="D898" t="s">
        <v>582</v>
      </c>
      <c r="E898" t="s">
        <v>582</v>
      </c>
      <c r="F898">
        <v>2</v>
      </c>
      <c r="G898" s="705">
        <v>194</v>
      </c>
      <c r="H898" s="705">
        <v>793</v>
      </c>
      <c r="I898" s="705">
        <v>49041</v>
      </c>
      <c r="J898" s="705">
        <v>44583</v>
      </c>
      <c r="K898">
        <v>65</v>
      </c>
      <c r="L898" s="705">
        <v>6709</v>
      </c>
      <c r="M898" s="705">
        <v>5864</v>
      </c>
      <c r="N898" s="705">
        <v>4058</v>
      </c>
      <c r="O898" s="705">
        <v>1503</v>
      </c>
      <c r="P898" s="705">
        <v>945</v>
      </c>
      <c r="Q898" s="705">
        <v>350</v>
      </c>
      <c r="R898" s="705">
        <v>10501</v>
      </c>
      <c r="S898" s="705">
        <v>9546</v>
      </c>
      <c r="T898" s="705">
        <v>5665</v>
      </c>
      <c r="U898" s="705">
        <v>2098</v>
      </c>
      <c r="V898" s="705">
        <v>63945</v>
      </c>
      <c r="W898" s="705">
        <f t="shared" si="46"/>
        <v>63944</v>
      </c>
      <c r="X898" s="705">
        <f t="shared" si="47"/>
        <v>76919</v>
      </c>
      <c r="Y898" s="705"/>
      <c r="AI898" s="429"/>
    </row>
    <row r="899" spans="2:35">
      <c r="B899" t="s">
        <v>540</v>
      </c>
      <c r="C899" t="s">
        <v>122</v>
      </c>
      <c r="D899" t="s">
        <v>228</v>
      </c>
      <c r="E899" t="s">
        <v>228</v>
      </c>
      <c r="F899">
        <v>142</v>
      </c>
      <c r="G899" s="705">
        <v>11073</v>
      </c>
      <c r="H899" s="705">
        <v>58928</v>
      </c>
      <c r="I899" s="705">
        <v>3055696</v>
      </c>
      <c r="J899" s="705">
        <v>1131739</v>
      </c>
      <c r="K899">
        <v>100</v>
      </c>
      <c r="L899" s="705">
        <v>420221</v>
      </c>
      <c r="M899" s="705">
        <v>305771</v>
      </c>
      <c r="N899" s="705">
        <v>234249</v>
      </c>
      <c r="O899" s="705">
        <v>86759</v>
      </c>
      <c r="P899" s="705">
        <v>5077</v>
      </c>
      <c r="Q899" s="705">
        <v>1880</v>
      </c>
      <c r="R899" s="705">
        <v>984630</v>
      </c>
      <c r="S899" s="705">
        <v>364678</v>
      </c>
      <c r="T899">
        <v>0</v>
      </c>
      <c r="U899">
        <v>0</v>
      </c>
      <c r="V899" s="705">
        <v>1890827</v>
      </c>
      <c r="W899" s="705">
        <f t="shared" si="46"/>
        <v>1890827</v>
      </c>
      <c r="X899" s="705">
        <f t="shared" si="47"/>
        <v>4699873</v>
      </c>
      <c r="Y899" s="705"/>
      <c r="AI899" s="429"/>
    </row>
    <row r="900" spans="2:35">
      <c r="B900" t="s">
        <v>540</v>
      </c>
      <c r="C900" t="s">
        <v>122</v>
      </c>
      <c r="D900" t="s">
        <v>228</v>
      </c>
      <c r="E900" t="s">
        <v>583</v>
      </c>
      <c r="F900">
        <v>2</v>
      </c>
      <c r="G900" s="705">
        <v>151</v>
      </c>
      <c r="H900" s="705">
        <v>842</v>
      </c>
      <c r="I900" s="705">
        <v>48214</v>
      </c>
      <c r="J900" s="705">
        <v>17857</v>
      </c>
      <c r="K900">
        <v>100</v>
      </c>
      <c r="L900" s="705">
        <v>2424</v>
      </c>
      <c r="M900" s="705">
        <v>2203</v>
      </c>
      <c r="N900" s="705">
        <v>3013</v>
      </c>
      <c r="O900" s="705">
        <v>1116</v>
      </c>
      <c r="P900" s="705">
        <v>270</v>
      </c>
      <c r="Q900" s="705">
        <v>100</v>
      </c>
      <c r="R900" s="705">
        <v>7078</v>
      </c>
      <c r="S900" s="705">
        <v>6435</v>
      </c>
      <c r="T900" s="705">
        <v>2349</v>
      </c>
      <c r="U900" s="705">
        <v>870</v>
      </c>
      <c r="V900" s="705">
        <v>28581</v>
      </c>
      <c r="W900" s="705">
        <f t="shared" si="46"/>
        <v>28581</v>
      </c>
      <c r="X900" s="705">
        <f t="shared" si="47"/>
        <v>63348</v>
      </c>
      <c r="Y900" s="705"/>
      <c r="AI900" s="429"/>
    </row>
    <row r="901" spans="2:35">
      <c r="B901" t="s">
        <v>540</v>
      </c>
      <c r="C901" t="s">
        <v>122</v>
      </c>
      <c r="D901" t="s">
        <v>228</v>
      </c>
      <c r="E901" t="s">
        <v>666</v>
      </c>
      <c r="F901">
        <v>1</v>
      </c>
      <c r="G901">
        <v>81</v>
      </c>
      <c r="H901" s="705">
        <v>392</v>
      </c>
      <c r="I901" s="705">
        <v>14084</v>
      </c>
      <c r="J901" s="705">
        <v>5216</v>
      </c>
      <c r="K901">
        <v>100</v>
      </c>
      <c r="L901" s="705">
        <v>2025</v>
      </c>
      <c r="M901" s="705">
        <v>1841</v>
      </c>
      <c r="N901" s="705">
        <v>1381</v>
      </c>
      <c r="O901" s="705">
        <v>511</v>
      </c>
      <c r="P901">
        <v>351</v>
      </c>
      <c r="Q901">
        <v>130</v>
      </c>
      <c r="R901" s="705">
        <v>10969</v>
      </c>
      <c r="S901" s="705">
        <v>9972</v>
      </c>
      <c r="T901" s="705">
        <v>2891</v>
      </c>
      <c r="U901" s="705">
        <v>1071</v>
      </c>
      <c r="V901" s="705">
        <v>18741</v>
      </c>
      <c r="W901" s="705">
        <f t="shared" si="46"/>
        <v>18741</v>
      </c>
      <c r="X901" s="705">
        <f t="shared" si="47"/>
        <v>31701</v>
      </c>
      <c r="Y901" s="705"/>
      <c r="AI901" s="429"/>
    </row>
    <row r="902" spans="2:35">
      <c r="B902" t="s">
        <v>540</v>
      </c>
      <c r="C902" t="s">
        <v>122</v>
      </c>
      <c r="D902" t="s">
        <v>228</v>
      </c>
      <c r="E902" t="s">
        <v>669</v>
      </c>
      <c r="F902">
        <v>1</v>
      </c>
      <c r="G902" s="705">
        <v>83</v>
      </c>
      <c r="H902" s="705">
        <v>426</v>
      </c>
      <c r="I902" s="705">
        <v>18140</v>
      </c>
      <c r="J902" s="705">
        <v>6718</v>
      </c>
      <c r="K902">
        <v>100</v>
      </c>
      <c r="L902" s="705">
        <v>4479</v>
      </c>
      <c r="M902" s="705">
        <v>3732</v>
      </c>
      <c r="N902" s="705">
        <v>1821</v>
      </c>
      <c r="O902" s="705">
        <v>674</v>
      </c>
      <c r="P902" s="705">
        <v>0</v>
      </c>
      <c r="Q902" s="705">
        <v>0</v>
      </c>
      <c r="R902" s="705">
        <v>8034</v>
      </c>
      <c r="S902" s="705">
        <v>6695</v>
      </c>
      <c r="T902" s="705">
        <v>2919</v>
      </c>
      <c r="U902" s="705">
        <v>1081</v>
      </c>
      <c r="V902" s="705">
        <v>18901</v>
      </c>
      <c r="W902" s="705">
        <f t="shared" si="46"/>
        <v>18900</v>
      </c>
      <c r="X902" s="705">
        <f t="shared" si="47"/>
        <v>35393</v>
      </c>
      <c r="Y902" s="705"/>
      <c r="AI902" s="429"/>
    </row>
    <row r="903" spans="2:35">
      <c r="B903" t="s">
        <v>540</v>
      </c>
      <c r="C903" t="s">
        <v>122</v>
      </c>
      <c r="D903" t="s">
        <v>228</v>
      </c>
      <c r="E903" t="s">
        <v>671</v>
      </c>
      <c r="F903">
        <v>2</v>
      </c>
      <c r="G903" s="705">
        <v>158</v>
      </c>
      <c r="H903" s="705">
        <v>837</v>
      </c>
      <c r="I903" s="705">
        <v>42605</v>
      </c>
      <c r="J903" s="705">
        <v>15779</v>
      </c>
      <c r="K903">
        <v>100</v>
      </c>
      <c r="L903" s="705">
        <v>6429</v>
      </c>
      <c r="M903" s="705">
        <v>5844</v>
      </c>
      <c r="N903" s="705">
        <v>3397</v>
      </c>
      <c r="O903" s="705">
        <v>1258</v>
      </c>
      <c r="P903" s="705">
        <v>0</v>
      </c>
      <c r="Q903" s="705">
        <v>0</v>
      </c>
      <c r="R903" s="705">
        <v>10280</v>
      </c>
      <c r="S903" s="705">
        <v>9345</v>
      </c>
      <c r="T903" s="705">
        <v>3418</v>
      </c>
      <c r="U903" s="705">
        <v>1266</v>
      </c>
      <c r="V903" s="705">
        <v>33493</v>
      </c>
      <c r="W903" s="705">
        <f t="shared" ref="W903:W938" si="48">SUM(ABS(J903),ABS(M903),ABS(O903),ABS(Q903),ABS(S903),ABS(U903))</f>
        <v>33492</v>
      </c>
      <c r="X903" s="705">
        <f t="shared" ref="X903:X938" si="49">SUM(ABS(I903),ABS(N903),ABS(P903),ABS(R903),ABS(T903),ABS(L903))</f>
        <v>66129</v>
      </c>
      <c r="Y903" s="705"/>
      <c r="AI903" s="429"/>
    </row>
    <row r="904" spans="2:35">
      <c r="B904" t="s">
        <v>540</v>
      </c>
      <c r="C904" t="s">
        <v>122</v>
      </c>
      <c r="D904" t="s">
        <v>228</v>
      </c>
      <c r="E904" t="s">
        <v>665</v>
      </c>
      <c r="F904">
        <v>12</v>
      </c>
      <c r="G904">
        <v>769</v>
      </c>
      <c r="H904" s="705">
        <v>4931</v>
      </c>
      <c r="I904" s="705">
        <v>188809</v>
      </c>
      <c r="J904" s="705">
        <v>69929</v>
      </c>
      <c r="K904">
        <v>100</v>
      </c>
      <c r="L904" s="705">
        <v>25349</v>
      </c>
      <c r="M904" s="705">
        <v>23044</v>
      </c>
      <c r="N904" s="705">
        <v>14339</v>
      </c>
      <c r="O904" s="705">
        <v>5311</v>
      </c>
      <c r="P904" s="705">
        <v>1404</v>
      </c>
      <c r="Q904" s="705">
        <v>520</v>
      </c>
      <c r="R904" s="705">
        <v>64000</v>
      </c>
      <c r="S904" s="705">
        <v>58182</v>
      </c>
      <c r="T904" s="705">
        <v>23851</v>
      </c>
      <c r="U904" s="705">
        <v>8834</v>
      </c>
      <c r="V904" s="705">
        <v>165820</v>
      </c>
      <c r="W904" s="705">
        <f t="shared" si="48"/>
        <v>165820</v>
      </c>
      <c r="X904" s="705">
        <f t="shared" si="49"/>
        <v>317752</v>
      </c>
      <c r="Y904" s="705"/>
      <c r="AI904" s="429"/>
    </row>
    <row r="905" spans="2:35">
      <c r="B905" t="s">
        <v>540</v>
      </c>
      <c r="C905" t="s">
        <v>122</v>
      </c>
      <c r="D905" t="s">
        <v>583</v>
      </c>
      <c r="E905" t="s">
        <v>228</v>
      </c>
      <c r="F905">
        <v>3</v>
      </c>
      <c r="G905" s="705">
        <v>356</v>
      </c>
      <c r="H905" s="705">
        <v>1210</v>
      </c>
      <c r="I905" s="705">
        <v>90845</v>
      </c>
      <c r="J905" s="705">
        <v>82586</v>
      </c>
      <c r="K905">
        <v>65</v>
      </c>
      <c r="L905" s="705">
        <v>24521</v>
      </c>
      <c r="M905" s="705">
        <v>18153</v>
      </c>
      <c r="N905" s="705">
        <v>7840</v>
      </c>
      <c r="O905" s="705">
        <v>2904</v>
      </c>
      <c r="P905" s="705">
        <v>1512</v>
      </c>
      <c r="Q905" s="705">
        <v>560</v>
      </c>
      <c r="R905" s="705">
        <v>20229</v>
      </c>
      <c r="S905" s="705">
        <v>7492</v>
      </c>
      <c r="T905" s="705">
        <v>0</v>
      </c>
      <c r="U905" s="705">
        <v>0</v>
      </c>
      <c r="V905" s="705">
        <v>111696</v>
      </c>
      <c r="W905" s="705">
        <f t="shared" si="48"/>
        <v>111695</v>
      </c>
      <c r="X905" s="705">
        <f t="shared" si="49"/>
        <v>144947</v>
      </c>
      <c r="Y905" s="705"/>
      <c r="AI905" s="429"/>
    </row>
    <row r="906" spans="2:35">
      <c r="B906" t="s">
        <v>540</v>
      </c>
      <c r="C906" t="s">
        <v>122</v>
      </c>
      <c r="D906" t="s">
        <v>583</v>
      </c>
      <c r="E906" t="s">
        <v>583</v>
      </c>
      <c r="F906">
        <v>271</v>
      </c>
      <c r="G906" s="705">
        <v>27641</v>
      </c>
      <c r="H906" s="705">
        <v>111051</v>
      </c>
      <c r="I906" s="705">
        <v>7217383</v>
      </c>
      <c r="J906" s="705">
        <v>6561258</v>
      </c>
      <c r="K906">
        <v>74</v>
      </c>
      <c r="L906" s="705">
        <v>1576846</v>
      </c>
      <c r="M906" s="705">
        <v>1334310</v>
      </c>
      <c r="N906" s="705">
        <v>595266</v>
      </c>
      <c r="O906" s="705">
        <v>220469</v>
      </c>
      <c r="P906" s="705">
        <v>173988</v>
      </c>
      <c r="Q906" s="705">
        <v>64440</v>
      </c>
      <c r="R906" s="705">
        <v>1347160</v>
      </c>
      <c r="S906" s="705">
        <v>1224691</v>
      </c>
      <c r="T906" s="705">
        <v>506604</v>
      </c>
      <c r="U906" s="705">
        <v>187631</v>
      </c>
      <c r="V906" s="705">
        <v>9592798</v>
      </c>
      <c r="W906" s="705">
        <f t="shared" si="48"/>
        <v>9592799</v>
      </c>
      <c r="X906" s="705">
        <f t="shared" si="49"/>
        <v>11417247</v>
      </c>
      <c r="Y906" s="705"/>
      <c r="AI906" s="429"/>
    </row>
    <row r="907" spans="2:35">
      <c r="B907" t="s">
        <v>540</v>
      </c>
      <c r="C907" t="s">
        <v>122</v>
      </c>
      <c r="D907" t="s">
        <v>583</v>
      </c>
      <c r="E907" t="s">
        <v>584</v>
      </c>
      <c r="F907">
        <v>1</v>
      </c>
      <c r="G907" s="705">
        <v>82</v>
      </c>
      <c r="H907" s="705">
        <v>403</v>
      </c>
      <c r="I907" s="705">
        <v>17840</v>
      </c>
      <c r="J907" s="705">
        <v>16218</v>
      </c>
      <c r="K907">
        <v>65</v>
      </c>
      <c r="L907" s="705">
        <v>4454</v>
      </c>
      <c r="M907" s="705">
        <v>3712</v>
      </c>
      <c r="N907" s="705">
        <v>2008</v>
      </c>
      <c r="O907" s="705">
        <v>744</v>
      </c>
      <c r="P907" s="705">
        <v>621</v>
      </c>
      <c r="Q907" s="705">
        <v>230</v>
      </c>
      <c r="R907" s="705">
        <v>5355</v>
      </c>
      <c r="S907" s="705">
        <v>4869</v>
      </c>
      <c r="T907" s="705">
        <v>2911</v>
      </c>
      <c r="U907" s="705">
        <v>1078</v>
      </c>
      <c r="V907" s="705">
        <v>26850</v>
      </c>
      <c r="W907" s="705">
        <f t="shared" si="48"/>
        <v>26851</v>
      </c>
      <c r="X907" s="705">
        <f t="shared" si="49"/>
        <v>33189</v>
      </c>
      <c r="Y907" s="705"/>
      <c r="AI907" s="429"/>
    </row>
    <row r="908" spans="2:35">
      <c r="B908" t="s">
        <v>540</v>
      </c>
      <c r="C908" t="s">
        <v>122</v>
      </c>
      <c r="D908" t="s">
        <v>583</v>
      </c>
      <c r="E908" t="s">
        <v>665</v>
      </c>
      <c r="F908">
        <v>1</v>
      </c>
      <c r="G908">
        <v>81</v>
      </c>
      <c r="H908">
        <v>402</v>
      </c>
      <c r="I908" s="705">
        <v>20927</v>
      </c>
      <c r="J908" s="705">
        <v>19025</v>
      </c>
      <c r="K908">
        <v>65</v>
      </c>
      <c r="L908" s="705">
        <v>2395</v>
      </c>
      <c r="M908" s="705">
        <v>2177</v>
      </c>
      <c r="N908" s="705">
        <v>1831</v>
      </c>
      <c r="O908">
        <v>678</v>
      </c>
      <c r="P908">
        <v>621</v>
      </c>
      <c r="Q908">
        <v>230</v>
      </c>
      <c r="R908" s="705">
        <v>4558</v>
      </c>
      <c r="S908" s="705">
        <v>4144</v>
      </c>
      <c r="T908" s="705">
        <v>2316</v>
      </c>
      <c r="U908">
        <v>858</v>
      </c>
      <c r="V908" s="705">
        <v>27112</v>
      </c>
      <c r="W908" s="705">
        <f t="shared" si="48"/>
        <v>27112</v>
      </c>
      <c r="X908" s="705">
        <f t="shared" si="49"/>
        <v>32648</v>
      </c>
      <c r="Y908" s="705"/>
      <c r="AI908" s="429"/>
    </row>
    <row r="909" spans="2:35">
      <c r="B909" t="s">
        <v>540</v>
      </c>
      <c r="C909" t="s">
        <v>122</v>
      </c>
      <c r="D909" t="s">
        <v>666</v>
      </c>
      <c r="E909" t="s">
        <v>666</v>
      </c>
      <c r="F909">
        <v>5</v>
      </c>
      <c r="G909">
        <v>354</v>
      </c>
      <c r="H909" s="705">
        <v>2038</v>
      </c>
      <c r="I909" s="705">
        <v>86797</v>
      </c>
      <c r="J909" s="705">
        <v>78906</v>
      </c>
      <c r="K909">
        <v>55</v>
      </c>
      <c r="L909" s="705">
        <v>14106</v>
      </c>
      <c r="M909" s="705">
        <v>12008</v>
      </c>
      <c r="N909" s="705">
        <v>7692</v>
      </c>
      <c r="O909" s="705">
        <v>2849</v>
      </c>
      <c r="P909" s="705">
        <v>1755</v>
      </c>
      <c r="Q909">
        <v>650</v>
      </c>
      <c r="R909" s="705">
        <v>28034</v>
      </c>
      <c r="S909" s="705">
        <v>25485</v>
      </c>
      <c r="T909" s="705">
        <v>6664</v>
      </c>
      <c r="U909" s="705">
        <v>2468</v>
      </c>
      <c r="V909" s="705">
        <v>122367</v>
      </c>
      <c r="W909" s="705">
        <f t="shared" si="48"/>
        <v>122366</v>
      </c>
      <c r="X909" s="705">
        <f t="shared" si="49"/>
        <v>145048</v>
      </c>
      <c r="Y909" s="705"/>
      <c r="AI909" s="429"/>
    </row>
    <row r="910" spans="2:35">
      <c r="B910" t="s">
        <v>540</v>
      </c>
      <c r="C910" t="s">
        <v>122</v>
      </c>
      <c r="D910" t="s">
        <v>584</v>
      </c>
      <c r="E910" t="s">
        <v>584</v>
      </c>
      <c r="F910">
        <v>3</v>
      </c>
      <c r="G910" s="705">
        <v>228</v>
      </c>
      <c r="H910" s="705">
        <v>1167</v>
      </c>
      <c r="I910" s="705">
        <v>53955</v>
      </c>
      <c r="J910" s="705">
        <v>49050</v>
      </c>
      <c r="K910">
        <v>75</v>
      </c>
      <c r="L910" s="705">
        <v>12831</v>
      </c>
      <c r="M910" s="705">
        <v>7936</v>
      </c>
      <c r="N910" s="705">
        <v>5298</v>
      </c>
      <c r="O910" s="705">
        <v>1962</v>
      </c>
      <c r="P910" s="705">
        <v>1418</v>
      </c>
      <c r="Q910" s="705">
        <v>525</v>
      </c>
      <c r="R910" s="705">
        <v>10025</v>
      </c>
      <c r="S910" s="705">
        <v>9113</v>
      </c>
      <c r="T910" s="705">
        <v>5343</v>
      </c>
      <c r="U910" s="705">
        <v>1979</v>
      </c>
      <c r="V910" s="705">
        <v>70565</v>
      </c>
      <c r="W910" s="705">
        <f t="shared" si="48"/>
        <v>70565</v>
      </c>
      <c r="X910" s="705">
        <f t="shared" si="49"/>
        <v>88870</v>
      </c>
      <c r="Y910" s="705"/>
      <c r="AI910" s="429"/>
    </row>
    <row r="911" spans="2:35">
      <c r="B911" t="s">
        <v>540</v>
      </c>
      <c r="C911" t="s">
        <v>122</v>
      </c>
      <c r="D911" t="s">
        <v>669</v>
      </c>
      <c r="E911" t="s">
        <v>228</v>
      </c>
      <c r="F911">
        <v>1</v>
      </c>
      <c r="G911" s="705">
        <v>80</v>
      </c>
      <c r="H911" s="705">
        <v>406</v>
      </c>
      <c r="I911" s="705">
        <v>24641</v>
      </c>
      <c r="J911" s="705">
        <v>20535</v>
      </c>
      <c r="K911">
        <v>30</v>
      </c>
      <c r="L911" s="705">
        <v>0</v>
      </c>
      <c r="M911" s="705">
        <v>0</v>
      </c>
      <c r="N911" s="705">
        <v>1185</v>
      </c>
      <c r="O911" s="705">
        <v>439</v>
      </c>
      <c r="P911" s="705">
        <v>0</v>
      </c>
      <c r="Q911" s="705">
        <v>0</v>
      </c>
      <c r="R911" s="705">
        <v>6550</v>
      </c>
      <c r="S911" s="705">
        <v>2426</v>
      </c>
      <c r="T911" s="705">
        <v>0</v>
      </c>
      <c r="U911" s="705">
        <v>0</v>
      </c>
      <c r="V911" s="705">
        <v>23399</v>
      </c>
      <c r="W911" s="705">
        <f t="shared" si="48"/>
        <v>23400</v>
      </c>
      <c r="X911" s="705">
        <f t="shared" si="49"/>
        <v>32376</v>
      </c>
      <c r="Y911" s="705"/>
      <c r="AI911" s="429"/>
    </row>
    <row r="912" spans="2:35">
      <c r="B912" t="s">
        <v>540</v>
      </c>
      <c r="C912" t="s">
        <v>122</v>
      </c>
      <c r="D912" t="s">
        <v>669</v>
      </c>
      <c r="E912" t="s">
        <v>669</v>
      </c>
      <c r="F912">
        <v>226</v>
      </c>
      <c r="G912" s="705">
        <v>18457</v>
      </c>
      <c r="H912" s="705">
        <v>91321</v>
      </c>
      <c r="I912" s="705">
        <v>4306945</v>
      </c>
      <c r="J912" s="705">
        <v>3589121</v>
      </c>
      <c r="K912">
        <v>46</v>
      </c>
      <c r="L912" s="705">
        <v>653684</v>
      </c>
      <c r="M912" s="705">
        <v>538168</v>
      </c>
      <c r="N912" s="705">
        <v>354966</v>
      </c>
      <c r="O912" s="705">
        <v>131469</v>
      </c>
      <c r="P912" s="705">
        <v>83943</v>
      </c>
      <c r="Q912" s="705">
        <v>31090</v>
      </c>
      <c r="R912" s="705">
        <v>1531671</v>
      </c>
      <c r="S912" s="705">
        <v>1276392</v>
      </c>
      <c r="T912" s="705">
        <v>519891</v>
      </c>
      <c r="U912" s="705">
        <v>192552</v>
      </c>
      <c r="V912" s="705">
        <v>5758793</v>
      </c>
      <c r="W912" s="705">
        <f t="shared" si="48"/>
        <v>5758792</v>
      </c>
      <c r="X912" s="705">
        <f t="shared" si="49"/>
        <v>7451100</v>
      </c>
      <c r="Y912" s="705"/>
      <c r="AI912" s="429"/>
    </row>
    <row r="913" spans="2:35">
      <c r="B913" t="s">
        <v>540</v>
      </c>
      <c r="C913" t="s">
        <v>122</v>
      </c>
      <c r="D913" t="s">
        <v>669</v>
      </c>
      <c r="E913" t="s">
        <v>667</v>
      </c>
      <c r="F913">
        <v>1</v>
      </c>
      <c r="G913">
        <v>104</v>
      </c>
      <c r="H913">
        <v>403</v>
      </c>
      <c r="I913" s="705">
        <v>24702</v>
      </c>
      <c r="J913" s="705">
        <v>20585</v>
      </c>
      <c r="K913">
        <v>45</v>
      </c>
      <c r="L913" s="705">
        <v>4117</v>
      </c>
      <c r="M913" s="705">
        <v>3431</v>
      </c>
      <c r="N913" s="705">
        <v>1723</v>
      </c>
      <c r="O913" s="705">
        <v>638</v>
      </c>
      <c r="P913">
        <v>351</v>
      </c>
      <c r="Q913">
        <v>130</v>
      </c>
      <c r="R913" s="705">
        <v>7864</v>
      </c>
      <c r="S913" s="705">
        <v>7149</v>
      </c>
      <c r="T913" s="705">
        <v>3191</v>
      </c>
      <c r="U913" s="705">
        <v>1182</v>
      </c>
      <c r="V913" s="705">
        <v>33115</v>
      </c>
      <c r="W913" s="705">
        <f t="shared" si="48"/>
        <v>33115</v>
      </c>
      <c r="X913" s="705">
        <f t="shared" si="49"/>
        <v>41948</v>
      </c>
      <c r="Y913" s="705"/>
      <c r="AI913" s="429"/>
    </row>
    <row r="914" spans="2:35">
      <c r="B914" t="s">
        <v>540</v>
      </c>
      <c r="C914" t="s">
        <v>122</v>
      </c>
      <c r="D914" t="s">
        <v>671</v>
      </c>
      <c r="E914" t="s">
        <v>671</v>
      </c>
      <c r="F914">
        <v>6</v>
      </c>
      <c r="G914">
        <v>592</v>
      </c>
      <c r="H914" s="705">
        <v>2444</v>
      </c>
      <c r="I914" s="705">
        <v>154639</v>
      </c>
      <c r="J914" s="705">
        <v>140581</v>
      </c>
      <c r="K914">
        <v>53</v>
      </c>
      <c r="L914" s="705">
        <v>18562</v>
      </c>
      <c r="M914" s="705">
        <v>16875</v>
      </c>
      <c r="N914" s="705">
        <v>10822</v>
      </c>
      <c r="O914" s="705">
        <v>4008</v>
      </c>
      <c r="P914" s="705">
        <v>2106</v>
      </c>
      <c r="Q914">
        <v>780</v>
      </c>
      <c r="R914" s="705">
        <v>41275</v>
      </c>
      <c r="S914" s="705">
        <v>37523</v>
      </c>
      <c r="T914" s="705">
        <v>14046</v>
      </c>
      <c r="U914" s="705">
        <v>5202</v>
      </c>
      <c r="V914" s="705">
        <v>204969</v>
      </c>
      <c r="W914" s="705">
        <f t="shared" si="48"/>
        <v>204969</v>
      </c>
      <c r="X914" s="705">
        <f t="shared" si="49"/>
        <v>241450</v>
      </c>
      <c r="Y914" s="705"/>
      <c r="AI914" s="429"/>
    </row>
    <row r="915" spans="2:35">
      <c r="B915" t="s">
        <v>540</v>
      </c>
      <c r="C915" t="s">
        <v>122</v>
      </c>
      <c r="D915" t="s">
        <v>665</v>
      </c>
      <c r="E915" t="s">
        <v>228</v>
      </c>
      <c r="F915">
        <v>1</v>
      </c>
      <c r="G915" s="705">
        <v>109</v>
      </c>
      <c r="H915" s="705">
        <v>423</v>
      </c>
      <c r="I915" s="705">
        <v>30844</v>
      </c>
      <c r="J915" s="705">
        <v>28040</v>
      </c>
      <c r="K915">
        <v>60</v>
      </c>
      <c r="L915" s="705">
        <v>6854</v>
      </c>
      <c r="M915" s="705">
        <v>6231</v>
      </c>
      <c r="N915" s="705">
        <v>2087</v>
      </c>
      <c r="O915" s="705">
        <v>773</v>
      </c>
      <c r="P915" s="705">
        <v>0</v>
      </c>
      <c r="Q915" s="705">
        <v>0</v>
      </c>
      <c r="R915" s="705">
        <v>4257</v>
      </c>
      <c r="S915" s="705">
        <v>1577</v>
      </c>
      <c r="T915" s="705">
        <v>2097</v>
      </c>
      <c r="U915" s="705">
        <v>777</v>
      </c>
      <c r="V915" s="705">
        <v>37397</v>
      </c>
      <c r="W915" s="705">
        <f t="shared" si="48"/>
        <v>37398</v>
      </c>
      <c r="X915" s="705">
        <f t="shared" si="49"/>
        <v>46139</v>
      </c>
      <c r="Y915" s="705"/>
      <c r="AI915" s="429"/>
    </row>
    <row r="916" spans="2:35">
      <c r="B916" t="s">
        <v>540</v>
      </c>
      <c r="C916" t="s">
        <v>122</v>
      </c>
      <c r="D916" t="s">
        <v>665</v>
      </c>
      <c r="E916" t="s">
        <v>665</v>
      </c>
      <c r="F916">
        <v>128</v>
      </c>
      <c r="G916" s="705">
        <v>9614</v>
      </c>
      <c r="H916" s="705">
        <v>52821</v>
      </c>
      <c r="I916" s="705">
        <v>2428424</v>
      </c>
      <c r="J916" s="705">
        <v>2207658</v>
      </c>
      <c r="K916">
        <v>48</v>
      </c>
      <c r="L916" s="705">
        <v>301984</v>
      </c>
      <c r="M916" s="705">
        <v>249356</v>
      </c>
      <c r="N916" s="705">
        <v>188617</v>
      </c>
      <c r="O916" s="705">
        <v>69858</v>
      </c>
      <c r="P916" s="705">
        <v>48222</v>
      </c>
      <c r="Q916" s="705">
        <v>17860</v>
      </c>
      <c r="R916" s="705">
        <v>743585</v>
      </c>
      <c r="S916" s="705">
        <v>675986</v>
      </c>
      <c r="T916" s="705">
        <v>274419</v>
      </c>
      <c r="U916" s="705">
        <v>101637</v>
      </c>
      <c r="V916" s="705">
        <v>3322355</v>
      </c>
      <c r="W916" s="705">
        <f t="shared" si="48"/>
        <v>3322355</v>
      </c>
      <c r="X916" s="705">
        <f t="shared" si="49"/>
        <v>3985251</v>
      </c>
      <c r="Y916" s="705"/>
      <c r="AI916" s="429"/>
    </row>
    <row r="917" spans="2:35">
      <c r="B917" t="s">
        <v>540</v>
      </c>
      <c r="C917" t="s">
        <v>122</v>
      </c>
      <c r="D917" t="s">
        <v>665</v>
      </c>
      <c r="E917" t="s">
        <v>722</v>
      </c>
      <c r="F917">
        <v>1</v>
      </c>
      <c r="G917" s="705">
        <v>61</v>
      </c>
      <c r="H917" s="705">
        <v>448</v>
      </c>
      <c r="I917" s="705">
        <v>16701</v>
      </c>
      <c r="J917" s="705">
        <v>15183</v>
      </c>
      <c r="K917">
        <v>45</v>
      </c>
      <c r="L917" s="705">
        <v>2641</v>
      </c>
      <c r="M917" s="705">
        <v>2401</v>
      </c>
      <c r="N917" s="705">
        <v>1122</v>
      </c>
      <c r="O917" s="705">
        <v>416</v>
      </c>
      <c r="P917" s="705">
        <v>351</v>
      </c>
      <c r="Q917" s="705">
        <v>130</v>
      </c>
      <c r="R917" s="705">
        <v>4746</v>
      </c>
      <c r="S917" s="705">
        <v>4315</v>
      </c>
      <c r="T917" s="705">
        <v>1909</v>
      </c>
      <c r="U917" s="705">
        <v>707</v>
      </c>
      <c r="V917" s="705">
        <v>23151</v>
      </c>
      <c r="W917" s="705">
        <f t="shared" si="48"/>
        <v>23152</v>
      </c>
      <c r="X917" s="705">
        <f t="shared" si="49"/>
        <v>27470</v>
      </c>
      <c r="Y917" s="705"/>
      <c r="AI917" s="429"/>
    </row>
    <row r="918" spans="2:35">
      <c r="B918" t="s">
        <v>540</v>
      </c>
      <c r="C918" t="s">
        <v>122</v>
      </c>
      <c r="D918" t="s">
        <v>673</v>
      </c>
      <c r="E918" t="s">
        <v>673</v>
      </c>
      <c r="F918">
        <v>1</v>
      </c>
      <c r="G918">
        <v>59</v>
      </c>
      <c r="H918">
        <v>384</v>
      </c>
      <c r="I918" s="705">
        <v>12997</v>
      </c>
      <c r="J918" s="705">
        <v>11815</v>
      </c>
      <c r="K918">
        <v>45</v>
      </c>
      <c r="L918" s="705">
        <v>0</v>
      </c>
      <c r="M918" s="705">
        <v>0</v>
      </c>
      <c r="N918" s="705">
        <v>1370</v>
      </c>
      <c r="O918" s="705">
        <v>507</v>
      </c>
      <c r="P918" s="705">
        <v>351</v>
      </c>
      <c r="Q918">
        <v>130</v>
      </c>
      <c r="R918" s="705">
        <v>8013</v>
      </c>
      <c r="S918" s="705">
        <v>7285</v>
      </c>
      <c r="T918">
        <v>0</v>
      </c>
      <c r="U918">
        <v>0</v>
      </c>
      <c r="V918" s="705">
        <v>19738</v>
      </c>
      <c r="W918" s="705">
        <f t="shared" si="48"/>
        <v>19737</v>
      </c>
      <c r="X918" s="705">
        <f t="shared" si="49"/>
        <v>22731</v>
      </c>
      <c r="Y918" s="705"/>
      <c r="AI918" s="429"/>
    </row>
    <row r="919" spans="2:35">
      <c r="B919" t="s">
        <v>540</v>
      </c>
      <c r="C919" t="s">
        <v>124</v>
      </c>
      <c r="F919">
        <v>13</v>
      </c>
      <c r="G919" s="705">
        <v>1240</v>
      </c>
      <c r="H919" s="705">
        <v>7032</v>
      </c>
      <c r="I919" s="705"/>
      <c r="J919" s="705">
        <v>0</v>
      </c>
      <c r="L919" s="705"/>
      <c r="M919" s="705">
        <v>0</v>
      </c>
      <c r="N919" s="705">
        <v>27535</v>
      </c>
      <c r="O919" s="705">
        <v>10198</v>
      </c>
      <c r="P919" s="705">
        <v>5589</v>
      </c>
      <c r="Q919" s="705">
        <v>2070</v>
      </c>
      <c r="R919" s="705"/>
      <c r="S919" s="705">
        <v>0</v>
      </c>
      <c r="T919" s="705">
        <v>8137</v>
      </c>
      <c r="U919" s="705">
        <v>3014</v>
      </c>
      <c r="V919" s="705">
        <v>15282</v>
      </c>
      <c r="W919" s="705">
        <f t="shared" si="48"/>
        <v>15282</v>
      </c>
      <c r="X919" s="705">
        <f t="shared" si="49"/>
        <v>41261</v>
      </c>
      <c r="Y919" s="705"/>
      <c r="AI919" s="429"/>
    </row>
    <row r="920" spans="2:35">
      <c r="B920" t="s">
        <v>540</v>
      </c>
      <c r="C920" t="s">
        <v>124</v>
      </c>
      <c r="D920" t="s">
        <v>664</v>
      </c>
      <c r="E920" t="s">
        <v>664</v>
      </c>
      <c r="F920">
        <v>2</v>
      </c>
      <c r="G920">
        <v>154</v>
      </c>
      <c r="H920" s="705">
        <v>1088</v>
      </c>
      <c r="I920" s="705">
        <v>57742</v>
      </c>
      <c r="J920" s="705">
        <v>52492</v>
      </c>
      <c r="K920">
        <v>76</v>
      </c>
      <c r="L920" s="705">
        <v>19584</v>
      </c>
      <c r="M920" s="705">
        <v>17171</v>
      </c>
      <c r="N920" s="705">
        <v>3423</v>
      </c>
      <c r="O920" s="705">
        <v>1268</v>
      </c>
      <c r="P920" s="705">
        <v>702</v>
      </c>
      <c r="Q920">
        <v>260</v>
      </c>
      <c r="R920" s="705">
        <v>8377</v>
      </c>
      <c r="S920" s="705">
        <v>7615</v>
      </c>
      <c r="T920" s="705">
        <v>2799</v>
      </c>
      <c r="U920" s="705">
        <v>1037</v>
      </c>
      <c r="V920" s="705">
        <v>79844</v>
      </c>
      <c r="W920" s="705">
        <f t="shared" si="48"/>
        <v>79843</v>
      </c>
      <c r="X920" s="705">
        <f t="shared" si="49"/>
        <v>92627</v>
      </c>
      <c r="Y920" s="705"/>
      <c r="AI920" s="429"/>
    </row>
    <row r="921" spans="2:35">
      <c r="B921" t="s">
        <v>540</v>
      </c>
      <c r="C921" t="s">
        <v>124</v>
      </c>
      <c r="D921" t="s">
        <v>664</v>
      </c>
      <c r="E921" t="s">
        <v>583</v>
      </c>
      <c r="F921">
        <v>1</v>
      </c>
      <c r="G921" s="705">
        <v>221</v>
      </c>
      <c r="H921" s="705">
        <v>547</v>
      </c>
      <c r="I921" s="705">
        <v>84329</v>
      </c>
      <c r="J921" s="705">
        <v>76663</v>
      </c>
      <c r="K921">
        <v>70</v>
      </c>
      <c r="L921" s="705">
        <v>20770</v>
      </c>
      <c r="M921" s="705">
        <v>18882</v>
      </c>
      <c r="N921" s="705">
        <v>5387</v>
      </c>
      <c r="O921" s="705">
        <v>1995</v>
      </c>
      <c r="P921" s="705">
        <v>621</v>
      </c>
      <c r="Q921" s="705">
        <v>230</v>
      </c>
      <c r="R921" s="705">
        <v>9730</v>
      </c>
      <c r="S921" s="705">
        <v>8845</v>
      </c>
      <c r="T921" s="705">
        <v>0</v>
      </c>
      <c r="U921" s="705">
        <v>0</v>
      </c>
      <c r="V921" s="705">
        <v>106615</v>
      </c>
      <c r="W921" s="705">
        <f t="shared" si="48"/>
        <v>106615</v>
      </c>
      <c r="X921" s="705">
        <f t="shared" si="49"/>
        <v>120837</v>
      </c>
      <c r="Y921" s="705"/>
      <c r="AI921" s="429"/>
    </row>
    <row r="922" spans="2:35">
      <c r="B922" t="s">
        <v>540</v>
      </c>
      <c r="C922" t="s">
        <v>124</v>
      </c>
      <c r="D922" t="s">
        <v>582</v>
      </c>
      <c r="E922" t="s">
        <v>582</v>
      </c>
      <c r="F922">
        <v>1</v>
      </c>
      <c r="G922" s="705">
        <v>130</v>
      </c>
      <c r="H922" s="705">
        <v>575</v>
      </c>
      <c r="I922" s="705">
        <v>50504</v>
      </c>
      <c r="J922" s="705">
        <v>45912</v>
      </c>
      <c r="K922">
        <v>65</v>
      </c>
      <c r="L922" s="705">
        <v>11560</v>
      </c>
      <c r="M922" s="705">
        <v>10509</v>
      </c>
      <c r="N922" s="705">
        <v>3171</v>
      </c>
      <c r="O922" s="705">
        <v>1174</v>
      </c>
      <c r="P922" s="705">
        <v>351</v>
      </c>
      <c r="Q922" s="705">
        <v>130</v>
      </c>
      <c r="R922" s="705">
        <v>5498</v>
      </c>
      <c r="S922" s="705">
        <v>4998</v>
      </c>
      <c r="T922" s="705">
        <v>3686</v>
      </c>
      <c r="U922" s="705">
        <v>1365</v>
      </c>
      <c r="V922" s="705">
        <v>64089</v>
      </c>
      <c r="W922" s="705">
        <f t="shared" si="48"/>
        <v>64088</v>
      </c>
      <c r="X922" s="705">
        <f t="shared" si="49"/>
        <v>74770</v>
      </c>
      <c r="Y922" s="705"/>
      <c r="AI922" s="429"/>
    </row>
    <row r="923" spans="2:35">
      <c r="B923" t="s">
        <v>540</v>
      </c>
      <c r="C923" t="s">
        <v>124</v>
      </c>
      <c r="D923" t="s">
        <v>582</v>
      </c>
      <c r="E923" t="s">
        <v>669</v>
      </c>
      <c r="F923">
        <v>1</v>
      </c>
      <c r="G923" s="705">
        <v>100</v>
      </c>
      <c r="H923" s="705">
        <v>612</v>
      </c>
      <c r="I923" s="705">
        <v>51779</v>
      </c>
      <c r="J923" s="705">
        <v>47072</v>
      </c>
      <c r="K923">
        <v>65</v>
      </c>
      <c r="L923" s="705">
        <v>0</v>
      </c>
      <c r="M923" s="705">
        <v>10774</v>
      </c>
      <c r="N923" s="705">
        <v>2430</v>
      </c>
      <c r="O923" s="705">
        <v>900</v>
      </c>
      <c r="P923" s="705">
        <v>351</v>
      </c>
      <c r="Q923" s="705">
        <v>130</v>
      </c>
      <c r="R923" s="705">
        <v>4480</v>
      </c>
      <c r="S923" s="705">
        <v>3733</v>
      </c>
      <c r="T923" s="705">
        <v>1979</v>
      </c>
      <c r="U923" s="705">
        <v>733</v>
      </c>
      <c r="V923" s="705">
        <v>63342</v>
      </c>
      <c r="W923" s="705">
        <f t="shared" si="48"/>
        <v>63342</v>
      </c>
      <c r="X923" s="705">
        <f t="shared" si="49"/>
        <v>61019</v>
      </c>
      <c r="Y923" s="705"/>
      <c r="AI923" s="429"/>
    </row>
    <row r="924" spans="2:35">
      <c r="B924" t="s">
        <v>540</v>
      </c>
      <c r="C924" t="s">
        <v>124</v>
      </c>
      <c r="D924" t="s">
        <v>228</v>
      </c>
      <c r="E924" t="s">
        <v>228</v>
      </c>
      <c r="F924">
        <v>204</v>
      </c>
      <c r="G924" s="705">
        <v>17482</v>
      </c>
      <c r="H924" s="705">
        <v>125316</v>
      </c>
      <c r="I924" s="705">
        <v>7572542</v>
      </c>
      <c r="J924" s="705">
        <v>2804645</v>
      </c>
      <c r="K924">
        <v>100</v>
      </c>
      <c r="L924" s="705">
        <v>1258920</v>
      </c>
      <c r="M924" s="705">
        <v>920878</v>
      </c>
      <c r="N924" s="705">
        <v>390656</v>
      </c>
      <c r="O924" s="705">
        <v>144687</v>
      </c>
      <c r="P924" s="705">
        <v>2803</v>
      </c>
      <c r="Q924" s="705">
        <v>1038</v>
      </c>
      <c r="R924" s="705">
        <v>1407652</v>
      </c>
      <c r="S924" s="705">
        <v>521353</v>
      </c>
      <c r="T924" s="705">
        <v>5594</v>
      </c>
      <c r="U924" s="705">
        <v>2072</v>
      </c>
      <c r="V924" s="705">
        <v>4394673</v>
      </c>
      <c r="W924" s="705">
        <f t="shared" si="48"/>
        <v>4394673</v>
      </c>
      <c r="X924" s="705">
        <f t="shared" si="49"/>
        <v>10638167</v>
      </c>
      <c r="Y924" s="705"/>
      <c r="AI924" s="429"/>
    </row>
    <row r="925" spans="2:35">
      <c r="B925" t="s">
        <v>540</v>
      </c>
      <c r="C925" t="s">
        <v>124</v>
      </c>
      <c r="D925" t="s">
        <v>228</v>
      </c>
      <c r="E925" t="s">
        <v>583</v>
      </c>
      <c r="F925">
        <v>5</v>
      </c>
      <c r="G925" s="705">
        <v>348</v>
      </c>
      <c r="H925" s="705">
        <v>2780</v>
      </c>
      <c r="I925" s="705">
        <v>139670</v>
      </c>
      <c r="J925" s="705">
        <v>51730</v>
      </c>
      <c r="K925">
        <v>100</v>
      </c>
      <c r="L925" s="705">
        <v>21483</v>
      </c>
      <c r="M925" s="705">
        <v>18591</v>
      </c>
      <c r="N925" s="705">
        <v>6539</v>
      </c>
      <c r="O925" s="705">
        <v>2422</v>
      </c>
      <c r="P925" s="705">
        <v>270</v>
      </c>
      <c r="Q925" s="705">
        <v>100</v>
      </c>
      <c r="R925" s="705">
        <v>24509</v>
      </c>
      <c r="S925" s="705">
        <v>22281</v>
      </c>
      <c r="T925" s="705">
        <v>3298</v>
      </c>
      <c r="U925" s="705">
        <v>1222</v>
      </c>
      <c r="V925" s="705">
        <v>96345</v>
      </c>
      <c r="W925" s="705">
        <f t="shared" si="48"/>
        <v>96346</v>
      </c>
      <c r="X925" s="705">
        <f t="shared" si="49"/>
        <v>195769</v>
      </c>
      <c r="Y925" s="705"/>
      <c r="AI925" s="429"/>
    </row>
    <row r="926" spans="2:35">
      <c r="B926" t="s">
        <v>540</v>
      </c>
      <c r="C926" t="s">
        <v>124</v>
      </c>
      <c r="D926" t="s">
        <v>228</v>
      </c>
      <c r="E926" t="s">
        <v>666</v>
      </c>
      <c r="F926">
        <v>1</v>
      </c>
      <c r="G926">
        <v>145</v>
      </c>
      <c r="H926">
        <v>553</v>
      </c>
      <c r="I926" s="705">
        <v>65008</v>
      </c>
      <c r="J926" s="705">
        <v>24077</v>
      </c>
      <c r="K926">
        <v>100</v>
      </c>
      <c r="L926" s="705">
        <v>4527</v>
      </c>
      <c r="M926" s="705">
        <v>4116</v>
      </c>
      <c r="N926" s="705">
        <v>1979</v>
      </c>
      <c r="O926">
        <v>733</v>
      </c>
      <c r="P926">
        <v>0</v>
      </c>
      <c r="Q926">
        <v>0</v>
      </c>
      <c r="R926" s="705">
        <v>5496</v>
      </c>
      <c r="S926" s="705">
        <v>4996</v>
      </c>
      <c r="T926" s="705">
        <v>3232</v>
      </c>
      <c r="U926" s="705">
        <v>1197</v>
      </c>
      <c r="V926" s="705">
        <v>35119</v>
      </c>
      <c r="W926" s="705">
        <f t="shared" si="48"/>
        <v>35119</v>
      </c>
      <c r="X926" s="705">
        <f t="shared" si="49"/>
        <v>80242</v>
      </c>
      <c r="Y926" s="705"/>
      <c r="AI926" s="429"/>
    </row>
    <row r="927" spans="2:35">
      <c r="B927" t="s">
        <v>540</v>
      </c>
      <c r="C927" t="s">
        <v>124</v>
      </c>
      <c r="D927" t="s">
        <v>228</v>
      </c>
      <c r="E927" t="s">
        <v>669</v>
      </c>
      <c r="F927">
        <v>5</v>
      </c>
      <c r="G927">
        <v>424</v>
      </c>
      <c r="H927" s="705">
        <v>3105</v>
      </c>
      <c r="I927" s="705">
        <v>183248</v>
      </c>
      <c r="J927" s="705">
        <v>67869</v>
      </c>
      <c r="K927">
        <v>100</v>
      </c>
      <c r="L927" s="705">
        <v>29468</v>
      </c>
      <c r="M927" s="705">
        <v>24557</v>
      </c>
      <c r="N927" s="705">
        <v>9261</v>
      </c>
      <c r="O927" s="705">
        <v>3430</v>
      </c>
      <c r="P927" s="705">
        <v>0</v>
      </c>
      <c r="Q927">
        <v>0</v>
      </c>
      <c r="R927" s="705">
        <v>33555</v>
      </c>
      <c r="S927" s="705">
        <v>27963</v>
      </c>
      <c r="T927" s="705">
        <v>10275</v>
      </c>
      <c r="U927" s="705">
        <v>3806</v>
      </c>
      <c r="V927" s="705">
        <v>127625</v>
      </c>
      <c r="W927" s="705">
        <f t="shared" si="48"/>
        <v>127625</v>
      </c>
      <c r="X927" s="705">
        <f t="shared" si="49"/>
        <v>265807</v>
      </c>
      <c r="Y927" s="705"/>
      <c r="AI927" s="429"/>
    </row>
    <row r="928" spans="2:35">
      <c r="B928" t="s">
        <v>540</v>
      </c>
      <c r="C928" t="s">
        <v>124</v>
      </c>
      <c r="D928" t="s">
        <v>228</v>
      </c>
      <c r="E928" t="s">
        <v>665</v>
      </c>
      <c r="F928">
        <v>23</v>
      </c>
      <c r="G928" s="705">
        <v>1947</v>
      </c>
      <c r="H928" s="705">
        <v>13981</v>
      </c>
      <c r="I928" s="705">
        <v>889064</v>
      </c>
      <c r="J928" s="705">
        <v>329283</v>
      </c>
      <c r="K928">
        <v>100</v>
      </c>
      <c r="L928" s="705">
        <v>118108</v>
      </c>
      <c r="M928" s="705">
        <v>107371</v>
      </c>
      <c r="N928" s="705">
        <v>40442</v>
      </c>
      <c r="O928" s="705">
        <v>14978</v>
      </c>
      <c r="P928" s="705">
        <v>693</v>
      </c>
      <c r="Q928" s="705">
        <v>257</v>
      </c>
      <c r="R928" s="705">
        <v>148143</v>
      </c>
      <c r="S928" s="705">
        <v>134675</v>
      </c>
      <c r="T928" s="705">
        <v>39177</v>
      </c>
      <c r="U928" s="705">
        <v>14510</v>
      </c>
      <c r="V928" s="705">
        <v>601074</v>
      </c>
      <c r="W928" s="705">
        <f t="shared" si="48"/>
        <v>601074</v>
      </c>
      <c r="X928" s="705">
        <f t="shared" si="49"/>
        <v>1235627</v>
      </c>
      <c r="Y928" s="705"/>
      <c r="AI928" s="429"/>
    </row>
    <row r="929" spans="2:35">
      <c r="B929" t="s">
        <v>540</v>
      </c>
      <c r="C929" t="s">
        <v>124</v>
      </c>
      <c r="D929" t="s">
        <v>583</v>
      </c>
      <c r="E929" t="s">
        <v>228</v>
      </c>
      <c r="F929">
        <v>3</v>
      </c>
      <c r="G929">
        <v>231</v>
      </c>
      <c r="H929" s="705">
        <v>1619</v>
      </c>
      <c r="I929" s="705">
        <v>79317</v>
      </c>
      <c r="J929" s="705">
        <v>72106</v>
      </c>
      <c r="K929">
        <v>70</v>
      </c>
      <c r="L929" s="705">
        <v>11093</v>
      </c>
      <c r="M929" s="705">
        <v>8356</v>
      </c>
      <c r="N929" s="705">
        <v>5539</v>
      </c>
      <c r="O929" s="705">
        <v>2052</v>
      </c>
      <c r="P929">
        <v>972</v>
      </c>
      <c r="Q929">
        <v>360</v>
      </c>
      <c r="R929" s="705">
        <v>27535</v>
      </c>
      <c r="S929" s="705">
        <v>10198</v>
      </c>
      <c r="T929" s="705">
        <v>0</v>
      </c>
      <c r="U929">
        <v>0</v>
      </c>
      <c r="V929" s="705">
        <v>93072</v>
      </c>
      <c r="W929" s="705">
        <f t="shared" si="48"/>
        <v>93072</v>
      </c>
      <c r="X929" s="705">
        <f t="shared" si="49"/>
        <v>124456</v>
      </c>
      <c r="Y929" s="705"/>
      <c r="AI929" s="429"/>
    </row>
    <row r="930" spans="2:35">
      <c r="B930" t="s">
        <v>540</v>
      </c>
      <c r="C930" t="s">
        <v>124</v>
      </c>
      <c r="D930" t="s">
        <v>583</v>
      </c>
      <c r="E930" t="s">
        <v>583</v>
      </c>
      <c r="F930">
        <v>181</v>
      </c>
      <c r="G930" s="705">
        <v>18083</v>
      </c>
      <c r="H930" s="705">
        <v>95103</v>
      </c>
      <c r="I930" s="705">
        <v>6371261</v>
      </c>
      <c r="J930" s="705">
        <v>5792055</v>
      </c>
      <c r="K930">
        <v>69</v>
      </c>
      <c r="L930" s="705">
        <v>1347013</v>
      </c>
      <c r="M930" s="705">
        <v>1151475</v>
      </c>
      <c r="N930" s="705">
        <v>391893</v>
      </c>
      <c r="O930" s="705">
        <v>145145</v>
      </c>
      <c r="P930" s="705">
        <v>113387</v>
      </c>
      <c r="Q930" s="705">
        <v>41995</v>
      </c>
      <c r="R930" s="705">
        <v>951228</v>
      </c>
      <c r="S930" s="705">
        <v>864753</v>
      </c>
      <c r="T930" s="705">
        <v>329526</v>
      </c>
      <c r="U930" s="705">
        <v>122047</v>
      </c>
      <c r="V930" s="705">
        <v>8117470</v>
      </c>
      <c r="W930" s="705">
        <f t="shared" si="48"/>
        <v>8117470</v>
      </c>
      <c r="X930" s="705">
        <f t="shared" si="49"/>
        <v>9504308</v>
      </c>
      <c r="Y930" s="705"/>
      <c r="AI930" s="429"/>
    </row>
    <row r="931" spans="2:35">
      <c r="B931" t="s">
        <v>540</v>
      </c>
      <c r="C931" t="s">
        <v>124</v>
      </c>
      <c r="D931" t="s">
        <v>583</v>
      </c>
      <c r="E931" t="s">
        <v>671</v>
      </c>
      <c r="F931">
        <v>1</v>
      </c>
      <c r="G931">
        <v>59</v>
      </c>
      <c r="H931" s="705">
        <v>600</v>
      </c>
      <c r="I931" s="705">
        <v>20576</v>
      </c>
      <c r="J931" s="705">
        <v>18706</v>
      </c>
      <c r="K931">
        <v>70</v>
      </c>
      <c r="L931" s="705">
        <v>5068</v>
      </c>
      <c r="M931" s="705">
        <v>4607</v>
      </c>
      <c r="N931" s="705">
        <v>1433</v>
      </c>
      <c r="O931" s="705">
        <v>531</v>
      </c>
      <c r="P931" s="705">
        <v>621</v>
      </c>
      <c r="Q931" s="705">
        <v>230</v>
      </c>
      <c r="R931" s="705">
        <v>5727</v>
      </c>
      <c r="S931" s="705">
        <v>5207</v>
      </c>
      <c r="T931" s="705">
        <v>1873</v>
      </c>
      <c r="U931" s="705">
        <v>694</v>
      </c>
      <c r="V931" s="705">
        <v>29974</v>
      </c>
      <c r="W931" s="705">
        <f t="shared" si="48"/>
        <v>29975</v>
      </c>
      <c r="X931" s="705">
        <f t="shared" si="49"/>
        <v>35298</v>
      </c>
      <c r="Y931" s="705"/>
      <c r="AI931" s="429"/>
    </row>
    <row r="932" spans="2:35">
      <c r="B932" t="s">
        <v>540</v>
      </c>
      <c r="C932" t="s">
        <v>124</v>
      </c>
      <c r="D932" t="s">
        <v>666</v>
      </c>
      <c r="E932" t="s">
        <v>228</v>
      </c>
      <c r="F932">
        <v>1</v>
      </c>
      <c r="G932" s="705">
        <v>75</v>
      </c>
      <c r="H932" s="705">
        <v>632</v>
      </c>
      <c r="I932" s="705">
        <v>26892</v>
      </c>
      <c r="J932" s="705">
        <v>24447</v>
      </c>
      <c r="K932">
        <v>60</v>
      </c>
      <c r="L932" s="705">
        <v>7334</v>
      </c>
      <c r="M932" s="705">
        <v>2716</v>
      </c>
      <c r="N932" s="705">
        <v>1240</v>
      </c>
      <c r="O932" s="705">
        <v>459</v>
      </c>
      <c r="P932" s="705">
        <v>0</v>
      </c>
      <c r="Q932" s="705">
        <v>0</v>
      </c>
      <c r="R932" s="705">
        <v>11806</v>
      </c>
      <c r="S932" s="705">
        <v>4372</v>
      </c>
      <c r="T932" s="705">
        <v>0</v>
      </c>
      <c r="U932" s="705">
        <v>0</v>
      </c>
      <c r="V932" s="705">
        <v>31995</v>
      </c>
      <c r="W932" s="705">
        <f t="shared" si="48"/>
        <v>31994</v>
      </c>
      <c r="X932" s="705">
        <f t="shared" si="49"/>
        <v>47272</v>
      </c>
      <c r="Y932" s="705"/>
      <c r="AI932" s="429"/>
    </row>
    <row r="933" spans="2:35">
      <c r="B933" t="s">
        <v>540</v>
      </c>
      <c r="C933" t="s">
        <v>124</v>
      </c>
      <c r="D933" t="s">
        <v>666</v>
      </c>
      <c r="E933" t="s">
        <v>666</v>
      </c>
      <c r="F933">
        <v>7</v>
      </c>
      <c r="G933">
        <v>618</v>
      </c>
      <c r="H933" s="705">
        <v>4060</v>
      </c>
      <c r="I933" s="705">
        <v>237987</v>
      </c>
      <c r="J933" s="705">
        <v>216352</v>
      </c>
      <c r="K933">
        <v>53</v>
      </c>
      <c r="L933" s="705">
        <v>39016</v>
      </c>
      <c r="M933" s="705">
        <v>29711</v>
      </c>
      <c r="N933" s="705">
        <v>13404</v>
      </c>
      <c r="O933" s="705">
        <v>4965</v>
      </c>
      <c r="P933" s="705">
        <v>2106</v>
      </c>
      <c r="Q933">
        <v>780</v>
      </c>
      <c r="R933" s="705">
        <v>55913</v>
      </c>
      <c r="S933" s="705">
        <v>50830</v>
      </c>
      <c r="T933" s="705">
        <v>6352</v>
      </c>
      <c r="U933" s="705">
        <v>2353</v>
      </c>
      <c r="V933" s="705">
        <v>304990</v>
      </c>
      <c r="W933" s="705">
        <f t="shared" si="48"/>
        <v>304991</v>
      </c>
      <c r="X933" s="705">
        <f t="shared" si="49"/>
        <v>354778</v>
      </c>
      <c r="Y933" s="705"/>
      <c r="AI933" s="429"/>
    </row>
    <row r="934" spans="2:35">
      <c r="B934" t="s">
        <v>540</v>
      </c>
      <c r="C934" t="s">
        <v>124</v>
      </c>
      <c r="D934" t="s">
        <v>584</v>
      </c>
      <c r="E934" t="s">
        <v>584</v>
      </c>
      <c r="F934">
        <v>5</v>
      </c>
      <c r="G934" s="705">
        <v>364</v>
      </c>
      <c r="H934" s="705">
        <v>2656</v>
      </c>
      <c r="I934" s="705">
        <v>119381</v>
      </c>
      <c r="J934" s="705">
        <v>108528</v>
      </c>
      <c r="K934">
        <v>79</v>
      </c>
      <c r="L934" s="705">
        <v>39153</v>
      </c>
      <c r="M934" s="705">
        <v>35594</v>
      </c>
      <c r="N934" s="705">
        <v>8181</v>
      </c>
      <c r="O934" s="705">
        <v>3030</v>
      </c>
      <c r="P934" s="705">
        <v>2363</v>
      </c>
      <c r="Q934" s="705">
        <v>875</v>
      </c>
      <c r="R934" s="705">
        <v>22048</v>
      </c>
      <c r="S934" s="705">
        <v>20043</v>
      </c>
      <c r="T934" s="705">
        <v>0</v>
      </c>
      <c r="U934" s="705">
        <v>0</v>
      </c>
      <c r="V934" s="705">
        <v>168071</v>
      </c>
      <c r="W934" s="705">
        <f t="shared" si="48"/>
        <v>168070</v>
      </c>
      <c r="X934" s="705">
        <f t="shared" si="49"/>
        <v>191126</v>
      </c>
      <c r="Y934" s="705"/>
      <c r="AI934" s="429"/>
    </row>
    <row r="935" spans="2:35">
      <c r="B935" t="s">
        <v>540</v>
      </c>
      <c r="C935" t="s">
        <v>124</v>
      </c>
      <c r="D935" t="s">
        <v>669</v>
      </c>
      <c r="E935" t="s">
        <v>228</v>
      </c>
      <c r="F935">
        <v>12</v>
      </c>
      <c r="G935" s="705">
        <v>1023</v>
      </c>
      <c r="H935" s="705">
        <v>13528</v>
      </c>
      <c r="I935" s="705">
        <v>933386</v>
      </c>
      <c r="J935" s="705">
        <v>777821</v>
      </c>
      <c r="K935">
        <v>35</v>
      </c>
      <c r="L935" s="705">
        <v>45470</v>
      </c>
      <c r="M935" s="705">
        <v>25104</v>
      </c>
      <c r="N935" s="705">
        <v>23166</v>
      </c>
      <c r="O935" s="705">
        <v>8580</v>
      </c>
      <c r="P935" s="705">
        <v>351</v>
      </c>
      <c r="Q935" s="705">
        <v>130</v>
      </c>
      <c r="R935" s="705">
        <v>96170</v>
      </c>
      <c r="S935" s="705">
        <v>35618</v>
      </c>
      <c r="T935" s="705">
        <v>0</v>
      </c>
      <c r="U935" s="705">
        <v>0</v>
      </c>
      <c r="V935" s="705">
        <v>847253</v>
      </c>
      <c r="W935" s="705">
        <f t="shared" si="48"/>
        <v>847253</v>
      </c>
      <c r="X935" s="705">
        <f t="shared" si="49"/>
        <v>1098543</v>
      </c>
      <c r="Y935" s="705"/>
      <c r="AI935" s="429"/>
    </row>
    <row r="936" spans="2:35">
      <c r="B936" t="s">
        <v>540</v>
      </c>
      <c r="C936" t="s">
        <v>124</v>
      </c>
      <c r="D936" t="s">
        <v>669</v>
      </c>
      <c r="E936" t="s">
        <v>583</v>
      </c>
      <c r="F936">
        <v>1</v>
      </c>
      <c r="G936">
        <v>117</v>
      </c>
      <c r="H936" s="705">
        <v>791</v>
      </c>
      <c r="I936" s="705">
        <v>76293</v>
      </c>
      <c r="J936" s="705">
        <v>63577</v>
      </c>
      <c r="K936">
        <v>30</v>
      </c>
      <c r="L936" s="705">
        <v>5722</v>
      </c>
      <c r="M936" s="705">
        <v>2119</v>
      </c>
      <c r="N936" s="705">
        <v>2854</v>
      </c>
      <c r="O936" s="705">
        <v>1057</v>
      </c>
      <c r="P936">
        <v>0</v>
      </c>
      <c r="Q936">
        <v>0</v>
      </c>
      <c r="R936" s="705">
        <v>5138</v>
      </c>
      <c r="S936" s="705">
        <v>4671</v>
      </c>
      <c r="T936" s="705">
        <v>2640</v>
      </c>
      <c r="U936">
        <v>978</v>
      </c>
      <c r="V936" s="705">
        <v>72403</v>
      </c>
      <c r="W936" s="705">
        <f t="shared" si="48"/>
        <v>72402</v>
      </c>
      <c r="X936" s="705">
        <f t="shared" si="49"/>
        <v>92647</v>
      </c>
      <c r="Y936" s="705"/>
      <c r="AI936" s="429"/>
    </row>
    <row r="937" spans="2:35">
      <c r="B937" t="s">
        <v>540</v>
      </c>
      <c r="C937" t="s">
        <v>124</v>
      </c>
      <c r="D937" t="s">
        <v>669</v>
      </c>
      <c r="E937" t="s">
        <v>669</v>
      </c>
      <c r="F937">
        <v>87</v>
      </c>
      <c r="G937" s="705">
        <v>6613</v>
      </c>
      <c r="H937" s="705">
        <v>48419</v>
      </c>
      <c r="I937" s="705">
        <v>2551252</v>
      </c>
      <c r="J937" s="705">
        <v>2126043</v>
      </c>
      <c r="K937">
        <v>48</v>
      </c>
      <c r="L937" s="705">
        <v>323521</v>
      </c>
      <c r="M937" s="705">
        <v>266928</v>
      </c>
      <c r="N937" s="705">
        <v>142528</v>
      </c>
      <c r="O937" s="705">
        <v>52788</v>
      </c>
      <c r="P937" s="705">
        <v>28971</v>
      </c>
      <c r="Q937" s="705">
        <v>10730</v>
      </c>
      <c r="R937" s="705">
        <v>560000</v>
      </c>
      <c r="S937" s="705">
        <v>466667</v>
      </c>
      <c r="T937" s="705">
        <v>186183</v>
      </c>
      <c r="U937" s="705">
        <v>68957</v>
      </c>
      <c r="V937" s="705">
        <v>2992113</v>
      </c>
      <c r="W937" s="705">
        <f t="shared" si="48"/>
        <v>2992113</v>
      </c>
      <c r="X937" s="705">
        <f t="shared" si="49"/>
        <v>3792455</v>
      </c>
      <c r="Y937" s="705"/>
      <c r="AI937" s="429"/>
    </row>
    <row r="938" spans="2:35">
      <c r="B938" t="s">
        <v>540</v>
      </c>
      <c r="C938" t="s">
        <v>124</v>
      </c>
      <c r="D938" t="s">
        <v>667</v>
      </c>
      <c r="E938" t="s">
        <v>667</v>
      </c>
      <c r="F938">
        <v>3</v>
      </c>
      <c r="G938" s="705">
        <v>239</v>
      </c>
      <c r="H938" s="705">
        <v>1645</v>
      </c>
      <c r="I938" s="705">
        <v>85910</v>
      </c>
      <c r="J938" s="705">
        <v>78100</v>
      </c>
      <c r="K938">
        <v>65</v>
      </c>
      <c r="L938" s="705">
        <v>16469</v>
      </c>
      <c r="M938" s="705">
        <v>14972</v>
      </c>
      <c r="N938" s="705">
        <v>5750</v>
      </c>
      <c r="O938" s="705">
        <v>2129</v>
      </c>
      <c r="P938" s="705">
        <v>1053</v>
      </c>
      <c r="Q938">
        <v>390</v>
      </c>
      <c r="R938" s="705">
        <v>16869</v>
      </c>
      <c r="S938" s="705">
        <v>15335</v>
      </c>
      <c r="T938" s="705">
        <v>4349</v>
      </c>
      <c r="U938" s="705">
        <v>1611</v>
      </c>
      <c r="V938" s="705">
        <v>112537</v>
      </c>
      <c r="W938" s="705">
        <f t="shared" si="48"/>
        <v>112537</v>
      </c>
      <c r="X938" s="705">
        <f t="shared" si="49"/>
        <v>130400</v>
      </c>
      <c r="Y938" s="705"/>
      <c r="AI938" s="429"/>
    </row>
    <row r="939" spans="2:35">
      <c r="B939" t="s">
        <v>540</v>
      </c>
      <c r="C939" t="s">
        <v>124</v>
      </c>
      <c r="D939" t="s">
        <v>671</v>
      </c>
      <c r="E939" t="s">
        <v>228</v>
      </c>
      <c r="F939" s="705">
        <v>1</v>
      </c>
      <c r="G939" s="705">
        <v>85</v>
      </c>
      <c r="H939" s="705">
        <v>525</v>
      </c>
      <c r="I939" s="705">
        <v>26707</v>
      </c>
      <c r="J939" s="705">
        <v>24279</v>
      </c>
      <c r="K939" s="705">
        <v>60</v>
      </c>
      <c r="L939" s="705">
        <v>5935</v>
      </c>
      <c r="M939" s="705">
        <v>5395</v>
      </c>
      <c r="N939" s="705">
        <v>2081</v>
      </c>
      <c r="O939" s="705">
        <v>771</v>
      </c>
      <c r="P939" s="705">
        <v>0</v>
      </c>
      <c r="Q939" s="705">
        <v>0</v>
      </c>
      <c r="R939" s="705">
        <v>10076</v>
      </c>
      <c r="S939" s="705">
        <v>3732</v>
      </c>
      <c r="T939" s="705">
        <v>0</v>
      </c>
      <c r="U939" s="705">
        <v>0</v>
      </c>
      <c r="V939" s="705">
        <v>34177</v>
      </c>
      <c r="W939" s="705">
        <f t="shared" ref="W939:W1002" si="50">SUM(ABS(J939),ABS(M939),ABS(O939),ABS(Q939),ABS(S939),ABS(U939))</f>
        <v>34177</v>
      </c>
      <c r="X939" s="705">
        <f t="shared" ref="X939:X1002" si="51">SUM(ABS(I939),ABS(N939),ABS(P939),ABS(R939),ABS(T939),ABS(L939))</f>
        <v>44799</v>
      </c>
      <c r="AI939" s="429"/>
    </row>
    <row r="940" spans="2:35">
      <c r="B940" t="s">
        <v>540</v>
      </c>
      <c r="C940" t="s">
        <v>124</v>
      </c>
      <c r="D940" t="s">
        <v>671</v>
      </c>
      <c r="E940" t="s">
        <v>671</v>
      </c>
      <c r="F940" s="705">
        <v>11</v>
      </c>
      <c r="G940" s="705">
        <v>907</v>
      </c>
      <c r="H940" s="705">
        <v>6304</v>
      </c>
      <c r="I940" s="705">
        <v>347541</v>
      </c>
      <c r="J940" s="705">
        <v>315947</v>
      </c>
      <c r="K940" s="705">
        <v>50</v>
      </c>
      <c r="L940" s="705">
        <v>56738</v>
      </c>
      <c r="M940" s="705">
        <v>40188</v>
      </c>
      <c r="N940" s="705">
        <v>19599</v>
      </c>
      <c r="O940" s="705">
        <v>7259</v>
      </c>
      <c r="P940" s="705">
        <v>4131</v>
      </c>
      <c r="Q940" s="705">
        <v>1530</v>
      </c>
      <c r="R940" s="705">
        <v>67692</v>
      </c>
      <c r="S940" s="705">
        <v>61538</v>
      </c>
      <c r="T940" s="705">
        <v>19381</v>
      </c>
      <c r="U940" s="705">
        <v>7178</v>
      </c>
      <c r="V940" s="705">
        <v>433640</v>
      </c>
      <c r="W940" s="705">
        <f t="shared" si="50"/>
        <v>433640</v>
      </c>
      <c r="X940" s="705">
        <f t="shared" si="51"/>
        <v>515082</v>
      </c>
      <c r="AI940" s="429"/>
    </row>
    <row r="941" spans="2:35">
      <c r="B941" t="s">
        <v>540</v>
      </c>
      <c r="C941" t="s">
        <v>124</v>
      </c>
      <c r="D941" t="s">
        <v>665</v>
      </c>
      <c r="E941" t="s">
        <v>228</v>
      </c>
      <c r="F941" s="705">
        <v>40</v>
      </c>
      <c r="G941" s="705">
        <v>3856</v>
      </c>
      <c r="H941" s="705">
        <v>33137</v>
      </c>
      <c r="I941" s="705">
        <v>2633639</v>
      </c>
      <c r="J941" s="705">
        <v>2394217</v>
      </c>
      <c r="K941" s="705">
        <v>33</v>
      </c>
      <c r="L941" s="705">
        <v>210789</v>
      </c>
      <c r="M941" s="705">
        <v>103275</v>
      </c>
      <c r="N941" s="705">
        <v>90941</v>
      </c>
      <c r="O941" s="705">
        <v>33682</v>
      </c>
      <c r="P941" s="705">
        <v>2997</v>
      </c>
      <c r="Q941" s="705">
        <v>1110</v>
      </c>
      <c r="R941" s="705">
        <v>299509</v>
      </c>
      <c r="S941" s="705">
        <v>110929</v>
      </c>
      <c r="T941" s="705">
        <v>4714</v>
      </c>
      <c r="U941" s="705">
        <v>1746</v>
      </c>
      <c r="V941" s="705">
        <v>2644959</v>
      </c>
      <c r="W941" s="705">
        <f t="shared" si="50"/>
        <v>2644959</v>
      </c>
      <c r="X941" s="705">
        <f t="shared" si="51"/>
        <v>3242589</v>
      </c>
      <c r="AI941" s="429"/>
    </row>
    <row r="942" spans="2:35">
      <c r="B942" t="s">
        <v>540</v>
      </c>
      <c r="C942" t="s">
        <v>124</v>
      </c>
      <c r="D942" t="s">
        <v>665</v>
      </c>
      <c r="E942" t="s">
        <v>665</v>
      </c>
      <c r="F942" s="705">
        <v>179</v>
      </c>
      <c r="G942" s="705">
        <v>13975</v>
      </c>
      <c r="H942" s="705">
        <v>110923</v>
      </c>
      <c r="I942" s="705">
        <v>6387922</v>
      </c>
      <c r="J942" s="705">
        <v>5807202</v>
      </c>
      <c r="K942" s="705">
        <v>48</v>
      </c>
      <c r="L942" s="705">
        <v>779073</v>
      </c>
      <c r="M942" s="705">
        <v>624264</v>
      </c>
      <c r="N942" s="705">
        <v>292396</v>
      </c>
      <c r="O942" s="705">
        <v>108295</v>
      </c>
      <c r="P942" s="705">
        <v>55134</v>
      </c>
      <c r="Q942" s="705">
        <v>20420</v>
      </c>
      <c r="R942" s="705">
        <v>1068933</v>
      </c>
      <c r="S942" s="705">
        <v>971757</v>
      </c>
      <c r="T942" s="705">
        <v>321309</v>
      </c>
      <c r="U942" s="705">
        <v>119003</v>
      </c>
      <c r="V942" s="705">
        <v>7650941</v>
      </c>
      <c r="W942" s="705">
        <f t="shared" si="50"/>
        <v>7650941</v>
      </c>
      <c r="X942" s="705">
        <f t="shared" si="51"/>
        <v>8904767</v>
      </c>
      <c r="AI942" s="429"/>
    </row>
    <row r="943" spans="2:35">
      <c r="B943" t="s">
        <v>541</v>
      </c>
      <c r="C943" t="s">
        <v>108</v>
      </c>
      <c r="F943" s="705">
        <v>12</v>
      </c>
      <c r="G943" s="705">
        <v>902</v>
      </c>
      <c r="H943" s="705">
        <v>608</v>
      </c>
      <c r="I943" s="705"/>
      <c r="J943" s="705">
        <v>0</v>
      </c>
      <c r="K943" s="705"/>
      <c r="L943" s="705"/>
      <c r="M943" s="705">
        <v>0</v>
      </c>
      <c r="N943" s="705">
        <v>10995</v>
      </c>
      <c r="O943" s="705">
        <v>4072</v>
      </c>
      <c r="P943" s="705">
        <v>10367</v>
      </c>
      <c r="Q943" s="705">
        <v>3840</v>
      </c>
      <c r="R943" s="705"/>
      <c r="S943" s="705">
        <v>0</v>
      </c>
      <c r="T943" s="705">
        <v>0</v>
      </c>
      <c r="U943" s="705">
        <v>0</v>
      </c>
      <c r="V943" s="705">
        <v>7912</v>
      </c>
      <c r="W943" s="705">
        <f t="shared" si="50"/>
        <v>7912</v>
      </c>
      <c r="X943" s="705">
        <f t="shared" si="51"/>
        <v>21362</v>
      </c>
      <c r="AI943" s="429"/>
    </row>
    <row r="944" spans="2:35">
      <c r="B944" t="s">
        <v>541</v>
      </c>
      <c r="C944" t="s">
        <v>108</v>
      </c>
      <c r="D944" t="s">
        <v>582</v>
      </c>
      <c r="E944" t="s">
        <v>582</v>
      </c>
      <c r="F944" s="705">
        <v>3</v>
      </c>
      <c r="G944" s="705">
        <v>367</v>
      </c>
      <c r="H944" s="705">
        <v>198</v>
      </c>
      <c r="I944" s="705">
        <v>8160</v>
      </c>
      <c r="J944" s="705">
        <v>7418</v>
      </c>
      <c r="K944" s="705">
        <v>90</v>
      </c>
      <c r="L944" s="705">
        <v>984</v>
      </c>
      <c r="M944" s="705">
        <v>895</v>
      </c>
      <c r="N944" s="705">
        <v>4472</v>
      </c>
      <c r="O944" s="705">
        <v>1656</v>
      </c>
      <c r="P944" s="705">
        <v>1418</v>
      </c>
      <c r="Q944" s="705">
        <v>525</v>
      </c>
      <c r="R944" s="705">
        <v>9244</v>
      </c>
      <c r="S944" s="705">
        <v>8404</v>
      </c>
      <c r="T944" s="705">
        <v>0</v>
      </c>
      <c r="U944" s="705">
        <v>0</v>
      </c>
      <c r="V944" s="705">
        <v>18898</v>
      </c>
      <c r="W944" s="705">
        <f t="shared" si="50"/>
        <v>18898</v>
      </c>
      <c r="X944" s="705">
        <f t="shared" si="51"/>
        <v>24278</v>
      </c>
      <c r="AI944" s="429"/>
    </row>
    <row r="945" spans="2:35">
      <c r="B945" t="s">
        <v>541</v>
      </c>
      <c r="C945" t="s">
        <v>108</v>
      </c>
      <c r="D945" t="s">
        <v>228</v>
      </c>
      <c r="E945" t="s">
        <v>582</v>
      </c>
      <c r="F945" s="705">
        <v>10</v>
      </c>
      <c r="G945" s="705">
        <v>1331</v>
      </c>
      <c r="H945" s="705">
        <v>721</v>
      </c>
      <c r="I945" s="705">
        <v>24684</v>
      </c>
      <c r="J945" s="705">
        <v>9142</v>
      </c>
      <c r="K945" s="705">
        <v>364</v>
      </c>
      <c r="L945" s="705">
        <v>5161</v>
      </c>
      <c r="M945" s="705">
        <v>4692</v>
      </c>
      <c r="N945" s="705">
        <v>18432</v>
      </c>
      <c r="O945" s="705">
        <v>6827</v>
      </c>
      <c r="P945" s="705">
        <v>4725</v>
      </c>
      <c r="Q945" s="705">
        <v>1750</v>
      </c>
      <c r="R945" s="705">
        <v>42973</v>
      </c>
      <c r="S945" s="705">
        <v>39067</v>
      </c>
      <c r="T945" s="705">
        <v>0</v>
      </c>
      <c r="U945" s="705">
        <v>0</v>
      </c>
      <c r="V945" s="705">
        <v>61478</v>
      </c>
      <c r="W945" s="705">
        <f t="shared" si="50"/>
        <v>61478</v>
      </c>
      <c r="X945" s="705">
        <f t="shared" si="51"/>
        <v>95975</v>
      </c>
      <c r="AI945" s="429"/>
    </row>
    <row r="946" spans="2:35">
      <c r="B946" t="s">
        <v>541</v>
      </c>
      <c r="C946" t="s">
        <v>108</v>
      </c>
      <c r="D946" t="s">
        <v>228</v>
      </c>
      <c r="E946" t="s">
        <v>228</v>
      </c>
      <c r="F946" s="705">
        <v>169</v>
      </c>
      <c r="G946" s="705">
        <v>18405</v>
      </c>
      <c r="H946" s="705">
        <v>9376</v>
      </c>
      <c r="I946" s="705">
        <v>93541</v>
      </c>
      <c r="J946" s="705">
        <v>34645</v>
      </c>
      <c r="K946" s="705">
        <v>490</v>
      </c>
      <c r="L946" s="705">
        <v>19576</v>
      </c>
      <c r="M946" s="705">
        <v>15994</v>
      </c>
      <c r="N946" s="705">
        <v>241076</v>
      </c>
      <c r="O946" s="705">
        <v>89288</v>
      </c>
      <c r="P946" s="705">
        <v>90148</v>
      </c>
      <c r="Q946" s="705">
        <v>33388</v>
      </c>
      <c r="R946" s="705">
        <v>565117</v>
      </c>
      <c r="S946" s="705">
        <v>209302</v>
      </c>
      <c r="T946" s="705">
        <v>2897</v>
      </c>
      <c r="U946" s="705">
        <v>1073</v>
      </c>
      <c r="V946" s="705">
        <v>383690</v>
      </c>
      <c r="W946" s="705">
        <f t="shared" si="50"/>
        <v>383690</v>
      </c>
      <c r="X946" s="705">
        <f t="shared" si="51"/>
        <v>1012355</v>
      </c>
      <c r="AI946" s="429"/>
    </row>
    <row r="947" spans="2:35">
      <c r="B947" t="s">
        <v>541</v>
      </c>
      <c r="C947" t="s">
        <v>108</v>
      </c>
      <c r="D947" t="s">
        <v>583</v>
      </c>
      <c r="E947" t="s">
        <v>583</v>
      </c>
      <c r="F947" s="705">
        <v>42</v>
      </c>
      <c r="G947" s="705">
        <v>5118</v>
      </c>
      <c r="H947" s="705">
        <v>2658</v>
      </c>
      <c r="I947" s="705">
        <v>89980</v>
      </c>
      <c r="J947" s="705">
        <v>81800</v>
      </c>
      <c r="K947" s="705">
        <v>96</v>
      </c>
      <c r="L947" s="705">
        <v>7730</v>
      </c>
      <c r="M947" s="705">
        <v>6709</v>
      </c>
      <c r="N947" s="705">
        <v>69086</v>
      </c>
      <c r="O947" s="705">
        <v>25587</v>
      </c>
      <c r="P947" s="705">
        <v>27876</v>
      </c>
      <c r="Q947" s="705">
        <v>10324</v>
      </c>
      <c r="R947" s="705">
        <v>126122</v>
      </c>
      <c r="S947" s="705">
        <v>114657</v>
      </c>
      <c r="T947" s="705">
        <v>0</v>
      </c>
      <c r="U947" s="705">
        <v>0</v>
      </c>
      <c r="V947" s="705">
        <v>239077</v>
      </c>
      <c r="W947" s="705">
        <f t="shared" si="50"/>
        <v>239077</v>
      </c>
      <c r="X947" s="705">
        <f t="shared" si="51"/>
        <v>320794</v>
      </c>
      <c r="AI947" s="429"/>
    </row>
    <row r="948" spans="2:35">
      <c r="B948" t="s">
        <v>541</v>
      </c>
      <c r="C948" t="s">
        <v>110</v>
      </c>
      <c r="F948" s="705">
        <v>6</v>
      </c>
      <c r="G948" s="705">
        <v>688</v>
      </c>
      <c r="H948" s="705">
        <v>528</v>
      </c>
      <c r="I948" s="705"/>
      <c r="J948" s="705">
        <v>0</v>
      </c>
      <c r="K948" s="705"/>
      <c r="L948" s="705"/>
      <c r="M948" s="705">
        <v>0</v>
      </c>
      <c r="N948" s="705">
        <v>8376</v>
      </c>
      <c r="O948" s="705">
        <v>3102</v>
      </c>
      <c r="P948" s="705">
        <v>10041</v>
      </c>
      <c r="Q948" s="705">
        <v>3719</v>
      </c>
      <c r="R948" s="705"/>
      <c r="S948" s="705">
        <v>0</v>
      </c>
      <c r="T948" s="705">
        <v>0</v>
      </c>
      <c r="U948" s="705">
        <v>0</v>
      </c>
      <c r="V948" s="705">
        <v>6821</v>
      </c>
      <c r="W948" s="705">
        <f t="shared" si="50"/>
        <v>6821</v>
      </c>
      <c r="X948" s="705">
        <f t="shared" si="51"/>
        <v>18417</v>
      </c>
      <c r="AI948" s="429"/>
    </row>
    <row r="949" spans="2:35">
      <c r="B949" t="s">
        <v>541</v>
      </c>
      <c r="C949" t="s">
        <v>110</v>
      </c>
      <c r="D949" t="s">
        <v>582</v>
      </c>
      <c r="E949" t="s">
        <v>582</v>
      </c>
      <c r="F949" s="705">
        <v>3</v>
      </c>
      <c r="G949" s="705">
        <v>379</v>
      </c>
      <c r="H949" s="705">
        <v>274</v>
      </c>
      <c r="I949" s="705">
        <v>16679</v>
      </c>
      <c r="J949" s="705">
        <v>15162</v>
      </c>
      <c r="K949" s="705">
        <v>91</v>
      </c>
      <c r="L949" s="705">
        <v>1642</v>
      </c>
      <c r="M949" s="705">
        <v>1493</v>
      </c>
      <c r="N949" s="705">
        <v>4624</v>
      </c>
      <c r="O949" s="705">
        <v>1712</v>
      </c>
      <c r="P949" s="705">
        <v>2333</v>
      </c>
      <c r="Q949" s="705">
        <v>864</v>
      </c>
      <c r="R949" s="705">
        <v>8647</v>
      </c>
      <c r="S949" s="705">
        <v>7861</v>
      </c>
      <c r="T949" s="705">
        <v>0</v>
      </c>
      <c r="U949" s="705">
        <v>0</v>
      </c>
      <c r="V949" s="705">
        <v>27093</v>
      </c>
      <c r="W949" s="705">
        <f t="shared" si="50"/>
        <v>27092</v>
      </c>
      <c r="X949" s="705">
        <f t="shared" si="51"/>
        <v>33925</v>
      </c>
      <c r="AI949" s="429"/>
    </row>
    <row r="950" spans="2:35">
      <c r="B950" t="s">
        <v>541</v>
      </c>
      <c r="C950" t="s">
        <v>110</v>
      </c>
      <c r="D950" t="s">
        <v>228</v>
      </c>
      <c r="E950" t="s">
        <v>582</v>
      </c>
      <c r="F950" s="705">
        <v>1</v>
      </c>
      <c r="G950" s="705">
        <v>131</v>
      </c>
      <c r="H950" s="705">
        <v>86</v>
      </c>
      <c r="I950" s="705">
        <v>2796</v>
      </c>
      <c r="J950" s="705">
        <v>1036</v>
      </c>
      <c r="K950" s="705">
        <v>364</v>
      </c>
      <c r="L950" s="705">
        <v>1304</v>
      </c>
      <c r="M950" s="705">
        <v>1186</v>
      </c>
      <c r="N950" s="705">
        <v>2417</v>
      </c>
      <c r="O950" s="705">
        <v>895</v>
      </c>
      <c r="P950" s="705">
        <v>473</v>
      </c>
      <c r="Q950" s="705">
        <v>175</v>
      </c>
      <c r="R950" s="705">
        <v>4258</v>
      </c>
      <c r="S950" s="705">
        <v>3871</v>
      </c>
      <c r="T950" s="705">
        <v>0</v>
      </c>
      <c r="U950" s="705">
        <v>0</v>
      </c>
      <c r="V950" s="705">
        <v>7162</v>
      </c>
      <c r="W950" s="705">
        <f t="shared" si="50"/>
        <v>7163</v>
      </c>
      <c r="X950" s="705">
        <f t="shared" si="51"/>
        <v>11248</v>
      </c>
      <c r="AI950" s="429"/>
    </row>
    <row r="951" spans="2:35">
      <c r="B951" t="s">
        <v>541</v>
      </c>
      <c r="C951" t="s">
        <v>110</v>
      </c>
      <c r="D951" t="s">
        <v>228</v>
      </c>
      <c r="E951" t="s">
        <v>228</v>
      </c>
      <c r="F951" s="705">
        <v>56</v>
      </c>
      <c r="G951" s="705">
        <v>4206</v>
      </c>
      <c r="H951" s="705">
        <v>4838</v>
      </c>
      <c r="I951" s="705">
        <v>71220</v>
      </c>
      <c r="J951" s="705">
        <v>26378</v>
      </c>
      <c r="K951" s="705">
        <v>405</v>
      </c>
      <c r="L951" s="705">
        <v>15599</v>
      </c>
      <c r="M951" s="705">
        <v>13597</v>
      </c>
      <c r="N951" s="705">
        <v>64754</v>
      </c>
      <c r="O951" s="705">
        <v>23983</v>
      </c>
      <c r="P951" s="705">
        <v>22560</v>
      </c>
      <c r="Q951" s="705">
        <v>8356</v>
      </c>
      <c r="R951" s="705">
        <v>184757</v>
      </c>
      <c r="S951" s="705">
        <v>68429</v>
      </c>
      <c r="T951" s="705">
        <v>0</v>
      </c>
      <c r="U951" s="705">
        <v>0</v>
      </c>
      <c r="V951" s="705">
        <v>140742</v>
      </c>
      <c r="W951" s="705">
        <f t="shared" si="50"/>
        <v>140743</v>
      </c>
      <c r="X951" s="705">
        <f t="shared" si="51"/>
        <v>358890</v>
      </c>
      <c r="AI951" s="429"/>
    </row>
    <row r="952" spans="2:35">
      <c r="B952" t="s">
        <v>541</v>
      </c>
      <c r="C952" t="s">
        <v>110</v>
      </c>
      <c r="D952" t="s">
        <v>583</v>
      </c>
      <c r="E952" t="s">
        <v>583</v>
      </c>
      <c r="F952" s="705">
        <v>50</v>
      </c>
      <c r="G952" s="705">
        <v>5902</v>
      </c>
      <c r="H952" s="705">
        <v>4645</v>
      </c>
      <c r="I952" s="705">
        <v>235346</v>
      </c>
      <c r="J952" s="705">
        <v>213951</v>
      </c>
      <c r="K952" s="705">
        <v>94</v>
      </c>
      <c r="L952" s="705">
        <v>30710</v>
      </c>
      <c r="M952" s="705">
        <v>26466</v>
      </c>
      <c r="N952" s="705">
        <v>79190</v>
      </c>
      <c r="O952" s="705">
        <v>29330</v>
      </c>
      <c r="P952" s="705">
        <v>39556</v>
      </c>
      <c r="Q952" s="705">
        <v>14650</v>
      </c>
      <c r="R952" s="705">
        <v>161681</v>
      </c>
      <c r="S952" s="705">
        <v>146983</v>
      </c>
      <c r="T952" s="705">
        <v>604</v>
      </c>
      <c r="U952" s="705">
        <v>224</v>
      </c>
      <c r="V952" s="705">
        <v>431603</v>
      </c>
      <c r="W952" s="705">
        <f t="shared" si="50"/>
        <v>431604</v>
      </c>
      <c r="X952" s="705">
        <f t="shared" si="51"/>
        <v>547087</v>
      </c>
      <c r="AI952" s="429"/>
    </row>
    <row r="953" spans="2:35">
      <c r="B953" t="s">
        <v>541</v>
      </c>
      <c r="C953" t="s">
        <v>112</v>
      </c>
      <c r="F953" s="705">
        <v>9</v>
      </c>
      <c r="G953" s="705">
        <v>821</v>
      </c>
      <c r="H953" s="705">
        <v>1110</v>
      </c>
      <c r="I953" s="705"/>
      <c r="J953" s="705">
        <v>0</v>
      </c>
      <c r="K953" s="705"/>
      <c r="L953" s="705"/>
      <c r="M953" s="705">
        <v>0</v>
      </c>
      <c r="N953" s="705">
        <v>19294</v>
      </c>
      <c r="O953" s="705">
        <v>7146</v>
      </c>
      <c r="P953" s="705">
        <v>0</v>
      </c>
      <c r="Q953" s="705">
        <v>0</v>
      </c>
      <c r="R953" s="705"/>
      <c r="S953" s="705">
        <v>0</v>
      </c>
      <c r="T953" s="705">
        <v>0</v>
      </c>
      <c r="U953" s="705">
        <v>0</v>
      </c>
      <c r="V953" s="705">
        <v>7146</v>
      </c>
      <c r="W953" s="705">
        <f t="shared" si="50"/>
        <v>7146</v>
      </c>
      <c r="X953" s="705">
        <f t="shared" si="51"/>
        <v>19294</v>
      </c>
      <c r="AI953" s="429"/>
    </row>
    <row r="954" spans="2:35">
      <c r="B954" t="s">
        <v>541</v>
      </c>
      <c r="C954" t="s">
        <v>112</v>
      </c>
      <c r="D954" t="s">
        <v>664</v>
      </c>
      <c r="E954" t="s">
        <v>664</v>
      </c>
      <c r="F954" s="705">
        <v>1</v>
      </c>
      <c r="G954" s="705">
        <v>108</v>
      </c>
      <c r="H954" s="705">
        <v>124</v>
      </c>
      <c r="I954" s="705">
        <v>5973</v>
      </c>
      <c r="J954" s="705">
        <v>5430</v>
      </c>
      <c r="K954" s="705">
        <v>92</v>
      </c>
      <c r="L954" s="705">
        <v>1497</v>
      </c>
      <c r="M954" s="705">
        <v>554</v>
      </c>
      <c r="N954" s="705">
        <v>1321</v>
      </c>
      <c r="O954" s="705">
        <v>489</v>
      </c>
      <c r="P954" s="705">
        <v>1272</v>
      </c>
      <c r="Q954" s="705">
        <v>471</v>
      </c>
      <c r="R954" s="705">
        <v>3415</v>
      </c>
      <c r="S954" s="705">
        <v>3105</v>
      </c>
      <c r="T954" s="705">
        <v>0</v>
      </c>
      <c r="U954" s="705">
        <v>0</v>
      </c>
      <c r="V954" s="705">
        <v>10049</v>
      </c>
      <c r="W954" s="705">
        <f t="shared" si="50"/>
        <v>10049</v>
      </c>
      <c r="X954" s="705">
        <f t="shared" si="51"/>
        <v>13478</v>
      </c>
      <c r="AI954" s="429"/>
    </row>
    <row r="955" spans="2:35">
      <c r="B955" t="s">
        <v>541</v>
      </c>
      <c r="C955" t="s">
        <v>112</v>
      </c>
      <c r="D955" t="s">
        <v>582</v>
      </c>
      <c r="E955" t="s">
        <v>582</v>
      </c>
      <c r="F955" s="705">
        <v>27</v>
      </c>
      <c r="G955" s="705">
        <v>3166</v>
      </c>
      <c r="H955" s="705">
        <v>3185</v>
      </c>
      <c r="I955" s="705">
        <v>153795</v>
      </c>
      <c r="J955" s="705">
        <v>139814</v>
      </c>
      <c r="K955" s="705">
        <v>90</v>
      </c>
      <c r="L955" s="705">
        <v>44719</v>
      </c>
      <c r="M955" s="705">
        <v>39916</v>
      </c>
      <c r="N955" s="705">
        <v>54919</v>
      </c>
      <c r="O955" s="705">
        <v>20340</v>
      </c>
      <c r="P955" s="705">
        <v>19211</v>
      </c>
      <c r="Q955" s="705">
        <v>7115</v>
      </c>
      <c r="R955" s="705">
        <v>97415</v>
      </c>
      <c r="S955" s="705">
        <v>88559</v>
      </c>
      <c r="T955" s="705">
        <v>2508</v>
      </c>
      <c r="U955" s="705">
        <v>929</v>
      </c>
      <c r="V955" s="705">
        <v>296673</v>
      </c>
      <c r="W955" s="705">
        <f t="shared" si="50"/>
        <v>296673</v>
      </c>
      <c r="X955" s="705">
        <f t="shared" si="51"/>
        <v>372567</v>
      </c>
      <c r="AI955" s="429"/>
    </row>
    <row r="956" spans="2:35">
      <c r="B956" t="s">
        <v>541</v>
      </c>
      <c r="C956" t="s">
        <v>112</v>
      </c>
      <c r="D956" t="s">
        <v>228</v>
      </c>
      <c r="E956" t="s">
        <v>228</v>
      </c>
      <c r="F956" s="705">
        <v>7</v>
      </c>
      <c r="G956" s="705">
        <v>713</v>
      </c>
      <c r="H956" s="705">
        <v>767</v>
      </c>
      <c r="I956" s="705">
        <v>17941</v>
      </c>
      <c r="J956" s="705">
        <v>6645</v>
      </c>
      <c r="K956" s="705">
        <v>360</v>
      </c>
      <c r="L956" s="705">
        <v>5571</v>
      </c>
      <c r="M956" s="705">
        <v>5037</v>
      </c>
      <c r="N956" s="705">
        <v>11409</v>
      </c>
      <c r="O956" s="705">
        <v>4225</v>
      </c>
      <c r="P956" s="705">
        <v>5797</v>
      </c>
      <c r="Q956" s="705">
        <v>2147</v>
      </c>
      <c r="R956" s="705">
        <v>38761</v>
      </c>
      <c r="S956" s="705">
        <v>14356</v>
      </c>
      <c r="T956" s="705">
        <v>0</v>
      </c>
      <c r="U956" s="705">
        <v>0</v>
      </c>
      <c r="V956" s="705">
        <v>32411</v>
      </c>
      <c r="W956" s="705">
        <f t="shared" si="50"/>
        <v>32410</v>
      </c>
      <c r="X956" s="705">
        <f t="shared" si="51"/>
        <v>79479</v>
      </c>
      <c r="AI956" s="429"/>
    </row>
    <row r="957" spans="2:35">
      <c r="B957" t="s">
        <v>541</v>
      </c>
      <c r="C957" t="s">
        <v>112</v>
      </c>
      <c r="D957" t="s">
        <v>583</v>
      </c>
      <c r="E957" t="s">
        <v>583</v>
      </c>
      <c r="F957" s="705">
        <v>116</v>
      </c>
      <c r="G957" s="705">
        <v>14045</v>
      </c>
      <c r="H957" s="705">
        <v>13593</v>
      </c>
      <c r="I957" s="705">
        <v>745265</v>
      </c>
      <c r="J957" s="705">
        <v>677514</v>
      </c>
      <c r="K957" s="705">
        <v>92</v>
      </c>
      <c r="L957" s="705">
        <v>147472</v>
      </c>
      <c r="M957" s="705">
        <v>133361</v>
      </c>
      <c r="N957" s="705">
        <v>218741</v>
      </c>
      <c r="O957" s="705">
        <v>81015</v>
      </c>
      <c r="P957" s="705">
        <v>85321</v>
      </c>
      <c r="Q957" s="705">
        <v>31600</v>
      </c>
      <c r="R957" s="705">
        <v>456868</v>
      </c>
      <c r="S957" s="705">
        <v>415334</v>
      </c>
      <c r="T957" s="705">
        <v>5722</v>
      </c>
      <c r="U957" s="705">
        <v>2119</v>
      </c>
      <c r="V957" s="705">
        <v>1340943</v>
      </c>
      <c r="W957" s="705">
        <f t="shared" si="50"/>
        <v>1340943</v>
      </c>
      <c r="X957" s="705">
        <f t="shared" si="51"/>
        <v>1659389</v>
      </c>
      <c r="AI957" s="429"/>
    </row>
    <row r="958" spans="2:35">
      <c r="B958" t="s">
        <v>541</v>
      </c>
      <c r="C958" t="s">
        <v>112</v>
      </c>
      <c r="D958" t="s">
        <v>584</v>
      </c>
      <c r="E958" t="s">
        <v>584</v>
      </c>
      <c r="F958" s="705">
        <v>10</v>
      </c>
      <c r="G958" s="705">
        <v>1229</v>
      </c>
      <c r="H958" s="705">
        <v>1159</v>
      </c>
      <c r="I958" s="705">
        <v>63663</v>
      </c>
      <c r="J958" s="705">
        <v>57876</v>
      </c>
      <c r="K958" s="705">
        <v>91</v>
      </c>
      <c r="L958" s="705">
        <v>19527</v>
      </c>
      <c r="M958" s="705">
        <v>17752</v>
      </c>
      <c r="N958" s="705">
        <v>23995</v>
      </c>
      <c r="O958" s="705">
        <v>8887</v>
      </c>
      <c r="P958" s="705">
        <v>4725</v>
      </c>
      <c r="Q958" s="705">
        <v>1750</v>
      </c>
      <c r="R958" s="705">
        <v>30657</v>
      </c>
      <c r="S958" s="705">
        <v>27870</v>
      </c>
      <c r="T958" s="705">
        <v>0</v>
      </c>
      <c r="U958" s="705">
        <v>0</v>
      </c>
      <c r="V958" s="705">
        <v>114135</v>
      </c>
      <c r="W958" s="705">
        <f t="shared" si="50"/>
        <v>114135</v>
      </c>
      <c r="X958" s="705">
        <f t="shared" si="51"/>
        <v>142567</v>
      </c>
      <c r="AI958" s="429"/>
    </row>
    <row r="959" spans="2:35">
      <c r="B959" t="s">
        <v>541</v>
      </c>
      <c r="C959" t="s">
        <v>114</v>
      </c>
      <c r="F959" s="705">
        <v>15</v>
      </c>
      <c r="G959" s="705">
        <v>1427</v>
      </c>
      <c r="H959" s="705">
        <v>2015</v>
      </c>
      <c r="I959" s="705"/>
      <c r="J959" s="705">
        <v>0</v>
      </c>
      <c r="K959" s="705"/>
      <c r="L959" s="705"/>
      <c r="M959" s="705">
        <v>0</v>
      </c>
      <c r="N959" s="705">
        <v>32871</v>
      </c>
      <c r="O959" s="705">
        <v>12175</v>
      </c>
      <c r="P959" s="705">
        <v>2348</v>
      </c>
      <c r="Q959" s="705">
        <v>870</v>
      </c>
      <c r="R959" s="705"/>
      <c r="S959" s="705">
        <v>0</v>
      </c>
      <c r="T959" s="705">
        <v>0</v>
      </c>
      <c r="U959" s="705">
        <v>0</v>
      </c>
      <c r="V959" s="705">
        <v>13044</v>
      </c>
      <c r="W959" s="705">
        <f t="shared" si="50"/>
        <v>13045</v>
      </c>
      <c r="X959" s="705">
        <f t="shared" si="51"/>
        <v>35219</v>
      </c>
      <c r="AI959" s="429"/>
    </row>
    <row r="960" spans="2:35">
      <c r="B960" t="s">
        <v>541</v>
      </c>
      <c r="C960" t="s">
        <v>114</v>
      </c>
      <c r="D960" t="s">
        <v>664</v>
      </c>
      <c r="E960" t="s">
        <v>664</v>
      </c>
      <c r="F960" s="705">
        <v>5</v>
      </c>
      <c r="G960" s="705">
        <v>591</v>
      </c>
      <c r="H960" s="705">
        <v>691</v>
      </c>
      <c r="I960" s="705">
        <v>42196</v>
      </c>
      <c r="J960" s="705">
        <v>38360</v>
      </c>
      <c r="K960" s="705">
        <v>89</v>
      </c>
      <c r="L960" s="705">
        <v>9958</v>
      </c>
      <c r="M960" s="705">
        <v>9053</v>
      </c>
      <c r="N960" s="705">
        <v>10320</v>
      </c>
      <c r="O960" s="705">
        <v>3822</v>
      </c>
      <c r="P960" s="705">
        <v>2120</v>
      </c>
      <c r="Q960" s="705">
        <v>785</v>
      </c>
      <c r="R960" s="705">
        <v>17166</v>
      </c>
      <c r="S960" s="705">
        <v>15605</v>
      </c>
      <c r="T960" s="705">
        <v>0</v>
      </c>
      <c r="U960" s="705">
        <v>0</v>
      </c>
      <c r="V960" s="705">
        <v>67626</v>
      </c>
      <c r="W960" s="705">
        <f t="shared" si="50"/>
        <v>67625</v>
      </c>
      <c r="X960" s="705">
        <f t="shared" si="51"/>
        <v>81760</v>
      </c>
      <c r="AI960" s="429"/>
    </row>
    <row r="961" spans="2:35">
      <c r="B961" t="s">
        <v>541</v>
      </c>
      <c r="C961" t="s">
        <v>114</v>
      </c>
      <c r="D961" t="s">
        <v>582</v>
      </c>
      <c r="E961" t="s">
        <v>582</v>
      </c>
      <c r="F961" s="705">
        <v>118</v>
      </c>
      <c r="G961" s="705">
        <v>13508</v>
      </c>
      <c r="H961" s="705">
        <v>16461</v>
      </c>
      <c r="I961" s="705">
        <v>900752</v>
      </c>
      <c r="J961" s="705">
        <v>818865</v>
      </c>
      <c r="K961" s="705">
        <v>90</v>
      </c>
      <c r="L961" s="705">
        <v>236387</v>
      </c>
      <c r="M961" s="705">
        <v>214315</v>
      </c>
      <c r="N961" s="705">
        <v>251733</v>
      </c>
      <c r="O961" s="705">
        <v>93234</v>
      </c>
      <c r="P961" s="705">
        <v>80275</v>
      </c>
      <c r="Q961" s="705">
        <v>29732</v>
      </c>
      <c r="R961" s="705">
        <v>426729</v>
      </c>
      <c r="S961" s="705">
        <v>387935</v>
      </c>
      <c r="T961" s="705">
        <v>4950</v>
      </c>
      <c r="U961" s="705">
        <v>1833</v>
      </c>
      <c r="V961" s="705">
        <v>1545915</v>
      </c>
      <c r="W961" s="705">
        <f t="shared" si="50"/>
        <v>1545914</v>
      </c>
      <c r="X961" s="705">
        <f t="shared" si="51"/>
        <v>1900826</v>
      </c>
      <c r="AI961" s="429"/>
    </row>
    <row r="962" spans="2:35">
      <c r="B962" t="s">
        <v>541</v>
      </c>
      <c r="C962" t="s">
        <v>114</v>
      </c>
      <c r="D962" t="s">
        <v>228</v>
      </c>
      <c r="E962" t="s">
        <v>228</v>
      </c>
      <c r="F962" s="705">
        <v>10</v>
      </c>
      <c r="G962" s="705">
        <v>938</v>
      </c>
      <c r="H962" s="705">
        <v>1428</v>
      </c>
      <c r="I962" s="705">
        <v>44757</v>
      </c>
      <c r="J962" s="705">
        <v>16577</v>
      </c>
      <c r="K962" s="705">
        <v>201</v>
      </c>
      <c r="L962" s="705">
        <v>9136</v>
      </c>
      <c r="M962" s="705">
        <v>6207</v>
      </c>
      <c r="N962" s="705">
        <v>17208</v>
      </c>
      <c r="O962" s="705">
        <v>6373</v>
      </c>
      <c r="P962" s="705">
        <v>2823</v>
      </c>
      <c r="Q962" s="705">
        <v>1046</v>
      </c>
      <c r="R962" s="705">
        <v>60615</v>
      </c>
      <c r="S962" s="705">
        <v>22450</v>
      </c>
      <c r="T962" s="705">
        <v>0</v>
      </c>
      <c r="U962" s="705">
        <v>0</v>
      </c>
      <c r="V962" s="705">
        <v>52652</v>
      </c>
      <c r="W962" s="705">
        <f t="shared" si="50"/>
        <v>52653</v>
      </c>
      <c r="X962" s="705">
        <f t="shared" si="51"/>
        <v>134539</v>
      </c>
      <c r="AI962" s="429"/>
    </row>
    <row r="963" spans="2:35">
      <c r="B963" t="s">
        <v>541</v>
      </c>
      <c r="C963" t="s">
        <v>114</v>
      </c>
      <c r="D963" t="s">
        <v>583</v>
      </c>
      <c r="E963" t="s">
        <v>664</v>
      </c>
      <c r="F963" s="705">
        <v>1</v>
      </c>
      <c r="G963" s="705">
        <v>175</v>
      </c>
      <c r="H963" s="705">
        <v>139</v>
      </c>
      <c r="I963" s="705">
        <v>12821</v>
      </c>
      <c r="J963" s="705">
        <v>11655</v>
      </c>
      <c r="K963" s="705">
        <v>95</v>
      </c>
      <c r="L963" s="705">
        <v>1975</v>
      </c>
      <c r="M963" s="705">
        <v>1795</v>
      </c>
      <c r="N963" s="705">
        <v>2449</v>
      </c>
      <c r="O963" s="705">
        <v>907</v>
      </c>
      <c r="P963" s="705">
        <v>621</v>
      </c>
      <c r="Q963" s="705">
        <v>230</v>
      </c>
      <c r="R963" s="705">
        <v>6353</v>
      </c>
      <c r="S963" s="705">
        <v>5776</v>
      </c>
      <c r="T963" s="705">
        <v>0</v>
      </c>
      <c r="U963" s="705">
        <v>0</v>
      </c>
      <c r="V963" s="705">
        <v>20363</v>
      </c>
      <c r="W963" s="705">
        <f t="shared" si="50"/>
        <v>20363</v>
      </c>
      <c r="X963" s="705">
        <f t="shared" si="51"/>
        <v>24219</v>
      </c>
      <c r="AI963" s="429"/>
    </row>
    <row r="964" spans="2:35">
      <c r="B964" t="s">
        <v>541</v>
      </c>
      <c r="C964" t="s">
        <v>114</v>
      </c>
      <c r="D964" t="s">
        <v>583</v>
      </c>
      <c r="E964" t="s">
        <v>583</v>
      </c>
      <c r="F964" s="705">
        <v>512</v>
      </c>
      <c r="G964" s="705">
        <v>57558</v>
      </c>
      <c r="H964" s="705">
        <v>71827</v>
      </c>
      <c r="I964" s="705">
        <v>3643198</v>
      </c>
      <c r="J964" s="705">
        <v>3311998</v>
      </c>
      <c r="K964" s="705">
        <v>90</v>
      </c>
      <c r="L964" s="705">
        <v>913014</v>
      </c>
      <c r="M964" s="705">
        <v>816191</v>
      </c>
      <c r="N964" s="705">
        <v>972961</v>
      </c>
      <c r="O964" s="705">
        <v>360356</v>
      </c>
      <c r="P964" s="705">
        <v>338973</v>
      </c>
      <c r="Q964" s="705">
        <v>125546</v>
      </c>
      <c r="R964" s="705">
        <v>2271003</v>
      </c>
      <c r="S964" s="705">
        <v>2064548</v>
      </c>
      <c r="T964" s="705">
        <v>38118</v>
      </c>
      <c r="U964" s="705">
        <v>14118</v>
      </c>
      <c r="V964" s="705">
        <v>6692757</v>
      </c>
      <c r="W964" s="705">
        <f t="shared" si="50"/>
        <v>6692757</v>
      </c>
      <c r="X964" s="705">
        <f t="shared" si="51"/>
        <v>8177267</v>
      </c>
      <c r="AI964" s="429"/>
    </row>
    <row r="965" spans="2:35">
      <c r="B965" t="s">
        <v>541</v>
      </c>
      <c r="C965" t="s">
        <v>114</v>
      </c>
      <c r="D965" t="s">
        <v>584</v>
      </c>
      <c r="E965" t="s">
        <v>584</v>
      </c>
      <c r="F965" s="705">
        <v>47</v>
      </c>
      <c r="G965" s="705">
        <v>5729</v>
      </c>
      <c r="H965" s="705">
        <v>6582</v>
      </c>
      <c r="I965" s="705">
        <v>386528</v>
      </c>
      <c r="J965" s="705">
        <v>351389</v>
      </c>
      <c r="K965" s="705">
        <v>88</v>
      </c>
      <c r="L965" s="705">
        <v>116280</v>
      </c>
      <c r="M965" s="705">
        <v>105280</v>
      </c>
      <c r="N965" s="705">
        <v>94055</v>
      </c>
      <c r="O965" s="705">
        <v>34835</v>
      </c>
      <c r="P965" s="705">
        <v>22302</v>
      </c>
      <c r="Q965" s="705">
        <v>8260</v>
      </c>
      <c r="R965" s="705">
        <v>185399</v>
      </c>
      <c r="S965" s="705">
        <v>168545</v>
      </c>
      <c r="T965" s="705">
        <v>0</v>
      </c>
      <c r="U965" s="705">
        <v>0</v>
      </c>
      <c r="V965" s="705">
        <v>668309</v>
      </c>
      <c r="W965" s="705">
        <f t="shared" si="50"/>
        <v>668309</v>
      </c>
      <c r="X965" s="705">
        <f t="shared" si="51"/>
        <v>804564</v>
      </c>
      <c r="AI965" s="429"/>
    </row>
    <row r="966" spans="2:35">
      <c r="B966" t="s">
        <v>541</v>
      </c>
      <c r="C966" t="s">
        <v>116</v>
      </c>
      <c r="F966" s="705">
        <v>17</v>
      </c>
      <c r="G966" s="705">
        <v>1758</v>
      </c>
      <c r="H966" s="705">
        <v>3319</v>
      </c>
      <c r="I966" s="705"/>
      <c r="J966" s="705">
        <v>0</v>
      </c>
      <c r="K966" s="705"/>
      <c r="L966" s="705"/>
      <c r="M966" s="705">
        <v>0</v>
      </c>
      <c r="N966" s="705">
        <v>31749</v>
      </c>
      <c r="O966" s="705">
        <v>11759</v>
      </c>
      <c r="P966" s="705">
        <v>16701</v>
      </c>
      <c r="Q966" s="705">
        <v>6186</v>
      </c>
      <c r="R966" s="705"/>
      <c r="S966" s="705">
        <v>0</v>
      </c>
      <c r="T966" s="705">
        <v>0</v>
      </c>
      <c r="U966" s="705">
        <v>0</v>
      </c>
      <c r="V966" s="705">
        <v>17944</v>
      </c>
      <c r="W966" s="705">
        <f t="shared" si="50"/>
        <v>17945</v>
      </c>
      <c r="X966" s="705">
        <f t="shared" si="51"/>
        <v>48450</v>
      </c>
      <c r="AI966" s="429"/>
    </row>
    <row r="967" spans="2:35">
      <c r="B967" t="s">
        <v>541</v>
      </c>
      <c r="C967" t="s">
        <v>116</v>
      </c>
      <c r="D967" t="s">
        <v>664</v>
      </c>
      <c r="E967" t="s">
        <v>664</v>
      </c>
      <c r="F967" s="705">
        <v>16</v>
      </c>
      <c r="G967" s="705">
        <v>1748</v>
      </c>
      <c r="H967" s="705">
        <v>2904</v>
      </c>
      <c r="I967" s="705">
        <v>176110</v>
      </c>
      <c r="J967" s="705">
        <v>160100</v>
      </c>
      <c r="K967" s="705">
        <v>83</v>
      </c>
      <c r="L967" s="705">
        <v>25119</v>
      </c>
      <c r="M967" s="705">
        <v>22240</v>
      </c>
      <c r="N967" s="705">
        <v>33517</v>
      </c>
      <c r="O967" s="705">
        <v>12414</v>
      </c>
      <c r="P967" s="705">
        <v>7725</v>
      </c>
      <c r="Q967" s="705">
        <v>2861</v>
      </c>
      <c r="R967" s="705">
        <v>71919</v>
      </c>
      <c r="S967" s="705">
        <v>65381</v>
      </c>
      <c r="T967" s="705">
        <v>2160</v>
      </c>
      <c r="U967" s="705">
        <v>800</v>
      </c>
      <c r="V967" s="705">
        <v>263796</v>
      </c>
      <c r="W967" s="705">
        <f t="shared" si="50"/>
        <v>263796</v>
      </c>
      <c r="X967" s="705">
        <f t="shared" si="51"/>
        <v>316550</v>
      </c>
      <c r="AI967" s="429"/>
    </row>
    <row r="968" spans="2:35">
      <c r="B968" t="s">
        <v>541</v>
      </c>
      <c r="C968" t="s">
        <v>116</v>
      </c>
      <c r="D968" t="s">
        <v>582</v>
      </c>
      <c r="E968" t="s">
        <v>664</v>
      </c>
      <c r="F968" s="705">
        <v>3</v>
      </c>
      <c r="G968" s="705">
        <v>326</v>
      </c>
      <c r="H968" s="705">
        <v>513</v>
      </c>
      <c r="I968" s="705">
        <v>31675</v>
      </c>
      <c r="J968" s="705">
        <v>28795</v>
      </c>
      <c r="K968" s="705">
        <v>87</v>
      </c>
      <c r="L968" s="705">
        <v>5273</v>
      </c>
      <c r="M968" s="705">
        <v>4085</v>
      </c>
      <c r="N968" s="705">
        <v>5340</v>
      </c>
      <c r="O968" s="705">
        <v>1978</v>
      </c>
      <c r="P968" s="705">
        <v>1418</v>
      </c>
      <c r="Q968" s="705">
        <v>525</v>
      </c>
      <c r="R968" s="705">
        <v>13098</v>
      </c>
      <c r="S968" s="705">
        <v>11908</v>
      </c>
      <c r="T968" s="705">
        <v>0</v>
      </c>
      <c r="U968" s="705">
        <v>0</v>
      </c>
      <c r="V968" s="705">
        <v>47291</v>
      </c>
      <c r="W968" s="705">
        <f t="shared" si="50"/>
        <v>47291</v>
      </c>
      <c r="X968" s="705">
        <f t="shared" si="51"/>
        <v>56804</v>
      </c>
      <c r="AI968" s="429"/>
    </row>
    <row r="969" spans="2:35">
      <c r="B969" t="s">
        <v>541</v>
      </c>
      <c r="C969" t="s">
        <v>116</v>
      </c>
      <c r="D969" t="s">
        <v>582</v>
      </c>
      <c r="E969" t="s">
        <v>582</v>
      </c>
      <c r="F969" s="705">
        <v>213</v>
      </c>
      <c r="G969" s="705">
        <v>22429</v>
      </c>
      <c r="H969" s="705">
        <v>37188</v>
      </c>
      <c r="I969" s="705">
        <v>1931105</v>
      </c>
      <c r="J969" s="705">
        <v>1755550</v>
      </c>
      <c r="K969" s="705">
        <v>86</v>
      </c>
      <c r="L969" s="705">
        <v>482715</v>
      </c>
      <c r="M969" s="705">
        <v>429740</v>
      </c>
      <c r="N969" s="705">
        <v>457085</v>
      </c>
      <c r="O969" s="705">
        <v>169291</v>
      </c>
      <c r="P969" s="705">
        <v>110811</v>
      </c>
      <c r="Q969" s="705">
        <v>41041</v>
      </c>
      <c r="R969" s="705">
        <v>933410</v>
      </c>
      <c r="S969" s="705">
        <v>848554</v>
      </c>
      <c r="T969" s="705">
        <v>23130</v>
      </c>
      <c r="U969" s="705">
        <v>8567</v>
      </c>
      <c r="V969" s="705">
        <v>3252743</v>
      </c>
      <c r="W969" s="705">
        <f t="shared" si="50"/>
        <v>3252743</v>
      </c>
      <c r="X969" s="705">
        <f t="shared" si="51"/>
        <v>3938256</v>
      </c>
      <c r="AI969" s="429"/>
    </row>
    <row r="970" spans="2:35">
      <c r="B970" t="s">
        <v>541</v>
      </c>
      <c r="C970" t="s">
        <v>116</v>
      </c>
      <c r="D970" t="s">
        <v>582</v>
      </c>
      <c r="E970" t="s">
        <v>584</v>
      </c>
      <c r="F970" s="705">
        <v>1</v>
      </c>
      <c r="G970" s="705">
        <v>120</v>
      </c>
      <c r="H970" s="705">
        <v>168</v>
      </c>
      <c r="I970" s="705">
        <v>9750</v>
      </c>
      <c r="J970" s="705">
        <v>8864</v>
      </c>
      <c r="K970" s="705">
        <v>91</v>
      </c>
      <c r="L970" s="705">
        <v>3113</v>
      </c>
      <c r="M970" s="705">
        <v>2830</v>
      </c>
      <c r="N970" s="705">
        <v>2926</v>
      </c>
      <c r="O970" s="705">
        <v>1084</v>
      </c>
      <c r="P970" s="705">
        <v>1175</v>
      </c>
      <c r="Q970" s="705">
        <v>435</v>
      </c>
      <c r="R970" s="705">
        <v>3208</v>
      </c>
      <c r="S970" s="705">
        <v>2917</v>
      </c>
      <c r="T970" s="705">
        <v>0</v>
      </c>
      <c r="U970" s="705">
        <v>0</v>
      </c>
      <c r="V970" s="705">
        <v>16129</v>
      </c>
      <c r="W970" s="705">
        <f t="shared" si="50"/>
        <v>16130</v>
      </c>
      <c r="X970" s="705">
        <f t="shared" si="51"/>
        <v>20172</v>
      </c>
      <c r="AI970" s="429"/>
    </row>
    <row r="971" spans="2:35">
      <c r="B971" t="s">
        <v>541</v>
      </c>
      <c r="C971" t="s">
        <v>116</v>
      </c>
      <c r="D971" t="s">
        <v>228</v>
      </c>
      <c r="E971" t="s">
        <v>228</v>
      </c>
      <c r="F971" s="705">
        <v>192</v>
      </c>
      <c r="G971" s="705">
        <v>20962</v>
      </c>
      <c r="H971" s="705">
        <v>39185</v>
      </c>
      <c r="I971" s="705">
        <v>2058705</v>
      </c>
      <c r="J971" s="705">
        <v>762483</v>
      </c>
      <c r="K971" s="705">
        <v>121</v>
      </c>
      <c r="L971" s="705">
        <v>408162</v>
      </c>
      <c r="M971" s="705">
        <v>232610</v>
      </c>
      <c r="N971" s="705">
        <v>393019</v>
      </c>
      <c r="O971" s="705">
        <v>145563</v>
      </c>
      <c r="P971" s="705">
        <v>11292</v>
      </c>
      <c r="Q971" s="705">
        <v>4182</v>
      </c>
      <c r="R971" s="705">
        <v>1456250</v>
      </c>
      <c r="S971" s="705">
        <v>539352</v>
      </c>
      <c r="T971" s="705">
        <v>0</v>
      </c>
      <c r="U971" s="705">
        <v>0</v>
      </c>
      <c r="V971" s="705">
        <v>1684190</v>
      </c>
      <c r="W971" s="705">
        <f t="shared" si="50"/>
        <v>1684190</v>
      </c>
      <c r="X971" s="705">
        <f t="shared" si="51"/>
        <v>4327428</v>
      </c>
      <c r="AI971" s="429"/>
    </row>
    <row r="972" spans="2:35">
      <c r="B972" t="s">
        <v>541</v>
      </c>
      <c r="C972" t="s">
        <v>116</v>
      </c>
      <c r="D972" t="s">
        <v>228</v>
      </c>
      <c r="E972" t="s">
        <v>666</v>
      </c>
      <c r="F972" s="705">
        <v>1</v>
      </c>
      <c r="G972" s="705">
        <v>37</v>
      </c>
      <c r="H972" s="705">
        <v>225</v>
      </c>
      <c r="I972" s="705">
        <v>2687</v>
      </c>
      <c r="J972" s="705">
        <v>995</v>
      </c>
      <c r="K972" s="705">
        <v>250</v>
      </c>
      <c r="L972" s="705">
        <v>507</v>
      </c>
      <c r="M972" s="705">
        <v>461</v>
      </c>
      <c r="N972" s="705">
        <v>445</v>
      </c>
      <c r="O972" s="705">
        <v>165</v>
      </c>
      <c r="P972" s="705">
        <v>351</v>
      </c>
      <c r="Q972" s="705">
        <v>130</v>
      </c>
      <c r="R972" s="705">
        <v>2760</v>
      </c>
      <c r="S972" s="705">
        <v>2509</v>
      </c>
      <c r="T972" s="705">
        <v>1459</v>
      </c>
      <c r="U972" s="705">
        <v>540</v>
      </c>
      <c r="V972" s="705">
        <v>4800</v>
      </c>
      <c r="W972" s="705">
        <f t="shared" si="50"/>
        <v>4800</v>
      </c>
      <c r="X972" s="705">
        <f t="shared" si="51"/>
        <v>8209</v>
      </c>
      <c r="AI972" s="429"/>
    </row>
    <row r="973" spans="2:35">
      <c r="B973" t="s">
        <v>541</v>
      </c>
      <c r="C973" t="s">
        <v>116</v>
      </c>
      <c r="D973" t="s">
        <v>228</v>
      </c>
      <c r="E973" t="s">
        <v>669</v>
      </c>
      <c r="F973" s="705">
        <v>2</v>
      </c>
      <c r="G973" s="705">
        <v>90</v>
      </c>
      <c r="H973" s="705">
        <v>430</v>
      </c>
      <c r="I973" s="705">
        <v>5798</v>
      </c>
      <c r="J973" s="705">
        <v>2147</v>
      </c>
      <c r="K973" s="705">
        <v>356</v>
      </c>
      <c r="L973" s="705">
        <v>1568</v>
      </c>
      <c r="M973" s="705">
        <v>1307</v>
      </c>
      <c r="N973" s="705">
        <v>1095</v>
      </c>
      <c r="O973" s="705">
        <v>406</v>
      </c>
      <c r="P973" s="705">
        <v>701</v>
      </c>
      <c r="Q973" s="705">
        <v>259</v>
      </c>
      <c r="R973" s="705">
        <v>6525</v>
      </c>
      <c r="S973" s="705">
        <v>5437</v>
      </c>
      <c r="T973" s="705">
        <v>3613</v>
      </c>
      <c r="U973" s="705">
        <v>1338</v>
      </c>
      <c r="V973" s="705">
        <v>10895</v>
      </c>
      <c r="W973" s="705">
        <f t="shared" si="50"/>
        <v>10894</v>
      </c>
      <c r="X973" s="705">
        <f t="shared" si="51"/>
        <v>19300</v>
      </c>
      <c r="AI973" s="429"/>
    </row>
    <row r="974" spans="2:35">
      <c r="B974" t="s">
        <v>541</v>
      </c>
      <c r="C974" t="s">
        <v>116</v>
      </c>
      <c r="D974" t="s">
        <v>228</v>
      </c>
      <c r="E974" t="s">
        <v>665</v>
      </c>
      <c r="F974" s="705">
        <v>1</v>
      </c>
      <c r="G974" s="705">
        <v>31</v>
      </c>
      <c r="H974" s="705">
        <v>224</v>
      </c>
      <c r="I974" s="705">
        <v>2484</v>
      </c>
      <c r="J974" s="705">
        <v>920</v>
      </c>
      <c r="K974" s="705">
        <v>356</v>
      </c>
      <c r="L974" s="705">
        <v>616</v>
      </c>
      <c r="M974" s="705">
        <v>560</v>
      </c>
      <c r="N974" s="705">
        <v>382</v>
      </c>
      <c r="O974" s="705">
        <v>141</v>
      </c>
      <c r="P974" s="705">
        <v>0</v>
      </c>
      <c r="Q974" s="705">
        <v>0</v>
      </c>
      <c r="R974" s="705">
        <v>2165</v>
      </c>
      <c r="S974" s="705">
        <v>1968</v>
      </c>
      <c r="T974" s="705">
        <v>1381</v>
      </c>
      <c r="U974" s="705">
        <v>511</v>
      </c>
      <c r="V974" s="705">
        <v>4101</v>
      </c>
      <c r="W974" s="705">
        <f t="shared" si="50"/>
        <v>4100</v>
      </c>
      <c r="X974" s="705">
        <f t="shared" si="51"/>
        <v>7028</v>
      </c>
      <c r="AI974" s="429"/>
    </row>
    <row r="975" spans="2:35">
      <c r="B975" t="s">
        <v>541</v>
      </c>
      <c r="C975" t="s">
        <v>116</v>
      </c>
      <c r="D975" t="s">
        <v>583</v>
      </c>
      <c r="E975" t="s">
        <v>664</v>
      </c>
      <c r="F975" s="705">
        <v>2</v>
      </c>
      <c r="G975" s="705">
        <v>165</v>
      </c>
      <c r="H975" s="705">
        <v>443</v>
      </c>
      <c r="I975" s="705">
        <v>17887</v>
      </c>
      <c r="J975" s="705">
        <v>16261</v>
      </c>
      <c r="K975" s="705">
        <v>82</v>
      </c>
      <c r="L975" s="705">
        <v>4121</v>
      </c>
      <c r="M975" s="705">
        <v>3531</v>
      </c>
      <c r="N975" s="705">
        <v>3321</v>
      </c>
      <c r="O975" s="705">
        <v>1230</v>
      </c>
      <c r="P975" s="705">
        <v>1242</v>
      </c>
      <c r="Q975" s="705">
        <v>460</v>
      </c>
      <c r="R975" s="705">
        <v>9919</v>
      </c>
      <c r="S975" s="705">
        <v>9017</v>
      </c>
      <c r="T975" s="705">
        <v>0</v>
      </c>
      <c r="U975" s="705">
        <v>0</v>
      </c>
      <c r="V975" s="705">
        <v>30499</v>
      </c>
      <c r="W975" s="705">
        <f t="shared" si="50"/>
        <v>30499</v>
      </c>
      <c r="X975" s="705">
        <f t="shared" si="51"/>
        <v>36490</v>
      </c>
      <c r="AI975" s="429"/>
    </row>
    <row r="976" spans="2:35">
      <c r="B976" t="s">
        <v>541</v>
      </c>
      <c r="C976" t="s">
        <v>116</v>
      </c>
      <c r="D976" t="s">
        <v>583</v>
      </c>
      <c r="E976" t="s">
        <v>228</v>
      </c>
      <c r="F976" s="705">
        <v>4</v>
      </c>
      <c r="G976" s="705">
        <v>363</v>
      </c>
      <c r="H976" s="705">
        <v>810</v>
      </c>
      <c r="I976" s="705">
        <v>26447</v>
      </c>
      <c r="J976" s="705">
        <v>24042</v>
      </c>
      <c r="K976" s="705">
        <v>88</v>
      </c>
      <c r="L976" s="705">
        <v>7247</v>
      </c>
      <c r="M976" s="705">
        <v>6415</v>
      </c>
      <c r="N976" s="705">
        <v>6341</v>
      </c>
      <c r="O976" s="705">
        <v>2348</v>
      </c>
      <c r="P976" s="705">
        <v>2484</v>
      </c>
      <c r="Q976" s="705">
        <v>920</v>
      </c>
      <c r="R976" s="705">
        <v>30449</v>
      </c>
      <c r="S976" s="705">
        <v>11278</v>
      </c>
      <c r="T976" s="705">
        <v>0</v>
      </c>
      <c r="U976" s="705">
        <v>0</v>
      </c>
      <c r="V976" s="705">
        <v>45003</v>
      </c>
      <c r="W976" s="705">
        <f t="shared" si="50"/>
        <v>45003</v>
      </c>
      <c r="X976" s="705">
        <f t="shared" si="51"/>
        <v>72968</v>
      </c>
      <c r="AI976" s="429"/>
    </row>
    <row r="977" spans="2:35">
      <c r="B977" t="s">
        <v>541</v>
      </c>
      <c r="C977" t="s">
        <v>116</v>
      </c>
      <c r="D977" t="s">
        <v>583</v>
      </c>
      <c r="E977" t="s">
        <v>583</v>
      </c>
      <c r="F977" s="705">
        <v>3164</v>
      </c>
      <c r="G977" s="705">
        <v>330521</v>
      </c>
      <c r="H977" s="705">
        <v>598005</v>
      </c>
      <c r="I977" s="705">
        <v>29877470</v>
      </c>
      <c r="J977" s="705">
        <v>27161337</v>
      </c>
      <c r="K977" s="705">
        <v>85</v>
      </c>
      <c r="L977" s="705">
        <v>7575136</v>
      </c>
      <c r="M977" s="705">
        <v>7643676</v>
      </c>
      <c r="N977" s="705">
        <v>6167402</v>
      </c>
      <c r="O977" s="705">
        <v>2284223</v>
      </c>
      <c r="P977" s="705">
        <v>2106733</v>
      </c>
      <c r="Q977" s="705">
        <v>780272</v>
      </c>
      <c r="R977" s="705">
        <v>15429459</v>
      </c>
      <c r="S977" s="705">
        <v>14026781</v>
      </c>
      <c r="T977" s="705">
        <v>1850038</v>
      </c>
      <c r="U977" s="705">
        <v>685199</v>
      </c>
      <c r="V977" s="705">
        <v>52581487</v>
      </c>
      <c r="W977" s="705">
        <f t="shared" si="50"/>
        <v>52581488</v>
      </c>
      <c r="X977" s="705">
        <f t="shared" si="51"/>
        <v>63006238</v>
      </c>
      <c r="AI977" s="429"/>
    </row>
    <row r="978" spans="2:35">
      <c r="B978" t="s">
        <v>541</v>
      </c>
      <c r="C978" t="s">
        <v>116</v>
      </c>
      <c r="D978" t="s">
        <v>666</v>
      </c>
      <c r="E978" t="s">
        <v>583</v>
      </c>
      <c r="F978" s="705">
        <v>1</v>
      </c>
      <c r="G978" s="705">
        <v>90</v>
      </c>
      <c r="H978" s="705">
        <v>179</v>
      </c>
      <c r="I978" s="705">
        <v>7511</v>
      </c>
      <c r="J978" s="705">
        <v>6828</v>
      </c>
      <c r="K978" s="705">
        <v>85</v>
      </c>
      <c r="L978" s="705">
        <v>2579</v>
      </c>
      <c r="M978" s="705">
        <v>2149</v>
      </c>
      <c r="N978" s="705">
        <v>1367</v>
      </c>
      <c r="O978" s="705">
        <v>506</v>
      </c>
      <c r="P978" s="705">
        <v>621</v>
      </c>
      <c r="Q978" s="705">
        <v>230</v>
      </c>
      <c r="R978" s="705">
        <v>4137</v>
      </c>
      <c r="S978" s="705">
        <v>3761</v>
      </c>
      <c r="T978" s="705">
        <v>0</v>
      </c>
      <c r="U978" s="705">
        <v>0</v>
      </c>
      <c r="V978" s="705">
        <v>13474</v>
      </c>
      <c r="W978" s="705">
        <f t="shared" si="50"/>
        <v>13474</v>
      </c>
      <c r="X978" s="705">
        <f t="shared" si="51"/>
        <v>16215</v>
      </c>
      <c r="AI978" s="429"/>
    </row>
    <row r="979" spans="2:35">
      <c r="B979" t="s">
        <v>541</v>
      </c>
      <c r="C979" t="s">
        <v>116</v>
      </c>
      <c r="D979" t="s">
        <v>584</v>
      </c>
      <c r="E979" t="s">
        <v>584</v>
      </c>
      <c r="F979" s="705">
        <v>76</v>
      </c>
      <c r="G979" s="705">
        <v>8161</v>
      </c>
      <c r="H979" s="705">
        <v>13217</v>
      </c>
      <c r="I979" s="705">
        <v>661454</v>
      </c>
      <c r="J979" s="705">
        <v>601322</v>
      </c>
      <c r="K979" s="705">
        <v>84</v>
      </c>
      <c r="L979" s="705">
        <v>188306</v>
      </c>
      <c r="M979" s="705">
        <v>167555</v>
      </c>
      <c r="N979" s="705">
        <v>185661</v>
      </c>
      <c r="O979" s="705">
        <v>68763</v>
      </c>
      <c r="P979" s="705">
        <v>36491</v>
      </c>
      <c r="Q979" s="705">
        <v>13515</v>
      </c>
      <c r="R979" s="705">
        <v>346641</v>
      </c>
      <c r="S979" s="705">
        <v>315128</v>
      </c>
      <c r="T979" s="705">
        <v>8592</v>
      </c>
      <c r="U979" s="705">
        <v>3182</v>
      </c>
      <c r="V979" s="705">
        <v>1169465</v>
      </c>
      <c r="W979" s="705">
        <f t="shared" si="50"/>
        <v>1169465</v>
      </c>
      <c r="X979" s="705">
        <f t="shared" si="51"/>
        <v>1427145</v>
      </c>
      <c r="AI979" s="429"/>
    </row>
    <row r="980" spans="2:35">
      <c r="B980" t="s">
        <v>541</v>
      </c>
      <c r="C980" t="s">
        <v>116</v>
      </c>
      <c r="D980" t="s">
        <v>669</v>
      </c>
      <c r="E980" t="s">
        <v>669</v>
      </c>
      <c r="F980" s="705">
        <v>2</v>
      </c>
      <c r="G980" s="705">
        <v>198</v>
      </c>
      <c r="H980" s="705">
        <v>415</v>
      </c>
      <c r="I980" s="705">
        <v>21291</v>
      </c>
      <c r="J980" s="705">
        <v>17742</v>
      </c>
      <c r="K980" s="705">
        <v>68</v>
      </c>
      <c r="L980" s="705">
        <v>2971</v>
      </c>
      <c r="M980" s="705">
        <v>2476</v>
      </c>
      <c r="N980" s="705">
        <v>3629</v>
      </c>
      <c r="O980" s="705">
        <v>1344</v>
      </c>
      <c r="P980" s="705">
        <v>1053</v>
      </c>
      <c r="Q980" s="705">
        <v>390</v>
      </c>
      <c r="R980" s="705">
        <v>9633</v>
      </c>
      <c r="S980" s="705">
        <v>8028</v>
      </c>
      <c r="T980" s="705">
        <v>2430</v>
      </c>
      <c r="U980" s="705">
        <v>900</v>
      </c>
      <c r="V980" s="705">
        <v>30880</v>
      </c>
      <c r="W980" s="705">
        <f t="shared" si="50"/>
        <v>30880</v>
      </c>
      <c r="X980" s="705">
        <f t="shared" si="51"/>
        <v>41007</v>
      </c>
      <c r="AI980" s="429"/>
    </row>
    <row r="981" spans="2:35">
      <c r="B981" t="s">
        <v>541</v>
      </c>
      <c r="C981" t="s">
        <v>116</v>
      </c>
      <c r="D981" t="s">
        <v>665</v>
      </c>
      <c r="E981" t="s">
        <v>228</v>
      </c>
      <c r="F981" s="705">
        <v>3</v>
      </c>
      <c r="G981" s="705">
        <v>248</v>
      </c>
      <c r="H981" s="705">
        <v>614</v>
      </c>
      <c r="I981" s="705">
        <v>19995</v>
      </c>
      <c r="J981" s="705">
        <v>18177</v>
      </c>
      <c r="K981" s="705">
        <v>77</v>
      </c>
      <c r="L981" s="705">
        <v>4997</v>
      </c>
      <c r="M981" s="705">
        <v>3363</v>
      </c>
      <c r="N981" s="705">
        <v>4192</v>
      </c>
      <c r="O981" s="705">
        <v>1553</v>
      </c>
      <c r="P981" s="705">
        <v>351</v>
      </c>
      <c r="Q981" s="705">
        <v>130</v>
      </c>
      <c r="R981" s="705">
        <v>20162</v>
      </c>
      <c r="S981" s="705">
        <v>7468</v>
      </c>
      <c r="T981" s="705">
        <v>0</v>
      </c>
      <c r="U981" s="705">
        <v>0</v>
      </c>
      <c r="V981" s="705">
        <v>30690</v>
      </c>
      <c r="W981" s="705">
        <f t="shared" si="50"/>
        <v>30691</v>
      </c>
      <c r="X981" s="705">
        <f t="shared" si="51"/>
        <v>49697</v>
      </c>
      <c r="AI981" s="429"/>
    </row>
    <row r="982" spans="2:35">
      <c r="B982" t="s">
        <v>541</v>
      </c>
      <c r="C982" t="s">
        <v>116</v>
      </c>
      <c r="D982" t="s">
        <v>665</v>
      </c>
      <c r="E982" t="s">
        <v>665</v>
      </c>
      <c r="F982" s="705">
        <v>104</v>
      </c>
      <c r="G982" s="705">
        <v>9331</v>
      </c>
      <c r="H982" s="705">
        <v>22250</v>
      </c>
      <c r="I982" s="705">
        <v>995261</v>
      </c>
      <c r="J982" s="705">
        <v>904782</v>
      </c>
      <c r="K982" s="705">
        <v>67</v>
      </c>
      <c r="L982" s="705">
        <v>138690</v>
      </c>
      <c r="M982" s="705">
        <v>102420</v>
      </c>
      <c r="N982" s="705">
        <v>147920</v>
      </c>
      <c r="O982" s="705">
        <v>54785</v>
      </c>
      <c r="P982" s="705">
        <v>38228</v>
      </c>
      <c r="Q982" s="705">
        <v>14158</v>
      </c>
      <c r="R982" s="705">
        <v>442227</v>
      </c>
      <c r="S982" s="705">
        <v>402024</v>
      </c>
      <c r="T982" s="705">
        <v>231857</v>
      </c>
      <c r="U982" s="705">
        <v>85873</v>
      </c>
      <c r="V982" s="705">
        <v>1564043</v>
      </c>
      <c r="W982" s="705">
        <f t="shared" si="50"/>
        <v>1564042</v>
      </c>
      <c r="X982" s="705">
        <f t="shared" si="51"/>
        <v>1994183</v>
      </c>
      <c r="AI982" s="429"/>
    </row>
    <row r="983" spans="2:35">
      <c r="B983" t="s">
        <v>541</v>
      </c>
      <c r="C983" t="s">
        <v>116</v>
      </c>
      <c r="D983" t="s">
        <v>665</v>
      </c>
      <c r="E983" t="s">
        <v>722</v>
      </c>
      <c r="F983" s="705">
        <v>1</v>
      </c>
      <c r="G983" s="705">
        <v>89</v>
      </c>
      <c r="H983" s="705">
        <v>209</v>
      </c>
      <c r="I983" s="705">
        <v>7531</v>
      </c>
      <c r="J983" s="705">
        <v>6846</v>
      </c>
      <c r="K983" s="705">
        <v>65</v>
      </c>
      <c r="L983" s="705">
        <v>3004</v>
      </c>
      <c r="M983" s="705">
        <v>1112</v>
      </c>
      <c r="N983" s="705">
        <v>1081</v>
      </c>
      <c r="O983" s="705">
        <v>400</v>
      </c>
      <c r="P983" s="705">
        <v>351</v>
      </c>
      <c r="Q983" s="705">
        <v>130</v>
      </c>
      <c r="R983" s="705">
        <v>4287</v>
      </c>
      <c r="S983" s="705">
        <v>3897</v>
      </c>
      <c r="T983" s="705">
        <v>2282</v>
      </c>
      <c r="U983" s="705">
        <v>845</v>
      </c>
      <c r="V983" s="705">
        <v>13231</v>
      </c>
      <c r="W983" s="705">
        <f t="shared" si="50"/>
        <v>13230</v>
      </c>
      <c r="X983" s="705">
        <f t="shared" si="51"/>
        <v>18536</v>
      </c>
      <c r="AI983" s="429"/>
    </row>
    <row r="984" spans="2:35">
      <c r="B984" t="s">
        <v>541</v>
      </c>
      <c r="C984" t="s">
        <v>116</v>
      </c>
      <c r="D984" t="s">
        <v>673</v>
      </c>
      <c r="E984" t="s">
        <v>673</v>
      </c>
      <c r="F984" s="705">
        <v>4</v>
      </c>
      <c r="G984" s="705">
        <v>354</v>
      </c>
      <c r="H984" s="705">
        <v>861</v>
      </c>
      <c r="I984" s="705">
        <v>40152</v>
      </c>
      <c r="J984" s="705">
        <v>36502</v>
      </c>
      <c r="K984" s="705">
        <v>70</v>
      </c>
      <c r="L984" s="705">
        <v>4301</v>
      </c>
      <c r="M984" s="705">
        <v>3910</v>
      </c>
      <c r="N984" s="705">
        <v>4394</v>
      </c>
      <c r="O984" s="705">
        <v>1627</v>
      </c>
      <c r="P984" s="705">
        <v>1404</v>
      </c>
      <c r="Q984" s="705">
        <v>520</v>
      </c>
      <c r="R984" s="705">
        <v>16402</v>
      </c>
      <c r="S984" s="705">
        <v>14911</v>
      </c>
      <c r="T984" s="705">
        <v>9511</v>
      </c>
      <c r="U984" s="705">
        <v>3523</v>
      </c>
      <c r="V984" s="705">
        <v>60993</v>
      </c>
      <c r="W984" s="705">
        <f t="shared" si="50"/>
        <v>60993</v>
      </c>
      <c r="X984" s="705">
        <f t="shared" si="51"/>
        <v>76164</v>
      </c>
      <c r="AI984" s="429"/>
    </row>
    <row r="985" spans="2:35">
      <c r="B985" t="s">
        <v>541</v>
      </c>
      <c r="C985" t="s">
        <v>116</v>
      </c>
      <c r="D985" t="s">
        <v>585</v>
      </c>
      <c r="E985" t="s">
        <v>585</v>
      </c>
      <c r="F985" s="705">
        <v>2</v>
      </c>
      <c r="G985" s="705">
        <v>249</v>
      </c>
      <c r="H985" s="705">
        <v>354</v>
      </c>
      <c r="I985" s="705">
        <v>25022</v>
      </c>
      <c r="J985" s="705">
        <v>22747</v>
      </c>
      <c r="K985" s="705">
        <v>89</v>
      </c>
      <c r="L985" s="705">
        <v>5648</v>
      </c>
      <c r="M985" s="705">
        <v>5134</v>
      </c>
      <c r="N985" s="705">
        <v>5941</v>
      </c>
      <c r="O985" s="705">
        <v>2201</v>
      </c>
      <c r="P985" s="705">
        <v>702</v>
      </c>
      <c r="Q985" s="705">
        <v>260</v>
      </c>
      <c r="R985" s="705">
        <v>7829</v>
      </c>
      <c r="S985" s="705">
        <v>7117</v>
      </c>
      <c r="T985" s="705">
        <v>2740</v>
      </c>
      <c r="U985" s="705">
        <v>1015</v>
      </c>
      <c r="V985" s="705">
        <v>38474</v>
      </c>
      <c r="W985" s="705">
        <f t="shared" si="50"/>
        <v>38474</v>
      </c>
      <c r="X985" s="705">
        <f t="shared" si="51"/>
        <v>47882</v>
      </c>
      <c r="AI985" s="429"/>
    </row>
    <row r="986" spans="2:35">
      <c r="B986" t="s">
        <v>541</v>
      </c>
      <c r="C986" t="s">
        <v>116</v>
      </c>
      <c r="D986" t="s">
        <v>668</v>
      </c>
      <c r="E986" t="s">
        <v>228</v>
      </c>
      <c r="F986" s="705">
        <v>1</v>
      </c>
      <c r="G986" s="705">
        <v>87</v>
      </c>
      <c r="H986" s="705">
        <v>194</v>
      </c>
      <c r="I986" s="705">
        <v>6740</v>
      </c>
      <c r="J986" s="705">
        <v>6127</v>
      </c>
      <c r="K986" s="705">
        <v>83</v>
      </c>
      <c r="L986" s="705">
        <v>1528</v>
      </c>
      <c r="M986" s="705">
        <v>566</v>
      </c>
      <c r="N986" s="705">
        <v>1891</v>
      </c>
      <c r="O986" s="705">
        <v>700</v>
      </c>
      <c r="P986" s="705">
        <v>0</v>
      </c>
      <c r="Q986" s="705">
        <v>0</v>
      </c>
      <c r="R986" s="705">
        <v>6719</v>
      </c>
      <c r="S986" s="705">
        <v>2488</v>
      </c>
      <c r="T986" s="705">
        <v>0</v>
      </c>
      <c r="U986" s="705">
        <v>0</v>
      </c>
      <c r="V986" s="705">
        <v>9882</v>
      </c>
      <c r="W986" s="705">
        <f t="shared" si="50"/>
        <v>9881</v>
      </c>
      <c r="X986" s="705">
        <f t="shared" si="51"/>
        <v>16878</v>
      </c>
      <c r="AI986" s="429"/>
    </row>
    <row r="987" spans="2:35">
      <c r="B987" t="s">
        <v>541</v>
      </c>
      <c r="C987" t="s">
        <v>116</v>
      </c>
      <c r="D987" t="s">
        <v>668</v>
      </c>
      <c r="E987" t="s">
        <v>668</v>
      </c>
      <c r="F987" s="705">
        <v>1</v>
      </c>
      <c r="G987" s="705">
        <v>138</v>
      </c>
      <c r="H987" s="705">
        <v>152</v>
      </c>
      <c r="I987" s="705">
        <v>10638</v>
      </c>
      <c r="J987" s="705">
        <v>9671</v>
      </c>
      <c r="K987" s="705">
        <v>93</v>
      </c>
      <c r="L987" s="705">
        <v>3664</v>
      </c>
      <c r="M987" s="705">
        <v>3331</v>
      </c>
      <c r="N987" s="705">
        <v>1686</v>
      </c>
      <c r="O987" s="705">
        <v>625</v>
      </c>
      <c r="P987" s="705">
        <v>621</v>
      </c>
      <c r="Q987" s="705">
        <v>230</v>
      </c>
      <c r="R987" s="705">
        <v>4440</v>
      </c>
      <c r="S987" s="705">
        <v>4037</v>
      </c>
      <c r="T987" s="705">
        <v>0</v>
      </c>
      <c r="U987" s="705">
        <v>0</v>
      </c>
      <c r="V987" s="705">
        <v>17893</v>
      </c>
      <c r="W987" s="705">
        <f t="shared" si="50"/>
        <v>17894</v>
      </c>
      <c r="X987" s="705">
        <f t="shared" si="51"/>
        <v>21049</v>
      </c>
      <c r="AI987" s="429"/>
    </row>
    <row r="988" spans="2:35">
      <c r="B988" t="s">
        <v>541</v>
      </c>
      <c r="C988" t="s">
        <v>118</v>
      </c>
      <c r="F988" s="705">
        <v>20</v>
      </c>
      <c r="G988" s="705">
        <v>1199</v>
      </c>
      <c r="H988" s="705">
        <v>5058</v>
      </c>
      <c r="I988" s="705"/>
      <c r="J988" s="705">
        <v>0</v>
      </c>
      <c r="K988" s="705"/>
      <c r="L988" s="705"/>
      <c r="M988" s="705">
        <v>0</v>
      </c>
      <c r="N988" s="705">
        <v>23706</v>
      </c>
      <c r="O988" s="705">
        <v>8780</v>
      </c>
      <c r="P988" s="705">
        <v>6768</v>
      </c>
      <c r="Q988" s="705">
        <v>2507</v>
      </c>
      <c r="R988" s="705"/>
      <c r="S988" s="705">
        <v>0</v>
      </c>
      <c r="T988" s="705">
        <v>3062</v>
      </c>
      <c r="U988" s="705">
        <v>1134</v>
      </c>
      <c r="V988" s="705">
        <v>12421</v>
      </c>
      <c r="W988" s="705">
        <f t="shared" si="50"/>
        <v>12421</v>
      </c>
      <c r="X988" s="705">
        <f t="shared" si="51"/>
        <v>33536</v>
      </c>
      <c r="AI988" s="429"/>
    </row>
    <row r="989" spans="2:35">
      <c r="B989" t="s">
        <v>541</v>
      </c>
      <c r="C989" t="s">
        <v>118</v>
      </c>
      <c r="D989" t="s">
        <v>664</v>
      </c>
      <c r="E989" t="s">
        <v>664</v>
      </c>
      <c r="F989" s="705">
        <v>7</v>
      </c>
      <c r="G989" s="705">
        <v>841</v>
      </c>
      <c r="H989" s="705">
        <v>1726</v>
      </c>
      <c r="I989" s="705">
        <v>118523</v>
      </c>
      <c r="J989" s="705">
        <v>107748</v>
      </c>
      <c r="K989" s="705">
        <v>72</v>
      </c>
      <c r="L989" s="705">
        <v>21946</v>
      </c>
      <c r="M989" s="705">
        <v>16346</v>
      </c>
      <c r="N989" s="705">
        <v>18173</v>
      </c>
      <c r="O989" s="705">
        <v>6731</v>
      </c>
      <c r="P989" s="705">
        <v>3686</v>
      </c>
      <c r="Q989" s="705">
        <v>1365</v>
      </c>
      <c r="R989" s="705">
        <v>38066</v>
      </c>
      <c r="S989" s="705">
        <v>34606</v>
      </c>
      <c r="T989" s="705">
        <v>6761</v>
      </c>
      <c r="U989" s="705">
        <v>2504</v>
      </c>
      <c r="V989" s="705">
        <v>169299</v>
      </c>
      <c r="W989" s="705">
        <f t="shared" si="50"/>
        <v>169300</v>
      </c>
      <c r="X989" s="705">
        <f t="shared" si="51"/>
        <v>207155</v>
      </c>
      <c r="AI989" s="429"/>
    </row>
    <row r="990" spans="2:35">
      <c r="B990" t="s">
        <v>541</v>
      </c>
      <c r="C990" t="s">
        <v>118</v>
      </c>
      <c r="D990" t="s">
        <v>582</v>
      </c>
      <c r="E990" t="s">
        <v>582</v>
      </c>
      <c r="F990" s="705">
        <v>24</v>
      </c>
      <c r="G990" s="705">
        <v>2430</v>
      </c>
      <c r="H990" s="705">
        <v>6245</v>
      </c>
      <c r="I990" s="705">
        <v>357777</v>
      </c>
      <c r="J990" s="705">
        <v>325252</v>
      </c>
      <c r="K990" s="705">
        <v>76</v>
      </c>
      <c r="L990" s="705">
        <v>70015</v>
      </c>
      <c r="M990" s="705">
        <v>62676</v>
      </c>
      <c r="N990" s="705">
        <v>50940</v>
      </c>
      <c r="O990" s="705">
        <v>18867</v>
      </c>
      <c r="P990" s="705">
        <v>11475</v>
      </c>
      <c r="Q990" s="705">
        <v>4250</v>
      </c>
      <c r="R990" s="705">
        <v>121681</v>
      </c>
      <c r="S990" s="705">
        <v>110619</v>
      </c>
      <c r="T990" s="705">
        <v>29390</v>
      </c>
      <c r="U990" s="705">
        <v>10885</v>
      </c>
      <c r="V990" s="705">
        <v>532549</v>
      </c>
      <c r="W990" s="705">
        <f t="shared" si="50"/>
        <v>532549</v>
      </c>
      <c r="X990" s="705">
        <f t="shared" si="51"/>
        <v>641278</v>
      </c>
      <c r="AI990" s="429"/>
    </row>
    <row r="991" spans="2:35">
      <c r="B991" t="s">
        <v>541</v>
      </c>
      <c r="C991" t="s">
        <v>118</v>
      </c>
      <c r="D991" t="s">
        <v>228</v>
      </c>
      <c r="E991" t="s">
        <v>228</v>
      </c>
      <c r="F991" s="705">
        <v>629</v>
      </c>
      <c r="G991" s="705">
        <v>64769</v>
      </c>
      <c r="H991" s="705">
        <v>165480</v>
      </c>
      <c r="I991" s="705">
        <v>9519639</v>
      </c>
      <c r="J991" s="705">
        <v>3525792</v>
      </c>
      <c r="K991" s="705">
        <v>104</v>
      </c>
      <c r="L991" s="705">
        <v>1634382</v>
      </c>
      <c r="M991" s="705">
        <v>1065037</v>
      </c>
      <c r="N991" s="705">
        <v>1293589</v>
      </c>
      <c r="O991" s="705">
        <v>479107</v>
      </c>
      <c r="P991" s="705">
        <v>23976</v>
      </c>
      <c r="Q991" s="705">
        <v>8880</v>
      </c>
      <c r="R991" s="705">
        <v>4807658</v>
      </c>
      <c r="S991" s="705">
        <v>1780614</v>
      </c>
      <c r="T991" s="705">
        <v>18939</v>
      </c>
      <c r="U991" s="705">
        <v>7015</v>
      </c>
      <c r="V991" s="705">
        <v>6866445</v>
      </c>
      <c r="W991" s="705">
        <f t="shared" si="50"/>
        <v>6866445</v>
      </c>
      <c r="X991" s="705">
        <f t="shared" si="51"/>
        <v>17298183</v>
      </c>
      <c r="AI991" s="429"/>
    </row>
    <row r="992" spans="2:35">
      <c r="B992" t="s">
        <v>541</v>
      </c>
      <c r="C992" t="s">
        <v>118</v>
      </c>
      <c r="D992" t="s">
        <v>228</v>
      </c>
      <c r="E992" t="s">
        <v>666</v>
      </c>
      <c r="F992" s="705">
        <v>1</v>
      </c>
      <c r="G992" s="705">
        <v>103</v>
      </c>
      <c r="H992" s="705">
        <v>273</v>
      </c>
      <c r="I992" s="705">
        <v>14422</v>
      </c>
      <c r="J992" s="705">
        <v>5342</v>
      </c>
      <c r="K992" s="705">
        <v>100</v>
      </c>
      <c r="L992" s="705">
        <v>2938</v>
      </c>
      <c r="M992" s="705">
        <v>2671</v>
      </c>
      <c r="N992" s="705">
        <v>1966</v>
      </c>
      <c r="O992" s="705">
        <v>728</v>
      </c>
      <c r="P992" s="705">
        <v>351</v>
      </c>
      <c r="Q992" s="705">
        <v>130</v>
      </c>
      <c r="R992" s="705">
        <v>5873</v>
      </c>
      <c r="S992" s="705">
        <v>5339</v>
      </c>
      <c r="T992" s="705">
        <v>2463</v>
      </c>
      <c r="U992" s="705">
        <v>912</v>
      </c>
      <c r="V992" s="705">
        <v>15122</v>
      </c>
      <c r="W992" s="705">
        <f t="shared" si="50"/>
        <v>15122</v>
      </c>
      <c r="X992" s="705">
        <f t="shared" si="51"/>
        <v>28013</v>
      </c>
      <c r="AI992" s="429"/>
    </row>
    <row r="993" spans="2:35">
      <c r="B993" t="s">
        <v>541</v>
      </c>
      <c r="C993" t="s">
        <v>118</v>
      </c>
      <c r="D993" t="s">
        <v>228</v>
      </c>
      <c r="E993" t="s">
        <v>669</v>
      </c>
      <c r="F993" s="705">
        <v>15</v>
      </c>
      <c r="G993" s="705">
        <v>668</v>
      </c>
      <c r="H993" s="705">
        <v>3893</v>
      </c>
      <c r="I993" s="705">
        <v>65004</v>
      </c>
      <c r="J993" s="705">
        <v>24076</v>
      </c>
      <c r="K993" s="705">
        <v>303</v>
      </c>
      <c r="L993" s="705">
        <v>11964</v>
      </c>
      <c r="M993" s="705">
        <v>9970</v>
      </c>
      <c r="N993" s="705">
        <v>10623</v>
      </c>
      <c r="O993" s="705">
        <v>3934</v>
      </c>
      <c r="P993" s="705">
        <v>3151</v>
      </c>
      <c r="Q993" s="705">
        <v>1167</v>
      </c>
      <c r="R993" s="705">
        <v>59318</v>
      </c>
      <c r="S993" s="705">
        <v>49431</v>
      </c>
      <c r="T993" s="705">
        <v>26177</v>
      </c>
      <c r="U993" s="705">
        <v>9695</v>
      </c>
      <c r="V993" s="705">
        <v>98273</v>
      </c>
      <c r="W993" s="705">
        <f t="shared" si="50"/>
        <v>98273</v>
      </c>
      <c r="X993" s="705">
        <f t="shared" si="51"/>
        <v>176237</v>
      </c>
      <c r="AI993" s="429"/>
    </row>
    <row r="994" spans="2:35">
      <c r="B994" t="s">
        <v>541</v>
      </c>
      <c r="C994" t="s">
        <v>118</v>
      </c>
      <c r="D994" t="s">
        <v>228</v>
      </c>
      <c r="E994" t="s">
        <v>665</v>
      </c>
      <c r="F994" s="705">
        <v>4</v>
      </c>
      <c r="G994" s="705">
        <v>265</v>
      </c>
      <c r="H994" s="705">
        <v>1069</v>
      </c>
      <c r="I994" s="705">
        <v>39752</v>
      </c>
      <c r="J994" s="705">
        <v>14723</v>
      </c>
      <c r="K994" s="705">
        <v>138</v>
      </c>
      <c r="L994" s="705">
        <v>4596</v>
      </c>
      <c r="M994" s="705">
        <v>4178</v>
      </c>
      <c r="N994" s="705">
        <v>4040</v>
      </c>
      <c r="O994" s="705">
        <v>1496</v>
      </c>
      <c r="P994" s="705">
        <v>483</v>
      </c>
      <c r="Q994" s="705">
        <v>179</v>
      </c>
      <c r="R994" s="705">
        <v>16378</v>
      </c>
      <c r="S994" s="705">
        <v>14889</v>
      </c>
      <c r="T994" s="705">
        <v>5315</v>
      </c>
      <c r="U994" s="705">
        <v>1969</v>
      </c>
      <c r="V994" s="705">
        <v>37434</v>
      </c>
      <c r="W994" s="705">
        <f t="shared" si="50"/>
        <v>37434</v>
      </c>
      <c r="X994" s="705">
        <f t="shared" si="51"/>
        <v>70564</v>
      </c>
      <c r="AI994" s="429"/>
    </row>
    <row r="995" spans="2:35">
      <c r="B995" t="s">
        <v>541</v>
      </c>
      <c r="C995" t="s">
        <v>118</v>
      </c>
      <c r="D995" t="s">
        <v>583</v>
      </c>
      <c r="E995" t="s">
        <v>228</v>
      </c>
      <c r="F995" s="705">
        <v>9</v>
      </c>
      <c r="G995" s="705">
        <v>828</v>
      </c>
      <c r="H995" s="705">
        <v>2486</v>
      </c>
      <c r="I995" s="705">
        <v>101149</v>
      </c>
      <c r="J995" s="705">
        <v>91953</v>
      </c>
      <c r="K995" s="705">
        <v>84</v>
      </c>
      <c r="L995" s="705">
        <v>21982</v>
      </c>
      <c r="M995" s="705">
        <v>16501</v>
      </c>
      <c r="N995" s="705">
        <v>18900</v>
      </c>
      <c r="O995" s="705">
        <v>7000</v>
      </c>
      <c r="P995" s="705">
        <v>5171</v>
      </c>
      <c r="Q995" s="705">
        <v>1915</v>
      </c>
      <c r="R995" s="705">
        <v>79408</v>
      </c>
      <c r="S995" s="705">
        <v>29410</v>
      </c>
      <c r="T995" s="705">
        <v>0</v>
      </c>
      <c r="U995" s="705">
        <v>0</v>
      </c>
      <c r="V995" s="705">
        <v>146779</v>
      </c>
      <c r="W995" s="705">
        <f t="shared" si="50"/>
        <v>146779</v>
      </c>
      <c r="X995" s="705">
        <f t="shared" si="51"/>
        <v>226610</v>
      </c>
      <c r="AI995" s="429"/>
    </row>
    <row r="996" spans="2:35">
      <c r="B996" t="s">
        <v>541</v>
      </c>
      <c r="C996" t="s">
        <v>118</v>
      </c>
      <c r="D996" t="s">
        <v>583</v>
      </c>
      <c r="E996" t="s">
        <v>583</v>
      </c>
      <c r="F996" s="705">
        <v>1338</v>
      </c>
      <c r="G996" s="705">
        <v>125337</v>
      </c>
      <c r="H996" s="705">
        <v>342520</v>
      </c>
      <c r="I996" s="705">
        <v>16695096</v>
      </c>
      <c r="J996" s="705">
        <v>15177360</v>
      </c>
      <c r="K996" s="705">
        <v>79</v>
      </c>
      <c r="L996" s="705">
        <v>3895405</v>
      </c>
      <c r="M996" s="705">
        <v>3689618</v>
      </c>
      <c r="N996" s="705">
        <v>2462711</v>
      </c>
      <c r="O996" s="705">
        <v>912115</v>
      </c>
      <c r="P996" s="705">
        <v>877445</v>
      </c>
      <c r="Q996" s="705">
        <v>324980</v>
      </c>
      <c r="R996" s="705">
        <v>6862420</v>
      </c>
      <c r="S996" s="705">
        <v>6238564</v>
      </c>
      <c r="T996" s="705">
        <v>1408185</v>
      </c>
      <c r="U996" s="705">
        <v>521550</v>
      </c>
      <c r="V996" s="705">
        <v>26864187</v>
      </c>
      <c r="W996" s="705">
        <f t="shared" si="50"/>
        <v>26864187</v>
      </c>
      <c r="X996" s="705">
        <f t="shared" si="51"/>
        <v>32201262</v>
      </c>
      <c r="AI996" s="429"/>
    </row>
    <row r="997" spans="2:35">
      <c r="B997" t="s">
        <v>541</v>
      </c>
      <c r="C997" t="s">
        <v>118</v>
      </c>
      <c r="D997" t="s">
        <v>583</v>
      </c>
      <c r="E997" t="s">
        <v>666</v>
      </c>
      <c r="F997" s="705">
        <v>1</v>
      </c>
      <c r="G997" s="705">
        <v>85</v>
      </c>
      <c r="H997" s="705">
        <v>280</v>
      </c>
      <c r="I997" s="705">
        <v>11014</v>
      </c>
      <c r="J997" s="705">
        <v>10013</v>
      </c>
      <c r="K997" s="705">
        <v>70</v>
      </c>
      <c r="L997" s="705">
        <v>2713</v>
      </c>
      <c r="M997" s="705">
        <v>2466</v>
      </c>
      <c r="N997" s="705">
        <v>2081</v>
      </c>
      <c r="O997" s="705">
        <v>771</v>
      </c>
      <c r="P997" s="705">
        <v>621</v>
      </c>
      <c r="Q997" s="705">
        <v>230</v>
      </c>
      <c r="R997" s="705">
        <v>7496</v>
      </c>
      <c r="S997" s="705">
        <v>6815</v>
      </c>
      <c r="T997" s="705">
        <v>0</v>
      </c>
      <c r="U997" s="705">
        <v>0</v>
      </c>
      <c r="V997" s="705">
        <v>20295</v>
      </c>
      <c r="W997" s="705">
        <f t="shared" si="50"/>
        <v>20295</v>
      </c>
      <c r="X997" s="705">
        <f t="shared" si="51"/>
        <v>23925</v>
      </c>
      <c r="AI997" s="429"/>
    </row>
    <row r="998" spans="2:35">
      <c r="B998" t="s">
        <v>541</v>
      </c>
      <c r="C998" t="s">
        <v>118</v>
      </c>
      <c r="D998" t="s">
        <v>583</v>
      </c>
      <c r="E998" t="s">
        <v>669</v>
      </c>
      <c r="F998" s="705">
        <v>1</v>
      </c>
      <c r="G998" s="705">
        <v>107</v>
      </c>
      <c r="H998" s="705">
        <v>240</v>
      </c>
      <c r="I998" s="705">
        <v>13308</v>
      </c>
      <c r="J998" s="705">
        <v>12098</v>
      </c>
      <c r="K998" s="705">
        <v>79</v>
      </c>
      <c r="L998" s="705">
        <v>3697</v>
      </c>
      <c r="M998" s="705">
        <v>3360</v>
      </c>
      <c r="N998" s="705">
        <v>2601</v>
      </c>
      <c r="O998" s="705">
        <v>963</v>
      </c>
      <c r="P998" s="705">
        <v>621</v>
      </c>
      <c r="Q998" s="705">
        <v>230</v>
      </c>
      <c r="R998" s="705">
        <v>5407</v>
      </c>
      <c r="S998" s="705">
        <v>4506</v>
      </c>
      <c r="T998" s="705">
        <v>0</v>
      </c>
      <c r="U998" s="705">
        <v>0</v>
      </c>
      <c r="V998" s="705">
        <v>21158</v>
      </c>
      <c r="W998" s="705">
        <f t="shared" si="50"/>
        <v>21157</v>
      </c>
      <c r="X998" s="705">
        <f t="shared" si="51"/>
        <v>25634</v>
      </c>
      <c r="AI998" s="429"/>
    </row>
    <row r="999" spans="2:35">
      <c r="B999" t="s">
        <v>541</v>
      </c>
      <c r="C999" t="s">
        <v>118</v>
      </c>
      <c r="D999" t="s">
        <v>583</v>
      </c>
      <c r="E999" t="s">
        <v>665</v>
      </c>
      <c r="F999" s="705">
        <v>2</v>
      </c>
      <c r="G999" s="705">
        <v>115</v>
      </c>
      <c r="H999" s="705">
        <v>503</v>
      </c>
      <c r="I999" s="705">
        <v>14351</v>
      </c>
      <c r="J999" s="705">
        <v>13046</v>
      </c>
      <c r="K999" s="705">
        <v>86</v>
      </c>
      <c r="L999" s="705">
        <v>2226</v>
      </c>
      <c r="M999" s="705">
        <v>2023</v>
      </c>
      <c r="N999" s="705">
        <v>1399</v>
      </c>
      <c r="O999" s="705">
        <v>518</v>
      </c>
      <c r="P999" s="705">
        <v>1242</v>
      </c>
      <c r="Q999" s="705">
        <v>460</v>
      </c>
      <c r="R999" s="705">
        <v>5974</v>
      </c>
      <c r="S999" s="705">
        <v>5431</v>
      </c>
      <c r="T999" s="705">
        <v>3706</v>
      </c>
      <c r="U999" s="705">
        <v>1373</v>
      </c>
      <c r="V999" s="705">
        <v>22852</v>
      </c>
      <c r="W999" s="705">
        <f t="shared" si="50"/>
        <v>22851</v>
      </c>
      <c r="X999" s="705">
        <f t="shared" si="51"/>
        <v>28898</v>
      </c>
      <c r="AI999" s="429"/>
    </row>
    <row r="1000" spans="2:35">
      <c r="B1000" t="s">
        <v>541</v>
      </c>
      <c r="C1000" t="s">
        <v>118</v>
      </c>
      <c r="D1000" t="s">
        <v>583</v>
      </c>
      <c r="E1000" t="s">
        <v>673</v>
      </c>
      <c r="F1000" s="705">
        <v>1</v>
      </c>
      <c r="G1000" s="705">
        <v>126</v>
      </c>
      <c r="H1000" s="705">
        <v>241</v>
      </c>
      <c r="I1000" s="705">
        <v>15704</v>
      </c>
      <c r="J1000" s="705">
        <v>14276</v>
      </c>
      <c r="K1000" s="705">
        <v>79</v>
      </c>
      <c r="L1000" s="705">
        <v>4362</v>
      </c>
      <c r="M1000" s="705">
        <v>3966</v>
      </c>
      <c r="N1000" s="705">
        <v>2934</v>
      </c>
      <c r="O1000" s="705">
        <v>1087</v>
      </c>
      <c r="P1000" s="705">
        <v>621</v>
      </c>
      <c r="Q1000" s="705">
        <v>230</v>
      </c>
      <c r="R1000" s="705">
        <v>6748</v>
      </c>
      <c r="S1000" s="705">
        <v>6135</v>
      </c>
      <c r="T1000" s="705">
        <v>0</v>
      </c>
      <c r="U1000" s="705">
        <v>0</v>
      </c>
      <c r="V1000" s="705">
        <v>25693</v>
      </c>
      <c r="W1000" s="705">
        <f t="shared" si="50"/>
        <v>25694</v>
      </c>
      <c r="X1000" s="705">
        <f t="shared" si="51"/>
        <v>30369</v>
      </c>
      <c r="AI1000" s="429"/>
    </row>
    <row r="1001" spans="2:35">
      <c r="B1001" t="s">
        <v>541</v>
      </c>
      <c r="C1001" t="s">
        <v>118</v>
      </c>
      <c r="D1001" t="s">
        <v>666</v>
      </c>
      <c r="E1001" t="s">
        <v>228</v>
      </c>
      <c r="F1001" s="705">
        <v>1</v>
      </c>
      <c r="G1001" s="705">
        <v>69</v>
      </c>
      <c r="H1001" s="705">
        <v>298</v>
      </c>
      <c r="I1001" s="705">
        <v>7305</v>
      </c>
      <c r="J1001" s="705">
        <v>6641</v>
      </c>
      <c r="K1001" s="705">
        <v>65</v>
      </c>
      <c r="L1001" s="705">
        <v>1295</v>
      </c>
      <c r="M1001" s="705">
        <v>480</v>
      </c>
      <c r="N1001" s="705">
        <v>1154</v>
      </c>
      <c r="O1001" s="705">
        <v>427</v>
      </c>
      <c r="P1001" s="705">
        <v>351</v>
      </c>
      <c r="Q1001" s="705">
        <v>130</v>
      </c>
      <c r="R1001" s="705">
        <v>10488</v>
      </c>
      <c r="S1001" s="705">
        <v>3884</v>
      </c>
      <c r="T1001" s="705">
        <v>0</v>
      </c>
      <c r="U1001" s="705">
        <v>0</v>
      </c>
      <c r="V1001" s="705">
        <v>11562</v>
      </c>
      <c r="W1001" s="705">
        <f t="shared" si="50"/>
        <v>11562</v>
      </c>
      <c r="X1001" s="705">
        <f t="shared" si="51"/>
        <v>20593</v>
      </c>
      <c r="AI1001" s="429"/>
    </row>
    <row r="1002" spans="2:35">
      <c r="B1002" t="s">
        <v>541</v>
      </c>
      <c r="C1002" t="s">
        <v>118</v>
      </c>
      <c r="D1002" t="s">
        <v>666</v>
      </c>
      <c r="E1002" t="s">
        <v>666</v>
      </c>
      <c r="F1002" s="705">
        <v>14</v>
      </c>
      <c r="G1002" s="705">
        <v>1186</v>
      </c>
      <c r="H1002" s="705">
        <v>4002</v>
      </c>
      <c r="I1002" s="705">
        <v>181413</v>
      </c>
      <c r="J1002" s="705">
        <v>164921</v>
      </c>
      <c r="K1002" s="705">
        <v>55</v>
      </c>
      <c r="L1002" s="705">
        <v>24243</v>
      </c>
      <c r="M1002" s="705">
        <v>22039</v>
      </c>
      <c r="N1002" s="705">
        <v>25254</v>
      </c>
      <c r="O1002" s="705">
        <v>9353</v>
      </c>
      <c r="P1002" s="705">
        <v>4914</v>
      </c>
      <c r="Q1002" s="705">
        <v>1820</v>
      </c>
      <c r="R1002" s="705">
        <v>73634</v>
      </c>
      <c r="S1002" s="705">
        <v>66940</v>
      </c>
      <c r="T1002" s="705">
        <v>29545</v>
      </c>
      <c r="U1002" s="705">
        <v>10943</v>
      </c>
      <c r="V1002" s="705">
        <v>276016</v>
      </c>
      <c r="W1002" s="705">
        <f t="shared" si="50"/>
        <v>276016</v>
      </c>
      <c r="X1002" s="705">
        <f t="shared" si="51"/>
        <v>339003</v>
      </c>
      <c r="AI1002" s="429"/>
    </row>
    <row r="1003" spans="2:35">
      <c r="B1003" t="s">
        <v>541</v>
      </c>
      <c r="C1003" t="s">
        <v>118</v>
      </c>
      <c r="D1003" t="s">
        <v>584</v>
      </c>
      <c r="E1003" t="s">
        <v>584</v>
      </c>
      <c r="F1003" s="705">
        <v>6</v>
      </c>
      <c r="G1003" s="705">
        <v>470</v>
      </c>
      <c r="H1003" s="705">
        <v>1500</v>
      </c>
      <c r="I1003" s="705">
        <v>69629</v>
      </c>
      <c r="J1003" s="705">
        <v>63299</v>
      </c>
      <c r="K1003" s="705">
        <v>83</v>
      </c>
      <c r="L1003" s="705">
        <v>17206</v>
      </c>
      <c r="M1003" s="705">
        <v>14300</v>
      </c>
      <c r="N1003" s="705">
        <v>11038</v>
      </c>
      <c r="O1003" s="705">
        <v>4088</v>
      </c>
      <c r="P1003" s="705">
        <v>2714</v>
      </c>
      <c r="Q1003" s="705">
        <v>1005</v>
      </c>
      <c r="R1003" s="705">
        <v>16642</v>
      </c>
      <c r="S1003" s="705">
        <v>15129</v>
      </c>
      <c r="T1003" s="705">
        <v>1018</v>
      </c>
      <c r="U1003" s="705">
        <v>377</v>
      </c>
      <c r="V1003" s="705">
        <v>98198</v>
      </c>
      <c r="W1003" s="705">
        <f t="shared" ref="W1003:W1066" si="52">SUM(ABS(J1003),ABS(M1003),ABS(O1003),ABS(Q1003),ABS(S1003),ABS(U1003))</f>
        <v>98198</v>
      </c>
      <c r="X1003" s="705">
        <f t="shared" ref="X1003:X1066" si="53">SUM(ABS(I1003),ABS(N1003),ABS(P1003),ABS(R1003),ABS(T1003),ABS(L1003))</f>
        <v>118247</v>
      </c>
      <c r="AI1003" s="429"/>
    </row>
    <row r="1004" spans="2:35">
      <c r="B1004" t="s">
        <v>541</v>
      </c>
      <c r="C1004" t="s">
        <v>118</v>
      </c>
      <c r="D1004" t="s">
        <v>669</v>
      </c>
      <c r="E1004" t="s">
        <v>228</v>
      </c>
      <c r="F1004" s="705">
        <v>1</v>
      </c>
      <c r="G1004" s="705">
        <v>71</v>
      </c>
      <c r="H1004" s="705">
        <v>292</v>
      </c>
      <c r="I1004" s="705">
        <v>9748</v>
      </c>
      <c r="J1004" s="705">
        <v>8123</v>
      </c>
      <c r="K1004" s="705">
        <v>55</v>
      </c>
      <c r="L1004" s="705">
        <v>0</v>
      </c>
      <c r="M1004" s="705">
        <v>0</v>
      </c>
      <c r="N1004" s="705">
        <v>861</v>
      </c>
      <c r="O1004" s="705">
        <v>319</v>
      </c>
      <c r="P1004" s="705">
        <v>351</v>
      </c>
      <c r="Q1004" s="705">
        <v>130</v>
      </c>
      <c r="R1004" s="705">
        <v>9690</v>
      </c>
      <c r="S1004" s="705">
        <v>3589</v>
      </c>
      <c r="T1004" s="705">
        <v>0</v>
      </c>
      <c r="U1004" s="705">
        <v>0</v>
      </c>
      <c r="V1004" s="705">
        <v>12161</v>
      </c>
      <c r="W1004" s="705">
        <f t="shared" si="52"/>
        <v>12161</v>
      </c>
      <c r="X1004" s="705">
        <f t="shared" si="53"/>
        <v>20650</v>
      </c>
      <c r="AI1004" s="429"/>
    </row>
    <row r="1005" spans="2:35">
      <c r="B1005" t="s">
        <v>541</v>
      </c>
      <c r="C1005" t="s">
        <v>118</v>
      </c>
      <c r="D1005" t="s">
        <v>669</v>
      </c>
      <c r="E1005" t="s">
        <v>669</v>
      </c>
      <c r="F1005" s="705">
        <v>66</v>
      </c>
      <c r="G1005" s="705">
        <v>5352</v>
      </c>
      <c r="H1005" s="705">
        <v>18340</v>
      </c>
      <c r="I1005" s="705">
        <v>758665</v>
      </c>
      <c r="J1005" s="705">
        <v>632221</v>
      </c>
      <c r="K1005" s="705">
        <v>64</v>
      </c>
      <c r="L1005" s="705">
        <v>148123</v>
      </c>
      <c r="M1005" s="705">
        <v>117895</v>
      </c>
      <c r="N1005" s="705">
        <v>101401</v>
      </c>
      <c r="O1005" s="705">
        <v>37556</v>
      </c>
      <c r="P1005" s="705">
        <v>24488</v>
      </c>
      <c r="Q1005" s="705">
        <v>9070</v>
      </c>
      <c r="R1005" s="705">
        <v>302158</v>
      </c>
      <c r="S1005" s="705">
        <v>251798</v>
      </c>
      <c r="T1005" s="705">
        <v>149061</v>
      </c>
      <c r="U1005" s="705">
        <v>55208</v>
      </c>
      <c r="V1005" s="705">
        <v>1103748</v>
      </c>
      <c r="W1005" s="705">
        <f t="shared" si="52"/>
        <v>1103748</v>
      </c>
      <c r="X1005" s="705">
        <f t="shared" si="53"/>
        <v>1483896</v>
      </c>
      <c r="AI1005" s="429"/>
    </row>
    <row r="1006" spans="2:35">
      <c r="B1006" t="s">
        <v>541</v>
      </c>
      <c r="C1006" t="s">
        <v>118</v>
      </c>
      <c r="D1006" t="s">
        <v>671</v>
      </c>
      <c r="E1006" t="s">
        <v>671</v>
      </c>
      <c r="F1006" s="705">
        <v>1</v>
      </c>
      <c r="G1006" s="705">
        <v>114</v>
      </c>
      <c r="H1006" s="705">
        <v>239</v>
      </c>
      <c r="I1006" s="705">
        <v>13995</v>
      </c>
      <c r="J1006" s="705">
        <v>12723</v>
      </c>
      <c r="K1006" s="705">
        <v>65</v>
      </c>
      <c r="L1006" s="705">
        <v>3369</v>
      </c>
      <c r="M1006" s="705">
        <v>3063</v>
      </c>
      <c r="N1006" s="705">
        <v>2644</v>
      </c>
      <c r="O1006" s="705">
        <v>979</v>
      </c>
      <c r="P1006" s="705">
        <v>351</v>
      </c>
      <c r="Q1006" s="705">
        <v>130</v>
      </c>
      <c r="R1006" s="705">
        <v>4177</v>
      </c>
      <c r="S1006" s="705">
        <v>3797</v>
      </c>
      <c r="T1006" s="705">
        <v>2739</v>
      </c>
      <c r="U1006" s="705">
        <v>1014</v>
      </c>
      <c r="V1006" s="705">
        <v>21707</v>
      </c>
      <c r="W1006" s="705">
        <f t="shared" si="52"/>
        <v>21706</v>
      </c>
      <c r="X1006" s="705">
        <f t="shared" si="53"/>
        <v>27275</v>
      </c>
      <c r="AI1006" s="429"/>
    </row>
    <row r="1007" spans="2:35">
      <c r="B1007" t="s">
        <v>541</v>
      </c>
      <c r="C1007" t="s">
        <v>118</v>
      </c>
      <c r="D1007" t="s">
        <v>665</v>
      </c>
      <c r="E1007" t="s">
        <v>228</v>
      </c>
      <c r="F1007" s="705">
        <v>5</v>
      </c>
      <c r="G1007" s="705">
        <v>342</v>
      </c>
      <c r="H1007" s="705">
        <v>1218</v>
      </c>
      <c r="I1007" s="705">
        <v>41384</v>
      </c>
      <c r="J1007" s="705">
        <v>37622</v>
      </c>
      <c r="K1007" s="705">
        <v>70</v>
      </c>
      <c r="L1007" s="705">
        <v>9047</v>
      </c>
      <c r="M1007" s="705">
        <v>5940</v>
      </c>
      <c r="N1007" s="705">
        <v>6269</v>
      </c>
      <c r="O1007" s="705">
        <v>2322</v>
      </c>
      <c r="P1007" s="705">
        <v>1755</v>
      </c>
      <c r="Q1007" s="705">
        <v>650</v>
      </c>
      <c r="R1007" s="705">
        <v>33920</v>
      </c>
      <c r="S1007" s="705">
        <v>12563</v>
      </c>
      <c r="T1007" s="705">
        <v>0</v>
      </c>
      <c r="U1007" s="705">
        <v>0</v>
      </c>
      <c r="V1007" s="705">
        <v>59097</v>
      </c>
      <c r="W1007" s="705">
        <f t="shared" si="52"/>
        <v>59097</v>
      </c>
      <c r="X1007" s="705">
        <f t="shared" si="53"/>
        <v>92375</v>
      </c>
      <c r="AI1007" s="429"/>
    </row>
    <row r="1008" spans="2:35">
      <c r="B1008" t="s">
        <v>541</v>
      </c>
      <c r="C1008" t="s">
        <v>118</v>
      </c>
      <c r="D1008" t="s">
        <v>665</v>
      </c>
      <c r="E1008" t="s">
        <v>665</v>
      </c>
      <c r="F1008" s="705">
        <v>474</v>
      </c>
      <c r="G1008" s="705">
        <v>38606</v>
      </c>
      <c r="H1008" s="705">
        <v>127056</v>
      </c>
      <c r="I1008" s="705">
        <v>5394879</v>
      </c>
      <c r="J1008" s="705">
        <v>4904436</v>
      </c>
      <c r="K1008" s="705">
        <v>61</v>
      </c>
      <c r="L1008" s="705">
        <v>861339</v>
      </c>
      <c r="M1008" s="705">
        <v>757756</v>
      </c>
      <c r="N1008" s="705">
        <v>610386</v>
      </c>
      <c r="O1008" s="705">
        <v>226069</v>
      </c>
      <c r="P1008" s="705">
        <v>171329</v>
      </c>
      <c r="Q1008" s="705">
        <v>63455</v>
      </c>
      <c r="R1008" s="705">
        <v>2287142</v>
      </c>
      <c r="S1008" s="705">
        <v>2079220</v>
      </c>
      <c r="T1008" s="705">
        <v>991763</v>
      </c>
      <c r="U1008" s="705">
        <v>367319</v>
      </c>
      <c r="V1008" s="705">
        <v>8398255</v>
      </c>
      <c r="W1008" s="705">
        <f t="shared" si="52"/>
        <v>8398255</v>
      </c>
      <c r="X1008" s="705">
        <f t="shared" si="53"/>
        <v>10316838</v>
      </c>
      <c r="AI1008" s="429"/>
    </row>
    <row r="1009" spans="2:35">
      <c r="B1009" t="s">
        <v>541</v>
      </c>
      <c r="C1009" t="s">
        <v>118</v>
      </c>
      <c r="D1009" t="s">
        <v>673</v>
      </c>
      <c r="E1009" t="s">
        <v>673</v>
      </c>
      <c r="F1009" s="705">
        <v>15</v>
      </c>
      <c r="G1009" s="705">
        <v>1118</v>
      </c>
      <c r="H1009" s="705">
        <v>4032</v>
      </c>
      <c r="I1009" s="705">
        <v>156605</v>
      </c>
      <c r="J1009" s="705">
        <v>142368</v>
      </c>
      <c r="K1009" s="705">
        <v>69</v>
      </c>
      <c r="L1009" s="705">
        <v>29223</v>
      </c>
      <c r="M1009" s="705">
        <v>26566</v>
      </c>
      <c r="N1009" s="705">
        <v>16320</v>
      </c>
      <c r="O1009" s="705">
        <v>6044</v>
      </c>
      <c r="P1009" s="705">
        <v>5265</v>
      </c>
      <c r="Q1009" s="705">
        <v>1950</v>
      </c>
      <c r="R1009" s="705">
        <v>58645</v>
      </c>
      <c r="S1009" s="705">
        <v>53314</v>
      </c>
      <c r="T1009" s="705">
        <v>33267</v>
      </c>
      <c r="U1009" s="705">
        <v>12321</v>
      </c>
      <c r="V1009" s="705">
        <v>242564</v>
      </c>
      <c r="W1009" s="705">
        <f t="shared" si="52"/>
        <v>242563</v>
      </c>
      <c r="X1009" s="705">
        <f t="shared" si="53"/>
        <v>299325</v>
      </c>
      <c r="AI1009" s="429"/>
    </row>
    <row r="1010" spans="2:35">
      <c r="B1010" t="s">
        <v>541</v>
      </c>
      <c r="C1010" t="s">
        <v>118</v>
      </c>
      <c r="D1010" t="s">
        <v>585</v>
      </c>
      <c r="E1010" t="s">
        <v>585</v>
      </c>
      <c r="F1010" s="705">
        <v>2</v>
      </c>
      <c r="G1010" s="705">
        <v>164</v>
      </c>
      <c r="H1010" s="705">
        <v>537</v>
      </c>
      <c r="I1010" s="705">
        <v>18063</v>
      </c>
      <c r="J1010" s="705">
        <v>16421</v>
      </c>
      <c r="K1010" s="705">
        <v>74</v>
      </c>
      <c r="L1010" s="705">
        <v>5052</v>
      </c>
      <c r="M1010" s="705">
        <v>4593</v>
      </c>
      <c r="N1010" s="705">
        <v>3888</v>
      </c>
      <c r="O1010" s="705">
        <v>1440</v>
      </c>
      <c r="P1010" s="705">
        <v>702</v>
      </c>
      <c r="Q1010" s="705">
        <v>260</v>
      </c>
      <c r="R1010" s="705">
        <v>9540</v>
      </c>
      <c r="S1010" s="705">
        <v>8672</v>
      </c>
      <c r="T1010" s="705">
        <v>6614</v>
      </c>
      <c r="U1010" s="705">
        <v>2450</v>
      </c>
      <c r="V1010" s="705">
        <v>33836</v>
      </c>
      <c r="W1010" s="705">
        <f t="shared" si="52"/>
        <v>33836</v>
      </c>
      <c r="X1010" s="705">
        <f t="shared" si="53"/>
        <v>43859</v>
      </c>
      <c r="AI1010" s="429"/>
    </row>
    <row r="1011" spans="2:35">
      <c r="B1011" t="s">
        <v>541</v>
      </c>
      <c r="C1011" t="s">
        <v>118</v>
      </c>
      <c r="D1011" t="s">
        <v>668</v>
      </c>
      <c r="E1011" t="s">
        <v>668</v>
      </c>
      <c r="F1011" s="705">
        <v>1</v>
      </c>
      <c r="G1011" s="705">
        <v>101</v>
      </c>
      <c r="H1011" s="705">
        <v>295</v>
      </c>
      <c r="I1011" s="705">
        <v>18626</v>
      </c>
      <c r="J1011" s="705">
        <v>16933</v>
      </c>
      <c r="K1011" s="705">
        <v>65</v>
      </c>
      <c r="L1011" s="705">
        <v>2070</v>
      </c>
      <c r="M1011" s="705">
        <v>1881</v>
      </c>
      <c r="N1011" s="705">
        <v>2289</v>
      </c>
      <c r="O1011" s="705">
        <v>848</v>
      </c>
      <c r="P1011" s="705">
        <v>351</v>
      </c>
      <c r="Q1011" s="705">
        <v>130</v>
      </c>
      <c r="R1011" s="705">
        <v>6514</v>
      </c>
      <c r="S1011" s="705">
        <v>5921</v>
      </c>
      <c r="T1011" s="705">
        <v>0</v>
      </c>
      <c r="U1011" s="705">
        <v>0</v>
      </c>
      <c r="V1011" s="705">
        <v>25713</v>
      </c>
      <c r="W1011" s="705">
        <f t="shared" si="52"/>
        <v>25713</v>
      </c>
      <c r="X1011" s="705">
        <f t="shared" si="53"/>
        <v>29850</v>
      </c>
      <c r="AI1011" s="429"/>
    </row>
    <row r="1012" spans="2:35">
      <c r="B1012" t="s">
        <v>541</v>
      </c>
      <c r="C1012" t="s">
        <v>120</v>
      </c>
      <c r="F1012" s="705">
        <v>2</v>
      </c>
      <c r="G1012" s="705">
        <v>150</v>
      </c>
      <c r="H1012" s="705">
        <v>671</v>
      </c>
      <c r="I1012" s="705"/>
      <c r="J1012" s="705">
        <v>0</v>
      </c>
      <c r="K1012" s="705"/>
      <c r="L1012" s="705"/>
      <c r="M1012" s="705">
        <v>0</v>
      </c>
      <c r="N1012" s="705">
        <v>3357</v>
      </c>
      <c r="O1012" s="705">
        <v>1243</v>
      </c>
      <c r="P1012" s="705">
        <v>351</v>
      </c>
      <c r="Q1012" s="705">
        <v>130</v>
      </c>
      <c r="R1012" s="705"/>
      <c r="S1012" s="705">
        <v>0</v>
      </c>
      <c r="T1012" s="705">
        <v>0</v>
      </c>
      <c r="U1012" s="705">
        <v>0</v>
      </c>
      <c r="V1012" s="705">
        <v>1373</v>
      </c>
      <c r="W1012" s="705">
        <f t="shared" si="52"/>
        <v>1373</v>
      </c>
      <c r="X1012" s="705">
        <f t="shared" si="53"/>
        <v>3708</v>
      </c>
      <c r="AI1012" s="429"/>
    </row>
    <row r="1013" spans="2:35">
      <c r="B1013" t="s">
        <v>541</v>
      </c>
      <c r="C1013" t="s">
        <v>120</v>
      </c>
      <c r="D1013" t="s">
        <v>664</v>
      </c>
      <c r="E1013" t="s">
        <v>664</v>
      </c>
      <c r="F1013" s="705">
        <v>2</v>
      </c>
      <c r="G1013" s="705">
        <v>230</v>
      </c>
      <c r="H1013" s="705">
        <v>694</v>
      </c>
      <c r="I1013" s="705">
        <v>49730</v>
      </c>
      <c r="J1013" s="705">
        <v>45209</v>
      </c>
      <c r="K1013" s="705">
        <v>78</v>
      </c>
      <c r="L1013" s="705">
        <v>11471</v>
      </c>
      <c r="M1013" s="705">
        <v>10428</v>
      </c>
      <c r="N1013" s="705">
        <v>4075</v>
      </c>
      <c r="O1013" s="705">
        <v>1509</v>
      </c>
      <c r="P1013" s="705">
        <v>945</v>
      </c>
      <c r="Q1013" s="705">
        <v>350</v>
      </c>
      <c r="R1013" s="705">
        <v>10691</v>
      </c>
      <c r="S1013" s="705">
        <v>9719</v>
      </c>
      <c r="T1013" s="705">
        <v>3256</v>
      </c>
      <c r="U1013" s="705">
        <v>1206</v>
      </c>
      <c r="V1013" s="705">
        <v>68421</v>
      </c>
      <c r="W1013" s="705">
        <f t="shared" si="52"/>
        <v>68421</v>
      </c>
      <c r="X1013" s="705">
        <f t="shared" si="53"/>
        <v>80168</v>
      </c>
      <c r="AI1013" s="429"/>
    </row>
    <row r="1014" spans="2:35">
      <c r="B1014" t="s">
        <v>541</v>
      </c>
      <c r="C1014" t="s">
        <v>120</v>
      </c>
      <c r="D1014" t="s">
        <v>582</v>
      </c>
      <c r="E1014" t="s">
        <v>582</v>
      </c>
      <c r="F1014" s="705">
        <v>6</v>
      </c>
      <c r="G1014" s="705">
        <v>682</v>
      </c>
      <c r="H1014" s="705">
        <v>1967</v>
      </c>
      <c r="I1014" s="705">
        <v>153736</v>
      </c>
      <c r="J1014" s="705">
        <v>139760</v>
      </c>
      <c r="K1014" s="705">
        <v>76</v>
      </c>
      <c r="L1014" s="705">
        <v>33055</v>
      </c>
      <c r="M1014" s="705">
        <v>30050</v>
      </c>
      <c r="N1014" s="705">
        <v>12483</v>
      </c>
      <c r="O1014" s="705">
        <v>4623</v>
      </c>
      <c r="P1014" s="705">
        <v>2592</v>
      </c>
      <c r="Q1014" s="705">
        <v>960</v>
      </c>
      <c r="R1014" s="705">
        <v>28972</v>
      </c>
      <c r="S1014" s="705">
        <v>26338</v>
      </c>
      <c r="T1014" s="705">
        <v>5061</v>
      </c>
      <c r="U1014" s="705">
        <v>1874</v>
      </c>
      <c r="V1014" s="705">
        <v>203606</v>
      </c>
      <c r="W1014" s="705">
        <f t="shared" si="52"/>
        <v>203605</v>
      </c>
      <c r="X1014" s="705">
        <f t="shared" si="53"/>
        <v>235899</v>
      </c>
      <c r="AI1014" s="429"/>
    </row>
    <row r="1015" spans="2:35">
      <c r="B1015" t="s">
        <v>541</v>
      </c>
      <c r="C1015" t="s">
        <v>120</v>
      </c>
      <c r="D1015" t="s">
        <v>228</v>
      </c>
      <c r="E1015" t="s">
        <v>228</v>
      </c>
      <c r="F1015" s="705">
        <v>381</v>
      </c>
      <c r="G1015" s="705">
        <v>32797</v>
      </c>
      <c r="H1015" s="705">
        <v>127999</v>
      </c>
      <c r="I1015" s="705">
        <v>6691054</v>
      </c>
      <c r="J1015" s="705">
        <v>2478168</v>
      </c>
      <c r="K1015" s="705">
        <v>100</v>
      </c>
      <c r="L1015" s="705">
        <v>1029146</v>
      </c>
      <c r="M1015" s="705">
        <v>813234</v>
      </c>
      <c r="N1015" s="705">
        <v>663846</v>
      </c>
      <c r="O1015" s="705">
        <v>245869</v>
      </c>
      <c r="P1015" s="705">
        <v>13999</v>
      </c>
      <c r="Q1015" s="705">
        <v>5185</v>
      </c>
      <c r="R1015" s="705">
        <v>2830571</v>
      </c>
      <c r="S1015" s="705">
        <v>1048359</v>
      </c>
      <c r="T1015" s="705">
        <v>2351</v>
      </c>
      <c r="U1015" s="705">
        <v>871</v>
      </c>
      <c r="V1015" s="705">
        <v>4591686</v>
      </c>
      <c r="W1015" s="705">
        <f t="shared" si="52"/>
        <v>4591686</v>
      </c>
      <c r="X1015" s="705">
        <f t="shared" si="53"/>
        <v>11230967</v>
      </c>
      <c r="AI1015" s="429"/>
    </row>
    <row r="1016" spans="2:35">
      <c r="B1016" t="s">
        <v>541</v>
      </c>
      <c r="C1016" t="s">
        <v>120</v>
      </c>
      <c r="D1016" t="s">
        <v>228</v>
      </c>
      <c r="E1016" t="s">
        <v>583</v>
      </c>
      <c r="F1016" s="705">
        <v>1</v>
      </c>
      <c r="G1016" s="705">
        <v>429</v>
      </c>
      <c r="H1016" s="705">
        <v>321</v>
      </c>
      <c r="I1016" s="705">
        <v>101847</v>
      </c>
      <c r="J1016" s="705">
        <v>37721</v>
      </c>
      <c r="K1016" s="705">
        <v>100</v>
      </c>
      <c r="L1016" s="705">
        <v>15368</v>
      </c>
      <c r="M1016" s="705">
        <v>13971</v>
      </c>
      <c r="N1016" s="705">
        <v>8878</v>
      </c>
      <c r="O1016" s="705">
        <v>3288</v>
      </c>
      <c r="P1016" s="705">
        <v>0</v>
      </c>
      <c r="Q1016" s="705">
        <v>0</v>
      </c>
      <c r="R1016" s="705">
        <v>11644</v>
      </c>
      <c r="S1016" s="705">
        <v>10586</v>
      </c>
      <c r="T1016" s="705">
        <v>0</v>
      </c>
      <c r="U1016" s="705">
        <v>0</v>
      </c>
      <c r="V1016" s="705">
        <v>65566</v>
      </c>
      <c r="W1016" s="705">
        <f t="shared" si="52"/>
        <v>65566</v>
      </c>
      <c r="X1016" s="705">
        <f t="shared" si="53"/>
        <v>137737</v>
      </c>
      <c r="AI1016" s="429"/>
    </row>
    <row r="1017" spans="2:35">
      <c r="B1017" t="s">
        <v>541</v>
      </c>
      <c r="C1017" t="s">
        <v>120</v>
      </c>
      <c r="D1017" t="s">
        <v>228</v>
      </c>
      <c r="E1017" t="s">
        <v>666</v>
      </c>
      <c r="F1017" s="705">
        <v>2</v>
      </c>
      <c r="G1017" s="705">
        <v>175</v>
      </c>
      <c r="H1017" s="705">
        <v>665</v>
      </c>
      <c r="I1017" s="705">
        <v>34268</v>
      </c>
      <c r="J1017" s="705">
        <v>12692</v>
      </c>
      <c r="K1017" s="705">
        <v>100</v>
      </c>
      <c r="L1017" s="705">
        <v>4599</v>
      </c>
      <c r="M1017" s="705">
        <v>4181</v>
      </c>
      <c r="N1017" s="705">
        <v>3568</v>
      </c>
      <c r="O1017" s="705">
        <v>1321</v>
      </c>
      <c r="P1017" s="705">
        <v>351</v>
      </c>
      <c r="Q1017" s="705">
        <v>130</v>
      </c>
      <c r="R1017" s="705">
        <v>10566</v>
      </c>
      <c r="S1017" s="705">
        <v>9606</v>
      </c>
      <c r="T1017" s="705">
        <v>4654</v>
      </c>
      <c r="U1017" s="705">
        <v>1724</v>
      </c>
      <c r="V1017" s="705">
        <v>29653</v>
      </c>
      <c r="W1017" s="705">
        <f t="shared" si="52"/>
        <v>29654</v>
      </c>
      <c r="X1017" s="705">
        <f t="shared" si="53"/>
        <v>58006</v>
      </c>
      <c r="AI1017" s="429"/>
    </row>
    <row r="1018" spans="2:35">
      <c r="B1018" t="s">
        <v>541</v>
      </c>
      <c r="C1018" t="s">
        <v>120</v>
      </c>
      <c r="D1018" t="s">
        <v>228</v>
      </c>
      <c r="E1018" t="s">
        <v>669</v>
      </c>
      <c r="F1018" s="705">
        <v>11</v>
      </c>
      <c r="G1018" s="705">
        <v>696</v>
      </c>
      <c r="H1018" s="705">
        <v>3677</v>
      </c>
      <c r="I1018" s="705">
        <v>116074</v>
      </c>
      <c r="J1018" s="705">
        <v>42990</v>
      </c>
      <c r="K1018" s="705">
        <v>183</v>
      </c>
      <c r="L1018" s="705">
        <v>22615</v>
      </c>
      <c r="M1018" s="705">
        <v>18846</v>
      </c>
      <c r="N1018" s="705">
        <v>13366</v>
      </c>
      <c r="O1018" s="705">
        <v>4950</v>
      </c>
      <c r="P1018" s="705">
        <v>956</v>
      </c>
      <c r="Q1018" s="705">
        <v>354</v>
      </c>
      <c r="R1018" s="705">
        <v>59570</v>
      </c>
      <c r="S1018" s="705">
        <v>49642</v>
      </c>
      <c r="T1018" s="705">
        <v>24542</v>
      </c>
      <c r="U1018" s="705">
        <v>9090</v>
      </c>
      <c r="V1018" s="705">
        <v>125872</v>
      </c>
      <c r="W1018" s="705">
        <f t="shared" si="52"/>
        <v>125872</v>
      </c>
      <c r="X1018" s="705">
        <f t="shared" si="53"/>
        <v>237123</v>
      </c>
      <c r="AI1018" s="429"/>
    </row>
    <row r="1019" spans="2:35">
      <c r="B1019" t="s">
        <v>541</v>
      </c>
      <c r="C1019" t="s">
        <v>120</v>
      </c>
      <c r="D1019" t="s">
        <v>228</v>
      </c>
      <c r="E1019" t="s">
        <v>667</v>
      </c>
      <c r="F1019" s="705">
        <v>1</v>
      </c>
      <c r="G1019" s="705">
        <v>82</v>
      </c>
      <c r="H1019" s="705">
        <v>315</v>
      </c>
      <c r="I1019" s="705">
        <v>13563</v>
      </c>
      <c r="J1019" s="705">
        <v>5024</v>
      </c>
      <c r="K1019" s="705">
        <v>100</v>
      </c>
      <c r="L1019" s="705">
        <v>2763</v>
      </c>
      <c r="M1019" s="705">
        <v>2512</v>
      </c>
      <c r="N1019" s="705">
        <v>1625</v>
      </c>
      <c r="O1019" s="705">
        <v>602</v>
      </c>
      <c r="P1019" s="705">
        <v>351</v>
      </c>
      <c r="Q1019" s="705">
        <v>130</v>
      </c>
      <c r="R1019" s="705">
        <v>5432</v>
      </c>
      <c r="S1019" s="705">
        <v>4938</v>
      </c>
      <c r="T1019" s="705">
        <v>2197</v>
      </c>
      <c r="U1019" s="705">
        <v>814</v>
      </c>
      <c r="V1019" s="705">
        <v>14019</v>
      </c>
      <c r="W1019" s="705">
        <f t="shared" si="52"/>
        <v>14020</v>
      </c>
      <c r="X1019" s="705">
        <f t="shared" si="53"/>
        <v>25931</v>
      </c>
      <c r="AI1019" s="429"/>
    </row>
    <row r="1020" spans="2:35">
      <c r="B1020" t="s">
        <v>541</v>
      </c>
      <c r="C1020" t="s">
        <v>120</v>
      </c>
      <c r="D1020" t="s">
        <v>228</v>
      </c>
      <c r="E1020" t="s">
        <v>665</v>
      </c>
      <c r="F1020" s="705">
        <v>4</v>
      </c>
      <c r="G1020" s="705">
        <v>338</v>
      </c>
      <c r="H1020" s="705">
        <v>1451</v>
      </c>
      <c r="I1020" s="705">
        <v>74422</v>
      </c>
      <c r="J1020" s="705">
        <v>27564</v>
      </c>
      <c r="K1020" s="705">
        <v>100</v>
      </c>
      <c r="L1020" s="705">
        <v>9186</v>
      </c>
      <c r="M1020" s="705">
        <v>8226</v>
      </c>
      <c r="N1020" s="705">
        <v>7124</v>
      </c>
      <c r="O1020" s="705">
        <v>2638</v>
      </c>
      <c r="P1020" s="705">
        <v>0</v>
      </c>
      <c r="Q1020" s="705">
        <v>0</v>
      </c>
      <c r="R1020" s="705">
        <v>21950</v>
      </c>
      <c r="S1020" s="705">
        <v>19955</v>
      </c>
      <c r="T1020" s="705">
        <v>9748</v>
      </c>
      <c r="U1020" s="705">
        <v>3610</v>
      </c>
      <c r="V1020" s="705">
        <v>61993</v>
      </c>
      <c r="W1020" s="705">
        <f t="shared" si="52"/>
        <v>61993</v>
      </c>
      <c r="X1020" s="705">
        <f t="shared" si="53"/>
        <v>122430</v>
      </c>
      <c r="AI1020" s="429"/>
    </row>
    <row r="1021" spans="2:35">
      <c r="B1021" t="s">
        <v>541</v>
      </c>
      <c r="C1021" t="s">
        <v>120</v>
      </c>
      <c r="D1021" t="s">
        <v>583</v>
      </c>
      <c r="E1021" t="s">
        <v>228</v>
      </c>
      <c r="F1021" s="705">
        <v>7</v>
      </c>
      <c r="G1021" s="705">
        <v>546</v>
      </c>
      <c r="H1021" s="705">
        <v>2330</v>
      </c>
      <c r="I1021" s="705">
        <v>87115</v>
      </c>
      <c r="J1021" s="705">
        <v>79196</v>
      </c>
      <c r="K1021" s="705">
        <v>76</v>
      </c>
      <c r="L1021" s="705">
        <v>19599</v>
      </c>
      <c r="M1021" s="705">
        <v>16434</v>
      </c>
      <c r="N1021" s="705">
        <v>10557</v>
      </c>
      <c r="O1021" s="705">
        <v>3910</v>
      </c>
      <c r="P1021" s="705">
        <v>3645</v>
      </c>
      <c r="Q1021" s="705">
        <v>1350</v>
      </c>
      <c r="R1021" s="705">
        <v>61217</v>
      </c>
      <c r="S1021" s="705">
        <v>22673</v>
      </c>
      <c r="T1021" s="705">
        <v>0</v>
      </c>
      <c r="U1021" s="705">
        <v>0</v>
      </c>
      <c r="V1021" s="705">
        <v>123562</v>
      </c>
      <c r="W1021" s="705">
        <f t="shared" si="52"/>
        <v>123563</v>
      </c>
      <c r="X1021" s="705">
        <f t="shared" si="53"/>
        <v>182133</v>
      </c>
      <c r="AI1021" s="429"/>
    </row>
    <row r="1022" spans="2:35">
      <c r="B1022" t="s">
        <v>541</v>
      </c>
      <c r="C1022" t="s">
        <v>120</v>
      </c>
      <c r="D1022" t="s">
        <v>583</v>
      </c>
      <c r="E1022" t="s">
        <v>583</v>
      </c>
      <c r="F1022" s="705">
        <v>385</v>
      </c>
      <c r="G1022" s="705">
        <v>37956</v>
      </c>
      <c r="H1022" s="705">
        <v>130010</v>
      </c>
      <c r="I1022" s="705">
        <v>7706563</v>
      </c>
      <c r="J1022" s="705">
        <v>7005967</v>
      </c>
      <c r="K1022" s="705">
        <v>77</v>
      </c>
      <c r="L1022" s="705">
        <v>1650539</v>
      </c>
      <c r="M1022" s="705">
        <v>1397804</v>
      </c>
      <c r="N1022" s="705">
        <v>767946</v>
      </c>
      <c r="O1022" s="705">
        <v>284425</v>
      </c>
      <c r="P1022" s="705">
        <v>249265</v>
      </c>
      <c r="Q1022" s="705">
        <v>92320</v>
      </c>
      <c r="R1022" s="705">
        <v>2018430</v>
      </c>
      <c r="S1022" s="705">
        <v>1834936</v>
      </c>
      <c r="T1022" s="705">
        <v>515017</v>
      </c>
      <c r="U1022" s="705">
        <v>190747</v>
      </c>
      <c r="V1022" s="705">
        <v>10806198</v>
      </c>
      <c r="W1022" s="705">
        <f t="shared" si="52"/>
        <v>10806199</v>
      </c>
      <c r="X1022" s="705">
        <f t="shared" si="53"/>
        <v>12907760</v>
      </c>
      <c r="AI1022" s="429"/>
    </row>
    <row r="1023" spans="2:35">
      <c r="B1023" t="s">
        <v>541</v>
      </c>
      <c r="C1023" t="s">
        <v>120</v>
      </c>
      <c r="D1023" t="s">
        <v>583</v>
      </c>
      <c r="E1023" t="s">
        <v>666</v>
      </c>
      <c r="F1023" s="705">
        <v>1</v>
      </c>
      <c r="G1023" s="705">
        <v>74</v>
      </c>
      <c r="H1023" s="705">
        <v>347</v>
      </c>
      <c r="I1023" s="705">
        <v>12729</v>
      </c>
      <c r="J1023" s="705">
        <v>11572</v>
      </c>
      <c r="K1023" s="705">
        <v>70</v>
      </c>
      <c r="L1023" s="705">
        <v>3135</v>
      </c>
      <c r="M1023" s="705">
        <v>2850</v>
      </c>
      <c r="N1023" s="705">
        <v>1684</v>
      </c>
      <c r="O1023" s="705">
        <v>624</v>
      </c>
      <c r="P1023" s="705">
        <v>621</v>
      </c>
      <c r="Q1023" s="705">
        <v>230</v>
      </c>
      <c r="R1023" s="705">
        <v>4837</v>
      </c>
      <c r="S1023" s="705">
        <v>4397</v>
      </c>
      <c r="T1023" s="705">
        <v>2801</v>
      </c>
      <c r="U1023" s="705">
        <v>1038</v>
      </c>
      <c r="V1023" s="705">
        <v>20710</v>
      </c>
      <c r="W1023" s="705">
        <f t="shared" si="52"/>
        <v>20711</v>
      </c>
      <c r="X1023" s="705">
        <f t="shared" si="53"/>
        <v>25807</v>
      </c>
      <c r="AI1023" s="429"/>
    </row>
    <row r="1024" spans="2:35">
      <c r="B1024" t="s">
        <v>541</v>
      </c>
      <c r="C1024" t="s">
        <v>120</v>
      </c>
      <c r="D1024" t="s">
        <v>666</v>
      </c>
      <c r="E1024" t="s">
        <v>228</v>
      </c>
      <c r="F1024" s="705">
        <v>1</v>
      </c>
      <c r="G1024" s="705">
        <v>80</v>
      </c>
      <c r="H1024" s="705">
        <v>316</v>
      </c>
      <c r="I1024" s="705">
        <v>11796</v>
      </c>
      <c r="J1024" s="705">
        <v>10724</v>
      </c>
      <c r="K1024" s="705">
        <v>65</v>
      </c>
      <c r="L1024" s="705">
        <v>2840</v>
      </c>
      <c r="M1024" s="705">
        <v>2582</v>
      </c>
      <c r="N1024" s="705">
        <v>1937</v>
      </c>
      <c r="O1024" s="705">
        <v>717</v>
      </c>
      <c r="P1024" s="705">
        <v>351</v>
      </c>
      <c r="Q1024" s="705">
        <v>130</v>
      </c>
      <c r="R1024" s="705">
        <v>8190</v>
      </c>
      <c r="S1024" s="705">
        <v>3033</v>
      </c>
      <c r="T1024" s="705">
        <v>0</v>
      </c>
      <c r="U1024" s="705">
        <v>0</v>
      </c>
      <c r="V1024" s="705">
        <v>17187</v>
      </c>
      <c r="W1024" s="705">
        <f t="shared" si="52"/>
        <v>17186</v>
      </c>
      <c r="X1024" s="705">
        <f t="shared" si="53"/>
        <v>25114</v>
      </c>
      <c r="AI1024" s="429"/>
    </row>
    <row r="1025" spans="2:35">
      <c r="B1025" t="s">
        <v>541</v>
      </c>
      <c r="C1025" t="s">
        <v>120</v>
      </c>
      <c r="D1025" t="s">
        <v>666</v>
      </c>
      <c r="E1025" t="s">
        <v>666</v>
      </c>
      <c r="F1025" s="705">
        <v>27</v>
      </c>
      <c r="G1025" s="705">
        <v>1803</v>
      </c>
      <c r="H1025" s="705">
        <v>9139</v>
      </c>
      <c r="I1025" s="705">
        <v>347966</v>
      </c>
      <c r="J1025" s="705">
        <v>316333</v>
      </c>
      <c r="K1025" s="705">
        <v>56</v>
      </c>
      <c r="L1025" s="705">
        <v>33267</v>
      </c>
      <c r="M1025" s="705">
        <v>29582</v>
      </c>
      <c r="N1025" s="705">
        <v>38213</v>
      </c>
      <c r="O1025" s="705">
        <v>14153</v>
      </c>
      <c r="P1025" s="705">
        <v>9477</v>
      </c>
      <c r="Q1025" s="705">
        <v>3510</v>
      </c>
      <c r="R1025" s="705">
        <v>130113</v>
      </c>
      <c r="S1025" s="705">
        <v>118285</v>
      </c>
      <c r="T1025" s="705">
        <v>52350</v>
      </c>
      <c r="U1025" s="705">
        <v>19389</v>
      </c>
      <c r="V1025" s="705">
        <v>501251</v>
      </c>
      <c r="W1025" s="705">
        <f t="shared" si="52"/>
        <v>501252</v>
      </c>
      <c r="X1025" s="705">
        <f t="shared" si="53"/>
        <v>611386</v>
      </c>
      <c r="AI1025" s="429"/>
    </row>
    <row r="1026" spans="2:35">
      <c r="B1026" t="s">
        <v>541</v>
      </c>
      <c r="C1026" t="s">
        <v>120</v>
      </c>
      <c r="D1026" t="s">
        <v>584</v>
      </c>
      <c r="E1026" t="s">
        <v>584</v>
      </c>
      <c r="F1026" s="705">
        <v>2</v>
      </c>
      <c r="G1026" s="705">
        <v>224</v>
      </c>
      <c r="H1026" s="705">
        <v>642</v>
      </c>
      <c r="I1026" s="705">
        <v>39475</v>
      </c>
      <c r="J1026" s="705">
        <v>35886</v>
      </c>
      <c r="K1026" s="705">
        <v>65</v>
      </c>
      <c r="L1026" s="705">
        <v>7899</v>
      </c>
      <c r="M1026" s="705">
        <v>5472</v>
      </c>
      <c r="N1026" s="705">
        <v>5449</v>
      </c>
      <c r="O1026" s="705">
        <v>2018</v>
      </c>
      <c r="P1026" s="705">
        <v>945</v>
      </c>
      <c r="Q1026" s="705">
        <v>350</v>
      </c>
      <c r="R1026" s="705">
        <v>11357</v>
      </c>
      <c r="S1026" s="705">
        <v>10325</v>
      </c>
      <c r="T1026" s="705">
        <v>6305</v>
      </c>
      <c r="U1026" s="705">
        <v>2335</v>
      </c>
      <c r="V1026" s="705">
        <v>56386</v>
      </c>
      <c r="W1026" s="705">
        <f t="shared" si="52"/>
        <v>56386</v>
      </c>
      <c r="X1026" s="705">
        <f t="shared" si="53"/>
        <v>71430</v>
      </c>
      <c r="AI1026" s="429"/>
    </row>
    <row r="1027" spans="2:35">
      <c r="B1027" t="s">
        <v>541</v>
      </c>
      <c r="C1027" t="s">
        <v>120</v>
      </c>
      <c r="D1027" t="s">
        <v>669</v>
      </c>
      <c r="E1027" t="s">
        <v>228</v>
      </c>
      <c r="F1027" s="705">
        <v>1</v>
      </c>
      <c r="G1027" s="705">
        <v>85</v>
      </c>
      <c r="H1027" s="705">
        <v>342</v>
      </c>
      <c r="I1027" s="705">
        <v>17640</v>
      </c>
      <c r="J1027" s="705">
        <v>14700</v>
      </c>
      <c r="K1027" s="705">
        <v>30</v>
      </c>
      <c r="L1027" s="705">
        <v>0</v>
      </c>
      <c r="M1027" s="705">
        <v>0</v>
      </c>
      <c r="N1027" s="705">
        <v>1030</v>
      </c>
      <c r="O1027" s="705">
        <v>382</v>
      </c>
      <c r="P1027" s="705">
        <v>0</v>
      </c>
      <c r="Q1027" s="705">
        <v>0</v>
      </c>
      <c r="R1027" s="705">
        <v>10258</v>
      </c>
      <c r="S1027" s="705">
        <v>3799</v>
      </c>
      <c r="T1027" s="705">
        <v>0</v>
      </c>
      <c r="U1027" s="705">
        <v>0</v>
      </c>
      <c r="V1027" s="705">
        <v>18881</v>
      </c>
      <c r="W1027" s="705">
        <f t="shared" si="52"/>
        <v>18881</v>
      </c>
      <c r="X1027" s="705">
        <f t="shared" si="53"/>
        <v>28928</v>
      </c>
      <c r="AI1027" s="429"/>
    </row>
    <row r="1028" spans="2:35">
      <c r="B1028" t="s">
        <v>541</v>
      </c>
      <c r="C1028" t="s">
        <v>120</v>
      </c>
      <c r="D1028" t="s">
        <v>669</v>
      </c>
      <c r="E1028" t="s">
        <v>669</v>
      </c>
      <c r="F1028" s="705">
        <v>70</v>
      </c>
      <c r="G1028" s="705">
        <v>5397</v>
      </c>
      <c r="H1028" s="705">
        <v>23736</v>
      </c>
      <c r="I1028" s="705">
        <v>1025867</v>
      </c>
      <c r="J1028" s="705">
        <v>854889</v>
      </c>
      <c r="K1028" s="705">
        <v>56</v>
      </c>
      <c r="L1028" s="705">
        <v>144464</v>
      </c>
      <c r="M1028" s="705">
        <v>115319</v>
      </c>
      <c r="N1028" s="705">
        <v>100230</v>
      </c>
      <c r="O1028" s="705">
        <v>37122</v>
      </c>
      <c r="P1028" s="705">
        <v>24531</v>
      </c>
      <c r="Q1028" s="705">
        <v>9086</v>
      </c>
      <c r="R1028" s="705">
        <v>383436</v>
      </c>
      <c r="S1028" s="705">
        <v>319530</v>
      </c>
      <c r="T1028" s="705">
        <v>155500</v>
      </c>
      <c r="U1028" s="705">
        <v>57593</v>
      </c>
      <c r="V1028" s="705">
        <v>1393538</v>
      </c>
      <c r="W1028" s="705">
        <f t="shared" si="52"/>
        <v>1393539</v>
      </c>
      <c r="X1028" s="705">
        <f t="shared" si="53"/>
        <v>1834028</v>
      </c>
      <c r="AI1028" s="429"/>
    </row>
    <row r="1029" spans="2:35">
      <c r="B1029" t="s">
        <v>541</v>
      </c>
      <c r="C1029" t="s">
        <v>120</v>
      </c>
      <c r="D1029" t="s">
        <v>671</v>
      </c>
      <c r="E1029" t="s">
        <v>228</v>
      </c>
      <c r="F1029" s="705">
        <v>1</v>
      </c>
      <c r="G1029" s="705">
        <v>79</v>
      </c>
      <c r="H1029" s="705">
        <v>331</v>
      </c>
      <c r="I1029" s="705">
        <v>17253</v>
      </c>
      <c r="J1029" s="705">
        <v>15684</v>
      </c>
      <c r="K1029" s="705">
        <v>55</v>
      </c>
      <c r="L1029" s="705">
        <v>0</v>
      </c>
      <c r="M1029" s="705">
        <v>0</v>
      </c>
      <c r="N1029" s="705">
        <v>1152</v>
      </c>
      <c r="O1029" s="705">
        <v>427</v>
      </c>
      <c r="P1029" s="705">
        <v>351</v>
      </c>
      <c r="Q1029" s="705">
        <v>130</v>
      </c>
      <c r="R1029" s="705">
        <v>7323</v>
      </c>
      <c r="S1029" s="705">
        <v>2712</v>
      </c>
      <c r="T1029" s="705">
        <v>0</v>
      </c>
      <c r="U1029" s="705">
        <v>0</v>
      </c>
      <c r="V1029" s="705">
        <v>18953</v>
      </c>
      <c r="W1029" s="705">
        <f t="shared" si="52"/>
        <v>18953</v>
      </c>
      <c r="X1029" s="705">
        <f t="shared" si="53"/>
        <v>26079</v>
      </c>
      <c r="AI1029" s="429"/>
    </row>
    <row r="1030" spans="2:35">
      <c r="B1030" t="s">
        <v>541</v>
      </c>
      <c r="C1030" t="s">
        <v>120</v>
      </c>
      <c r="D1030" t="s">
        <v>671</v>
      </c>
      <c r="E1030" t="s">
        <v>671</v>
      </c>
      <c r="F1030" s="705">
        <v>2</v>
      </c>
      <c r="G1030" s="705">
        <v>101</v>
      </c>
      <c r="H1030" s="705">
        <v>683</v>
      </c>
      <c r="I1030" s="705">
        <v>22631</v>
      </c>
      <c r="J1030" s="705">
        <v>20574</v>
      </c>
      <c r="K1030" s="705">
        <v>65</v>
      </c>
      <c r="L1030" s="705">
        <v>2506</v>
      </c>
      <c r="M1030" s="705">
        <v>2278</v>
      </c>
      <c r="N1030" s="705">
        <v>1232</v>
      </c>
      <c r="O1030" s="705">
        <v>456</v>
      </c>
      <c r="P1030" s="705">
        <v>702</v>
      </c>
      <c r="Q1030" s="705">
        <v>260</v>
      </c>
      <c r="R1030" s="705">
        <v>4694</v>
      </c>
      <c r="S1030" s="705">
        <v>4267</v>
      </c>
      <c r="T1030" s="705">
        <v>1924</v>
      </c>
      <c r="U1030" s="705">
        <v>713</v>
      </c>
      <c r="V1030" s="705">
        <v>28548</v>
      </c>
      <c r="W1030" s="705">
        <f t="shared" si="52"/>
        <v>28548</v>
      </c>
      <c r="X1030" s="705">
        <f t="shared" si="53"/>
        <v>33689</v>
      </c>
      <c r="AI1030" s="429"/>
    </row>
    <row r="1031" spans="2:35">
      <c r="B1031" t="s">
        <v>541</v>
      </c>
      <c r="C1031" t="s">
        <v>120</v>
      </c>
      <c r="D1031" t="s">
        <v>665</v>
      </c>
      <c r="E1031" t="s">
        <v>228</v>
      </c>
      <c r="F1031" s="705">
        <v>18</v>
      </c>
      <c r="G1031" s="705">
        <v>1409</v>
      </c>
      <c r="H1031" s="705">
        <v>6304</v>
      </c>
      <c r="I1031" s="705">
        <v>272717</v>
      </c>
      <c r="J1031" s="705">
        <v>247925</v>
      </c>
      <c r="K1031" s="705">
        <v>52</v>
      </c>
      <c r="L1031" s="705">
        <v>50874</v>
      </c>
      <c r="M1031" s="705">
        <v>36989</v>
      </c>
      <c r="N1031" s="705">
        <v>28622</v>
      </c>
      <c r="O1031" s="705">
        <v>10601</v>
      </c>
      <c r="P1031" s="705">
        <v>4212</v>
      </c>
      <c r="Q1031" s="705">
        <v>1560</v>
      </c>
      <c r="R1031" s="705">
        <v>128160</v>
      </c>
      <c r="S1031" s="705">
        <v>47467</v>
      </c>
      <c r="T1031" s="705">
        <v>7266</v>
      </c>
      <c r="U1031" s="705">
        <v>2691</v>
      </c>
      <c r="V1031" s="705">
        <v>347232</v>
      </c>
      <c r="W1031" s="705">
        <f t="shared" si="52"/>
        <v>347233</v>
      </c>
      <c r="X1031" s="705">
        <f t="shared" si="53"/>
        <v>491851</v>
      </c>
      <c r="AI1031" s="429"/>
    </row>
    <row r="1032" spans="2:35">
      <c r="B1032" t="s">
        <v>541</v>
      </c>
      <c r="C1032" t="s">
        <v>120</v>
      </c>
      <c r="D1032" t="s">
        <v>665</v>
      </c>
      <c r="E1032" t="s">
        <v>665</v>
      </c>
      <c r="F1032" s="705">
        <v>409</v>
      </c>
      <c r="G1032" s="705">
        <v>29166</v>
      </c>
      <c r="H1032" s="705">
        <v>135689</v>
      </c>
      <c r="I1032" s="705">
        <v>5221566</v>
      </c>
      <c r="J1032" s="705">
        <v>4746878</v>
      </c>
      <c r="K1032" s="705">
        <v>55</v>
      </c>
      <c r="L1032" s="705">
        <v>793454</v>
      </c>
      <c r="M1032" s="705">
        <v>643763</v>
      </c>
      <c r="N1032" s="705">
        <v>480562</v>
      </c>
      <c r="O1032" s="705">
        <v>177986</v>
      </c>
      <c r="P1032" s="705">
        <v>149087</v>
      </c>
      <c r="Q1032" s="705">
        <v>55217</v>
      </c>
      <c r="R1032" s="705">
        <v>2181660</v>
      </c>
      <c r="S1032" s="705">
        <v>1983327</v>
      </c>
      <c r="T1032" s="705">
        <v>834426</v>
      </c>
      <c r="U1032" s="705">
        <v>309047</v>
      </c>
      <c r="V1032" s="705">
        <v>7916219</v>
      </c>
      <c r="W1032" s="705">
        <f t="shared" si="52"/>
        <v>7916218</v>
      </c>
      <c r="X1032" s="705">
        <f t="shared" si="53"/>
        <v>9660755</v>
      </c>
      <c r="AI1032" s="429"/>
    </row>
    <row r="1033" spans="2:35">
      <c r="B1033" t="s">
        <v>541</v>
      </c>
      <c r="C1033" t="s">
        <v>120</v>
      </c>
      <c r="D1033" t="s">
        <v>673</v>
      </c>
      <c r="E1033" t="s">
        <v>673</v>
      </c>
      <c r="F1033" s="705">
        <v>10</v>
      </c>
      <c r="G1033" s="705">
        <v>623</v>
      </c>
      <c r="H1033" s="705">
        <v>3339</v>
      </c>
      <c r="I1033" s="705">
        <v>118398</v>
      </c>
      <c r="J1033" s="705">
        <v>107634</v>
      </c>
      <c r="K1033" s="705">
        <v>67</v>
      </c>
      <c r="L1033" s="705">
        <v>17826</v>
      </c>
      <c r="M1033" s="705">
        <v>9766</v>
      </c>
      <c r="N1033" s="705">
        <v>10576</v>
      </c>
      <c r="O1033" s="705">
        <v>3917</v>
      </c>
      <c r="P1033" s="705">
        <v>3510</v>
      </c>
      <c r="Q1033" s="705">
        <v>1300</v>
      </c>
      <c r="R1033" s="705">
        <v>37193</v>
      </c>
      <c r="S1033" s="705">
        <v>33812</v>
      </c>
      <c r="T1033" s="705">
        <v>19531</v>
      </c>
      <c r="U1033" s="705">
        <v>7234</v>
      </c>
      <c r="V1033" s="705">
        <v>163663</v>
      </c>
      <c r="W1033" s="705">
        <f t="shared" si="52"/>
        <v>163663</v>
      </c>
      <c r="X1033" s="705">
        <f t="shared" si="53"/>
        <v>207034</v>
      </c>
      <c r="AI1033" s="429"/>
    </row>
    <row r="1034" spans="2:35">
      <c r="B1034" t="s">
        <v>541</v>
      </c>
      <c r="C1034" t="s">
        <v>120</v>
      </c>
      <c r="D1034" t="s">
        <v>585</v>
      </c>
      <c r="E1034" t="s">
        <v>585</v>
      </c>
      <c r="F1034" s="705">
        <v>1</v>
      </c>
      <c r="G1034" s="705">
        <v>80</v>
      </c>
      <c r="H1034" s="705">
        <v>373</v>
      </c>
      <c r="I1034" s="705">
        <v>19329</v>
      </c>
      <c r="J1034" s="705">
        <v>17572</v>
      </c>
      <c r="K1034" s="705">
        <v>65</v>
      </c>
      <c r="L1034" s="705">
        <v>2538</v>
      </c>
      <c r="M1034" s="705">
        <v>2115</v>
      </c>
      <c r="N1034" s="705">
        <v>974</v>
      </c>
      <c r="O1034" s="705">
        <v>361</v>
      </c>
      <c r="P1034" s="705">
        <v>702</v>
      </c>
      <c r="Q1034" s="705">
        <v>260</v>
      </c>
      <c r="R1034" s="705">
        <v>4139</v>
      </c>
      <c r="S1034" s="705">
        <v>3763</v>
      </c>
      <c r="T1034" s="705">
        <v>2166</v>
      </c>
      <c r="U1034" s="705">
        <v>802</v>
      </c>
      <c r="V1034" s="705">
        <v>24873</v>
      </c>
      <c r="W1034" s="705">
        <f t="shared" si="52"/>
        <v>24873</v>
      </c>
      <c r="X1034" s="705">
        <f t="shared" si="53"/>
        <v>29848</v>
      </c>
      <c r="AI1034" s="429"/>
    </row>
    <row r="1035" spans="2:35">
      <c r="B1035" t="s">
        <v>541</v>
      </c>
      <c r="C1035" t="s">
        <v>120</v>
      </c>
      <c r="D1035" t="s">
        <v>668</v>
      </c>
      <c r="E1035" t="s">
        <v>228</v>
      </c>
      <c r="F1035" s="705">
        <v>1</v>
      </c>
      <c r="G1035" s="705">
        <v>122</v>
      </c>
      <c r="H1035" s="705">
        <v>342</v>
      </c>
      <c r="I1035" s="705">
        <v>32932</v>
      </c>
      <c r="J1035" s="705">
        <v>29938</v>
      </c>
      <c r="K1035" s="705">
        <v>65</v>
      </c>
      <c r="L1035" s="705">
        <v>0</v>
      </c>
      <c r="M1035" s="705">
        <v>0</v>
      </c>
      <c r="N1035" s="705">
        <v>2632</v>
      </c>
      <c r="O1035" s="705">
        <v>975</v>
      </c>
      <c r="P1035" s="705">
        <v>351</v>
      </c>
      <c r="Q1035" s="705">
        <v>130</v>
      </c>
      <c r="R1035" s="705">
        <v>3890</v>
      </c>
      <c r="S1035" s="705">
        <v>1441</v>
      </c>
      <c r="T1035" s="705">
        <v>1916</v>
      </c>
      <c r="U1035" s="705">
        <v>710</v>
      </c>
      <c r="V1035" s="705">
        <v>33193</v>
      </c>
      <c r="W1035" s="705">
        <f t="shared" si="52"/>
        <v>33194</v>
      </c>
      <c r="X1035" s="705">
        <f t="shared" si="53"/>
        <v>41721</v>
      </c>
      <c r="AI1035" s="429"/>
    </row>
    <row r="1036" spans="2:35">
      <c r="B1036" t="s">
        <v>541</v>
      </c>
      <c r="C1036" t="s">
        <v>122</v>
      </c>
      <c r="F1036" s="705">
        <v>3</v>
      </c>
      <c r="G1036" s="705">
        <v>239</v>
      </c>
      <c r="H1036" s="705">
        <v>1220</v>
      </c>
      <c r="I1036" s="705"/>
      <c r="J1036" s="705">
        <v>0</v>
      </c>
      <c r="K1036" s="705"/>
      <c r="L1036" s="705"/>
      <c r="M1036" s="705">
        <v>0</v>
      </c>
      <c r="N1036" s="705">
        <v>4774</v>
      </c>
      <c r="O1036" s="705">
        <v>1768</v>
      </c>
      <c r="P1036" s="705">
        <v>1242</v>
      </c>
      <c r="Q1036" s="705">
        <v>460</v>
      </c>
      <c r="R1036" s="705"/>
      <c r="S1036" s="705">
        <v>0</v>
      </c>
      <c r="T1036" s="705">
        <v>0</v>
      </c>
      <c r="U1036" s="705">
        <v>0</v>
      </c>
      <c r="V1036" s="705">
        <v>2228</v>
      </c>
      <c r="W1036" s="705">
        <f t="shared" si="52"/>
        <v>2228</v>
      </c>
      <c r="X1036" s="705">
        <f t="shared" si="53"/>
        <v>6016</v>
      </c>
      <c r="AI1036" s="429"/>
    </row>
    <row r="1037" spans="2:35">
      <c r="B1037" t="s">
        <v>541</v>
      </c>
      <c r="C1037" t="s">
        <v>122</v>
      </c>
      <c r="D1037" t="s">
        <v>664</v>
      </c>
      <c r="E1037" t="s">
        <v>664</v>
      </c>
      <c r="F1037" s="705">
        <v>2</v>
      </c>
      <c r="G1037" s="705">
        <v>213</v>
      </c>
      <c r="H1037" s="705">
        <v>835</v>
      </c>
      <c r="I1037" s="705">
        <v>58701</v>
      </c>
      <c r="J1037" s="705">
        <v>53364</v>
      </c>
      <c r="K1037" s="705">
        <v>88</v>
      </c>
      <c r="L1037" s="705">
        <v>18584</v>
      </c>
      <c r="M1037" s="705">
        <v>16895</v>
      </c>
      <c r="N1037" s="705">
        <v>4612</v>
      </c>
      <c r="O1037" s="705">
        <v>1708</v>
      </c>
      <c r="P1037" s="705">
        <v>945</v>
      </c>
      <c r="Q1037" s="705">
        <v>350</v>
      </c>
      <c r="R1037" s="705">
        <v>7451</v>
      </c>
      <c r="S1037" s="705">
        <v>6773</v>
      </c>
      <c r="T1037" s="705">
        <v>0</v>
      </c>
      <c r="U1037" s="705">
        <v>0</v>
      </c>
      <c r="V1037" s="705">
        <v>79091</v>
      </c>
      <c r="W1037" s="705">
        <f t="shared" si="52"/>
        <v>79090</v>
      </c>
      <c r="X1037" s="705">
        <f t="shared" si="53"/>
        <v>90293</v>
      </c>
      <c r="AI1037" s="429"/>
    </row>
    <row r="1038" spans="2:35">
      <c r="B1038" t="s">
        <v>541</v>
      </c>
      <c r="C1038" t="s">
        <v>122</v>
      </c>
      <c r="D1038" t="s">
        <v>582</v>
      </c>
      <c r="E1038" t="s">
        <v>582</v>
      </c>
      <c r="F1038" s="705">
        <v>1</v>
      </c>
      <c r="G1038" s="705">
        <v>89</v>
      </c>
      <c r="H1038" s="705">
        <v>445</v>
      </c>
      <c r="I1038" s="705">
        <v>23947</v>
      </c>
      <c r="J1038" s="705">
        <v>21770</v>
      </c>
      <c r="K1038" s="705">
        <v>75</v>
      </c>
      <c r="L1038" s="705">
        <v>6350</v>
      </c>
      <c r="M1038" s="705">
        <v>5773</v>
      </c>
      <c r="N1038" s="705">
        <v>1686</v>
      </c>
      <c r="O1038" s="705">
        <v>625</v>
      </c>
      <c r="P1038" s="705">
        <v>473</v>
      </c>
      <c r="Q1038" s="705">
        <v>175</v>
      </c>
      <c r="R1038" s="705">
        <v>7035</v>
      </c>
      <c r="S1038" s="705">
        <v>6396</v>
      </c>
      <c r="T1038" s="705">
        <v>0</v>
      </c>
      <c r="U1038" s="705">
        <v>0</v>
      </c>
      <c r="V1038" s="705">
        <v>34738</v>
      </c>
      <c r="W1038" s="705">
        <f t="shared" si="52"/>
        <v>34739</v>
      </c>
      <c r="X1038" s="705">
        <f t="shared" si="53"/>
        <v>39491</v>
      </c>
      <c r="AI1038" s="429"/>
    </row>
    <row r="1039" spans="2:35">
      <c r="B1039" t="s">
        <v>541</v>
      </c>
      <c r="C1039" t="s">
        <v>122</v>
      </c>
      <c r="D1039" t="s">
        <v>228</v>
      </c>
      <c r="E1039" t="s">
        <v>228</v>
      </c>
      <c r="F1039" s="705">
        <v>122</v>
      </c>
      <c r="G1039" s="705">
        <v>9191</v>
      </c>
      <c r="H1039" s="705">
        <v>50524</v>
      </c>
      <c r="I1039" s="705">
        <v>2498132</v>
      </c>
      <c r="J1039" s="705">
        <v>925234</v>
      </c>
      <c r="K1039" s="705">
        <v>100</v>
      </c>
      <c r="L1039" s="705">
        <v>344233</v>
      </c>
      <c r="M1039" s="705">
        <v>260222</v>
      </c>
      <c r="N1039" s="705">
        <v>199611</v>
      </c>
      <c r="O1039" s="705">
        <v>73930</v>
      </c>
      <c r="P1039" s="705">
        <v>5184</v>
      </c>
      <c r="Q1039" s="705">
        <v>1920</v>
      </c>
      <c r="R1039" s="705">
        <v>830966</v>
      </c>
      <c r="S1039" s="705">
        <v>307765</v>
      </c>
      <c r="T1039" s="705">
        <v>0</v>
      </c>
      <c r="U1039" s="705">
        <v>0</v>
      </c>
      <c r="V1039" s="705">
        <v>1569071</v>
      </c>
      <c r="W1039" s="705">
        <f t="shared" si="52"/>
        <v>1569071</v>
      </c>
      <c r="X1039" s="705">
        <f t="shared" si="53"/>
        <v>3878126</v>
      </c>
      <c r="AI1039" s="429"/>
    </row>
    <row r="1040" spans="2:35">
      <c r="B1040" t="s">
        <v>541</v>
      </c>
      <c r="C1040" t="s">
        <v>122</v>
      </c>
      <c r="D1040" t="s">
        <v>228</v>
      </c>
      <c r="E1040" t="s">
        <v>583</v>
      </c>
      <c r="F1040" s="705">
        <v>1</v>
      </c>
      <c r="G1040" s="705">
        <v>168</v>
      </c>
      <c r="H1040" s="705">
        <v>400</v>
      </c>
      <c r="I1040" s="705">
        <v>48649</v>
      </c>
      <c r="J1040" s="705">
        <v>18018</v>
      </c>
      <c r="K1040" s="705">
        <v>100</v>
      </c>
      <c r="L1040" s="705">
        <v>7623</v>
      </c>
      <c r="M1040" s="705">
        <v>6930</v>
      </c>
      <c r="N1040" s="705">
        <v>2709</v>
      </c>
      <c r="O1040" s="705">
        <v>1003</v>
      </c>
      <c r="P1040" s="705">
        <v>0</v>
      </c>
      <c r="Q1040" s="705">
        <v>0</v>
      </c>
      <c r="R1040" s="705">
        <v>8426</v>
      </c>
      <c r="S1040" s="705">
        <v>7660</v>
      </c>
      <c r="T1040" s="705">
        <v>0</v>
      </c>
      <c r="U1040" s="705">
        <v>0</v>
      </c>
      <c r="V1040" s="705">
        <v>33612</v>
      </c>
      <c r="W1040" s="705">
        <f t="shared" si="52"/>
        <v>33611</v>
      </c>
      <c r="X1040" s="705">
        <f t="shared" si="53"/>
        <v>67407</v>
      </c>
      <c r="AI1040" s="429"/>
    </row>
    <row r="1041" spans="2:35">
      <c r="B1041" t="s">
        <v>541</v>
      </c>
      <c r="C1041" t="s">
        <v>122</v>
      </c>
      <c r="D1041" t="s">
        <v>228</v>
      </c>
      <c r="E1041" t="s">
        <v>666</v>
      </c>
      <c r="F1041" s="705">
        <v>1</v>
      </c>
      <c r="G1041" s="705">
        <v>85</v>
      </c>
      <c r="H1041" s="705">
        <v>389</v>
      </c>
      <c r="I1041" s="705">
        <v>20492</v>
      </c>
      <c r="J1041" s="705">
        <v>7590</v>
      </c>
      <c r="K1041" s="705">
        <v>100</v>
      </c>
      <c r="L1041" s="705">
        <v>2061</v>
      </c>
      <c r="M1041" s="705">
        <v>1874</v>
      </c>
      <c r="N1041" s="705">
        <v>1848</v>
      </c>
      <c r="O1041" s="705">
        <v>684</v>
      </c>
      <c r="P1041" s="705">
        <v>0</v>
      </c>
      <c r="Q1041" s="705">
        <v>0</v>
      </c>
      <c r="R1041" s="705">
        <v>6352</v>
      </c>
      <c r="S1041" s="705">
        <v>5775</v>
      </c>
      <c r="T1041" s="705">
        <v>2369</v>
      </c>
      <c r="U1041" s="705">
        <v>877</v>
      </c>
      <c r="V1041" s="705">
        <v>16800</v>
      </c>
      <c r="W1041" s="705">
        <f t="shared" si="52"/>
        <v>16800</v>
      </c>
      <c r="X1041" s="705">
        <f t="shared" si="53"/>
        <v>33122</v>
      </c>
      <c r="AI1041" s="429"/>
    </row>
    <row r="1042" spans="2:35">
      <c r="B1042" t="s">
        <v>541</v>
      </c>
      <c r="C1042" t="s">
        <v>122</v>
      </c>
      <c r="D1042" t="s">
        <v>228</v>
      </c>
      <c r="E1042" t="s">
        <v>669</v>
      </c>
      <c r="F1042" s="705">
        <v>3</v>
      </c>
      <c r="G1042" s="705">
        <v>241</v>
      </c>
      <c r="H1042" s="705">
        <v>1230</v>
      </c>
      <c r="I1042" s="705">
        <v>59412</v>
      </c>
      <c r="J1042" s="705">
        <v>22004</v>
      </c>
      <c r="K1042" s="705">
        <v>100</v>
      </c>
      <c r="L1042" s="705">
        <v>6968</v>
      </c>
      <c r="M1042" s="705">
        <v>5807</v>
      </c>
      <c r="N1042" s="705">
        <v>5280</v>
      </c>
      <c r="O1042" s="705">
        <v>1956</v>
      </c>
      <c r="P1042" s="705">
        <v>702</v>
      </c>
      <c r="Q1042" s="705">
        <v>260</v>
      </c>
      <c r="R1042" s="705">
        <v>18920</v>
      </c>
      <c r="S1042" s="705">
        <v>15766</v>
      </c>
      <c r="T1042" s="705">
        <v>7222</v>
      </c>
      <c r="U1042" s="705">
        <v>2675</v>
      </c>
      <c r="V1042" s="705">
        <v>48468</v>
      </c>
      <c r="W1042" s="705">
        <f t="shared" si="52"/>
        <v>48468</v>
      </c>
      <c r="X1042" s="705">
        <f t="shared" si="53"/>
        <v>98504</v>
      </c>
      <c r="AI1042" s="429"/>
    </row>
    <row r="1043" spans="2:35">
      <c r="B1043" t="s">
        <v>541</v>
      </c>
      <c r="C1043" t="s">
        <v>122</v>
      </c>
      <c r="D1043" t="s">
        <v>228</v>
      </c>
      <c r="E1043" t="s">
        <v>665</v>
      </c>
      <c r="F1043" s="705">
        <v>4</v>
      </c>
      <c r="G1043" s="705">
        <v>306</v>
      </c>
      <c r="H1043" s="705">
        <v>1587</v>
      </c>
      <c r="I1043" s="705">
        <v>68064</v>
      </c>
      <c r="J1043" s="705">
        <v>25209</v>
      </c>
      <c r="K1043" s="705">
        <v>100</v>
      </c>
      <c r="L1043" s="705">
        <v>13061</v>
      </c>
      <c r="M1043" s="705">
        <v>11873</v>
      </c>
      <c r="N1043" s="705">
        <v>5766</v>
      </c>
      <c r="O1043" s="705">
        <v>2135</v>
      </c>
      <c r="P1043" s="705">
        <v>0</v>
      </c>
      <c r="Q1043" s="705">
        <v>0</v>
      </c>
      <c r="R1043" s="705">
        <v>23254</v>
      </c>
      <c r="S1043" s="705">
        <v>21140</v>
      </c>
      <c r="T1043" s="705">
        <v>11502</v>
      </c>
      <c r="U1043" s="705">
        <v>4260</v>
      </c>
      <c r="V1043" s="705">
        <v>64618</v>
      </c>
      <c r="W1043" s="705">
        <f t="shared" si="52"/>
        <v>64617</v>
      </c>
      <c r="X1043" s="705">
        <f t="shared" si="53"/>
        <v>121647</v>
      </c>
      <c r="AI1043" s="429"/>
    </row>
    <row r="1044" spans="2:35">
      <c r="B1044" t="s">
        <v>541</v>
      </c>
      <c r="C1044" t="s">
        <v>122</v>
      </c>
      <c r="D1044" t="s">
        <v>583</v>
      </c>
      <c r="E1044" t="s">
        <v>228</v>
      </c>
      <c r="F1044" s="705">
        <v>2</v>
      </c>
      <c r="G1044" s="705">
        <v>158</v>
      </c>
      <c r="H1044" s="705">
        <v>824</v>
      </c>
      <c r="I1044" s="705">
        <v>32502</v>
      </c>
      <c r="J1044" s="705">
        <v>29547</v>
      </c>
      <c r="K1044" s="705">
        <v>70</v>
      </c>
      <c r="L1044" s="705">
        <v>10087</v>
      </c>
      <c r="M1044" s="705">
        <v>3736</v>
      </c>
      <c r="N1044" s="705">
        <v>3728</v>
      </c>
      <c r="O1044" s="705">
        <v>1381</v>
      </c>
      <c r="P1044" s="705">
        <v>891</v>
      </c>
      <c r="Q1044" s="705">
        <v>330</v>
      </c>
      <c r="R1044" s="705">
        <v>18204</v>
      </c>
      <c r="S1044" s="705">
        <v>6742</v>
      </c>
      <c r="T1044" s="705">
        <v>0</v>
      </c>
      <c r="U1044" s="705">
        <v>0</v>
      </c>
      <c r="V1044" s="705">
        <v>41737</v>
      </c>
      <c r="W1044" s="705">
        <f t="shared" si="52"/>
        <v>41736</v>
      </c>
      <c r="X1044" s="705">
        <f t="shared" si="53"/>
        <v>65412</v>
      </c>
      <c r="AI1044" s="429"/>
    </row>
    <row r="1045" spans="2:35">
      <c r="B1045" t="s">
        <v>541</v>
      </c>
      <c r="C1045" t="s">
        <v>122</v>
      </c>
      <c r="D1045" t="s">
        <v>583</v>
      </c>
      <c r="E1045" t="s">
        <v>583</v>
      </c>
      <c r="F1045" s="705">
        <v>158</v>
      </c>
      <c r="G1045" s="705">
        <v>15409</v>
      </c>
      <c r="H1045" s="705">
        <v>65344</v>
      </c>
      <c r="I1045" s="705">
        <v>4098321</v>
      </c>
      <c r="J1045" s="705">
        <v>3725746</v>
      </c>
      <c r="K1045" s="705">
        <v>75</v>
      </c>
      <c r="L1045" s="705">
        <v>884664</v>
      </c>
      <c r="M1045" s="705">
        <v>773245</v>
      </c>
      <c r="N1045" s="705">
        <v>330992</v>
      </c>
      <c r="O1045" s="705">
        <v>122590</v>
      </c>
      <c r="P1045" s="705">
        <v>101979</v>
      </c>
      <c r="Q1045" s="705">
        <v>37770</v>
      </c>
      <c r="R1045" s="705">
        <v>849049</v>
      </c>
      <c r="S1045" s="705">
        <v>771863</v>
      </c>
      <c r="T1045" s="705">
        <v>195819</v>
      </c>
      <c r="U1045" s="705">
        <v>72526</v>
      </c>
      <c r="V1045" s="705">
        <v>5503740</v>
      </c>
      <c r="W1045" s="705">
        <f t="shared" si="52"/>
        <v>5503740</v>
      </c>
      <c r="X1045" s="705">
        <f t="shared" si="53"/>
        <v>6460824</v>
      </c>
      <c r="AI1045" s="429"/>
    </row>
    <row r="1046" spans="2:35">
      <c r="B1046" t="s">
        <v>541</v>
      </c>
      <c r="C1046" t="s">
        <v>122</v>
      </c>
      <c r="D1046" t="s">
        <v>583</v>
      </c>
      <c r="E1046" t="s">
        <v>665</v>
      </c>
      <c r="F1046" s="705">
        <v>1</v>
      </c>
      <c r="G1046" s="705">
        <v>87</v>
      </c>
      <c r="H1046" s="705">
        <v>448</v>
      </c>
      <c r="I1046" s="705">
        <v>19876</v>
      </c>
      <c r="J1046" s="705">
        <v>18069</v>
      </c>
      <c r="K1046" s="705">
        <v>55</v>
      </c>
      <c r="L1046" s="705">
        <v>4049</v>
      </c>
      <c r="M1046" s="705">
        <v>3681</v>
      </c>
      <c r="N1046" s="705">
        <v>2118</v>
      </c>
      <c r="O1046" s="705">
        <v>784</v>
      </c>
      <c r="P1046" s="705">
        <v>0</v>
      </c>
      <c r="Q1046" s="705">
        <v>0</v>
      </c>
      <c r="R1046" s="705">
        <v>8380</v>
      </c>
      <c r="S1046" s="705">
        <v>7619</v>
      </c>
      <c r="T1046" s="705">
        <v>4485</v>
      </c>
      <c r="U1046" s="705">
        <v>1661</v>
      </c>
      <c r="V1046" s="705">
        <v>31814</v>
      </c>
      <c r="W1046" s="705">
        <f t="shared" si="52"/>
        <v>31814</v>
      </c>
      <c r="X1046" s="705">
        <f t="shared" si="53"/>
        <v>38908</v>
      </c>
      <c r="AI1046" s="429"/>
    </row>
    <row r="1047" spans="2:35">
      <c r="B1047" t="s">
        <v>541</v>
      </c>
      <c r="C1047" t="s">
        <v>122</v>
      </c>
      <c r="D1047" t="s">
        <v>666</v>
      </c>
      <c r="E1047" t="s">
        <v>228</v>
      </c>
      <c r="F1047" s="705">
        <v>1</v>
      </c>
      <c r="G1047" s="705">
        <v>99</v>
      </c>
      <c r="H1047" s="705">
        <v>447</v>
      </c>
      <c r="I1047" s="705">
        <v>26804</v>
      </c>
      <c r="J1047" s="705">
        <v>24367</v>
      </c>
      <c r="K1047" s="705">
        <v>60</v>
      </c>
      <c r="L1047" s="705">
        <v>9869</v>
      </c>
      <c r="M1047" s="705">
        <v>3655</v>
      </c>
      <c r="N1047" s="705">
        <v>2405</v>
      </c>
      <c r="O1047" s="705">
        <v>891</v>
      </c>
      <c r="P1047" s="705">
        <v>0</v>
      </c>
      <c r="Q1047" s="705">
        <v>0</v>
      </c>
      <c r="R1047" s="705">
        <v>5062</v>
      </c>
      <c r="S1047" s="705">
        <v>1875</v>
      </c>
      <c r="T1047" s="705">
        <v>0</v>
      </c>
      <c r="U1047" s="705">
        <v>0</v>
      </c>
      <c r="V1047" s="705">
        <v>30788</v>
      </c>
      <c r="W1047" s="705">
        <f t="shared" si="52"/>
        <v>30788</v>
      </c>
      <c r="X1047" s="705">
        <f t="shared" si="53"/>
        <v>44140</v>
      </c>
      <c r="AI1047" s="429"/>
    </row>
    <row r="1048" spans="2:35">
      <c r="B1048" t="s">
        <v>541</v>
      </c>
      <c r="C1048" t="s">
        <v>122</v>
      </c>
      <c r="D1048" t="s">
        <v>666</v>
      </c>
      <c r="E1048" t="s">
        <v>666</v>
      </c>
      <c r="F1048" s="705">
        <v>27</v>
      </c>
      <c r="G1048" s="705">
        <v>1918</v>
      </c>
      <c r="H1048" s="705">
        <v>10940</v>
      </c>
      <c r="I1048" s="705">
        <v>434736</v>
      </c>
      <c r="J1048" s="705">
        <v>395214</v>
      </c>
      <c r="K1048" s="705">
        <v>47</v>
      </c>
      <c r="L1048" s="705">
        <v>66118</v>
      </c>
      <c r="M1048" s="705">
        <v>60107</v>
      </c>
      <c r="N1048" s="705">
        <v>40327</v>
      </c>
      <c r="O1048" s="705">
        <v>14936</v>
      </c>
      <c r="P1048" s="705">
        <v>9477</v>
      </c>
      <c r="Q1048" s="705">
        <v>3510</v>
      </c>
      <c r="R1048" s="705">
        <v>167840</v>
      </c>
      <c r="S1048" s="705">
        <v>152581</v>
      </c>
      <c r="T1048" s="705">
        <v>56372</v>
      </c>
      <c r="U1048" s="705">
        <v>20878</v>
      </c>
      <c r="V1048" s="705">
        <v>647227</v>
      </c>
      <c r="W1048" s="705">
        <f t="shared" si="52"/>
        <v>647226</v>
      </c>
      <c r="X1048" s="705">
        <f t="shared" si="53"/>
        <v>774870</v>
      </c>
      <c r="AI1048" s="429"/>
    </row>
    <row r="1049" spans="2:35">
      <c r="B1049" t="s">
        <v>541</v>
      </c>
      <c r="C1049" t="s">
        <v>122</v>
      </c>
      <c r="D1049" t="s">
        <v>669</v>
      </c>
      <c r="E1049" t="s">
        <v>228</v>
      </c>
      <c r="F1049" s="705">
        <v>3</v>
      </c>
      <c r="G1049" s="705">
        <v>221</v>
      </c>
      <c r="H1049" s="705">
        <v>1300</v>
      </c>
      <c r="I1049" s="705">
        <v>66202</v>
      </c>
      <c r="J1049" s="705">
        <v>55168</v>
      </c>
      <c r="K1049" s="705">
        <v>35</v>
      </c>
      <c r="L1049" s="705">
        <v>2030</v>
      </c>
      <c r="M1049" s="705">
        <v>752</v>
      </c>
      <c r="N1049" s="705">
        <v>3937</v>
      </c>
      <c r="O1049" s="705">
        <v>1458</v>
      </c>
      <c r="P1049" s="705">
        <v>351</v>
      </c>
      <c r="Q1049" s="705">
        <v>130</v>
      </c>
      <c r="R1049" s="705">
        <v>23324</v>
      </c>
      <c r="S1049" s="705">
        <v>8639</v>
      </c>
      <c r="T1049" s="705">
        <v>0</v>
      </c>
      <c r="U1049" s="705">
        <v>0</v>
      </c>
      <c r="V1049" s="705">
        <v>66146</v>
      </c>
      <c r="W1049" s="705">
        <f t="shared" si="52"/>
        <v>66147</v>
      </c>
      <c r="X1049" s="705">
        <f t="shared" si="53"/>
        <v>95844</v>
      </c>
      <c r="AI1049" s="429"/>
    </row>
    <row r="1050" spans="2:35">
      <c r="B1050" t="s">
        <v>541</v>
      </c>
      <c r="C1050" t="s">
        <v>122</v>
      </c>
      <c r="D1050" t="s">
        <v>669</v>
      </c>
      <c r="E1050" t="s">
        <v>669</v>
      </c>
      <c r="F1050" s="705">
        <v>45</v>
      </c>
      <c r="G1050" s="705">
        <v>3048</v>
      </c>
      <c r="H1050" s="705">
        <v>18161</v>
      </c>
      <c r="I1050" s="705">
        <v>701899</v>
      </c>
      <c r="J1050" s="705">
        <v>584916</v>
      </c>
      <c r="K1050" s="705">
        <v>52</v>
      </c>
      <c r="L1050" s="705">
        <v>91384</v>
      </c>
      <c r="M1050" s="705">
        <v>68334</v>
      </c>
      <c r="N1050" s="705">
        <v>62212</v>
      </c>
      <c r="O1050" s="705">
        <v>23041</v>
      </c>
      <c r="P1050" s="705">
        <v>16210</v>
      </c>
      <c r="Q1050" s="705">
        <v>6004</v>
      </c>
      <c r="R1050" s="705">
        <v>262168</v>
      </c>
      <c r="S1050" s="705">
        <v>218473</v>
      </c>
      <c r="T1050" s="705">
        <v>88685</v>
      </c>
      <c r="U1050" s="705">
        <v>32846</v>
      </c>
      <c r="V1050" s="705">
        <v>933614</v>
      </c>
      <c r="W1050" s="705">
        <f t="shared" si="52"/>
        <v>933614</v>
      </c>
      <c r="X1050" s="705">
        <f t="shared" si="53"/>
        <v>1222558</v>
      </c>
      <c r="AI1050" s="429"/>
    </row>
    <row r="1051" spans="2:35">
      <c r="B1051" t="s">
        <v>541</v>
      </c>
      <c r="C1051" t="s">
        <v>122</v>
      </c>
      <c r="D1051" t="s">
        <v>671</v>
      </c>
      <c r="E1051" t="s">
        <v>671</v>
      </c>
      <c r="F1051" s="705">
        <v>2</v>
      </c>
      <c r="G1051" s="705">
        <v>114</v>
      </c>
      <c r="H1051" s="705">
        <v>837</v>
      </c>
      <c r="I1051" s="705">
        <v>26552</v>
      </c>
      <c r="J1051" s="705">
        <v>24138</v>
      </c>
      <c r="K1051" s="705">
        <v>45</v>
      </c>
      <c r="L1051" s="705">
        <v>2213</v>
      </c>
      <c r="M1051" s="705">
        <v>2011</v>
      </c>
      <c r="N1051" s="705">
        <v>1389</v>
      </c>
      <c r="O1051" s="705">
        <v>514</v>
      </c>
      <c r="P1051" s="705">
        <v>702</v>
      </c>
      <c r="Q1051" s="705">
        <v>260</v>
      </c>
      <c r="R1051" s="705">
        <v>16834</v>
      </c>
      <c r="S1051" s="705">
        <v>15304</v>
      </c>
      <c r="T1051" s="705">
        <v>0</v>
      </c>
      <c r="U1051" s="705">
        <v>0</v>
      </c>
      <c r="V1051" s="705">
        <v>42227</v>
      </c>
      <c r="W1051" s="705">
        <f t="shared" si="52"/>
        <v>42227</v>
      </c>
      <c r="X1051" s="705">
        <f t="shared" si="53"/>
        <v>47690</v>
      </c>
      <c r="AI1051" s="429"/>
    </row>
    <row r="1052" spans="2:35">
      <c r="B1052" t="s">
        <v>541</v>
      </c>
      <c r="C1052" t="s">
        <v>122</v>
      </c>
      <c r="D1052" t="s">
        <v>665</v>
      </c>
      <c r="E1052" t="s">
        <v>228</v>
      </c>
      <c r="F1052" s="705">
        <v>7</v>
      </c>
      <c r="G1052" s="705">
        <v>566</v>
      </c>
      <c r="H1052" s="705">
        <v>2903</v>
      </c>
      <c r="I1052" s="705">
        <v>178818</v>
      </c>
      <c r="J1052" s="705">
        <v>162562</v>
      </c>
      <c r="K1052" s="705">
        <v>54</v>
      </c>
      <c r="L1052" s="705">
        <v>28551</v>
      </c>
      <c r="M1052" s="705">
        <v>19346</v>
      </c>
      <c r="N1052" s="705">
        <v>12935</v>
      </c>
      <c r="O1052" s="705">
        <v>4791</v>
      </c>
      <c r="P1052" s="705">
        <v>1404</v>
      </c>
      <c r="Q1052" s="705">
        <v>520</v>
      </c>
      <c r="R1052" s="705">
        <v>52066</v>
      </c>
      <c r="S1052" s="705">
        <v>19284</v>
      </c>
      <c r="T1052" s="705">
        <v>0</v>
      </c>
      <c r="U1052" s="705">
        <v>0</v>
      </c>
      <c r="V1052" s="705">
        <v>206503</v>
      </c>
      <c r="W1052" s="705">
        <f t="shared" si="52"/>
        <v>206503</v>
      </c>
      <c r="X1052" s="705">
        <f t="shared" si="53"/>
        <v>273774</v>
      </c>
      <c r="AI1052" s="429"/>
    </row>
    <row r="1053" spans="2:35">
      <c r="B1053" t="s">
        <v>541</v>
      </c>
      <c r="C1053" t="s">
        <v>122</v>
      </c>
      <c r="D1053" t="s">
        <v>665</v>
      </c>
      <c r="E1053" t="s">
        <v>665</v>
      </c>
      <c r="F1053" s="705">
        <v>126</v>
      </c>
      <c r="G1053" s="705">
        <v>7205</v>
      </c>
      <c r="H1053" s="705">
        <v>51315</v>
      </c>
      <c r="I1053" s="705">
        <v>1677968</v>
      </c>
      <c r="J1053" s="705">
        <v>1525425</v>
      </c>
      <c r="K1053" s="705">
        <v>54</v>
      </c>
      <c r="L1053" s="705">
        <v>189567</v>
      </c>
      <c r="M1053" s="705">
        <v>135443</v>
      </c>
      <c r="N1053" s="705">
        <v>130813</v>
      </c>
      <c r="O1053" s="705">
        <v>48449</v>
      </c>
      <c r="P1053" s="705">
        <v>42039</v>
      </c>
      <c r="Q1053" s="705">
        <v>15570</v>
      </c>
      <c r="R1053" s="705">
        <v>649993</v>
      </c>
      <c r="S1053" s="705">
        <v>590903</v>
      </c>
      <c r="T1053" s="705">
        <v>243758</v>
      </c>
      <c r="U1053" s="705">
        <v>90281</v>
      </c>
      <c r="V1053" s="705">
        <v>2406072</v>
      </c>
      <c r="W1053" s="705">
        <f t="shared" si="52"/>
        <v>2406071</v>
      </c>
      <c r="X1053" s="705">
        <f t="shared" si="53"/>
        <v>2934138</v>
      </c>
      <c r="AI1053" s="429"/>
    </row>
    <row r="1054" spans="2:35">
      <c r="B1054" t="s">
        <v>541</v>
      </c>
      <c r="C1054" t="s">
        <v>122</v>
      </c>
      <c r="D1054" t="s">
        <v>673</v>
      </c>
      <c r="E1054" t="s">
        <v>673</v>
      </c>
      <c r="F1054" s="705">
        <v>5</v>
      </c>
      <c r="G1054" s="705">
        <v>176</v>
      </c>
      <c r="H1054" s="705">
        <v>2005</v>
      </c>
      <c r="I1054" s="705">
        <v>38511</v>
      </c>
      <c r="J1054" s="705">
        <v>35010</v>
      </c>
      <c r="K1054" s="705">
        <v>70</v>
      </c>
      <c r="L1054" s="705">
        <v>2480</v>
      </c>
      <c r="M1054" s="705">
        <v>918</v>
      </c>
      <c r="N1054" s="705">
        <v>2593</v>
      </c>
      <c r="O1054" s="705">
        <v>960</v>
      </c>
      <c r="P1054" s="705">
        <v>1755</v>
      </c>
      <c r="Q1054" s="705">
        <v>650</v>
      </c>
      <c r="R1054" s="705">
        <v>18126</v>
      </c>
      <c r="S1054" s="705">
        <v>16479</v>
      </c>
      <c r="T1054" s="705">
        <v>6976</v>
      </c>
      <c r="U1054" s="705">
        <v>2584</v>
      </c>
      <c r="V1054" s="705">
        <v>56601</v>
      </c>
      <c r="W1054" s="705">
        <f t="shared" si="52"/>
        <v>56601</v>
      </c>
      <c r="X1054" s="705">
        <f t="shared" si="53"/>
        <v>70441</v>
      </c>
      <c r="AI1054" s="429"/>
    </row>
    <row r="1055" spans="2:35">
      <c r="B1055" t="s">
        <v>541</v>
      </c>
      <c r="C1055" t="s">
        <v>122</v>
      </c>
      <c r="D1055" t="s">
        <v>585</v>
      </c>
      <c r="E1055" t="s">
        <v>585</v>
      </c>
      <c r="F1055" s="705">
        <v>1</v>
      </c>
      <c r="G1055" s="705">
        <v>77</v>
      </c>
      <c r="H1055" s="705">
        <v>415</v>
      </c>
      <c r="I1055" s="705">
        <v>26121</v>
      </c>
      <c r="J1055" s="705">
        <v>23746</v>
      </c>
      <c r="K1055" s="705">
        <v>91</v>
      </c>
      <c r="L1055" s="705">
        <v>0</v>
      </c>
      <c r="M1055" s="705">
        <v>0</v>
      </c>
      <c r="N1055" s="705">
        <v>1469</v>
      </c>
      <c r="O1055" s="705">
        <v>544</v>
      </c>
      <c r="P1055" s="705">
        <v>351</v>
      </c>
      <c r="Q1055" s="705">
        <v>130</v>
      </c>
      <c r="R1055" s="705">
        <v>4100</v>
      </c>
      <c r="S1055" s="705">
        <v>3728</v>
      </c>
      <c r="T1055" s="705">
        <v>0</v>
      </c>
      <c r="U1055" s="705">
        <v>0</v>
      </c>
      <c r="V1055" s="705">
        <v>28148</v>
      </c>
      <c r="W1055" s="705">
        <f t="shared" si="52"/>
        <v>28148</v>
      </c>
      <c r="X1055" s="705">
        <f t="shared" si="53"/>
        <v>32041</v>
      </c>
      <c r="AI1055" s="429"/>
    </row>
    <row r="1056" spans="2:35">
      <c r="B1056" t="s">
        <v>541</v>
      </c>
      <c r="C1056" t="s">
        <v>122</v>
      </c>
      <c r="D1056" t="s">
        <v>668</v>
      </c>
      <c r="E1056" t="s">
        <v>668</v>
      </c>
      <c r="F1056" s="705">
        <v>1</v>
      </c>
      <c r="G1056" s="705">
        <v>85</v>
      </c>
      <c r="H1056" s="705">
        <v>416</v>
      </c>
      <c r="I1056" s="705">
        <v>27473</v>
      </c>
      <c r="J1056" s="705">
        <v>24976</v>
      </c>
      <c r="K1056" s="705">
        <v>65</v>
      </c>
      <c r="L1056" s="705">
        <v>0</v>
      </c>
      <c r="M1056" s="705">
        <v>0</v>
      </c>
      <c r="N1056" s="705">
        <v>1905</v>
      </c>
      <c r="O1056" s="705">
        <v>706</v>
      </c>
      <c r="P1056" s="705">
        <v>351</v>
      </c>
      <c r="Q1056" s="705">
        <v>130</v>
      </c>
      <c r="R1056" s="705">
        <v>3649</v>
      </c>
      <c r="S1056" s="705">
        <v>3318</v>
      </c>
      <c r="T1056" s="705">
        <v>1781</v>
      </c>
      <c r="U1056" s="705">
        <v>660</v>
      </c>
      <c r="V1056" s="705">
        <v>29789</v>
      </c>
      <c r="W1056" s="705">
        <f t="shared" si="52"/>
        <v>29790</v>
      </c>
      <c r="X1056" s="705">
        <f t="shared" si="53"/>
        <v>35159</v>
      </c>
      <c r="AI1056" s="429"/>
    </row>
    <row r="1057" spans="2:35">
      <c r="B1057" t="s">
        <v>541</v>
      </c>
      <c r="C1057" t="s">
        <v>124</v>
      </c>
      <c r="F1057" s="705">
        <v>4</v>
      </c>
      <c r="G1057" s="705">
        <v>290</v>
      </c>
      <c r="H1057" s="705">
        <v>2541</v>
      </c>
      <c r="I1057" s="705"/>
      <c r="J1057" s="705">
        <v>0</v>
      </c>
      <c r="K1057" s="705"/>
      <c r="L1057" s="705"/>
      <c r="M1057" s="705">
        <v>0</v>
      </c>
      <c r="N1057" s="705">
        <v>6219</v>
      </c>
      <c r="O1057" s="705">
        <v>2303</v>
      </c>
      <c r="P1057" s="705">
        <v>1094</v>
      </c>
      <c r="Q1057" s="705">
        <v>405</v>
      </c>
      <c r="R1057" s="705"/>
      <c r="S1057" s="705">
        <v>0</v>
      </c>
      <c r="T1057" s="705">
        <v>0</v>
      </c>
      <c r="U1057" s="705">
        <v>0</v>
      </c>
      <c r="V1057" s="705">
        <v>2708</v>
      </c>
      <c r="W1057" s="705">
        <f t="shared" si="52"/>
        <v>2708</v>
      </c>
      <c r="X1057" s="705">
        <f t="shared" si="53"/>
        <v>7313</v>
      </c>
      <c r="AI1057" s="429"/>
    </row>
    <row r="1058" spans="2:35">
      <c r="B1058" t="s">
        <v>541</v>
      </c>
      <c r="C1058" t="s">
        <v>124</v>
      </c>
      <c r="D1058" t="s">
        <v>664</v>
      </c>
      <c r="E1058" t="s">
        <v>664</v>
      </c>
      <c r="F1058" s="705">
        <v>3</v>
      </c>
      <c r="G1058" s="705">
        <v>269</v>
      </c>
      <c r="H1058" s="705">
        <v>1682</v>
      </c>
      <c r="I1058" s="705">
        <v>99083</v>
      </c>
      <c r="J1058" s="705">
        <v>90076</v>
      </c>
      <c r="K1058" s="705">
        <v>72</v>
      </c>
      <c r="L1058" s="705">
        <v>23123</v>
      </c>
      <c r="M1058" s="705">
        <v>21021</v>
      </c>
      <c r="N1058" s="705">
        <v>6549</v>
      </c>
      <c r="O1058" s="705">
        <v>2426</v>
      </c>
      <c r="P1058" s="705">
        <v>1418</v>
      </c>
      <c r="Q1058" s="705">
        <v>525</v>
      </c>
      <c r="R1058" s="705">
        <v>15048</v>
      </c>
      <c r="S1058" s="705">
        <v>13680</v>
      </c>
      <c r="T1058" s="705">
        <v>2463</v>
      </c>
      <c r="U1058" s="705">
        <v>912</v>
      </c>
      <c r="V1058" s="705">
        <v>128640</v>
      </c>
      <c r="W1058" s="705">
        <f t="shared" si="52"/>
        <v>128640</v>
      </c>
      <c r="X1058" s="705">
        <f t="shared" si="53"/>
        <v>147684</v>
      </c>
      <c r="AI1058" s="429"/>
    </row>
    <row r="1059" spans="2:35">
      <c r="B1059" t="s">
        <v>541</v>
      </c>
      <c r="C1059" t="s">
        <v>124</v>
      </c>
      <c r="D1059" t="s">
        <v>228</v>
      </c>
      <c r="E1059" t="s">
        <v>228</v>
      </c>
      <c r="F1059" s="705">
        <v>245</v>
      </c>
      <c r="G1059" s="705">
        <v>17917</v>
      </c>
      <c r="H1059" s="705">
        <v>145999</v>
      </c>
      <c r="I1059" s="705">
        <v>7415137</v>
      </c>
      <c r="J1059" s="705">
        <v>2746347</v>
      </c>
      <c r="K1059" s="705">
        <v>100</v>
      </c>
      <c r="L1059" s="705">
        <v>1236685</v>
      </c>
      <c r="M1059" s="705">
        <v>978135</v>
      </c>
      <c r="N1059" s="705">
        <v>367896</v>
      </c>
      <c r="O1059" s="705">
        <v>136258</v>
      </c>
      <c r="P1059" s="705">
        <v>12737</v>
      </c>
      <c r="Q1059" s="705">
        <v>4717</v>
      </c>
      <c r="R1059" s="705">
        <v>1743145</v>
      </c>
      <c r="S1059" s="705">
        <v>645609</v>
      </c>
      <c r="T1059" s="705">
        <v>10302</v>
      </c>
      <c r="U1059" s="705">
        <v>3816</v>
      </c>
      <c r="V1059" s="705">
        <v>4514882</v>
      </c>
      <c r="W1059" s="705">
        <f t="shared" si="52"/>
        <v>4514882</v>
      </c>
      <c r="X1059" s="705">
        <f t="shared" si="53"/>
        <v>10785902</v>
      </c>
      <c r="AI1059" s="429"/>
    </row>
    <row r="1060" spans="2:35">
      <c r="B1060" t="s">
        <v>541</v>
      </c>
      <c r="C1060" t="s">
        <v>124</v>
      </c>
      <c r="D1060" t="s">
        <v>228</v>
      </c>
      <c r="E1060" t="s">
        <v>583</v>
      </c>
      <c r="F1060" s="705">
        <v>6</v>
      </c>
      <c r="G1060" s="705">
        <v>676</v>
      </c>
      <c r="H1060" s="705">
        <v>3315</v>
      </c>
      <c r="I1060" s="705">
        <v>289592</v>
      </c>
      <c r="J1060" s="705">
        <v>107256</v>
      </c>
      <c r="K1060" s="705">
        <v>100</v>
      </c>
      <c r="L1060" s="705">
        <v>33714</v>
      </c>
      <c r="M1060" s="705">
        <v>24866</v>
      </c>
      <c r="N1060" s="705">
        <v>15710</v>
      </c>
      <c r="O1060" s="705">
        <v>5819</v>
      </c>
      <c r="P1060" s="705">
        <v>1161</v>
      </c>
      <c r="Q1060" s="705">
        <v>430</v>
      </c>
      <c r="R1060" s="705">
        <v>27080</v>
      </c>
      <c r="S1060" s="705">
        <v>24618</v>
      </c>
      <c r="T1060" s="705">
        <v>12482</v>
      </c>
      <c r="U1060" s="705">
        <v>4623</v>
      </c>
      <c r="V1060" s="705">
        <v>167612</v>
      </c>
      <c r="W1060" s="705">
        <f t="shared" si="52"/>
        <v>167612</v>
      </c>
      <c r="X1060" s="705">
        <f t="shared" si="53"/>
        <v>379739</v>
      </c>
      <c r="AI1060" s="429"/>
    </row>
    <row r="1061" spans="2:35">
      <c r="B1061" t="s">
        <v>541</v>
      </c>
      <c r="C1061" t="s">
        <v>124</v>
      </c>
      <c r="D1061" t="s">
        <v>228</v>
      </c>
      <c r="E1061" t="s">
        <v>669</v>
      </c>
      <c r="F1061" s="705">
        <v>21</v>
      </c>
      <c r="G1061" s="705">
        <v>890</v>
      </c>
      <c r="H1061" s="705">
        <v>13420</v>
      </c>
      <c r="I1061" s="705">
        <v>356606</v>
      </c>
      <c r="J1061" s="705">
        <v>132076</v>
      </c>
      <c r="K1061" s="705">
        <v>100</v>
      </c>
      <c r="L1061" s="705">
        <v>40653</v>
      </c>
      <c r="M1061" s="705">
        <v>33877</v>
      </c>
      <c r="N1061" s="705">
        <v>17509</v>
      </c>
      <c r="O1061" s="705">
        <v>6485</v>
      </c>
      <c r="P1061" s="705">
        <v>1053</v>
      </c>
      <c r="Q1061" s="705">
        <v>390</v>
      </c>
      <c r="R1061" s="705">
        <v>101458</v>
      </c>
      <c r="S1061" s="705">
        <v>84548</v>
      </c>
      <c r="T1061" s="705">
        <v>34592</v>
      </c>
      <c r="U1061" s="705">
        <v>12812</v>
      </c>
      <c r="V1061" s="705">
        <v>270188</v>
      </c>
      <c r="W1061" s="705">
        <f t="shared" si="52"/>
        <v>270188</v>
      </c>
      <c r="X1061" s="705">
        <f t="shared" si="53"/>
        <v>551871</v>
      </c>
      <c r="AI1061" s="429"/>
    </row>
    <row r="1062" spans="2:35">
      <c r="B1062" t="s">
        <v>541</v>
      </c>
      <c r="C1062" t="s">
        <v>124</v>
      </c>
      <c r="D1062" t="s">
        <v>228</v>
      </c>
      <c r="E1062" t="s">
        <v>665</v>
      </c>
      <c r="F1062" s="705">
        <v>6</v>
      </c>
      <c r="G1062" s="705">
        <v>447</v>
      </c>
      <c r="H1062" s="705">
        <v>3377</v>
      </c>
      <c r="I1062" s="705">
        <v>172278</v>
      </c>
      <c r="J1062" s="705">
        <v>63807</v>
      </c>
      <c r="K1062" s="705">
        <v>100</v>
      </c>
      <c r="L1062" s="705">
        <v>28836</v>
      </c>
      <c r="M1062" s="705">
        <v>19261</v>
      </c>
      <c r="N1062" s="705">
        <v>10374</v>
      </c>
      <c r="O1062" s="705">
        <v>3842</v>
      </c>
      <c r="P1062" s="705">
        <v>0</v>
      </c>
      <c r="Q1062" s="705">
        <v>0</v>
      </c>
      <c r="R1062" s="705">
        <v>28676</v>
      </c>
      <c r="S1062" s="705">
        <v>26069</v>
      </c>
      <c r="T1062" s="705">
        <v>9558</v>
      </c>
      <c r="U1062" s="705">
        <v>3540</v>
      </c>
      <c r="V1062" s="705">
        <v>116519</v>
      </c>
      <c r="W1062" s="705">
        <f t="shared" si="52"/>
        <v>116519</v>
      </c>
      <c r="X1062" s="705">
        <f t="shared" si="53"/>
        <v>249722</v>
      </c>
      <c r="AI1062" s="429"/>
    </row>
    <row r="1063" spans="2:35">
      <c r="B1063" t="s">
        <v>541</v>
      </c>
      <c r="C1063" t="s">
        <v>124</v>
      </c>
      <c r="D1063" t="s">
        <v>583</v>
      </c>
      <c r="E1063" t="s">
        <v>228</v>
      </c>
      <c r="F1063" s="705">
        <v>3</v>
      </c>
      <c r="G1063" s="705">
        <v>293</v>
      </c>
      <c r="H1063" s="705">
        <v>1673</v>
      </c>
      <c r="I1063" s="705">
        <v>103126</v>
      </c>
      <c r="J1063" s="705">
        <v>93751</v>
      </c>
      <c r="K1063" s="705">
        <v>78</v>
      </c>
      <c r="L1063" s="705">
        <v>24358</v>
      </c>
      <c r="M1063" s="705">
        <v>22144</v>
      </c>
      <c r="N1063" s="705">
        <v>6507</v>
      </c>
      <c r="O1063" s="705">
        <v>2410</v>
      </c>
      <c r="P1063" s="705">
        <v>2214</v>
      </c>
      <c r="Q1063" s="705">
        <v>820</v>
      </c>
      <c r="R1063" s="705">
        <v>25412</v>
      </c>
      <c r="S1063" s="705">
        <v>9412</v>
      </c>
      <c r="T1063" s="705">
        <v>0</v>
      </c>
      <c r="U1063" s="705">
        <v>0</v>
      </c>
      <c r="V1063" s="705">
        <v>128536</v>
      </c>
      <c r="W1063" s="705">
        <f t="shared" si="52"/>
        <v>128537</v>
      </c>
      <c r="X1063" s="705">
        <f t="shared" si="53"/>
        <v>161617</v>
      </c>
    </row>
    <row r="1064" spans="2:35">
      <c r="B1064" t="s">
        <v>541</v>
      </c>
      <c r="C1064" t="s">
        <v>124</v>
      </c>
      <c r="D1064" t="s">
        <v>583</v>
      </c>
      <c r="E1064" t="s">
        <v>583</v>
      </c>
      <c r="F1064" s="705">
        <v>110</v>
      </c>
      <c r="G1064" s="705">
        <v>10566</v>
      </c>
      <c r="H1064" s="705">
        <v>58032</v>
      </c>
      <c r="I1064" s="705">
        <v>3800779</v>
      </c>
      <c r="J1064" s="705">
        <v>3455254</v>
      </c>
      <c r="K1064" s="705">
        <v>71</v>
      </c>
      <c r="L1064" s="705">
        <v>753492</v>
      </c>
      <c r="M1064" s="705">
        <v>642930</v>
      </c>
      <c r="N1064" s="705">
        <v>236725</v>
      </c>
      <c r="O1064" s="705">
        <v>87676</v>
      </c>
      <c r="P1064" s="705">
        <v>70268</v>
      </c>
      <c r="Q1064" s="705">
        <v>26025</v>
      </c>
      <c r="R1064" s="705">
        <v>617206</v>
      </c>
      <c r="S1064" s="705">
        <v>561097</v>
      </c>
      <c r="T1064" s="705">
        <v>135541</v>
      </c>
      <c r="U1064" s="705">
        <v>50200</v>
      </c>
      <c r="V1064" s="705">
        <v>4823182</v>
      </c>
      <c r="W1064" s="705">
        <f t="shared" si="52"/>
        <v>4823182</v>
      </c>
      <c r="X1064" s="705">
        <f t="shared" si="53"/>
        <v>5614011</v>
      </c>
    </row>
    <row r="1065" spans="2:35">
      <c r="B1065" t="s">
        <v>541</v>
      </c>
      <c r="C1065" t="s">
        <v>124</v>
      </c>
      <c r="D1065" t="s">
        <v>666</v>
      </c>
      <c r="E1065" t="s">
        <v>228</v>
      </c>
      <c r="F1065" s="705">
        <v>1</v>
      </c>
      <c r="G1065" s="705">
        <v>52</v>
      </c>
      <c r="H1065" s="705">
        <v>1581</v>
      </c>
      <c r="I1065" s="705">
        <v>71521</v>
      </c>
      <c r="J1065" s="705">
        <v>65019</v>
      </c>
      <c r="K1065" s="705">
        <v>30</v>
      </c>
      <c r="L1065" s="705">
        <v>5852</v>
      </c>
      <c r="M1065" s="705">
        <v>2167</v>
      </c>
      <c r="N1065" s="705">
        <v>1274</v>
      </c>
      <c r="O1065" s="705">
        <v>472</v>
      </c>
      <c r="P1065" s="705">
        <v>0</v>
      </c>
      <c r="Q1065" s="705">
        <v>0</v>
      </c>
      <c r="R1065" s="705">
        <v>4043</v>
      </c>
      <c r="S1065" s="705">
        <v>1497</v>
      </c>
      <c r="T1065" s="705">
        <v>0</v>
      </c>
      <c r="U1065" s="705">
        <v>0</v>
      </c>
      <c r="V1065" s="705">
        <v>69156</v>
      </c>
      <c r="W1065" s="705">
        <f t="shared" si="52"/>
        <v>69155</v>
      </c>
      <c r="X1065" s="705">
        <f t="shared" si="53"/>
        <v>82690</v>
      </c>
    </row>
    <row r="1066" spans="2:35">
      <c r="B1066" t="s">
        <v>541</v>
      </c>
      <c r="C1066" t="s">
        <v>124</v>
      </c>
      <c r="D1066" t="s">
        <v>666</v>
      </c>
      <c r="E1066" t="s">
        <v>666</v>
      </c>
      <c r="F1066" s="705">
        <v>21</v>
      </c>
      <c r="G1066" s="705">
        <v>1603</v>
      </c>
      <c r="H1066" s="705">
        <v>12326</v>
      </c>
      <c r="I1066" s="705">
        <v>671050</v>
      </c>
      <c r="J1066" s="705">
        <v>610045</v>
      </c>
      <c r="K1066" s="705">
        <v>48</v>
      </c>
      <c r="L1066" s="705">
        <v>65863</v>
      </c>
      <c r="M1066" s="705">
        <v>55040</v>
      </c>
      <c r="N1066" s="705">
        <v>36310</v>
      </c>
      <c r="O1066" s="705">
        <v>13448</v>
      </c>
      <c r="P1066" s="705">
        <v>7020</v>
      </c>
      <c r="Q1066" s="705">
        <v>2600</v>
      </c>
      <c r="R1066" s="705">
        <v>140999</v>
      </c>
      <c r="S1066" s="705">
        <v>128180</v>
      </c>
      <c r="T1066" s="705">
        <v>36808</v>
      </c>
      <c r="U1066" s="705">
        <v>13632</v>
      </c>
      <c r="V1066" s="705">
        <v>822947</v>
      </c>
      <c r="W1066" s="705">
        <f t="shared" si="52"/>
        <v>822945</v>
      </c>
      <c r="X1066" s="705">
        <f t="shared" si="53"/>
        <v>958050</v>
      </c>
    </row>
    <row r="1067" spans="2:35">
      <c r="B1067" t="s">
        <v>541</v>
      </c>
      <c r="C1067" t="s">
        <v>124</v>
      </c>
      <c r="D1067" t="s">
        <v>669</v>
      </c>
      <c r="E1067" t="s">
        <v>228</v>
      </c>
      <c r="F1067" s="705">
        <v>12</v>
      </c>
      <c r="G1067" s="705">
        <v>763</v>
      </c>
      <c r="H1067" s="705">
        <v>12218</v>
      </c>
      <c r="I1067" s="705">
        <v>632706</v>
      </c>
      <c r="J1067" s="705">
        <v>527255</v>
      </c>
      <c r="K1067" s="705">
        <v>40</v>
      </c>
      <c r="L1067" s="705">
        <v>35983</v>
      </c>
      <c r="M1067" s="705">
        <v>19072</v>
      </c>
      <c r="N1067" s="705">
        <v>16123</v>
      </c>
      <c r="O1067" s="705">
        <v>5971</v>
      </c>
      <c r="P1067" s="705">
        <v>0</v>
      </c>
      <c r="Q1067" s="705">
        <v>0</v>
      </c>
      <c r="R1067" s="705">
        <v>81406</v>
      </c>
      <c r="S1067" s="705">
        <v>30150</v>
      </c>
      <c r="T1067" s="705">
        <v>0</v>
      </c>
      <c r="U1067" s="705">
        <v>0</v>
      </c>
      <c r="V1067" s="705">
        <v>582449</v>
      </c>
      <c r="W1067" s="705">
        <f t="shared" ref="W1067:W1130" si="54">SUM(ABS(J1067),ABS(M1067),ABS(O1067),ABS(Q1067),ABS(S1067),ABS(U1067))</f>
        <v>582448</v>
      </c>
      <c r="X1067" s="705">
        <f t="shared" ref="X1067:X1130" si="55">SUM(ABS(I1067),ABS(N1067),ABS(P1067),ABS(R1067),ABS(T1067),ABS(L1067))</f>
        <v>766218</v>
      </c>
    </row>
    <row r="1068" spans="2:35">
      <c r="B1068" t="s">
        <v>541</v>
      </c>
      <c r="C1068" t="s">
        <v>124</v>
      </c>
      <c r="D1068" t="s">
        <v>669</v>
      </c>
      <c r="E1068" t="s">
        <v>669</v>
      </c>
      <c r="F1068" s="705">
        <v>25</v>
      </c>
      <c r="G1068" s="705">
        <v>1659</v>
      </c>
      <c r="H1068" s="705">
        <v>16294</v>
      </c>
      <c r="I1068" s="705">
        <v>786078</v>
      </c>
      <c r="J1068" s="705">
        <v>655065</v>
      </c>
      <c r="K1068" s="705">
        <v>50</v>
      </c>
      <c r="L1068" s="705">
        <v>78228</v>
      </c>
      <c r="M1068" s="705">
        <v>55538</v>
      </c>
      <c r="N1068" s="705">
        <v>35687</v>
      </c>
      <c r="O1068" s="705">
        <v>13218</v>
      </c>
      <c r="P1068" s="705">
        <v>8343</v>
      </c>
      <c r="Q1068" s="705">
        <v>3090</v>
      </c>
      <c r="R1068" s="705">
        <v>163519</v>
      </c>
      <c r="S1068" s="705">
        <v>136266</v>
      </c>
      <c r="T1068" s="705">
        <v>45784</v>
      </c>
      <c r="U1068" s="705">
        <v>16957</v>
      </c>
      <c r="V1068" s="705">
        <v>880133</v>
      </c>
      <c r="W1068" s="705">
        <f t="shared" si="54"/>
        <v>880134</v>
      </c>
      <c r="X1068" s="705">
        <f t="shared" si="55"/>
        <v>1117639</v>
      </c>
    </row>
    <row r="1069" spans="2:35">
      <c r="B1069" t="s">
        <v>541</v>
      </c>
      <c r="C1069" t="s">
        <v>124</v>
      </c>
      <c r="D1069" t="s">
        <v>669</v>
      </c>
      <c r="E1069" t="s">
        <v>665</v>
      </c>
      <c r="F1069" s="705">
        <v>1</v>
      </c>
      <c r="G1069" s="705">
        <v>63</v>
      </c>
      <c r="H1069" s="705">
        <v>504</v>
      </c>
      <c r="I1069" s="705">
        <v>28323</v>
      </c>
      <c r="J1069" s="705">
        <v>23603</v>
      </c>
      <c r="K1069" s="705">
        <v>30</v>
      </c>
      <c r="L1069" s="705">
        <v>0</v>
      </c>
      <c r="M1069" s="705">
        <v>0</v>
      </c>
      <c r="N1069" s="705">
        <v>1533</v>
      </c>
      <c r="O1069" s="705">
        <v>568</v>
      </c>
      <c r="P1069" s="705">
        <v>0</v>
      </c>
      <c r="Q1069" s="705">
        <v>0</v>
      </c>
      <c r="R1069" s="705">
        <v>1834</v>
      </c>
      <c r="S1069" s="705">
        <v>1667</v>
      </c>
      <c r="T1069" s="705">
        <v>0</v>
      </c>
      <c r="U1069" s="705">
        <v>0</v>
      </c>
      <c r="V1069" s="705">
        <v>25838</v>
      </c>
      <c r="W1069" s="705">
        <f t="shared" si="54"/>
        <v>25838</v>
      </c>
      <c r="X1069" s="705">
        <f t="shared" si="55"/>
        <v>31690</v>
      </c>
    </row>
    <row r="1070" spans="2:35">
      <c r="B1070" t="s">
        <v>541</v>
      </c>
      <c r="C1070" t="s">
        <v>124</v>
      </c>
      <c r="D1070" t="s">
        <v>667</v>
      </c>
      <c r="E1070" t="s">
        <v>667</v>
      </c>
      <c r="F1070" s="705">
        <v>1</v>
      </c>
      <c r="G1070" s="705">
        <v>64</v>
      </c>
      <c r="H1070" s="705">
        <v>589</v>
      </c>
      <c r="I1070" s="705">
        <v>29360</v>
      </c>
      <c r="J1070" s="705">
        <v>26690</v>
      </c>
      <c r="K1070" s="705">
        <v>55</v>
      </c>
      <c r="L1070" s="705">
        <v>1794</v>
      </c>
      <c r="M1070" s="705">
        <v>1631</v>
      </c>
      <c r="N1070" s="705">
        <v>782</v>
      </c>
      <c r="O1070" s="705">
        <v>290</v>
      </c>
      <c r="P1070" s="705">
        <v>351</v>
      </c>
      <c r="Q1070" s="705">
        <v>130</v>
      </c>
      <c r="R1070" s="705">
        <v>3333</v>
      </c>
      <c r="S1070" s="705">
        <v>3030</v>
      </c>
      <c r="T1070" s="705">
        <v>2216</v>
      </c>
      <c r="U1070" s="705">
        <v>821</v>
      </c>
      <c r="V1070" s="705">
        <v>32592</v>
      </c>
      <c r="W1070" s="705">
        <f t="shared" si="54"/>
        <v>32592</v>
      </c>
      <c r="X1070" s="705">
        <f t="shared" si="55"/>
        <v>37836</v>
      </c>
    </row>
    <row r="1071" spans="2:35">
      <c r="B1071" t="s">
        <v>541</v>
      </c>
      <c r="C1071" t="s">
        <v>124</v>
      </c>
      <c r="D1071" t="s">
        <v>671</v>
      </c>
      <c r="E1071" t="s">
        <v>671</v>
      </c>
      <c r="F1071" s="705">
        <v>1</v>
      </c>
      <c r="G1071" s="705">
        <v>58</v>
      </c>
      <c r="H1071" s="705">
        <v>518</v>
      </c>
      <c r="I1071" s="705">
        <v>18186</v>
      </c>
      <c r="J1071" s="705">
        <v>16532</v>
      </c>
      <c r="K1071" s="705">
        <v>45</v>
      </c>
      <c r="L1071" s="705">
        <v>3031</v>
      </c>
      <c r="M1071" s="705">
        <v>2755</v>
      </c>
      <c r="N1071" s="705">
        <v>1210</v>
      </c>
      <c r="O1071" s="705">
        <v>448</v>
      </c>
      <c r="P1071" s="705">
        <v>351</v>
      </c>
      <c r="Q1071" s="705">
        <v>130</v>
      </c>
      <c r="R1071" s="705">
        <v>5423</v>
      </c>
      <c r="S1071" s="705">
        <v>4930</v>
      </c>
      <c r="T1071" s="705">
        <v>1863</v>
      </c>
      <c r="U1071" s="705">
        <v>690</v>
      </c>
      <c r="V1071" s="705">
        <v>25486</v>
      </c>
      <c r="W1071" s="705">
        <f t="shared" si="54"/>
        <v>25485</v>
      </c>
      <c r="X1071" s="705">
        <f t="shared" si="55"/>
        <v>30064</v>
      </c>
    </row>
    <row r="1072" spans="2:35">
      <c r="B1072" t="s">
        <v>541</v>
      </c>
      <c r="C1072" t="s">
        <v>124</v>
      </c>
      <c r="D1072" t="s">
        <v>665</v>
      </c>
      <c r="E1072" t="s">
        <v>228</v>
      </c>
      <c r="F1072" s="705">
        <v>30</v>
      </c>
      <c r="G1072" s="705">
        <v>2924</v>
      </c>
      <c r="H1072" s="705">
        <v>22974</v>
      </c>
      <c r="I1072" s="705">
        <v>1764459</v>
      </c>
      <c r="J1072" s="705">
        <v>1604053</v>
      </c>
      <c r="K1072" s="705">
        <v>43</v>
      </c>
      <c r="L1072" s="705">
        <v>159353</v>
      </c>
      <c r="M1072" s="705">
        <v>90763</v>
      </c>
      <c r="N1072" s="705">
        <v>67924</v>
      </c>
      <c r="O1072" s="705">
        <v>25157</v>
      </c>
      <c r="P1072" s="705">
        <v>2808</v>
      </c>
      <c r="Q1072" s="705">
        <v>1040</v>
      </c>
      <c r="R1072" s="705">
        <v>240351</v>
      </c>
      <c r="S1072" s="705">
        <v>89019</v>
      </c>
      <c r="T1072" s="705">
        <v>1969</v>
      </c>
      <c r="U1072" s="705">
        <v>729</v>
      </c>
      <c r="V1072" s="705">
        <v>1810762</v>
      </c>
      <c r="W1072" s="705">
        <f t="shared" si="54"/>
        <v>1810761</v>
      </c>
      <c r="X1072" s="705">
        <f t="shared" si="55"/>
        <v>2236864</v>
      </c>
    </row>
    <row r="1073" spans="2:24">
      <c r="B1073" t="s">
        <v>541</v>
      </c>
      <c r="C1073" t="s">
        <v>124</v>
      </c>
      <c r="D1073" t="s">
        <v>665</v>
      </c>
      <c r="E1073" t="s">
        <v>665</v>
      </c>
      <c r="F1073" s="705">
        <v>85</v>
      </c>
      <c r="G1073" s="705">
        <v>5737</v>
      </c>
      <c r="H1073" s="705">
        <v>50033</v>
      </c>
      <c r="I1073" s="705">
        <v>2368947</v>
      </c>
      <c r="J1073" s="705">
        <v>2153588</v>
      </c>
      <c r="K1073" s="705">
        <v>51</v>
      </c>
      <c r="L1073" s="705">
        <v>314693</v>
      </c>
      <c r="M1073" s="705">
        <v>199458</v>
      </c>
      <c r="N1073" s="705">
        <v>124400</v>
      </c>
      <c r="O1073" s="705">
        <v>46074</v>
      </c>
      <c r="P1073" s="705">
        <v>25700</v>
      </c>
      <c r="Q1073" s="705">
        <v>9519</v>
      </c>
      <c r="R1073" s="705">
        <v>513267</v>
      </c>
      <c r="S1073" s="705">
        <v>466607</v>
      </c>
      <c r="T1073" s="705">
        <v>169506</v>
      </c>
      <c r="U1073" s="705">
        <v>62780</v>
      </c>
      <c r="V1073" s="705">
        <v>2938026</v>
      </c>
      <c r="W1073" s="705">
        <f t="shared" si="54"/>
        <v>2938026</v>
      </c>
      <c r="X1073" s="705">
        <f t="shared" si="55"/>
        <v>3516513</v>
      </c>
    </row>
    <row r="1074" spans="2:24">
      <c r="B1074" t="s">
        <v>541</v>
      </c>
      <c r="C1074" t="s">
        <v>124</v>
      </c>
      <c r="D1074" t="s">
        <v>673</v>
      </c>
      <c r="E1074" t="s">
        <v>228</v>
      </c>
      <c r="F1074" s="705">
        <v>2</v>
      </c>
      <c r="G1074" s="705">
        <v>222</v>
      </c>
      <c r="H1074" s="705">
        <v>1886</v>
      </c>
      <c r="I1074" s="705">
        <v>161999</v>
      </c>
      <c r="J1074" s="705">
        <v>147272</v>
      </c>
      <c r="K1074" s="705">
        <v>30</v>
      </c>
      <c r="L1074" s="705">
        <v>16617</v>
      </c>
      <c r="M1074" s="705">
        <v>13025</v>
      </c>
      <c r="N1074" s="705">
        <v>5413</v>
      </c>
      <c r="O1074" s="705">
        <v>2005</v>
      </c>
      <c r="P1074" s="705">
        <v>0</v>
      </c>
      <c r="Q1074" s="705">
        <v>0</v>
      </c>
      <c r="R1074" s="705">
        <v>12497</v>
      </c>
      <c r="S1074" s="705">
        <v>4629</v>
      </c>
      <c r="T1074" s="705">
        <v>0</v>
      </c>
      <c r="U1074" s="705">
        <v>0</v>
      </c>
      <c r="V1074" s="705">
        <v>166931</v>
      </c>
      <c r="W1074" s="705">
        <f t="shared" si="54"/>
        <v>166931</v>
      </c>
      <c r="X1074" s="705">
        <f t="shared" si="55"/>
        <v>196526</v>
      </c>
    </row>
    <row r="1075" spans="2:24">
      <c r="B1075" t="s">
        <v>541</v>
      </c>
      <c r="C1075" t="s">
        <v>124</v>
      </c>
      <c r="D1075" t="s">
        <v>673</v>
      </c>
      <c r="E1075" t="s">
        <v>673</v>
      </c>
      <c r="F1075" s="705">
        <v>1</v>
      </c>
      <c r="G1075" s="705">
        <v>61</v>
      </c>
      <c r="H1075" s="705">
        <v>1114</v>
      </c>
      <c r="I1075" s="705">
        <v>50754</v>
      </c>
      <c r="J1075" s="705">
        <v>46140</v>
      </c>
      <c r="K1075" s="705">
        <v>45</v>
      </c>
      <c r="L1075" s="705">
        <v>8459</v>
      </c>
      <c r="M1075" s="705">
        <v>7690</v>
      </c>
      <c r="N1075" s="705">
        <v>1481</v>
      </c>
      <c r="O1075" s="705">
        <v>548</v>
      </c>
      <c r="P1075" s="705">
        <v>0</v>
      </c>
      <c r="Q1075" s="705">
        <v>0</v>
      </c>
      <c r="R1075" s="705">
        <v>6974</v>
      </c>
      <c r="S1075" s="705">
        <v>6340</v>
      </c>
      <c r="T1075" s="705">
        <v>0</v>
      </c>
      <c r="U1075" s="705">
        <v>0</v>
      </c>
      <c r="V1075" s="705">
        <v>60718</v>
      </c>
      <c r="W1075" s="705">
        <f t="shared" si="54"/>
        <v>60718</v>
      </c>
      <c r="X1075" s="705">
        <f t="shared" si="55"/>
        <v>67668</v>
      </c>
    </row>
    <row r="1076" spans="2:24">
      <c r="B1076" t="s">
        <v>542</v>
      </c>
      <c r="C1076" t="s">
        <v>108</v>
      </c>
      <c r="D1076" t="s">
        <v>582</v>
      </c>
      <c r="E1076" t="s">
        <v>582</v>
      </c>
      <c r="F1076" s="705">
        <v>10</v>
      </c>
      <c r="G1076" s="705">
        <v>1397</v>
      </c>
      <c r="H1076" s="705">
        <v>560</v>
      </c>
      <c r="I1076" s="705">
        <v>11442</v>
      </c>
      <c r="J1076" s="705">
        <v>10402</v>
      </c>
      <c r="K1076" s="705">
        <v>92</v>
      </c>
      <c r="L1076" s="705">
        <v>1568</v>
      </c>
      <c r="M1076" s="705">
        <v>1425</v>
      </c>
      <c r="N1076" s="705">
        <v>17017</v>
      </c>
      <c r="O1076" s="705">
        <v>6303</v>
      </c>
      <c r="P1076" s="705">
        <v>4725</v>
      </c>
      <c r="Q1076" s="705">
        <v>1750</v>
      </c>
      <c r="R1076" s="705">
        <v>43518</v>
      </c>
      <c r="S1076" s="705">
        <v>39562</v>
      </c>
      <c r="T1076" s="705">
        <v>0</v>
      </c>
      <c r="U1076" s="705">
        <v>0</v>
      </c>
      <c r="V1076" s="705">
        <v>59442</v>
      </c>
      <c r="W1076" s="705">
        <f t="shared" si="54"/>
        <v>59442</v>
      </c>
      <c r="X1076" s="705">
        <f t="shared" si="55"/>
        <v>78270</v>
      </c>
    </row>
    <row r="1077" spans="2:24">
      <c r="B1077" t="s">
        <v>542</v>
      </c>
      <c r="C1077" t="s">
        <v>108</v>
      </c>
      <c r="D1077" t="s">
        <v>228</v>
      </c>
      <c r="E1077" t="s">
        <v>228</v>
      </c>
      <c r="F1077" s="705">
        <v>1402</v>
      </c>
      <c r="G1077" s="705">
        <v>174630</v>
      </c>
      <c r="H1077" s="705">
        <v>70963</v>
      </c>
      <c r="I1077" s="705">
        <v>176422</v>
      </c>
      <c r="J1077" s="705">
        <v>65342</v>
      </c>
      <c r="K1077" s="705">
        <v>464</v>
      </c>
      <c r="L1077" s="705">
        <v>5381</v>
      </c>
      <c r="M1077" s="705">
        <v>-3773</v>
      </c>
      <c r="N1077" s="705">
        <v>2243156</v>
      </c>
      <c r="O1077" s="705">
        <v>830798</v>
      </c>
      <c r="P1077" s="705">
        <v>1019184</v>
      </c>
      <c r="Q1077" s="705">
        <v>377476</v>
      </c>
      <c r="R1077" s="705">
        <v>5328501</v>
      </c>
      <c r="S1077" s="705">
        <v>1973519</v>
      </c>
      <c r="T1077" s="705">
        <v>0</v>
      </c>
      <c r="U1077" s="705">
        <v>0</v>
      </c>
      <c r="V1077" s="705">
        <v>3243361</v>
      </c>
      <c r="W1077" s="705">
        <f t="shared" si="54"/>
        <v>3250908</v>
      </c>
      <c r="X1077" s="705">
        <f t="shared" si="55"/>
        <v>8772644</v>
      </c>
    </row>
    <row r="1078" spans="2:24">
      <c r="B1078" t="s">
        <v>542</v>
      </c>
      <c r="C1078" t="s">
        <v>108</v>
      </c>
      <c r="D1078" t="s">
        <v>583</v>
      </c>
      <c r="E1078" t="s">
        <v>583</v>
      </c>
      <c r="F1078" s="705">
        <v>31</v>
      </c>
      <c r="G1078" s="705">
        <v>3571</v>
      </c>
      <c r="H1078" s="705">
        <v>1757</v>
      </c>
      <c r="I1078" s="705">
        <v>34077</v>
      </c>
      <c r="J1078" s="705">
        <v>30979</v>
      </c>
      <c r="K1078" s="705">
        <v>95</v>
      </c>
      <c r="L1078" s="705">
        <v>3346</v>
      </c>
      <c r="M1078" s="705">
        <v>2471</v>
      </c>
      <c r="N1078" s="705">
        <v>43508</v>
      </c>
      <c r="O1078" s="705">
        <v>16114</v>
      </c>
      <c r="P1078" s="705">
        <v>19602</v>
      </c>
      <c r="Q1078" s="705">
        <v>7260</v>
      </c>
      <c r="R1078" s="705">
        <v>100939</v>
      </c>
      <c r="S1078" s="705">
        <v>91762</v>
      </c>
      <c r="T1078" s="705">
        <v>0</v>
      </c>
      <c r="U1078" s="705">
        <v>0</v>
      </c>
      <c r="V1078" s="705">
        <v>148586</v>
      </c>
      <c r="W1078" s="705">
        <f t="shared" si="54"/>
        <v>148586</v>
      </c>
      <c r="X1078" s="705">
        <f t="shared" si="55"/>
        <v>201472</v>
      </c>
    </row>
    <row r="1079" spans="2:24">
      <c r="B1079" t="s">
        <v>542</v>
      </c>
      <c r="C1079" t="s">
        <v>108</v>
      </c>
      <c r="D1079" t="s">
        <v>584</v>
      </c>
      <c r="E1079" t="s">
        <v>582</v>
      </c>
      <c r="F1079" s="705">
        <v>2</v>
      </c>
      <c r="G1079" s="705">
        <v>264</v>
      </c>
      <c r="H1079" s="705">
        <v>103</v>
      </c>
      <c r="I1079" s="705">
        <v>-1353</v>
      </c>
      <c r="J1079" s="705">
        <v>-1230</v>
      </c>
      <c r="K1079" s="705">
        <v>90</v>
      </c>
      <c r="L1079" s="705">
        <v>-176</v>
      </c>
      <c r="M1079" s="705">
        <v>-160</v>
      </c>
      <c r="N1079" s="705">
        <v>3213</v>
      </c>
      <c r="O1079" s="705">
        <v>1190</v>
      </c>
      <c r="P1079" s="705">
        <v>945</v>
      </c>
      <c r="Q1079" s="705">
        <v>350</v>
      </c>
      <c r="R1079" s="705">
        <v>11004</v>
      </c>
      <c r="S1079" s="705">
        <v>10004</v>
      </c>
      <c r="T1079" s="705">
        <v>0</v>
      </c>
      <c r="U1079" s="705">
        <v>0</v>
      </c>
      <c r="V1079" s="705">
        <v>10154</v>
      </c>
      <c r="W1079" s="705">
        <f t="shared" si="54"/>
        <v>12934</v>
      </c>
      <c r="X1079" s="705">
        <f t="shared" si="55"/>
        <v>16691</v>
      </c>
    </row>
    <row r="1080" spans="2:24">
      <c r="B1080" t="s">
        <v>542</v>
      </c>
      <c r="C1080" t="s">
        <v>108</v>
      </c>
      <c r="D1080" t="s">
        <v>584</v>
      </c>
      <c r="E1080" t="s">
        <v>584</v>
      </c>
      <c r="F1080" s="705">
        <v>2050</v>
      </c>
      <c r="G1080" s="705">
        <v>251987</v>
      </c>
      <c r="H1080" s="705">
        <v>115088</v>
      </c>
      <c r="I1080" s="705">
        <v>1157272</v>
      </c>
      <c r="J1080" s="705">
        <v>1052065</v>
      </c>
      <c r="K1080" s="705">
        <v>91</v>
      </c>
      <c r="L1080" s="705">
        <v>149308</v>
      </c>
      <c r="M1080" s="705">
        <v>129813</v>
      </c>
      <c r="N1080" s="705">
        <v>3098318</v>
      </c>
      <c r="O1080" s="705">
        <v>1147525</v>
      </c>
      <c r="P1080" s="705">
        <v>2024544</v>
      </c>
      <c r="Q1080" s="705">
        <v>749831</v>
      </c>
      <c r="R1080" s="705">
        <v>7708339</v>
      </c>
      <c r="S1080" s="705">
        <v>7007581</v>
      </c>
      <c r="T1080" s="705">
        <v>0</v>
      </c>
      <c r="U1080" s="705">
        <v>0</v>
      </c>
      <c r="V1080" s="705">
        <v>10086815</v>
      </c>
      <c r="W1080" s="705">
        <f t="shared" si="54"/>
        <v>10086815</v>
      </c>
      <c r="X1080" s="705">
        <f t="shared" si="55"/>
        <v>14137781</v>
      </c>
    </row>
    <row r="1081" spans="2:24">
      <c r="B1081" t="s">
        <v>542</v>
      </c>
      <c r="C1081" t="s">
        <v>110</v>
      </c>
      <c r="D1081" t="s">
        <v>582</v>
      </c>
      <c r="E1081" t="s">
        <v>582</v>
      </c>
      <c r="F1081" s="705">
        <v>8</v>
      </c>
      <c r="G1081" s="705">
        <v>413</v>
      </c>
      <c r="H1081" s="705">
        <v>623</v>
      </c>
      <c r="I1081" s="705">
        <v>2745</v>
      </c>
      <c r="J1081" s="705">
        <v>2496</v>
      </c>
      <c r="K1081" s="705">
        <v>92</v>
      </c>
      <c r="L1081" s="705">
        <v>0</v>
      </c>
      <c r="M1081" s="705">
        <v>0</v>
      </c>
      <c r="N1081" s="705">
        <v>5028</v>
      </c>
      <c r="O1081" s="705">
        <v>1862</v>
      </c>
      <c r="P1081" s="705">
        <v>3780</v>
      </c>
      <c r="Q1081" s="705">
        <v>1400</v>
      </c>
      <c r="R1081" s="705">
        <v>20520</v>
      </c>
      <c r="S1081" s="705">
        <v>18654</v>
      </c>
      <c r="T1081" s="705">
        <v>0</v>
      </c>
      <c r="U1081" s="705">
        <v>0</v>
      </c>
      <c r="V1081" s="705">
        <v>24412</v>
      </c>
      <c r="W1081" s="705">
        <f t="shared" si="54"/>
        <v>24412</v>
      </c>
      <c r="X1081" s="705">
        <f t="shared" si="55"/>
        <v>32073</v>
      </c>
    </row>
    <row r="1082" spans="2:24">
      <c r="B1082" t="s">
        <v>542</v>
      </c>
      <c r="C1082" t="s">
        <v>110</v>
      </c>
      <c r="D1082" t="s">
        <v>228</v>
      </c>
      <c r="E1082" t="s">
        <v>228</v>
      </c>
      <c r="F1082" s="705">
        <v>2</v>
      </c>
      <c r="G1082" s="705">
        <v>378</v>
      </c>
      <c r="H1082" s="705">
        <v>189</v>
      </c>
      <c r="I1082" s="705">
        <v>9697</v>
      </c>
      <c r="J1082" s="705">
        <v>3591</v>
      </c>
      <c r="K1082" s="705">
        <v>440</v>
      </c>
      <c r="L1082" s="705">
        <v>3999</v>
      </c>
      <c r="M1082" s="705">
        <v>3576</v>
      </c>
      <c r="N1082" s="705">
        <v>5214</v>
      </c>
      <c r="O1082" s="705">
        <v>1931</v>
      </c>
      <c r="P1082" s="705">
        <v>3671</v>
      </c>
      <c r="Q1082" s="705">
        <v>1360</v>
      </c>
      <c r="R1082" s="705">
        <v>13587</v>
      </c>
      <c r="S1082" s="705">
        <v>5032</v>
      </c>
      <c r="T1082" s="705">
        <v>0</v>
      </c>
      <c r="U1082" s="705">
        <v>0</v>
      </c>
      <c r="V1082" s="705">
        <v>15491</v>
      </c>
      <c r="W1082" s="705">
        <f t="shared" si="54"/>
        <v>15490</v>
      </c>
      <c r="X1082" s="705">
        <f t="shared" si="55"/>
        <v>36168</v>
      </c>
    </row>
    <row r="1083" spans="2:24">
      <c r="B1083" t="s">
        <v>542</v>
      </c>
      <c r="C1083" t="s">
        <v>110</v>
      </c>
      <c r="D1083" t="s">
        <v>583</v>
      </c>
      <c r="E1083" t="s">
        <v>583</v>
      </c>
      <c r="F1083" s="705">
        <v>26</v>
      </c>
      <c r="G1083" s="705">
        <v>3366</v>
      </c>
      <c r="H1083" s="705">
        <v>2341</v>
      </c>
      <c r="I1083" s="705">
        <v>126638</v>
      </c>
      <c r="J1083" s="705">
        <v>115126</v>
      </c>
      <c r="K1083" s="705">
        <v>93</v>
      </c>
      <c r="L1083" s="705">
        <v>12717</v>
      </c>
      <c r="M1083" s="705">
        <v>11474</v>
      </c>
      <c r="N1083" s="705">
        <v>44111</v>
      </c>
      <c r="O1083" s="705">
        <v>16337</v>
      </c>
      <c r="P1083" s="705">
        <v>17013</v>
      </c>
      <c r="Q1083" s="705">
        <v>6301</v>
      </c>
      <c r="R1083" s="705">
        <v>86390</v>
      </c>
      <c r="S1083" s="705">
        <v>78536</v>
      </c>
      <c r="T1083" s="705">
        <v>14930</v>
      </c>
      <c r="U1083" s="705">
        <v>5530</v>
      </c>
      <c r="V1083" s="705">
        <v>233305</v>
      </c>
      <c r="W1083" s="705">
        <f t="shared" si="54"/>
        <v>233304</v>
      </c>
      <c r="X1083" s="705">
        <f t="shared" si="55"/>
        <v>301799</v>
      </c>
    </row>
    <row r="1084" spans="2:24">
      <c r="B1084" t="s">
        <v>542</v>
      </c>
      <c r="C1084" t="s">
        <v>110</v>
      </c>
      <c r="D1084" t="s">
        <v>584</v>
      </c>
      <c r="E1084" t="s">
        <v>584</v>
      </c>
      <c r="F1084" s="705">
        <v>177</v>
      </c>
      <c r="G1084" s="705">
        <v>21514</v>
      </c>
      <c r="H1084" s="705">
        <v>15254</v>
      </c>
      <c r="I1084" s="705">
        <v>901907</v>
      </c>
      <c r="J1084" s="705">
        <v>819916</v>
      </c>
      <c r="K1084" s="705">
        <v>91</v>
      </c>
      <c r="L1084" s="705">
        <v>93803</v>
      </c>
      <c r="M1084" s="705">
        <v>84086</v>
      </c>
      <c r="N1084" s="705">
        <v>270341</v>
      </c>
      <c r="O1084" s="705">
        <v>100126</v>
      </c>
      <c r="P1084" s="705">
        <v>84677</v>
      </c>
      <c r="Q1084" s="705">
        <v>31362</v>
      </c>
      <c r="R1084" s="705">
        <v>476906</v>
      </c>
      <c r="S1084" s="705">
        <v>433551</v>
      </c>
      <c r="T1084" s="705">
        <v>28572</v>
      </c>
      <c r="U1084" s="705">
        <v>10582</v>
      </c>
      <c r="V1084" s="705">
        <v>1479623</v>
      </c>
      <c r="W1084" s="705">
        <f t="shared" si="54"/>
        <v>1479623</v>
      </c>
      <c r="X1084" s="705">
        <f t="shared" si="55"/>
        <v>1856206</v>
      </c>
    </row>
    <row r="1085" spans="2:24">
      <c r="B1085" t="s">
        <v>542</v>
      </c>
      <c r="C1085" t="s">
        <v>112</v>
      </c>
      <c r="D1085" t="s">
        <v>582</v>
      </c>
      <c r="E1085" t="s">
        <v>582</v>
      </c>
      <c r="F1085" s="705">
        <v>19</v>
      </c>
      <c r="G1085" s="705">
        <v>1892</v>
      </c>
      <c r="H1085" s="705">
        <v>2242</v>
      </c>
      <c r="I1085" s="705">
        <v>101371</v>
      </c>
      <c r="J1085" s="705">
        <v>92155</v>
      </c>
      <c r="K1085" s="705">
        <v>85</v>
      </c>
      <c r="L1085" s="705">
        <v>1885</v>
      </c>
      <c r="M1085" s="705">
        <v>1713</v>
      </c>
      <c r="N1085" s="705">
        <v>25483</v>
      </c>
      <c r="O1085" s="705">
        <v>9438</v>
      </c>
      <c r="P1085" s="705">
        <v>8613</v>
      </c>
      <c r="Q1085" s="705">
        <v>3190</v>
      </c>
      <c r="R1085" s="705">
        <v>86387</v>
      </c>
      <c r="S1085" s="705">
        <v>78533</v>
      </c>
      <c r="T1085" s="705">
        <v>0</v>
      </c>
      <c r="U1085" s="705">
        <v>0</v>
      </c>
      <c r="V1085" s="705">
        <v>185030</v>
      </c>
      <c r="W1085" s="705">
        <f t="shared" si="54"/>
        <v>185029</v>
      </c>
      <c r="X1085" s="705">
        <f t="shared" si="55"/>
        <v>223739</v>
      </c>
    </row>
    <row r="1086" spans="2:24">
      <c r="B1086" t="s">
        <v>542</v>
      </c>
      <c r="C1086" t="s">
        <v>112</v>
      </c>
      <c r="D1086" t="s">
        <v>228</v>
      </c>
      <c r="E1086" t="s">
        <v>228</v>
      </c>
      <c r="F1086" s="705">
        <v>4</v>
      </c>
      <c r="G1086" s="705">
        <v>432</v>
      </c>
      <c r="H1086" s="705">
        <v>430</v>
      </c>
      <c r="I1086" s="705">
        <v>13194</v>
      </c>
      <c r="J1086" s="705">
        <v>4887</v>
      </c>
      <c r="K1086" s="705">
        <v>297</v>
      </c>
      <c r="L1086" s="705">
        <v>2430</v>
      </c>
      <c r="M1086" s="705">
        <v>2209</v>
      </c>
      <c r="N1086" s="705">
        <v>6642</v>
      </c>
      <c r="O1086" s="705">
        <v>2460</v>
      </c>
      <c r="P1086" s="705">
        <v>3981</v>
      </c>
      <c r="Q1086" s="705">
        <v>1474</v>
      </c>
      <c r="R1086" s="705">
        <v>20494</v>
      </c>
      <c r="S1086" s="705">
        <v>7590</v>
      </c>
      <c r="T1086" s="705">
        <v>0</v>
      </c>
      <c r="U1086" s="705">
        <v>0</v>
      </c>
      <c r="V1086" s="705">
        <v>18621</v>
      </c>
      <c r="W1086" s="705">
        <f t="shared" si="54"/>
        <v>18620</v>
      </c>
      <c r="X1086" s="705">
        <f t="shared" si="55"/>
        <v>46741</v>
      </c>
    </row>
    <row r="1087" spans="2:24">
      <c r="B1087" t="s">
        <v>542</v>
      </c>
      <c r="C1087" t="s">
        <v>112</v>
      </c>
      <c r="D1087" t="s">
        <v>583</v>
      </c>
      <c r="E1087" t="s">
        <v>583</v>
      </c>
      <c r="F1087" s="705">
        <v>44</v>
      </c>
      <c r="G1087" s="705">
        <v>6169</v>
      </c>
      <c r="H1087" s="705">
        <v>5168</v>
      </c>
      <c r="I1087" s="705">
        <v>351313</v>
      </c>
      <c r="J1087" s="705">
        <v>319376</v>
      </c>
      <c r="K1087" s="705">
        <v>93</v>
      </c>
      <c r="L1087" s="705">
        <v>68852</v>
      </c>
      <c r="M1087" s="705">
        <v>59867</v>
      </c>
      <c r="N1087" s="705">
        <v>90014</v>
      </c>
      <c r="O1087" s="705">
        <v>33339</v>
      </c>
      <c r="P1087" s="705">
        <v>29430</v>
      </c>
      <c r="Q1087" s="705">
        <v>10900</v>
      </c>
      <c r="R1087" s="705">
        <v>182727</v>
      </c>
      <c r="S1087" s="705">
        <v>166115</v>
      </c>
      <c r="T1087" s="705">
        <v>3806</v>
      </c>
      <c r="U1087" s="705">
        <v>1409</v>
      </c>
      <c r="V1087" s="705">
        <v>591006</v>
      </c>
      <c r="W1087" s="705">
        <f t="shared" si="54"/>
        <v>591006</v>
      </c>
      <c r="X1087" s="705">
        <f t="shared" si="55"/>
        <v>726142</v>
      </c>
    </row>
    <row r="1088" spans="2:24">
      <c r="B1088" t="s">
        <v>542</v>
      </c>
      <c r="C1088" t="s">
        <v>112</v>
      </c>
      <c r="D1088" t="s">
        <v>584</v>
      </c>
      <c r="E1088" t="s">
        <v>584</v>
      </c>
      <c r="F1088" s="705">
        <v>235</v>
      </c>
      <c r="G1088" s="705">
        <v>28440</v>
      </c>
      <c r="H1088" s="705">
        <v>27403</v>
      </c>
      <c r="I1088" s="705">
        <v>1595713</v>
      </c>
      <c r="J1088" s="705">
        <v>1450649</v>
      </c>
      <c r="K1088" s="705">
        <v>88</v>
      </c>
      <c r="L1088" s="705">
        <v>217852</v>
      </c>
      <c r="M1088" s="705">
        <v>189537</v>
      </c>
      <c r="N1088" s="705">
        <v>448734</v>
      </c>
      <c r="O1088" s="705">
        <v>166198</v>
      </c>
      <c r="P1088" s="705">
        <v>115007</v>
      </c>
      <c r="Q1088" s="705">
        <v>42595</v>
      </c>
      <c r="R1088" s="705">
        <v>1005042</v>
      </c>
      <c r="S1088" s="705">
        <v>913674</v>
      </c>
      <c r="T1088" s="705">
        <v>9590</v>
      </c>
      <c r="U1088" s="705">
        <v>3552</v>
      </c>
      <c r="V1088" s="705">
        <v>2766205</v>
      </c>
      <c r="W1088" s="705">
        <f t="shared" si="54"/>
        <v>2766205</v>
      </c>
      <c r="X1088" s="705">
        <f t="shared" si="55"/>
        <v>3391938</v>
      </c>
    </row>
    <row r="1089" spans="2:24">
      <c r="B1089" t="s">
        <v>542</v>
      </c>
      <c r="C1089" t="s">
        <v>114</v>
      </c>
      <c r="D1089" t="s">
        <v>664</v>
      </c>
      <c r="E1089" t="s">
        <v>664</v>
      </c>
      <c r="F1089" s="705">
        <v>1</v>
      </c>
      <c r="G1089" s="705">
        <v>145</v>
      </c>
      <c r="H1089" s="705">
        <v>142</v>
      </c>
      <c r="I1089" s="705">
        <v>9318</v>
      </c>
      <c r="J1089" s="705">
        <v>8471</v>
      </c>
      <c r="K1089" s="705">
        <v>92</v>
      </c>
      <c r="L1089" s="705">
        <v>3178</v>
      </c>
      <c r="M1089" s="705">
        <v>2889</v>
      </c>
      <c r="N1089" s="705">
        <v>2862</v>
      </c>
      <c r="O1089" s="705">
        <v>1060</v>
      </c>
      <c r="P1089" s="705">
        <v>473</v>
      </c>
      <c r="Q1089" s="705">
        <v>175</v>
      </c>
      <c r="R1089" s="705">
        <v>4702</v>
      </c>
      <c r="S1089" s="705">
        <v>4275</v>
      </c>
      <c r="T1089" s="705">
        <v>0</v>
      </c>
      <c r="U1089" s="705">
        <v>0</v>
      </c>
      <c r="V1089" s="705">
        <v>16870</v>
      </c>
      <c r="W1089" s="705">
        <f t="shared" si="54"/>
        <v>16870</v>
      </c>
      <c r="X1089" s="705">
        <f t="shared" si="55"/>
        <v>20533</v>
      </c>
    </row>
    <row r="1090" spans="2:24">
      <c r="B1090" t="s">
        <v>542</v>
      </c>
      <c r="C1090" t="s">
        <v>114</v>
      </c>
      <c r="D1090" t="s">
        <v>582</v>
      </c>
      <c r="E1090" t="s">
        <v>582</v>
      </c>
      <c r="F1090" s="705">
        <v>39</v>
      </c>
      <c r="G1090" s="705">
        <v>4179</v>
      </c>
      <c r="H1090" s="705">
        <v>5293</v>
      </c>
      <c r="I1090" s="705">
        <v>272148</v>
      </c>
      <c r="J1090" s="705">
        <v>247407</v>
      </c>
      <c r="K1090" s="705">
        <v>89</v>
      </c>
      <c r="L1090" s="705">
        <v>35808</v>
      </c>
      <c r="M1090" s="705">
        <v>34582</v>
      </c>
      <c r="N1090" s="705">
        <v>68563</v>
      </c>
      <c r="O1090" s="705">
        <v>25394</v>
      </c>
      <c r="P1090" s="705">
        <v>17942</v>
      </c>
      <c r="Q1090" s="705">
        <v>6645</v>
      </c>
      <c r="R1090" s="705">
        <v>130031</v>
      </c>
      <c r="S1090" s="705">
        <v>118210</v>
      </c>
      <c r="T1090" s="705">
        <v>49902</v>
      </c>
      <c r="U1090" s="705">
        <v>18482</v>
      </c>
      <c r="V1090" s="705">
        <v>450721</v>
      </c>
      <c r="W1090" s="705">
        <f t="shared" si="54"/>
        <v>450720</v>
      </c>
      <c r="X1090" s="705">
        <f t="shared" si="55"/>
        <v>574394</v>
      </c>
    </row>
    <row r="1091" spans="2:24">
      <c r="B1091" t="s">
        <v>542</v>
      </c>
      <c r="C1091" t="s">
        <v>114</v>
      </c>
      <c r="D1091" t="s">
        <v>583</v>
      </c>
      <c r="E1091" t="s">
        <v>583</v>
      </c>
      <c r="F1091" s="705">
        <v>242</v>
      </c>
      <c r="G1091" s="705">
        <v>27816</v>
      </c>
      <c r="H1091" s="705">
        <v>34105</v>
      </c>
      <c r="I1091" s="705">
        <v>1833914</v>
      </c>
      <c r="J1091" s="705">
        <v>1667195</v>
      </c>
      <c r="K1091" s="705">
        <v>91</v>
      </c>
      <c r="L1091" s="705">
        <v>413472</v>
      </c>
      <c r="M1091" s="705">
        <v>357057</v>
      </c>
      <c r="N1091" s="705">
        <v>491482</v>
      </c>
      <c r="O1091" s="705">
        <v>182030</v>
      </c>
      <c r="P1091" s="705">
        <v>156663</v>
      </c>
      <c r="Q1091" s="705">
        <v>58023</v>
      </c>
      <c r="R1091" s="705">
        <v>1052799</v>
      </c>
      <c r="S1091" s="705">
        <v>957090</v>
      </c>
      <c r="T1091" s="705">
        <v>43547</v>
      </c>
      <c r="U1091" s="705">
        <v>16128</v>
      </c>
      <c r="V1091" s="705">
        <v>3237523</v>
      </c>
      <c r="W1091" s="705">
        <f t="shared" si="54"/>
        <v>3237523</v>
      </c>
      <c r="X1091" s="705">
        <f t="shared" si="55"/>
        <v>3991877</v>
      </c>
    </row>
    <row r="1092" spans="2:24">
      <c r="B1092" t="s">
        <v>542</v>
      </c>
      <c r="C1092" t="s">
        <v>114</v>
      </c>
      <c r="D1092" t="s">
        <v>583</v>
      </c>
      <c r="E1092" t="s">
        <v>584</v>
      </c>
      <c r="F1092" s="705">
        <v>1</v>
      </c>
      <c r="G1092" s="705">
        <v>160</v>
      </c>
      <c r="H1092" s="705">
        <v>146</v>
      </c>
      <c r="I1092" s="705">
        <v>12259</v>
      </c>
      <c r="J1092" s="705">
        <v>11144</v>
      </c>
      <c r="K1092" s="705">
        <v>93</v>
      </c>
      <c r="L1092" s="705">
        <v>2107</v>
      </c>
      <c r="M1092" s="705">
        <v>1915</v>
      </c>
      <c r="N1092" s="705">
        <v>3127</v>
      </c>
      <c r="O1092" s="705">
        <v>1158</v>
      </c>
      <c r="P1092" s="705">
        <v>2727</v>
      </c>
      <c r="Q1092" s="705">
        <v>1010</v>
      </c>
      <c r="R1092" s="705">
        <v>3139</v>
      </c>
      <c r="S1092" s="705">
        <v>2853</v>
      </c>
      <c r="T1092" s="705">
        <v>0</v>
      </c>
      <c r="U1092" s="705">
        <v>0</v>
      </c>
      <c r="V1092" s="705">
        <v>18081</v>
      </c>
      <c r="W1092" s="705">
        <f t="shared" si="54"/>
        <v>18080</v>
      </c>
      <c r="X1092" s="705">
        <f t="shared" si="55"/>
        <v>23359</v>
      </c>
    </row>
    <row r="1093" spans="2:24">
      <c r="B1093" t="s">
        <v>542</v>
      </c>
      <c r="C1093" t="s">
        <v>114</v>
      </c>
      <c r="D1093" t="s">
        <v>584</v>
      </c>
      <c r="E1093" t="s">
        <v>584</v>
      </c>
      <c r="F1093" s="705">
        <v>841</v>
      </c>
      <c r="G1093" s="705">
        <v>94306</v>
      </c>
      <c r="H1093" s="705">
        <v>118694</v>
      </c>
      <c r="I1093" s="705">
        <v>6322163</v>
      </c>
      <c r="J1093" s="705">
        <v>5747421</v>
      </c>
      <c r="K1093" s="705">
        <v>86</v>
      </c>
      <c r="L1093" s="705">
        <v>1351972</v>
      </c>
      <c r="M1093" s="705">
        <v>1141790</v>
      </c>
      <c r="N1093" s="705">
        <v>1696647</v>
      </c>
      <c r="O1093" s="705">
        <v>628388</v>
      </c>
      <c r="P1093" s="705">
        <v>402218</v>
      </c>
      <c r="Q1093" s="705">
        <v>148970</v>
      </c>
      <c r="R1093" s="705">
        <v>3734768</v>
      </c>
      <c r="S1093" s="705">
        <v>3395244</v>
      </c>
      <c r="T1093" s="705">
        <v>151954</v>
      </c>
      <c r="U1093" s="705">
        <v>56279</v>
      </c>
      <c r="V1093" s="705">
        <v>11118092</v>
      </c>
      <c r="W1093" s="705">
        <f t="shared" si="54"/>
        <v>11118092</v>
      </c>
      <c r="X1093" s="705">
        <f t="shared" si="55"/>
        <v>13659722</v>
      </c>
    </row>
    <row r="1094" spans="2:24">
      <c r="B1094" t="s">
        <v>542</v>
      </c>
      <c r="C1094" t="s">
        <v>114</v>
      </c>
      <c r="D1094" t="s">
        <v>584</v>
      </c>
      <c r="E1094" t="s">
        <v>665</v>
      </c>
      <c r="F1094" s="705">
        <v>2</v>
      </c>
      <c r="G1094" s="705">
        <v>247</v>
      </c>
      <c r="H1094" s="705">
        <v>270</v>
      </c>
      <c r="I1094" s="705">
        <v>13083</v>
      </c>
      <c r="J1094" s="705">
        <v>11894</v>
      </c>
      <c r="K1094" s="705">
        <v>91</v>
      </c>
      <c r="L1094" s="705">
        <v>4196</v>
      </c>
      <c r="M1094" s="705">
        <v>3815</v>
      </c>
      <c r="N1094" s="705">
        <v>6018</v>
      </c>
      <c r="O1094" s="705">
        <v>2229</v>
      </c>
      <c r="P1094" s="705">
        <v>945</v>
      </c>
      <c r="Q1094" s="705">
        <v>350</v>
      </c>
      <c r="R1094" s="705">
        <v>9161</v>
      </c>
      <c r="S1094" s="705">
        <v>8328</v>
      </c>
      <c r="T1094" s="705">
        <v>0</v>
      </c>
      <c r="U1094" s="705">
        <v>0</v>
      </c>
      <c r="V1094" s="705">
        <v>26616</v>
      </c>
      <c r="W1094" s="705">
        <f t="shared" si="54"/>
        <v>26616</v>
      </c>
      <c r="X1094" s="705">
        <f t="shared" si="55"/>
        <v>33403</v>
      </c>
    </row>
    <row r="1095" spans="2:24">
      <c r="B1095" t="s">
        <v>542</v>
      </c>
      <c r="C1095" t="s">
        <v>116</v>
      </c>
      <c r="F1095" s="705">
        <v>9</v>
      </c>
      <c r="G1095" s="705">
        <v>665</v>
      </c>
      <c r="H1095" s="705">
        <v>1631</v>
      </c>
      <c r="I1095" s="705"/>
      <c r="J1095" s="705">
        <v>0</v>
      </c>
      <c r="K1095" s="705"/>
      <c r="L1095" s="705"/>
      <c r="M1095" s="705">
        <v>0</v>
      </c>
      <c r="N1095" s="705">
        <v>9224</v>
      </c>
      <c r="O1095" s="705">
        <v>3416</v>
      </c>
      <c r="P1095" s="705">
        <v>0</v>
      </c>
      <c r="Q1095" s="705">
        <v>0</v>
      </c>
      <c r="R1095" s="705"/>
      <c r="S1095" s="705">
        <v>0</v>
      </c>
      <c r="T1095" s="705">
        <v>0</v>
      </c>
      <c r="U1095" s="705">
        <v>0</v>
      </c>
      <c r="V1095" s="705">
        <v>3416</v>
      </c>
      <c r="W1095" s="705">
        <f t="shared" si="54"/>
        <v>3416</v>
      </c>
      <c r="X1095" s="705">
        <f t="shared" si="55"/>
        <v>9224</v>
      </c>
    </row>
    <row r="1096" spans="2:24">
      <c r="B1096" t="s">
        <v>542</v>
      </c>
      <c r="C1096" t="s">
        <v>116</v>
      </c>
      <c r="D1096" t="s">
        <v>664</v>
      </c>
      <c r="E1096" t="s">
        <v>664</v>
      </c>
      <c r="F1096" s="705">
        <v>7</v>
      </c>
      <c r="G1096" s="705">
        <v>626</v>
      </c>
      <c r="H1096" s="705">
        <v>1316</v>
      </c>
      <c r="I1096" s="705">
        <v>62469</v>
      </c>
      <c r="J1096" s="705">
        <v>56790</v>
      </c>
      <c r="K1096" s="705">
        <v>90</v>
      </c>
      <c r="L1096" s="705">
        <v>11381</v>
      </c>
      <c r="M1096" s="705">
        <v>11036</v>
      </c>
      <c r="N1096" s="705">
        <v>11242</v>
      </c>
      <c r="O1096" s="705">
        <v>4164</v>
      </c>
      <c r="P1096" s="705">
        <v>3335</v>
      </c>
      <c r="Q1096" s="705">
        <v>1235</v>
      </c>
      <c r="R1096" s="705">
        <v>23117</v>
      </c>
      <c r="S1096" s="705">
        <v>21015</v>
      </c>
      <c r="T1096" s="705">
        <v>4933</v>
      </c>
      <c r="U1096" s="705">
        <v>1827</v>
      </c>
      <c r="V1096" s="705">
        <v>96066</v>
      </c>
      <c r="W1096" s="705">
        <f t="shared" si="54"/>
        <v>96067</v>
      </c>
      <c r="X1096" s="705">
        <f t="shared" si="55"/>
        <v>116477</v>
      </c>
    </row>
    <row r="1097" spans="2:24">
      <c r="B1097" t="s">
        <v>542</v>
      </c>
      <c r="C1097" t="s">
        <v>116</v>
      </c>
      <c r="D1097" t="s">
        <v>664</v>
      </c>
      <c r="E1097" t="s">
        <v>582</v>
      </c>
      <c r="F1097" s="705">
        <v>1</v>
      </c>
      <c r="G1097" s="705">
        <v>97</v>
      </c>
      <c r="H1097" s="705">
        <v>179</v>
      </c>
      <c r="I1097" s="705">
        <v>7576</v>
      </c>
      <c r="J1097" s="705">
        <v>6887</v>
      </c>
      <c r="K1097" s="705">
        <v>92</v>
      </c>
      <c r="L1097" s="705">
        <v>2819</v>
      </c>
      <c r="M1097" s="705">
        <v>2349</v>
      </c>
      <c r="N1097" s="705">
        <v>2363</v>
      </c>
      <c r="O1097" s="705">
        <v>875</v>
      </c>
      <c r="P1097" s="705">
        <v>473</v>
      </c>
      <c r="Q1097" s="705">
        <v>175</v>
      </c>
      <c r="R1097" s="705">
        <v>4110</v>
      </c>
      <c r="S1097" s="705">
        <v>3737</v>
      </c>
      <c r="T1097" s="705">
        <v>0</v>
      </c>
      <c r="U1097" s="705">
        <v>0</v>
      </c>
      <c r="V1097" s="705">
        <v>14024</v>
      </c>
      <c r="W1097" s="705">
        <f t="shared" si="54"/>
        <v>14023</v>
      </c>
      <c r="X1097" s="705">
        <f t="shared" si="55"/>
        <v>17341</v>
      </c>
    </row>
    <row r="1098" spans="2:24">
      <c r="B1098" t="s">
        <v>542</v>
      </c>
      <c r="C1098" t="s">
        <v>116</v>
      </c>
      <c r="D1098" t="s">
        <v>664</v>
      </c>
      <c r="E1098" t="s">
        <v>583</v>
      </c>
      <c r="F1098" s="705">
        <v>1</v>
      </c>
      <c r="G1098" s="705">
        <v>107</v>
      </c>
      <c r="H1098" s="705">
        <v>197</v>
      </c>
      <c r="I1098" s="705">
        <v>9937</v>
      </c>
      <c r="J1098" s="705">
        <v>9034</v>
      </c>
      <c r="K1098" s="705">
        <v>86</v>
      </c>
      <c r="L1098" s="705">
        <v>2996</v>
      </c>
      <c r="M1098" s="705">
        <v>2724</v>
      </c>
      <c r="N1098" s="705">
        <v>1686</v>
      </c>
      <c r="O1098" s="705">
        <v>624</v>
      </c>
      <c r="P1098" s="705">
        <v>621</v>
      </c>
      <c r="Q1098" s="705">
        <v>230</v>
      </c>
      <c r="R1098" s="705">
        <v>5873</v>
      </c>
      <c r="S1098" s="705">
        <v>5339</v>
      </c>
      <c r="T1098" s="705">
        <v>0</v>
      </c>
      <c r="U1098" s="705">
        <v>0</v>
      </c>
      <c r="V1098" s="705">
        <v>17951</v>
      </c>
      <c r="W1098" s="705">
        <f t="shared" si="54"/>
        <v>17951</v>
      </c>
      <c r="X1098" s="705">
        <f t="shared" si="55"/>
        <v>21113</v>
      </c>
    </row>
    <row r="1099" spans="2:24">
      <c r="B1099" t="s">
        <v>542</v>
      </c>
      <c r="C1099" t="s">
        <v>116</v>
      </c>
      <c r="D1099" t="s">
        <v>582</v>
      </c>
      <c r="E1099" t="s">
        <v>664</v>
      </c>
      <c r="F1099" s="705">
        <v>2</v>
      </c>
      <c r="G1099" s="705">
        <v>204</v>
      </c>
      <c r="H1099" s="705">
        <v>395</v>
      </c>
      <c r="I1099" s="705">
        <v>27949</v>
      </c>
      <c r="J1099" s="705">
        <v>25408</v>
      </c>
      <c r="K1099" s="705">
        <v>83</v>
      </c>
      <c r="L1099" s="705">
        <v>5519</v>
      </c>
      <c r="M1099" s="705">
        <v>5017</v>
      </c>
      <c r="N1099" s="705">
        <v>6277</v>
      </c>
      <c r="O1099" s="705">
        <v>2325</v>
      </c>
      <c r="P1099" s="705">
        <v>945</v>
      </c>
      <c r="Q1099" s="705">
        <v>350</v>
      </c>
      <c r="R1099" s="705">
        <v>11305</v>
      </c>
      <c r="S1099" s="705">
        <v>10277</v>
      </c>
      <c r="T1099" s="705">
        <v>2807</v>
      </c>
      <c r="U1099" s="705">
        <v>1040</v>
      </c>
      <c r="V1099" s="705">
        <v>44417</v>
      </c>
      <c r="W1099" s="705">
        <f t="shared" si="54"/>
        <v>44417</v>
      </c>
      <c r="X1099" s="705">
        <f t="shared" si="55"/>
        <v>54802</v>
      </c>
    </row>
    <row r="1100" spans="2:24">
      <c r="B1100" t="s">
        <v>542</v>
      </c>
      <c r="C1100" t="s">
        <v>116</v>
      </c>
      <c r="D1100" t="s">
        <v>582</v>
      </c>
      <c r="E1100" t="s">
        <v>582</v>
      </c>
      <c r="F1100" s="705">
        <v>55</v>
      </c>
      <c r="G1100" s="705">
        <v>6188</v>
      </c>
      <c r="H1100" s="705">
        <v>9978</v>
      </c>
      <c r="I1100" s="705">
        <v>539858</v>
      </c>
      <c r="J1100" s="705">
        <v>490780</v>
      </c>
      <c r="K1100" s="705">
        <v>85</v>
      </c>
      <c r="L1100" s="705">
        <v>145945</v>
      </c>
      <c r="M1100" s="705">
        <v>125462</v>
      </c>
      <c r="N1100" s="705">
        <v>138674</v>
      </c>
      <c r="O1100" s="705">
        <v>51361</v>
      </c>
      <c r="P1100" s="705">
        <v>24408</v>
      </c>
      <c r="Q1100" s="705">
        <v>9040</v>
      </c>
      <c r="R1100" s="705">
        <v>226223</v>
      </c>
      <c r="S1100" s="705">
        <v>205657</v>
      </c>
      <c r="T1100" s="705">
        <v>62233</v>
      </c>
      <c r="U1100" s="705">
        <v>23049</v>
      </c>
      <c r="V1100" s="705">
        <v>905349</v>
      </c>
      <c r="W1100" s="705">
        <f t="shared" si="54"/>
        <v>905349</v>
      </c>
      <c r="X1100" s="705">
        <f t="shared" si="55"/>
        <v>1137341</v>
      </c>
    </row>
    <row r="1101" spans="2:24">
      <c r="B1101" t="s">
        <v>542</v>
      </c>
      <c r="C1101" t="s">
        <v>116</v>
      </c>
      <c r="D1101" t="s">
        <v>582</v>
      </c>
      <c r="E1101" t="s">
        <v>584</v>
      </c>
      <c r="F1101" s="705">
        <v>1</v>
      </c>
      <c r="G1101" s="705">
        <v>81</v>
      </c>
      <c r="H1101" s="705">
        <v>163</v>
      </c>
      <c r="I1101" s="705">
        <v>7760</v>
      </c>
      <c r="J1101" s="705">
        <v>7055</v>
      </c>
      <c r="K1101" s="705">
        <v>90</v>
      </c>
      <c r="L1101" s="705">
        <v>1344</v>
      </c>
      <c r="M1101" s="705">
        <v>1120</v>
      </c>
      <c r="N1101" s="705">
        <v>1090</v>
      </c>
      <c r="O1101" s="705">
        <v>404</v>
      </c>
      <c r="P1101" s="705">
        <v>473</v>
      </c>
      <c r="Q1101" s="705">
        <v>175</v>
      </c>
      <c r="R1101" s="705">
        <v>2490</v>
      </c>
      <c r="S1101" s="705">
        <v>2264</v>
      </c>
      <c r="T1101" s="705">
        <v>0</v>
      </c>
      <c r="U1101" s="705">
        <v>0</v>
      </c>
      <c r="V1101" s="705">
        <v>11017</v>
      </c>
      <c r="W1101" s="705">
        <f t="shared" si="54"/>
        <v>11018</v>
      </c>
      <c r="X1101" s="705">
        <f t="shared" si="55"/>
        <v>13157</v>
      </c>
    </row>
    <row r="1102" spans="2:24">
      <c r="B1102" t="s">
        <v>542</v>
      </c>
      <c r="C1102" t="s">
        <v>116</v>
      </c>
      <c r="D1102" t="s">
        <v>228</v>
      </c>
      <c r="E1102" t="s">
        <v>228</v>
      </c>
      <c r="F1102" s="705">
        <v>61</v>
      </c>
      <c r="G1102" s="705">
        <v>4818</v>
      </c>
      <c r="H1102" s="705">
        <v>12337</v>
      </c>
      <c r="I1102" s="705">
        <v>443687</v>
      </c>
      <c r="J1102" s="705">
        <v>164329</v>
      </c>
      <c r="K1102" s="705">
        <v>102</v>
      </c>
      <c r="L1102" s="705">
        <v>70915</v>
      </c>
      <c r="M1102" s="705">
        <v>29701</v>
      </c>
      <c r="N1102" s="705">
        <v>96144</v>
      </c>
      <c r="O1102" s="705">
        <v>35609</v>
      </c>
      <c r="P1102" s="705">
        <v>351</v>
      </c>
      <c r="Q1102" s="705">
        <v>130</v>
      </c>
      <c r="R1102" s="705">
        <v>396324</v>
      </c>
      <c r="S1102" s="705">
        <v>146787</v>
      </c>
      <c r="T1102" s="705">
        <v>0</v>
      </c>
      <c r="U1102" s="705">
        <v>0</v>
      </c>
      <c r="V1102" s="705">
        <v>376555</v>
      </c>
      <c r="W1102" s="705">
        <f t="shared" si="54"/>
        <v>376556</v>
      </c>
      <c r="X1102" s="705">
        <f t="shared" si="55"/>
        <v>1007421</v>
      </c>
    </row>
    <row r="1103" spans="2:24">
      <c r="B1103" t="s">
        <v>542</v>
      </c>
      <c r="C1103" t="s">
        <v>116</v>
      </c>
      <c r="D1103" t="s">
        <v>228</v>
      </c>
      <c r="E1103" t="s">
        <v>584</v>
      </c>
      <c r="F1103" s="705">
        <v>1</v>
      </c>
      <c r="G1103" s="705">
        <v>61</v>
      </c>
      <c r="H1103" s="705">
        <v>190</v>
      </c>
      <c r="I1103" s="705">
        <v>5832</v>
      </c>
      <c r="J1103" s="705">
        <v>2160</v>
      </c>
      <c r="K1103" s="705">
        <v>100</v>
      </c>
      <c r="L1103" s="705">
        <v>0</v>
      </c>
      <c r="M1103" s="705">
        <v>0</v>
      </c>
      <c r="N1103" s="705">
        <v>1497</v>
      </c>
      <c r="O1103" s="705">
        <v>554</v>
      </c>
      <c r="P1103" s="705">
        <v>0</v>
      </c>
      <c r="Q1103" s="705">
        <v>0</v>
      </c>
      <c r="R1103" s="705">
        <v>4368</v>
      </c>
      <c r="S1103" s="705">
        <v>3971</v>
      </c>
      <c r="T1103" s="705">
        <v>0</v>
      </c>
      <c r="U1103" s="705">
        <v>0</v>
      </c>
      <c r="V1103" s="705">
        <v>6685</v>
      </c>
      <c r="W1103" s="705">
        <f t="shared" si="54"/>
        <v>6685</v>
      </c>
      <c r="X1103" s="705">
        <f t="shared" si="55"/>
        <v>11697</v>
      </c>
    </row>
    <row r="1104" spans="2:24">
      <c r="B1104" t="s">
        <v>542</v>
      </c>
      <c r="C1104" t="s">
        <v>116</v>
      </c>
      <c r="D1104" t="s">
        <v>583</v>
      </c>
      <c r="E1104" t="s">
        <v>664</v>
      </c>
      <c r="F1104" s="705">
        <v>1</v>
      </c>
      <c r="G1104" s="705">
        <v>88</v>
      </c>
      <c r="H1104" s="705">
        <v>207</v>
      </c>
      <c r="I1104" s="705">
        <v>7835</v>
      </c>
      <c r="J1104" s="705">
        <v>7122</v>
      </c>
      <c r="K1104" s="705">
        <v>86</v>
      </c>
      <c r="L1104" s="705">
        <v>2487</v>
      </c>
      <c r="M1104" s="705">
        <v>2261</v>
      </c>
      <c r="N1104" s="705">
        <v>2134</v>
      </c>
      <c r="O1104" s="705">
        <v>790</v>
      </c>
      <c r="P1104" s="705">
        <v>621</v>
      </c>
      <c r="Q1104" s="705">
        <v>230</v>
      </c>
      <c r="R1104" s="705">
        <v>5075</v>
      </c>
      <c r="S1104" s="705">
        <v>4614</v>
      </c>
      <c r="T1104" s="705">
        <v>0</v>
      </c>
      <c r="U1104" s="705">
        <v>0</v>
      </c>
      <c r="V1104" s="705">
        <v>15017</v>
      </c>
      <c r="W1104" s="705">
        <f t="shared" si="54"/>
        <v>15017</v>
      </c>
      <c r="X1104" s="705">
        <f t="shared" si="55"/>
        <v>18152</v>
      </c>
    </row>
    <row r="1105" spans="2:24">
      <c r="B1105" t="s">
        <v>542</v>
      </c>
      <c r="C1105" t="s">
        <v>116</v>
      </c>
      <c r="D1105" t="s">
        <v>583</v>
      </c>
      <c r="E1105" t="s">
        <v>228</v>
      </c>
      <c r="F1105" s="705">
        <v>1</v>
      </c>
      <c r="G1105" s="705">
        <v>261</v>
      </c>
      <c r="H1105" s="705">
        <v>169</v>
      </c>
      <c r="I1105" s="705">
        <v>41731</v>
      </c>
      <c r="J1105" s="705">
        <v>37937</v>
      </c>
      <c r="K1105" s="705">
        <v>79</v>
      </c>
      <c r="L1105" s="705">
        <v>6660</v>
      </c>
      <c r="M1105" s="705">
        <v>6055</v>
      </c>
      <c r="N1105" s="705">
        <v>9055</v>
      </c>
      <c r="O1105" s="705">
        <v>3354</v>
      </c>
      <c r="P1105" s="705">
        <v>621</v>
      </c>
      <c r="Q1105" s="705">
        <v>230</v>
      </c>
      <c r="R1105" s="705">
        <v>4766</v>
      </c>
      <c r="S1105" s="705">
        <v>1765</v>
      </c>
      <c r="T1105" s="705">
        <v>0</v>
      </c>
      <c r="U1105" s="705">
        <v>0</v>
      </c>
      <c r="V1105" s="705">
        <v>49341</v>
      </c>
      <c r="W1105" s="705">
        <f t="shared" si="54"/>
        <v>49341</v>
      </c>
      <c r="X1105" s="705">
        <f t="shared" si="55"/>
        <v>62833</v>
      </c>
    </row>
    <row r="1106" spans="2:24">
      <c r="B1106" t="s">
        <v>542</v>
      </c>
      <c r="C1106" t="s">
        <v>116</v>
      </c>
      <c r="D1106" t="s">
        <v>583</v>
      </c>
      <c r="E1106" t="s">
        <v>583</v>
      </c>
      <c r="F1106" s="705">
        <v>2313</v>
      </c>
      <c r="G1106" s="705">
        <v>233217</v>
      </c>
      <c r="H1106" s="705">
        <v>447133</v>
      </c>
      <c r="I1106" s="705">
        <v>21925107</v>
      </c>
      <c r="J1106" s="705">
        <v>19931915</v>
      </c>
      <c r="K1106" s="705">
        <v>87</v>
      </c>
      <c r="L1106" s="705">
        <v>5272729</v>
      </c>
      <c r="M1106" s="705">
        <v>4575175</v>
      </c>
      <c r="N1106" s="705">
        <v>4533331</v>
      </c>
      <c r="O1106" s="705">
        <v>1679011</v>
      </c>
      <c r="P1106" s="705">
        <v>1495134</v>
      </c>
      <c r="Q1106" s="705">
        <v>553753</v>
      </c>
      <c r="R1106" s="705">
        <v>10201307</v>
      </c>
      <c r="S1106" s="705">
        <v>9273915</v>
      </c>
      <c r="T1106" s="705">
        <v>2219699</v>
      </c>
      <c r="U1106" s="705">
        <v>822111</v>
      </c>
      <c r="V1106" s="705">
        <v>36835881</v>
      </c>
      <c r="W1106" s="705">
        <f t="shared" si="54"/>
        <v>36835880</v>
      </c>
      <c r="X1106" s="705">
        <f t="shared" si="55"/>
        <v>45647307</v>
      </c>
    </row>
    <row r="1107" spans="2:24">
      <c r="B1107" t="s">
        <v>542</v>
      </c>
      <c r="C1107" t="s">
        <v>116</v>
      </c>
      <c r="D1107" t="s">
        <v>583</v>
      </c>
      <c r="E1107" t="s">
        <v>666</v>
      </c>
      <c r="F1107" s="705">
        <v>3</v>
      </c>
      <c r="G1107" s="705">
        <v>250</v>
      </c>
      <c r="H1107" s="705">
        <v>596</v>
      </c>
      <c r="I1107" s="705">
        <v>22752</v>
      </c>
      <c r="J1107" s="705">
        <v>20684</v>
      </c>
      <c r="K1107" s="705">
        <v>89</v>
      </c>
      <c r="L1107" s="705">
        <v>5240</v>
      </c>
      <c r="M1107" s="705">
        <v>4764</v>
      </c>
      <c r="N1107" s="705">
        <v>5682</v>
      </c>
      <c r="O1107" s="705">
        <v>2104</v>
      </c>
      <c r="P1107" s="705">
        <v>1593</v>
      </c>
      <c r="Q1107" s="705">
        <v>590</v>
      </c>
      <c r="R1107" s="705">
        <v>14648</v>
      </c>
      <c r="S1107" s="705">
        <v>13317</v>
      </c>
      <c r="T1107" s="705">
        <v>0</v>
      </c>
      <c r="U1107" s="705">
        <v>0</v>
      </c>
      <c r="V1107" s="705">
        <v>41459</v>
      </c>
      <c r="W1107" s="705">
        <f t="shared" si="54"/>
        <v>41459</v>
      </c>
      <c r="X1107" s="705">
        <f t="shared" si="55"/>
        <v>49915</v>
      </c>
    </row>
    <row r="1108" spans="2:24">
      <c r="B1108" t="s">
        <v>542</v>
      </c>
      <c r="C1108" t="s">
        <v>116</v>
      </c>
      <c r="D1108" t="s">
        <v>583</v>
      </c>
      <c r="E1108" t="s">
        <v>584</v>
      </c>
      <c r="F1108" s="705">
        <v>3</v>
      </c>
      <c r="G1108" s="705">
        <v>323</v>
      </c>
      <c r="H1108" s="705">
        <v>639</v>
      </c>
      <c r="I1108" s="705">
        <v>37134</v>
      </c>
      <c r="J1108" s="705">
        <v>33758</v>
      </c>
      <c r="K1108" s="705">
        <v>89</v>
      </c>
      <c r="L1108" s="705">
        <v>6244</v>
      </c>
      <c r="M1108" s="705">
        <v>5397</v>
      </c>
      <c r="N1108" s="705">
        <v>6309</v>
      </c>
      <c r="O1108" s="705">
        <v>2337</v>
      </c>
      <c r="P1108" s="705">
        <v>1863</v>
      </c>
      <c r="Q1108" s="705">
        <v>690</v>
      </c>
      <c r="R1108" s="705">
        <v>12281</v>
      </c>
      <c r="S1108" s="705">
        <v>11165</v>
      </c>
      <c r="T1108" s="705">
        <v>5046</v>
      </c>
      <c r="U1108" s="705">
        <v>1869</v>
      </c>
      <c r="V1108" s="705">
        <v>55216</v>
      </c>
      <c r="W1108" s="705">
        <f t="shared" si="54"/>
        <v>55216</v>
      </c>
      <c r="X1108" s="705">
        <f t="shared" si="55"/>
        <v>68877</v>
      </c>
    </row>
    <row r="1109" spans="2:24">
      <c r="B1109" t="s">
        <v>542</v>
      </c>
      <c r="C1109" t="s">
        <v>116</v>
      </c>
      <c r="D1109" t="s">
        <v>584</v>
      </c>
      <c r="E1109" t="s">
        <v>582</v>
      </c>
      <c r="F1109" s="705">
        <v>1</v>
      </c>
      <c r="G1109" s="705">
        <v>106</v>
      </c>
      <c r="H1109" s="705">
        <v>201</v>
      </c>
      <c r="I1109" s="705">
        <v>10684</v>
      </c>
      <c r="J1109" s="705">
        <v>9712</v>
      </c>
      <c r="K1109" s="705">
        <v>90</v>
      </c>
      <c r="L1109" s="705">
        <v>5348</v>
      </c>
      <c r="M1109" s="705">
        <v>4862</v>
      </c>
      <c r="N1109" s="705">
        <v>1892</v>
      </c>
      <c r="O1109" s="705">
        <v>701</v>
      </c>
      <c r="P1109" s="705">
        <v>473</v>
      </c>
      <c r="Q1109" s="705">
        <v>175</v>
      </c>
      <c r="R1109" s="705">
        <v>2814</v>
      </c>
      <c r="S1109" s="705">
        <v>2558</v>
      </c>
      <c r="T1109" s="705">
        <v>0</v>
      </c>
      <c r="U1109" s="705">
        <v>0</v>
      </c>
      <c r="V1109" s="705">
        <v>18008</v>
      </c>
      <c r="W1109" s="705">
        <f t="shared" si="54"/>
        <v>18008</v>
      </c>
      <c r="X1109" s="705">
        <f t="shared" si="55"/>
        <v>21211</v>
      </c>
    </row>
    <row r="1110" spans="2:24">
      <c r="B1110" t="s">
        <v>542</v>
      </c>
      <c r="C1110" t="s">
        <v>116</v>
      </c>
      <c r="D1110" t="s">
        <v>584</v>
      </c>
      <c r="E1110" t="s">
        <v>228</v>
      </c>
      <c r="F1110" s="705">
        <v>14</v>
      </c>
      <c r="G1110" s="705">
        <v>1432</v>
      </c>
      <c r="H1110" s="705">
        <v>2823</v>
      </c>
      <c r="I1110" s="705">
        <v>123645</v>
      </c>
      <c r="J1110" s="705">
        <v>112405</v>
      </c>
      <c r="K1110" s="705">
        <v>80</v>
      </c>
      <c r="L1110" s="705">
        <v>44611</v>
      </c>
      <c r="M1110" s="705">
        <v>40158</v>
      </c>
      <c r="N1110" s="705">
        <v>32267</v>
      </c>
      <c r="O1110" s="705">
        <v>11951</v>
      </c>
      <c r="P1110" s="705">
        <v>6615</v>
      </c>
      <c r="Q1110" s="705">
        <v>2450</v>
      </c>
      <c r="R1110" s="705">
        <v>78630</v>
      </c>
      <c r="S1110" s="705">
        <v>29122</v>
      </c>
      <c r="T1110" s="705">
        <v>0</v>
      </c>
      <c r="U1110" s="705">
        <v>0</v>
      </c>
      <c r="V1110" s="705">
        <v>196085</v>
      </c>
      <c r="W1110" s="705">
        <f t="shared" si="54"/>
        <v>196086</v>
      </c>
      <c r="X1110" s="705">
        <f t="shared" si="55"/>
        <v>285768</v>
      </c>
    </row>
    <row r="1111" spans="2:24">
      <c r="B1111" t="s">
        <v>542</v>
      </c>
      <c r="C1111" t="s">
        <v>116</v>
      </c>
      <c r="D1111" t="s">
        <v>584</v>
      </c>
      <c r="E1111" t="s">
        <v>583</v>
      </c>
      <c r="F1111" s="705">
        <v>1</v>
      </c>
      <c r="G1111" s="705">
        <v>80</v>
      </c>
      <c r="H1111" s="705">
        <v>158</v>
      </c>
      <c r="I1111" s="705">
        <v>6387</v>
      </c>
      <c r="J1111" s="705">
        <v>5806</v>
      </c>
      <c r="K1111" s="705">
        <v>91</v>
      </c>
      <c r="L1111" s="705">
        <v>1174</v>
      </c>
      <c r="M1111" s="705">
        <v>978</v>
      </c>
      <c r="N1111" s="705">
        <v>979</v>
      </c>
      <c r="O1111" s="705">
        <v>362</v>
      </c>
      <c r="P1111" s="705">
        <v>473</v>
      </c>
      <c r="Q1111" s="705">
        <v>175</v>
      </c>
      <c r="R1111" s="705">
        <v>3681</v>
      </c>
      <c r="S1111" s="705">
        <v>3347</v>
      </c>
      <c r="T1111" s="705">
        <v>0</v>
      </c>
      <c r="U1111" s="705">
        <v>0</v>
      </c>
      <c r="V1111" s="705">
        <v>10669</v>
      </c>
      <c r="W1111" s="705">
        <f t="shared" si="54"/>
        <v>10668</v>
      </c>
      <c r="X1111" s="705">
        <f t="shared" si="55"/>
        <v>12694</v>
      </c>
    </row>
    <row r="1112" spans="2:24">
      <c r="B1112" t="s">
        <v>542</v>
      </c>
      <c r="C1112" t="s">
        <v>116</v>
      </c>
      <c r="D1112" t="s">
        <v>584</v>
      </c>
      <c r="E1112" t="s">
        <v>666</v>
      </c>
      <c r="F1112" s="705">
        <v>1</v>
      </c>
      <c r="G1112" s="705">
        <v>134</v>
      </c>
      <c r="H1112" s="705">
        <v>212</v>
      </c>
      <c r="I1112" s="705">
        <v>14427</v>
      </c>
      <c r="J1112" s="705">
        <v>13115</v>
      </c>
      <c r="K1112" s="705">
        <v>78</v>
      </c>
      <c r="L1112" s="705">
        <v>3959</v>
      </c>
      <c r="M1112" s="705">
        <v>3599</v>
      </c>
      <c r="N1112" s="705">
        <v>2893</v>
      </c>
      <c r="O1112" s="705">
        <v>1071</v>
      </c>
      <c r="P1112" s="705">
        <v>473</v>
      </c>
      <c r="Q1112" s="705">
        <v>175</v>
      </c>
      <c r="R1112" s="705">
        <v>3779</v>
      </c>
      <c r="S1112" s="705">
        <v>3435</v>
      </c>
      <c r="T1112" s="705">
        <v>2842</v>
      </c>
      <c r="U1112" s="705">
        <v>1052</v>
      </c>
      <c r="V1112" s="705">
        <v>22448</v>
      </c>
      <c r="W1112" s="705">
        <f t="shared" si="54"/>
        <v>22447</v>
      </c>
      <c r="X1112" s="705">
        <f t="shared" si="55"/>
        <v>28373</v>
      </c>
    </row>
    <row r="1113" spans="2:24">
      <c r="B1113" t="s">
        <v>542</v>
      </c>
      <c r="C1113" t="s">
        <v>116</v>
      </c>
      <c r="D1113" t="s">
        <v>584</v>
      </c>
      <c r="E1113" t="s">
        <v>584</v>
      </c>
      <c r="F1113" s="705">
        <v>5328</v>
      </c>
      <c r="G1113" s="705">
        <v>548530</v>
      </c>
      <c r="H1113" s="705">
        <v>1008271</v>
      </c>
      <c r="I1113" s="705">
        <v>49537140</v>
      </c>
      <c r="J1113" s="705">
        <v>45033764</v>
      </c>
      <c r="K1113" s="705">
        <v>83</v>
      </c>
      <c r="L1113" s="705">
        <v>13771220</v>
      </c>
      <c r="M1113" s="705">
        <v>12558517</v>
      </c>
      <c r="N1113" s="705">
        <v>10654117</v>
      </c>
      <c r="O1113" s="705">
        <v>3945969</v>
      </c>
      <c r="P1113" s="705">
        <v>2569800</v>
      </c>
      <c r="Q1113" s="705">
        <v>951778</v>
      </c>
      <c r="R1113" s="705">
        <v>25211894</v>
      </c>
      <c r="S1113" s="705">
        <v>22919904</v>
      </c>
      <c r="T1113" s="705">
        <v>3031356</v>
      </c>
      <c r="U1113" s="705">
        <v>1122724</v>
      </c>
      <c r="V1113" s="705">
        <v>86532656</v>
      </c>
      <c r="W1113" s="705">
        <f t="shared" si="54"/>
        <v>86532656</v>
      </c>
      <c r="X1113" s="705">
        <f t="shared" si="55"/>
        <v>104775527</v>
      </c>
    </row>
    <row r="1114" spans="2:24">
      <c r="B1114" t="s">
        <v>542</v>
      </c>
      <c r="C1114" t="s">
        <v>116</v>
      </c>
      <c r="D1114" t="s">
        <v>584</v>
      </c>
      <c r="E1114" t="s">
        <v>669</v>
      </c>
      <c r="F1114" s="705">
        <v>1</v>
      </c>
      <c r="G1114" s="705">
        <v>102</v>
      </c>
      <c r="H1114" s="705">
        <v>207</v>
      </c>
      <c r="I1114" s="705">
        <v>9753</v>
      </c>
      <c r="J1114" s="705">
        <v>8866</v>
      </c>
      <c r="K1114" s="705">
        <v>80</v>
      </c>
      <c r="L1114" s="705">
        <v>2875</v>
      </c>
      <c r="M1114" s="705">
        <v>2614</v>
      </c>
      <c r="N1114" s="705">
        <v>1661</v>
      </c>
      <c r="O1114" s="705">
        <v>615</v>
      </c>
      <c r="P1114" s="705">
        <v>473</v>
      </c>
      <c r="Q1114" s="705">
        <v>175</v>
      </c>
      <c r="R1114" s="705">
        <v>6452</v>
      </c>
      <c r="S1114" s="705">
        <v>5377</v>
      </c>
      <c r="T1114" s="705">
        <v>0</v>
      </c>
      <c r="U1114" s="705">
        <v>0</v>
      </c>
      <c r="V1114" s="705">
        <v>17647</v>
      </c>
      <c r="W1114" s="705">
        <f t="shared" si="54"/>
        <v>17647</v>
      </c>
      <c r="X1114" s="705">
        <f t="shared" si="55"/>
        <v>21214</v>
      </c>
    </row>
    <row r="1115" spans="2:24">
      <c r="B1115" t="s">
        <v>542</v>
      </c>
      <c r="C1115" t="s">
        <v>116</v>
      </c>
      <c r="D1115" t="s">
        <v>584</v>
      </c>
      <c r="E1115" t="s">
        <v>667</v>
      </c>
      <c r="F1115" s="705">
        <v>1</v>
      </c>
      <c r="G1115" s="705">
        <v>105</v>
      </c>
      <c r="H1115" s="705">
        <v>180</v>
      </c>
      <c r="I1115" s="705">
        <v>8726</v>
      </c>
      <c r="J1115" s="705">
        <v>7933</v>
      </c>
      <c r="K1115" s="705">
        <v>79</v>
      </c>
      <c r="L1115" s="705">
        <v>2417</v>
      </c>
      <c r="M1115" s="705">
        <v>2198</v>
      </c>
      <c r="N1115" s="705">
        <v>2337</v>
      </c>
      <c r="O1115" s="705">
        <v>866</v>
      </c>
      <c r="P1115" s="705">
        <v>473</v>
      </c>
      <c r="Q1115" s="705">
        <v>175</v>
      </c>
      <c r="R1115" s="705">
        <v>4934</v>
      </c>
      <c r="S1115" s="705">
        <v>4485</v>
      </c>
      <c r="T1115" s="705">
        <v>0</v>
      </c>
      <c r="U1115" s="705">
        <v>0</v>
      </c>
      <c r="V1115" s="705">
        <v>15656</v>
      </c>
      <c r="W1115" s="705">
        <f t="shared" si="54"/>
        <v>15657</v>
      </c>
      <c r="X1115" s="705">
        <f t="shared" si="55"/>
        <v>18887</v>
      </c>
    </row>
    <row r="1116" spans="2:24">
      <c r="B1116" t="s">
        <v>542</v>
      </c>
      <c r="C1116" t="s">
        <v>116</v>
      </c>
      <c r="D1116" t="s">
        <v>584</v>
      </c>
      <c r="E1116" t="s">
        <v>665</v>
      </c>
      <c r="F1116" s="705">
        <v>1</v>
      </c>
      <c r="G1116" s="705">
        <v>115</v>
      </c>
      <c r="H1116" s="705">
        <v>174</v>
      </c>
      <c r="I1116" s="705">
        <v>10164</v>
      </c>
      <c r="J1116" s="705">
        <v>9240</v>
      </c>
      <c r="K1116" s="705">
        <v>78</v>
      </c>
      <c r="L1116" s="705">
        <v>2940</v>
      </c>
      <c r="M1116" s="705">
        <v>2673</v>
      </c>
      <c r="N1116" s="705">
        <v>1400</v>
      </c>
      <c r="O1116" s="705">
        <v>518</v>
      </c>
      <c r="P1116" s="705">
        <v>473</v>
      </c>
      <c r="Q1116" s="705">
        <v>175</v>
      </c>
      <c r="R1116" s="705">
        <v>4990</v>
      </c>
      <c r="S1116" s="705">
        <v>4536</v>
      </c>
      <c r="T1116" s="705">
        <v>0</v>
      </c>
      <c r="U1116" s="705">
        <v>0</v>
      </c>
      <c r="V1116" s="705">
        <v>17142</v>
      </c>
      <c r="W1116" s="705">
        <f t="shared" si="54"/>
        <v>17142</v>
      </c>
      <c r="X1116" s="705">
        <f t="shared" si="55"/>
        <v>19967</v>
      </c>
    </row>
    <row r="1117" spans="2:24">
      <c r="B1117" t="s">
        <v>542</v>
      </c>
      <c r="C1117" t="s">
        <v>116</v>
      </c>
      <c r="D1117" t="s">
        <v>665</v>
      </c>
      <c r="E1117" t="s">
        <v>665</v>
      </c>
      <c r="F1117" s="705">
        <v>7</v>
      </c>
      <c r="G1117" s="705">
        <v>697</v>
      </c>
      <c r="H1117" s="705">
        <v>1475</v>
      </c>
      <c r="I1117" s="705">
        <v>96153</v>
      </c>
      <c r="J1117" s="705">
        <v>87412</v>
      </c>
      <c r="K1117" s="705">
        <v>62</v>
      </c>
      <c r="L1117" s="705">
        <v>7984</v>
      </c>
      <c r="M1117" s="705">
        <v>6403</v>
      </c>
      <c r="N1117" s="705">
        <v>12483</v>
      </c>
      <c r="O1117" s="705">
        <v>4623</v>
      </c>
      <c r="P1117" s="705">
        <v>2457</v>
      </c>
      <c r="Q1117" s="705">
        <v>910</v>
      </c>
      <c r="R1117" s="705">
        <v>14440</v>
      </c>
      <c r="S1117" s="705">
        <v>13127</v>
      </c>
      <c r="T1117" s="705">
        <v>12050</v>
      </c>
      <c r="U1117" s="705">
        <v>4463</v>
      </c>
      <c r="V1117" s="705">
        <v>116937</v>
      </c>
      <c r="W1117" s="705">
        <f t="shared" si="54"/>
        <v>116938</v>
      </c>
      <c r="X1117" s="705">
        <f t="shared" si="55"/>
        <v>145567</v>
      </c>
    </row>
    <row r="1118" spans="2:24">
      <c r="B1118" t="s">
        <v>542</v>
      </c>
      <c r="C1118" t="s">
        <v>116</v>
      </c>
      <c r="D1118" t="s">
        <v>585</v>
      </c>
      <c r="E1118" t="s">
        <v>585</v>
      </c>
      <c r="F1118" s="705">
        <v>2</v>
      </c>
      <c r="G1118" s="705">
        <v>200</v>
      </c>
      <c r="H1118" s="705">
        <v>393</v>
      </c>
      <c r="I1118" s="705">
        <v>23177</v>
      </c>
      <c r="J1118" s="705">
        <v>21070</v>
      </c>
      <c r="K1118" s="705">
        <v>82</v>
      </c>
      <c r="L1118" s="705">
        <v>1726</v>
      </c>
      <c r="M1118" s="705">
        <v>4473</v>
      </c>
      <c r="N1118" s="705">
        <v>2431</v>
      </c>
      <c r="O1118" s="705">
        <v>900</v>
      </c>
      <c r="P1118" s="705">
        <v>702</v>
      </c>
      <c r="Q1118" s="705">
        <v>260</v>
      </c>
      <c r="R1118" s="705">
        <v>8679</v>
      </c>
      <c r="S1118" s="705">
        <v>7890</v>
      </c>
      <c r="T1118" s="705">
        <v>2459</v>
      </c>
      <c r="U1118" s="705">
        <v>911</v>
      </c>
      <c r="V1118" s="705">
        <v>35504</v>
      </c>
      <c r="W1118" s="705">
        <f t="shared" si="54"/>
        <v>35504</v>
      </c>
      <c r="X1118" s="705">
        <f t="shared" si="55"/>
        <v>39174</v>
      </c>
    </row>
    <row r="1119" spans="2:24">
      <c r="B1119" t="s">
        <v>542</v>
      </c>
      <c r="C1119" t="s">
        <v>116</v>
      </c>
      <c r="D1119" t="s">
        <v>668</v>
      </c>
      <c r="E1119" t="s">
        <v>668</v>
      </c>
      <c r="F1119" s="705">
        <v>1</v>
      </c>
      <c r="G1119" s="705">
        <v>145</v>
      </c>
      <c r="H1119" s="705">
        <v>194</v>
      </c>
      <c r="I1119" s="705">
        <v>13241</v>
      </c>
      <c r="J1119" s="705">
        <v>12038</v>
      </c>
      <c r="K1119" s="705">
        <v>65</v>
      </c>
      <c r="L1119" s="705">
        <v>3478</v>
      </c>
      <c r="M1119" s="705">
        <v>2898</v>
      </c>
      <c r="N1119" s="705">
        <v>2651</v>
      </c>
      <c r="O1119" s="705">
        <v>982</v>
      </c>
      <c r="P1119" s="705">
        <v>351</v>
      </c>
      <c r="Q1119" s="705">
        <v>130</v>
      </c>
      <c r="R1119" s="705">
        <v>5327</v>
      </c>
      <c r="S1119" s="705">
        <v>4843</v>
      </c>
      <c r="T1119" s="705">
        <v>3099</v>
      </c>
      <c r="U1119" s="705">
        <v>1148</v>
      </c>
      <c r="V1119" s="705">
        <v>22038</v>
      </c>
      <c r="W1119" s="705">
        <f t="shared" si="54"/>
        <v>22039</v>
      </c>
      <c r="X1119" s="705">
        <f t="shared" si="55"/>
        <v>28147</v>
      </c>
    </row>
    <row r="1120" spans="2:24">
      <c r="B1120" t="s">
        <v>542</v>
      </c>
      <c r="C1120" t="s">
        <v>118</v>
      </c>
      <c r="F1120" s="705">
        <v>3</v>
      </c>
      <c r="G1120" s="705">
        <v>316</v>
      </c>
      <c r="H1120" s="705">
        <v>714</v>
      </c>
      <c r="I1120" s="705"/>
      <c r="J1120" s="705">
        <v>0</v>
      </c>
      <c r="K1120" s="705"/>
      <c r="L1120" s="705"/>
      <c r="M1120" s="705">
        <v>0</v>
      </c>
      <c r="N1120" s="705">
        <v>5468</v>
      </c>
      <c r="O1120" s="705">
        <v>2025</v>
      </c>
      <c r="P1120" s="705">
        <v>621</v>
      </c>
      <c r="Q1120" s="705">
        <v>230</v>
      </c>
      <c r="R1120" s="705"/>
      <c r="S1120" s="705">
        <v>0</v>
      </c>
      <c r="T1120" s="705">
        <v>3325</v>
      </c>
      <c r="U1120" s="705">
        <v>1231</v>
      </c>
      <c r="V1120" s="705">
        <v>3486</v>
      </c>
      <c r="W1120" s="705">
        <f t="shared" si="54"/>
        <v>3486</v>
      </c>
      <c r="X1120" s="705">
        <f t="shared" si="55"/>
        <v>9414</v>
      </c>
    </row>
    <row r="1121" spans="2:24">
      <c r="B1121" t="s">
        <v>542</v>
      </c>
      <c r="C1121" t="s">
        <v>118</v>
      </c>
      <c r="D1121" t="s">
        <v>664</v>
      </c>
      <c r="E1121" t="s">
        <v>664</v>
      </c>
      <c r="F1121" s="705">
        <v>6</v>
      </c>
      <c r="G1121" s="705">
        <v>612</v>
      </c>
      <c r="H1121" s="705">
        <v>1531</v>
      </c>
      <c r="I1121" s="705">
        <v>82979</v>
      </c>
      <c r="J1121" s="705">
        <v>75435</v>
      </c>
      <c r="K1121" s="705">
        <v>74</v>
      </c>
      <c r="L1121" s="705">
        <v>17182</v>
      </c>
      <c r="M1121" s="705">
        <v>15052</v>
      </c>
      <c r="N1121" s="705">
        <v>11229</v>
      </c>
      <c r="O1121" s="705">
        <v>4159</v>
      </c>
      <c r="P1121" s="705">
        <v>2835</v>
      </c>
      <c r="Q1121" s="705">
        <v>1050</v>
      </c>
      <c r="R1121" s="705">
        <v>29896</v>
      </c>
      <c r="S1121" s="705">
        <v>27178</v>
      </c>
      <c r="T1121" s="705">
        <v>10275</v>
      </c>
      <c r="U1121" s="705">
        <v>3805</v>
      </c>
      <c r="V1121" s="705">
        <v>126679</v>
      </c>
      <c r="W1121" s="705">
        <f t="shared" si="54"/>
        <v>126679</v>
      </c>
      <c r="X1121" s="705">
        <f t="shared" si="55"/>
        <v>154396</v>
      </c>
    </row>
    <row r="1122" spans="2:24">
      <c r="B1122" t="s">
        <v>542</v>
      </c>
      <c r="C1122" t="s">
        <v>118</v>
      </c>
      <c r="D1122" t="s">
        <v>582</v>
      </c>
      <c r="E1122" t="s">
        <v>582</v>
      </c>
      <c r="F1122" s="705">
        <v>28</v>
      </c>
      <c r="G1122" s="705">
        <v>2758</v>
      </c>
      <c r="H1122" s="705">
        <v>7277</v>
      </c>
      <c r="I1122" s="705">
        <v>377967</v>
      </c>
      <c r="J1122" s="705">
        <v>343606</v>
      </c>
      <c r="K1122" s="705">
        <v>82</v>
      </c>
      <c r="L1122" s="705">
        <v>93839</v>
      </c>
      <c r="M1122" s="705">
        <v>80988</v>
      </c>
      <c r="N1122" s="705">
        <v>59843</v>
      </c>
      <c r="O1122" s="705">
        <v>22164</v>
      </c>
      <c r="P1122" s="705">
        <v>13257</v>
      </c>
      <c r="Q1122" s="705">
        <v>4910</v>
      </c>
      <c r="R1122" s="705">
        <v>137786</v>
      </c>
      <c r="S1122" s="705">
        <v>125260</v>
      </c>
      <c r="T1122" s="705">
        <v>28103</v>
      </c>
      <c r="U1122" s="705">
        <v>10409</v>
      </c>
      <c r="V1122" s="705">
        <v>587337</v>
      </c>
      <c r="W1122" s="705">
        <f t="shared" si="54"/>
        <v>587337</v>
      </c>
      <c r="X1122" s="705">
        <f t="shared" si="55"/>
        <v>710795</v>
      </c>
    </row>
    <row r="1123" spans="2:24">
      <c r="B1123" t="s">
        <v>542</v>
      </c>
      <c r="C1123" t="s">
        <v>118</v>
      </c>
      <c r="D1123" t="s">
        <v>228</v>
      </c>
      <c r="E1123" t="s">
        <v>228</v>
      </c>
      <c r="F1123" s="705">
        <v>218</v>
      </c>
      <c r="G1123" s="705">
        <v>17985</v>
      </c>
      <c r="H1123" s="705">
        <v>58094</v>
      </c>
      <c r="I1123" s="705">
        <v>2611087</v>
      </c>
      <c r="J1123" s="705">
        <v>967069</v>
      </c>
      <c r="K1123" s="705">
        <v>100</v>
      </c>
      <c r="L1123" s="705">
        <v>342170</v>
      </c>
      <c r="M1123" s="705">
        <v>189050</v>
      </c>
      <c r="N1123" s="705">
        <v>376319</v>
      </c>
      <c r="O1123" s="705">
        <v>139377</v>
      </c>
      <c r="P1123" s="705">
        <v>2890</v>
      </c>
      <c r="Q1123" s="705">
        <v>1070</v>
      </c>
      <c r="R1123" s="705">
        <v>1510455</v>
      </c>
      <c r="S1123" s="705">
        <v>559428</v>
      </c>
      <c r="T1123" s="705">
        <v>6464</v>
      </c>
      <c r="U1123" s="705">
        <v>2394</v>
      </c>
      <c r="V1123" s="705">
        <v>1858388</v>
      </c>
      <c r="W1123" s="705">
        <f t="shared" si="54"/>
        <v>1858388</v>
      </c>
      <c r="X1123" s="705">
        <f t="shared" si="55"/>
        <v>4849385</v>
      </c>
    </row>
    <row r="1124" spans="2:24">
      <c r="B1124" t="s">
        <v>542</v>
      </c>
      <c r="C1124" t="s">
        <v>118</v>
      </c>
      <c r="D1124" t="s">
        <v>228</v>
      </c>
      <c r="E1124" t="s">
        <v>665</v>
      </c>
      <c r="F1124" s="705">
        <v>1</v>
      </c>
      <c r="G1124" s="705">
        <v>68</v>
      </c>
      <c r="H1124" s="705">
        <v>299</v>
      </c>
      <c r="I1124" s="705">
        <v>8921</v>
      </c>
      <c r="J1124" s="705">
        <v>3304</v>
      </c>
      <c r="K1124" s="705">
        <v>100</v>
      </c>
      <c r="L1124" s="705">
        <v>897</v>
      </c>
      <c r="M1124" s="705">
        <v>816</v>
      </c>
      <c r="N1124" s="705">
        <v>1442</v>
      </c>
      <c r="O1124" s="705">
        <v>534</v>
      </c>
      <c r="P1124" s="705">
        <v>0</v>
      </c>
      <c r="Q1124" s="705">
        <v>0</v>
      </c>
      <c r="R1124" s="705">
        <v>6487</v>
      </c>
      <c r="S1124" s="705">
        <v>5898</v>
      </c>
      <c r="T1124" s="705">
        <v>2442</v>
      </c>
      <c r="U1124" s="705">
        <v>905</v>
      </c>
      <c r="V1124" s="705">
        <v>11456</v>
      </c>
      <c r="W1124" s="705">
        <f t="shared" si="54"/>
        <v>11457</v>
      </c>
      <c r="X1124" s="705">
        <f t="shared" si="55"/>
        <v>20189</v>
      </c>
    </row>
    <row r="1125" spans="2:24">
      <c r="B1125" t="s">
        <v>542</v>
      </c>
      <c r="C1125" t="s">
        <v>118</v>
      </c>
      <c r="D1125" t="s">
        <v>583</v>
      </c>
      <c r="E1125" t="s">
        <v>664</v>
      </c>
      <c r="F1125" s="705">
        <v>2</v>
      </c>
      <c r="G1125" s="705">
        <v>178</v>
      </c>
      <c r="H1125" s="705">
        <v>503</v>
      </c>
      <c r="I1125" s="705">
        <v>22584</v>
      </c>
      <c r="J1125" s="705">
        <v>20531</v>
      </c>
      <c r="K1125" s="705">
        <v>79</v>
      </c>
      <c r="L1125" s="705">
        <v>4124</v>
      </c>
      <c r="M1125" s="705">
        <v>2493</v>
      </c>
      <c r="N1125" s="705">
        <v>3551</v>
      </c>
      <c r="O1125" s="705">
        <v>1315</v>
      </c>
      <c r="P1125" s="705">
        <v>1242</v>
      </c>
      <c r="Q1125" s="705">
        <v>460</v>
      </c>
      <c r="R1125" s="705">
        <v>10433</v>
      </c>
      <c r="S1125" s="705">
        <v>9485</v>
      </c>
      <c r="T1125" s="705">
        <v>2845</v>
      </c>
      <c r="U1125" s="705">
        <v>1054</v>
      </c>
      <c r="V1125" s="705">
        <v>35338</v>
      </c>
      <c r="W1125" s="705">
        <f t="shared" si="54"/>
        <v>35338</v>
      </c>
      <c r="X1125" s="705">
        <f t="shared" si="55"/>
        <v>44779</v>
      </c>
    </row>
    <row r="1126" spans="2:24">
      <c r="B1126" t="s">
        <v>542</v>
      </c>
      <c r="C1126" t="s">
        <v>118</v>
      </c>
      <c r="D1126" t="s">
        <v>583</v>
      </c>
      <c r="E1126" t="s">
        <v>228</v>
      </c>
      <c r="F1126" s="705">
        <v>3</v>
      </c>
      <c r="G1126" s="705">
        <v>321</v>
      </c>
      <c r="H1126" s="705">
        <v>784</v>
      </c>
      <c r="I1126" s="705">
        <v>42871</v>
      </c>
      <c r="J1126" s="705">
        <v>38973</v>
      </c>
      <c r="K1126" s="705">
        <v>78</v>
      </c>
      <c r="L1126" s="705">
        <v>11003</v>
      </c>
      <c r="M1126" s="705">
        <v>9541</v>
      </c>
      <c r="N1126" s="705">
        <v>5479</v>
      </c>
      <c r="O1126" s="705">
        <v>2029</v>
      </c>
      <c r="P1126" s="705">
        <v>1863</v>
      </c>
      <c r="Q1126" s="705">
        <v>690</v>
      </c>
      <c r="R1126" s="705">
        <v>23050</v>
      </c>
      <c r="S1126" s="705">
        <v>8537</v>
      </c>
      <c r="T1126" s="705">
        <v>0</v>
      </c>
      <c r="U1126" s="705">
        <v>0</v>
      </c>
      <c r="V1126" s="705">
        <v>59771</v>
      </c>
      <c r="W1126" s="705">
        <f t="shared" si="54"/>
        <v>59770</v>
      </c>
      <c r="X1126" s="705">
        <f t="shared" si="55"/>
        <v>84266</v>
      </c>
    </row>
    <row r="1127" spans="2:24">
      <c r="B1127" t="s">
        <v>542</v>
      </c>
      <c r="C1127" t="s">
        <v>118</v>
      </c>
      <c r="D1127" t="s">
        <v>583</v>
      </c>
      <c r="E1127" t="s">
        <v>583</v>
      </c>
      <c r="F1127" s="705">
        <v>1965</v>
      </c>
      <c r="G1127" s="705">
        <v>184611</v>
      </c>
      <c r="H1127" s="705">
        <v>508341</v>
      </c>
      <c r="I1127" s="705">
        <v>25092041</v>
      </c>
      <c r="J1127" s="705">
        <v>22810946</v>
      </c>
      <c r="K1127" s="705">
        <v>80</v>
      </c>
      <c r="L1127" s="705">
        <v>5733256</v>
      </c>
      <c r="M1127" s="705">
        <v>4894176</v>
      </c>
      <c r="N1127" s="705">
        <v>3705152</v>
      </c>
      <c r="O1127" s="705">
        <v>1372278</v>
      </c>
      <c r="P1127" s="705">
        <v>1253085</v>
      </c>
      <c r="Q1127" s="705">
        <v>464106</v>
      </c>
      <c r="R1127" s="705">
        <v>9133468</v>
      </c>
      <c r="S1127" s="705">
        <v>8303153</v>
      </c>
      <c r="T1127" s="705">
        <v>3226444</v>
      </c>
      <c r="U1127" s="705">
        <v>1194979</v>
      </c>
      <c r="V1127" s="705">
        <v>39039638</v>
      </c>
      <c r="W1127" s="705">
        <f t="shared" si="54"/>
        <v>39039638</v>
      </c>
      <c r="X1127" s="705">
        <f t="shared" si="55"/>
        <v>48143446</v>
      </c>
    </row>
    <row r="1128" spans="2:24">
      <c r="B1128" t="s">
        <v>542</v>
      </c>
      <c r="C1128" t="s">
        <v>118</v>
      </c>
      <c r="D1128" t="s">
        <v>583</v>
      </c>
      <c r="E1128" t="s">
        <v>584</v>
      </c>
      <c r="F1128" s="705">
        <v>3</v>
      </c>
      <c r="G1128" s="705">
        <v>288</v>
      </c>
      <c r="H1128" s="705">
        <v>833</v>
      </c>
      <c r="I1128" s="705">
        <v>42018</v>
      </c>
      <c r="J1128" s="705">
        <v>38198</v>
      </c>
      <c r="K1128" s="705">
        <v>78</v>
      </c>
      <c r="L1128" s="705">
        <v>9252</v>
      </c>
      <c r="M1128" s="705">
        <v>7710</v>
      </c>
      <c r="N1128" s="705">
        <v>5923</v>
      </c>
      <c r="O1128" s="705">
        <v>2194</v>
      </c>
      <c r="P1128" s="705">
        <v>1863</v>
      </c>
      <c r="Q1128" s="705">
        <v>690</v>
      </c>
      <c r="R1128" s="705">
        <v>12892</v>
      </c>
      <c r="S1128" s="705">
        <v>11720</v>
      </c>
      <c r="T1128" s="705">
        <v>8315</v>
      </c>
      <c r="U1128" s="705">
        <v>3080</v>
      </c>
      <c r="V1128" s="705">
        <v>63592</v>
      </c>
      <c r="W1128" s="705">
        <f t="shared" si="54"/>
        <v>63592</v>
      </c>
      <c r="X1128" s="705">
        <f t="shared" si="55"/>
        <v>80263</v>
      </c>
    </row>
    <row r="1129" spans="2:24">
      <c r="B1129" t="s">
        <v>542</v>
      </c>
      <c r="C1129" t="s">
        <v>118</v>
      </c>
      <c r="D1129" t="s">
        <v>666</v>
      </c>
      <c r="E1129" t="s">
        <v>228</v>
      </c>
      <c r="F1129" s="705">
        <v>1</v>
      </c>
      <c r="G1129" s="705">
        <v>90</v>
      </c>
      <c r="H1129" s="705">
        <v>284</v>
      </c>
      <c r="I1129" s="705">
        <v>16313</v>
      </c>
      <c r="J1129" s="705">
        <v>14830</v>
      </c>
      <c r="K1129" s="705">
        <v>60</v>
      </c>
      <c r="L1129" s="705">
        <v>2669</v>
      </c>
      <c r="M1129" s="705">
        <v>989</v>
      </c>
      <c r="N1129" s="705">
        <v>1872</v>
      </c>
      <c r="O1129" s="705">
        <v>693</v>
      </c>
      <c r="P1129" s="705">
        <v>0</v>
      </c>
      <c r="Q1129" s="705">
        <v>0</v>
      </c>
      <c r="R1129" s="705">
        <v>4785</v>
      </c>
      <c r="S1129" s="705">
        <v>1772</v>
      </c>
      <c r="T1129" s="705">
        <v>0</v>
      </c>
      <c r="U1129" s="705">
        <v>0</v>
      </c>
      <c r="V1129" s="705">
        <v>18285</v>
      </c>
      <c r="W1129" s="705">
        <f t="shared" si="54"/>
        <v>18284</v>
      </c>
      <c r="X1129" s="705">
        <f t="shared" si="55"/>
        <v>25639</v>
      </c>
    </row>
    <row r="1130" spans="2:24">
      <c r="B1130" t="s">
        <v>542</v>
      </c>
      <c r="C1130" t="s">
        <v>118</v>
      </c>
      <c r="D1130" t="s">
        <v>666</v>
      </c>
      <c r="E1130" t="s">
        <v>666</v>
      </c>
      <c r="F1130" s="705">
        <v>1</v>
      </c>
      <c r="G1130" s="705">
        <v>77</v>
      </c>
      <c r="H1130" s="705">
        <v>239</v>
      </c>
      <c r="I1130" s="705">
        <v>9109</v>
      </c>
      <c r="J1130" s="705">
        <v>8281</v>
      </c>
      <c r="K1130" s="705">
        <v>65</v>
      </c>
      <c r="L1130" s="705">
        <v>2193</v>
      </c>
      <c r="M1130" s="705">
        <v>1994</v>
      </c>
      <c r="N1130" s="705">
        <v>1251</v>
      </c>
      <c r="O1130" s="705">
        <v>463</v>
      </c>
      <c r="P1130" s="705">
        <v>351</v>
      </c>
      <c r="Q1130" s="705">
        <v>130</v>
      </c>
      <c r="R1130" s="705">
        <v>3400</v>
      </c>
      <c r="S1130" s="705">
        <v>3091</v>
      </c>
      <c r="T1130" s="705">
        <v>2128</v>
      </c>
      <c r="U1130" s="705">
        <v>788</v>
      </c>
      <c r="V1130" s="705">
        <v>14746</v>
      </c>
      <c r="W1130" s="705">
        <f t="shared" si="54"/>
        <v>14747</v>
      </c>
      <c r="X1130" s="705">
        <f t="shared" si="55"/>
        <v>18432</v>
      </c>
    </row>
    <row r="1131" spans="2:24">
      <c r="B1131" t="s">
        <v>542</v>
      </c>
      <c r="C1131" t="s">
        <v>118</v>
      </c>
      <c r="D1131" t="s">
        <v>584</v>
      </c>
      <c r="E1131" t="s">
        <v>228</v>
      </c>
      <c r="F1131" s="705">
        <v>2</v>
      </c>
      <c r="G1131" s="705">
        <v>159</v>
      </c>
      <c r="H1131" s="705">
        <v>497</v>
      </c>
      <c r="I1131" s="705">
        <v>18860</v>
      </c>
      <c r="J1131" s="705">
        <v>17145</v>
      </c>
      <c r="K1131" s="705">
        <v>76</v>
      </c>
      <c r="L1131" s="705">
        <v>6671</v>
      </c>
      <c r="M1131" s="705">
        <v>5879</v>
      </c>
      <c r="N1131" s="705">
        <v>3862</v>
      </c>
      <c r="O1131" s="705">
        <v>1431</v>
      </c>
      <c r="P1131" s="705">
        <v>945</v>
      </c>
      <c r="Q1131" s="705">
        <v>350</v>
      </c>
      <c r="R1131" s="705">
        <v>9022</v>
      </c>
      <c r="S1131" s="705">
        <v>3341</v>
      </c>
      <c r="T1131" s="705">
        <v>0</v>
      </c>
      <c r="U1131" s="705">
        <v>0</v>
      </c>
      <c r="V1131" s="705">
        <v>28146</v>
      </c>
      <c r="W1131" s="705">
        <f t="shared" ref="W1131:W1194" si="56">SUM(ABS(J1131),ABS(M1131),ABS(O1131),ABS(Q1131),ABS(S1131),ABS(U1131))</f>
        <v>28146</v>
      </c>
      <c r="X1131" s="705">
        <f t="shared" ref="X1131:X1194" si="57">SUM(ABS(I1131),ABS(N1131),ABS(P1131),ABS(R1131),ABS(T1131),ABS(L1131))</f>
        <v>39360</v>
      </c>
    </row>
    <row r="1132" spans="2:24">
      <c r="B1132" t="s">
        <v>542</v>
      </c>
      <c r="C1132" t="s">
        <v>118</v>
      </c>
      <c r="D1132" t="s">
        <v>584</v>
      </c>
      <c r="E1132" t="s">
        <v>583</v>
      </c>
      <c r="F1132" s="705">
        <v>2</v>
      </c>
      <c r="G1132" s="705">
        <v>176</v>
      </c>
      <c r="H1132" s="705">
        <v>462</v>
      </c>
      <c r="I1132" s="705">
        <v>20922</v>
      </c>
      <c r="J1132" s="705">
        <v>19020</v>
      </c>
      <c r="K1132" s="705">
        <v>82</v>
      </c>
      <c r="L1132" s="705">
        <v>6100</v>
      </c>
      <c r="M1132" s="705">
        <v>5545</v>
      </c>
      <c r="N1132" s="705">
        <v>3266</v>
      </c>
      <c r="O1132" s="705">
        <v>1210</v>
      </c>
      <c r="P1132" s="705">
        <v>945</v>
      </c>
      <c r="Q1132" s="705">
        <v>350</v>
      </c>
      <c r="R1132" s="705">
        <v>7165</v>
      </c>
      <c r="S1132" s="705">
        <v>6514</v>
      </c>
      <c r="T1132" s="705">
        <v>2219</v>
      </c>
      <c r="U1132" s="705">
        <v>822</v>
      </c>
      <c r="V1132" s="705">
        <v>33461</v>
      </c>
      <c r="W1132" s="705">
        <f t="shared" si="56"/>
        <v>33461</v>
      </c>
      <c r="X1132" s="705">
        <f t="shared" si="57"/>
        <v>40617</v>
      </c>
    </row>
    <row r="1133" spans="2:24">
      <c r="B1133" t="s">
        <v>542</v>
      </c>
      <c r="C1133" t="s">
        <v>118</v>
      </c>
      <c r="D1133" t="s">
        <v>584</v>
      </c>
      <c r="E1133" t="s">
        <v>584</v>
      </c>
      <c r="F1133" s="705">
        <v>2048</v>
      </c>
      <c r="G1133" s="705">
        <v>194698</v>
      </c>
      <c r="H1133" s="705">
        <v>520466</v>
      </c>
      <c r="I1133" s="705">
        <v>25052554</v>
      </c>
      <c r="J1133" s="705">
        <v>22775049</v>
      </c>
      <c r="K1133" s="705">
        <v>78</v>
      </c>
      <c r="L1133" s="705">
        <v>7063631</v>
      </c>
      <c r="M1133" s="705">
        <v>6165951</v>
      </c>
      <c r="N1133" s="705">
        <v>3960424</v>
      </c>
      <c r="O1133" s="705">
        <v>1466824</v>
      </c>
      <c r="P1133" s="705">
        <v>975183</v>
      </c>
      <c r="Q1133" s="705">
        <v>361179</v>
      </c>
      <c r="R1133" s="705">
        <v>9916569</v>
      </c>
      <c r="S1133" s="705">
        <v>9015062</v>
      </c>
      <c r="T1133" s="705">
        <v>2756441</v>
      </c>
      <c r="U1133" s="705">
        <v>1020904</v>
      </c>
      <c r="V1133" s="705">
        <v>40804969</v>
      </c>
      <c r="W1133" s="705">
        <f t="shared" si="56"/>
        <v>40804969</v>
      </c>
      <c r="X1133" s="705">
        <f t="shared" si="57"/>
        <v>49724802</v>
      </c>
    </row>
    <row r="1134" spans="2:24">
      <c r="B1134" t="s">
        <v>542</v>
      </c>
      <c r="C1134" t="s">
        <v>118</v>
      </c>
      <c r="D1134" t="s">
        <v>584</v>
      </c>
      <c r="E1134" t="s">
        <v>665</v>
      </c>
      <c r="F1134" s="705">
        <v>2</v>
      </c>
      <c r="G1134" s="705">
        <v>186</v>
      </c>
      <c r="H1134" s="705">
        <v>462</v>
      </c>
      <c r="I1134" s="705">
        <v>19897</v>
      </c>
      <c r="J1134" s="705">
        <v>18088</v>
      </c>
      <c r="K1134" s="705">
        <v>78</v>
      </c>
      <c r="L1134" s="705">
        <v>5486</v>
      </c>
      <c r="M1134" s="705">
        <v>4987</v>
      </c>
      <c r="N1134" s="705">
        <v>4392</v>
      </c>
      <c r="O1134" s="705">
        <v>1627</v>
      </c>
      <c r="P1134" s="705">
        <v>945</v>
      </c>
      <c r="Q1134" s="705">
        <v>350</v>
      </c>
      <c r="R1134" s="705">
        <v>12121</v>
      </c>
      <c r="S1134" s="705">
        <v>11019</v>
      </c>
      <c r="T1134" s="705">
        <v>0</v>
      </c>
      <c r="U1134" s="705">
        <v>0</v>
      </c>
      <c r="V1134" s="705">
        <v>36071</v>
      </c>
      <c r="W1134" s="705">
        <f t="shared" si="56"/>
        <v>36071</v>
      </c>
      <c r="X1134" s="705">
        <f t="shared" si="57"/>
        <v>42841</v>
      </c>
    </row>
    <row r="1135" spans="2:24">
      <c r="B1135" t="s">
        <v>542</v>
      </c>
      <c r="C1135" t="s">
        <v>118</v>
      </c>
      <c r="D1135" t="s">
        <v>669</v>
      </c>
      <c r="E1135" t="s">
        <v>669</v>
      </c>
      <c r="F1135" s="705">
        <v>15</v>
      </c>
      <c r="G1135" s="705">
        <v>1453</v>
      </c>
      <c r="H1135" s="705">
        <v>4095</v>
      </c>
      <c r="I1135" s="705">
        <v>216724</v>
      </c>
      <c r="J1135" s="705">
        <v>180603</v>
      </c>
      <c r="K1135" s="705">
        <v>63</v>
      </c>
      <c r="L1135" s="705">
        <v>31932</v>
      </c>
      <c r="M1135" s="705">
        <v>25860</v>
      </c>
      <c r="N1135" s="705">
        <v>27363</v>
      </c>
      <c r="O1135" s="705">
        <v>10135</v>
      </c>
      <c r="P1135" s="705">
        <v>5535</v>
      </c>
      <c r="Q1135" s="705">
        <v>2050</v>
      </c>
      <c r="R1135" s="705">
        <v>90221</v>
      </c>
      <c r="S1135" s="705">
        <v>75184</v>
      </c>
      <c r="T1135" s="705">
        <v>26060</v>
      </c>
      <c r="U1135" s="705">
        <v>9652</v>
      </c>
      <c r="V1135" s="705">
        <v>303484</v>
      </c>
      <c r="W1135" s="705">
        <f t="shared" si="56"/>
        <v>303484</v>
      </c>
      <c r="X1135" s="705">
        <f t="shared" si="57"/>
        <v>397835</v>
      </c>
    </row>
    <row r="1136" spans="2:24">
      <c r="B1136" t="s">
        <v>542</v>
      </c>
      <c r="C1136" t="s">
        <v>118</v>
      </c>
      <c r="D1136" t="s">
        <v>671</v>
      </c>
      <c r="E1136" t="s">
        <v>671</v>
      </c>
      <c r="F1136" s="705">
        <v>5</v>
      </c>
      <c r="G1136" s="705">
        <v>429</v>
      </c>
      <c r="H1136" s="705">
        <v>1295</v>
      </c>
      <c r="I1136" s="705">
        <v>52891</v>
      </c>
      <c r="J1136" s="705">
        <v>48083</v>
      </c>
      <c r="K1136" s="705">
        <v>62</v>
      </c>
      <c r="L1136" s="705">
        <v>11526</v>
      </c>
      <c r="M1136" s="705">
        <v>9485</v>
      </c>
      <c r="N1136" s="705">
        <v>8700</v>
      </c>
      <c r="O1136" s="705">
        <v>3222</v>
      </c>
      <c r="P1136" s="705">
        <v>1053</v>
      </c>
      <c r="Q1136" s="705">
        <v>390</v>
      </c>
      <c r="R1136" s="705">
        <v>23352</v>
      </c>
      <c r="S1136" s="705">
        <v>21229</v>
      </c>
      <c r="T1136" s="705">
        <v>12415</v>
      </c>
      <c r="U1136" s="705">
        <v>4598</v>
      </c>
      <c r="V1136" s="705">
        <v>87007</v>
      </c>
      <c r="W1136" s="705">
        <f t="shared" si="56"/>
        <v>87007</v>
      </c>
      <c r="X1136" s="705">
        <f t="shared" si="57"/>
        <v>109937</v>
      </c>
    </row>
    <row r="1137" spans="2:24">
      <c r="B1137" t="s">
        <v>542</v>
      </c>
      <c r="C1137" t="s">
        <v>118</v>
      </c>
      <c r="D1137" t="s">
        <v>665</v>
      </c>
      <c r="E1137" t="s">
        <v>228</v>
      </c>
      <c r="F1137" s="705">
        <v>1</v>
      </c>
      <c r="G1137" s="705">
        <v>36</v>
      </c>
      <c r="H1137" s="705">
        <v>245</v>
      </c>
      <c r="I1137" s="705">
        <v>3006</v>
      </c>
      <c r="J1137" s="705">
        <v>2733</v>
      </c>
      <c r="K1137" s="705">
        <v>77</v>
      </c>
      <c r="L1137" s="705">
        <v>1003</v>
      </c>
      <c r="M1137" s="705">
        <v>371</v>
      </c>
      <c r="N1137" s="705">
        <v>694</v>
      </c>
      <c r="O1137" s="705">
        <v>257</v>
      </c>
      <c r="P1137" s="705">
        <v>0</v>
      </c>
      <c r="Q1137" s="705">
        <v>0</v>
      </c>
      <c r="R1137" s="705">
        <v>4019</v>
      </c>
      <c r="S1137" s="705">
        <v>1488</v>
      </c>
      <c r="T1137" s="705">
        <v>0</v>
      </c>
      <c r="U1137" s="705">
        <v>0</v>
      </c>
      <c r="V1137" s="705">
        <v>4850</v>
      </c>
      <c r="W1137" s="705">
        <f t="shared" si="56"/>
        <v>4849</v>
      </c>
      <c r="X1137" s="705">
        <f t="shared" si="57"/>
        <v>8722</v>
      </c>
    </row>
    <row r="1138" spans="2:24">
      <c r="B1138" t="s">
        <v>542</v>
      </c>
      <c r="C1138" t="s">
        <v>118</v>
      </c>
      <c r="D1138" t="s">
        <v>665</v>
      </c>
      <c r="E1138" t="s">
        <v>665</v>
      </c>
      <c r="F1138" s="705">
        <v>82</v>
      </c>
      <c r="G1138" s="705">
        <v>7261</v>
      </c>
      <c r="H1138" s="705">
        <v>22076</v>
      </c>
      <c r="I1138" s="705">
        <v>1049237</v>
      </c>
      <c r="J1138" s="705">
        <v>953852</v>
      </c>
      <c r="K1138" s="705">
        <v>62</v>
      </c>
      <c r="L1138" s="705">
        <v>185131</v>
      </c>
      <c r="M1138" s="705">
        <v>157489</v>
      </c>
      <c r="N1138" s="705">
        <v>133628</v>
      </c>
      <c r="O1138" s="705">
        <v>49492</v>
      </c>
      <c r="P1138" s="705">
        <v>27999</v>
      </c>
      <c r="Q1138" s="705">
        <v>10370</v>
      </c>
      <c r="R1138" s="705">
        <v>390735</v>
      </c>
      <c r="S1138" s="705">
        <v>355214</v>
      </c>
      <c r="T1138" s="705">
        <v>191262</v>
      </c>
      <c r="U1138" s="705">
        <v>70838</v>
      </c>
      <c r="V1138" s="705">
        <v>1597254</v>
      </c>
      <c r="W1138" s="705">
        <f t="shared" si="56"/>
        <v>1597255</v>
      </c>
      <c r="X1138" s="705">
        <f t="shared" si="57"/>
        <v>1977992</v>
      </c>
    </row>
    <row r="1139" spans="2:24">
      <c r="B1139" t="s">
        <v>542</v>
      </c>
      <c r="C1139" t="s">
        <v>118</v>
      </c>
      <c r="D1139" t="s">
        <v>673</v>
      </c>
      <c r="E1139" t="s">
        <v>673</v>
      </c>
      <c r="F1139" s="705">
        <v>5</v>
      </c>
      <c r="G1139" s="705">
        <v>389</v>
      </c>
      <c r="H1139" s="705">
        <v>1322</v>
      </c>
      <c r="I1139" s="705">
        <v>53839</v>
      </c>
      <c r="J1139" s="705">
        <v>48945</v>
      </c>
      <c r="K1139" s="705">
        <v>67</v>
      </c>
      <c r="L1139" s="705">
        <v>13357</v>
      </c>
      <c r="M1139" s="705">
        <v>12142</v>
      </c>
      <c r="N1139" s="705">
        <v>4742</v>
      </c>
      <c r="O1139" s="705">
        <v>1756</v>
      </c>
      <c r="P1139" s="705">
        <v>1877</v>
      </c>
      <c r="Q1139" s="705">
        <v>695</v>
      </c>
      <c r="R1139" s="705">
        <v>20643</v>
      </c>
      <c r="S1139" s="705">
        <v>18766</v>
      </c>
      <c r="T1139" s="705">
        <v>8431</v>
      </c>
      <c r="U1139" s="705">
        <v>3123</v>
      </c>
      <c r="V1139" s="705">
        <v>85427</v>
      </c>
      <c r="W1139" s="705">
        <f t="shared" si="56"/>
        <v>85427</v>
      </c>
      <c r="X1139" s="705">
        <f t="shared" si="57"/>
        <v>102889</v>
      </c>
    </row>
    <row r="1140" spans="2:24">
      <c r="B1140" t="s">
        <v>542</v>
      </c>
      <c r="C1140" t="s">
        <v>120</v>
      </c>
      <c r="F1140" s="705">
        <v>3</v>
      </c>
      <c r="G1140" s="705">
        <v>363</v>
      </c>
      <c r="H1140" s="705">
        <v>1056</v>
      </c>
      <c r="I1140" s="705"/>
      <c r="J1140" s="705">
        <v>0</v>
      </c>
      <c r="K1140" s="705"/>
      <c r="L1140" s="705"/>
      <c r="M1140" s="705">
        <v>0</v>
      </c>
      <c r="N1140" s="705">
        <v>7095</v>
      </c>
      <c r="O1140" s="705">
        <v>2628</v>
      </c>
      <c r="P1140" s="705">
        <v>0</v>
      </c>
      <c r="Q1140" s="705">
        <v>0</v>
      </c>
      <c r="R1140" s="705"/>
      <c r="S1140" s="705">
        <v>0</v>
      </c>
      <c r="T1140" s="705">
        <v>0</v>
      </c>
      <c r="U1140" s="705">
        <v>0</v>
      </c>
      <c r="V1140" s="705">
        <v>2628</v>
      </c>
      <c r="W1140" s="705">
        <f t="shared" si="56"/>
        <v>2628</v>
      </c>
      <c r="X1140" s="705">
        <f t="shared" si="57"/>
        <v>7095</v>
      </c>
    </row>
    <row r="1141" spans="2:24">
      <c r="B1141" t="s">
        <v>542</v>
      </c>
      <c r="C1141" t="s">
        <v>120</v>
      </c>
      <c r="D1141" t="s">
        <v>664</v>
      </c>
      <c r="E1141" t="s">
        <v>664</v>
      </c>
      <c r="F1141" s="705">
        <v>1</v>
      </c>
      <c r="G1141" s="705">
        <v>134</v>
      </c>
      <c r="H1141" s="705">
        <v>322</v>
      </c>
      <c r="I1141" s="705">
        <v>26310</v>
      </c>
      <c r="J1141" s="705">
        <v>23918</v>
      </c>
      <c r="K1141" s="705">
        <v>65</v>
      </c>
      <c r="L1141" s="705">
        <v>6334</v>
      </c>
      <c r="M1141" s="705">
        <v>5758</v>
      </c>
      <c r="N1141" s="705">
        <v>2833</v>
      </c>
      <c r="O1141" s="705">
        <v>1049</v>
      </c>
      <c r="P1141" s="705">
        <v>473</v>
      </c>
      <c r="Q1141" s="705">
        <v>175</v>
      </c>
      <c r="R1141" s="705">
        <v>7281</v>
      </c>
      <c r="S1141" s="705">
        <v>6619</v>
      </c>
      <c r="T1141" s="705">
        <v>0</v>
      </c>
      <c r="U1141" s="705">
        <v>0</v>
      </c>
      <c r="V1141" s="705">
        <v>37519</v>
      </c>
      <c r="W1141" s="705">
        <f t="shared" si="56"/>
        <v>37519</v>
      </c>
      <c r="X1141" s="705">
        <f t="shared" si="57"/>
        <v>43231</v>
      </c>
    </row>
    <row r="1142" spans="2:24">
      <c r="B1142" t="s">
        <v>542</v>
      </c>
      <c r="C1142" t="s">
        <v>120</v>
      </c>
      <c r="D1142" t="s">
        <v>582</v>
      </c>
      <c r="E1142" t="s">
        <v>582</v>
      </c>
      <c r="F1142" s="705">
        <v>3</v>
      </c>
      <c r="G1142" s="705">
        <v>312</v>
      </c>
      <c r="H1142" s="705">
        <v>953</v>
      </c>
      <c r="I1142" s="705">
        <v>53365</v>
      </c>
      <c r="J1142" s="705">
        <v>48513</v>
      </c>
      <c r="K1142" s="705">
        <v>79</v>
      </c>
      <c r="L1142" s="705">
        <v>15725</v>
      </c>
      <c r="M1142" s="705">
        <v>13804</v>
      </c>
      <c r="N1142" s="705">
        <v>7375</v>
      </c>
      <c r="O1142" s="705">
        <v>2731</v>
      </c>
      <c r="P1142" s="705">
        <v>1067</v>
      </c>
      <c r="Q1142" s="705">
        <v>395</v>
      </c>
      <c r="R1142" s="705">
        <v>16985</v>
      </c>
      <c r="S1142" s="705">
        <v>15441</v>
      </c>
      <c r="T1142" s="705">
        <v>4734</v>
      </c>
      <c r="U1142" s="705">
        <v>1753</v>
      </c>
      <c r="V1142" s="705">
        <v>82638</v>
      </c>
      <c r="W1142" s="705">
        <f t="shared" si="56"/>
        <v>82637</v>
      </c>
      <c r="X1142" s="705">
        <f t="shared" si="57"/>
        <v>99251</v>
      </c>
    </row>
    <row r="1143" spans="2:24">
      <c r="B1143" t="s">
        <v>542</v>
      </c>
      <c r="C1143" t="s">
        <v>120</v>
      </c>
      <c r="D1143" t="s">
        <v>228</v>
      </c>
      <c r="E1143" t="s">
        <v>228</v>
      </c>
      <c r="F1143" s="705">
        <v>140</v>
      </c>
      <c r="G1143" s="705">
        <v>9956</v>
      </c>
      <c r="H1143" s="705">
        <v>46487</v>
      </c>
      <c r="I1143" s="705">
        <v>1905148</v>
      </c>
      <c r="J1143" s="705">
        <v>705610</v>
      </c>
      <c r="K1143" s="705">
        <v>100</v>
      </c>
      <c r="L1143" s="705">
        <v>289265</v>
      </c>
      <c r="M1143" s="705">
        <v>156501</v>
      </c>
      <c r="N1143" s="705">
        <v>202430</v>
      </c>
      <c r="O1143" s="705">
        <v>74974</v>
      </c>
      <c r="P1143" s="705">
        <v>1053</v>
      </c>
      <c r="Q1143" s="705">
        <v>390</v>
      </c>
      <c r="R1143" s="705">
        <v>914732</v>
      </c>
      <c r="S1143" s="705">
        <v>338790</v>
      </c>
      <c r="T1143" s="705">
        <v>2326</v>
      </c>
      <c r="U1143" s="705">
        <v>861</v>
      </c>
      <c r="V1143" s="705">
        <v>1277126</v>
      </c>
      <c r="W1143" s="705">
        <f t="shared" si="56"/>
        <v>1277126</v>
      </c>
      <c r="X1143" s="705">
        <f t="shared" si="57"/>
        <v>3314954</v>
      </c>
    </row>
    <row r="1144" spans="2:24">
      <c r="B1144" t="s">
        <v>542</v>
      </c>
      <c r="C1144" t="s">
        <v>120</v>
      </c>
      <c r="D1144" t="s">
        <v>228</v>
      </c>
      <c r="E1144" t="s">
        <v>669</v>
      </c>
      <c r="F1144" s="705">
        <v>2</v>
      </c>
      <c r="G1144" s="705">
        <v>167</v>
      </c>
      <c r="H1144" s="705">
        <v>650</v>
      </c>
      <c r="I1144" s="705">
        <v>26442</v>
      </c>
      <c r="J1144" s="705">
        <v>9793</v>
      </c>
      <c r="K1144" s="705">
        <v>100</v>
      </c>
      <c r="L1144" s="705">
        <v>3986</v>
      </c>
      <c r="M1144" s="705">
        <v>3321</v>
      </c>
      <c r="N1144" s="705">
        <v>3637</v>
      </c>
      <c r="O1144" s="705">
        <v>1347</v>
      </c>
      <c r="P1144" s="705">
        <v>702</v>
      </c>
      <c r="Q1144" s="705">
        <v>260</v>
      </c>
      <c r="R1144" s="705">
        <v>14299</v>
      </c>
      <c r="S1144" s="705">
        <v>11915</v>
      </c>
      <c r="T1144" s="705">
        <v>4957</v>
      </c>
      <c r="U1144" s="705">
        <v>1836</v>
      </c>
      <c r="V1144" s="705">
        <v>28473</v>
      </c>
      <c r="W1144" s="705">
        <f t="shared" si="56"/>
        <v>28472</v>
      </c>
      <c r="X1144" s="705">
        <f t="shared" si="57"/>
        <v>54023</v>
      </c>
    </row>
    <row r="1145" spans="2:24">
      <c r="B1145" t="s">
        <v>542</v>
      </c>
      <c r="C1145" t="s">
        <v>120</v>
      </c>
      <c r="D1145" t="s">
        <v>228</v>
      </c>
      <c r="E1145" t="s">
        <v>665</v>
      </c>
      <c r="F1145" s="705">
        <v>4</v>
      </c>
      <c r="G1145" s="705">
        <v>305</v>
      </c>
      <c r="H1145" s="705">
        <v>1462</v>
      </c>
      <c r="I1145" s="705">
        <v>64157</v>
      </c>
      <c r="J1145" s="705">
        <v>23762</v>
      </c>
      <c r="K1145" s="705">
        <v>100</v>
      </c>
      <c r="L1145" s="705">
        <v>9474</v>
      </c>
      <c r="M1145" s="705">
        <v>8613</v>
      </c>
      <c r="N1145" s="705">
        <v>6452</v>
      </c>
      <c r="O1145" s="705">
        <v>2390</v>
      </c>
      <c r="P1145" s="705">
        <v>0</v>
      </c>
      <c r="Q1145" s="705">
        <v>0</v>
      </c>
      <c r="R1145" s="705">
        <v>27516</v>
      </c>
      <c r="S1145" s="705">
        <v>25014</v>
      </c>
      <c r="T1145" s="705">
        <v>4133</v>
      </c>
      <c r="U1145" s="705">
        <v>1531</v>
      </c>
      <c r="V1145" s="705">
        <v>61310</v>
      </c>
      <c r="W1145" s="705">
        <f t="shared" si="56"/>
        <v>61310</v>
      </c>
      <c r="X1145" s="705">
        <f t="shared" si="57"/>
        <v>111732</v>
      </c>
    </row>
    <row r="1146" spans="2:24">
      <c r="B1146" t="s">
        <v>542</v>
      </c>
      <c r="C1146" t="s">
        <v>120</v>
      </c>
      <c r="D1146" t="s">
        <v>583</v>
      </c>
      <c r="E1146" t="s">
        <v>674</v>
      </c>
      <c r="F1146" s="705">
        <v>1</v>
      </c>
      <c r="G1146" s="705">
        <v>100</v>
      </c>
      <c r="H1146" s="705">
        <v>373</v>
      </c>
      <c r="I1146" s="705">
        <v>22500</v>
      </c>
      <c r="J1146" s="705">
        <v>20455</v>
      </c>
      <c r="K1146" s="705">
        <v>70</v>
      </c>
      <c r="L1146" s="705">
        <v>5542</v>
      </c>
      <c r="M1146" s="705">
        <v>5038</v>
      </c>
      <c r="N1146" s="705">
        <v>2448</v>
      </c>
      <c r="O1146" s="705">
        <v>907</v>
      </c>
      <c r="P1146" s="705">
        <v>621</v>
      </c>
      <c r="Q1146" s="705">
        <v>230</v>
      </c>
      <c r="R1146" s="705">
        <v>6370</v>
      </c>
      <c r="S1146" s="705">
        <v>5791</v>
      </c>
      <c r="T1146" s="705">
        <v>0</v>
      </c>
      <c r="U1146" s="705">
        <v>0</v>
      </c>
      <c r="V1146" s="705">
        <v>32421</v>
      </c>
      <c r="W1146" s="705">
        <f t="shared" si="56"/>
        <v>32421</v>
      </c>
      <c r="X1146" s="705">
        <f t="shared" si="57"/>
        <v>37481</v>
      </c>
    </row>
    <row r="1147" spans="2:24">
      <c r="B1147" t="s">
        <v>542</v>
      </c>
      <c r="C1147" t="s">
        <v>120</v>
      </c>
      <c r="D1147" t="s">
        <v>583</v>
      </c>
      <c r="E1147" t="s">
        <v>664</v>
      </c>
      <c r="F1147" s="705">
        <v>1</v>
      </c>
      <c r="G1147" s="705">
        <v>74</v>
      </c>
      <c r="H1147" s="705">
        <v>312</v>
      </c>
      <c r="I1147" s="705">
        <v>11856</v>
      </c>
      <c r="J1147" s="705">
        <v>10778</v>
      </c>
      <c r="K1147" s="705">
        <v>65</v>
      </c>
      <c r="L1147" s="705">
        <v>1776</v>
      </c>
      <c r="M1147" s="705">
        <v>1480</v>
      </c>
      <c r="N1147" s="705">
        <v>1200</v>
      </c>
      <c r="O1147" s="705">
        <v>445</v>
      </c>
      <c r="P1147" s="705">
        <v>972</v>
      </c>
      <c r="Q1147" s="705">
        <v>360</v>
      </c>
      <c r="R1147" s="705">
        <v>4717</v>
      </c>
      <c r="S1147" s="705">
        <v>4289</v>
      </c>
      <c r="T1147" s="705">
        <v>2435</v>
      </c>
      <c r="U1147" s="705">
        <v>902</v>
      </c>
      <c r="V1147" s="705">
        <v>18253</v>
      </c>
      <c r="W1147" s="705">
        <f t="shared" si="56"/>
        <v>18254</v>
      </c>
      <c r="X1147" s="705">
        <f t="shared" si="57"/>
        <v>22956</v>
      </c>
    </row>
    <row r="1148" spans="2:24">
      <c r="B1148" t="s">
        <v>542</v>
      </c>
      <c r="C1148" t="s">
        <v>120</v>
      </c>
      <c r="D1148" t="s">
        <v>583</v>
      </c>
      <c r="E1148" t="s">
        <v>228</v>
      </c>
      <c r="F1148" s="705">
        <v>1</v>
      </c>
      <c r="G1148" s="705">
        <v>90</v>
      </c>
      <c r="H1148" s="705">
        <v>347</v>
      </c>
      <c r="I1148" s="705">
        <v>17615</v>
      </c>
      <c r="J1148" s="705">
        <v>16013</v>
      </c>
      <c r="K1148" s="705">
        <v>85</v>
      </c>
      <c r="L1148" s="705">
        <v>5743</v>
      </c>
      <c r="M1148" s="705">
        <v>4786</v>
      </c>
      <c r="N1148" s="705">
        <v>1377</v>
      </c>
      <c r="O1148" s="705">
        <v>510</v>
      </c>
      <c r="P1148" s="705">
        <v>621</v>
      </c>
      <c r="Q1148" s="705">
        <v>230</v>
      </c>
      <c r="R1148" s="705">
        <v>6001</v>
      </c>
      <c r="S1148" s="705">
        <v>2223</v>
      </c>
      <c r="T1148" s="705">
        <v>0</v>
      </c>
      <c r="U1148" s="705">
        <v>0</v>
      </c>
      <c r="V1148" s="705">
        <v>23762</v>
      </c>
      <c r="W1148" s="705">
        <f t="shared" si="56"/>
        <v>23762</v>
      </c>
      <c r="X1148" s="705">
        <f t="shared" si="57"/>
        <v>31357</v>
      </c>
    </row>
    <row r="1149" spans="2:24">
      <c r="B1149" t="s">
        <v>542</v>
      </c>
      <c r="C1149" t="s">
        <v>120</v>
      </c>
      <c r="D1149" t="s">
        <v>583</v>
      </c>
      <c r="E1149" t="s">
        <v>583</v>
      </c>
      <c r="F1149" s="705">
        <v>685</v>
      </c>
      <c r="G1149" s="705">
        <v>64802</v>
      </c>
      <c r="H1149" s="705">
        <v>231420</v>
      </c>
      <c r="I1149" s="705">
        <v>13036923</v>
      </c>
      <c r="J1149" s="705">
        <v>11851749</v>
      </c>
      <c r="K1149" s="705">
        <v>77</v>
      </c>
      <c r="L1149" s="705">
        <v>2830223</v>
      </c>
      <c r="M1149" s="705">
        <v>2426885</v>
      </c>
      <c r="N1149" s="705">
        <v>1332467</v>
      </c>
      <c r="O1149" s="705">
        <v>493506</v>
      </c>
      <c r="P1149" s="705">
        <v>434309</v>
      </c>
      <c r="Q1149" s="705">
        <v>160855</v>
      </c>
      <c r="R1149" s="705">
        <v>3255257</v>
      </c>
      <c r="S1149" s="705">
        <v>2959324</v>
      </c>
      <c r="T1149" s="705">
        <v>1201624</v>
      </c>
      <c r="U1149" s="705">
        <v>445046</v>
      </c>
      <c r="V1149" s="705">
        <v>18337365</v>
      </c>
      <c r="W1149" s="705">
        <f t="shared" si="56"/>
        <v>18337365</v>
      </c>
      <c r="X1149" s="705">
        <f t="shared" si="57"/>
        <v>22090803</v>
      </c>
    </row>
    <row r="1150" spans="2:24">
      <c r="B1150" t="s">
        <v>542</v>
      </c>
      <c r="C1150" t="s">
        <v>120</v>
      </c>
      <c r="D1150" t="s">
        <v>583</v>
      </c>
      <c r="E1150" t="s">
        <v>666</v>
      </c>
      <c r="F1150" s="705">
        <v>1</v>
      </c>
      <c r="G1150" s="705">
        <v>91</v>
      </c>
      <c r="H1150" s="705">
        <v>347</v>
      </c>
      <c r="I1150" s="705">
        <v>15874</v>
      </c>
      <c r="J1150" s="705">
        <v>14431</v>
      </c>
      <c r="K1150" s="705">
        <v>79</v>
      </c>
      <c r="L1150" s="705">
        <v>2533</v>
      </c>
      <c r="M1150" s="705">
        <v>2303</v>
      </c>
      <c r="N1150" s="705">
        <v>2229</v>
      </c>
      <c r="O1150" s="705">
        <v>825</v>
      </c>
      <c r="P1150" s="705">
        <v>621</v>
      </c>
      <c r="Q1150" s="705">
        <v>230</v>
      </c>
      <c r="R1150" s="705">
        <v>5897</v>
      </c>
      <c r="S1150" s="705">
        <v>5361</v>
      </c>
      <c r="T1150" s="705">
        <v>4545</v>
      </c>
      <c r="U1150" s="705">
        <v>1683</v>
      </c>
      <c r="V1150" s="705">
        <v>24834</v>
      </c>
      <c r="W1150" s="705">
        <f t="shared" si="56"/>
        <v>24833</v>
      </c>
      <c r="X1150" s="705">
        <f t="shared" si="57"/>
        <v>31699</v>
      </c>
    </row>
    <row r="1151" spans="2:24">
      <c r="B1151" t="s">
        <v>542</v>
      </c>
      <c r="C1151" t="s">
        <v>120</v>
      </c>
      <c r="D1151" t="s">
        <v>583</v>
      </c>
      <c r="E1151" t="s">
        <v>584</v>
      </c>
      <c r="F1151" s="705">
        <v>2</v>
      </c>
      <c r="G1151" s="705">
        <v>218</v>
      </c>
      <c r="H1151" s="705">
        <v>679</v>
      </c>
      <c r="I1151" s="705">
        <v>45596</v>
      </c>
      <c r="J1151" s="705">
        <v>41451</v>
      </c>
      <c r="K1151" s="705">
        <v>70</v>
      </c>
      <c r="L1151" s="705">
        <v>9566</v>
      </c>
      <c r="M1151" s="705">
        <v>8419</v>
      </c>
      <c r="N1151" s="705">
        <v>4337</v>
      </c>
      <c r="O1151" s="705">
        <v>1606</v>
      </c>
      <c r="P1151" s="705">
        <v>1242</v>
      </c>
      <c r="Q1151" s="705">
        <v>460</v>
      </c>
      <c r="R1151" s="705">
        <v>11537</v>
      </c>
      <c r="S1151" s="705">
        <v>10488</v>
      </c>
      <c r="T1151" s="705">
        <v>2685</v>
      </c>
      <c r="U1151" s="705">
        <v>994</v>
      </c>
      <c r="V1151" s="705">
        <v>63420</v>
      </c>
      <c r="W1151" s="705">
        <f t="shared" si="56"/>
        <v>63418</v>
      </c>
      <c r="X1151" s="705">
        <f t="shared" si="57"/>
        <v>74963</v>
      </c>
    </row>
    <row r="1152" spans="2:24">
      <c r="B1152" t="s">
        <v>542</v>
      </c>
      <c r="C1152" t="s">
        <v>120</v>
      </c>
      <c r="D1152" t="s">
        <v>583</v>
      </c>
      <c r="E1152" t="s">
        <v>665</v>
      </c>
      <c r="F1152" s="705">
        <v>2</v>
      </c>
      <c r="G1152" s="705">
        <v>173</v>
      </c>
      <c r="H1152" s="705">
        <v>644</v>
      </c>
      <c r="I1152" s="705">
        <v>33111</v>
      </c>
      <c r="J1152" s="705">
        <v>30101</v>
      </c>
      <c r="K1152" s="705">
        <v>70</v>
      </c>
      <c r="L1152" s="705">
        <v>4386</v>
      </c>
      <c r="M1152" s="705">
        <v>3987</v>
      </c>
      <c r="N1152" s="705">
        <v>3405</v>
      </c>
      <c r="O1152" s="705">
        <v>1261</v>
      </c>
      <c r="P1152" s="705">
        <v>1242</v>
      </c>
      <c r="Q1152" s="705">
        <v>460</v>
      </c>
      <c r="R1152" s="705">
        <v>7951</v>
      </c>
      <c r="S1152" s="705">
        <v>7228</v>
      </c>
      <c r="T1152" s="705">
        <v>5305</v>
      </c>
      <c r="U1152" s="705">
        <v>1965</v>
      </c>
      <c r="V1152" s="705">
        <v>45002</v>
      </c>
      <c r="W1152" s="705">
        <f t="shared" si="56"/>
        <v>45002</v>
      </c>
      <c r="X1152" s="705">
        <f t="shared" si="57"/>
        <v>55400</v>
      </c>
    </row>
    <row r="1153" spans="2:24">
      <c r="B1153" t="s">
        <v>542</v>
      </c>
      <c r="C1153" t="s">
        <v>120</v>
      </c>
      <c r="D1153" t="s">
        <v>584</v>
      </c>
      <c r="E1153" t="s">
        <v>584</v>
      </c>
      <c r="F1153" s="705">
        <v>382</v>
      </c>
      <c r="G1153" s="705">
        <v>32482</v>
      </c>
      <c r="H1153" s="705">
        <v>127563</v>
      </c>
      <c r="I1153" s="705">
        <v>6189821</v>
      </c>
      <c r="J1153" s="705">
        <v>5627110</v>
      </c>
      <c r="K1153" s="705">
        <v>78</v>
      </c>
      <c r="L1153" s="705">
        <v>1603305</v>
      </c>
      <c r="M1153" s="705">
        <v>1392727</v>
      </c>
      <c r="N1153" s="705">
        <v>667849</v>
      </c>
      <c r="O1153" s="705">
        <v>247351</v>
      </c>
      <c r="P1153" s="705">
        <v>181062</v>
      </c>
      <c r="Q1153" s="705">
        <v>67060</v>
      </c>
      <c r="R1153" s="705">
        <v>1784068</v>
      </c>
      <c r="S1153" s="705">
        <v>1621880</v>
      </c>
      <c r="T1153" s="705">
        <v>555093</v>
      </c>
      <c r="U1153" s="705">
        <v>205590</v>
      </c>
      <c r="V1153" s="705">
        <v>9161719</v>
      </c>
      <c r="W1153" s="705">
        <f t="shared" si="56"/>
        <v>9161718</v>
      </c>
      <c r="X1153" s="705">
        <f t="shared" si="57"/>
        <v>10981198</v>
      </c>
    </row>
    <row r="1154" spans="2:24">
      <c r="B1154" t="s">
        <v>542</v>
      </c>
      <c r="C1154" t="s">
        <v>120</v>
      </c>
      <c r="D1154" t="s">
        <v>669</v>
      </c>
      <c r="E1154" t="s">
        <v>228</v>
      </c>
      <c r="F1154" s="705">
        <v>1</v>
      </c>
      <c r="G1154" s="705">
        <v>61</v>
      </c>
      <c r="H1154" s="705">
        <v>361</v>
      </c>
      <c r="I1154" s="705">
        <v>13198</v>
      </c>
      <c r="J1154" s="705">
        <v>10999</v>
      </c>
      <c r="K1154" s="705">
        <v>65</v>
      </c>
      <c r="L1154" s="705">
        <v>2145</v>
      </c>
      <c r="M1154" s="705">
        <v>794</v>
      </c>
      <c r="N1154" s="705">
        <v>741</v>
      </c>
      <c r="O1154" s="705">
        <v>274</v>
      </c>
      <c r="P1154" s="705">
        <v>351</v>
      </c>
      <c r="Q1154" s="705">
        <v>130</v>
      </c>
      <c r="R1154" s="705">
        <v>5492</v>
      </c>
      <c r="S1154" s="705">
        <v>2034</v>
      </c>
      <c r="T1154" s="705">
        <v>0</v>
      </c>
      <c r="U1154" s="705">
        <v>0</v>
      </c>
      <c r="V1154" s="705">
        <v>14232</v>
      </c>
      <c r="W1154" s="705">
        <f t="shared" si="56"/>
        <v>14231</v>
      </c>
      <c r="X1154" s="705">
        <f t="shared" si="57"/>
        <v>21927</v>
      </c>
    </row>
    <row r="1155" spans="2:24">
      <c r="B1155" t="s">
        <v>542</v>
      </c>
      <c r="C1155" t="s">
        <v>120</v>
      </c>
      <c r="D1155" t="s">
        <v>669</v>
      </c>
      <c r="E1155" t="s">
        <v>669</v>
      </c>
      <c r="F1155" s="705">
        <v>28</v>
      </c>
      <c r="G1155" s="705">
        <v>2492</v>
      </c>
      <c r="H1155" s="705">
        <v>9465</v>
      </c>
      <c r="I1155" s="705">
        <v>487943</v>
      </c>
      <c r="J1155" s="705">
        <v>406619</v>
      </c>
      <c r="K1155" s="705">
        <v>56</v>
      </c>
      <c r="L1155" s="705">
        <v>71191</v>
      </c>
      <c r="M1155" s="705">
        <v>55994</v>
      </c>
      <c r="N1155" s="705">
        <v>52136</v>
      </c>
      <c r="O1155" s="705">
        <v>19310</v>
      </c>
      <c r="P1155" s="705">
        <v>10989</v>
      </c>
      <c r="Q1155" s="705">
        <v>4070</v>
      </c>
      <c r="R1155" s="705">
        <v>159382</v>
      </c>
      <c r="S1155" s="705">
        <v>132818</v>
      </c>
      <c r="T1155" s="705">
        <v>63886</v>
      </c>
      <c r="U1155" s="705">
        <v>23662</v>
      </c>
      <c r="V1155" s="705">
        <v>642473</v>
      </c>
      <c r="W1155" s="705">
        <f t="shared" si="56"/>
        <v>642473</v>
      </c>
      <c r="X1155" s="705">
        <f t="shared" si="57"/>
        <v>845527</v>
      </c>
    </row>
    <row r="1156" spans="2:24">
      <c r="B1156" t="s">
        <v>542</v>
      </c>
      <c r="C1156" t="s">
        <v>120</v>
      </c>
      <c r="D1156" t="s">
        <v>667</v>
      </c>
      <c r="E1156" t="s">
        <v>667</v>
      </c>
      <c r="F1156" s="705">
        <v>1</v>
      </c>
      <c r="G1156" s="705">
        <v>85</v>
      </c>
      <c r="H1156" s="705">
        <v>306</v>
      </c>
      <c r="I1156" s="705">
        <v>15261</v>
      </c>
      <c r="J1156" s="705">
        <v>13874</v>
      </c>
      <c r="K1156" s="705">
        <v>65</v>
      </c>
      <c r="L1156" s="705">
        <v>1837</v>
      </c>
      <c r="M1156" s="705">
        <v>1670</v>
      </c>
      <c r="N1156" s="705">
        <v>2064</v>
      </c>
      <c r="O1156" s="705">
        <v>765</v>
      </c>
      <c r="P1156" s="705">
        <v>351</v>
      </c>
      <c r="Q1156" s="705">
        <v>130</v>
      </c>
      <c r="R1156" s="705">
        <v>4219</v>
      </c>
      <c r="S1156" s="705">
        <v>3836</v>
      </c>
      <c r="T1156" s="705">
        <v>2229</v>
      </c>
      <c r="U1156" s="705">
        <v>825</v>
      </c>
      <c r="V1156" s="705">
        <v>21099</v>
      </c>
      <c r="W1156" s="705">
        <f t="shared" si="56"/>
        <v>21100</v>
      </c>
      <c r="X1156" s="705">
        <f t="shared" si="57"/>
        <v>25961</v>
      </c>
    </row>
    <row r="1157" spans="2:24">
      <c r="B1157" t="s">
        <v>542</v>
      </c>
      <c r="C1157" t="s">
        <v>120</v>
      </c>
      <c r="D1157" t="s">
        <v>671</v>
      </c>
      <c r="E1157" t="s">
        <v>671</v>
      </c>
      <c r="F1157" s="705">
        <v>5</v>
      </c>
      <c r="G1157" s="705">
        <v>408</v>
      </c>
      <c r="H1157" s="705">
        <v>1722</v>
      </c>
      <c r="I1157" s="705">
        <v>79713</v>
      </c>
      <c r="J1157" s="705">
        <v>72466</v>
      </c>
      <c r="K1157" s="705">
        <v>52</v>
      </c>
      <c r="L1157" s="705">
        <v>11680</v>
      </c>
      <c r="M1157" s="705">
        <v>10618</v>
      </c>
      <c r="N1157" s="705">
        <v>7785</v>
      </c>
      <c r="O1157" s="705">
        <v>2884</v>
      </c>
      <c r="P1157" s="705">
        <v>2025</v>
      </c>
      <c r="Q1157" s="705">
        <v>750</v>
      </c>
      <c r="R1157" s="705">
        <v>30239</v>
      </c>
      <c r="S1157" s="705">
        <v>27490</v>
      </c>
      <c r="T1157" s="705">
        <v>9236</v>
      </c>
      <c r="U1157" s="705">
        <v>3421</v>
      </c>
      <c r="V1157" s="705">
        <v>117629</v>
      </c>
      <c r="W1157" s="705">
        <f t="shared" si="56"/>
        <v>117629</v>
      </c>
      <c r="X1157" s="705">
        <f t="shared" si="57"/>
        <v>140678</v>
      </c>
    </row>
    <row r="1158" spans="2:24">
      <c r="B1158" t="s">
        <v>542</v>
      </c>
      <c r="C1158" t="s">
        <v>120</v>
      </c>
      <c r="D1158" t="s">
        <v>665</v>
      </c>
      <c r="E1158" t="s">
        <v>228</v>
      </c>
      <c r="F1158" s="705">
        <v>1</v>
      </c>
      <c r="G1158" s="705">
        <v>70</v>
      </c>
      <c r="H1158" s="705">
        <v>326</v>
      </c>
      <c r="I1158" s="705">
        <v>9160</v>
      </c>
      <c r="J1158" s="705">
        <v>8327</v>
      </c>
      <c r="K1158" s="705">
        <v>60</v>
      </c>
      <c r="L1158" s="705">
        <v>2036</v>
      </c>
      <c r="M1158" s="705">
        <v>1850</v>
      </c>
      <c r="N1158" s="705">
        <v>1382</v>
      </c>
      <c r="O1158" s="705">
        <v>512</v>
      </c>
      <c r="P1158" s="705">
        <v>0</v>
      </c>
      <c r="Q1158" s="705">
        <v>0</v>
      </c>
      <c r="R1158" s="705">
        <v>10255</v>
      </c>
      <c r="S1158" s="705">
        <v>3798</v>
      </c>
      <c r="T1158" s="705">
        <v>0</v>
      </c>
      <c r="U1158" s="705">
        <v>0</v>
      </c>
      <c r="V1158" s="705">
        <v>14488</v>
      </c>
      <c r="W1158" s="705">
        <f t="shared" si="56"/>
        <v>14487</v>
      </c>
      <c r="X1158" s="705">
        <f t="shared" si="57"/>
        <v>22833</v>
      </c>
    </row>
    <row r="1159" spans="2:24">
      <c r="B1159" t="s">
        <v>542</v>
      </c>
      <c r="C1159" t="s">
        <v>120</v>
      </c>
      <c r="D1159" t="s">
        <v>665</v>
      </c>
      <c r="E1159" t="s">
        <v>665</v>
      </c>
      <c r="F1159" s="705">
        <v>104</v>
      </c>
      <c r="G1159" s="705">
        <v>8849</v>
      </c>
      <c r="H1159" s="705">
        <v>35143</v>
      </c>
      <c r="I1159" s="705">
        <v>1692028</v>
      </c>
      <c r="J1159" s="705">
        <v>1538207</v>
      </c>
      <c r="K1159" s="705">
        <v>53</v>
      </c>
      <c r="L1159" s="705">
        <v>257018</v>
      </c>
      <c r="M1159" s="705">
        <v>222245</v>
      </c>
      <c r="N1159" s="705">
        <v>173073</v>
      </c>
      <c r="O1159" s="705">
        <v>64101</v>
      </c>
      <c r="P1159" s="705">
        <v>36692</v>
      </c>
      <c r="Q1159" s="705">
        <v>13590</v>
      </c>
      <c r="R1159" s="705">
        <v>602222</v>
      </c>
      <c r="S1159" s="705">
        <v>547475</v>
      </c>
      <c r="T1159" s="705">
        <v>230756</v>
      </c>
      <c r="U1159" s="705">
        <v>85465</v>
      </c>
      <c r="V1159" s="705">
        <v>2471082</v>
      </c>
      <c r="W1159" s="705">
        <f t="shared" si="56"/>
        <v>2471083</v>
      </c>
      <c r="X1159" s="705">
        <f t="shared" si="57"/>
        <v>2991789</v>
      </c>
    </row>
    <row r="1160" spans="2:24">
      <c r="B1160" t="s">
        <v>542</v>
      </c>
      <c r="C1160" t="s">
        <v>120</v>
      </c>
      <c r="D1160" t="s">
        <v>673</v>
      </c>
      <c r="E1160" t="s">
        <v>673</v>
      </c>
      <c r="F1160" s="705">
        <v>1</v>
      </c>
      <c r="G1160" s="705">
        <v>77</v>
      </c>
      <c r="H1160" s="705">
        <v>353</v>
      </c>
      <c r="I1160" s="705">
        <v>20997</v>
      </c>
      <c r="J1160" s="705">
        <v>19088</v>
      </c>
      <c r="K1160" s="705">
        <v>65</v>
      </c>
      <c r="L1160" s="705">
        <v>2333</v>
      </c>
      <c r="M1160" s="705">
        <v>2121</v>
      </c>
      <c r="N1160" s="705">
        <v>940</v>
      </c>
      <c r="O1160" s="705">
        <v>348</v>
      </c>
      <c r="P1160" s="705">
        <v>351</v>
      </c>
      <c r="Q1160" s="705">
        <v>130</v>
      </c>
      <c r="R1160" s="705">
        <v>2578</v>
      </c>
      <c r="S1160" s="705">
        <v>2344</v>
      </c>
      <c r="T1160" s="705">
        <v>0</v>
      </c>
      <c r="U1160" s="705">
        <v>0</v>
      </c>
      <c r="V1160" s="705">
        <v>24030</v>
      </c>
      <c r="W1160" s="705">
        <f t="shared" si="56"/>
        <v>24031</v>
      </c>
      <c r="X1160" s="705">
        <f t="shared" si="57"/>
        <v>27199</v>
      </c>
    </row>
    <row r="1161" spans="2:24">
      <c r="B1161" t="s">
        <v>542</v>
      </c>
      <c r="C1161" t="s">
        <v>120</v>
      </c>
      <c r="D1161" t="s">
        <v>668</v>
      </c>
      <c r="E1161" t="s">
        <v>228</v>
      </c>
      <c r="F1161" s="705">
        <v>1</v>
      </c>
      <c r="G1161" s="705">
        <v>132</v>
      </c>
      <c r="H1161" s="705">
        <v>319</v>
      </c>
      <c r="I1161" s="705">
        <v>32796</v>
      </c>
      <c r="J1161" s="705">
        <v>29814</v>
      </c>
      <c r="K1161" s="705">
        <v>65</v>
      </c>
      <c r="L1161" s="705">
        <v>3356</v>
      </c>
      <c r="M1161" s="705">
        <v>2796</v>
      </c>
      <c r="N1161" s="705">
        <v>2682</v>
      </c>
      <c r="O1161" s="705">
        <v>993</v>
      </c>
      <c r="P1161" s="705">
        <v>351</v>
      </c>
      <c r="Q1161" s="705">
        <v>130</v>
      </c>
      <c r="R1161" s="705">
        <v>9650</v>
      </c>
      <c r="S1161" s="705">
        <v>3574</v>
      </c>
      <c r="T1161" s="705">
        <v>0</v>
      </c>
      <c r="U1161" s="705">
        <v>0</v>
      </c>
      <c r="V1161" s="705">
        <v>37308</v>
      </c>
      <c r="W1161" s="705">
        <f t="shared" si="56"/>
        <v>37307</v>
      </c>
      <c r="X1161" s="705">
        <f t="shared" si="57"/>
        <v>48835</v>
      </c>
    </row>
    <row r="1162" spans="2:24">
      <c r="B1162" t="s">
        <v>542</v>
      </c>
      <c r="C1162" t="s">
        <v>122</v>
      </c>
      <c r="D1162" t="s">
        <v>228</v>
      </c>
      <c r="E1162" t="s">
        <v>228</v>
      </c>
      <c r="F1162" s="705">
        <v>44</v>
      </c>
      <c r="G1162" s="705">
        <v>3264</v>
      </c>
      <c r="H1162" s="705">
        <v>18295</v>
      </c>
      <c r="I1162" s="705">
        <v>866991</v>
      </c>
      <c r="J1162" s="705">
        <v>321108</v>
      </c>
      <c r="K1162" s="705">
        <v>100</v>
      </c>
      <c r="L1162" s="705">
        <v>136180</v>
      </c>
      <c r="M1162" s="705">
        <v>96606</v>
      </c>
      <c r="N1162" s="705">
        <v>65901</v>
      </c>
      <c r="O1162" s="705">
        <v>24408</v>
      </c>
      <c r="P1162" s="705">
        <v>839</v>
      </c>
      <c r="Q1162" s="705">
        <v>311</v>
      </c>
      <c r="R1162" s="705">
        <v>292540</v>
      </c>
      <c r="S1162" s="705">
        <v>108348</v>
      </c>
      <c r="T1162" s="705">
        <v>2489</v>
      </c>
      <c r="U1162" s="705">
        <v>922</v>
      </c>
      <c r="V1162" s="705">
        <v>551702</v>
      </c>
      <c r="W1162" s="705">
        <f t="shared" si="56"/>
        <v>551703</v>
      </c>
      <c r="X1162" s="705">
        <f t="shared" si="57"/>
        <v>1364940</v>
      </c>
    </row>
    <row r="1163" spans="2:24">
      <c r="B1163" t="s">
        <v>542</v>
      </c>
      <c r="C1163" t="s">
        <v>122</v>
      </c>
      <c r="D1163" t="s">
        <v>228</v>
      </c>
      <c r="E1163" t="s">
        <v>669</v>
      </c>
      <c r="F1163" s="705">
        <v>1</v>
      </c>
      <c r="G1163" s="705">
        <v>74</v>
      </c>
      <c r="H1163" s="705">
        <v>381</v>
      </c>
      <c r="I1163" s="705">
        <v>14917</v>
      </c>
      <c r="J1163" s="705">
        <v>5525</v>
      </c>
      <c r="K1163" s="705">
        <v>100</v>
      </c>
      <c r="L1163" s="705">
        <v>2600</v>
      </c>
      <c r="M1163" s="705">
        <v>2167</v>
      </c>
      <c r="N1163" s="705">
        <v>1798</v>
      </c>
      <c r="O1163" s="705">
        <v>666</v>
      </c>
      <c r="P1163" s="705">
        <v>351</v>
      </c>
      <c r="Q1163" s="705">
        <v>130</v>
      </c>
      <c r="R1163" s="705">
        <v>6354</v>
      </c>
      <c r="S1163" s="705">
        <v>5295</v>
      </c>
      <c r="T1163" s="705">
        <v>2082</v>
      </c>
      <c r="U1163" s="705">
        <v>771</v>
      </c>
      <c r="V1163" s="705">
        <v>14553</v>
      </c>
      <c r="W1163" s="705">
        <f t="shared" si="56"/>
        <v>14554</v>
      </c>
      <c r="X1163" s="705">
        <f t="shared" si="57"/>
        <v>28102</v>
      </c>
    </row>
    <row r="1164" spans="2:24">
      <c r="B1164" t="s">
        <v>542</v>
      </c>
      <c r="C1164" t="s">
        <v>122</v>
      </c>
      <c r="D1164" t="s">
        <v>228</v>
      </c>
      <c r="E1164" t="s">
        <v>665</v>
      </c>
      <c r="F1164" s="705">
        <v>3</v>
      </c>
      <c r="G1164" s="705">
        <v>230</v>
      </c>
      <c r="H1164" s="705">
        <v>1253</v>
      </c>
      <c r="I1164" s="705">
        <v>59989</v>
      </c>
      <c r="J1164" s="705">
        <v>22218</v>
      </c>
      <c r="K1164" s="705">
        <v>100</v>
      </c>
      <c r="L1164" s="705">
        <v>6515</v>
      </c>
      <c r="M1164" s="705">
        <v>5923</v>
      </c>
      <c r="N1164" s="705">
        <v>5501</v>
      </c>
      <c r="O1164" s="705">
        <v>2037</v>
      </c>
      <c r="P1164" s="705">
        <v>0</v>
      </c>
      <c r="Q1164" s="705">
        <v>0</v>
      </c>
      <c r="R1164" s="705">
        <v>17686</v>
      </c>
      <c r="S1164" s="705">
        <v>16078</v>
      </c>
      <c r="T1164" s="705">
        <v>6361</v>
      </c>
      <c r="U1164" s="705">
        <v>2356</v>
      </c>
      <c r="V1164" s="705">
        <v>48612</v>
      </c>
      <c r="W1164" s="705">
        <f t="shared" si="56"/>
        <v>48612</v>
      </c>
      <c r="X1164" s="705">
        <f t="shared" si="57"/>
        <v>96052</v>
      </c>
    </row>
    <row r="1165" spans="2:24">
      <c r="B1165" t="s">
        <v>542</v>
      </c>
      <c r="C1165" t="s">
        <v>122</v>
      </c>
      <c r="D1165" t="s">
        <v>583</v>
      </c>
      <c r="E1165" t="s">
        <v>228</v>
      </c>
      <c r="F1165" s="705">
        <v>2</v>
      </c>
      <c r="G1165" s="705">
        <v>158</v>
      </c>
      <c r="H1165" s="705">
        <v>852</v>
      </c>
      <c r="I1165" s="705">
        <v>44369</v>
      </c>
      <c r="J1165" s="705">
        <v>40336</v>
      </c>
      <c r="K1165" s="705">
        <v>86</v>
      </c>
      <c r="L1165" s="705">
        <v>6491</v>
      </c>
      <c r="M1165" s="705">
        <v>5901</v>
      </c>
      <c r="N1165" s="705">
        <v>3090</v>
      </c>
      <c r="O1165" s="705">
        <v>1145</v>
      </c>
      <c r="P1165" s="705">
        <v>1625</v>
      </c>
      <c r="Q1165" s="705">
        <v>602</v>
      </c>
      <c r="R1165" s="705">
        <v>11359</v>
      </c>
      <c r="S1165" s="705">
        <v>4207</v>
      </c>
      <c r="T1165" s="705">
        <v>0</v>
      </c>
      <c r="U1165" s="705">
        <v>0</v>
      </c>
      <c r="V1165" s="705">
        <v>52190</v>
      </c>
      <c r="W1165" s="705">
        <f t="shared" si="56"/>
        <v>52191</v>
      </c>
      <c r="X1165" s="705">
        <f t="shared" si="57"/>
        <v>66934</v>
      </c>
    </row>
    <row r="1166" spans="2:24">
      <c r="B1166" t="s">
        <v>542</v>
      </c>
      <c r="C1166" t="s">
        <v>122</v>
      </c>
      <c r="D1166" t="s">
        <v>583</v>
      </c>
      <c r="E1166" t="s">
        <v>583</v>
      </c>
      <c r="F1166" s="705">
        <v>246</v>
      </c>
      <c r="G1166" s="705">
        <v>22766</v>
      </c>
      <c r="H1166" s="705">
        <v>101856</v>
      </c>
      <c r="I1166" s="705">
        <v>5887570</v>
      </c>
      <c r="J1166" s="705">
        <v>5352336</v>
      </c>
      <c r="K1166" s="705">
        <v>74</v>
      </c>
      <c r="L1166" s="705">
        <v>1297776</v>
      </c>
      <c r="M1166" s="705">
        <v>1130183</v>
      </c>
      <c r="N1166" s="705">
        <v>477916</v>
      </c>
      <c r="O1166" s="705">
        <v>177006</v>
      </c>
      <c r="P1166" s="705">
        <v>158798</v>
      </c>
      <c r="Q1166" s="705">
        <v>58814</v>
      </c>
      <c r="R1166" s="705">
        <v>1151662</v>
      </c>
      <c r="S1166" s="705">
        <v>1046966</v>
      </c>
      <c r="T1166" s="705">
        <v>494581</v>
      </c>
      <c r="U1166" s="705">
        <v>183178</v>
      </c>
      <c r="V1166" s="705">
        <v>7948483</v>
      </c>
      <c r="W1166" s="705">
        <f t="shared" si="56"/>
        <v>7948483</v>
      </c>
      <c r="X1166" s="705">
        <f t="shared" si="57"/>
        <v>9468303</v>
      </c>
    </row>
    <row r="1167" spans="2:24">
      <c r="B1167" t="s">
        <v>542</v>
      </c>
      <c r="C1167" t="s">
        <v>122</v>
      </c>
      <c r="D1167" t="s">
        <v>666</v>
      </c>
      <c r="E1167" t="s">
        <v>666</v>
      </c>
      <c r="F1167" s="705">
        <v>1</v>
      </c>
      <c r="G1167" s="705">
        <v>86</v>
      </c>
      <c r="H1167" s="705">
        <v>435</v>
      </c>
      <c r="I1167" s="705">
        <v>22628</v>
      </c>
      <c r="J1167" s="705">
        <v>20571</v>
      </c>
      <c r="K1167" s="705">
        <v>55</v>
      </c>
      <c r="L1167" s="705">
        <v>0</v>
      </c>
      <c r="M1167" s="705">
        <v>0</v>
      </c>
      <c r="N1167" s="705">
        <v>2107</v>
      </c>
      <c r="O1167" s="705">
        <v>780</v>
      </c>
      <c r="P1167" s="705">
        <v>351</v>
      </c>
      <c r="Q1167" s="705">
        <v>130</v>
      </c>
      <c r="R1167" s="705">
        <v>12495</v>
      </c>
      <c r="S1167" s="705">
        <v>11359</v>
      </c>
      <c r="T1167" s="705">
        <v>0</v>
      </c>
      <c r="U1167" s="705">
        <v>0</v>
      </c>
      <c r="V1167" s="705">
        <v>32840</v>
      </c>
      <c r="W1167" s="705">
        <f t="shared" si="56"/>
        <v>32840</v>
      </c>
      <c r="X1167" s="705">
        <f t="shared" si="57"/>
        <v>37581</v>
      </c>
    </row>
    <row r="1168" spans="2:24">
      <c r="B1168" t="s">
        <v>542</v>
      </c>
      <c r="C1168" t="s">
        <v>122</v>
      </c>
      <c r="D1168" t="s">
        <v>584</v>
      </c>
      <c r="E1168" t="s">
        <v>584</v>
      </c>
      <c r="F1168" s="705">
        <v>88</v>
      </c>
      <c r="G1168" s="705">
        <v>8089</v>
      </c>
      <c r="H1168" s="705">
        <v>36026</v>
      </c>
      <c r="I1168" s="705">
        <v>2004223</v>
      </c>
      <c r="J1168" s="705">
        <v>1822021</v>
      </c>
      <c r="K1168" s="705">
        <v>77</v>
      </c>
      <c r="L1168" s="705">
        <v>560578</v>
      </c>
      <c r="M1168" s="705">
        <v>481738</v>
      </c>
      <c r="N1168" s="705">
        <v>166440</v>
      </c>
      <c r="O1168" s="705">
        <v>61645</v>
      </c>
      <c r="P1168" s="705">
        <v>41459</v>
      </c>
      <c r="Q1168" s="705">
        <v>15355</v>
      </c>
      <c r="R1168" s="705">
        <v>408835</v>
      </c>
      <c r="S1168" s="705">
        <v>371668</v>
      </c>
      <c r="T1168" s="705">
        <v>136520</v>
      </c>
      <c r="U1168" s="705">
        <v>50563</v>
      </c>
      <c r="V1168" s="705">
        <v>2802990</v>
      </c>
      <c r="W1168" s="705">
        <f t="shared" si="56"/>
        <v>2802990</v>
      </c>
      <c r="X1168" s="705">
        <f t="shared" si="57"/>
        <v>3318055</v>
      </c>
    </row>
    <row r="1169" spans="2:24">
      <c r="B1169" t="s">
        <v>542</v>
      </c>
      <c r="C1169" t="s">
        <v>122</v>
      </c>
      <c r="D1169" t="s">
        <v>584</v>
      </c>
      <c r="E1169" t="s">
        <v>665</v>
      </c>
      <c r="F1169" s="705">
        <v>1</v>
      </c>
      <c r="G1169" s="705">
        <v>83</v>
      </c>
      <c r="H1169" s="705">
        <v>405</v>
      </c>
      <c r="I1169" s="705">
        <v>19261</v>
      </c>
      <c r="J1169" s="705">
        <v>17510</v>
      </c>
      <c r="K1169" s="705">
        <v>91</v>
      </c>
      <c r="L1169" s="705">
        <v>6185</v>
      </c>
      <c r="M1169" s="705">
        <v>5623</v>
      </c>
      <c r="N1169" s="705">
        <v>1414</v>
      </c>
      <c r="O1169" s="705">
        <v>524</v>
      </c>
      <c r="P1169" s="705">
        <v>473</v>
      </c>
      <c r="Q1169" s="705">
        <v>175</v>
      </c>
      <c r="R1169" s="705">
        <v>3564</v>
      </c>
      <c r="S1169" s="705">
        <v>3240</v>
      </c>
      <c r="T1169" s="705">
        <v>2651</v>
      </c>
      <c r="U1169" s="705">
        <v>982</v>
      </c>
      <c r="V1169" s="705">
        <v>28054</v>
      </c>
      <c r="W1169" s="705">
        <f t="shared" si="56"/>
        <v>28054</v>
      </c>
      <c r="X1169" s="705">
        <f t="shared" si="57"/>
        <v>33548</v>
      </c>
    </row>
    <row r="1170" spans="2:24">
      <c r="B1170" t="s">
        <v>542</v>
      </c>
      <c r="C1170" t="s">
        <v>122</v>
      </c>
      <c r="D1170" t="s">
        <v>669</v>
      </c>
      <c r="E1170" t="s">
        <v>669</v>
      </c>
      <c r="F1170" s="705">
        <v>14</v>
      </c>
      <c r="G1170" s="705">
        <v>1150</v>
      </c>
      <c r="H1170" s="705">
        <v>5872</v>
      </c>
      <c r="I1170" s="705">
        <v>300825</v>
      </c>
      <c r="J1170" s="705">
        <v>250687</v>
      </c>
      <c r="K1170" s="705">
        <v>52</v>
      </c>
      <c r="L1170" s="705">
        <v>43662</v>
      </c>
      <c r="M1170" s="705">
        <v>34240</v>
      </c>
      <c r="N1170" s="705">
        <v>22642</v>
      </c>
      <c r="O1170" s="705">
        <v>8386</v>
      </c>
      <c r="P1170" s="705">
        <v>4914</v>
      </c>
      <c r="Q1170" s="705">
        <v>1820</v>
      </c>
      <c r="R1170" s="705">
        <v>79319</v>
      </c>
      <c r="S1170" s="705">
        <v>66099</v>
      </c>
      <c r="T1170" s="705">
        <v>30439</v>
      </c>
      <c r="U1170" s="705">
        <v>11274</v>
      </c>
      <c r="V1170" s="705">
        <v>372506</v>
      </c>
      <c r="W1170" s="705">
        <f t="shared" si="56"/>
        <v>372506</v>
      </c>
      <c r="X1170" s="705">
        <f t="shared" si="57"/>
        <v>481801</v>
      </c>
    </row>
    <row r="1171" spans="2:24">
      <c r="B1171" t="s">
        <v>542</v>
      </c>
      <c r="C1171" t="s">
        <v>122</v>
      </c>
      <c r="D1171" t="s">
        <v>667</v>
      </c>
      <c r="E1171" t="s">
        <v>228</v>
      </c>
      <c r="F1171" s="705">
        <v>1</v>
      </c>
      <c r="G1171" s="705">
        <v>92</v>
      </c>
      <c r="H1171" s="705">
        <v>447</v>
      </c>
      <c r="I1171" s="705">
        <v>25694</v>
      </c>
      <c r="J1171" s="705">
        <v>23358</v>
      </c>
      <c r="K1171" s="705">
        <v>55</v>
      </c>
      <c r="L1171" s="705">
        <v>5234</v>
      </c>
      <c r="M1171" s="705">
        <v>4758</v>
      </c>
      <c r="N1171" s="705">
        <v>1597</v>
      </c>
      <c r="O1171" s="705">
        <v>591</v>
      </c>
      <c r="P1171" s="705">
        <v>351</v>
      </c>
      <c r="Q1171" s="705">
        <v>130</v>
      </c>
      <c r="R1171" s="705">
        <v>8406</v>
      </c>
      <c r="S1171" s="705">
        <v>3113</v>
      </c>
      <c r="T1171" s="705">
        <v>0</v>
      </c>
      <c r="U1171" s="705">
        <v>0</v>
      </c>
      <c r="V1171" s="705">
        <v>31951</v>
      </c>
      <c r="W1171" s="705">
        <f t="shared" si="56"/>
        <v>31950</v>
      </c>
      <c r="X1171" s="705">
        <f t="shared" si="57"/>
        <v>41282</v>
      </c>
    </row>
    <row r="1172" spans="2:24">
      <c r="B1172" t="s">
        <v>542</v>
      </c>
      <c r="C1172" t="s">
        <v>122</v>
      </c>
      <c r="D1172" t="s">
        <v>667</v>
      </c>
      <c r="E1172" t="s">
        <v>667</v>
      </c>
      <c r="F1172" s="705">
        <v>1</v>
      </c>
      <c r="G1172" s="705">
        <v>85</v>
      </c>
      <c r="H1172" s="705">
        <v>412</v>
      </c>
      <c r="I1172" s="705">
        <v>23709</v>
      </c>
      <c r="J1172" s="705">
        <v>21554</v>
      </c>
      <c r="K1172" s="705">
        <v>65</v>
      </c>
      <c r="L1172" s="705">
        <v>3805</v>
      </c>
      <c r="M1172" s="705">
        <v>3459</v>
      </c>
      <c r="N1172" s="705">
        <v>1561</v>
      </c>
      <c r="O1172" s="705">
        <v>578</v>
      </c>
      <c r="P1172" s="705">
        <v>702</v>
      </c>
      <c r="Q1172" s="705">
        <v>260</v>
      </c>
      <c r="R1172" s="705">
        <v>3664</v>
      </c>
      <c r="S1172" s="705">
        <v>3331</v>
      </c>
      <c r="T1172" s="705">
        <v>1793</v>
      </c>
      <c r="U1172" s="705">
        <v>664</v>
      </c>
      <c r="V1172" s="705">
        <v>29847</v>
      </c>
      <c r="W1172" s="705">
        <f t="shared" si="56"/>
        <v>29846</v>
      </c>
      <c r="X1172" s="705">
        <f t="shared" si="57"/>
        <v>35234</v>
      </c>
    </row>
    <row r="1173" spans="2:24">
      <c r="B1173" t="s">
        <v>542</v>
      </c>
      <c r="C1173" t="s">
        <v>122</v>
      </c>
      <c r="D1173" t="s">
        <v>671</v>
      </c>
      <c r="E1173" t="s">
        <v>671</v>
      </c>
      <c r="F1173" s="705">
        <v>15</v>
      </c>
      <c r="G1173" s="705">
        <v>1136</v>
      </c>
      <c r="H1173" s="705">
        <v>6020</v>
      </c>
      <c r="I1173" s="705">
        <v>283337</v>
      </c>
      <c r="J1173" s="705">
        <v>257579</v>
      </c>
      <c r="K1173" s="705">
        <v>50</v>
      </c>
      <c r="L1173" s="705">
        <v>43216</v>
      </c>
      <c r="M1173" s="705">
        <v>39287</v>
      </c>
      <c r="N1173" s="705">
        <v>23985</v>
      </c>
      <c r="O1173" s="705">
        <v>8883</v>
      </c>
      <c r="P1173" s="705">
        <v>5265</v>
      </c>
      <c r="Q1173" s="705">
        <v>1950</v>
      </c>
      <c r="R1173" s="705">
        <v>90346</v>
      </c>
      <c r="S1173" s="705">
        <v>82133</v>
      </c>
      <c r="T1173" s="705">
        <v>25324</v>
      </c>
      <c r="U1173" s="705">
        <v>9379</v>
      </c>
      <c r="V1173" s="705">
        <v>399212</v>
      </c>
      <c r="W1173" s="705">
        <f t="shared" si="56"/>
        <v>399211</v>
      </c>
      <c r="X1173" s="705">
        <f t="shared" si="57"/>
        <v>471473</v>
      </c>
    </row>
    <row r="1174" spans="2:24">
      <c r="B1174" t="s">
        <v>542</v>
      </c>
      <c r="C1174" t="s">
        <v>122</v>
      </c>
      <c r="D1174" t="s">
        <v>665</v>
      </c>
      <c r="E1174" t="s">
        <v>228</v>
      </c>
      <c r="F1174" s="705">
        <v>2</v>
      </c>
      <c r="G1174" s="705">
        <v>138</v>
      </c>
      <c r="H1174" s="705">
        <v>820</v>
      </c>
      <c r="I1174" s="705">
        <v>34956</v>
      </c>
      <c r="J1174" s="705">
        <v>31778</v>
      </c>
      <c r="K1174" s="705">
        <v>58</v>
      </c>
      <c r="L1174" s="705">
        <v>6409</v>
      </c>
      <c r="M1174" s="705">
        <v>4260</v>
      </c>
      <c r="N1174" s="705">
        <v>3065</v>
      </c>
      <c r="O1174" s="705">
        <v>1135</v>
      </c>
      <c r="P1174" s="705">
        <v>351</v>
      </c>
      <c r="Q1174" s="705">
        <v>130</v>
      </c>
      <c r="R1174" s="705">
        <v>11251</v>
      </c>
      <c r="S1174" s="705">
        <v>4167</v>
      </c>
      <c r="T1174" s="705">
        <v>0</v>
      </c>
      <c r="U1174" s="705">
        <v>0</v>
      </c>
      <c r="V1174" s="705">
        <v>41470</v>
      </c>
      <c r="W1174" s="705">
        <f t="shared" si="56"/>
        <v>41470</v>
      </c>
      <c r="X1174" s="705">
        <f t="shared" si="57"/>
        <v>56032</v>
      </c>
    </row>
    <row r="1175" spans="2:24">
      <c r="B1175" t="s">
        <v>542</v>
      </c>
      <c r="C1175" t="s">
        <v>122</v>
      </c>
      <c r="D1175" t="s">
        <v>665</v>
      </c>
      <c r="E1175" t="s">
        <v>665</v>
      </c>
      <c r="F1175" s="705">
        <v>65</v>
      </c>
      <c r="G1175" s="705">
        <v>5090</v>
      </c>
      <c r="H1175" s="705">
        <v>26507</v>
      </c>
      <c r="I1175" s="705">
        <v>1264022</v>
      </c>
      <c r="J1175" s="705">
        <v>1149111</v>
      </c>
      <c r="K1175" s="705">
        <v>51</v>
      </c>
      <c r="L1175" s="705">
        <v>204180</v>
      </c>
      <c r="M1175" s="705">
        <v>171153</v>
      </c>
      <c r="N1175" s="705">
        <v>103661</v>
      </c>
      <c r="O1175" s="705">
        <v>38393</v>
      </c>
      <c r="P1175" s="705">
        <v>23706</v>
      </c>
      <c r="Q1175" s="705">
        <v>8780</v>
      </c>
      <c r="R1175" s="705">
        <v>352499</v>
      </c>
      <c r="S1175" s="705">
        <v>320454</v>
      </c>
      <c r="T1175" s="705">
        <v>131506</v>
      </c>
      <c r="U1175" s="705">
        <v>48706</v>
      </c>
      <c r="V1175" s="705">
        <v>1736597</v>
      </c>
      <c r="W1175" s="705">
        <f t="shared" si="56"/>
        <v>1736597</v>
      </c>
      <c r="X1175" s="705">
        <f t="shared" si="57"/>
        <v>2079574</v>
      </c>
    </row>
    <row r="1176" spans="2:24">
      <c r="B1176" t="s">
        <v>542</v>
      </c>
      <c r="C1176" t="s">
        <v>124</v>
      </c>
      <c r="F1176" s="705">
        <v>3</v>
      </c>
      <c r="G1176" s="705">
        <v>457</v>
      </c>
      <c r="H1176" s="705">
        <v>1490</v>
      </c>
      <c r="I1176" s="705"/>
      <c r="J1176" s="705">
        <v>0</v>
      </c>
      <c r="K1176" s="705"/>
      <c r="L1176" s="705"/>
      <c r="M1176" s="705">
        <v>0</v>
      </c>
      <c r="N1176" s="705">
        <v>10341</v>
      </c>
      <c r="O1176" s="705">
        <v>3830</v>
      </c>
      <c r="P1176" s="705">
        <v>1242</v>
      </c>
      <c r="Q1176" s="705">
        <v>460</v>
      </c>
      <c r="R1176" s="705"/>
      <c r="S1176" s="705">
        <v>0</v>
      </c>
      <c r="T1176" s="705">
        <v>3567</v>
      </c>
      <c r="U1176" s="705">
        <v>1321</v>
      </c>
      <c r="V1176" s="705">
        <v>5611</v>
      </c>
      <c r="W1176" s="705">
        <f t="shared" si="56"/>
        <v>5611</v>
      </c>
      <c r="X1176" s="705">
        <f t="shared" si="57"/>
        <v>15150</v>
      </c>
    </row>
    <row r="1177" spans="2:24">
      <c r="B1177" t="s">
        <v>542</v>
      </c>
      <c r="C1177" t="s">
        <v>124</v>
      </c>
      <c r="D1177" t="s">
        <v>674</v>
      </c>
      <c r="E1177" t="s">
        <v>674</v>
      </c>
      <c r="F1177" s="705">
        <v>1</v>
      </c>
      <c r="G1177" s="705">
        <v>82</v>
      </c>
      <c r="H1177" s="705">
        <v>675</v>
      </c>
      <c r="I1177" s="705">
        <v>40025</v>
      </c>
      <c r="J1177" s="705">
        <v>36387</v>
      </c>
      <c r="K1177" s="705">
        <v>45</v>
      </c>
      <c r="L1177" s="705">
        <v>6671</v>
      </c>
      <c r="M1177" s="705">
        <v>6064</v>
      </c>
      <c r="N1177" s="705">
        <v>1834</v>
      </c>
      <c r="O1177" s="705">
        <v>679</v>
      </c>
      <c r="P1177" s="705">
        <v>0</v>
      </c>
      <c r="Q1177" s="705">
        <v>0</v>
      </c>
      <c r="R1177" s="705">
        <v>5215</v>
      </c>
      <c r="S1177" s="705">
        <v>4741</v>
      </c>
      <c r="T1177" s="705">
        <v>1750</v>
      </c>
      <c r="U1177" s="705">
        <v>648</v>
      </c>
      <c r="V1177" s="705">
        <v>48520</v>
      </c>
      <c r="W1177" s="705">
        <f t="shared" si="56"/>
        <v>48519</v>
      </c>
      <c r="X1177" s="705">
        <f t="shared" si="57"/>
        <v>55495</v>
      </c>
    </row>
    <row r="1178" spans="2:24">
      <c r="B1178" t="s">
        <v>542</v>
      </c>
      <c r="C1178" t="s">
        <v>124</v>
      </c>
      <c r="D1178" t="s">
        <v>228</v>
      </c>
      <c r="E1178" t="s">
        <v>228</v>
      </c>
      <c r="F1178" s="705">
        <v>101</v>
      </c>
      <c r="G1178" s="705">
        <v>7654</v>
      </c>
      <c r="H1178" s="705">
        <v>63697</v>
      </c>
      <c r="I1178" s="705">
        <v>3432961</v>
      </c>
      <c r="J1178" s="705">
        <v>1271467</v>
      </c>
      <c r="K1178" s="705">
        <v>100</v>
      </c>
      <c r="L1178" s="705">
        <v>547869</v>
      </c>
      <c r="M1178" s="705">
        <v>433218</v>
      </c>
      <c r="N1178" s="705">
        <v>167665</v>
      </c>
      <c r="O1178" s="705">
        <v>62098</v>
      </c>
      <c r="P1178" s="705">
        <v>1990</v>
      </c>
      <c r="Q1178" s="705">
        <v>737</v>
      </c>
      <c r="R1178" s="705">
        <v>656930</v>
      </c>
      <c r="S1178" s="705">
        <v>243307</v>
      </c>
      <c r="T1178" s="705">
        <v>0</v>
      </c>
      <c r="U1178" s="705">
        <v>0</v>
      </c>
      <c r="V1178" s="705">
        <v>2010828</v>
      </c>
      <c r="W1178" s="705">
        <f t="shared" si="56"/>
        <v>2010827</v>
      </c>
      <c r="X1178" s="705">
        <f t="shared" si="57"/>
        <v>4807415</v>
      </c>
    </row>
    <row r="1179" spans="2:24">
      <c r="B1179" t="s">
        <v>542</v>
      </c>
      <c r="C1179" t="s">
        <v>124</v>
      </c>
      <c r="D1179" t="s">
        <v>228</v>
      </c>
      <c r="E1179" t="s">
        <v>669</v>
      </c>
      <c r="F1179" s="705">
        <v>1</v>
      </c>
      <c r="G1179" s="705">
        <v>60</v>
      </c>
      <c r="H1179" s="705">
        <v>515</v>
      </c>
      <c r="I1179" s="705">
        <v>19976</v>
      </c>
      <c r="J1179" s="705">
        <v>7398</v>
      </c>
      <c r="K1179" s="705">
        <v>100</v>
      </c>
      <c r="L1179" s="705">
        <v>4439</v>
      </c>
      <c r="M1179" s="705">
        <v>3699</v>
      </c>
      <c r="N1179" s="705">
        <v>1058</v>
      </c>
      <c r="O1179" s="705">
        <v>392</v>
      </c>
      <c r="P1179" s="705">
        <v>0</v>
      </c>
      <c r="Q1179" s="705">
        <v>0</v>
      </c>
      <c r="R1179" s="705">
        <v>4160</v>
      </c>
      <c r="S1179" s="705">
        <v>3467</v>
      </c>
      <c r="T1179" s="705">
        <v>1449</v>
      </c>
      <c r="U1179" s="705">
        <v>537</v>
      </c>
      <c r="V1179" s="705">
        <v>15493</v>
      </c>
      <c r="W1179" s="705">
        <f t="shared" si="56"/>
        <v>15493</v>
      </c>
      <c r="X1179" s="705">
        <f t="shared" si="57"/>
        <v>31082</v>
      </c>
    </row>
    <row r="1180" spans="2:24">
      <c r="B1180" t="s">
        <v>542</v>
      </c>
      <c r="C1180" t="s">
        <v>124</v>
      </c>
      <c r="D1180" t="s">
        <v>228</v>
      </c>
      <c r="E1180" t="s">
        <v>665</v>
      </c>
      <c r="F1180" s="705">
        <v>4</v>
      </c>
      <c r="G1180" s="705">
        <v>279</v>
      </c>
      <c r="H1180" s="705">
        <v>2306</v>
      </c>
      <c r="I1180" s="705">
        <v>100720</v>
      </c>
      <c r="J1180" s="705">
        <v>37304</v>
      </c>
      <c r="K1180" s="705">
        <v>100</v>
      </c>
      <c r="L1180" s="705">
        <v>14869</v>
      </c>
      <c r="M1180" s="705">
        <v>13517</v>
      </c>
      <c r="N1180" s="705">
        <v>6537</v>
      </c>
      <c r="O1180" s="705">
        <v>2421</v>
      </c>
      <c r="P1180" s="705">
        <v>0</v>
      </c>
      <c r="Q1180" s="705">
        <v>0</v>
      </c>
      <c r="R1180" s="705">
        <v>30514</v>
      </c>
      <c r="S1180" s="705">
        <v>27740</v>
      </c>
      <c r="T1180" s="705">
        <v>5899</v>
      </c>
      <c r="U1180" s="705">
        <v>2185</v>
      </c>
      <c r="V1180" s="705">
        <v>83167</v>
      </c>
      <c r="W1180" s="705">
        <f t="shared" si="56"/>
        <v>83167</v>
      </c>
      <c r="X1180" s="705">
        <f t="shared" si="57"/>
        <v>158539</v>
      </c>
    </row>
    <row r="1181" spans="2:24">
      <c r="B1181" t="s">
        <v>542</v>
      </c>
      <c r="C1181" t="s">
        <v>124</v>
      </c>
      <c r="D1181" t="s">
        <v>583</v>
      </c>
      <c r="E1181" t="s">
        <v>228</v>
      </c>
      <c r="F1181" s="705">
        <v>4</v>
      </c>
      <c r="G1181" s="705">
        <v>334</v>
      </c>
      <c r="H1181" s="705">
        <v>2313</v>
      </c>
      <c r="I1181" s="705">
        <v>136557</v>
      </c>
      <c r="J1181" s="705">
        <v>124143</v>
      </c>
      <c r="K1181" s="705">
        <v>68</v>
      </c>
      <c r="L1181" s="705">
        <v>19928</v>
      </c>
      <c r="M1181" s="705">
        <v>16607</v>
      </c>
      <c r="N1181" s="705">
        <v>7785</v>
      </c>
      <c r="O1181" s="705">
        <v>2883</v>
      </c>
      <c r="P1181" s="705">
        <v>2484</v>
      </c>
      <c r="Q1181" s="705">
        <v>920</v>
      </c>
      <c r="R1181" s="705">
        <v>24651</v>
      </c>
      <c r="S1181" s="705">
        <v>9130</v>
      </c>
      <c r="T1181" s="705">
        <v>0</v>
      </c>
      <c r="U1181" s="705">
        <v>0</v>
      </c>
      <c r="V1181" s="705">
        <v>153683</v>
      </c>
      <c r="W1181" s="705">
        <f t="shared" si="56"/>
        <v>153683</v>
      </c>
      <c r="X1181" s="705">
        <f t="shared" si="57"/>
        <v>191405</v>
      </c>
    </row>
    <row r="1182" spans="2:24">
      <c r="B1182" t="s">
        <v>542</v>
      </c>
      <c r="C1182" t="s">
        <v>124</v>
      </c>
      <c r="D1182" t="s">
        <v>583</v>
      </c>
      <c r="E1182" t="s">
        <v>583</v>
      </c>
      <c r="F1182" s="705">
        <v>173</v>
      </c>
      <c r="G1182" s="705">
        <v>15327</v>
      </c>
      <c r="H1182" s="705">
        <v>94206</v>
      </c>
      <c r="I1182" s="705">
        <v>5453996</v>
      </c>
      <c r="J1182" s="705">
        <v>4958179</v>
      </c>
      <c r="K1182" s="705">
        <v>71</v>
      </c>
      <c r="L1182" s="705">
        <v>1190732</v>
      </c>
      <c r="M1182" s="705">
        <v>1028402</v>
      </c>
      <c r="N1182" s="705">
        <v>325513</v>
      </c>
      <c r="O1182" s="705">
        <v>120560</v>
      </c>
      <c r="P1182" s="705">
        <v>110943</v>
      </c>
      <c r="Q1182" s="705">
        <v>41090</v>
      </c>
      <c r="R1182" s="705">
        <v>861983</v>
      </c>
      <c r="S1182" s="705">
        <v>783621</v>
      </c>
      <c r="T1182" s="705">
        <v>323995</v>
      </c>
      <c r="U1182" s="705">
        <v>119998</v>
      </c>
      <c r="V1182" s="705">
        <v>7051850</v>
      </c>
      <c r="W1182" s="705">
        <f t="shared" si="56"/>
        <v>7051850</v>
      </c>
      <c r="X1182" s="705">
        <f t="shared" si="57"/>
        <v>8267162</v>
      </c>
    </row>
    <row r="1183" spans="2:24">
      <c r="B1183" t="s">
        <v>542</v>
      </c>
      <c r="C1183" t="s">
        <v>124</v>
      </c>
      <c r="D1183" t="s">
        <v>666</v>
      </c>
      <c r="E1183" t="s">
        <v>228</v>
      </c>
      <c r="F1183" s="705">
        <v>1</v>
      </c>
      <c r="G1183" s="705">
        <v>62</v>
      </c>
      <c r="H1183" s="705">
        <v>806</v>
      </c>
      <c r="I1183" s="705">
        <v>37672</v>
      </c>
      <c r="J1183" s="705">
        <v>34247</v>
      </c>
      <c r="K1183" s="705">
        <v>60</v>
      </c>
      <c r="L1183" s="705">
        <v>6164</v>
      </c>
      <c r="M1183" s="705">
        <v>2283</v>
      </c>
      <c r="N1183" s="705">
        <v>1506</v>
      </c>
      <c r="O1183" s="705">
        <v>558</v>
      </c>
      <c r="P1183" s="705">
        <v>0</v>
      </c>
      <c r="Q1183" s="705">
        <v>0</v>
      </c>
      <c r="R1183" s="705">
        <v>4454</v>
      </c>
      <c r="S1183" s="705">
        <v>1650</v>
      </c>
      <c r="T1183" s="705">
        <v>0</v>
      </c>
      <c r="U1183" s="705">
        <v>0</v>
      </c>
      <c r="V1183" s="705">
        <v>38738</v>
      </c>
      <c r="W1183" s="705">
        <f t="shared" si="56"/>
        <v>38738</v>
      </c>
      <c r="X1183" s="705">
        <f t="shared" si="57"/>
        <v>49796</v>
      </c>
    </row>
    <row r="1184" spans="2:24">
      <c r="B1184" t="s">
        <v>542</v>
      </c>
      <c r="C1184" t="s">
        <v>124</v>
      </c>
      <c r="D1184" t="s">
        <v>666</v>
      </c>
      <c r="E1184" t="s">
        <v>666</v>
      </c>
      <c r="F1184" s="705">
        <v>10</v>
      </c>
      <c r="G1184" s="705">
        <v>757</v>
      </c>
      <c r="H1184" s="705">
        <v>7242</v>
      </c>
      <c r="I1184" s="705">
        <v>387852</v>
      </c>
      <c r="J1184" s="705">
        <v>352593</v>
      </c>
      <c r="K1184" s="705">
        <v>50</v>
      </c>
      <c r="L1184" s="705">
        <v>54060</v>
      </c>
      <c r="M1184" s="705">
        <v>38491</v>
      </c>
      <c r="N1184" s="705">
        <v>16989</v>
      </c>
      <c r="O1184" s="705">
        <v>6292</v>
      </c>
      <c r="P1184" s="705">
        <v>2808</v>
      </c>
      <c r="Q1184" s="705">
        <v>1040</v>
      </c>
      <c r="R1184" s="705">
        <v>50001</v>
      </c>
      <c r="S1184" s="705">
        <v>45455</v>
      </c>
      <c r="T1184" s="705">
        <v>12509</v>
      </c>
      <c r="U1184" s="705">
        <v>4633</v>
      </c>
      <c r="V1184" s="705">
        <v>448504</v>
      </c>
      <c r="W1184" s="705">
        <f t="shared" si="56"/>
        <v>448504</v>
      </c>
      <c r="X1184" s="705">
        <f t="shared" si="57"/>
        <v>524219</v>
      </c>
    </row>
    <row r="1185" spans="2:24">
      <c r="B1185" t="s">
        <v>542</v>
      </c>
      <c r="C1185" t="s">
        <v>124</v>
      </c>
      <c r="D1185" t="s">
        <v>584</v>
      </c>
      <c r="E1185" t="s">
        <v>228</v>
      </c>
      <c r="F1185" s="705">
        <v>1</v>
      </c>
      <c r="G1185" s="705">
        <v>97</v>
      </c>
      <c r="H1185" s="705">
        <v>486</v>
      </c>
      <c r="I1185" s="705">
        <v>30981</v>
      </c>
      <c r="J1185" s="705">
        <v>28165</v>
      </c>
      <c r="K1185" s="705">
        <v>76</v>
      </c>
      <c r="L1185" s="705">
        <v>8239</v>
      </c>
      <c r="M1185" s="705">
        <v>7490</v>
      </c>
      <c r="N1185" s="705">
        <v>2358</v>
      </c>
      <c r="O1185" s="705">
        <v>873</v>
      </c>
      <c r="P1185" s="705">
        <v>473</v>
      </c>
      <c r="Q1185" s="705">
        <v>175</v>
      </c>
      <c r="R1185" s="705">
        <v>4999</v>
      </c>
      <c r="S1185" s="705">
        <v>1851</v>
      </c>
      <c r="T1185" s="705">
        <v>0</v>
      </c>
      <c r="U1185" s="705">
        <v>0</v>
      </c>
      <c r="V1185" s="705">
        <v>38554</v>
      </c>
      <c r="W1185" s="705">
        <f t="shared" si="56"/>
        <v>38554</v>
      </c>
      <c r="X1185" s="705">
        <f t="shared" si="57"/>
        <v>47050</v>
      </c>
    </row>
    <row r="1186" spans="2:24">
      <c r="B1186" t="s">
        <v>542</v>
      </c>
      <c r="C1186" t="s">
        <v>124</v>
      </c>
      <c r="D1186" t="s">
        <v>584</v>
      </c>
      <c r="E1186" t="s">
        <v>583</v>
      </c>
      <c r="F1186" s="705">
        <v>1</v>
      </c>
      <c r="G1186" s="705">
        <v>71</v>
      </c>
      <c r="H1186" s="705">
        <v>530</v>
      </c>
      <c r="I1186" s="705">
        <v>24454</v>
      </c>
      <c r="J1186" s="705">
        <v>22231</v>
      </c>
      <c r="K1186" s="705">
        <v>68</v>
      </c>
      <c r="L1186" s="705">
        <v>5851</v>
      </c>
      <c r="M1186" s="705">
        <v>5319</v>
      </c>
      <c r="N1186" s="705">
        <v>1627</v>
      </c>
      <c r="O1186" s="705">
        <v>603</v>
      </c>
      <c r="P1186" s="705">
        <v>473</v>
      </c>
      <c r="Q1186" s="705">
        <v>175</v>
      </c>
      <c r="R1186" s="705">
        <v>3432</v>
      </c>
      <c r="S1186" s="705">
        <v>3120</v>
      </c>
      <c r="T1186" s="705">
        <v>1593</v>
      </c>
      <c r="U1186" s="705">
        <v>590</v>
      </c>
      <c r="V1186" s="705">
        <v>32038</v>
      </c>
      <c r="W1186" s="705">
        <f t="shared" si="56"/>
        <v>32038</v>
      </c>
      <c r="X1186" s="705">
        <f t="shared" si="57"/>
        <v>37430</v>
      </c>
    </row>
    <row r="1187" spans="2:24">
      <c r="B1187" t="s">
        <v>542</v>
      </c>
      <c r="C1187" t="s">
        <v>124</v>
      </c>
      <c r="D1187" t="s">
        <v>584</v>
      </c>
      <c r="E1187" t="s">
        <v>584</v>
      </c>
      <c r="F1187" s="705">
        <v>51</v>
      </c>
      <c r="G1187" s="705">
        <v>4551</v>
      </c>
      <c r="H1187" s="705">
        <v>26769</v>
      </c>
      <c r="I1187" s="705">
        <v>1501185</v>
      </c>
      <c r="J1187" s="705">
        <v>1364714</v>
      </c>
      <c r="K1187" s="705">
        <v>74</v>
      </c>
      <c r="L1187" s="705">
        <v>385061</v>
      </c>
      <c r="M1187" s="705">
        <v>324088</v>
      </c>
      <c r="N1187" s="705">
        <v>98518</v>
      </c>
      <c r="O1187" s="705">
        <v>36488</v>
      </c>
      <c r="P1187" s="705">
        <v>24314</v>
      </c>
      <c r="Q1187" s="705">
        <v>9005</v>
      </c>
      <c r="R1187" s="705">
        <v>243671</v>
      </c>
      <c r="S1187" s="705">
        <v>221519</v>
      </c>
      <c r="T1187" s="705">
        <v>103391</v>
      </c>
      <c r="U1187" s="705">
        <v>38293</v>
      </c>
      <c r="V1187" s="705">
        <v>1994107</v>
      </c>
      <c r="W1187" s="705">
        <f t="shared" si="56"/>
        <v>1994107</v>
      </c>
      <c r="X1187" s="705">
        <f t="shared" si="57"/>
        <v>2356140</v>
      </c>
    </row>
    <row r="1188" spans="2:24">
      <c r="B1188" t="s">
        <v>542</v>
      </c>
      <c r="C1188" t="s">
        <v>124</v>
      </c>
      <c r="D1188" t="s">
        <v>669</v>
      </c>
      <c r="E1188" t="s">
        <v>228</v>
      </c>
      <c r="F1188" s="705">
        <v>14</v>
      </c>
      <c r="G1188" s="705">
        <v>1056</v>
      </c>
      <c r="H1188" s="705">
        <v>15851</v>
      </c>
      <c r="I1188" s="705">
        <v>1012175</v>
      </c>
      <c r="J1188" s="705">
        <v>843479</v>
      </c>
      <c r="K1188" s="705">
        <v>34</v>
      </c>
      <c r="L1188" s="705">
        <v>78149</v>
      </c>
      <c r="M1188" s="705">
        <v>38565</v>
      </c>
      <c r="N1188" s="705">
        <v>23244</v>
      </c>
      <c r="O1188" s="705">
        <v>8609</v>
      </c>
      <c r="P1188" s="705">
        <v>351</v>
      </c>
      <c r="Q1188" s="705">
        <v>130</v>
      </c>
      <c r="R1188" s="705">
        <v>81284</v>
      </c>
      <c r="S1188" s="705">
        <v>30105</v>
      </c>
      <c r="T1188" s="705">
        <v>3571</v>
      </c>
      <c r="U1188" s="705">
        <v>1323</v>
      </c>
      <c r="V1188" s="705">
        <v>922210</v>
      </c>
      <c r="W1188" s="705">
        <f t="shared" si="56"/>
        <v>922211</v>
      </c>
      <c r="X1188" s="705">
        <f t="shared" si="57"/>
        <v>1198774</v>
      </c>
    </row>
    <row r="1189" spans="2:24">
      <c r="B1189" t="s">
        <v>542</v>
      </c>
      <c r="C1189" t="s">
        <v>124</v>
      </c>
      <c r="D1189" t="s">
        <v>669</v>
      </c>
      <c r="E1189" t="s">
        <v>669</v>
      </c>
      <c r="F1189" s="705">
        <v>32</v>
      </c>
      <c r="G1189" s="705">
        <v>2420</v>
      </c>
      <c r="H1189" s="705">
        <v>21796</v>
      </c>
      <c r="I1189" s="705">
        <v>1163017</v>
      </c>
      <c r="J1189" s="705">
        <v>969181</v>
      </c>
      <c r="K1189" s="705">
        <v>49</v>
      </c>
      <c r="L1189" s="705">
        <v>145123</v>
      </c>
      <c r="M1189" s="705">
        <v>112117</v>
      </c>
      <c r="N1189" s="705">
        <v>49983</v>
      </c>
      <c r="O1189" s="705">
        <v>18512</v>
      </c>
      <c r="P1189" s="705">
        <v>9477</v>
      </c>
      <c r="Q1189" s="705">
        <v>3510</v>
      </c>
      <c r="R1189" s="705">
        <v>184486</v>
      </c>
      <c r="S1189" s="705">
        <v>153738</v>
      </c>
      <c r="T1189" s="705">
        <v>62855</v>
      </c>
      <c r="U1189" s="705">
        <v>23280</v>
      </c>
      <c r="V1189" s="705">
        <v>1280338</v>
      </c>
      <c r="W1189" s="705">
        <f t="shared" si="56"/>
        <v>1280338</v>
      </c>
      <c r="X1189" s="705">
        <f t="shared" si="57"/>
        <v>1614941</v>
      </c>
    </row>
    <row r="1190" spans="2:24">
      <c r="B1190" t="s">
        <v>542</v>
      </c>
      <c r="C1190" t="s">
        <v>124</v>
      </c>
      <c r="D1190" t="s">
        <v>667</v>
      </c>
      <c r="E1190" t="s">
        <v>667</v>
      </c>
      <c r="F1190" s="705">
        <v>2</v>
      </c>
      <c r="G1190" s="705">
        <v>156</v>
      </c>
      <c r="H1190" s="705">
        <v>1278</v>
      </c>
      <c r="I1190" s="705">
        <v>69017</v>
      </c>
      <c r="J1190" s="705">
        <v>62742</v>
      </c>
      <c r="K1190" s="705">
        <v>45</v>
      </c>
      <c r="L1190" s="705">
        <v>11117</v>
      </c>
      <c r="M1190" s="705">
        <v>10106</v>
      </c>
      <c r="N1190" s="705">
        <v>2931</v>
      </c>
      <c r="O1190" s="705">
        <v>1085</v>
      </c>
      <c r="P1190" s="705">
        <v>702</v>
      </c>
      <c r="Q1190" s="705">
        <v>260</v>
      </c>
      <c r="R1190" s="705">
        <v>12830</v>
      </c>
      <c r="S1190" s="705">
        <v>11664</v>
      </c>
      <c r="T1190" s="705">
        <v>4628</v>
      </c>
      <c r="U1190" s="705">
        <v>1714</v>
      </c>
      <c r="V1190" s="705">
        <v>87572</v>
      </c>
      <c r="W1190" s="705">
        <f t="shared" si="56"/>
        <v>87571</v>
      </c>
      <c r="X1190" s="705">
        <f t="shared" si="57"/>
        <v>101225</v>
      </c>
    </row>
    <row r="1191" spans="2:24">
      <c r="B1191" t="s">
        <v>542</v>
      </c>
      <c r="C1191" t="s">
        <v>124</v>
      </c>
      <c r="D1191" t="s">
        <v>671</v>
      </c>
      <c r="E1191" t="s">
        <v>671</v>
      </c>
      <c r="F1191" s="705">
        <v>5</v>
      </c>
      <c r="G1191" s="705">
        <v>455</v>
      </c>
      <c r="H1191" s="705">
        <v>2949</v>
      </c>
      <c r="I1191" s="705">
        <v>178801</v>
      </c>
      <c r="J1191" s="705">
        <v>162546</v>
      </c>
      <c r="K1191" s="705">
        <v>45</v>
      </c>
      <c r="L1191" s="705">
        <v>25616</v>
      </c>
      <c r="M1191" s="705">
        <v>23287</v>
      </c>
      <c r="N1191" s="705">
        <v>9421</v>
      </c>
      <c r="O1191" s="705">
        <v>3489</v>
      </c>
      <c r="P1191" s="705">
        <v>1755</v>
      </c>
      <c r="Q1191" s="705">
        <v>650</v>
      </c>
      <c r="R1191" s="705">
        <v>38763</v>
      </c>
      <c r="S1191" s="705">
        <v>35239</v>
      </c>
      <c r="T1191" s="705">
        <v>8396</v>
      </c>
      <c r="U1191" s="705">
        <v>3109</v>
      </c>
      <c r="V1191" s="705">
        <v>228321</v>
      </c>
      <c r="W1191" s="705">
        <f t="shared" si="56"/>
        <v>228320</v>
      </c>
      <c r="X1191" s="705">
        <f t="shared" si="57"/>
        <v>262752</v>
      </c>
    </row>
    <row r="1192" spans="2:24">
      <c r="B1192" t="s">
        <v>542</v>
      </c>
      <c r="C1192" t="s">
        <v>124</v>
      </c>
      <c r="D1192" t="s">
        <v>665</v>
      </c>
      <c r="E1192" t="s">
        <v>228</v>
      </c>
      <c r="F1192" s="705">
        <v>19</v>
      </c>
      <c r="G1192" s="705">
        <v>1400</v>
      </c>
      <c r="H1192" s="705">
        <v>20802</v>
      </c>
      <c r="I1192" s="705">
        <v>1226271</v>
      </c>
      <c r="J1192" s="705">
        <v>1114792</v>
      </c>
      <c r="K1192" s="705">
        <v>32</v>
      </c>
      <c r="L1192" s="705">
        <v>102211</v>
      </c>
      <c r="M1192" s="705">
        <v>50829</v>
      </c>
      <c r="N1192" s="705">
        <v>32452</v>
      </c>
      <c r="O1192" s="705">
        <v>12019</v>
      </c>
      <c r="P1192" s="705">
        <v>702</v>
      </c>
      <c r="Q1192" s="705">
        <v>260</v>
      </c>
      <c r="R1192" s="705">
        <v>115326</v>
      </c>
      <c r="S1192" s="705">
        <v>42713</v>
      </c>
      <c r="T1192" s="705">
        <v>4731</v>
      </c>
      <c r="U1192" s="705">
        <v>1752</v>
      </c>
      <c r="V1192" s="705">
        <v>1222366</v>
      </c>
      <c r="W1192" s="705">
        <f t="shared" si="56"/>
        <v>1222365</v>
      </c>
      <c r="X1192" s="705">
        <f t="shared" si="57"/>
        <v>1481693</v>
      </c>
    </row>
    <row r="1193" spans="2:24">
      <c r="B1193" t="s">
        <v>542</v>
      </c>
      <c r="C1193" t="s">
        <v>124</v>
      </c>
      <c r="D1193" t="s">
        <v>665</v>
      </c>
      <c r="E1193" t="s">
        <v>665</v>
      </c>
      <c r="F1193" s="705">
        <v>97</v>
      </c>
      <c r="G1193" s="705">
        <v>7580</v>
      </c>
      <c r="H1193" s="705">
        <v>59899</v>
      </c>
      <c r="I1193" s="705">
        <v>3210069</v>
      </c>
      <c r="J1193" s="705">
        <v>2918244</v>
      </c>
      <c r="K1193" s="705">
        <v>50</v>
      </c>
      <c r="L1193" s="705">
        <v>494326</v>
      </c>
      <c r="M1193" s="705">
        <v>423127</v>
      </c>
      <c r="N1193" s="705">
        <v>160146</v>
      </c>
      <c r="O1193" s="705">
        <v>59313</v>
      </c>
      <c r="P1193" s="705">
        <v>33291</v>
      </c>
      <c r="Q1193" s="705">
        <v>12330</v>
      </c>
      <c r="R1193" s="705">
        <v>594525</v>
      </c>
      <c r="S1193" s="705">
        <v>540477</v>
      </c>
      <c r="T1193" s="705">
        <v>200447</v>
      </c>
      <c r="U1193" s="705">
        <v>74240</v>
      </c>
      <c r="V1193" s="705">
        <v>4027731</v>
      </c>
      <c r="W1193" s="705">
        <f t="shared" si="56"/>
        <v>4027731</v>
      </c>
      <c r="X1193" s="705">
        <f t="shared" si="57"/>
        <v>4692804</v>
      </c>
    </row>
    <row r="1194" spans="2:24">
      <c r="B1194" t="s">
        <v>542</v>
      </c>
      <c r="C1194" t="s">
        <v>124</v>
      </c>
      <c r="D1194" t="s">
        <v>722</v>
      </c>
      <c r="E1194" t="s">
        <v>665</v>
      </c>
      <c r="F1194" s="705">
        <v>1</v>
      </c>
      <c r="G1194" s="705">
        <v>65</v>
      </c>
      <c r="H1194" s="705">
        <v>574</v>
      </c>
      <c r="I1194" s="705">
        <v>23623</v>
      </c>
      <c r="J1194" s="705">
        <v>21476</v>
      </c>
      <c r="K1194" s="705">
        <v>65</v>
      </c>
      <c r="L1194" s="705">
        <v>5687</v>
      </c>
      <c r="M1194" s="705">
        <v>5170</v>
      </c>
      <c r="N1194" s="705">
        <v>1162</v>
      </c>
      <c r="O1194" s="705">
        <v>430</v>
      </c>
      <c r="P1194" s="705">
        <v>351</v>
      </c>
      <c r="Q1194" s="705">
        <v>130</v>
      </c>
      <c r="R1194" s="705">
        <v>4336</v>
      </c>
      <c r="S1194" s="705">
        <v>3942</v>
      </c>
      <c r="T1194" s="705">
        <v>2321</v>
      </c>
      <c r="U1194" s="705">
        <v>860</v>
      </c>
      <c r="V1194" s="705">
        <v>32008</v>
      </c>
      <c r="W1194" s="705">
        <f t="shared" si="56"/>
        <v>32008</v>
      </c>
      <c r="X1194" s="705">
        <f t="shared" si="57"/>
        <v>37480</v>
      </c>
    </row>
    <row r="1195" spans="2:24">
      <c r="B1195" t="s">
        <v>542</v>
      </c>
      <c r="C1195" t="s">
        <v>124</v>
      </c>
      <c r="D1195" t="s">
        <v>673</v>
      </c>
      <c r="E1195" t="s">
        <v>673</v>
      </c>
      <c r="F1195" s="705">
        <v>1</v>
      </c>
      <c r="G1195" s="705">
        <v>76</v>
      </c>
      <c r="H1195" s="705">
        <v>870</v>
      </c>
      <c r="I1195" s="705">
        <v>47289</v>
      </c>
      <c r="J1195" s="705">
        <v>42990</v>
      </c>
      <c r="K1195" s="705">
        <v>45</v>
      </c>
      <c r="L1195" s="705">
        <v>8598</v>
      </c>
      <c r="M1195" s="705">
        <v>7165</v>
      </c>
      <c r="N1195" s="705">
        <v>1852</v>
      </c>
      <c r="O1195" s="705">
        <v>686</v>
      </c>
      <c r="P1195" s="705">
        <v>351</v>
      </c>
      <c r="Q1195" s="705">
        <v>130</v>
      </c>
      <c r="R1195" s="705">
        <v>5880</v>
      </c>
      <c r="S1195" s="705">
        <v>5345</v>
      </c>
      <c r="T1195" s="705">
        <v>2112</v>
      </c>
      <c r="U1195" s="705">
        <v>782</v>
      </c>
      <c r="V1195" s="705">
        <v>57099</v>
      </c>
      <c r="W1195" s="705">
        <f t="shared" ref="W1195:W1258" si="58">SUM(ABS(J1195),ABS(M1195),ABS(O1195),ABS(Q1195),ABS(S1195),ABS(U1195))</f>
        <v>57098</v>
      </c>
      <c r="X1195" s="705">
        <f t="shared" ref="X1195:X1258" si="59">SUM(ABS(I1195),ABS(N1195),ABS(P1195),ABS(R1195),ABS(T1195),ABS(L1195))</f>
        <v>66082</v>
      </c>
    </row>
    <row r="1196" spans="2:24">
      <c r="B1196" t="s">
        <v>543</v>
      </c>
      <c r="C1196" t="s">
        <v>108</v>
      </c>
      <c r="D1196" t="s">
        <v>228</v>
      </c>
      <c r="E1196" t="s">
        <v>228</v>
      </c>
      <c r="F1196" s="705">
        <v>136</v>
      </c>
      <c r="G1196" s="705">
        <v>13389</v>
      </c>
      <c r="H1196" s="705">
        <v>7791</v>
      </c>
      <c r="I1196" s="705">
        <v>115246</v>
      </c>
      <c r="J1196" s="705">
        <v>42684</v>
      </c>
      <c r="K1196" s="705">
        <v>474</v>
      </c>
      <c r="L1196" s="705">
        <v>10391</v>
      </c>
      <c r="M1196" s="705">
        <v>8365</v>
      </c>
      <c r="N1196" s="705">
        <v>163539</v>
      </c>
      <c r="O1196" s="705">
        <v>60570</v>
      </c>
      <c r="P1196" s="705">
        <v>49498</v>
      </c>
      <c r="Q1196" s="705">
        <v>18333</v>
      </c>
      <c r="R1196" s="705">
        <v>425335</v>
      </c>
      <c r="S1196" s="705">
        <v>157532</v>
      </c>
      <c r="T1196" s="705">
        <v>0</v>
      </c>
      <c r="U1196" s="705">
        <v>0</v>
      </c>
      <c r="V1196" s="705">
        <v>287483</v>
      </c>
      <c r="W1196" s="705">
        <f t="shared" si="58"/>
        <v>287484</v>
      </c>
      <c r="X1196" s="705">
        <f t="shared" si="59"/>
        <v>764009</v>
      </c>
    </row>
    <row r="1197" spans="2:24">
      <c r="B1197" t="s">
        <v>543</v>
      </c>
      <c r="C1197" t="s">
        <v>108</v>
      </c>
      <c r="D1197" t="s">
        <v>583</v>
      </c>
      <c r="E1197" t="s">
        <v>583</v>
      </c>
      <c r="F1197" s="705">
        <v>8</v>
      </c>
      <c r="G1197" s="705">
        <v>527</v>
      </c>
      <c r="H1197" s="705">
        <v>501</v>
      </c>
      <c r="I1197" s="705">
        <v>-1846</v>
      </c>
      <c r="J1197" s="705">
        <v>-1678</v>
      </c>
      <c r="K1197" s="705">
        <v>94</v>
      </c>
      <c r="L1197" s="705">
        <v>0</v>
      </c>
      <c r="M1197" s="705">
        <v>0</v>
      </c>
      <c r="N1197" s="705">
        <v>6417</v>
      </c>
      <c r="O1197" s="705">
        <v>2377</v>
      </c>
      <c r="P1197" s="705">
        <v>4968</v>
      </c>
      <c r="Q1197" s="705">
        <v>1840</v>
      </c>
      <c r="R1197" s="705">
        <v>23220</v>
      </c>
      <c r="S1197" s="705">
        <v>21109</v>
      </c>
      <c r="T1197" s="705">
        <v>0</v>
      </c>
      <c r="U1197" s="705">
        <v>0</v>
      </c>
      <c r="V1197" s="705">
        <v>23648</v>
      </c>
      <c r="W1197" s="705">
        <f t="shared" si="58"/>
        <v>27004</v>
      </c>
      <c r="X1197" s="705">
        <f t="shared" si="59"/>
        <v>36451</v>
      </c>
    </row>
    <row r="1198" spans="2:24">
      <c r="B1198" t="s">
        <v>543</v>
      </c>
      <c r="C1198" t="s">
        <v>108</v>
      </c>
      <c r="D1198" t="s">
        <v>584</v>
      </c>
      <c r="E1198" t="s">
        <v>584</v>
      </c>
      <c r="F1198" s="705">
        <v>19</v>
      </c>
      <c r="G1198" s="705">
        <v>1969</v>
      </c>
      <c r="H1198" s="705">
        <v>1167</v>
      </c>
      <c r="I1198" s="705">
        <v>30800</v>
      </c>
      <c r="J1198" s="705">
        <v>28000</v>
      </c>
      <c r="K1198" s="705">
        <v>91</v>
      </c>
      <c r="L1198" s="705">
        <v>5321</v>
      </c>
      <c r="M1198" s="705">
        <v>4622</v>
      </c>
      <c r="N1198" s="705">
        <v>23989</v>
      </c>
      <c r="O1198" s="705">
        <v>8885</v>
      </c>
      <c r="P1198" s="705">
        <v>8978</v>
      </c>
      <c r="Q1198" s="705">
        <v>3325</v>
      </c>
      <c r="R1198" s="705">
        <v>53100</v>
      </c>
      <c r="S1198" s="705">
        <v>48273</v>
      </c>
      <c r="T1198" s="705">
        <v>0</v>
      </c>
      <c r="U1198" s="705">
        <v>0</v>
      </c>
      <c r="V1198" s="705">
        <v>93104</v>
      </c>
      <c r="W1198" s="705">
        <f t="shared" si="58"/>
        <v>93105</v>
      </c>
      <c r="X1198" s="705">
        <f t="shared" si="59"/>
        <v>122188</v>
      </c>
    </row>
    <row r="1199" spans="2:24">
      <c r="B1199" t="s">
        <v>543</v>
      </c>
      <c r="C1199" t="s">
        <v>110</v>
      </c>
      <c r="D1199" t="s">
        <v>582</v>
      </c>
      <c r="E1199" t="s">
        <v>582</v>
      </c>
      <c r="F1199" s="705">
        <v>15</v>
      </c>
      <c r="G1199" s="705">
        <v>1642</v>
      </c>
      <c r="H1199" s="705">
        <v>1366</v>
      </c>
      <c r="I1199" s="705">
        <v>74447</v>
      </c>
      <c r="J1199" s="705">
        <v>67679</v>
      </c>
      <c r="K1199" s="705">
        <v>90</v>
      </c>
      <c r="L1199" s="705">
        <v>5767</v>
      </c>
      <c r="M1199" s="705">
        <v>5243</v>
      </c>
      <c r="N1199" s="705">
        <v>22229</v>
      </c>
      <c r="O1199" s="705">
        <v>8233</v>
      </c>
      <c r="P1199" s="705">
        <v>12026</v>
      </c>
      <c r="Q1199" s="705">
        <v>4454</v>
      </c>
      <c r="R1199" s="705">
        <v>45361</v>
      </c>
      <c r="S1199" s="705">
        <v>41237</v>
      </c>
      <c r="T1199" s="705">
        <v>0</v>
      </c>
      <c r="U1199" s="705">
        <v>0</v>
      </c>
      <c r="V1199" s="705">
        <v>126846</v>
      </c>
      <c r="W1199" s="705">
        <f t="shared" si="58"/>
        <v>126846</v>
      </c>
      <c r="X1199" s="705">
        <f t="shared" si="59"/>
        <v>159830</v>
      </c>
    </row>
    <row r="1200" spans="2:24">
      <c r="B1200" t="s">
        <v>543</v>
      </c>
      <c r="C1200" t="s">
        <v>110</v>
      </c>
      <c r="D1200" t="s">
        <v>228</v>
      </c>
      <c r="E1200" t="s">
        <v>228</v>
      </c>
      <c r="F1200" s="705">
        <v>5</v>
      </c>
      <c r="G1200" s="705">
        <v>1272</v>
      </c>
      <c r="H1200" s="705">
        <v>430</v>
      </c>
      <c r="I1200" s="705">
        <v>30603</v>
      </c>
      <c r="J1200" s="705">
        <v>11335</v>
      </c>
      <c r="K1200" s="705">
        <v>343</v>
      </c>
      <c r="L1200" s="705">
        <v>13656</v>
      </c>
      <c r="M1200" s="705">
        <v>12351</v>
      </c>
      <c r="N1200" s="705">
        <v>29251</v>
      </c>
      <c r="O1200" s="705">
        <v>10834</v>
      </c>
      <c r="P1200" s="705">
        <v>3159</v>
      </c>
      <c r="Q1200" s="705">
        <v>1170</v>
      </c>
      <c r="R1200" s="705">
        <v>33426</v>
      </c>
      <c r="S1200" s="705">
        <v>12380</v>
      </c>
      <c r="T1200" s="705">
        <v>0</v>
      </c>
      <c r="U1200" s="705">
        <v>0</v>
      </c>
      <c r="V1200" s="705">
        <v>48070</v>
      </c>
      <c r="W1200" s="705">
        <f t="shared" si="58"/>
        <v>48070</v>
      </c>
      <c r="X1200" s="705">
        <f t="shared" si="59"/>
        <v>110095</v>
      </c>
    </row>
    <row r="1201" spans="2:24">
      <c r="B1201" t="s">
        <v>543</v>
      </c>
      <c r="C1201" t="s">
        <v>110</v>
      </c>
      <c r="D1201" t="s">
        <v>583</v>
      </c>
      <c r="E1201" t="s">
        <v>583</v>
      </c>
      <c r="F1201" s="705">
        <v>7</v>
      </c>
      <c r="G1201" s="705">
        <v>773</v>
      </c>
      <c r="H1201" s="705">
        <v>596</v>
      </c>
      <c r="I1201" s="705">
        <v>29529</v>
      </c>
      <c r="J1201" s="705">
        <v>26845</v>
      </c>
      <c r="K1201" s="705">
        <v>94</v>
      </c>
      <c r="L1201" s="705">
        <v>1720</v>
      </c>
      <c r="M1201" s="705">
        <v>2024</v>
      </c>
      <c r="N1201" s="705">
        <v>9416</v>
      </c>
      <c r="O1201" s="705">
        <v>3487</v>
      </c>
      <c r="P1201" s="705">
        <v>4347</v>
      </c>
      <c r="Q1201" s="705">
        <v>1610</v>
      </c>
      <c r="R1201" s="705">
        <v>20919</v>
      </c>
      <c r="S1201" s="705">
        <v>19017</v>
      </c>
      <c r="T1201" s="705">
        <v>0</v>
      </c>
      <c r="U1201" s="705">
        <v>0</v>
      </c>
      <c r="V1201" s="705">
        <v>52983</v>
      </c>
      <c r="W1201" s="705">
        <f t="shared" si="58"/>
        <v>52983</v>
      </c>
      <c r="X1201" s="705">
        <f t="shared" si="59"/>
        <v>65931</v>
      </c>
    </row>
    <row r="1202" spans="2:24">
      <c r="B1202" t="s">
        <v>543</v>
      </c>
      <c r="C1202" t="s">
        <v>110</v>
      </c>
      <c r="D1202" t="s">
        <v>584</v>
      </c>
      <c r="E1202" t="s">
        <v>584</v>
      </c>
      <c r="F1202" s="705">
        <v>38</v>
      </c>
      <c r="G1202" s="705">
        <v>3606</v>
      </c>
      <c r="H1202" s="705">
        <v>3377</v>
      </c>
      <c r="I1202" s="705">
        <v>131505</v>
      </c>
      <c r="J1202" s="705">
        <v>119550</v>
      </c>
      <c r="K1202" s="705">
        <v>91</v>
      </c>
      <c r="L1202" s="705">
        <v>32896</v>
      </c>
      <c r="M1202" s="705">
        <v>29679</v>
      </c>
      <c r="N1202" s="705">
        <v>44764</v>
      </c>
      <c r="O1202" s="705">
        <v>16579</v>
      </c>
      <c r="P1202" s="705">
        <v>20304</v>
      </c>
      <c r="Q1202" s="705">
        <v>7520</v>
      </c>
      <c r="R1202" s="705">
        <v>93659</v>
      </c>
      <c r="S1202" s="705">
        <v>85145</v>
      </c>
      <c r="T1202" s="705">
        <v>0</v>
      </c>
      <c r="U1202" s="705">
        <v>0</v>
      </c>
      <c r="V1202" s="705">
        <v>258473</v>
      </c>
      <c r="W1202" s="705">
        <f t="shared" si="58"/>
        <v>258473</v>
      </c>
      <c r="X1202" s="705">
        <f t="shared" si="59"/>
        <v>323128</v>
      </c>
    </row>
    <row r="1203" spans="2:24">
      <c r="B1203" t="s">
        <v>543</v>
      </c>
      <c r="C1203" t="s">
        <v>112</v>
      </c>
      <c r="D1203" t="s">
        <v>582</v>
      </c>
      <c r="E1203" t="s">
        <v>582</v>
      </c>
      <c r="F1203" s="705">
        <v>4</v>
      </c>
      <c r="G1203" s="705">
        <v>556</v>
      </c>
      <c r="H1203" s="705">
        <v>474</v>
      </c>
      <c r="I1203" s="705">
        <v>29119</v>
      </c>
      <c r="J1203" s="705">
        <v>26472</v>
      </c>
      <c r="K1203" s="705">
        <v>91</v>
      </c>
      <c r="L1203" s="705">
        <v>4971</v>
      </c>
      <c r="M1203" s="705">
        <v>4519</v>
      </c>
      <c r="N1203" s="705">
        <v>11291</v>
      </c>
      <c r="O1203" s="705">
        <v>4182</v>
      </c>
      <c r="P1203" s="705">
        <v>2548</v>
      </c>
      <c r="Q1203" s="705">
        <v>944</v>
      </c>
      <c r="R1203" s="705">
        <v>18685</v>
      </c>
      <c r="S1203" s="705">
        <v>16987</v>
      </c>
      <c r="T1203" s="705">
        <v>0</v>
      </c>
      <c r="U1203" s="705">
        <v>0</v>
      </c>
      <c r="V1203" s="705">
        <v>53103</v>
      </c>
      <c r="W1203" s="705">
        <f t="shared" si="58"/>
        <v>53104</v>
      </c>
      <c r="X1203" s="705">
        <f t="shared" si="59"/>
        <v>66614</v>
      </c>
    </row>
    <row r="1204" spans="2:24">
      <c r="B1204" t="s">
        <v>543</v>
      </c>
      <c r="C1204" t="s">
        <v>112</v>
      </c>
      <c r="D1204" t="s">
        <v>582</v>
      </c>
      <c r="E1204" t="s">
        <v>584</v>
      </c>
      <c r="F1204" s="705">
        <v>1</v>
      </c>
      <c r="G1204" s="705">
        <v>139</v>
      </c>
      <c r="H1204" s="705">
        <v>115</v>
      </c>
      <c r="I1204" s="705">
        <v>8429</v>
      </c>
      <c r="J1204" s="705">
        <v>7663</v>
      </c>
      <c r="K1204" s="705">
        <v>90</v>
      </c>
      <c r="L1204" s="705">
        <v>985</v>
      </c>
      <c r="M1204" s="705">
        <v>895</v>
      </c>
      <c r="N1204" s="705">
        <v>3277</v>
      </c>
      <c r="O1204" s="705">
        <v>1214</v>
      </c>
      <c r="P1204" s="705">
        <v>473</v>
      </c>
      <c r="Q1204" s="705">
        <v>175</v>
      </c>
      <c r="R1204" s="705">
        <v>2871</v>
      </c>
      <c r="S1204" s="705">
        <v>2610</v>
      </c>
      <c r="T1204" s="705">
        <v>0</v>
      </c>
      <c r="U1204" s="705">
        <v>0</v>
      </c>
      <c r="V1204" s="705">
        <v>12557</v>
      </c>
      <c r="W1204" s="705">
        <f t="shared" si="58"/>
        <v>12557</v>
      </c>
      <c r="X1204" s="705">
        <f t="shared" si="59"/>
        <v>16035</v>
      </c>
    </row>
    <row r="1205" spans="2:24">
      <c r="B1205" t="s">
        <v>543</v>
      </c>
      <c r="C1205" t="s">
        <v>112</v>
      </c>
      <c r="D1205" t="s">
        <v>228</v>
      </c>
      <c r="E1205" t="s">
        <v>228</v>
      </c>
      <c r="F1205" s="705">
        <v>11</v>
      </c>
      <c r="G1205" s="705">
        <v>1168</v>
      </c>
      <c r="H1205" s="705">
        <v>1247</v>
      </c>
      <c r="I1205" s="705">
        <v>29312</v>
      </c>
      <c r="J1205" s="705">
        <v>10856</v>
      </c>
      <c r="K1205" s="705">
        <v>396</v>
      </c>
      <c r="L1205" s="705">
        <v>7457</v>
      </c>
      <c r="M1205" s="705">
        <v>8682</v>
      </c>
      <c r="N1205" s="705">
        <v>24845</v>
      </c>
      <c r="O1205" s="705">
        <v>9202</v>
      </c>
      <c r="P1205" s="705">
        <v>5748</v>
      </c>
      <c r="Q1205" s="705">
        <v>2129</v>
      </c>
      <c r="R1205" s="705">
        <v>64144</v>
      </c>
      <c r="S1205" s="705">
        <v>23757</v>
      </c>
      <c r="T1205" s="705">
        <v>0</v>
      </c>
      <c r="U1205" s="705">
        <v>0</v>
      </c>
      <c r="V1205" s="705">
        <v>54626</v>
      </c>
      <c r="W1205" s="705">
        <f t="shared" si="58"/>
        <v>54626</v>
      </c>
      <c r="X1205" s="705">
        <f t="shared" si="59"/>
        <v>131506</v>
      </c>
    </row>
    <row r="1206" spans="2:24">
      <c r="B1206" t="s">
        <v>543</v>
      </c>
      <c r="C1206" t="s">
        <v>112</v>
      </c>
      <c r="D1206" t="s">
        <v>583</v>
      </c>
      <c r="E1206" t="s">
        <v>583</v>
      </c>
      <c r="F1206" s="705">
        <v>38</v>
      </c>
      <c r="G1206" s="705">
        <v>4044</v>
      </c>
      <c r="H1206" s="705">
        <v>4560</v>
      </c>
      <c r="I1206" s="705">
        <v>230627</v>
      </c>
      <c r="J1206" s="705">
        <v>209661</v>
      </c>
      <c r="K1206" s="705">
        <v>94</v>
      </c>
      <c r="L1206" s="705">
        <v>25531</v>
      </c>
      <c r="M1206" s="705">
        <v>23022</v>
      </c>
      <c r="N1206" s="705">
        <v>59252</v>
      </c>
      <c r="O1206" s="705">
        <v>21945</v>
      </c>
      <c r="P1206" s="705">
        <v>23720</v>
      </c>
      <c r="Q1206" s="705">
        <v>8785</v>
      </c>
      <c r="R1206" s="705">
        <v>145937</v>
      </c>
      <c r="S1206" s="705">
        <v>132670</v>
      </c>
      <c r="T1206" s="705">
        <v>3116</v>
      </c>
      <c r="U1206" s="705">
        <v>1154</v>
      </c>
      <c r="V1206" s="705">
        <v>397238</v>
      </c>
      <c r="W1206" s="705">
        <f t="shared" si="58"/>
        <v>397237</v>
      </c>
      <c r="X1206" s="705">
        <f t="shared" si="59"/>
        <v>488183</v>
      </c>
    </row>
    <row r="1207" spans="2:24">
      <c r="B1207" t="s">
        <v>543</v>
      </c>
      <c r="C1207" t="s">
        <v>112</v>
      </c>
      <c r="D1207" t="s">
        <v>584</v>
      </c>
      <c r="E1207" t="s">
        <v>584</v>
      </c>
      <c r="F1207" s="705">
        <v>83</v>
      </c>
      <c r="G1207" s="705">
        <v>9478</v>
      </c>
      <c r="H1207" s="705">
        <v>9714</v>
      </c>
      <c r="I1207" s="705">
        <v>514148</v>
      </c>
      <c r="J1207" s="705">
        <v>467407</v>
      </c>
      <c r="K1207" s="705">
        <v>89</v>
      </c>
      <c r="L1207" s="705">
        <v>51074</v>
      </c>
      <c r="M1207" s="705">
        <v>54587</v>
      </c>
      <c r="N1207" s="705">
        <v>150209</v>
      </c>
      <c r="O1207" s="705">
        <v>55633</v>
      </c>
      <c r="P1207" s="705">
        <v>40271</v>
      </c>
      <c r="Q1207" s="705">
        <v>14915</v>
      </c>
      <c r="R1207" s="705">
        <v>356910</v>
      </c>
      <c r="S1207" s="705">
        <v>324464</v>
      </c>
      <c r="T1207" s="705">
        <v>5832</v>
      </c>
      <c r="U1207" s="705">
        <v>2160</v>
      </c>
      <c r="V1207" s="705">
        <v>919166</v>
      </c>
      <c r="W1207" s="705">
        <f t="shared" si="58"/>
        <v>919166</v>
      </c>
      <c r="X1207" s="705">
        <f t="shared" si="59"/>
        <v>1118444</v>
      </c>
    </row>
    <row r="1208" spans="2:24">
      <c r="B1208" t="s">
        <v>543</v>
      </c>
      <c r="C1208" t="s">
        <v>114</v>
      </c>
      <c r="D1208" t="s">
        <v>664</v>
      </c>
      <c r="E1208" t="s">
        <v>664</v>
      </c>
      <c r="F1208" s="705">
        <v>1</v>
      </c>
      <c r="G1208" s="705">
        <v>167</v>
      </c>
      <c r="H1208" s="705">
        <v>137</v>
      </c>
      <c r="I1208" s="705">
        <v>13075</v>
      </c>
      <c r="J1208" s="705">
        <v>11887</v>
      </c>
      <c r="K1208" s="705">
        <v>92</v>
      </c>
      <c r="L1208" s="705">
        <v>2235</v>
      </c>
      <c r="M1208" s="705">
        <v>2032</v>
      </c>
      <c r="N1208" s="705">
        <v>2036</v>
      </c>
      <c r="O1208" s="705">
        <v>754</v>
      </c>
      <c r="P1208" s="705">
        <v>473</v>
      </c>
      <c r="Q1208" s="705">
        <v>175</v>
      </c>
      <c r="R1208" s="705">
        <v>5010</v>
      </c>
      <c r="S1208" s="705">
        <v>4554</v>
      </c>
      <c r="T1208" s="705">
        <v>0</v>
      </c>
      <c r="U1208" s="705">
        <v>0</v>
      </c>
      <c r="V1208" s="705">
        <v>19402</v>
      </c>
      <c r="W1208" s="705">
        <f t="shared" si="58"/>
        <v>19402</v>
      </c>
      <c r="X1208" s="705">
        <f t="shared" si="59"/>
        <v>22829</v>
      </c>
    </row>
    <row r="1209" spans="2:24">
      <c r="B1209" t="s">
        <v>543</v>
      </c>
      <c r="C1209" t="s">
        <v>114</v>
      </c>
      <c r="D1209" t="s">
        <v>582</v>
      </c>
      <c r="E1209" t="s">
        <v>582</v>
      </c>
      <c r="F1209" s="705">
        <v>37</v>
      </c>
      <c r="G1209" s="705">
        <v>5006</v>
      </c>
      <c r="H1209" s="705">
        <v>5110</v>
      </c>
      <c r="I1209" s="705">
        <v>335619</v>
      </c>
      <c r="J1209" s="705">
        <v>305108</v>
      </c>
      <c r="K1209" s="705">
        <v>89</v>
      </c>
      <c r="L1209" s="705">
        <v>68776</v>
      </c>
      <c r="M1209" s="705">
        <v>60869</v>
      </c>
      <c r="N1209" s="705">
        <v>109457</v>
      </c>
      <c r="O1209" s="705">
        <v>40540</v>
      </c>
      <c r="P1209" s="705">
        <v>18536</v>
      </c>
      <c r="Q1209" s="705">
        <v>6865</v>
      </c>
      <c r="R1209" s="705">
        <v>184229</v>
      </c>
      <c r="S1209" s="705">
        <v>167481</v>
      </c>
      <c r="T1209" s="705">
        <v>0</v>
      </c>
      <c r="U1209" s="705">
        <v>0</v>
      </c>
      <c r="V1209" s="705">
        <v>580862</v>
      </c>
      <c r="W1209" s="705">
        <f t="shared" si="58"/>
        <v>580863</v>
      </c>
      <c r="X1209" s="705">
        <f t="shared" si="59"/>
        <v>716617</v>
      </c>
    </row>
    <row r="1210" spans="2:24">
      <c r="B1210" t="s">
        <v>543</v>
      </c>
      <c r="C1210" t="s">
        <v>114</v>
      </c>
      <c r="D1210" t="s">
        <v>228</v>
      </c>
      <c r="E1210" t="s">
        <v>228</v>
      </c>
      <c r="F1210" s="705">
        <v>21</v>
      </c>
      <c r="G1210" s="705">
        <v>1831</v>
      </c>
      <c r="H1210" s="705">
        <v>2960</v>
      </c>
      <c r="I1210" s="705">
        <v>45222</v>
      </c>
      <c r="J1210" s="705">
        <v>16749</v>
      </c>
      <c r="K1210" s="705">
        <v>387</v>
      </c>
      <c r="L1210" s="705">
        <v>10238</v>
      </c>
      <c r="M1210" s="705">
        <v>8683</v>
      </c>
      <c r="N1210" s="705">
        <v>23824</v>
      </c>
      <c r="O1210" s="705">
        <v>8824</v>
      </c>
      <c r="P1210" s="705">
        <v>7412</v>
      </c>
      <c r="Q1210" s="705">
        <v>2745</v>
      </c>
      <c r="R1210" s="705">
        <v>171362</v>
      </c>
      <c r="S1210" s="705">
        <v>63467</v>
      </c>
      <c r="T1210" s="705">
        <v>0</v>
      </c>
      <c r="U1210" s="705">
        <v>0</v>
      </c>
      <c r="V1210" s="705">
        <v>100468</v>
      </c>
      <c r="W1210" s="705">
        <f t="shared" si="58"/>
        <v>100468</v>
      </c>
      <c r="X1210" s="705">
        <f t="shared" si="59"/>
        <v>258058</v>
      </c>
    </row>
    <row r="1211" spans="2:24">
      <c r="B1211" t="s">
        <v>543</v>
      </c>
      <c r="C1211" t="s">
        <v>114</v>
      </c>
      <c r="D1211" t="s">
        <v>583</v>
      </c>
      <c r="E1211" t="s">
        <v>583</v>
      </c>
      <c r="F1211" s="705">
        <v>138</v>
      </c>
      <c r="G1211" s="705">
        <v>13511</v>
      </c>
      <c r="H1211" s="705">
        <v>19479</v>
      </c>
      <c r="I1211" s="705">
        <v>889506</v>
      </c>
      <c r="J1211" s="705">
        <v>808642</v>
      </c>
      <c r="K1211" s="705">
        <v>92</v>
      </c>
      <c r="L1211" s="705">
        <v>172979</v>
      </c>
      <c r="M1211" s="705">
        <v>155855</v>
      </c>
      <c r="N1211" s="705">
        <v>228507</v>
      </c>
      <c r="O1211" s="705">
        <v>84632</v>
      </c>
      <c r="P1211" s="705">
        <v>86832</v>
      </c>
      <c r="Q1211" s="705">
        <v>32160</v>
      </c>
      <c r="R1211" s="705">
        <v>536834</v>
      </c>
      <c r="S1211" s="705">
        <v>488031</v>
      </c>
      <c r="T1211" s="705">
        <v>17946</v>
      </c>
      <c r="U1211" s="705">
        <v>6647</v>
      </c>
      <c r="V1211" s="705">
        <v>1575966</v>
      </c>
      <c r="W1211" s="705">
        <f t="shared" si="58"/>
        <v>1575967</v>
      </c>
      <c r="X1211" s="705">
        <f t="shared" si="59"/>
        <v>1932604</v>
      </c>
    </row>
    <row r="1212" spans="2:24">
      <c r="B1212" t="s">
        <v>543</v>
      </c>
      <c r="C1212" t="s">
        <v>114</v>
      </c>
      <c r="D1212" t="s">
        <v>584</v>
      </c>
      <c r="E1212" t="s">
        <v>584</v>
      </c>
      <c r="F1212" s="705">
        <v>305</v>
      </c>
      <c r="G1212" s="705">
        <v>31285</v>
      </c>
      <c r="H1212" s="705">
        <v>42242</v>
      </c>
      <c r="I1212" s="705">
        <v>2045042</v>
      </c>
      <c r="J1212" s="705">
        <v>1859129</v>
      </c>
      <c r="K1212" s="705">
        <v>86</v>
      </c>
      <c r="L1212" s="705">
        <v>322089</v>
      </c>
      <c r="M1212" s="705">
        <v>302551</v>
      </c>
      <c r="N1212" s="705">
        <v>547609</v>
      </c>
      <c r="O1212" s="705">
        <v>202818</v>
      </c>
      <c r="P1212" s="705">
        <v>148352</v>
      </c>
      <c r="Q1212" s="705">
        <v>54945</v>
      </c>
      <c r="R1212" s="705">
        <v>1386005</v>
      </c>
      <c r="S1212" s="705">
        <v>1260004</v>
      </c>
      <c r="T1212" s="705">
        <v>41709</v>
      </c>
      <c r="U1212" s="705">
        <v>15448</v>
      </c>
      <c r="V1212" s="705">
        <v>3694895</v>
      </c>
      <c r="W1212" s="705">
        <f t="shared" si="58"/>
        <v>3694895</v>
      </c>
      <c r="X1212" s="705">
        <f t="shared" si="59"/>
        <v>4490806</v>
      </c>
    </row>
    <row r="1213" spans="2:24">
      <c r="B1213" t="s">
        <v>543</v>
      </c>
      <c r="C1213" t="s">
        <v>114</v>
      </c>
      <c r="D1213" t="s">
        <v>673</v>
      </c>
      <c r="E1213" t="s">
        <v>673</v>
      </c>
      <c r="F1213" s="705">
        <v>1</v>
      </c>
      <c r="G1213" s="705">
        <v>159</v>
      </c>
      <c r="H1213" s="705">
        <v>131</v>
      </c>
      <c r="I1213" s="705">
        <v>11440</v>
      </c>
      <c r="J1213" s="705">
        <v>10400</v>
      </c>
      <c r="K1213" s="705">
        <v>81</v>
      </c>
      <c r="L1213" s="705">
        <v>0</v>
      </c>
      <c r="M1213" s="705">
        <v>0</v>
      </c>
      <c r="N1213" s="705">
        <v>2089</v>
      </c>
      <c r="O1213" s="705">
        <v>774</v>
      </c>
      <c r="P1213" s="705">
        <v>351</v>
      </c>
      <c r="Q1213" s="705">
        <v>130</v>
      </c>
      <c r="R1213" s="705">
        <v>3754</v>
      </c>
      <c r="S1213" s="705">
        <v>3413</v>
      </c>
      <c r="T1213" s="705">
        <v>3114</v>
      </c>
      <c r="U1213" s="705">
        <v>1154</v>
      </c>
      <c r="V1213" s="705">
        <v>15870</v>
      </c>
      <c r="W1213" s="705">
        <f t="shared" si="58"/>
        <v>15871</v>
      </c>
      <c r="X1213" s="705">
        <f t="shared" si="59"/>
        <v>20748</v>
      </c>
    </row>
    <row r="1214" spans="2:24">
      <c r="B1214" t="s">
        <v>543</v>
      </c>
      <c r="C1214" t="s">
        <v>114</v>
      </c>
      <c r="D1214" t="s">
        <v>585</v>
      </c>
      <c r="E1214" t="s">
        <v>585</v>
      </c>
      <c r="F1214" s="705">
        <v>1</v>
      </c>
      <c r="G1214" s="705">
        <v>79</v>
      </c>
      <c r="H1214" s="705">
        <v>149</v>
      </c>
      <c r="I1214" s="705">
        <v>4677</v>
      </c>
      <c r="J1214" s="705">
        <v>4252</v>
      </c>
      <c r="K1214" s="705">
        <v>90</v>
      </c>
      <c r="L1214" s="705">
        <v>1149</v>
      </c>
      <c r="M1214" s="705">
        <v>426</v>
      </c>
      <c r="N1214" s="705">
        <v>1928</v>
      </c>
      <c r="O1214" s="705">
        <v>714</v>
      </c>
      <c r="P1214" s="705">
        <v>351</v>
      </c>
      <c r="Q1214" s="705">
        <v>130</v>
      </c>
      <c r="R1214" s="705">
        <v>3646</v>
      </c>
      <c r="S1214" s="705">
        <v>3315</v>
      </c>
      <c r="T1214" s="705">
        <v>0</v>
      </c>
      <c r="U1214" s="705">
        <v>0</v>
      </c>
      <c r="V1214" s="705">
        <v>8836</v>
      </c>
      <c r="W1214" s="705">
        <f t="shared" si="58"/>
        <v>8837</v>
      </c>
      <c r="X1214" s="705">
        <f t="shared" si="59"/>
        <v>11751</v>
      </c>
    </row>
    <row r="1215" spans="2:24">
      <c r="B1215" t="s">
        <v>543</v>
      </c>
      <c r="C1215" t="s">
        <v>114</v>
      </c>
      <c r="D1215" t="s">
        <v>668</v>
      </c>
      <c r="E1215" t="s">
        <v>668</v>
      </c>
      <c r="F1215" s="705">
        <v>1</v>
      </c>
      <c r="G1215" s="705">
        <v>94</v>
      </c>
      <c r="H1215" s="705">
        <v>137</v>
      </c>
      <c r="I1215" s="705">
        <v>6565</v>
      </c>
      <c r="J1215" s="705">
        <v>5969</v>
      </c>
      <c r="K1215" s="705">
        <v>89</v>
      </c>
      <c r="L1215" s="705">
        <v>949</v>
      </c>
      <c r="M1215" s="705">
        <v>863</v>
      </c>
      <c r="N1215" s="705">
        <v>2289</v>
      </c>
      <c r="O1215" s="705">
        <v>848</v>
      </c>
      <c r="P1215" s="705">
        <v>351</v>
      </c>
      <c r="Q1215" s="705">
        <v>130</v>
      </c>
      <c r="R1215" s="705">
        <v>2728</v>
      </c>
      <c r="S1215" s="705">
        <v>2480</v>
      </c>
      <c r="T1215" s="705">
        <v>0</v>
      </c>
      <c r="U1215" s="705">
        <v>0</v>
      </c>
      <c r="V1215" s="705">
        <v>10290</v>
      </c>
      <c r="W1215" s="705">
        <f t="shared" si="58"/>
        <v>10290</v>
      </c>
      <c r="X1215" s="705">
        <f t="shared" si="59"/>
        <v>12882</v>
      </c>
    </row>
    <row r="1216" spans="2:24">
      <c r="B1216" t="s">
        <v>543</v>
      </c>
      <c r="C1216" t="s">
        <v>116</v>
      </c>
      <c r="F1216" s="705">
        <v>9</v>
      </c>
      <c r="G1216" s="705">
        <v>623</v>
      </c>
      <c r="H1216" s="705">
        <v>1691</v>
      </c>
      <c r="I1216" s="705"/>
      <c r="J1216" s="705">
        <v>0</v>
      </c>
      <c r="K1216" s="705"/>
      <c r="L1216" s="705"/>
      <c r="M1216" s="705">
        <v>0</v>
      </c>
      <c r="N1216" s="705">
        <v>9937</v>
      </c>
      <c r="O1216" s="705">
        <v>3680</v>
      </c>
      <c r="P1216" s="705">
        <v>4428</v>
      </c>
      <c r="Q1216" s="705">
        <v>1640</v>
      </c>
      <c r="R1216" s="705"/>
      <c r="S1216" s="705">
        <v>0</v>
      </c>
      <c r="T1216" s="705">
        <v>0</v>
      </c>
      <c r="U1216" s="705">
        <v>0</v>
      </c>
      <c r="V1216" s="705">
        <v>5320</v>
      </c>
      <c r="W1216" s="705">
        <f t="shared" si="58"/>
        <v>5320</v>
      </c>
      <c r="X1216" s="705">
        <f t="shared" si="59"/>
        <v>14365</v>
      </c>
    </row>
    <row r="1217" spans="2:24">
      <c r="B1217" t="s">
        <v>543</v>
      </c>
      <c r="C1217" t="s">
        <v>116</v>
      </c>
      <c r="D1217" t="s">
        <v>582</v>
      </c>
      <c r="E1217" t="s">
        <v>664</v>
      </c>
      <c r="F1217" s="705">
        <v>1</v>
      </c>
      <c r="G1217" s="705">
        <v>137</v>
      </c>
      <c r="H1217" s="705">
        <v>174</v>
      </c>
      <c r="I1217" s="705">
        <v>12302</v>
      </c>
      <c r="J1217" s="705">
        <v>11183</v>
      </c>
      <c r="K1217" s="705">
        <v>90</v>
      </c>
      <c r="L1217" s="705">
        <v>3905</v>
      </c>
      <c r="M1217" s="705">
        <v>3550</v>
      </c>
      <c r="N1217" s="705">
        <v>3129</v>
      </c>
      <c r="O1217" s="705">
        <v>1159</v>
      </c>
      <c r="P1217" s="705">
        <v>473</v>
      </c>
      <c r="Q1217" s="705">
        <v>175</v>
      </c>
      <c r="R1217" s="705">
        <v>4082</v>
      </c>
      <c r="S1217" s="705">
        <v>3711</v>
      </c>
      <c r="T1217" s="705">
        <v>0</v>
      </c>
      <c r="U1217" s="705">
        <v>0</v>
      </c>
      <c r="V1217" s="705">
        <v>19778</v>
      </c>
      <c r="W1217" s="705">
        <f t="shared" si="58"/>
        <v>19778</v>
      </c>
      <c r="X1217" s="705">
        <f t="shared" si="59"/>
        <v>23891</v>
      </c>
    </row>
    <row r="1218" spans="2:24">
      <c r="B1218" t="s">
        <v>543</v>
      </c>
      <c r="C1218" t="s">
        <v>116</v>
      </c>
      <c r="D1218" t="s">
        <v>582</v>
      </c>
      <c r="E1218" t="s">
        <v>582</v>
      </c>
      <c r="F1218" s="705">
        <v>71</v>
      </c>
      <c r="G1218" s="705">
        <v>9003</v>
      </c>
      <c r="H1218" s="705">
        <v>13369</v>
      </c>
      <c r="I1218" s="705">
        <v>932034</v>
      </c>
      <c r="J1218" s="705">
        <v>847304</v>
      </c>
      <c r="K1218" s="705">
        <v>80</v>
      </c>
      <c r="L1218" s="705">
        <v>219290</v>
      </c>
      <c r="M1218" s="705">
        <v>199221</v>
      </c>
      <c r="N1218" s="705">
        <v>203914</v>
      </c>
      <c r="O1218" s="705">
        <v>75524</v>
      </c>
      <c r="P1218" s="705">
        <v>35654</v>
      </c>
      <c r="Q1218" s="705">
        <v>13205</v>
      </c>
      <c r="R1218" s="705">
        <v>406156</v>
      </c>
      <c r="S1218" s="705">
        <v>369232</v>
      </c>
      <c r="T1218" s="705">
        <v>34573</v>
      </c>
      <c r="U1218" s="705">
        <v>12805</v>
      </c>
      <c r="V1218" s="705">
        <v>1517290</v>
      </c>
      <c r="W1218" s="705">
        <f t="shared" si="58"/>
        <v>1517291</v>
      </c>
      <c r="X1218" s="705">
        <f t="shared" si="59"/>
        <v>1831621</v>
      </c>
    </row>
    <row r="1219" spans="2:24">
      <c r="B1219" t="s">
        <v>543</v>
      </c>
      <c r="C1219" t="s">
        <v>116</v>
      </c>
      <c r="D1219" t="s">
        <v>582</v>
      </c>
      <c r="E1219" t="s">
        <v>584</v>
      </c>
      <c r="F1219" s="705">
        <v>1</v>
      </c>
      <c r="G1219" s="705">
        <v>119</v>
      </c>
      <c r="H1219" s="705">
        <v>158</v>
      </c>
      <c r="I1219" s="705">
        <v>8817</v>
      </c>
      <c r="J1219" s="705">
        <v>8015</v>
      </c>
      <c r="K1219" s="705">
        <v>80</v>
      </c>
      <c r="L1219" s="705">
        <v>1238</v>
      </c>
      <c r="M1219" s="705">
        <v>1125</v>
      </c>
      <c r="N1219" s="705">
        <v>2050</v>
      </c>
      <c r="O1219" s="705">
        <v>759</v>
      </c>
      <c r="P1219" s="705">
        <v>473</v>
      </c>
      <c r="Q1219" s="705">
        <v>175</v>
      </c>
      <c r="R1219" s="705">
        <v>3475</v>
      </c>
      <c r="S1219" s="705">
        <v>3159</v>
      </c>
      <c r="T1219" s="705">
        <v>2801</v>
      </c>
      <c r="U1219" s="705">
        <v>1037</v>
      </c>
      <c r="V1219" s="705">
        <v>14271</v>
      </c>
      <c r="W1219" s="705">
        <f t="shared" si="58"/>
        <v>14270</v>
      </c>
      <c r="X1219" s="705">
        <f t="shared" si="59"/>
        <v>18854</v>
      </c>
    </row>
    <row r="1220" spans="2:24">
      <c r="B1220" t="s">
        <v>543</v>
      </c>
      <c r="C1220" t="s">
        <v>116</v>
      </c>
      <c r="D1220" t="s">
        <v>228</v>
      </c>
      <c r="E1220" t="s">
        <v>228</v>
      </c>
      <c r="F1220" s="705">
        <v>41</v>
      </c>
      <c r="G1220" s="705">
        <v>4130</v>
      </c>
      <c r="H1220" s="705">
        <v>7603</v>
      </c>
      <c r="I1220" s="705">
        <v>416314</v>
      </c>
      <c r="J1220" s="705">
        <v>154190</v>
      </c>
      <c r="K1220" s="705">
        <v>120</v>
      </c>
      <c r="L1220" s="705">
        <v>44854</v>
      </c>
      <c r="M1220" s="705">
        <v>21124</v>
      </c>
      <c r="N1220" s="705">
        <v>63699</v>
      </c>
      <c r="O1220" s="705">
        <v>23592</v>
      </c>
      <c r="P1220" s="705">
        <v>1404</v>
      </c>
      <c r="Q1220" s="705">
        <v>520</v>
      </c>
      <c r="R1220" s="705">
        <v>324590</v>
      </c>
      <c r="S1220" s="705">
        <v>120218</v>
      </c>
      <c r="T1220" s="705">
        <v>0</v>
      </c>
      <c r="U1220" s="705">
        <v>0</v>
      </c>
      <c r="V1220" s="705">
        <v>319645</v>
      </c>
      <c r="W1220" s="705">
        <f t="shared" si="58"/>
        <v>319644</v>
      </c>
      <c r="X1220" s="705">
        <f t="shared" si="59"/>
        <v>850861</v>
      </c>
    </row>
    <row r="1221" spans="2:24">
      <c r="B1221" t="s">
        <v>543</v>
      </c>
      <c r="C1221" t="s">
        <v>116</v>
      </c>
      <c r="D1221" t="s">
        <v>583</v>
      </c>
      <c r="E1221" t="s">
        <v>664</v>
      </c>
      <c r="F1221" s="705">
        <v>1</v>
      </c>
      <c r="G1221" s="705">
        <v>146</v>
      </c>
      <c r="H1221" s="705">
        <v>223</v>
      </c>
      <c r="I1221" s="705">
        <v>22371</v>
      </c>
      <c r="J1221" s="705">
        <v>20337</v>
      </c>
      <c r="K1221" s="705">
        <v>79</v>
      </c>
      <c r="L1221" s="705">
        <v>2868</v>
      </c>
      <c r="M1221" s="705">
        <v>2607</v>
      </c>
      <c r="N1221" s="705">
        <v>1969</v>
      </c>
      <c r="O1221" s="705">
        <v>729</v>
      </c>
      <c r="P1221" s="705">
        <v>621</v>
      </c>
      <c r="Q1221" s="705">
        <v>230</v>
      </c>
      <c r="R1221" s="705">
        <v>4689</v>
      </c>
      <c r="S1221" s="705">
        <v>4263</v>
      </c>
      <c r="T1221" s="705">
        <v>0</v>
      </c>
      <c r="U1221" s="705">
        <v>0</v>
      </c>
      <c r="V1221" s="705">
        <v>28166</v>
      </c>
      <c r="W1221" s="705">
        <f t="shared" si="58"/>
        <v>28166</v>
      </c>
      <c r="X1221" s="705">
        <f t="shared" si="59"/>
        <v>32518</v>
      </c>
    </row>
    <row r="1222" spans="2:24">
      <c r="B1222" t="s">
        <v>543</v>
      </c>
      <c r="C1222" t="s">
        <v>116</v>
      </c>
      <c r="D1222" t="s">
        <v>583</v>
      </c>
      <c r="E1222" t="s">
        <v>228</v>
      </c>
      <c r="F1222" s="705">
        <v>1</v>
      </c>
      <c r="G1222" s="705">
        <v>115</v>
      </c>
      <c r="H1222" s="705">
        <v>158</v>
      </c>
      <c r="I1222" s="705">
        <v>10171</v>
      </c>
      <c r="J1222" s="705">
        <v>9246</v>
      </c>
      <c r="K1222" s="705">
        <v>95</v>
      </c>
      <c r="L1222" s="705">
        <v>1534</v>
      </c>
      <c r="M1222" s="705">
        <v>1279</v>
      </c>
      <c r="N1222" s="705">
        <v>1919</v>
      </c>
      <c r="O1222" s="705">
        <v>711</v>
      </c>
      <c r="P1222" s="705">
        <v>621</v>
      </c>
      <c r="Q1222" s="705">
        <v>230</v>
      </c>
      <c r="R1222" s="705">
        <v>3903</v>
      </c>
      <c r="S1222" s="705">
        <v>1446</v>
      </c>
      <c r="T1222" s="705">
        <v>0</v>
      </c>
      <c r="U1222" s="705">
        <v>0</v>
      </c>
      <c r="V1222" s="705">
        <v>12911</v>
      </c>
      <c r="W1222" s="705">
        <f t="shared" si="58"/>
        <v>12912</v>
      </c>
      <c r="X1222" s="705">
        <f t="shared" si="59"/>
        <v>18148</v>
      </c>
    </row>
    <row r="1223" spans="2:24">
      <c r="B1223" t="s">
        <v>543</v>
      </c>
      <c r="C1223" t="s">
        <v>116</v>
      </c>
      <c r="D1223" t="s">
        <v>583</v>
      </c>
      <c r="E1223" t="s">
        <v>583</v>
      </c>
      <c r="F1223" s="705">
        <v>1058</v>
      </c>
      <c r="G1223" s="705">
        <v>105700</v>
      </c>
      <c r="H1223" s="705">
        <v>201216</v>
      </c>
      <c r="I1223" s="705">
        <v>9567350</v>
      </c>
      <c r="J1223" s="705">
        <v>8697591</v>
      </c>
      <c r="K1223" s="705">
        <v>86</v>
      </c>
      <c r="L1223" s="705">
        <v>2279471</v>
      </c>
      <c r="M1223" s="705">
        <v>1998996</v>
      </c>
      <c r="N1223" s="705">
        <v>2091941</v>
      </c>
      <c r="O1223" s="705">
        <v>774793</v>
      </c>
      <c r="P1223" s="705">
        <v>662680</v>
      </c>
      <c r="Q1223" s="705">
        <v>245437</v>
      </c>
      <c r="R1223" s="705">
        <v>4482958</v>
      </c>
      <c r="S1223" s="705">
        <v>4075416</v>
      </c>
      <c r="T1223" s="705">
        <v>1376037</v>
      </c>
      <c r="U1223" s="705">
        <v>509643</v>
      </c>
      <c r="V1223" s="705">
        <v>16301876</v>
      </c>
      <c r="W1223" s="705">
        <f t="shared" si="58"/>
        <v>16301876</v>
      </c>
      <c r="X1223" s="705">
        <f t="shared" si="59"/>
        <v>20460437</v>
      </c>
    </row>
    <row r="1224" spans="2:24">
      <c r="B1224" t="s">
        <v>543</v>
      </c>
      <c r="C1224" t="s">
        <v>116</v>
      </c>
      <c r="D1224" t="s">
        <v>583</v>
      </c>
      <c r="E1224" t="s">
        <v>666</v>
      </c>
      <c r="F1224" s="705">
        <v>1</v>
      </c>
      <c r="G1224" s="705">
        <v>80</v>
      </c>
      <c r="H1224" s="705">
        <v>217</v>
      </c>
      <c r="I1224" s="705">
        <v>9999</v>
      </c>
      <c r="J1224" s="705">
        <v>9090</v>
      </c>
      <c r="K1224" s="705">
        <v>79</v>
      </c>
      <c r="L1224" s="705">
        <v>1463</v>
      </c>
      <c r="M1224" s="705">
        <v>1330</v>
      </c>
      <c r="N1224" s="705">
        <v>1076</v>
      </c>
      <c r="O1224" s="705">
        <v>399</v>
      </c>
      <c r="P1224" s="705">
        <v>621</v>
      </c>
      <c r="Q1224" s="705">
        <v>230</v>
      </c>
      <c r="R1224" s="705">
        <v>4241</v>
      </c>
      <c r="S1224" s="705">
        <v>3855</v>
      </c>
      <c r="T1224" s="705">
        <v>0</v>
      </c>
      <c r="U1224" s="705">
        <v>0</v>
      </c>
      <c r="V1224" s="705">
        <v>14903</v>
      </c>
      <c r="W1224" s="705">
        <f t="shared" si="58"/>
        <v>14904</v>
      </c>
      <c r="X1224" s="705">
        <f t="shared" si="59"/>
        <v>17400</v>
      </c>
    </row>
    <row r="1225" spans="2:24">
      <c r="B1225" t="s">
        <v>543</v>
      </c>
      <c r="C1225" t="s">
        <v>116</v>
      </c>
      <c r="D1225" t="s">
        <v>583</v>
      </c>
      <c r="E1225" t="s">
        <v>665</v>
      </c>
      <c r="F1225" s="705">
        <v>2</v>
      </c>
      <c r="G1225" s="705">
        <v>180</v>
      </c>
      <c r="H1225" s="705">
        <v>363</v>
      </c>
      <c r="I1225" s="705">
        <v>16611</v>
      </c>
      <c r="J1225" s="705">
        <v>15101</v>
      </c>
      <c r="K1225" s="705">
        <v>82</v>
      </c>
      <c r="L1225" s="705">
        <v>4773</v>
      </c>
      <c r="M1225" s="705">
        <v>4339</v>
      </c>
      <c r="N1225" s="705">
        <v>3565</v>
      </c>
      <c r="O1225" s="705">
        <v>1320</v>
      </c>
      <c r="P1225" s="705">
        <v>1242</v>
      </c>
      <c r="Q1225" s="705">
        <v>460</v>
      </c>
      <c r="R1225" s="705">
        <v>10470</v>
      </c>
      <c r="S1225" s="705">
        <v>9518</v>
      </c>
      <c r="T1225" s="705">
        <v>0</v>
      </c>
      <c r="U1225" s="705">
        <v>0</v>
      </c>
      <c r="V1225" s="705">
        <v>30739</v>
      </c>
      <c r="W1225" s="705">
        <f t="shared" si="58"/>
        <v>30738</v>
      </c>
      <c r="X1225" s="705">
        <f t="shared" si="59"/>
        <v>36661</v>
      </c>
    </row>
    <row r="1226" spans="2:24">
      <c r="B1226" t="s">
        <v>543</v>
      </c>
      <c r="C1226" t="s">
        <v>116</v>
      </c>
      <c r="D1226" t="s">
        <v>584</v>
      </c>
      <c r="E1226" t="s">
        <v>228</v>
      </c>
      <c r="F1226" s="705">
        <v>1</v>
      </c>
      <c r="G1226" s="705">
        <v>135</v>
      </c>
      <c r="H1226" s="705">
        <v>211</v>
      </c>
      <c r="I1226" s="705">
        <v>19498</v>
      </c>
      <c r="J1226" s="705">
        <v>17726</v>
      </c>
      <c r="K1226" s="705">
        <v>79</v>
      </c>
      <c r="L1226" s="705">
        <v>2950</v>
      </c>
      <c r="M1226" s="705">
        <v>2459</v>
      </c>
      <c r="N1226" s="705">
        <v>2376</v>
      </c>
      <c r="O1226" s="705">
        <v>880</v>
      </c>
      <c r="P1226" s="705">
        <v>824</v>
      </c>
      <c r="Q1226" s="705">
        <v>305</v>
      </c>
      <c r="R1226" s="705">
        <v>2911</v>
      </c>
      <c r="S1226" s="705">
        <v>1078</v>
      </c>
      <c r="T1226" s="705">
        <v>0</v>
      </c>
      <c r="U1226" s="705">
        <v>0</v>
      </c>
      <c r="V1226" s="705">
        <v>22447</v>
      </c>
      <c r="W1226" s="705">
        <f t="shared" si="58"/>
        <v>22448</v>
      </c>
      <c r="X1226" s="705">
        <f t="shared" si="59"/>
        <v>28559</v>
      </c>
    </row>
    <row r="1227" spans="2:24">
      <c r="B1227" t="s">
        <v>543</v>
      </c>
      <c r="C1227" t="s">
        <v>116</v>
      </c>
      <c r="D1227" t="s">
        <v>584</v>
      </c>
      <c r="E1227" t="s">
        <v>584</v>
      </c>
      <c r="F1227" s="705">
        <v>1352</v>
      </c>
      <c r="G1227" s="705">
        <v>130092</v>
      </c>
      <c r="H1227" s="705">
        <v>252401</v>
      </c>
      <c r="I1227" s="705">
        <v>11759923</v>
      </c>
      <c r="J1227" s="705">
        <v>10690839</v>
      </c>
      <c r="K1227" s="705">
        <v>81</v>
      </c>
      <c r="L1227" s="705">
        <v>2535339</v>
      </c>
      <c r="M1227" s="705">
        <v>2393249</v>
      </c>
      <c r="N1227" s="705">
        <v>2584385</v>
      </c>
      <c r="O1227" s="705">
        <v>957179</v>
      </c>
      <c r="P1227" s="705">
        <v>641086</v>
      </c>
      <c r="Q1227" s="705">
        <v>237439</v>
      </c>
      <c r="R1227" s="705">
        <v>6594996</v>
      </c>
      <c r="S1227" s="705">
        <v>5995451</v>
      </c>
      <c r="T1227" s="705">
        <v>894475</v>
      </c>
      <c r="U1227" s="705">
        <v>331287</v>
      </c>
      <c r="V1227" s="705">
        <v>20605444</v>
      </c>
      <c r="W1227" s="705">
        <f t="shared" si="58"/>
        <v>20605444</v>
      </c>
      <c r="X1227" s="705">
        <f t="shared" si="59"/>
        <v>25010204</v>
      </c>
    </row>
    <row r="1228" spans="2:24">
      <c r="B1228" t="s">
        <v>543</v>
      </c>
      <c r="C1228" t="s">
        <v>116</v>
      </c>
      <c r="D1228" t="s">
        <v>669</v>
      </c>
      <c r="E1228" t="s">
        <v>669</v>
      </c>
      <c r="F1228" s="705">
        <v>6</v>
      </c>
      <c r="G1228" s="705">
        <v>505</v>
      </c>
      <c r="H1228" s="705">
        <v>1276</v>
      </c>
      <c r="I1228" s="705">
        <v>57251</v>
      </c>
      <c r="J1228" s="705">
        <v>47709</v>
      </c>
      <c r="K1228" s="705">
        <v>71</v>
      </c>
      <c r="L1228" s="705">
        <v>1740</v>
      </c>
      <c r="M1228" s="705">
        <v>2263</v>
      </c>
      <c r="N1228" s="705">
        <v>7355</v>
      </c>
      <c r="O1228" s="705">
        <v>2724</v>
      </c>
      <c r="P1228" s="705">
        <v>2106</v>
      </c>
      <c r="Q1228" s="705">
        <v>780</v>
      </c>
      <c r="R1228" s="705">
        <v>25436</v>
      </c>
      <c r="S1228" s="705">
        <v>21197</v>
      </c>
      <c r="T1228" s="705">
        <v>13589</v>
      </c>
      <c r="U1228" s="705">
        <v>5033</v>
      </c>
      <c r="V1228" s="705">
        <v>79705</v>
      </c>
      <c r="W1228" s="705">
        <f t="shared" si="58"/>
        <v>79706</v>
      </c>
      <c r="X1228" s="705">
        <f t="shared" si="59"/>
        <v>107477</v>
      </c>
    </row>
    <row r="1229" spans="2:24">
      <c r="B1229" t="s">
        <v>543</v>
      </c>
      <c r="C1229" t="s">
        <v>116</v>
      </c>
      <c r="D1229" t="s">
        <v>665</v>
      </c>
      <c r="E1229" t="s">
        <v>665</v>
      </c>
      <c r="F1229" s="705">
        <v>64</v>
      </c>
      <c r="G1229" s="705">
        <v>6020</v>
      </c>
      <c r="H1229" s="705">
        <v>13588</v>
      </c>
      <c r="I1229" s="705">
        <v>707829</v>
      </c>
      <c r="J1229" s="705">
        <v>643481</v>
      </c>
      <c r="K1229" s="705">
        <v>68</v>
      </c>
      <c r="L1229" s="705">
        <v>5773</v>
      </c>
      <c r="M1229" s="705">
        <v>4497</v>
      </c>
      <c r="N1229" s="705">
        <v>129860</v>
      </c>
      <c r="O1229" s="705">
        <v>48096</v>
      </c>
      <c r="P1229" s="705">
        <v>22464</v>
      </c>
      <c r="Q1229" s="705">
        <v>8320</v>
      </c>
      <c r="R1229" s="705">
        <v>267315</v>
      </c>
      <c r="S1229" s="705">
        <v>243013</v>
      </c>
      <c r="T1229" s="705">
        <v>145904</v>
      </c>
      <c r="U1229" s="705">
        <v>54038</v>
      </c>
      <c r="V1229" s="705">
        <v>1001446</v>
      </c>
      <c r="W1229" s="705">
        <f t="shared" si="58"/>
        <v>1001445</v>
      </c>
      <c r="X1229" s="705">
        <f t="shared" si="59"/>
        <v>1279145</v>
      </c>
    </row>
    <row r="1230" spans="2:24">
      <c r="B1230" t="s">
        <v>543</v>
      </c>
      <c r="C1230" t="s">
        <v>116</v>
      </c>
      <c r="D1230" t="s">
        <v>673</v>
      </c>
      <c r="E1230" t="s">
        <v>673</v>
      </c>
      <c r="F1230" s="705">
        <v>1</v>
      </c>
      <c r="G1230" s="705">
        <v>394</v>
      </c>
      <c r="H1230" s="705">
        <v>186</v>
      </c>
      <c r="I1230" s="705">
        <v>51925</v>
      </c>
      <c r="J1230" s="705">
        <v>47204</v>
      </c>
      <c r="K1230" s="705">
        <v>84</v>
      </c>
      <c r="L1230" s="705">
        <v>6684</v>
      </c>
      <c r="M1230" s="705">
        <v>6076</v>
      </c>
      <c r="N1230" s="705">
        <v>6479</v>
      </c>
      <c r="O1230" s="705">
        <v>2400</v>
      </c>
      <c r="P1230" s="705">
        <v>1175</v>
      </c>
      <c r="Q1230" s="705">
        <v>435</v>
      </c>
      <c r="R1230" s="705">
        <v>7057</v>
      </c>
      <c r="S1230" s="705">
        <v>6416</v>
      </c>
      <c r="T1230" s="705">
        <v>0</v>
      </c>
      <c r="U1230" s="705">
        <v>0</v>
      </c>
      <c r="V1230" s="705">
        <v>62531</v>
      </c>
      <c r="W1230" s="705">
        <f t="shared" si="58"/>
        <v>62531</v>
      </c>
      <c r="X1230" s="705">
        <f t="shared" si="59"/>
        <v>73320</v>
      </c>
    </row>
    <row r="1231" spans="2:24">
      <c r="B1231" t="s">
        <v>543</v>
      </c>
      <c r="C1231" t="s">
        <v>116</v>
      </c>
      <c r="D1231" t="s">
        <v>585</v>
      </c>
      <c r="E1231" t="s">
        <v>585</v>
      </c>
      <c r="F1231" s="705">
        <v>1</v>
      </c>
      <c r="G1231" s="705">
        <v>61</v>
      </c>
      <c r="H1231" s="705">
        <v>194</v>
      </c>
      <c r="I1231" s="705">
        <v>6285</v>
      </c>
      <c r="J1231" s="705">
        <v>5714</v>
      </c>
      <c r="K1231" s="705">
        <v>83</v>
      </c>
      <c r="L1231" s="705">
        <v>0</v>
      </c>
      <c r="M1231" s="705">
        <v>0</v>
      </c>
      <c r="N1231" s="705">
        <v>1486</v>
      </c>
      <c r="O1231" s="705">
        <v>551</v>
      </c>
      <c r="P1231" s="705">
        <v>351</v>
      </c>
      <c r="Q1231" s="705">
        <v>130</v>
      </c>
      <c r="R1231" s="705">
        <v>3686</v>
      </c>
      <c r="S1231" s="705">
        <v>3351</v>
      </c>
      <c r="T1231" s="705">
        <v>0</v>
      </c>
      <c r="U1231" s="705">
        <v>0</v>
      </c>
      <c r="V1231" s="705">
        <v>9745</v>
      </c>
      <c r="W1231" s="705">
        <f t="shared" si="58"/>
        <v>9746</v>
      </c>
      <c r="X1231" s="705">
        <f t="shared" si="59"/>
        <v>11808</v>
      </c>
    </row>
    <row r="1232" spans="2:24">
      <c r="B1232" t="s">
        <v>543</v>
      </c>
      <c r="C1232" t="s">
        <v>116</v>
      </c>
      <c r="D1232" t="s">
        <v>668</v>
      </c>
      <c r="E1232" t="s">
        <v>668</v>
      </c>
      <c r="F1232" s="705">
        <v>1</v>
      </c>
      <c r="G1232" s="705">
        <v>78</v>
      </c>
      <c r="H1232" s="705">
        <v>153</v>
      </c>
      <c r="I1232" s="705">
        <v>5955</v>
      </c>
      <c r="J1232" s="705">
        <v>5414</v>
      </c>
      <c r="K1232" s="705">
        <v>89</v>
      </c>
      <c r="L1232" s="705">
        <v>861</v>
      </c>
      <c r="M1232" s="705">
        <v>783</v>
      </c>
      <c r="N1232" s="705">
        <v>1903</v>
      </c>
      <c r="O1232" s="705">
        <v>705</v>
      </c>
      <c r="P1232" s="705">
        <v>351</v>
      </c>
      <c r="Q1232" s="705">
        <v>130</v>
      </c>
      <c r="R1232" s="705">
        <v>2877</v>
      </c>
      <c r="S1232" s="705">
        <v>2616</v>
      </c>
      <c r="T1232" s="705">
        <v>0</v>
      </c>
      <c r="U1232" s="705">
        <v>0</v>
      </c>
      <c r="V1232" s="705">
        <v>9647</v>
      </c>
      <c r="W1232" s="705">
        <f t="shared" si="58"/>
        <v>9648</v>
      </c>
      <c r="X1232" s="705">
        <f t="shared" si="59"/>
        <v>11947</v>
      </c>
    </row>
    <row r="1233" spans="2:24">
      <c r="B1233" t="s">
        <v>543</v>
      </c>
      <c r="C1233" t="s">
        <v>118</v>
      </c>
      <c r="F1233" s="705">
        <v>1</v>
      </c>
      <c r="G1233" s="705">
        <v>113</v>
      </c>
      <c r="H1233" s="705">
        <v>245</v>
      </c>
      <c r="I1233" s="705"/>
      <c r="J1233" s="705">
        <v>0</v>
      </c>
      <c r="K1233" s="705"/>
      <c r="L1233" s="705"/>
      <c r="M1233" s="705">
        <v>0</v>
      </c>
      <c r="N1233" s="705">
        <v>2366</v>
      </c>
      <c r="O1233" s="705">
        <v>876</v>
      </c>
      <c r="P1233" s="705">
        <v>621</v>
      </c>
      <c r="Q1233" s="705">
        <v>230</v>
      </c>
      <c r="R1233" s="705"/>
      <c r="S1233" s="705">
        <v>0</v>
      </c>
      <c r="T1233" s="705">
        <v>0</v>
      </c>
      <c r="U1233" s="705">
        <v>0</v>
      </c>
      <c r="V1233" s="705">
        <v>1106</v>
      </c>
      <c r="W1233" s="705">
        <f t="shared" si="58"/>
        <v>1106</v>
      </c>
      <c r="X1233" s="705">
        <f t="shared" si="59"/>
        <v>2987</v>
      </c>
    </row>
    <row r="1234" spans="2:24">
      <c r="B1234" t="s">
        <v>543</v>
      </c>
      <c r="C1234" t="s">
        <v>118</v>
      </c>
      <c r="D1234" t="s">
        <v>664</v>
      </c>
      <c r="E1234" t="s">
        <v>664</v>
      </c>
      <c r="F1234" s="705">
        <v>3</v>
      </c>
      <c r="G1234" s="705">
        <v>279</v>
      </c>
      <c r="H1234" s="705">
        <v>781</v>
      </c>
      <c r="I1234" s="705">
        <v>43223</v>
      </c>
      <c r="J1234" s="705">
        <v>39293</v>
      </c>
      <c r="K1234" s="705">
        <v>77</v>
      </c>
      <c r="L1234" s="705">
        <v>5314</v>
      </c>
      <c r="M1234" s="705">
        <v>4831</v>
      </c>
      <c r="N1234" s="705">
        <v>5414</v>
      </c>
      <c r="O1234" s="705">
        <v>2005</v>
      </c>
      <c r="P1234" s="705">
        <v>1566</v>
      </c>
      <c r="Q1234" s="705">
        <v>580</v>
      </c>
      <c r="R1234" s="705">
        <v>11332</v>
      </c>
      <c r="S1234" s="705">
        <v>10302</v>
      </c>
      <c r="T1234" s="705">
        <v>4894</v>
      </c>
      <c r="U1234" s="705">
        <v>1812</v>
      </c>
      <c r="V1234" s="705">
        <v>58824</v>
      </c>
      <c r="W1234" s="705">
        <f t="shared" si="58"/>
        <v>58823</v>
      </c>
      <c r="X1234" s="705">
        <f t="shared" si="59"/>
        <v>71743</v>
      </c>
    </row>
    <row r="1235" spans="2:24">
      <c r="B1235" t="s">
        <v>543</v>
      </c>
      <c r="C1235" t="s">
        <v>118</v>
      </c>
      <c r="D1235" t="s">
        <v>664</v>
      </c>
      <c r="E1235" t="s">
        <v>583</v>
      </c>
      <c r="F1235" s="705">
        <v>1</v>
      </c>
      <c r="G1235" s="705">
        <v>81</v>
      </c>
      <c r="H1235" s="705">
        <v>232</v>
      </c>
      <c r="I1235" s="705">
        <v>10019</v>
      </c>
      <c r="J1235" s="705">
        <v>9108</v>
      </c>
      <c r="K1235" s="705">
        <v>79</v>
      </c>
      <c r="L1235" s="705">
        <v>2049</v>
      </c>
      <c r="M1235" s="705">
        <v>759</v>
      </c>
      <c r="N1235" s="705">
        <v>991</v>
      </c>
      <c r="O1235" s="705">
        <v>367</v>
      </c>
      <c r="P1235" s="705">
        <v>621</v>
      </c>
      <c r="Q1235" s="705">
        <v>230</v>
      </c>
      <c r="R1235" s="705">
        <v>5219</v>
      </c>
      <c r="S1235" s="705">
        <v>4744</v>
      </c>
      <c r="T1235" s="705">
        <v>0</v>
      </c>
      <c r="U1235" s="705">
        <v>0</v>
      </c>
      <c r="V1235" s="705">
        <v>15208</v>
      </c>
      <c r="W1235" s="705">
        <f t="shared" si="58"/>
        <v>15208</v>
      </c>
      <c r="X1235" s="705">
        <f t="shared" si="59"/>
        <v>18899</v>
      </c>
    </row>
    <row r="1236" spans="2:24">
      <c r="B1236" t="s">
        <v>543</v>
      </c>
      <c r="C1236" t="s">
        <v>118</v>
      </c>
      <c r="D1236" t="s">
        <v>582</v>
      </c>
      <c r="E1236" t="s">
        <v>582</v>
      </c>
      <c r="F1236" s="705">
        <v>8</v>
      </c>
      <c r="G1236" s="705">
        <v>977</v>
      </c>
      <c r="H1236" s="705">
        <v>2111</v>
      </c>
      <c r="I1236" s="705">
        <v>153677</v>
      </c>
      <c r="J1236" s="705">
        <v>139706</v>
      </c>
      <c r="K1236" s="705">
        <v>77</v>
      </c>
      <c r="L1236" s="705">
        <v>42048</v>
      </c>
      <c r="M1236" s="705">
        <v>38225</v>
      </c>
      <c r="N1236" s="705">
        <v>22327</v>
      </c>
      <c r="O1236" s="705">
        <v>8269</v>
      </c>
      <c r="P1236" s="705">
        <v>3780</v>
      </c>
      <c r="Q1236" s="705">
        <v>1400</v>
      </c>
      <c r="R1236" s="705">
        <v>46892</v>
      </c>
      <c r="S1236" s="705">
        <v>42629</v>
      </c>
      <c r="T1236" s="705">
        <v>3925</v>
      </c>
      <c r="U1236" s="705">
        <v>1454</v>
      </c>
      <c r="V1236" s="705">
        <v>231684</v>
      </c>
      <c r="W1236" s="705">
        <f t="shared" si="58"/>
        <v>231683</v>
      </c>
      <c r="X1236" s="705">
        <f t="shared" si="59"/>
        <v>272649</v>
      </c>
    </row>
    <row r="1237" spans="2:24">
      <c r="B1237" t="s">
        <v>543</v>
      </c>
      <c r="C1237" t="s">
        <v>118</v>
      </c>
      <c r="D1237" t="s">
        <v>228</v>
      </c>
      <c r="E1237" t="s">
        <v>228</v>
      </c>
      <c r="F1237" s="705">
        <v>59</v>
      </c>
      <c r="G1237" s="705">
        <v>5496</v>
      </c>
      <c r="H1237" s="705">
        <v>15811</v>
      </c>
      <c r="I1237" s="705">
        <v>838996</v>
      </c>
      <c r="J1237" s="705">
        <v>310739</v>
      </c>
      <c r="K1237" s="705">
        <v>100</v>
      </c>
      <c r="L1237" s="705">
        <v>134369</v>
      </c>
      <c r="M1237" s="705">
        <v>90815</v>
      </c>
      <c r="N1237" s="705">
        <v>109779</v>
      </c>
      <c r="O1237" s="705">
        <v>40659</v>
      </c>
      <c r="P1237" s="705">
        <v>281</v>
      </c>
      <c r="Q1237" s="705">
        <v>104</v>
      </c>
      <c r="R1237" s="705">
        <v>422447</v>
      </c>
      <c r="S1237" s="705">
        <v>156462</v>
      </c>
      <c r="T1237" s="705">
        <v>2469</v>
      </c>
      <c r="U1237" s="705">
        <v>915</v>
      </c>
      <c r="V1237" s="705">
        <v>599694</v>
      </c>
      <c r="W1237" s="705">
        <f t="shared" si="58"/>
        <v>599694</v>
      </c>
      <c r="X1237" s="705">
        <f t="shared" si="59"/>
        <v>1508341</v>
      </c>
    </row>
    <row r="1238" spans="2:24">
      <c r="B1238" t="s">
        <v>543</v>
      </c>
      <c r="C1238" t="s">
        <v>118</v>
      </c>
      <c r="D1238" t="s">
        <v>228</v>
      </c>
      <c r="E1238" t="s">
        <v>669</v>
      </c>
      <c r="F1238" s="705">
        <v>1</v>
      </c>
      <c r="G1238" s="705">
        <v>81</v>
      </c>
      <c r="H1238" s="705">
        <v>291</v>
      </c>
      <c r="I1238" s="705">
        <v>12550</v>
      </c>
      <c r="J1238" s="705">
        <v>4648</v>
      </c>
      <c r="K1238" s="705">
        <v>100</v>
      </c>
      <c r="L1238" s="705">
        <v>2789</v>
      </c>
      <c r="M1238" s="705">
        <v>2324</v>
      </c>
      <c r="N1238" s="705">
        <v>1308</v>
      </c>
      <c r="O1238" s="705">
        <v>484</v>
      </c>
      <c r="P1238" s="705">
        <v>0</v>
      </c>
      <c r="Q1238" s="705">
        <v>0</v>
      </c>
      <c r="R1238" s="705">
        <v>5084</v>
      </c>
      <c r="S1238" s="705">
        <v>4237</v>
      </c>
      <c r="T1238" s="705">
        <v>1730</v>
      </c>
      <c r="U1238" s="705">
        <v>641</v>
      </c>
      <c r="V1238" s="705">
        <v>12334</v>
      </c>
      <c r="W1238" s="705">
        <f t="shared" si="58"/>
        <v>12334</v>
      </c>
      <c r="X1238" s="705">
        <f t="shared" si="59"/>
        <v>23461</v>
      </c>
    </row>
    <row r="1239" spans="2:24">
      <c r="B1239" t="s">
        <v>543</v>
      </c>
      <c r="C1239" t="s">
        <v>118</v>
      </c>
      <c r="D1239" t="s">
        <v>228</v>
      </c>
      <c r="E1239" t="s">
        <v>665</v>
      </c>
      <c r="F1239" s="705">
        <v>1</v>
      </c>
      <c r="G1239" s="705">
        <v>80</v>
      </c>
      <c r="H1239" s="705">
        <v>291</v>
      </c>
      <c r="I1239" s="705">
        <v>11355</v>
      </c>
      <c r="J1239" s="705">
        <v>4206</v>
      </c>
      <c r="K1239" s="705">
        <v>100</v>
      </c>
      <c r="L1239" s="705">
        <v>1713</v>
      </c>
      <c r="M1239" s="705">
        <v>1558</v>
      </c>
      <c r="N1239" s="705">
        <v>1582</v>
      </c>
      <c r="O1239" s="705">
        <v>586</v>
      </c>
      <c r="P1239" s="705">
        <v>351</v>
      </c>
      <c r="Q1239" s="705">
        <v>130</v>
      </c>
      <c r="R1239" s="705">
        <v>5555</v>
      </c>
      <c r="S1239" s="705">
        <v>5050</v>
      </c>
      <c r="T1239" s="705">
        <v>2607</v>
      </c>
      <c r="U1239" s="705">
        <v>965</v>
      </c>
      <c r="V1239" s="705">
        <v>12495</v>
      </c>
      <c r="W1239" s="705">
        <f t="shared" si="58"/>
        <v>12495</v>
      </c>
      <c r="X1239" s="705">
        <f t="shared" si="59"/>
        <v>23163</v>
      </c>
    </row>
    <row r="1240" spans="2:24">
      <c r="B1240" t="s">
        <v>543</v>
      </c>
      <c r="C1240" t="s">
        <v>118</v>
      </c>
      <c r="D1240" t="s">
        <v>583</v>
      </c>
      <c r="E1240" t="s">
        <v>228</v>
      </c>
      <c r="F1240" s="705">
        <v>3</v>
      </c>
      <c r="G1240" s="705">
        <v>203</v>
      </c>
      <c r="H1240" s="705">
        <v>784</v>
      </c>
      <c r="I1240" s="705">
        <v>24430</v>
      </c>
      <c r="J1240" s="705">
        <v>22209</v>
      </c>
      <c r="K1240" s="705">
        <v>92</v>
      </c>
      <c r="L1240" s="705">
        <v>5114</v>
      </c>
      <c r="M1240" s="705">
        <v>4401</v>
      </c>
      <c r="N1240" s="705">
        <v>2915</v>
      </c>
      <c r="O1240" s="705">
        <v>1080</v>
      </c>
      <c r="P1240" s="705">
        <v>1863</v>
      </c>
      <c r="Q1240" s="705">
        <v>690</v>
      </c>
      <c r="R1240" s="705">
        <v>18574</v>
      </c>
      <c r="S1240" s="705">
        <v>6879</v>
      </c>
      <c r="T1240" s="705">
        <v>0</v>
      </c>
      <c r="U1240" s="705">
        <v>0</v>
      </c>
      <c r="V1240" s="705">
        <v>35260</v>
      </c>
      <c r="W1240" s="705">
        <f t="shared" si="58"/>
        <v>35259</v>
      </c>
      <c r="X1240" s="705">
        <f t="shared" si="59"/>
        <v>52896</v>
      </c>
    </row>
    <row r="1241" spans="2:24">
      <c r="B1241" t="s">
        <v>543</v>
      </c>
      <c r="C1241" t="s">
        <v>118</v>
      </c>
      <c r="D1241" t="s">
        <v>583</v>
      </c>
      <c r="E1241" t="s">
        <v>583</v>
      </c>
      <c r="F1241" s="705">
        <v>599</v>
      </c>
      <c r="G1241" s="705">
        <v>57096</v>
      </c>
      <c r="H1241" s="705">
        <v>155957</v>
      </c>
      <c r="I1241" s="705">
        <v>8067710</v>
      </c>
      <c r="J1241" s="705">
        <v>7334282</v>
      </c>
      <c r="K1241" s="705">
        <v>80</v>
      </c>
      <c r="L1241" s="705">
        <v>1705285</v>
      </c>
      <c r="M1241" s="705">
        <v>1469535</v>
      </c>
      <c r="N1241" s="705">
        <v>1137820</v>
      </c>
      <c r="O1241" s="705">
        <v>421415</v>
      </c>
      <c r="P1241" s="705">
        <v>377028</v>
      </c>
      <c r="Q1241" s="705">
        <v>139640</v>
      </c>
      <c r="R1241" s="705">
        <v>2796795</v>
      </c>
      <c r="S1241" s="705">
        <v>2542541</v>
      </c>
      <c r="T1241" s="705">
        <v>949724</v>
      </c>
      <c r="U1241" s="705">
        <v>351750</v>
      </c>
      <c r="V1241" s="705">
        <v>12259163</v>
      </c>
      <c r="W1241" s="705">
        <f t="shared" si="58"/>
        <v>12259163</v>
      </c>
      <c r="X1241" s="705">
        <f t="shared" si="59"/>
        <v>15034362</v>
      </c>
    </row>
    <row r="1242" spans="2:24">
      <c r="B1242" t="s">
        <v>543</v>
      </c>
      <c r="C1242" t="s">
        <v>118</v>
      </c>
      <c r="D1242" t="s">
        <v>666</v>
      </c>
      <c r="E1242" t="s">
        <v>666</v>
      </c>
      <c r="F1242" s="705">
        <v>10</v>
      </c>
      <c r="G1242" s="705">
        <v>718</v>
      </c>
      <c r="H1242" s="705">
        <v>2726</v>
      </c>
      <c r="I1242" s="705">
        <v>104542</v>
      </c>
      <c r="J1242" s="705">
        <v>95039</v>
      </c>
      <c r="K1242" s="705">
        <v>56</v>
      </c>
      <c r="L1242" s="705">
        <v>4885</v>
      </c>
      <c r="M1242" s="705">
        <v>4441</v>
      </c>
      <c r="N1242" s="705">
        <v>14528</v>
      </c>
      <c r="O1242" s="705">
        <v>5381</v>
      </c>
      <c r="P1242" s="705">
        <v>3510</v>
      </c>
      <c r="Q1242" s="705">
        <v>1300</v>
      </c>
      <c r="R1242" s="705">
        <v>51266</v>
      </c>
      <c r="S1242" s="705">
        <v>46606</v>
      </c>
      <c r="T1242" s="705">
        <v>17009</v>
      </c>
      <c r="U1242" s="705">
        <v>6300</v>
      </c>
      <c r="V1242" s="705">
        <v>159065</v>
      </c>
      <c r="W1242" s="705">
        <f t="shared" si="58"/>
        <v>159067</v>
      </c>
      <c r="X1242" s="705">
        <f t="shared" si="59"/>
        <v>195740</v>
      </c>
    </row>
    <row r="1243" spans="2:24">
      <c r="B1243" t="s">
        <v>543</v>
      </c>
      <c r="C1243" t="s">
        <v>118</v>
      </c>
      <c r="D1243" t="s">
        <v>584</v>
      </c>
      <c r="E1243" t="s">
        <v>582</v>
      </c>
      <c r="F1243" s="705">
        <v>1</v>
      </c>
      <c r="G1243" s="705">
        <v>90</v>
      </c>
      <c r="H1243" s="705">
        <v>264</v>
      </c>
      <c r="I1243" s="705">
        <v>11129</v>
      </c>
      <c r="J1243" s="705">
        <v>10117</v>
      </c>
      <c r="K1243" s="705">
        <v>73</v>
      </c>
      <c r="L1243" s="705">
        <v>2860</v>
      </c>
      <c r="M1243" s="705">
        <v>2600</v>
      </c>
      <c r="N1243" s="705">
        <v>1911</v>
      </c>
      <c r="O1243" s="705">
        <v>708</v>
      </c>
      <c r="P1243" s="705">
        <v>473</v>
      </c>
      <c r="Q1243" s="705">
        <v>175</v>
      </c>
      <c r="R1243" s="705">
        <v>7288</v>
      </c>
      <c r="S1243" s="705">
        <v>6625</v>
      </c>
      <c r="T1243" s="705">
        <v>0</v>
      </c>
      <c r="U1243" s="705">
        <v>0</v>
      </c>
      <c r="V1243" s="705">
        <v>20225</v>
      </c>
      <c r="W1243" s="705">
        <f t="shared" si="58"/>
        <v>20225</v>
      </c>
      <c r="X1243" s="705">
        <f t="shared" si="59"/>
        <v>23661</v>
      </c>
    </row>
    <row r="1244" spans="2:24">
      <c r="B1244" t="s">
        <v>543</v>
      </c>
      <c r="C1244" t="s">
        <v>118</v>
      </c>
      <c r="D1244" t="s">
        <v>584</v>
      </c>
      <c r="E1244" t="s">
        <v>583</v>
      </c>
      <c r="F1244" s="705">
        <v>1</v>
      </c>
      <c r="G1244" s="705">
        <v>90</v>
      </c>
      <c r="H1244" s="705">
        <v>231</v>
      </c>
      <c r="I1244" s="705">
        <v>10005</v>
      </c>
      <c r="J1244" s="705">
        <v>9096</v>
      </c>
      <c r="K1244" s="705">
        <v>78</v>
      </c>
      <c r="L1244" s="705">
        <v>2025</v>
      </c>
      <c r="M1244" s="705">
        <v>750</v>
      </c>
      <c r="N1244" s="705">
        <v>1647</v>
      </c>
      <c r="O1244" s="705">
        <v>610</v>
      </c>
      <c r="P1244" s="705">
        <v>473</v>
      </c>
      <c r="Q1244" s="705">
        <v>175</v>
      </c>
      <c r="R1244" s="705">
        <v>4074</v>
      </c>
      <c r="S1244" s="705">
        <v>3703</v>
      </c>
      <c r="T1244" s="705">
        <v>2567</v>
      </c>
      <c r="U1244" s="705">
        <v>951</v>
      </c>
      <c r="V1244" s="705">
        <v>15285</v>
      </c>
      <c r="W1244" s="705">
        <f t="shared" si="58"/>
        <v>15285</v>
      </c>
      <c r="X1244" s="705">
        <f t="shared" si="59"/>
        <v>20791</v>
      </c>
    </row>
    <row r="1245" spans="2:24">
      <c r="B1245" t="s">
        <v>543</v>
      </c>
      <c r="C1245" t="s">
        <v>118</v>
      </c>
      <c r="D1245" t="s">
        <v>584</v>
      </c>
      <c r="E1245" t="s">
        <v>584</v>
      </c>
      <c r="F1245" s="705">
        <v>633</v>
      </c>
      <c r="G1245" s="705">
        <v>55243</v>
      </c>
      <c r="H1245" s="705">
        <v>161807</v>
      </c>
      <c r="I1245" s="705">
        <v>7179299</v>
      </c>
      <c r="J1245" s="705">
        <v>6526636</v>
      </c>
      <c r="K1245" s="705">
        <v>78</v>
      </c>
      <c r="L1245" s="705">
        <v>1760888</v>
      </c>
      <c r="M1245" s="705">
        <v>1534642</v>
      </c>
      <c r="N1245" s="705">
        <v>1107455</v>
      </c>
      <c r="O1245" s="705">
        <v>410169</v>
      </c>
      <c r="P1245" s="705">
        <v>300821</v>
      </c>
      <c r="Q1245" s="705">
        <v>111415</v>
      </c>
      <c r="R1245" s="705">
        <v>3074994</v>
      </c>
      <c r="S1245" s="705">
        <v>2795449</v>
      </c>
      <c r="T1245" s="705">
        <v>825802</v>
      </c>
      <c r="U1245" s="705">
        <v>305853</v>
      </c>
      <c r="V1245" s="705">
        <v>11684163</v>
      </c>
      <c r="W1245" s="705">
        <f t="shared" si="58"/>
        <v>11684164</v>
      </c>
      <c r="X1245" s="705">
        <f t="shared" si="59"/>
        <v>14249259</v>
      </c>
    </row>
    <row r="1246" spans="2:24">
      <c r="B1246" t="s">
        <v>543</v>
      </c>
      <c r="C1246" t="s">
        <v>118</v>
      </c>
      <c r="D1246" t="s">
        <v>584</v>
      </c>
      <c r="E1246" t="s">
        <v>669</v>
      </c>
      <c r="F1246" s="705">
        <v>1</v>
      </c>
      <c r="G1246" s="705">
        <v>82</v>
      </c>
      <c r="H1246" s="705">
        <v>282</v>
      </c>
      <c r="I1246" s="705">
        <v>14450</v>
      </c>
      <c r="J1246" s="705">
        <v>13136</v>
      </c>
      <c r="K1246" s="705">
        <v>68</v>
      </c>
      <c r="L1246" s="705">
        <v>3457</v>
      </c>
      <c r="M1246" s="705">
        <v>3143</v>
      </c>
      <c r="N1246" s="705">
        <v>1824</v>
      </c>
      <c r="O1246" s="705">
        <v>675</v>
      </c>
      <c r="P1246" s="705">
        <v>473</v>
      </c>
      <c r="Q1246" s="705">
        <v>175</v>
      </c>
      <c r="R1246" s="705">
        <v>5279</v>
      </c>
      <c r="S1246" s="705">
        <v>4399</v>
      </c>
      <c r="T1246" s="705">
        <v>2692</v>
      </c>
      <c r="U1246" s="705">
        <v>997</v>
      </c>
      <c r="V1246" s="705">
        <v>22526</v>
      </c>
      <c r="W1246" s="705">
        <f t="shared" si="58"/>
        <v>22525</v>
      </c>
      <c r="X1246" s="705">
        <f t="shared" si="59"/>
        <v>28175</v>
      </c>
    </row>
    <row r="1247" spans="2:24">
      <c r="B1247" t="s">
        <v>543</v>
      </c>
      <c r="C1247" t="s">
        <v>118</v>
      </c>
      <c r="D1247" t="s">
        <v>669</v>
      </c>
      <c r="E1247" t="s">
        <v>669</v>
      </c>
      <c r="F1247" s="705">
        <v>19</v>
      </c>
      <c r="G1247" s="705">
        <v>1649</v>
      </c>
      <c r="H1247" s="705">
        <v>5191</v>
      </c>
      <c r="I1247" s="705">
        <v>240156</v>
      </c>
      <c r="J1247" s="705">
        <v>200130</v>
      </c>
      <c r="K1247" s="705">
        <v>67</v>
      </c>
      <c r="L1247" s="705">
        <v>34960</v>
      </c>
      <c r="M1247" s="705">
        <v>26513</v>
      </c>
      <c r="N1247" s="705">
        <v>31760</v>
      </c>
      <c r="O1247" s="705">
        <v>11763</v>
      </c>
      <c r="P1247" s="705">
        <v>6669</v>
      </c>
      <c r="Q1247" s="705">
        <v>2470</v>
      </c>
      <c r="R1247" s="705">
        <v>99073</v>
      </c>
      <c r="S1247" s="705">
        <v>82561</v>
      </c>
      <c r="T1247" s="705">
        <v>40059</v>
      </c>
      <c r="U1247" s="705">
        <v>14837</v>
      </c>
      <c r="V1247" s="705">
        <v>338273</v>
      </c>
      <c r="W1247" s="705">
        <f t="shared" si="58"/>
        <v>338274</v>
      </c>
      <c r="X1247" s="705">
        <f t="shared" si="59"/>
        <v>452677</v>
      </c>
    </row>
    <row r="1248" spans="2:24">
      <c r="B1248" t="s">
        <v>543</v>
      </c>
      <c r="C1248" t="s">
        <v>118</v>
      </c>
      <c r="D1248" t="s">
        <v>667</v>
      </c>
      <c r="E1248" t="s">
        <v>667</v>
      </c>
      <c r="F1248" s="705">
        <v>1</v>
      </c>
      <c r="G1248" s="705">
        <v>75</v>
      </c>
      <c r="H1248" s="705">
        <v>299</v>
      </c>
      <c r="I1248" s="705">
        <v>11556</v>
      </c>
      <c r="J1248" s="705">
        <v>10506</v>
      </c>
      <c r="K1248" s="705">
        <v>55</v>
      </c>
      <c r="L1248" s="705">
        <v>1412</v>
      </c>
      <c r="M1248" s="705">
        <v>1284</v>
      </c>
      <c r="N1248" s="705">
        <v>1818</v>
      </c>
      <c r="O1248" s="705">
        <v>673</v>
      </c>
      <c r="P1248" s="705">
        <v>351</v>
      </c>
      <c r="Q1248" s="705">
        <v>130</v>
      </c>
      <c r="R1248" s="705">
        <v>7137</v>
      </c>
      <c r="S1248" s="705">
        <v>6488</v>
      </c>
      <c r="T1248" s="705">
        <v>0</v>
      </c>
      <c r="U1248" s="705">
        <v>0</v>
      </c>
      <c r="V1248" s="705">
        <v>19081</v>
      </c>
      <c r="W1248" s="705">
        <f t="shared" si="58"/>
        <v>19081</v>
      </c>
      <c r="X1248" s="705">
        <f t="shared" si="59"/>
        <v>22274</v>
      </c>
    </row>
    <row r="1249" spans="2:24">
      <c r="B1249" t="s">
        <v>543</v>
      </c>
      <c r="C1249" t="s">
        <v>118</v>
      </c>
      <c r="D1249" t="s">
        <v>665</v>
      </c>
      <c r="E1249" t="s">
        <v>583</v>
      </c>
      <c r="F1249" s="705">
        <v>1</v>
      </c>
      <c r="G1249" s="705">
        <v>79</v>
      </c>
      <c r="H1249" s="705">
        <v>275</v>
      </c>
      <c r="I1249" s="705">
        <v>10014</v>
      </c>
      <c r="J1249" s="705">
        <v>9103</v>
      </c>
      <c r="K1249" s="705">
        <v>65</v>
      </c>
      <c r="L1249" s="705">
        <v>3994</v>
      </c>
      <c r="M1249" s="705">
        <v>1479</v>
      </c>
      <c r="N1249" s="705">
        <v>958</v>
      </c>
      <c r="O1249" s="705">
        <v>355</v>
      </c>
      <c r="P1249" s="705">
        <v>351</v>
      </c>
      <c r="Q1249" s="705">
        <v>130</v>
      </c>
      <c r="R1249" s="705">
        <v>4116</v>
      </c>
      <c r="S1249" s="705">
        <v>3742</v>
      </c>
      <c r="T1249" s="705">
        <v>2147</v>
      </c>
      <c r="U1249" s="705">
        <v>795</v>
      </c>
      <c r="V1249" s="705">
        <v>15605</v>
      </c>
      <c r="W1249" s="705">
        <f t="shared" si="58"/>
        <v>15604</v>
      </c>
      <c r="X1249" s="705">
        <f t="shared" si="59"/>
        <v>21580</v>
      </c>
    </row>
    <row r="1250" spans="2:24">
      <c r="B1250" t="s">
        <v>543</v>
      </c>
      <c r="C1250" t="s">
        <v>118</v>
      </c>
      <c r="D1250" t="s">
        <v>665</v>
      </c>
      <c r="E1250" t="s">
        <v>665</v>
      </c>
      <c r="F1250" s="705">
        <v>177</v>
      </c>
      <c r="G1250" s="705">
        <v>14266</v>
      </c>
      <c r="H1250" s="705">
        <v>47072</v>
      </c>
      <c r="I1250" s="705">
        <v>2031628</v>
      </c>
      <c r="J1250" s="705">
        <v>1846935</v>
      </c>
      <c r="K1250" s="705">
        <v>63</v>
      </c>
      <c r="L1250" s="705">
        <v>198192</v>
      </c>
      <c r="M1250" s="705">
        <v>152694</v>
      </c>
      <c r="N1250" s="705">
        <v>273373</v>
      </c>
      <c r="O1250" s="705">
        <v>101249</v>
      </c>
      <c r="P1250" s="705">
        <v>62667</v>
      </c>
      <c r="Q1250" s="705">
        <v>23210</v>
      </c>
      <c r="R1250" s="705">
        <v>800966</v>
      </c>
      <c r="S1250" s="705">
        <v>728151</v>
      </c>
      <c r="T1250" s="705">
        <v>412976</v>
      </c>
      <c r="U1250" s="705">
        <v>152954</v>
      </c>
      <c r="V1250" s="705">
        <v>3005193</v>
      </c>
      <c r="W1250" s="705">
        <f t="shared" si="58"/>
        <v>3005193</v>
      </c>
      <c r="X1250" s="705">
        <f t="shared" si="59"/>
        <v>3779802</v>
      </c>
    </row>
    <row r="1251" spans="2:24">
      <c r="B1251" t="s">
        <v>543</v>
      </c>
      <c r="C1251" t="s">
        <v>118</v>
      </c>
      <c r="D1251" t="s">
        <v>673</v>
      </c>
      <c r="E1251" t="s">
        <v>673</v>
      </c>
      <c r="F1251" s="705">
        <v>1</v>
      </c>
      <c r="G1251" s="705">
        <v>102</v>
      </c>
      <c r="H1251" s="705">
        <v>274</v>
      </c>
      <c r="I1251" s="705">
        <v>19383</v>
      </c>
      <c r="J1251" s="705">
        <v>17621</v>
      </c>
      <c r="K1251" s="705">
        <v>65</v>
      </c>
      <c r="L1251" s="705">
        <v>0</v>
      </c>
      <c r="M1251" s="705">
        <v>0</v>
      </c>
      <c r="N1251" s="705">
        <v>1244</v>
      </c>
      <c r="O1251" s="705">
        <v>461</v>
      </c>
      <c r="P1251" s="705">
        <v>351</v>
      </c>
      <c r="Q1251" s="705">
        <v>130</v>
      </c>
      <c r="R1251" s="705">
        <v>4507</v>
      </c>
      <c r="S1251" s="705">
        <v>4097</v>
      </c>
      <c r="T1251" s="705">
        <v>2455</v>
      </c>
      <c r="U1251" s="705">
        <v>909</v>
      </c>
      <c r="V1251" s="705">
        <v>23219</v>
      </c>
      <c r="W1251" s="705">
        <f t="shared" si="58"/>
        <v>23218</v>
      </c>
      <c r="X1251" s="705">
        <f t="shared" si="59"/>
        <v>27940</v>
      </c>
    </row>
    <row r="1252" spans="2:24">
      <c r="B1252" t="s">
        <v>543</v>
      </c>
      <c r="C1252" t="s">
        <v>118</v>
      </c>
      <c r="D1252" t="s">
        <v>585</v>
      </c>
      <c r="E1252" t="s">
        <v>585</v>
      </c>
      <c r="F1252" s="705">
        <v>1</v>
      </c>
      <c r="G1252" s="705">
        <v>98</v>
      </c>
      <c r="H1252" s="705">
        <v>300</v>
      </c>
      <c r="I1252" s="705">
        <v>14661</v>
      </c>
      <c r="J1252" s="705">
        <v>13328</v>
      </c>
      <c r="K1252" s="705">
        <v>60</v>
      </c>
      <c r="L1252" s="705">
        <v>3554</v>
      </c>
      <c r="M1252" s="705">
        <v>2962</v>
      </c>
      <c r="N1252" s="705">
        <v>1975</v>
      </c>
      <c r="O1252" s="705">
        <v>731</v>
      </c>
      <c r="P1252" s="705">
        <v>351</v>
      </c>
      <c r="Q1252" s="705">
        <v>130</v>
      </c>
      <c r="R1252" s="705">
        <v>5797</v>
      </c>
      <c r="S1252" s="705">
        <v>5270</v>
      </c>
      <c r="T1252" s="705">
        <v>3118</v>
      </c>
      <c r="U1252" s="705">
        <v>1155</v>
      </c>
      <c r="V1252" s="705">
        <v>23576</v>
      </c>
      <c r="W1252" s="705">
        <f t="shared" si="58"/>
        <v>23576</v>
      </c>
      <c r="X1252" s="705">
        <f t="shared" si="59"/>
        <v>29456</v>
      </c>
    </row>
    <row r="1253" spans="2:24">
      <c r="B1253" t="s">
        <v>543</v>
      </c>
      <c r="C1253" t="s">
        <v>120</v>
      </c>
      <c r="F1253" s="705">
        <v>3</v>
      </c>
      <c r="G1253" s="705">
        <v>181</v>
      </c>
      <c r="H1253" s="705">
        <v>1036</v>
      </c>
      <c r="I1253" s="705"/>
      <c r="J1253" s="705">
        <v>0</v>
      </c>
      <c r="K1253" s="705"/>
      <c r="L1253" s="705"/>
      <c r="M1253" s="705">
        <v>0</v>
      </c>
      <c r="N1253" s="705">
        <v>3796</v>
      </c>
      <c r="O1253" s="705">
        <v>1406</v>
      </c>
      <c r="P1253" s="705">
        <v>1242</v>
      </c>
      <c r="Q1253" s="705">
        <v>460</v>
      </c>
      <c r="R1253" s="705"/>
      <c r="S1253" s="705">
        <v>0</v>
      </c>
      <c r="T1253" s="705">
        <v>2211</v>
      </c>
      <c r="U1253" s="705">
        <v>819</v>
      </c>
      <c r="V1253" s="705">
        <v>2685</v>
      </c>
      <c r="W1253" s="705">
        <f t="shared" si="58"/>
        <v>2685</v>
      </c>
      <c r="X1253" s="705">
        <f t="shared" si="59"/>
        <v>7249</v>
      </c>
    </row>
    <row r="1254" spans="2:24">
      <c r="B1254" t="s">
        <v>543</v>
      </c>
      <c r="C1254" t="s">
        <v>120</v>
      </c>
      <c r="D1254" t="s">
        <v>664</v>
      </c>
      <c r="E1254" t="s">
        <v>664</v>
      </c>
      <c r="F1254" s="705">
        <v>1</v>
      </c>
      <c r="G1254" s="705">
        <v>203</v>
      </c>
      <c r="H1254" s="705">
        <v>325</v>
      </c>
      <c r="I1254" s="705">
        <v>45920</v>
      </c>
      <c r="J1254" s="705">
        <v>41746</v>
      </c>
      <c r="K1254" s="705">
        <v>91</v>
      </c>
      <c r="L1254" s="705">
        <v>7381</v>
      </c>
      <c r="M1254" s="705">
        <v>6710</v>
      </c>
      <c r="N1254" s="705">
        <v>4127</v>
      </c>
      <c r="O1254" s="705">
        <v>1529</v>
      </c>
      <c r="P1254" s="705">
        <v>473</v>
      </c>
      <c r="Q1254" s="705">
        <v>175</v>
      </c>
      <c r="R1254" s="705">
        <v>4417</v>
      </c>
      <c r="S1254" s="705">
        <v>4015</v>
      </c>
      <c r="T1254" s="705">
        <v>3549</v>
      </c>
      <c r="U1254" s="705">
        <v>1315</v>
      </c>
      <c r="V1254" s="705">
        <v>55489</v>
      </c>
      <c r="W1254" s="705">
        <f t="shared" si="58"/>
        <v>55490</v>
      </c>
      <c r="X1254" s="705">
        <f t="shared" si="59"/>
        <v>65867</v>
      </c>
    </row>
    <row r="1255" spans="2:24">
      <c r="B1255" t="s">
        <v>543</v>
      </c>
      <c r="C1255" t="s">
        <v>120</v>
      </c>
      <c r="D1255" t="s">
        <v>228</v>
      </c>
      <c r="E1255" t="s">
        <v>228</v>
      </c>
      <c r="F1255" s="705">
        <v>96</v>
      </c>
      <c r="G1255" s="705">
        <v>5871</v>
      </c>
      <c r="H1255" s="705">
        <v>32797</v>
      </c>
      <c r="I1255" s="705">
        <v>1143553</v>
      </c>
      <c r="J1255" s="705">
        <v>423538</v>
      </c>
      <c r="K1255" s="705">
        <v>100</v>
      </c>
      <c r="L1255" s="705">
        <v>179820</v>
      </c>
      <c r="M1255" s="705">
        <v>115815</v>
      </c>
      <c r="N1255" s="705">
        <v>109459</v>
      </c>
      <c r="O1255" s="705">
        <v>40540</v>
      </c>
      <c r="P1255" s="705">
        <v>1712</v>
      </c>
      <c r="Q1255" s="705">
        <v>634</v>
      </c>
      <c r="R1255" s="705">
        <v>614775</v>
      </c>
      <c r="S1255" s="705">
        <v>227695</v>
      </c>
      <c r="T1255" s="705">
        <v>5000</v>
      </c>
      <c r="U1255" s="705">
        <v>1852</v>
      </c>
      <c r="V1255" s="705">
        <v>810074</v>
      </c>
      <c r="W1255" s="705">
        <f t="shared" si="58"/>
        <v>810074</v>
      </c>
      <c r="X1255" s="705">
        <f t="shared" si="59"/>
        <v>2054319</v>
      </c>
    </row>
    <row r="1256" spans="2:24">
      <c r="B1256" t="s">
        <v>543</v>
      </c>
      <c r="C1256" t="s">
        <v>120</v>
      </c>
      <c r="D1256" t="s">
        <v>228</v>
      </c>
      <c r="E1256" t="s">
        <v>666</v>
      </c>
      <c r="F1256" s="705">
        <v>1</v>
      </c>
      <c r="G1256" s="705">
        <v>44</v>
      </c>
      <c r="H1256" s="705">
        <v>372</v>
      </c>
      <c r="I1256" s="705">
        <v>9487</v>
      </c>
      <c r="J1256" s="705">
        <v>3514</v>
      </c>
      <c r="K1256" s="705">
        <v>100</v>
      </c>
      <c r="L1256" s="705">
        <v>661</v>
      </c>
      <c r="M1256" s="705">
        <v>601</v>
      </c>
      <c r="N1256" s="705">
        <v>538</v>
      </c>
      <c r="O1256" s="705">
        <v>199</v>
      </c>
      <c r="P1256" s="705">
        <v>0</v>
      </c>
      <c r="Q1256" s="705">
        <v>0</v>
      </c>
      <c r="R1256" s="705">
        <v>3838</v>
      </c>
      <c r="S1256" s="705">
        <v>3489</v>
      </c>
      <c r="T1256" s="705">
        <v>1929</v>
      </c>
      <c r="U1256" s="705">
        <v>714</v>
      </c>
      <c r="V1256" s="705">
        <v>8518</v>
      </c>
      <c r="W1256" s="705">
        <f t="shared" si="58"/>
        <v>8517</v>
      </c>
      <c r="X1256" s="705">
        <f t="shared" si="59"/>
        <v>16453</v>
      </c>
    </row>
    <row r="1257" spans="2:24">
      <c r="B1257" t="s">
        <v>543</v>
      </c>
      <c r="C1257" t="s">
        <v>120</v>
      </c>
      <c r="D1257" t="s">
        <v>228</v>
      </c>
      <c r="E1257" t="s">
        <v>665</v>
      </c>
      <c r="F1257" s="705">
        <v>1</v>
      </c>
      <c r="G1257" s="705">
        <v>78</v>
      </c>
      <c r="H1257" s="705">
        <v>306</v>
      </c>
      <c r="I1257" s="705">
        <v>11372</v>
      </c>
      <c r="J1257" s="705">
        <v>4212</v>
      </c>
      <c r="K1257" s="705">
        <v>100</v>
      </c>
      <c r="L1257" s="705">
        <v>1144</v>
      </c>
      <c r="M1257" s="705">
        <v>1040</v>
      </c>
      <c r="N1257" s="705">
        <v>1588</v>
      </c>
      <c r="O1257" s="705">
        <v>588</v>
      </c>
      <c r="P1257" s="705">
        <v>351</v>
      </c>
      <c r="Q1257" s="705">
        <v>130</v>
      </c>
      <c r="R1257" s="705">
        <v>6932</v>
      </c>
      <c r="S1257" s="705">
        <v>6302</v>
      </c>
      <c r="T1257" s="705">
        <v>2496</v>
      </c>
      <c r="U1257" s="705">
        <v>924</v>
      </c>
      <c r="V1257" s="705">
        <v>13196</v>
      </c>
      <c r="W1257" s="705">
        <f t="shared" si="58"/>
        <v>13196</v>
      </c>
      <c r="X1257" s="705">
        <f t="shared" si="59"/>
        <v>23883</v>
      </c>
    </row>
    <row r="1258" spans="2:24">
      <c r="B1258" t="s">
        <v>543</v>
      </c>
      <c r="C1258" t="s">
        <v>120</v>
      </c>
      <c r="D1258" t="s">
        <v>583</v>
      </c>
      <c r="E1258" t="s">
        <v>583</v>
      </c>
      <c r="F1258" s="705">
        <v>286</v>
      </c>
      <c r="G1258" s="705">
        <v>26902</v>
      </c>
      <c r="H1258" s="705">
        <v>96936</v>
      </c>
      <c r="I1258" s="705">
        <v>5445621</v>
      </c>
      <c r="J1258" s="705">
        <v>4950565</v>
      </c>
      <c r="K1258" s="705">
        <v>77</v>
      </c>
      <c r="L1258" s="705">
        <v>1114379</v>
      </c>
      <c r="M1258" s="705">
        <v>960444</v>
      </c>
      <c r="N1258" s="705">
        <v>559321</v>
      </c>
      <c r="O1258" s="705">
        <v>207156</v>
      </c>
      <c r="P1258" s="705">
        <v>178862</v>
      </c>
      <c r="Q1258" s="705">
        <v>66245</v>
      </c>
      <c r="R1258" s="705">
        <v>1398650</v>
      </c>
      <c r="S1258" s="705">
        <v>1271500</v>
      </c>
      <c r="T1258" s="705">
        <v>490853</v>
      </c>
      <c r="U1258" s="705">
        <v>181797</v>
      </c>
      <c r="V1258" s="705">
        <v>7637707</v>
      </c>
      <c r="W1258" s="705">
        <f t="shared" si="58"/>
        <v>7637707</v>
      </c>
      <c r="X1258" s="705">
        <f t="shared" si="59"/>
        <v>9187686</v>
      </c>
    </row>
    <row r="1259" spans="2:24">
      <c r="B1259" t="s">
        <v>543</v>
      </c>
      <c r="C1259" t="s">
        <v>120</v>
      </c>
      <c r="D1259" t="s">
        <v>666</v>
      </c>
      <c r="E1259" t="s">
        <v>666</v>
      </c>
      <c r="F1259" s="705">
        <v>3</v>
      </c>
      <c r="G1259" s="705">
        <v>281</v>
      </c>
      <c r="H1259" s="705">
        <v>1010</v>
      </c>
      <c r="I1259" s="705">
        <v>58262</v>
      </c>
      <c r="J1259" s="705">
        <v>52965</v>
      </c>
      <c r="K1259" s="705">
        <v>52</v>
      </c>
      <c r="L1259" s="705">
        <v>5824</v>
      </c>
      <c r="M1259" s="705">
        <v>5295</v>
      </c>
      <c r="N1259" s="705">
        <v>4952</v>
      </c>
      <c r="O1259" s="705">
        <v>1834</v>
      </c>
      <c r="P1259" s="705">
        <v>1323</v>
      </c>
      <c r="Q1259" s="705">
        <v>490</v>
      </c>
      <c r="R1259" s="705">
        <v>20933</v>
      </c>
      <c r="S1259" s="705">
        <v>19030</v>
      </c>
      <c r="T1259" s="705">
        <v>2052</v>
      </c>
      <c r="U1259" s="705">
        <v>760</v>
      </c>
      <c r="V1259" s="705">
        <v>80374</v>
      </c>
      <c r="W1259" s="705">
        <f t="shared" ref="W1259:W1322" si="60">SUM(ABS(J1259),ABS(M1259),ABS(O1259),ABS(Q1259),ABS(S1259),ABS(U1259))</f>
        <v>80374</v>
      </c>
      <c r="X1259" s="705">
        <f t="shared" ref="X1259:X1322" si="61">SUM(ABS(I1259),ABS(N1259),ABS(P1259),ABS(R1259),ABS(T1259),ABS(L1259))</f>
        <v>93346</v>
      </c>
    </row>
    <row r="1260" spans="2:24">
      <c r="B1260" t="s">
        <v>543</v>
      </c>
      <c r="C1260" t="s">
        <v>120</v>
      </c>
      <c r="D1260" t="s">
        <v>584</v>
      </c>
      <c r="E1260" t="s">
        <v>584</v>
      </c>
      <c r="F1260" s="705">
        <v>132</v>
      </c>
      <c r="G1260" s="705">
        <v>10482</v>
      </c>
      <c r="H1260" s="705">
        <v>43912</v>
      </c>
      <c r="I1260" s="705">
        <v>1979469</v>
      </c>
      <c r="J1260" s="705">
        <v>1799517</v>
      </c>
      <c r="K1260" s="705">
        <v>77</v>
      </c>
      <c r="L1260" s="705">
        <v>463419</v>
      </c>
      <c r="M1260" s="705">
        <v>405469</v>
      </c>
      <c r="N1260" s="705">
        <v>213332</v>
      </c>
      <c r="O1260" s="705">
        <v>79012</v>
      </c>
      <c r="P1260" s="705">
        <v>62397</v>
      </c>
      <c r="Q1260" s="705">
        <v>23110</v>
      </c>
      <c r="R1260" s="705">
        <v>619987</v>
      </c>
      <c r="S1260" s="705">
        <v>563625</v>
      </c>
      <c r="T1260" s="705">
        <v>183709</v>
      </c>
      <c r="U1260" s="705">
        <v>68041</v>
      </c>
      <c r="V1260" s="705">
        <v>2938772</v>
      </c>
      <c r="W1260" s="705">
        <f t="shared" si="60"/>
        <v>2938774</v>
      </c>
      <c r="X1260" s="705">
        <f t="shared" si="61"/>
        <v>3522313</v>
      </c>
    </row>
    <row r="1261" spans="2:24">
      <c r="B1261" t="s">
        <v>543</v>
      </c>
      <c r="C1261" t="s">
        <v>120</v>
      </c>
      <c r="D1261" t="s">
        <v>669</v>
      </c>
      <c r="E1261" t="s">
        <v>669</v>
      </c>
      <c r="F1261" s="705">
        <v>14</v>
      </c>
      <c r="G1261" s="705">
        <v>1125</v>
      </c>
      <c r="H1261" s="705">
        <v>4712</v>
      </c>
      <c r="I1261" s="705">
        <v>224180</v>
      </c>
      <c r="J1261" s="705">
        <v>186817</v>
      </c>
      <c r="K1261" s="705">
        <v>63</v>
      </c>
      <c r="L1261" s="705">
        <v>35735</v>
      </c>
      <c r="M1261" s="705">
        <v>29153</v>
      </c>
      <c r="N1261" s="705">
        <v>22526</v>
      </c>
      <c r="O1261" s="705">
        <v>8343</v>
      </c>
      <c r="P1261" s="705">
        <v>4563</v>
      </c>
      <c r="Q1261" s="705">
        <v>1690</v>
      </c>
      <c r="R1261" s="705">
        <v>76201</v>
      </c>
      <c r="S1261" s="705">
        <v>63501</v>
      </c>
      <c r="T1261" s="705">
        <v>27421</v>
      </c>
      <c r="U1261" s="705">
        <v>10156</v>
      </c>
      <c r="V1261" s="705">
        <v>299660</v>
      </c>
      <c r="W1261" s="705">
        <f t="shared" si="60"/>
        <v>299660</v>
      </c>
      <c r="X1261" s="705">
        <f t="shared" si="61"/>
        <v>390626</v>
      </c>
    </row>
    <row r="1262" spans="2:24">
      <c r="B1262" t="s">
        <v>543</v>
      </c>
      <c r="C1262" t="s">
        <v>120</v>
      </c>
      <c r="D1262" t="s">
        <v>667</v>
      </c>
      <c r="E1262" t="s">
        <v>667</v>
      </c>
      <c r="F1262" s="705">
        <v>2</v>
      </c>
      <c r="G1262" s="705">
        <v>178</v>
      </c>
      <c r="H1262" s="705">
        <v>612</v>
      </c>
      <c r="I1262" s="705">
        <v>34796</v>
      </c>
      <c r="J1262" s="705">
        <v>31633</v>
      </c>
      <c r="K1262" s="705">
        <v>55</v>
      </c>
      <c r="L1262" s="705">
        <v>0</v>
      </c>
      <c r="M1262" s="705">
        <v>0</v>
      </c>
      <c r="N1262" s="705">
        <v>2931</v>
      </c>
      <c r="O1262" s="705">
        <v>1086</v>
      </c>
      <c r="P1262" s="705">
        <v>702</v>
      </c>
      <c r="Q1262" s="705">
        <v>260</v>
      </c>
      <c r="R1262" s="705">
        <v>10952</v>
      </c>
      <c r="S1262" s="705">
        <v>9957</v>
      </c>
      <c r="T1262" s="705">
        <v>5109</v>
      </c>
      <c r="U1262" s="705">
        <v>1892</v>
      </c>
      <c r="V1262" s="705">
        <v>44827</v>
      </c>
      <c r="W1262" s="705">
        <f t="shared" si="60"/>
        <v>44828</v>
      </c>
      <c r="X1262" s="705">
        <f t="shared" si="61"/>
        <v>54490</v>
      </c>
    </row>
    <row r="1263" spans="2:24">
      <c r="B1263" t="s">
        <v>543</v>
      </c>
      <c r="C1263" t="s">
        <v>120</v>
      </c>
      <c r="D1263" t="s">
        <v>665</v>
      </c>
      <c r="E1263" t="s">
        <v>228</v>
      </c>
      <c r="F1263" s="705">
        <v>2</v>
      </c>
      <c r="G1263" s="705">
        <v>151</v>
      </c>
      <c r="H1263" s="705">
        <v>677</v>
      </c>
      <c r="I1263" s="705">
        <v>41499</v>
      </c>
      <c r="J1263" s="705">
        <v>37726</v>
      </c>
      <c r="K1263" s="705">
        <v>68</v>
      </c>
      <c r="L1263" s="705">
        <v>4359</v>
      </c>
      <c r="M1263" s="705">
        <v>1615</v>
      </c>
      <c r="N1263" s="705">
        <v>3278</v>
      </c>
      <c r="O1263" s="705">
        <v>1214</v>
      </c>
      <c r="P1263" s="705">
        <v>0</v>
      </c>
      <c r="Q1263" s="705">
        <v>0</v>
      </c>
      <c r="R1263" s="705">
        <v>13028</v>
      </c>
      <c r="S1263" s="705">
        <v>4825</v>
      </c>
      <c r="T1263" s="705">
        <v>0</v>
      </c>
      <c r="U1263" s="705">
        <v>0</v>
      </c>
      <c r="V1263" s="705">
        <v>45380</v>
      </c>
      <c r="W1263" s="705">
        <f t="shared" si="60"/>
        <v>45380</v>
      </c>
      <c r="X1263" s="705">
        <f t="shared" si="61"/>
        <v>62164</v>
      </c>
    </row>
    <row r="1264" spans="2:24">
      <c r="B1264" t="s">
        <v>543</v>
      </c>
      <c r="C1264" t="s">
        <v>120</v>
      </c>
      <c r="D1264" t="s">
        <v>665</v>
      </c>
      <c r="E1264" t="s">
        <v>583</v>
      </c>
      <c r="F1264" s="705">
        <v>1</v>
      </c>
      <c r="G1264" s="705">
        <v>62</v>
      </c>
      <c r="H1264" s="705">
        <v>368</v>
      </c>
      <c r="I1264" s="705">
        <v>15386</v>
      </c>
      <c r="J1264" s="705">
        <v>13987</v>
      </c>
      <c r="K1264" s="705">
        <v>85</v>
      </c>
      <c r="L1264" s="705">
        <v>2122</v>
      </c>
      <c r="M1264" s="705">
        <v>1930</v>
      </c>
      <c r="N1264" s="705">
        <v>1265</v>
      </c>
      <c r="O1264" s="705">
        <v>468</v>
      </c>
      <c r="P1264" s="705">
        <v>351</v>
      </c>
      <c r="Q1264" s="705">
        <v>130</v>
      </c>
      <c r="R1264" s="705">
        <v>3767</v>
      </c>
      <c r="S1264" s="705">
        <v>3424</v>
      </c>
      <c r="T1264" s="705">
        <v>0</v>
      </c>
      <c r="U1264" s="705">
        <v>0</v>
      </c>
      <c r="V1264" s="705">
        <v>19940</v>
      </c>
      <c r="W1264" s="705">
        <f t="shared" si="60"/>
        <v>19939</v>
      </c>
      <c r="X1264" s="705">
        <f t="shared" si="61"/>
        <v>22891</v>
      </c>
    </row>
    <row r="1265" spans="2:24">
      <c r="B1265" t="s">
        <v>543</v>
      </c>
      <c r="C1265" t="s">
        <v>120</v>
      </c>
      <c r="D1265" t="s">
        <v>665</v>
      </c>
      <c r="E1265" t="s">
        <v>665</v>
      </c>
      <c r="F1265" s="705">
        <v>162</v>
      </c>
      <c r="G1265" s="705">
        <v>11798</v>
      </c>
      <c r="H1265" s="705">
        <v>54177</v>
      </c>
      <c r="I1265" s="705">
        <v>2179013</v>
      </c>
      <c r="J1265" s="705">
        <v>1980921</v>
      </c>
      <c r="K1265" s="705">
        <v>57</v>
      </c>
      <c r="L1265" s="705">
        <v>295996</v>
      </c>
      <c r="M1265" s="705">
        <v>251629</v>
      </c>
      <c r="N1265" s="705">
        <v>208206</v>
      </c>
      <c r="O1265" s="705">
        <v>77113</v>
      </c>
      <c r="P1265" s="705">
        <v>56741</v>
      </c>
      <c r="Q1265" s="705">
        <v>21015</v>
      </c>
      <c r="R1265" s="705">
        <v>840048</v>
      </c>
      <c r="S1265" s="705">
        <v>763680</v>
      </c>
      <c r="T1265" s="705">
        <v>367996</v>
      </c>
      <c r="U1265" s="705">
        <v>136295</v>
      </c>
      <c r="V1265" s="705">
        <v>3230653</v>
      </c>
      <c r="W1265" s="705">
        <f t="shared" si="60"/>
        <v>3230653</v>
      </c>
      <c r="X1265" s="705">
        <f t="shared" si="61"/>
        <v>3948000</v>
      </c>
    </row>
    <row r="1266" spans="2:24">
      <c r="B1266" t="s">
        <v>543</v>
      </c>
      <c r="C1266" t="s">
        <v>120</v>
      </c>
      <c r="D1266" t="s">
        <v>665</v>
      </c>
      <c r="E1266" t="s">
        <v>722</v>
      </c>
      <c r="F1266" s="705">
        <v>2</v>
      </c>
      <c r="G1266" s="705">
        <v>106</v>
      </c>
      <c r="H1266" s="705">
        <v>694</v>
      </c>
      <c r="I1266" s="705">
        <v>15659</v>
      </c>
      <c r="J1266" s="705">
        <v>14235</v>
      </c>
      <c r="K1266" s="705">
        <v>65</v>
      </c>
      <c r="L1266" s="705">
        <v>6246</v>
      </c>
      <c r="M1266" s="705">
        <v>2313</v>
      </c>
      <c r="N1266" s="705">
        <v>1293</v>
      </c>
      <c r="O1266" s="705">
        <v>479</v>
      </c>
      <c r="P1266" s="705">
        <v>702</v>
      </c>
      <c r="Q1266" s="705">
        <v>260</v>
      </c>
      <c r="R1266" s="705">
        <v>8459</v>
      </c>
      <c r="S1266" s="705">
        <v>7690</v>
      </c>
      <c r="T1266" s="705">
        <v>4473</v>
      </c>
      <c r="U1266" s="705">
        <v>1657</v>
      </c>
      <c r="V1266" s="705">
        <v>26634</v>
      </c>
      <c r="W1266" s="705">
        <f t="shared" si="60"/>
        <v>26634</v>
      </c>
      <c r="X1266" s="705">
        <f t="shared" si="61"/>
        <v>36832</v>
      </c>
    </row>
    <row r="1267" spans="2:24">
      <c r="B1267" t="s">
        <v>543</v>
      </c>
      <c r="C1267" t="s">
        <v>120</v>
      </c>
      <c r="D1267" t="s">
        <v>722</v>
      </c>
      <c r="E1267" t="s">
        <v>665</v>
      </c>
      <c r="F1267" s="705">
        <v>4</v>
      </c>
      <c r="G1267" s="705">
        <v>195</v>
      </c>
      <c r="H1267" s="705">
        <v>1355</v>
      </c>
      <c r="I1267" s="705">
        <v>40890</v>
      </c>
      <c r="J1267" s="705">
        <v>37173</v>
      </c>
      <c r="K1267" s="705">
        <v>65</v>
      </c>
      <c r="L1267" s="705">
        <v>0</v>
      </c>
      <c r="M1267" s="705">
        <v>0</v>
      </c>
      <c r="N1267" s="705">
        <v>2370</v>
      </c>
      <c r="O1267" s="705">
        <v>878</v>
      </c>
      <c r="P1267" s="705">
        <v>1404</v>
      </c>
      <c r="Q1267" s="705">
        <v>520</v>
      </c>
      <c r="R1267" s="705">
        <v>14324</v>
      </c>
      <c r="S1267" s="705">
        <v>13021</v>
      </c>
      <c r="T1267" s="705">
        <v>6908</v>
      </c>
      <c r="U1267" s="705">
        <v>2558</v>
      </c>
      <c r="V1267" s="705">
        <v>54151</v>
      </c>
      <c r="W1267" s="705">
        <f t="shared" si="60"/>
        <v>54150</v>
      </c>
      <c r="X1267" s="705">
        <f t="shared" si="61"/>
        <v>65896</v>
      </c>
    </row>
    <row r="1268" spans="2:24">
      <c r="B1268" t="s">
        <v>543</v>
      </c>
      <c r="C1268" t="s">
        <v>120</v>
      </c>
      <c r="D1268" t="s">
        <v>673</v>
      </c>
      <c r="E1268" t="s">
        <v>673</v>
      </c>
      <c r="F1268" s="705">
        <v>1</v>
      </c>
      <c r="G1268" s="705">
        <v>82</v>
      </c>
      <c r="H1268" s="705">
        <v>320</v>
      </c>
      <c r="I1268" s="705">
        <v>15569</v>
      </c>
      <c r="J1268" s="705">
        <v>14153</v>
      </c>
      <c r="K1268" s="705">
        <v>65</v>
      </c>
      <c r="L1268" s="705">
        <v>1874</v>
      </c>
      <c r="M1268" s="705">
        <v>1704</v>
      </c>
      <c r="N1268" s="705">
        <v>1900</v>
      </c>
      <c r="O1268" s="705">
        <v>704</v>
      </c>
      <c r="P1268" s="705">
        <v>351</v>
      </c>
      <c r="Q1268" s="705">
        <v>130</v>
      </c>
      <c r="R1268" s="705">
        <v>4352</v>
      </c>
      <c r="S1268" s="705">
        <v>3956</v>
      </c>
      <c r="T1268" s="705">
        <v>2333</v>
      </c>
      <c r="U1268" s="705">
        <v>864</v>
      </c>
      <c r="V1268" s="705">
        <v>21511</v>
      </c>
      <c r="W1268" s="705">
        <f t="shared" si="60"/>
        <v>21511</v>
      </c>
      <c r="X1268" s="705">
        <f t="shared" si="61"/>
        <v>26379</v>
      </c>
    </row>
    <row r="1269" spans="2:24">
      <c r="B1269" t="s">
        <v>543</v>
      </c>
      <c r="C1269" t="s">
        <v>122</v>
      </c>
      <c r="F1269" s="705">
        <v>2</v>
      </c>
      <c r="G1269" s="705">
        <v>162</v>
      </c>
      <c r="H1269" s="705">
        <v>803</v>
      </c>
      <c r="I1269" s="705"/>
      <c r="J1269" s="705">
        <v>0</v>
      </c>
      <c r="K1269" s="705"/>
      <c r="L1269" s="705"/>
      <c r="M1269" s="705">
        <v>0</v>
      </c>
      <c r="N1269" s="705">
        <v>3322</v>
      </c>
      <c r="O1269" s="705">
        <v>1230</v>
      </c>
      <c r="P1269" s="705">
        <v>0</v>
      </c>
      <c r="Q1269" s="705">
        <v>0</v>
      </c>
      <c r="R1269" s="705"/>
      <c r="S1269" s="705">
        <v>0</v>
      </c>
      <c r="T1269" s="705">
        <v>0</v>
      </c>
      <c r="U1269" s="705">
        <v>0</v>
      </c>
      <c r="V1269" s="705">
        <v>1230</v>
      </c>
      <c r="W1269" s="705">
        <f t="shared" si="60"/>
        <v>1230</v>
      </c>
      <c r="X1269" s="705">
        <f t="shared" si="61"/>
        <v>3322</v>
      </c>
    </row>
    <row r="1270" spans="2:24">
      <c r="B1270" t="s">
        <v>543</v>
      </c>
      <c r="C1270" t="s">
        <v>122</v>
      </c>
      <c r="D1270" t="s">
        <v>228</v>
      </c>
      <c r="E1270" t="s">
        <v>228</v>
      </c>
      <c r="F1270" s="705">
        <v>56</v>
      </c>
      <c r="G1270" s="705">
        <v>4064</v>
      </c>
      <c r="H1270" s="705">
        <v>23182</v>
      </c>
      <c r="I1270" s="705">
        <v>1091980</v>
      </c>
      <c r="J1270" s="705">
        <v>404437</v>
      </c>
      <c r="K1270" s="705">
        <v>100</v>
      </c>
      <c r="L1270" s="705">
        <v>166649</v>
      </c>
      <c r="M1270" s="705">
        <v>130690</v>
      </c>
      <c r="N1270" s="705">
        <v>86089</v>
      </c>
      <c r="O1270" s="705">
        <v>31885</v>
      </c>
      <c r="P1270" s="705">
        <v>351</v>
      </c>
      <c r="Q1270" s="705">
        <v>130</v>
      </c>
      <c r="R1270" s="705">
        <v>353375</v>
      </c>
      <c r="S1270" s="705">
        <v>130879</v>
      </c>
      <c r="T1270" s="705">
        <v>0</v>
      </c>
      <c r="U1270" s="705">
        <v>0</v>
      </c>
      <c r="V1270" s="705">
        <v>698021</v>
      </c>
      <c r="W1270" s="705">
        <f t="shared" si="60"/>
        <v>698021</v>
      </c>
      <c r="X1270" s="705">
        <f t="shared" si="61"/>
        <v>1698444</v>
      </c>
    </row>
    <row r="1271" spans="2:24">
      <c r="B1271" t="s">
        <v>543</v>
      </c>
      <c r="C1271" t="s">
        <v>122</v>
      </c>
      <c r="D1271" t="s">
        <v>228</v>
      </c>
      <c r="E1271" t="s">
        <v>583</v>
      </c>
      <c r="F1271" s="705">
        <v>1</v>
      </c>
      <c r="G1271" s="705">
        <v>129</v>
      </c>
      <c r="H1271" s="705">
        <v>405</v>
      </c>
      <c r="I1271" s="705">
        <v>34254</v>
      </c>
      <c r="J1271" s="705">
        <v>12687</v>
      </c>
      <c r="K1271" s="705">
        <v>100</v>
      </c>
      <c r="L1271" s="705">
        <v>8955</v>
      </c>
      <c r="M1271" s="705">
        <v>7463</v>
      </c>
      <c r="N1271" s="705">
        <v>2042</v>
      </c>
      <c r="O1271" s="705">
        <v>756</v>
      </c>
      <c r="P1271" s="705">
        <v>351</v>
      </c>
      <c r="Q1271" s="705">
        <v>130</v>
      </c>
      <c r="R1271" s="705">
        <v>6566</v>
      </c>
      <c r="S1271" s="705">
        <v>5969</v>
      </c>
      <c r="T1271" s="705">
        <v>0</v>
      </c>
      <c r="U1271" s="705">
        <v>0</v>
      </c>
      <c r="V1271" s="705">
        <v>27005</v>
      </c>
      <c r="W1271" s="705">
        <f t="shared" si="60"/>
        <v>27005</v>
      </c>
      <c r="X1271" s="705">
        <f t="shared" si="61"/>
        <v>52168</v>
      </c>
    </row>
    <row r="1272" spans="2:24">
      <c r="B1272" t="s">
        <v>543</v>
      </c>
      <c r="C1272" t="s">
        <v>122</v>
      </c>
      <c r="D1272" t="s">
        <v>228</v>
      </c>
      <c r="E1272" t="s">
        <v>666</v>
      </c>
      <c r="F1272" s="705">
        <v>1</v>
      </c>
      <c r="G1272" s="705">
        <v>34</v>
      </c>
      <c r="H1272" s="705">
        <v>445</v>
      </c>
      <c r="I1272" s="705">
        <v>7448</v>
      </c>
      <c r="J1272" s="705">
        <v>2758</v>
      </c>
      <c r="K1272" s="705">
        <v>100</v>
      </c>
      <c r="L1272" s="705">
        <v>674</v>
      </c>
      <c r="M1272" s="705">
        <v>613</v>
      </c>
      <c r="N1272" s="705">
        <v>497</v>
      </c>
      <c r="O1272" s="705">
        <v>184</v>
      </c>
      <c r="P1272" s="705">
        <v>0</v>
      </c>
      <c r="Q1272" s="705">
        <v>0</v>
      </c>
      <c r="R1272" s="705">
        <v>4738</v>
      </c>
      <c r="S1272" s="705">
        <v>4307</v>
      </c>
      <c r="T1272" s="705">
        <v>1777</v>
      </c>
      <c r="U1272" s="705">
        <v>658</v>
      </c>
      <c r="V1272" s="705">
        <v>8521</v>
      </c>
      <c r="W1272" s="705">
        <f t="shared" si="60"/>
        <v>8520</v>
      </c>
      <c r="X1272" s="705">
        <f t="shared" si="61"/>
        <v>15134</v>
      </c>
    </row>
    <row r="1273" spans="2:24">
      <c r="B1273" t="s">
        <v>543</v>
      </c>
      <c r="C1273" t="s">
        <v>122</v>
      </c>
      <c r="D1273" t="s">
        <v>583</v>
      </c>
      <c r="E1273" t="s">
        <v>228</v>
      </c>
      <c r="F1273" s="705">
        <v>1</v>
      </c>
      <c r="G1273" s="705">
        <v>53</v>
      </c>
      <c r="H1273" s="705">
        <v>442</v>
      </c>
      <c r="I1273" s="705">
        <v>12191</v>
      </c>
      <c r="J1273" s="705">
        <v>11083</v>
      </c>
      <c r="K1273" s="705">
        <v>79</v>
      </c>
      <c r="L1273" s="705">
        <v>3387</v>
      </c>
      <c r="M1273" s="705">
        <v>3079</v>
      </c>
      <c r="N1273" s="705">
        <v>651</v>
      </c>
      <c r="O1273" s="705">
        <v>241</v>
      </c>
      <c r="P1273" s="705">
        <v>621</v>
      </c>
      <c r="Q1273" s="705">
        <v>230</v>
      </c>
      <c r="R1273" s="705">
        <v>6773</v>
      </c>
      <c r="S1273" s="705">
        <v>2508</v>
      </c>
      <c r="T1273" s="705">
        <v>0</v>
      </c>
      <c r="U1273" s="705">
        <v>0</v>
      </c>
      <c r="V1273" s="705">
        <v>17141</v>
      </c>
      <c r="W1273" s="705">
        <f t="shared" si="60"/>
        <v>17141</v>
      </c>
      <c r="X1273" s="705">
        <f t="shared" si="61"/>
        <v>23623</v>
      </c>
    </row>
    <row r="1274" spans="2:24">
      <c r="B1274" t="s">
        <v>543</v>
      </c>
      <c r="C1274" t="s">
        <v>122</v>
      </c>
      <c r="D1274" t="s">
        <v>583</v>
      </c>
      <c r="E1274" t="s">
        <v>583</v>
      </c>
      <c r="F1274" s="705">
        <v>134</v>
      </c>
      <c r="G1274" s="705">
        <v>13618</v>
      </c>
      <c r="H1274" s="705">
        <v>55479</v>
      </c>
      <c r="I1274" s="705">
        <v>3603083</v>
      </c>
      <c r="J1274" s="705">
        <v>3275530</v>
      </c>
      <c r="K1274" s="705">
        <v>74</v>
      </c>
      <c r="L1274" s="705">
        <v>762870</v>
      </c>
      <c r="M1274" s="705">
        <v>655286</v>
      </c>
      <c r="N1274" s="705">
        <v>294922</v>
      </c>
      <c r="O1274" s="705">
        <v>109230</v>
      </c>
      <c r="P1274" s="705">
        <v>85320</v>
      </c>
      <c r="Q1274" s="705">
        <v>31600</v>
      </c>
      <c r="R1274" s="705">
        <v>656258</v>
      </c>
      <c r="S1274" s="705">
        <v>596598</v>
      </c>
      <c r="T1274" s="705">
        <v>266144</v>
      </c>
      <c r="U1274" s="705">
        <v>98572</v>
      </c>
      <c r="V1274" s="705">
        <v>4766816</v>
      </c>
      <c r="W1274" s="705">
        <f t="shared" si="60"/>
        <v>4766816</v>
      </c>
      <c r="X1274" s="705">
        <f t="shared" si="61"/>
        <v>5668597</v>
      </c>
    </row>
    <row r="1275" spans="2:24">
      <c r="B1275" t="s">
        <v>543</v>
      </c>
      <c r="C1275" t="s">
        <v>122</v>
      </c>
      <c r="D1275" t="s">
        <v>666</v>
      </c>
      <c r="E1275" t="s">
        <v>666</v>
      </c>
      <c r="F1275" s="705">
        <v>4</v>
      </c>
      <c r="G1275" s="705">
        <v>292</v>
      </c>
      <c r="H1275" s="705">
        <v>1693</v>
      </c>
      <c r="I1275" s="705">
        <v>73990</v>
      </c>
      <c r="J1275" s="705">
        <v>67264</v>
      </c>
      <c r="K1275" s="705">
        <v>55</v>
      </c>
      <c r="L1275" s="705">
        <v>10554</v>
      </c>
      <c r="M1275" s="705">
        <v>9595</v>
      </c>
      <c r="N1275" s="705">
        <v>6188</v>
      </c>
      <c r="O1275" s="705">
        <v>2292</v>
      </c>
      <c r="P1275" s="705">
        <v>1404</v>
      </c>
      <c r="Q1275" s="705">
        <v>520</v>
      </c>
      <c r="R1275" s="705">
        <v>29442</v>
      </c>
      <c r="S1275" s="705">
        <v>26765</v>
      </c>
      <c r="T1275" s="705">
        <v>2061</v>
      </c>
      <c r="U1275" s="705">
        <v>764</v>
      </c>
      <c r="V1275" s="705">
        <v>107199</v>
      </c>
      <c r="W1275" s="705">
        <f t="shared" si="60"/>
        <v>107200</v>
      </c>
      <c r="X1275" s="705">
        <f t="shared" si="61"/>
        <v>123639</v>
      </c>
    </row>
    <row r="1276" spans="2:24">
      <c r="B1276" t="s">
        <v>543</v>
      </c>
      <c r="C1276" t="s">
        <v>122</v>
      </c>
      <c r="D1276" t="s">
        <v>584</v>
      </c>
      <c r="E1276" t="s">
        <v>584</v>
      </c>
      <c r="F1276" s="705">
        <v>49</v>
      </c>
      <c r="G1276" s="705">
        <v>3793</v>
      </c>
      <c r="H1276" s="705">
        <v>20130</v>
      </c>
      <c r="I1276" s="705">
        <v>949459</v>
      </c>
      <c r="J1276" s="705">
        <v>863145</v>
      </c>
      <c r="K1276" s="705">
        <v>77</v>
      </c>
      <c r="L1276" s="705">
        <v>229194</v>
      </c>
      <c r="M1276" s="705">
        <v>196575</v>
      </c>
      <c r="N1276" s="705">
        <v>73961</v>
      </c>
      <c r="O1276" s="705">
        <v>27393</v>
      </c>
      <c r="P1276" s="705">
        <v>24003</v>
      </c>
      <c r="Q1276" s="705">
        <v>8890</v>
      </c>
      <c r="R1276" s="705">
        <v>208895</v>
      </c>
      <c r="S1276" s="705">
        <v>189905</v>
      </c>
      <c r="T1276" s="705">
        <v>75930</v>
      </c>
      <c r="U1276" s="705">
        <v>28122</v>
      </c>
      <c r="V1276" s="705">
        <v>1314030</v>
      </c>
      <c r="W1276" s="705">
        <f t="shared" si="60"/>
        <v>1314030</v>
      </c>
      <c r="X1276" s="705">
        <f t="shared" si="61"/>
        <v>1561442</v>
      </c>
    </row>
    <row r="1277" spans="2:24">
      <c r="B1277" t="s">
        <v>543</v>
      </c>
      <c r="C1277" t="s">
        <v>122</v>
      </c>
      <c r="D1277" t="s">
        <v>669</v>
      </c>
      <c r="E1277" t="s">
        <v>228</v>
      </c>
      <c r="F1277" s="705">
        <v>1</v>
      </c>
      <c r="G1277" s="705">
        <v>60</v>
      </c>
      <c r="H1277" s="705">
        <v>412</v>
      </c>
      <c r="I1277" s="705">
        <v>16163</v>
      </c>
      <c r="J1277" s="705">
        <v>13469</v>
      </c>
      <c r="K1277" s="705">
        <v>65</v>
      </c>
      <c r="L1277" s="705">
        <v>1796</v>
      </c>
      <c r="M1277" s="705">
        <v>1497</v>
      </c>
      <c r="N1277" s="705">
        <v>1471</v>
      </c>
      <c r="O1277" s="705">
        <v>545</v>
      </c>
      <c r="P1277" s="705">
        <v>351</v>
      </c>
      <c r="Q1277" s="705">
        <v>130</v>
      </c>
      <c r="R1277" s="705">
        <v>5068</v>
      </c>
      <c r="S1277" s="705">
        <v>1877</v>
      </c>
      <c r="T1277" s="705">
        <v>0</v>
      </c>
      <c r="U1277" s="705">
        <v>0</v>
      </c>
      <c r="V1277" s="705">
        <v>17517</v>
      </c>
      <c r="W1277" s="705">
        <f t="shared" si="60"/>
        <v>17518</v>
      </c>
      <c r="X1277" s="705">
        <f t="shared" si="61"/>
        <v>24849</v>
      </c>
    </row>
    <row r="1278" spans="2:24">
      <c r="B1278" t="s">
        <v>543</v>
      </c>
      <c r="C1278" t="s">
        <v>122</v>
      </c>
      <c r="D1278" t="s">
        <v>669</v>
      </c>
      <c r="E1278" t="s">
        <v>669</v>
      </c>
      <c r="F1278" s="705">
        <v>5</v>
      </c>
      <c r="G1278" s="705">
        <v>502</v>
      </c>
      <c r="H1278" s="705">
        <v>2113</v>
      </c>
      <c r="I1278" s="705">
        <v>137065</v>
      </c>
      <c r="J1278" s="705">
        <v>114220</v>
      </c>
      <c r="K1278" s="705">
        <v>57</v>
      </c>
      <c r="L1278" s="705">
        <v>18672</v>
      </c>
      <c r="M1278" s="705">
        <v>15560</v>
      </c>
      <c r="N1278" s="705">
        <v>10129</v>
      </c>
      <c r="O1278" s="705">
        <v>3752</v>
      </c>
      <c r="P1278" s="705">
        <v>1755</v>
      </c>
      <c r="Q1278" s="705">
        <v>650</v>
      </c>
      <c r="R1278" s="705">
        <v>32633</v>
      </c>
      <c r="S1278" s="705">
        <v>27194</v>
      </c>
      <c r="T1278" s="705">
        <v>11338</v>
      </c>
      <c r="U1278" s="705">
        <v>4199</v>
      </c>
      <c r="V1278" s="705">
        <v>165576</v>
      </c>
      <c r="W1278" s="705">
        <f t="shared" si="60"/>
        <v>165575</v>
      </c>
      <c r="X1278" s="705">
        <f t="shared" si="61"/>
        <v>211592</v>
      </c>
    </row>
    <row r="1279" spans="2:24">
      <c r="B1279" t="s">
        <v>543</v>
      </c>
      <c r="C1279" t="s">
        <v>122</v>
      </c>
      <c r="D1279" t="s">
        <v>671</v>
      </c>
      <c r="E1279" t="s">
        <v>671</v>
      </c>
      <c r="F1279" s="705">
        <v>1</v>
      </c>
      <c r="G1279" s="705">
        <v>85</v>
      </c>
      <c r="H1279" s="705">
        <v>438</v>
      </c>
      <c r="I1279" s="705">
        <v>22360</v>
      </c>
      <c r="J1279" s="705">
        <v>20328</v>
      </c>
      <c r="K1279" s="705">
        <v>45</v>
      </c>
      <c r="L1279" s="705">
        <v>2744</v>
      </c>
      <c r="M1279" s="705">
        <v>1016</v>
      </c>
      <c r="N1279" s="705">
        <v>1593</v>
      </c>
      <c r="O1279" s="705">
        <v>590</v>
      </c>
      <c r="P1279" s="705">
        <v>351</v>
      </c>
      <c r="Q1279" s="705">
        <v>130</v>
      </c>
      <c r="R1279" s="705">
        <v>10346</v>
      </c>
      <c r="S1279" s="705">
        <v>9405</v>
      </c>
      <c r="T1279" s="705">
        <v>0</v>
      </c>
      <c r="U1279" s="705">
        <v>0</v>
      </c>
      <c r="V1279" s="705">
        <v>31470</v>
      </c>
      <c r="W1279" s="705">
        <f t="shared" si="60"/>
        <v>31469</v>
      </c>
      <c r="X1279" s="705">
        <f t="shared" si="61"/>
        <v>37394</v>
      </c>
    </row>
    <row r="1280" spans="2:24">
      <c r="B1280" t="s">
        <v>543</v>
      </c>
      <c r="C1280" t="s">
        <v>122</v>
      </c>
      <c r="D1280" t="s">
        <v>665</v>
      </c>
      <c r="E1280" t="s">
        <v>665</v>
      </c>
      <c r="F1280" s="705">
        <v>68</v>
      </c>
      <c r="G1280" s="705">
        <v>4814</v>
      </c>
      <c r="H1280" s="705">
        <v>27870</v>
      </c>
      <c r="I1280" s="705">
        <v>1196902</v>
      </c>
      <c r="J1280" s="705">
        <v>1088093</v>
      </c>
      <c r="K1280" s="705">
        <v>55</v>
      </c>
      <c r="L1280" s="705">
        <v>159025</v>
      </c>
      <c r="M1280" s="705">
        <v>123767</v>
      </c>
      <c r="N1280" s="705">
        <v>85971</v>
      </c>
      <c r="O1280" s="705">
        <v>31841</v>
      </c>
      <c r="P1280" s="705">
        <v>24138</v>
      </c>
      <c r="Q1280" s="705">
        <v>8940</v>
      </c>
      <c r="R1280" s="705">
        <v>369430</v>
      </c>
      <c r="S1280" s="705">
        <v>335845</v>
      </c>
      <c r="T1280" s="705">
        <v>153545</v>
      </c>
      <c r="U1280" s="705">
        <v>56868</v>
      </c>
      <c r="V1280" s="705">
        <v>1645355</v>
      </c>
      <c r="W1280" s="705">
        <f t="shared" si="60"/>
        <v>1645354</v>
      </c>
      <c r="X1280" s="705">
        <f t="shared" si="61"/>
        <v>1989011</v>
      </c>
    </row>
    <row r="1281" spans="2:24">
      <c r="B1281" t="s">
        <v>543</v>
      </c>
      <c r="C1281" t="s">
        <v>122</v>
      </c>
      <c r="D1281" t="s">
        <v>665</v>
      </c>
      <c r="E1281" t="s">
        <v>722</v>
      </c>
      <c r="F1281" s="705">
        <v>1</v>
      </c>
      <c r="G1281" s="705">
        <v>53</v>
      </c>
      <c r="H1281" s="705">
        <v>446</v>
      </c>
      <c r="I1281" s="705">
        <v>11233</v>
      </c>
      <c r="J1281" s="705">
        <v>10212</v>
      </c>
      <c r="K1281" s="705">
        <v>45</v>
      </c>
      <c r="L1281" s="705">
        <v>3102</v>
      </c>
      <c r="M1281" s="705">
        <v>1149</v>
      </c>
      <c r="N1281" s="705">
        <v>647</v>
      </c>
      <c r="O1281" s="705">
        <v>240</v>
      </c>
      <c r="P1281" s="705">
        <v>351</v>
      </c>
      <c r="Q1281" s="705">
        <v>130</v>
      </c>
      <c r="R1281" s="705">
        <v>6109</v>
      </c>
      <c r="S1281" s="705">
        <v>5554</v>
      </c>
      <c r="T1281" s="705">
        <v>2237</v>
      </c>
      <c r="U1281" s="705">
        <v>828</v>
      </c>
      <c r="V1281" s="705">
        <v>18112</v>
      </c>
      <c r="W1281" s="705">
        <f t="shared" si="60"/>
        <v>18113</v>
      </c>
      <c r="X1281" s="705">
        <f t="shared" si="61"/>
        <v>23679</v>
      </c>
    </row>
    <row r="1282" spans="2:24">
      <c r="B1282" t="s">
        <v>543</v>
      </c>
      <c r="C1282" t="s">
        <v>124</v>
      </c>
      <c r="F1282" s="705">
        <v>3</v>
      </c>
      <c r="G1282" s="705">
        <v>518</v>
      </c>
      <c r="H1282" s="705">
        <v>1608</v>
      </c>
      <c r="I1282" s="705"/>
      <c r="J1282" s="705">
        <v>0</v>
      </c>
      <c r="K1282" s="705"/>
      <c r="L1282" s="705"/>
      <c r="M1282" s="705">
        <v>0</v>
      </c>
      <c r="N1282" s="705">
        <v>10113</v>
      </c>
      <c r="O1282" s="705">
        <v>3745</v>
      </c>
      <c r="P1282" s="705">
        <v>1863</v>
      </c>
      <c r="Q1282" s="705">
        <v>690</v>
      </c>
      <c r="R1282" s="705"/>
      <c r="S1282" s="705">
        <v>0</v>
      </c>
      <c r="T1282" s="705">
        <v>0</v>
      </c>
      <c r="U1282" s="705">
        <v>0</v>
      </c>
      <c r="V1282" s="705">
        <v>4435</v>
      </c>
      <c r="W1282" s="705">
        <f t="shared" si="60"/>
        <v>4435</v>
      </c>
      <c r="X1282" s="705">
        <f t="shared" si="61"/>
        <v>11976</v>
      </c>
    </row>
    <row r="1283" spans="2:24">
      <c r="B1283" t="s">
        <v>543</v>
      </c>
      <c r="C1283" t="s">
        <v>124</v>
      </c>
      <c r="D1283" t="s">
        <v>674</v>
      </c>
      <c r="E1283" t="s">
        <v>674</v>
      </c>
      <c r="F1283" s="705">
        <v>1</v>
      </c>
      <c r="G1283" s="705">
        <v>105</v>
      </c>
      <c r="H1283" s="705">
        <v>565</v>
      </c>
      <c r="I1283" s="705">
        <v>46075</v>
      </c>
      <c r="J1283" s="705">
        <v>41886</v>
      </c>
      <c r="K1283" s="705">
        <v>45</v>
      </c>
      <c r="L1283" s="705">
        <v>3840</v>
      </c>
      <c r="M1283" s="705">
        <v>3491</v>
      </c>
      <c r="N1283" s="705">
        <v>1399</v>
      </c>
      <c r="O1283" s="705">
        <v>518</v>
      </c>
      <c r="P1283" s="705">
        <v>351</v>
      </c>
      <c r="Q1283" s="705">
        <v>130</v>
      </c>
      <c r="R1283" s="705">
        <v>5766</v>
      </c>
      <c r="S1283" s="705">
        <v>5242</v>
      </c>
      <c r="T1283" s="705">
        <v>2050</v>
      </c>
      <c r="U1283" s="705">
        <v>759</v>
      </c>
      <c r="V1283" s="705">
        <v>52026</v>
      </c>
      <c r="W1283" s="705">
        <f t="shared" si="60"/>
        <v>52026</v>
      </c>
      <c r="X1283" s="705">
        <f t="shared" si="61"/>
        <v>59481</v>
      </c>
    </row>
    <row r="1284" spans="2:24">
      <c r="B1284" t="s">
        <v>543</v>
      </c>
      <c r="C1284" t="s">
        <v>124</v>
      </c>
      <c r="D1284" t="s">
        <v>228</v>
      </c>
      <c r="E1284" t="s">
        <v>228</v>
      </c>
      <c r="F1284" s="705">
        <v>79</v>
      </c>
      <c r="G1284" s="705">
        <v>6208</v>
      </c>
      <c r="H1284" s="705">
        <v>57951</v>
      </c>
      <c r="I1284" s="705">
        <v>2899064</v>
      </c>
      <c r="J1284" s="705">
        <v>1073727</v>
      </c>
      <c r="K1284" s="705">
        <v>100</v>
      </c>
      <c r="L1284" s="705">
        <v>2568162</v>
      </c>
      <c r="M1284" s="705">
        <v>2294248</v>
      </c>
      <c r="N1284" s="705">
        <v>142898</v>
      </c>
      <c r="O1284" s="705">
        <v>52925</v>
      </c>
      <c r="P1284" s="705">
        <v>1053</v>
      </c>
      <c r="Q1284" s="705">
        <v>390</v>
      </c>
      <c r="R1284" s="705">
        <v>588336</v>
      </c>
      <c r="S1284" s="705">
        <v>217902</v>
      </c>
      <c r="T1284" s="705">
        <v>0</v>
      </c>
      <c r="U1284" s="705">
        <v>0</v>
      </c>
      <c r="V1284" s="705">
        <v>3639193</v>
      </c>
      <c r="W1284" s="705">
        <f t="shared" si="60"/>
        <v>3639192</v>
      </c>
      <c r="X1284" s="705">
        <f t="shared" si="61"/>
        <v>6199513</v>
      </c>
    </row>
    <row r="1285" spans="2:24">
      <c r="B1285" t="s">
        <v>543</v>
      </c>
      <c r="C1285" t="s">
        <v>124</v>
      </c>
      <c r="D1285" t="s">
        <v>228</v>
      </c>
      <c r="E1285" t="s">
        <v>666</v>
      </c>
      <c r="F1285" s="705">
        <v>6</v>
      </c>
      <c r="G1285" s="705">
        <v>204</v>
      </c>
      <c r="H1285" s="705">
        <v>2734</v>
      </c>
      <c r="I1285" s="705">
        <v>46708</v>
      </c>
      <c r="J1285" s="705">
        <v>17299</v>
      </c>
      <c r="K1285" s="705">
        <v>100</v>
      </c>
      <c r="L1285" s="705">
        <v>4229</v>
      </c>
      <c r="M1285" s="705">
        <v>3844</v>
      </c>
      <c r="N1285" s="705">
        <v>2899</v>
      </c>
      <c r="O1285" s="705">
        <v>1074</v>
      </c>
      <c r="P1285" s="705">
        <v>0</v>
      </c>
      <c r="Q1285" s="705">
        <v>0</v>
      </c>
      <c r="R1285" s="705">
        <v>28429</v>
      </c>
      <c r="S1285" s="705">
        <v>25845</v>
      </c>
      <c r="T1285" s="705">
        <v>10663</v>
      </c>
      <c r="U1285" s="705">
        <v>3949</v>
      </c>
      <c r="V1285" s="705">
        <v>52011</v>
      </c>
      <c r="W1285" s="705">
        <f t="shared" si="60"/>
        <v>52011</v>
      </c>
      <c r="X1285" s="705">
        <f t="shared" si="61"/>
        <v>92928</v>
      </c>
    </row>
    <row r="1286" spans="2:24">
      <c r="B1286" t="s">
        <v>543</v>
      </c>
      <c r="C1286" t="s">
        <v>124</v>
      </c>
      <c r="D1286" t="s">
        <v>228</v>
      </c>
      <c r="E1286" t="s">
        <v>669</v>
      </c>
      <c r="F1286" s="705">
        <v>4</v>
      </c>
      <c r="G1286" s="705">
        <v>367</v>
      </c>
      <c r="H1286" s="705">
        <v>2390</v>
      </c>
      <c r="I1286" s="705">
        <v>160644</v>
      </c>
      <c r="J1286" s="705">
        <v>59498</v>
      </c>
      <c r="K1286" s="705">
        <v>100</v>
      </c>
      <c r="L1286" s="705">
        <v>24744</v>
      </c>
      <c r="M1286" s="705">
        <v>20620</v>
      </c>
      <c r="N1286" s="705">
        <v>7857</v>
      </c>
      <c r="O1286" s="705">
        <v>2910</v>
      </c>
      <c r="P1286" s="705">
        <v>0</v>
      </c>
      <c r="Q1286" s="705">
        <v>0</v>
      </c>
      <c r="R1286" s="705">
        <v>19847</v>
      </c>
      <c r="S1286" s="705">
        <v>16539</v>
      </c>
      <c r="T1286" s="705">
        <v>8103</v>
      </c>
      <c r="U1286" s="705">
        <v>3001</v>
      </c>
      <c r="V1286" s="705">
        <v>102568</v>
      </c>
      <c r="W1286" s="705">
        <f t="shared" si="60"/>
        <v>102568</v>
      </c>
      <c r="X1286" s="705">
        <f t="shared" si="61"/>
        <v>221195</v>
      </c>
    </row>
    <row r="1287" spans="2:24">
      <c r="B1287" t="s">
        <v>543</v>
      </c>
      <c r="C1287" t="s">
        <v>124</v>
      </c>
      <c r="D1287" t="s">
        <v>228</v>
      </c>
      <c r="E1287" t="s">
        <v>665</v>
      </c>
      <c r="F1287" s="705">
        <v>2</v>
      </c>
      <c r="G1287" s="705">
        <v>147</v>
      </c>
      <c r="H1287" s="705">
        <v>1583</v>
      </c>
      <c r="I1287" s="705">
        <v>78983</v>
      </c>
      <c r="J1287" s="705">
        <v>29253</v>
      </c>
      <c r="K1287" s="705">
        <v>100</v>
      </c>
      <c r="L1287" s="705">
        <v>11918</v>
      </c>
      <c r="M1287" s="705">
        <v>10834</v>
      </c>
      <c r="N1287" s="705">
        <v>3592</v>
      </c>
      <c r="O1287" s="705">
        <v>1330</v>
      </c>
      <c r="P1287" s="705">
        <v>0</v>
      </c>
      <c r="Q1287" s="705">
        <v>0</v>
      </c>
      <c r="R1287" s="705">
        <v>12542</v>
      </c>
      <c r="S1287" s="705">
        <v>11402</v>
      </c>
      <c r="T1287" s="705">
        <v>8615</v>
      </c>
      <c r="U1287" s="705">
        <v>3191</v>
      </c>
      <c r="V1287" s="705">
        <v>56011</v>
      </c>
      <c r="W1287" s="705">
        <f t="shared" si="60"/>
        <v>56010</v>
      </c>
      <c r="X1287" s="705">
        <f t="shared" si="61"/>
        <v>115650</v>
      </c>
    </row>
    <row r="1288" spans="2:24">
      <c r="B1288" t="s">
        <v>543</v>
      </c>
      <c r="C1288" t="s">
        <v>124</v>
      </c>
      <c r="D1288" t="s">
        <v>583</v>
      </c>
      <c r="E1288" t="s">
        <v>583</v>
      </c>
      <c r="F1288" s="705">
        <v>93</v>
      </c>
      <c r="G1288" s="705">
        <v>8053</v>
      </c>
      <c r="H1288" s="705">
        <v>50289</v>
      </c>
      <c r="I1288" s="705">
        <v>2924060</v>
      </c>
      <c r="J1288" s="705">
        <v>2658236</v>
      </c>
      <c r="K1288" s="705">
        <v>71</v>
      </c>
      <c r="L1288" s="705">
        <v>625536</v>
      </c>
      <c r="M1288" s="705">
        <v>552323</v>
      </c>
      <c r="N1288" s="705">
        <v>173012</v>
      </c>
      <c r="O1288" s="705">
        <v>64079</v>
      </c>
      <c r="P1288" s="705">
        <v>58806</v>
      </c>
      <c r="Q1288" s="705">
        <v>21780</v>
      </c>
      <c r="R1288" s="705">
        <v>450848</v>
      </c>
      <c r="S1288" s="705">
        <v>409862</v>
      </c>
      <c r="T1288" s="705">
        <v>144005</v>
      </c>
      <c r="U1288" s="705">
        <v>53335</v>
      </c>
      <c r="V1288" s="705">
        <v>3759615</v>
      </c>
      <c r="W1288" s="705">
        <f t="shared" si="60"/>
        <v>3759615</v>
      </c>
      <c r="X1288" s="705">
        <f t="shared" si="61"/>
        <v>4376267</v>
      </c>
    </row>
    <row r="1289" spans="2:24">
      <c r="B1289" t="s">
        <v>543</v>
      </c>
      <c r="C1289" t="s">
        <v>124</v>
      </c>
      <c r="D1289" t="s">
        <v>583</v>
      </c>
      <c r="E1289" t="s">
        <v>665</v>
      </c>
      <c r="F1289" s="705">
        <v>1</v>
      </c>
      <c r="G1289" s="705">
        <v>92</v>
      </c>
      <c r="H1289" s="705">
        <v>464</v>
      </c>
      <c r="I1289" s="705">
        <v>23987</v>
      </c>
      <c r="J1289" s="705">
        <v>21807</v>
      </c>
      <c r="K1289" s="705">
        <v>85</v>
      </c>
      <c r="L1289" s="705">
        <v>5279</v>
      </c>
      <c r="M1289" s="705">
        <v>1955</v>
      </c>
      <c r="N1289" s="705">
        <v>2231</v>
      </c>
      <c r="O1289" s="705">
        <v>826</v>
      </c>
      <c r="P1289" s="705">
        <v>621</v>
      </c>
      <c r="Q1289" s="705">
        <v>230</v>
      </c>
      <c r="R1289" s="705">
        <v>5771</v>
      </c>
      <c r="S1289" s="705">
        <v>5246</v>
      </c>
      <c r="T1289" s="705">
        <v>4547</v>
      </c>
      <c r="U1289" s="705">
        <v>1684</v>
      </c>
      <c r="V1289" s="705">
        <v>31748</v>
      </c>
      <c r="W1289" s="705">
        <f t="shared" si="60"/>
        <v>31748</v>
      </c>
      <c r="X1289" s="705">
        <f t="shared" si="61"/>
        <v>42436</v>
      </c>
    </row>
    <row r="1290" spans="2:24">
      <c r="B1290" t="s">
        <v>543</v>
      </c>
      <c r="C1290" t="s">
        <v>124</v>
      </c>
      <c r="D1290" t="s">
        <v>666</v>
      </c>
      <c r="E1290" t="s">
        <v>666</v>
      </c>
      <c r="F1290" s="705">
        <v>9</v>
      </c>
      <c r="G1290" s="705">
        <v>675</v>
      </c>
      <c r="H1290" s="705">
        <v>5255</v>
      </c>
      <c r="I1290" s="705">
        <v>276254</v>
      </c>
      <c r="J1290" s="705">
        <v>251140</v>
      </c>
      <c r="K1290" s="705">
        <v>52</v>
      </c>
      <c r="L1290" s="705">
        <v>24315</v>
      </c>
      <c r="M1290" s="705">
        <v>19663</v>
      </c>
      <c r="N1290" s="705">
        <v>13330</v>
      </c>
      <c r="O1290" s="705">
        <v>4937</v>
      </c>
      <c r="P1290" s="705">
        <v>2457</v>
      </c>
      <c r="Q1290" s="705">
        <v>910</v>
      </c>
      <c r="R1290" s="705">
        <v>62613</v>
      </c>
      <c r="S1290" s="705">
        <v>56921</v>
      </c>
      <c r="T1290" s="705">
        <v>17440</v>
      </c>
      <c r="U1290" s="705">
        <v>6459</v>
      </c>
      <c r="V1290" s="705">
        <v>340030</v>
      </c>
      <c r="W1290" s="705">
        <f t="shared" si="60"/>
        <v>340030</v>
      </c>
      <c r="X1290" s="705">
        <f t="shared" si="61"/>
        <v>396409</v>
      </c>
    </row>
    <row r="1291" spans="2:24">
      <c r="B1291" t="s">
        <v>543</v>
      </c>
      <c r="C1291" t="s">
        <v>124</v>
      </c>
      <c r="D1291" t="s">
        <v>584</v>
      </c>
      <c r="E1291" t="s">
        <v>584</v>
      </c>
      <c r="F1291" s="705">
        <v>23</v>
      </c>
      <c r="G1291" s="705">
        <v>1852</v>
      </c>
      <c r="H1291" s="705">
        <v>11421</v>
      </c>
      <c r="I1291" s="705">
        <v>617437</v>
      </c>
      <c r="J1291" s="705">
        <v>561306</v>
      </c>
      <c r="K1291" s="705">
        <v>76</v>
      </c>
      <c r="L1291" s="705">
        <v>147688</v>
      </c>
      <c r="M1291" s="705">
        <v>128568</v>
      </c>
      <c r="N1291" s="705">
        <v>41233</v>
      </c>
      <c r="O1291" s="705">
        <v>15272</v>
      </c>
      <c r="P1291" s="705">
        <v>11016</v>
      </c>
      <c r="Q1291" s="705">
        <v>4080</v>
      </c>
      <c r="R1291" s="705">
        <v>106748</v>
      </c>
      <c r="S1291" s="705">
        <v>97044</v>
      </c>
      <c r="T1291" s="705">
        <v>36947</v>
      </c>
      <c r="U1291" s="705">
        <v>13684</v>
      </c>
      <c r="V1291" s="705">
        <v>819954</v>
      </c>
      <c r="W1291" s="705">
        <f t="shared" si="60"/>
        <v>819954</v>
      </c>
      <c r="X1291" s="705">
        <f t="shared" si="61"/>
        <v>961069</v>
      </c>
    </row>
    <row r="1292" spans="2:24">
      <c r="B1292" t="s">
        <v>543</v>
      </c>
      <c r="C1292" t="s">
        <v>124</v>
      </c>
      <c r="D1292" t="s">
        <v>669</v>
      </c>
      <c r="E1292" t="s">
        <v>228</v>
      </c>
      <c r="F1292" s="705">
        <v>2</v>
      </c>
      <c r="G1292" s="705">
        <v>134</v>
      </c>
      <c r="H1292" s="705">
        <v>2665</v>
      </c>
      <c r="I1292" s="705">
        <v>149220</v>
      </c>
      <c r="J1292" s="705">
        <v>124350</v>
      </c>
      <c r="K1292" s="705">
        <v>30</v>
      </c>
      <c r="L1292" s="705">
        <v>11191</v>
      </c>
      <c r="M1292" s="705">
        <v>4145</v>
      </c>
      <c r="N1292" s="705">
        <v>2946</v>
      </c>
      <c r="O1292" s="705">
        <v>1091</v>
      </c>
      <c r="P1292" s="705">
        <v>0</v>
      </c>
      <c r="Q1292" s="705">
        <v>0</v>
      </c>
      <c r="R1292" s="705">
        <v>8981</v>
      </c>
      <c r="S1292" s="705">
        <v>3326</v>
      </c>
      <c r="T1292" s="705">
        <v>0</v>
      </c>
      <c r="U1292" s="705">
        <v>0</v>
      </c>
      <c r="V1292" s="705">
        <v>132913</v>
      </c>
      <c r="W1292" s="705">
        <f t="shared" si="60"/>
        <v>132912</v>
      </c>
      <c r="X1292" s="705">
        <f t="shared" si="61"/>
        <v>172338</v>
      </c>
    </row>
    <row r="1293" spans="2:24">
      <c r="B1293" t="s">
        <v>543</v>
      </c>
      <c r="C1293" t="s">
        <v>124</v>
      </c>
      <c r="D1293" t="s">
        <v>669</v>
      </c>
      <c r="E1293" t="s">
        <v>669</v>
      </c>
      <c r="F1293" s="705">
        <v>19</v>
      </c>
      <c r="G1293" s="705">
        <v>1480</v>
      </c>
      <c r="H1293" s="705">
        <v>11738</v>
      </c>
      <c r="I1293" s="705">
        <v>645469</v>
      </c>
      <c r="J1293" s="705">
        <v>537891</v>
      </c>
      <c r="K1293" s="705">
        <v>52</v>
      </c>
      <c r="L1293" s="705">
        <v>87115</v>
      </c>
      <c r="M1293" s="705">
        <v>69166</v>
      </c>
      <c r="N1293" s="705">
        <v>31872</v>
      </c>
      <c r="O1293" s="705">
        <v>11804</v>
      </c>
      <c r="P1293" s="705">
        <v>5616</v>
      </c>
      <c r="Q1293" s="705">
        <v>2080</v>
      </c>
      <c r="R1293" s="705">
        <v>113259</v>
      </c>
      <c r="S1293" s="705">
        <v>94382</v>
      </c>
      <c r="T1293" s="705">
        <v>44110</v>
      </c>
      <c r="U1293" s="705">
        <v>16337</v>
      </c>
      <c r="V1293" s="705">
        <v>731661</v>
      </c>
      <c r="W1293" s="705">
        <f t="shared" si="60"/>
        <v>731660</v>
      </c>
      <c r="X1293" s="705">
        <f t="shared" si="61"/>
        <v>927441</v>
      </c>
    </row>
    <row r="1294" spans="2:24">
      <c r="B1294" t="s">
        <v>543</v>
      </c>
      <c r="C1294" t="s">
        <v>124</v>
      </c>
      <c r="D1294" t="s">
        <v>667</v>
      </c>
      <c r="E1294" t="s">
        <v>667</v>
      </c>
      <c r="F1294" s="705">
        <v>1</v>
      </c>
      <c r="G1294" s="705">
        <v>74</v>
      </c>
      <c r="H1294" s="705">
        <v>573</v>
      </c>
      <c r="I1294" s="705">
        <v>30589</v>
      </c>
      <c r="J1294" s="705">
        <v>27808</v>
      </c>
      <c r="K1294" s="705">
        <v>65</v>
      </c>
      <c r="L1294" s="705">
        <v>3682</v>
      </c>
      <c r="M1294" s="705">
        <v>3347</v>
      </c>
      <c r="N1294" s="705">
        <v>1498</v>
      </c>
      <c r="O1294" s="705">
        <v>555</v>
      </c>
      <c r="P1294" s="705">
        <v>351</v>
      </c>
      <c r="Q1294" s="705">
        <v>130</v>
      </c>
      <c r="R1294" s="705">
        <v>4029</v>
      </c>
      <c r="S1294" s="705">
        <v>3663</v>
      </c>
      <c r="T1294" s="705">
        <v>2079</v>
      </c>
      <c r="U1294" s="705">
        <v>770</v>
      </c>
      <c r="V1294" s="705">
        <v>36273</v>
      </c>
      <c r="W1294" s="705">
        <f t="shared" si="60"/>
        <v>36273</v>
      </c>
      <c r="X1294" s="705">
        <f t="shared" si="61"/>
        <v>42228</v>
      </c>
    </row>
    <row r="1295" spans="2:24">
      <c r="B1295" t="s">
        <v>543</v>
      </c>
      <c r="C1295" t="s">
        <v>124</v>
      </c>
      <c r="D1295" t="s">
        <v>665</v>
      </c>
      <c r="E1295" t="s">
        <v>228</v>
      </c>
      <c r="F1295" s="705">
        <v>19</v>
      </c>
      <c r="G1295" s="705">
        <v>1411</v>
      </c>
      <c r="H1295" s="705">
        <v>20876</v>
      </c>
      <c r="I1295" s="705">
        <v>1112470</v>
      </c>
      <c r="J1295" s="705">
        <v>1011336</v>
      </c>
      <c r="K1295" s="705">
        <v>36</v>
      </c>
      <c r="L1295" s="705">
        <v>125019</v>
      </c>
      <c r="M1295" s="705">
        <v>68245</v>
      </c>
      <c r="N1295" s="705">
        <v>32787</v>
      </c>
      <c r="O1295" s="705">
        <v>12143</v>
      </c>
      <c r="P1295" s="705">
        <v>0</v>
      </c>
      <c r="Q1295" s="705">
        <v>0</v>
      </c>
      <c r="R1295" s="705">
        <v>174323</v>
      </c>
      <c r="S1295" s="705">
        <v>64564</v>
      </c>
      <c r="T1295" s="705">
        <v>0</v>
      </c>
      <c r="U1295" s="705">
        <v>0</v>
      </c>
      <c r="V1295" s="705">
        <v>1156289</v>
      </c>
      <c r="W1295" s="705">
        <f t="shared" si="60"/>
        <v>1156288</v>
      </c>
      <c r="X1295" s="705">
        <f t="shared" si="61"/>
        <v>1444599</v>
      </c>
    </row>
    <row r="1296" spans="2:24">
      <c r="B1296" t="s">
        <v>543</v>
      </c>
      <c r="C1296" t="s">
        <v>124</v>
      </c>
      <c r="D1296" t="s">
        <v>665</v>
      </c>
      <c r="E1296" t="s">
        <v>665</v>
      </c>
      <c r="F1296" s="705">
        <v>80</v>
      </c>
      <c r="G1296" s="705">
        <v>5693</v>
      </c>
      <c r="H1296" s="705">
        <v>48262</v>
      </c>
      <c r="I1296" s="705">
        <v>2387418</v>
      </c>
      <c r="J1296" s="705">
        <v>2170380</v>
      </c>
      <c r="K1296" s="705">
        <v>53</v>
      </c>
      <c r="L1296" s="705">
        <v>301075</v>
      </c>
      <c r="M1296" s="705">
        <v>242091</v>
      </c>
      <c r="N1296" s="705">
        <v>116101</v>
      </c>
      <c r="O1296" s="705">
        <v>43000</v>
      </c>
      <c r="P1296" s="705">
        <v>26865</v>
      </c>
      <c r="Q1296" s="705">
        <v>9950</v>
      </c>
      <c r="R1296" s="705">
        <v>468198</v>
      </c>
      <c r="S1296" s="705">
        <v>425635</v>
      </c>
      <c r="T1296" s="705">
        <v>155690</v>
      </c>
      <c r="U1296" s="705">
        <v>57663</v>
      </c>
      <c r="V1296" s="705">
        <v>2948719</v>
      </c>
      <c r="W1296" s="705">
        <f t="shared" si="60"/>
        <v>2948719</v>
      </c>
      <c r="X1296" s="705">
        <f t="shared" si="61"/>
        <v>3455347</v>
      </c>
    </row>
    <row r="1297" spans="2:24">
      <c r="B1297" t="s">
        <v>544</v>
      </c>
      <c r="C1297" t="s">
        <v>108</v>
      </c>
      <c r="D1297" t="s">
        <v>582</v>
      </c>
      <c r="E1297" t="s">
        <v>582</v>
      </c>
      <c r="F1297" s="705">
        <v>2</v>
      </c>
      <c r="G1297" s="705">
        <v>239</v>
      </c>
      <c r="H1297" s="705">
        <v>126</v>
      </c>
      <c r="I1297" s="705">
        <v>-5252</v>
      </c>
      <c r="J1297" s="705">
        <v>-4775</v>
      </c>
      <c r="K1297" s="705">
        <v>92</v>
      </c>
      <c r="L1297" s="705">
        <v>0</v>
      </c>
      <c r="M1297" s="705">
        <v>0</v>
      </c>
      <c r="N1297" s="705">
        <v>2911</v>
      </c>
      <c r="O1297" s="705">
        <v>1078</v>
      </c>
      <c r="P1297" s="705">
        <v>2994</v>
      </c>
      <c r="Q1297" s="705">
        <v>1109</v>
      </c>
      <c r="R1297" s="705">
        <v>14449</v>
      </c>
      <c r="S1297" s="705">
        <v>13135</v>
      </c>
      <c r="T1297" s="705">
        <v>0</v>
      </c>
      <c r="U1297" s="705">
        <v>0</v>
      </c>
      <c r="V1297" s="705">
        <v>10548</v>
      </c>
      <c r="W1297" s="705">
        <f t="shared" si="60"/>
        <v>20097</v>
      </c>
      <c r="X1297" s="705">
        <f t="shared" si="61"/>
        <v>25606</v>
      </c>
    </row>
    <row r="1298" spans="2:24">
      <c r="B1298" t="s">
        <v>544</v>
      </c>
      <c r="C1298" t="s">
        <v>108</v>
      </c>
      <c r="D1298" t="s">
        <v>228</v>
      </c>
      <c r="E1298" t="s">
        <v>228</v>
      </c>
      <c r="F1298" s="705">
        <v>13</v>
      </c>
      <c r="G1298" s="705">
        <v>1429</v>
      </c>
      <c r="H1298" s="705">
        <v>696</v>
      </c>
      <c r="I1298" s="705">
        <v>3316</v>
      </c>
      <c r="J1298" s="705">
        <v>1228</v>
      </c>
      <c r="K1298" s="705">
        <v>434</v>
      </c>
      <c r="L1298" s="705">
        <v>-272</v>
      </c>
      <c r="M1298" s="705">
        <v>-252</v>
      </c>
      <c r="N1298" s="705">
        <v>19696</v>
      </c>
      <c r="O1298" s="705">
        <v>7295</v>
      </c>
      <c r="P1298" s="705">
        <v>9267</v>
      </c>
      <c r="Q1298" s="705">
        <v>3432</v>
      </c>
      <c r="R1298" s="705">
        <v>43692</v>
      </c>
      <c r="S1298" s="705">
        <v>16182</v>
      </c>
      <c r="T1298" s="705">
        <v>0</v>
      </c>
      <c r="U1298" s="705">
        <v>0</v>
      </c>
      <c r="V1298" s="705">
        <v>27886</v>
      </c>
      <c r="W1298" s="705">
        <f t="shared" si="60"/>
        <v>28389</v>
      </c>
      <c r="X1298" s="705">
        <f t="shared" si="61"/>
        <v>76243</v>
      </c>
    </row>
    <row r="1299" spans="2:24">
      <c r="B1299" t="s">
        <v>544</v>
      </c>
      <c r="C1299" t="s">
        <v>108</v>
      </c>
      <c r="D1299" t="s">
        <v>583</v>
      </c>
      <c r="E1299" t="s">
        <v>583</v>
      </c>
      <c r="F1299" s="705">
        <v>4</v>
      </c>
      <c r="G1299" s="705">
        <v>409</v>
      </c>
      <c r="H1299" s="705">
        <v>236</v>
      </c>
      <c r="I1299" s="705">
        <v>2600</v>
      </c>
      <c r="J1299" s="705">
        <v>2364</v>
      </c>
      <c r="K1299" s="705">
        <v>93</v>
      </c>
      <c r="L1299" s="705">
        <v>377</v>
      </c>
      <c r="M1299" s="705">
        <v>344</v>
      </c>
      <c r="N1299" s="705">
        <v>4984</v>
      </c>
      <c r="O1299" s="705">
        <v>1846</v>
      </c>
      <c r="P1299" s="705">
        <v>3186</v>
      </c>
      <c r="Q1299" s="705">
        <v>1180</v>
      </c>
      <c r="R1299" s="705">
        <v>12940</v>
      </c>
      <c r="S1299" s="705">
        <v>11764</v>
      </c>
      <c r="T1299" s="705">
        <v>0</v>
      </c>
      <c r="U1299" s="705">
        <v>0</v>
      </c>
      <c r="V1299" s="705">
        <v>17498</v>
      </c>
      <c r="W1299" s="705">
        <f t="shared" si="60"/>
        <v>17498</v>
      </c>
      <c r="X1299" s="705">
        <f t="shared" si="61"/>
        <v>24087</v>
      </c>
    </row>
    <row r="1300" spans="2:24">
      <c r="B1300" t="s">
        <v>544</v>
      </c>
      <c r="C1300" t="s">
        <v>108</v>
      </c>
      <c r="D1300" t="s">
        <v>584</v>
      </c>
      <c r="E1300" t="s">
        <v>228</v>
      </c>
      <c r="F1300" s="705">
        <v>2</v>
      </c>
      <c r="G1300" s="705">
        <v>207</v>
      </c>
      <c r="H1300" s="705">
        <v>113</v>
      </c>
      <c r="I1300" s="705">
        <v>2277</v>
      </c>
      <c r="J1300" s="705">
        <v>2070</v>
      </c>
      <c r="K1300" s="705">
        <v>91</v>
      </c>
      <c r="L1300" s="705">
        <v>293</v>
      </c>
      <c r="M1300" s="705">
        <v>267</v>
      </c>
      <c r="N1300" s="705">
        <v>2520</v>
      </c>
      <c r="O1300" s="705">
        <v>933</v>
      </c>
      <c r="P1300" s="705">
        <v>945</v>
      </c>
      <c r="Q1300" s="705">
        <v>350</v>
      </c>
      <c r="R1300" s="705">
        <v>5626</v>
      </c>
      <c r="S1300" s="705">
        <v>2084</v>
      </c>
      <c r="T1300" s="705">
        <v>0</v>
      </c>
      <c r="U1300" s="705">
        <v>0</v>
      </c>
      <c r="V1300" s="705">
        <v>5704</v>
      </c>
      <c r="W1300" s="705">
        <f t="shared" si="60"/>
        <v>5704</v>
      </c>
      <c r="X1300" s="705">
        <f t="shared" si="61"/>
        <v>11661</v>
      </c>
    </row>
    <row r="1301" spans="2:24">
      <c r="B1301" t="s">
        <v>544</v>
      </c>
      <c r="C1301" t="s">
        <v>108</v>
      </c>
      <c r="D1301" t="s">
        <v>584</v>
      </c>
      <c r="E1301" t="s">
        <v>584</v>
      </c>
      <c r="F1301" s="705">
        <v>59</v>
      </c>
      <c r="G1301" s="705">
        <v>7056</v>
      </c>
      <c r="H1301" s="705">
        <v>3634</v>
      </c>
      <c r="I1301" s="705">
        <v>157817</v>
      </c>
      <c r="J1301" s="705">
        <v>143470</v>
      </c>
      <c r="K1301" s="705">
        <v>91</v>
      </c>
      <c r="L1301" s="705">
        <v>22995</v>
      </c>
      <c r="M1301" s="705">
        <v>18332</v>
      </c>
      <c r="N1301" s="705">
        <v>85968</v>
      </c>
      <c r="O1301" s="705">
        <v>31840</v>
      </c>
      <c r="P1301" s="705">
        <v>29282</v>
      </c>
      <c r="Q1301" s="705">
        <v>10845</v>
      </c>
      <c r="R1301" s="705">
        <v>137092</v>
      </c>
      <c r="S1301" s="705">
        <v>124629</v>
      </c>
      <c r="T1301" s="705">
        <v>0</v>
      </c>
      <c r="U1301" s="705">
        <v>0</v>
      </c>
      <c r="V1301" s="705">
        <v>329116</v>
      </c>
      <c r="W1301" s="705">
        <f t="shared" si="60"/>
        <v>329116</v>
      </c>
      <c r="X1301" s="705">
        <f t="shared" si="61"/>
        <v>433154</v>
      </c>
    </row>
    <row r="1302" spans="2:24">
      <c r="B1302" t="s">
        <v>544</v>
      </c>
      <c r="C1302" t="s">
        <v>110</v>
      </c>
      <c r="D1302" t="s">
        <v>228</v>
      </c>
      <c r="E1302" t="s">
        <v>228</v>
      </c>
      <c r="F1302" s="705">
        <v>7</v>
      </c>
      <c r="G1302" s="705">
        <v>576</v>
      </c>
      <c r="H1302" s="705">
        <v>610</v>
      </c>
      <c r="I1302" s="705">
        <v>4098</v>
      </c>
      <c r="J1302" s="705">
        <v>1518</v>
      </c>
      <c r="K1302" s="705">
        <v>449</v>
      </c>
      <c r="L1302" s="705">
        <v>2418</v>
      </c>
      <c r="M1302" s="705">
        <v>2012</v>
      </c>
      <c r="N1302" s="705">
        <v>8616</v>
      </c>
      <c r="O1302" s="705">
        <v>3191</v>
      </c>
      <c r="P1302" s="705">
        <v>3861</v>
      </c>
      <c r="Q1302" s="705">
        <v>1430</v>
      </c>
      <c r="R1302" s="705">
        <v>31222</v>
      </c>
      <c r="S1302" s="705">
        <v>11564</v>
      </c>
      <c r="T1302" s="705">
        <v>0</v>
      </c>
      <c r="U1302" s="705">
        <v>0</v>
      </c>
      <c r="V1302" s="705">
        <v>19715</v>
      </c>
      <c r="W1302" s="705">
        <f t="shared" si="60"/>
        <v>19715</v>
      </c>
      <c r="X1302" s="705">
        <f t="shared" si="61"/>
        <v>50215</v>
      </c>
    </row>
    <row r="1303" spans="2:24">
      <c r="B1303" t="s">
        <v>544</v>
      </c>
      <c r="C1303" t="s">
        <v>110</v>
      </c>
      <c r="D1303" t="s">
        <v>583</v>
      </c>
      <c r="E1303" t="s">
        <v>228</v>
      </c>
      <c r="F1303" s="705">
        <v>1</v>
      </c>
      <c r="G1303" s="705">
        <v>221</v>
      </c>
      <c r="H1303" s="705">
        <v>96</v>
      </c>
      <c r="I1303" s="705">
        <v>9117</v>
      </c>
      <c r="J1303" s="705">
        <v>8288</v>
      </c>
      <c r="K1303" s="705">
        <v>95</v>
      </c>
      <c r="L1303" s="705">
        <v>1547</v>
      </c>
      <c r="M1303" s="705">
        <v>1289</v>
      </c>
      <c r="N1303" s="705">
        <v>2697</v>
      </c>
      <c r="O1303" s="705">
        <v>999</v>
      </c>
      <c r="P1303" s="705">
        <v>621</v>
      </c>
      <c r="Q1303" s="705">
        <v>230</v>
      </c>
      <c r="R1303" s="705">
        <v>7374</v>
      </c>
      <c r="S1303" s="705">
        <v>2731</v>
      </c>
      <c r="T1303" s="705">
        <v>0</v>
      </c>
      <c r="U1303" s="705">
        <v>0</v>
      </c>
      <c r="V1303" s="705">
        <v>13538</v>
      </c>
      <c r="W1303" s="705">
        <f t="shared" si="60"/>
        <v>13537</v>
      </c>
      <c r="X1303" s="705">
        <f t="shared" si="61"/>
        <v>21356</v>
      </c>
    </row>
    <row r="1304" spans="2:24">
      <c r="B1304" t="s">
        <v>544</v>
      </c>
      <c r="C1304" t="s">
        <v>110</v>
      </c>
      <c r="D1304" t="s">
        <v>583</v>
      </c>
      <c r="E1304" t="s">
        <v>583</v>
      </c>
      <c r="F1304" s="705">
        <v>2</v>
      </c>
      <c r="G1304" s="705">
        <v>176</v>
      </c>
      <c r="H1304" s="705">
        <v>191</v>
      </c>
      <c r="I1304" s="705">
        <v>7269</v>
      </c>
      <c r="J1304" s="705">
        <v>6609</v>
      </c>
      <c r="K1304" s="705">
        <v>92</v>
      </c>
      <c r="L1304" s="705">
        <v>1179</v>
      </c>
      <c r="M1304" s="705">
        <v>1072</v>
      </c>
      <c r="N1304" s="705">
        <v>2149</v>
      </c>
      <c r="O1304" s="705">
        <v>796</v>
      </c>
      <c r="P1304" s="705">
        <v>1242</v>
      </c>
      <c r="Q1304" s="705">
        <v>460</v>
      </c>
      <c r="R1304" s="705">
        <v>5027</v>
      </c>
      <c r="S1304" s="705">
        <v>4570</v>
      </c>
      <c r="T1304" s="705">
        <v>0</v>
      </c>
      <c r="U1304" s="705">
        <v>0</v>
      </c>
      <c r="V1304" s="705">
        <v>13507</v>
      </c>
      <c r="W1304" s="705">
        <f t="shared" si="60"/>
        <v>13507</v>
      </c>
      <c r="X1304" s="705">
        <f t="shared" si="61"/>
        <v>16866</v>
      </c>
    </row>
    <row r="1305" spans="2:24">
      <c r="B1305" t="s">
        <v>544</v>
      </c>
      <c r="C1305" t="s">
        <v>110</v>
      </c>
      <c r="D1305" t="s">
        <v>584</v>
      </c>
      <c r="E1305" t="s">
        <v>584</v>
      </c>
      <c r="F1305" s="705">
        <v>73</v>
      </c>
      <c r="G1305" s="705">
        <v>8049</v>
      </c>
      <c r="H1305" s="705">
        <v>6384</v>
      </c>
      <c r="I1305" s="705">
        <v>345458</v>
      </c>
      <c r="J1305" s="705">
        <v>314053</v>
      </c>
      <c r="K1305" s="705">
        <v>91</v>
      </c>
      <c r="L1305" s="705">
        <v>42264</v>
      </c>
      <c r="M1305" s="705">
        <v>38006</v>
      </c>
      <c r="N1305" s="705">
        <v>98069</v>
      </c>
      <c r="O1305" s="705">
        <v>36322</v>
      </c>
      <c r="P1305" s="705">
        <v>34358</v>
      </c>
      <c r="Q1305" s="705">
        <v>12725</v>
      </c>
      <c r="R1305" s="705">
        <v>180668</v>
      </c>
      <c r="S1305" s="705">
        <v>164244</v>
      </c>
      <c r="T1305" s="705">
        <v>0</v>
      </c>
      <c r="U1305" s="705">
        <v>0</v>
      </c>
      <c r="V1305" s="705">
        <v>565350</v>
      </c>
      <c r="W1305" s="705">
        <f t="shared" si="60"/>
        <v>565350</v>
      </c>
      <c r="X1305" s="705">
        <f t="shared" si="61"/>
        <v>700817</v>
      </c>
    </row>
    <row r="1306" spans="2:24">
      <c r="B1306" t="s">
        <v>544</v>
      </c>
      <c r="C1306" t="s">
        <v>112</v>
      </c>
      <c r="F1306" s="705">
        <v>6</v>
      </c>
      <c r="G1306" s="705">
        <v>222</v>
      </c>
      <c r="H1306" s="705">
        <v>731</v>
      </c>
      <c r="I1306" s="705"/>
      <c r="J1306" s="705">
        <v>0</v>
      </c>
      <c r="K1306" s="705"/>
      <c r="L1306" s="705"/>
      <c r="M1306" s="705">
        <v>0</v>
      </c>
      <c r="N1306" s="705">
        <v>2702</v>
      </c>
      <c r="O1306" s="705">
        <v>1001</v>
      </c>
      <c r="P1306" s="705">
        <v>0</v>
      </c>
      <c r="Q1306" s="705">
        <v>0</v>
      </c>
      <c r="R1306" s="705"/>
      <c r="S1306" s="705">
        <v>0</v>
      </c>
      <c r="T1306" s="705">
        <v>0</v>
      </c>
      <c r="U1306" s="705">
        <v>0</v>
      </c>
      <c r="V1306" s="705">
        <v>1001</v>
      </c>
      <c r="W1306" s="705">
        <f t="shared" si="60"/>
        <v>1001</v>
      </c>
      <c r="X1306" s="705">
        <f t="shared" si="61"/>
        <v>2702</v>
      </c>
    </row>
    <row r="1307" spans="2:24">
      <c r="B1307" t="s">
        <v>544</v>
      </c>
      <c r="C1307" t="s">
        <v>112</v>
      </c>
      <c r="D1307" t="s">
        <v>582</v>
      </c>
      <c r="E1307" t="s">
        <v>582</v>
      </c>
      <c r="F1307" s="705">
        <v>4</v>
      </c>
      <c r="G1307" s="705">
        <v>385</v>
      </c>
      <c r="H1307" s="705">
        <v>440</v>
      </c>
      <c r="I1307" s="705">
        <v>16679</v>
      </c>
      <c r="J1307" s="705">
        <v>15163</v>
      </c>
      <c r="K1307" s="705">
        <v>92</v>
      </c>
      <c r="L1307" s="705">
        <v>4185</v>
      </c>
      <c r="M1307" s="705">
        <v>1550</v>
      </c>
      <c r="N1307" s="705">
        <v>4686</v>
      </c>
      <c r="O1307" s="705">
        <v>1736</v>
      </c>
      <c r="P1307" s="705">
        <v>4698</v>
      </c>
      <c r="Q1307" s="705">
        <v>1740</v>
      </c>
      <c r="R1307" s="705">
        <v>12096</v>
      </c>
      <c r="S1307" s="705">
        <v>10996</v>
      </c>
      <c r="T1307" s="705">
        <v>0</v>
      </c>
      <c r="U1307" s="705">
        <v>0</v>
      </c>
      <c r="V1307" s="705">
        <v>31185</v>
      </c>
      <c r="W1307" s="705">
        <f t="shared" si="60"/>
        <v>31185</v>
      </c>
      <c r="X1307" s="705">
        <f t="shared" si="61"/>
        <v>42344</v>
      </c>
    </row>
    <row r="1308" spans="2:24">
      <c r="B1308" t="s">
        <v>544</v>
      </c>
      <c r="C1308" t="s">
        <v>112</v>
      </c>
      <c r="D1308" t="s">
        <v>228</v>
      </c>
      <c r="E1308" t="s">
        <v>228</v>
      </c>
      <c r="F1308" s="705">
        <v>2</v>
      </c>
      <c r="G1308" s="705">
        <v>159</v>
      </c>
      <c r="H1308" s="705">
        <v>227</v>
      </c>
      <c r="I1308" s="705">
        <v>3475</v>
      </c>
      <c r="J1308" s="705">
        <v>1287</v>
      </c>
      <c r="K1308" s="705">
        <v>366</v>
      </c>
      <c r="L1308" s="705">
        <v>770</v>
      </c>
      <c r="M1308" s="705">
        <v>642</v>
      </c>
      <c r="N1308" s="705">
        <v>3462</v>
      </c>
      <c r="O1308" s="705">
        <v>1282</v>
      </c>
      <c r="P1308" s="705">
        <v>2106</v>
      </c>
      <c r="Q1308" s="705">
        <v>780</v>
      </c>
      <c r="R1308" s="705">
        <v>8234</v>
      </c>
      <c r="S1308" s="705">
        <v>3050</v>
      </c>
      <c r="T1308" s="705">
        <v>0</v>
      </c>
      <c r="U1308" s="705">
        <v>0</v>
      </c>
      <c r="V1308" s="705">
        <v>7041</v>
      </c>
      <c r="W1308" s="705">
        <f t="shared" si="60"/>
        <v>7041</v>
      </c>
      <c r="X1308" s="705">
        <f t="shared" si="61"/>
        <v>18047</v>
      </c>
    </row>
    <row r="1309" spans="2:24">
      <c r="B1309" t="s">
        <v>544</v>
      </c>
      <c r="C1309" t="s">
        <v>112</v>
      </c>
      <c r="D1309" t="s">
        <v>583</v>
      </c>
      <c r="E1309" t="s">
        <v>583</v>
      </c>
      <c r="F1309" s="705">
        <v>22</v>
      </c>
      <c r="G1309" s="705">
        <v>2888</v>
      </c>
      <c r="H1309" s="705">
        <v>2630</v>
      </c>
      <c r="I1309" s="705">
        <v>188777</v>
      </c>
      <c r="J1309" s="705">
        <v>171615</v>
      </c>
      <c r="K1309" s="705">
        <v>91</v>
      </c>
      <c r="L1309" s="705">
        <v>21060</v>
      </c>
      <c r="M1309" s="705">
        <v>19145</v>
      </c>
      <c r="N1309" s="705">
        <v>43648</v>
      </c>
      <c r="O1309" s="705">
        <v>16166</v>
      </c>
      <c r="P1309" s="705">
        <v>13743</v>
      </c>
      <c r="Q1309" s="705">
        <v>5090</v>
      </c>
      <c r="R1309" s="705">
        <v>91238</v>
      </c>
      <c r="S1309" s="705">
        <v>82944</v>
      </c>
      <c r="T1309" s="705">
        <v>3070</v>
      </c>
      <c r="U1309" s="705">
        <v>1137</v>
      </c>
      <c r="V1309" s="705">
        <v>296098</v>
      </c>
      <c r="W1309" s="705">
        <f t="shared" si="60"/>
        <v>296097</v>
      </c>
      <c r="X1309" s="705">
        <f t="shared" si="61"/>
        <v>361536</v>
      </c>
    </row>
    <row r="1310" spans="2:24">
      <c r="B1310" t="s">
        <v>544</v>
      </c>
      <c r="C1310" t="s">
        <v>112</v>
      </c>
      <c r="D1310" t="s">
        <v>584</v>
      </c>
      <c r="E1310" t="s">
        <v>584</v>
      </c>
      <c r="F1310" s="705">
        <v>86</v>
      </c>
      <c r="G1310" s="705">
        <v>11155</v>
      </c>
      <c r="H1310" s="705">
        <v>10169</v>
      </c>
      <c r="I1310" s="705">
        <v>599120</v>
      </c>
      <c r="J1310" s="705">
        <v>544654</v>
      </c>
      <c r="K1310" s="705">
        <v>90</v>
      </c>
      <c r="L1310" s="705">
        <v>104508</v>
      </c>
      <c r="M1310" s="705">
        <v>93464</v>
      </c>
      <c r="N1310" s="705">
        <v>212665</v>
      </c>
      <c r="O1310" s="705">
        <v>78765</v>
      </c>
      <c r="P1310" s="705">
        <v>53908</v>
      </c>
      <c r="Q1310" s="705">
        <v>19966</v>
      </c>
      <c r="R1310" s="705">
        <v>367380</v>
      </c>
      <c r="S1310" s="705">
        <v>333982</v>
      </c>
      <c r="T1310" s="705">
        <v>2612</v>
      </c>
      <c r="U1310" s="705">
        <v>967</v>
      </c>
      <c r="V1310" s="705">
        <v>1071799</v>
      </c>
      <c r="W1310" s="705">
        <f t="shared" si="60"/>
        <v>1071798</v>
      </c>
      <c r="X1310" s="705">
        <f t="shared" si="61"/>
        <v>1340193</v>
      </c>
    </row>
    <row r="1311" spans="2:24">
      <c r="B1311" t="s">
        <v>544</v>
      </c>
      <c r="C1311" t="s">
        <v>114</v>
      </c>
      <c r="F1311" s="705">
        <v>8</v>
      </c>
      <c r="G1311" s="705">
        <v>286</v>
      </c>
      <c r="H1311" s="705">
        <v>1067</v>
      </c>
      <c r="I1311" s="705"/>
      <c r="J1311" s="705">
        <v>0</v>
      </c>
      <c r="K1311" s="705"/>
      <c r="L1311" s="705"/>
      <c r="M1311" s="705">
        <v>0</v>
      </c>
      <c r="N1311" s="705">
        <v>3484</v>
      </c>
      <c r="O1311" s="705">
        <v>1290</v>
      </c>
      <c r="P1311" s="705">
        <v>0</v>
      </c>
      <c r="Q1311" s="705">
        <v>0</v>
      </c>
      <c r="R1311" s="705"/>
      <c r="S1311" s="705">
        <v>0</v>
      </c>
      <c r="T1311" s="705">
        <v>0</v>
      </c>
      <c r="U1311" s="705">
        <v>0</v>
      </c>
      <c r="V1311" s="705">
        <v>1290</v>
      </c>
      <c r="W1311" s="705">
        <f t="shared" si="60"/>
        <v>1290</v>
      </c>
      <c r="X1311" s="705">
        <f t="shared" si="61"/>
        <v>3484</v>
      </c>
    </row>
    <row r="1312" spans="2:24">
      <c r="B1312" t="s">
        <v>544</v>
      </c>
      <c r="C1312" t="s">
        <v>114</v>
      </c>
      <c r="D1312" t="s">
        <v>582</v>
      </c>
      <c r="E1312" t="s">
        <v>582</v>
      </c>
      <c r="F1312" s="705">
        <v>7</v>
      </c>
      <c r="G1312" s="705">
        <v>830</v>
      </c>
      <c r="H1312" s="705">
        <v>1004</v>
      </c>
      <c r="I1312" s="705">
        <v>54081</v>
      </c>
      <c r="J1312" s="705">
        <v>49165</v>
      </c>
      <c r="K1312" s="705">
        <v>91</v>
      </c>
      <c r="L1312" s="705">
        <v>12206</v>
      </c>
      <c r="M1312" s="705">
        <v>10956</v>
      </c>
      <c r="N1312" s="705">
        <v>14572</v>
      </c>
      <c r="O1312" s="705">
        <v>5397</v>
      </c>
      <c r="P1312" s="705">
        <v>3308</v>
      </c>
      <c r="Q1312" s="705">
        <v>1225</v>
      </c>
      <c r="R1312" s="705">
        <v>34541</v>
      </c>
      <c r="S1312" s="705">
        <v>31401</v>
      </c>
      <c r="T1312" s="705">
        <v>0</v>
      </c>
      <c r="U1312" s="705">
        <v>0</v>
      </c>
      <c r="V1312" s="705">
        <v>98144</v>
      </c>
      <c r="W1312" s="705">
        <f t="shared" si="60"/>
        <v>98144</v>
      </c>
      <c r="X1312" s="705">
        <f t="shared" si="61"/>
        <v>118708</v>
      </c>
    </row>
    <row r="1313" spans="2:24">
      <c r="B1313" t="s">
        <v>544</v>
      </c>
      <c r="C1313" t="s">
        <v>114</v>
      </c>
      <c r="D1313" t="s">
        <v>583</v>
      </c>
      <c r="E1313" t="s">
        <v>583</v>
      </c>
      <c r="F1313" s="705">
        <v>134</v>
      </c>
      <c r="G1313" s="705">
        <v>15007</v>
      </c>
      <c r="H1313" s="705">
        <v>18846</v>
      </c>
      <c r="I1313" s="705">
        <v>997511</v>
      </c>
      <c r="J1313" s="705">
        <v>906828</v>
      </c>
      <c r="K1313" s="705">
        <v>90</v>
      </c>
      <c r="L1313" s="705">
        <v>187614</v>
      </c>
      <c r="M1313" s="705">
        <v>167115</v>
      </c>
      <c r="N1313" s="705">
        <v>251236</v>
      </c>
      <c r="O1313" s="705">
        <v>93050</v>
      </c>
      <c r="P1313" s="705">
        <v>86454</v>
      </c>
      <c r="Q1313" s="705">
        <v>32020</v>
      </c>
      <c r="R1313" s="705">
        <v>591053</v>
      </c>
      <c r="S1313" s="705">
        <v>537321</v>
      </c>
      <c r="T1313" s="705">
        <v>20751</v>
      </c>
      <c r="U1313" s="705">
        <v>7686</v>
      </c>
      <c r="V1313" s="705">
        <v>1744020</v>
      </c>
      <c r="W1313" s="705">
        <f t="shared" si="60"/>
        <v>1744020</v>
      </c>
      <c r="X1313" s="705">
        <f t="shared" si="61"/>
        <v>2134619</v>
      </c>
    </row>
    <row r="1314" spans="2:24">
      <c r="B1314" t="s">
        <v>544</v>
      </c>
      <c r="C1314" t="s">
        <v>114</v>
      </c>
      <c r="D1314" t="s">
        <v>584</v>
      </c>
      <c r="E1314" t="s">
        <v>584</v>
      </c>
      <c r="F1314" s="705">
        <v>445</v>
      </c>
      <c r="G1314" s="705">
        <v>50584</v>
      </c>
      <c r="H1314" s="705">
        <v>62586</v>
      </c>
      <c r="I1314" s="705">
        <v>3197927</v>
      </c>
      <c r="J1314" s="705">
        <v>2907206</v>
      </c>
      <c r="K1314" s="705">
        <v>88</v>
      </c>
      <c r="L1314" s="705">
        <v>616565</v>
      </c>
      <c r="M1314" s="705">
        <v>537740</v>
      </c>
      <c r="N1314" s="705">
        <v>1027239</v>
      </c>
      <c r="O1314" s="705">
        <v>380459</v>
      </c>
      <c r="P1314" s="705">
        <v>230972</v>
      </c>
      <c r="Q1314" s="705">
        <v>85545</v>
      </c>
      <c r="R1314" s="705">
        <v>2048783</v>
      </c>
      <c r="S1314" s="705">
        <v>1862530</v>
      </c>
      <c r="T1314" s="705">
        <v>32386</v>
      </c>
      <c r="U1314" s="705">
        <v>11995</v>
      </c>
      <c r="V1314" s="705">
        <v>5785475</v>
      </c>
      <c r="W1314" s="705">
        <f t="shared" si="60"/>
        <v>5785475</v>
      </c>
      <c r="X1314" s="705">
        <f t="shared" si="61"/>
        <v>7153872</v>
      </c>
    </row>
    <row r="1315" spans="2:24">
      <c r="B1315" t="s">
        <v>544</v>
      </c>
      <c r="C1315" t="s">
        <v>116</v>
      </c>
      <c r="D1315" t="s">
        <v>582</v>
      </c>
      <c r="E1315" t="s">
        <v>582</v>
      </c>
      <c r="F1315" s="705">
        <v>15</v>
      </c>
      <c r="G1315" s="705">
        <v>1415</v>
      </c>
      <c r="H1315" s="705">
        <v>2775</v>
      </c>
      <c r="I1315" s="705">
        <v>121134</v>
      </c>
      <c r="J1315" s="705">
        <v>110122</v>
      </c>
      <c r="K1315" s="705">
        <v>84</v>
      </c>
      <c r="L1315" s="705">
        <v>39372</v>
      </c>
      <c r="M1315" s="705">
        <v>35566</v>
      </c>
      <c r="N1315" s="705">
        <v>25266</v>
      </c>
      <c r="O1315" s="705">
        <v>9358</v>
      </c>
      <c r="P1315" s="705">
        <v>9545</v>
      </c>
      <c r="Q1315" s="705">
        <v>3535</v>
      </c>
      <c r="R1315" s="705">
        <v>62127</v>
      </c>
      <c r="S1315" s="705">
        <v>56479</v>
      </c>
      <c r="T1315" s="705">
        <v>4523</v>
      </c>
      <c r="U1315" s="705">
        <v>1675</v>
      </c>
      <c r="V1315" s="705">
        <v>216735</v>
      </c>
      <c r="W1315" s="705">
        <f t="shared" si="60"/>
        <v>216735</v>
      </c>
      <c r="X1315" s="705">
        <f t="shared" si="61"/>
        <v>261967</v>
      </c>
    </row>
    <row r="1316" spans="2:24">
      <c r="B1316" t="s">
        <v>544</v>
      </c>
      <c r="C1316" t="s">
        <v>116</v>
      </c>
      <c r="D1316" t="s">
        <v>228</v>
      </c>
      <c r="E1316" t="s">
        <v>228</v>
      </c>
      <c r="F1316" s="705">
        <v>19</v>
      </c>
      <c r="G1316" s="705">
        <v>1804</v>
      </c>
      <c r="H1316" s="705">
        <v>3929</v>
      </c>
      <c r="I1316" s="705">
        <v>180294</v>
      </c>
      <c r="J1316" s="705">
        <v>66776</v>
      </c>
      <c r="K1316" s="705">
        <v>129</v>
      </c>
      <c r="L1316" s="705">
        <v>31269</v>
      </c>
      <c r="M1316" s="705">
        <v>23717</v>
      </c>
      <c r="N1316" s="705">
        <v>31577</v>
      </c>
      <c r="O1316" s="705">
        <v>11695</v>
      </c>
      <c r="P1316" s="705">
        <v>2228</v>
      </c>
      <c r="Q1316" s="705">
        <v>825</v>
      </c>
      <c r="R1316" s="705">
        <v>137465</v>
      </c>
      <c r="S1316" s="705">
        <v>50913</v>
      </c>
      <c r="T1316" s="705">
        <v>0</v>
      </c>
      <c r="U1316" s="705">
        <v>0</v>
      </c>
      <c r="V1316" s="705">
        <v>153925</v>
      </c>
      <c r="W1316" s="705">
        <f t="shared" si="60"/>
        <v>153926</v>
      </c>
      <c r="X1316" s="705">
        <f t="shared" si="61"/>
        <v>382833</v>
      </c>
    </row>
    <row r="1317" spans="2:24">
      <c r="B1317" t="s">
        <v>544</v>
      </c>
      <c r="C1317" t="s">
        <v>116</v>
      </c>
      <c r="D1317" t="s">
        <v>228</v>
      </c>
      <c r="E1317" t="s">
        <v>584</v>
      </c>
      <c r="F1317" s="705">
        <v>1</v>
      </c>
      <c r="G1317" s="705">
        <v>73</v>
      </c>
      <c r="H1317" s="705">
        <v>198</v>
      </c>
      <c r="I1317" s="705">
        <v>7803</v>
      </c>
      <c r="J1317" s="705">
        <v>2890</v>
      </c>
      <c r="K1317" s="705">
        <v>100</v>
      </c>
      <c r="L1317" s="705">
        <v>0</v>
      </c>
      <c r="M1317" s="705">
        <v>0</v>
      </c>
      <c r="N1317" s="705">
        <v>1786</v>
      </c>
      <c r="O1317" s="705">
        <v>662</v>
      </c>
      <c r="P1317" s="705">
        <v>351</v>
      </c>
      <c r="Q1317" s="705">
        <v>130</v>
      </c>
      <c r="R1317" s="705">
        <v>4544</v>
      </c>
      <c r="S1317" s="705">
        <v>4131</v>
      </c>
      <c r="T1317" s="705">
        <v>0</v>
      </c>
      <c r="U1317" s="705">
        <v>0</v>
      </c>
      <c r="V1317" s="705">
        <v>7813</v>
      </c>
      <c r="W1317" s="705">
        <f t="shared" si="60"/>
        <v>7813</v>
      </c>
      <c r="X1317" s="705">
        <f t="shared" si="61"/>
        <v>14484</v>
      </c>
    </row>
    <row r="1318" spans="2:24">
      <c r="B1318" t="s">
        <v>544</v>
      </c>
      <c r="C1318" t="s">
        <v>116</v>
      </c>
      <c r="D1318" t="s">
        <v>583</v>
      </c>
      <c r="E1318" t="s">
        <v>582</v>
      </c>
      <c r="F1318" s="705">
        <v>1</v>
      </c>
      <c r="G1318" s="705">
        <v>85</v>
      </c>
      <c r="H1318" s="705">
        <v>182</v>
      </c>
      <c r="I1318" s="705">
        <v>6286</v>
      </c>
      <c r="J1318" s="705">
        <v>5714</v>
      </c>
      <c r="K1318" s="705">
        <v>83</v>
      </c>
      <c r="L1318" s="705">
        <v>848</v>
      </c>
      <c r="M1318" s="705">
        <v>771</v>
      </c>
      <c r="N1318" s="705">
        <v>1957</v>
      </c>
      <c r="O1318" s="705">
        <v>725</v>
      </c>
      <c r="P1318" s="705">
        <v>972</v>
      </c>
      <c r="Q1318" s="705">
        <v>360</v>
      </c>
      <c r="R1318" s="705">
        <v>5400</v>
      </c>
      <c r="S1318" s="705">
        <v>4910</v>
      </c>
      <c r="T1318" s="705">
        <v>0</v>
      </c>
      <c r="U1318" s="705">
        <v>0</v>
      </c>
      <c r="V1318" s="705">
        <v>12479</v>
      </c>
      <c r="W1318" s="705">
        <f t="shared" si="60"/>
        <v>12480</v>
      </c>
      <c r="X1318" s="705">
        <f t="shared" si="61"/>
        <v>15463</v>
      </c>
    </row>
    <row r="1319" spans="2:24">
      <c r="B1319" t="s">
        <v>544</v>
      </c>
      <c r="C1319" t="s">
        <v>116</v>
      </c>
      <c r="D1319" t="s">
        <v>583</v>
      </c>
      <c r="E1319" t="s">
        <v>228</v>
      </c>
      <c r="F1319" s="705">
        <v>2</v>
      </c>
      <c r="G1319" s="705">
        <v>219</v>
      </c>
      <c r="H1319" s="705">
        <v>439</v>
      </c>
      <c r="I1319" s="705">
        <v>23376</v>
      </c>
      <c r="J1319" s="705">
        <v>21251</v>
      </c>
      <c r="K1319" s="705">
        <v>90</v>
      </c>
      <c r="L1319" s="705">
        <v>5213</v>
      </c>
      <c r="M1319" s="705">
        <v>4523</v>
      </c>
      <c r="N1319" s="705">
        <v>3678</v>
      </c>
      <c r="O1319" s="705">
        <v>1362</v>
      </c>
      <c r="P1319" s="705">
        <v>1242</v>
      </c>
      <c r="Q1319" s="705">
        <v>460</v>
      </c>
      <c r="R1319" s="705">
        <v>12306</v>
      </c>
      <c r="S1319" s="705">
        <v>4558</v>
      </c>
      <c r="T1319" s="705">
        <v>2339</v>
      </c>
      <c r="U1319" s="705">
        <v>866</v>
      </c>
      <c r="V1319" s="705">
        <v>33020</v>
      </c>
      <c r="W1319" s="705">
        <f t="shared" si="60"/>
        <v>33020</v>
      </c>
      <c r="X1319" s="705">
        <f t="shared" si="61"/>
        <v>48154</v>
      </c>
    </row>
    <row r="1320" spans="2:24">
      <c r="B1320" t="s">
        <v>544</v>
      </c>
      <c r="C1320" t="s">
        <v>116</v>
      </c>
      <c r="D1320" t="s">
        <v>583</v>
      </c>
      <c r="E1320" t="s">
        <v>583</v>
      </c>
      <c r="F1320" s="705">
        <v>1098</v>
      </c>
      <c r="G1320" s="705">
        <v>114572</v>
      </c>
      <c r="H1320" s="705">
        <v>209846</v>
      </c>
      <c r="I1320" s="705">
        <v>10389568</v>
      </c>
      <c r="J1320" s="705">
        <v>9445062</v>
      </c>
      <c r="K1320" s="705">
        <v>85</v>
      </c>
      <c r="L1320" s="705">
        <v>2495630</v>
      </c>
      <c r="M1320" s="705">
        <v>2213741</v>
      </c>
      <c r="N1320" s="705">
        <v>2284134</v>
      </c>
      <c r="O1320" s="705">
        <v>845976</v>
      </c>
      <c r="P1320" s="705">
        <v>693090</v>
      </c>
      <c r="Q1320" s="705">
        <v>256700</v>
      </c>
      <c r="R1320" s="705">
        <v>4901203</v>
      </c>
      <c r="S1320" s="705">
        <v>4455639</v>
      </c>
      <c r="T1320" s="705">
        <v>1317845</v>
      </c>
      <c r="U1320" s="705">
        <v>488091</v>
      </c>
      <c r="V1320" s="705">
        <v>17705208</v>
      </c>
      <c r="W1320" s="705">
        <f t="shared" si="60"/>
        <v>17705209</v>
      </c>
      <c r="X1320" s="705">
        <f t="shared" si="61"/>
        <v>22081470</v>
      </c>
    </row>
    <row r="1321" spans="2:24">
      <c r="B1321" t="s">
        <v>544</v>
      </c>
      <c r="C1321" t="s">
        <v>116</v>
      </c>
      <c r="D1321" t="s">
        <v>583</v>
      </c>
      <c r="E1321" t="s">
        <v>666</v>
      </c>
      <c r="F1321" s="705">
        <v>1</v>
      </c>
      <c r="G1321" s="705">
        <v>68</v>
      </c>
      <c r="H1321" s="705">
        <v>222</v>
      </c>
      <c r="I1321" s="705">
        <v>7356</v>
      </c>
      <c r="J1321" s="705">
        <v>6688</v>
      </c>
      <c r="K1321" s="705">
        <v>85</v>
      </c>
      <c r="L1321" s="705">
        <v>1204</v>
      </c>
      <c r="M1321" s="705">
        <v>1094</v>
      </c>
      <c r="N1321" s="705">
        <v>834</v>
      </c>
      <c r="O1321" s="705">
        <v>309</v>
      </c>
      <c r="P1321" s="705">
        <v>621</v>
      </c>
      <c r="Q1321" s="705">
        <v>230</v>
      </c>
      <c r="R1321" s="705">
        <v>3160</v>
      </c>
      <c r="S1321" s="705">
        <v>2873</v>
      </c>
      <c r="T1321" s="705">
        <v>2009</v>
      </c>
      <c r="U1321" s="705">
        <v>744</v>
      </c>
      <c r="V1321" s="705">
        <v>11938</v>
      </c>
      <c r="W1321" s="705">
        <f t="shared" si="60"/>
        <v>11938</v>
      </c>
      <c r="X1321" s="705">
        <f t="shared" si="61"/>
        <v>15184</v>
      </c>
    </row>
    <row r="1322" spans="2:24">
      <c r="B1322" t="s">
        <v>544</v>
      </c>
      <c r="C1322" t="s">
        <v>116</v>
      </c>
      <c r="D1322" t="s">
        <v>583</v>
      </c>
      <c r="E1322" t="s">
        <v>584</v>
      </c>
      <c r="F1322" s="705">
        <v>1</v>
      </c>
      <c r="G1322" s="705">
        <v>121</v>
      </c>
      <c r="H1322" s="705">
        <v>191</v>
      </c>
      <c r="I1322" s="705">
        <v>11306</v>
      </c>
      <c r="J1322" s="705">
        <v>10278</v>
      </c>
      <c r="K1322" s="705">
        <v>83</v>
      </c>
      <c r="L1322" s="705">
        <v>3595</v>
      </c>
      <c r="M1322" s="705">
        <v>2996</v>
      </c>
      <c r="N1322" s="705">
        <v>1476</v>
      </c>
      <c r="O1322" s="705">
        <v>547</v>
      </c>
      <c r="P1322" s="705">
        <v>621</v>
      </c>
      <c r="Q1322" s="705">
        <v>230</v>
      </c>
      <c r="R1322" s="705">
        <v>6136</v>
      </c>
      <c r="S1322" s="705">
        <v>5579</v>
      </c>
      <c r="T1322" s="705">
        <v>0</v>
      </c>
      <c r="U1322" s="705">
        <v>0</v>
      </c>
      <c r="V1322" s="705">
        <v>19630</v>
      </c>
      <c r="W1322" s="705">
        <f t="shared" si="60"/>
        <v>19630</v>
      </c>
      <c r="X1322" s="705">
        <f t="shared" si="61"/>
        <v>23134</v>
      </c>
    </row>
    <row r="1323" spans="2:24">
      <c r="B1323" t="s">
        <v>544</v>
      </c>
      <c r="C1323" t="s">
        <v>116</v>
      </c>
      <c r="D1323" t="s">
        <v>583</v>
      </c>
      <c r="E1323" t="s">
        <v>665</v>
      </c>
      <c r="F1323" s="705">
        <v>5</v>
      </c>
      <c r="G1323" s="705">
        <v>541</v>
      </c>
      <c r="H1323" s="705">
        <v>908</v>
      </c>
      <c r="I1323" s="705">
        <v>45698</v>
      </c>
      <c r="J1323" s="705">
        <v>41544</v>
      </c>
      <c r="K1323" s="705">
        <v>85</v>
      </c>
      <c r="L1323" s="705">
        <v>10160</v>
      </c>
      <c r="M1323" s="705">
        <v>9998</v>
      </c>
      <c r="N1323" s="705">
        <v>9486</v>
      </c>
      <c r="O1323" s="705">
        <v>3513</v>
      </c>
      <c r="P1323" s="705">
        <v>3456</v>
      </c>
      <c r="Q1323" s="705">
        <v>1280</v>
      </c>
      <c r="R1323" s="705">
        <v>24710</v>
      </c>
      <c r="S1323" s="705">
        <v>22463</v>
      </c>
      <c r="T1323" s="705">
        <v>3306</v>
      </c>
      <c r="U1323" s="705">
        <v>1225</v>
      </c>
      <c r="V1323" s="705">
        <v>80023</v>
      </c>
      <c r="W1323" s="705">
        <f t="shared" ref="W1323:W1386" si="62">SUM(ABS(J1323),ABS(M1323),ABS(O1323),ABS(Q1323),ABS(S1323),ABS(U1323))</f>
        <v>80023</v>
      </c>
      <c r="X1323" s="705">
        <f t="shared" ref="X1323:X1386" si="63">SUM(ABS(I1323),ABS(N1323),ABS(P1323),ABS(R1323),ABS(T1323),ABS(L1323))</f>
        <v>96816</v>
      </c>
    </row>
    <row r="1324" spans="2:24">
      <c r="B1324" t="s">
        <v>544</v>
      </c>
      <c r="C1324" t="s">
        <v>116</v>
      </c>
      <c r="D1324" t="s">
        <v>666</v>
      </c>
      <c r="E1324" t="s">
        <v>666</v>
      </c>
      <c r="F1324" s="705">
        <v>1</v>
      </c>
      <c r="G1324" s="705">
        <v>82</v>
      </c>
      <c r="H1324" s="705">
        <v>219</v>
      </c>
      <c r="I1324" s="705">
        <v>10285</v>
      </c>
      <c r="J1324" s="705">
        <v>9350</v>
      </c>
      <c r="K1324" s="705">
        <v>65</v>
      </c>
      <c r="L1324" s="705">
        <v>0</v>
      </c>
      <c r="M1324" s="705">
        <v>0</v>
      </c>
      <c r="N1324" s="705">
        <v>1768</v>
      </c>
      <c r="O1324" s="705">
        <v>655</v>
      </c>
      <c r="P1324" s="705">
        <v>351</v>
      </c>
      <c r="Q1324" s="705">
        <v>130</v>
      </c>
      <c r="R1324" s="705">
        <v>3425</v>
      </c>
      <c r="S1324" s="705">
        <v>3114</v>
      </c>
      <c r="T1324" s="705">
        <v>2148</v>
      </c>
      <c r="U1324" s="705">
        <v>796</v>
      </c>
      <c r="V1324" s="705">
        <v>14045</v>
      </c>
      <c r="W1324" s="705">
        <f t="shared" si="62"/>
        <v>14045</v>
      </c>
      <c r="X1324" s="705">
        <f t="shared" si="63"/>
        <v>17977</v>
      </c>
    </row>
    <row r="1325" spans="2:24">
      <c r="B1325" t="s">
        <v>544</v>
      </c>
      <c r="C1325" t="s">
        <v>116</v>
      </c>
      <c r="D1325" t="s">
        <v>584</v>
      </c>
      <c r="E1325" t="s">
        <v>228</v>
      </c>
      <c r="F1325" s="705">
        <v>4</v>
      </c>
      <c r="G1325" s="705">
        <v>422</v>
      </c>
      <c r="H1325" s="705">
        <v>723</v>
      </c>
      <c r="I1325" s="705">
        <v>42381</v>
      </c>
      <c r="J1325" s="705">
        <v>38528</v>
      </c>
      <c r="K1325" s="705">
        <v>74</v>
      </c>
      <c r="L1325" s="705">
        <v>5860</v>
      </c>
      <c r="M1325" s="705">
        <v>5327</v>
      </c>
      <c r="N1325" s="705">
        <v>8914</v>
      </c>
      <c r="O1325" s="705">
        <v>3302</v>
      </c>
      <c r="P1325" s="705">
        <v>1890</v>
      </c>
      <c r="Q1325" s="705">
        <v>700</v>
      </c>
      <c r="R1325" s="705">
        <v>17183</v>
      </c>
      <c r="S1325" s="705">
        <v>6364</v>
      </c>
      <c r="T1325" s="705">
        <v>0</v>
      </c>
      <c r="U1325" s="705">
        <v>0</v>
      </c>
      <c r="V1325" s="705">
        <v>54221</v>
      </c>
      <c r="W1325" s="705">
        <f t="shared" si="62"/>
        <v>54221</v>
      </c>
      <c r="X1325" s="705">
        <f t="shared" si="63"/>
        <v>76228</v>
      </c>
    </row>
    <row r="1326" spans="2:24">
      <c r="B1326" t="s">
        <v>544</v>
      </c>
      <c r="C1326" t="s">
        <v>116</v>
      </c>
      <c r="D1326" t="s">
        <v>584</v>
      </c>
      <c r="E1326" t="s">
        <v>584</v>
      </c>
      <c r="F1326" s="705">
        <v>1647</v>
      </c>
      <c r="G1326" s="705">
        <v>164426</v>
      </c>
      <c r="H1326" s="705">
        <v>308212</v>
      </c>
      <c r="I1326" s="705">
        <v>14560192</v>
      </c>
      <c r="J1326" s="705">
        <v>13236539</v>
      </c>
      <c r="K1326" s="705">
        <v>81</v>
      </c>
      <c r="L1326" s="705">
        <v>3338567</v>
      </c>
      <c r="M1326" s="705">
        <v>2955017</v>
      </c>
      <c r="N1326" s="705">
        <v>3187151</v>
      </c>
      <c r="O1326" s="705">
        <v>1180426</v>
      </c>
      <c r="P1326" s="705">
        <v>790776</v>
      </c>
      <c r="Q1326" s="705">
        <v>292880</v>
      </c>
      <c r="R1326" s="705">
        <v>7971880</v>
      </c>
      <c r="S1326" s="705">
        <v>7247164</v>
      </c>
      <c r="T1326" s="705">
        <v>972113</v>
      </c>
      <c r="U1326" s="705">
        <v>360042</v>
      </c>
      <c r="V1326" s="705">
        <v>25272067</v>
      </c>
      <c r="W1326" s="705">
        <f t="shared" si="62"/>
        <v>25272068</v>
      </c>
      <c r="X1326" s="705">
        <f t="shared" si="63"/>
        <v>30820679</v>
      </c>
    </row>
    <row r="1327" spans="2:24">
      <c r="B1327" t="s">
        <v>544</v>
      </c>
      <c r="C1327" t="s">
        <v>116</v>
      </c>
      <c r="D1327" t="s">
        <v>584</v>
      </c>
      <c r="E1327" t="s">
        <v>665</v>
      </c>
      <c r="F1327" s="705">
        <v>2</v>
      </c>
      <c r="G1327" s="705">
        <v>145</v>
      </c>
      <c r="H1327" s="705">
        <v>401</v>
      </c>
      <c r="I1327" s="705">
        <v>14630</v>
      </c>
      <c r="J1327" s="705">
        <v>13300</v>
      </c>
      <c r="K1327" s="705">
        <v>79</v>
      </c>
      <c r="L1327" s="705">
        <v>4264</v>
      </c>
      <c r="M1327" s="705">
        <v>3877</v>
      </c>
      <c r="N1327" s="705">
        <v>1769</v>
      </c>
      <c r="O1327" s="705">
        <v>655</v>
      </c>
      <c r="P1327" s="705">
        <v>945</v>
      </c>
      <c r="Q1327" s="705">
        <v>350</v>
      </c>
      <c r="R1327" s="705">
        <v>7486</v>
      </c>
      <c r="S1327" s="705">
        <v>6806</v>
      </c>
      <c r="T1327" s="705">
        <v>0</v>
      </c>
      <c r="U1327" s="705">
        <v>0</v>
      </c>
      <c r="V1327" s="705">
        <v>24988</v>
      </c>
      <c r="W1327" s="705">
        <f t="shared" si="62"/>
        <v>24988</v>
      </c>
      <c r="X1327" s="705">
        <f t="shared" si="63"/>
        <v>29094</v>
      </c>
    </row>
    <row r="1328" spans="2:24">
      <c r="B1328" t="s">
        <v>544</v>
      </c>
      <c r="C1328" t="s">
        <v>116</v>
      </c>
      <c r="D1328" t="s">
        <v>669</v>
      </c>
      <c r="E1328" t="s">
        <v>669</v>
      </c>
      <c r="F1328" s="705">
        <v>7</v>
      </c>
      <c r="G1328" s="705">
        <v>643</v>
      </c>
      <c r="H1328" s="705">
        <v>1430</v>
      </c>
      <c r="I1328" s="705">
        <v>68320</v>
      </c>
      <c r="J1328" s="705">
        <v>56933</v>
      </c>
      <c r="K1328" s="705">
        <v>65</v>
      </c>
      <c r="L1328" s="705">
        <v>0</v>
      </c>
      <c r="M1328" s="705">
        <v>0</v>
      </c>
      <c r="N1328" s="705">
        <v>11161</v>
      </c>
      <c r="O1328" s="705">
        <v>4134</v>
      </c>
      <c r="P1328" s="705">
        <v>2457</v>
      </c>
      <c r="Q1328" s="705">
        <v>910</v>
      </c>
      <c r="R1328" s="705">
        <v>33137</v>
      </c>
      <c r="S1328" s="705">
        <v>27614</v>
      </c>
      <c r="T1328" s="705">
        <v>16260</v>
      </c>
      <c r="U1328" s="705">
        <v>6022</v>
      </c>
      <c r="V1328" s="705">
        <v>95613</v>
      </c>
      <c r="W1328" s="705">
        <f t="shared" si="62"/>
        <v>95613</v>
      </c>
      <c r="X1328" s="705">
        <f t="shared" si="63"/>
        <v>131335</v>
      </c>
    </row>
    <row r="1329" spans="2:24">
      <c r="B1329" t="s">
        <v>544</v>
      </c>
      <c r="C1329" t="s">
        <v>116</v>
      </c>
      <c r="D1329" t="s">
        <v>667</v>
      </c>
      <c r="E1329" t="s">
        <v>667</v>
      </c>
      <c r="F1329" s="705">
        <v>1</v>
      </c>
      <c r="G1329" s="705">
        <v>84</v>
      </c>
      <c r="H1329" s="705">
        <v>217</v>
      </c>
      <c r="I1329" s="705">
        <v>6766</v>
      </c>
      <c r="J1329" s="705">
        <v>6151</v>
      </c>
      <c r="K1329" s="705">
        <v>65</v>
      </c>
      <c r="L1329" s="705">
        <v>752</v>
      </c>
      <c r="M1329" s="705">
        <v>683</v>
      </c>
      <c r="N1329" s="705">
        <v>1300</v>
      </c>
      <c r="O1329" s="705">
        <v>481</v>
      </c>
      <c r="P1329" s="705">
        <v>351</v>
      </c>
      <c r="Q1329" s="705">
        <v>130</v>
      </c>
      <c r="R1329" s="705">
        <v>9055</v>
      </c>
      <c r="S1329" s="705">
        <v>8232</v>
      </c>
      <c r="T1329" s="705">
        <v>0</v>
      </c>
      <c r="U1329" s="705">
        <v>0</v>
      </c>
      <c r="V1329" s="705">
        <v>15678</v>
      </c>
      <c r="W1329" s="705">
        <f t="shared" si="62"/>
        <v>15677</v>
      </c>
      <c r="X1329" s="705">
        <f t="shared" si="63"/>
        <v>18224</v>
      </c>
    </row>
    <row r="1330" spans="2:24">
      <c r="B1330" t="s">
        <v>544</v>
      </c>
      <c r="C1330" t="s">
        <v>116</v>
      </c>
      <c r="D1330" t="s">
        <v>665</v>
      </c>
      <c r="E1330" t="s">
        <v>665</v>
      </c>
      <c r="F1330" s="705">
        <v>20</v>
      </c>
      <c r="G1330" s="705">
        <v>1866</v>
      </c>
      <c r="H1330" s="705">
        <v>4241</v>
      </c>
      <c r="I1330" s="705">
        <v>206597</v>
      </c>
      <c r="J1330" s="705">
        <v>187815</v>
      </c>
      <c r="K1330" s="705">
        <v>68</v>
      </c>
      <c r="L1330" s="705">
        <v>19462</v>
      </c>
      <c r="M1330" s="705">
        <v>16907</v>
      </c>
      <c r="N1330" s="705">
        <v>32117</v>
      </c>
      <c r="O1330" s="705">
        <v>11895</v>
      </c>
      <c r="P1330" s="705">
        <v>7209</v>
      </c>
      <c r="Q1330" s="705">
        <v>2670</v>
      </c>
      <c r="R1330" s="705">
        <v>87864</v>
      </c>
      <c r="S1330" s="705">
        <v>79876</v>
      </c>
      <c r="T1330" s="705">
        <v>42966</v>
      </c>
      <c r="U1330" s="705">
        <v>15913</v>
      </c>
      <c r="V1330" s="705">
        <v>315077</v>
      </c>
      <c r="W1330" s="705">
        <f t="shared" si="62"/>
        <v>315076</v>
      </c>
      <c r="X1330" s="705">
        <f t="shared" si="63"/>
        <v>396215</v>
      </c>
    </row>
    <row r="1331" spans="2:24">
      <c r="B1331" t="s">
        <v>544</v>
      </c>
      <c r="C1331" t="s">
        <v>118</v>
      </c>
      <c r="D1331" t="s">
        <v>664</v>
      </c>
      <c r="E1331" t="s">
        <v>583</v>
      </c>
      <c r="F1331" s="705">
        <v>1</v>
      </c>
      <c r="G1331" s="705">
        <v>93</v>
      </c>
      <c r="H1331" s="705">
        <v>239</v>
      </c>
      <c r="I1331" s="705">
        <v>11439</v>
      </c>
      <c r="J1331" s="705">
        <v>10399</v>
      </c>
      <c r="K1331" s="705">
        <v>85</v>
      </c>
      <c r="L1331" s="705">
        <v>3419</v>
      </c>
      <c r="M1331" s="705">
        <v>3108</v>
      </c>
      <c r="N1331" s="705">
        <v>1507</v>
      </c>
      <c r="O1331" s="705">
        <v>558</v>
      </c>
      <c r="P1331" s="705">
        <v>621</v>
      </c>
      <c r="Q1331" s="705">
        <v>230</v>
      </c>
      <c r="R1331" s="705">
        <v>5235</v>
      </c>
      <c r="S1331" s="705">
        <v>4759</v>
      </c>
      <c r="T1331" s="705">
        <v>0</v>
      </c>
      <c r="U1331" s="705">
        <v>0</v>
      </c>
      <c r="V1331" s="705">
        <v>19055</v>
      </c>
      <c r="W1331" s="705">
        <f t="shared" si="62"/>
        <v>19054</v>
      </c>
      <c r="X1331" s="705">
        <f t="shared" si="63"/>
        <v>22221</v>
      </c>
    </row>
    <row r="1332" spans="2:24">
      <c r="B1332" t="s">
        <v>544</v>
      </c>
      <c r="C1332" t="s">
        <v>118</v>
      </c>
      <c r="D1332" t="s">
        <v>582</v>
      </c>
      <c r="E1332" t="s">
        <v>582</v>
      </c>
      <c r="F1332" s="705">
        <v>3</v>
      </c>
      <c r="G1332" s="705">
        <v>295</v>
      </c>
      <c r="H1332" s="705">
        <v>744</v>
      </c>
      <c r="I1332" s="705">
        <v>40547</v>
      </c>
      <c r="J1332" s="705">
        <v>36861</v>
      </c>
      <c r="K1332" s="705">
        <v>81</v>
      </c>
      <c r="L1332" s="705">
        <v>10670</v>
      </c>
      <c r="M1332" s="705">
        <v>9700</v>
      </c>
      <c r="N1332" s="705">
        <v>5388</v>
      </c>
      <c r="O1332" s="705">
        <v>1995</v>
      </c>
      <c r="P1332" s="705">
        <v>1418</v>
      </c>
      <c r="Q1332" s="705">
        <v>525</v>
      </c>
      <c r="R1332" s="705">
        <v>13891</v>
      </c>
      <c r="S1332" s="705">
        <v>12628</v>
      </c>
      <c r="T1332" s="705">
        <v>0</v>
      </c>
      <c r="U1332" s="705">
        <v>0</v>
      </c>
      <c r="V1332" s="705">
        <v>61709</v>
      </c>
      <c r="W1332" s="705">
        <f t="shared" si="62"/>
        <v>61709</v>
      </c>
      <c r="X1332" s="705">
        <f t="shared" si="63"/>
        <v>71914</v>
      </c>
    </row>
    <row r="1333" spans="2:24">
      <c r="B1333" t="s">
        <v>544</v>
      </c>
      <c r="C1333" t="s">
        <v>118</v>
      </c>
      <c r="D1333" t="s">
        <v>228</v>
      </c>
      <c r="E1333" t="s">
        <v>228</v>
      </c>
      <c r="F1333" s="705">
        <v>61</v>
      </c>
      <c r="G1333" s="705">
        <v>5706</v>
      </c>
      <c r="H1333" s="705">
        <v>15982</v>
      </c>
      <c r="I1333" s="705">
        <v>802840</v>
      </c>
      <c r="J1333" s="705">
        <v>297348</v>
      </c>
      <c r="K1333" s="705">
        <v>100</v>
      </c>
      <c r="L1333" s="705">
        <v>120677</v>
      </c>
      <c r="M1333" s="705">
        <v>102637</v>
      </c>
      <c r="N1333" s="705">
        <v>111933</v>
      </c>
      <c r="O1333" s="705">
        <v>41457</v>
      </c>
      <c r="P1333" s="705">
        <v>621</v>
      </c>
      <c r="Q1333" s="705">
        <v>230</v>
      </c>
      <c r="R1333" s="705">
        <v>467472</v>
      </c>
      <c r="S1333" s="705">
        <v>173138</v>
      </c>
      <c r="T1333" s="705">
        <v>2549</v>
      </c>
      <c r="U1333" s="705">
        <v>944</v>
      </c>
      <c r="V1333" s="705">
        <v>615754</v>
      </c>
      <c r="W1333" s="705">
        <f t="shared" si="62"/>
        <v>615754</v>
      </c>
      <c r="X1333" s="705">
        <f t="shared" si="63"/>
        <v>1506092</v>
      </c>
    </row>
    <row r="1334" spans="2:24">
      <c r="B1334" t="s">
        <v>544</v>
      </c>
      <c r="C1334" t="s">
        <v>118</v>
      </c>
      <c r="D1334" t="s">
        <v>228</v>
      </c>
      <c r="E1334" t="s">
        <v>666</v>
      </c>
      <c r="F1334" s="705">
        <v>1</v>
      </c>
      <c r="G1334" s="705">
        <v>61</v>
      </c>
      <c r="H1334" s="705">
        <v>225</v>
      </c>
      <c r="I1334" s="705">
        <v>8433</v>
      </c>
      <c r="J1334" s="705">
        <v>3123</v>
      </c>
      <c r="K1334" s="705">
        <v>100</v>
      </c>
      <c r="L1334" s="705">
        <v>848</v>
      </c>
      <c r="M1334" s="705">
        <v>771</v>
      </c>
      <c r="N1334" s="705">
        <v>1118</v>
      </c>
      <c r="O1334" s="705">
        <v>414</v>
      </c>
      <c r="P1334" s="705">
        <v>351</v>
      </c>
      <c r="Q1334" s="705">
        <v>130</v>
      </c>
      <c r="R1334" s="705">
        <v>3025</v>
      </c>
      <c r="S1334" s="705">
        <v>2750</v>
      </c>
      <c r="T1334" s="705">
        <v>0</v>
      </c>
      <c r="U1334" s="705">
        <v>0</v>
      </c>
      <c r="V1334" s="705">
        <v>7189</v>
      </c>
      <c r="W1334" s="705">
        <f t="shared" si="62"/>
        <v>7188</v>
      </c>
      <c r="X1334" s="705">
        <f t="shared" si="63"/>
        <v>13775</v>
      </c>
    </row>
    <row r="1335" spans="2:24">
      <c r="B1335" t="s">
        <v>544</v>
      </c>
      <c r="C1335" t="s">
        <v>118</v>
      </c>
      <c r="D1335" t="s">
        <v>228</v>
      </c>
      <c r="E1335" t="s">
        <v>665</v>
      </c>
      <c r="F1335" s="705">
        <v>2</v>
      </c>
      <c r="G1335" s="705">
        <v>146</v>
      </c>
      <c r="H1335" s="705">
        <v>560</v>
      </c>
      <c r="I1335" s="705">
        <v>20057</v>
      </c>
      <c r="J1335" s="705">
        <v>7429</v>
      </c>
      <c r="K1335" s="705">
        <v>100</v>
      </c>
      <c r="L1335" s="705">
        <v>2568</v>
      </c>
      <c r="M1335" s="705">
        <v>2335</v>
      </c>
      <c r="N1335" s="705">
        <v>2344</v>
      </c>
      <c r="O1335" s="705">
        <v>868</v>
      </c>
      <c r="P1335" s="705">
        <v>0</v>
      </c>
      <c r="Q1335" s="705">
        <v>0</v>
      </c>
      <c r="R1335" s="705">
        <v>11857</v>
      </c>
      <c r="S1335" s="705">
        <v>10779</v>
      </c>
      <c r="T1335" s="705">
        <v>4276</v>
      </c>
      <c r="U1335" s="705">
        <v>1584</v>
      </c>
      <c r="V1335" s="705">
        <v>22994</v>
      </c>
      <c r="W1335" s="705">
        <f t="shared" si="62"/>
        <v>22995</v>
      </c>
      <c r="X1335" s="705">
        <f t="shared" si="63"/>
        <v>41102</v>
      </c>
    </row>
    <row r="1336" spans="2:24">
      <c r="B1336" t="s">
        <v>544</v>
      </c>
      <c r="C1336" t="s">
        <v>118</v>
      </c>
      <c r="D1336" t="s">
        <v>583</v>
      </c>
      <c r="E1336" t="s">
        <v>664</v>
      </c>
      <c r="F1336" s="705">
        <v>1</v>
      </c>
      <c r="G1336" s="705">
        <v>101</v>
      </c>
      <c r="H1336" s="705">
        <v>261</v>
      </c>
      <c r="I1336" s="705">
        <v>15845</v>
      </c>
      <c r="J1336" s="705">
        <v>14405</v>
      </c>
      <c r="K1336" s="705">
        <v>70</v>
      </c>
      <c r="L1336" s="705">
        <v>2322</v>
      </c>
      <c r="M1336" s="705">
        <v>1935</v>
      </c>
      <c r="N1336" s="705">
        <v>1843</v>
      </c>
      <c r="O1336" s="705">
        <v>683</v>
      </c>
      <c r="P1336" s="705">
        <v>621</v>
      </c>
      <c r="Q1336" s="705">
        <v>230</v>
      </c>
      <c r="R1336" s="705">
        <v>5718</v>
      </c>
      <c r="S1336" s="705">
        <v>5198</v>
      </c>
      <c r="T1336" s="705">
        <v>0</v>
      </c>
      <c r="U1336" s="705">
        <v>0</v>
      </c>
      <c r="V1336" s="705">
        <v>22451</v>
      </c>
      <c r="W1336" s="705">
        <f t="shared" si="62"/>
        <v>22451</v>
      </c>
      <c r="X1336" s="705">
        <f t="shared" si="63"/>
        <v>26349</v>
      </c>
    </row>
    <row r="1337" spans="2:24">
      <c r="B1337" t="s">
        <v>544</v>
      </c>
      <c r="C1337" t="s">
        <v>118</v>
      </c>
      <c r="D1337" t="s">
        <v>583</v>
      </c>
      <c r="E1337" t="s">
        <v>228</v>
      </c>
      <c r="F1337" s="705">
        <v>2</v>
      </c>
      <c r="G1337" s="705">
        <v>287</v>
      </c>
      <c r="H1337" s="705">
        <v>535</v>
      </c>
      <c r="I1337" s="705">
        <v>48630</v>
      </c>
      <c r="J1337" s="705">
        <v>44209</v>
      </c>
      <c r="K1337" s="705">
        <v>84</v>
      </c>
      <c r="L1337" s="705">
        <v>8370</v>
      </c>
      <c r="M1337" s="705">
        <v>7609</v>
      </c>
      <c r="N1337" s="705">
        <v>6197</v>
      </c>
      <c r="O1337" s="705">
        <v>2295</v>
      </c>
      <c r="P1337" s="705">
        <v>1242</v>
      </c>
      <c r="Q1337" s="705">
        <v>460</v>
      </c>
      <c r="R1337" s="705">
        <v>14935</v>
      </c>
      <c r="S1337" s="705">
        <v>5531</v>
      </c>
      <c r="T1337" s="705">
        <v>0</v>
      </c>
      <c r="U1337" s="705">
        <v>0</v>
      </c>
      <c r="V1337" s="705">
        <v>60105</v>
      </c>
      <c r="W1337" s="705">
        <f t="shared" si="62"/>
        <v>60104</v>
      </c>
      <c r="X1337" s="705">
        <f t="shared" si="63"/>
        <v>79374</v>
      </c>
    </row>
    <row r="1338" spans="2:24">
      <c r="B1338" t="s">
        <v>544</v>
      </c>
      <c r="C1338" t="s">
        <v>118</v>
      </c>
      <c r="D1338" t="s">
        <v>583</v>
      </c>
      <c r="E1338" t="s">
        <v>583</v>
      </c>
      <c r="F1338" s="705">
        <v>427</v>
      </c>
      <c r="G1338" s="705">
        <v>41275</v>
      </c>
      <c r="H1338" s="705">
        <v>109804</v>
      </c>
      <c r="I1338" s="705">
        <v>5747244</v>
      </c>
      <c r="J1338" s="705">
        <v>5224767</v>
      </c>
      <c r="K1338" s="705">
        <v>82</v>
      </c>
      <c r="L1338" s="705">
        <v>1239719</v>
      </c>
      <c r="M1338" s="705">
        <v>1090742</v>
      </c>
      <c r="N1338" s="705">
        <v>853296</v>
      </c>
      <c r="O1338" s="705">
        <v>316036</v>
      </c>
      <c r="P1338" s="705">
        <v>271917</v>
      </c>
      <c r="Q1338" s="705">
        <v>100710</v>
      </c>
      <c r="R1338" s="705">
        <v>1889093</v>
      </c>
      <c r="S1338" s="705">
        <v>1717358</v>
      </c>
      <c r="T1338" s="705">
        <v>733063</v>
      </c>
      <c r="U1338" s="705">
        <v>271505</v>
      </c>
      <c r="V1338" s="705">
        <v>8721117</v>
      </c>
      <c r="W1338" s="705">
        <f t="shared" si="62"/>
        <v>8721118</v>
      </c>
      <c r="X1338" s="705">
        <f t="shared" si="63"/>
        <v>10734332</v>
      </c>
    </row>
    <row r="1339" spans="2:24">
      <c r="B1339" t="s">
        <v>544</v>
      </c>
      <c r="C1339" t="s">
        <v>118</v>
      </c>
      <c r="D1339" t="s">
        <v>583</v>
      </c>
      <c r="E1339" t="s">
        <v>584</v>
      </c>
      <c r="F1339" s="705">
        <v>3</v>
      </c>
      <c r="G1339" s="705">
        <v>345</v>
      </c>
      <c r="H1339" s="705">
        <v>762</v>
      </c>
      <c r="I1339" s="705">
        <v>57613</v>
      </c>
      <c r="J1339" s="705">
        <v>52375</v>
      </c>
      <c r="K1339" s="705">
        <v>77</v>
      </c>
      <c r="L1339" s="705">
        <v>15760</v>
      </c>
      <c r="M1339" s="705">
        <v>12309</v>
      </c>
      <c r="N1339" s="705">
        <v>8548</v>
      </c>
      <c r="O1339" s="705">
        <v>3166</v>
      </c>
      <c r="P1339" s="705">
        <v>1863</v>
      </c>
      <c r="Q1339" s="705">
        <v>690</v>
      </c>
      <c r="R1339" s="705">
        <v>11246</v>
      </c>
      <c r="S1339" s="705">
        <v>10224</v>
      </c>
      <c r="T1339" s="705">
        <v>8999</v>
      </c>
      <c r="U1339" s="705">
        <v>3333</v>
      </c>
      <c r="V1339" s="705">
        <v>82098</v>
      </c>
      <c r="W1339" s="705">
        <f t="shared" si="62"/>
        <v>82097</v>
      </c>
      <c r="X1339" s="705">
        <f t="shared" si="63"/>
        <v>104029</v>
      </c>
    </row>
    <row r="1340" spans="2:24">
      <c r="B1340" t="s">
        <v>544</v>
      </c>
      <c r="C1340" t="s">
        <v>118</v>
      </c>
      <c r="D1340" t="s">
        <v>666</v>
      </c>
      <c r="E1340" t="s">
        <v>666</v>
      </c>
      <c r="F1340" s="705">
        <v>4</v>
      </c>
      <c r="G1340" s="705">
        <v>297</v>
      </c>
      <c r="H1340" s="705">
        <v>1055</v>
      </c>
      <c r="I1340" s="705">
        <v>37609</v>
      </c>
      <c r="J1340" s="705">
        <v>34190</v>
      </c>
      <c r="K1340" s="705">
        <v>70</v>
      </c>
      <c r="L1340" s="705">
        <v>8610</v>
      </c>
      <c r="M1340" s="705">
        <v>6710</v>
      </c>
      <c r="N1340" s="705">
        <v>5610</v>
      </c>
      <c r="O1340" s="705">
        <v>2078</v>
      </c>
      <c r="P1340" s="705">
        <v>1323</v>
      </c>
      <c r="Q1340" s="705">
        <v>490</v>
      </c>
      <c r="R1340" s="705">
        <v>23103</v>
      </c>
      <c r="S1340" s="705">
        <v>21003</v>
      </c>
      <c r="T1340" s="705">
        <v>2156</v>
      </c>
      <c r="U1340" s="705">
        <v>798</v>
      </c>
      <c r="V1340" s="705">
        <v>65269</v>
      </c>
      <c r="W1340" s="705">
        <f t="shared" si="62"/>
        <v>65269</v>
      </c>
      <c r="X1340" s="705">
        <f t="shared" si="63"/>
        <v>78411</v>
      </c>
    </row>
    <row r="1341" spans="2:24">
      <c r="B1341" t="s">
        <v>544</v>
      </c>
      <c r="C1341" t="s">
        <v>118</v>
      </c>
      <c r="D1341" t="s">
        <v>584</v>
      </c>
      <c r="E1341" t="s">
        <v>228</v>
      </c>
      <c r="F1341" s="705">
        <v>2</v>
      </c>
      <c r="G1341" s="705">
        <v>170</v>
      </c>
      <c r="H1341" s="705">
        <v>557</v>
      </c>
      <c r="I1341" s="705">
        <v>19813</v>
      </c>
      <c r="J1341" s="705">
        <v>18012</v>
      </c>
      <c r="K1341" s="705">
        <v>78</v>
      </c>
      <c r="L1341" s="705">
        <v>6995</v>
      </c>
      <c r="M1341" s="705">
        <v>6113</v>
      </c>
      <c r="N1341" s="705">
        <v>3839</v>
      </c>
      <c r="O1341" s="705">
        <v>1422</v>
      </c>
      <c r="P1341" s="705">
        <v>945</v>
      </c>
      <c r="Q1341" s="705">
        <v>350</v>
      </c>
      <c r="R1341" s="705">
        <v>13697</v>
      </c>
      <c r="S1341" s="705">
        <v>5073</v>
      </c>
      <c r="T1341" s="705">
        <v>2293</v>
      </c>
      <c r="U1341" s="705">
        <v>849</v>
      </c>
      <c r="V1341" s="705">
        <v>31819</v>
      </c>
      <c r="W1341" s="705">
        <f t="shared" si="62"/>
        <v>31819</v>
      </c>
      <c r="X1341" s="705">
        <f t="shared" si="63"/>
        <v>47582</v>
      </c>
    </row>
    <row r="1342" spans="2:24">
      <c r="B1342" t="s">
        <v>544</v>
      </c>
      <c r="C1342" t="s">
        <v>118</v>
      </c>
      <c r="D1342" t="s">
        <v>584</v>
      </c>
      <c r="E1342" t="s">
        <v>583</v>
      </c>
      <c r="F1342" s="705">
        <v>2</v>
      </c>
      <c r="G1342" s="705">
        <v>192</v>
      </c>
      <c r="H1342" s="705">
        <v>524</v>
      </c>
      <c r="I1342" s="705">
        <v>23451</v>
      </c>
      <c r="J1342" s="705">
        <v>21319</v>
      </c>
      <c r="K1342" s="705">
        <v>72</v>
      </c>
      <c r="L1342" s="705">
        <v>4616</v>
      </c>
      <c r="M1342" s="705">
        <v>4196</v>
      </c>
      <c r="N1342" s="705">
        <v>3960</v>
      </c>
      <c r="O1342" s="705">
        <v>1467</v>
      </c>
      <c r="P1342" s="705">
        <v>945</v>
      </c>
      <c r="Q1342" s="705">
        <v>350</v>
      </c>
      <c r="R1342" s="705">
        <v>15143</v>
      </c>
      <c r="S1342" s="705">
        <v>13767</v>
      </c>
      <c r="T1342" s="705">
        <v>2291</v>
      </c>
      <c r="U1342" s="705">
        <v>848</v>
      </c>
      <c r="V1342" s="705">
        <v>41946</v>
      </c>
      <c r="W1342" s="705">
        <f t="shared" si="62"/>
        <v>41947</v>
      </c>
      <c r="X1342" s="705">
        <f t="shared" si="63"/>
        <v>50406</v>
      </c>
    </row>
    <row r="1343" spans="2:24">
      <c r="B1343" t="s">
        <v>544</v>
      </c>
      <c r="C1343" t="s">
        <v>118</v>
      </c>
      <c r="D1343" t="s">
        <v>584</v>
      </c>
      <c r="E1343" t="s">
        <v>584</v>
      </c>
      <c r="F1343" s="705">
        <v>307</v>
      </c>
      <c r="G1343" s="705">
        <v>26394</v>
      </c>
      <c r="H1343" s="705">
        <v>76625</v>
      </c>
      <c r="I1343" s="705">
        <v>3282068</v>
      </c>
      <c r="J1343" s="705">
        <v>2983698</v>
      </c>
      <c r="K1343" s="705">
        <v>79</v>
      </c>
      <c r="L1343" s="705">
        <v>867935</v>
      </c>
      <c r="M1343" s="705">
        <v>766445</v>
      </c>
      <c r="N1343" s="705">
        <v>520505</v>
      </c>
      <c r="O1343" s="705">
        <v>192780</v>
      </c>
      <c r="P1343" s="705">
        <v>145409</v>
      </c>
      <c r="Q1343" s="705">
        <v>53855</v>
      </c>
      <c r="R1343" s="705">
        <v>1404986</v>
      </c>
      <c r="S1343" s="705">
        <v>1277260</v>
      </c>
      <c r="T1343" s="705">
        <v>369503</v>
      </c>
      <c r="U1343" s="705">
        <v>136853</v>
      </c>
      <c r="V1343" s="705">
        <v>5410891</v>
      </c>
      <c r="W1343" s="705">
        <f t="shared" si="62"/>
        <v>5410891</v>
      </c>
      <c r="X1343" s="705">
        <f t="shared" si="63"/>
        <v>6590406</v>
      </c>
    </row>
    <row r="1344" spans="2:24">
      <c r="B1344" t="s">
        <v>544</v>
      </c>
      <c r="C1344" t="s">
        <v>118</v>
      </c>
      <c r="D1344" t="s">
        <v>669</v>
      </c>
      <c r="E1344" t="s">
        <v>669</v>
      </c>
      <c r="F1344" s="705">
        <v>24</v>
      </c>
      <c r="G1344" s="705">
        <v>2057</v>
      </c>
      <c r="H1344" s="705">
        <v>6289</v>
      </c>
      <c r="I1344" s="705">
        <v>299836</v>
      </c>
      <c r="J1344" s="705">
        <v>249864</v>
      </c>
      <c r="K1344" s="705">
        <v>59</v>
      </c>
      <c r="L1344" s="705">
        <v>11815</v>
      </c>
      <c r="M1344" s="705">
        <v>11495</v>
      </c>
      <c r="N1344" s="705">
        <v>34007</v>
      </c>
      <c r="O1344" s="705">
        <v>12595</v>
      </c>
      <c r="P1344" s="705">
        <v>8694</v>
      </c>
      <c r="Q1344" s="705">
        <v>3220</v>
      </c>
      <c r="R1344" s="705">
        <v>129189</v>
      </c>
      <c r="S1344" s="705">
        <v>107658</v>
      </c>
      <c r="T1344" s="705">
        <v>53582</v>
      </c>
      <c r="U1344" s="705">
        <v>19845</v>
      </c>
      <c r="V1344" s="705">
        <v>404677</v>
      </c>
      <c r="W1344" s="705">
        <f t="shared" si="62"/>
        <v>404677</v>
      </c>
      <c r="X1344" s="705">
        <f t="shared" si="63"/>
        <v>537123</v>
      </c>
    </row>
    <row r="1345" spans="2:24">
      <c r="B1345" t="s">
        <v>544</v>
      </c>
      <c r="C1345" t="s">
        <v>118</v>
      </c>
      <c r="D1345" t="s">
        <v>667</v>
      </c>
      <c r="E1345" t="s">
        <v>667</v>
      </c>
      <c r="F1345" s="705">
        <v>8</v>
      </c>
      <c r="G1345" s="705">
        <v>638</v>
      </c>
      <c r="H1345" s="705">
        <v>2229</v>
      </c>
      <c r="I1345" s="705">
        <v>98639</v>
      </c>
      <c r="J1345" s="705">
        <v>89672</v>
      </c>
      <c r="K1345" s="705">
        <v>60</v>
      </c>
      <c r="L1345" s="705">
        <v>11854</v>
      </c>
      <c r="M1345" s="705">
        <v>11356</v>
      </c>
      <c r="N1345" s="705">
        <v>11742</v>
      </c>
      <c r="O1345" s="705">
        <v>4349</v>
      </c>
      <c r="P1345" s="705">
        <v>2808</v>
      </c>
      <c r="Q1345" s="705">
        <v>1040</v>
      </c>
      <c r="R1345" s="705">
        <v>47235</v>
      </c>
      <c r="S1345" s="705">
        <v>42941</v>
      </c>
      <c r="T1345" s="705">
        <v>4314</v>
      </c>
      <c r="U1345" s="705">
        <v>1598</v>
      </c>
      <c r="V1345" s="705">
        <v>150955</v>
      </c>
      <c r="W1345" s="705">
        <f t="shared" si="62"/>
        <v>150956</v>
      </c>
      <c r="X1345" s="705">
        <f t="shared" si="63"/>
        <v>176592</v>
      </c>
    </row>
    <row r="1346" spans="2:24">
      <c r="B1346" t="s">
        <v>544</v>
      </c>
      <c r="C1346" t="s">
        <v>118</v>
      </c>
      <c r="D1346" t="s">
        <v>671</v>
      </c>
      <c r="E1346" t="s">
        <v>671</v>
      </c>
      <c r="F1346" s="705">
        <v>11</v>
      </c>
      <c r="G1346" s="705">
        <v>880</v>
      </c>
      <c r="H1346" s="705">
        <v>3000</v>
      </c>
      <c r="I1346" s="705">
        <v>128427</v>
      </c>
      <c r="J1346" s="705">
        <v>116752</v>
      </c>
      <c r="K1346" s="705">
        <v>63</v>
      </c>
      <c r="L1346" s="705">
        <v>16422</v>
      </c>
      <c r="M1346" s="705">
        <v>14930</v>
      </c>
      <c r="N1346" s="705">
        <v>19075</v>
      </c>
      <c r="O1346" s="705">
        <v>7065</v>
      </c>
      <c r="P1346" s="705">
        <v>3159</v>
      </c>
      <c r="Q1346" s="705">
        <v>1170</v>
      </c>
      <c r="R1346" s="705">
        <v>54848</v>
      </c>
      <c r="S1346" s="705">
        <v>49862</v>
      </c>
      <c r="T1346" s="705">
        <v>17715</v>
      </c>
      <c r="U1346" s="705">
        <v>6561</v>
      </c>
      <c r="V1346" s="705">
        <v>196339</v>
      </c>
      <c r="W1346" s="705">
        <f t="shared" si="62"/>
        <v>196340</v>
      </c>
      <c r="X1346" s="705">
        <f t="shared" si="63"/>
        <v>239646</v>
      </c>
    </row>
    <row r="1347" spans="2:24">
      <c r="B1347" t="s">
        <v>544</v>
      </c>
      <c r="C1347" t="s">
        <v>118</v>
      </c>
      <c r="D1347" t="s">
        <v>665</v>
      </c>
      <c r="E1347" t="s">
        <v>228</v>
      </c>
      <c r="F1347" s="705">
        <v>1</v>
      </c>
      <c r="G1347" s="705">
        <v>76</v>
      </c>
      <c r="H1347" s="705">
        <v>290</v>
      </c>
      <c r="I1347" s="705">
        <v>11539</v>
      </c>
      <c r="J1347" s="705">
        <v>10490</v>
      </c>
      <c r="K1347" s="705">
        <v>60</v>
      </c>
      <c r="L1347" s="705">
        <v>1888</v>
      </c>
      <c r="M1347" s="705">
        <v>699</v>
      </c>
      <c r="N1347" s="705">
        <v>1722</v>
      </c>
      <c r="O1347" s="705">
        <v>638</v>
      </c>
      <c r="P1347" s="705">
        <v>0</v>
      </c>
      <c r="Q1347" s="705">
        <v>0</v>
      </c>
      <c r="R1347" s="705">
        <v>6788</v>
      </c>
      <c r="S1347" s="705">
        <v>2514</v>
      </c>
      <c r="T1347" s="705">
        <v>0</v>
      </c>
      <c r="U1347" s="705">
        <v>0</v>
      </c>
      <c r="V1347" s="705">
        <v>14341</v>
      </c>
      <c r="W1347" s="705">
        <f t="shared" si="62"/>
        <v>14341</v>
      </c>
      <c r="X1347" s="705">
        <f t="shared" si="63"/>
        <v>21937</v>
      </c>
    </row>
    <row r="1348" spans="2:24">
      <c r="B1348" t="s">
        <v>544</v>
      </c>
      <c r="C1348" t="s">
        <v>118</v>
      </c>
      <c r="D1348" t="s">
        <v>665</v>
      </c>
      <c r="E1348" t="s">
        <v>665</v>
      </c>
      <c r="F1348" s="705">
        <v>186</v>
      </c>
      <c r="G1348" s="705">
        <v>15849</v>
      </c>
      <c r="H1348" s="705">
        <v>50139</v>
      </c>
      <c r="I1348" s="705">
        <v>2248818</v>
      </c>
      <c r="J1348" s="705">
        <v>2044380</v>
      </c>
      <c r="K1348" s="705">
        <v>60</v>
      </c>
      <c r="L1348" s="705">
        <v>404238</v>
      </c>
      <c r="M1348" s="705">
        <v>342849</v>
      </c>
      <c r="N1348" s="705">
        <v>245995</v>
      </c>
      <c r="O1348" s="705">
        <v>91109</v>
      </c>
      <c r="P1348" s="705">
        <v>65475</v>
      </c>
      <c r="Q1348" s="705">
        <v>24250</v>
      </c>
      <c r="R1348" s="705">
        <v>939876</v>
      </c>
      <c r="S1348" s="705">
        <v>854432</v>
      </c>
      <c r="T1348" s="705">
        <v>372752</v>
      </c>
      <c r="U1348" s="705">
        <v>138056</v>
      </c>
      <c r="V1348" s="705">
        <v>3495076</v>
      </c>
      <c r="W1348" s="705">
        <f t="shared" si="62"/>
        <v>3495076</v>
      </c>
      <c r="X1348" s="705">
        <f t="shared" si="63"/>
        <v>4277154</v>
      </c>
    </row>
    <row r="1349" spans="2:24">
      <c r="B1349" t="s">
        <v>544</v>
      </c>
      <c r="C1349" t="s">
        <v>118</v>
      </c>
      <c r="D1349" t="s">
        <v>585</v>
      </c>
      <c r="E1349" t="s">
        <v>585</v>
      </c>
      <c r="F1349" s="705">
        <v>1</v>
      </c>
      <c r="G1349" s="705">
        <v>191</v>
      </c>
      <c r="H1349" s="705">
        <v>240</v>
      </c>
      <c r="I1349" s="705">
        <v>27429</v>
      </c>
      <c r="J1349" s="705">
        <v>24936</v>
      </c>
      <c r="K1349" s="705">
        <v>65</v>
      </c>
      <c r="L1349" s="705">
        <v>6603</v>
      </c>
      <c r="M1349" s="705">
        <v>6003</v>
      </c>
      <c r="N1349" s="705">
        <v>3731</v>
      </c>
      <c r="O1349" s="705">
        <v>1382</v>
      </c>
      <c r="P1349" s="705">
        <v>351</v>
      </c>
      <c r="Q1349" s="705">
        <v>130</v>
      </c>
      <c r="R1349" s="705">
        <v>7757</v>
      </c>
      <c r="S1349" s="705">
        <v>7052</v>
      </c>
      <c r="T1349" s="705">
        <v>0</v>
      </c>
      <c r="U1349" s="705">
        <v>0</v>
      </c>
      <c r="V1349" s="705">
        <v>39503</v>
      </c>
      <c r="W1349" s="705">
        <f t="shared" si="62"/>
        <v>39503</v>
      </c>
      <c r="X1349" s="705">
        <f t="shared" si="63"/>
        <v>45871</v>
      </c>
    </row>
    <row r="1350" spans="2:24">
      <c r="B1350" t="s">
        <v>544</v>
      </c>
      <c r="C1350" t="s">
        <v>120</v>
      </c>
      <c r="D1350" t="s">
        <v>582</v>
      </c>
      <c r="E1350" t="s">
        <v>582</v>
      </c>
      <c r="F1350" s="705">
        <v>1</v>
      </c>
      <c r="G1350" s="705">
        <v>68</v>
      </c>
      <c r="H1350" s="705">
        <v>306</v>
      </c>
      <c r="I1350" s="705">
        <v>14419</v>
      </c>
      <c r="J1350" s="705">
        <v>13108</v>
      </c>
      <c r="K1350" s="705">
        <v>94</v>
      </c>
      <c r="L1350" s="705">
        <v>2738</v>
      </c>
      <c r="M1350" s="705">
        <v>2489</v>
      </c>
      <c r="N1350" s="705">
        <v>1084</v>
      </c>
      <c r="O1350" s="705">
        <v>401</v>
      </c>
      <c r="P1350" s="705">
        <v>473</v>
      </c>
      <c r="Q1350" s="705">
        <v>175</v>
      </c>
      <c r="R1350" s="705">
        <v>2043</v>
      </c>
      <c r="S1350" s="705">
        <v>1857</v>
      </c>
      <c r="T1350" s="705">
        <v>0</v>
      </c>
      <c r="U1350" s="705">
        <v>0</v>
      </c>
      <c r="V1350" s="705">
        <v>18031</v>
      </c>
      <c r="W1350" s="705">
        <f t="shared" si="62"/>
        <v>18030</v>
      </c>
      <c r="X1350" s="705">
        <f t="shared" si="63"/>
        <v>20757</v>
      </c>
    </row>
    <row r="1351" spans="2:24">
      <c r="B1351" t="s">
        <v>544</v>
      </c>
      <c r="C1351" t="s">
        <v>120</v>
      </c>
      <c r="D1351" t="s">
        <v>228</v>
      </c>
      <c r="E1351" t="s">
        <v>228</v>
      </c>
      <c r="F1351" s="705">
        <v>40</v>
      </c>
      <c r="G1351" s="705">
        <v>3375</v>
      </c>
      <c r="H1351" s="705">
        <v>13138</v>
      </c>
      <c r="I1351" s="705">
        <v>707895</v>
      </c>
      <c r="J1351" s="705">
        <v>262183</v>
      </c>
      <c r="K1351" s="705">
        <v>100</v>
      </c>
      <c r="L1351" s="705">
        <v>113155</v>
      </c>
      <c r="M1351" s="705">
        <v>93904</v>
      </c>
      <c r="N1351" s="705">
        <v>77184</v>
      </c>
      <c r="O1351" s="705">
        <v>28587</v>
      </c>
      <c r="P1351" s="705">
        <v>972</v>
      </c>
      <c r="Q1351" s="705">
        <v>360</v>
      </c>
      <c r="R1351" s="705">
        <v>251236</v>
      </c>
      <c r="S1351" s="705">
        <v>93050</v>
      </c>
      <c r="T1351" s="705">
        <v>0</v>
      </c>
      <c r="U1351" s="705">
        <v>0</v>
      </c>
      <c r="V1351" s="705">
        <v>478084</v>
      </c>
      <c r="W1351" s="705">
        <f t="shared" si="62"/>
        <v>478084</v>
      </c>
      <c r="X1351" s="705">
        <f t="shared" si="63"/>
        <v>1150442</v>
      </c>
    </row>
    <row r="1352" spans="2:24">
      <c r="B1352" t="s">
        <v>544</v>
      </c>
      <c r="C1352" t="s">
        <v>120</v>
      </c>
      <c r="D1352" t="s">
        <v>228</v>
      </c>
      <c r="E1352" t="s">
        <v>665</v>
      </c>
      <c r="F1352" s="705">
        <v>4</v>
      </c>
      <c r="G1352" s="705">
        <v>331</v>
      </c>
      <c r="H1352" s="705">
        <v>1363</v>
      </c>
      <c r="I1352" s="705">
        <v>57181</v>
      </c>
      <c r="J1352" s="705">
        <v>21178</v>
      </c>
      <c r="K1352" s="705">
        <v>100</v>
      </c>
      <c r="L1352" s="705">
        <v>6700</v>
      </c>
      <c r="M1352" s="705">
        <v>6091</v>
      </c>
      <c r="N1352" s="705">
        <v>6362</v>
      </c>
      <c r="O1352" s="705">
        <v>2356</v>
      </c>
      <c r="P1352" s="705">
        <v>702</v>
      </c>
      <c r="Q1352" s="705">
        <v>260</v>
      </c>
      <c r="R1352" s="705">
        <v>33457</v>
      </c>
      <c r="S1352" s="705">
        <v>30416</v>
      </c>
      <c r="T1352" s="705">
        <v>8700</v>
      </c>
      <c r="U1352" s="705">
        <v>3222</v>
      </c>
      <c r="V1352" s="705">
        <v>63524</v>
      </c>
      <c r="W1352" s="705">
        <f t="shared" si="62"/>
        <v>63523</v>
      </c>
      <c r="X1352" s="705">
        <f t="shared" si="63"/>
        <v>113102</v>
      </c>
    </row>
    <row r="1353" spans="2:24">
      <c r="B1353" t="s">
        <v>544</v>
      </c>
      <c r="C1353" t="s">
        <v>120</v>
      </c>
      <c r="D1353" t="s">
        <v>583</v>
      </c>
      <c r="E1353" t="s">
        <v>228</v>
      </c>
      <c r="F1353" s="705">
        <v>1</v>
      </c>
      <c r="G1353" s="705">
        <v>74</v>
      </c>
      <c r="H1353" s="705">
        <v>336</v>
      </c>
      <c r="I1353" s="705">
        <v>18303</v>
      </c>
      <c r="J1353" s="705">
        <v>16639</v>
      </c>
      <c r="K1353" s="705">
        <v>84</v>
      </c>
      <c r="L1353" s="705">
        <v>0</v>
      </c>
      <c r="M1353" s="705">
        <v>0</v>
      </c>
      <c r="N1353" s="705">
        <v>1811</v>
      </c>
      <c r="O1353" s="705">
        <v>671</v>
      </c>
      <c r="P1353" s="705">
        <v>621</v>
      </c>
      <c r="Q1353" s="705">
        <v>230</v>
      </c>
      <c r="R1353" s="705">
        <v>4232</v>
      </c>
      <c r="S1353" s="705">
        <v>1567</v>
      </c>
      <c r="T1353" s="705">
        <v>0</v>
      </c>
      <c r="U1353" s="705">
        <v>0</v>
      </c>
      <c r="V1353" s="705">
        <v>19107</v>
      </c>
      <c r="W1353" s="705">
        <f t="shared" si="62"/>
        <v>19107</v>
      </c>
      <c r="X1353" s="705">
        <f t="shared" si="63"/>
        <v>24967</v>
      </c>
    </row>
    <row r="1354" spans="2:24">
      <c r="B1354" t="s">
        <v>544</v>
      </c>
      <c r="C1354" t="s">
        <v>120</v>
      </c>
      <c r="D1354" t="s">
        <v>583</v>
      </c>
      <c r="E1354" t="s">
        <v>583</v>
      </c>
      <c r="F1354" s="705">
        <v>193</v>
      </c>
      <c r="G1354" s="705">
        <v>18886</v>
      </c>
      <c r="H1354" s="705">
        <v>65051</v>
      </c>
      <c r="I1354" s="705">
        <v>3863009</v>
      </c>
      <c r="J1354" s="705">
        <v>3511826</v>
      </c>
      <c r="K1354" s="705">
        <v>78</v>
      </c>
      <c r="L1354" s="705">
        <v>802622</v>
      </c>
      <c r="M1354" s="705">
        <v>693849</v>
      </c>
      <c r="N1354" s="705">
        <v>384194</v>
      </c>
      <c r="O1354" s="705">
        <v>142294</v>
      </c>
      <c r="P1354" s="705">
        <v>123012</v>
      </c>
      <c r="Q1354" s="705">
        <v>45560</v>
      </c>
      <c r="R1354" s="705">
        <v>916780</v>
      </c>
      <c r="S1354" s="705">
        <v>833437</v>
      </c>
      <c r="T1354" s="705">
        <v>330851</v>
      </c>
      <c r="U1354" s="705">
        <v>122537</v>
      </c>
      <c r="V1354" s="705">
        <v>5349503</v>
      </c>
      <c r="W1354" s="705">
        <f t="shared" si="62"/>
        <v>5349503</v>
      </c>
      <c r="X1354" s="705">
        <f t="shared" si="63"/>
        <v>6420468</v>
      </c>
    </row>
    <row r="1355" spans="2:24">
      <c r="B1355" t="s">
        <v>544</v>
      </c>
      <c r="C1355" t="s">
        <v>120</v>
      </c>
      <c r="D1355" t="s">
        <v>666</v>
      </c>
      <c r="E1355" t="s">
        <v>666</v>
      </c>
      <c r="F1355" s="705">
        <v>5</v>
      </c>
      <c r="G1355" s="705">
        <v>372</v>
      </c>
      <c r="H1355" s="705">
        <v>1829</v>
      </c>
      <c r="I1355" s="705">
        <v>82461</v>
      </c>
      <c r="J1355" s="705">
        <v>74964</v>
      </c>
      <c r="K1355" s="705">
        <v>57</v>
      </c>
      <c r="L1355" s="705">
        <v>12412</v>
      </c>
      <c r="M1355" s="705">
        <v>12055</v>
      </c>
      <c r="N1355" s="705">
        <v>6549</v>
      </c>
      <c r="O1355" s="705">
        <v>2425</v>
      </c>
      <c r="P1355" s="705">
        <v>1755</v>
      </c>
      <c r="Q1355" s="705">
        <v>650</v>
      </c>
      <c r="R1355" s="705">
        <v>26375</v>
      </c>
      <c r="S1355" s="705">
        <v>23977</v>
      </c>
      <c r="T1355" s="705">
        <v>6389</v>
      </c>
      <c r="U1355" s="705">
        <v>2366</v>
      </c>
      <c r="V1355" s="705">
        <v>116438</v>
      </c>
      <c r="W1355" s="705">
        <f t="shared" si="62"/>
        <v>116437</v>
      </c>
      <c r="X1355" s="705">
        <f t="shared" si="63"/>
        <v>135941</v>
      </c>
    </row>
    <row r="1356" spans="2:24">
      <c r="B1356" t="s">
        <v>544</v>
      </c>
      <c r="C1356" t="s">
        <v>120</v>
      </c>
      <c r="D1356" t="s">
        <v>584</v>
      </c>
      <c r="E1356" t="s">
        <v>228</v>
      </c>
      <c r="F1356" s="705">
        <v>2</v>
      </c>
      <c r="G1356" s="705">
        <v>116</v>
      </c>
      <c r="H1356" s="705">
        <v>666</v>
      </c>
      <c r="I1356" s="705">
        <v>22042</v>
      </c>
      <c r="J1356" s="705">
        <v>20038</v>
      </c>
      <c r="K1356" s="705">
        <v>80</v>
      </c>
      <c r="L1356" s="705">
        <v>0</v>
      </c>
      <c r="M1356" s="705">
        <v>0</v>
      </c>
      <c r="N1356" s="705">
        <v>1413</v>
      </c>
      <c r="O1356" s="705">
        <v>523</v>
      </c>
      <c r="P1356" s="705">
        <v>945</v>
      </c>
      <c r="Q1356" s="705">
        <v>350</v>
      </c>
      <c r="R1356" s="705">
        <v>13874</v>
      </c>
      <c r="S1356" s="705">
        <v>5139</v>
      </c>
      <c r="T1356" s="705">
        <v>0</v>
      </c>
      <c r="U1356" s="705">
        <v>0</v>
      </c>
      <c r="V1356" s="705">
        <v>26050</v>
      </c>
      <c r="W1356" s="705">
        <f t="shared" si="62"/>
        <v>26050</v>
      </c>
      <c r="X1356" s="705">
        <f t="shared" si="63"/>
        <v>38274</v>
      </c>
    </row>
    <row r="1357" spans="2:24">
      <c r="B1357" t="s">
        <v>544</v>
      </c>
      <c r="C1357" t="s">
        <v>120</v>
      </c>
      <c r="D1357" t="s">
        <v>584</v>
      </c>
      <c r="E1357" t="s">
        <v>584</v>
      </c>
      <c r="F1357" s="705">
        <v>62</v>
      </c>
      <c r="G1357" s="705">
        <v>5220</v>
      </c>
      <c r="H1357" s="705">
        <v>20813</v>
      </c>
      <c r="I1357" s="705">
        <v>1051922</v>
      </c>
      <c r="J1357" s="705">
        <v>956293</v>
      </c>
      <c r="K1357" s="705">
        <v>77</v>
      </c>
      <c r="L1357" s="705">
        <v>198712</v>
      </c>
      <c r="M1357" s="705">
        <v>181071</v>
      </c>
      <c r="N1357" s="705">
        <v>106974</v>
      </c>
      <c r="O1357" s="705">
        <v>39620</v>
      </c>
      <c r="P1357" s="705">
        <v>29403</v>
      </c>
      <c r="Q1357" s="705">
        <v>10890</v>
      </c>
      <c r="R1357" s="705">
        <v>289027</v>
      </c>
      <c r="S1357" s="705">
        <v>262752</v>
      </c>
      <c r="T1357" s="705">
        <v>92648</v>
      </c>
      <c r="U1357" s="705">
        <v>34314</v>
      </c>
      <c r="V1357" s="705">
        <v>1484940</v>
      </c>
      <c r="W1357" s="705">
        <f t="shared" si="62"/>
        <v>1484940</v>
      </c>
      <c r="X1357" s="705">
        <f t="shared" si="63"/>
        <v>1768686</v>
      </c>
    </row>
    <row r="1358" spans="2:24">
      <c r="B1358" t="s">
        <v>544</v>
      </c>
      <c r="C1358" t="s">
        <v>120</v>
      </c>
      <c r="D1358" t="s">
        <v>669</v>
      </c>
      <c r="E1358" t="s">
        <v>669</v>
      </c>
      <c r="F1358" s="705">
        <v>46</v>
      </c>
      <c r="G1358" s="705">
        <v>4136</v>
      </c>
      <c r="H1358" s="705">
        <v>15515</v>
      </c>
      <c r="I1358" s="705">
        <v>797500</v>
      </c>
      <c r="J1358" s="705">
        <v>664583</v>
      </c>
      <c r="K1358" s="705">
        <v>50</v>
      </c>
      <c r="L1358" s="705">
        <v>90716</v>
      </c>
      <c r="M1358" s="705">
        <v>75176</v>
      </c>
      <c r="N1358" s="705">
        <v>75562</v>
      </c>
      <c r="O1358" s="705">
        <v>27986</v>
      </c>
      <c r="P1358" s="705">
        <v>16889</v>
      </c>
      <c r="Q1358" s="705">
        <v>6255</v>
      </c>
      <c r="R1358" s="705">
        <v>300626</v>
      </c>
      <c r="S1358" s="705">
        <v>250521</v>
      </c>
      <c r="T1358" s="705">
        <v>107631</v>
      </c>
      <c r="U1358" s="705">
        <v>39863</v>
      </c>
      <c r="V1358" s="705">
        <v>1064384</v>
      </c>
      <c r="W1358" s="705">
        <f t="shared" si="62"/>
        <v>1064384</v>
      </c>
      <c r="X1358" s="705">
        <f t="shared" si="63"/>
        <v>1388924</v>
      </c>
    </row>
    <row r="1359" spans="2:24">
      <c r="B1359" t="s">
        <v>544</v>
      </c>
      <c r="C1359" t="s">
        <v>120</v>
      </c>
      <c r="D1359" t="s">
        <v>667</v>
      </c>
      <c r="E1359" t="s">
        <v>667</v>
      </c>
      <c r="F1359" s="705">
        <v>15</v>
      </c>
      <c r="G1359" s="705">
        <v>772</v>
      </c>
      <c r="H1359" s="705">
        <v>5420</v>
      </c>
      <c r="I1359" s="705">
        <v>157222</v>
      </c>
      <c r="J1359" s="705">
        <v>142929</v>
      </c>
      <c r="K1359" s="705">
        <v>63</v>
      </c>
      <c r="L1359" s="705">
        <v>16903</v>
      </c>
      <c r="M1359" s="705">
        <v>15367</v>
      </c>
      <c r="N1359" s="705">
        <v>11812</v>
      </c>
      <c r="O1359" s="705">
        <v>4375</v>
      </c>
      <c r="P1359" s="705">
        <v>5265</v>
      </c>
      <c r="Q1359" s="705">
        <v>1950</v>
      </c>
      <c r="R1359" s="705">
        <v>86350</v>
      </c>
      <c r="S1359" s="705">
        <v>78500</v>
      </c>
      <c r="T1359" s="705">
        <v>1839</v>
      </c>
      <c r="U1359" s="705">
        <v>681</v>
      </c>
      <c r="V1359" s="705">
        <v>243801</v>
      </c>
      <c r="W1359" s="705">
        <f t="shared" si="62"/>
        <v>243802</v>
      </c>
      <c r="X1359" s="705">
        <f t="shared" si="63"/>
        <v>279391</v>
      </c>
    </row>
    <row r="1360" spans="2:24">
      <c r="B1360" t="s">
        <v>544</v>
      </c>
      <c r="C1360" t="s">
        <v>120</v>
      </c>
      <c r="D1360" t="s">
        <v>671</v>
      </c>
      <c r="E1360" t="s">
        <v>671</v>
      </c>
      <c r="F1360" s="705">
        <v>53</v>
      </c>
      <c r="G1360" s="705">
        <v>4371</v>
      </c>
      <c r="H1360" s="705">
        <v>18657</v>
      </c>
      <c r="I1360" s="705">
        <v>866929</v>
      </c>
      <c r="J1360" s="705">
        <v>788117</v>
      </c>
      <c r="K1360" s="705">
        <v>47</v>
      </c>
      <c r="L1360" s="705">
        <v>124005</v>
      </c>
      <c r="M1360" s="705">
        <v>110013</v>
      </c>
      <c r="N1360" s="705">
        <v>86950</v>
      </c>
      <c r="O1360" s="705">
        <v>32204</v>
      </c>
      <c r="P1360" s="705">
        <v>17901</v>
      </c>
      <c r="Q1360" s="705">
        <v>6630</v>
      </c>
      <c r="R1360" s="705">
        <v>328233</v>
      </c>
      <c r="S1360" s="705">
        <v>298393</v>
      </c>
      <c r="T1360" s="705">
        <v>113685</v>
      </c>
      <c r="U1360" s="705">
        <v>42106</v>
      </c>
      <c r="V1360" s="705">
        <v>1277463</v>
      </c>
      <c r="W1360" s="705">
        <f t="shared" si="62"/>
        <v>1277463</v>
      </c>
      <c r="X1360" s="705">
        <f t="shared" si="63"/>
        <v>1537703</v>
      </c>
    </row>
    <row r="1361" spans="2:24">
      <c r="B1361" t="s">
        <v>544</v>
      </c>
      <c r="C1361" t="s">
        <v>120</v>
      </c>
      <c r="D1361" t="s">
        <v>665</v>
      </c>
      <c r="E1361" t="s">
        <v>228</v>
      </c>
      <c r="F1361" s="705">
        <v>1</v>
      </c>
      <c r="G1361" s="705">
        <v>82</v>
      </c>
      <c r="H1361" s="705">
        <v>374</v>
      </c>
      <c r="I1361" s="705">
        <v>20792</v>
      </c>
      <c r="J1361" s="705">
        <v>18902</v>
      </c>
      <c r="K1361" s="705">
        <v>45</v>
      </c>
      <c r="L1361" s="705">
        <v>3465</v>
      </c>
      <c r="M1361" s="705">
        <v>3150</v>
      </c>
      <c r="N1361" s="705">
        <v>1620</v>
      </c>
      <c r="O1361" s="705">
        <v>600</v>
      </c>
      <c r="P1361" s="705">
        <v>351</v>
      </c>
      <c r="Q1361" s="705">
        <v>130</v>
      </c>
      <c r="R1361" s="705">
        <v>4504</v>
      </c>
      <c r="S1361" s="705">
        <v>1668</v>
      </c>
      <c r="T1361" s="705">
        <v>0</v>
      </c>
      <c r="U1361" s="705">
        <v>0</v>
      </c>
      <c r="V1361" s="705">
        <v>24451</v>
      </c>
      <c r="W1361" s="705">
        <f t="shared" si="62"/>
        <v>24450</v>
      </c>
      <c r="X1361" s="705">
        <f t="shared" si="63"/>
        <v>30732</v>
      </c>
    </row>
    <row r="1362" spans="2:24">
      <c r="B1362" t="s">
        <v>544</v>
      </c>
      <c r="C1362" t="s">
        <v>120</v>
      </c>
      <c r="D1362" t="s">
        <v>665</v>
      </c>
      <c r="E1362" t="s">
        <v>665</v>
      </c>
      <c r="F1362" s="705">
        <v>398</v>
      </c>
      <c r="G1362" s="705">
        <v>33194</v>
      </c>
      <c r="H1362" s="705">
        <v>136870</v>
      </c>
      <c r="I1362" s="705">
        <v>6364209</v>
      </c>
      <c r="J1362" s="705">
        <v>5785645</v>
      </c>
      <c r="K1362" s="705">
        <v>49</v>
      </c>
      <c r="L1362" s="705">
        <v>1033495</v>
      </c>
      <c r="M1362" s="705">
        <v>902736</v>
      </c>
      <c r="N1362" s="705">
        <v>624419</v>
      </c>
      <c r="O1362" s="705">
        <v>231266</v>
      </c>
      <c r="P1362" s="705">
        <v>138335</v>
      </c>
      <c r="Q1362" s="705">
        <v>51235</v>
      </c>
      <c r="R1362" s="705">
        <v>2368320</v>
      </c>
      <c r="S1362" s="705">
        <v>2153018</v>
      </c>
      <c r="T1362" s="705">
        <v>883999</v>
      </c>
      <c r="U1362" s="705">
        <v>327407</v>
      </c>
      <c r="V1362" s="705">
        <v>9451308</v>
      </c>
      <c r="W1362" s="705">
        <f t="shared" si="62"/>
        <v>9451307</v>
      </c>
      <c r="X1362" s="705">
        <f t="shared" si="63"/>
        <v>11412777</v>
      </c>
    </row>
    <row r="1363" spans="2:24">
      <c r="B1363" t="s">
        <v>544</v>
      </c>
      <c r="C1363" t="s">
        <v>122</v>
      </c>
      <c r="D1363" t="s">
        <v>582</v>
      </c>
      <c r="E1363" t="s">
        <v>582</v>
      </c>
      <c r="F1363" s="705">
        <v>1</v>
      </c>
      <c r="G1363" s="705">
        <v>93</v>
      </c>
      <c r="H1363" s="705">
        <v>438</v>
      </c>
      <c r="I1363" s="705">
        <v>25833</v>
      </c>
      <c r="J1363" s="705">
        <v>23484</v>
      </c>
      <c r="K1363" s="705">
        <v>81</v>
      </c>
      <c r="L1363" s="705">
        <v>7338</v>
      </c>
      <c r="M1363" s="705">
        <v>6671</v>
      </c>
      <c r="N1363" s="705">
        <v>1704</v>
      </c>
      <c r="O1363" s="705">
        <v>631</v>
      </c>
      <c r="P1363" s="705">
        <v>473</v>
      </c>
      <c r="Q1363" s="705">
        <v>175</v>
      </c>
      <c r="R1363" s="705">
        <v>5520</v>
      </c>
      <c r="S1363" s="705">
        <v>5018</v>
      </c>
      <c r="T1363" s="705">
        <v>0</v>
      </c>
      <c r="U1363" s="705">
        <v>0</v>
      </c>
      <c r="V1363" s="705">
        <v>35980</v>
      </c>
      <c r="W1363" s="705">
        <f t="shared" si="62"/>
        <v>35979</v>
      </c>
      <c r="X1363" s="705">
        <f t="shared" si="63"/>
        <v>40868</v>
      </c>
    </row>
    <row r="1364" spans="2:24">
      <c r="B1364" t="s">
        <v>544</v>
      </c>
      <c r="C1364" t="s">
        <v>122</v>
      </c>
      <c r="D1364" t="s">
        <v>228</v>
      </c>
      <c r="E1364" t="s">
        <v>228</v>
      </c>
      <c r="F1364" s="705">
        <v>32</v>
      </c>
      <c r="G1364" s="705">
        <v>2447</v>
      </c>
      <c r="H1364" s="705">
        <v>13355</v>
      </c>
      <c r="I1364" s="705">
        <v>624620</v>
      </c>
      <c r="J1364" s="705">
        <v>231341</v>
      </c>
      <c r="K1364" s="705">
        <v>102</v>
      </c>
      <c r="L1364" s="705">
        <v>84769</v>
      </c>
      <c r="M1364" s="705">
        <v>73234</v>
      </c>
      <c r="N1364" s="705">
        <v>47824</v>
      </c>
      <c r="O1364" s="705">
        <v>17713</v>
      </c>
      <c r="P1364" s="705">
        <v>1959</v>
      </c>
      <c r="Q1364" s="705">
        <v>725</v>
      </c>
      <c r="R1364" s="705">
        <v>253144</v>
      </c>
      <c r="S1364" s="705">
        <v>93757</v>
      </c>
      <c r="T1364" s="705">
        <v>2541</v>
      </c>
      <c r="U1364" s="705">
        <v>941</v>
      </c>
      <c r="V1364" s="705">
        <v>417711</v>
      </c>
      <c r="W1364" s="705">
        <f t="shared" si="62"/>
        <v>417711</v>
      </c>
      <c r="X1364" s="705">
        <f t="shared" si="63"/>
        <v>1014857</v>
      </c>
    </row>
    <row r="1365" spans="2:24">
      <c r="B1365" t="s">
        <v>544</v>
      </c>
      <c r="C1365" t="s">
        <v>122</v>
      </c>
      <c r="D1365" t="s">
        <v>228</v>
      </c>
      <c r="E1365" t="s">
        <v>669</v>
      </c>
      <c r="F1365" s="705">
        <v>1</v>
      </c>
      <c r="G1365" s="705">
        <v>173</v>
      </c>
      <c r="H1365" s="705">
        <v>411</v>
      </c>
      <c r="I1365" s="705">
        <v>51626</v>
      </c>
      <c r="J1365" s="705">
        <v>19121</v>
      </c>
      <c r="K1365" s="705">
        <v>100</v>
      </c>
      <c r="L1365" s="705">
        <v>4635</v>
      </c>
      <c r="M1365" s="705">
        <v>3863</v>
      </c>
      <c r="N1365" s="705">
        <v>3421</v>
      </c>
      <c r="O1365" s="705">
        <v>1267</v>
      </c>
      <c r="P1365" s="705">
        <v>351</v>
      </c>
      <c r="Q1365" s="705">
        <v>130</v>
      </c>
      <c r="R1365" s="705">
        <v>7748</v>
      </c>
      <c r="S1365" s="705">
        <v>6456</v>
      </c>
      <c r="T1365" s="705">
        <v>3399</v>
      </c>
      <c r="U1365" s="705">
        <v>1259</v>
      </c>
      <c r="V1365" s="705">
        <v>32096</v>
      </c>
      <c r="W1365" s="705">
        <f t="shared" si="62"/>
        <v>32096</v>
      </c>
      <c r="X1365" s="705">
        <f t="shared" si="63"/>
        <v>71180</v>
      </c>
    </row>
    <row r="1366" spans="2:24">
      <c r="B1366" t="s">
        <v>544</v>
      </c>
      <c r="C1366" t="s">
        <v>122</v>
      </c>
      <c r="D1366" t="s">
        <v>228</v>
      </c>
      <c r="E1366" t="s">
        <v>665</v>
      </c>
      <c r="F1366" s="705">
        <v>3</v>
      </c>
      <c r="G1366" s="705">
        <v>234</v>
      </c>
      <c r="H1366" s="705">
        <v>1285</v>
      </c>
      <c r="I1366" s="705">
        <v>61074</v>
      </c>
      <c r="J1366" s="705">
        <v>22620</v>
      </c>
      <c r="K1366" s="705">
        <v>100</v>
      </c>
      <c r="L1366" s="705">
        <v>8086</v>
      </c>
      <c r="M1366" s="705">
        <v>7351</v>
      </c>
      <c r="N1366" s="705">
        <v>3767</v>
      </c>
      <c r="O1366" s="705">
        <v>1395</v>
      </c>
      <c r="P1366" s="705">
        <v>702</v>
      </c>
      <c r="Q1366" s="705">
        <v>260</v>
      </c>
      <c r="R1366" s="705">
        <v>18995</v>
      </c>
      <c r="S1366" s="705">
        <v>17268</v>
      </c>
      <c r="T1366" s="705">
        <v>7710</v>
      </c>
      <c r="U1366" s="705">
        <v>2856</v>
      </c>
      <c r="V1366" s="705">
        <v>51751</v>
      </c>
      <c r="W1366" s="705">
        <f t="shared" si="62"/>
        <v>51750</v>
      </c>
      <c r="X1366" s="705">
        <f t="shared" si="63"/>
        <v>100334</v>
      </c>
    </row>
    <row r="1367" spans="2:24">
      <c r="B1367" t="s">
        <v>544</v>
      </c>
      <c r="C1367" t="s">
        <v>122</v>
      </c>
      <c r="D1367" t="s">
        <v>583</v>
      </c>
      <c r="E1367" t="s">
        <v>228</v>
      </c>
      <c r="F1367" s="705">
        <v>2</v>
      </c>
      <c r="G1367" s="705">
        <v>180</v>
      </c>
      <c r="H1367" s="705">
        <v>838</v>
      </c>
      <c r="I1367" s="705">
        <v>44268</v>
      </c>
      <c r="J1367" s="705">
        <v>40243</v>
      </c>
      <c r="K1367" s="705">
        <v>90</v>
      </c>
      <c r="L1367" s="705">
        <v>13749</v>
      </c>
      <c r="M1367" s="705">
        <v>12499</v>
      </c>
      <c r="N1367" s="705">
        <v>3910</v>
      </c>
      <c r="O1367" s="705">
        <v>1448</v>
      </c>
      <c r="P1367" s="705">
        <v>1242</v>
      </c>
      <c r="Q1367" s="705">
        <v>460</v>
      </c>
      <c r="R1367" s="705">
        <v>11715</v>
      </c>
      <c r="S1367" s="705">
        <v>4339</v>
      </c>
      <c r="T1367" s="705">
        <v>0</v>
      </c>
      <c r="U1367" s="705">
        <v>0</v>
      </c>
      <c r="V1367" s="705">
        <v>58989</v>
      </c>
      <c r="W1367" s="705">
        <f t="shared" si="62"/>
        <v>58989</v>
      </c>
      <c r="X1367" s="705">
        <f t="shared" si="63"/>
        <v>74884</v>
      </c>
    </row>
    <row r="1368" spans="2:24">
      <c r="B1368" t="s">
        <v>544</v>
      </c>
      <c r="C1368" t="s">
        <v>122</v>
      </c>
      <c r="D1368" t="s">
        <v>583</v>
      </c>
      <c r="E1368" t="s">
        <v>583</v>
      </c>
      <c r="F1368" s="705">
        <v>100</v>
      </c>
      <c r="G1368" s="705">
        <v>9638</v>
      </c>
      <c r="H1368" s="705">
        <v>41359</v>
      </c>
      <c r="I1368" s="705">
        <v>2576471</v>
      </c>
      <c r="J1368" s="705">
        <v>2342247</v>
      </c>
      <c r="K1368" s="705">
        <v>78</v>
      </c>
      <c r="L1368" s="705">
        <v>550413</v>
      </c>
      <c r="M1368" s="705">
        <v>485545</v>
      </c>
      <c r="N1368" s="705">
        <v>205682</v>
      </c>
      <c r="O1368" s="705">
        <v>76179</v>
      </c>
      <c r="P1368" s="705">
        <v>62721</v>
      </c>
      <c r="Q1368" s="705">
        <v>23230</v>
      </c>
      <c r="R1368" s="705">
        <v>436537</v>
      </c>
      <c r="S1368" s="705">
        <v>396852</v>
      </c>
      <c r="T1368" s="705">
        <v>179593</v>
      </c>
      <c r="U1368" s="705">
        <v>66516</v>
      </c>
      <c r="V1368" s="705">
        <v>3390569</v>
      </c>
      <c r="W1368" s="705">
        <f t="shared" si="62"/>
        <v>3390569</v>
      </c>
      <c r="X1368" s="705">
        <f t="shared" si="63"/>
        <v>4011417</v>
      </c>
    </row>
    <row r="1369" spans="2:24">
      <c r="B1369" t="s">
        <v>544</v>
      </c>
      <c r="C1369" t="s">
        <v>122</v>
      </c>
      <c r="D1369" t="s">
        <v>666</v>
      </c>
      <c r="E1369" t="s">
        <v>666</v>
      </c>
      <c r="F1369" s="705">
        <v>10</v>
      </c>
      <c r="G1369" s="705">
        <v>890</v>
      </c>
      <c r="H1369" s="705">
        <v>4167</v>
      </c>
      <c r="I1369" s="705">
        <v>236906</v>
      </c>
      <c r="J1369" s="705">
        <v>215370</v>
      </c>
      <c r="K1369" s="705">
        <v>54</v>
      </c>
      <c r="L1369" s="705">
        <v>44659</v>
      </c>
      <c r="M1369" s="705">
        <v>38487</v>
      </c>
      <c r="N1369" s="705">
        <v>17036</v>
      </c>
      <c r="O1369" s="705">
        <v>6310</v>
      </c>
      <c r="P1369" s="705">
        <v>3159</v>
      </c>
      <c r="Q1369" s="705">
        <v>1170</v>
      </c>
      <c r="R1369" s="705">
        <v>56987</v>
      </c>
      <c r="S1369" s="705">
        <v>51806</v>
      </c>
      <c r="T1369" s="705">
        <v>14779</v>
      </c>
      <c r="U1369" s="705">
        <v>5474</v>
      </c>
      <c r="V1369" s="705">
        <v>318616</v>
      </c>
      <c r="W1369" s="705">
        <f t="shared" si="62"/>
        <v>318617</v>
      </c>
      <c r="X1369" s="705">
        <f t="shared" si="63"/>
        <v>373526</v>
      </c>
    </row>
    <row r="1370" spans="2:24">
      <c r="B1370" t="s">
        <v>544</v>
      </c>
      <c r="C1370" t="s">
        <v>122</v>
      </c>
      <c r="D1370" t="s">
        <v>584</v>
      </c>
      <c r="E1370" t="s">
        <v>584</v>
      </c>
      <c r="F1370" s="705">
        <v>16</v>
      </c>
      <c r="G1370" s="705">
        <v>1397</v>
      </c>
      <c r="H1370" s="705">
        <v>6487</v>
      </c>
      <c r="I1370" s="705">
        <v>355129</v>
      </c>
      <c r="J1370" s="705">
        <v>322844</v>
      </c>
      <c r="K1370" s="705">
        <v>79</v>
      </c>
      <c r="L1370" s="705">
        <v>80997</v>
      </c>
      <c r="M1370" s="705">
        <v>68303</v>
      </c>
      <c r="N1370" s="705">
        <v>31259</v>
      </c>
      <c r="O1370" s="705">
        <v>11577</v>
      </c>
      <c r="P1370" s="705">
        <v>8060</v>
      </c>
      <c r="Q1370" s="705">
        <v>2985</v>
      </c>
      <c r="R1370" s="705">
        <v>80041</v>
      </c>
      <c r="S1370" s="705">
        <v>72764</v>
      </c>
      <c r="T1370" s="705">
        <v>11773</v>
      </c>
      <c r="U1370" s="705">
        <v>4361</v>
      </c>
      <c r="V1370" s="705">
        <v>482834</v>
      </c>
      <c r="W1370" s="705">
        <f t="shared" si="62"/>
        <v>482834</v>
      </c>
      <c r="X1370" s="705">
        <f t="shared" si="63"/>
        <v>567259</v>
      </c>
    </row>
    <row r="1371" spans="2:24">
      <c r="B1371" t="s">
        <v>544</v>
      </c>
      <c r="C1371" t="s">
        <v>122</v>
      </c>
      <c r="D1371" t="s">
        <v>669</v>
      </c>
      <c r="E1371" t="s">
        <v>669</v>
      </c>
      <c r="F1371" s="705">
        <v>36</v>
      </c>
      <c r="G1371" s="705">
        <v>2991</v>
      </c>
      <c r="H1371" s="705">
        <v>14233</v>
      </c>
      <c r="I1371" s="705">
        <v>651187</v>
      </c>
      <c r="J1371" s="705">
        <v>542656</v>
      </c>
      <c r="K1371" s="705">
        <v>47</v>
      </c>
      <c r="L1371" s="705">
        <v>95575</v>
      </c>
      <c r="M1371" s="705">
        <v>79646</v>
      </c>
      <c r="N1371" s="705">
        <v>57505</v>
      </c>
      <c r="O1371" s="705">
        <v>21298</v>
      </c>
      <c r="P1371" s="705">
        <v>12636</v>
      </c>
      <c r="Q1371" s="705">
        <v>4680</v>
      </c>
      <c r="R1371" s="705">
        <v>269872</v>
      </c>
      <c r="S1371" s="705">
        <v>224893</v>
      </c>
      <c r="T1371" s="705">
        <v>95889</v>
      </c>
      <c r="U1371" s="705">
        <v>35514</v>
      </c>
      <c r="V1371" s="705">
        <v>908687</v>
      </c>
      <c r="W1371" s="705">
        <f t="shared" si="62"/>
        <v>908687</v>
      </c>
      <c r="X1371" s="705">
        <f t="shared" si="63"/>
        <v>1182664</v>
      </c>
    </row>
    <row r="1372" spans="2:24">
      <c r="B1372" t="s">
        <v>544</v>
      </c>
      <c r="C1372" t="s">
        <v>122</v>
      </c>
      <c r="D1372" t="s">
        <v>667</v>
      </c>
      <c r="E1372" t="s">
        <v>667</v>
      </c>
      <c r="F1372" s="705">
        <v>1</v>
      </c>
      <c r="G1372" s="705">
        <v>76</v>
      </c>
      <c r="H1372" s="705">
        <v>443</v>
      </c>
      <c r="I1372" s="705">
        <v>20854</v>
      </c>
      <c r="J1372" s="705">
        <v>18958</v>
      </c>
      <c r="K1372" s="705">
        <v>45</v>
      </c>
      <c r="L1372" s="705">
        <v>3476</v>
      </c>
      <c r="M1372" s="705">
        <v>3160</v>
      </c>
      <c r="N1372" s="705">
        <v>1720</v>
      </c>
      <c r="O1372" s="705">
        <v>637</v>
      </c>
      <c r="P1372" s="705">
        <v>351</v>
      </c>
      <c r="Q1372" s="705">
        <v>130</v>
      </c>
      <c r="R1372" s="705">
        <v>7419</v>
      </c>
      <c r="S1372" s="705">
        <v>6745</v>
      </c>
      <c r="T1372" s="705">
        <v>0</v>
      </c>
      <c r="U1372" s="705">
        <v>0</v>
      </c>
      <c r="V1372" s="705">
        <v>29629</v>
      </c>
      <c r="W1372" s="705">
        <f t="shared" si="62"/>
        <v>29630</v>
      </c>
      <c r="X1372" s="705">
        <f t="shared" si="63"/>
        <v>33820</v>
      </c>
    </row>
    <row r="1373" spans="2:24">
      <c r="B1373" t="s">
        <v>544</v>
      </c>
      <c r="C1373" t="s">
        <v>122</v>
      </c>
      <c r="D1373" t="s">
        <v>671</v>
      </c>
      <c r="E1373" t="s">
        <v>228</v>
      </c>
      <c r="F1373" s="705">
        <v>1</v>
      </c>
      <c r="G1373" s="705">
        <v>76</v>
      </c>
      <c r="H1373" s="705">
        <v>417</v>
      </c>
      <c r="I1373" s="705">
        <v>22751</v>
      </c>
      <c r="J1373" s="705">
        <v>20683</v>
      </c>
      <c r="K1373" s="705">
        <v>30</v>
      </c>
      <c r="L1373" s="705">
        <v>1861</v>
      </c>
      <c r="M1373" s="705">
        <v>689</v>
      </c>
      <c r="N1373" s="705">
        <v>1842</v>
      </c>
      <c r="O1373" s="705">
        <v>682</v>
      </c>
      <c r="P1373" s="705">
        <v>0</v>
      </c>
      <c r="Q1373" s="705">
        <v>0</v>
      </c>
      <c r="R1373" s="705">
        <v>5033</v>
      </c>
      <c r="S1373" s="705">
        <v>1864</v>
      </c>
      <c r="T1373" s="705">
        <v>0</v>
      </c>
      <c r="U1373" s="705">
        <v>0</v>
      </c>
      <c r="V1373" s="705">
        <v>23918</v>
      </c>
      <c r="W1373" s="705">
        <f t="shared" si="62"/>
        <v>23918</v>
      </c>
      <c r="X1373" s="705">
        <f t="shared" si="63"/>
        <v>31487</v>
      </c>
    </row>
    <row r="1374" spans="2:24">
      <c r="B1374" t="s">
        <v>544</v>
      </c>
      <c r="C1374" t="s">
        <v>122</v>
      </c>
      <c r="D1374" t="s">
        <v>671</v>
      </c>
      <c r="E1374" t="s">
        <v>671</v>
      </c>
      <c r="F1374" s="705">
        <v>27</v>
      </c>
      <c r="G1374" s="705">
        <v>2246</v>
      </c>
      <c r="H1374" s="705">
        <v>11054</v>
      </c>
      <c r="I1374" s="705">
        <v>552863</v>
      </c>
      <c r="J1374" s="705">
        <v>502602</v>
      </c>
      <c r="K1374" s="705">
        <v>46</v>
      </c>
      <c r="L1374" s="705">
        <v>87791</v>
      </c>
      <c r="M1374" s="705">
        <v>79810</v>
      </c>
      <c r="N1374" s="705">
        <v>46852</v>
      </c>
      <c r="O1374" s="705">
        <v>17353</v>
      </c>
      <c r="P1374" s="705">
        <v>9477</v>
      </c>
      <c r="Q1374" s="705">
        <v>3510</v>
      </c>
      <c r="R1374" s="705">
        <v>167666</v>
      </c>
      <c r="S1374" s="705">
        <v>152424</v>
      </c>
      <c r="T1374" s="705">
        <v>56095</v>
      </c>
      <c r="U1374" s="705">
        <v>20776</v>
      </c>
      <c r="V1374" s="705">
        <v>776474</v>
      </c>
      <c r="W1374" s="705">
        <f t="shared" si="62"/>
        <v>776475</v>
      </c>
      <c r="X1374" s="705">
        <f t="shared" si="63"/>
        <v>920744</v>
      </c>
    </row>
    <row r="1375" spans="2:24">
      <c r="B1375" t="s">
        <v>544</v>
      </c>
      <c r="C1375" t="s">
        <v>122</v>
      </c>
      <c r="D1375" t="s">
        <v>665</v>
      </c>
      <c r="E1375" t="s">
        <v>665</v>
      </c>
      <c r="F1375" s="705">
        <v>140</v>
      </c>
      <c r="G1375" s="705">
        <v>9980</v>
      </c>
      <c r="H1375" s="705">
        <v>57191</v>
      </c>
      <c r="I1375" s="705">
        <v>2439489</v>
      </c>
      <c r="J1375" s="705">
        <v>2217717</v>
      </c>
      <c r="K1375" s="705">
        <v>49</v>
      </c>
      <c r="L1375" s="705">
        <v>269913</v>
      </c>
      <c r="M1375" s="705">
        <v>235453</v>
      </c>
      <c r="N1375" s="705">
        <v>198954</v>
      </c>
      <c r="O1375" s="705">
        <v>73687</v>
      </c>
      <c r="P1375" s="705">
        <v>48479</v>
      </c>
      <c r="Q1375" s="705">
        <v>17955</v>
      </c>
      <c r="R1375" s="705">
        <v>840016</v>
      </c>
      <c r="S1375" s="705">
        <v>763651</v>
      </c>
      <c r="T1375" s="705">
        <v>271159</v>
      </c>
      <c r="U1375" s="705">
        <v>100429</v>
      </c>
      <c r="V1375" s="705">
        <v>3408892</v>
      </c>
      <c r="W1375" s="705">
        <f t="shared" si="62"/>
        <v>3408892</v>
      </c>
      <c r="X1375" s="705">
        <f t="shared" si="63"/>
        <v>4068010</v>
      </c>
    </row>
    <row r="1376" spans="2:24">
      <c r="B1376" t="s">
        <v>544</v>
      </c>
      <c r="C1376" t="s">
        <v>124</v>
      </c>
      <c r="F1376" s="705">
        <v>2</v>
      </c>
      <c r="G1376" s="705">
        <v>442</v>
      </c>
      <c r="H1376" s="705">
        <v>929</v>
      </c>
      <c r="I1376" s="705"/>
      <c r="J1376" s="705">
        <v>0</v>
      </c>
      <c r="K1376" s="705"/>
      <c r="L1376" s="705"/>
      <c r="M1376" s="705">
        <v>0</v>
      </c>
      <c r="N1376" s="705">
        <v>9575</v>
      </c>
      <c r="O1376" s="705">
        <v>3546</v>
      </c>
      <c r="P1376" s="705">
        <v>0</v>
      </c>
      <c r="Q1376" s="705">
        <v>0</v>
      </c>
      <c r="R1376" s="705"/>
      <c r="S1376" s="705">
        <v>0</v>
      </c>
      <c r="T1376" s="705">
        <v>2078</v>
      </c>
      <c r="U1376" s="705">
        <v>770</v>
      </c>
      <c r="V1376" s="705">
        <v>4316</v>
      </c>
      <c r="W1376" s="705">
        <f t="shared" si="62"/>
        <v>4316</v>
      </c>
      <c r="X1376" s="705">
        <f t="shared" si="63"/>
        <v>11653</v>
      </c>
    </row>
    <row r="1377" spans="2:24">
      <c r="B1377" t="s">
        <v>544</v>
      </c>
      <c r="C1377" t="s">
        <v>124</v>
      </c>
      <c r="D1377" t="s">
        <v>228</v>
      </c>
      <c r="E1377" t="s">
        <v>228</v>
      </c>
      <c r="F1377" s="705">
        <v>47</v>
      </c>
      <c r="G1377" s="705">
        <v>4289</v>
      </c>
      <c r="H1377" s="705">
        <v>29689</v>
      </c>
      <c r="I1377" s="705">
        <v>1944053</v>
      </c>
      <c r="J1377" s="705">
        <v>720019</v>
      </c>
      <c r="K1377" s="705">
        <v>100</v>
      </c>
      <c r="L1377" s="705">
        <v>282583</v>
      </c>
      <c r="M1377" s="705">
        <v>229031</v>
      </c>
      <c r="N1377" s="705">
        <v>92223</v>
      </c>
      <c r="O1377" s="705">
        <v>34157</v>
      </c>
      <c r="P1377" s="705">
        <v>1715</v>
      </c>
      <c r="Q1377" s="705">
        <v>635</v>
      </c>
      <c r="R1377" s="705">
        <v>335771</v>
      </c>
      <c r="S1377" s="705">
        <v>124360</v>
      </c>
      <c r="T1377" s="705">
        <v>11230</v>
      </c>
      <c r="U1377" s="705">
        <v>4159</v>
      </c>
      <c r="V1377" s="705">
        <v>1112361</v>
      </c>
      <c r="W1377" s="705">
        <f t="shared" si="62"/>
        <v>1112361</v>
      </c>
      <c r="X1377" s="705">
        <f t="shared" si="63"/>
        <v>2667575</v>
      </c>
    </row>
    <row r="1378" spans="2:24">
      <c r="B1378" t="s">
        <v>544</v>
      </c>
      <c r="C1378" t="s">
        <v>124</v>
      </c>
      <c r="D1378" t="s">
        <v>228</v>
      </c>
      <c r="E1378" t="s">
        <v>583</v>
      </c>
      <c r="F1378" s="705">
        <v>1</v>
      </c>
      <c r="G1378" s="705">
        <v>71</v>
      </c>
      <c r="H1378" s="705">
        <v>487</v>
      </c>
      <c r="I1378" s="705">
        <v>23721</v>
      </c>
      <c r="J1378" s="705">
        <v>8785</v>
      </c>
      <c r="K1378" s="705">
        <v>100</v>
      </c>
      <c r="L1378" s="705">
        <v>4027</v>
      </c>
      <c r="M1378" s="705">
        <v>3661</v>
      </c>
      <c r="N1378" s="705">
        <v>1740</v>
      </c>
      <c r="O1378" s="705">
        <v>644</v>
      </c>
      <c r="P1378" s="705">
        <v>0</v>
      </c>
      <c r="Q1378" s="705">
        <v>0</v>
      </c>
      <c r="R1378" s="705">
        <v>3709</v>
      </c>
      <c r="S1378" s="705">
        <v>3372</v>
      </c>
      <c r="T1378" s="705">
        <v>1604</v>
      </c>
      <c r="U1378" s="705">
        <v>594</v>
      </c>
      <c r="V1378" s="705">
        <v>17057</v>
      </c>
      <c r="W1378" s="705">
        <f t="shared" si="62"/>
        <v>17056</v>
      </c>
      <c r="X1378" s="705">
        <f t="shared" si="63"/>
        <v>34801</v>
      </c>
    </row>
    <row r="1379" spans="2:24">
      <c r="B1379" t="s">
        <v>544</v>
      </c>
      <c r="C1379" t="s">
        <v>124</v>
      </c>
      <c r="D1379" t="s">
        <v>228</v>
      </c>
      <c r="E1379" t="s">
        <v>665</v>
      </c>
      <c r="F1379" s="705">
        <v>8</v>
      </c>
      <c r="G1379" s="705">
        <v>760</v>
      </c>
      <c r="H1379" s="705">
        <v>5201</v>
      </c>
      <c r="I1379" s="705">
        <v>378673</v>
      </c>
      <c r="J1379" s="705">
        <v>140249</v>
      </c>
      <c r="K1379" s="705">
        <v>93</v>
      </c>
      <c r="L1379" s="705">
        <v>38702</v>
      </c>
      <c r="M1379" s="705">
        <v>31370</v>
      </c>
      <c r="N1379" s="705">
        <v>16219</v>
      </c>
      <c r="O1379" s="705">
        <v>6007</v>
      </c>
      <c r="P1379" s="705">
        <v>1053</v>
      </c>
      <c r="Q1379" s="705">
        <v>390</v>
      </c>
      <c r="R1379" s="705">
        <v>57086</v>
      </c>
      <c r="S1379" s="705">
        <v>51897</v>
      </c>
      <c r="T1379" s="705">
        <v>20306</v>
      </c>
      <c r="U1379" s="705">
        <v>7521</v>
      </c>
      <c r="V1379" s="705">
        <v>237434</v>
      </c>
      <c r="W1379" s="705">
        <f t="shared" si="62"/>
        <v>237434</v>
      </c>
      <c r="X1379" s="705">
        <f t="shared" si="63"/>
        <v>512039</v>
      </c>
    </row>
    <row r="1380" spans="2:24">
      <c r="B1380" t="s">
        <v>544</v>
      </c>
      <c r="C1380" t="s">
        <v>124</v>
      </c>
      <c r="D1380" t="s">
        <v>583</v>
      </c>
      <c r="E1380" t="s">
        <v>228</v>
      </c>
      <c r="F1380" s="705">
        <v>1</v>
      </c>
      <c r="G1380" s="705">
        <v>78</v>
      </c>
      <c r="H1380" s="705">
        <v>600</v>
      </c>
      <c r="I1380" s="705">
        <v>34136</v>
      </c>
      <c r="J1380" s="705">
        <v>31033</v>
      </c>
      <c r="K1380" s="705">
        <v>85</v>
      </c>
      <c r="L1380" s="705">
        <v>5101</v>
      </c>
      <c r="M1380" s="705">
        <v>4638</v>
      </c>
      <c r="N1380" s="705">
        <v>1540</v>
      </c>
      <c r="O1380" s="705">
        <v>570</v>
      </c>
      <c r="P1380" s="705">
        <v>621</v>
      </c>
      <c r="Q1380" s="705">
        <v>230</v>
      </c>
      <c r="R1380" s="705">
        <v>5114</v>
      </c>
      <c r="S1380" s="705">
        <v>1894</v>
      </c>
      <c r="T1380" s="705">
        <v>0</v>
      </c>
      <c r="U1380" s="705">
        <v>0</v>
      </c>
      <c r="V1380" s="705">
        <v>38365</v>
      </c>
      <c r="W1380" s="705">
        <f t="shared" si="62"/>
        <v>38365</v>
      </c>
      <c r="X1380" s="705">
        <f t="shared" si="63"/>
        <v>46512</v>
      </c>
    </row>
    <row r="1381" spans="2:24">
      <c r="B1381" t="s">
        <v>544</v>
      </c>
      <c r="C1381" t="s">
        <v>124</v>
      </c>
      <c r="D1381" t="s">
        <v>583</v>
      </c>
      <c r="E1381" t="s">
        <v>583</v>
      </c>
      <c r="F1381" s="705">
        <v>86</v>
      </c>
      <c r="G1381" s="705">
        <v>8576</v>
      </c>
      <c r="H1381" s="705">
        <v>46255</v>
      </c>
      <c r="I1381" s="705">
        <v>3156047</v>
      </c>
      <c r="J1381" s="705">
        <v>2869134</v>
      </c>
      <c r="K1381" s="705">
        <v>70</v>
      </c>
      <c r="L1381" s="705">
        <v>617355</v>
      </c>
      <c r="M1381" s="705">
        <v>542914</v>
      </c>
      <c r="N1381" s="705">
        <v>187966</v>
      </c>
      <c r="O1381" s="705">
        <v>69617</v>
      </c>
      <c r="P1381" s="705">
        <v>53919</v>
      </c>
      <c r="Q1381" s="705">
        <v>19970</v>
      </c>
      <c r="R1381" s="705">
        <v>433356</v>
      </c>
      <c r="S1381" s="705">
        <v>393960</v>
      </c>
      <c r="T1381" s="705">
        <v>167152</v>
      </c>
      <c r="U1381" s="705">
        <v>61908</v>
      </c>
      <c r="V1381" s="705">
        <v>3957504</v>
      </c>
      <c r="W1381" s="705">
        <f t="shared" si="62"/>
        <v>3957503</v>
      </c>
      <c r="X1381" s="705">
        <f t="shared" si="63"/>
        <v>4615795</v>
      </c>
    </row>
    <row r="1382" spans="2:24">
      <c r="B1382" t="s">
        <v>544</v>
      </c>
      <c r="C1382" t="s">
        <v>124</v>
      </c>
      <c r="D1382" t="s">
        <v>666</v>
      </c>
      <c r="E1382" t="s">
        <v>228</v>
      </c>
      <c r="F1382" s="705">
        <v>1</v>
      </c>
      <c r="G1382" s="705">
        <v>78</v>
      </c>
      <c r="H1382" s="705">
        <v>682</v>
      </c>
      <c r="I1382" s="705">
        <v>41722</v>
      </c>
      <c r="J1382" s="705">
        <v>37929</v>
      </c>
      <c r="K1382" s="705">
        <v>30</v>
      </c>
      <c r="L1382" s="705">
        <v>4636</v>
      </c>
      <c r="M1382" s="705">
        <v>4214</v>
      </c>
      <c r="N1382" s="705">
        <v>1909</v>
      </c>
      <c r="O1382" s="705">
        <v>707</v>
      </c>
      <c r="P1382" s="705">
        <v>0</v>
      </c>
      <c r="Q1382" s="705">
        <v>0</v>
      </c>
      <c r="R1382" s="705">
        <v>5145</v>
      </c>
      <c r="S1382" s="705">
        <v>1906</v>
      </c>
      <c r="T1382" s="705">
        <v>0</v>
      </c>
      <c r="U1382" s="705">
        <v>0</v>
      </c>
      <c r="V1382" s="705">
        <v>44756</v>
      </c>
      <c r="W1382" s="705">
        <f t="shared" si="62"/>
        <v>44756</v>
      </c>
      <c r="X1382" s="705">
        <f t="shared" si="63"/>
        <v>53412</v>
      </c>
    </row>
    <row r="1383" spans="2:24">
      <c r="B1383" t="s">
        <v>544</v>
      </c>
      <c r="C1383" t="s">
        <v>124</v>
      </c>
      <c r="D1383" t="s">
        <v>666</v>
      </c>
      <c r="E1383" t="s">
        <v>583</v>
      </c>
      <c r="F1383" s="705">
        <v>1</v>
      </c>
      <c r="G1383" s="705">
        <v>329</v>
      </c>
      <c r="H1383" s="705">
        <v>902</v>
      </c>
      <c r="I1383" s="705">
        <v>262269</v>
      </c>
      <c r="J1383" s="705">
        <v>238426</v>
      </c>
      <c r="K1383" s="705">
        <v>30</v>
      </c>
      <c r="L1383" s="705">
        <v>13450</v>
      </c>
      <c r="M1383" s="705">
        <v>12227</v>
      </c>
      <c r="N1383" s="705">
        <v>6530</v>
      </c>
      <c r="O1383" s="705">
        <v>2418</v>
      </c>
      <c r="P1383" s="705">
        <v>270</v>
      </c>
      <c r="Q1383" s="705">
        <v>100</v>
      </c>
      <c r="R1383" s="705">
        <v>8807</v>
      </c>
      <c r="S1383" s="705">
        <v>8006</v>
      </c>
      <c r="T1383" s="705">
        <v>5301</v>
      </c>
      <c r="U1383" s="705">
        <v>1963</v>
      </c>
      <c r="V1383" s="705">
        <v>263141</v>
      </c>
      <c r="W1383" s="705">
        <f t="shared" si="62"/>
        <v>263140</v>
      </c>
      <c r="X1383" s="705">
        <f t="shared" si="63"/>
        <v>296627</v>
      </c>
    </row>
    <row r="1384" spans="2:24">
      <c r="B1384" t="s">
        <v>544</v>
      </c>
      <c r="C1384" t="s">
        <v>124</v>
      </c>
      <c r="D1384" t="s">
        <v>666</v>
      </c>
      <c r="E1384" t="s">
        <v>666</v>
      </c>
      <c r="F1384" s="705">
        <v>6</v>
      </c>
      <c r="G1384" s="705">
        <v>492</v>
      </c>
      <c r="H1384" s="705">
        <v>3072</v>
      </c>
      <c r="I1384" s="705">
        <v>163551</v>
      </c>
      <c r="J1384" s="705">
        <v>148683</v>
      </c>
      <c r="K1384" s="705">
        <v>45</v>
      </c>
      <c r="L1384" s="705">
        <v>25172</v>
      </c>
      <c r="M1384" s="705">
        <v>22884</v>
      </c>
      <c r="N1384" s="705">
        <v>10690</v>
      </c>
      <c r="O1384" s="705">
        <v>3959</v>
      </c>
      <c r="P1384" s="705">
        <v>2106</v>
      </c>
      <c r="Q1384" s="705">
        <v>780</v>
      </c>
      <c r="R1384" s="705">
        <v>36657</v>
      </c>
      <c r="S1384" s="705">
        <v>33324</v>
      </c>
      <c r="T1384" s="705">
        <v>13420</v>
      </c>
      <c r="U1384" s="705">
        <v>4970</v>
      </c>
      <c r="V1384" s="705">
        <v>214600</v>
      </c>
      <c r="W1384" s="705">
        <f t="shared" si="62"/>
        <v>214600</v>
      </c>
      <c r="X1384" s="705">
        <f t="shared" si="63"/>
        <v>251596</v>
      </c>
    </row>
    <row r="1385" spans="2:24">
      <c r="B1385" t="s">
        <v>544</v>
      </c>
      <c r="C1385" t="s">
        <v>124</v>
      </c>
      <c r="D1385" t="s">
        <v>666</v>
      </c>
      <c r="E1385" t="s">
        <v>671</v>
      </c>
      <c r="F1385" s="705">
        <v>1</v>
      </c>
      <c r="G1385" s="705">
        <v>75</v>
      </c>
      <c r="H1385" s="705">
        <v>505</v>
      </c>
      <c r="I1385" s="705">
        <v>25202</v>
      </c>
      <c r="J1385" s="705">
        <v>22911</v>
      </c>
      <c r="K1385" s="705">
        <v>65</v>
      </c>
      <c r="L1385" s="705">
        <v>5200</v>
      </c>
      <c r="M1385" s="705">
        <v>4728</v>
      </c>
      <c r="N1385" s="705">
        <v>1208</v>
      </c>
      <c r="O1385" s="705">
        <v>447</v>
      </c>
      <c r="P1385" s="705">
        <v>0</v>
      </c>
      <c r="Q1385" s="705">
        <v>0</v>
      </c>
      <c r="R1385" s="705">
        <v>6038</v>
      </c>
      <c r="S1385" s="705">
        <v>5489</v>
      </c>
      <c r="T1385" s="705">
        <v>0</v>
      </c>
      <c r="U1385" s="705">
        <v>0</v>
      </c>
      <c r="V1385" s="705">
        <v>33576</v>
      </c>
      <c r="W1385" s="705">
        <f t="shared" si="62"/>
        <v>33575</v>
      </c>
      <c r="X1385" s="705">
        <f t="shared" si="63"/>
        <v>37648</v>
      </c>
    </row>
    <row r="1386" spans="2:24">
      <c r="B1386" t="s">
        <v>544</v>
      </c>
      <c r="C1386" t="s">
        <v>124</v>
      </c>
      <c r="D1386" t="s">
        <v>584</v>
      </c>
      <c r="E1386" t="s">
        <v>584</v>
      </c>
      <c r="F1386" s="705">
        <v>9</v>
      </c>
      <c r="G1386" s="705">
        <v>727</v>
      </c>
      <c r="H1386" s="705">
        <v>4500</v>
      </c>
      <c r="I1386" s="705">
        <v>220816</v>
      </c>
      <c r="J1386" s="705">
        <v>200742</v>
      </c>
      <c r="K1386" s="705">
        <v>76</v>
      </c>
      <c r="L1386" s="705">
        <v>59619</v>
      </c>
      <c r="M1386" s="705">
        <v>52380</v>
      </c>
      <c r="N1386" s="705">
        <v>15671</v>
      </c>
      <c r="O1386" s="705">
        <v>5804</v>
      </c>
      <c r="P1386" s="705">
        <v>4253</v>
      </c>
      <c r="Q1386" s="705">
        <v>1575</v>
      </c>
      <c r="R1386" s="705">
        <v>39342</v>
      </c>
      <c r="S1386" s="705">
        <v>35765</v>
      </c>
      <c r="T1386" s="705">
        <v>16613</v>
      </c>
      <c r="U1386" s="705">
        <v>6153</v>
      </c>
      <c r="V1386" s="705">
        <v>302418</v>
      </c>
      <c r="W1386" s="705">
        <f t="shared" si="62"/>
        <v>302419</v>
      </c>
      <c r="X1386" s="705">
        <f t="shared" si="63"/>
        <v>356314</v>
      </c>
    </row>
    <row r="1387" spans="2:24">
      <c r="B1387" t="s">
        <v>544</v>
      </c>
      <c r="C1387" t="s">
        <v>124</v>
      </c>
      <c r="D1387" t="s">
        <v>669</v>
      </c>
      <c r="E1387" t="s">
        <v>228</v>
      </c>
      <c r="F1387" s="705">
        <v>1</v>
      </c>
      <c r="G1387" s="705">
        <v>122</v>
      </c>
      <c r="H1387" s="705">
        <v>980</v>
      </c>
      <c r="I1387" s="705">
        <v>103242</v>
      </c>
      <c r="J1387" s="705">
        <v>86035</v>
      </c>
      <c r="K1387" s="705">
        <v>30</v>
      </c>
      <c r="L1387" s="705">
        <v>7743</v>
      </c>
      <c r="M1387" s="705">
        <v>2868</v>
      </c>
      <c r="N1387" s="705">
        <v>2886</v>
      </c>
      <c r="O1387" s="705">
        <v>1069</v>
      </c>
      <c r="P1387" s="705">
        <v>0</v>
      </c>
      <c r="Q1387" s="705">
        <v>0</v>
      </c>
      <c r="R1387" s="705">
        <v>5808</v>
      </c>
      <c r="S1387" s="705">
        <v>2151</v>
      </c>
      <c r="T1387" s="705">
        <v>0</v>
      </c>
      <c r="U1387" s="705">
        <v>0</v>
      </c>
      <c r="V1387" s="705">
        <v>92123</v>
      </c>
      <c r="W1387" s="705">
        <f t="shared" ref="W1387:W1450" si="64">SUM(ABS(J1387),ABS(M1387),ABS(O1387),ABS(Q1387),ABS(S1387),ABS(U1387))</f>
        <v>92123</v>
      </c>
      <c r="X1387" s="705">
        <f t="shared" ref="X1387:X1450" si="65">SUM(ABS(I1387),ABS(N1387),ABS(P1387),ABS(R1387),ABS(T1387),ABS(L1387))</f>
        <v>119679</v>
      </c>
    </row>
    <row r="1388" spans="2:24">
      <c r="B1388" t="s">
        <v>544</v>
      </c>
      <c r="C1388" t="s">
        <v>124</v>
      </c>
      <c r="D1388" t="s">
        <v>669</v>
      </c>
      <c r="E1388" t="s">
        <v>669</v>
      </c>
      <c r="F1388" s="705">
        <v>17</v>
      </c>
      <c r="G1388" s="705">
        <v>1353</v>
      </c>
      <c r="H1388" s="705">
        <v>10995</v>
      </c>
      <c r="I1388" s="705">
        <v>620675</v>
      </c>
      <c r="J1388" s="705">
        <v>517229</v>
      </c>
      <c r="K1388" s="705">
        <v>49</v>
      </c>
      <c r="L1388" s="705">
        <v>86255</v>
      </c>
      <c r="M1388" s="705">
        <v>67938</v>
      </c>
      <c r="N1388" s="705">
        <v>29178</v>
      </c>
      <c r="O1388" s="705">
        <v>10807</v>
      </c>
      <c r="P1388" s="705">
        <v>5616</v>
      </c>
      <c r="Q1388" s="705">
        <v>2080</v>
      </c>
      <c r="R1388" s="705">
        <v>104259</v>
      </c>
      <c r="S1388" s="705">
        <v>86883</v>
      </c>
      <c r="T1388" s="705">
        <v>31727</v>
      </c>
      <c r="U1388" s="705">
        <v>11751</v>
      </c>
      <c r="V1388" s="705">
        <v>696688</v>
      </c>
      <c r="W1388" s="705">
        <f t="shared" si="64"/>
        <v>696688</v>
      </c>
      <c r="X1388" s="705">
        <f t="shared" si="65"/>
        <v>877710</v>
      </c>
    </row>
    <row r="1389" spans="2:24">
      <c r="B1389" t="s">
        <v>544</v>
      </c>
      <c r="C1389" t="s">
        <v>124</v>
      </c>
      <c r="D1389" t="s">
        <v>667</v>
      </c>
      <c r="E1389" t="s">
        <v>667</v>
      </c>
      <c r="F1389" s="705">
        <v>1</v>
      </c>
      <c r="G1389" s="705">
        <v>63</v>
      </c>
      <c r="H1389" s="705">
        <v>787</v>
      </c>
      <c r="I1389" s="705">
        <v>36604</v>
      </c>
      <c r="J1389" s="705">
        <v>33277</v>
      </c>
      <c r="K1389" s="705">
        <v>55</v>
      </c>
      <c r="L1389" s="705">
        <v>5491</v>
      </c>
      <c r="M1389" s="705">
        <v>2034</v>
      </c>
      <c r="N1389" s="705">
        <v>844</v>
      </c>
      <c r="O1389" s="705">
        <v>313</v>
      </c>
      <c r="P1389" s="705">
        <v>0</v>
      </c>
      <c r="Q1389" s="705">
        <v>0</v>
      </c>
      <c r="R1389" s="705">
        <v>3978</v>
      </c>
      <c r="S1389" s="705">
        <v>3616</v>
      </c>
      <c r="T1389" s="705">
        <v>2645</v>
      </c>
      <c r="U1389" s="705">
        <v>980</v>
      </c>
      <c r="V1389" s="705">
        <v>40219</v>
      </c>
      <c r="W1389" s="705">
        <f t="shared" si="64"/>
        <v>40220</v>
      </c>
      <c r="X1389" s="705">
        <f t="shared" si="65"/>
        <v>49562</v>
      </c>
    </row>
    <row r="1390" spans="2:24">
      <c r="B1390" t="s">
        <v>544</v>
      </c>
      <c r="C1390" t="s">
        <v>124</v>
      </c>
      <c r="D1390" t="s">
        <v>671</v>
      </c>
      <c r="E1390" t="s">
        <v>671</v>
      </c>
      <c r="F1390" s="705">
        <v>18</v>
      </c>
      <c r="G1390" s="705">
        <v>1502</v>
      </c>
      <c r="H1390" s="705">
        <v>9578</v>
      </c>
      <c r="I1390" s="705">
        <v>518376</v>
      </c>
      <c r="J1390" s="705">
        <v>471251</v>
      </c>
      <c r="K1390" s="705">
        <v>46</v>
      </c>
      <c r="L1390" s="705">
        <v>84002</v>
      </c>
      <c r="M1390" s="705">
        <v>72070</v>
      </c>
      <c r="N1390" s="705">
        <v>29421</v>
      </c>
      <c r="O1390" s="705">
        <v>10897</v>
      </c>
      <c r="P1390" s="705">
        <v>6318</v>
      </c>
      <c r="Q1390" s="705">
        <v>2340</v>
      </c>
      <c r="R1390" s="705">
        <v>114478</v>
      </c>
      <c r="S1390" s="705">
        <v>104071</v>
      </c>
      <c r="T1390" s="705">
        <v>36134</v>
      </c>
      <c r="U1390" s="705">
        <v>13383</v>
      </c>
      <c r="V1390" s="705">
        <v>674012</v>
      </c>
      <c r="W1390" s="705">
        <f t="shared" si="64"/>
        <v>674012</v>
      </c>
      <c r="X1390" s="705">
        <f t="shared" si="65"/>
        <v>788729</v>
      </c>
    </row>
    <row r="1391" spans="2:24">
      <c r="B1391" t="s">
        <v>544</v>
      </c>
      <c r="C1391" t="s">
        <v>124</v>
      </c>
      <c r="D1391" t="s">
        <v>665</v>
      </c>
      <c r="E1391" t="s">
        <v>228</v>
      </c>
      <c r="F1391" s="705">
        <v>18</v>
      </c>
      <c r="G1391" s="705">
        <v>1374</v>
      </c>
      <c r="H1391" s="705">
        <v>17715</v>
      </c>
      <c r="I1391" s="705">
        <v>1123520</v>
      </c>
      <c r="J1391" s="705">
        <v>1021382</v>
      </c>
      <c r="K1391" s="705">
        <v>38</v>
      </c>
      <c r="L1391" s="705">
        <v>96359</v>
      </c>
      <c r="M1391" s="705">
        <v>50590</v>
      </c>
      <c r="N1391" s="705">
        <v>32889</v>
      </c>
      <c r="O1391" s="705">
        <v>12181</v>
      </c>
      <c r="P1391" s="705">
        <v>351</v>
      </c>
      <c r="Q1391" s="705">
        <v>130</v>
      </c>
      <c r="R1391" s="705">
        <v>117996</v>
      </c>
      <c r="S1391" s="705">
        <v>43702</v>
      </c>
      <c r="T1391" s="705">
        <v>0</v>
      </c>
      <c r="U1391" s="705">
        <v>0</v>
      </c>
      <c r="V1391" s="705">
        <v>1127985</v>
      </c>
      <c r="W1391" s="705">
        <f t="shared" si="64"/>
        <v>1127985</v>
      </c>
      <c r="X1391" s="705">
        <f t="shared" si="65"/>
        <v>1371115</v>
      </c>
    </row>
    <row r="1392" spans="2:24">
      <c r="B1392" t="s">
        <v>544</v>
      </c>
      <c r="C1392" t="s">
        <v>124</v>
      </c>
      <c r="D1392" t="s">
        <v>665</v>
      </c>
      <c r="E1392" t="s">
        <v>665</v>
      </c>
      <c r="F1392" s="705">
        <v>193</v>
      </c>
      <c r="G1392" s="705">
        <v>13089</v>
      </c>
      <c r="H1392" s="705">
        <v>117276</v>
      </c>
      <c r="I1392" s="705">
        <v>5781069</v>
      </c>
      <c r="J1392" s="705">
        <v>5255518</v>
      </c>
      <c r="K1392" s="705">
        <v>48</v>
      </c>
      <c r="L1392" s="705">
        <v>696851</v>
      </c>
      <c r="M1392" s="705">
        <v>579457</v>
      </c>
      <c r="N1392" s="705">
        <v>277377</v>
      </c>
      <c r="O1392" s="705">
        <v>102732</v>
      </c>
      <c r="P1392" s="705">
        <v>64086</v>
      </c>
      <c r="Q1392" s="705">
        <v>23735</v>
      </c>
      <c r="R1392" s="705">
        <v>1140155</v>
      </c>
      <c r="S1392" s="705">
        <v>1036505</v>
      </c>
      <c r="T1392" s="705">
        <v>369658</v>
      </c>
      <c r="U1392" s="705">
        <v>136910</v>
      </c>
      <c r="V1392" s="705">
        <v>7134857</v>
      </c>
      <c r="W1392" s="705">
        <f t="shared" si="64"/>
        <v>7134857</v>
      </c>
      <c r="X1392" s="705">
        <f t="shared" si="65"/>
        <v>8329196</v>
      </c>
    </row>
    <row r="1393" spans="2:24">
      <c r="B1393" t="s">
        <v>544</v>
      </c>
      <c r="C1393" t="s">
        <v>124</v>
      </c>
      <c r="D1393" t="s">
        <v>665</v>
      </c>
      <c r="E1393" t="s">
        <v>722</v>
      </c>
      <c r="F1393" s="705">
        <v>1</v>
      </c>
      <c r="G1393" s="705">
        <v>39</v>
      </c>
      <c r="H1393" s="705">
        <v>485</v>
      </c>
      <c r="I1393" s="705">
        <v>9999</v>
      </c>
      <c r="J1393" s="705">
        <v>9090</v>
      </c>
      <c r="K1393" s="705">
        <v>45</v>
      </c>
      <c r="L1393" s="705">
        <v>0</v>
      </c>
      <c r="M1393" s="705">
        <v>0</v>
      </c>
      <c r="N1393" s="705">
        <v>657</v>
      </c>
      <c r="O1393" s="705">
        <v>243</v>
      </c>
      <c r="P1393" s="705">
        <v>351</v>
      </c>
      <c r="Q1393" s="705">
        <v>130</v>
      </c>
      <c r="R1393" s="705">
        <v>7676</v>
      </c>
      <c r="S1393" s="705">
        <v>6979</v>
      </c>
      <c r="T1393" s="705">
        <v>0</v>
      </c>
      <c r="U1393" s="705">
        <v>0</v>
      </c>
      <c r="V1393" s="705">
        <v>16442</v>
      </c>
      <c r="W1393" s="705">
        <f t="shared" si="64"/>
        <v>16442</v>
      </c>
      <c r="X1393" s="705">
        <f t="shared" si="65"/>
        <v>18683</v>
      </c>
    </row>
    <row r="1394" spans="2:24">
      <c r="B1394" t="s">
        <v>544</v>
      </c>
      <c r="C1394" t="s">
        <v>124</v>
      </c>
      <c r="D1394" t="s">
        <v>722</v>
      </c>
      <c r="E1394" t="s">
        <v>228</v>
      </c>
      <c r="F1394" s="705">
        <v>1</v>
      </c>
      <c r="G1394" s="705">
        <v>74</v>
      </c>
      <c r="H1394" s="705">
        <v>699</v>
      </c>
      <c r="I1394" s="705">
        <v>37650</v>
      </c>
      <c r="J1394" s="705">
        <v>34228</v>
      </c>
      <c r="K1394" s="705">
        <v>60</v>
      </c>
      <c r="L1394" s="705">
        <v>8367</v>
      </c>
      <c r="M1394" s="705">
        <v>7606</v>
      </c>
      <c r="N1394" s="705">
        <v>1814</v>
      </c>
      <c r="O1394" s="705">
        <v>672</v>
      </c>
      <c r="P1394" s="705">
        <v>0</v>
      </c>
      <c r="Q1394" s="705">
        <v>0</v>
      </c>
      <c r="R1394" s="705">
        <v>2839</v>
      </c>
      <c r="S1394" s="705">
        <v>1051</v>
      </c>
      <c r="T1394" s="705">
        <v>1398</v>
      </c>
      <c r="U1394" s="705">
        <v>518</v>
      </c>
      <c r="V1394" s="705">
        <v>44075</v>
      </c>
      <c r="W1394" s="705">
        <f t="shared" si="64"/>
        <v>44075</v>
      </c>
      <c r="X1394" s="705">
        <f t="shared" si="65"/>
        <v>52068</v>
      </c>
    </row>
    <row r="1395" spans="2:24">
      <c r="B1395" t="s">
        <v>545</v>
      </c>
      <c r="C1395" t="s">
        <v>108</v>
      </c>
      <c r="D1395" t="s">
        <v>228</v>
      </c>
      <c r="E1395" t="s">
        <v>228</v>
      </c>
      <c r="F1395" s="705">
        <v>11</v>
      </c>
      <c r="G1395" s="705">
        <v>1007</v>
      </c>
      <c r="H1395" s="705">
        <v>624</v>
      </c>
      <c r="I1395" s="705">
        <v>72</v>
      </c>
      <c r="J1395" s="705">
        <v>26</v>
      </c>
      <c r="K1395" s="705">
        <v>412</v>
      </c>
      <c r="L1395" s="705">
        <v>269</v>
      </c>
      <c r="M1395" s="705">
        <v>245</v>
      </c>
      <c r="N1395" s="705">
        <v>12268</v>
      </c>
      <c r="O1395" s="705">
        <v>4544</v>
      </c>
      <c r="P1395" s="705">
        <v>5616</v>
      </c>
      <c r="Q1395" s="705">
        <v>2080</v>
      </c>
      <c r="R1395" s="705">
        <v>39588</v>
      </c>
      <c r="S1395" s="705">
        <v>14662</v>
      </c>
      <c r="T1395" s="705">
        <v>0</v>
      </c>
      <c r="U1395" s="705">
        <v>0</v>
      </c>
      <c r="V1395" s="705">
        <v>21557</v>
      </c>
      <c r="W1395" s="705">
        <f t="shared" si="64"/>
        <v>21557</v>
      </c>
      <c r="X1395" s="705">
        <f t="shared" si="65"/>
        <v>57813</v>
      </c>
    </row>
    <row r="1396" spans="2:24">
      <c r="B1396" t="s">
        <v>545</v>
      </c>
      <c r="C1396" t="s">
        <v>108</v>
      </c>
      <c r="D1396" t="s">
        <v>583</v>
      </c>
      <c r="E1396" t="s">
        <v>583</v>
      </c>
      <c r="F1396" s="705">
        <v>3</v>
      </c>
      <c r="G1396" s="705">
        <v>374</v>
      </c>
      <c r="H1396" s="705">
        <v>224</v>
      </c>
      <c r="I1396" s="705">
        <v>9073</v>
      </c>
      <c r="J1396" s="705">
        <v>8248</v>
      </c>
      <c r="K1396" s="705">
        <v>93</v>
      </c>
      <c r="L1396" s="705">
        <v>1559</v>
      </c>
      <c r="M1396" s="705">
        <v>1418</v>
      </c>
      <c r="N1396" s="705">
        <v>4557</v>
      </c>
      <c r="O1396" s="705">
        <v>1688</v>
      </c>
      <c r="P1396" s="705">
        <v>5220</v>
      </c>
      <c r="Q1396" s="705">
        <v>1933</v>
      </c>
      <c r="R1396" s="705">
        <v>7564</v>
      </c>
      <c r="S1396" s="705">
        <v>6877</v>
      </c>
      <c r="T1396" s="705">
        <v>0</v>
      </c>
      <c r="U1396" s="705">
        <v>0</v>
      </c>
      <c r="V1396" s="705">
        <v>20164</v>
      </c>
      <c r="W1396" s="705">
        <f t="shared" si="64"/>
        <v>20164</v>
      </c>
      <c r="X1396" s="705">
        <f t="shared" si="65"/>
        <v>27973</v>
      </c>
    </row>
    <row r="1397" spans="2:24">
      <c r="B1397" t="s">
        <v>545</v>
      </c>
      <c r="C1397" t="s">
        <v>112</v>
      </c>
      <c r="D1397" t="s">
        <v>583</v>
      </c>
      <c r="E1397" t="s">
        <v>583</v>
      </c>
      <c r="F1397" s="705">
        <v>28</v>
      </c>
      <c r="G1397" s="705">
        <v>3598</v>
      </c>
      <c r="H1397" s="705">
        <v>3306</v>
      </c>
      <c r="I1397" s="705">
        <v>194851</v>
      </c>
      <c r="J1397" s="705">
        <v>177137</v>
      </c>
      <c r="K1397" s="705">
        <v>93</v>
      </c>
      <c r="L1397" s="705">
        <v>33378</v>
      </c>
      <c r="M1397" s="705">
        <v>30260</v>
      </c>
      <c r="N1397" s="705">
        <v>57893</v>
      </c>
      <c r="O1397" s="705">
        <v>21442</v>
      </c>
      <c r="P1397" s="705">
        <v>17388</v>
      </c>
      <c r="Q1397" s="705">
        <v>6440</v>
      </c>
      <c r="R1397" s="705">
        <v>122071</v>
      </c>
      <c r="S1397" s="705">
        <v>110974</v>
      </c>
      <c r="T1397" s="705">
        <v>0</v>
      </c>
      <c r="U1397" s="705">
        <v>0</v>
      </c>
      <c r="V1397" s="705">
        <v>346253</v>
      </c>
      <c r="W1397" s="705">
        <f t="shared" si="64"/>
        <v>346253</v>
      </c>
      <c r="X1397" s="705">
        <f t="shared" si="65"/>
        <v>425581</v>
      </c>
    </row>
    <row r="1398" spans="2:24">
      <c r="B1398" t="s">
        <v>545</v>
      </c>
      <c r="C1398" t="s">
        <v>114</v>
      </c>
      <c r="D1398" t="s">
        <v>664</v>
      </c>
      <c r="E1398" t="s">
        <v>664</v>
      </c>
      <c r="F1398" s="705">
        <v>1</v>
      </c>
      <c r="G1398" s="705">
        <v>122</v>
      </c>
      <c r="H1398" s="705">
        <v>149</v>
      </c>
      <c r="I1398" s="705">
        <v>8043</v>
      </c>
      <c r="J1398" s="705">
        <v>7312</v>
      </c>
      <c r="K1398" s="705">
        <v>82</v>
      </c>
      <c r="L1398" s="705">
        <v>2440</v>
      </c>
      <c r="M1398" s="705">
        <v>2218</v>
      </c>
      <c r="N1398" s="705">
        <v>2715</v>
      </c>
      <c r="O1398" s="705">
        <v>1005</v>
      </c>
      <c r="P1398" s="705">
        <v>473</v>
      </c>
      <c r="Q1398" s="705">
        <v>175</v>
      </c>
      <c r="R1398" s="705">
        <v>4559</v>
      </c>
      <c r="S1398" s="705">
        <v>4145</v>
      </c>
      <c r="T1398" s="705">
        <v>0</v>
      </c>
      <c r="U1398" s="705">
        <v>0</v>
      </c>
      <c r="V1398" s="705">
        <v>14855</v>
      </c>
      <c r="W1398" s="705">
        <f t="shared" si="64"/>
        <v>14855</v>
      </c>
      <c r="X1398" s="705">
        <f t="shared" si="65"/>
        <v>18230</v>
      </c>
    </row>
    <row r="1399" spans="2:24">
      <c r="B1399" t="s">
        <v>545</v>
      </c>
      <c r="C1399" t="s">
        <v>114</v>
      </c>
      <c r="D1399" t="s">
        <v>664</v>
      </c>
      <c r="E1399" t="s">
        <v>584</v>
      </c>
      <c r="F1399" s="705">
        <v>1</v>
      </c>
      <c r="G1399" s="705">
        <v>129</v>
      </c>
      <c r="H1399" s="705">
        <v>141</v>
      </c>
      <c r="I1399" s="705">
        <v>9467</v>
      </c>
      <c r="J1399" s="705">
        <v>8606</v>
      </c>
      <c r="K1399" s="705">
        <v>91</v>
      </c>
      <c r="L1399" s="705">
        <v>0</v>
      </c>
      <c r="M1399" s="705">
        <v>0</v>
      </c>
      <c r="N1399" s="705">
        <v>2523</v>
      </c>
      <c r="O1399" s="705">
        <v>934</v>
      </c>
      <c r="P1399" s="705">
        <v>351</v>
      </c>
      <c r="Q1399" s="705">
        <v>130</v>
      </c>
      <c r="R1399" s="705">
        <v>3150</v>
      </c>
      <c r="S1399" s="705">
        <v>2864</v>
      </c>
      <c r="T1399" s="705">
        <v>2742</v>
      </c>
      <c r="U1399" s="705">
        <v>1015</v>
      </c>
      <c r="V1399" s="705">
        <v>13550</v>
      </c>
      <c r="W1399" s="705">
        <f t="shared" si="64"/>
        <v>13549</v>
      </c>
      <c r="X1399" s="705">
        <f t="shared" si="65"/>
        <v>18233</v>
      </c>
    </row>
    <row r="1400" spans="2:24">
      <c r="B1400" t="s">
        <v>545</v>
      </c>
      <c r="C1400" t="s">
        <v>114</v>
      </c>
      <c r="D1400" t="s">
        <v>582</v>
      </c>
      <c r="E1400" t="s">
        <v>582</v>
      </c>
      <c r="F1400" s="705">
        <v>42</v>
      </c>
      <c r="G1400" s="705">
        <v>4933</v>
      </c>
      <c r="H1400" s="705">
        <v>5888</v>
      </c>
      <c r="I1400" s="705">
        <v>299351</v>
      </c>
      <c r="J1400" s="705">
        <v>272137</v>
      </c>
      <c r="K1400" s="705">
        <v>84</v>
      </c>
      <c r="L1400" s="705">
        <v>70622</v>
      </c>
      <c r="M1400" s="705">
        <v>64201</v>
      </c>
      <c r="N1400" s="705">
        <v>97259</v>
      </c>
      <c r="O1400" s="705">
        <v>36022</v>
      </c>
      <c r="P1400" s="705">
        <v>18387</v>
      </c>
      <c r="Q1400" s="705">
        <v>6810</v>
      </c>
      <c r="R1400" s="705">
        <v>205045</v>
      </c>
      <c r="S1400" s="705">
        <v>186405</v>
      </c>
      <c r="T1400" s="705">
        <v>2396</v>
      </c>
      <c r="U1400" s="705">
        <v>887</v>
      </c>
      <c r="V1400" s="705">
        <v>566462</v>
      </c>
      <c r="W1400" s="705">
        <f t="shared" si="64"/>
        <v>566462</v>
      </c>
      <c r="X1400" s="705">
        <f t="shared" si="65"/>
        <v>693060</v>
      </c>
    </row>
    <row r="1401" spans="2:24">
      <c r="B1401" t="s">
        <v>545</v>
      </c>
      <c r="C1401" t="s">
        <v>114</v>
      </c>
      <c r="D1401" t="s">
        <v>228</v>
      </c>
      <c r="E1401" t="s">
        <v>228</v>
      </c>
      <c r="F1401" s="705">
        <v>1</v>
      </c>
      <c r="G1401" s="705">
        <v>90</v>
      </c>
      <c r="H1401" s="705">
        <v>134</v>
      </c>
      <c r="I1401" s="705">
        <v>3168</v>
      </c>
      <c r="J1401" s="705">
        <v>1173</v>
      </c>
      <c r="K1401" s="705">
        <v>402</v>
      </c>
      <c r="L1401" s="705">
        <v>673</v>
      </c>
      <c r="M1401" s="705">
        <v>611</v>
      </c>
      <c r="N1401" s="705">
        <v>1092</v>
      </c>
      <c r="O1401" s="705">
        <v>405</v>
      </c>
      <c r="P1401" s="705">
        <v>702</v>
      </c>
      <c r="Q1401" s="705">
        <v>260</v>
      </c>
      <c r="R1401" s="705">
        <v>6352</v>
      </c>
      <c r="S1401" s="705">
        <v>2353</v>
      </c>
      <c r="T1401" s="705">
        <v>0</v>
      </c>
      <c r="U1401" s="705">
        <v>0</v>
      </c>
      <c r="V1401" s="705">
        <v>4802</v>
      </c>
      <c r="W1401" s="705">
        <f t="shared" si="64"/>
        <v>4802</v>
      </c>
      <c r="X1401" s="705">
        <f t="shared" si="65"/>
        <v>11987</v>
      </c>
    </row>
    <row r="1402" spans="2:24">
      <c r="B1402" t="s">
        <v>545</v>
      </c>
      <c r="C1402" t="s">
        <v>114</v>
      </c>
      <c r="D1402" t="s">
        <v>583</v>
      </c>
      <c r="E1402" t="s">
        <v>583</v>
      </c>
      <c r="F1402" s="705">
        <v>117</v>
      </c>
      <c r="G1402" s="705">
        <v>13008</v>
      </c>
      <c r="H1402" s="705">
        <v>16607</v>
      </c>
      <c r="I1402" s="705">
        <v>813062</v>
      </c>
      <c r="J1402" s="705">
        <v>739147</v>
      </c>
      <c r="K1402" s="705">
        <v>91</v>
      </c>
      <c r="L1402" s="705">
        <v>177694</v>
      </c>
      <c r="M1402" s="705">
        <v>160530</v>
      </c>
      <c r="N1402" s="705">
        <v>233104</v>
      </c>
      <c r="O1402" s="705">
        <v>86335</v>
      </c>
      <c r="P1402" s="705">
        <v>72657</v>
      </c>
      <c r="Q1402" s="705">
        <v>26910</v>
      </c>
      <c r="R1402" s="705">
        <v>504166</v>
      </c>
      <c r="S1402" s="705">
        <v>458333</v>
      </c>
      <c r="T1402" s="705">
        <v>49832</v>
      </c>
      <c r="U1402" s="705">
        <v>18456</v>
      </c>
      <c r="V1402" s="705">
        <v>1489711</v>
      </c>
      <c r="W1402" s="705">
        <f t="shared" si="64"/>
        <v>1489711</v>
      </c>
      <c r="X1402" s="705">
        <f t="shared" si="65"/>
        <v>1850515</v>
      </c>
    </row>
    <row r="1403" spans="2:24">
      <c r="B1403" t="s">
        <v>545</v>
      </c>
      <c r="C1403" t="s">
        <v>114</v>
      </c>
      <c r="D1403" t="s">
        <v>584</v>
      </c>
      <c r="E1403" t="s">
        <v>584</v>
      </c>
      <c r="F1403" s="705">
        <v>4</v>
      </c>
      <c r="G1403" s="705">
        <v>467</v>
      </c>
      <c r="H1403" s="705">
        <v>572</v>
      </c>
      <c r="I1403" s="705">
        <v>30512</v>
      </c>
      <c r="J1403" s="705">
        <v>27738</v>
      </c>
      <c r="K1403" s="705">
        <v>88</v>
      </c>
      <c r="L1403" s="705">
        <v>6523</v>
      </c>
      <c r="M1403" s="705">
        <v>5930</v>
      </c>
      <c r="N1403" s="705">
        <v>9413</v>
      </c>
      <c r="O1403" s="705">
        <v>3486</v>
      </c>
      <c r="P1403" s="705">
        <v>2241</v>
      </c>
      <c r="Q1403" s="705">
        <v>830</v>
      </c>
      <c r="R1403" s="705">
        <v>18199</v>
      </c>
      <c r="S1403" s="705">
        <v>16544</v>
      </c>
      <c r="T1403" s="705">
        <v>0</v>
      </c>
      <c r="U1403" s="705">
        <v>0</v>
      </c>
      <c r="V1403" s="705">
        <v>54528</v>
      </c>
      <c r="W1403" s="705">
        <f t="shared" si="64"/>
        <v>54528</v>
      </c>
      <c r="X1403" s="705">
        <f t="shared" si="65"/>
        <v>66888</v>
      </c>
    </row>
    <row r="1404" spans="2:24">
      <c r="B1404" t="s">
        <v>545</v>
      </c>
      <c r="C1404" t="s">
        <v>116</v>
      </c>
      <c r="D1404" t="s">
        <v>664</v>
      </c>
      <c r="E1404" t="s">
        <v>664</v>
      </c>
      <c r="F1404" s="705">
        <v>2</v>
      </c>
      <c r="G1404" s="705">
        <v>287</v>
      </c>
      <c r="H1404" s="705">
        <v>383</v>
      </c>
      <c r="I1404" s="705">
        <v>26326</v>
      </c>
      <c r="J1404" s="705">
        <v>23933</v>
      </c>
      <c r="K1404" s="705">
        <v>73</v>
      </c>
      <c r="L1404" s="705">
        <v>6767</v>
      </c>
      <c r="M1404" s="705">
        <v>6152</v>
      </c>
      <c r="N1404" s="705">
        <v>6538</v>
      </c>
      <c r="O1404" s="705">
        <v>2421</v>
      </c>
      <c r="P1404" s="705">
        <v>972</v>
      </c>
      <c r="Q1404" s="705">
        <v>360</v>
      </c>
      <c r="R1404" s="705">
        <v>12143</v>
      </c>
      <c r="S1404" s="705">
        <v>11039</v>
      </c>
      <c r="T1404" s="705">
        <v>2576</v>
      </c>
      <c r="U1404" s="705">
        <v>954</v>
      </c>
      <c r="V1404" s="705">
        <v>44859</v>
      </c>
      <c r="W1404" s="705">
        <f t="shared" si="64"/>
        <v>44859</v>
      </c>
      <c r="X1404" s="705">
        <f t="shared" si="65"/>
        <v>55322</v>
      </c>
    </row>
    <row r="1405" spans="2:24">
      <c r="B1405" t="s">
        <v>545</v>
      </c>
      <c r="C1405" t="s">
        <v>116</v>
      </c>
      <c r="D1405" t="s">
        <v>582</v>
      </c>
      <c r="E1405" t="s">
        <v>664</v>
      </c>
      <c r="F1405" s="705">
        <v>1</v>
      </c>
      <c r="G1405" s="705">
        <v>115</v>
      </c>
      <c r="H1405" s="705">
        <v>195</v>
      </c>
      <c r="I1405" s="705">
        <v>9879</v>
      </c>
      <c r="J1405" s="705">
        <v>8981</v>
      </c>
      <c r="K1405" s="705">
        <v>79</v>
      </c>
      <c r="L1405" s="705">
        <v>2744</v>
      </c>
      <c r="M1405" s="705">
        <v>2495</v>
      </c>
      <c r="N1405" s="705">
        <v>2691</v>
      </c>
      <c r="O1405" s="705">
        <v>997</v>
      </c>
      <c r="P1405" s="705">
        <v>473</v>
      </c>
      <c r="Q1405" s="705">
        <v>175</v>
      </c>
      <c r="R1405" s="705">
        <v>6676</v>
      </c>
      <c r="S1405" s="705">
        <v>6069</v>
      </c>
      <c r="T1405" s="705">
        <v>0</v>
      </c>
      <c r="U1405" s="705">
        <v>0</v>
      </c>
      <c r="V1405" s="705">
        <v>18716</v>
      </c>
      <c r="W1405" s="705">
        <f t="shared" si="64"/>
        <v>18717</v>
      </c>
      <c r="X1405" s="705">
        <f t="shared" si="65"/>
        <v>22463</v>
      </c>
    </row>
    <row r="1406" spans="2:24">
      <c r="B1406" t="s">
        <v>545</v>
      </c>
      <c r="C1406" t="s">
        <v>116</v>
      </c>
      <c r="D1406" t="s">
        <v>582</v>
      </c>
      <c r="E1406" t="s">
        <v>582</v>
      </c>
      <c r="F1406" s="705">
        <v>120</v>
      </c>
      <c r="G1406" s="705">
        <v>13588</v>
      </c>
      <c r="H1406" s="705">
        <v>21628</v>
      </c>
      <c r="I1406" s="705">
        <v>1069137</v>
      </c>
      <c r="J1406" s="705">
        <v>971943</v>
      </c>
      <c r="K1406" s="705">
        <v>77</v>
      </c>
      <c r="L1406" s="705">
        <v>303162</v>
      </c>
      <c r="M1406" s="705">
        <v>273655</v>
      </c>
      <c r="N1406" s="705">
        <v>308909</v>
      </c>
      <c r="O1406" s="705">
        <v>114411</v>
      </c>
      <c r="P1406" s="705">
        <v>56133</v>
      </c>
      <c r="Q1406" s="705">
        <v>20790</v>
      </c>
      <c r="R1406" s="705">
        <v>672708</v>
      </c>
      <c r="S1406" s="705">
        <v>611552</v>
      </c>
      <c r="T1406" s="705">
        <v>25661</v>
      </c>
      <c r="U1406" s="705">
        <v>9504</v>
      </c>
      <c r="V1406" s="705">
        <v>2001855</v>
      </c>
      <c r="W1406" s="705">
        <f t="shared" si="64"/>
        <v>2001855</v>
      </c>
      <c r="X1406" s="705">
        <f t="shared" si="65"/>
        <v>2435710</v>
      </c>
    </row>
    <row r="1407" spans="2:24">
      <c r="B1407" t="s">
        <v>545</v>
      </c>
      <c r="C1407" t="s">
        <v>116</v>
      </c>
      <c r="D1407" t="s">
        <v>228</v>
      </c>
      <c r="E1407" t="s">
        <v>228</v>
      </c>
      <c r="F1407" s="705">
        <v>57</v>
      </c>
      <c r="G1407" s="705">
        <v>5394</v>
      </c>
      <c r="H1407" s="705">
        <v>11754</v>
      </c>
      <c r="I1407" s="705">
        <v>498632</v>
      </c>
      <c r="J1407" s="705">
        <v>184678</v>
      </c>
      <c r="K1407" s="705">
        <v>132</v>
      </c>
      <c r="L1407" s="705">
        <v>102918</v>
      </c>
      <c r="M1407" s="705">
        <v>52058</v>
      </c>
      <c r="N1407" s="705">
        <v>116240</v>
      </c>
      <c r="O1407" s="705">
        <v>43052</v>
      </c>
      <c r="P1407" s="705">
        <v>184</v>
      </c>
      <c r="Q1407" s="705">
        <v>68</v>
      </c>
      <c r="R1407" s="705">
        <v>398632</v>
      </c>
      <c r="S1407" s="705">
        <v>147641</v>
      </c>
      <c r="T1407" s="705">
        <v>0</v>
      </c>
      <c r="U1407" s="705">
        <v>0</v>
      </c>
      <c r="V1407" s="705">
        <v>427498</v>
      </c>
      <c r="W1407" s="705">
        <f t="shared" si="64"/>
        <v>427497</v>
      </c>
      <c r="X1407" s="705">
        <f t="shared" si="65"/>
        <v>1116606</v>
      </c>
    </row>
    <row r="1408" spans="2:24">
      <c r="B1408" t="s">
        <v>545</v>
      </c>
      <c r="C1408" t="s">
        <v>116</v>
      </c>
      <c r="D1408" t="s">
        <v>583</v>
      </c>
      <c r="E1408" t="s">
        <v>674</v>
      </c>
      <c r="F1408" s="705">
        <v>1</v>
      </c>
      <c r="G1408" s="705">
        <v>84</v>
      </c>
      <c r="H1408" s="705">
        <v>185</v>
      </c>
      <c r="I1408" s="705">
        <v>6669</v>
      </c>
      <c r="J1408" s="705">
        <v>6063</v>
      </c>
      <c r="K1408" s="705">
        <v>95</v>
      </c>
      <c r="L1408" s="705">
        <v>1215</v>
      </c>
      <c r="M1408" s="705">
        <v>1105</v>
      </c>
      <c r="N1408" s="705">
        <v>2058</v>
      </c>
      <c r="O1408" s="705">
        <v>762</v>
      </c>
      <c r="P1408" s="705">
        <v>621</v>
      </c>
      <c r="Q1408" s="705">
        <v>230</v>
      </c>
      <c r="R1408" s="705">
        <v>2660</v>
      </c>
      <c r="S1408" s="705">
        <v>2418</v>
      </c>
      <c r="T1408" s="705">
        <v>2359</v>
      </c>
      <c r="U1408" s="705">
        <v>874</v>
      </c>
      <c r="V1408" s="705">
        <v>11452</v>
      </c>
      <c r="W1408" s="705">
        <f t="shared" si="64"/>
        <v>11452</v>
      </c>
      <c r="X1408" s="705">
        <f t="shared" si="65"/>
        <v>15582</v>
      </c>
    </row>
    <row r="1409" spans="2:24">
      <c r="B1409" t="s">
        <v>545</v>
      </c>
      <c r="C1409" t="s">
        <v>116</v>
      </c>
      <c r="D1409" t="s">
        <v>583</v>
      </c>
      <c r="E1409" t="s">
        <v>664</v>
      </c>
      <c r="F1409" s="705">
        <v>1</v>
      </c>
      <c r="G1409" s="705">
        <v>114</v>
      </c>
      <c r="H1409" s="705">
        <v>198</v>
      </c>
      <c r="I1409" s="705">
        <v>10927</v>
      </c>
      <c r="J1409" s="705">
        <v>9933</v>
      </c>
      <c r="K1409" s="705">
        <v>86</v>
      </c>
      <c r="L1409" s="705">
        <v>3294</v>
      </c>
      <c r="M1409" s="705">
        <v>2995</v>
      </c>
      <c r="N1409" s="705">
        <v>2013</v>
      </c>
      <c r="O1409" s="705">
        <v>745</v>
      </c>
      <c r="P1409" s="705">
        <v>621</v>
      </c>
      <c r="Q1409" s="705">
        <v>230</v>
      </c>
      <c r="R1409" s="705">
        <v>3150</v>
      </c>
      <c r="S1409" s="705">
        <v>2863</v>
      </c>
      <c r="T1409" s="705">
        <v>2557</v>
      </c>
      <c r="U1409" s="705">
        <v>947</v>
      </c>
      <c r="V1409" s="705">
        <v>17714</v>
      </c>
      <c r="W1409" s="705">
        <f t="shared" si="64"/>
        <v>17713</v>
      </c>
      <c r="X1409" s="705">
        <f t="shared" si="65"/>
        <v>22562</v>
      </c>
    </row>
    <row r="1410" spans="2:24">
      <c r="B1410" t="s">
        <v>545</v>
      </c>
      <c r="C1410" t="s">
        <v>116</v>
      </c>
      <c r="D1410" t="s">
        <v>583</v>
      </c>
      <c r="E1410" t="s">
        <v>228</v>
      </c>
      <c r="F1410" s="705">
        <v>2</v>
      </c>
      <c r="G1410" s="705">
        <v>181</v>
      </c>
      <c r="H1410" s="705">
        <v>385</v>
      </c>
      <c r="I1410" s="705">
        <v>14252</v>
      </c>
      <c r="J1410" s="705">
        <v>12957</v>
      </c>
      <c r="K1410" s="705">
        <v>86</v>
      </c>
      <c r="L1410" s="705">
        <v>2668</v>
      </c>
      <c r="M1410" s="705">
        <v>2425</v>
      </c>
      <c r="N1410" s="705">
        <v>4223</v>
      </c>
      <c r="O1410" s="705">
        <v>1564</v>
      </c>
      <c r="P1410" s="705">
        <v>1242</v>
      </c>
      <c r="Q1410" s="705">
        <v>460</v>
      </c>
      <c r="R1410" s="705">
        <v>12744</v>
      </c>
      <c r="S1410" s="705">
        <v>4720</v>
      </c>
      <c r="T1410" s="705">
        <v>0</v>
      </c>
      <c r="U1410" s="705">
        <v>0</v>
      </c>
      <c r="V1410" s="705">
        <v>22126</v>
      </c>
      <c r="W1410" s="705">
        <f t="shared" si="64"/>
        <v>22126</v>
      </c>
      <c r="X1410" s="705">
        <f t="shared" si="65"/>
        <v>35129</v>
      </c>
    </row>
    <row r="1411" spans="2:24">
      <c r="B1411" t="s">
        <v>545</v>
      </c>
      <c r="C1411" t="s">
        <v>116</v>
      </c>
      <c r="D1411" t="s">
        <v>583</v>
      </c>
      <c r="E1411" t="s">
        <v>583</v>
      </c>
      <c r="F1411" s="705">
        <v>772</v>
      </c>
      <c r="G1411" s="705">
        <v>80569</v>
      </c>
      <c r="H1411" s="705">
        <v>143702</v>
      </c>
      <c r="I1411" s="705">
        <v>6820883</v>
      </c>
      <c r="J1411" s="705">
        <v>6200803</v>
      </c>
      <c r="K1411" s="705">
        <v>86</v>
      </c>
      <c r="L1411" s="705">
        <v>1781422</v>
      </c>
      <c r="M1411" s="705">
        <v>1596399</v>
      </c>
      <c r="N1411" s="705">
        <v>1643911</v>
      </c>
      <c r="O1411" s="705">
        <v>608856</v>
      </c>
      <c r="P1411" s="705">
        <v>482706</v>
      </c>
      <c r="Q1411" s="705">
        <v>178780</v>
      </c>
      <c r="R1411" s="705">
        <v>3379342</v>
      </c>
      <c r="S1411" s="705">
        <v>3072129</v>
      </c>
      <c r="T1411" s="705">
        <v>855968</v>
      </c>
      <c r="U1411" s="705">
        <v>317025</v>
      </c>
      <c r="V1411" s="705">
        <v>11973993</v>
      </c>
      <c r="W1411" s="705">
        <f t="shared" si="64"/>
        <v>11973992</v>
      </c>
      <c r="X1411" s="705">
        <f t="shared" si="65"/>
        <v>14964232</v>
      </c>
    </row>
    <row r="1412" spans="2:24">
      <c r="B1412" t="s">
        <v>545</v>
      </c>
      <c r="C1412" t="s">
        <v>116</v>
      </c>
      <c r="D1412" t="s">
        <v>583</v>
      </c>
      <c r="E1412" t="s">
        <v>584</v>
      </c>
      <c r="F1412" s="705">
        <v>1</v>
      </c>
      <c r="G1412" s="705">
        <v>90</v>
      </c>
      <c r="H1412" s="705">
        <v>223</v>
      </c>
      <c r="I1412" s="705">
        <v>8697</v>
      </c>
      <c r="J1412" s="705">
        <v>7907</v>
      </c>
      <c r="K1412" s="705">
        <v>84</v>
      </c>
      <c r="L1412" s="705">
        <v>2693</v>
      </c>
      <c r="M1412" s="705">
        <v>2448</v>
      </c>
      <c r="N1412" s="705">
        <v>2127</v>
      </c>
      <c r="O1412" s="705">
        <v>788</v>
      </c>
      <c r="P1412" s="705">
        <v>351</v>
      </c>
      <c r="Q1412" s="705">
        <v>130</v>
      </c>
      <c r="R1412" s="705">
        <v>3614</v>
      </c>
      <c r="S1412" s="705">
        <v>3285</v>
      </c>
      <c r="T1412" s="705">
        <v>2566</v>
      </c>
      <c r="U1412" s="705">
        <v>950</v>
      </c>
      <c r="V1412" s="705">
        <v>15508</v>
      </c>
      <c r="W1412" s="705">
        <f t="shared" si="64"/>
        <v>15508</v>
      </c>
      <c r="X1412" s="705">
        <f t="shared" si="65"/>
        <v>20048</v>
      </c>
    </row>
    <row r="1413" spans="2:24">
      <c r="B1413" t="s">
        <v>545</v>
      </c>
      <c r="C1413" t="s">
        <v>116</v>
      </c>
      <c r="D1413" t="s">
        <v>583</v>
      </c>
      <c r="E1413" t="s">
        <v>665</v>
      </c>
      <c r="F1413" s="705">
        <v>1</v>
      </c>
      <c r="G1413" s="705">
        <v>105</v>
      </c>
      <c r="H1413" s="705">
        <v>214</v>
      </c>
      <c r="I1413" s="705">
        <v>10531</v>
      </c>
      <c r="J1413" s="705">
        <v>9574</v>
      </c>
      <c r="K1413" s="705">
        <v>79</v>
      </c>
      <c r="L1413" s="705">
        <v>2925</v>
      </c>
      <c r="M1413" s="705">
        <v>2659</v>
      </c>
      <c r="N1413" s="705">
        <v>2560</v>
      </c>
      <c r="O1413" s="705">
        <v>948</v>
      </c>
      <c r="P1413" s="705">
        <v>621</v>
      </c>
      <c r="Q1413" s="705">
        <v>230</v>
      </c>
      <c r="R1413" s="705">
        <v>5887</v>
      </c>
      <c r="S1413" s="705">
        <v>5352</v>
      </c>
      <c r="T1413" s="705">
        <v>0</v>
      </c>
      <c r="U1413" s="705">
        <v>0</v>
      </c>
      <c r="V1413" s="705">
        <v>18763</v>
      </c>
      <c r="W1413" s="705">
        <f t="shared" si="64"/>
        <v>18763</v>
      </c>
      <c r="X1413" s="705">
        <f t="shared" si="65"/>
        <v>22524</v>
      </c>
    </row>
    <row r="1414" spans="2:24">
      <c r="B1414" t="s">
        <v>545</v>
      </c>
      <c r="C1414" t="s">
        <v>116</v>
      </c>
      <c r="D1414" t="s">
        <v>666</v>
      </c>
      <c r="E1414" t="s">
        <v>666</v>
      </c>
      <c r="F1414" s="705">
        <v>1</v>
      </c>
      <c r="G1414" s="705">
        <v>88</v>
      </c>
      <c r="H1414" s="705">
        <v>225</v>
      </c>
      <c r="I1414" s="705">
        <v>9589</v>
      </c>
      <c r="J1414" s="705">
        <v>8717</v>
      </c>
      <c r="K1414" s="705">
        <v>65</v>
      </c>
      <c r="L1414" s="705">
        <v>1623</v>
      </c>
      <c r="M1414" s="705">
        <v>1476</v>
      </c>
      <c r="N1414" s="705">
        <v>2033</v>
      </c>
      <c r="O1414" s="705">
        <v>753</v>
      </c>
      <c r="P1414" s="705">
        <v>621</v>
      </c>
      <c r="Q1414" s="705">
        <v>230</v>
      </c>
      <c r="R1414" s="705">
        <v>3580</v>
      </c>
      <c r="S1414" s="705">
        <v>3255</v>
      </c>
      <c r="T1414" s="705">
        <v>2270</v>
      </c>
      <c r="U1414" s="705">
        <v>841</v>
      </c>
      <c r="V1414" s="705">
        <v>15271</v>
      </c>
      <c r="W1414" s="705">
        <f t="shared" si="64"/>
        <v>15272</v>
      </c>
      <c r="X1414" s="705">
        <f t="shared" si="65"/>
        <v>19716</v>
      </c>
    </row>
    <row r="1415" spans="2:24">
      <c r="B1415" t="s">
        <v>545</v>
      </c>
      <c r="C1415" t="s">
        <v>116</v>
      </c>
      <c r="D1415" t="s">
        <v>584</v>
      </c>
      <c r="E1415" t="s">
        <v>584</v>
      </c>
      <c r="F1415" s="705">
        <v>17</v>
      </c>
      <c r="G1415" s="705">
        <v>1732</v>
      </c>
      <c r="H1415" s="705">
        <v>3141</v>
      </c>
      <c r="I1415" s="705">
        <v>147066</v>
      </c>
      <c r="J1415" s="705">
        <v>133696</v>
      </c>
      <c r="K1415" s="705">
        <v>77</v>
      </c>
      <c r="L1415" s="705">
        <v>39214</v>
      </c>
      <c r="M1415" s="705">
        <v>35649</v>
      </c>
      <c r="N1415" s="705">
        <v>38618</v>
      </c>
      <c r="O1415" s="705">
        <v>14303</v>
      </c>
      <c r="P1415" s="705">
        <v>8033</v>
      </c>
      <c r="Q1415" s="705">
        <v>2975</v>
      </c>
      <c r="R1415" s="705">
        <v>86080</v>
      </c>
      <c r="S1415" s="705">
        <v>78255</v>
      </c>
      <c r="T1415" s="705">
        <v>0</v>
      </c>
      <c r="U1415" s="705">
        <v>0</v>
      </c>
      <c r="V1415" s="705">
        <v>264878</v>
      </c>
      <c r="W1415" s="705">
        <f t="shared" si="64"/>
        <v>264878</v>
      </c>
      <c r="X1415" s="705">
        <f t="shared" si="65"/>
        <v>319011</v>
      </c>
    </row>
    <row r="1416" spans="2:24">
      <c r="B1416" t="s">
        <v>545</v>
      </c>
      <c r="C1416" t="s">
        <v>116</v>
      </c>
      <c r="D1416" t="s">
        <v>665</v>
      </c>
      <c r="E1416" t="s">
        <v>665</v>
      </c>
      <c r="F1416" s="705">
        <v>2</v>
      </c>
      <c r="G1416" s="705">
        <v>210</v>
      </c>
      <c r="H1416" s="705">
        <v>384</v>
      </c>
      <c r="I1416" s="705">
        <v>18604</v>
      </c>
      <c r="J1416" s="705">
        <v>16912</v>
      </c>
      <c r="K1416" s="705">
        <v>70</v>
      </c>
      <c r="L1416" s="705">
        <v>2979</v>
      </c>
      <c r="M1416" s="705">
        <v>1848</v>
      </c>
      <c r="N1416" s="705">
        <v>3844</v>
      </c>
      <c r="O1416" s="705">
        <v>1424</v>
      </c>
      <c r="P1416" s="705">
        <v>702</v>
      </c>
      <c r="Q1416" s="705">
        <v>260</v>
      </c>
      <c r="R1416" s="705">
        <v>11226</v>
      </c>
      <c r="S1416" s="705">
        <v>10205</v>
      </c>
      <c r="T1416" s="705">
        <v>2447</v>
      </c>
      <c r="U1416" s="705">
        <v>906</v>
      </c>
      <c r="V1416" s="705">
        <v>31556</v>
      </c>
      <c r="W1416" s="705">
        <f t="shared" si="64"/>
        <v>31555</v>
      </c>
      <c r="X1416" s="705">
        <f t="shared" si="65"/>
        <v>39802</v>
      </c>
    </row>
    <row r="1417" spans="2:24">
      <c r="B1417" t="s">
        <v>545</v>
      </c>
      <c r="C1417" t="s">
        <v>116</v>
      </c>
      <c r="D1417" t="s">
        <v>585</v>
      </c>
      <c r="E1417" t="s">
        <v>585</v>
      </c>
      <c r="F1417" s="705">
        <v>1</v>
      </c>
      <c r="G1417" s="705">
        <v>128</v>
      </c>
      <c r="H1417" s="705">
        <v>218</v>
      </c>
      <c r="I1417" s="705">
        <v>15342</v>
      </c>
      <c r="J1417" s="705">
        <v>13948</v>
      </c>
      <c r="K1417" s="705">
        <v>65</v>
      </c>
      <c r="L1417" s="705">
        <v>1705</v>
      </c>
      <c r="M1417" s="705">
        <v>1550</v>
      </c>
      <c r="N1417" s="705">
        <v>2914</v>
      </c>
      <c r="O1417" s="705">
        <v>1079</v>
      </c>
      <c r="P1417" s="705">
        <v>473</v>
      </c>
      <c r="Q1417" s="705">
        <v>175</v>
      </c>
      <c r="R1417" s="705">
        <v>4794</v>
      </c>
      <c r="S1417" s="705">
        <v>4358</v>
      </c>
      <c r="T1417" s="705">
        <v>2680</v>
      </c>
      <c r="U1417" s="705">
        <v>993</v>
      </c>
      <c r="V1417" s="705">
        <v>22102</v>
      </c>
      <c r="W1417" s="705">
        <f t="shared" si="64"/>
        <v>22103</v>
      </c>
      <c r="X1417" s="705">
        <f t="shared" si="65"/>
        <v>27908</v>
      </c>
    </row>
    <row r="1418" spans="2:24">
      <c r="B1418" t="s">
        <v>545</v>
      </c>
      <c r="C1418" t="s">
        <v>118</v>
      </c>
      <c r="F1418" s="705">
        <v>1</v>
      </c>
      <c r="G1418" s="705">
        <v>95</v>
      </c>
      <c r="H1418" s="705">
        <v>249</v>
      </c>
      <c r="I1418" s="705"/>
      <c r="J1418" s="705">
        <v>0</v>
      </c>
      <c r="K1418" s="705"/>
      <c r="L1418" s="705"/>
      <c r="M1418" s="705">
        <v>0</v>
      </c>
      <c r="N1418" s="705">
        <v>1984</v>
      </c>
      <c r="O1418" s="705">
        <v>735</v>
      </c>
      <c r="P1418" s="705">
        <v>621</v>
      </c>
      <c r="Q1418" s="705">
        <v>230</v>
      </c>
      <c r="R1418" s="705"/>
      <c r="S1418" s="705">
        <v>0</v>
      </c>
      <c r="T1418" s="705">
        <v>0</v>
      </c>
      <c r="U1418" s="705">
        <v>0</v>
      </c>
      <c r="V1418" s="705">
        <v>965</v>
      </c>
      <c r="W1418" s="705">
        <f t="shared" si="64"/>
        <v>965</v>
      </c>
      <c r="X1418" s="705">
        <f t="shared" si="65"/>
        <v>2605</v>
      </c>
    </row>
    <row r="1419" spans="2:24">
      <c r="B1419" t="s">
        <v>545</v>
      </c>
      <c r="C1419" t="s">
        <v>118</v>
      </c>
      <c r="D1419" t="s">
        <v>664</v>
      </c>
      <c r="E1419" t="s">
        <v>664</v>
      </c>
      <c r="F1419" s="705">
        <v>1</v>
      </c>
      <c r="G1419" s="705">
        <v>63</v>
      </c>
      <c r="H1419" s="705">
        <v>257</v>
      </c>
      <c r="I1419" s="705">
        <v>10368</v>
      </c>
      <c r="J1419" s="705">
        <v>9425</v>
      </c>
      <c r="K1419" s="705">
        <v>79</v>
      </c>
      <c r="L1419" s="705">
        <v>1432</v>
      </c>
      <c r="M1419" s="705">
        <v>1302</v>
      </c>
      <c r="N1419" s="705">
        <v>1374</v>
      </c>
      <c r="O1419" s="705">
        <v>509</v>
      </c>
      <c r="P1419" s="705">
        <v>473</v>
      </c>
      <c r="Q1419" s="705">
        <v>175</v>
      </c>
      <c r="R1419" s="705">
        <v>2453</v>
      </c>
      <c r="S1419" s="705">
        <v>2230</v>
      </c>
      <c r="T1419" s="705">
        <v>0</v>
      </c>
      <c r="U1419" s="705">
        <v>0</v>
      </c>
      <c r="V1419" s="705">
        <v>13641</v>
      </c>
      <c r="W1419" s="705">
        <f t="shared" si="64"/>
        <v>13641</v>
      </c>
      <c r="X1419" s="705">
        <f t="shared" si="65"/>
        <v>16100</v>
      </c>
    </row>
    <row r="1420" spans="2:24">
      <c r="B1420" t="s">
        <v>545</v>
      </c>
      <c r="C1420" t="s">
        <v>118</v>
      </c>
      <c r="D1420" t="s">
        <v>582</v>
      </c>
      <c r="E1420" t="s">
        <v>582</v>
      </c>
      <c r="F1420" s="705">
        <v>4</v>
      </c>
      <c r="G1420" s="705">
        <v>420</v>
      </c>
      <c r="H1420" s="705">
        <v>1038</v>
      </c>
      <c r="I1420" s="705">
        <v>62241</v>
      </c>
      <c r="J1420" s="705">
        <v>56583</v>
      </c>
      <c r="K1420" s="705">
        <v>77</v>
      </c>
      <c r="L1420" s="705">
        <v>13930</v>
      </c>
      <c r="M1420" s="705">
        <v>12664</v>
      </c>
      <c r="N1420" s="705">
        <v>8842</v>
      </c>
      <c r="O1420" s="705">
        <v>3275</v>
      </c>
      <c r="P1420" s="705">
        <v>1526</v>
      </c>
      <c r="Q1420" s="705">
        <v>565</v>
      </c>
      <c r="R1420" s="705">
        <v>17001</v>
      </c>
      <c r="S1420" s="705">
        <v>15455</v>
      </c>
      <c r="T1420" s="705">
        <v>5654</v>
      </c>
      <c r="U1420" s="705">
        <v>2094</v>
      </c>
      <c r="V1420" s="705">
        <v>90636</v>
      </c>
      <c r="W1420" s="705">
        <f t="shared" si="64"/>
        <v>90636</v>
      </c>
      <c r="X1420" s="705">
        <f t="shared" si="65"/>
        <v>109194</v>
      </c>
    </row>
    <row r="1421" spans="2:24">
      <c r="B1421" t="s">
        <v>545</v>
      </c>
      <c r="C1421" t="s">
        <v>118</v>
      </c>
      <c r="D1421" t="s">
        <v>228</v>
      </c>
      <c r="E1421" t="s">
        <v>228</v>
      </c>
      <c r="F1421" s="705">
        <v>120</v>
      </c>
      <c r="G1421" s="705">
        <v>11291</v>
      </c>
      <c r="H1421" s="705">
        <v>31199</v>
      </c>
      <c r="I1421" s="705">
        <v>1589490</v>
      </c>
      <c r="J1421" s="705">
        <v>588700</v>
      </c>
      <c r="K1421" s="705">
        <v>100</v>
      </c>
      <c r="L1421" s="705">
        <v>233481</v>
      </c>
      <c r="M1421" s="705">
        <v>127651</v>
      </c>
      <c r="N1421" s="705">
        <v>249873</v>
      </c>
      <c r="O1421" s="705">
        <v>92546</v>
      </c>
      <c r="P1421" s="705">
        <v>0</v>
      </c>
      <c r="Q1421" s="705">
        <v>0</v>
      </c>
      <c r="R1421" s="705">
        <v>863296</v>
      </c>
      <c r="S1421" s="705">
        <v>319739</v>
      </c>
      <c r="T1421" s="705">
        <v>0</v>
      </c>
      <c r="U1421" s="705">
        <v>0</v>
      </c>
      <c r="V1421" s="705">
        <v>1128636</v>
      </c>
      <c r="W1421" s="705">
        <f t="shared" si="64"/>
        <v>1128636</v>
      </c>
      <c r="X1421" s="705">
        <f t="shared" si="65"/>
        <v>2936140</v>
      </c>
    </row>
    <row r="1422" spans="2:24">
      <c r="B1422" t="s">
        <v>545</v>
      </c>
      <c r="C1422" t="s">
        <v>118</v>
      </c>
      <c r="D1422" t="s">
        <v>228</v>
      </c>
      <c r="E1422" t="s">
        <v>665</v>
      </c>
      <c r="F1422" s="705">
        <v>12</v>
      </c>
      <c r="G1422" s="705">
        <v>556</v>
      </c>
      <c r="H1422" s="705">
        <v>3270</v>
      </c>
      <c r="I1422" s="705">
        <v>27940</v>
      </c>
      <c r="J1422" s="705">
        <v>10348</v>
      </c>
      <c r="K1422" s="705">
        <v>355</v>
      </c>
      <c r="L1422" s="705">
        <v>9986</v>
      </c>
      <c r="M1422" s="705">
        <v>9078</v>
      </c>
      <c r="N1422" s="705">
        <v>6774</v>
      </c>
      <c r="O1422" s="705">
        <v>2509</v>
      </c>
      <c r="P1422" s="705">
        <v>6371</v>
      </c>
      <c r="Q1422" s="705">
        <v>2360</v>
      </c>
      <c r="R1422" s="705">
        <v>74579</v>
      </c>
      <c r="S1422" s="705">
        <v>67799</v>
      </c>
      <c r="T1422" s="705">
        <v>25662</v>
      </c>
      <c r="U1422" s="705">
        <v>9505</v>
      </c>
      <c r="V1422" s="705">
        <v>101598</v>
      </c>
      <c r="W1422" s="705">
        <f t="shared" si="64"/>
        <v>101599</v>
      </c>
      <c r="X1422" s="705">
        <f t="shared" si="65"/>
        <v>151312</v>
      </c>
    </row>
    <row r="1423" spans="2:24">
      <c r="B1423" t="s">
        <v>545</v>
      </c>
      <c r="C1423" t="s">
        <v>118</v>
      </c>
      <c r="D1423" t="s">
        <v>583</v>
      </c>
      <c r="E1423" t="s">
        <v>583</v>
      </c>
      <c r="F1423" s="705">
        <v>193</v>
      </c>
      <c r="G1423" s="705">
        <v>18260</v>
      </c>
      <c r="H1423" s="705">
        <v>48815</v>
      </c>
      <c r="I1423" s="705">
        <v>2426505</v>
      </c>
      <c r="J1423" s="705">
        <v>2205914</v>
      </c>
      <c r="K1423" s="705">
        <v>84</v>
      </c>
      <c r="L1423" s="705">
        <v>582218</v>
      </c>
      <c r="M1423" s="705">
        <v>522835</v>
      </c>
      <c r="N1423" s="705">
        <v>379498</v>
      </c>
      <c r="O1423" s="705">
        <v>140555</v>
      </c>
      <c r="P1423" s="705">
        <v>120906</v>
      </c>
      <c r="Q1423" s="705">
        <v>44780</v>
      </c>
      <c r="R1423" s="705">
        <v>812343</v>
      </c>
      <c r="S1423" s="705">
        <v>738494</v>
      </c>
      <c r="T1423" s="705">
        <v>332947</v>
      </c>
      <c r="U1423" s="705">
        <v>123314</v>
      </c>
      <c r="V1423" s="705">
        <v>3775892</v>
      </c>
      <c r="W1423" s="705">
        <f t="shared" si="64"/>
        <v>3775892</v>
      </c>
      <c r="X1423" s="705">
        <f t="shared" si="65"/>
        <v>4654417</v>
      </c>
    </row>
    <row r="1424" spans="2:24">
      <c r="B1424" t="s">
        <v>545</v>
      </c>
      <c r="C1424" t="s">
        <v>118</v>
      </c>
      <c r="D1424" t="s">
        <v>666</v>
      </c>
      <c r="E1424" t="s">
        <v>666</v>
      </c>
      <c r="F1424" s="705">
        <v>8</v>
      </c>
      <c r="G1424" s="705">
        <v>701</v>
      </c>
      <c r="H1424" s="705">
        <v>2161</v>
      </c>
      <c r="I1424" s="705">
        <v>101518</v>
      </c>
      <c r="J1424" s="705">
        <v>92289</v>
      </c>
      <c r="K1424" s="705">
        <v>58</v>
      </c>
      <c r="L1424" s="705">
        <v>15603</v>
      </c>
      <c r="M1424" s="705">
        <v>10406</v>
      </c>
      <c r="N1424" s="705">
        <v>11521</v>
      </c>
      <c r="O1424" s="705">
        <v>4267</v>
      </c>
      <c r="P1424" s="705">
        <v>3078</v>
      </c>
      <c r="Q1424" s="705">
        <v>1140</v>
      </c>
      <c r="R1424" s="705">
        <v>36348</v>
      </c>
      <c r="S1424" s="705">
        <v>33044</v>
      </c>
      <c r="T1424" s="705">
        <v>20239</v>
      </c>
      <c r="U1424" s="705">
        <v>7496</v>
      </c>
      <c r="V1424" s="705">
        <v>148641</v>
      </c>
      <c r="W1424" s="705">
        <f t="shared" si="64"/>
        <v>148642</v>
      </c>
      <c r="X1424" s="705">
        <f t="shared" si="65"/>
        <v>188307</v>
      </c>
    </row>
    <row r="1425" spans="2:24">
      <c r="B1425" t="s">
        <v>545</v>
      </c>
      <c r="C1425" t="s">
        <v>118</v>
      </c>
      <c r="D1425" t="s">
        <v>669</v>
      </c>
      <c r="E1425" t="s">
        <v>669</v>
      </c>
      <c r="F1425" s="705">
        <v>5</v>
      </c>
      <c r="G1425" s="705">
        <v>461</v>
      </c>
      <c r="H1425" s="705">
        <v>1337</v>
      </c>
      <c r="I1425" s="705">
        <v>61088</v>
      </c>
      <c r="J1425" s="705">
        <v>50907</v>
      </c>
      <c r="K1425" s="705">
        <v>65</v>
      </c>
      <c r="L1425" s="705">
        <v>12837</v>
      </c>
      <c r="M1425" s="705">
        <v>11670</v>
      </c>
      <c r="N1425" s="705">
        <v>10488</v>
      </c>
      <c r="O1425" s="705">
        <v>3884</v>
      </c>
      <c r="P1425" s="705">
        <v>2025</v>
      </c>
      <c r="Q1425" s="705">
        <v>750</v>
      </c>
      <c r="R1425" s="705">
        <v>22881</v>
      </c>
      <c r="S1425" s="705">
        <v>19068</v>
      </c>
      <c r="T1425" s="705">
        <v>13765</v>
      </c>
      <c r="U1425" s="705">
        <v>5098</v>
      </c>
      <c r="V1425" s="705">
        <v>91377</v>
      </c>
      <c r="W1425" s="705">
        <f t="shared" si="64"/>
        <v>91377</v>
      </c>
      <c r="X1425" s="705">
        <f t="shared" si="65"/>
        <v>123084</v>
      </c>
    </row>
    <row r="1426" spans="2:24">
      <c r="B1426" t="s">
        <v>545</v>
      </c>
      <c r="C1426" t="s">
        <v>118</v>
      </c>
      <c r="D1426" t="s">
        <v>665</v>
      </c>
      <c r="E1426" t="s">
        <v>665</v>
      </c>
      <c r="F1426" s="705">
        <v>14</v>
      </c>
      <c r="G1426" s="705">
        <v>1486</v>
      </c>
      <c r="H1426" s="705">
        <v>3940</v>
      </c>
      <c r="I1426" s="705">
        <v>225253</v>
      </c>
      <c r="J1426" s="705">
        <v>204776</v>
      </c>
      <c r="K1426" s="705">
        <v>60</v>
      </c>
      <c r="L1426" s="705">
        <v>42777</v>
      </c>
      <c r="M1426" s="705">
        <v>37196</v>
      </c>
      <c r="N1426" s="705">
        <v>32293</v>
      </c>
      <c r="O1426" s="705">
        <v>11960</v>
      </c>
      <c r="P1426" s="705">
        <v>5535</v>
      </c>
      <c r="Q1426" s="705">
        <v>2050</v>
      </c>
      <c r="R1426" s="705">
        <v>74803</v>
      </c>
      <c r="S1426" s="705">
        <v>68002</v>
      </c>
      <c r="T1426" s="705">
        <v>38341</v>
      </c>
      <c r="U1426" s="705">
        <v>14200</v>
      </c>
      <c r="V1426" s="705">
        <v>338185</v>
      </c>
      <c r="W1426" s="705">
        <f t="shared" si="64"/>
        <v>338184</v>
      </c>
      <c r="X1426" s="705">
        <f t="shared" si="65"/>
        <v>419002</v>
      </c>
    </row>
    <row r="1427" spans="2:24">
      <c r="B1427" t="s">
        <v>545</v>
      </c>
      <c r="C1427" t="s">
        <v>118</v>
      </c>
      <c r="D1427" t="s">
        <v>673</v>
      </c>
      <c r="E1427" t="s">
        <v>673</v>
      </c>
      <c r="F1427" s="705">
        <v>2</v>
      </c>
      <c r="G1427" s="705">
        <v>136</v>
      </c>
      <c r="H1427" s="705">
        <v>481</v>
      </c>
      <c r="I1427" s="705">
        <v>17556</v>
      </c>
      <c r="J1427" s="705">
        <v>15960</v>
      </c>
      <c r="K1427" s="705">
        <v>71</v>
      </c>
      <c r="L1427" s="705">
        <v>0</v>
      </c>
      <c r="M1427" s="705">
        <v>0</v>
      </c>
      <c r="N1427" s="705">
        <v>3309</v>
      </c>
      <c r="O1427" s="705">
        <v>1226</v>
      </c>
      <c r="P1427" s="705">
        <v>702</v>
      </c>
      <c r="Q1427" s="705">
        <v>260</v>
      </c>
      <c r="R1427" s="705">
        <v>7193</v>
      </c>
      <c r="S1427" s="705">
        <v>6540</v>
      </c>
      <c r="T1427" s="705">
        <v>4001</v>
      </c>
      <c r="U1427" s="705">
        <v>1482</v>
      </c>
      <c r="V1427" s="705">
        <v>25467</v>
      </c>
      <c r="W1427" s="705">
        <f t="shared" si="64"/>
        <v>25468</v>
      </c>
      <c r="X1427" s="705">
        <f t="shared" si="65"/>
        <v>32761</v>
      </c>
    </row>
    <row r="1428" spans="2:24">
      <c r="B1428" t="s">
        <v>545</v>
      </c>
      <c r="C1428" t="s">
        <v>120</v>
      </c>
      <c r="D1428" t="s">
        <v>228</v>
      </c>
      <c r="E1428" t="s">
        <v>228</v>
      </c>
      <c r="F1428" s="705">
        <v>25</v>
      </c>
      <c r="G1428" s="705">
        <v>2514</v>
      </c>
      <c r="H1428" s="705">
        <v>8487</v>
      </c>
      <c r="I1428" s="705">
        <v>532397</v>
      </c>
      <c r="J1428" s="705">
        <v>197184</v>
      </c>
      <c r="K1428" s="705">
        <v>100</v>
      </c>
      <c r="L1428" s="705">
        <v>74656</v>
      </c>
      <c r="M1428" s="705">
        <v>58679</v>
      </c>
      <c r="N1428" s="705">
        <v>57472</v>
      </c>
      <c r="O1428" s="705">
        <v>21286</v>
      </c>
      <c r="P1428" s="705">
        <v>1344</v>
      </c>
      <c r="Q1428" s="705">
        <v>498</v>
      </c>
      <c r="R1428" s="705">
        <v>185087</v>
      </c>
      <c r="S1428" s="705">
        <v>68551</v>
      </c>
      <c r="T1428" s="705">
        <v>0</v>
      </c>
      <c r="U1428" s="705">
        <v>0</v>
      </c>
      <c r="V1428" s="705">
        <v>346197</v>
      </c>
      <c r="W1428" s="705">
        <f t="shared" si="64"/>
        <v>346198</v>
      </c>
      <c r="X1428" s="705">
        <f t="shared" si="65"/>
        <v>850956</v>
      </c>
    </row>
    <row r="1429" spans="2:24">
      <c r="B1429" t="s">
        <v>545</v>
      </c>
      <c r="C1429" t="s">
        <v>120</v>
      </c>
      <c r="D1429" t="s">
        <v>228</v>
      </c>
      <c r="E1429" t="s">
        <v>666</v>
      </c>
      <c r="F1429" s="705">
        <v>1</v>
      </c>
      <c r="G1429" s="705">
        <v>50</v>
      </c>
      <c r="H1429" s="705">
        <v>343</v>
      </c>
      <c r="I1429" s="705">
        <v>7705</v>
      </c>
      <c r="J1429" s="705">
        <v>2854</v>
      </c>
      <c r="K1429" s="705">
        <v>100</v>
      </c>
      <c r="L1429" s="705">
        <v>775</v>
      </c>
      <c r="M1429" s="705">
        <v>705</v>
      </c>
      <c r="N1429" s="705">
        <v>1018</v>
      </c>
      <c r="O1429" s="705">
        <v>377</v>
      </c>
      <c r="P1429" s="705">
        <v>351</v>
      </c>
      <c r="Q1429" s="705">
        <v>130</v>
      </c>
      <c r="R1429" s="705">
        <v>5455</v>
      </c>
      <c r="S1429" s="705">
        <v>4959</v>
      </c>
      <c r="T1429" s="705">
        <v>1881</v>
      </c>
      <c r="U1429" s="705">
        <v>697</v>
      </c>
      <c r="V1429" s="705">
        <v>9721</v>
      </c>
      <c r="W1429" s="705">
        <f t="shared" si="64"/>
        <v>9722</v>
      </c>
      <c r="X1429" s="705">
        <f t="shared" si="65"/>
        <v>17185</v>
      </c>
    </row>
    <row r="1430" spans="2:24">
      <c r="B1430" t="s">
        <v>545</v>
      </c>
      <c r="C1430" t="s">
        <v>120</v>
      </c>
      <c r="D1430" t="s">
        <v>228</v>
      </c>
      <c r="E1430" t="s">
        <v>665</v>
      </c>
      <c r="F1430" s="705">
        <v>5</v>
      </c>
      <c r="G1430" s="705">
        <v>234</v>
      </c>
      <c r="H1430" s="705">
        <v>1638</v>
      </c>
      <c r="I1430" s="705">
        <v>32851</v>
      </c>
      <c r="J1430" s="705">
        <v>12167</v>
      </c>
      <c r="K1430" s="705">
        <v>151</v>
      </c>
      <c r="L1430" s="705">
        <v>5594</v>
      </c>
      <c r="M1430" s="705">
        <v>5085</v>
      </c>
      <c r="N1430" s="705">
        <v>4133</v>
      </c>
      <c r="O1430" s="705">
        <v>1531</v>
      </c>
      <c r="P1430" s="705">
        <v>506</v>
      </c>
      <c r="Q1430" s="705">
        <v>188</v>
      </c>
      <c r="R1430" s="705">
        <v>23102</v>
      </c>
      <c r="S1430" s="705">
        <v>21002</v>
      </c>
      <c r="T1430" s="705">
        <v>10454</v>
      </c>
      <c r="U1430" s="705">
        <v>3872</v>
      </c>
      <c r="V1430" s="705">
        <v>43845</v>
      </c>
      <c r="W1430" s="705">
        <f t="shared" si="64"/>
        <v>43845</v>
      </c>
      <c r="X1430" s="705">
        <f t="shared" si="65"/>
        <v>76640</v>
      </c>
    </row>
    <row r="1431" spans="2:24">
      <c r="B1431" t="s">
        <v>545</v>
      </c>
      <c r="C1431" t="s">
        <v>120</v>
      </c>
      <c r="D1431" t="s">
        <v>583</v>
      </c>
      <c r="E1431" t="s">
        <v>583</v>
      </c>
      <c r="F1431" s="705">
        <v>79</v>
      </c>
      <c r="G1431" s="705">
        <v>7001</v>
      </c>
      <c r="H1431" s="705">
        <v>27071</v>
      </c>
      <c r="I1431" s="705">
        <v>1463276</v>
      </c>
      <c r="J1431" s="705">
        <v>1330251</v>
      </c>
      <c r="K1431" s="705">
        <v>78</v>
      </c>
      <c r="L1431" s="705">
        <v>276193</v>
      </c>
      <c r="M1431" s="705">
        <v>243347</v>
      </c>
      <c r="N1431" s="705">
        <v>143983</v>
      </c>
      <c r="O1431" s="705">
        <v>53327</v>
      </c>
      <c r="P1431" s="705">
        <v>49060</v>
      </c>
      <c r="Q1431" s="705">
        <v>18171</v>
      </c>
      <c r="R1431" s="705">
        <v>322466</v>
      </c>
      <c r="S1431" s="705">
        <v>293151</v>
      </c>
      <c r="T1431" s="705">
        <v>146698</v>
      </c>
      <c r="U1431" s="705">
        <v>54333</v>
      </c>
      <c r="V1431" s="705">
        <v>1992580</v>
      </c>
      <c r="W1431" s="705">
        <f t="shared" si="64"/>
        <v>1992580</v>
      </c>
      <c r="X1431" s="705">
        <f t="shared" si="65"/>
        <v>2401676</v>
      </c>
    </row>
    <row r="1432" spans="2:24">
      <c r="B1432" t="s">
        <v>545</v>
      </c>
      <c r="C1432" t="s">
        <v>120</v>
      </c>
      <c r="D1432" t="s">
        <v>666</v>
      </c>
      <c r="E1432" t="s">
        <v>666</v>
      </c>
      <c r="F1432" s="705">
        <v>12</v>
      </c>
      <c r="G1432" s="705">
        <v>981</v>
      </c>
      <c r="H1432" s="705">
        <v>4171</v>
      </c>
      <c r="I1432" s="705">
        <v>188763</v>
      </c>
      <c r="J1432" s="705">
        <v>171603</v>
      </c>
      <c r="K1432" s="705">
        <v>46</v>
      </c>
      <c r="L1432" s="705">
        <v>25580</v>
      </c>
      <c r="M1432" s="705">
        <v>21809</v>
      </c>
      <c r="N1432" s="705">
        <v>20521</v>
      </c>
      <c r="O1432" s="705">
        <v>7600</v>
      </c>
      <c r="P1432" s="705">
        <v>4415</v>
      </c>
      <c r="Q1432" s="705">
        <v>1635</v>
      </c>
      <c r="R1432" s="705">
        <v>72778</v>
      </c>
      <c r="S1432" s="705">
        <v>66162</v>
      </c>
      <c r="T1432" s="705">
        <v>27836</v>
      </c>
      <c r="U1432" s="705">
        <v>10310</v>
      </c>
      <c r="V1432" s="705">
        <v>279118</v>
      </c>
      <c r="W1432" s="705">
        <f t="shared" si="64"/>
        <v>279119</v>
      </c>
      <c r="X1432" s="705">
        <f t="shared" si="65"/>
        <v>339893</v>
      </c>
    </row>
    <row r="1433" spans="2:24">
      <c r="B1433" t="s">
        <v>545</v>
      </c>
      <c r="C1433" t="s">
        <v>120</v>
      </c>
      <c r="D1433" t="s">
        <v>669</v>
      </c>
      <c r="E1433" t="s">
        <v>669</v>
      </c>
      <c r="F1433" s="705">
        <v>5</v>
      </c>
      <c r="G1433" s="705">
        <v>263</v>
      </c>
      <c r="H1433" s="705">
        <v>1672</v>
      </c>
      <c r="I1433" s="705">
        <v>46141</v>
      </c>
      <c r="J1433" s="705">
        <v>38451</v>
      </c>
      <c r="K1433" s="705">
        <v>66</v>
      </c>
      <c r="L1433" s="705">
        <v>4459</v>
      </c>
      <c r="M1433" s="705">
        <v>4332</v>
      </c>
      <c r="N1433" s="705">
        <v>3817</v>
      </c>
      <c r="O1433" s="705">
        <v>1414</v>
      </c>
      <c r="P1433" s="705">
        <v>1755</v>
      </c>
      <c r="Q1433" s="705">
        <v>650</v>
      </c>
      <c r="R1433" s="705">
        <v>20479</v>
      </c>
      <c r="S1433" s="705">
        <v>17065</v>
      </c>
      <c r="T1433" s="705">
        <v>10142</v>
      </c>
      <c r="U1433" s="705">
        <v>3756</v>
      </c>
      <c r="V1433" s="705">
        <v>65668</v>
      </c>
      <c r="W1433" s="705">
        <f t="shared" si="64"/>
        <v>65668</v>
      </c>
      <c r="X1433" s="705">
        <f t="shared" si="65"/>
        <v>86793</v>
      </c>
    </row>
    <row r="1434" spans="2:24">
      <c r="B1434" t="s">
        <v>545</v>
      </c>
      <c r="C1434" t="s">
        <v>120</v>
      </c>
      <c r="D1434" t="s">
        <v>671</v>
      </c>
      <c r="E1434" t="s">
        <v>671</v>
      </c>
      <c r="F1434" s="705">
        <v>1</v>
      </c>
      <c r="G1434" s="705">
        <v>46</v>
      </c>
      <c r="H1434" s="705">
        <v>376</v>
      </c>
      <c r="I1434" s="705">
        <v>10007</v>
      </c>
      <c r="J1434" s="705">
        <v>9098</v>
      </c>
      <c r="K1434" s="705">
        <v>65</v>
      </c>
      <c r="L1434" s="705">
        <v>0</v>
      </c>
      <c r="M1434" s="705">
        <v>0</v>
      </c>
      <c r="N1434" s="705">
        <v>891</v>
      </c>
      <c r="O1434" s="705">
        <v>330</v>
      </c>
      <c r="P1434" s="705">
        <v>351</v>
      </c>
      <c r="Q1434" s="705">
        <v>130</v>
      </c>
      <c r="R1434" s="705">
        <v>5940</v>
      </c>
      <c r="S1434" s="705">
        <v>5400</v>
      </c>
      <c r="T1434" s="705">
        <v>0</v>
      </c>
      <c r="U1434" s="705">
        <v>0</v>
      </c>
      <c r="V1434" s="705">
        <v>14957</v>
      </c>
      <c r="W1434" s="705">
        <f t="shared" si="64"/>
        <v>14958</v>
      </c>
      <c r="X1434" s="705">
        <f t="shared" si="65"/>
        <v>17189</v>
      </c>
    </row>
    <row r="1435" spans="2:24">
      <c r="B1435" t="s">
        <v>545</v>
      </c>
      <c r="C1435" t="s">
        <v>120</v>
      </c>
      <c r="D1435" t="s">
        <v>665</v>
      </c>
      <c r="E1435" t="s">
        <v>228</v>
      </c>
      <c r="F1435" s="705">
        <v>2</v>
      </c>
      <c r="G1435" s="705">
        <v>141</v>
      </c>
      <c r="H1435" s="705">
        <v>720</v>
      </c>
      <c r="I1435" s="705">
        <v>35838</v>
      </c>
      <c r="J1435" s="705">
        <v>32580</v>
      </c>
      <c r="K1435" s="705">
        <v>70</v>
      </c>
      <c r="L1435" s="705">
        <v>6911</v>
      </c>
      <c r="M1435" s="705">
        <v>2560</v>
      </c>
      <c r="N1435" s="705">
        <v>4076</v>
      </c>
      <c r="O1435" s="705">
        <v>1510</v>
      </c>
      <c r="P1435" s="705">
        <v>0</v>
      </c>
      <c r="Q1435" s="705">
        <v>0</v>
      </c>
      <c r="R1435" s="705">
        <v>11235</v>
      </c>
      <c r="S1435" s="705">
        <v>4161</v>
      </c>
      <c r="T1435" s="705">
        <v>1906</v>
      </c>
      <c r="U1435" s="705">
        <v>706</v>
      </c>
      <c r="V1435" s="705">
        <v>41516</v>
      </c>
      <c r="W1435" s="705">
        <f t="shared" si="64"/>
        <v>41517</v>
      </c>
      <c r="X1435" s="705">
        <f t="shared" si="65"/>
        <v>59966</v>
      </c>
    </row>
    <row r="1436" spans="2:24">
      <c r="B1436" t="s">
        <v>545</v>
      </c>
      <c r="C1436" t="s">
        <v>120</v>
      </c>
      <c r="D1436" t="s">
        <v>665</v>
      </c>
      <c r="E1436" t="s">
        <v>665</v>
      </c>
      <c r="F1436" s="705">
        <v>95</v>
      </c>
      <c r="G1436" s="705">
        <v>7350</v>
      </c>
      <c r="H1436" s="705">
        <v>32275</v>
      </c>
      <c r="I1436" s="705">
        <v>1364963</v>
      </c>
      <c r="J1436" s="705">
        <v>1240875</v>
      </c>
      <c r="K1436" s="705">
        <v>52</v>
      </c>
      <c r="L1436" s="705">
        <v>210735</v>
      </c>
      <c r="M1436" s="705">
        <v>180490</v>
      </c>
      <c r="N1436" s="705">
        <v>141643</v>
      </c>
      <c r="O1436" s="705">
        <v>52460</v>
      </c>
      <c r="P1436" s="705">
        <v>31509</v>
      </c>
      <c r="Q1436" s="705">
        <v>11670</v>
      </c>
      <c r="R1436" s="705">
        <v>530127</v>
      </c>
      <c r="S1436" s="705">
        <v>481934</v>
      </c>
      <c r="T1436" s="705">
        <v>217953</v>
      </c>
      <c r="U1436" s="705">
        <v>80723</v>
      </c>
      <c r="V1436" s="705">
        <v>2048153</v>
      </c>
      <c r="W1436" s="705">
        <f t="shared" si="64"/>
        <v>2048152</v>
      </c>
      <c r="X1436" s="705">
        <f t="shared" si="65"/>
        <v>2496930</v>
      </c>
    </row>
    <row r="1437" spans="2:24">
      <c r="B1437" t="s">
        <v>545</v>
      </c>
      <c r="C1437" t="s">
        <v>120</v>
      </c>
      <c r="D1437" t="s">
        <v>673</v>
      </c>
      <c r="E1437" t="s">
        <v>673</v>
      </c>
      <c r="F1437" s="705">
        <v>1</v>
      </c>
      <c r="G1437" s="705">
        <v>83</v>
      </c>
      <c r="H1437" s="705">
        <v>328</v>
      </c>
      <c r="I1437" s="705">
        <v>17919</v>
      </c>
      <c r="J1437" s="705">
        <v>16290</v>
      </c>
      <c r="K1437" s="705">
        <v>60</v>
      </c>
      <c r="L1437" s="705">
        <v>1707</v>
      </c>
      <c r="M1437" s="705">
        <v>1551</v>
      </c>
      <c r="N1437" s="705">
        <v>1516</v>
      </c>
      <c r="O1437" s="705">
        <v>561</v>
      </c>
      <c r="P1437" s="705">
        <v>351</v>
      </c>
      <c r="Q1437" s="705">
        <v>130</v>
      </c>
      <c r="R1437" s="705">
        <v>3924</v>
      </c>
      <c r="S1437" s="705">
        <v>3568</v>
      </c>
      <c r="T1437" s="705">
        <v>1760</v>
      </c>
      <c r="U1437" s="705">
        <v>652</v>
      </c>
      <c r="V1437" s="705">
        <v>22752</v>
      </c>
      <c r="W1437" s="705">
        <f t="shared" si="64"/>
        <v>22752</v>
      </c>
      <c r="X1437" s="705">
        <f t="shared" si="65"/>
        <v>27177</v>
      </c>
    </row>
    <row r="1438" spans="2:24">
      <c r="B1438" t="s">
        <v>545</v>
      </c>
      <c r="C1438" t="s">
        <v>122</v>
      </c>
      <c r="F1438" s="705">
        <v>1</v>
      </c>
      <c r="G1438" s="705">
        <v>148</v>
      </c>
      <c r="H1438" s="705">
        <v>447</v>
      </c>
      <c r="I1438" s="705"/>
      <c r="J1438" s="705">
        <v>0</v>
      </c>
      <c r="K1438" s="705"/>
      <c r="L1438" s="705"/>
      <c r="M1438" s="705">
        <v>0</v>
      </c>
      <c r="N1438" s="705">
        <v>2168</v>
      </c>
      <c r="O1438" s="705">
        <v>803</v>
      </c>
      <c r="P1438" s="705">
        <v>621</v>
      </c>
      <c r="Q1438" s="705">
        <v>230</v>
      </c>
      <c r="R1438" s="705"/>
      <c r="S1438" s="705">
        <v>0</v>
      </c>
      <c r="T1438" s="705">
        <v>0</v>
      </c>
      <c r="U1438" s="705">
        <v>0</v>
      </c>
      <c r="V1438" s="705">
        <v>1033</v>
      </c>
      <c r="W1438" s="705">
        <f t="shared" si="64"/>
        <v>1033</v>
      </c>
      <c r="X1438" s="705">
        <f t="shared" si="65"/>
        <v>2789</v>
      </c>
    </row>
    <row r="1439" spans="2:24">
      <c r="B1439" t="s">
        <v>545</v>
      </c>
      <c r="C1439" t="s">
        <v>122</v>
      </c>
      <c r="D1439" t="s">
        <v>228</v>
      </c>
      <c r="E1439" t="s">
        <v>228</v>
      </c>
      <c r="F1439" s="705">
        <v>18</v>
      </c>
      <c r="G1439" s="705">
        <v>1022</v>
      </c>
      <c r="H1439" s="705">
        <v>7569</v>
      </c>
      <c r="I1439" s="705">
        <v>279220</v>
      </c>
      <c r="J1439" s="705">
        <v>103415</v>
      </c>
      <c r="K1439" s="705">
        <v>100</v>
      </c>
      <c r="L1439" s="705">
        <v>26184</v>
      </c>
      <c r="M1439" s="705">
        <v>19803</v>
      </c>
      <c r="N1439" s="705">
        <v>20449</v>
      </c>
      <c r="O1439" s="705">
        <v>7574</v>
      </c>
      <c r="P1439" s="705">
        <v>351</v>
      </c>
      <c r="Q1439" s="705">
        <v>130</v>
      </c>
      <c r="R1439" s="705">
        <v>103427</v>
      </c>
      <c r="S1439" s="705">
        <v>38306</v>
      </c>
      <c r="T1439" s="705">
        <v>0</v>
      </c>
      <c r="U1439" s="705">
        <v>0</v>
      </c>
      <c r="V1439" s="705">
        <v>169228</v>
      </c>
      <c r="W1439" s="705">
        <f t="shared" si="64"/>
        <v>169228</v>
      </c>
      <c r="X1439" s="705">
        <f t="shared" si="65"/>
        <v>429631</v>
      </c>
    </row>
    <row r="1440" spans="2:24">
      <c r="B1440" t="s">
        <v>545</v>
      </c>
      <c r="C1440" t="s">
        <v>122</v>
      </c>
      <c r="D1440" t="s">
        <v>228</v>
      </c>
      <c r="E1440" t="s">
        <v>666</v>
      </c>
      <c r="F1440" s="705">
        <v>1</v>
      </c>
      <c r="G1440" s="705">
        <v>45</v>
      </c>
      <c r="H1440" s="705">
        <v>437</v>
      </c>
      <c r="I1440" s="705">
        <v>10341</v>
      </c>
      <c r="J1440" s="705">
        <v>3830</v>
      </c>
      <c r="K1440" s="705">
        <v>100</v>
      </c>
      <c r="L1440" s="705">
        <v>1040</v>
      </c>
      <c r="M1440" s="705">
        <v>946</v>
      </c>
      <c r="N1440" s="705">
        <v>817</v>
      </c>
      <c r="O1440" s="705">
        <v>303</v>
      </c>
      <c r="P1440" s="705">
        <v>351</v>
      </c>
      <c r="Q1440" s="705">
        <v>130</v>
      </c>
      <c r="R1440" s="705">
        <v>5334</v>
      </c>
      <c r="S1440" s="705">
        <v>4849</v>
      </c>
      <c r="T1440" s="705">
        <v>1670</v>
      </c>
      <c r="U1440" s="705">
        <v>618</v>
      </c>
      <c r="V1440" s="705">
        <v>10676</v>
      </c>
      <c r="W1440" s="705">
        <f t="shared" si="64"/>
        <v>10676</v>
      </c>
      <c r="X1440" s="705">
        <f t="shared" si="65"/>
        <v>19553</v>
      </c>
    </row>
    <row r="1441" spans="2:24">
      <c r="B1441" t="s">
        <v>545</v>
      </c>
      <c r="C1441" t="s">
        <v>122</v>
      </c>
      <c r="D1441" t="s">
        <v>228</v>
      </c>
      <c r="E1441" t="s">
        <v>665</v>
      </c>
      <c r="F1441" s="705">
        <v>2</v>
      </c>
      <c r="G1441" s="705">
        <v>148</v>
      </c>
      <c r="H1441" s="705">
        <v>822</v>
      </c>
      <c r="I1441" s="705">
        <v>41882</v>
      </c>
      <c r="J1441" s="705">
        <v>15512</v>
      </c>
      <c r="K1441" s="705">
        <v>100</v>
      </c>
      <c r="L1441" s="705">
        <v>3373</v>
      </c>
      <c r="M1441" s="705">
        <v>3067</v>
      </c>
      <c r="N1441" s="705">
        <v>3043</v>
      </c>
      <c r="O1441" s="705">
        <v>1127</v>
      </c>
      <c r="P1441" s="705">
        <v>972</v>
      </c>
      <c r="Q1441" s="705">
        <v>360</v>
      </c>
      <c r="R1441" s="705">
        <v>8538</v>
      </c>
      <c r="S1441" s="705">
        <v>7762</v>
      </c>
      <c r="T1441" s="705">
        <v>4144</v>
      </c>
      <c r="U1441" s="705">
        <v>1535</v>
      </c>
      <c r="V1441" s="705">
        <v>29362</v>
      </c>
      <c r="W1441" s="705">
        <f t="shared" si="64"/>
        <v>29363</v>
      </c>
      <c r="X1441" s="705">
        <f t="shared" si="65"/>
        <v>61952</v>
      </c>
    </row>
    <row r="1442" spans="2:24">
      <c r="B1442" t="s">
        <v>545</v>
      </c>
      <c r="C1442" t="s">
        <v>122</v>
      </c>
      <c r="D1442" t="s">
        <v>583</v>
      </c>
      <c r="E1442" t="s">
        <v>228</v>
      </c>
      <c r="F1442" s="705">
        <v>3</v>
      </c>
      <c r="G1442" s="705">
        <v>273</v>
      </c>
      <c r="H1442" s="705">
        <v>1197</v>
      </c>
      <c r="I1442" s="705">
        <v>66318</v>
      </c>
      <c r="J1442" s="705">
        <v>60289</v>
      </c>
      <c r="K1442" s="705">
        <v>77</v>
      </c>
      <c r="L1442" s="705">
        <v>14079</v>
      </c>
      <c r="M1442" s="705">
        <v>7773</v>
      </c>
      <c r="N1442" s="705">
        <v>5886</v>
      </c>
      <c r="O1442" s="705">
        <v>2180</v>
      </c>
      <c r="P1442" s="705">
        <v>1863</v>
      </c>
      <c r="Q1442" s="705">
        <v>690</v>
      </c>
      <c r="R1442" s="705">
        <v>20043</v>
      </c>
      <c r="S1442" s="705">
        <v>7423</v>
      </c>
      <c r="T1442" s="705">
        <v>0</v>
      </c>
      <c r="U1442" s="705">
        <v>0</v>
      </c>
      <c r="V1442" s="705">
        <v>78356</v>
      </c>
      <c r="W1442" s="705">
        <f t="shared" si="64"/>
        <v>78355</v>
      </c>
      <c r="X1442" s="705">
        <f t="shared" si="65"/>
        <v>108189</v>
      </c>
    </row>
    <row r="1443" spans="2:24">
      <c r="B1443" t="s">
        <v>545</v>
      </c>
      <c r="C1443" t="s">
        <v>122</v>
      </c>
      <c r="D1443" t="s">
        <v>583</v>
      </c>
      <c r="E1443" t="s">
        <v>583</v>
      </c>
      <c r="F1443" s="705">
        <v>38</v>
      </c>
      <c r="G1443" s="705">
        <v>3785</v>
      </c>
      <c r="H1443" s="705">
        <v>15885</v>
      </c>
      <c r="I1443" s="705">
        <v>1050678</v>
      </c>
      <c r="J1443" s="705">
        <v>955161</v>
      </c>
      <c r="K1443" s="705">
        <v>76</v>
      </c>
      <c r="L1443" s="705">
        <v>211641</v>
      </c>
      <c r="M1443" s="705">
        <v>186340</v>
      </c>
      <c r="N1443" s="705">
        <v>81197</v>
      </c>
      <c r="O1443" s="705">
        <v>30073</v>
      </c>
      <c r="P1443" s="705">
        <v>24219</v>
      </c>
      <c r="Q1443" s="705">
        <v>8970</v>
      </c>
      <c r="R1443" s="705">
        <v>157587</v>
      </c>
      <c r="S1443" s="705">
        <v>143261</v>
      </c>
      <c r="T1443" s="705">
        <v>78603</v>
      </c>
      <c r="U1443" s="705">
        <v>29112</v>
      </c>
      <c r="V1443" s="705">
        <v>1352917</v>
      </c>
      <c r="W1443" s="705">
        <f t="shared" si="64"/>
        <v>1352917</v>
      </c>
      <c r="X1443" s="705">
        <f t="shared" si="65"/>
        <v>1603925</v>
      </c>
    </row>
    <row r="1444" spans="2:24">
      <c r="B1444" t="s">
        <v>545</v>
      </c>
      <c r="C1444" t="s">
        <v>122</v>
      </c>
      <c r="D1444" t="s">
        <v>666</v>
      </c>
      <c r="E1444" t="s">
        <v>666</v>
      </c>
      <c r="F1444" s="705">
        <v>18</v>
      </c>
      <c r="G1444" s="705">
        <v>914</v>
      </c>
      <c r="H1444" s="705">
        <v>7620</v>
      </c>
      <c r="I1444" s="705">
        <v>214782</v>
      </c>
      <c r="J1444" s="705">
        <v>195256</v>
      </c>
      <c r="K1444" s="705">
        <v>47</v>
      </c>
      <c r="L1444" s="705">
        <v>18211</v>
      </c>
      <c r="M1444" s="705">
        <v>11250</v>
      </c>
      <c r="N1444" s="705">
        <v>17312</v>
      </c>
      <c r="O1444" s="705">
        <v>6412</v>
      </c>
      <c r="P1444" s="705">
        <v>6318</v>
      </c>
      <c r="Q1444" s="705">
        <v>2340</v>
      </c>
      <c r="R1444" s="705">
        <v>96347</v>
      </c>
      <c r="S1444" s="705">
        <v>87588</v>
      </c>
      <c r="T1444" s="705">
        <v>32552</v>
      </c>
      <c r="U1444" s="705">
        <v>12056</v>
      </c>
      <c r="V1444" s="705">
        <v>314903</v>
      </c>
      <c r="W1444" s="705">
        <f t="shared" si="64"/>
        <v>314902</v>
      </c>
      <c r="X1444" s="705">
        <f t="shared" si="65"/>
        <v>385522</v>
      </c>
    </row>
    <row r="1445" spans="2:24">
      <c r="B1445" t="s">
        <v>545</v>
      </c>
      <c r="C1445" t="s">
        <v>122</v>
      </c>
      <c r="D1445" t="s">
        <v>669</v>
      </c>
      <c r="E1445" t="s">
        <v>669</v>
      </c>
      <c r="F1445" s="705">
        <v>15</v>
      </c>
      <c r="G1445" s="705">
        <v>656</v>
      </c>
      <c r="H1445" s="705">
        <v>6318</v>
      </c>
      <c r="I1445" s="705">
        <v>121102</v>
      </c>
      <c r="J1445" s="705">
        <v>100918</v>
      </c>
      <c r="K1445" s="705">
        <v>61</v>
      </c>
      <c r="L1445" s="705">
        <v>33314</v>
      </c>
      <c r="M1445" s="705">
        <v>14858</v>
      </c>
      <c r="N1445" s="705">
        <v>14312</v>
      </c>
      <c r="O1445" s="705">
        <v>5301</v>
      </c>
      <c r="P1445" s="705">
        <v>5265</v>
      </c>
      <c r="Q1445" s="705">
        <v>1950</v>
      </c>
      <c r="R1445" s="705">
        <v>76616</v>
      </c>
      <c r="S1445" s="705">
        <v>63847</v>
      </c>
      <c r="T1445" s="705">
        <v>25441</v>
      </c>
      <c r="U1445" s="705">
        <v>9423</v>
      </c>
      <c r="V1445" s="705">
        <v>196296</v>
      </c>
      <c r="W1445" s="705">
        <f t="shared" si="64"/>
        <v>196297</v>
      </c>
      <c r="X1445" s="705">
        <f t="shared" si="65"/>
        <v>276050</v>
      </c>
    </row>
    <row r="1446" spans="2:24">
      <c r="B1446" t="s">
        <v>545</v>
      </c>
      <c r="C1446" t="s">
        <v>122</v>
      </c>
      <c r="D1446" t="s">
        <v>667</v>
      </c>
      <c r="E1446" t="s">
        <v>667</v>
      </c>
      <c r="F1446" s="705">
        <v>2</v>
      </c>
      <c r="G1446" s="705">
        <v>97</v>
      </c>
      <c r="H1446" s="705">
        <v>843</v>
      </c>
      <c r="I1446" s="705">
        <v>14490</v>
      </c>
      <c r="J1446" s="705">
        <v>13173</v>
      </c>
      <c r="K1446" s="705">
        <v>60</v>
      </c>
      <c r="L1446" s="705">
        <v>5335</v>
      </c>
      <c r="M1446" s="705">
        <v>1976</v>
      </c>
      <c r="N1446" s="705">
        <v>2244</v>
      </c>
      <c r="O1446" s="705">
        <v>831</v>
      </c>
      <c r="P1446" s="705">
        <v>702</v>
      </c>
      <c r="Q1446" s="705">
        <v>260</v>
      </c>
      <c r="R1446" s="705">
        <v>11805</v>
      </c>
      <c r="S1446" s="705">
        <v>10731</v>
      </c>
      <c r="T1446" s="705">
        <v>6389</v>
      </c>
      <c r="U1446" s="705">
        <v>2366</v>
      </c>
      <c r="V1446" s="705">
        <v>29337</v>
      </c>
      <c r="W1446" s="705">
        <f t="shared" si="64"/>
        <v>29337</v>
      </c>
      <c r="X1446" s="705">
        <f t="shared" si="65"/>
        <v>40965</v>
      </c>
    </row>
    <row r="1447" spans="2:24">
      <c r="B1447" t="s">
        <v>545</v>
      </c>
      <c r="C1447" t="s">
        <v>122</v>
      </c>
      <c r="D1447" t="s">
        <v>671</v>
      </c>
      <c r="E1447" t="s">
        <v>671</v>
      </c>
      <c r="F1447" s="705">
        <v>1</v>
      </c>
      <c r="G1447" s="705">
        <v>47</v>
      </c>
      <c r="H1447" s="705">
        <v>392</v>
      </c>
      <c r="I1447" s="705">
        <v>9267</v>
      </c>
      <c r="J1447" s="705">
        <v>8424</v>
      </c>
      <c r="K1447" s="705">
        <v>45</v>
      </c>
      <c r="L1447" s="705">
        <v>1137</v>
      </c>
      <c r="M1447" s="705">
        <v>421</v>
      </c>
      <c r="N1447" s="705">
        <v>963</v>
      </c>
      <c r="O1447" s="705">
        <v>357</v>
      </c>
      <c r="P1447" s="705">
        <v>351</v>
      </c>
      <c r="Q1447" s="705">
        <v>130</v>
      </c>
      <c r="R1447" s="705">
        <v>5137</v>
      </c>
      <c r="S1447" s="705">
        <v>4670</v>
      </c>
      <c r="T1447" s="705">
        <v>1708</v>
      </c>
      <c r="U1447" s="705">
        <v>632</v>
      </c>
      <c r="V1447" s="705">
        <v>14635</v>
      </c>
      <c r="W1447" s="705">
        <f t="shared" si="64"/>
        <v>14634</v>
      </c>
      <c r="X1447" s="705">
        <f t="shared" si="65"/>
        <v>18563</v>
      </c>
    </row>
    <row r="1448" spans="2:24">
      <c r="B1448" t="s">
        <v>545</v>
      </c>
      <c r="C1448" t="s">
        <v>122</v>
      </c>
      <c r="D1448" t="s">
        <v>665</v>
      </c>
      <c r="E1448" t="s">
        <v>665</v>
      </c>
      <c r="F1448" s="705">
        <v>69</v>
      </c>
      <c r="G1448" s="705">
        <v>3695</v>
      </c>
      <c r="H1448" s="705">
        <v>29029</v>
      </c>
      <c r="I1448" s="705">
        <v>835793</v>
      </c>
      <c r="J1448" s="705">
        <v>759812</v>
      </c>
      <c r="K1448" s="705">
        <v>48</v>
      </c>
      <c r="L1448" s="705">
        <v>95456</v>
      </c>
      <c r="M1448" s="705">
        <v>57642</v>
      </c>
      <c r="N1448" s="705">
        <v>72819</v>
      </c>
      <c r="O1448" s="705">
        <v>26970</v>
      </c>
      <c r="P1448" s="705">
        <v>24057</v>
      </c>
      <c r="Q1448" s="705">
        <v>8910</v>
      </c>
      <c r="R1448" s="705">
        <v>375608</v>
      </c>
      <c r="S1448" s="705">
        <v>341462</v>
      </c>
      <c r="T1448" s="705">
        <v>142326</v>
      </c>
      <c r="U1448" s="705">
        <v>52713</v>
      </c>
      <c r="V1448" s="705">
        <v>1247509</v>
      </c>
      <c r="W1448" s="705">
        <f t="shared" si="64"/>
        <v>1247509</v>
      </c>
      <c r="X1448" s="705">
        <f t="shared" si="65"/>
        <v>1546059</v>
      </c>
    </row>
    <row r="1449" spans="2:24">
      <c r="B1449" t="s">
        <v>545</v>
      </c>
      <c r="C1449" t="s">
        <v>124</v>
      </c>
      <c r="D1449" t="s">
        <v>228</v>
      </c>
      <c r="E1449" t="s">
        <v>228</v>
      </c>
      <c r="F1449" s="705">
        <v>33</v>
      </c>
      <c r="G1449" s="705">
        <v>2922</v>
      </c>
      <c r="H1449" s="705">
        <v>20363</v>
      </c>
      <c r="I1449" s="705">
        <v>1330582</v>
      </c>
      <c r="J1449" s="705">
        <v>492808</v>
      </c>
      <c r="K1449" s="705">
        <v>100</v>
      </c>
      <c r="L1449" s="705">
        <v>174844</v>
      </c>
      <c r="M1449" s="705">
        <v>142170</v>
      </c>
      <c r="N1449" s="705">
        <v>64769</v>
      </c>
      <c r="O1449" s="705">
        <v>23988</v>
      </c>
      <c r="P1449" s="705">
        <v>0</v>
      </c>
      <c r="Q1449" s="705">
        <v>0</v>
      </c>
      <c r="R1449" s="705">
        <v>220915</v>
      </c>
      <c r="S1449" s="705">
        <v>81820</v>
      </c>
      <c r="T1449" s="705">
        <v>0</v>
      </c>
      <c r="U1449" s="705">
        <v>0</v>
      </c>
      <c r="V1449" s="705">
        <v>740787</v>
      </c>
      <c r="W1449" s="705">
        <f t="shared" si="64"/>
        <v>740786</v>
      </c>
      <c r="X1449" s="705">
        <f t="shared" si="65"/>
        <v>1791110</v>
      </c>
    </row>
    <row r="1450" spans="2:24">
      <c r="B1450" t="s">
        <v>545</v>
      </c>
      <c r="C1450" t="s">
        <v>124</v>
      </c>
      <c r="D1450" t="s">
        <v>228</v>
      </c>
      <c r="E1450" t="s">
        <v>665</v>
      </c>
      <c r="F1450" s="705">
        <v>3</v>
      </c>
      <c r="G1450" s="705">
        <v>332</v>
      </c>
      <c r="H1450" s="705">
        <v>1554</v>
      </c>
      <c r="I1450" s="705">
        <v>120057</v>
      </c>
      <c r="J1450" s="705">
        <v>44466</v>
      </c>
      <c r="K1450" s="705">
        <v>100</v>
      </c>
      <c r="L1450" s="705">
        <v>19365</v>
      </c>
      <c r="M1450" s="705">
        <v>17605</v>
      </c>
      <c r="N1450" s="705">
        <v>6548</v>
      </c>
      <c r="O1450" s="705">
        <v>2425</v>
      </c>
      <c r="P1450" s="705">
        <v>351</v>
      </c>
      <c r="Q1450" s="705">
        <v>130</v>
      </c>
      <c r="R1450" s="705">
        <v>21686</v>
      </c>
      <c r="S1450" s="705">
        <v>19715</v>
      </c>
      <c r="T1450" s="705">
        <v>8978</v>
      </c>
      <c r="U1450" s="705">
        <v>3325</v>
      </c>
      <c r="V1450" s="705">
        <v>87666</v>
      </c>
      <c r="W1450" s="705">
        <f t="shared" si="64"/>
        <v>87666</v>
      </c>
      <c r="X1450" s="705">
        <f t="shared" si="65"/>
        <v>176985</v>
      </c>
    </row>
    <row r="1451" spans="2:24">
      <c r="B1451" t="s">
        <v>545</v>
      </c>
      <c r="C1451" t="s">
        <v>124</v>
      </c>
      <c r="D1451" t="s">
        <v>583</v>
      </c>
      <c r="E1451" t="s">
        <v>664</v>
      </c>
      <c r="F1451" s="705">
        <v>1</v>
      </c>
      <c r="G1451" s="705">
        <v>101</v>
      </c>
      <c r="H1451" s="705">
        <v>540</v>
      </c>
      <c r="I1451" s="705">
        <v>35292</v>
      </c>
      <c r="J1451" s="705">
        <v>32083</v>
      </c>
      <c r="K1451" s="705">
        <v>60</v>
      </c>
      <c r="L1451" s="705">
        <v>7450</v>
      </c>
      <c r="M1451" s="705">
        <v>6773</v>
      </c>
      <c r="N1451" s="705">
        <v>2329</v>
      </c>
      <c r="O1451" s="705">
        <v>862</v>
      </c>
      <c r="P1451" s="705">
        <v>621</v>
      </c>
      <c r="Q1451" s="705">
        <v>230</v>
      </c>
      <c r="R1451" s="705">
        <v>5757</v>
      </c>
      <c r="S1451" s="705">
        <v>5234</v>
      </c>
      <c r="T1451" s="705">
        <v>2880</v>
      </c>
      <c r="U1451" s="705">
        <v>1067</v>
      </c>
      <c r="V1451" s="705">
        <v>46250</v>
      </c>
      <c r="W1451" s="705">
        <f t="shared" ref="W1451:W1514" si="66">SUM(ABS(J1451),ABS(M1451),ABS(O1451),ABS(Q1451),ABS(S1451),ABS(U1451))</f>
        <v>46249</v>
      </c>
      <c r="X1451" s="705">
        <f t="shared" ref="X1451:X1514" si="67">SUM(ABS(I1451),ABS(N1451),ABS(P1451),ABS(R1451),ABS(T1451),ABS(L1451))</f>
        <v>54329</v>
      </c>
    </row>
    <row r="1452" spans="2:24">
      <c r="B1452" t="s">
        <v>545</v>
      </c>
      <c r="C1452" t="s">
        <v>124</v>
      </c>
      <c r="D1452" t="s">
        <v>583</v>
      </c>
      <c r="E1452" t="s">
        <v>228</v>
      </c>
      <c r="F1452" s="705">
        <v>4</v>
      </c>
      <c r="G1452" s="705">
        <v>379</v>
      </c>
      <c r="H1452" s="705">
        <v>2305</v>
      </c>
      <c r="I1452" s="705">
        <v>140624</v>
      </c>
      <c r="J1452" s="705">
        <v>127840</v>
      </c>
      <c r="K1452" s="705">
        <v>64</v>
      </c>
      <c r="L1452" s="705">
        <v>31614</v>
      </c>
      <c r="M1452" s="705">
        <v>28740</v>
      </c>
      <c r="N1452" s="705">
        <v>8455</v>
      </c>
      <c r="O1452" s="705">
        <v>3131</v>
      </c>
      <c r="P1452" s="705">
        <v>2484</v>
      </c>
      <c r="Q1452" s="705">
        <v>920</v>
      </c>
      <c r="R1452" s="705">
        <v>28634</v>
      </c>
      <c r="S1452" s="705">
        <v>10605</v>
      </c>
      <c r="T1452" s="705">
        <v>0</v>
      </c>
      <c r="U1452" s="705">
        <v>0</v>
      </c>
      <c r="V1452" s="705">
        <v>171237</v>
      </c>
      <c r="W1452" s="705">
        <f t="shared" si="66"/>
        <v>171236</v>
      </c>
      <c r="X1452" s="705">
        <f t="shared" si="67"/>
        <v>211811</v>
      </c>
    </row>
    <row r="1453" spans="2:24">
      <c r="B1453" t="s">
        <v>545</v>
      </c>
      <c r="C1453" t="s">
        <v>124</v>
      </c>
      <c r="D1453" t="s">
        <v>583</v>
      </c>
      <c r="E1453" t="s">
        <v>583</v>
      </c>
      <c r="F1453" s="705">
        <v>39</v>
      </c>
      <c r="G1453" s="705">
        <v>3955</v>
      </c>
      <c r="H1453" s="705">
        <v>20780</v>
      </c>
      <c r="I1453" s="705">
        <v>1465921</v>
      </c>
      <c r="J1453" s="705">
        <v>1332655</v>
      </c>
      <c r="K1453" s="705">
        <v>70</v>
      </c>
      <c r="L1453" s="705">
        <v>300801</v>
      </c>
      <c r="M1453" s="705">
        <v>267276</v>
      </c>
      <c r="N1453" s="705">
        <v>87553</v>
      </c>
      <c r="O1453" s="705">
        <v>32427</v>
      </c>
      <c r="P1453" s="705">
        <v>24921</v>
      </c>
      <c r="Q1453" s="705">
        <v>9230</v>
      </c>
      <c r="R1453" s="705">
        <v>190221</v>
      </c>
      <c r="S1453" s="705">
        <v>172928</v>
      </c>
      <c r="T1453" s="705">
        <v>86706</v>
      </c>
      <c r="U1453" s="705">
        <v>32113</v>
      </c>
      <c r="V1453" s="705">
        <v>1846629</v>
      </c>
      <c r="W1453" s="705">
        <f t="shared" si="66"/>
        <v>1846629</v>
      </c>
      <c r="X1453" s="705">
        <f t="shared" si="67"/>
        <v>2156123</v>
      </c>
    </row>
    <row r="1454" spans="2:24">
      <c r="B1454" t="s">
        <v>545</v>
      </c>
      <c r="C1454" t="s">
        <v>124</v>
      </c>
      <c r="D1454" t="s">
        <v>666</v>
      </c>
      <c r="E1454" t="s">
        <v>666</v>
      </c>
      <c r="F1454" s="705">
        <v>22</v>
      </c>
      <c r="G1454" s="705">
        <v>949</v>
      </c>
      <c r="H1454" s="705">
        <v>10796</v>
      </c>
      <c r="I1454" s="705">
        <v>263936</v>
      </c>
      <c r="J1454" s="705">
        <v>239942</v>
      </c>
      <c r="K1454" s="705">
        <v>49</v>
      </c>
      <c r="L1454" s="705">
        <v>35197</v>
      </c>
      <c r="M1454" s="705">
        <v>13036</v>
      </c>
      <c r="N1454" s="705">
        <v>15139</v>
      </c>
      <c r="O1454" s="705">
        <v>5607</v>
      </c>
      <c r="P1454" s="705">
        <v>7992</v>
      </c>
      <c r="Q1454" s="705">
        <v>2960</v>
      </c>
      <c r="R1454" s="705">
        <v>110152</v>
      </c>
      <c r="S1454" s="705">
        <v>100138</v>
      </c>
      <c r="T1454" s="705">
        <v>32918</v>
      </c>
      <c r="U1454" s="705">
        <v>12192</v>
      </c>
      <c r="V1454" s="705">
        <v>373875</v>
      </c>
      <c r="W1454" s="705">
        <f t="shared" si="66"/>
        <v>373875</v>
      </c>
      <c r="X1454" s="705">
        <f t="shared" si="67"/>
        <v>465334</v>
      </c>
    </row>
    <row r="1455" spans="2:24">
      <c r="B1455" t="s">
        <v>545</v>
      </c>
      <c r="C1455" t="s">
        <v>124</v>
      </c>
      <c r="D1455" t="s">
        <v>669</v>
      </c>
      <c r="E1455" t="s">
        <v>669</v>
      </c>
      <c r="F1455" s="705">
        <v>1</v>
      </c>
      <c r="G1455" s="705">
        <v>36</v>
      </c>
      <c r="H1455" s="705">
        <v>473</v>
      </c>
      <c r="I1455" s="705">
        <v>6421</v>
      </c>
      <c r="J1455" s="705">
        <v>5351</v>
      </c>
      <c r="K1455" s="705">
        <v>60</v>
      </c>
      <c r="L1455" s="705">
        <v>2167</v>
      </c>
      <c r="M1455" s="705">
        <v>803</v>
      </c>
      <c r="N1455" s="705">
        <v>881</v>
      </c>
      <c r="O1455" s="705">
        <v>326</v>
      </c>
      <c r="P1455" s="705">
        <v>351</v>
      </c>
      <c r="Q1455" s="705">
        <v>130</v>
      </c>
      <c r="R1455" s="705">
        <v>5027</v>
      </c>
      <c r="S1455" s="705">
        <v>4189</v>
      </c>
      <c r="T1455" s="705">
        <v>2256</v>
      </c>
      <c r="U1455" s="705">
        <v>835</v>
      </c>
      <c r="V1455" s="705">
        <v>11635</v>
      </c>
      <c r="W1455" s="705">
        <f t="shared" si="66"/>
        <v>11634</v>
      </c>
      <c r="X1455" s="705">
        <f t="shared" si="67"/>
        <v>17103</v>
      </c>
    </row>
    <row r="1456" spans="2:24">
      <c r="B1456" t="s">
        <v>545</v>
      </c>
      <c r="C1456" t="s">
        <v>124</v>
      </c>
      <c r="D1456" t="s">
        <v>665</v>
      </c>
      <c r="E1456" t="s">
        <v>228</v>
      </c>
      <c r="F1456" s="705">
        <v>4</v>
      </c>
      <c r="G1456" s="705">
        <v>290</v>
      </c>
      <c r="H1456" s="705">
        <v>3592</v>
      </c>
      <c r="I1456" s="705">
        <v>220700</v>
      </c>
      <c r="J1456" s="705">
        <v>200637</v>
      </c>
      <c r="K1456" s="705">
        <v>38</v>
      </c>
      <c r="L1456" s="705">
        <v>15283</v>
      </c>
      <c r="M1456" s="705">
        <v>8526</v>
      </c>
      <c r="N1456" s="705">
        <v>6533</v>
      </c>
      <c r="O1456" s="705">
        <v>2419</v>
      </c>
      <c r="P1456" s="705">
        <v>0</v>
      </c>
      <c r="Q1456" s="705">
        <v>0</v>
      </c>
      <c r="R1456" s="705">
        <v>17356</v>
      </c>
      <c r="S1456" s="705">
        <v>6428</v>
      </c>
      <c r="T1456" s="705">
        <v>0</v>
      </c>
      <c r="U1456" s="705">
        <v>0</v>
      </c>
      <c r="V1456" s="705">
        <v>218010</v>
      </c>
      <c r="W1456" s="705">
        <f t="shared" si="66"/>
        <v>218010</v>
      </c>
      <c r="X1456" s="705">
        <f t="shared" si="67"/>
        <v>259872</v>
      </c>
    </row>
    <row r="1457" spans="2:24">
      <c r="B1457" t="s">
        <v>545</v>
      </c>
      <c r="C1457" t="s">
        <v>124</v>
      </c>
      <c r="D1457" t="s">
        <v>665</v>
      </c>
      <c r="E1457" t="s">
        <v>665</v>
      </c>
      <c r="F1457" s="705">
        <v>52</v>
      </c>
      <c r="G1457" s="705">
        <v>2646</v>
      </c>
      <c r="H1457" s="705">
        <v>27490</v>
      </c>
      <c r="I1457" s="705">
        <v>884534</v>
      </c>
      <c r="J1457" s="705">
        <v>804122</v>
      </c>
      <c r="K1457" s="705">
        <v>48</v>
      </c>
      <c r="L1457" s="705">
        <v>112191</v>
      </c>
      <c r="M1457" s="705">
        <v>70251</v>
      </c>
      <c r="N1457" s="705">
        <v>53480</v>
      </c>
      <c r="O1457" s="705">
        <v>19807</v>
      </c>
      <c r="P1457" s="705">
        <v>15363</v>
      </c>
      <c r="Q1457" s="705">
        <v>5690</v>
      </c>
      <c r="R1457" s="705">
        <v>272264</v>
      </c>
      <c r="S1457" s="705">
        <v>247513</v>
      </c>
      <c r="T1457" s="705">
        <v>102586</v>
      </c>
      <c r="U1457" s="705">
        <v>37995</v>
      </c>
      <c r="V1457" s="705">
        <v>1185378</v>
      </c>
      <c r="W1457" s="705">
        <f t="shared" si="66"/>
        <v>1185378</v>
      </c>
      <c r="X1457" s="705">
        <f t="shared" si="67"/>
        <v>1440418</v>
      </c>
    </row>
    <row r="1458" spans="2:24">
      <c r="B1458" t="s">
        <v>546</v>
      </c>
      <c r="C1458" t="s">
        <v>108</v>
      </c>
      <c r="F1458" s="705">
        <v>11</v>
      </c>
      <c r="G1458" s="705">
        <v>1193</v>
      </c>
      <c r="H1458" s="705">
        <v>758</v>
      </c>
      <c r="I1458" s="705"/>
      <c r="J1458" s="705">
        <v>0</v>
      </c>
      <c r="K1458" s="705"/>
      <c r="L1458" s="705"/>
      <c r="M1458" s="705">
        <v>0</v>
      </c>
      <c r="N1458" s="705">
        <v>14537</v>
      </c>
      <c r="O1458" s="705">
        <v>5384</v>
      </c>
      <c r="P1458" s="705">
        <v>10172</v>
      </c>
      <c r="Q1458" s="705">
        <v>3767</v>
      </c>
      <c r="R1458" s="705"/>
      <c r="S1458" s="705">
        <v>0</v>
      </c>
      <c r="T1458" s="705">
        <v>0</v>
      </c>
      <c r="U1458" s="705">
        <v>0</v>
      </c>
      <c r="V1458" s="705">
        <v>9151</v>
      </c>
      <c r="W1458" s="705">
        <f t="shared" si="66"/>
        <v>9151</v>
      </c>
      <c r="X1458" s="705">
        <f t="shared" si="67"/>
        <v>24709</v>
      </c>
    </row>
    <row r="1459" spans="2:24">
      <c r="B1459" t="s">
        <v>546</v>
      </c>
      <c r="C1459" t="s">
        <v>108</v>
      </c>
      <c r="D1459" t="s">
        <v>228</v>
      </c>
      <c r="E1459" t="s">
        <v>228</v>
      </c>
      <c r="F1459" s="705">
        <v>231</v>
      </c>
      <c r="G1459" s="705">
        <v>29213</v>
      </c>
      <c r="H1459" s="705">
        <v>12530</v>
      </c>
      <c r="I1459" s="705">
        <v>53125</v>
      </c>
      <c r="J1459" s="705">
        <v>19676</v>
      </c>
      <c r="K1459" s="705">
        <v>476</v>
      </c>
      <c r="L1459" s="705">
        <v>11733</v>
      </c>
      <c r="M1459" s="705">
        <v>8415</v>
      </c>
      <c r="N1459" s="705">
        <v>382526</v>
      </c>
      <c r="O1459" s="705">
        <v>141676</v>
      </c>
      <c r="P1459" s="705">
        <v>148730</v>
      </c>
      <c r="Q1459" s="705">
        <v>55085</v>
      </c>
      <c r="R1459" s="705">
        <v>981872</v>
      </c>
      <c r="S1459" s="705">
        <v>363656</v>
      </c>
      <c r="T1459" s="705">
        <v>0</v>
      </c>
      <c r="U1459" s="705">
        <v>0</v>
      </c>
      <c r="V1459" s="705">
        <v>588509</v>
      </c>
      <c r="W1459" s="705">
        <f t="shared" si="66"/>
        <v>588508</v>
      </c>
      <c r="X1459" s="705">
        <f t="shared" si="67"/>
        <v>1577986</v>
      </c>
    </row>
    <row r="1460" spans="2:24">
      <c r="B1460" t="s">
        <v>546</v>
      </c>
      <c r="C1460" t="s">
        <v>108</v>
      </c>
      <c r="D1460" t="s">
        <v>228</v>
      </c>
      <c r="E1460" t="s">
        <v>583</v>
      </c>
      <c r="F1460" s="705">
        <v>1</v>
      </c>
      <c r="G1460" s="705">
        <v>132</v>
      </c>
      <c r="H1460" s="705">
        <v>65</v>
      </c>
      <c r="I1460" s="705">
        <v>1776</v>
      </c>
      <c r="J1460" s="705">
        <v>658</v>
      </c>
      <c r="K1460" s="705">
        <v>380</v>
      </c>
      <c r="L1460" s="705">
        <v>294</v>
      </c>
      <c r="M1460" s="705">
        <v>267</v>
      </c>
      <c r="N1460" s="705">
        <v>1609</v>
      </c>
      <c r="O1460" s="705">
        <v>596</v>
      </c>
      <c r="P1460" s="705">
        <v>1719</v>
      </c>
      <c r="Q1460" s="705">
        <v>637</v>
      </c>
      <c r="R1460" s="705">
        <v>3205</v>
      </c>
      <c r="S1460" s="705">
        <v>2914</v>
      </c>
      <c r="T1460" s="705">
        <v>0</v>
      </c>
      <c r="U1460" s="705">
        <v>0</v>
      </c>
      <c r="V1460" s="705">
        <v>5071</v>
      </c>
      <c r="W1460" s="705">
        <f t="shared" si="66"/>
        <v>5072</v>
      </c>
      <c r="X1460" s="705">
        <f t="shared" si="67"/>
        <v>8603</v>
      </c>
    </row>
    <row r="1461" spans="2:24">
      <c r="B1461" t="s">
        <v>546</v>
      </c>
      <c r="C1461" t="s">
        <v>108</v>
      </c>
      <c r="D1461" t="s">
        <v>583</v>
      </c>
      <c r="E1461" t="s">
        <v>583</v>
      </c>
      <c r="F1461" s="705">
        <v>14</v>
      </c>
      <c r="G1461" s="705">
        <v>1569</v>
      </c>
      <c r="H1461" s="705">
        <v>873</v>
      </c>
      <c r="I1461" s="705">
        <v>40278</v>
      </c>
      <c r="J1461" s="705">
        <v>36616</v>
      </c>
      <c r="K1461" s="705">
        <v>96</v>
      </c>
      <c r="L1461" s="705">
        <v>4885</v>
      </c>
      <c r="M1461" s="705">
        <v>4441</v>
      </c>
      <c r="N1461" s="705">
        <v>19118</v>
      </c>
      <c r="O1461" s="705">
        <v>7081</v>
      </c>
      <c r="P1461" s="705">
        <v>10115</v>
      </c>
      <c r="Q1461" s="705">
        <v>3746</v>
      </c>
      <c r="R1461" s="705">
        <v>24240</v>
      </c>
      <c r="S1461" s="705">
        <v>22036</v>
      </c>
      <c r="T1461" s="705">
        <v>0</v>
      </c>
      <c r="U1461" s="705">
        <v>0</v>
      </c>
      <c r="V1461" s="705">
        <v>73920</v>
      </c>
      <c r="W1461" s="705">
        <f t="shared" si="66"/>
        <v>73920</v>
      </c>
      <c r="X1461" s="705">
        <f t="shared" si="67"/>
        <v>98636</v>
      </c>
    </row>
    <row r="1462" spans="2:24">
      <c r="B1462" t="s">
        <v>546</v>
      </c>
      <c r="C1462" t="s">
        <v>108</v>
      </c>
      <c r="D1462" t="s">
        <v>584</v>
      </c>
      <c r="E1462" t="s">
        <v>228</v>
      </c>
      <c r="F1462" s="705">
        <v>4</v>
      </c>
      <c r="G1462" s="705">
        <v>452</v>
      </c>
      <c r="H1462" s="705">
        <v>223</v>
      </c>
      <c r="I1462" s="705">
        <v>5878</v>
      </c>
      <c r="J1462" s="705">
        <v>5343</v>
      </c>
      <c r="K1462" s="705">
        <v>90</v>
      </c>
      <c r="L1462" s="705">
        <v>0</v>
      </c>
      <c r="M1462" s="705">
        <v>0</v>
      </c>
      <c r="N1462" s="705">
        <v>5511</v>
      </c>
      <c r="O1462" s="705">
        <v>2041</v>
      </c>
      <c r="P1462" s="705">
        <v>1890</v>
      </c>
      <c r="Q1462" s="705">
        <v>700</v>
      </c>
      <c r="R1462" s="705">
        <v>12013</v>
      </c>
      <c r="S1462" s="705">
        <v>4449</v>
      </c>
      <c r="T1462" s="705">
        <v>0</v>
      </c>
      <c r="U1462" s="705">
        <v>0</v>
      </c>
      <c r="V1462" s="705">
        <v>12534</v>
      </c>
      <c r="W1462" s="705">
        <f t="shared" si="66"/>
        <v>12533</v>
      </c>
      <c r="X1462" s="705">
        <f t="shared" si="67"/>
        <v>25292</v>
      </c>
    </row>
    <row r="1463" spans="2:24">
      <c r="B1463" t="s">
        <v>546</v>
      </c>
      <c r="C1463" t="s">
        <v>108</v>
      </c>
      <c r="D1463" t="s">
        <v>584</v>
      </c>
      <c r="E1463" t="s">
        <v>584</v>
      </c>
      <c r="F1463" s="705">
        <v>462</v>
      </c>
      <c r="G1463" s="705">
        <v>53521</v>
      </c>
      <c r="H1463" s="705">
        <v>27027</v>
      </c>
      <c r="I1463" s="705">
        <v>518547</v>
      </c>
      <c r="J1463" s="705">
        <v>471407</v>
      </c>
      <c r="K1463" s="705">
        <v>91</v>
      </c>
      <c r="L1463" s="705">
        <v>48045</v>
      </c>
      <c r="M1463" s="705">
        <v>41892</v>
      </c>
      <c r="N1463" s="705">
        <v>654680</v>
      </c>
      <c r="O1463" s="705">
        <v>242474</v>
      </c>
      <c r="P1463" s="705">
        <v>218498</v>
      </c>
      <c r="Q1463" s="705">
        <v>80925</v>
      </c>
      <c r="R1463" s="705">
        <v>1665488</v>
      </c>
      <c r="S1463" s="705">
        <v>1514080</v>
      </c>
      <c r="T1463" s="705">
        <v>0</v>
      </c>
      <c r="U1463" s="705">
        <v>0</v>
      </c>
      <c r="V1463" s="705">
        <v>2350778</v>
      </c>
      <c r="W1463" s="705">
        <f t="shared" si="66"/>
        <v>2350778</v>
      </c>
      <c r="X1463" s="705">
        <f t="shared" si="67"/>
        <v>3105258</v>
      </c>
    </row>
    <row r="1464" spans="2:24">
      <c r="B1464" t="s">
        <v>546</v>
      </c>
      <c r="C1464" t="s">
        <v>110</v>
      </c>
      <c r="D1464" t="s">
        <v>228</v>
      </c>
      <c r="E1464" t="s">
        <v>228</v>
      </c>
      <c r="F1464" s="705">
        <v>45</v>
      </c>
      <c r="G1464" s="705">
        <v>3372</v>
      </c>
      <c r="H1464" s="705">
        <v>4026</v>
      </c>
      <c r="I1464" s="705">
        <v>48517</v>
      </c>
      <c r="J1464" s="705">
        <v>17969</v>
      </c>
      <c r="K1464" s="705">
        <v>399</v>
      </c>
      <c r="L1464" s="705">
        <v>17070</v>
      </c>
      <c r="M1464" s="705">
        <v>15177</v>
      </c>
      <c r="N1464" s="705">
        <v>51871</v>
      </c>
      <c r="O1464" s="705">
        <v>19212</v>
      </c>
      <c r="P1464" s="705">
        <v>16348</v>
      </c>
      <c r="Q1464" s="705">
        <v>6055</v>
      </c>
      <c r="R1464" s="705">
        <v>168373</v>
      </c>
      <c r="S1464" s="705">
        <v>62360</v>
      </c>
      <c r="T1464" s="705">
        <v>0</v>
      </c>
      <c r="U1464" s="705">
        <v>0</v>
      </c>
      <c r="V1464" s="705">
        <v>120773</v>
      </c>
      <c r="W1464" s="705">
        <f t="shared" si="66"/>
        <v>120773</v>
      </c>
      <c r="X1464" s="705">
        <f t="shared" si="67"/>
        <v>302179</v>
      </c>
    </row>
    <row r="1465" spans="2:24">
      <c r="B1465" t="s">
        <v>546</v>
      </c>
      <c r="C1465" t="s">
        <v>110</v>
      </c>
      <c r="D1465" t="s">
        <v>583</v>
      </c>
      <c r="E1465" t="s">
        <v>583</v>
      </c>
      <c r="F1465" s="705">
        <v>5</v>
      </c>
      <c r="G1465" s="705">
        <v>603</v>
      </c>
      <c r="H1465" s="705">
        <v>454</v>
      </c>
      <c r="I1465" s="705">
        <v>25500</v>
      </c>
      <c r="J1465" s="705">
        <v>23181</v>
      </c>
      <c r="K1465" s="705">
        <v>95</v>
      </c>
      <c r="L1465" s="705">
        <v>4193</v>
      </c>
      <c r="M1465" s="705">
        <v>3112</v>
      </c>
      <c r="N1465" s="705">
        <v>7813</v>
      </c>
      <c r="O1465" s="705">
        <v>2894</v>
      </c>
      <c r="P1465" s="705">
        <v>5592</v>
      </c>
      <c r="Q1465" s="705">
        <v>2071</v>
      </c>
      <c r="R1465" s="705">
        <v>11119</v>
      </c>
      <c r="S1465" s="705">
        <v>10109</v>
      </c>
      <c r="T1465" s="705">
        <v>394</v>
      </c>
      <c r="U1465" s="705">
        <v>146</v>
      </c>
      <c r="V1465" s="705">
        <v>41513</v>
      </c>
      <c r="W1465" s="705">
        <f t="shared" si="66"/>
        <v>41513</v>
      </c>
      <c r="X1465" s="705">
        <f t="shared" si="67"/>
        <v>54611</v>
      </c>
    </row>
    <row r="1466" spans="2:24">
      <c r="B1466" t="s">
        <v>546</v>
      </c>
      <c r="C1466" t="s">
        <v>110</v>
      </c>
      <c r="D1466" t="s">
        <v>584</v>
      </c>
      <c r="E1466" t="s">
        <v>584</v>
      </c>
      <c r="F1466" s="705">
        <v>93</v>
      </c>
      <c r="G1466" s="705">
        <v>9602</v>
      </c>
      <c r="H1466" s="705">
        <v>8194</v>
      </c>
      <c r="I1466" s="705">
        <v>333413</v>
      </c>
      <c r="J1466" s="705">
        <v>303103</v>
      </c>
      <c r="K1466" s="705">
        <v>91</v>
      </c>
      <c r="L1466" s="705">
        <v>17799</v>
      </c>
      <c r="M1466" s="705">
        <v>16068</v>
      </c>
      <c r="N1466" s="705">
        <v>137508</v>
      </c>
      <c r="O1466" s="705">
        <v>50929</v>
      </c>
      <c r="P1466" s="705">
        <v>43943</v>
      </c>
      <c r="Q1466" s="705">
        <v>16275</v>
      </c>
      <c r="R1466" s="705">
        <v>322340</v>
      </c>
      <c r="S1466" s="705">
        <v>293037</v>
      </c>
      <c r="T1466" s="705">
        <v>0</v>
      </c>
      <c r="U1466" s="705">
        <v>0</v>
      </c>
      <c r="V1466" s="705">
        <v>679411</v>
      </c>
      <c r="W1466" s="705">
        <f t="shared" si="66"/>
        <v>679412</v>
      </c>
      <c r="X1466" s="705">
        <f t="shared" si="67"/>
        <v>855003</v>
      </c>
    </row>
    <row r="1467" spans="2:24">
      <c r="B1467" t="s">
        <v>546</v>
      </c>
      <c r="C1467" t="s">
        <v>112</v>
      </c>
      <c r="D1467" t="s">
        <v>582</v>
      </c>
      <c r="E1467" t="s">
        <v>582</v>
      </c>
      <c r="F1467" s="705">
        <v>1</v>
      </c>
      <c r="G1467" s="705">
        <v>195</v>
      </c>
      <c r="H1467" s="705">
        <v>112</v>
      </c>
      <c r="I1467" s="705">
        <v>11132</v>
      </c>
      <c r="J1467" s="705">
        <v>10120</v>
      </c>
      <c r="K1467" s="705">
        <v>91</v>
      </c>
      <c r="L1467" s="705">
        <v>0</v>
      </c>
      <c r="M1467" s="705">
        <v>0</v>
      </c>
      <c r="N1467" s="705">
        <v>4745</v>
      </c>
      <c r="O1467" s="705">
        <v>1757</v>
      </c>
      <c r="P1467" s="705">
        <v>473</v>
      </c>
      <c r="Q1467" s="705">
        <v>175</v>
      </c>
      <c r="R1467" s="705">
        <v>5433</v>
      </c>
      <c r="S1467" s="705">
        <v>4939</v>
      </c>
      <c r="T1467" s="705">
        <v>0</v>
      </c>
      <c r="U1467" s="705">
        <v>0</v>
      </c>
      <c r="V1467" s="705">
        <v>16992</v>
      </c>
      <c r="W1467" s="705">
        <f t="shared" si="66"/>
        <v>16991</v>
      </c>
      <c r="X1467" s="705">
        <f t="shared" si="67"/>
        <v>21783</v>
      </c>
    </row>
    <row r="1468" spans="2:24">
      <c r="B1468" t="s">
        <v>546</v>
      </c>
      <c r="C1468" t="s">
        <v>112</v>
      </c>
      <c r="D1468" t="s">
        <v>228</v>
      </c>
      <c r="E1468" t="s">
        <v>228</v>
      </c>
      <c r="F1468" s="705">
        <v>23</v>
      </c>
      <c r="G1468" s="705">
        <v>1676</v>
      </c>
      <c r="H1468" s="705">
        <v>2653</v>
      </c>
      <c r="I1468" s="705">
        <v>60585</v>
      </c>
      <c r="J1468" s="705">
        <v>22439</v>
      </c>
      <c r="K1468" s="705">
        <v>333</v>
      </c>
      <c r="L1468" s="705">
        <v>12528</v>
      </c>
      <c r="M1468" s="705">
        <v>9095</v>
      </c>
      <c r="N1468" s="705">
        <v>27953</v>
      </c>
      <c r="O1468" s="705">
        <v>10353</v>
      </c>
      <c r="P1468" s="705">
        <v>9103</v>
      </c>
      <c r="Q1468" s="705">
        <v>3371</v>
      </c>
      <c r="R1468" s="705">
        <v>78546</v>
      </c>
      <c r="S1468" s="705">
        <v>29091</v>
      </c>
      <c r="T1468" s="705">
        <v>5572</v>
      </c>
      <c r="U1468" s="705">
        <v>2064</v>
      </c>
      <c r="V1468" s="705">
        <v>76414</v>
      </c>
      <c r="W1468" s="705">
        <f t="shared" si="66"/>
        <v>76413</v>
      </c>
      <c r="X1468" s="705">
        <f t="shared" si="67"/>
        <v>194287</v>
      </c>
    </row>
    <row r="1469" spans="2:24">
      <c r="B1469" t="s">
        <v>546</v>
      </c>
      <c r="C1469" t="s">
        <v>112</v>
      </c>
      <c r="D1469" t="s">
        <v>583</v>
      </c>
      <c r="E1469" t="s">
        <v>583</v>
      </c>
      <c r="F1469" s="705">
        <v>59</v>
      </c>
      <c r="G1469" s="705">
        <v>5951</v>
      </c>
      <c r="H1469" s="705">
        <v>6935</v>
      </c>
      <c r="I1469" s="705">
        <v>289258</v>
      </c>
      <c r="J1469" s="705">
        <v>262962</v>
      </c>
      <c r="K1469" s="705">
        <v>93</v>
      </c>
      <c r="L1469" s="705">
        <v>50167</v>
      </c>
      <c r="M1469" s="705">
        <v>44965</v>
      </c>
      <c r="N1469" s="705">
        <v>114346</v>
      </c>
      <c r="O1469" s="705">
        <v>42350</v>
      </c>
      <c r="P1469" s="705">
        <v>38484</v>
      </c>
      <c r="Q1469" s="705">
        <v>14253</v>
      </c>
      <c r="R1469" s="705">
        <v>220758</v>
      </c>
      <c r="S1469" s="705">
        <v>200689</v>
      </c>
      <c r="T1469" s="705">
        <v>2802</v>
      </c>
      <c r="U1469" s="705">
        <v>1038</v>
      </c>
      <c r="V1469" s="705">
        <v>566258</v>
      </c>
      <c r="W1469" s="705">
        <f t="shared" si="66"/>
        <v>566257</v>
      </c>
      <c r="X1469" s="705">
        <f t="shared" si="67"/>
        <v>715815</v>
      </c>
    </row>
    <row r="1470" spans="2:24">
      <c r="B1470" t="s">
        <v>546</v>
      </c>
      <c r="C1470" t="s">
        <v>112</v>
      </c>
      <c r="D1470" t="s">
        <v>584</v>
      </c>
      <c r="E1470" t="s">
        <v>584</v>
      </c>
      <c r="F1470" s="705">
        <v>211</v>
      </c>
      <c r="G1470" s="705">
        <v>25078</v>
      </c>
      <c r="H1470" s="705">
        <v>24998</v>
      </c>
      <c r="I1470" s="705">
        <v>1365472</v>
      </c>
      <c r="J1470" s="705">
        <v>1241339</v>
      </c>
      <c r="K1470" s="705">
        <v>89</v>
      </c>
      <c r="L1470" s="705">
        <v>203864</v>
      </c>
      <c r="M1470" s="705">
        <v>175466</v>
      </c>
      <c r="N1470" s="705">
        <v>413205</v>
      </c>
      <c r="O1470" s="705">
        <v>153039</v>
      </c>
      <c r="P1470" s="705">
        <v>106190</v>
      </c>
      <c r="Q1470" s="705">
        <v>39330</v>
      </c>
      <c r="R1470" s="705">
        <v>899957</v>
      </c>
      <c r="S1470" s="705">
        <v>818143</v>
      </c>
      <c r="T1470" s="705">
        <v>2927</v>
      </c>
      <c r="U1470" s="705">
        <v>1084</v>
      </c>
      <c r="V1470" s="705">
        <v>2428400</v>
      </c>
      <c r="W1470" s="705">
        <f t="shared" si="66"/>
        <v>2428401</v>
      </c>
      <c r="X1470" s="705">
        <f t="shared" si="67"/>
        <v>2991615</v>
      </c>
    </row>
    <row r="1471" spans="2:24">
      <c r="B1471" t="s">
        <v>546</v>
      </c>
      <c r="C1471" t="s">
        <v>114</v>
      </c>
      <c r="D1471" t="s">
        <v>582</v>
      </c>
      <c r="E1471" t="s">
        <v>582</v>
      </c>
      <c r="F1471" s="705">
        <v>2</v>
      </c>
      <c r="G1471" s="705">
        <v>236</v>
      </c>
      <c r="H1471" s="705">
        <v>288</v>
      </c>
      <c r="I1471" s="705">
        <v>14808</v>
      </c>
      <c r="J1471" s="705">
        <v>13462</v>
      </c>
      <c r="K1471" s="705">
        <v>91</v>
      </c>
      <c r="L1471" s="705">
        <v>5121</v>
      </c>
      <c r="M1471" s="705">
        <v>4448</v>
      </c>
      <c r="N1471" s="705">
        <v>5512</v>
      </c>
      <c r="O1471" s="705">
        <v>2042</v>
      </c>
      <c r="P1471" s="705">
        <v>945</v>
      </c>
      <c r="Q1471" s="705">
        <v>350</v>
      </c>
      <c r="R1471" s="705">
        <v>7696</v>
      </c>
      <c r="S1471" s="705">
        <v>6997</v>
      </c>
      <c r="T1471" s="705">
        <v>0</v>
      </c>
      <c r="U1471" s="705">
        <v>0</v>
      </c>
      <c r="V1471" s="705">
        <v>27298</v>
      </c>
      <c r="W1471" s="705">
        <f t="shared" si="66"/>
        <v>27299</v>
      </c>
      <c r="X1471" s="705">
        <f t="shared" si="67"/>
        <v>34082</v>
      </c>
    </row>
    <row r="1472" spans="2:24">
      <c r="B1472" t="s">
        <v>546</v>
      </c>
      <c r="C1472" t="s">
        <v>114</v>
      </c>
      <c r="D1472" t="s">
        <v>228</v>
      </c>
      <c r="E1472" t="s">
        <v>228</v>
      </c>
      <c r="F1472" s="705">
        <v>43</v>
      </c>
      <c r="G1472" s="705">
        <v>2660</v>
      </c>
      <c r="H1472" s="705">
        <v>5820</v>
      </c>
      <c r="I1472" s="705">
        <v>98352</v>
      </c>
      <c r="J1472" s="705">
        <v>36427</v>
      </c>
      <c r="K1472" s="705">
        <v>348</v>
      </c>
      <c r="L1472" s="705">
        <v>17270</v>
      </c>
      <c r="M1472" s="705">
        <v>13318</v>
      </c>
      <c r="N1472" s="705">
        <v>43117</v>
      </c>
      <c r="O1472" s="705">
        <v>15969</v>
      </c>
      <c r="P1472" s="705">
        <v>17934</v>
      </c>
      <c r="Q1472" s="705">
        <v>6642</v>
      </c>
      <c r="R1472" s="705">
        <v>178386</v>
      </c>
      <c r="S1472" s="705">
        <v>66069</v>
      </c>
      <c r="T1472" s="705">
        <v>3611</v>
      </c>
      <c r="U1472" s="705">
        <v>1337</v>
      </c>
      <c r="V1472" s="705">
        <v>139763</v>
      </c>
      <c r="W1472" s="705">
        <f t="shared" si="66"/>
        <v>139762</v>
      </c>
      <c r="X1472" s="705">
        <f t="shared" si="67"/>
        <v>358670</v>
      </c>
    </row>
    <row r="1473" spans="2:24">
      <c r="B1473" t="s">
        <v>546</v>
      </c>
      <c r="C1473" t="s">
        <v>114</v>
      </c>
      <c r="D1473" t="s">
        <v>228</v>
      </c>
      <c r="E1473" t="s">
        <v>584</v>
      </c>
      <c r="F1473" s="705">
        <v>1</v>
      </c>
      <c r="G1473" s="705">
        <v>192</v>
      </c>
      <c r="H1473" s="705">
        <v>147</v>
      </c>
      <c r="I1473" s="705">
        <v>17756</v>
      </c>
      <c r="J1473" s="705">
        <v>6576</v>
      </c>
      <c r="K1473" s="705">
        <v>100</v>
      </c>
      <c r="L1473" s="705">
        <v>1973</v>
      </c>
      <c r="M1473" s="705">
        <v>731</v>
      </c>
      <c r="N1473" s="705">
        <v>2454</v>
      </c>
      <c r="O1473" s="705">
        <v>909</v>
      </c>
      <c r="P1473" s="705">
        <v>473</v>
      </c>
      <c r="Q1473" s="705">
        <v>175</v>
      </c>
      <c r="R1473" s="705">
        <v>5456</v>
      </c>
      <c r="S1473" s="705">
        <v>4960</v>
      </c>
      <c r="T1473" s="705">
        <v>0</v>
      </c>
      <c r="U1473" s="705">
        <v>0</v>
      </c>
      <c r="V1473" s="705">
        <v>13351</v>
      </c>
      <c r="W1473" s="705">
        <f t="shared" si="66"/>
        <v>13351</v>
      </c>
      <c r="X1473" s="705">
        <f t="shared" si="67"/>
        <v>28112</v>
      </c>
    </row>
    <row r="1474" spans="2:24">
      <c r="B1474" t="s">
        <v>546</v>
      </c>
      <c r="C1474" t="s">
        <v>114</v>
      </c>
      <c r="D1474" t="s">
        <v>583</v>
      </c>
      <c r="E1474" t="s">
        <v>583</v>
      </c>
      <c r="F1474" s="705">
        <v>198</v>
      </c>
      <c r="G1474" s="705">
        <v>20377</v>
      </c>
      <c r="H1474" s="705">
        <v>27546</v>
      </c>
      <c r="I1474" s="705">
        <v>1305614</v>
      </c>
      <c r="J1474" s="705">
        <v>1186922</v>
      </c>
      <c r="K1474" s="705">
        <v>91</v>
      </c>
      <c r="L1474" s="705">
        <v>294880</v>
      </c>
      <c r="M1474" s="705">
        <v>265467</v>
      </c>
      <c r="N1474" s="705">
        <v>330537</v>
      </c>
      <c r="O1474" s="705">
        <v>122421</v>
      </c>
      <c r="P1474" s="705">
        <v>127602</v>
      </c>
      <c r="Q1474" s="705">
        <v>47260</v>
      </c>
      <c r="R1474" s="705">
        <v>781883</v>
      </c>
      <c r="S1474" s="705">
        <v>710803</v>
      </c>
      <c r="T1474" s="705">
        <v>36961</v>
      </c>
      <c r="U1474" s="705">
        <v>13689</v>
      </c>
      <c r="V1474" s="705">
        <v>2346562</v>
      </c>
      <c r="W1474" s="705">
        <f t="shared" si="66"/>
        <v>2346562</v>
      </c>
      <c r="X1474" s="705">
        <f t="shared" si="67"/>
        <v>2877477</v>
      </c>
    </row>
    <row r="1475" spans="2:24">
      <c r="B1475" t="s">
        <v>546</v>
      </c>
      <c r="C1475" t="s">
        <v>114</v>
      </c>
      <c r="D1475" t="s">
        <v>583</v>
      </c>
      <c r="E1475" t="s">
        <v>666</v>
      </c>
      <c r="F1475" s="705">
        <v>1</v>
      </c>
      <c r="G1475" s="705">
        <v>134</v>
      </c>
      <c r="H1475" s="705">
        <v>146</v>
      </c>
      <c r="I1475" s="705">
        <v>8075</v>
      </c>
      <c r="J1475" s="705">
        <v>7341</v>
      </c>
      <c r="K1475" s="705">
        <v>94</v>
      </c>
      <c r="L1475" s="705">
        <v>2811</v>
      </c>
      <c r="M1475" s="705">
        <v>2556</v>
      </c>
      <c r="N1475" s="705">
        <v>2735</v>
      </c>
      <c r="O1475" s="705">
        <v>1013</v>
      </c>
      <c r="P1475" s="705">
        <v>621</v>
      </c>
      <c r="Q1475" s="705">
        <v>230</v>
      </c>
      <c r="R1475" s="705">
        <v>5386</v>
      </c>
      <c r="S1475" s="705">
        <v>4896</v>
      </c>
      <c r="T1475" s="705">
        <v>0</v>
      </c>
      <c r="U1475" s="705">
        <v>0</v>
      </c>
      <c r="V1475" s="705">
        <v>16036</v>
      </c>
      <c r="W1475" s="705">
        <f t="shared" si="66"/>
        <v>16036</v>
      </c>
      <c r="X1475" s="705">
        <f t="shared" si="67"/>
        <v>19628</v>
      </c>
    </row>
    <row r="1476" spans="2:24">
      <c r="B1476" t="s">
        <v>546</v>
      </c>
      <c r="C1476" t="s">
        <v>114</v>
      </c>
      <c r="D1476" t="s">
        <v>583</v>
      </c>
      <c r="E1476" t="s">
        <v>669</v>
      </c>
      <c r="F1476" s="705">
        <v>2</v>
      </c>
      <c r="G1476" s="705">
        <v>216</v>
      </c>
      <c r="H1476" s="705">
        <v>280</v>
      </c>
      <c r="I1476" s="705">
        <v>12957</v>
      </c>
      <c r="J1476" s="705">
        <v>11779</v>
      </c>
      <c r="K1476" s="705">
        <v>92</v>
      </c>
      <c r="L1476" s="705">
        <v>4213</v>
      </c>
      <c r="M1476" s="705">
        <v>3830</v>
      </c>
      <c r="N1476" s="705">
        <v>2879</v>
      </c>
      <c r="O1476" s="705">
        <v>1066</v>
      </c>
      <c r="P1476" s="705">
        <v>1944</v>
      </c>
      <c r="Q1476" s="705">
        <v>720</v>
      </c>
      <c r="R1476" s="705">
        <v>8260</v>
      </c>
      <c r="S1476" s="705">
        <v>6884</v>
      </c>
      <c r="T1476" s="705">
        <v>0</v>
      </c>
      <c r="U1476" s="705">
        <v>0</v>
      </c>
      <c r="V1476" s="705">
        <v>24279</v>
      </c>
      <c r="W1476" s="705">
        <f t="shared" si="66"/>
        <v>24279</v>
      </c>
      <c r="X1476" s="705">
        <f t="shared" si="67"/>
        <v>30253</v>
      </c>
    </row>
    <row r="1477" spans="2:24">
      <c r="B1477" t="s">
        <v>546</v>
      </c>
      <c r="C1477" t="s">
        <v>114</v>
      </c>
      <c r="D1477" t="s">
        <v>584</v>
      </c>
      <c r="E1477" t="s">
        <v>582</v>
      </c>
      <c r="F1477" s="705">
        <v>1</v>
      </c>
      <c r="G1477" s="705">
        <v>92</v>
      </c>
      <c r="H1477" s="705">
        <v>148</v>
      </c>
      <c r="I1477" s="705">
        <v>6724</v>
      </c>
      <c r="J1477" s="705">
        <v>6113</v>
      </c>
      <c r="K1477" s="705">
        <v>91</v>
      </c>
      <c r="L1477" s="705">
        <v>0</v>
      </c>
      <c r="M1477" s="705">
        <v>0</v>
      </c>
      <c r="N1477" s="705">
        <v>1122</v>
      </c>
      <c r="O1477" s="705">
        <v>416</v>
      </c>
      <c r="P1477" s="705">
        <v>473</v>
      </c>
      <c r="Q1477" s="705">
        <v>175</v>
      </c>
      <c r="R1477" s="705">
        <v>5285</v>
      </c>
      <c r="S1477" s="705">
        <v>4804</v>
      </c>
      <c r="T1477" s="705">
        <v>0</v>
      </c>
      <c r="U1477" s="705">
        <v>0</v>
      </c>
      <c r="V1477" s="705">
        <v>11507</v>
      </c>
      <c r="W1477" s="705">
        <f t="shared" si="66"/>
        <v>11508</v>
      </c>
      <c r="X1477" s="705">
        <f t="shared" si="67"/>
        <v>13604</v>
      </c>
    </row>
    <row r="1478" spans="2:24">
      <c r="B1478" t="s">
        <v>546</v>
      </c>
      <c r="C1478" t="s">
        <v>114</v>
      </c>
      <c r="D1478" t="s">
        <v>584</v>
      </c>
      <c r="E1478" t="s">
        <v>584</v>
      </c>
      <c r="F1478" s="705">
        <v>749</v>
      </c>
      <c r="G1478" s="705">
        <v>85277</v>
      </c>
      <c r="H1478" s="705">
        <v>105086</v>
      </c>
      <c r="I1478" s="705">
        <v>5427694</v>
      </c>
      <c r="J1478" s="705">
        <v>4934267</v>
      </c>
      <c r="K1478" s="705">
        <v>88</v>
      </c>
      <c r="L1478" s="705">
        <v>1205428</v>
      </c>
      <c r="M1478" s="705">
        <v>1003906</v>
      </c>
      <c r="N1478" s="705">
        <v>1576560</v>
      </c>
      <c r="O1478" s="705">
        <v>583911</v>
      </c>
      <c r="P1478" s="705">
        <v>364107</v>
      </c>
      <c r="Q1478" s="705">
        <v>134854</v>
      </c>
      <c r="R1478" s="705">
        <v>3182750</v>
      </c>
      <c r="S1478" s="705">
        <v>2893409</v>
      </c>
      <c r="T1478" s="705">
        <v>272763</v>
      </c>
      <c r="U1478" s="705">
        <v>101023</v>
      </c>
      <c r="V1478" s="705">
        <v>9651371</v>
      </c>
      <c r="W1478" s="705">
        <f t="shared" si="66"/>
        <v>9651370</v>
      </c>
      <c r="X1478" s="705">
        <f t="shared" si="67"/>
        <v>12029302</v>
      </c>
    </row>
    <row r="1479" spans="2:24">
      <c r="B1479" t="s">
        <v>546</v>
      </c>
      <c r="C1479" t="s">
        <v>116</v>
      </c>
      <c r="F1479" s="705">
        <v>1</v>
      </c>
      <c r="G1479" s="705">
        <v>206</v>
      </c>
      <c r="H1479" s="705">
        <v>169</v>
      </c>
      <c r="I1479" s="705"/>
      <c r="J1479" s="705">
        <v>0</v>
      </c>
      <c r="K1479" s="705"/>
      <c r="L1479" s="705"/>
      <c r="M1479" s="705">
        <v>0</v>
      </c>
      <c r="N1479" s="705">
        <v>5010</v>
      </c>
      <c r="O1479" s="705">
        <v>1856</v>
      </c>
      <c r="P1479" s="705">
        <v>621</v>
      </c>
      <c r="Q1479" s="705">
        <v>230</v>
      </c>
      <c r="R1479" s="705"/>
      <c r="S1479" s="705">
        <v>0</v>
      </c>
      <c r="T1479" s="705">
        <v>3485</v>
      </c>
      <c r="U1479" s="705">
        <v>1291</v>
      </c>
      <c r="V1479" s="705">
        <v>3376</v>
      </c>
      <c r="W1479" s="705">
        <f t="shared" si="66"/>
        <v>3377</v>
      </c>
      <c r="X1479" s="705">
        <f t="shared" si="67"/>
        <v>9116</v>
      </c>
    </row>
    <row r="1480" spans="2:24">
      <c r="B1480" t="s">
        <v>546</v>
      </c>
      <c r="C1480" t="s">
        <v>116</v>
      </c>
      <c r="D1480" t="s">
        <v>664</v>
      </c>
      <c r="E1480" t="s">
        <v>664</v>
      </c>
      <c r="F1480" s="705">
        <v>2</v>
      </c>
      <c r="G1480" s="705">
        <v>189</v>
      </c>
      <c r="H1480" s="705">
        <v>426</v>
      </c>
      <c r="I1480" s="705">
        <v>19170</v>
      </c>
      <c r="J1480" s="705">
        <v>17427</v>
      </c>
      <c r="K1480" s="705">
        <v>82</v>
      </c>
      <c r="L1480" s="705">
        <v>4005</v>
      </c>
      <c r="M1480" s="705">
        <v>3641</v>
      </c>
      <c r="N1480" s="705">
        <v>3724</v>
      </c>
      <c r="O1480" s="705">
        <v>1379</v>
      </c>
      <c r="P1480" s="705">
        <v>945</v>
      </c>
      <c r="Q1480" s="705">
        <v>350</v>
      </c>
      <c r="R1480" s="705">
        <v>9145</v>
      </c>
      <c r="S1480" s="705">
        <v>8314</v>
      </c>
      <c r="T1480" s="705">
        <v>3347</v>
      </c>
      <c r="U1480" s="705">
        <v>1240</v>
      </c>
      <c r="V1480" s="705">
        <v>32351</v>
      </c>
      <c r="W1480" s="705">
        <f t="shared" si="66"/>
        <v>32351</v>
      </c>
      <c r="X1480" s="705">
        <f t="shared" si="67"/>
        <v>40336</v>
      </c>
    </row>
    <row r="1481" spans="2:24">
      <c r="B1481" t="s">
        <v>546</v>
      </c>
      <c r="C1481" t="s">
        <v>116</v>
      </c>
      <c r="D1481" t="s">
        <v>664</v>
      </c>
      <c r="E1481" t="s">
        <v>583</v>
      </c>
      <c r="F1481" s="705">
        <v>2</v>
      </c>
      <c r="G1481" s="705">
        <v>224</v>
      </c>
      <c r="H1481" s="705">
        <v>360</v>
      </c>
      <c r="I1481" s="705">
        <v>16019</v>
      </c>
      <c r="J1481" s="705">
        <v>14563</v>
      </c>
      <c r="K1481" s="705">
        <v>85</v>
      </c>
      <c r="L1481" s="705">
        <v>4813</v>
      </c>
      <c r="M1481" s="705">
        <v>4376</v>
      </c>
      <c r="N1481" s="705">
        <v>5356</v>
      </c>
      <c r="O1481" s="705">
        <v>1984</v>
      </c>
      <c r="P1481" s="705">
        <v>1242</v>
      </c>
      <c r="Q1481" s="705">
        <v>460</v>
      </c>
      <c r="R1481" s="705">
        <v>7597</v>
      </c>
      <c r="S1481" s="705">
        <v>6906</v>
      </c>
      <c r="T1481" s="705">
        <v>5277</v>
      </c>
      <c r="U1481" s="705">
        <v>1955</v>
      </c>
      <c r="V1481" s="705">
        <v>30243</v>
      </c>
      <c r="W1481" s="705">
        <f t="shared" si="66"/>
        <v>30244</v>
      </c>
      <c r="X1481" s="705">
        <f t="shared" si="67"/>
        <v>40304</v>
      </c>
    </row>
    <row r="1482" spans="2:24">
      <c r="B1482" t="s">
        <v>546</v>
      </c>
      <c r="C1482" t="s">
        <v>116</v>
      </c>
      <c r="D1482" t="s">
        <v>582</v>
      </c>
      <c r="E1482" t="s">
        <v>582</v>
      </c>
      <c r="F1482" s="705">
        <v>28</v>
      </c>
      <c r="G1482" s="705">
        <v>2092</v>
      </c>
      <c r="H1482" s="705">
        <v>5237</v>
      </c>
      <c r="I1482" s="705">
        <v>225361</v>
      </c>
      <c r="J1482" s="705">
        <v>204874</v>
      </c>
      <c r="K1482" s="705">
        <v>87</v>
      </c>
      <c r="L1482" s="705">
        <v>45990</v>
      </c>
      <c r="M1482" s="705">
        <v>41392</v>
      </c>
      <c r="N1482" s="705">
        <v>32982</v>
      </c>
      <c r="O1482" s="705">
        <v>12216</v>
      </c>
      <c r="P1482" s="705">
        <v>13257</v>
      </c>
      <c r="Q1482" s="705">
        <v>4910</v>
      </c>
      <c r="R1482" s="705">
        <v>81101</v>
      </c>
      <c r="S1482" s="705">
        <v>73728</v>
      </c>
      <c r="T1482" s="705">
        <v>2445</v>
      </c>
      <c r="U1482" s="705">
        <v>906</v>
      </c>
      <c r="V1482" s="705">
        <v>338025</v>
      </c>
      <c r="W1482" s="705">
        <f t="shared" si="66"/>
        <v>338026</v>
      </c>
      <c r="X1482" s="705">
        <f t="shared" si="67"/>
        <v>401136</v>
      </c>
    </row>
    <row r="1483" spans="2:24">
      <c r="B1483" t="s">
        <v>546</v>
      </c>
      <c r="C1483" t="s">
        <v>116</v>
      </c>
      <c r="D1483" t="s">
        <v>582</v>
      </c>
      <c r="E1483" t="s">
        <v>584</v>
      </c>
      <c r="F1483" s="705">
        <v>3</v>
      </c>
      <c r="G1483" s="705">
        <v>271</v>
      </c>
      <c r="H1483" s="705">
        <v>508</v>
      </c>
      <c r="I1483" s="705">
        <v>20826</v>
      </c>
      <c r="J1483" s="705">
        <v>18932</v>
      </c>
      <c r="K1483" s="705">
        <v>87</v>
      </c>
      <c r="L1483" s="705">
        <v>4424</v>
      </c>
      <c r="M1483" s="705">
        <v>3883</v>
      </c>
      <c r="N1483" s="705">
        <v>5902</v>
      </c>
      <c r="O1483" s="705">
        <v>2186</v>
      </c>
      <c r="P1483" s="705">
        <v>1566</v>
      </c>
      <c r="Q1483" s="705">
        <v>580</v>
      </c>
      <c r="R1483" s="705">
        <v>11045</v>
      </c>
      <c r="S1483" s="705">
        <v>10041</v>
      </c>
      <c r="T1483" s="705">
        <v>2634</v>
      </c>
      <c r="U1483" s="705">
        <v>976</v>
      </c>
      <c r="V1483" s="705">
        <v>36598</v>
      </c>
      <c r="W1483" s="705">
        <f t="shared" si="66"/>
        <v>36598</v>
      </c>
      <c r="X1483" s="705">
        <f t="shared" si="67"/>
        <v>46397</v>
      </c>
    </row>
    <row r="1484" spans="2:24">
      <c r="B1484" t="s">
        <v>546</v>
      </c>
      <c r="C1484" t="s">
        <v>116</v>
      </c>
      <c r="D1484" t="s">
        <v>228</v>
      </c>
      <c r="E1484" t="s">
        <v>228</v>
      </c>
      <c r="F1484" s="705">
        <v>118</v>
      </c>
      <c r="G1484" s="705">
        <v>12490</v>
      </c>
      <c r="H1484" s="705">
        <v>23411</v>
      </c>
      <c r="I1484" s="705">
        <v>1204955</v>
      </c>
      <c r="J1484" s="705">
        <v>446280</v>
      </c>
      <c r="K1484" s="705">
        <v>129</v>
      </c>
      <c r="L1484" s="705">
        <v>131461</v>
      </c>
      <c r="M1484" s="705">
        <v>89541</v>
      </c>
      <c r="N1484" s="705">
        <v>240284</v>
      </c>
      <c r="O1484" s="705">
        <v>88994</v>
      </c>
      <c r="P1484" s="705">
        <v>6351</v>
      </c>
      <c r="Q1484" s="705">
        <v>2352</v>
      </c>
      <c r="R1484" s="705">
        <v>922102</v>
      </c>
      <c r="S1484" s="705">
        <v>341519</v>
      </c>
      <c r="T1484" s="705">
        <v>1843</v>
      </c>
      <c r="U1484" s="705">
        <v>683</v>
      </c>
      <c r="V1484" s="705">
        <v>969369</v>
      </c>
      <c r="W1484" s="705">
        <f t="shared" si="66"/>
        <v>969369</v>
      </c>
      <c r="X1484" s="705">
        <f t="shared" si="67"/>
        <v>2506996</v>
      </c>
    </row>
    <row r="1485" spans="2:24">
      <c r="B1485" t="s">
        <v>546</v>
      </c>
      <c r="C1485" t="s">
        <v>116</v>
      </c>
      <c r="D1485" t="s">
        <v>583</v>
      </c>
      <c r="E1485" t="s">
        <v>664</v>
      </c>
      <c r="F1485" s="705">
        <v>1</v>
      </c>
      <c r="G1485" s="705">
        <v>104</v>
      </c>
      <c r="H1485" s="705">
        <v>189</v>
      </c>
      <c r="I1485" s="705">
        <v>11658</v>
      </c>
      <c r="J1485" s="705">
        <v>10598</v>
      </c>
      <c r="K1485" s="705">
        <v>85</v>
      </c>
      <c r="L1485" s="705">
        <v>1667</v>
      </c>
      <c r="M1485" s="705">
        <v>1516</v>
      </c>
      <c r="N1485" s="705">
        <v>3033</v>
      </c>
      <c r="O1485" s="705">
        <v>1123</v>
      </c>
      <c r="P1485" s="705">
        <v>621</v>
      </c>
      <c r="Q1485" s="705">
        <v>230</v>
      </c>
      <c r="R1485" s="705">
        <v>6483</v>
      </c>
      <c r="S1485" s="705">
        <v>5894</v>
      </c>
      <c r="T1485" s="705">
        <v>0</v>
      </c>
      <c r="U1485" s="705">
        <v>0</v>
      </c>
      <c r="V1485" s="705">
        <v>19361</v>
      </c>
      <c r="W1485" s="705">
        <f t="shared" si="66"/>
        <v>19361</v>
      </c>
      <c r="X1485" s="705">
        <f t="shared" si="67"/>
        <v>23462</v>
      </c>
    </row>
    <row r="1486" spans="2:24">
      <c r="B1486" t="s">
        <v>546</v>
      </c>
      <c r="C1486" t="s">
        <v>116</v>
      </c>
      <c r="D1486" t="s">
        <v>583</v>
      </c>
      <c r="E1486" t="s">
        <v>228</v>
      </c>
      <c r="F1486" s="705">
        <v>2</v>
      </c>
      <c r="G1486" s="705">
        <v>201</v>
      </c>
      <c r="H1486" s="705">
        <v>418</v>
      </c>
      <c r="I1486" s="705">
        <v>22377</v>
      </c>
      <c r="J1486" s="705">
        <v>20342</v>
      </c>
      <c r="K1486" s="705">
        <v>94</v>
      </c>
      <c r="L1486" s="705">
        <v>2230</v>
      </c>
      <c r="M1486" s="705">
        <v>1858</v>
      </c>
      <c r="N1486" s="705">
        <v>3060</v>
      </c>
      <c r="O1486" s="705">
        <v>1133</v>
      </c>
      <c r="P1486" s="705">
        <v>1242</v>
      </c>
      <c r="Q1486" s="705">
        <v>460</v>
      </c>
      <c r="R1486" s="705">
        <v>13372</v>
      </c>
      <c r="S1486" s="705">
        <v>4952</v>
      </c>
      <c r="T1486" s="705">
        <v>0</v>
      </c>
      <c r="U1486" s="705">
        <v>0</v>
      </c>
      <c r="V1486" s="705">
        <v>28746</v>
      </c>
      <c r="W1486" s="705">
        <f t="shared" si="66"/>
        <v>28745</v>
      </c>
      <c r="X1486" s="705">
        <f t="shared" si="67"/>
        <v>42281</v>
      </c>
    </row>
    <row r="1487" spans="2:24">
      <c r="B1487" t="s">
        <v>546</v>
      </c>
      <c r="C1487" t="s">
        <v>116</v>
      </c>
      <c r="D1487" t="s">
        <v>583</v>
      </c>
      <c r="E1487" t="s">
        <v>583</v>
      </c>
      <c r="F1487" s="705">
        <v>2425</v>
      </c>
      <c r="G1487" s="705">
        <v>249212</v>
      </c>
      <c r="H1487" s="705">
        <v>467288</v>
      </c>
      <c r="I1487" s="705">
        <v>22643574</v>
      </c>
      <c r="J1487" s="705">
        <v>20585067</v>
      </c>
      <c r="K1487" s="705">
        <v>86</v>
      </c>
      <c r="L1487" s="705">
        <v>5784665</v>
      </c>
      <c r="M1487" s="705">
        <v>5040506</v>
      </c>
      <c r="N1487" s="705">
        <v>4929203</v>
      </c>
      <c r="O1487" s="705">
        <v>1825631</v>
      </c>
      <c r="P1487" s="705">
        <v>1540048</v>
      </c>
      <c r="Q1487" s="705">
        <v>570388</v>
      </c>
      <c r="R1487" s="705">
        <v>10220082</v>
      </c>
      <c r="S1487" s="705">
        <v>9290984</v>
      </c>
      <c r="T1487" s="705">
        <v>3345932</v>
      </c>
      <c r="U1487" s="705">
        <v>1239234</v>
      </c>
      <c r="V1487" s="705">
        <v>38551810</v>
      </c>
      <c r="W1487" s="705">
        <f t="shared" si="66"/>
        <v>38551810</v>
      </c>
      <c r="X1487" s="705">
        <f t="shared" si="67"/>
        <v>48463504</v>
      </c>
    </row>
    <row r="1488" spans="2:24">
      <c r="B1488" t="s">
        <v>546</v>
      </c>
      <c r="C1488" t="s">
        <v>116</v>
      </c>
      <c r="D1488" t="s">
        <v>583</v>
      </c>
      <c r="E1488" t="s">
        <v>666</v>
      </c>
      <c r="F1488" s="705">
        <v>1</v>
      </c>
      <c r="G1488" s="705">
        <v>111</v>
      </c>
      <c r="H1488" s="705">
        <v>216</v>
      </c>
      <c r="I1488" s="705">
        <v>13723</v>
      </c>
      <c r="J1488" s="705">
        <v>12475</v>
      </c>
      <c r="K1488" s="705">
        <v>86</v>
      </c>
      <c r="L1488" s="705">
        <v>2069</v>
      </c>
      <c r="M1488" s="705">
        <v>1880</v>
      </c>
      <c r="N1488" s="705">
        <v>1353</v>
      </c>
      <c r="O1488" s="705">
        <v>501</v>
      </c>
      <c r="P1488" s="705">
        <v>621</v>
      </c>
      <c r="Q1488" s="705">
        <v>230</v>
      </c>
      <c r="R1488" s="705">
        <v>6216</v>
      </c>
      <c r="S1488" s="705">
        <v>5651</v>
      </c>
      <c r="T1488" s="705">
        <v>0</v>
      </c>
      <c r="U1488" s="705">
        <v>0</v>
      </c>
      <c r="V1488" s="705">
        <v>20738</v>
      </c>
      <c r="W1488" s="705">
        <f t="shared" si="66"/>
        <v>20737</v>
      </c>
      <c r="X1488" s="705">
        <f t="shared" si="67"/>
        <v>23982</v>
      </c>
    </row>
    <row r="1489" spans="2:24">
      <c r="B1489" t="s">
        <v>546</v>
      </c>
      <c r="C1489" t="s">
        <v>116</v>
      </c>
      <c r="D1489" t="s">
        <v>583</v>
      </c>
      <c r="E1489" t="s">
        <v>584</v>
      </c>
      <c r="F1489" s="705">
        <v>1</v>
      </c>
      <c r="G1489" s="705">
        <v>95</v>
      </c>
      <c r="H1489" s="705">
        <v>191</v>
      </c>
      <c r="I1489" s="705">
        <v>8278</v>
      </c>
      <c r="J1489" s="705">
        <v>7525</v>
      </c>
      <c r="K1489" s="705">
        <v>89</v>
      </c>
      <c r="L1489" s="705">
        <v>1292</v>
      </c>
      <c r="M1489" s="705">
        <v>1175</v>
      </c>
      <c r="N1489" s="705">
        <v>1582</v>
      </c>
      <c r="O1489" s="705">
        <v>586</v>
      </c>
      <c r="P1489" s="705">
        <v>621</v>
      </c>
      <c r="Q1489" s="705">
        <v>230</v>
      </c>
      <c r="R1489" s="705">
        <v>3743</v>
      </c>
      <c r="S1489" s="705">
        <v>3403</v>
      </c>
      <c r="T1489" s="705">
        <v>2726</v>
      </c>
      <c r="U1489" s="705">
        <v>1010</v>
      </c>
      <c r="V1489" s="705">
        <v>13929</v>
      </c>
      <c r="W1489" s="705">
        <f t="shared" si="66"/>
        <v>13929</v>
      </c>
      <c r="X1489" s="705">
        <f t="shared" si="67"/>
        <v>18242</v>
      </c>
    </row>
    <row r="1490" spans="2:24">
      <c r="B1490" t="s">
        <v>546</v>
      </c>
      <c r="C1490" t="s">
        <v>116</v>
      </c>
      <c r="D1490" t="s">
        <v>583</v>
      </c>
      <c r="E1490" t="s">
        <v>665</v>
      </c>
      <c r="F1490" s="705">
        <v>1</v>
      </c>
      <c r="G1490" s="705">
        <v>90</v>
      </c>
      <c r="H1490" s="705">
        <v>210</v>
      </c>
      <c r="I1490" s="705">
        <v>7908</v>
      </c>
      <c r="J1490" s="705">
        <v>7189</v>
      </c>
      <c r="K1490" s="705">
        <v>79</v>
      </c>
      <c r="L1490" s="705">
        <v>2197</v>
      </c>
      <c r="M1490" s="705">
        <v>1997</v>
      </c>
      <c r="N1490" s="705">
        <v>1973</v>
      </c>
      <c r="O1490" s="705">
        <v>731</v>
      </c>
      <c r="P1490" s="705">
        <v>621</v>
      </c>
      <c r="Q1490" s="705">
        <v>230</v>
      </c>
      <c r="R1490" s="705">
        <v>3886</v>
      </c>
      <c r="S1490" s="705">
        <v>3532</v>
      </c>
      <c r="T1490" s="705">
        <v>2438</v>
      </c>
      <c r="U1490" s="705">
        <v>903</v>
      </c>
      <c r="V1490" s="705">
        <v>14583</v>
      </c>
      <c r="W1490" s="705">
        <f t="shared" si="66"/>
        <v>14582</v>
      </c>
      <c r="X1490" s="705">
        <f t="shared" si="67"/>
        <v>19023</v>
      </c>
    </row>
    <row r="1491" spans="2:24">
      <c r="B1491" t="s">
        <v>546</v>
      </c>
      <c r="C1491" t="s">
        <v>116</v>
      </c>
      <c r="D1491" t="s">
        <v>666</v>
      </c>
      <c r="E1491" t="s">
        <v>583</v>
      </c>
      <c r="F1491" s="705">
        <v>2</v>
      </c>
      <c r="G1491" s="705">
        <v>234</v>
      </c>
      <c r="H1491" s="705">
        <v>416</v>
      </c>
      <c r="I1491" s="705">
        <v>26046</v>
      </c>
      <c r="J1491" s="705">
        <v>23679</v>
      </c>
      <c r="K1491" s="705">
        <v>82</v>
      </c>
      <c r="L1491" s="705">
        <v>6264</v>
      </c>
      <c r="M1491" s="705">
        <v>5694</v>
      </c>
      <c r="N1491" s="705">
        <v>4782</v>
      </c>
      <c r="O1491" s="705">
        <v>1771</v>
      </c>
      <c r="P1491" s="705">
        <v>1242</v>
      </c>
      <c r="Q1491" s="705">
        <v>460</v>
      </c>
      <c r="R1491" s="705">
        <v>10941</v>
      </c>
      <c r="S1491" s="705">
        <v>9946</v>
      </c>
      <c r="T1491" s="705">
        <v>0</v>
      </c>
      <c r="U1491" s="705">
        <v>0</v>
      </c>
      <c r="V1491" s="705">
        <v>41550</v>
      </c>
      <c r="W1491" s="705">
        <f t="shared" si="66"/>
        <v>41550</v>
      </c>
      <c r="X1491" s="705">
        <f t="shared" si="67"/>
        <v>49275</v>
      </c>
    </row>
    <row r="1492" spans="2:24">
      <c r="B1492" t="s">
        <v>546</v>
      </c>
      <c r="C1492" t="s">
        <v>116</v>
      </c>
      <c r="D1492" t="s">
        <v>666</v>
      </c>
      <c r="E1492" t="s">
        <v>666</v>
      </c>
      <c r="F1492" s="705">
        <v>1</v>
      </c>
      <c r="G1492" s="705">
        <v>78</v>
      </c>
      <c r="H1492" s="705">
        <v>174</v>
      </c>
      <c r="I1492" s="705">
        <v>6886</v>
      </c>
      <c r="J1492" s="705">
        <v>6260</v>
      </c>
      <c r="K1492" s="705">
        <v>91</v>
      </c>
      <c r="L1492" s="705">
        <v>1709</v>
      </c>
      <c r="M1492" s="705">
        <v>633</v>
      </c>
      <c r="N1492" s="705">
        <v>949</v>
      </c>
      <c r="O1492" s="705">
        <v>352</v>
      </c>
      <c r="P1492" s="705">
        <v>473</v>
      </c>
      <c r="Q1492" s="705">
        <v>175</v>
      </c>
      <c r="R1492" s="705">
        <v>3517</v>
      </c>
      <c r="S1492" s="705">
        <v>3197</v>
      </c>
      <c r="T1492" s="705">
        <v>0</v>
      </c>
      <c r="U1492" s="705">
        <v>0</v>
      </c>
      <c r="V1492" s="705">
        <v>10616</v>
      </c>
      <c r="W1492" s="705">
        <f t="shared" si="66"/>
        <v>10617</v>
      </c>
      <c r="X1492" s="705">
        <f t="shared" si="67"/>
        <v>13534</v>
      </c>
    </row>
    <row r="1493" spans="2:24">
      <c r="B1493" t="s">
        <v>546</v>
      </c>
      <c r="C1493" t="s">
        <v>116</v>
      </c>
      <c r="D1493" t="s">
        <v>584</v>
      </c>
      <c r="E1493" t="s">
        <v>582</v>
      </c>
      <c r="F1493" s="705">
        <v>1</v>
      </c>
      <c r="G1493" s="705">
        <v>91</v>
      </c>
      <c r="H1493" s="705">
        <v>182</v>
      </c>
      <c r="I1493" s="705">
        <v>7404</v>
      </c>
      <c r="J1493" s="705">
        <v>6731</v>
      </c>
      <c r="K1493" s="705">
        <v>90</v>
      </c>
      <c r="L1493" s="705">
        <v>3714</v>
      </c>
      <c r="M1493" s="705">
        <v>3377</v>
      </c>
      <c r="N1493" s="705">
        <v>1722</v>
      </c>
      <c r="O1493" s="705">
        <v>638</v>
      </c>
      <c r="P1493" s="705">
        <v>473</v>
      </c>
      <c r="Q1493" s="705">
        <v>175</v>
      </c>
      <c r="R1493" s="705">
        <v>3298</v>
      </c>
      <c r="S1493" s="705">
        <v>2998</v>
      </c>
      <c r="T1493" s="705">
        <v>0</v>
      </c>
      <c r="U1493" s="705">
        <v>0</v>
      </c>
      <c r="V1493" s="705">
        <v>13918</v>
      </c>
      <c r="W1493" s="705">
        <f t="shared" si="66"/>
        <v>13919</v>
      </c>
      <c r="X1493" s="705">
        <f t="shared" si="67"/>
        <v>16611</v>
      </c>
    </row>
    <row r="1494" spans="2:24">
      <c r="B1494" t="s">
        <v>546</v>
      </c>
      <c r="C1494" t="s">
        <v>116</v>
      </c>
      <c r="D1494" t="s">
        <v>584</v>
      </c>
      <c r="E1494" t="s">
        <v>228</v>
      </c>
      <c r="F1494" s="705">
        <v>2</v>
      </c>
      <c r="G1494" s="705">
        <v>164</v>
      </c>
      <c r="H1494" s="705">
        <v>407</v>
      </c>
      <c r="I1494" s="705">
        <v>14601</v>
      </c>
      <c r="J1494" s="705">
        <v>13273</v>
      </c>
      <c r="K1494" s="705">
        <v>76</v>
      </c>
      <c r="L1494" s="705">
        <v>1354</v>
      </c>
      <c r="M1494" s="705">
        <v>1231</v>
      </c>
      <c r="N1494" s="705">
        <v>3065</v>
      </c>
      <c r="O1494" s="705">
        <v>1135</v>
      </c>
      <c r="P1494" s="705">
        <v>945</v>
      </c>
      <c r="Q1494" s="705">
        <v>350</v>
      </c>
      <c r="R1494" s="705">
        <v>13277</v>
      </c>
      <c r="S1494" s="705">
        <v>4917</v>
      </c>
      <c r="T1494" s="705">
        <v>0</v>
      </c>
      <c r="U1494" s="705">
        <v>0</v>
      </c>
      <c r="V1494" s="705">
        <v>20907</v>
      </c>
      <c r="W1494" s="705">
        <f t="shared" si="66"/>
        <v>20906</v>
      </c>
      <c r="X1494" s="705">
        <f t="shared" si="67"/>
        <v>33242</v>
      </c>
    </row>
    <row r="1495" spans="2:24">
      <c r="B1495" t="s">
        <v>546</v>
      </c>
      <c r="C1495" t="s">
        <v>116</v>
      </c>
      <c r="D1495" t="s">
        <v>584</v>
      </c>
      <c r="E1495" t="s">
        <v>583</v>
      </c>
      <c r="F1495" s="705">
        <v>5</v>
      </c>
      <c r="G1495" s="705">
        <v>586</v>
      </c>
      <c r="H1495" s="705">
        <v>1032</v>
      </c>
      <c r="I1495" s="705">
        <v>64507</v>
      </c>
      <c r="J1495" s="705">
        <v>58642</v>
      </c>
      <c r="K1495" s="705">
        <v>83</v>
      </c>
      <c r="L1495" s="705">
        <v>17038</v>
      </c>
      <c r="M1495" s="705">
        <v>15052</v>
      </c>
      <c r="N1495" s="705">
        <v>10955</v>
      </c>
      <c r="O1495" s="705">
        <v>4057</v>
      </c>
      <c r="P1495" s="705">
        <v>2363</v>
      </c>
      <c r="Q1495" s="705">
        <v>875</v>
      </c>
      <c r="R1495" s="705">
        <v>23952</v>
      </c>
      <c r="S1495" s="705">
        <v>21775</v>
      </c>
      <c r="T1495" s="705">
        <v>5374</v>
      </c>
      <c r="U1495" s="705">
        <v>1990</v>
      </c>
      <c r="V1495" s="705">
        <v>102392</v>
      </c>
      <c r="W1495" s="705">
        <f t="shared" si="66"/>
        <v>102391</v>
      </c>
      <c r="X1495" s="705">
        <f t="shared" si="67"/>
        <v>124189</v>
      </c>
    </row>
    <row r="1496" spans="2:24">
      <c r="B1496" t="s">
        <v>546</v>
      </c>
      <c r="C1496" t="s">
        <v>116</v>
      </c>
      <c r="D1496" t="s">
        <v>584</v>
      </c>
      <c r="E1496" t="s">
        <v>584</v>
      </c>
      <c r="F1496" s="705">
        <v>5249</v>
      </c>
      <c r="G1496" s="705">
        <v>535831</v>
      </c>
      <c r="H1496" s="705">
        <v>994666</v>
      </c>
      <c r="I1496" s="705">
        <v>48878628</v>
      </c>
      <c r="J1496" s="705">
        <v>44435116</v>
      </c>
      <c r="K1496" s="705">
        <v>84</v>
      </c>
      <c r="L1496" s="705">
        <v>12345017</v>
      </c>
      <c r="M1496" s="705">
        <v>10780264</v>
      </c>
      <c r="N1496" s="705">
        <v>10502182</v>
      </c>
      <c r="O1496" s="705">
        <v>3889697</v>
      </c>
      <c r="P1496" s="705">
        <v>2521776</v>
      </c>
      <c r="Q1496" s="705">
        <v>933991</v>
      </c>
      <c r="R1496" s="705">
        <v>23201989</v>
      </c>
      <c r="S1496" s="705">
        <v>21092717</v>
      </c>
      <c r="T1496" s="705">
        <v>5109946</v>
      </c>
      <c r="U1496" s="705">
        <v>1892573</v>
      </c>
      <c r="V1496" s="705">
        <v>83024358</v>
      </c>
      <c r="W1496" s="705">
        <f t="shared" si="66"/>
        <v>83024358</v>
      </c>
      <c r="X1496" s="705">
        <f t="shared" si="67"/>
        <v>102559538</v>
      </c>
    </row>
    <row r="1497" spans="2:24">
      <c r="B1497" t="s">
        <v>546</v>
      </c>
      <c r="C1497" t="s">
        <v>116</v>
      </c>
      <c r="D1497" t="s">
        <v>584</v>
      </c>
      <c r="E1497" t="s">
        <v>665</v>
      </c>
      <c r="F1497" s="705">
        <v>1</v>
      </c>
      <c r="G1497" s="705">
        <v>120</v>
      </c>
      <c r="H1497" s="705">
        <v>170</v>
      </c>
      <c r="I1497" s="705">
        <v>9469</v>
      </c>
      <c r="J1497" s="705">
        <v>8608</v>
      </c>
      <c r="K1497" s="705">
        <v>72</v>
      </c>
      <c r="L1497" s="705">
        <v>2005</v>
      </c>
      <c r="M1497" s="705">
        <v>1823</v>
      </c>
      <c r="N1497" s="705">
        <v>2481</v>
      </c>
      <c r="O1497" s="705">
        <v>919</v>
      </c>
      <c r="P1497" s="705">
        <v>473</v>
      </c>
      <c r="Q1497" s="705">
        <v>175</v>
      </c>
      <c r="R1497" s="705">
        <v>3336</v>
      </c>
      <c r="S1497" s="705">
        <v>3033</v>
      </c>
      <c r="T1497" s="705">
        <v>2583</v>
      </c>
      <c r="U1497" s="705">
        <v>957</v>
      </c>
      <c r="V1497" s="705">
        <v>15515</v>
      </c>
      <c r="W1497" s="705">
        <f t="shared" si="66"/>
        <v>15515</v>
      </c>
      <c r="X1497" s="705">
        <f t="shared" si="67"/>
        <v>20347</v>
      </c>
    </row>
    <row r="1498" spans="2:24">
      <c r="B1498" t="s">
        <v>546</v>
      </c>
      <c r="C1498" t="s">
        <v>116</v>
      </c>
      <c r="D1498" t="s">
        <v>665</v>
      </c>
      <c r="E1498" t="s">
        <v>228</v>
      </c>
      <c r="F1498" s="705">
        <v>1</v>
      </c>
      <c r="G1498" s="705">
        <v>88</v>
      </c>
      <c r="H1498" s="705">
        <v>217</v>
      </c>
      <c r="I1498" s="705">
        <v>7951</v>
      </c>
      <c r="J1498" s="705">
        <v>7228</v>
      </c>
      <c r="K1498" s="705">
        <v>70</v>
      </c>
      <c r="L1498" s="705">
        <v>2411</v>
      </c>
      <c r="M1498" s="705">
        <v>893</v>
      </c>
      <c r="N1498" s="705">
        <v>1577</v>
      </c>
      <c r="O1498" s="705">
        <v>584</v>
      </c>
      <c r="P1498" s="705">
        <v>351</v>
      </c>
      <c r="Q1498" s="705">
        <v>130</v>
      </c>
      <c r="R1498" s="705">
        <v>9318</v>
      </c>
      <c r="S1498" s="705">
        <v>3451</v>
      </c>
      <c r="T1498" s="705">
        <v>0</v>
      </c>
      <c r="U1498" s="705">
        <v>0</v>
      </c>
      <c r="V1498" s="705">
        <v>12286</v>
      </c>
      <c r="W1498" s="705">
        <f t="shared" si="66"/>
        <v>12286</v>
      </c>
      <c r="X1498" s="705">
        <f t="shared" si="67"/>
        <v>21608</v>
      </c>
    </row>
    <row r="1499" spans="2:24">
      <c r="B1499" t="s">
        <v>546</v>
      </c>
      <c r="C1499" t="s">
        <v>116</v>
      </c>
      <c r="D1499" t="s">
        <v>665</v>
      </c>
      <c r="E1499" t="s">
        <v>583</v>
      </c>
      <c r="F1499" s="705">
        <v>1</v>
      </c>
      <c r="G1499" s="705">
        <v>96</v>
      </c>
      <c r="H1499" s="705">
        <v>175</v>
      </c>
      <c r="I1499" s="705">
        <v>6699</v>
      </c>
      <c r="J1499" s="705">
        <v>6090</v>
      </c>
      <c r="K1499" s="705">
        <v>86</v>
      </c>
      <c r="L1499" s="705">
        <v>2015</v>
      </c>
      <c r="M1499" s="705">
        <v>1831</v>
      </c>
      <c r="N1499" s="705">
        <v>2105</v>
      </c>
      <c r="O1499" s="705">
        <v>780</v>
      </c>
      <c r="P1499" s="705">
        <v>621</v>
      </c>
      <c r="Q1499" s="705">
        <v>230</v>
      </c>
      <c r="R1499" s="705">
        <v>2883</v>
      </c>
      <c r="S1499" s="705">
        <v>2621</v>
      </c>
      <c r="T1499" s="705">
        <v>2510</v>
      </c>
      <c r="U1499" s="705">
        <v>930</v>
      </c>
      <c r="V1499" s="705">
        <v>12481</v>
      </c>
      <c r="W1499" s="705">
        <f t="shared" si="66"/>
        <v>12482</v>
      </c>
      <c r="X1499" s="705">
        <f t="shared" si="67"/>
        <v>16833</v>
      </c>
    </row>
    <row r="1500" spans="2:24">
      <c r="B1500" t="s">
        <v>546</v>
      </c>
      <c r="C1500" t="s">
        <v>116</v>
      </c>
      <c r="D1500" t="s">
        <v>665</v>
      </c>
      <c r="E1500" t="s">
        <v>665</v>
      </c>
      <c r="F1500" s="705">
        <v>90</v>
      </c>
      <c r="G1500" s="705">
        <v>7585</v>
      </c>
      <c r="H1500" s="705">
        <v>18498</v>
      </c>
      <c r="I1500" s="705">
        <v>883765</v>
      </c>
      <c r="J1500" s="705">
        <v>803423</v>
      </c>
      <c r="K1500" s="705">
        <v>65</v>
      </c>
      <c r="L1500" s="705">
        <v>88789</v>
      </c>
      <c r="M1500" s="705">
        <v>74944</v>
      </c>
      <c r="N1500" s="705">
        <v>133836</v>
      </c>
      <c r="O1500" s="705">
        <v>49569</v>
      </c>
      <c r="P1500" s="705">
        <v>32859</v>
      </c>
      <c r="Q1500" s="705">
        <v>12170</v>
      </c>
      <c r="R1500" s="705">
        <v>300076</v>
      </c>
      <c r="S1500" s="705">
        <v>272796</v>
      </c>
      <c r="T1500" s="705">
        <v>123987</v>
      </c>
      <c r="U1500" s="705">
        <v>45921</v>
      </c>
      <c r="V1500" s="705">
        <v>1258823</v>
      </c>
      <c r="W1500" s="705">
        <f t="shared" si="66"/>
        <v>1258823</v>
      </c>
      <c r="X1500" s="705">
        <f t="shared" si="67"/>
        <v>1563312</v>
      </c>
    </row>
    <row r="1501" spans="2:24">
      <c r="B1501" t="s">
        <v>546</v>
      </c>
      <c r="C1501" t="s">
        <v>116</v>
      </c>
      <c r="D1501" t="s">
        <v>585</v>
      </c>
      <c r="E1501" t="s">
        <v>585</v>
      </c>
      <c r="F1501" s="705">
        <v>15</v>
      </c>
      <c r="G1501" s="705">
        <v>804</v>
      </c>
      <c r="H1501" s="705">
        <v>3091</v>
      </c>
      <c r="I1501" s="705">
        <v>94587</v>
      </c>
      <c r="J1501" s="705">
        <v>85988</v>
      </c>
      <c r="K1501" s="705">
        <v>83</v>
      </c>
      <c r="L1501" s="705">
        <v>15811</v>
      </c>
      <c r="M1501" s="705">
        <v>13876</v>
      </c>
      <c r="N1501" s="705">
        <v>10542</v>
      </c>
      <c r="O1501" s="705">
        <v>3904</v>
      </c>
      <c r="P1501" s="705">
        <v>5265</v>
      </c>
      <c r="Q1501" s="705">
        <v>1950</v>
      </c>
      <c r="R1501" s="705">
        <v>38337</v>
      </c>
      <c r="S1501" s="705">
        <v>34852</v>
      </c>
      <c r="T1501" s="705">
        <v>7284</v>
      </c>
      <c r="U1501" s="705">
        <v>2698</v>
      </c>
      <c r="V1501" s="705">
        <v>143268</v>
      </c>
      <c r="W1501" s="705">
        <f t="shared" si="66"/>
        <v>143268</v>
      </c>
      <c r="X1501" s="705">
        <f t="shared" si="67"/>
        <v>171826</v>
      </c>
    </row>
    <row r="1502" spans="2:24">
      <c r="B1502" t="s">
        <v>546</v>
      </c>
      <c r="C1502" t="s">
        <v>116</v>
      </c>
      <c r="D1502" t="s">
        <v>668</v>
      </c>
      <c r="E1502" t="s">
        <v>668</v>
      </c>
      <c r="F1502" s="705">
        <v>1</v>
      </c>
      <c r="G1502" s="705">
        <v>43</v>
      </c>
      <c r="H1502" s="705">
        <v>217</v>
      </c>
      <c r="I1502" s="705">
        <v>5181</v>
      </c>
      <c r="J1502" s="705">
        <v>4710</v>
      </c>
      <c r="K1502" s="705">
        <v>87</v>
      </c>
      <c r="L1502" s="705">
        <v>0</v>
      </c>
      <c r="M1502" s="705">
        <v>0</v>
      </c>
      <c r="N1502" s="705">
        <v>526</v>
      </c>
      <c r="O1502" s="705">
        <v>195</v>
      </c>
      <c r="P1502" s="705">
        <v>351</v>
      </c>
      <c r="Q1502" s="705">
        <v>130</v>
      </c>
      <c r="R1502" s="705">
        <v>3298</v>
      </c>
      <c r="S1502" s="705">
        <v>2998</v>
      </c>
      <c r="T1502" s="705">
        <v>0</v>
      </c>
      <c r="U1502" s="705">
        <v>0</v>
      </c>
      <c r="V1502" s="705">
        <v>8033</v>
      </c>
      <c r="W1502" s="705">
        <f t="shared" si="66"/>
        <v>8033</v>
      </c>
      <c r="X1502" s="705">
        <f t="shared" si="67"/>
        <v>9356</v>
      </c>
    </row>
    <row r="1503" spans="2:24">
      <c r="B1503" t="s">
        <v>546</v>
      </c>
      <c r="C1503" t="s">
        <v>118</v>
      </c>
      <c r="D1503" t="s">
        <v>664</v>
      </c>
      <c r="E1503" t="s">
        <v>664</v>
      </c>
      <c r="F1503" s="705">
        <v>1</v>
      </c>
      <c r="G1503" s="705">
        <v>102</v>
      </c>
      <c r="H1503" s="705">
        <v>267</v>
      </c>
      <c r="I1503" s="705">
        <v>12854</v>
      </c>
      <c r="J1503" s="705">
        <v>11685</v>
      </c>
      <c r="K1503" s="705">
        <v>68</v>
      </c>
      <c r="L1503" s="705">
        <v>3075</v>
      </c>
      <c r="M1503" s="705">
        <v>2796</v>
      </c>
      <c r="N1503" s="705">
        <v>2170</v>
      </c>
      <c r="O1503" s="705">
        <v>804</v>
      </c>
      <c r="P1503" s="705">
        <v>473</v>
      </c>
      <c r="Q1503" s="705">
        <v>175</v>
      </c>
      <c r="R1503" s="705">
        <v>5441</v>
      </c>
      <c r="S1503" s="705">
        <v>4947</v>
      </c>
      <c r="T1503" s="705">
        <v>3163</v>
      </c>
      <c r="U1503" s="705">
        <v>1171</v>
      </c>
      <c r="V1503" s="705">
        <v>21578</v>
      </c>
      <c r="W1503" s="705">
        <f t="shared" si="66"/>
        <v>21578</v>
      </c>
      <c r="X1503" s="705">
        <f t="shared" si="67"/>
        <v>27176</v>
      </c>
    </row>
    <row r="1504" spans="2:24">
      <c r="B1504" t="s">
        <v>546</v>
      </c>
      <c r="C1504" t="s">
        <v>118</v>
      </c>
      <c r="D1504" t="s">
        <v>582</v>
      </c>
      <c r="E1504" t="s">
        <v>664</v>
      </c>
      <c r="F1504" s="705">
        <v>1</v>
      </c>
      <c r="G1504" s="705">
        <v>131</v>
      </c>
      <c r="H1504" s="705">
        <v>262</v>
      </c>
      <c r="I1504" s="705">
        <v>19612</v>
      </c>
      <c r="J1504" s="705">
        <v>17829</v>
      </c>
      <c r="K1504" s="705">
        <v>90</v>
      </c>
      <c r="L1504" s="705">
        <v>6545</v>
      </c>
      <c r="M1504" s="705">
        <v>5950</v>
      </c>
      <c r="N1504" s="705">
        <v>3204</v>
      </c>
      <c r="O1504" s="705">
        <v>1187</v>
      </c>
      <c r="P1504" s="705">
        <v>473</v>
      </c>
      <c r="Q1504" s="705">
        <v>175</v>
      </c>
      <c r="R1504" s="705">
        <v>4596</v>
      </c>
      <c r="S1504" s="705">
        <v>4179</v>
      </c>
      <c r="T1504" s="705">
        <v>0</v>
      </c>
      <c r="U1504" s="705">
        <v>0</v>
      </c>
      <c r="V1504" s="705">
        <v>29319</v>
      </c>
      <c r="W1504" s="705">
        <f t="shared" si="66"/>
        <v>29320</v>
      </c>
      <c r="X1504" s="705">
        <f t="shared" si="67"/>
        <v>34430</v>
      </c>
    </row>
    <row r="1505" spans="2:24">
      <c r="B1505" t="s">
        <v>546</v>
      </c>
      <c r="C1505" t="s">
        <v>118</v>
      </c>
      <c r="D1505" t="s">
        <v>582</v>
      </c>
      <c r="E1505" t="s">
        <v>582</v>
      </c>
      <c r="F1505" s="705">
        <v>6</v>
      </c>
      <c r="G1505" s="705">
        <v>539</v>
      </c>
      <c r="H1505" s="705">
        <v>1484</v>
      </c>
      <c r="I1505" s="705">
        <v>82267</v>
      </c>
      <c r="J1505" s="705">
        <v>74788</v>
      </c>
      <c r="K1505" s="705">
        <v>77</v>
      </c>
      <c r="L1505" s="705">
        <v>8314</v>
      </c>
      <c r="M1505" s="705">
        <v>7558</v>
      </c>
      <c r="N1505" s="705">
        <v>9806</v>
      </c>
      <c r="O1505" s="705">
        <v>3632</v>
      </c>
      <c r="P1505" s="705">
        <v>2714</v>
      </c>
      <c r="Q1505" s="705">
        <v>1005</v>
      </c>
      <c r="R1505" s="705">
        <v>23371</v>
      </c>
      <c r="S1505" s="705">
        <v>21247</v>
      </c>
      <c r="T1505" s="705">
        <v>6190</v>
      </c>
      <c r="U1505" s="705">
        <v>2293</v>
      </c>
      <c r="V1505" s="705">
        <v>110522</v>
      </c>
      <c r="W1505" s="705">
        <f t="shared" si="66"/>
        <v>110523</v>
      </c>
      <c r="X1505" s="705">
        <f t="shared" si="67"/>
        <v>132662</v>
      </c>
    </row>
    <row r="1506" spans="2:24">
      <c r="B1506" t="s">
        <v>546</v>
      </c>
      <c r="C1506" t="s">
        <v>118</v>
      </c>
      <c r="D1506" t="s">
        <v>228</v>
      </c>
      <c r="E1506" t="s">
        <v>228</v>
      </c>
      <c r="F1506" s="705">
        <v>168</v>
      </c>
      <c r="G1506" s="705">
        <v>15438</v>
      </c>
      <c r="H1506" s="705">
        <v>45233</v>
      </c>
      <c r="I1506" s="705">
        <v>2314870</v>
      </c>
      <c r="J1506" s="705">
        <v>857359</v>
      </c>
      <c r="K1506" s="705">
        <v>100</v>
      </c>
      <c r="L1506" s="705">
        <v>335157</v>
      </c>
      <c r="M1506" s="705">
        <v>238375</v>
      </c>
      <c r="N1506" s="705">
        <v>305582</v>
      </c>
      <c r="O1506" s="705">
        <v>113178</v>
      </c>
      <c r="P1506" s="705">
        <v>6996</v>
      </c>
      <c r="Q1506" s="705">
        <v>2591</v>
      </c>
      <c r="R1506" s="705">
        <v>1223122</v>
      </c>
      <c r="S1506" s="705">
        <v>453008</v>
      </c>
      <c r="T1506" s="705">
        <v>4227</v>
      </c>
      <c r="U1506" s="705">
        <v>1566</v>
      </c>
      <c r="V1506" s="705">
        <v>1666077</v>
      </c>
      <c r="W1506" s="705">
        <f t="shared" si="66"/>
        <v>1666077</v>
      </c>
      <c r="X1506" s="705">
        <f t="shared" si="67"/>
        <v>4189954</v>
      </c>
    </row>
    <row r="1507" spans="2:24">
      <c r="B1507" t="s">
        <v>546</v>
      </c>
      <c r="C1507" t="s">
        <v>118</v>
      </c>
      <c r="D1507" t="s">
        <v>228</v>
      </c>
      <c r="E1507" t="s">
        <v>669</v>
      </c>
      <c r="F1507" s="705">
        <v>2</v>
      </c>
      <c r="G1507" s="705">
        <v>180</v>
      </c>
      <c r="H1507" s="705">
        <v>548</v>
      </c>
      <c r="I1507" s="705">
        <v>23362</v>
      </c>
      <c r="J1507" s="705">
        <v>8652</v>
      </c>
      <c r="K1507" s="705">
        <v>100</v>
      </c>
      <c r="L1507" s="705">
        <v>3515</v>
      </c>
      <c r="M1507" s="705">
        <v>2929</v>
      </c>
      <c r="N1507" s="705">
        <v>4200</v>
      </c>
      <c r="O1507" s="705">
        <v>1555</v>
      </c>
      <c r="P1507" s="705">
        <v>0</v>
      </c>
      <c r="Q1507" s="705">
        <v>0</v>
      </c>
      <c r="R1507" s="705">
        <v>13159</v>
      </c>
      <c r="S1507" s="705">
        <v>10966</v>
      </c>
      <c r="T1507" s="705">
        <v>4947</v>
      </c>
      <c r="U1507" s="705">
        <v>1832</v>
      </c>
      <c r="V1507" s="705">
        <v>25935</v>
      </c>
      <c r="W1507" s="705">
        <f t="shared" si="66"/>
        <v>25934</v>
      </c>
      <c r="X1507" s="705">
        <f t="shared" si="67"/>
        <v>49183</v>
      </c>
    </row>
    <row r="1508" spans="2:24">
      <c r="B1508" t="s">
        <v>546</v>
      </c>
      <c r="C1508" t="s">
        <v>118</v>
      </c>
      <c r="D1508" t="s">
        <v>228</v>
      </c>
      <c r="E1508" t="s">
        <v>665</v>
      </c>
      <c r="F1508" s="705">
        <v>8</v>
      </c>
      <c r="G1508" s="705">
        <v>598</v>
      </c>
      <c r="H1508" s="705">
        <v>2235</v>
      </c>
      <c r="I1508" s="705">
        <v>101167</v>
      </c>
      <c r="J1508" s="705">
        <v>37469</v>
      </c>
      <c r="K1508" s="705">
        <v>100</v>
      </c>
      <c r="L1508" s="705">
        <v>8923</v>
      </c>
      <c r="M1508" s="705">
        <v>8112</v>
      </c>
      <c r="N1508" s="705">
        <v>11202</v>
      </c>
      <c r="O1508" s="705">
        <v>4149</v>
      </c>
      <c r="P1508" s="705">
        <v>702</v>
      </c>
      <c r="Q1508" s="705">
        <v>260</v>
      </c>
      <c r="R1508" s="705">
        <v>32925</v>
      </c>
      <c r="S1508" s="705">
        <v>29932</v>
      </c>
      <c r="T1508" s="705">
        <v>12116</v>
      </c>
      <c r="U1508" s="705">
        <v>4487</v>
      </c>
      <c r="V1508" s="705">
        <v>84410</v>
      </c>
      <c r="W1508" s="705">
        <f t="shared" si="66"/>
        <v>84409</v>
      </c>
      <c r="X1508" s="705">
        <f t="shared" si="67"/>
        <v>167035</v>
      </c>
    </row>
    <row r="1509" spans="2:24">
      <c r="B1509" t="s">
        <v>546</v>
      </c>
      <c r="C1509" t="s">
        <v>118</v>
      </c>
      <c r="D1509" t="s">
        <v>583</v>
      </c>
      <c r="E1509" t="s">
        <v>228</v>
      </c>
      <c r="F1509" s="705">
        <v>14</v>
      </c>
      <c r="G1509" s="705">
        <v>1558</v>
      </c>
      <c r="H1509" s="705">
        <v>3532</v>
      </c>
      <c r="I1509" s="705">
        <v>180855</v>
      </c>
      <c r="J1509" s="705">
        <v>164413</v>
      </c>
      <c r="K1509" s="705">
        <v>82</v>
      </c>
      <c r="L1509" s="705">
        <v>45457</v>
      </c>
      <c r="M1509" s="705">
        <v>37366</v>
      </c>
      <c r="N1509" s="705">
        <v>30433</v>
      </c>
      <c r="O1509" s="705">
        <v>11271</v>
      </c>
      <c r="P1509" s="705">
        <v>10004</v>
      </c>
      <c r="Q1509" s="705">
        <v>3705</v>
      </c>
      <c r="R1509" s="705">
        <v>125063</v>
      </c>
      <c r="S1509" s="705">
        <v>46320</v>
      </c>
      <c r="T1509" s="705">
        <v>0</v>
      </c>
      <c r="U1509" s="705">
        <v>0</v>
      </c>
      <c r="V1509" s="705">
        <v>263075</v>
      </c>
      <c r="W1509" s="705">
        <f t="shared" si="66"/>
        <v>263075</v>
      </c>
      <c r="X1509" s="705">
        <f t="shared" si="67"/>
        <v>391812</v>
      </c>
    </row>
    <row r="1510" spans="2:24">
      <c r="B1510" t="s">
        <v>546</v>
      </c>
      <c r="C1510" t="s">
        <v>118</v>
      </c>
      <c r="D1510" t="s">
        <v>583</v>
      </c>
      <c r="E1510" t="s">
        <v>583</v>
      </c>
      <c r="F1510" s="705">
        <v>1728</v>
      </c>
      <c r="G1510" s="705">
        <v>168621</v>
      </c>
      <c r="H1510" s="705">
        <v>449661</v>
      </c>
      <c r="I1510" s="705">
        <v>23245118</v>
      </c>
      <c r="J1510" s="705">
        <v>21131926</v>
      </c>
      <c r="K1510" s="705">
        <v>80</v>
      </c>
      <c r="L1510" s="705">
        <v>5392936</v>
      </c>
      <c r="M1510" s="705">
        <v>4719102</v>
      </c>
      <c r="N1510" s="705">
        <v>3466014</v>
      </c>
      <c r="O1510" s="705">
        <v>1283709</v>
      </c>
      <c r="P1510" s="705">
        <v>1105375</v>
      </c>
      <c r="Q1510" s="705">
        <v>409398</v>
      </c>
      <c r="R1510" s="705">
        <v>7945585</v>
      </c>
      <c r="S1510" s="705">
        <v>7223259</v>
      </c>
      <c r="T1510" s="705">
        <v>3285244</v>
      </c>
      <c r="U1510" s="705">
        <v>1216757</v>
      </c>
      <c r="V1510" s="705">
        <v>35984151</v>
      </c>
      <c r="W1510" s="705">
        <f t="shared" si="66"/>
        <v>35984151</v>
      </c>
      <c r="X1510" s="705">
        <f t="shared" si="67"/>
        <v>44440272</v>
      </c>
    </row>
    <row r="1511" spans="2:24">
      <c r="B1511" t="s">
        <v>546</v>
      </c>
      <c r="C1511" t="s">
        <v>118</v>
      </c>
      <c r="D1511" t="s">
        <v>583</v>
      </c>
      <c r="E1511" t="s">
        <v>666</v>
      </c>
      <c r="F1511" s="705">
        <v>2</v>
      </c>
      <c r="G1511" s="705">
        <v>181</v>
      </c>
      <c r="H1511" s="705">
        <v>549</v>
      </c>
      <c r="I1511" s="705">
        <v>27083</v>
      </c>
      <c r="J1511" s="705">
        <v>24620</v>
      </c>
      <c r="K1511" s="705">
        <v>82</v>
      </c>
      <c r="L1511" s="705">
        <v>7812</v>
      </c>
      <c r="M1511" s="705">
        <v>7102</v>
      </c>
      <c r="N1511" s="705">
        <v>3537</v>
      </c>
      <c r="O1511" s="705">
        <v>1310</v>
      </c>
      <c r="P1511" s="705">
        <v>1242</v>
      </c>
      <c r="Q1511" s="705">
        <v>460</v>
      </c>
      <c r="R1511" s="705">
        <v>7797</v>
      </c>
      <c r="S1511" s="705">
        <v>7088</v>
      </c>
      <c r="T1511" s="705">
        <v>1731</v>
      </c>
      <c r="U1511" s="705">
        <v>641</v>
      </c>
      <c r="V1511" s="705">
        <v>41221</v>
      </c>
      <c r="W1511" s="705">
        <f t="shared" si="66"/>
        <v>41221</v>
      </c>
      <c r="X1511" s="705">
        <f t="shared" si="67"/>
        <v>49202</v>
      </c>
    </row>
    <row r="1512" spans="2:24">
      <c r="B1512" t="s">
        <v>546</v>
      </c>
      <c r="C1512" t="s">
        <v>118</v>
      </c>
      <c r="D1512" t="s">
        <v>583</v>
      </c>
      <c r="E1512" t="s">
        <v>665</v>
      </c>
      <c r="F1512" s="705">
        <v>1</v>
      </c>
      <c r="G1512" s="705">
        <v>117</v>
      </c>
      <c r="H1512" s="705">
        <v>278</v>
      </c>
      <c r="I1512" s="705">
        <v>17721</v>
      </c>
      <c r="J1512" s="705">
        <v>16110</v>
      </c>
      <c r="K1512" s="705">
        <v>60</v>
      </c>
      <c r="L1512" s="705">
        <v>3741</v>
      </c>
      <c r="M1512" s="705">
        <v>3401</v>
      </c>
      <c r="N1512" s="705">
        <v>1995</v>
      </c>
      <c r="O1512" s="705">
        <v>739</v>
      </c>
      <c r="P1512" s="705">
        <v>621</v>
      </c>
      <c r="Q1512" s="705">
        <v>230</v>
      </c>
      <c r="R1512" s="705">
        <v>8455</v>
      </c>
      <c r="S1512" s="705">
        <v>7686</v>
      </c>
      <c r="T1512" s="705">
        <v>0</v>
      </c>
      <c r="U1512" s="705">
        <v>0</v>
      </c>
      <c r="V1512" s="705">
        <v>28166</v>
      </c>
      <c r="W1512" s="705">
        <f t="shared" si="66"/>
        <v>28166</v>
      </c>
      <c r="X1512" s="705">
        <f t="shared" si="67"/>
        <v>32533</v>
      </c>
    </row>
    <row r="1513" spans="2:24">
      <c r="B1513" t="s">
        <v>546</v>
      </c>
      <c r="C1513" t="s">
        <v>118</v>
      </c>
      <c r="D1513" t="s">
        <v>666</v>
      </c>
      <c r="E1513" t="s">
        <v>228</v>
      </c>
      <c r="F1513" s="705">
        <v>1</v>
      </c>
      <c r="G1513" s="705">
        <v>69</v>
      </c>
      <c r="H1513" s="705">
        <v>293</v>
      </c>
      <c r="I1513" s="705">
        <v>8460</v>
      </c>
      <c r="J1513" s="705">
        <v>7691</v>
      </c>
      <c r="K1513" s="705">
        <v>65</v>
      </c>
      <c r="L1513" s="705">
        <v>2382</v>
      </c>
      <c r="M1513" s="705">
        <v>882</v>
      </c>
      <c r="N1513" s="705">
        <v>1433</v>
      </c>
      <c r="O1513" s="705">
        <v>531</v>
      </c>
      <c r="P1513" s="705">
        <v>351</v>
      </c>
      <c r="Q1513" s="705">
        <v>130</v>
      </c>
      <c r="R1513" s="705">
        <v>7629</v>
      </c>
      <c r="S1513" s="705">
        <v>2825</v>
      </c>
      <c r="T1513" s="705">
        <v>0</v>
      </c>
      <c r="U1513" s="705">
        <v>0</v>
      </c>
      <c r="V1513" s="705">
        <v>12060</v>
      </c>
      <c r="W1513" s="705">
        <f t="shared" si="66"/>
        <v>12059</v>
      </c>
      <c r="X1513" s="705">
        <f t="shared" si="67"/>
        <v>20255</v>
      </c>
    </row>
    <row r="1514" spans="2:24">
      <c r="B1514" t="s">
        <v>546</v>
      </c>
      <c r="C1514" t="s">
        <v>118</v>
      </c>
      <c r="D1514" t="s">
        <v>666</v>
      </c>
      <c r="E1514" t="s">
        <v>583</v>
      </c>
      <c r="F1514" s="705">
        <v>1</v>
      </c>
      <c r="G1514" s="705">
        <v>103</v>
      </c>
      <c r="H1514" s="705">
        <v>251</v>
      </c>
      <c r="I1514" s="705">
        <v>13574</v>
      </c>
      <c r="J1514" s="705">
        <v>12340</v>
      </c>
      <c r="K1514" s="705">
        <v>85</v>
      </c>
      <c r="L1514" s="705">
        <v>4426</v>
      </c>
      <c r="M1514" s="705">
        <v>3688</v>
      </c>
      <c r="N1514" s="705">
        <v>2445</v>
      </c>
      <c r="O1514" s="705">
        <v>906</v>
      </c>
      <c r="P1514" s="705">
        <v>621</v>
      </c>
      <c r="Q1514" s="705">
        <v>230</v>
      </c>
      <c r="R1514" s="705">
        <v>4749</v>
      </c>
      <c r="S1514" s="705">
        <v>4317</v>
      </c>
      <c r="T1514" s="705">
        <v>0</v>
      </c>
      <c r="U1514" s="705">
        <v>0</v>
      </c>
      <c r="V1514" s="705">
        <v>21481</v>
      </c>
      <c r="W1514" s="705">
        <f t="shared" si="66"/>
        <v>21481</v>
      </c>
      <c r="X1514" s="705">
        <f t="shared" si="67"/>
        <v>25815</v>
      </c>
    </row>
    <row r="1515" spans="2:24">
      <c r="B1515" t="s">
        <v>546</v>
      </c>
      <c r="C1515" t="s">
        <v>118</v>
      </c>
      <c r="D1515" t="s">
        <v>666</v>
      </c>
      <c r="E1515" t="s">
        <v>666</v>
      </c>
      <c r="F1515" s="705">
        <v>20</v>
      </c>
      <c r="G1515" s="705">
        <v>1728</v>
      </c>
      <c r="H1515" s="705">
        <v>5552</v>
      </c>
      <c r="I1515" s="705">
        <v>254976</v>
      </c>
      <c r="J1515" s="705">
        <v>231796</v>
      </c>
      <c r="K1515" s="705">
        <v>58</v>
      </c>
      <c r="L1515" s="705">
        <v>42798</v>
      </c>
      <c r="M1515" s="705">
        <v>30689</v>
      </c>
      <c r="N1515" s="705">
        <v>34948</v>
      </c>
      <c r="O1515" s="705">
        <v>12944</v>
      </c>
      <c r="P1515" s="705">
        <v>6669</v>
      </c>
      <c r="Q1515" s="705">
        <v>2470</v>
      </c>
      <c r="R1515" s="705">
        <v>98070</v>
      </c>
      <c r="S1515" s="705">
        <v>89155</v>
      </c>
      <c r="T1515" s="705">
        <v>43591</v>
      </c>
      <c r="U1515" s="705">
        <v>16145</v>
      </c>
      <c r="V1515" s="705">
        <v>383198</v>
      </c>
      <c r="W1515" s="705">
        <f t="shared" ref="W1515:W1578" si="68">SUM(ABS(J1515),ABS(M1515),ABS(O1515),ABS(Q1515),ABS(S1515),ABS(U1515))</f>
        <v>383199</v>
      </c>
      <c r="X1515" s="705">
        <f t="shared" ref="X1515:X1578" si="69">SUM(ABS(I1515),ABS(N1515),ABS(P1515),ABS(R1515),ABS(T1515),ABS(L1515))</f>
        <v>481052</v>
      </c>
    </row>
    <row r="1516" spans="2:24">
      <c r="B1516" t="s">
        <v>546</v>
      </c>
      <c r="C1516" t="s">
        <v>118</v>
      </c>
      <c r="D1516" t="s">
        <v>584</v>
      </c>
      <c r="E1516" t="s">
        <v>228</v>
      </c>
      <c r="F1516" s="705">
        <v>6</v>
      </c>
      <c r="G1516" s="705">
        <v>732</v>
      </c>
      <c r="H1516" s="705">
        <v>1629</v>
      </c>
      <c r="I1516" s="705">
        <v>108358</v>
      </c>
      <c r="J1516" s="705">
        <v>98507</v>
      </c>
      <c r="K1516" s="705">
        <v>84</v>
      </c>
      <c r="L1516" s="705">
        <v>11824</v>
      </c>
      <c r="M1516" s="705">
        <v>10502</v>
      </c>
      <c r="N1516" s="705">
        <v>14761</v>
      </c>
      <c r="O1516" s="705">
        <v>5467</v>
      </c>
      <c r="P1516" s="705">
        <v>2835</v>
      </c>
      <c r="Q1516" s="705">
        <v>1050</v>
      </c>
      <c r="R1516" s="705">
        <v>49763</v>
      </c>
      <c r="S1516" s="705">
        <v>18431</v>
      </c>
      <c r="T1516" s="705">
        <v>0</v>
      </c>
      <c r="U1516" s="705">
        <v>0</v>
      </c>
      <c r="V1516" s="705">
        <v>133957</v>
      </c>
      <c r="W1516" s="705">
        <f t="shared" si="68"/>
        <v>133957</v>
      </c>
      <c r="X1516" s="705">
        <f t="shared" si="69"/>
        <v>187541</v>
      </c>
    </row>
    <row r="1517" spans="2:24">
      <c r="B1517" t="s">
        <v>546</v>
      </c>
      <c r="C1517" t="s">
        <v>118</v>
      </c>
      <c r="D1517" t="s">
        <v>584</v>
      </c>
      <c r="E1517" t="s">
        <v>583</v>
      </c>
      <c r="F1517" s="705">
        <v>4</v>
      </c>
      <c r="G1517" s="705">
        <v>349</v>
      </c>
      <c r="H1517" s="705">
        <v>1053</v>
      </c>
      <c r="I1517" s="705">
        <v>52431</v>
      </c>
      <c r="J1517" s="705">
        <v>47665</v>
      </c>
      <c r="K1517" s="705">
        <v>76</v>
      </c>
      <c r="L1517" s="705">
        <v>14265</v>
      </c>
      <c r="M1517" s="705">
        <v>12968</v>
      </c>
      <c r="N1517" s="705">
        <v>7120</v>
      </c>
      <c r="O1517" s="705">
        <v>2637</v>
      </c>
      <c r="P1517" s="705">
        <v>1890</v>
      </c>
      <c r="Q1517" s="705">
        <v>700</v>
      </c>
      <c r="R1517" s="705">
        <v>20107</v>
      </c>
      <c r="S1517" s="705">
        <v>18279</v>
      </c>
      <c r="T1517" s="705">
        <v>8134</v>
      </c>
      <c r="U1517" s="705">
        <v>3012</v>
      </c>
      <c r="V1517" s="705">
        <v>85261</v>
      </c>
      <c r="W1517" s="705">
        <f t="shared" si="68"/>
        <v>85261</v>
      </c>
      <c r="X1517" s="705">
        <f t="shared" si="69"/>
        <v>103947</v>
      </c>
    </row>
    <row r="1518" spans="2:24">
      <c r="B1518" t="s">
        <v>546</v>
      </c>
      <c r="C1518" t="s">
        <v>118</v>
      </c>
      <c r="D1518" t="s">
        <v>584</v>
      </c>
      <c r="E1518" t="s">
        <v>666</v>
      </c>
      <c r="F1518" s="705">
        <v>1</v>
      </c>
      <c r="G1518" s="705">
        <v>90</v>
      </c>
      <c r="H1518" s="705">
        <v>249</v>
      </c>
      <c r="I1518" s="705">
        <v>9367</v>
      </c>
      <c r="J1518" s="705">
        <v>8515</v>
      </c>
      <c r="K1518" s="705">
        <v>90</v>
      </c>
      <c r="L1518" s="705">
        <v>3122</v>
      </c>
      <c r="M1518" s="705">
        <v>2838</v>
      </c>
      <c r="N1518" s="705">
        <v>1860</v>
      </c>
      <c r="O1518" s="705">
        <v>689</v>
      </c>
      <c r="P1518" s="705">
        <v>473</v>
      </c>
      <c r="Q1518" s="705">
        <v>175</v>
      </c>
      <c r="R1518" s="705">
        <v>7705</v>
      </c>
      <c r="S1518" s="705">
        <v>7005</v>
      </c>
      <c r="T1518" s="705">
        <v>0</v>
      </c>
      <c r="U1518" s="705">
        <v>0</v>
      </c>
      <c r="V1518" s="705">
        <v>19223</v>
      </c>
      <c r="W1518" s="705">
        <f t="shared" si="68"/>
        <v>19222</v>
      </c>
      <c r="X1518" s="705">
        <f t="shared" si="69"/>
        <v>22527</v>
      </c>
    </row>
    <row r="1519" spans="2:24">
      <c r="B1519" t="s">
        <v>546</v>
      </c>
      <c r="C1519" t="s">
        <v>118</v>
      </c>
      <c r="D1519" t="s">
        <v>584</v>
      </c>
      <c r="E1519" t="s">
        <v>584</v>
      </c>
      <c r="F1519" s="705">
        <v>2604</v>
      </c>
      <c r="G1519" s="705">
        <v>253823</v>
      </c>
      <c r="H1519" s="705">
        <v>670794</v>
      </c>
      <c r="I1519" s="705">
        <v>33825799</v>
      </c>
      <c r="J1519" s="705">
        <v>30750726</v>
      </c>
      <c r="K1519" s="705">
        <v>79</v>
      </c>
      <c r="L1519" s="705">
        <v>9075479</v>
      </c>
      <c r="M1519" s="705">
        <v>7816679</v>
      </c>
      <c r="N1519" s="705">
        <v>5176108</v>
      </c>
      <c r="O1519" s="705">
        <v>1917077</v>
      </c>
      <c r="P1519" s="705">
        <v>1239263</v>
      </c>
      <c r="Q1519" s="705">
        <v>458986</v>
      </c>
      <c r="R1519" s="705">
        <v>12542380</v>
      </c>
      <c r="S1519" s="705">
        <v>11402164</v>
      </c>
      <c r="T1519" s="705">
        <v>3847295</v>
      </c>
      <c r="U1519" s="705">
        <v>1424924</v>
      </c>
      <c r="V1519" s="705">
        <v>53770556</v>
      </c>
      <c r="W1519" s="705">
        <f t="shared" si="68"/>
        <v>53770556</v>
      </c>
      <c r="X1519" s="705">
        <f t="shared" si="69"/>
        <v>65706324</v>
      </c>
    </row>
    <row r="1520" spans="2:24">
      <c r="B1520" t="s">
        <v>546</v>
      </c>
      <c r="C1520" t="s">
        <v>118</v>
      </c>
      <c r="D1520" t="s">
        <v>584</v>
      </c>
      <c r="E1520" t="s">
        <v>669</v>
      </c>
      <c r="F1520" s="705">
        <v>3</v>
      </c>
      <c r="G1520" s="705">
        <v>403</v>
      </c>
      <c r="H1520" s="705">
        <v>738</v>
      </c>
      <c r="I1520" s="705">
        <v>56819</v>
      </c>
      <c r="J1520" s="705">
        <v>51654</v>
      </c>
      <c r="K1520" s="705">
        <v>71</v>
      </c>
      <c r="L1520" s="705">
        <v>14277</v>
      </c>
      <c r="M1520" s="705">
        <v>12979</v>
      </c>
      <c r="N1520" s="705">
        <v>10403</v>
      </c>
      <c r="O1520" s="705">
        <v>3853</v>
      </c>
      <c r="P1520" s="705">
        <v>1418</v>
      </c>
      <c r="Q1520" s="705">
        <v>525</v>
      </c>
      <c r="R1520" s="705">
        <v>20572</v>
      </c>
      <c r="S1520" s="705">
        <v>17143</v>
      </c>
      <c r="T1520" s="705">
        <v>3003</v>
      </c>
      <c r="U1520" s="705">
        <v>1112</v>
      </c>
      <c r="V1520" s="705">
        <v>87267</v>
      </c>
      <c r="W1520" s="705">
        <f t="shared" si="68"/>
        <v>87266</v>
      </c>
      <c r="X1520" s="705">
        <f t="shared" si="69"/>
        <v>106492</v>
      </c>
    </row>
    <row r="1521" spans="2:24">
      <c r="B1521" t="s">
        <v>546</v>
      </c>
      <c r="C1521" t="s">
        <v>118</v>
      </c>
      <c r="D1521" t="s">
        <v>669</v>
      </c>
      <c r="E1521" t="s">
        <v>669</v>
      </c>
      <c r="F1521" s="705">
        <v>22</v>
      </c>
      <c r="G1521" s="705">
        <v>1986</v>
      </c>
      <c r="H1521" s="705">
        <v>6166</v>
      </c>
      <c r="I1521" s="705">
        <v>294381</v>
      </c>
      <c r="J1521" s="705">
        <v>245318</v>
      </c>
      <c r="K1521" s="705">
        <v>59</v>
      </c>
      <c r="L1521" s="705">
        <v>35406</v>
      </c>
      <c r="M1521" s="705">
        <v>25498</v>
      </c>
      <c r="N1521" s="705">
        <v>38191</v>
      </c>
      <c r="O1521" s="705">
        <v>14145</v>
      </c>
      <c r="P1521" s="705">
        <v>9153</v>
      </c>
      <c r="Q1521" s="705">
        <v>3390</v>
      </c>
      <c r="R1521" s="705">
        <v>130259</v>
      </c>
      <c r="S1521" s="705">
        <v>108549</v>
      </c>
      <c r="T1521" s="705">
        <v>47727</v>
      </c>
      <c r="U1521" s="705">
        <v>17677</v>
      </c>
      <c r="V1521" s="705">
        <v>414577</v>
      </c>
      <c r="W1521" s="705">
        <f t="shared" si="68"/>
        <v>414577</v>
      </c>
      <c r="X1521" s="705">
        <f t="shared" si="69"/>
        <v>555117</v>
      </c>
    </row>
    <row r="1522" spans="2:24">
      <c r="B1522" t="s">
        <v>546</v>
      </c>
      <c r="C1522" t="s">
        <v>118</v>
      </c>
      <c r="D1522" t="s">
        <v>665</v>
      </c>
      <c r="E1522" t="s">
        <v>228</v>
      </c>
      <c r="F1522" s="705">
        <v>19</v>
      </c>
      <c r="G1522" s="705">
        <v>1501</v>
      </c>
      <c r="H1522" s="705">
        <v>5237</v>
      </c>
      <c r="I1522" s="705">
        <v>174843</v>
      </c>
      <c r="J1522" s="705">
        <v>158949</v>
      </c>
      <c r="K1522" s="705">
        <v>68</v>
      </c>
      <c r="L1522" s="705">
        <v>47884</v>
      </c>
      <c r="M1522" s="705">
        <v>19898</v>
      </c>
      <c r="N1522" s="705">
        <v>27541</v>
      </c>
      <c r="O1522" s="705">
        <v>10200</v>
      </c>
      <c r="P1522" s="705">
        <v>5967</v>
      </c>
      <c r="Q1522" s="705">
        <v>2210</v>
      </c>
      <c r="R1522" s="705">
        <v>155577</v>
      </c>
      <c r="S1522" s="705">
        <v>57621</v>
      </c>
      <c r="T1522" s="705">
        <v>3236</v>
      </c>
      <c r="U1522" s="705">
        <v>1198</v>
      </c>
      <c r="V1522" s="705">
        <v>250076</v>
      </c>
      <c r="W1522" s="705">
        <f t="shared" si="68"/>
        <v>250076</v>
      </c>
      <c r="X1522" s="705">
        <f t="shared" si="69"/>
        <v>415048</v>
      </c>
    </row>
    <row r="1523" spans="2:24">
      <c r="B1523" t="s">
        <v>546</v>
      </c>
      <c r="C1523" t="s">
        <v>118</v>
      </c>
      <c r="D1523" t="s">
        <v>665</v>
      </c>
      <c r="E1523" t="s">
        <v>665</v>
      </c>
      <c r="F1523" s="705">
        <v>313</v>
      </c>
      <c r="G1523" s="705">
        <v>25321</v>
      </c>
      <c r="H1523" s="705">
        <v>83501</v>
      </c>
      <c r="I1523" s="705">
        <v>3464663</v>
      </c>
      <c r="J1523" s="705">
        <v>3149694</v>
      </c>
      <c r="K1523" s="705">
        <v>62</v>
      </c>
      <c r="L1523" s="705">
        <v>621405</v>
      </c>
      <c r="M1523" s="705">
        <v>525511</v>
      </c>
      <c r="N1523" s="705">
        <v>506026</v>
      </c>
      <c r="O1523" s="705">
        <v>187417</v>
      </c>
      <c r="P1523" s="705">
        <v>111010</v>
      </c>
      <c r="Q1523" s="705">
        <v>41115</v>
      </c>
      <c r="R1523" s="705">
        <v>1431100</v>
      </c>
      <c r="S1523" s="705">
        <v>1301000</v>
      </c>
      <c r="T1523" s="705">
        <v>633184</v>
      </c>
      <c r="U1523" s="705">
        <v>234513</v>
      </c>
      <c r="V1523" s="705">
        <v>5439248</v>
      </c>
      <c r="W1523" s="705">
        <f t="shared" si="68"/>
        <v>5439250</v>
      </c>
      <c r="X1523" s="705">
        <f t="shared" si="69"/>
        <v>6767388</v>
      </c>
    </row>
    <row r="1524" spans="2:24">
      <c r="B1524" t="s">
        <v>546</v>
      </c>
      <c r="C1524" t="s">
        <v>118</v>
      </c>
      <c r="D1524" t="s">
        <v>585</v>
      </c>
      <c r="E1524" t="s">
        <v>585</v>
      </c>
      <c r="F1524" s="705">
        <v>1</v>
      </c>
      <c r="G1524" s="705">
        <v>123</v>
      </c>
      <c r="H1524" s="705">
        <v>257</v>
      </c>
      <c r="I1524" s="705">
        <v>17313</v>
      </c>
      <c r="J1524" s="705">
        <v>15739</v>
      </c>
      <c r="K1524" s="705">
        <v>65</v>
      </c>
      <c r="L1524" s="705">
        <v>4547</v>
      </c>
      <c r="M1524" s="705">
        <v>3789</v>
      </c>
      <c r="N1524" s="705">
        <v>1499</v>
      </c>
      <c r="O1524" s="705">
        <v>555</v>
      </c>
      <c r="P1524" s="705">
        <v>351</v>
      </c>
      <c r="Q1524" s="705">
        <v>130</v>
      </c>
      <c r="R1524" s="705">
        <v>5060</v>
      </c>
      <c r="S1524" s="705">
        <v>4600</v>
      </c>
      <c r="T1524" s="705">
        <v>2890</v>
      </c>
      <c r="U1524" s="705">
        <v>1070</v>
      </c>
      <c r="V1524" s="705">
        <v>25884</v>
      </c>
      <c r="W1524" s="705">
        <f t="shared" si="68"/>
        <v>25883</v>
      </c>
      <c r="X1524" s="705">
        <f t="shared" si="69"/>
        <v>31660</v>
      </c>
    </row>
    <row r="1525" spans="2:24">
      <c r="B1525" t="s">
        <v>546</v>
      </c>
      <c r="C1525" t="s">
        <v>118</v>
      </c>
      <c r="D1525" t="s">
        <v>668</v>
      </c>
      <c r="E1525" t="s">
        <v>228</v>
      </c>
      <c r="F1525" s="705">
        <v>1</v>
      </c>
      <c r="G1525" s="705">
        <v>46</v>
      </c>
      <c r="H1525" s="705">
        <v>279</v>
      </c>
      <c r="I1525" s="705">
        <v>5615</v>
      </c>
      <c r="J1525" s="705">
        <v>5104</v>
      </c>
      <c r="K1525" s="705">
        <v>60</v>
      </c>
      <c r="L1525" s="705">
        <v>919</v>
      </c>
      <c r="M1525" s="705">
        <v>340</v>
      </c>
      <c r="N1525" s="705">
        <v>1114</v>
      </c>
      <c r="O1525" s="705">
        <v>412</v>
      </c>
      <c r="P1525" s="705">
        <v>0</v>
      </c>
      <c r="Q1525" s="705">
        <v>0</v>
      </c>
      <c r="R1525" s="705">
        <v>5103</v>
      </c>
      <c r="S1525" s="705">
        <v>1890</v>
      </c>
      <c r="T1525" s="705">
        <v>0</v>
      </c>
      <c r="U1525" s="705">
        <v>0</v>
      </c>
      <c r="V1525" s="705">
        <v>7747</v>
      </c>
      <c r="W1525" s="705">
        <f t="shared" si="68"/>
        <v>7746</v>
      </c>
      <c r="X1525" s="705">
        <f t="shared" si="69"/>
        <v>12751</v>
      </c>
    </row>
    <row r="1526" spans="2:24">
      <c r="B1526" t="s">
        <v>546</v>
      </c>
      <c r="C1526" t="s">
        <v>118</v>
      </c>
      <c r="D1526" t="s">
        <v>668</v>
      </c>
      <c r="E1526" t="s">
        <v>668</v>
      </c>
      <c r="F1526" s="705">
        <v>2</v>
      </c>
      <c r="G1526" s="705">
        <v>111</v>
      </c>
      <c r="H1526" s="705">
        <v>512</v>
      </c>
      <c r="I1526" s="705">
        <v>16228</v>
      </c>
      <c r="J1526" s="705">
        <v>14753</v>
      </c>
      <c r="K1526" s="705">
        <v>65</v>
      </c>
      <c r="L1526" s="705">
        <v>2072</v>
      </c>
      <c r="M1526" s="705">
        <v>1883</v>
      </c>
      <c r="N1526" s="705">
        <v>1928</v>
      </c>
      <c r="O1526" s="705">
        <v>714</v>
      </c>
      <c r="P1526" s="705">
        <v>702</v>
      </c>
      <c r="Q1526" s="705">
        <v>260</v>
      </c>
      <c r="R1526" s="705">
        <v>5113</v>
      </c>
      <c r="S1526" s="705">
        <v>4648</v>
      </c>
      <c r="T1526" s="705">
        <v>2254</v>
      </c>
      <c r="U1526" s="705">
        <v>835</v>
      </c>
      <c r="V1526" s="705">
        <v>23093</v>
      </c>
      <c r="W1526" s="705">
        <f t="shared" si="68"/>
        <v>23093</v>
      </c>
      <c r="X1526" s="705">
        <f t="shared" si="69"/>
        <v>28297</v>
      </c>
    </row>
    <row r="1527" spans="2:24">
      <c r="B1527" t="s">
        <v>546</v>
      </c>
      <c r="C1527" t="s">
        <v>120</v>
      </c>
      <c r="F1527" s="705">
        <v>3</v>
      </c>
      <c r="G1527" s="705">
        <v>223</v>
      </c>
      <c r="H1527" s="705">
        <v>1060</v>
      </c>
      <c r="I1527" s="705"/>
      <c r="J1527" s="705">
        <v>0</v>
      </c>
      <c r="K1527" s="705"/>
      <c r="L1527" s="705"/>
      <c r="M1527" s="705">
        <v>0</v>
      </c>
      <c r="N1527" s="705">
        <v>5052</v>
      </c>
      <c r="O1527" s="705">
        <v>1871</v>
      </c>
      <c r="P1527" s="705">
        <v>1593</v>
      </c>
      <c r="Q1527" s="705">
        <v>590</v>
      </c>
      <c r="R1527" s="705"/>
      <c r="S1527" s="705">
        <v>0</v>
      </c>
      <c r="T1527" s="705">
        <v>0</v>
      </c>
      <c r="U1527" s="705">
        <v>0</v>
      </c>
      <c r="V1527" s="705">
        <v>2461</v>
      </c>
      <c r="W1527" s="705">
        <f t="shared" si="68"/>
        <v>2461</v>
      </c>
      <c r="X1527" s="705">
        <f t="shared" si="69"/>
        <v>6645</v>
      </c>
    </row>
    <row r="1528" spans="2:24">
      <c r="B1528" t="s">
        <v>546</v>
      </c>
      <c r="C1528" t="s">
        <v>120</v>
      </c>
      <c r="D1528" t="s">
        <v>664</v>
      </c>
      <c r="E1528" t="s">
        <v>664</v>
      </c>
      <c r="F1528" s="705">
        <v>1</v>
      </c>
      <c r="G1528" s="705">
        <v>123</v>
      </c>
      <c r="H1528" s="705">
        <v>319</v>
      </c>
      <c r="I1528" s="705">
        <v>22559</v>
      </c>
      <c r="J1528" s="705">
        <v>20508</v>
      </c>
      <c r="K1528" s="705">
        <v>68</v>
      </c>
      <c r="L1528" s="705">
        <v>5398</v>
      </c>
      <c r="M1528" s="705">
        <v>4907</v>
      </c>
      <c r="N1528" s="705">
        <v>2811</v>
      </c>
      <c r="O1528" s="705">
        <v>1041</v>
      </c>
      <c r="P1528" s="705">
        <v>473</v>
      </c>
      <c r="Q1528" s="705">
        <v>175</v>
      </c>
      <c r="R1528" s="705">
        <v>5030</v>
      </c>
      <c r="S1528" s="705">
        <v>4573</v>
      </c>
      <c r="T1528" s="705">
        <v>2842</v>
      </c>
      <c r="U1528" s="705">
        <v>1052</v>
      </c>
      <c r="V1528" s="705">
        <v>32257</v>
      </c>
      <c r="W1528" s="705">
        <f t="shared" si="68"/>
        <v>32256</v>
      </c>
      <c r="X1528" s="705">
        <f t="shared" si="69"/>
        <v>39113</v>
      </c>
    </row>
    <row r="1529" spans="2:24">
      <c r="B1529" t="s">
        <v>546</v>
      </c>
      <c r="C1529" t="s">
        <v>120</v>
      </c>
      <c r="D1529" t="s">
        <v>582</v>
      </c>
      <c r="E1529" t="s">
        <v>582</v>
      </c>
      <c r="F1529" s="705">
        <v>4</v>
      </c>
      <c r="G1529" s="705">
        <v>529</v>
      </c>
      <c r="H1529" s="705">
        <v>1297</v>
      </c>
      <c r="I1529" s="705">
        <v>106206</v>
      </c>
      <c r="J1529" s="705">
        <v>96550</v>
      </c>
      <c r="K1529" s="705">
        <v>71</v>
      </c>
      <c r="L1529" s="705">
        <v>22225</v>
      </c>
      <c r="M1529" s="705">
        <v>15276</v>
      </c>
      <c r="N1529" s="705">
        <v>11226</v>
      </c>
      <c r="O1529" s="705">
        <v>4158</v>
      </c>
      <c r="P1529" s="705">
        <v>2039</v>
      </c>
      <c r="Q1529" s="705">
        <v>755</v>
      </c>
      <c r="R1529" s="705">
        <v>18952</v>
      </c>
      <c r="S1529" s="705">
        <v>17229</v>
      </c>
      <c r="T1529" s="705">
        <v>11092</v>
      </c>
      <c r="U1529" s="705">
        <v>4108</v>
      </c>
      <c r="V1529" s="705">
        <v>138077</v>
      </c>
      <c r="W1529" s="705">
        <f t="shared" si="68"/>
        <v>138076</v>
      </c>
      <c r="X1529" s="705">
        <f t="shared" si="69"/>
        <v>171740</v>
      </c>
    </row>
    <row r="1530" spans="2:24">
      <c r="B1530" t="s">
        <v>546</v>
      </c>
      <c r="C1530" t="s">
        <v>120</v>
      </c>
      <c r="D1530" t="s">
        <v>228</v>
      </c>
      <c r="E1530" t="s">
        <v>228</v>
      </c>
      <c r="F1530" s="705">
        <v>232</v>
      </c>
      <c r="G1530" s="705">
        <v>16850</v>
      </c>
      <c r="H1530" s="705">
        <v>79643</v>
      </c>
      <c r="I1530" s="705">
        <v>3445377</v>
      </c>
      <c r="J1530" s="705">
        <v>1276066</v>
      </c>
      <c r="K1530" s="705">
        <v>100</v>
      </c>
      <c r="L1530" s="705">
        <v>493021</v>
      </c>
      <c r="M1530" s="705">
        <v>315134</v>
      </c>
      <c r="N1530" s="705">
        <v>345158</v>
      </c>
      <c r="O1530" s="705">
        <v>127836</v>
      </c>
      <c r="P1530" s="705">
        <v>5265</v>
      </c>
      <c r="Q1530" s="705">
        <v>1950</v>
      </c>
      <c r="R1530" s="705">
        <v>1510304</v>
      </c>
      <c r="S1530" s="705">
        <v>559372</v>
      </c>
      <c r="T1530" s="705">
        <v>3716</v>
      </c>
      <c r="U1530" s="705">
        <v>1376</v>
      </c>
      <c r="V1530" s="705">
        <v>2281734</v>
      </c>
      <c r="W1530" s="705">
        <f t="shared" si="68"/>
        <v>2281734</v>
      </c>
      <c r="X1530" s="705">
        <f t="shared" si="69"/>
        <v>5802841</v>
      </c>
    </row>
    <row r="1531" spans="2:24">
      <c r="B1531" t="s">
        <v>546</v>
      </c>
      <c r="C1531" t="s">
        <v>120</v>
      </c>
      <c r="D1531" t="s">
        <v>228</v>
      </c>
      <c r="E1531" t="s">
        <v>666</v>
      </c>
      <c r="F1531" s="705">
        <v>2</v>
      </c>
      <c r="G1531" s="705">
        <v>156</v>
      </c>
      <c r="H1531" s="705">
        <v>704</v>
      </c>
      <c r="I1531" s="705">
        <v>35968</v>
      </c>
      <c r="J1531" s="705">
        <v>13321</v>
      </c>
      <c r="K1531" s="705">
        <v>100</v>
      </c>
      <c r="L1531" s="705">
        <v>3451</v>
      </c>
      <c r="M1531" s="705">
        <v>3137</v>
      </c>
      <c r="N1531" s="705">
        <v>2484</v>
      </c>
      <c r="O1531" s="705">
        <v>920</v>
      </c>
      <c r="P1531" s="705">
        <v>0</v>
      </c>
      <c r="Q1531" s="705">
        <v>0</v>
      </c>
      <c r="R1531" s="705">
        <v>9723</v>
      </c>
      <c r="S1531" s="705">
        <v>8839</v>
      </c>
      <c r="T1531" s="705">
        <v>3388</v>
      </c>
      <c r="U1531" s="705">
        <v>1255</v>
      </c>
      <c r="V1531" s="705">
        <v>27472</v>
      </c>
      <c r="W1531" s="705">
        <f t="shared" si="68"/>
        <v>27472</v>
      </c>
      <c r="X1531" s="705">
        <f t="shared" si="69"/>
        <v>55014</v>
      </c>
    </row>
    <row r="1532" spans="2:24">
      <c r="B1532" t="s">
        <v>546</v>
      </c>
      <c r="C1532" t="s">
        <v>120</v>
      </c>
      <c r="D1532" t="s">
        <v>228</v>
      </c>
      <c r="E1532" t="s">
        <v>669</v>
      </c>
      <c r="F1532" s="705">
        <v>6</v>
      </c>
      <c r="G1532" s="705">
        <v>463</v>
      </c>
      <c r="H1532" s="705">
        <v>1986</v>
      </c>
      <c r="I1532" s="705">
        <v>86767</v>
      </c>
      <c r="J1532" s="705">
        <v>32136</v>
      </c>
      <c r="K1532" s="705">
        <v>100</v>
      </c>
      <c r="L1532" s="705">
        <v>11238</v>
      </c>
      <c r="M1532" s="705">
        <v>9365</v>
      </c>
      <c r="N1532" s="705">
        <v>9755</v>
      </c>
      <c r="O1532" s="705">
        <v>3613</v>
      </c>
      <c r="P1532" s="705">
        <v>0</v>
      </c>
      <c r="Q1532" s="705">
        <v>0</v>
      </c>
      <c r="R1532" s="705">
        <v>32874</v>
      </c>
      <c r="S1532" s="705">
        <v>27395</v>
      </c>
      <c r="T1532" s="705">
        <v>13520</v>
      </c>
      <c r="U1532" s="705">
        <v>5007</v>
      </c>
      <c r="V1532" s="705">
        <v>77516</v>
      </c>
      <c r="W1532" s="705">
        <f t="shared" si="68"/>
        <v>77516</v>
      </c>
      <c r="X1532" s="705">
        <f t="shared" si="69"/>
        <v>154154</v>
      </c>
    </row>
    <row r="1533" spans="2:24">
      <c r="B1533" t="s">
        <v>546</v>
      </c>
      <c r="C1533" t="s">
        <v>120</v>
      </c>
      <c r="D1533" t="s">
        <v>228</v>
      </c>
      <c r="E1533" t="s">
        <v>671</v>
      </c>
      <c r="F1533" s="705">
        <v>1</v>
      </c>
      <c r="G1533" s="705">
        <v>79</v>
      </c>
      <c r="H1533" s="705">
        <v>363</v>
      </c>
      <c r="I1533" s="705">
        <v>16726</v>
      </c>
      <c r="J1533" s="705">
        <v>6195</v>
      </c>
      <c r="K1533" s="705">
        <v>100</v>
      </c>
      <c r="L1533" s="705">
        <v>3097</v>
      </c>
      <c r="M1533" s="705">
        <v>2816</v>
      </c>
      <c r="N1533" s="705">
        <v>1726</v>
      </c>
      <c r="O1533" s="705">
        <v>639</v>
      </c>
      <c r="P1533" s="705">
        <v>0</v>
      </c>
      <c r="Q1533" s="705">
        <v>0</v>
      </c>
      <c r="R1533" s="705">
        <v>4866</v>
      </c>
      <c r="S1533" s="705">
        <v>4423</v>
      </c>
      <c r="T1533" s="705">
        <v>2148</v>
      </c>
      <c r="U1533" s="705">
        <v>796</v>
      </c>
      <c r="V1533" s="705">
        <v>14869</v>
      </c>
      <c r="W1533" s="705">
        <f t="shared" si="68"/>
        <v>14869</v>
      </c>
      <c r="X1533" s="705">
        <f t="shared" si="69"/>
        <v>28563</v>
      </c>
    </row>
    <row r="1534" spans="2:24">
      <c r="B1534" t="s">
        <v>546</v>
      </c>
      <c r="C1534" t="s">
        <v>120</v>
      </c>
      <c r="D1534" t="s">
        <v>228</v>
      </c>
      <c r="E1534" t="s">
        <v>665</v>
      </c>
      <c r="F1534" s="705">
        <v>6</v>
      </c>
      <c r="G1534" s="705">
        <v>471</v>
      </c>
      <c r="H1534" s="705">
        <v>1967</v>
      </c>
      <c r="I1534" s="705">
        <v>92829</v>
      </c>
      <c r="J1534" s="705">
        <v>34381</v>
      </c>
      <c r="K1534" s="705">
        <v>100</v>
      </c>
      <c r="L1534" s="705">
        <v>7340</v>
      </c>
      <c r="M1534" s="705">
        <v>6672</v>
      </c>
      <c r="N1534" s="705">
        <v>10120</v>
      </c>
      <c r="O1534" s="705">
        <v>3748</v>
      </c>
      <c r="P1534" s="705">
        <v>702</v>
      </c>
      <c r="Q1534" s="705">
        <v>260</v>
      </c>
      <c r="R1534" s="705">
        <v>32592</v>
      </c>
      <c r="S1534" s="705">
        <v>29629</v>
      </c>
      <c r="T1534" s="705">
        <v>10937</v>
      </c>
      <c r="U1534" s="705">
        <v>4051</v>
      </c>
      <c r="V1534" s="705">
        <v>78741</v>
      </c>
      <c r="W1534" s="705">
        <f t="shared" si="68"/>
        <v>78741</v>
      </c>
      <c r="X1534" s="705">
        <f t="shared" si="69"/>
        <v>154520</v>
      </c>
    </row>
    <row r="1535" spans="2:24">
      <c r="B1535" t="s">
        <v>546</v>
      </c>
      <c r="C1535" t="s">
        <v>120</v>
      </c>
      <c r="D1535" t="s">
        <v>583</v>
      </c>
      <c r="E1535" t="s">
        <v>228</v>
      </c>
      <c r="F1535" s="705">
        <v>5</v>
      </c>
      <c r="G1535" s="705">
        <v>528</v>
      </c>
      <c r="H1535" s="705">
        <v>1622</v>
      </c>
      <c r="I1535" s="705">
        <v>90778</v>
      </c>
      <c r="J1535" s="705">
        <v>82526</v>
      </c>
      <c r="K1535" s="705">
        <v>72</v>
      </c>
      <c r="L1535" s="705">
        <v>17721</v>
      </c>
      <c r="M1535" s="705">
        <v>14077</v>
      </c>
      <c r="N1535" s="705">
        <v>11981</v>
      </c>
      <c r="O1535" s="705">
        <v>4437</v>
      </c>
      <c r="P1535" s="705">
        <v>3501</v>
      </c>
      <c r="Q1535" s="705">
        <v>1297</v>
      </c>
      <c r="R1535" s="705">
        <v>46406</v>
      </c>
      <c r="S1535" s="705">
        <v>17188</v>
      </c>
      <c r="T1535" s="705">
        <v>0</v>
      </c>
      <c r="U1535" s="705">
        <v>0</v>
      </c>
      <c r="V1535" s="705">
        <v>119524</v>
      </c>
      <c r="W1535" s="705">
        <f t="shared" si="68"/>
        <v>119525</v>
      </c>
      <c r="X1535" s="705">
        <f t="shared" si="69"/>
        <v>170387</v>
      </c>
    </row>
    <row r="1536" spans="2:24">
      <c r="B1536" t="s">
        <v>546</v>
      </c>
      <c r="C1536" t="s">
        <v>120</v>
      </c>
      <c r="D1536" t="s">
        <v>583</v>
      </c>
      <c r="E1536" t="s">
        <v>583</v>
      </c>
      <c r="F1536" s="705">
        <v>665</v>
      </c>
      <c r="G1536" s="705">
        <v>66875</v>
      </c>
      <c r="H1536" s="705">
        <v>223861</v>
      </c>
      <c r="I1536" s="705">
        <v>13167381</v>
      </c>
      <c r="J1536" s="705">
        <v>11970346</v>
      </c>
      <c r="K1536" s="705">
        <v>76</v>
      </c>
      <c r="L1536" s="705">
        <v>2971629</v>
      </c>
      <c r="M1536" s="705">
        <v>2531543</v>
      </c>
      <c r="N1536" s="705">
        <v>1406311</v>
      </c>
      <c r="O1536" s="705">
        <v>520856</v>
      </c>
      <c r="P1536" s="705">
        <v>423319</v>
      </c>
      <c r="Q1536" s="705">
        <v>156785</v>
      </c>
      <c r="R1536" s="705">
        <v>3306048</v>
      </c>
      <c r="S1536" s="705">
        <v>3005498</v>
      </c>
      <c r="T1536" s="705">
        <v>1415328</v>
      </c>
      <c r="U1536" s="705">
        <v>524196</v>
      </c>
      <c r="V1536" s="705">
        <v>18709224</v>
      </c>
      <c r="W1536" s="705">
        <f t="shared" si="68"/>
        <v>18709224</v>
      </c>
      <c r="X1536" s="705">
        <f t="shared" si="69"/>
        <v>22690016</v>
      </c>
    </row>
    <row r="1537" spans="2:24">
      <c r="B1537" t="s">
        <v>546</v>
      </c>
      <c r="C1537" t="s">
        <v>120</v>
      </c>
      <c r="D1537" t="s">
        <v>583</v>
      </c>
      <c r="E1537" t="s">
        <v>666</v>
      </c>
      <c r="F1537" s="705">
        <v>1</v>
      </c>
      <c r="G1537" s="705">
        <v>87</v>
      </c>
      <c r="H1537" s="705">
        <v>365</v>
      </c>
      <c r="I1537" s="705">
        <v>12801</v>
      </c>
      <c r="J1537" s="705">
        <v>11638</v>
      </c>
      <c r="K1537" s="705">
        <v>45</v>
      </c>
      <c r="L1537" s="705">
        <v>2134</v>
      </c>
      <c r="M1537" s="705">
        <v>1940</v>
      </c>
      <c r="N1537" s="705">
        <v>2122</v>
      </c>
      <c r="O1537" s="705">
        <v>786</v>
      </c>
      <c r="P1537" s="705">
        <v>0</v>
      </c>
      <c r="Q1537" s="705">
        <v>0</v>
      </c>
      <c r="R1537" s="705">
        <v>10247</v>
      </c>
      <c r="S1537" s="705">
        <v>9316</v>
      </c>
      <c r="T1537" s="705">
        <v>4488</v>
      </c>
      <c r="U1537" s="705">
        <v>1662</v>
      </c>
      <c r="V1537" s="705">
        <v>25341</v>
      </c>
      <c r="W1537" s="705">
        <f t="shared" si="68"/>
        <v>25342</v>
      </c>
      <c r="X1537" s="705">
        <f t="shared" si="69"/>
        <v>31792</v>
      </c>
    </row>
    <row r="1538" spans="2:24">
      <c r="B1538" t="s">
        <v>546</v>
      </c>
      <c r="C1538" t="s">
        <v>120</v>
      </c>
      <c r="D1538" t="s">
        <v>583</v>
      </c>
      <c r="E1538" t="s">
        <v>665</v>
      </c>
      <c r="F1538" s="705">
        <v>1</v>
      </c>
      <c r="G1538" s="705">
        <v>146</v>
      </c>
      <c r="H1538" s="705">
        <v>358</v>
      </c>
      <c r="I1538" s="705">
        <v>36923</v>
      </c>
      <c r="J1538" s="705">
        <v>33566</v>
      </c>
      <c r="K1538" s="705">
        <v>60</v>
      </c>
      <c r="L1538" s="705">
        <v>3897</v>
      </c>
      <c r="M1538" s="705">
        <v>3543</v>
      </c>
      <c r="N1538" s="705">
        <v>3078</v>
      </c>
      <c r="O1538" s="705">
        <v>1140</v>
      </c>
      <c r="P1538" s="705">
        <v>621</v>
      </c>
      <c r="Q1538" s="705">
        <v>230</v>
      </c>
      <c r="R1538" s="705">
        <v>7836</v>
      </c>
      <c r="S1538" s="705">
        <v>7124</v>
      </c>
      <c r="T1538" s="705">
        <v>0</v>
      </c>
      <c r="U1538" s="705">
        <v>0</v>
      </c>
      <c r="V1538" s="705">
        <v>45603</v>
      </c>
      <c r="W1538" s="705">
        <f t="shared" si="68"/>
        <v>45603</v>
      </c>
      <c r="X1538" s="705">
        <f t="shared" si="69"/>
        <v>52355</v>
      </c>
    </row>
    <row r="1539" spans="2:24">
      <c r="B1539" t="s">
        <v>546</v>
      </c>
      <c r="C1539" t="s">
        <v>120</v>
      </c>
      <c r="D1539" t="s">
        <v>666</v>
      </c>
      <c r="E1539" t="s">
        <v>228</v>
      </c>
      <c r="F1539" s="705">
        <v>6</v>
      </c>
      <c r="G1539" s="705">
        <v>444</v>
      </c>
      <c r="H1539" s="705">
        <v>1984</v>
      </c>
      <c r="I1539" s="705">
        <v>83639</v>
      </c>
      <c r="J1539" s="705">
        <v>76035</v>
      </c>
      <c r="K1539" s="705">
        <v>56</v>
      </c>
      <c r="L1539" s="705">
        <v>8337</v>
      </c>
      <c r="M1539" s="705">
        <v>4569</v>
      </c>
      <c r="N1539" s="705">
        <v>9794</v>
      </c>
      <c r="O1539" s="705">
        <v>3627</v>
      </c>
      <c r="P1539" s="705">
        <v>1755</v>
      </c>
      <c r="Q1539" s="705">
        <v>650</v>
      </c>
      <c r="R1539" s="705">
        <v>56592</v>
      </c>
      <c r="S1539" s="705">
        <v>20960</v>
      </c>
      <c r="T1539" s="705">
        <v>0</v>
      </c>
      <c r="U1539" s="705">
        <v>0</v>
      </c>
      <c r="V1539" s="705">
        <v>105841</v>
      </c>
      <c r="W1539" s="705">
        <f t="shared" si="68"/>
        <v>105841</v>
      </c>
      <c r="X1539" s="705">
        <f t="shared" si="69"/>
        <v>160117</v>
      </c>
    </row>
    <row r="1540" spans="2:24">
      <c r="B1540" t="s">
        <v>546</v>
      </c>
      <c r="C1540" t="s">
        <v>120</v>
      </c>
      <c r="D1540" t="s">
        <v>666</v>
      </c>
      <c r="E1540" t="s">
        <v>583</v>
      </c>
      <c r="F1540" s="705">
        <v>1</v>
      </c>
      <c r="G1540" s="705">
        <v>73</v>
      </c>
      <c r="H1540" s="705">
        <v>355</v>
      </c>
      <c r="I1540" s="705">
        <v>13940</v>
      </c>
      <c r="J1540" s="705">
        <v>12672</v>
      </c>
      <c r="K1540" s="705">
        <v>55</v>
      </c>
      <c r="L1540" s="705">
        <v>1893</v>
      </c>
      <c r="M1540" s="705">
        <v>1721</v>
      </c>
      <c r="N1540" s="705">
        <v>1223</v>
      </c>
      <c r="O1540" s="705">
        <v>453</v>
      </c>
      <c r="P1540" s="705">
        <v>351</v>
      </c>
      <c r="Q1540" s="705">
        <v>130</v>
      </c>
      <c r="R1540" s="705">
        <v>5826</v>
      </c>
      <c r="S1540" s="705">
        <v>5297</v>
      </c>
      <c r="T1540" s="705">
        <v>2787</v>
      </c>
      <c r="U1540" s="705">
        <v>1032</v>
      </c>
      <c r="V1540" s="705">
        <v>21305</v>
      </c>
      <c r="W1540" s="705">
        <f t="shared" si="68"/>
        <v>21305</v>
      </c>
      <c r="X1540" s="705">
        <f t="shared" si="69"/>
        <v>26020</v>
      </c>
    </row>
    <row r="1541" spans="2:24">
      <c r="B1541" t="s">
        <v>546</v>
      </c>
      <c r="C1541" t="s">
        <v>120</v>
      </c>
      <c r="D1541" t="s">
        <v>666</v>
      </c>
      <c r="E1541" t="s">
        <v>666</v>
      </c>
      <c r="F1541" s="705">
        <v>33</v>
      </c>
      <c r="G1541" s="705">
        <v>2577</v>
      </c>
      <c r="H1541" s="705">
        <v>11023</v>
      </c>
      <c r="I1541" s="705">
        <v>474805</v>
      </c>
      <c r="J1541" s="705">
        <v>431641</v>
      </c>
      <c r="K1541" s="705">
        <v>53</v>
      </c>
      <c r="L1541" s="705">
        <v>64970</v>
      </c>
      <c r="M1541" s="705">
        <v>51274</v>
      </c>
      <c r="N1541" s="705">
        <v>48211</v>
      </c>
      <c r="O1541" s="705">
        <v>17856</v>
      </c>
      <c r="P1541" s="705">
        <v>10530</v>
      </c>
      <c r="Q1541" s="705">
        <v>3900</v>
      </c>
      <c r="R1541" s="705">
        <v>192167</v>
      </c>
      <c r="S1541" s="705">
        <v>174698</v>
      </c>
      <c r="T1541" s="705">
        <v>66564</v>
      </c>
      <c r="U1541" s="705">
        <v>24653</v>
      </c>
      <c r="V1541" s="705">
        <v>704021</v>
      </c>
      <c r="W1541" s="705">
        <f t="shared" si="68"/>
        <v>704022</v>
      </c>
      <c r="X1541" s="705">
        <f t="shared" si="69"/>
        <v>857247</v>
      </c>
    </row>
    <row r="1542" spans="2:24">
      <c r="B1542" t="s">
        <v>546</v>
      </c>
      <c r="C1542" t="s">
        <v>120</v>
      </c>
      <c r="D1542" t="s">
        <v>584</v>
      </c>
      <c r="E1542" t="s">
        <v>582</v>
      </c>
      <c r="F1542" s="705">
        <v>2</v>
      </c>
      <c r="G1542" s="705">
        <v>195</v>
      </c>
      <c r="H1542" s="705">
        <v>681</v>
      </c>
      <c r="I1542" s="705">
        <v>36507</v>
      </c>
      <c r="J1542" s="705">
        <v>33188</v>
      </c>
      <c r="K1542" s="705">
        <v>78</v>
      </c>
      <c r="L1542" s="705">
        <v>12633</v>
      </c>
      <c r="M1542" s="705">
        <v>11060</v>
      </c>
      <c r="N1542" s="705">
        <v>4365</v>
      </c>
      <c r="O1542" s="705">
        <v>1617</v>
      </c>
      <c r="P1542" s="705">
        <v>945</v>
      </c>
      <c r="Q1542" s="705">
        <v>350</v>
      </c>
      <c r="R1542" s="705">
        <v>9190</v>
      </c>
      <c r="S1542" s="705">
        <v>8354</v>
      </c>
      <c r="T1542" s="705">
        <v>2848</v>
      </c>
      <c r="U1542" s="705">
        <v>1055</v>
      </c>
      <c r="V1542" s="705">
        <v>55624</v>
      </c>
      <c r="W1542" s="705">
        <f t="shared" si="68"/>
        <v>55624</v>
      </c>
      <c r="X1542" s="705">
        <f t="shared" si="69"/>
        <v>66488</v>
      </c>
    </row>
    <row r="1543" spans="2:24">
      <c r="B1543" t="s">
        <v>546</v>
      </c>
      <c r="C1543" t="s">
        <v>120</v>
      </c>
      <c r="D1543" t="s">
        <v>584</v>
      </c>
      <c r="E1543" t="s">
        <v>228</v>
      </c>
      <c r="F1543" s="705">
        <v>4</v>
      </c>
      <c r="G1543" s="705">
        <v>356</v>
      </c>
      <c r="H1543" s="705">
        <v>1372</v>
      </c>
      <c r="I1543" s="705">
        <v>71066</v>
      </c>
      <c r="J1543" s="705">
        <v>64605</v>
      </c>
      <c r="K1543" s="705">
        <v>77</v>
      </c>
      <c r="L1543" s="705">
        <v>13906</v>
      </c>
      <c r="M1543" s="705">
        <v>12306</v>
      </c>
      <c r="N1543" s="705">
        <v>8127</v>
      </c>
      <c r="O1543" s="705">
        <v>3010</v>
      </c>
      <c r="P1543" s="705">
        <v>1890</v>
      </c>
      <c r="Q1543" s="705">
        <v>700</v>
      </c>
      <c r="R1543" s="705">
        <v>26400</v>
      </c>
      <c r="S1543" s="705">
        <v>9778</v>
      </c>
      <c r="T1543" s="705">
        <v>0</v>
      </c>
      <c r="U1543" s="705">
        <v>0</v>
      </c>
      <c r="V1543" s="705">
        <v>90399</v>
      </c>
      <c r="W1543" s="705">
        <f t="shared" si="68"/>
        <v>90399</v>
      </c>
      <c r="X1543" s="705">
        <f t="shared" si="69"/>
        <v>121389</v>
      </c>
    </row>
    <row r="1544" spans="2:24">
      <c r="B1544" t="s">
        <v>546</v>
      </c>
      <c r="C1544" t="s">
        <v>120</v>
      </c>
      <c r="D1544" t="s">
        <v>584</v>
      </c>
      <c r="E1544" t="s">
        <v>583</v>
      </c>
      <c r="F1544" s="705">
        <v>5</v>
      </c>
      <c r="G1544" s="705">
        <v>445</v>
      </c>
      <c r="H1544" s="705">
        <v>1682</v>
      </c>
      <c r="I1544" s="705">
        <v>81733</v>
      </c>
      <c r="J1544" s="705">
        <v>74302</v>
      </c>
      <c r="K1544" s="705">
        <v>83</v>
      </c>
      <c r="L1544" s="705">
        <v>25677</v>
      </c>
      <c r="M1544" s="705">
        <v>17388</v>
      </c>
      <c r="N1544" s="705">
        <v>9557</v>
      </c>
      <c r="O1544" s="705">
        <v>3540</v>
      </c>
      <c r="P1544" s="705">
        <v>2363</v>
      </c>
      <c r="Q1544" s="705">
        <v>875</v>
      </c>
      <c r="R1544" s="705">
        <v>21241</v>
      </c>
      <c r="S1544" s="705">
        <v>19310</v>
      </c>
      <c r="T1544" s="705">
        <v>8576</v>
      </c>
      <c r="U1544" s="705">
        <v>3176</v>
      </c>
      <c r="V1544" s="705">
        <v>118591</v>
      </c>
      <c r="W1544" s="705">
        <f t="shared" si="68"/>
        <v>118591</v>
      </c>
      <c r="X1544" s="705">
        <f t="shared" si="69"/>
        <v>149147</v>
      </c>
    </row>
    <row r="1545" spans="2:24">
      <c r="B1545" t="s">
        <v>546</v>
      </c>
      <c r="C1545" t="s">
        <v>120</v>
      </c>
      <c r="D1545" t="s">
        <v>584</v>
      </c>
      <c r="E1545" t="s">
        <v>584</v>
      </c>
      <c r="F1545" s="705">
        <v>635</v>
      </c>
      <c r="G1545" s="705">
        <v>56042</v>
      </c>
      <c r="H1545" s="705">
        <v>212742</v>
      </c>
      <c r="I1545" s="705">
        <v>10754552</v>
      </c>
      <c r="J1545" s="705">
        <v>9776865</v>
      </c>
      <c r="K1545" s="705">
        <v>78</v>
      </c>
      <c r="L1545" s="705">
        <v>2810729</v>
      </c>
      <c r="M1545" s="705">
        <v>2356101</v>
      </c>
      <c r="N1545" s="705">
        <v>1175943</v>
      </c>
      <c r="O1545" s="705">
        <v>435534</v>
      </c>
      <c r="P1545" s="705">
        <v>301311</v>
      </c>
      <c r="Q1545" s="705">
        <v>111597</v>
      </c>
      <c r="R1545" s="705">
        <v>3060993</v>
      </c>
      <c r="S1545" s="705">
        <v>2782721</v>
      </c>
      <c r="T1545" s="705">
        <v>889852</v>
      </c>
      <c r="U1545" s="705">
        <v>329575</v>
      </c>
      <c r="V1545" s="705">
        <v>15792394</v>
      </c>
      <c r="W1545" s="705">
        <f t="shared" si="68"/>
        <v>15792393</v>
      </c>
      <c r="X1545" s="705">
        <f t="shared" si="69"/>
        <v>18993380</v>
      </c>
    </row>
    <row r="1546" spans="2:24">
      <c r="B1546" t="s">
        <v>546</v>
      </c>
      <c r="C1546" t="s">
        <v>120</v>
      </c>
      <c r="D1546" t="s">
        <v>584</v>
      </c>
      <c r="E1546" t="s">
        <v>665</v>
      </c>
      <c r="F1546" s="705">
        <v>1</v>
      </c>
      <c r="G1546" s="705">
        <v>100</v>
      </c>
      <c r="H1546" s="705">
        <v>338</v>
      </c>
      <c r="I1546" s="705">
        <v>20037</v>
      </c>
      <c r="J1546" s="705">
        <v>18215</v>
      </c>
      <c r="K1546" s="705">
        <v>68</v>
      </c>
      <c r="L1546" s="705">
        <v>4794</v>
      </c>
      <c r="M1546" s="705">
        <v>4358</v>
      </c>
      <c r="N1546" s="705">
        <v>2425</v>
      </c>
      <c r="O1546" s="705">
        <v>898</v>
      </c>
      <c r="P1546" s="705">
        <v>473</v>
      </c>
      <c r="Q1546" s="705">
        <v>175</v>
      </c>
      <c r="R1546" s="705">
        <v>5854</v>
      </c>
      <c r="S1546" s="705">
        <v>5322</v>
      </c>
      <c r="T1546" s="705">
        <v>0</v>
      </c>
      <c r="U1546" s="705">
        <v>0</v>
      </c>
      <c r="V1546" s="705">
        <v>28968</v>
      </c>
      <c r="W1546" s="705">
        <f t="shared" si="68"/>
        <v>28968</v>
      </c>
      <c r="X1546" s="705">
        <f t="shared" si="69"/>
        <v>33583</v>
      </c>
    </row>
    <row r="1547" spans="2:24">
      <c r="B1547" t="s">
        <v>546</v>
      </c>
      <c r="C1547" t="s">
        <v>120</v>
      </c>
      <c r="D1547" t="s">
        <v>669</v>
      </c>
      <c r="E1547" t="s">
        <v>228</v>
      </c>
      <c r="F1547" s="705">
        <v>3</v>
      </c>
      <c r="G1547" s="705">
        <v>278</v>
      </c>
      <c r="H1547" s="705">
        <v>1016</v>
      </c>
      <c r="I1547" s="705">
        <v>44722</v>
      </c>
      <c r="J1547" s="705">
        <v>37268</v>
      </c>
      <c r="K1547" s="705">
        <v>72</v>
      </c>
      <c r="L1547" s="705">
        <v>20231</v>
      </c>
      <c r="M1547" s="705">
        <v>7493</v>
      </c>
      <c r="N1547" s="705">
        <v>7097</v>
      </c>
      <c r="O1547" s="705">
        <v>2629</v>
      </c>
      <c r="P1547" s="705">
        <v>702</v>
      </c>
      <c r="Q1547" s="705">
        <v>260</v>
      </c>
      <c r="R1547" s="705">
        <v>26882</v>
      </c>
      <c r="S1547" s="705">
        <v>9956</v>
      </c>
      <c r="T1547" s="705">
        <v>0</v>
      </c>
      <c r="U1547" s="705">
        <v>0</v>
      </c>
      <c r="V1547" s="705">
        <v>57606</v>
      </c>
      <c r="W1547" s="705">
        <f t="shared" si="68"/>
        <v>57606</v>
      </c>
      <c r="X1547" s="705">
        <f t="shared" si="69"/>
        <v>99634</v>
      </c>
    </row>
    <row r="1548" spans="2:24">
      <c r="B1548" t="s">
        <v>546</v>
      </c>
      <c r="C1548" t="s">
        <v>120</v>
      </c>
      <c r="D1548" t="s">
        <v>669</v>
      </c>
      <c r="E1548" t="s">
        <v>666</v>
      </c>
      <c r="F1548" s="705">
        <v>1</v>
      </c>
      <c r="G1548" s="705">
        <v>91</v>
      </c>
      <c r="H1548" s="705">
        <v>323</v>
      </c>
      <c r="I1548" s="705">
        <v>19530</v>
      </c>
      <c r="J1548" s="705">
        <v>16275</v>
      </c>
      <c r="K1548" s="705">
        <v>50</v>
      </c>
      <c r="L1548" s="705">
        <v>0</v>
      </c>
      <c r="M1548" s="705">
        <v>0</v>
      </c>
      <c r="N1548" s="705">
        <v>1614</v>
      </c>
      <c r="O1548" s="705">
        <v>598</v>
      </c>
      <c r="P1548" s="705">
        <v>0</v>
      </c>
      <c r="Q1548" s="705">
        <v>0</v>
      </c>
      <c r="R1548" s="705">
        <v>8403</v>
      </c>
      <c r="S1548" s="705">
        <v>7639</v>
      </c>
      <c r="T1548" s="705">
        <v>0</v>
      </c>
      <c r="U1548" s="705">
        <v>0</v>
      </c>
      <c r="V1548" s="705">
        <v>24511</v>
      </c>
      <c r="W1548" s="705">
        <f t="shared" si="68"/>
        <v>24512</v>
      </c>
      <c r="X1548" s="705">
        <f t="shared" si="69"/>
        <v>29547</v>
      </c>
    </row>
    <row r="1549" spans="2:24">
      <c r="B1549" t="s">
        <v>546</v>
      </c>
      <c r="C1549" t="s">
        <v>120</v>
      </c>
      <c r="D1549" t="s">
        <v>669</v>
      </c>
      <c r="E1549" t="s">
        <v>669</v>
      </c>
      <c r="F1549" s="705">
        <v>45</v>
      </c>
      <c r="G1549" s="705">
        <v>3960</v>
      </c>
      <c r="H1549" s="705">
        <v>15361</v>
      </c>
      <c r="I1549" s="705">
        <v>807970</v>
      </c>
      <c r="J1549" s="705">
        <v>673308</v>
      </c>
      <c r="K1549" s="705">
        <v>55</v>
      </c>
      <c r="L1549" s="705">
        <v>105608</v>
      </c>
      <c r="M1549" s="705">
        <v>78579</v>
      </c>
      <c r="N1549" s="705">
        <v>80178</v>
      </c>
      <c r="O1549" s="705">
        <v>29695</v>
      </c>
      <c r="P1549" s="705">
        <v>17726</v>
      </c>
      <c r="Q1549" s="705">
        <v>6565</v>
      </c>
      <c r="R1549" s="705">
        <v>256405</v>
      </c>
      <c r="S1549" s="705">
        <v>213671</v>
      </c>
      <c r="T1549" s="705">
        <v>95175</v>
      </c>
      <c r="U1549" s="705">
        <v>35250</v>
      </c>
      <c r="V1549" s="705">
        <v>1037068</v>
      </c>
      <c r="W1549" s="705">
        <f t="shared" si="68"/>
        <v>1037068</v>
      </c>
      <c r="X1549" s="705">
        <f t="shared" si="69"/>
        <v>1363062</v>
      </c>
    </row>
    <row r="1550" spans="2:24">
      <c r="B1550" t="s">
        <v>546</v>
      </c>
      <c r="C1550" t="s">
        <v>120</v>
      </c>
      <c r="D1550" t="s">
        <v>665</v>
      </c>
      <c r="E1550" t="s">
        <v>228</v>
      </c>
      <c r="F1550" s="705">
        <v>4</v>
      </c>
      <c r="G1550" s="705">
        <v>323</v>
      </c>
      <c r="H1550" s="705">
        <v>1386</v>
      </c>
      <c r="I1550" s="705">
        <v>67339</v>
      </c>
      <c r="J1550" s="705">
        <v>61217</v>
      </c>
      <c r="K1550" s="705">
        <v>55</v>
      </c>
      <c r="L1550" s="705">
        <v>9707</v>
      </c>
      <c r="M1550" s="705">
        <v>7054</v>
      </c>
      <c r="N1550" s="705">
        <v>6749</v>
      </c>
      <c r="O1550" s="705">
        <v>2500</v>
      </c>
      <c r="P1550" s="705">
        <v>1404</v>
      </c>
      <c r="Q1550" s="705">
        <v>520</v>
      </c>
      <c r="R1550" s="705">
        <v>26624</v>
      </c>
      <c r="S1550" s="705">
        <v>9861</v>
      </c>
      <c r="T1550" s="705">
        <v>0</v>
      </c>
      <c r="U1550" s="705">
        <v>0</v>
      </c>
      <c r="V1550" s="705">
        <v>81151</v>
      </c>
      <c r="W1550" s="705">
        <f t="shared" si="68"/>
        <v>81152</v>
      </c>
      <c r="X1550" s="705">
        <f t="shared" si="69"/>
        <v>111823</v>
      </c>
    </row>
    <row r="1551" spans="2:24">
      <c r="B1551" t="s">
        <v>546</v>
      </c>
      <c r="C1551" t="s">
        <v>120</v>
      </c>
      <c r="D1551" t="s">
        <v>665</v>
      </c>
      <c r="E1551" t="s">
        <v>583</v>
      </c>
      <c r="F1551" s="705">
        <v>1</v>
      </c>
      <c r="G1551" s="705">
        <v>52</v>
      </c>
      <c r="H1551" s="705">
        <v>308</v>
      </c>
      <c r="I1551" s="705">
        <v>9515</v>
      </c>
      <c r="J1551" s="705">
        <v>8650</v>
      </c>
      <c r="K1551" s="705">
        <v>69</v>
      </c>
      <c r="L1551" s="705">
        <v>0</v>
      </c>
      <c r="M1551" s="705">
        <v>0</v>
      </c>
      <c r="N1551" s="705">
        <v>785</v>
      </c>
      <c r="O1551" s="705">
        <v>291</v>
      </c>
      <c r="P1551" s="705">
        <v>351</v>
      </c>
      <c r="Q1551" s="705">
        <v>130</v>
      </c>
      <c r="R1551" s="705">
        <v>3449</v>
      </c>
      <c r="S1551" s="705">
        <v>3135</v>
      </c>
      <c r="T1551" s="705">
        <v>1769</v>
      </c>
      <c r="U1551" s="705">
        <v>655</v>
      </c>
      <c r="V1551" s="705">
        <v>12861</v>
      </c>
      <c r="W1551" s="705">
        <f t="shared" si="68"/>
        <v>12861</v>
      </c>
      <c r="X1551" s="705">
        <f t="shared" si="69"/>
        <v>15869</v>
      </c>
    </row>
    <row r="1552" spans="2:24">
      <c r="B1552" t="s">
        <v>546</v>
      </c>
      <c r="C1552" t="s">
        <v>120</v>
      </c>
      <c r="D1552" t="s">
        <v>665</v>
      </c>
      <c r="E1552" t="s">
        <v>665</v>
      </c>
      <c r="F1552" s="705">
        <v>399</v>
      </c>
      <c r="G1552" s="705">
        <v>31385</v>
      </c>
      <c r="H1552" s="705">
        <v>135733</v>
      </c>
      <c r="I1552" s="705">
        <v>5929117</v>
      </c>
      <c r="J1552" s="705">
        <v>5390106</v>
      </c>
      <c r="K1552" s="705">
        <v>51</v>
      </c>
      <c r="L1552" s="705">
        <v>928724</v>
      </c>
      <c r="M1552" s="705">
        <v>768670</v>
      </c>
      <c r="N1552" s="705">
        <v>619800</v>
      </c>
      <c r="O1552" s="705">
        <v>229556</v>
      </c>
      <c r="P1552" s="705">
        <v>139882</v>
      </c>
      <c r="Q1552" s="705">
        <v>51808</v>
      </c>
      <c r="R1552" s="705">
        <v>2237648</v>
      </c>
      <c r="S1552" s="705">
        <v>2034226</v>
      </c>
      <c r="T1552" s="705">
        <v>823521</v>
      </c>
      <c r="U1552" s="705">
        <v>305008</v>
      </c>
      <c r="V1552" s="705">
        <v>8779374</v>
      </c>
      <c r="W1552" s="705">
        <f t="shared" si="68"/>
        <v>8779374</v>
      </c>
      <c r="X1552" s="705">
        <f t="shared" si="69"/>
        <v>10678692</v>
      </c>
    </row>
    <row r="1553" spans="2:24">
      <c r="B1553" t="s">
        <v>546</v>
      </c>
      <c r="C1553" t="s">
        <v>120</v>
      </c>
      <c r="D1553" t="s">
        <v>668</v>
      </c>
      <c r="E1553" t="s">
        <v>668</v>
      </c>
      <c r="F1553" s="705">
        <v>1</v>
      </c>
      <c r="G1553" s="705">
        <v>116</v>
      </c>
      <c r="H1553" s="705">
        <v>308</v>
      </c>
      <c r="I1553" s="705">
        <v>24447</v>
      </c>
      <c r="J1553" s="705">
        <v>22225</v>
      </c>
      <c r="K1553" s="705">
        <v>83</v>
      </c>
      <c r="L1553" s="705">
        <v>3758</v>
      </c>
      <c r="M1553" s="705">
        <v>3416</v>
      </c>
      <c r="N1553" s="705">
        <v>2580</v>
      </c>
      <c r="O1553" s="705">
        <v>956</v>
      </c>
      <c r="P1553" s="705">
        <v>351</v>
      </c>
      <c r="Q1553" s="705">
        <v>130</v>
      </c>
      <c r="R1553" s="705">
        <v>4458</v>
      </c>
      <c r="S1553" s="705">
        <v>4053</v>
      </c>
      <c r="T1553" s="705">
        <v>0</v>
      </c>
      <c r="U1553" s="705">
        <v>0</v>
      </c>
      <c r="V1553" s="705">
        <v>30780</v>
      </c>
      <c r="W1553" s="705">
        <f t="shared" si="68"/>
        <v>30780</v>
      </c>
      <c r="X1553" s="705">
        <f t="shared" si="69"/>
        <v>35594</v>
      </c>
    </row>
    <row r="1554" spans="2:24">
      <c r="B1554" t="s">
        <v>546</v>
      </c>
      <c r="C1554" t="s">
        <v>122</v>
      </c>
      <c r="F1554" s="705">
        <v>1</v>
      </c>
      <c r="G1554" s="705">
        <v>89</v>
      </c>
      <c r="H1554" s="705">
        <v>431</v>
      </c>
      <c r="I1554" s="705"/>
      <c r="J1554" s="705">
        <v>0</v>
      </c>
      <c r="K1554" s="705"/>
      <c r="L1554" s="705"/>
      <c r="M1554" s="705">
        <v>0</v>
      </c>
      <c r="N1554" s="705">
        <v>2026</v>
      </c>
      <c r="O1554" s="705">
        <v>750</v>
      </c>
      <c r="P1554" s="705">
        <v>621</v>
      </c>
      <c r="Q1554" s="705">
        <v>230</v>
      </c>
      <c r="R1554" s="705"/>
      <c r="S1554" s="705">
        <v>0</v>
      </c>
      <c r="T1554" s="705">
        <v>0</v>
      </c>
      <c r="U1554" s="705">
        <v>0</v>
      </c>
      <c r="V1554" s="705">
        <v>980</v>
      </c>
      <c r="W1554" s="705">
        <f t="shared" si="68"/>
        <v>980</v>
      </c>
      <c r="X1554" s="705">
        <f t="shared" si="69"/>
        <v>2647</v>
      </c>
    </row>
    <row r="1555" spans="2:24">
      <c r="B1555" t="s">
        <v>546</v>
      </c>
      <c r="C1555" t="s">
        <v>122</v>
      </c>
      <c r="D1555" t="s">
        <v>674</v>
      </c>
      <c r="E1555" t="s">
        <v>674</v>
      </c>
      <c r="F1555" s="705">
        <v>1</v>
      </c>
      <c r="G1555" s="705">
        <v>79</v>
      </c>
      <c r="H1555" s="705">
        <v>396</v>
      </c>
      <c r="I1555" s="705">
        <v>22229</v>
      </c>
      <c r="J1555" s="705">
        <v>20209</v>
      </c>
      <c r="K1555" s="705">
        <v>65</v>
      </c>
      <c r="L1555" s="705">
        <v>0</v>
      </c>
      <c r="M1555" s="705">
        <v>0</v>
      </c>
      <c r="N1555" s="705">
        <v>1365</v>
      </c>
      <c r="O1555" s="705">
        <v>506</v>
      </c>
      <c r="P1555" s="705">
        <v>351</v>
      </c>
      <c r="Q1555" s="705">
        <v>130</v>
      </c>
      <c r="R1555" s="705">
        <v>4688</v>
      </c>
      <c r="S1555" s="705">
        <v>4262</v>
      </c>
      <c r="T1555" s="705">
        <v>2597</v>
      </c>
      <c r="U1555" s="705">
        <v>962</v>
      </c>
      <c r="V1555" s="705">
        <v>26068</v>
      </c>
      <c r="W1555" s="705">
        <f t="shared" si="68"/>
        <v>26069</v>
      </c>
      <c r="X1555" s="705">
        <f t="shared" si="69"/>
        <v>31230</v>
      </c>
    </row>
    <row r="1556" spans="2:24">
      <c r="B1556" t="s">
        <v>546</v>
      </c>
      <c r="C1556" t="s">
        <v>122</v>
      </c>
      <c r="D1556" t="s">
        <v>582</v>
      </c>
      <c r="E1556" t="s">
        <v>664</v>
      </c>
      <c r="F1556" s="705">
        <v>1</v>
      </c>
      <c r="G1556" s="705">
        <v>65</v>
      </c>
      <c r="H1556" s="705">
        <v>449</v>
      </c>
      <c r="I1556" s="705">
        <v>16755</v>
      </c>
      <c r="J1556" s="705">
        <v>15231</v>
      </c>
      <c r="K1556" s="705">
        <v>65</v>
      </c>
      <c r="L1556" s="705">
        <v>2876</v>
      </c>
      <c r="M1556" s="705">
        <v>2615</v>
      </c>
      <c r="N1556" s="705">
        <v>1337</v>
      </c>
      <c r="O1556" s="705">
        <v>495</v>
      </c>
      <c r="P1556" s="705">
        <v>473</v>
      </c>
      <c r="Q1556" s="705">
        <v>175</v>
      </c>
      <c r="R1556" s="705">
        <v>5035</v>
      </c>
      <c r="S1556" s="705">
        <v>4578</v>
      </c>
      <c r="T1556" s="705">
        <v>2672</v>
      </c>
      <c r="U1556" s="705">
        <v>990</v>
      </c>
      <c r="V1556" s="705">
        <v>24084</v>
      </c>
      <c r="W1556" s="705">
        <f t="shared" si="68"/>
        <v>24084</v>
      </c>
      <c r="X1556" s="705">
        <f t="shared" si="69"/>
        <v>29148</v>
      </c>
    </row>
    <row r="1557" spans="2:24">
      <c r="B1557" t="s">
        <v>546</v>
      </c>
      <c r="C1557" t="s">
        <v>122</v>
      </c>
      <c r="D1557" t="s">
        <v>582</v>
      </c>
      <c r="E1557" t="s">
        <v>582</v>
      </c>
      <c r="F1557" s="705">
        <v>2</v>
      </c>
      <c r="G1557" s="705">
        <v>333</v>
      </c>
      <c r="H1557" s="705">
        <v>836</v>
      </c>
      <c r="I1557" s="705">
        <v>88173</v>
      </c>
      <c r="J1557" s="705">
        <v>80157</v>
      </c>
      <c r="K1557" s="705">
        <v>73</v>
      </c>
      <c r="L1557" s="705">
        <v>22161</v>
      </c>
      <c r="M1557" s="705">
        <v>20146</v>
      </c>
      <c r="N1557" s="705">
        <v>7465</v>
      </c>
      <c r="O1557" s="705">
        <v>2765</v>
      </c>
      <c r="P1557" s="705">
        <v>1094</v>
      </c>
      <c r="Q1557" s="705">
        <v>405</v>
      </c>
      <c r="R1557" s="705">
        <v>10883</v>
      </c>
      <c r="S1557" s="705">
        <v>9894</v>
      </c>
      <c r="T1557" s="705">
        <v>7039</v>
      </c>
      <c r="U1557" s="705">
        <v>2607</v>
      </c>
      <c r="V1557" s="705">
        <v>115974</v>
      </c>
      <c r="W1557" s="705">
        <f t="shared" si="68"/>
        <v>115974</v>
      </c>
      <c r="X1557" s="705">
        <f t="shared" si="69"/>
        <v>136815</v>
      </c>
    </row>
    <row r="1558" spans="2:24">
      <c r="B1558" t="s">
        <v>546</v>
      </c>
      <c r="C1558" t="s">
        <v>122</v>
      </c>
      <c r="D1558" t="s">
        <v>228</v>
      </c>
      <c r="E1558" t="s">
        <v>228</v>
      </c>
      <c r="F1558" s="705">
        <v>111</v>
      </c>
      <c r="G1558" s="705">
        <v>7445</v>
      </c>
      <c r="H1558" s="705">
        <v>45025</v>
      </c>
      <c r="I1558" s="705">
        <v>1866124</v>
      </c>
      <c r="J1558" s="705">
        <v>691157</v>
      </c>
      <c r="K1558" s="705">
        <v>100</v>
      </c>
      <c r="L1558" s="705">
        <v>320543</v>
      </c>
      <c r="M1558" s="705">
        <v>231291</v>
      </c>
      <c r="N1558" s="705">
        <v>152384</v>
      </c>
      <c r="O1558" s="705">
        <v>56439</v>
      </c>
      <c r="P1558" s="705">
        <v>1731</v>
      </c>
      <c r="Q1558" s="705">
        <v>641</v>
      </c>
      <c r="R1558" s="705">
        <v>705385</v>
      </c>
      <c r="S1558" s="705">
        <v>261254</v>
      </c>
      <c r="T1558" s="705">
        <v>0</v>
      </c>
      <c r="U1558" s="705">
        <v>0</v>
      </c>
      <c r="V1558" s="705">
        <v>1240782</v>
      </c>
      <c r="W1558" s="705">
        <f t="shared" si="68"/>
        <v>1240782</v>
      </c>
      <c r="X1558" s="705">
        <f t="shared" si="69"/>
        <v>3046167</v>
      </c>
    </row>
    <row r="1559" spans="2:24">
      <c r="B1559" t="s">
        <v>546</v>
      </c>
      <c r="C1559" t="s">
        <v>122</v>
      </c>
      <c r="D1559" t="s">
        <v>228</v>
      </c>
      <c r="E1559" t="s">
        <v>666</v>
      </c>
      <c r="F1559" s="705">
        <v>2</v>
      </c>
      <c r="G1559" s="705">
        <v>190</v>
      </c>
      <c r="H1559" s="705">
        <v>796</v>
      </c>
      <c r="I1559" s="705">
        <v>49802</v>
      </c>
      <c r="J1559" s="705">
        <v>18445</v>
      </c>
      <c r="K1559" s="705">
        <v>100</v>
      </c>
      <c r="L1559" s="705">
        <v>4509</v>
      </c>
      <c r="M1559" s="705">
        <v>4099</v>
      </c>
      <c r="N1559" s="705">
        <v>3207</v>
      </c>
      <c r="O1559" s="705">
        <v>1188</v>
      </c>
      <c r="P1559" s="705">
        <v>0</v>
      </c>
      <c r="Q1559" s="705">
        <v>0</v>
      </c>
      <c r="R1559" s="705">
        <v>12596</v>
      </c>
      <c r="S1559" s="705">
        <v>11451</v>
      </c>
      <c r="T1559" s="705">
        <v>5440</v>
      </c>
      <c r="U1559" s="705">
        <v>2015</v>
      </c>
      <c r="V1559" s="705">
        <v>37197</v>
      </c>
      <c r="W1559" s="705">
        <f t="shared" si="68"/>
        <v>37198</v>
      </c>
      <c r="X1559" s="705">
        <f t="shared" si="69"/>
        <v>75554</v>
      </c>
    </row>
    <row r="1560" spans="2:24">
      <c r="B1560" t="s">
        <v>546</v>
      </c>
      <c r="C1560" t="s">
        <v>122</v>
      </c>
      <c r="D1560" t="s">
        <v>228</v>
      </c>
      <c r="E1560" t="s">
        <v>669</v>
      </c>
      <c r="F1560" s="705">
        <v>2</v>
      </c>
      <c r="G1560" s="705">
        <v>139</v>
      </c>
      <c r="H1560" s="705">
        <v>875</v>
      </c>
      <c r="I1560" s="705">
        <v>36438</v>
      </c>
      <c r="J1560" s="705">
        <v>13496</v>
      </c>
      <c r="K1560" s="705">
        <v>100</v>
      </c>
      <c r="L1560" s="705">
        <v>5715</v>
      </c>
      <c r="M1560" s="705">
        <v>4762</v>
      </c>
      <c r="N1560" s="705">
        <v>3123</v>
      </c>
      <c r="O1560" s="705">
        <v>1157</v>
      </c>
      <c r="P1560" s="705">
        <v>702</v>
      </c>
      <c r="Q1560" s="705">
        <v>260</v>
      </c>
      <c r="R1560" s="705">
        <v>10647</v>
      </c>
      <c r="S1560" s="705">
        <v>8872</v>
      </c>
      <c r="T1560" s="705">
        <v>4315</v>
      </c>
      <c r="U1560" s="705">
        <v>1598</v>
      </c>
      <c r="V1560" s="705">
        <v>30145</v>
      </c>
      <c r="W1560" s="705">
        <f t="shared" si="68"/>
        <v>30145</v>
      </c>
      <c r="X1560" s="705">
        <f t="shared" si="69"/>
        <v>60940</v>
      </c>
    </row>
    <row r="1561" spans="2:24">
      <c r="B1561" t="s">
        <v>546</v>
      </c>
      <c r="C1561" t="s">
        <v>122</v>
      </c>
      <c r="D1561" t="s">
        <v>228</v>
      </c>
      <c r="E1561" t="s">
        <v>665</v>
      </c>
      <c r="F1561" s="705">
        <v>2</v>
      </c>
      <c r="G1561" s="705">
        <v>138</v>
      </c>
      <c r="H1561" s="705">
        <v>778</v>
      </c>
      <c r="I1561" s="705">
        <v>32178</v>
      </c>
      <c r="J1561" s="705">
        <v>11918</v>
      </c>
      <c r="K1561" s="705">
        <v>100</v>
      </c>
      <c r="L1561" s="705">
        <v>3252</v>
      </c>
      <c r="M1561" s="705">
        <v>1972</v>
      </c>
      <c r="N1561" s="705">
        <v>2335</v>
      </c>
      <c r="O1561" s="705">
        <v>865</v>
      </c>
      <c r="P1561" s="705">
        <v>702</v>
      </c>
      <c r="Q1561" s="705">
        <v>260</v>
      </c>
      <c r="R1561" s="705">
        <v>10630</v>
      </c>
      <c r="S1561" s="705">
        <v>9663</v>
      </c>
      <c r="T1561" s="705">
        <v>4566</v>
      </c>
      <c r="U1561" s="705">
        <v>1691</v>
      </c>
      <c r="V1561" s="705">
        <v>26369</v>
      </c>
      <c r="W1561" s="705">
        <f t="shared" si="68"/>
        <v>26369</v>
      </c>
      <c r="X1561" s="705">
        <f t="shared" si="69"/>
        <v>53663</v>
      </c>
    </row>
    <row r="1562" spans="2:24">
      <c r="B1562" t="s">
        <v>546</v>
      </c>
      <c r="C1562" t="s">
        <v>122</v>
      </c>
      <c r="D1562" t="s">
        <v>583</v>
      </c>
      <c r="E1562" t="s">
        <v>664</v>
      </c>
      <c r="F1562" s="705">
        <v>1</v>
      </c>
      <c r="G1562" s="705">
        <v>142</v>
      </c>
      <c r="H1562" s="705">
        <v>416</v>
      </c>
      <c r="I1562" s="705">
        <v>40681</v>
      </c>
      <c r="J1562" s="705">
        <v>36983</v>
      </c>
      <c r="K1562" s="705">
        <v>79</v>
      </c>
      <c r="L1562" s="705">
        <v>5520</v>
      </c>
      <c r="M1562" s="705">
        <v>4600</v>
      </c>
      <c r="N1562" s="705">
        <v>3280</v>
      </c>
      <c r="O1562" s="705">
        <v>1215</v>
      </c>
      <c r="P1562" s="705">
        <v>621</v>
      </c>
      <c r="Q1562" s="705">
        <v>230</v>
      </c>
      <c r="R1562" s="705">
        <v>5210</v>
      </c>
      <c r="S1562" s="705">
        <v>4736</v>
      </c>
      <c r="T1562" s="705">
        <v>3640</v>
      </c>
      <c r="U1562" s="705">
        <v>1348</v>
      </c>
      <c r="V1562" s="705">
        <v>49112</v>
      </c>
      <c r="W1562" s="705">
        <f t="shared" si="68"/>
        <v>49112</v>
      </c>
      <c r="X1562" s="705">
        <f t="shared" si="69"/>
        <v>58952</v>
      </c>
    </row>
    <row r="1563" spans="2:24">
      <c r="B1563" t="s">
        <v>546</v>
      </c>
      <c r="C1563" t="s">
        <v>122</v>
      </c>
      <c r="D1563" t="s">
        <v>583</v>
      </c>
      <c r="E1563" t="s">
        <v>228</v>
      </c>
      <c r="F1563" s="705">
        <v>1</v>
      </c>
      <c r="G1563" s="705">
        <v>111</v>
      </c>
      <c r="H1563" s="705">
        <v>420</v>
      </c>
      <c r="I1563" s="705">
        <v>24620</v>
      </c>
      <c r="J1563" s="705">
        <v>22382</v>
      </c>
      <c r="K1563" s="705">
        <v>86</v>
      </c>
      <c r="L1563" s="705">
        <v>7450</v>
      </c>
      <c r="M1563" s="705">
        <v>6773</v>
      </c>
      <c r="N1563" s="705">
        <v>1350</v>
      </c>
      <c r="O1563" s="705">
        <v>500</v>
      </c>
      <c r="P1563" s="705">
        <v>621</v>
      </c>
      <c r="Q1563" s="705">
        <v>230</v>
      </c>
      <c r="R1563" s="705">
        <v>12515</v>
      </c>
      <c r="S1563" s="705">
        <v>4635</v>
      </c>
      <c r="T1563" s="705">
        <v>0</v>
      </c>
      <c r="U1563" s="705">
        <v>0</v>
      </c>
      <c r="V1563" s="705">
        <v>34519</v>
      </c>
      <c r="W1563" s="705">
        <f t="shared" si="68"/>
        <v>34520</v>
      </c>
      <c r="X1563" s="705">
        <f t="shared" si="69"/>
        <v>46556</v>
      </c>
    </row>
    <row r="1564" spans="2:24">
      <c r="B1564" t="s">
        <v>546</v>
      </c>
      <c r="C1564" t="s">
        <v>122</v>
      </c>
      <c r="D1564" t="s">
        <v>583</v>
      </c>
      <c r="E1564" t="s">
        <v>583</v>
      </c>
      <c r="F1564" s="705">
        <v>269</v>
      </c>
      <c r="G1564" s="705">
        <v>27989</v>
      </c>
      <c r="H1564" s="705">
        <v>111582</v>
      </c>
      <c r="I1564" s="705">
        <v>7364498</v>
      </c>
      <c r="J1564" s="705">
        <v>6694998</v>
      </c>
      <c r="K1564" s="705">
        <v>74</v>
      </c>
      <c r="L1564" s="705">
        <v>1655391</v>
      </c>
      <c r="M1564" s="705">
        <v>1404496</v>
      </c>
      <c r="N1564" s="705">
        <v>609529</v>
      </c>
      <c r="O1564" s="705">
        <v>225751</v>
      </c>
      <c r="P1564" s="705">
        <v>172949</v>
      </c>
      <c r="Q1564" s="705">
        <v>64055</v>
      </c>
      <c r="R1564" s="705">
        <v>1377915</v>
      </c>
      <c r="S1564" s="705">
        <v>1252650</v>
      </c>
      <c r="T1564" s="705">
        <v>536190</v>
      </c>
      <c r="U1564" s="705">
        <v>198589</v>
      </c>
      <c r="V1564" s="705">
        <v>9840539</v>
      </c>
      <c r="W1564" s="705">
        <f t="shared" si="68"/>
        <v>9840539</v>
      </c>
      <c r="X1564" s="705">
        <f t="shared" si="69"/>
        <v>11716472</v>
      </c>
    </row>
    <row r="1565" spans="2:24">
      <c r="B1565" t="s">
        <v>546</v>
      </c>
      <c r="C1565" t="s">
        <v>122</v>
      </c>
      <c r="D1565" t="s">
        <v>666</v>
      </c>
      <c r="E1565" t="s">
        <v>228</v>
      </c>
      <c r="F1565" s="705">
        <v>2</v>
      </c>
      <c r="G1565" s="705">
        <v>161</v>
      </c>
      <c r="H1565" s="705">
        <v>808</v>
      </c>
      <c r="I1565" s="705">
        <v>25186</v>
      </c>
      <c r="J1565" s="705">
        <v>22897</v>
      </c>
      <c r="K1565" s="705">
        <v>58</v>
      </c>
      <c r="L1565" s="705">
        <v>4524</v>
      </c>
      <c r="M1565" s="705">
        <v>2779</v>
      </c>
      <c r="N1565" s="705">
        <v>3679</v>
      </c>
      <c r="O1565" s="705">
        <v>1363</v>
      </c>
      <c r="P1565" s="705">
        <v>702</v>
      </c>
      <c r="Q1565" s="705">
        <v>260</v>
      </c>
      <c r="R1565" s="705">
        <v>30925</v>
      </c>
      <c r="S1565" s="705">
        <v>11454</v>
      </c>
      <c r="T1565" s="705">
        <v>0</v>
      </c>
      <c r="U1565" s="705">
        <v>0</v>
      </c>
      <c r="V1565" s="705">
        <v>38752</v>
      </c>
      <c r="W1565" s="705">
        <f t="shared" si="68"/>
        <v>38753</v>
      </c>
      <c r="X1565" s="705">
        <f t="shared" si="69"/>
        <v>65016</v>
      </c>
    </row>
    <row r="1566" spans="2:24">
      <c r="B1566" t="s">
        <v>546</v>
      </c>
      <c r="C1566" t="s">
        <v>122</v>
      </c>
      <c r="D1566" t="s">
        <v>666</v>
      </c>
      <c r="E1566" t="s">
        <v>666</v>
      </c>
      <c r="F1566" s="705">
        <v>21</v>
      </c>
      <c r="G1566" s="705">
        <v>1683</v>
      </c>
      <c r="H1566" s="705">
        <v>8663</v>
      </c>
      <c r="I1566" s="705">
        <v>413941</v>
      </c>
      <c r="J1566" s="705">
        <v>376310</v>
      </c>
      <c r="K1566" s="705">
        <v>51</v>
      </c>
      <c r="L1566" s="705">
        <v>70590</v>
      </c>
      <c r="M1566" s="705">
        <v>54625</v>
      </c>
      <c r="N1566" s="705">
        <v>35297</v>
      </c>
      <c r="O1566" s="705">
        <v>13073</v>
      </c>
      <c r="P1566" s="705">
        <v>7371</v>
      </c>
      <c r="Q1566" s="705">
        <v>2730</v>
      </c>
      <c r="R1566" s="705">
        <v>119182</v>
      </c>
      <c r="S1566" s="705">
        <v>108348</v>
      </c>
      <c r="T1566" s="705">
        <v>46775</v>
      </c>
      <c r="U1566" s="705">
        <v>17324</v>
      </c>
      <c r="V1566" s="705">
        <v>572409</v>
      </c>
      <c r="W1566" s="705">
        <f t="shared" si="68"/>
        <v>572410</v>
      </c>
      <c r="X1566" s="705">
        <f t="shared" si="69"/>
        <v>693156</v>
      </c>
    </row>
    <row r="1567" spans="2:24">
      <c r="B1567" t="s">
        <v>546</v>
      </c>
      <c r="C1567" t="s">
        <v>122</v>
      </c>
      <c r="D1567" t="s">
        <v>584</v>
      </c>
      <c r="E1567" t="s">
        <v>228</v>
      </c>
      <c r="F1567" s="705">
        <v>4</v>
      </c>
      <c r="G1567" s="705">
        <v>356</v>
      </c>
      <c r="H1567" s="705">
        <v>1681</v>
      </c>
      <c r="I1567" s="705">
        <v>99102</v>
      </c>
      <c r="J1567" s="705">
        <v>90093</v>
      </c>
      <c r="K1567" s="705">
        <v>66</v>
      </c>
      <c r="L1567" s="705">
        <v>17049</v>
      </c>
      <c r="M1567" s="705">
        <v>11653</v>
      </c>
      <c r="N1567" s="705">
        <v>6847</v>
      </c>
      <c r="O1567" s="705">
        <v>2536</v>
      </c>
      <c r="P1567" s="705">
        <v>1418</v>
      </c>
      <c r="Q1567" s="705">
        <v>525</v>
      </c>
      <c r="R1567" s="705">
        <v>24269</v>
      </c>
      <c r="S1567" s="705">
        <v>8989</v>
      </c>
      <c r="T1567" s="705">
        <v>0</v>
      </c>
      <c r="U1567" s="705">
        <v>0</v>
      </c>
      <c r="V1567" s="705">
        <v>113796</v>
      </c>
      <c r="W1567" s="705">
        <f t="shared" si="68"/>
        <v>113796</v>
      </c>
      <c r="X1567" s="705">
        <f t="shared" si="69"/>
        <v>148685</v>
      </c>
    </row>
    <row r="1568" spans="2:24">
      <c r="B1568" t="s">
        <v>546</v>
      </c>
      <c r="C1568" t="s">
        <v>122</v>
      </c>
      <c r="D1568" t="s">
        <v>584</v>
      </c>
      <c r="E1568" t="s">
        <v>584</v>
      </c>
      <c r="F1568" s="705">
        <v>231</v>
      </c>
      <c r="G1568" s="705">
        <v>20386</v>
      </c>
      <c r="H1568" s="705">
        <v>94712</v>
      </c>
      <c r="I1568" s="705">
        <v>5138334</v>
      </c>
      <c r="J1568" s="705">
        <v>4671213</v>
      </c>
      <c r="K1568" s="705">
        <v>76</v>
      </c>
      <c r="L1568" s="705">
        <v>1297813</v>
      </c>
      <c r="M1568" s="705">
        <v>1074004</v>
      </c>
      <c r="N1568" s="705">
        <v>439697</v>
      </c>
      <c r="O1568" s="705">
        <v>162851</v>
      </c>
      <c r="P1568" s="705">
        <v>110640</v>
      </c>
      <c r="Q1568" s="705">
        <v>40978</v>
      </c>
      <c r="R1568" s="705">
        <v>1116669</v>
      </c>
      <c r="S1568" s="705">
        <v>1015154</v>
      </c>
      <c r="T1568" s="705">
        <v>337247</v>
      </c>
      <c r="U1568" s="705">
        <v>124906</v>
      </c>
      <c r="V1568" s="705">
        <v>7089105</v>
      </c>
      <c r="W1568" s="705">
        <f t="shared" si="68"/>
        <v>7089106</v>
      </c>
      <c r="X1568" s="705">
        <f t="shared" si="69"/>
        <v>8440400</v>
      </c>
    </row>
    <row r="1569" spans="2:24">
      <c r="B1569" t="s">
        <v>546</v>
      </c>
      <c r="C1569" t="s">
        <v>122</v>
      </c>
      <c r="D1569" t="s">
        <v>669</v>
      </c>
      <c r="E1569" t="s">
        <v>228</v>
      </c>
      <c r="F1569" s="705">
        <v>7</v>
      </c>
      <c r="G1569" s="705">
        <v>521</v>
      </c>
      <c r="H1569" s="705">
        <v>2834</v>
      </c>
      <c r="I1569" s="705">
        <v>138667</v>
      </c>
      <c r="J1569" s="705">
        <v>115556</v>
      </c>
      <c r="K1569" s="705">
        <v>56</v>
      </c>
      <c r="L1569" s="705">
        <v>16416</v>
      </c>
      <c r="M1569" s="705">
        <v>6080</v>
      </c>
      <c r="N1569" s="705">
        <v>12343</v>
      </c>
      <c r="O1569" s="705">
        <v>4572</v>
      </c>
      <c r="P1569" s="705">
        <v>1755</v>
      </c>
      <c r="Q1569" s="705">
        <v>650</v>
      </c>
      <c r="R1569" s="705">
        <v>60199</v>
      </c>
      <c r="S1569" s="705">
        <v>22296</v>
      </c>
      <c r="T1569" s="705">
        <v>0</v>
      </c>
      <c r="U1569" s="705">
        <v>0</v>
      </c>
      <c r="V1569" s="705">
        <v>149153</v>
      </c>
      <c r="W1569" s="705">
        <f t="shared" si="68"/>
        <v>149154</v>
      </c>
      <c r="X1569" s="705">
        <f t="shared" si="69"/>
        <v>229380</v>
      </c>
    </row>
    <row r="1570" spans="2:24">
      <c r="B1570" t="s">
        <v>546</v>
      </c>
      <c r="C1570" t="s">
        <v>122</v>
      </c>
      <c r="D1570" t="s">
        <v>669</v>
      </c>
      <c r="E1570" t="s">
        <v>669</v>
      </c>
      <c r="F1570" s="705">
        <v>28</v>
      </c>
      <c r="G1570" s="705">
        <v>2340</v>
      </c>
      <c r="H1570" s="705">
        <v>11462</v>
      </c>
      <c r="I1570" s="705">
        <v>616463</v>
      </c>
      <c r="J1570" s="705">
        <v>513719</v>
      </c>
      <c r="K1570" s="705">
        <v>56</v>
      </c>
      <c r="L1570" s="705">
        <v>71915</v>
      </c>
      <c r="M1570" s="705">
        <v>50842</v>
      </c>
      <c r="N1570" s="705">
        <v>49814</v>
      </c>
      <c r="O1570" s="705">
        <v>18450</v>
      </c>
      <c r="P1570" s="705">
        <v>10638</v>
      </c>
      <c r="Q1570" s="705">
        <v>3940</v>
      </c>
      <c r="R1570" s="705">
        <v>156448</v>
      </c>
      <c r="S1570" s="705">
        <v>130374</v>
      </c>
      <c r="T1570" s="705">
        <v>59130</v>
      </c>
      <c r="U1570" s="705">
        <v>21900</v>
      </c>
      <c r="V1570" s="705">
        <v>739225</v>
      </c>
      <c r="W1570" s="705">
        <f t="shared" si="68"/>
        <v>739225</v>
      </c>
      <c r="X1570" s="705">
        <f t="shared" si="69"/>
        <v>964408</v>
      </c>
    </row>
    <row r="1571" spans="2:24">
      <c r="B1571" t="s">
        <v>546</v>
      </c>
      <c r="C1571" t="s">
        <v>122</v>
      </c>
      <c r="D1571" t="s">
        <v>671</v>
      </c>
      <c r="E1571" t="s">
        <v>671</v>
      </c>
      <c r="F1571" s="705">
        <v>1</v>
      </c>
      <c r="G1571" s="705">
        <v>71</v>
      </c>
      <c r="H1571" s="705">
        <v>437</v>
      </c>
      <c r="I1571" s="705">
        <v>16962</v>
      </c>
      <c r="J1571" s="705">
        <v>15420</v>
      </c>
      <c r="K1571" s="705">
        <v>45</v>
      </c>
      <c r="L1571" s="705">
        <v>2827</v>
      </c>
      <c r="M1571" s="705">
        <v>2570</v>
      </c>
      <c r="N1571" s="705">
        <v>1724</v>
      </c>
      <c r="O1571" s="705">
        <v>639</v>
      </c>
      <c r="P1571" s="705">
        <v>351</v>
      </c>
      <c r="Q1571" s="705">
        <v>130</v>
      </c>
      <c r="R1571" s="705">
        <v>6567</v>
      </c>
      <c r="S1571" s="705">
        <v>5970</v>
      </c>
      <c r="T1571" s="705">
        <v>2486</v>
      </c>
      <c r="U1571" s="705">
        <v>921</v>
      </c>
      <c r="V1571" s="705">
        <v>25650</v>
      </c>
      <c r="W1571" s="705">
        <f t="shared" si="68"/>
        <v>25650</v>
      </c>
      <c r="X1571" s="705">
        <f t="shared" si="69"/>
        <v>30917</v>
      </c>
    </row>
    <row r="1572" spans="2:24">
      <c r="B1572" t="s">
        <v>546</v>
      </c>
      <c r="C1572" t="s">
        <v>122</v>
      </c>
      <c r="D1572" t="s">
        <v>665</v>
      </c>
      <c r="E1572" t="s">
        <v>228</v>
      </c>
      <c r="F1572" s="705">
        <v>6</v>
      </c>
      <c r="G1572" s="705">
        <v>434</v>
      </c>
      <c r="H1572" s="705">
        <v>2476</v>
      </c>
      <c r="I1572" s="705">
        <v>102948</v>
      </c>
      <c r="J1572" s="705">
        <v>93589</v>
      </c>
      <c r="K1572" s="705">
        <v>46</v>
      </c>
      <c r="L1572" s="705">
        <v>11660</v>
      </c>
      <c r="M1572" s="705">
        <v>9821</v>
      </c>
      <c r="N1572" s="705">
        <v>8417</v>
      </c>
      <c r="O1572" s="705">
        <v>3117</v>
      </c>
      <c r="P1572" s="705">
        <v>1053</v>
      </c>
      <c r="Q1572" s="705">
        <v>390</v>
      </c>
      <c r="R1572" s="705">
        <v>50747</v>
      </c>
      <c r="S1572" s="705">
        <v>18795</v>
      </c>
      <c r="T1572" s="705">
        <v>3092</v>
      </c>
      <c r="U1572" s="705">
        <v>1145</v>
      </c>
      <c r="V1572" s="705">
        <v>126858</v>
      </c>
      <c r="W1572" s="705">
        <f t="shared" si="68"/>
        <v>126857</v>
      </c>
      <c r="X1572" s="705">
        <f t="shared" si="69"/>
        <v>177917</v>
      </c>
    </row>
    <row r="1573" spans="2:24">
      <c r="B1573" t="s">
        <v>546</v>
      </c>
      <c r="C1573" t="s">
        <v>122</v>
      </c>
      <c r="D1573" t="s">
        <v>665</v>
      </c>
      <c r="E1573" t="s">
        <v>665</v>
      </c>
      <c r="F1573" s="705">
        <v>159</v>
      </c>
      <c r="G1573" s="705">
        <v>11214</v>
      </c>
      <c r="H1573" s="705">
        <v>65458</v>
      </c>
      <c r="I1573" s="705">
        <v>2733317</v>
      </c>
      <c r="J1573" s="705">
        <v>2484833</v>
      </c>
      <c r="K1573" s="705">
        <v>51</v>
      </c>
      <c r="L1573" s="705">
        <v>399993</v>
      </c>
      <c r="M1573" s="705">
        <v>326788</v>
      </c>
      <c r="N1573" s="705">
        <v>217990</v>
      </c>
      <c r="O1573" s="705">
        <v>80737</v>
      </c>
      <c r="P1573" s="705">
        <v>56067</v>
      </c>
      <c r="Q1573" s="705">
        <v>20766</v>
      </c>
      <c r="R1573" s="705">
        <v>902470</v>
      </c>
      <c r="S1573" s="705">
        <v>820427</v>
      </c>
      <c r="T1573" s="705">
        <v>304823</v>
      </c>
      <c r="U1573" s="705">
        <v>112898</v>
      </c>
      <c r="V1573" s="705">
        <v>3846449</v>
      </c>
      <c r="W1573" s="705">
        <f t="shared" si="68"/>
        <v>3846449</v>
      </c>
      <c r="X1573" s="705">
        <f t="shared" si="69"/>
        <v>4614660</v>
      </c>
    </row>
    <row r="1574" spans="2:24">
      <c r="B1574" t="s">
        <v>546</v>
      </c>
      <c r="C1574" t="s">
        <v>122</v>
      </c>
      <c r="D1574" t="s">
        <v>673</v>
      </c>
      <c r="E1574" t="s">
        <v>673</v>
      </c>
      <c r="F1574" s="705">
        <v>1</v>
      </c>
      <c r="G1574" s="705">
        <v>68</v>
      </c>
      <c r="H1574" s="705">
        <v>442</v>
      </c>
      <c r="I1574" s="705">
        <v>17759</v>
      </c>
      <c r="J1574" s="705">
        <v>16144</v>
      </c>
      <c r="K1574" s="705">
        <v>45</v>
      </c>
      <c r="L1574" s="705">
        <v>1776</v>
      </c>
      <c r="M1574" s="705">
        <v>1614</v>
      </c>
      <c r="N1574" s="705">
        <v>1588</v>
      </c>
      <c r="O1574" s="705">
        <v>588</v>
      </c>
      <c r="P1574" s="705">
        <v>351</v>
      </c>
      <c r="Q1574" s="705">
        <v>130</v>
      </c>
      <c r="R1574" s="705">
        <v>6340</v>
      </c>
      <c r="S1574" s="705">
        <v>5764</v>
      </c>
      <c r="T1574" s="705">
        <v>2362</v>
      </c>
      <c r="U1574" s="705">
        <v>875</v>
      </c>
      <c r="V1574" s="705">
        <v>25116</v>
      </c>
      <c r="W1574" s="705">
        <f t="shared" si="68"/>
        <v>25115</v>
      </c>
      <c r="X1574" s="705">
        <f t="shared" si="69"/>
        <v>30176</v>
      </c>
    </row>
    <row r="1575" spans="2:24">
      <c r="B1575" t="s">
        <v>546</v>
      </c>
      <c r="C1575" t="s">
        <v>124</v>
      </c>
      <c r="F1575" s="705">
        <v>1</v>
      </c>
      <c r="G1575" s="705">
        <v>39</v>
      </c>
      <c r="H1575" s="705">
        <v>600</v>
      </c>
      <c r="I1575" s="705"/>
      <c r="J1575" s="705">
        <v>0</v>
      </c>
      <c r="K1575" s="705"/>
      <c r="L1575" s="705"/>
      <c r="M1575" s="705">
        <v>0</v>
      </c>
      <c r="N1575" s="705">
        <v>704</v>
      </c>
      <c r="O1575" s="705">
        <v>261</v>
      </c>
      <c r="P1575" s="705">
        <v>972</v>
      </c>
      <c r="Q1575" s="705">
        <v>360</v>
      </c>
      <c r="R1575" s="705"/>
      <c r="S1575" s="705">
        <v>0</v>
      </c>
      <c r="T1575" s="705">
        <v>0</v>
      </c>
      <c r="U1575" s="705">
        <v>0</v>
      </c>
      <c r="V1575" s="705">
        <v>621</v>
      </c>
      <c r="W1575" s="705">
        <f t="shared" si="68"/>
        <v>621</v>
      </c>
      <c r="X1575" s="705">
        <f t="shared" si="69"/>
        <v>1676</v>
      </c>
    </row>
    <row r="1576" spans="2:24">
      <c r="B1576" t="s">
        <v>546</v>
      </c>
      <c r="C1576" t="s">
        <v>124</v>
      </c>
      <c r="D1576" t="s">
        <v>664</v>
      </c>
      <c r="E1576" t="s">
        <v>228</v>
      </c>
      <c r="F1576" s="705">
        <v>1</v>
      </c>
      <c r="G1576" s="705">
        <v>71</v>
      </c>
      <c r="H1576" s="705">
        <v>502</v>
      </c>
      <c r="I1576" s="705">
        <v>24102</v>
      </c>
      <c r="J1576" s="705">
        <v>21911</v>
      </c>
      <c r="K1576" s="705">
        <v>50</v>
      </c>
      <c r="L1576" s="705">
        <v>4463</v>
      </c>
      <c r="M1576" s="705">
        <v>4058</v>
      </c>
      <c r="N1576" s="705">
        <v>1723</v>
      </c>
      <c r="O1576" s="705">
        <v>638</v>
      </c>
      <c r="P1576" s="705">
        <v>351</v>
      </c>
      <c r="Q1576" s="705">
        <v>130</v>
      </c>
      <c r="R1576" s="705">
        <v>4831</v>
      </c>
      <c r="S1576" s="705">
        <v>1789</v>
      </c>
      <c r="T1576" s="705">
        <v>0</v>
      </c>
      <c r="U1576" s="705">
        <v>0</v>
      </c>
      <c r="V1576" s="705">
        <v>28526</v>
      </c>
      <c r="W1576" s="705">
        <f t="shared" si="68"/>
        <v>28526</v>
      </c>
      <c r="X1576" s="705">
        <f t="shared" si="69"/>
        <v>35470</v>
      </c>
    </row>
    <row r="1577" spans="2:24">
      <c r="B1577" t="s">
        <v>546</v>
      </c>
      <c r="C1577" t="s">
        <v>124</v>
      </c>
      <c r="D1577" t="s">
        <v>582</v>
      </c>
      <c r="E1577" t="s">
        <v>582</v>
      </c>
      <c r="F1577" s="705">
        <v>1</v>
      </c>
      <c r="G1577" s="705">
        <v>157</v>
      </c>
      <c r="H1577" s="705">
        <v>458</v>
      </c>
      <c r="I1577" s="705">
        <v>52103</v>
      </c>
      <c r="J1577" s="705">
        <v>47367</v>
      </c>
      <c r="K1577" s="705">
        <v>55</v>
      </c>
      <c r="L1577" s="705">
        <v>6044</v>
      </c>
      <c r="M1577" s="705">
        <v>5495</v>
      </c>
      <c r="N1577" s="705">
        <v>3778</v>
      </c>
      <c r="O1577" s="705">
        <v>1399</v>
      </c>
      <c r="P1577" s="705">
        <v>473</v>
      </c>
      <c r="Q1577" s="705">
        <v>175</v>
      </c>
      <c r="R1577" s="705">
        <v>6629</v>
      </c>
      <c r="S1577" s="705">
        <v>6026</v>
      </c>
      <c r="T1577" s="705">
        <v>3100</v>
      </c>
      <c r="U1577" s="705">
        <v>1148</v>
      </c>
      <c r="V1577" s="705">
        <v>61610</v>
      </c>
      <c r="W1577" s="705">
        <f t="shared" si="68"/>
        <v>61610</v>
      </c>
      <c r="X1577" s="705">
        <f t="shared" si="69"/>
        <v>72127</v>
      </c>
    </row>
    <row r="1578" spans="2:24">
      <c r="B1578" t="s">
        <v>546</v>
      </c>
      <c r="C1578" t="s">
        <v>124</v>
      </c>
      <c r="D1578" t="s">
        <v>582</v>
      </c>
      <c r="E1578" t="s">
        <v>228</v>
      </c>
      <c r="F1578" s="705">
        <v>2</v>
      </c>
      <c r="G1578" s="705">
        <v>88</v>
      </c>
      <c r="H1578" s="705">
        <v>1357</v>
      </c>
      <c r="I1578" s="705">
        <v>44401</v>
      </c>
      <c r="J1578" s="705">
        <v>40364</v>
      </c>
      <c r="K1578" s="705">
        <v>50</v>
      </c>
      <c r="L1578" s="705">
        <v>6055</v>
      </c>
      <c r="M1578" s="705">
        <v>2242</v>
      </c>
      <c r="N1578" s="705">
        <v>2155</v>
      </c>
      <c r="O1578" s="705">
        <v>798</v>
      </c>
      <c r="P1578" s="705">
        <v>0</v>
      </c>
      <c r="Q1578" s="705">
        <v>0</v>
      </c>
      <c r="R1578" s="705">
        <v>7482</v>
      </c>
      <c r="S1578" s="705">
        <v>2771</v>
      </c>
      <c r="T1578" s="705">
        <v>0</v>
      </c>
      <c r="U1578" s="705">
        <v>0</v>
      </c>
      <c r="V1578" s="705">
        <v>46176</v>
      </c>
      <c r="W1578" s="705">
        <f t="shared" si="68"/>
        <v>46175</v>
      </c>
      <c r="X1578" s="705">
        <f t="shared" si="69"/>
        <v>60093</v>
      </c>
    </row>
    <row r="1579" spans="2:24">
      <c r="B1579" t="s">
        <v>546</v>
      </c>
      <c r="C1579" t="s">
        <v>124</v>
      </c>
      <c r="D1579" t="s">
        <v>228</v>
      </c>
      <c r="E1579" t="s">
        <v>228</v>
      </c>
      <c r="F1579" s="705">
        <v>229</v>
      </c>
      <c r="G1579" s="705">
        <v>18403</v>
      </c>
      <c r="H1579" s="705">
        <v>143235</v>
      </c>
      <c r="I1579" s="705">
        <v>8172428</v>
      </c>
      <c r="J1579" s="705">
        <v>3026825</v>
      </c>
      <c r="K1579" s="705">
        <v>100</v>
      </c>
      <c r="L1579" s="705">
        <v>1291454</v>
      </c>
      <c r="M1579" s="705">
        <v>1050941</v>
      </c>
      <c r="N1579" s="705">
        <v>416839</v>
      </c>
      <c r="O1579" s="705">
        <v>154385</v>
      </c>
      <c r="P1579" s="705">
        <v>11853</v>
      </c>
      <c r="Q1579" s="705">
        <v>4390</v>
      </c>
      <c r="R1579" s="705">
        <v>1562235</v>
      </c>
      <c r="S1579" s="705">
        <v>578605</v>
      </c>
      <c r="T1579" s="705">
        <v>8962</v>
      </c>
      <c r="U1579" s="705">
        <v>3319</v>
      </c>
      <c r="V1579" s="705">
        <v>4818466</v>
      </c>
      <c r="W1579" s="705">
        <f t="shared" ref="W1579:W1642" si="70">SUM(ABS(J1579),ABS(M1579),ABS(O1579),ABS(Q1579),ABS(S1579),ABS(U1579))</f>
        <v>4818465</v>
      </c>
      <c r="X1579" s="705">
        <f t="shared" ref="X1579:X1642" si="71">SUM(ABS(I1579),ABS(N1579),ABS(P1579),ABS(R1579),ABS(T1579),ABS(L1579))</f>
        <v>11463771</v>
      </c>
    </row>
    <row r="1580" spans="2:24">
      <c r="B1580" t="s">
        <v>546</v>
      </c>
      <c r="C1580" t="s">
        <v>124</v>
      </c>
      <c r="D1580" t="s">
        <v>228</v>
      </c>
      <c r="E1580" t="s">
        <v>583</v>
      </c>
      <c r="F1580" s="705">
        <v>4</v>
      </c>
      <c r="G1580" s="705">
        <v>956</v>
      </c>
      <c r="H1580" s="705">
        <v>2673</v>
      </c>
      <c r="I1580" s="705">
        <v>456324</v>
      </c>
      <c r="J1580" s="705">
        <v>169009</v>
      </c>
      <c r="K1580" s="705">
        <v>100</v>
      </c>
      <c r="L1580" s="705">
        <v>39151</v>
      </c>
      <c r="M1580" s="705">
        <v>35592</v>
      </c>
      <c r="N1580" s="705">
        <v>21868</v>
      </c>
      <c r="O1580" s="705">
        <v>8099</v>
      </c>
      <c r="P1580" s="705">
        <v>1512</v>
      </c>
      <c r="Q1580" s="705">
        <v>560</v>
      </c>
      <c r="R1580" s="705">
        <v>25381</v>
      </c>
      <c r="S1580" s="705">
        <v>23074</v>
      </c>
      <c r="T1580" s="705">
        <v>10365</v>
      </c>
      <c r="U1580" s="705">
        <v>3839</v>
      </c>
      <c r="V1580" s="705">
        <v>240173</v>
      </c>
      <c r="W1580" s="705">
        <f t="shared" si="70"/>
        <v>240173</v>
      </c>
      <c r="X1580" s="705">
        <f t="shared" si="71"/>
        <v>554601</v>
      </c>
    </row>
    <row r="1581" spans="2:24">
      <c r="B1581" t="s">
        <v>546</v>
      </c>
      <c r="C1581" t="s">
        <v>124</v>
      </c>
      <c r="D1581" t="s">
        <v>228</v>
      </c>
      <c r="E1581" t="s">
        <v>669</v>
      </c>
      <c r="F1581" s="705">
        <v>6</v>
      </c>
      <c r="G1581" s="705">
        <v>423</v>
      </c>
      <c r="H1581" s="705">
        <v>3756</v>
      </c>
      <c r="I1581" s="705">
        <v>162898</v>
      </c>
      <c r="J1581" s="705">
        <v>60333</v>
      </c>
      <c r="K1581" s="705">
        <v>100</v>
      </c>
      <c r="L1581" s="705">
        <v>30356</v>
      </c>
      <c r="M1581" s="705">
        <v>25296</v>
      </c>
      <c r="N1581" s="705">
        <v>9452</v>
      </c>
      <c r="O1581" s="705">
        <v>3501</v>
      </c>
      <c r="P1581" s="705">
        <v>0</v>
      </c>
      <c r="Q1581" s="705">
        <v>0</v>
      </c>
      <c r="R1581" s="705">
        <v>40668</v>
      </c>
      <c r="S1581" s="705">
        <v>33890</v>
      </c>
      <c r="T1581" s="705">
        <v>12452</v>
      </c>
      <c r="U1581" s="705">
        <v>4612</v>
      </c>
      <c r="V1581" s="705">
        <v>127632</v>
      </c>
      <c r="W1581" s="705">
        <f t="shared" si="70"/>
        <v>127632</v>
      </c>
      <c r="X1581" s="705">
        <f t="shared" si="71"/>
        <v>255826</v>
      </c>
    </row>
    <row r="1582" spans="2:24">
      <c r="B1582" t="s">
        <v>546</v>
      </c>
      <c r="C1582" t="s">
        <v>124</v>
      </c>
      <c r="D1582" t="s">
        <v>228</v>
      </c>
      <c r="E1582" t="s">
        <v>665</v>
      </c>
      <c r="F1582" s="705">
        <v>7</v>
      </c>
      <c r="G1582" s="705">
        <v>585</v>
      </c>
      <c r="H1582" s="705">
        <v>4840</v>
      </c>
      <c r="I1582" s="705">
        <v>297005</v>
      </c>
      <c r="J1582" s="705">
        <v>110002</v>
      </c>
      <c r="K1582" s="705">
        <v>100</v>
      </c>
      <c r="L1582" s="705">
        <v>34456</v>
      </c>
      <c r="M1582" s="705">
        <v>29832</v>
      </c>
      <c r="N1582" s="705">
        <v>13886</v>
      </c>
      <c r="O1582" s="705">
        <v>5143</v>
      </c>
      <c r="P1582" s="705">
        <v>702</v>
      </c>
      <c r="Q1582" s="705">
        <v>260</v>
      </c>
      <c r="R1582" s="705">
        <v>44231</v>
      </c>
      <c r="S1582" s="705">
        <v>40210</v>
      </c>
      <c r="T1582" s="705">
        <v>9455</v>
      </c>
      <c r="U1582" s="705">
        <v>3502</v>
      </c>
      <c r="V1582" s="705">
        <v>188948</v>
      </c>
      <c r="W1582" s="705">
        <f t="shared" si="70"/>
        <v>188949</v>
      </c>
      <c r="X1582" s="705">
        <f t="shared" si="71"/>
        <v>399735</v>
      </c>
    </row>
    <row r="1583" spans="2:24">
      <c r="B1583" t="s">
        <v>546</v>
      </c>
      <c r="C1583" t="s">
        <v>124</v>
      </c>
      <c r="D1583" t="s">
        <v>583</v>
      </c>
      <c r="E1583" t="s">
        <v>228</v>
      </c>
      <c r="F1583" s="705">
        <v>8</v>
      </c>
      <c r="G1583" s="705">
        <v>687</v>
      </c>
      <c r="H1583" s="705">
        <v>5385</v>
      </c>
      <c r="I1583" s="705">
        <v>320025</v>
      </c>
      <c r="J1583" s="705">
        <v>290932</v>
      </c>
      <c r="K1583" s="705">
        <v>64</v>
      </c>
      <c r="L1583" s="705">
        <v>58883</v>
      </c>
      <c r="M1583" s="705">
        <v>39729</v>
      </c>
      <c r="N1583" s="705">
        <v>15653</v>
      </c>
      <c r="O1583" s="705">
        <v>5797</v>
      </c>
      <c r="P1583" s="705">
        <v>3726</v>
      </c>
      <c r="Q1583" s="705">
        <v>1380</v>
      </c>
      <c r="R1583" s="705">
        <v>68265</v>
      </c>
      <c r="S1583" s="705">
        <v>25283</v>
      </c>
      <c r="T1583" s="705">
        <v>0</v>
      </c>
      <c r="U1583" s="705">
        <v>0</v>
      </c>
      <c r="V1583" s="705">
        <v>363122</v>
      </c>
      <c r="W1583" s="705">
        <f t="shared" si="70"/>
        <v>363121</v>
      </c>
      <c r="X1583" s="705">
        <f t="shared" si="71"/>
        <v>466552</v>
      </c>
    </row>
    <row r="1584" spans="2:24">
      <c r="B1584" t="s">
        <v>546</v>
      </c>
      <c r="C1584" t="s">
        <v>124</v>
      </c>
      <c r="D1584" t="s">
        <v>583</v>
      </c>
      <c r="E1584" t="s">
        <v>583</v>
      </c>
      <c r="F1584" s="705">
        <v>173</v>
      </c>
      <c r="G1584" s="705">
        <v>16631</v>
      </c>
      <c r="H1584" s="705">
        <v>91312</v>
      </c>
      <c r="I1584" s="705">
        <v>5775502</v>
      </c>
      <c r="J1584" s="705">
        <v>5250456</v>
      </c>
      <c r="K1584" s="705">
        <v>70</v>
      </c>
      <c r="L1584" s="705">
        <v>1271785</v>
      </c>
      <c r="M1584" s="705">
        <v>1091247</v>
      </c>
      <c r="N1584" s="705">
        <v>369565</v>
      </c>
      <c r="O1584" s="705">
        <v>136876</v>
      </c>
      <c r="P1584" s="705">
        <v>108999</v>
      </c>
      <c r="Q1584" s="705">
        <v>40370</v>
      </c>
      <c r="R1584" s="705">
        <v>871068</v>
      </c>
      <c r="S1584" s="705">
        <v>791880</v>
      </c>
      <c r="T1584" s="705">
        <v>344432</v>
      </c>
      <c r="U1584" s="705">
        <v>127567</v>
      </c>
      <c r="V1584" s="705">
        <v>7438397</v>
      </c>
      <c r="W1584" s="705">
        <f t="shared" si="70"/>
        <v>7438396</v>
      </c>
      <c r="X1584" s="705">
        <f t="shared" si="71"/>
        <v>8741351</v>
      </c>
    </row>
    <row r="1585" spans="2:24">
      <c r="B1585" t="s">
        <v>546</v>
      </c>
      <c r="C1585" t="s">
        <v>124</v>
      </c>
      <c r="D1585" t="s">
        <v>583</v>
      </c>
      <c r="E1585" t="s">
        <v>584</v>
      </c>
      <c r="F1585" s="705">
        <v>1</v>
      </c>
      <c r="G1585" s="705">
        <v>97</v>
      </c>
      <c r="H1585" s="705">
        <v>487</v>
      </c>
      <c r="I1585" s="705">
        <v>29123</v>
      </c>
      <c r="J1585" s="705">
        <v>26476</v>
      </c>
      <c r="K1585" s="705">
        <v>65</v>
      </c>
      <c r="L1585" s="705">
        <v>7272</v>
      </c>
      <c r="M1585" s="705">
        <v>6060</v>
      </c>
      <c r="N1585" s="705">
        <v>2361</v>
      </c>
      <c r="O1585" s="705">
        <v>875</v>
      </c>
      <c r="P1585" s="705">
        <v>621</v>
      </c>
      <c r="Q1585" s="705">
        <v>230</v>
      </c>
      <c r="R1585" s="705">
        <v>7839</v>
      </c>
      <c r="S1585" s="705">
        <v>7126</v>
      </c>
      <c r="T1585" s="705">
        <v>0</v>
      </c>
      <c r="U1585" s="705">
        <v>0</v>
      </c>
      <c r="V1585" s="705">
        <v>40766</v>
      </c>
      <c r="W1585" s="705">
        <f t="shared" si="70"/>
        <v>40767</v>
      </c>
      <c r="X1585" s="705">
        <f t="shared" si="71"/>
        <v>47216</v>
      </c>
    </row>
    <row r="1586" spans="2:24">
      <c r="B1586" t="s">
        <v>546</v>
      </c>
      <c r="C1586" t="s">
        <v>124</v>
      </c>
      <c r="D1586" t="s">
        <v>666</v>
      </c>
      <c r="E1586" t="s">
        <v>228</v>
      </c>
      <c r="F1586" s="705">
        <v>6</v>
      </c>
      <c r="G1586" s="705">
        <v>435</v>
      </c>
      <c r="H1586" s="705">
        <v>3941</v>
      </c>
      <c r="I1586" s="705">
        <v>211054</v>
      </c>
      <c r="J1586" s="705">
        <v>191867</v>
      </c>
      <c r="K1586" s="705">
        <v>45</v>
      </c>
      <c r="L1586" s="705">
        <v>15674</v>
      </c>
      <c r="M1586" s="705">
        <v>12951</v>
      </c>
      <c r="N1586" s="705">
        <v>9246</v>
      </c>
      <c r="O1586" s="705">
        <v>3424</v>
      </c>
      <c r="P1586" s="705">
        <v>702</v>
      </c>
      <c r="Q1586" s="705">
        <v>260</v>
      </c>
      <c r="R1586" s="705">
        <v>76074</v>
      </c>
      <c r="S1586" s="705">
        <v>28176</v>
      </c>
      <c r="T1586" s="705">
        <v>0</v>
      </c>
      <c r="U1586" s="705">
        <v>0</v>
      </c>
      <c r="V1586" s="705">
        <v>236678</v>
      </c>
      <c r="W1586" s="705">
        <f t="shared" si="70"/>
        <v>236678</v>
      </c>
      <c r="X1586" s="705">
        <f t="shared" si="71"/>
        <v>312750</v>
      </c>
    </row>
    <row r="1587" spans="2:24">
      <c r="B1587" t="s">
        <v>546</v>
      </c>
      <c r="C1587" t="s">
        <v>124</v>
      </c>
      <c r="D1587" t="s">
        <v>666</v>
      </c>
      <c r="E1587" t="s">
        <v>583</v>
      </c>
      <c r="F1587" s="705">
        <v>1</v>
      </c>
      <c r="G1587" s="705">
        <v>75</v>
      </c>
      <c r="H1587" s="705">
        <v>543</v>
      </c>
      <c r="I1587" s="705">
        <v>22752</v>
      </c>
      <c r="J1587" s="705">
        <v>20684</v>
      </c>
      <c r="K1587" s="705">
        <v>55</v>
      </c>
      <c r="L1587" s="705">
        <v>3413</v>
      </c>
      <c r="M1587" s="705">
        <v>1264</v>
      </c>
      <c r="N1587" s="705">
        <v>1471</v>
      </c>
      <c r="O1587" s="705">
        <v>545</v>
      </c>
      <c r="P1587" s="705">
        <v>351</v>
      </c>
      <c r="Q1587" s="705">
        <v>130</v>
      </c>
      <c r="R1587" s="705">
        <v>8131</v>
      </c>
      <c r="S1587" s="705">
        <v>7392</v>
      </c>
      <c r="T1587" s="705">
        <v>4320</v>
      </c>
      <c r="U1587" s="705">
        <v>1600</v>
      </c>
      <c r="V1587" s="705">
        <v>31614</v>
      </c>
      <c r="W1587" s="705">
        <f t="shared" si="70"/>
        <v>31615</v>
      </c>
      <c r="X1587" s="705">
        <f t="shared" si="71"/>
        <v>40438</v>
      </c>
    </row>
    <row r="1588" spans="2:24">
      <c r="B1588" t="s">
        <v>546</v>
      </c>
      <c r="C1588" t="s">
        <v>124</v>
      </c>
      <c r="D1588" t="s">
        <v>666</v>
      </c>
      <c r="E1588" t="s">
        <v>666</v>
      </c>
      <c r="F1588" s="705">
        <v>24</v>
      </c>
      <c r="G1588" s="705">
        <v>1939</v>
      </c>
      <c r="H1588" s="705">
        <v>14628</v>
      </c>
      <c r="I1588" s="705">
        <v>850238</v>
      </c>
      <c r="J1588" s="705">
        <v>772944</v>
      </c>
      <c r="K1588" s="705">
        <v>53</v>
      </c>
      <c r="L1588" s="705">
        <v>108841</v>
      </c>
      <c r="M1588" s="705">
        <v>192588</v>
      </c>
      <c r="N1588" s="705">
        <v>45428</v>
      </c>
      <c r="O1588" s="705">
        <v>16825</v>
      </c>
      <c r="P1588" s="705">
        <v>8073</v>
      </c>
      <c r="Q1588" s="705">
        <v>2990</v>
      </c>
      <c r="R1588" s="705">
        <v>156878</v>
      </c>
      <c r="S1588" s="705">
        <v>142616</v>
      </c>
      <c r="T1588" s="705">
        <v>53260</v>
      </c>
      <c r="U1588" s="705">
        <v>19726</v>
      </c>
      <c r="V1588" s="705">
        <v>1147690</v>
      </c>
      <c r="W1588" s="705">
        <f t="shared" si="70"/>
        <v>1147689</v>
      </c>
      <c r="X1588" s="705">
        <f t="shared" si="71"/>
        <v>1222718</v>
      </c>
    </row>
    <row r="1589" spans="2:24">
      <c r="B1589" t="s">
        <v>546</v>
      </c>
      <c r="C1589" t="s">
        <v>124</v>
      </c>
      <c r="D1589" t="s">
        <v>584</v>
      </c>
      <c r="E1589" t="s">
        <v>228</v>
      </c>
      <c r="F1589" s="705">
        <v>10</v>
      </c>
      <c r="G1589" s="705">
        <v>732</v>
      </c>
      <c r="H1589" s="705">
        <v>5621</v>
      </c>
      <c r="I1589" s="705">
        <v>262523</v>
      </c>
      <c r="J1589" s="705">
        <v>238657</v>
      </c>
      <c r="K1589" s="705">
        <v>65</v>
      </c>
      <c r="L1589" s="705">
        <v>53403</v>
      </c>
      <c r="M1589" s="705">
        <v>46869</v>
      </c>
      <c r="N1589" s="705">
        <v>16777</v>
      </c>
      <c r="O1589" s="705">
        <v>6214</v>
      </c>
      <c r="P1589" s="705">
        <v>2241</v>
      </c>
      <c r="Q1589" s="705">
        <v>830</v>
      </c>
      <c r="R1589" s="705">
        <v>72285</v>
      </c>
      <c r="S1589" s="705">
        <v>26772</v>
      </c>
      <c r="T1589" s="705">
        <v>0</v>
      </c>
      <c r="U1589" s="705">
        <v>0</v>
      </c>
      <c r="V1589" s="705">
        <v>319342</v>
      </c>
      <c r="W1589" s="705">
        <f t="shared" si="70"/>
        <v>319342</v>
      </c>
      <c r="X1589" s="705">
        <f t="shared" si="71"/>
        <v>407229</v>
      </c>
    </row>
    <row r="1590" spans="2:24">
      <c r="B1590" t="s">
        <v>546</v>
      </c>
      <c r="C1590" t="s">
        <v>124</v>
      </c>
      <c r="D1590" t="s">
        <v>584</v>
      </c>
      <c r="E1590" t="s">
        <v>584</v>
      </c>
      <c r="F1590" s="705">
        <v>165</v>
      </c>
      <c r="G1590" s="705">
        <v>14110</v>
      </c>
      <c r="H1590" s="705">
        <v>93271</v>
      </c>
      <c r="I1590" s="705">
        <v>4688540</v>
      </c>
      <c r="J1590" s="705">
        <v>4262309</v>
      </c>
      <c r="K1590" s="705">
        <v>72</v>
      </c>
      <c r="L1590" s="705">
        <v>1976607</v>
      </c>
      <c r="M1590" s="705">
        <v>1679852</v>
      </c>
      <c r="N1590" s="705">
        <v>309670</v>
      </c>
      <c r="O1590" s="705">
        <v>114693</v>
      </c>
      <c r="P1590" s="705">
        <v>76923</v>
      </c>
      <c r="Q1590" s="705">
        <v>28490</v>
      </c>
      <c r="R1590" s="705">
        <v>783310</v>
      </c>
      <c r="S1590" s="705">
        <v>712100</v>
      </c>
      <c r="T1590" s="705">
        <v>251816</v>
      </c>
      <c r="U1590" s="705">
        <v>93265</v>
      </c>
      <c r="V1590" s="705">
        <v>6890709</v>
      </c>
      <c r="W1590" s="705">
        <f t="shared" si="70"/>
        <v>6890709</v>
      </c>
      <c r="X1590" s="705">
        <f t="shared" si="71"/>
        <v>8086866</v>
      </c>
    </row>
    <row r="1591" spans="2:24">
      <c r="B1591" t="s">
        <v>546</v>
      </c>
      <c r="C1591" t="s">
        <v>124</v>
      </c>
      <c r="D1591" t="s">
        <v>669</v>
      </c>
      <c r="E1591" t="s">
        <v>228</v>
      </c>
      <c r="F1591" s="705">
        <v>33</v>
      </c>
      <c r="G1591" s="705">
        <v>2540</v>
      </c>
      <c r="H1591" s="705">
        <v>29280</v>
      </c>
      <c r="I1591" s="705">
        <v>1826568</v>
      </c>
      <c r="J1591" s="705">
        <v>1522140</v>
      </c>
      <c r="K1591" s="705">
        <v>36</v>
      </c>
      <c r="L1591" s="705">
        <v>135624</v>
      </c>
      <c r="M1591" s="705">
        <v>69905</v>
      </c>
      <c r="N1591" s="705">
        <v>58558</v>
      </c>
      <c r="O1591" s="705">
        <v>21688</v>
      </c>
      <c r="P1591" s="705">
        <v>1755</v>
      </c>
      <c r="Q1591" s="705">
        <v>650</v>
      </c>
      <c r="R1591" s="705">
        <v>280478</v>
      </c>
      <c r="S1591" s="705">
        <v>103881</v>
      </c>
      <c r="T1591" s="705">
        <v>0</v>
      </c>
      <c r="U1591" s="705">
        <v>0</v>
      </c>
      <c r="V1591" s="705">
        <v>1718263</v>
      </c>
      <c r="W1591" s="705">
        <f t="shared" si="70"/>
        <v>1718264</v>
      </c>
      <c r="X1591" s="705">
        <f t="shared" si="71"/>
        <v>2302983</v>
      </c>
    </row>
    <row r="1592" spans="2:24">
      <c r="B1592" t="s">
        <v>546</v>
      </c>
      <c r="C1592" t="s">
        <v>124</v>
      </c>
      <c r="D1592" t="s">
        <v>669</v>
      </c>
      <c r="E1592" t="s">
        <v>669</v>
      </c>
      <c r="F1592" s="705">
        <v>75</v>
      </c>
      <c r="G1592" s="705">
        <v>6570</v>
      </c>
      <c r="H1592" s="705">
        <v>46256</v>
      </c>
      <c r="I1592" s="705">
        <v>2996018</v>
      </c>
      <c r="J1592" s="705">
        <v>2496682</v>
      </c>
      <c r="K1592" s="705">
        <v>52</v>
      </c>
      <c r="L1592" s="705">
        <v>357350</v>
      </c>
      <c r="M1592" s="705">
        <v>235811</v>
      </c>
      <c r="N1592" s="705">
        <v>143039</v>
      </c>
      <c r="O1592" s="705">
        <v>52977</v>
      </c>
      <c r="P1592" s="705">
        <v>23004</v>
      </c>
      <c r="Q1592" s="705">
        <v>8520</v>
      </c>
      <c r="R1592" s="705">
        <v>451641</v>
      </c>
      <c r="S1592" s="705">
        <v>376368</v>
      </c>
      <c r="T1592" s="705">
        <v>147064</v>
      </c>
      <c r="U1592" s="705">
        <v>54468</v>
      </c>
      <c r="V1592" s="705">
        <v>3224826</v>
      </c>
      <c r="W1592" s="705">
        <f t="shared" si="70"/>
        <v>3224826</v>
      </c>
      <c r="X1592" s="705">
        <f t="shared" si="71"/>
        <v>4118116</v>
      </c>
    </row>
    <row r="1593" spans="2:24">
      <c r="B1593" t="s">
        <v>546</v>
      </c>
      <c r="C1593" t="s">
        <v>124</v>
      </c>
      <c r="D1593" t="s">
        <v>665</v>
      </c>
      <c r="E1593" t="s">
        <v>228</v>
      </c>
      <c r="F1593" s="705">
        <v>39</v>
      </c>
      <c r="G1593" s="705">
        <v>3280</v>
      </c>
      <c r="H1593" s="705">
        <v>32144</v>
      </c>
      <c r="I1593" s="705">
        <v>2193162</v>
      </c>
      <c r="J1593" s="705">
        <v>1993784</v>
      </c>
      <c r="K1593" s="705">
        <v>41</v>
      </c>
      <c r="L1593" s="705">
        <v>219675</v>
      </c>
      <c r="M1593" s="705">
        <v>123838</v>
      </c>
      <c r="N1593" s="705">
        <v>76002</v>
      </c>
      <c r="O1593" s="705">
        <v>28149</v>
      </c>
      <c r="P1593" s="705">
        <v>2457</v>
      </c>
      <c r="Q1593" s="705">
        <v>910</v>
      </c>
      <c r="R1593" s="705">
        <v>277921</v>
      </c>
      <c r="S1593" s="705">
        <v>102934</v>
      </c>
      <c r="T1593" s="705">
        <v>0</v>
      </c>
      <c r="U1593" s="705">
        <v>0</v>
      </c>
      <c r="V1593" s="705">
        <v>2249614</v>
      </c>
      <c r="W1593" s="705">
        <f t="shared" si="70"/>
        <v>2249615</v>
      </c>
      <c r="X1593" s="705">
        <f t="shared" si="71"/>
        <v>2769217</v>
      </c>
    </row>
    <row r="1594" spans="2:24">
      <c r="B1594" t="s">
        <v>546</v>
      </c>
      <c r="C1594" t="s">
        <v>124</v>
      </c>
      <c r="D1594" t="s">
        <v>665</v>
      </c>
      <c r="E1594" t="s">
        <v>583</v>
      </c>
      <c r="F1594" s="705">
        <v>1</v>
      </c>
      <c r="G1594" s="705">
        <v>147</v>
      </c>
      <c r="H1594" s="705">
        <v>550</v>
      </c>
      <c r="I1594" s="705">
        <v>62618</v>
      </c>
      <c r="J1594" s="705">
        <v>56925</v>
      </c>
      <c r="K1594" s="705">
        <v>55</v>
      </c>
      <c r="L1594" s="705">
        <v>5887</v>
      </c>
      <c r="M1594" s="705">
        <v>5352</v>
      </c>
      <c r="N1594" s="705">
        <v>3169</v>
      </c>
      <c r="O1594" s="705">
        <v>1174</v>
      </c>
      <c r="P1594" s="705">
        <v>621</v>
      </c>
      <c r="Q1594" s="705">
        <v>230</v>
      </c>
      <c r="R1594" s="705">
        <v>8582</v>
      </c>
      <c r="S1594" s="705">
        <v>7802</v>
      </c>
      <c r="T1594" s="705">
        <v>0</v>
      </c>
      <c r="U1594" s="705">
        <v>0</v>
      </c>
      <c r="V1594" s="705">
        <v>71483</v>
      </c>
      <c r="W1594" s="705">
        <f t="shared" si="70"/>
        <v>71483</v>
      </c>
      <c r="X1594" s="705">
        <f t="shared" si="71"/>
        <v>80877</v>
      </c>
    </row>
    <row r="1595" spans="2:24">
      <c r="B1595" t="s">
        <v>546</v>
      </c>
      <c r="C1595" t="s">
        <v>124</v>
      </c>
      <c r="D1595" t="s">
        <v>665</v>
      </c>
      <c r="E1595" t="s">
        <v>665</v>
      </c>
      <c r="F1595" s="705">
        <v>123</v>
      </c>
      <c r="G1595" s="705">
        <v>8746</v>
      </c>
      <c r="H1595" s="705">
        <v>70964</v>
      </c>
      <c r="I1595" s="705">
        <v>3571141</v>
      </c>
      <c r="J1595" s="705">
        <v>3246492</v>
      </c>
      <c r="K1595" s="705">
        <v>52</v>
      </c>
      <c r="L1595" s="705">
        <v>436296</v>
      </c>
      <c r="M1595" s="705">
        <v>304015</v>
      </c>
      <c r="N1595" s="705">
        <v>181355</v>
      </c>
      <c r="O1595" s="705">
        <v>67168</v>
      </c>
      <c r="P1595" s="705">
        <v>39694</v>
      </c>
      <c r="Q1595" s="705">
        <v>14702</v>
      </c>
      <c r="R1595" s="705">
        <v>673823</v>
      </c>
      <c r="S1595" s="705">
        <v>612566</v>
      </c>
      <c r="T1595" s="705">
        <v>223157</v>
      </c>
      <c r="U1595" s="705">
        <v>82651</v>
      </c>
      <c r="V1595" s="705">
        <v>4327594</v>
      </c>
      <c r="W1595" s="705">
        <f t="shared" si="70"/>
        <v>4327594</v>
      </c>
      <c r="X1595" s="705">
        <f t="shared" si="71"/>
        <v>5125466</v>
      </c>
    </row>
    <row r="1596" spans="2:24">
      <c r="B1596" t="s">
        <v>546</v>
      </c>
      <c r="C1596" t="s">
        <v>124</v>
      </c>
      <c r="D1596" t="s">
        <v>673</v>
      </c>
      <c r="E1596" t="s">
        <v>673</v>
      </c>
      <c r="F1596" s="705">
        <v>1</v>
      </c>
      <c r="G1596" s="705">
        <v>63</v>
      </c>
      <c r="H1596" s="705">
        <v>618</v>
      </c>
      <c r="I1596" s="705">
        <v>25056</v>
      </c>
      <c r="J1596" s="705">
        <v>22778</v>
      </c>
      <c r="K1596" s="705">
        <v>45</v>
      </c>
      <c r="L1596" s="705">
        <v>4176</v>
      </c>
      <c r="M1596" s="705">
        <v>3796</v>
      </c>
      <c r="N1596" s="705">
        <v>1538</v>
      </c>
      <c r="O1596" s="705">
        <v>569</v>
      </c>
      <c r="P1596" s="705">
        <v>351</v>
      </c>
      <c r="Q1596" s="705">
        <v>130</v>
      </c>
      <c r="R1596" s="705">
        <v>5798</v>
      </c>
      <c r="S1596" s="705">
        <v>5271</v>
      </c>
      <c r="T1596" s="705">
        <v>2067</v>
      </c>
      <c r="U1596" s="705">
        <v>766</v>
      </c>
      <c r="V1596" s="705">
        <v>33311</v>
      </c>
      <c r="W1596" s="705">
        <f t="shared" si="70"/>
        <v>33310</v>
      </c>
      <c r="X1596" s="705">
        <f t="shared" si="71"/>
        <v>38986</v>
      </c>
    </row>
    <row r="1597" spans="2:24">
      <c r="B1597" t="s">
        <v>547</v>
      </c>
      <c r="C1597" t="s">
        <v>108</v>
      </c>
      <c r="D1597" t="s">
        <v>228</v>
      </c>
      <c r="E1597" t="s">
        <v>228</v>
      </c>
      <c r="F1597" s="705">
        <v>1</v>
      </c>
      <c r="G1597" s="705">
        <v>84</v>
      </c>
      <c r="H1597" s="705">
        <v>75</v>
      </c>
      <c r="I1597" s="705">
        <v>1679</v>
      </c>
      <c r="J1597" s="705">
        <v>622</v>
      </c>
      <c r="K1597" s="705">
        <v>385</v>
      </c>
      <c r="L1597" s="705">
        <v>436</v>
      </c>
      <c r="M1597" s="705">
        <v>397</v>
      </c>
      <c r="N1597" s="705">
        <v>1110</v>
      </c>
      <c r="O1597" s="705">
        <v>411</v>
      </c>
      <c r="P1597" s="705">
        <v>351</v>
      </c>
      <c r="Q1597" s="705">
        <v>130</v>
      </c>
      <c r="R1597" s="705">
        <v>2717</v>
      </c>
      <c r="S1597" s="705">
        <v>1006</v>
      </c>
      <c r="T1597" s="705">
        <v>0</v>
      </c>
      <c r="U1597" s="705">
        <v>0</v>
      </c>
      <c r="V1597" s="705">
        <v>2566</v>
      </c>
      <c r="W1597" s="705">
        <f t="shared" si="70"/>
        <v>2566</v>
      </c>
      <c r="X1597" s="705">
        <f t="shared" si="71"/>
        <v>6293</v>
      </c>
    </row>
    <row r="1598" spans="2:24">
      <c r="B1598" t="s">
        <v>547</v>
      </c>
      <c r="C1598" t="s">
        <v>108</v>
      </c>
      <c r="D1598" t="s">
        <v>583</v>
      </c>
      <c r="E1598" t="s">
        <v>583</v>
      </c>
      <c r="F1598" s="705">
        <v>15</v>
      </c>
      <c r="G1598" s="705">
        <v>1476</v>
      </c>
      <c r="H1598" s="705">
        <v>833</v>
      </c>
      <c r="I1598" s="705">
        <v>-8518</v>
      </c>
      <c r="J1598" s="705">
        <v>-7744</v>
      </c>
      <c r="K1598" s="705">
        <v>95</v>
      </c>
      <c r="L1598" s="705">
        <v>0</v>
      </c>
      <c r="M1598" s="705">
        <v>0</v>
      </c>
      <c r="N1598" s="705">
        <v>17984</v>
      </c>
      <c r="O1598" s="705">
        <v>6661</v>
      </c>
      <c r="P1598" s="705">
        <v>7236</v>
      </c>
      <c r="Q1598" s="705">
        <v>2680</v>
      </c>
      <c r="R1598" s="705">
        <v>65234</v>
      </c>
      <c r="S1598" s="705">
        <v>59303</v>
      </c>
      <c r="T1598" s="705">
        <v>0</v>
      </c>
      <c r="U1598" s="705">
        <v>0</v>
      </c>
      <c r="V1598" s="705">
        <v>60900</v>
      </c>
      <c r="W1598" s="705">
        <f t="shared" si="70"/>
        <v>76388</v>
      </c>
      <c r="X1598" s="705">
        <f t="shared" si="71"/>
        <v>98972</v>
      </c>
    </row>
    <row r="1599" spans="2:24">
      <c r="B1599" t="s">
        <v>547</v>
      </c>
      <c r="C1599" t="s">
        <v>110</v>
      </c>
      <c r="D1599" t="s">
        <v>582</v>
      </c>
      <c r="E1599" t="s">
        <v>582</v>
      </c>
      <c r="F1599" s="705">
        <v>19</v>
      </c>
      <c r="G1599" s="705">
        <v>1647</v>
      </c>
      <c r="H1599" s="705">
        <v>1754</v>
      </c>
      <c r="I1599" s="705">
        <v>68193</v>
      </c>
      <c r="J1599" s="705">
        <v>61994</v>
      </c>
      <c r="K1599" s="705">
        <v>92</v>
      </c>
      <c r="L1599" s="705">
        <v>8697</v>
      </c>
      <c r="M1599" s="705">
        <v>7906</v>
      </c>
      <c r="N1599" s="705">
        <v>20069</v>
      </c>
      <c r="O1599" s="705">
        <v>7433</v>
      </c>
      <c r="P1599" s="705">
        <v>15647</v>
      </c>
      <c r="Q1599" s="705">
        <v>5795</v>
      </c>
      <c r="R1599" s="705">
        <v>39154</v>
      </c>
      <c r="S1599" s="705">
        <v>35595</v>
      </c>
      <c r="T1599" s="705">
        <v>0</v>
      </c>
      <c r="U1599" s="705">
        <v>0</v>
      </c>
      <c r="V1599" s="705">
        <v>118722</v>
      </c>
      <c r="W1599" s="705">
        <f t="shared" si="70"/>
        <v>118723</v>
      </c>
      <c r="X1599" s="705">
        <f t="shared" si="71"/>
        <v>151760</v>
      </c>
    </row>
    <row r="1600" spans="2:24">
      <c r="B1600" t="s">
        <v>547</v>
      </c>
      <c r="C1600" t="s">
        <v>110</v>
      </c>
      <c r="D1600" t="s">
        <v>228</v>
      </c>
      <c r="E1600" t="s">
        <v>228</v>
      </c>
      <c r="F1600" s="705">
        <v>62</v>
      </c>
      <c r="G1600" s="705">
        <v>5241</v>
      </c>
      <c r="H1600" s="705">
        <v>5497</v>
      </c>
      <c r="I1600" s="705">
        <v>132666</v>
      </c>
      <c r="J1600" s="705">
        <v>49136</v>
      </c>
      <c r="K1600" s="705">
        <v>381</v>
      </c>
      <c r="L1600" s="705">
        <v>33866</v>
      </c>
      <c r="M1600" s="705">
        <v>30787</v>
      </c>
      <c r="N1600" s="705">
        <v>104158</v>
      </c>
      <c r="O1600" s="705">
        <v>38577</v>
      </c>
      <c r="P1600" s="705">
        <v>23893</v>
      </c>
      <c r="Q1600" s="705">
        <v>8849</v>
      </c>
      <c r="R1600" s="705">
        <v>169587</v>
      </c>
      <c r="S1600" s="705">
        <v>62810</v>
      </c>
      <c r="T1600" s="705">
        <v>0</v>
      </c>
      <c r="U1600" s="705">
        <v>0</v>
      </c>
      <c r="V1600" s="705">
        <v>190159</v>
      </c>
      <c r="W1600" s="705">
        <f t="shared" si="70"/>
        <v>190159</v>
      </c>
      <c r="X1600" s="705">
        <f t="shared" si="71"/>
        <v>464170</v>
      </c>
    </row>
    <row r="1601" spans="2:24">
      <c r="B1601" t="s">
        <v>547</v>
      </c>
      <c r="C1601" t="s">
        <v>110</v>
      </c>
      <c r="D1601" t="s">
        <v>583</v>
      </c>
      <c r="E1601" t="s">
        <v>583</v>
      </c>
      <c r="F1601" s="705">
        <v>14</v>
      </c>
      <c r="G1601" s="705">
        <v>1567</v>
      </c>
      <c r="H1601" s="705">
        <v>1274</v>
      </c>
      <c r="I1601" s="705">
        <v>69774</v>
      </c>
      <c r="J1601" s="705">
        <v>63431</v>
      </c>
      <c r="K1601" s="705">
        <v>94</v>
      </c>
      <c r="L1601" s="705">
        <v>4515</v>
      </c>
      <c r="M1601" s="705">
        <v>4105</v>
      </c>
      <c r="N1601" s="705">
        <v>20628</v>
      </c>
      <c r="O1601" s="705">
        <v>7640</v>
      </c>
      <c r="P1601" s="705">
        <v>10098</v>
      </c>
      <c r="Q1601" s="705">
        <v>3740</v>
      </c>
      <c r="R1601" s="705">
        <v>36776</v>
      </c>
      <c r="S1601" s="705">
        <v>33433</v>
      </c>
      <c r="T1601" s="705">
        <v>0</v>
      </c>
      <c r="U1601" s="705">
        <v>0</v>
      </c>
      <c r="V1601" s="705">
        <v>112349</v>
      </c>
      <c r="W1601" s="705">
        <f t="shared" si="70"/>
        <v>112349</v>
      </c>
      <c r="X1601" s="705">
        <f t="shared" si="71"/>
        <v>141791</v>
      </c>
    </row>
    <row r="1602" spans="2:24">
      <c r="B1602" t="s">
        <v>547</v>
      </c>
      <c r="C1602" t="s">
        <v>112</v>
      </c>
      <c r="D1602" t="s">
        <v>582</v>
      </c>
      <c r="E1602" t="s">
        <v>582</v>
      </c>
      <c r="F1602" s="705">
        <v>13</v>
      </c>
      <c r="G1602" s="705">
        <v>873</v>
      </c>
      <c r="H1602" s="705">
        <v>1398</v>
      </c>
      <c r="I1602" s="705">
        <v>49414</v>
      </c>
      <c r="J1602" s="705">
        <v>44922</v>
      </c>
      <c r="K1602" s="705">
        <v>92</v>
      </c>
      <c r="L1602" s="705">
        <v>807</v>
      </c>
      <c r="M1602" s="705">
        <v>733</v>
      </c>
      <c r="N1602" s="705">
        <v>10642</v>
      </c>
      <c r="O1602" s="705">
        <v>3941</v>
      </c>
      <c r="P1602" s="705">
        <v>10706</v>
      </c>
      <c r="Q1602" s="705">
        <v>3965</v>
      </c>
      <c r="R1602" s="705">
        <v>22440</v>
      </c>
      <c r="S1602" s="705">
        <v>20400</v>
      </c>
      <c r="T1602" s="705">
        <v>0</v>
      </c>
      <c r="U1602" s="705">
        <v>0</v>
      </c>
      <c r="V1602" s="705">
        <v>73961</v>
      </c>
      <c r="W1602" s="705">
        <f t="shared" si="70"/>
        <v>73961</v>
      </c>
      <c r="X1602" s="705">
        <f t="shared" si="71"/>
        <v>94009</v>
      </c>
    </row>
    <row r="1603" spans="2:24">
      <c r="B1603" t="s">
        <v>547</v>
      </c>
      <c r="C1603" t="s">
        <v>112</v>
      </c>
      <c r="D1603" t="s">
        <v>228</v>
      </c>
      <c r="E1603" t="s">
        <v>228</v>
      </c>
      <c r="F1603" s="705">
        <v>29</v>
      </c>
      <c r="G1603" s="705">
        <v>2322</v>
      </c>
      <c r="H1603" s="705">
        <v>3099</v>
      </c>
      <c r="I1603" s="705">
        <v>85390</v>
      </c>
      <c r="J1603" s="705">
        <v>31626</v>
      </c>
      <c r="K1603" s="705">
        <v>362</v>
      </c>
      <c r="L1603" s="705">
        <v>20223</v>
      </c>
      <c r="M1603" s="705">
        <v>18385</v>
      </c>
      <c r="N1603" s="705">
        <v>49291</v>
      </c>
      <c r="O1603" s="705">
        <v>18256</v>
      </c>
      <c r="P1603" s="705">
        <v>13193</v>
      </c>
      <c r="Q1603" s="705">
        <v>4886</v>
      </c>
      <c r="R1603" s="705">
        <v>80172</v>
      </c>
      <c r="S1603" s="705">
        <v>29693</v>
      </c>
      <c r="T1603" s="705">
        <v>0</v>
      </c>
      <c r="U1603" s="705">
        <v>0</v>
      </c>
      <c r="V1603" s="705">
        <v>102846</v>
      </c>
      <c r="W1603" s="705">
        <f t="shared" si="70"/>
        <v>102846</v>
      </c>
      <c r="X1603" s="705">
        <f t="shared" si="71"/>
        <v>248269</v>
      </c>
    </row>
    <row r="1604" spans="2:24">
      <c r="B1604" t="s">
        <v>547</v>
      </c>
      <c r="C1604" t="s">
        <v>112</v>
      </c>
      <c r="D1604" t="s">
        <v>583</v>
      </c>
      <c r="E1604" t="s">
        <v>583</v>
      </c>
      <c r="F1604" s="705">
        <v>18</v>
      </c>
      <c r="G1604" s="705">
        <v>2291</v>
      </c>
      <c r="H1604" s="705">
        <v>2144</v>
      </c>
      <c r="I1604" s="705">
        <v>121384</v>
      </c>
      <c r="J1604" s="705">
        <v>110349</v>
      </c>
      <c r="K1604" s="705">
        <v>87</v>
      </c>
      <c r="L1604" s="705">
        <v>31301</v>
      </c>
      <c r="M1604" s="705">
        <v>28455</v>
      </c>
      <c r="N1604" s="705">
        <v>32164</v>
      </c>
      <c r="O1604" s="705">
        <v>11912</v>
      </c>
      <c r="P1604" s="705">
        <v>12941</v>
      </c>
      <c r="Q1604" s="705">
        <v>4793</v>
      </c>
      <c r="R1604" s="705">
        <v>74940</v>
      </c>
      <c r="S1604" s="705">
        <v>68127</v>
      </c>
      <c r="T1604" s="705">
        <v>0</v>
      </c>
      <c r="U1604" s="705">
        <v>0</v>
      </c>
      <c r="V1604" s="705">
        <v>223636</v>
      </c>
      <c r="W1604" s="705">
        <f t="shared" si="70"/>
        <v>223636</v>
      </c>
      <c r="X1604" s="705">
        <f t="shared" si="71"/>
        <v>272730</v>
      </c>
    </row>
    <row r="1605" spans="2:24">
      <c r="B1605" t="s">
        <v>547</v>
      </c>
      <c r="C1605" t="s">
        <v>112</v>
      </c>
      <c r="D1605" t="s">
        <v>585</v>
      </c>
      <c r="E1605" t="s">
        <v>585</v>
      </c>
      <c r="F1605" s="705">
        <v>1</v>
      </c>
      <c r="G1605" s="705">
        <v>100</v>
      </c>
      <c r="H1605" s="705">
        <v>122</v>
      </c>
      <c r="I1605" s="705">
        <v>6270</v>
      </c>
      <c r="J1605" s="705">
        <v>5700</v>
      </c>
      <c r="K1605" s="705">
        <v>90</v>
      </c>
      <c r="L1605" s="705">
        <v>2090</v>
      </c>
      <c r="M1605" s="705">
        <v>1900</v>
      </c>
      <c r="N1605" s="705">
        <v>1587</v>
      </c>
      <c r="O1605" s="705">
        <v>588</v>
      </c>
      <c r="P1605" s="705">
        <v>351</v>
      </c>
      <c r="Q1605" s="705">
        <v>130</v>
      </c>
      <c r="R1605" s="705">
        <v>1943</v>
      </c>
      <c r="S1605" s="705">
        <v>1766</v>
      </c>
      <c r="T1605" s="705">
        <v>0</v>
      </c>
      <c r="U1605" s="705">
        <v>0</v>
      </c>
      <c r="V1605" s="705">
        <v>10084</v>
      </c>
      <c r="W1605" s="705">
        <f t="shared" si="70"/>
        <v>10084</v>
      </c>
      <c r="X1605" s="705">
        <f t="shared" si="71"/>
        <v>12241</v>
      </c>
    </row>
    <row r="1606" spans="2:24">
      <c r="B1606" t="s">
        <v>547</v>
      </c>
      <c r="C1606" t="s">
        <v>114</v>
      </c>
      <c r="F1606" s="705">
        <v>9</v>
      </c>
      <c r="G1606" s="705">
        <v>804</v>
      </c>
      <c r="H1606" s="705">
        <v>1240</v>
      </c>
      <c r="I1606" s="705"/>
      <c r="J1606" s="705">
        <v>0</v>
      </c>
      <c r="K1606" s="705"/>
      <c r="L1606" s="705"/>
      <c r="M1606" s="705">
        <v>0</v>
      </c>
      <c r="N1606" s="705">
        <v>19597</v>
      </c>
      <c r="O1606" s="705">
        <v>7258</v>
      </c>
      <c r="P1606" s="705">
        <v>3159</v>
      </c>
      <c r="Q1606" s="705">
        <v>1170</v>
      </c>
      <c r="R1606" s="705"/>
      <c r="S1606" s="705">
        <v>0</v>
      </c>
      <c r="T1606" s="705">
        <v>0</v>
      </c>
      <c r="U1606" s="705">
        <v>0</v>
      </c>
      <c r="V1606" s="705">
        <v>8428</v>
      </c>
      <c r="W1606" s="705">
        <f t="shared" si="70"/>
        <v>8428</v>
      </c>
      <c r="X1606" s="705">
        <f t="shared" si="71"/>
        <v>22756</v>
      </c>
    </row>
    <row r="1607" spans="2:24">
      <c r="B1607" t="s">
        <v>547</v>
      </c>
      <c r="C1607" t="s">
        <v>114</v>
      </c>
      <c r="D1607" t="s">
        <v>582</v>
      </c>
      <c r="E1607" t="s">
        <v>582</v>
      </c>
      <c r="F1607" s="705">
        <v>11</v>
      </c>
      <c r="G1607" s="705">
        <v>1264</v>
      </c>
      <c r="H1607" s="705">
        <v>1573</v>
      </c>
      <c r="I1607" s="705">
        <v>67371</v>
      </c>
      <c r="J1607" s="705">
        <v>61247</v>
      </c>
      <c r="K1607" s="705">
        <v>83</v>
      </c>
      <c r="L1607" s="705">
        <v>24435</v>
      </c>
      <c r="M1607" s="705">
        <v>22213</v>
      </c>
      <c r="N1607" s="705">
        <v>28214</v>
      </c>
      <c r="O1607" s="705">
        <v>10450</v>
      </c>
      <c r="P1607" s="705">
        <v>4847</v>
      </c>
      <c r="Q1607" s="705">
        <v>1795</v>
      </c>
      <c r="R1607" s="705">
        <v>55899</v>
      </c>
      <c r="S1607" s="705">
        <v>50817</v>
      </c>
      <c r="T1607" s="705">
        <v>0</v>
      </c>
      <c r="U1607" s="705">
        <v>0</v>
      </c>
      <c r="V1607" s="705">
        <v>146522</v>
      </c>
      <c r="W1607" s="705">
        <f t="shared" si="70"/>
        <v>146522</v>
      </c>
      <c r="X1607" s="705">
        <f t="shared" si="71"/>
        <v>180766</v>
      </c>
    </row>
    <row r="1608" spans="2:24">
      <c r="B1608" t="s">
        <v>547</v>
      </c>
      <c r="C1608" t="s">
        <v>114</v>
      </c>
      <c r="D1608" t="s">
        <v>582</v>
      </c>
      <c r="E1608" t="s">
        <v>670</v>
      </c>
      <c r="F1608" s="705">
        <v>1</v>
      </c>
      <c r="G1608" s="705">
        <v>120</v>
      </c>
      <c r="H1608" s="705">
        <v>149</v>
      </c>
      <c r="I1608" s="705">
        <v>7481</v>
      </c>
      <c r="J1608" s="705">
        <v>6801</v>
      </c>
      <c r="K1608" s="705">
        <v>79</v>
      </c>
      <c r="L1608" s="705">
        <v>1244</v>
      </c>
      <c r="M1608" s="705">
        <v>1131</v>
      </c>
      <c r="N1608" s="705">
        <v>1467</v>
      </c>
      <c r="O1608" s="705">
        <v>543</v>
      </c>
      <c r="P1608" s="705">
        <v>473</v>
      </c>
      <c r="Q1608" s="705">
        <v>175</v>
      </c>
      <c r="R1608" s="705">
        <v>7259</v>
      </c>
      <c r="S1608" s="705">
        <v>2689</v>
      </c>
      <c r="T1608" s="705">
        <v>0</v>
      </c>
      <c r="U1608" s="705">
        <v>0</v>
      </c>
      <c r="V1608" s="705">
        <v>11339</v>
      </c>
      <c r="W1608" s="705">
        <f t="shared" si="70"/>
        <v>11339</v>
      </c>
      <c r="X1608" s="705">
        <f t="shared" si="71"/>
        <v>17924</v>
      </c>
    </row>
    <row r="1609" spans="2:24">
      <c r="B1609" t="s">
        <v>547</v>
      </c>
      <c r="C1609" t="s">
        <v>114</v>
      </c>
      <c r="D1609" t="s">
        <v>228</v>
      </c>
      <c r="E1609" t="s">
        <v>228</v>
      </c>
      <c r="F1609" s="705">
        <v>18</v>
      </c>
      <c r="G1609" s="705">
        <v>1858</v>
      </c>
      <c r="H1609" s="705">
        <v>2562</v>
      </c>
      <c r="I1609" s="705">
        <v>96251</v>
      </c>
      <c r="J1609" s="705">
        <v>35649</v>
      </c>
      <c r="K1609" s="705">
        <v>247</v>
      </c>
      <c r="L1609" s="705">
        <v>16259</v>
      </c>
      <c r="M1609" s="705">
        <v>14781</v>
      </c>
      <c r="N1609" s="705">
        <v>26101</v>
      </c>
      <c r="O1609" s="705">
        <v>9667</v>
      </c>
      <c r="P1609" s="705">
        <v>18291</v>
      </c>
      <c r="Q1609" s="705">
        <v>6774</v>
      </c>
      <c r="R1609" s="705">
        <v>107453</v>
      </c>
      <c r="S1609" s="705">
        <v>39798</v>
      </c>
      <c r="T1609" s="705">
        <v>0</v>
      </c>
      <c r="U1609" s="705">
        <v>0</v>
      </c>
      <c r="V1609" s="705">
        <v>106669</v>
      </c>
      <c r="W1609" s="705">
        <f t="shared" si="70"/>
        <v>106669</v>
      </c>
      <c r="X1609" s="705">
        <f t="shared" si="71"/>
        <v>264355</v>
      </c>
    </row>
    <row r="1610" spans="2:24">
      <c r="B1610" t="s">
        <v>547</v>
      </c>
      <c r="C1610" t="s">
        <v>114</v>
      </c>
      <c r="D1610" t="s">
        <v>583</v>
      </c>
      <c r="E1610" t="s">
        <v>583</v>
      </c>
      <c r="F1610" s="705">
        <v>138</v>
      </c>
      <c r="G1610" s="705">
        <v>14941</v>
      </c>
      <c r="H1610" s="705">
        <v>19498</v>
      </c>
      <c r="I1610" s="705">
        <v>884545</v>
      </c>
      <c r="J1610" s="705">
        <v>804132</v>
      </c>
      <c r="K1610" s="705">
        <v>89</v>
      </c>
      <c r="L1610" s="705">
        <v>243015</v>
      </c>
      <c r="M1610" s="705">
        <v>216650</v>
      </c>
      <c r="N1610" s="705">
        <v>262034</v>
      </c>
      <c r="O1610" s="705">
        <v>97049</v>
      </c>
      <c r="P1610" s="705">
        <v>87656</v>
      </c>
      <c r="Q1610" s="705">
        <v>32465</v>
      </c>
      <c r="R1610" s="705">
        <v>616680</v>
      </c>
      <c r="S1610" s="705">
        <v>560618</v>
      </c>
      <c r="T1610" s="705">
        <v>16305</v>
      </c>
      <c r="U1610" s="705">
        <v>6039</v>
      </c>
      <c r="V1610" s="705">
        <v>1716953</v>
      </c>
      <c r="W1610" s="705">
        <f t="shared" si="70"/>
        <v>1716953</v>
      </c>
      <c r="X1610" s="705">
        <f t="shared" si="71"/>
        <v>2110235</v>
      </c>
    </row>
    <row r="1611" spans="2:24">
      <c r="B1611" t="s">
        <v>547</v>
      </c>
      <c r="C1611" t="s">
        <v>114</v>
      </c>
      <c r="D1611" t="s">
        <v>584</v>
      </c>
      <c r="E1611" t="s">
        <v>584</v>
      </c>
      <c r="F1611" s="705">
        <v>6</v>
      </c>
      <c r="G1611" s="705">
        <v>588</v>
      </c>
      <c r="H1611" s="705">
        <v>793</v>
      </c>
      <c r="I1611" s="705">
        <v>27060</v>
      </c>
      <c r="J1611" s="705">
        <v>24600</v>
      </c>
      <c r="K1611" s="705">
        <v>79</v>
      </c>
      <c r="L1611" s="705">
        <v>0</v>
      </c>
      <c r="M1611" s="705">
        <v>0</v>
      </c>
      <c r="N1611" s="705">
        <v>13286</v>
      </c>
      <c r="O1611" s="705">
        <v>4921</v>
      </c>
      <c r="P1611" s="705">
        <v>2835</v>
      </c>
      <c r="Q1611" s="705">
        <v>1050</v>
      </c>
      <c r="R1611" s="705">
        <v>34570</v>
      </c>
      <c r="S1611" s="705">
        <v>31428</v>
      </c>
      <c r="T1611" s="705">
        <v>0</v>
      </c>
      <c r="U1611" s="705">
        <v>0</v>
      </c>
      <c r="V1611" s="705">
        <v>61998</v>
      </c>
      <c r="W1611" s="705">
        <f t="shared" si="70"/>
        <v>61999</v>
      </c>
      <c r="X1611" s="705">
        <f t="shared" si="71"/>
        <v>77751</v>
      </c>
    </row>
    <row r="1612" spans="2:24">
      <c r="B1612" t="s">
        <v>547</v>
      </c>
      <c r="C1612" t="s">
        <v>114</v>
      </c>
      <c r="D1612" t="s">
        <v>585</v>
      </c>
      <c r="E1612" t="s">
        <v>585</v>
      </c>
      <c r="F1612" s="705">
        <v>30</v>
      </c>
      <c r="G1612" s="705">
        <v>2779</v>
      </c>
      <c r="H1612" s="705">
        <v>4168</v>
      </c>
      <c r="I1612" s="705">
        <v>183208</v>
      </c>
      <c r="J1612" s="705">
        <v>166553</v>
      </c>
      <c r="K1612" s="705">
        <v>90</v>
      </c>
      <c r="L1612" s="705">
        <v>60822</v>
      </c>
      <c r="M1612" s="705">
        <v>55293</v>
      </c>
      <c r="N1612" s="705">
        <v>58681</v>
      </c>
      <c r="O1612" s="705">
        <v>21734</v>
      </c>
      <c r="P1612" s="705">
        <v>10530</v>
      </c>
      <c r="Q1612" s="705">
        <v>3900</v>
      </c>
      <c r="R1612" s="705">
        <v>73331</v>
      </c>
      <c r="S1612" s="705">
        <v>66664</v>
      </c>
      <c r="T1612" s="705">
        <v>0</v>
      </c>
      <c r="U1612" s="705">
        <v>0</v>
      </c>
      <c r="V1612" s="705">
        <v>314143</v>
      </c>
      <c r="W1612" s="705">
        <f t="shared" si="70"/>
        <v>314144</v>
      </c>
      <c r="X1612" s="705">
        <f t="shared" si="71"/>
        <v>386572</v>
      </c>
    </row>
    <row r="1613" spans="2:24">
      <c r="B1613" t="s">
        <v>547</v>
      </c>
      <c r="C1613" t="s">
        <v>116</v>
      </c>
      <c r="F1613" s="705">
        <v>31</v>
      </c>
      <c r="G1613" s="705">
        <v>1808</v>
      </c>
      <c r="H1613" s="705">
        <v>5830</v>
      </c>
      <c r="I1613" s="705"/>
      <c r="J1613" s="705">
        <v>0</v>
      </c>
      <c r="K1613" s="705"/>
      <c r="L1613" s="705"/>
      <c r="M1613" s="705">
        <v>0</v>
      </c>
      <c r="N1613" s="705">
        <v>44062</v>
      </c>
      <c r="O1613" s="705">
        <v>16319</v>
      </c>
      <c r="P1613" s="705">
        <v>10881</v>
      </c>
      <c r="Q1613" s="705">
        <v>4030</v>
      </c>
      <c r="R1613" s="705"/>
      <c r="S1613" s="705">
        <v>0</v>
      </c>
      <c r="T1613" s="705">
        <v>0</v>
      </c>
      <c r="U1613" s="705">
        <v>0</v>
      </c>
      <c r="V1613" s="705">
        <v>20349</v>
      </c>
      <c r="W1613" s="705">
        <f t="shared" si="70"/>
        <v>20349</v>
      </c>
      <c r="X1613" s="705">
        <f t="shared" si="71"/>
        <v>54943</v>
      </c>
    </row>
    <row r="1614" spans="2:24">
      <c r="B1614" t="s">
        <v>547</v>
      </c>
      <c r="C1614" t="s">
        <v>116</v>
      </c>
      <c r="D1614" t="s">
        <v>664</v>
      </c>
      <c r="E1614" t="s">
        <v>583</v>
      </c>
      <c r="F1614" s="705">
        <v>1</v>
      </c>
      <c r="G1614" s="705">
        <v>112</v>
      </c>
      <c r="H1614" s="705">
        <v>160</v>
      </c>
      <c r="I1614" s="705">
        <v>8577</v>
      </c>
      <c r="J1614" s="705">
        <v>7797</v>
      </c>
      <c r="K1614" s="705">
        <v>79</v>
      </c>
      <c r="L1614" s="705">
        <v>2506</v>
      </c>
      <c r="M1614" s="705">
        <v>2278</v>
      </c>
      <c r="N1614" s="705">
        <v>2734</v>
      </c>
      <c r="O1614" s="705">
        <v>1013</v>
      </c>
      <c r="P1614" s="705">
        <v>473</v>
      </c>
      <c r="Q1614" s="705">
        <v>175</v>
      </c>
      <c r="R1614" s="705">
        <v>3633</v>
      </c>
      <c r="S1614" s="705">
        <v>3303</v>
      </c>
      <c r="T1614" s="705">
        <v>0</v>
      </c>
      <c r="U1614" s="705">
        <v>0</v>
      </c>
      <c r="V1614" s="705">
        <v>14566</v>
      </c>
      <c r="W1614" s="705">
        <f t="shared" si="70"/>
        <v>14566</v>
      </c>
      <c r="X1614" s="705">
        <f t="shared" si="71"/>
        <v>17923</v>
      </c>
    </row>
    <row r="1615" spans="2:24">
      <c r="B1615" t="s">
        <v>547</v>
      </c>
      <c r="C1615" t="s">
        <v>116</v>
      </c>
      <c r="D1615" t="s">
        <v>582</v>
      </c>
      <c r="E1615" t="s">
        <v>582</v>
      </c>
      <c r="F1615" s="705">
        <v>30</v>
      </c>
      <c r="G1615" s="705">
        <v>3266</v>
      </c>
      <c r="H1615" s="705">
        <v>5402</v>
      </c>
      <c r="I1615" s="705">
        <v>264769</v>
      </c>
      <c r="J1615" s="705">
        <v>240699</v>
      </c>
      <c r="K1615" s="705">
        <v>81</v>
      </c>
      <c r="L1615" s="705">
        <v>72035</v>
      </c>
      <c r="M1615" s="705">
        <v>65265</v>
      </c>
      <c r="N1615" s="705">
        <v>70948</v>
      </c>
      <c r="O1615" s="705">
        <v>26277</v>
      </c>
      <c r="P1615" s="705">
        <v>14526</v>
      </c>
      <c r="Q1615" s="705">
        <v>5380</v>
      </c>
      <c r="R1615" s="705">
        <v>151413</v>
      </c>
      <c r="S1615" s="705">
        <v>137648</v>
      </c>
      <c r="T1615" s="705">
        <v>11372</v>
      </c>
      <c r="U1615" s="705">
        <v>4212</v>
      </c>
      <c r="V1615" s="705">
        <v>479481</v>
      </c>
      <c r="W1615" s="705">
        <f t="shared" si="70"/>
        <v>479481</v>
      </c>
      <c r="X1615" s="705">
        <f t="shared" si="71"/>
        <v>585063</v>
      </c>
    </row>
    <row r="1616" spans="2:24">
      <c r="B1616" t="s">
        <v>547</v>
      </c>
      <c r="C1616" t="s">
        <v>116</v>
      </c>
      <c r="D1616" t="s">
        <v>228</v>
      </c>
      <c r="E1616" t="s">
        <v>228</v>
      </c>
      <c r="F1616" s="705">
        <v>60</v>
      </c>
      <c r="G1616" s="705">
        <v>5661</v>
      </c>
      <c r="H1616" s="705">
        <v>12206</v>
      </c>
      <c r="I1616" s="705">
        <v>520278</v>
      </c>
      <c r="J1616" s="705">
        <v>192696</v>
      </c>
      <c r="K1616" s="705">
        <v>145</v>
      </c>
      <c r="L1616" s="705">
        <v>96188</v>
      </c>
      <c r="M1616" s="705">
        <v>62078</v>
      </c>
      <c r="N1616" s="705">
        <v>122146</v>
      </c>
      <c r="O1616" s="705">
        <v>45239</v>
      </c>
      <c r="P1616" s="705">
        <v>11189</v>
      </c>
      <c r="Q1616" s="705">
        <v>4144</v>
      </c>
      <c r="R1616" s="705">
        <v>406114</v>
      </c>
      <c r="S1616" s="705">
        <v>150412</v>
      </c>
      <c r="T1616" s="705">
        <v>0</v>
      </c>
      <c r="U1616" s="705">
        <v>0</v>
      </c>
      <c r="V1616" s="705">
        <v>454570</v>
      </c>
      <c r="W1616" s="705">
        <f t="shared" si="70"/>
        <v>454569</v>
      </c>
      <c r="X1616" s="705">
        <f t="shared" si="71"/>
        <v>1155915</v>
      </c>
    </row>
    <row r="1617" spans="2:24">
      <c r="B1617" t="s">
        <v>547</v>
      </c>
      <c r="C1617" t="s">
        <v>116</v>
      </c>
      <c r="D1617" t="s">
        <v>583</v>
      </c>
      <c r="E1617" t="s">
        <v>228</v>
      </c>
      <c r="F1617" s="705">
        <v>9</v>
      </c>
      <c r="G1617" s="705">
        <v>964</v>
      </c>
      <c r="H1617" s="705">
        <v>1758</v>
      </c>
      <c r="I1617" s="705">
        <v>81465</v>
      </c>
      <c r="J1617" s="705">
        <v>74059</v>
      </c>
      <c r="K1617" s="705">
        <v>81</v>
      </c>
      <c r="L1617" s="705">
        <v>25754</v>
      </c>
      <c r="M1617" s="705">
        <v>23413</v>
      </c>
      <c r="N1617" s="705">
        <v>23223</v>
      </c>
      <c r="O1617" s="705">
        <v>8601</v>
      </c>
      <c r="P1617" s="705">
        <v>5589</v>
      </c>
      <c r="Q1617" s="705">
        <v>2070</v>
      </c>
      <c r="R1617" s="705">
        <v>52153</v>
      </c>
      <c r="S1617" s="705">
        <v>19316</v>
      </c>
      <c r="T1617" s="705">
        <v>0</v>
      </c>
      <c r="U1617" s="705">
        <v>0</v>
      </c>
      <c r="V1617" s="705">
        <v>127459</v>
      </c>
      <c r="W1617" s="705">
        <f t="shared" si="70"/>
        <v>127459</v>
      </c>
      <c r="X1617" s="705">
        <f t="shared" si="71"/>
        <v>188184</v>
      </c>
    </row>
    <row r="1618" spans="2:24">
      <c r="B1618" t="s">
        <v>547</v>
      </c>
      <c r="C1618" t="s">
        <v>116</v>
      </c>
      <c r="D1618" t="s">
        <v>583</v>
      </c>
      <c r="E1618" t="s">
        <v>583</v>
      </c>
      <c r="F1618" s="705">
        <v>973</v>
      </c>
      <c r="G1618" s="705">
        <v>102447</v>
      </c>
      <c r="H1618" s="705">
        <v>181316</v>
      </c>
      <c r="I1618" s="705">
        <v>8612815</v>
      </c>
      <c r="J1618" s="705">
        <v>7829831</v>
      </c>
      <c r="K1618" s="705">
        <v>85</v>
      </c>
      <c r="L1618" s="705">
        <v>2257156</v>
      </c>
      <c r="M1618" s="705">
        <v>2031555</v>
      </c>
      <c r="N1618" s="705">
        <v>2058937</v>
      </c>
      <c r="O1618" s="705">
        <v>762569</v>
      </c>
      <c r="P1618" s="705">
        <v>619035</v>
      </c>
      <c r="Q1618" s="705">
        <v>229272</v>
      </c>
      <c r="R1618" s="705">
        <v>4330856</v>
      </c>
      <c r="S1618" s="705">
        <v>3937142</v>
      </c>
      <c r="T1618" s="705">
        <v>1194811</v>
      </c>
      <c r="U1618" s="705">
        <v>442523</v>
      </c>
      <c r="V1618" s="705">
        <v>15232892</v>
      </c>
      <c r="W1618" s="705">
        <f t="shared" si="70"/>
        <v>15232892</v>
      </c>
      <c r="X1618" s="705">
        <f t="shared" si="71"/>
        <v>19073610</v>
      </c>
    </row>
    <row r="1619" spans="2:24">
      <c r="B1619" t="s">
        <v>547</v>
      </c>
      <c r="C1619" t="s">
        <v>116</v>
      </c>
      <c r="D1619" t="s">
        <v>584</v>
      </c>
      <c r="E1619" t="s">
        <v>584</v>
      </c>
      <c r="F1619" s="705">
        <v>31</v>
      </c>
      <c r="G1619" s="705">
        <v>3066</v>
      </c>
      <c r="H1619" s="705">
        <v>5394</v>
      </c>
      <c r="I1619" s="705">
        <v>247301</v>
      </c>
      <c r="J1619" s="705">
        <v>224819</v>
      </c>
      <c r="K1619" s="705">
        <v>82</v>
      </c>
      <c r="L1619" s="705">
        <v>57991</v>
      </c>
      <c r="M1619" s="705">
        <v>52277</v>
      </c>
      <c r="N1619" s="705">
        <v>67313</v>
      </c>
      <c r="O1619" s="705">
        <v>24931</v>
      </c>
      <c r="P1619" s="705">
        <v>14648</v>
      </c>
      <c r="Q1619" s="705">
        <v>5425</v>
      </c>
      <c r="R1619" s="705">
        <v>150552</v>
      </c>
      <c r="S1619" s="705">
        <v>136865</v>
      </c>
      <c r="T1619" s="705">
        <v>0</v>
      </c>
      <c r="U1619" s="705">
        <v>0</v>
      </c>
      <c r="V1619" s="705">
        <v>444317</v>
      </c>
      <c r="W1619" s="705">
        <f t="shared" si="70"/>
        <v>444317</v>
      </c>
      <c r="X1619" s="705">
        <f t="shared" si="71"/>
        <v>537805</v>
      </c>
    </row>
    <row r="1620" spans="2:24">
      <c r="B1620" t="s">
        <v>547</v>
      </c>
      <c r="C1620" t="s">
        <v>116</v>
      </c>
      <c r="D1620" t="s">
        <v>667</v>
      </c>
      <c r="E1620" t="s">
        <v>667</v>
      </c>
      <c r="F1620" s="705">
        <v>1</v>
      </c>
      <c r="G1620" s="705">
        <v>86</v>
      </c>
      <c r="H1620" s="705">
        <v>202</v>
      </c>
      <c r="I1620" s="705">
        <v>9583</v>
      </c>
      <c r="J1620" s="705">
        <v>8712</v>
      </c>
      <c r="K1620" s="705">
        <v>65</v>
      </c>
      <c r="L1620" s="705">
        <v>0</v>
      </c>
      <c r="M1620" s="705">
        <v>0</v>
      </c>
      <c r="N1620" s="705">
        <v>1042</v>
      </c>
      <c r="O1620" s="705">
        <v>386</v>
      </c>
      <c r="P1620" s="705">
        <v>351</v>
      </c>
      <c r="Q1620" s="705">
        <v>130</v>
      </c>
      <c r="R1620" s="705">
        <v>6317</v>
      </c>
      <c r="S1620" s="705">
        <v>5743</v>
      </c>
      <c r="T1620" s="705">
        <v>0</v>
      </c>
      <c r="U1620" s="705">
        <v>0</v>
      </c>
      <c r="V1620" s="705">
        <v>14971</v>
      </c>
      <c r="W1620" s="705">
        <f t="shared" si="70"/>
        <v>14971</v>
      </c>
      <c r="X1620" s="705">
        <f t="shared" si="71"/>
        <v>17293</v>
      </c>
    </row>
    <row r="1621" spans="2:24">
      <c r="B1621" t="s">
        <v>547</v>
      </c>
      <c r="C1621" t="s">
        <v>116</v>
      </c>
      <c r="D1621" t="s">
        <v>665</v>
      </c>
      <c r="E1621" t="s">
        <v>665</v>
      </c>
      <c r="F1621" s="705">
        <v>7</v>
      </c>
      <c r="G1621" s="705">
        <v>622</v>
      </c>
      <c r="H1621" s="705">
        <v>1468</v>
      </c>
      <c r="I1621" s="705">
        <v>67264</v>
      </c>
      <c r="J1621" s="705">
        <v>61149</v>
      </c>
      <c r="K1621" s="705">
        <v>66</v>
      </c>
      <c r="L1621" s="705">
        <v>2424</v>
      </c>
      <c r="M1621" s="705">
        <v>2204</v>
      </c>
      <c r="N1621" s="705">
        <v>10473</v>
      </c>
      <c r="O1621" s="705">
        <v>3879</v>
      </c>
      <c r="P1621" s="705">
        <v>3078</v>
      </c>
      <c r="Q1621" s="705">
        <v>1140</v>
      </c>
      <c r="R1621" s="705">
        <v>30772</v>
      </c>
      <c r="S1621" s="705">
        <v>27974</v>
      </c>
      <c r="T1621" s="705">
        <v>17135</v>
      </c>
      <c r="U1621" s="705">
        <v>6346</v>
      </c>
      <c r="V1621" s="705">
        <v>102692</v>
      </c>
      <c r="W1621" s="705">
        <f t="shared" si="70"/>
        <v>102692</v>
      </c>
      <c r="X1621" s="705">
        <f t="shared" si="71"/>
        <v>131146</v>
      </c>
    </row>
    <row r="1622" spans="2:24">
      <c r="B1622" t="s">
        <v>547</v>
      </c>
      <c r="C1622" t="s">
        <v>116</v>
      </c>
      <c r="D1622" t="s">
        <v>585</v>
      </c>
      <c r="E1622" t="s">
        <v>580</v>
      </c>
      <c r="F1622" s="705">
        <v>2</v>
      </c>
      <c r="G1622" s="705">
        <v>254</v>
      </c>
      <c r="H1622" s="705">
        <v>352</v>
      </c>
      <c r="I1622" s="705">
        <v>9601</v>
      </c>
      <c r="J1622" s="705">
        <v>8728</v>
      </c>
      <c r="K1622" s="705">
        <v>60</v>
      </c>
      <c r="L1622" s="705">
        <v>2134</v>
      </c>
      <c r="M1622" s="705">
        <v>1940</v>
      </c>
      <c r="N1622" s="705">
        <v>4333</v>
      </c>
      <c r="O1622" s="705">
        <v>1605</v>
      </c>
      <c r="P1622" s="705">
        <v>702</v>
      </c>
      <c r="Q1622" s="705">
        <v>260</v>
      </c>
      <c r="R1622" s="705">
        <v>27951</v>
      </c>
      <c r="S1622" s="705">
        <v>10352</v>
      </c>
      <c r="T1622" s="705">
        <v>0</v>
      </c>
      <c r="U1622" s="705">
        <v>0</v>
      </c>
      <c r="V1622" s="705">
        <v>22885</v>
      </c>
      <c r="W1622" s="705">
        <f t="shared" si="70"/>
        <v>22885</v>
      </c>
      <c r="X1622" s="705">
        <f t="shared" si="71"/>
        <v>44721</v>
      </c>
    </row>
    <row r="1623" spans="2:24">
      <c r="B1623" t="s">
        <v>547</v>
      </c>
      <c r="C1623" t="s">
        <v>116</v>
      </c>
      <c r="D1623" t="s">
        <v>585</v>
      </c>
      <c r="E1623" t="s">
        <v>585</v>
      </c>
      <c r="F1623" s="705">
        <v>21</v>
      </c>
      <c r="G1623" s="705">
        <v>2011</v>
      </c>
      <c r="H1623" s="705">
        <v>3761</v>
      </c>
      <c r="I1623" s="705">
        <v>178759</v>
      </c>
      <c r="J1623" s="705">
        <v>162508</v>
      </c>
      <c r="K1623" s="705">
        <v>76</v>
      </c>
      <c r="L1623" s="705">
        <v>40387</v>
      </c>
      <c r="M1623" s="705">
        <v>35792</v>
      </c>
      <c r="N1623" s="705">
        <v>42961</v>
      </c>
      <c r="O1623" s="705">
        <v>15912</v>
      </c>
      <c r="P1623" s="705">
        <v>7371</v>
      </c>
      <c r="Q1623" s="705">
        <v>2730</v>
      </c>
      <c r="R1623" s="705">
        <v>83408</v>
      </c>
      <c r="S1623" s="705">
        <v>75826</v>
      </c>
      <c r="T1623" s="705">
        <v>10120</v>
      </c>
      <c r="U1623" s="705">
        <v>3748</v>
      </c>
      <c r="V1623" s="705">
        <v>296515</v>
      </c>
      <c r="W1623" s="705">
        <f t="shared" si="70"/>
        <v>296516</v>
      </c>
      <c r="X1623" s="705">
        <f t="shared" si="71"/>
        <v>363006</v>
      </c>
    </row>
    <row r="1624" spans="2:24">
      <c r="B1624" t="s">
        <v>547</v>
      </c>
      <c r="C1624" t="s">
        <v>116</v>
      </c>
      <c r="D1624" t="s">
        <v>668</v>
      </c>
      <c r="E1624" t="s">
        <v>585</v>
      </c>
      <c r="F1624" s="705">
        <v>1</v>
      </c>
      <c r="G1624" s="705">
        <v>85</v>
      </c>
      <c r="H1624" s="705">
        <v>181</v>
      </c>
      <c r="I1624" s="705">
        <v>8185</v>
      </c>
      <c r="J1624" s="705">
        <v>7441</v>
      </c>
      <c r="K1624" s="705">
        <v>83</v>
      </c>
      <c r="L1624" s="705">
        <v>1068</v>
      </c>
      <c r="M1624" s="705">
        <v>890</v>
      </c>
      <c r="N1624" s="705">
        <v>1038</v>
      </c>
      <c r="O1624" s="705">
        <v>384</v>
      </c>
      <c r="P1624" s="705">
        <v>351</v>
      </c>
      <c r="Q1624" s="705">
        <v>130</v>
      </c>
      <c r="R1624" s="705">
        <v>4814</v>
      </c>
      <c r="S1624" s="705">
        <v>4376</v>
      </c>
      <c r="T1624" s="705">
        <v>0</v>
      </c>
      <c r="U1624" s="705">
        <v>0</v>
      </c>
      <c r="V1624" s="705">
        <v>13222</v>
      </c>
      <c r="W1624" s="705">
        <f t="shared" si="70"/>
        <v>13221</v>
      </c>
      <c r="X1624" s="705">
        <f t="shared" si="71"/>
        <v>15456</v>
      </c>
    </row>
    <row r="1625" spans="2:24">
      <c r="B1625" t="s">
        <v>547</v>
      </c>
      <c r="C1625" t="s">
        <v>118</v>
      </c>
      <c r="D1625" t="s">
        <v>664</v>
      </c>
      <c r="E1625" t="s">
        <v>664</v>
      </c>
      <c r="F1625" s="705">
        <v>2</v>
      </c>
      <c r="G1625" s="705">
        <v>195</v>
      </c>
      <c r="H1625" s="705">
        <v>566</v>
      </c>
      <c r="I1625" s="705">
        <v>30646</v>
      </c>
      <c r="J1625" s="705">
        <v>27860</v>
      </c>
      <c r="K1625" s="705">
        <v>68</v>
      </c>
      <c r="L1625" s="705">
        <v>4820</v>
      </c>
      <c r="M1625" s="705">
        <v>4382</v>
      </c>
      <c r="N1625" s="705">
        <v>4519</v>
      </c>
      <c r="O1625" s="705">
        <v>1674</v>
      </c>
      <c r="P1625" s="705">
        <v>945</v>
      </c>
      <c r="Q1625" s="705">
        <v>350</v>
      </c>
      <c r="R1625" s="705">
        <v>11286</v>
      </c>
      <c r="S1625" s="705">
        <v>10260</v>
      </c>
      <c r="T1625" s="705">
        <v>3090</v>
      </c>
      <c r="U1625" s="705">
        <v>1144</v>
      </c>
      <c r="V1625" s="705">
        <v>45671</v>
      </c>
      <c r="W1625" s="705">
        <f t="shared" si="70"/>
        <v>45670</v>
      </c>
      <c r="X1625" s="705">
        <f t="shared" si="71"/>
        <v>55306</v>
      </c>
    </row>
    <row r="1626" spans="2:24">
      <c r="B1626" t="s">
        <v>547</v>
      </c>
      <c r="C1626" t="s">
        <v>118</v>
      </c>
      <c r="D1626" t="s">
        <v>582</v>
      </c>
      <c r="E1626" t="s">
        <v>582</v>
      </c>
      <c r="F1626" s="705">
        <v>4</v>
      </c>
      <c r="G1626" s="705">
        <v>280</v>
      </c>
      <c r="H1626" s="705">
        <v>1145</v>
      </c>
      <c r="I1626" s="705">
        <v>54809</v>
      </c>
      <c r="J1626" s="705">
        <v>49826</v>
      </c>
      <c r="K1626" s="705">
        <v>84</v>
      </c>
      <c r="L1626" s="705">
        <v>9197</v>
      </c>
      <c r="M1626" s="705">
        <v>8361</v>
      </c>
      <c r="N1626" s="705">
        <v>5760</v>
      </c>
      <c r="O1626" s="705">
        <v>2133</v>
      </c>
      <c r="P1626" s="705">
        <v>1890</v>
      </c>
      <c r="Q1626" s="705">
        <v>700</v>
      </c>
      <c r="R1626" s="705">
        <v>12637</v>
      </c>
      <c r="S1626" s="705">
        <v>11489</v>
      </c>
      <c r="T1626" s="705">
        <v>5169</v>
      </c>
      <c r="U1626" s="705">
        <v>1914</v>
      </c>
      <c r="V1626" s="705">
        <v>74423</v>
      </c>
      <c r="W1626" s="705">
        <f t="shared" si="70"/>
        <v>74423</v>
      </c>
      <c r="X1626" s="705">
        <f t="shared" si="71"/>
        <v>89462</v>
      </c>
    </row>
    <row r="1627" spans="2:24">
      <c r="B1627" t="s">
        <v>547</v>
      </c>
      <c r="C1627" t="s">
        <v>118</v>
      </c>
      <c r="D1627" t="s">
        <v>228</v>
      </c>
      <c r="E1627" t="s">
        <v>228</v>
      </c>
      <c r="F1627" s="705">
        <v>294</v>
      </c>
      <c r="G1627" s="705">
        <v>26931</v>
      </c>
      <c r="H1627" s="705">
        <v>76926</v>
      </c>
      <c r="I1627" s="705">
        <v>3780650</v>
      </c>
      <c r="J1627" s="705">
        <v>1400241</v>
      </c>
      <c r="K1627" s="705">
        <v>101</v>
      </c>
      <c r="L1627" s="705">
        <v>621528</v>
      </c>
      <c r="M1627" s="705">
        <v>521913</v>
      </c>
      <c r="N1627" s="705">
        <v>533197</v>
      </c>
      <c r="O1627" s="705">
        <v>197480</v>
      </c>
      <c r="P1627" s="705">
        <v>5462</v>
      </c>
      <c r="Q1627" s="705">
        <v>2023</v>
      </c>
      <c r="R1627" s="705">
        <v>2069402</v>
      </c>
      <c r="S1627" s="705">
        <v>766445</v>
      </c>
      <c r="T1627" s="705">
        <v>0</v>
      </c>
      <c r="U1627" s="705">
        <v>0</v>
      </c>
      <c r="V1627" s="705">
        <v>2888102</v>
      </c>
      <c r="W1627" s="705">
        <f t="shared" si="70"/>
        <v>2888102</v>
      </c>
      <c r="X1627" s="705">
        <f t="shared" si="71"/>
        <v>7010239</v>
      </c>
    </row>
    <row r="1628" spans="2:24">
      <c r="B1628" t="s">
        <v>547</v>
      </c>
      <c r="C1628" t="s">
        <v>118</v>
      </c>
      <c r="D1628" t="s">
        <v>228</v>
      </c>
      <c r="E1628" t="s">
        <v>665</v>
      </c>
      <c r="F1628" s="705">
        <v>3</v>
      </c>
      <c r="G1628" s="705">
        <v>236</v>
      </c>
      <c r="H1628" s="705">
        <v>828</v>
      </c>
      <c r="I1628" s="705">
        <v>30067</v>
      </c>
      <c r="J1628" s="705">
        <v>11136</v>
      </c>
      <c r="K1628" s="705">
        <v>100</v>
      </c>
      <c r="L1628" s="705">
        <v>3865</v>
      </c>
      <c r="M1628" s="705">
        <v>3514</v>
      </c>
      <c r="N1628" s="705">
        <v>5119</v>
      </c>
      <c r="O1628" s="705">
        <v>1896</v>
      </c>
      <c r="P1628" s="705">
        <v>0</v>
      </c>
      <c r="Q1628" s="705">
        <v>0</v>
      </c>
      <c r="R1628" s="705">
        <v>18838</v>
      </c>
      <c r="S1628" s="705">
        <v>17125</v>
      </c>
      <c r="T1628" s="705">
        <v>7154</v>
      </c>
      <c r="U1628" s="705">
        <v>2650</v>
      </c>
      <c r="V1628" s="705">
        <v>36321</v>
      </c>
      <c r="W1628" s="705">
        <f t="shared" si="70"/>
        <v>36321</v>
      </c>
      <c r="X1628" s="705">
        <f t="shared" si="71"/>
        <v>65043</v>
      </c>
    </row>
    <row r="1629" spans="2:24">
      <c r="B1629" t="s">
        <v>547</v>
      </c>
      <c r="C1629" t="s">
        <v>118</v>
      </c>
      <c r="D1629" t="s">
        <v>583</v>
      </c>
      <c r="E1629" t="s">
        <v>228</v>
      </c>
      <c r="F1629" s="705">
        <v>4</v>
      </c>
      <c r="G1629" s="705">
        <v>304</v>
      </c>
      <c r="H1629" s="705">
        <v>1022</v>
      </c>
      <c r="I1629" s="705">
        <v>38757</v>
      </c>
      <c r="J1629" s="705">
        <v>35233</v>
      </c>
      <c r="K1629" s="705">
        <v>85</v>
      </c>
      <c r="L1629" s="705">
        <v>10730</v>
      </c>
      <c r="M1629" s="705">
        <v>8450</v>
      </c>
      <c r="N1629" s="705">
        <v>7162</v>
      </c>
      <c r="O1629" s="705">
        <v>2653</v>
      </c>
      <c r="P1629" s="705">
        <v>2484</v>
      </c>
      <c r="Q1629" s="705">
        <v>920</v>
      </c>
      <c r="R1629" s="705">
        <v>18396</v>
      </c>
      <c r="S1629" s="705">
        <v>6813</v>
      </c>
      <c r="T1629" s="705">
        <v>0</v>
      </c>
      <c r="U1629" s="705">
        <v>0</v>
      </c>
      <c r="V1629" s="705">
        <v>54069</v>
      </c>
      <c r="W1629" s="705">
        <f t="shared" si="70"/>
        <v>54069</v>
      </c>
      <c r="X1629" s="705">
        <f t="shared" si="71"/>
        <v>77529</v>
      </c>
    </row>
    <row r="1630" spans="2:24">
      <c r="B1630" t="s">
        <v>547</v>
      </c>
      <c r="C1630" t="s">
        <v>118</v>
      </c>
      <c r="D1630" t="s">
        <v>583</v>
      </c>
      <c r="E1630" t="s">
        <v>583</v>
      </c>
      <c r="F1630" s="705">
        <v>356</v>
      </c>
      <c r="G1630" s="705">
        <v>33919</v>
      </c>
      <c r="H1630" s="705">
        <v>90282</v>
      </c>
      <c r="I1630" s="705">
        <v>4340518</v>
      </c>
      <c r="J1630" s="705">
        <v>3945925</v>
      </c>
      <c r="K1630" s="705">
        <v>80</v>
      </c>
      <c r="L1630" s="705">
        <v>1043691</v>
      </c>
      <c r="M1630" s="705">
        <v>930407</v>
      </c>
      <c r="N1630" s="705">
        <v>697017</v>
      </c>
      <c r="O1630" s="705">
        <v>258154</v>
      </c>
      <c r="P1630" s="705">
        <v>225113</v>
      </c>
      <c r="Q1630" s="705">
        <v>83375</v>
      </c>
      <c r="R1630" s="705">
        <v>1525742</v>
      </c>
      <c r="S1630" s="705">
        <v>1387038</v>
      </c>
      <c r="T1630" s="705">
        <v>770601</v>
      </c>
      <c r="U1630" s="705">
        <v>285408</v>
      </c>
      <c r="V1630" s="705">
        <v>6890307</v>
      </c>
      <c r="W1630" s="705">
        <f t="shared" si="70"/>
        <v>6890307</v>
      </c>
      <c r="X1630" s="705">
        <f t="shared" si="71"/>
        <v>8602682</v>
      </c>
    </row>
    <row r="1631" spans="2:24">
      <c r="B1631" t="s">
        <v>547</v>
      </c>
      <c r="C1631" t="s">
        <v>118</v>
      </c>
      <c r="D1631" t="s">
        <v>666</v>
      </c>
      <c r="E1631" t="s">
        <v>666</v>
      </c>
      <c r="F1631" s="705">
        <v>3</v>
      </c>
      <c r="G1631" s="705">
        <v>417</v>
      </c>
      <c r="H1631" s="705">
        <v>834</v>
      </c>
      <c r="I1631" s="705">
        <v>64769</v>
      </c>
      <c r="J1631" s="705">
        <v>58881</v>
      </c>
      <c r="K1631" s="705">
        <v>60</v>
      </c>
      <c r="L1631" s="705">
        <v>11304</v>
      </c>
      <c r="M1631" s="705">
        <v>5680</v>
      </c>
      <c r="N1631" s="705">
        <v>7863</v>
      </c>
      <c r="O1631" s="705">
        <v>2912</v>
      </c>
      <c r="P1631" s="705">
        <v>351</v>
      </c>
      <c r="Q1631" s="705">
        <v>130</v>
      </c>
      <c r="R1631" s="705">
        <v>20175</v>
      </c>
      <c r="S1631" s="705">
        <v>18341</v>
      </c>
      <c r="T1631" s="705">
        <v>6381</v>
      </c>
      <c r="U1631" s="705">
        <v>2363</v>
      </c>
      <c r="V1631" s="705">
        <v>88308</v>
      </c>
      <c r="W1631" s="705">
        <f t="shared" si="70"/>
        <v>88307</v>
      </c>
      <c r="X1631" s="705">
        <f t="shared" si="71"/>
        <v>110843</v>
      </c>
    </row>
    <row r="1632" spans="2:24">
      <c r="B1632" t="s">
        <v>547</v>
      </c>
      <c r="C1632" t="s">
        <v>118</v>
      </c>
      <c r="D1632" t="s">
        <v>669</v>
      </c>
      <c r="E1632" t="s">
        <v>669</v>
      </c>
      <c r="F1632" s="705">
        <v>1</v>
      </c>
      <c r="G1632" s="705">
        <v>113</v>
      </c>
      <c r="H1632" s="705">
        <v>246</v>
      </c>
      <c r="I1632" s="705">
        <v>15501</v>
      </c>
      <c r="J1632" s="705">
        <v>12917</v>
      </c>
      <c r="K1632" s="705">
        <v>70</v>
      </c>
      <c r="L1632" s="705">
        <v>1603</v>
      </c>
      <c r="M1632" s="705">
        <v>1457</v>
      </c>
      <c r="N1632" s="705">
        <v>2468</v>
      </c>
      <c r="O1632" s="705">
        <v>914</v>
      </c>
      <c r="P1632" s="705">
        <v>473</v>
      </c>
      <c r="Q1632" s="705">
        <v>175</v>
      </c>
      <c r="R1632" s="705">
        <v>5018</v>
      </c>
      <c r="S1632" s="705">
        <v>4182</v>
      </c>
      <c r="T1632" s="705">
        <v>2585</v>
      </c>
      <c r="U1632" s="705">
        <v>957</v>
      </c>
      <c r="V1632" s="705">
        <v>20602</v>
      </c>
      <c r="W1632" s="705">
        <f t="shared" si="70"/>
        <v>20602</v>
      </c>
      <c r="X1632" s="705">
        <f t="shared" si="71"/>
        <v>27648</v>
      </c>
    </row>
    <row r="1633" spans="2:24">
      <c r="B1633" t="s">
        <v>547</v>
      </c>
      <c r="C1633" t="s">
        <v>118</v>
      </c>
      <c r="D1633" t="s">
        <v>665</v>
      </c>
      <c r="E1633" t="s">
        <v>665</v>
      </c>
      <c r="F1633" s="705">
        <v>52</v>
      </c>
      <c r="G1633" s="705">
        <v>4626</v>
      </c>
      <c r="H1633" s="705">
        <v>13581</v>
      </c>
      <c r="I1633" s="705">
        <v>639405</v>
      </c>
      <c r="J1633" s="705">
        <v>581278</v>
      </c>
      <c r="K1633" s="705">
        <v>60</v>
      </c>
      <c r="L1633" s="705">
        <v>72456</v>
      </c>
      <c r="M1633" s="705">
        <v>54965</v>
      </c>
      <c r="N1633" s="705">
        <v>90968</v>
      </c>
      <c r="O1633" s="705">
        <v>33692</v>
      </c>
      <c r="P1633" s="705">
        <v>27216</v>
      </c>
      <c r="Q1633" s="705">
        <v>10080</v>
      </c>
      <c r="R1633" s="705">
        <v>255229</v>
      </c>
      <c r="S1633" s="705">
        <v>232026</v>
      </c>
      <c r="T1633" s="705">
        <v>121053</v>
      </c>
      <c r="U1633" s="705">
        <v>44834</v>
      </c>
      <c r="V1633" s="705">
        <v>956875</v>
      </c>
      <c r="W1633" s="705">
        <f t="shared" si="70"/>
        <v>956875</v>
      </c>
      <c r="X1633" s="705">
        <f t="shared" si="71"/>
        <v>1206327</v>
      </c>
    </row>
    <row r="1634" spans="2:24">
      <c r="B1634" t="s">
        <v>547</v>
      </c>
      <c r="C1634" t="s">
        <v>118</v>
      </c>
      <c r="D1634" t="s">
        <v>585</v>
      </c>
      <c r="E1634" t="s">
        <v>585</v>
      </c>
      <c r="F1634" s="705">
        <v>2</v>
      </c>
      <c r="G1634" s="705">
        <v>146</v>
      </c>
      <c r="H1634" s="705">
        <v>486</v>
      </c>
      <c r="I1634" s="705">
        <v>18038</v>
      </c>
      <c r="J1634" s="705">
        <v>16399</v>
      </c>
      <c r="K1634" s="705">
        <v>65</v>
      </c>
      <c r="L1634" s="705">
        <v>2895</v>
      </c>
      <c r="M1634" s="705">
        <v>2632</v>
      </c>
      <c r="N1634" s="705">
        <v>1893</v>
      </c>
      <c r="O1634" s="705">
        <v>701</v>
      </c>
      <c r="P1634" s="705">
        <v>702</v>
      </c>
      <c r="Q1634" s="705">
        <v>260</v>
      </c>
      <c r="R1634" s="705">
        <v>10037</v>
      </c>
      <c r="S1634" s="705">
        <v>9124</v>
      </c>
      <c r="T1634" s="705">
        <v>2059</v>
      </c>
      <c r="U1634" s="705">
        <v>763</v>
      </c>
      <c r="V1634" s="705">
        <v>29879</v>
      </c>
      <c r="W1634" s="705">
        <f t="shared" si="70"/>
        <v>29879</v>
      </c>
      <c r="X1634" s="705">
        <f t="shared" si="71"/>
        <v>35624</v>
      </c>
    </row>
    <row r="1635" spans="2:24">
      <c r="B1635" t="s">
        <v>547</v>
      </c>
      <c r="C1635" t="s">
        <v>120</v>
      </c>
      <c r="D1635" t="s">
        <v>228</v>
      </c>
      <c r="E1635" t="s">
        <v>228</v>
      </c>
      <c r="F1635" s="705">
        <v>79</v>
      </c>
      <c r="G1635" s="705">
        <v>5787</v>
      </c>
      <c r="H1635" s="705">
        <v>26846</v>
      </c>
      <c r="I1635" s="705">
        <v>1160076</v>
      </c>
      <c r="J1635" s="705">
        <v>429658</v>
      </c>
      <c r="K1635" s="705">
        <v>100</v>
      </c>
      <c r="L1635" s="705">
        <v>167977</v>
      </c>
      <c r="M1635" s="705">
        <v>139438</v>
      </c>
      <c r="N1635" s="705">
        <v>112681</v>
      </c>
      <c r="O1635" s="705">
        <v>41734</v>
      </c>
      <c r="P1635" s="705">
        <v>351</v>
      </c>
      <c r="Q1635" s="705">
        <v>130</v>
      </c>
      <c r="R1635" s="705">
        <v>517402</v>
      </c>
      <c r="S1635" s="705">
        <v>191630</v>
      </c>
      <c r="T1635" s="705">
        <v>0</v>
      </c>
      <c r="U1635" s="705">
        <v>0</v>
      </c>
      <c r="V1635" s="705">
        <v>802590</v>
      </c>
      <c r="W1635" s="705">
        <f t="shared" si="70"/>
        <v>802590</v>
      </c>
      <c r="X1635" s="705">
        <f t="shared" si="71"/>
        <v>1958487</v>
      </c>
    </row>
    <row r="1636" spans="2:24">
      <c r="B1636" t="s">
        <v>547</v>
      </c>
      <c r="C1636" t="s">
        <v>120</v>
      </c>
      <c r="D1636" t="s">
        <v>228</v>
      </c>
      <c r="E1636" t="s">
        <v>665</v>
      </c>
      <c r="F1636" s="705">
        <v>5</v>
      </c>
      <c r="G1636" s="705">
        <v>403</v>
      </c>
      <c r="H1636" s="705">
        <v>1668</v>
      </c>
      <c r="I1636" s="705">
        <v>79204</v>
      </c>
      <c r="J1636" s="705">
        <v>29335</v>
      </c>
      <c r="K1636" s="705">
        <v>100</v>
      </c>
      <c r="L1636" s="705">
        <v>9853</v>
      </c>
      <c r="M1636" s="705">
        <v>8957</v>
      </c>
      <c r="N1636" s="705">
        <v>8583</v>
      </c>
      <c r="O1636" s="705">
        <v>3179</v>
      </c>
      <c r="P1636" s="705">
        <v>351</v>
      </c>
      <c r="Q1636" s="705">
        <v>130</v>
      </c>
      <c r="R1636" s="705">
        <v>25702</v>
      </c>
      <c r="S1636" s="705">
        <v>23366</v>
      </c>
      <c r="T1636" s="705">
        <v>11245</v>
      </c>
      <c r="U1636" s="705">
        <v>4165</v>
      </c>
      <c r="V1636" s="705">
        <v>69131</v>
      </c>
      <c r="W1636" s="705">
        <f t="shared" si="70"/>
        <v>69132</v>
      </c>
      <c r="X1636" s="705">
        <f t="shared" si="71"/>
        <v>134938</v>
      </c>
    </row>
    <row r="1637" spans="2:24">
      <c r="B1637" t="s">
        <v>547</v>
      </c>
      <c r="C1637" t="s">
        <v>120</v>
      </c>
      <c r="D1637" t="s">
        <v>583</v>
      </c>
      <c r="E1637" t="s">
        <v>228</v>
      </c>
      <c r="F1637" s="705">
        <v>1</v>
      </c>
      <c r="G1637" s="705">
        <v>89</v>
      </c>
      <c r="H1637" s="705">
        <v>361</v>
      </c>
      <c r="I1637" s="705">
        <v>19384</v>
      </c>
      <c r="J1637" s="705">
        <v>17622</v>
      </c>
      <c r="K1637" s="705">
        <v>79</v>
      </c>
      <c r="L1637" s="705">
        <v>5385</v>
      </c>
      <c r="M1637" s="705">
        <v>4895</v>
      </c>
      <c r="N1637" s="705">
        <v>2054</v>
      </c>
      <c r="O1637" s="705">
        <v>761</v>
      </c>
      <c r="P1637" s="705">
        <v>621</v>
      </c>
      <c r="Q1637" s="705">
        <v>230</v>
      </c>
      <c r="R1637" s="705">
        <v>4746</v>
      </c>
      <c r="S1637" s="705">
        <v>1758</v>
      </c>
      <c r="T1637" s="705">
        <v>0</v>
      </c>
      <c r="U1637" s="705">
        <v>0</v>
      </c>
      <c r="V1637" s="705">
        <v>25265</v>
      </c>
      <c r="W1637" s="705">
        <f t="shared" si="70"/>
        <v>25266</v>
      </c>
      <c r="X1637" s="705">
        <f t="shared" si="71"/>
        <v>32190</v>
      </c>
    </row>
    <row r="1638" spans="2:24">
      <c r="B1638" t="s">
        <v>547</v>
      </c>
      <c r="C1638" t="s">
        <v>120</v>
      </c>
      <c r="D1638" t="s">
        <v>583</v>
      </c>
      <c r="E1638" t="s">
        <v>583</v>
      </c>
      <c r="F1638" s="705">
        <v>71</v>
      </c>
      <c r="G1638" s="705">
        <v>6871</v>
      </c>
      <c r="H1638" s="705">
        <v>23728</v>
      </c>
      <c r="I1638" s="705">
        <v>1336778</v>
      </c>
      <c r="J1638" s="705">
        <v>1215253</v>
      </c>
      <c r="K1638" s="705">
        <v>76</v>
      </c>
      <c r="L1638" s="705">
        <v>287367</v>
      </c>
      <c r="M1638" s="705">
        <v>250568</v>
      </c>
      <c r="N1638" s="705">
        <v>145363</v>
      </c>
      <c r="O1638" s="705">
        <v>53838</v>
      </c>
      <c r="P1638" s="705">
        <v>47088</v>
      </c>
      <c r="Q1638" s="705">
        <v>17440</v>
      </c>
      <c r="R1638" s="705">
        <v>313776</v>
      </c>
      <c r="S1638" s="705">
        <v>285251</v>
      </c>
      <c r="T1638" s="705">
        <v>174700</v>
      </c>
      <c r="U1638" s="705">
        <v>64704</v>
      </c>
      <c r="V1638" s="705">
        <v>1887053</v>
      </c>
      <c r="W1638" s="705">
        <f t="shared" si="70"/>
        <v>1887054</v>
      </c>
      <c r="X1638" s="705">
        <f t="shared" si="71"/>
        <v>2305072</v>
      </c>
    </row>
    <row r="1639" spans="2:24">
      <c r="B1639" t="s">
        <v>547</v>
      </c>
      <c r="C1639" t="s">
        <v>120</v>
      </c>
      <c r="D1639" t="s">
        <v>666</v>
      </c>
      <c r="E1639" t="s">
        <v>666</v>
      </c>
      <c r="F1639" s="705">
        <v>1</v>
      </c>
      <c r="G1639" s="705">
        <v>68</v>
      </c>
      <c r="H1639" s="705">
        <v>369</v>
      </c>
      <c r="I1639" s="705">
        <v>8413</v>
      </c>
      <c r="J1639" s="705">
        <v>7648</v>
      </c>
      <c r="K1639" s="705">
        <v>55</v>
      </c>
      <c r="L1639" s="705">
        <v>2839</v>
      </c>
      <c r="M1639" s="705">
        <v>1052</v>
      </c>
      <c r="N1639" s="705">
        <v>1661</v>
      </c>
      <c r="O1639" s="705">
        <v>615</v>
      </c>
      <c r="P1639" s="705">
        <v>0</v>
      </c>
      <c r="Q1639" s="705">
        <v>0</v>
      </c>
      <c r="R1639" s="705">
        <v>8000</v>
      </c>
      <c r="S1639" s="705">
        <v>7273</v>
      </c>
      <c r="T1639" s="705">
        <v>4232</v>
      </c>
      <c r="U1639" s="705">
        <v>1567</v>
      </c>
      <c r="V1639" s="705">
        <v>18155</v>
      </c>
      <c r="W1639" s="705">
        <f t="shared" si="70"/>
        <v>18155</v>
      </c>
      <c r="X1639" s="705">
        <f t="shared" si="71"/>
        <v>25145</v>
      </c>
    </row>
    <row r="1640" spans="2:24">
      <c r="B1640" t="s">
        <v>547</v>
      </c>
      <c r="C1640" t="s">
        <v>120</v>
      </c>
      <c r="D1640" t="s">
        <v>667</v>
      </c>
      <c r="E1640" t="s">
        <v>667</v>
      </c>
      <c r="F1640" s="705">
        <v>4</v>
      </c>
      <c r="G1640" s="705">
        <v>279</v>
      </c>
      <c r="H1640" s="705">
        <v>1304</v>
      </c>
      <c r="I1640" s="705">
        <v>53140</v>
      </c>
      <c r="J1640" s="705">
        <v>48309</v>
      </c>
      <c r="K1640" s="705">
        <v>58</v>
      </c>
      <c r="L1640" s="705">
        <v>7434</v>
      </c>
      <c r="M1640" s="705">
        <v>6759</v>
      </c>
      <c r="N1640" s="705">
        <v>4136</v>
      </c>
      <c r="O1640" s="705">
        <v>1532</v>
      </c>
      <c r="P1640" s="705">
        <v>1674</v>
      </c>
      <c r="Q1640" s="705">
        <v>620</v>
      </c>
      <c r="R1640" s="705">
        <v>22830</v>
      </c>
      <c r="S1640" s="705">
        <v>20754</v>
      </c>
      <c r="T1640" s="705">
        <v>2107</v>
      </c>
      <c r="U1640" s="705">
        <v>780</v>
      </c>
      <c r="V1640" s="705">
        <v>78754</v>
      </c>
      <c r="W1640" s="705">
        <f t="shared" si="70"/>
        <v>78754</v>
      </c>
      <c r="X1640" s="705">
        <f t="shared" si="71"/>
        <v>91321</v>
      </c>
    </row>
    <row r="1641" spans="2:24">
      <c r="B1641" t="s">
        <v>547</v>
      </c>
      <c r="C1641" t="s">
        <v>120</v>
      </c>
      <c r="D1641" t="s">
        <v>665</v>
      </c>
      <c r="E1641" t="s">
        <v>228</v>
      </c>
      <c r="F1641" s="705">
        <v>1</v>
      </c>
      <c r="G1641" s="705">
        <v>66</v>
      </c>
      <c r="H1641" s="705">
        <v>332</v>
      </c>
      <c r="I1641" s="705">
        <v>12688</v>
      </c>
      <c r="J1641" s="705">
        <v>11534</v>
      </c>
      <c r="K1641" s="705">
        <v>60</v>
      </c>
      <c r="L1641" s="705">
        <v>2076</v>
      </c>
      <c r="M1641" s="705">
        <v>769</v>
      </c>
      <c r="N1641" s="705">
        <v>1147</v>
      </c>
      <c r="O1641" s="705">
        <v>425</v>
      </c>
      <c r="P1641" s="705">
        <v>0</v>
      </c>
      <c r="Q1641" s="705">
        <v>0</v>
      </c>
      <c r="R1641" s="705">
        <v>5976</v>
      </c>
      <c r="S1641" s="705">
        <v>2213</v>
      </c>
      <c r="T1641" s="705">
        <v>0</v>
      </c>
      <c r="U1641" s="705">
        <v>0</v>
      </c>
      <c r="V1641" s="705">
        <v>14941</v>
      </c>
      <c r="W1641" s="705">
        <f t="shared" si="70"/>
        <v>14941</v>
      </c>
      <c r="X1641" s="705">
        <f t="shared" si="71"/>
        <v>21887</v>
      </c>
    </row>
    <row r="1642" spans="2:24">
      <c r="B1642" t="s">
        <v>547</v>
      </c>
      <c r="C1642" t="s">
        <v>120</v>
      </c>
      <c r="D1642" t="s">
        <v>665</v>
      </c>
      <c r="E1642" t="s">
        <v>665</v>
      </c>
      <c r="F1642" s="705">
        <v>124</v>
      </c>
      <c r="G1642" s="705">
        <v>9972</v>
      </c>
      <c r="H1642" s="705">
        <v>42262</v>
      </c>
      <c r="I1642" s="705">
        <v>1895937</v>
      </c>
      <c r="J1642" s="705">
        <v>1723579</v>
      </c>
      <c r="K1642" s="705">
        <v>49</v>
      </c>
      <c r="L1642" s="705">
        <v>273684</v>
      </c>
      <c r="M1642" s="705">
        <v>229753</v>
      </c>
      <c r="N1642" s="705">
        <v>194351</v>
      </c>
      <c r="O1642" s="705">
        <v>71982</v>
      </c>
      <c r="P1642" s="705">
        <v>45509</v>
      </c>
      <c r="Q1642" s="705">
        <v>16855</v>
      </c>
      <c r="R1642" s="705">
        <v>727421</v>
      </c>
      <c r="S1642" s="705">
        <v>661292</v>
      </c>
      <c r="T1642" s="705">
        <v>269731</v>
      </c>
      <c r="U1642" s="705">
        <v>99901</v>
      </c>
      <c r="V1642" s="705">
        <v>2803361</v>
      </c>
      <c r="W1642" s="705">
        <f t="shared" si="70"/>
        <v>2803362</v>
      </c>
      <c r="X1642" s="705">
        <f t="shared" si="71"/>
        <v>3406633</v>
      </c>
    </row>
    <row r="1643" spans="2:24">
      <c r="B1643" t="s">
        <v>547</v>
      </c>
      <c r="C1643" t="s">
        <v>120</v>
      </c>
      <c r="D1643" t="s">
        <v>673</v>
      </c>
      <c r="E1643" t="s">
        <v>673</v>
      </c>
      <c r="F1643" s="705">
        <v>8</v>
      </c>
      <c r="G1643" s="705">
        <v>614</v>
      </c>
      <c r="H1643" s="705">
        <v>2813</v>
      </c>
      <c r="I1643" s="705">
        <v>127483</v>
      </c>
      <c r="J1643" s="705">
        <v>115893</v>
      </c>
      <c r="K1643" s="705">
        <v>54</v>
      </c>
      <c r="L1643" s="705">
        <v>19216</v>
      </c>
      <c r="M1643" s="705">
        <v>15795</v>
      </c>
      <c r="N1643" s="705">
        <v>11158</v>
      </c>
      <c r="O1643" s="705">
        <v>4133</v>
      </c>
      <c r="P1643" s="705">
        <v>2808</v>
      </c>
      <c r="Q1643" s="705">
        <v>1040</v>
      </c>
      <c r="R1643" s="705">
        <v>37761</v>
      </c>
      <c r="S1643" s="705">
        <v>34328</v>
      </c>
      <c r="T1643" s="705">
        <v>18203</v>
      </c>
      <c r="U1643" s="705">
        <v>6742</v>
      </c>
      <c r="V1643" s="705">
        <v>177931</v>
      </c>
      <c r="W1643" s="705">
        <f t="shared" ref="W1643:W1706" si="72">SUM(ABS(J1643),ABS(M1643),ABS(O1643),ABS(Q1643),ABS(S1643),ABS(U1643))</f>
        <v>177931</v>
      </c>
      <c r="X1643" s="705">
        <f t="shared" ref="X1643:X1706" si="73">SUM(ABS(I1643),ABS(N1643),ABS(P1643),ABS(R1643),ABS(T1643),ABS(L1643))</f>
        <v>216629</v>
      </c>
    </row>
    <row r="1644" spans="2:24">
      <c r="B1644" t="s">
        <v>547</v>
      </c>
      <c r="C1644" t="s">
        <v>120</v>
      </c>
      <c r="D1644" t="s">
        <v>585</v>
      </c>
      <c r="E1644" t="s">
        <v>585</v>
      </c>
      <c r="F1644" s="705">
        <v>1</v>
      </c>
      <c r="G1644" s="705">
        <v>74</v>
      </c>
      <c r="H1644" s="705">
        <v>323</v>
      </c>
      <c r="I1644" s="705">
        <v>13810</v>
      </c>
      <c r="J1644" s="705">
        <v>12555</v>
      </c>
      <c r="K1644" s="705">
        <v>65</v>
      </c>
      <c r="L1644" s="705">
        <v>2216</v>
      </c>
      <c r="M1644" s="705">
        <v>2015</v>
      </c>
      <c r="N1644" s="705">
        <v>1007</v>
      </c>
      <c r="O1644" s="705">
        <v>373</v>
      </c>
      <c r="P1644" s="705">
        <v>702</v>
      </c>
      <c r="Q1644" s="705">
        <v>260</v>
      </c>
      <c r="R1644" s="705">
        <v>4032</v>
      </c>
      <c r="S1644" s="705">
        <v>3666</v>
      </c>
      <c r="T1644" s="705">
        <v>2082</v>
      </c>
      <c r="U1644" s="705">
        <v>771</v>
      </c>
      <c r="V1644" s="705">
        <v>19640</v>
      </c>
      <c r="W1644" s="705">
        <f t="shared" si="72"/>
        <v>19640</v>
      </c>
      <c r="X1644" s="705">
        <f t="shared" si="73"/>
        <v>23849</v>
      </c>
    </row>
    <row r="1645" spans="2:24">
      <c r="B1645" t="s">
        <v>547</v>
      </c>
      <c r="C1645" t="s">
        <v>120</v>
      </c>
      <c r="D1645" t="s">
        <v>668</v>
      </c>
      <c r="E1645" t="s">
        <v>668</v>
      </c>
      <c r="F1645" s="705">
        <v>1</v>
      </c>
      <c r="G1645" s="705">
        <v>75</v>
      </c>
      <c r="H1645" s="705">
        <v>360</v>
      </c>
      <c r="I1645" s="705">
        <v>15357</v>
      </c>
      <c r="J1645" s="705">
        <v>13961</v>
      </c>
      <c r="K1645" s="705">
        <v>60</v>
      </c>
      <c r="L1645" s="705">
        <v>3413</v>
      </c>
      <c r="M1645" s="705">
        <v>3102</v>
      </c>
      <c r="N1645" s="705">
        <v>908</v>
      </c>
      <c r="O1645" s="705">
        <v>336</v>
      </c>
      <c r="P1645" s="705">
        <v>351</v>
      </c>
      <c r="Q1645" s="705">
        <v>130</v>
      </c>
      <c r="R1645" s="705">
        <v>4567</v>
      </c>
      <c r="S1645" s="705">
        <v>4152</v>
      </c>
      <c r="T1645" s="705">
        <v>2226</v>
      </c>
      <c r="U1645" s="705">
        <v>824</v>
      </c>
      <c r="V1645" s="705">
        <v>22506</v>
      </c>
      <c r="W1645" s="705">
        <f t="shared" si="72"/>
        <v>22505</v>
      </c>
      <c r="X1645" s="705">
        <f t="shared" si="73"/>
        <v>26822</v>
      </c>
    </row>
    <row r="1646" spans="2:24">
      <c r="B1646" t="s">
        <v>547</v>
      </c>
      <c r="C1646" t="s">
        <v>122</v>
      </c>
      <c r="D1646" t="s">
        <v>582</v>
      </c>
      <c r="E1646" t="s">
        <v>582</v>
      </c>
      <c r="F1646" s="705">
        <v>1</v>
      </c>
      <c r="G1646" s="705">
        <v>113</v>
      </c>
      <c r="H1646" s="705">
        <v>389</v>
      </c>
      <c r="I1646" s="705">
        <v>28332</v>
      </c>
      <c r="J1646" s="705">
        <v>25756</v>
      </c>
      <c r="K1646" s="705">
        <v>55</v>
      </c>
      <c r="L1646" s="705">
        <v>3652</v>
      </c>
      <c r="M1646" s="705">
        <v>3320</v>
      </c>
      <c r="N1646" s="705">
        <v>2434</v>
      </c>
      <c r="O1646" s="705">
        <v>902</v>
      </c>
      <c r="P1646" s="705">
        <v>351</v>
      </c>
      <c r="Q1646" s="705">
        <v>130</v>
      </c>
      <c r="R1646" s="705">
        <v>6242</v>
      </c>
      <c r="S1646" s="705">
        <v>5674</v>
      </c>
      <c r="T1646" s="705">
        <v>2856</v>
      </c>
      <c r="U1646" s="705">
        <v>1058</v>
      </c>
      <c r="V1646" s="705">
        <v>36839</v>
      </c>
      <c r="W1646" s="705">
        <f t="shared" si="72"/>
        <v>36840</v>
      </c>
      <c r="X1646" s="705">
        <f t="shared" si="73"/>
        <v>43867</v>
      </c>
    </row>
    <row r="1647" spans="2:24">
      <c r="B1647" t="s">
        <v>547</v>
      </c>
      <c r="C1647" t="s">
        <v>122</v>
      </c>
      <c r="D1647" t="s">
        <v>228</v>
      </c>
      <c r="E1647" t="s">
        <v>228</v>
      </c>
      <c r="F1647" s="705">
        <v>19</v>
      </c>
      <c r="G1647" s="705">
        <v>1281</v>
      </c>
      <c r="H1647" s="705">
        <v>7856</v>
      </c>
      <c r="I1647" s="705">
        <v>312444</v>
      </c>
      <c r="J1647" s="705">
        <v>115720</v>
      </c>
      <c r="K1647" s="705">
        <v>100</v>
      </c>
      <c r="L1647" s="705">
        <v>47353</v>
      </c>
      <c r="M1647" s="705">
        <v>31798</v>
      </c>
      <c r="N1647" s="705">
        <v>28725</v>
      </c>
      <c r="O1647" s="705">
        <v>10639</v>
      </c>
      <c r="P1647" s="705">
        <v>0</v>
      </c>
      <c r="Q1647" s="705">
        <v>0</v>
      </c>
      <c r="R1647" s="705">
        <v>142617</v>
      </c>
      <c r="S1647" s="705">
        <v>52821</v>
      </c>
      <c r="T1647" s="705">
        <v>0</v>
      </c>
      <c r="U1647" s="705">
        <v>0</v>
      </c>
      <c r="V1647" s="705">
        <v>210978</v>
      </c>
      <c r="W1647" s="705">
        <f t="shared" si="72"/>
        <v>210978</v>
      </c>
      <c r="X1647" s="705">
        <f t="shared" si="73"/>
        <v>531139</v>
      </c>
    </row>
    <row r="1648" spans="2:24">
      <c r="B1648" t="s">
        <v>547</v>
      </c>
      <c r="C1648" t="s">
        <v>122</v>
      </c>
      <c r="D1648" t="s">
        <v>228</v>
      </c>
      <c r="E1648" t="s">
        <v>583</v>
      </c>
      <c r="F1648" s="705">
        <v>1</v>
      </c>
      <c r="G1648" s="705">
        <v>192</v>
      </c>
      <c r="H1648" s="705">
        <v>443</v>
      </c>
      <c r="I1648" s="705">
        <v>63614</v>
      </c>
      <c r="J1648" s="705">
        <v>23561</v>
      </c>
      <c r="K1648" s="705">
        <v>100</v>
      </c>
      <c r="L1648" s="705">
        <v>4799</v>
      </c>
      <c r="M1648" s="705">
        <v>4363</v>
      </c>
      <c r="N1648" s="705">
        <v>4687</v>
      </c>
      <c r="O1648" s="705">
        <v>1736</v>
      </c>
      <c r="P1648" s="705">
        <v>270</v>
      </c>
      <c r="Q1648" s="705">
        <v>100</v>
      </c>
      <c r="R1648" s="705">
        <v>7621</v>
      </c>
      <c r="S1648" s="705">
        <v>6928</v>
      </c>
      <c r="T1648" s="705">
        <v>4165</v>
      </c>
      <c r="U1648" s="705">
        <v>1543</v>
      </c>
      <c r="V1648" s="705">
        <v>38231</v>
      </c>
      <c r="W1648" s="705">
        <f t="shared" si="72"/>
        <v>38231</v>
      </c>
      <c r="X1648" s="705">
        <f t="shared" si="73"/>
        <v>85156</v>
      </c>
    </row>
    <row r="1649" spans="2:24">
      <c r="B1649" t="s">
        <v>547</v>
      </c>
      <c r="C1649" t="s">
        <v>122</v>
      </c>
      <c r="D1649" t="s">
        <v>228</v>
      </c>
      <c r="E1649" t="s">
        <v>665</v>
      </c>
      <c r="F1649" s="705">
        <v>6</v>
      </c>
      <c r="G1649" s="705">
        <v>419</v>
      </c>
      <c r="H1649" s="705">
        <v>2501</v>
      </c>
      <c r="I1649" s="705">
        <v>97731</v>
      </c>
      <c r="J1649" s="705">
        <v>36197</v>
      </c>
      <c r="K1649" s="705">
        <v>100</v>
      </c>
      <c r="L1649" s="705">
        <v>13697</v>
      </c>
      <c r="M1649" s="705">
        <v>12452</v>
      </c>
      <c r="N1649" s="705">
        <v>8691</v>
      </c>
      <c r="O1649" s="705">
        <v>3219</v>
      </c>
      <c r="P1649" s="705">
        <v>1053</v>
      </c>
      <c r="Q1649" s="705">
        <v>390</v>
      </c>
      <c r="R1649" s="705">
        <v>38474</v>
      </c>
      <c r="S1649" s="705">
        <v>34977</v>
      </c>
      <c r="T1649" s="705">
        <v>15931</v>
      </c>
      <c r="U1649" s="705">
        <v>5900</v>
      </c>
      <c r="V1649" s="705">
        <v>93134</v>
      </c>
      <c r="W1649" s="705">
        <f t="shared" si="72"/>
        <v>93135</v>
      </c>
      <c r="X1649" s="705">
        <f t="shared" si="73"/>
        <v>175577</v>
      </c>
    </row>
    <row r="1650" spans="2:24">
      <c r="B1650" t="s">
        <v>547</v>
      </c>
      <c r="C1650" t="s">
        <v>122</v>
      </c>
      <c r="D1650" t="s">
        <v>583</v>
      </c>
      <c r="E1650" t="s">
        <v>228</v>
      </c>
      <c r="F1650" s="705">
        <v>1</v>
      </c>
      <c r="G1650" s="705">
        <v>90</v>
      </c>
      <c r="H1650" s="705">
        <v>437</v>
      </c>
      <c r="I1650" s="705">
        <v>24900</v>
      </c>
      <c r="J1650" s="705">
        <v>22637</v>
      </c>
      <c r="K1650" s="705">
        <v>79</v>
      </c>
      <c r="L1650" s="705">
        <v>6917</v>
      </c>
      <c r="M1650" s="705">
        <v>6288</v>
      </c>
      <c r="N1650" s="705">
        <v>2201</v>
      </c>
      <c r="O1650" s="705">
        <v>815</v>
      </c>
      <c r="P1650" s="705">
        <v>621</v>
      </c>
      <c r="Q1650" s="705">
        <v>230</v>
      </c>
      <c r="R1650" s="705">
        <v>4784</v>
      </c>
      <c r="S1650" s="705">
        <v>1772</v>
      </c>
      <c r="T1650" s="705">
        <v>0</v>
      </c>
      <c r="U1650" s="705">
        <v>0</v>
      </c>
      <c r="V1650" s="705">
        <v>31742</v>
      </c>
      <c r="W1650" s="705">
        <f t="shared" si="72"/>
        <v>31742</v>
      </c>
      <c r="X1650" s="705">
        <f t="shared" si="73"/>
        <v>39423</v>
      </c>
    </row>
    <row r="1651" spans="2:24">
      <c r="B1651" t="s">
        <v>547</v>
      </c>
      <c r="C1651" t="s">
        <v>122</v>
      </c>
      <c r="D1651" t="s">
        <v>583</v>
      </c>
      <c r="E1651" t="s">
        <v>583</v>
      </c>
      <c r="F1651" s="705">
        <v>42</v>
      </c>
      <c r="G1651" s="705">
        <v>4283</v>
      </c>
      <c r="H1651" s="705">
        <v>17240</v>
      </c>
      <c r="I1651" s="705">
        <v>1115328</v>
      </c>
      <c r="J1651" s="705">
        <v>1013935</v>
      </c>
      <c r="K1651" s="705">
        <v>73</v>
      </c>
      <c r="L1651" s="705">
        <v>226880</v>
      </c>
      <c r="M1651" s="705">
        <v>196319</v>
      </c>
      <c r="N1651" s="705">
        <v>93108</v>
      </c>
      <c r="O1651" s="705">
        <v>34484</v>
      </c>
      <c r="P1651" s="705">
        <v>26784</v>
      </c>
      <c r="Q1651" s="705">
        <v>9920</v>
      </c>
      <c r="R1651" s="705">
        <v>196236</v>
      </c>
      <c r="S1651" s="705">
        <v>178396</v>
      </c>
      <c r="T1651" s="705">
        <v>98518</v>
      </c>
      <c r="U1651" s="705">
        <v>36488</v>
      </c>
      <c r="V1651" s="705">
        <v>1469543</v>
      </c>
      <c r="W1651" s="705">
        <f t="shared" si="72"/>
        <v>1469542</v>
      </c>
      <c r="X1651" s="705">
        <f t="shared" si="73"/>
        <v>1756854</v>
      </c>
    </row>
    <row r="1652" spans="2:24">
      <c r="B1652" t="s">
        <v>547</v>
      </c>
      <c r="C1652" t="s">
        <v>122</v>
      </c>
      <c r="D1652" t="s">
        <v>666</v>
      </c>
      <c r="E1652" t="s">
        <v>666</v>
      </c>
      <c r="F1652" s="705">
        <v>1</v>
      </c>
      <c r="G1652" s="705">
        <v>77</v>
      </c>
      <c r="H1652" s="705">
        <v>397</v>
      </c>
      <c r="I1652" s="705">
        <v>17712</v>
      </c>
      <c r="J1652" s="705">
        <v>16101</v>
      </c>
      <c r="K1652" s="705">
        <v>55</v>
      </c>
      <c r="L1652" s="705">
        <v>3608</v>
      </c>
      <c r="M1652" s="705">
        <v>3280</v>
      </c>
      <c r="N1652" s="705">
        <v>1535</v>
      </c>
      <c r="O1652" s="705">
        <v>568</v>
      </c>
      <c r="P1652" s="705">
        <v>351</v>
      </c>
      <c r="Q1652" s="705">
        <v>130</v>
      </c>
      <c r="R1652" s="705">
        <v>5028</v>
      </c>
      <c r="S1652" s="705">
        <v>4571</v>
      </c>
      <c r="T1652" s="705">
        <v>2256</v>
      </c>
      <c r="U1652" s="705">
        <v>836</v>
      </c>
      <c r="V1652" s="705">
        <v>25486</v>
      </c>
      <c r="W1652" s="705">
        <f t="shared" si="72"/>
        <v>25486</v>
      </c>
      <c r="X1652" s="705">
        <f t="shared" si="73"/>
        <v>30490</v>
      </c>
    </row>
    <row r="1653" spans="2:24">
      <c r="B1653" t="s">
        <v>547</v>
      </c>
      <c r="C1653" t="s">
        <v>122</v>
      </c>
      <c r="D1653" t="s">
        <v>671</v>
      </c>
      <c r="E1653" t="s">
        <v>671</v>
      </c>
      <c r="F1653" s="705">
        <v>1</v>
      </c>
      <c r="G1653" s="705">
        <v>88</v>
      </c>
      <c r="H1653" s="705">
        <v>417</v>
      </c>
      <c r="I1653" s="705">
        <v>21772</v>
      </c>
      <c r="J1653" s="705">
        <v>19793</v>
      </c>
      <c r="K1653" s="705">
        <v>45</v>
      </c>
      <c r="L1653" s="705">
        <v>3629</v>
      </c>
      <c r="M1653" s="705">
        <v>3299</v>
      </c>
      <c r="N1653" s="705">
        <v>1896</v>
      </c>
      <c r="O1653" s="705">
        <v>702</v>
      </c>
      <c r="P1653" s="705">
        <v>351</v>
      </c>
      <c r="Q1653" s="705">
        <v>130</v>
      </c>
      <c r="R1653" s="705">
        <v>6677</v>
      </c>
      <c r="S1653" s="705">
        <v>6070</v>
      </c>
      <c r="T1653" s="705">
        <v>2545</v>
      </c>
      <c r="U1653" s="705">
        <v>943</v>
      </c>
      <c r="V1653" s="705">
        <v>30937</v>
      </c>
      <c r="W1653" s="705">
        <f t="shared" si="72"/>
        <v>30937</v>
      </c>
      <c r="X1653" s="705">
        <f t="shared" si="73"/>
        <v>36870</v>
      </c>
    </row>
    <row r="1654" spans="2:24">
      <c r="B1654" t="s">
        <v>547</v>
      </c>
      <c r="C1654" t="s">
        <v>122</v>
      </c>
      <c r="D1654" t="s">
        <v>665</v>
      </c>
      <c r="E1654" t="s">
        <v>665</v>
      </c>
      <c r="F1654" s="705">
        <v>68</v>
      </c>
      <c r="G1654" s="705">
        <v>4885</v>
      </c>
      <c r="H1654" s="705">
        <v>28306</v>
      </c>
      <c r="I1654" s="705">
        <v>1191205</v>
      </c>
      <c r="J1654" s="705">
        <v>1082914</v>
      </c>
      <c r="K1654" s="705">
        <v>47</v>
      </c>
      <c r="L1654" s="705">
        <v>159520</v>
      </c>
      <c r="M1654" s="705">
        <v>128188</v>
      </c>
      <c r="N1654" s="705">
        <v>97439</v>
      </c>
      <c r="O1654" s="705">
        <v>36089</v>
      </c>
      <c r="P1654" s="705">
        <v>24138</v>
      </c>
      <c r="Q1654" s="705">
        <v>8940</v>
      </c>
      <c r="R1654" s="705">
        <v>407662</v>
      </c>
      <c r="S1654" s="705">
        <v>370602</v>
      </c>
      <c r="T1654" s="705">
        <v>146313</v>
      </c>
      <c r="U1654" s="705">
        <v>54190</v>
      </c>
      <c r="V1654" s="705">
        <v>1680922</v>
      </c>
      <c r="W1654" s="705">
        <f t="shared" si="72"/>
        <v>1680923</v>
      </c>
      <c r="X1654" s="705">
        <f t="shared" si="73"/>
        <v>2026277</v>
      </c>
    </row>
    <row r="1655" spans="2:24">
      <c r="B1655" t="s">
        <v>547</v>
      </c>
      <c r="C1655" t="s">
        <v>124</v>
      </c>
      <c r="F1655" s="705">
        <v>1</v>
      </c>
      <c r="G1655" s="705">
        <v>236</v>
      </c>
      <c r="H1655" s="705">
        <v>648</v>
      </c>
      <c r="I1655" s="705"/>
      <c r="J1655" s="705">
        <v>0</v>
      </c>
      <c r="K1655" s="705"/>
      <c r="L1655" s="705"/>
      <c r="M1655" s="705">
        <v>0</v>
      </c>
      <c r="N1655" s="705">
        <v>4768</v>
      </c>
      <c r="O1655" s="705">
        <v>1766</v>
      </c>
      <c r="P1655" s="705">
        <v>621</v>
      </c>
      <c r="Q1655" s="705">
        <v>230</v>
      </c>
      <c r="R1655" s="705"/>
      <c r="S1655" s="705">
        <v>0</v>
      </c>
      <c r="T1655" s="705">
        <v>0</v>
      </c>
      <c r="U1655" s="705">
        <v>0</v>
      </c>
      <c r="V1655" s="705">
        <v>1996</v>
      </c>
      <c r="W1655" s="705">
        <f t="shared" si="72"/>
        <v>1996</v>
      </c>
      <c r="X1655" s="705">
        <f t="shared" si="73"/>
        <v>5389</v>
      </c>
    </row>
    <row r="1656" spans="2:24">
      <c r="B1656" t="s">
        <v>547</v>
      </c>
      <c r="C1656" t="s">
        <v>124</v>
      </c>
      <c r="D1656" t="s">
        <v>664</v>
      </c>
      <c r="E1656" t="s">
        <v>664</v>
      </c>
      <c r="F1656" s="705">
        <v>1</v>
      </c>
      <c r="G1656" s="705">
        <v>74</v>
      </c>
      <c r="H1656" s="705">
        <v>513</v>
      </c>
      <c r="I1656" s="705">
        <v>24683</v>
      </c>
      <c r="J1656" s="705">
        <v>22439</v>
      </c>
      <c r="K1656" s="705">
        <v>65</v>
      </c>
      <c r="L1656" s="705">
        <v>4160</v>
      </c>
      <c r="M1656" s="705">
        <v>1541</v>
      </c>
      <c r="N1656" s="705">
        <v>1794</v>
      </c>
      <c r="O1656" s="705">
        <v>665</v>
      </c>
      <c r="P1656" s="705">
        <v>473</v>
      </c>
      <c r="Q1656" s="705">
        <v>175</v>
      </c>
      <c r="R1656" s="705">
        <v>4421</v>
      </c>
      <c r="S1656" s="705">
        <v>4019</v>
      </c>
      <c r="T1656" s="705">
        <v>2213</v>
      </c>
      <c r="U1656" s="705">
        <v>820</v>
      </c>
      <c r="V1656" s="705">
        <v>29658</v>
      </c>
      <c r="W1656" s="705">
        <f t="shared" si="72"/>
        <v>29659</v>
      </c>
      <c r="X1656" s="705">
        <f t="shared" si="73"/>
        <v>37744</v>
      </c>
    </row>
    <row r="1657" spans="2:24">
      <c r="B1657" t="s">
        <v>547</v>
      </c>
      <c r="C1657" t="s">
        <v>124</v>
      </c>
      <c r="D1657" t="s">
        <v>228</v>
      </c>
      <c r="E1657" t="s">
        <v>228</v>
      </c>
      <c r="F1657" s="705">
        <v>17</v>
      </c>
      <c r="G1657" s="705">
        <v>1306</v>
      </c>
      <c r="H1657" s="705">
        <v>10982</v>
      </c>
      <c r="I1657" s="705">
        <v>629945</v>
      </c>
      <c r="J1657" s="705">
        <v>233313</v>
      </c>
      <c r="K1657" s="705">
        <v>100</v>
      </c>
      <c r="L1657" s="705">
        <v>107730</v>
      </c>
      <c r="M1657" s="705">
        <v>95560</v>
      </c>
      <c r="N1657" s="705">
        <v>29897</v>
      </c>
      <c r="O1657" s="705">
        <v>11073</v>
      </c>
      <c r="P1657" s="705">
        <v>0</v>
      </c>
      <c r="Q1657" s="705">
        <v>0</v>
      </c>
      <c r="R1657" s="705">
        <v>104720</v>
      </c>
      <c r="S1657" s="705">
        <v>38785</v>
      </c>
      <c r="T1657" s="705">
        <v>0</v>
      </c>
      <c r="U1657" s="705">
        <v>0</v>
      </c>
      <c r="V1657" s="705">
        <v>378732</v>
      </c>
      <c r="W1657" s="705">
        <f t="shared" si="72"/>
        <v>378731</v>
      </c>
      <c r="X1657" s="705">
        <f t="shared" si="73"/>
        <v>872292</v>
      </c>
    </row>
    <row r="1658" spans="2:24">
      <c r="B1658" t="s">
        <v>547</v>
      </c>
      <c r="C1658" t="s">
        <v>124</v>
      </c>
      <c r="D1658" t="s">
        <v>228</v>
      </c>
      <c r="E1658" t="s">
        <v>583</v>
      </c>
      <c r="F1658" s="705">
        <v>1</v>
      </c>
      <c r="G1658" s="705">
        <v>91</v>
      </c>
      <c r="H1658" s="705">
        <v>675</v>
      </c>
      <c r="I1658" s="705">
        <v>48050</v>
      </c>
      <c r="J1658" s="705">
        <v>17796</v>
      </c>
      <c r="K1658" s="705">
        <v>100</v>
      </c>
      <c r="L1658" s="705">
        <v>3625</v>
      </c>
      <c r="M1658" s="705">
        <v>3296</v>
      </c>
      <c r="N1658" s="705">
        <v>2229</v>
      </c>
      <c r="O1658" s="705">
        <v>826</v>
      </c>
      <c r="P1658" s="705">
        <v>0</v>
      </c>
      <c r="Q1658" s="705">
        <v>0</v>
      </c>
      <c r="R1658" s="705">
        <v>5186</v>
      </c>
      <c r="S1658" s="705">
        <v>4714</v>
      </c>
      <c r="T1658" s="705">
        <v>2674</v>
      </c>
      <c r="U1658" s="705">
        <v>991</v>
      </c>
      <c r="V1658" s="705">
        <v>27622</v>
      </c>
      <c r="W1658" s="705">
        <f t="shared" si="72"/>
        <v>27623</v>
      </c>
      <c r="X1658" s="705">
        <f t="shared" si="73"/>
        <v>61764</v>
      </c>
    </row>
    <row r="1659" spans="2:24">
      <c r="B1659" t="s">
        <v>547</v>
      </c>
      <c r="C1659" t="s">
        <v>124</v>
      </c>
      <c r="D1659" t="s">
        <v>228</v>
      </c>
      <c r="E1659" t="s">
        <v>665</v>
      </c>
      <c r="F1659" s="705">
        <v>13</v>
      </c>
      <c r="G1659" s="705">
        <v>920</v>
      </c>
      <c r="H1659" s="705">
        <v>7984</v>
      </c>
      <c r="I1659" s="705">
        <v>401029</v>
      </c>
      <c r="J1659" s="705">
        <v>148529</v>
      </c>
      <c r="K1659" s="705">
        <v>100</v>
      </c>
      <c r="L1659" s="705">
        <v>42478</v>
      </c>
      <c r="M1659" s="705">
        <v>33947</v>
      </c>
      <c r="N1659" s="705">
        <v>20831</v>
      </c>
      <c r="O1659" s="705">
        <v>7715</v>
      </c>
      <c r="P1659" s="705">
        <v>1755</v>
      </c>
      <c r="Q1659" s="705">
        <v>650</v>
      </c>
      <c r="R1659" s="705">
        <v>73667</v>
      </c>
      <c r="S1659" s="705">
        <v>66970</v>
      </c>
      <c r="T1659" s="705">
        <v>28711</v>
      </c>
      <c r="U1659" s="705">
        <v>10634</v>
      </c>
      <c r="V1659" s="705">
        <v>268445</v>
      </c>
      <c r="W1659" s="705">
        <f t="shared" si="72"/>
        <v>268445</v>
      </c>
      <c r="X1659" s="705">
        <f t="shared" si="73"/>
        <v>568471</v>
      </c>
    </row>
    <row r="1660" spans="2:24">
      <c r="B1660" t="s">
        <v>547</v>
      </c>
      <c r="C1660" t="s">
        <v>124</v>
      </c>
      <c r="D1660" t="s">
        <v>583</v>
      </c>
      <c r="E1660" t="s">
        <v>583</v>
      </c>
      <c r="F1660" s="705">
        <v>29</v>
      </c>
      <c r="G1660" s="705">
        <v>2663</v>
      </c>
      <c r="H1660" s="705">
        <v>15646</v>
      </c>
      <c r="I1660" s="705">
        <v>938313</v>
      </c>
      <c r="J1660" s="705">
        <v>853012</v>
      </c>
      <c r="K1660" s="705">
        <v>72</v>
      </c>
      <c r="L1660" s="705">
        <v>209993</v>
      </c>
      <c r="M1660" s="705">
        <v>182983</v>
      </c>
      <c r="N1660" s="705">
        <v>59814</v>
      </c>
      <c r="O1660" s="705">
        <v>22153</v>
      </c>
      <c r="P1660" s="705">
        <v>18711</v>
      </c>
      <c r="Q1660" s="705">
        <v>6930</v>
      </c>
      <c r="R1660" s="705">
        <v>138113</v>
      </c>
      <c r="S1660" s="705">
        <v>125558</v>
      </c>
      <c r="T1660" s="705">
        <v>62156</v>
      </c>
      <c r="U1660" s="705">
        <v>23021</v>
      </c>
      <c r="V1660" s="705">
        <v>1213656</v>
      </c>
      <c r="W1660" s="705">
        <f t="shared" si="72"/>
        <v>1213657</v>
      </c>
      <c r="X1660" s="705">
        <f t="shared" si="73"/>
        <v>1427100</v>
      </c>
    </row>
    <row r="1661" spans="2:24">
      <c r="B1661" t="s">
        <v>547</v>
      </c>
      <c r="C1661" t="s">
        <v>124</v>
      </c>
      <c r="D1661" t="s">
        <v>583</v>
      </c>
      <c r="E1661" t="s">
        <v>666</v>
      </c>
      <c r="F1661" s="705">
        <v>1</v>
      </c>
      <c r="G1661" s="705">
        <v>131</v>
      </c>
      <c r="H1661" s="705">
        <v>494</v>
      </c>
      <c r="I1661" s="705">
        <v>43295</v>
      </c>
      <c r="J1661" s="705">
        <v>39359</v>
      </c>
      <c r="K1661" s="705">
        <v>65</v>
      </c>
      <c r="L1661" s="705">
        <v>9910</v>
      </c>
      <c r="M1661" s="705">
        <v>9009</v>
      </c>
      <c r="N1661" s="705">
        <v>2769</v>
      </c>
      <c r="O1661" s="705">
        <v>1026</v>
      </c>
      <c r="P1661" s="705">
        <v>621</v>
      </c>
      <c r="Q1661" s="705">
        <v>230</v>
      </c>
      <c r="R1661" s="705">
        <v>5399</v>
      </c>
      <c r="S1661" s="705">
        <v>4908</v>
      </c>
      <c r="T1661" s="705">
        <v>2943</v>
      </c>
      <c r="U1661" s="705">
        <v>1090</v>
      </c>
      <c r="V1661" s="705">
        <v>55621</v>
      </c>
      <c r="W1661" s="705">
        <f t="shared" si="72"/>
        <v>55622</v>
      </c>
      <c r="X1661" s="705">
        <f t="shared" si="73"/>
        <v>64937</v>
      </c>
    </row>
    <row r="1662" spans="2:24">
      <c r="B1662" t="s">
        <v>547</v>
      </c>
      <c r="C1662" t="s">
        <v>124</v>
      </c>
      <c r="D1662" t="s">
        <v>583</v>
      </c>
      <c r="E1662" t="s">
        <v>665</v>
      </c>
      <c r="F1662" s="705">
        <v>1</v>
      </c>
      <c r="G1662" s="705">
        <v>179</v>
      </c>
      <c r="H1662" s="705">
        <v>481</v>
      </c>
      <c r="I1662" s="705">
        <v>61641</v>
      </c>
      <c r="J1662" s="705">
        <v>56037</v>
      </c>
      <c r="K1662" s="705">
        <v>65</v>
      </c>
      <c r="L1662" s="705">
        <v>9406</v>
      </c>
      <c r="M1662" s="705">
        <v>8551</v>
      </c>
      <c r="N1662" s="705">
        <v>3716</v>
      </c>
      <c r="O1662" s="705">
        <v>1376</v>
      </c>
      <c r="P1662" s="705">
        <v>972</v>
      </c>
      <c r="Q1662" s="705">
        <v>360</v>
      </c>
      <c r="R1662" s="705">
        <v>6378</v>
      </c>
      <c r="S1662" s="705">
        <v>5798</v>
      </c>
      <c r="T1662" s="705">
        <v>4218</v>
      </c>
      <c r="U1662" s="705">
        <v>1562</v>
      </c>
      <c r="V1662" s="705">
        <v>73684</v>
      </c>
      <c r="W1662" s="705">
        <f t="shared" si="72"/>
        <v>73684</v>
      </c>
      <c r="X1662" s="705">
        <f t="shared" si="73"/>
        <v>86331</v>
      </c>
    </row>
    <row r="1663" spans="2:24">
      <c r="B1663" t="s">
        <v>547</v>
      </c>
      <c r="C1663" t="s">
        <v>124</v>
      </c>
      <c r="D1663" t="s">
        <v>666</v>
      </c>
      <c r="E1663" t="s">
        <v>666</v>
      </c>
      <c r="F1663" s="705">
        <v>1</v>
      </c>
      <c r="G1663" s="705">
        <v>88</v>
      </c>
      <c r="H1663" s="705">
        <v>650</v>
      </c>
      <c r="I1663" s="705">
        <v>38919</v>
      </c>
      <c r="J1663" s="705">
        <v>35381</v>
      </c>
      <c r="K1663" s="705">
        <v>45</v>
      </c>
      <c r="L1663" s="705">
        <v>6487</v>
      </c>
      <c r="M1663" s="705">
        <v>5897</v>
      </c>
      <c r="N1663" s="705">
        <v>1708</v>
      </c>
      <c r="O1663" s="705">
        <v>632</v>
      </c>
      <c r="P1663" s="705">
        <v>351</v>
      </c>
      <c r="Q1663" s="705">
        <v>130</v>
      </c>
      <c r="R1663" s="705">
        <v>6821</v>
      </c>
      <c r="S1663" s="705">
        <v>6201</v>
      </c>
      <c r="T1663" s="705">
        <v>2624</v>
      </c>
      <c r="U1663" s="705">
        <v>972</v>
      </c>
      <c r="V1663" s="705">
        <v>49213</v>
      </c>
      <c r="W1663" s="705">
        <f t="shared" si="72"/>
        <v>49213</v>
      </c>
      <c r="X1663" s="705">
        <f t="shared" si="73"/>
        <v>56910</v>
      </c>
    </row>
    <row r="1664" spans="2:24">
      <c r="B1664" t="s">
        <v>547</v>
      </c>
      <c r="C1664" t="s">
        <v>124</v>
      </c>
      <c r="D1664" t="s">
        <v>667</v>
      </c>
      <c r="E1664" t="s">
        <v>667</v>
      </c>
      <c r="F1664" s="705">
        <v>1</v>
      </c>
      <c r="G1664" s="705">
        <v>90</v>
      </c>
      <c r="H1664" s="705">
        <v>632</v>
      </c>
      <c r="I1664" s="705">
        <v>40283</v>
      </c>
      <c r="J1664" s="705">
        <v>36621</v>
      </c>
      <c r="K1664" s="705">
        <v>55</v>
      </c>
      <c r="L1664" s="705">
        <v>6042</v>
      </c>
      <c r="M1664" s="705">
        <v>2238</v>
      </c>
      <c r="N1664" s="705">
        <v>2182</v>
      </c>
      <c r="O1664" s="705">
        <v>808</v>
      </c>
      <c r="P1664" s="705">
        <v>351</v>
      </c>
      <c r="Q1664" s="705">
        <v>130</v>
      </c>
      <c r="R1664" s="705">
        <v>5283</v>
      </c>
      <c r="S1664" s="705">
        <v>4803</v>
      </c>
      <c r="T1664" s="705">
        <v>2426</v>
      </c>
      <c r="U1664" s="705">
        <v>899</v>
      </c>
      <c r="V1664" s="705">
        <v>45499</v>
      </c>
      <c r="W1664" s="705">
        <f t="shared" si="72"/>
        <v>45499</v>
      </c>
      <c r="X1664" s="705">
        <f t="shared" si="73"/>
        <v>56567</v>
      </c>
    </row>
    <row r="1665" spans="2:24">
      <c r="B1665" t="s">
        <v>547</v>
      </c>
      <c r="C1665" t="s">
        <v>124</v>
      </c>
      <c r="D1665" t="s">
        <v>671</v>
      </c>
      <c r="E1665" t="s">
        <v>671</v>
      </c>
      <c r="F1665" s="705">
        <v>1</v>
      </c>
      <c r="G1665" s="705">
        <v>57</v>
      </c>
      <c r="H1665" s="705">
        <v>748</v>
      </c>
      <c r="I1665" s="705">
        <v>28197</v>
      </c>
      <c r="J1665" s="705">
        <v>25633</v>
      </c>
      <c r="K1665" s="705">
        <v>65</v>
      </c>
      <c r="L1665" s="705">
        <v>6788</v>
      </c>
      <c r="M1665" s="705">
        <v>6171</v>
      </c>
      <c r="N1665" s="705">
        <v>1161</v>
      </c>
      <c r="O1665" s="705">
        <v>430</v>
      </c>
      <c r="P1665" s="705">
        <v>351</v>
      </c>
      <c r="Q1665" s="705">
        <v>130</v>
      </c>
      <c r="R1665" s="705">
        <v>4075</v>
      </c>
      <c r="S1665" s="705">
        <v>3704</v>
      </c>
      <c r="T1665" s="705">
        <v>2115</v>
      </c>
      <c r="U1665" s="705">
        <v>783</v>
      </c>
      <c r="V1665" s="705">
        <v>36852</v>
      </c>
      <c r="W1665" s="705">
        <f t="shared" si="72"/>
        <v>36851</v>
      </c>
      <c r="X1665" s="705">
        <f t="shared" si="73"/>
        <v>42687</v>
      </c>
    </row>
    <row r="1666" spans="2:24">
      <c r="B1666" t="s">
        <v>547</v>
      </c>
      <c r="C1666" t="s">
        <v>124</v>
      </c>
      <c r="D1666" t="s">
        <v>665</v>
      </c>
      <c r="E1666" t="s">
        <v>228</v>
      </c>
      <c r="F1666" s="705">
        <v>8</v>
      </c>
      <c r="G1666" s="705">
        <v>792</v>
      </c>
      <c r="H1666" s="705">
        <v>8049</v>
      </c>
      <c r="I1666" s="705">
        <v>636230</v>
      </c>
      <c r="J1666" s="705">
        <v>578391</v>
      </c>
      <c r="K1666" s="705">
        <v>32</v>
      </c>
      <c r="L1666" s="705">
        <v>44613</v>
      </c>
      <c r="M1666" s="705">
        <v>25731</v>
      </c>
      <c r="N1666" s="705">
        <v>18261</v>
      </c>
      <c r="O1666" s="705">
        <v>6763</v>
      </c>
      <c r="P1666" s="705">
        <v>351</v>
      </c>
      <c r="Q1666" s="705">
        <v>130</v>
      </c>
      <c r="R1666" s="705">
        <v>58818</v>
      </c>
      <c r="S1666" s="705">
        <v>21784</v>
      </c>
      <c r="T1666" s="705">
        <v>0</v>
      </c>
      <c r="U1666" s="705">
        <v>0</v>
      </c>
      <c r="V1666" s="705">
        <v>632799</v>
      </c>
      <c r="W1666" s="705">
        <f t="shared" si="72"/>
        <v>632799</v>
      </c>
      <c r="X1666" s="705">
        <f t="shared" si="73"/>
        <v>758273</v>
      </c>
    </row>
    <row r="1667" spans="2:24">
      <c r="B1667" t="s">
        <v>547</v>
      </c>
      <c r="C1667" t="s">
        <v>124</v>
      </c>
      <c r="D1667" t="s">
        <v>665</v>
      </c>
      <c r="E1667" t="s">
        <v>665</v>
      </c>
      <c r="F1667" s="705">
        <v>51</v>
      </c>
      <c r="G1667" s="705">
        <v>3567</v>
      </c>
      <c r="H1667" s="705">
        <v>32742</v>
      </c>
      <c r="I1667" s="705">
        <v>1545712</v>
      </c>
      <c r="J1667" s="705">
        <v>1405193</v>
      </c>
      <c r="K1667" s="705">
        <v>49</v>
      </c>
      <c r="L1667" s="705">
        <v>195862</v>
      </c>
      <c r="M1667" s="705">
        <v>152397</v>
      </c>
      <c r="N1667" s="705">
        <v>74300</v>
      </c>
      <c r="O1667" s="705">
        <v>27518</v>
      </c>
      <c r="P1667" s="705">
        <v>15714</v>
      </c>
      <c r="Q1667" s="705">
        <v>5820</v>
      </c>
      <c r="R1667" s="705">
        <v>293973</v>
      </c>
      <c r="S1667" s="705">
        <v>267248</v>
      </c>
      <c r="T1667" s="705">
        <v>111735</v>
      </c>
      <c r="U1667" s="705">
        <v>41383</v>
      </c>
      <c r="V1667" s="705">
        <v>1899560</v>
      </c>
      <c r="W1667" s="705">
        <f t="shared" si="72"/>
        <v>1899559</v>
      </c>
      <c r="X1667" s="705">
        <f t="shared" si="73"/>
        <v>2237296</v>
      </c>
    </row>
    <row r="1668" spans="2:24">
      <c r="B1668" t="s">
        <v>547</v>
      </c>
      <c r="C1668" t="s">
        <v>124</v>
      </c>
      <c r="D1668" t="s">
        <v>673</v>
      </c>
      <c r="E1668" t="s">
        <v>673</v>
      </c>
      <c r="F1668" s="705">
        <v>1</v>
      </c>
      <c r="G1668" s="705">
        <v>39</v>
      </c>
      <c r="H1668" s="705">
        <v>742</v>
      </c>
      <c r="I1668" s="705">
        <v>16801</v>
      </c>
      <c r="J1668" s="705">
        <v>15274</v>
      </c>
      <c r="K1668" s="705">
        <v>45</v>
      </c>
      <c r="L1668" s="705">
        <v>4639</v>
      </c>
      <c r="M1668" s="705">
        <v>1718</v>
      </c>
      <c r="N1668" s="705">
        <v>665</v>
      </c>
      <c r="O1668" s="705">
        <v>246</v>
      </c>
      <c r="P1668" s="705">
        <v>351</v>
      </c>
      <c r="Q1668" s="705">
        <v>130</v>
      </c>
      <c r="R1668" s="705">
        <v>4911</v>
      </c>
      <c r="S1668" s="705">
        <v>4465</v>
      </c>
      <c r="T1668" s="705">
        <v>1585</v>
      </c>
      <c r="U1668" s="705">
        <v>587</v>
      </c>
      <c r="V1668" s="705">
        <v>22420</v>
      </c>
      <c r="W1668" s="705">
        <f t="shared" si="72"/>
        <v>22420</v>
      </c>
      <c r="X1668" s="705">
        <f t="shared" si="73"/>
        <v>28952</v>
      </c>
    </row>
    <row r="1669" spans="2:24">
      <c r="B1669" t="s">
        <v>547</v>
      </c>
      <c r="C1669" t="s">
        <v>124</v>
      </c>
      <c r="D1669" t="s">
        <v>585</v>
      </c>
      <c r="E1669" t="s">
        <v>585</v>
      </c>
      <c r="F1669" s="705">
        <v>1</v>
      </c>
      <c r="G1669" s="705">
        <v>75</v>
      </c>
      <c r="H1669" s="705">
        <v>459</v>
      </c>
      <c r="I1669" s="705">
        <v>22232</v>
      </c>
      <c r="J1669" s="705">
        <v>20211</v>
      </c>
      <c r="K1669" s="705">
        <v>65</v>
      </c>
      <c r="L1669" s="705">
        <v>3568</v>
      </c>
      <c r="M1669" s="705">
        <v>3244</v>
      </c>
      <c r="N1669" s="705">
        <v>1590</v>
      </c>
      <c r="O1669" s="705">
        <v>589</v>
      </c>
      <c r="P1669" s="705">
        <v>702</v>
      </c>
      <c r="Q1669" s="705">
        <v>260</v>
      </c>
      <c r="R1669" s="705">
        <v>4046</v>
      </c>
      <c r="S1669" s="705">
        <v>3678</v>
      </c>
      <c r="T1669" s="705">
        <v>2093</v>
      </c>
      <c r="U1669" s="705">
        <v>775</v>
      </c>
      <c r="V1669" s="705">
        <v>28758</v>
      </c>
      <c r="W1669" s="705">
        <f t="shared" si="72"/>
        <v>28757</v>
      </c>
      <c r="X1669" s="705">
        <f t="shared" si="73"/>
        <v>34231</v>
      </c>
    </row>
    <row r="1670" spans="2:24">
      <c r="B1670" t="s">
        <v>548</v>
      </c>
      <c r="C1670" t="s">
        <v>108</v>
      </c>
      <c r="F1670" s="705">
        <v>101</v>
      </c>
      <c r="G1670" s="705">
        <v>11772</v>
      </c>
      <c r="H1670" s="705">
        <v>5836</v>
      </c>
      <c r="I1670" s="705"/>
      <c r="J1670" s="705">
        <v>0</v>
      </c>
      <c r="K1670" s="705"/>
      <c r="L1670" s="705"/>
      <c r="M1670" s="705">
        <v>0</v>
      </c>
      <c r="N1670" s="705">
        <v>143425</v>
      </c>
      <c r="O1670" s="705">
        <v>53120</v>
      </c>
      <c r="P1670" s="705">
        <v>30537</v>
      </c>
      <c r="Q1670" s="705">
        <v>11310</v>
      </c>
      <c r="R1670" s="705"/>
      <c r="S1670" s="705">
        <v>0</v>
      </c>
      <c r="T1670" s="705">
        <v>0</v>
      </c>
      <c r="U1670" s="705">
        <v>0</v>
      </c>
      <c r="V1670" s="705">
        <v>64430</v>
      </c>
      <c r="W1670" s="705">
        <f t="shared" si="72"/>
        <v>64430</v>
      </c>
      <c r="X1670" s="705">
        <f t="shared" si="73"/>
        <v>173962</v>
      </c>
    </row>
    <row r="1671" spans="2:24">
      <c r="B1671" t="s">
        <v>548</v>
      </c>
      <c r="C1671" t="s">
        <v>108</v>
      </c>
      <c r="D1671" t="s">
        <v>582</v>
      </c>
      <c r="E1671" t="s">
        <v>582</v>
      </c>
      <c r="F1671" s="705">
        <v>8</v>
      </c>
      <c r="G1671" s="705">
        <v>832</v>
      </c>
      <c r="H1671" s="705">
        <v>421</v>
      </c>
      <c r="I1671" s="705">
        <v>-6050</v>
      </c>
      <c r="J1671" s="705">
        <v>-5500</v>
      </c>
      <c r="K1671" s="705">
        <v>91</v>
      </c>
      <c r="L1671" s="705">
        <v>0</v>
      </c>
      <c r="M1671" s="705">
        <v>0</v>
      </c>
      <c r="N1671" s="705">
        <v>16570</v>
      </c>
      <c r="O1671" s="705">
        <v>6137</v>
      </c>
      <c r="P1671" s="705">
        <v>3780</v>
      </c>
      <c r="Q1671" s="705">
        <v>1400</v>
      </c>
      <c r="R1671" s="705">
        <v>29398</v>
      </c>
      <c r="S1671" s="705">
        <v>26725</v>
      </c>
      <c r="T1671" s="705">
        <v>0</v>
      </c>
      <c r="U1671" s="705">
        <v>0</v>
      </c>
      <c r="V1671" s="705">
        <v>28762</v>
      </c>
      <c r="W1671" s="705">
        <f t="shared" si="72"/>
        <v>39762</v>
      </c>
      <c r="X1671" s="705">
        <f t="shared" si="73"/>
        <v>55798</v>
      </c>
    </row>
    <row r="1672" spans="2:24">
      <c r="B1672" t="s">
        <v>548</v>
      </c>
      <c r="C1672" t="s">
        <v>108</v>
      </c>
      <c r="D1672" t="s">
        <v>228</v>
      </c>
      <c r="E1672" t="s">
        <v>228</v>
      </c>
      <c r="F1672" s="705">
        <v>276</v>
      </c>
      <c r="G1672" s="705">
        <v>28945</v>
      </c>
      <c r="H1672" s="705">
        <v>15245</v>
      </c>
      <c r="I1672" s="705">
        <v>-59657</v>
      </c>
      <c r="J1672" s="705">
        <v>-22095</v>
      </c>
      <c r="K1672" s="705">
        <v>474</v>
      </c>
      <c r="L1672" s="705">
        <v>5598</v>
      </c>
      <c r="M1672" s="705">
        <v>4083</v>
      </c>
      <c r="N1672" s="705">
        <v>355677</v>
      </c>
      <c r="O1672" s="705">
        <v>131732</v>
      </c>
      <c r="P1672" s="705">
        <v>201532</v>
      </c>
      <c r="Q1672" s="705">
        <v>74641</v>
      </c>
      <c r="R1672" s="705">
        <v>1091449</v>
      </c>
      <c r="S1672" s="705">
        <v>404240</v>
      </c>
      <c r="T1672" s="705">
        <v>0</v>
      </c>
      <c r="U1672" s="705">
        <v>0</v>
      </c>
      <c r="V1672" s="705">
        <v>592602</v>
      </c>
      <c r="W1672" s="705">
        <f t="shared" si="72"/>
        <v>636791</v>
      </c>
      <c r="X1672" s="705">
        <f t="shared" si="73"/>
        <v>1713913</v>
      </c>
    </row>
    <row r="1673" spans="2:24">
      <c r="B1673" t="s">
        <v>548</v>
      </c>
      <c r="C1673" t="s">
        <v>108</v>
      </c>
      <c r="D1673" t="s">
        <v>583</v>
      </c>
      <c r="E1673" t="s">
        <v>583</v>
      </c>
      <c r="F1673" s="705">
        <v>19</v>
      </c>
      <c r="G1673" s="705">
        <v>1820</v>
      </c>
      <c r="H1673" s="705">
        <v>1113</v>
      </c>
      <c r="I1673" s="705">
        <v>2609</v>
      </c>
      <c r="J1673" s="705">
        <v>2372</v>
      </c>
      <c r="K1673" s="705">
        <v>95</v>
      </c>
      <c r="L1673" s="705">
        <v>-39</v>
      </c>
      <c r="M1673" s="705">
        <v>-35</v>
      </c>
      <c r="N1673" s="705">
        <v>24413</v>
      </c>
      <c r="O1673" s="705">
        <v>9042</v>
      </c>
      <c r="P1673" s="705">
        <v>11799</v>
      </c>
      <c r="Q1673" s="705">
        <v>4370</v>
      </c>
      <c r="R1673" s="705">
        <v>67045</v>
      </c>
      <c r="S1673" s="705">
        <v>60950</v>
      </c>
      <c r="T1673" s="705">
        <v>0</v>
      </c>
      <c r="U1673" s="705">
        <v>0</v>
      </c>
      <c r="V1673" s="705">
        <v>76699</v>
      </c>
      <c r="W1673" s="705">
        <f t="shared" si="72"/>
        <v>76769</v>
      </c>
      <c r="X1673" s="705">
        <f t="shared" si="73"/>
        <v>105905</v>
      </c>
    </row>
    <row r="1674" spans="2:24">
      <c r="B1674" t="s">
        <v>548</v>
      </c>
      <c r="C1674" t="s">
        <v>108</v>
      </c>
      <c r="D1674" t="s">
        <v>583</v>
      </c>
      <c r="E1674" t="s">
        <v>584</v>
      </c>
      <c r="F1674" s="705">
        <v>1</v>
      </c>
      <c r="G1674" s="705">
        <v>77</v>
      </c>
      <c r="H1674" s="705">
        <v>59</v>
      </c>
      <c r="I1674" s="705">
        <v>-24</v>
      </c>
      <c r="J1674" s="705">
        <v>-22</v>
      </c>
      <c r="K1674" s="705">
        <v>91</v>
      </c>
      <c r="L1674" s="705">
        <v>0</v>
      </c>
      <c r="M1674" s="705">
        <v>0</v>
      </c>
      <c r="N1674" s="705">
        <v>938</v>
      </c>
      <c r="O1674" s="705">
        <v>347</v>
      </c>
      <c r="P1674" s="705">
        <v>473</v>
      </c>
      <c r="Q1674" s="705">
        <v>175</v>
      </c>
      <c r="R1674" s="705">
        <v>3190</v>
      </c>
      <c r="S1674" s="705">
        <v>2900</v>
      </c>
      <c r="T1674" s="705">
        <v>0</v>
      </c>
      <c r="U1674" s="705">
        <v>0</v>
      </c>
      <c r="V1674" s="705">
        <v>3401</v>
      </c>
      <c r="W1674" s="705">
        <f t="shared" si="72"/>
        <v>3444</v>
      </c>
      <c r="X1674" s="705">
        <f t="shared" si="73"/>
        <v>4625</v>
      </c>
    </row>
    <row r="1675" spans="2:24">
      <c r="B1675" t="s">
        <v>548</v>
      </c>
      <c r="C1675" t="s">
        <v>108</v>
      </c>
      <c r="D1675" t="s">
        <v>584</v>
      </c>
      <c r="E1675" t="s">
        <v>584</v>
      </c>
      <c r="F1675" s="705">
        <v>662</v>
      </c>
      <c r="G1675" s="705">
        <v>68807</v>
      </c>
      <c r="H1675" s="705">
        <v>37502</v>
      </c>
      <c r="I1675" s="705">
        <v>316432</v>
      </c>
      <c r="J1675" s="705">
        <v>287665</v>
      </c>
      <c r="K1675" s="705">
        <v>91</v>
      </c>
      <c r="L1675" s="705">
        <v>20413</v>
      </c>
      <c r="M1675" s="705">
        <v>17672</v>
      </c>
      <c r="N1675" s="705">
        <v>956466</v>
      </c>
      <c r="O1675" s="705">
        <v>354247</v>
      </c>
      <c r="P1675" s="705">
        <v>458087</v>
      </c>
      <c r="Q1675" s="705">
        <v>169662</v>
      </c>
      <c r="R1675" s="705">
        <v>2168420</v>
      </c>
      <c r="S1675" s="705">
        <v>1971291</v>
      </c>
      <c r="T1675" s="705">
        <v>0</v>
      </c>
      <c r="U1675" s="705">
        <v>0</v>
      </c>
      <c r="V1675" s="705">
        <v>2800537</v>
      </c>
      <c r="W1675" s="705">
        <f t="shared" si="72"/>
        <v>2800537</v>
      </c>
      <c r="X1675" s="705">
        <f t="shared" si="73"/>
        <v>3919818</v>
      </c>
    </row>
    <row r="1676" spans="2:24">
      <c r="B1676" t="s">
        <v>548</v>
      </c>
      <c r="C1676" t="s">
        <v>110</v>
      </c>
      <c r="D1676" t="s">
        <v>582</v>
      </c>
      <c r="E1676" t="s">
        <v>582</v>
      </c>
      <c r="F1676" s="705">
        <v>1</v>
      </c>
      <c r="G1676" s="705">
        <v>127</v>
      </c>
      <c r="H1676" s="705">
        <v>87</v>
      </c>
      <c r="I1676" s="705">
        <v>3570</v>
      </c>
      <c r="J1676" s="705">
        <v>3245</v>
      </c>
      <c r="K1676" s="705">
        <v>92</v>
      </c>
      <c r="L1676" s="705">
        <v>814</v>
      </c>
      <c r="M1676" s="705">
        <v>740</v>
      </c>
      <c r="N1676" s="705">
        <v>1677</v>
      </c>
      <c r="O1676" s="705">
        <v>621</v>
      </c>
      <c r="P1676" s="705">
        <v>473</v>
      </c>
      <c r="Q1676" s="705">
        <v>175</v>
      </c>
      <c r="R1676" s="705">
        <v>4602</v>
      </c>
      <c r="S1676" s="705">
        <v>4184</v>
      </c>
      <c r="T1676" s="705">
        <v>0</v>
      </c>
      <c r="U1676" s="705">
        <v>0</v>
      </c>
      <c r="V1676" s="705">
        <v>8965</v>
      </c>
      <c r="W1676" s="705">
        <f t="shared" si="72"/>
        <v>8965</v>
      </c>
      <c r="X1676" s="705">
        <f t="shared" si="73"/>
        <v>11136</v>
      </c>
    </row>
    <row r="1677" spans="2:24">
      <c r="B1677" t="s">
        <v>548</v>
      </c>
      <c r="C1677" t="s">
        <v>110</v>
      </c>
      <c r="D1677" t="s">
        <v>228</v>
      </c>
      <c r="E1677" t="s">
        <v>228</v>
      </c>
      <c r="F1677" s="705">
        <v>13</v>
      </c>
      <c r="G1677" s="705">
        <v>1516</v>
      </c>
      <c r="H1677" s="705">
        <v>1183</v>
      </c>
      <c r="I1677" s="705">
        <v>33245</v>
      </c>
      <c r="J1677" s="705">
        <v>12313</v>
      </c>
      <c r="K1677" s="705">
        <v>422</v>
      </c>
      <c r="L1677" s="705">
        <v>10465</v>
      </c>
      <c r="M1677" s="705">
        <v>9403</v>
      </c>
      <c r="N1677" s="705">
        <v>27954</v>
      </c>
      <c r="O1677" s="705">
        <v>10353</v>
      </c>
      <c r="P1677" s="705">
        <v>5616</v>
      </c>
      <c r="Q1677" s="705">
        <v>2080</v>
      </c>
      <c r="R1677" s="705">
        <v>59905</v>
      </c>
      <c r="S1677" s="705">
        <v>22187</v>
      </c>
      <c r="T1677" s="705">
        <v>0</v>
      </c>
      <c r="U1677" s="705">
        <v>0</v>
      </c>
      <c r="V1677" s="705">
        <v>56336</v>
      </c>
      <c r="W1677" s="705">
        <f t="shared" si="72"/>
        <v>56336</v>
      </c>
      <c r="X1677" s="705">
        <f t="shared" si="73"/>
        <v>137185</v>
      </c>
    </row>
    <row r="1678" spans="2:24">
      <c r="B1678" t="s">
        <v>548</v>
      </c>
      <c r="C1678" t="s">
        <v>110</v>
      </c>
      <c r="D1678" t="s">
        <v>583</v>
      </c>
      <c r="E1678" t="s">
        <v>583</v>
      </c>
      <c r="F1678" s="705">
        <v>4</v>
      </c>
      <c r="G1678" s="705">
        <v>561</v>
      </c>
      <c r="H1678" s="705">
        <v>327</v>
      </c>
      <c r="I1678" s="705">
        <v>20623</v>
      </c>
      <c r="J1678" s="705">
        <v>18749</v>
      </c>
      <c r="K1678" s="705">
        <v>94</v>
      </c>
      <c r="L1678" s="705">
        <v>3014</v>
      </c>
      <c r="M1678" s="705">
        <v>2740</v>
      </c>
      <c r="N1678" s="705">
        <v>6831</v>
      </c>
      <c r="O1678" s="705">
        <v>2530</v>
      </c>
      <c r="P1678" s="705">
        <v>2484</v>
      </c>
      <c r="Q1678" s="705">
        <v>920</v>
      </c>
      <c r="R1678" s="705">
        <v>13557</v>
      </c>
      <c r="S1678" s="705">
        <v>12324</v>
      </c>
      <c r="T1678" s="705">
        <v>0</v>
      </c>
      <c r="U1678" s="705">
        <v>0</v>
      </c>
      <c r="V1678" s="705">
        <v>37262</v>
      </c>
      <c r="W1678" s="705">
        <f t="shared" si="72"/>
        <v>37263</v>
      </c>
      <c r="X1678" s="705">
        <f t="shared" si="73"/>
        <v>46509</v>
      </c>
    </row>
    <row r="1679" spans="2:24">
      <c r="B1679" t="s">
        <v>548</v>
      </c>
      <c r="C1679" t="s">
        <v>110</v>
      </c>
      <c r="D1679" t="s">
        <v>584</v>
      </c>
      <c r="E1679" t="s">
        <v>584</v>
      </c>
      <c r="F1679" s="705">
        <v>275</v>
      </c>
      <c r="G1679" s="705">
        <v>28152</v>
      </c>
      <c r="H1679" s="705">
        <v>24468</v>
      </c>
      <c r="I1679" s="705">
        <v>1106657</v>
      </c>
      <c r="J1679" s="705">
        <v>1006052</v>
      </c>
      <c r="K1679" s="705">
        <v>91</v>
      </c>
      <c r="L1679" s="705">
        <v>183709</v>
      </c>
      <c r="M1679" s="705">
        <v>149253</v>
      </c>
      <c r="N1679" s="705">
        <v>385152</v>
      </c>
      <c r="O1679" s="705">
        <v>142649</v>
      </c>
      <c r="P1679" s="705">
        <v>150524</v>
      </c>
      <c r="Q1679" s="705">
        <v>55750</v>
      </c>
      <c r="R1679" s="705">
        <v>679853</v>
      </c>
      <c r="S1679" s="705">
        <v>618048</v>
      </c>
      <c r="T1679" s="705">
        <v>3242</v>
      </c>
      <c r="U1679" s="705">
        <v>1201</v>
      </c>
      <c r="V1679" s="705">
        <v>1972952</v>
      </c>
      <c r="W1679" s="705">
        <f t="shared" si="72"/>
        <v>1972953</v>
      </c>
      <c r="X1679" s="705">
        <f t="shared" si="73"/>
        <v>2509137</v>
      </c>
    </row>
    <row r="1680" spans="2:24">
      <c r="B1680" t="s">
        <v>548</v>
      </c>
      <c r="C1680" t="s">
        <v>112</v>
      </c>
      <c r="F1680" s="705">
        <v>9</v>
      </c>
      <c r="G1680" s="705">
        <v>918</v>
      </c>
      <c r="H1680" s="705">
        <v>1036</v>
      </c>
      <c r="I1680" s="705"/>
      <c r="J1680" s="705">
        <v>0</v>
      </c>
      <c r="K1680" s="705"/>
      <c r="L1680" s="705"/>
      <c r="M1680" s="705">
        <v>0</v>
      </c>
      <c r="N1680" s="705">
        <v>20409</v>
      </c>
      <c r="O1680" s="705">
        <v>7559</v>
      </c>
      <c r="P1680" s="705">
        <v>3159</v>
      </c>
      <c r="Q1680" s="705">
        <v>1170</v>
      </c>
      <c r="R1680" s="705"/>
      <c r="S1680" s="705">
        <v>0</v>
      </c>
      <c r="T1680" s="705">
        <v>0</v>
      </c>
      <c r="U1680" s="705">
        <v>0</v>
      </c>
      <c r="V1680" s="705">
        <v>8729</v>
      </c>
      <c r="W1680" s="705">
        <f t="shared" si="72"/>
        <v>8729</v>
      </c>
      <c r="X1680" s="705">
        <f t="shared" si="73"/>
        <v>23568</v>
      </c>
    </row>
    <row r="1681" spans="2:24">
      <c r="B1681" t="s">
        <v>548</v>
      </c>
      <c r="C1681" t="s">
        <v>112</v>
      </c>
      <c r="D1681" t="s">
        <v>582</v>
      </c>
      <c r="E1681" t="s">
        <v>582</v>
      </c>
      <c r="F1681" s="705">
        <v>30</v>
      </c>
      <c r="G1681" s="705">
        <v>2973</v>
      </c>
      <c r="H1681" s="705">
        <v>3630</v>
      </c>
      <c r="I1681" s="705">
        <v>161260</v>
      </c>
      <c r="J1681" s="705">
        <v>146600</v>
      </c>
      <c r="K1681" s="705">
        <v>90</v>
      </c>
      <c r="L1681" s="705">
        <v>23438</v>
      </c>
      <c r="M1681" s="705">
        <v>21307</v>
      </c>
      <c r="N1681" s="705">
        <v>51572</v>
      </c>
      <c r="O1681" s="705">
        <v>19101</v>
      </c>
      <c r="P1681" s="705">
        <v>12812</v>
      </c>
      <c r="Q1681" s="705">
        <v>4745</v>
      </c>
      <c r="R1681" s="705">
        <v>109081</v>
      </c>
      <c r="S1681" s="705">
        <v>99165</v>
      </c>
      <c r="T1681" s="705">
        <v>0</v>
      </c>
      <c r="U1681" s="705">
        <v>0</v>
      </c>
      <c r="V1681" s="705">
        <v>290917</v>
      </c>
      <c r="W1681" s="705">
        <f t="shared" si="72"/>
        <v>290918</v>
      </c>
      <c r="X1681" s="705">
        <f t="shared" si="73"/>
        <v>358163</v>
      </c>
    </row>
    <row r="1682" spans="2:24">
      <c r="B1682" t="s">
        <v>548</v>
      </c>
      <c r="C1682" t="s">
        <v>112</v>
      </c>
      <c r="D1682" t="s">
        <v>228</v>
      </c>
      <c r="E1682" t="s">
        <v>228</v>
      </c>
      <c r="F1682" s="705">
        <v>7</v>
      </c>
      <c r="G1682" s="705">
        <v>547</v>
      </c>
      <c r="H1682" s="705">
        <v>771</v>
      </c>
      <c r="I1682" s="705">
        <v>14175</v>
      </c>
      <c r="J1682" s="705">
        <v>5250</v>
      </c>
      <c r="K1682" s="705">
        <v>373</v>
      </c>
      <c r="L1682" s="705">
        <v>4150</v>
      </c>
      <c r="M1682" s="705">
        <v>3275</v>
      </c>
      <c r="N1682" s="705">
        <v>9891</v>
      </c>
      <c r="O1682" s="705">
        <v>3663</v>
      </c>
      <c r="P1682" s="705">
        <v>2457</v>
      </c>
      <c r="Q1682" s="705">
        <v>910</v>
      </c>
      <c r="R1682" s="705">
        <v>29407</v>
      </c>
      <c r="S1682" s="705">
        <v>10891</v>
      </c>
      <c r="T1682" s="705">
        <v>0</v>
      </c>
      <c r="U1682" s="705">
        <v>0</v>
      </c>
      <c r="V1682" s="705">
        <v>23989</v>
      </c>
      <c r="W1682" s="705">
        <f t="shared" si="72"/>
        <v>23989</v>
      </c>
      <c r="X1682" s="705">
        <f t="shared" si="73"/>
        <v>60080</v>
      </c>
    </row>
    <row r="1683" spans="2:24">
      <c r="B1683" t="s">
        <v>548</v>
      </c>
      <c r="C1683" t="s">
        <v>112</v>
      </c>
      <c r="D1683" t="s">
        <v>583</v>
      </c>
      <c r="E1683" t="s">
        <v>583</v>
      </c>
      <c r="F1683" s="705">
        <v>22</v>
      </c>
      <c r="G1683" s="705">
        <v>2675</v>
      </c>
      <c r="H1683" s="705">
        <v>2642</v>
      </c>
      <c r="I1683" s="705">
        <v>169560</v>
      </c>
      <c r="J1683" s="705">
        <v>154146</v>
      </c>
      <c r="K1683" s="705">
        <v>94</v>
      </c>
      <c r="L1683" s="705">
        <v>30763</v>
      </c>
      <c r="M1683" s="705">
        <v>26523</v>
      </c>
      <c r="N1683" s="705">
        <v>44394</v>
      </c>
      <c r="O1683" s="705">
        <v>16442</v>
      </c>
      <c r="P1683" s="705">
        <v>13662</v>
      </c>
      <c r="Q1683" s="705">
        <v>5060</v>
      </c>
      <c r="R1683" s="705">
        <v>85965</v>
      </c>
      <c r="S1683" s="705">
        <v>78150</v>
      </c>
      <c r="T1683" s="705">
        <v>0</v>
      </c>
      <c r="U1683" s="705">
        <v>0</v>
      </c>
      <c r="V1683" s="705">
        <v>280322</v>
      </c>
      <c r="W1683" s="705">
        <f t="shared" si="72"/>
        <v>280321</v>
      </c>
      <c r="X1683" s="705">
        <f t="shared" si="73"/>
        <v>344344</v>
      </c>
    </row>
    <row r="1684" spans="2:24">
      <c r="B1684" t="s">
        <v>548</v>
      </c>
      <c r="C1684" t="s">
        <v>112</v>
      </c>
      <c r="D1684" t="s">
        <v>584</v>
      </c>
      <c r="E1684" t="s">
        <v>584</v>
      </c>
      <c r="F1684" s="705">
        <v>265</v>
      </c>
      <c r="G1684" s="705">
        <v>29352</v>
      </c>
      <c r="H1684" s="705">
        <v>30762</v>
      </c>
      <c r="I1684" s="705">
        <v>1581527</v>
      </c>
      <c r="J1684" s="705">
        <v>1437752</v>
      </c>
      <c r="K1684" s="705">
        <v>89</v>
      </c>
      <c r="L1684" s="705">
        <v>262457</v>
      </c>
      <c r="M1684" s="705">
        <v>239802</v>
      </c>
      <c r="N1684" s="705">
        <v>439722</v>
      </c>
      <c r="O1684" s="705">
        <v>162860</v>
      </c>
      <c r="P1684" s="705">
        <v>133726</v>
      </c>
      <c r="Q1684" s="705">
        <v>49528</v>
      </c>
      <c r="R1684" s="705">
        <v>1010705</v>
      </c>
      <c r="S1684" s="705">
        <v>918822</v>
      </c>
      <c r="T1684" s="705">
        <v>8586</v>
      </c>
      <c r="U1684" s="705">
        <v>3180</v>
      </c>
      <c r="V1684" s="705">
        <v>2811944</v>
      </c>
      <c r="W1684" s="705">
        <f t="shared" si="72"/>
        <v>2811944</v>
      </c>
      <c r="X1684" s="705">
        <f t="shared" si="73"/>
        <v>3436723</v>
      </c>
    </row>
    <row r="1685" spans="2:24">
      <c r="B1685" t="s">
        <v>548</v>
      </c>
      <c r="C1685" t="s">
        <v>114</v>
      </c>
      <c r="F1685" s="705">
        <v>6</v>
      </c>
      <c r="G1685" s="705">
        <v>529</v>
      </c>
      <c r="H1685" s="705">
        <v>774</v>
      </c>
      <c r="I1685" s="705"/>
      <c r="J1685" s="705">
        <v>0</v>
      </c>
      <c r="K1685" s="705"/>
      <c r="L1685" s="705"/>
      <c r="M1685" s="705">
        <v>0</v>
      </c>
      <c r="N1685" s="705">
        <v>11324</v>
      </c>
      <c r="O1685" s="705">
        <v>4194</v>
      </c>
      <c r="P1685" s="705">
        <v>2106</v>
      </c>
      <c r="Q1685" s="705">
        <v>780</v>
      </c>
      <c r="R1685" s="705"/>
      <c r="S1685" s="705">
        <v>0</v>
      </c>
      <c r="T1685" s="705">
        <v>0</v>
      </c>
      <c r="U1685" s="705">
        <v>0</v>
      </c>
      <c r="V1685" s="705">
        <v>4974</v>
      </c>
      <c r="W1685" s="705">
        <f t="shared" si="72"/>
        <v>4974</v>
      </c>
      <c r="X1685" s="705">
        <f t="shared" si="73"/>
        <v>13430</v>
      </c>
    </row>
    <row r="1686" spans="2:24">
      <c r="B1686" t="s">
        <v>548</v>
      </c>
      <c r="C1686" t="s">
        <v>114</v>
      </c>
      <c r="D1686" t="s">
        <v>664</v>
      </c>
      <c r="E1686" t="s">
        <v>664</v>
      </c>
      <c r="F1686" s="705">
        <v>1</v>
      </c>
      <c r="G1686" s="705">
        <v>126</v>
      </c>
      <c r="H1686" s="705">
        <v>148</v>
      </c>
      <c r="I1686" s="705">
        <v>7934</v>
      </c>
      <c r="J1686" s="705">
        <v>7213</v>
      </c>
      <c r="K1686" s="705">
        <v>92</v>
      </c>
      <c r="L1686" s="705">
        <v>2034</v>
      </c>
      <c r="M1686" s="705">
        <v>1849</v>
      </c>
      <c r="N1686" s="705">
        <v>3009</v>
      </c>
      <c r="O1686" s="705">
        <v>1114</v>
      </c>
      <c r="P1686" s="705">
        <v>621</v>
      </c>
      <c r="Q1686" s="705">
        <v>230</v>
      </c>
      <c r="R1686" s="705">
        <v>4996</v>
      </c>
      <c r="S1686" s="705">
        <v>4542</v>
      </c>
      <c r="T1686" s="705">
        <v>0</v>
      </c>
      <c r="U1686" s="705">
        <v>0</v>
      </c>
      <c r="V1686" s="705">
        <v>14949</v>
      </c>
      <c r="W1686" s="705">
        <f t="shared" si="72"/>
        <v>14948</v>
      </c>
      <c r="X1686" s="705">
        <f t="shared" si="73"/>
        <v>18594</v>
      </c>
    </row>
    <row r="1687" spans="2:24">
      <c r="B1687" t="s">
        <v>548</v>
      </c>
      <c r="C1687" t="s">
        <v>114</v>
      </c>
      <c r="D1687" t="s">
        <v>582</v>
      </c>
      <c r="E1687" t="s">
        <v>582</v>
      </c>
      <c r="F1687" s="705">
        <v>11</v>
      </c>
      <c r="G1687" s="705">
        <v>1250</v>
      </c>
      <c r="H1687" s="705">
        <v>1550</v>
      </c>
      <c r="I1687" s="705">
        <v>83061</v>
      </c>
      <c r="J1687" s="705">
        <v>75510</v>
      </c>
      <c r="K1687" s="705">
        <v>92</v>
      </c>
      <c r="L1687" s="705">
        <v>18033</v>
      </c>
      <c r="M1687" s="705">
        <v>13948</v>
      </c>
      <c r="N1687" s="705">
        <v>27667</v>
      </c>
      <c r="O1687" s="705">
        <v>10247</v>
      </c>
      <c r="P1687" s="705">
        <v>5198</v>
      </c>
      <c r="Q1687" s="705">
        <v>1925</v>
      </c>
      <c r="R1687" s="705">
        <v>47939</v>
      </c>
      <c r="S1687" s="705">
        <v>43581</v>
      </c>
      <c r="T1687" s="705">
        <v>0</v>
      </c>
      <c r="U1687" s="705">
        <v>0</v>
      </c>
      <c r="V1687" s="705">
        <v>145211</v>
      </c>
      <c r="W1687" s="705">
        <f t="shared" si="72"/>
        <v>145211</v>
      </c>
      <c r="X1687" s="705">
        <f t="shared" si="73"/>
        <v>181898</v>
      </c>
    </row>
    <row r="1688" spans="2:24">
      <c r="B1688" t="s">
        <v>548</v>
      </c>
      <c r="C1688" t="s">
        <v>114</v>
      </c>
      <c r="D1688" t="s">
        <v>228</v>
      </c>
      <c r="E1688" t="s">
        <v>228</v>
      </c>
      <c r="F1688" s="705">
        <v>4</v>
      </c>
      <c r="G1688" s="705">
        <v>499</v>
      </c>
      <c r="H1688" s="705">
        <v>536</v>
      </c>
      <c r="I1688" s="705">
        <v>27826</v>
      </c>
      <c r="J1688" s="705">
        <v>10306</v>
      </c>
      <c r="K1688" s="705">
        <v>361</v>
      </c>
      <c r="L1688" s="705">
        <v>8440</v>
      </c>
      <c r="M1688" s="705">
        <v>7673</v>
      </c>
      <c r="N1688" s="705">
        <v>8310</v>
      </c>
      <c r="O1688" s="705">
        <v>3078</v>
      </c>
      <c r="P1688" s="705">
        <v>1526</v>
      </c>
      <c r="Q1688" s="705">
        <v>565</v>
      </c>
      <c r="R1688" s="705">
        <v>25472</v>
      </c>
      <c r="S1688" s="705">
        <v>9434</v>
      </c>
      <c r="T1688" s="705">
        <v>0</v>
      </c>
      <c r="U1688" s="705">
        <v>0</v>
      </c>
      <c r="V1688" s="705">
        <v>31056</v>
      </c>
      <c r="W1688" s="705">
        <f t="shared" si="72"/>
        <v>31056</v>
      </c>
      <c r="X1688" s="705">
        <f t="shared" si="73"/>
        <v>71574</v>
      </c>
    </row>
    <row r="1689" spans="2:24">
      <c r="B1689" t="s">
        <v>548</v>
      </c>
      <c r="C1689" t="s">
        <v>114</v>
      </c>
      <c r="D1689" t="s">
        <v>583</v>
      </c>
      <c r="E1689" t="s">
        <v>583</v>
      </c>
      <c r="F1689" s="705">
        <v>171</v>
      </c>
      <c r="G1689" s="705">
        <v>17908</v>
      </c>
      <c r="H1689" s="705">
        <v>24001</v>
      </c>
      <c r="I1689" s="705">
        <v>1161362</v>
      </c>
      <c r="J1689" s="705">
        <v>1055784</v>
      </c>
      <c r="K1689" s="705">
        <v>93</v>
      </c>
      <c r="L1689" s="705">
        <v>258304</v>
      </c>
      <c r="M1689" s="705">
        <v>216499</v>
      </c>
      <c r="N1689" s="705">
        <v>307697</v>
      </c>
      <c r="O1689" s="705">
        <v>113962</v>
      </c>
      <c r="P1689" s="705">
        <v>107244</v>
      </c>
      <c r="Q1689" s="705">
        <v>39720</v>
      </c>
      <c r="R1689" s="705">
        <v>694358</v>
      </c>
      <c r="S1689" s="705">
        <v>631235</v>
      </c>
      <c r="T1689" s="705">
        <v>17018</v>
      </c>
      <c r="U1689" s="705">
        <v>6303</v>
      </c>
      <c r="V1689" s="705">
        <v>2063503</v>
      </c>
      <c r="W1689" s="705">
        <f t="shared" si="72"/>
        <v>2063503</v>
      </c>
      <c r="X1689" s="705">
        <f t="shared" si="73"/>
        <v>2545983</v>
      </c>
    </row>
    <row r="1690" spans="2:24">
      <c r="B1690" t="s">
        <v>548</v>
      </c>
      <c r="C1690" t="s">
        <v>114</v>
      </c>
      <c r="D1690" t="s">
        <v>583</v>
      </c>
      <c r="E1690" t="s">
        <v>584</v>
      </c>
      <c r="F1690" s="705">
        <v>1</v>
      </c>
      <c r="G1690" s="705">
        <v>104</v>
      </c>
      <c r="H1690" s="705">
        <v>146</v>
      </c>
      <c r="I1690" s="705">
        <v>8734</v>
      </c>
      <c r="J1690" s="705">
        <v>7940</v>
      </c>
      <c r="K1690" s="705">
        <v>97</v>
      </c>
      <c r="L1690" s="705">
        <v>3423</v>
      </c>
      <c r="M1690" s="705">
        <v>2852</v>
      </c>
      <c r="N1690" s="705">
        <v>1788</v>
      </c>
      <c r="O1690" s="705">
        <v>662</v>
      </c>
      <c r="P1690" s="705">
        <v>621</v>
      </c>
      <c r="Q1690" s="705">
        <v>230</v>
      </c>
      <c r="R1690" s="705">
        <v>4416</v>
      </c>
      <c r="S1690" s="705">
        <v>4014</v>
      </c>
      <c r="T1690" s="705">
        <v>0</v>
      </c>
      <c r="U1690" s="705">
        <v>0</v>
      </c>
      <c r="V1690" s="705">
        <v>15699</v>
      </c>
      <c r="W1690" s="705">
        <f t="shared" si="72"/>
        <v>15698</v>
      </c>
      <c r="X1690" s="705">
        <f t="shared" si="73"/>
        <v>18982</v>
      </c>
    </row>
    <row r="1691" spans="2:24">
      <c r="B1691" t="s">
        <v>548</v>
      </c>
      <c r="C1691" t="s">
        <v>114</v>
      </c>
      <c r="D1691" t="s">
        <v>584</v>
      </c>
      <c r="E1691" t="s">
        <v>584</v>
      </c>
      <c r="F1691" s="705">
        <v>1101</v>
      </c>
      <c r="G1691" s="705">
        <v>112034</v>
      </c>
      <c r="H1691" s="705">
        <v>153818</v>
      </c>
      <c r="I1691" s="705">
        <v>7229944</v>
      </c>
      <c r="J1691" s="705">
        <v>6572677</v>
      </c>
      <c r="K1691" s="705">
        <v>88</v>
      </c>
      <c r="L1691" s="705">
        <v>1512092</v>
      </c>
      <c r="M1691" s="705">
        <v>1262306</v>
      </c>
      <c r="N1691" s="705">
        <v>1999274</v>
      </c>
      <c r="O1691" s="705">
        <v>740472</v>
      </c>
      <c r="P1691" s="705">
        <v>559911</v>
      </c>
      <c r="Q1691" s="705">
        <v>207374</v>
      </c>
      <c r="R1691" s="705">
        <v>4437843</v>
      </c>
      <c r="S1691" s="705">
        <v>4034403</v>
      </c>
      <c r="T1691" s="705">
        <v>154070</v>
      </c>
      <c r="U1691" s="705">
        <v>57063</v>
      </c>
      <c r="V1691" s="705">
        <v>12874294</v>
      </c>
      <c r="W1691" s="705">
        <f t="shared" si="72"/>
        <v>12874295</v>
      </c>
      <c r="X1691" s="705">
        <f t="shared" si="73"/>
        <v>15893134</v>
      </c>
    </row>
    <row r="1692" spans="2:24">
      <c r="B1692" t="s">
        <v>548</v>
      </c>
      <c r="C1692" t="s">
        <v>116</v>
      </c>
      <c r="F1692" s="705">
        <v>5</v>
      </c>
      <c r="G1692" s="705">
        <v>471</v>
      </c>
      <c r="H1692" s="705">
        <v>823</v>
      </c>
      <c r="I1692" s="705"/>
      <c r="J1692" s="705">
        <v>0</v>
      </c>
      <c r="K1692" s="705"/>
      <c r="L1692" s="705"/>
      <c r="M1692" s="705">
        <v>0</v>
      </c>
      <c r="N1692" s="705">
        <v>5733</v>
      </c>
      <c r="O1692" s="705">
        <v>2123</v>
      </c>
      <c r="P1692" s="705">
        <v>2025</v>
      </c>
      <c r="Q1692" s="705">
        <v>750</v>
      </c>
      <c r="R1692" s="705"/>
      <c r="S1692" s="705">
        <v>0</v>
      </c>
      <c r="T1692" s="705">
        <v>2108</v>
      </c>
      <c r="U1692" s="705">
        <v>781</v>
      </c>
      <c r="V1692" s="705">
        <v>3654</v>
      </c>
      <c r="W1692" s="705">
        <f t="shared" si="72"/>
        <v>3654</v>
      </c>
      <c r="X1692" s="705">
        <f t="shared" si="73"/>
        <v>9866</v>
      </c>
    </row>
    <row r="1693" spans="2:24">
      <c r="B1693" t="s">
        <v>548</v>
      </c>
      <c r="C1693" t="s">
        <v>116</v>
      </c>
      <c r="D1693" t="s">
        <v>664</v>
      </c>
      <c r="E1693" t="s">
        <v>664</v>
      </c>
      <c r="F1693" s="705">
        <v>2</v>
      </c>
      <c r="G1693" s="705">
        <v>199</v>
      </c>
      <c r="H1693" s="705">
        <v>359</v>
      </c>
      <c r="I1693" s="705">
        <v>14188</v>
      </c>
      <c r="J1693" s="705">
        <v>12898</v>
      </c>
      <c r="K1693" s="705">
        <v>73</v>
      </c>
      <c r="L1693" s="705">
        <v>3950</v>
      </c>
      <c r="M1693" s="705">
        <v>2143</v>
      </c>
      <c r="N1693" s="705">
        <v>4472</v>
      </c>
      <c r="O1693" s="705">
        <v>1656</v>
      </c>
      <c r="P1693" s="705">
        <v>945</v>
      </c>
      <c r="Q1693" s="705">
        <v>350</v>
      </c>
      <c r="R1693" s="705">
        <v>11767</v>
      </c>
      <c r="S1693" s="705">
        <v>10697</v>
      </c>
      <c r="T1693" s="705">
        <v>0</v>
      </c>
      <c r="U1693" s="705">
        <v>0</v>
      </c>
      <c r="V1693" s="705">
        <v>27744</v>
      </c>
      <c r="W1693" s="705">
        <f t="shared" si="72"/>
        <v>27744</v>
      </c>
      <c r="X1693" s="705">
        <f t="shared" si="73"/>
        <v>35322</v>
      </c>
    </row>
    <row r="1694" spans="2:24">
      <c r="B1694" t="s">
        <v>548</v>
      </c>
      <c r="C1694" t="s">
        <v>116</v>
      </c>
      <c r="D1694" t="s">
        <v>664</v>
      </c>
      <c r="E1694" t="s">
        <v>583</v>
      </c>
      <c r="F1694" s="705">
        <v>1</v>
      </c>
      <c r="G1694" s="705">
        <v>106</v>
      </c>
      <c r="H1694" s="705">
        <v>219</v>
      </c>
      <c r="I1694" s="705">
        <v>9992</v>
      </c>
      <c r="J1694" s="705">
        <v>9084</v>
      </c>
      <c r="K1694" s="705">
        <v>85</v>
      </c>
      <c r="L1694" s="705">
        <v>2199</v>
      </c>
      <c r="M1694" s="705">
        <v>815</v>
      </c>
      <c r="N1694" s="705">
        <v>2367</v>
      </c>
      <c r="O1694" s="705">
        <v>877</v>
      </c>
      <c r="P1694" s="705">
        <v>621</v>
      </c>
      <c r="Q1694" s="705">
        <v>230</v>
      </c>
      <c r="R1694" s="705">
        <v>4302</v>
      </c>
      <c r="S1694" s="705">
        <v>3911</v>
      </c>
      <c r="T1694" s="705">
        <v>3656</v>
      </c>
      <c r="U1694" s="705">
        <v>1354</v>
      </c>
      <c r="V1694" s="705">
        <v>16270</v>
      </c>
      <c r="W1694" s="705">
        <f t="shared" si="72"/>
        <v>16271</v>
      </c>
      <c r="X1694" s="705">
        <f t="shared" si="73"/>
        <v>23137</v>
      </c>
    </row>
    <row r="1695" spans="2:24">
      <c r="B1695" t="s">
        <v>548</v>
      </c>
      <c r="C1695" t="s">
        <v>116</v>
      </c>
      <c r="D1695" t="s">
        <v>582</v>
      </c>
      <c r="E1695" t="s">
        <v>582</v>
      </c>
      <c r="F1695" s="705">
        <v>31</v>
      </c>
      <c r="G1695" s="705">
        <v>3416</v>
      </c>
      <c r="H1695" s="705">
        <v>5784</v>
      </c>
      <c r="I1695" s="705">
        <v>297262</v>
      </c>
      <c r="J1695" s="705">
        <v>270238</v>
      </c>
      <c r="K1695" s="705">
        <v>80</v>
      </c>
      <c r="L1695" s="705">
        <v>78475</v>
      </c>
      <c r="M1695" s="705">
        <v>69517</v>
      </c>
      <c r="N1695" s="705">
        <v>72607</v>
      </c>
      <c r="O1695" s="705">
        <v>26891</v>
      </c>
      <c r="P1695" s="705">
        <v>14648</v>
      </c>
      <c r="Q1695" s="705">
        <v>5425</v>
      </c>
      <c r="R1695" s="705">
        <v>166758</v>
      </c>
      <c r="S1695" s="705">
        <v>151598</v>
      </c>
      <c r="T1695" s="705">
        <v>7696</v>
      </c>
      <c r="U1695" s="705">
        <v>2850</v>
      </c>
      <c r="V1695" s="705">
        <v>526520</v>
      </c>
      <c r="W1695" s="705">
        <f t="shared" si="72"/>
        <v>526519</v>
      </c>
      <c r="X1695" s="705">
        <f t="shared" si="73"/>
        <v>637446</v>
      </c>
    </row>
    <row r="1696" spans="2:24">
      <c r="B1696" t="s">
        <v>548</v>
      </c>
      <c r="C1696" t="s">
        <v>116</v>
      </c>
      <c r="D1696" t="s">
        <v>228</v>
      </c>
      <c r="E1696" t="s">
        <v>228</v>
      </c>
      <c r="F1696" s="705">
        <v>11</v>
      </c>
      <c r="G1696" s="705">
        <v>1197</v>
      </c>
      <c r="H1696" s="705">
        <v>2177</v>
      </c>
      <c r="I1696" s="705">
        <v>122064</v>
      </c>
      <c r="J1696" s="705">
        <v>45209</v>
      </c>
      <c r="K1696" s="705">
        <v>183</v>
      </c>
      <c r="L1696" s="705">
        <v>19099</v>
      </c>
      <c r="M1696" s="705">
        <v>12057</v>
      </c>
      <c r="N1696" s="705">
        <v>23097</v>
      </c>
      <c r="O1696" s="705">
        <v>8555</v>
      </c>
      <c r="P1696" s="705">
        <v>1404</v>
      </c>
      <c r="Q1696" s="705">
        <v>520</v>
      </c>
      <c r="R1696" s="705">
        <v>70605</v>
      </c>
      <c r="S1696" s="705">
        <v>26150</v>
      </c>
      <c r="T1696" s="705">
        <v>0</v>
      </c>
      <c r="U1696" s="705">
        <v>0</v>
      </c>
      <c r="V1696" s="705">
        <v>92491</v>
      </c>
      <c r="W1696" s="705">
        <f t="shared" si="72"/>
        <v>92491</v>
      </c>
      <c r="X1696" s="705">
        <f t="shared" si="73"/>
        <v>236269</v>
      </c>
    </row>
    <row r="1697" spans="2:24">
      <c r="B1697" t="s">
        <v>548</v>
      </c>
      <c r="C1697" t="s">
        <v>116</v>
      </c>
      <c r="D1697" t="s">
        <v>583</v>
      </c>
      <c r="E1697" t="s">
        <v>228</v>
      </c>
      <c r="F1697" s="705">
        <v>2</v>
      </c>
      <c r="G1697" s="705">
        <v>185</v>
      </c>
      <c r="H1697" s="705">
        <v>378</v>
      </c>
      <c r="I1697" s="705">
        <v>13244</v>
      </c>
      <c r="J1697" s="705">
        <v>12040</v>
      </c>
      <c r="K1697" s="705">
        <v>90</v>
      </c>
      <c r="L1697" s="705">
        <v>291</v>
      </c>
      <c r="M1697" s="705">
        <v>264</v>
      </c>
      <c r="N1697" s="705">
        <v>3770</v>
      </c>
      <c r="O1697" s="705">
        <v>1396</v>
      </c>
      <c r="P1697" s="705">
        <v>1242</v>
      </c>
      <c r="Q1697" s="705">
        <v>460</v>
      </c>
      <c r="R1697" s="705">
        <v>14523</v>
      </c>
      <c r="S1697" s="705">
        <v>5379</v>
      </c>
      <c r="T1697" s="705">
        <v>0</v>
      </c>
      <c r="U1697" s="705">
        <v>0</v>
      </c>
      <c r="V1697" s="705">
        <v>19540</v>
      </c>
      <c r="W1697" s="705">
        <f t="shared" si="72"/>
        <v>19539</v>
      </c>
      <c r="X1697" s="705">
        <f t="shared" si="73"/>
        <v>33070</v>
      </c>
    </row>
    <row r="1698" spans="2:24">
      <c r="B1698" t="s">
        <v>548</v>
      </c>
      <c r="C1698" t="s">
        <v>116</v>
      </c>
      <c r="D1698" t="s">
        <v>583</v>
      </c>
      <c r="E1698" t="s">
        <v>583</v>
      </c>
      <c r="F1698" s="705">
        <v>1213</v>
      </c>
      <c r="G1698" s="705">
        <v>122816</v>
      </c>
      <c r="H1698" s="705">
        <v>230017</v>
      </c>
      <c r="I1698" s="705">
        <v>11273254</v>
      </c>
      <c r="J1698" s="705">
        <v>10248413</v>
      </c>
      <c r="K1698" s="705">
        <v>87</v>
      </c>
      <c r="L1698" s="705">
        <v>2776907</v>
      </c>
      <c r="M1698" s="705">
        <v>2319969</v>
      </c>
      <c r="N1698" s="705">
        <v>2361878</v>
      </c>
      <c r="O1698" s="705">
        <v>874770</v>
      </c>
      <c r="P1698" s="705">
        <v>759337</v>
      </c>
      <c r="Q1698" s="705">
        <v>281236</v>
      </c>
      <c r="R1698" s="705">
        <v>5206621</v>
      </c>
      <c r="S1698" s="705">
        <v>4733292</v>
      </c>
      <c r="T1698" s="705">
        <v>1113309</v>
      </c>
      <c r="U1698" s="705">
        <v>412337</v>
      </c>
      <c r="V1698" s="705">
        <v>18870016</v>
      </c>
      <c r="W1698" s="705">
        <f t="shared" si="72"/>
        <v>18870017</v>
      </c>
      <c r="X1698" s="705">
        <f t="shared" si="73"/>
        <v>23491306</v>
      </c>
    </row>
    <row r="1699" spans="2:24">
      <c r="B1699" t="s">
        <v>548</v>
      </c>
      <c r="C1699" t="s">
        <v>116</v>
      </c>
      <c r="D1699" t="s">
        <v>583</v>
      </c>
      <c r="E1699" t="s">
        <v>666</v>
      </c>
      <c r="F1699" s="705">
        <v>1</v>
      </c>
      <c r="G1699" s="705">
        <v>189</v>
      </c>
      <c r="H1699" s="705">
        <v>213</v>
      </c>
      <c r="I1699" s="705">
        <v>21930</v>
      </c>
      <c r="J1699" s="705">
        <v>19936</v>
      </c>
      <c r="K1699" s="705">
        <v>85</v>
      </c>
      <c r="L1699" s="705">
        <v>6579</v>
      </c>
      <c r="M1699" s="705">
        <v>5981</v>
      </c>
      <c r="N1699" s="705">
        <v>3229</v>
      </c>
      <c r="O1699" s="705">
        <v>1196</v>
      </c>
      <c r="P1699" s="705">
        <v>621</v>
      </c>
      <c r="Q1699" s="705">
        <v>230</v>
      </c>
      <c r="R1699" s="705">
        <v>7957</v>
      </c>
      <c r="S1699" s="705">
        <v>7233</v>
      </c>
      <c r="T1699" s="705">
        <v>0</v>
      </c>
      <c r="U1699" s="705">
        <v>0</v>
      </c>
      <c r="V1699" s="705">
        <v>34576</v>
      </c>
      <c r="W1699" s="705">
        <f t="shared" si="72"/>
        <v>34576</v>
      </c>
      <c r="X1699" s="705">
        <f t="shared" si="73"/>
        <v>40316</v>
      </c>
    </row>
    <row r="1700" spans="2:24">
      <c r="B1700" t="s">
        <v>548</v>
      </c>
      <c r="C1700" t="s">
        <v>116</v>
      </c>
      <c r="D1700" t="s">
        <v>583</v>
      </c>
      <c r="E1700" t="s">
        <v>584</v>
      </c>
      <c r="F1700" s="705">
        <v>2</v>
      </c>
      <c r="G1700" s="705">
        <v>229</v>
      </c>
      <c r="H1700" s="705">
        <v>421</v>
      </c>
      <c r="I1700" s="705">
        <v>20135</v>
      </c>
      <c r="J1700" s="705">
        <v>18305</v>
      </c>
      <c r="K1700" s="705">
        <v>82</v>
      </c>
      <c r="L1700" s="705">
        <v>5849</v>
      </c>
      <c r="M1700" s="705">
        <v>5317</v>
      </c>
      <c r="N1700" s="705">
        <v>5200</v>
      </c>
      <c r="O1700" s="705">
        <v>1926</v>
      </c>
      <c r="P1700" s="705">
        <v>1242</v>
      </c>
      <c r="Q1700" s="705">
        <v>460</v>
      </c>
      <c r="R1700" s="705">
        <v>9043</v>
      </c>
      <c r="S1700" s="705">
        <v>8221</v>
      </c>
      <c r="T1700" s="705">
        <v>6363</v>
      </c>
      <c r="U1700" s="705">
        <v>2357</v>
      </c>
      <c r="V1700" s="705">
        <v>36586</v>
      </c>
      <c r="W1700" s="705">
        <f t="shared" si="72"/>
        <v>36586</v>
      </c>
      <c r="X1700" s="705">
        <f t="shared" si="73"/>
        <v>47832</v>
      </c>
    </row>
    <row r="1701" spans="2:24">
      <c r="B1701" t="s">
        <v>548</v>
      </c>
      <c r="C1701" t="s">
        <v>116</v>
      </c>
      <c r="D1701" t="s">
        <v>584</v>
      </c>
      <c r="E1701" t="s">
        <v>228</v>
      </c>
      <c r="F1701" s="705">
        <v>3</v>
      </c>
      <c r="G1701" s="705">
        <v>235</v>
      </c>
      <c r="H1701" s="705">
        <v>577</v>
      </c>
      <c r="I1701" s="705">
        <v>20716</v>
      </c>
      <c r="J1701" s="705">
        <v>18833</v>
      </c>
      <c r="K1701" s="705">
        <v>79</v>
      </c>
      <c r="L1701" s="705">
        <v>2342</v>
      </c>
      <c r="M1701" s="705">
        <v>1266</v>
      </c>
      <c r="N1701" s="705">
        <v>5649</v>
      </c>
      <c r="O1701" s="705">
        <v>2092</v>
      </c>
      <c r="P1701" s="705">
        <v>1418</v>
      </c>
      <c r="Q1701" s="705">
        <v>525</v>
      </c>
      <c r="R1701" s="705">
        <v>13520</v>
      </c>
      <c r="S1701" s="705">
        <v>5007</v>
      </c>
      <c r="T1701" s="705">
        <v>0</v>
      </c>
      <c r="U1701" s="705">
        <v>0</v>
      </c>
      <c r="V1701" s="705">
        <v>27723</v>
      </c>
      <c r="W1701" s="705">
        <f t="shared" si="72"/>
        <v>27723</v>
      </c>
      <c r="X1701" s="705">
        <f t="shared" si="73"/>
        <v>43645</v>
      </c>
    </row>
    <row r="1702" spans="2:24">
      <c r="B1702" t="s">
        <v>548</v>
      </c>
      <c r="C1702" t="s">
        <v>116</v>
      </c>
      <c r="D1702" t="s">
        <v>584</v>
      </c>
      <c r="E1702" t="s">
        <v>583</v>
      </c>
      <c r="F1702" s="705">
        <v>3</v>
      </c>
      <c r="G1702" s="705">
        <v>337</v>
      </c>
      <c r="H1702" s="705">
        <v>533</v>
      </c>
      <c r="I1702" s="705">
        <v>25575</v>
      </c>
      <c r="J1702" s="705">
        <v>23250</v>
      </c>
      <c r="K1702" s="705">
        <v>82</v>
      </c>
      <c r="L1702" s="705">
        <v>6588</v>
      </c>
      <c r="M1702" s="705">
        <v>5841</v>
      </c>
      <c r="N1702" s="705">
        <v>7979</v>
      </c>
      <c r="O1702" s="705">
        <v>2955</v>
      </c>
      <c r="P1702" s="705">
        <v>1418</v>
      </c>
      <c r="Q1702" s="705">
        <v>525</v>
      </c>
      <c r="R1702" s="705">
        <v>13962</v>
      </c>
      <c r="S1702" s="705">
        <v>12692</v>
      </c>
      <c r="T1702" s="705">
        <v>2778</v>
      </c>
      <c r="U1702" s="705">
        <v>1029</v>
      </c>
      <c r="V1702" s="705">
        <v>46292</v>
      </c>
      <c r="W1702" s="705">
        <f t="shared" si="72"/>
        <v>46292</v>
      </c>
      <c r="X1702" s="705">
        <f t="shared" si="73"/>
        <v>58300</v>
      </c>
    </row>
    <row r="1703" spans="2:24">
      <c r="B1703" t="s">
        <v>548</v>
      </c>
      <c r="C1703" t="s">
        <v>116</v>
      </c>
      <c r="D1703" t="s">
        <v>584</v>
      </c>
      <c r="E1703" t="s">
        <v>584</v>
      </c>
      <c r="F1703" s="705">
        <v>5370</v>
      </c>
      <c r="G1703" s="705">
        <v>510145</v>
      </c>
      <c r="H1703" s="705">
        <v>983278</v>
      </c>
      <c r="I1703" s="705">
        <v>43442423</v>
      </c>
      <c r="J1703" s="705">
        <v>39493112</v>
      </c>
      <c r="K1703" s="705">
        <v>84</v>
      </c>
      <c r="L1703" s="705">
        <v>12175077</v>
      </c>
      <c r="M1703" s="705">
        <v>10441060</v>
      </c>
      <c r="N1703" s="705">
        <v>9710881</v>
      </c>
      <c r="O1703" s="705">
        <v>3596622</v>
      </c>
      <c r="P1703" s="705">
        <v>2556129</v>
      </c>
      <c r="Q1703" s="705">
        <v>946714</v>
      </c>
      <c r="R1703" s="705">
        <v>23968070</v>
      </c>
      <c r="S1703" s="705">
        <v>21789155</v>
      </c>
      <c r="T1703" s="705">
        <v>1907636</v>
      </c>
      <c r="U1703" s="705">
        <v>706532</v>
      </c>
      <c r="V1703" s="705">
        <v>76973194</v>
      </c>
      <c r="W1703" s="705">
        <f t="shared" si="72"/>
        <v>76973195</v>
      </c>
      <c r="X1703" s="705">
        <f t="shared" si="73"/>
        <v>93760216</v>
      </c>
    </row>
    <row r="1704" spans="2:24">
      <c r="B1704" t="s">
        <v>548</v>
      </c>
      <c r="C1704" t="s">
        <v>116</v>
      </c>
      <c r="D1704" t="s">
        <v>584</v>
      </c>
      <c r="E1704" t="s">
        <v>669</v>
      </c>
      <c r="F1704" s="705">
        <v>1</v>
      </c>
      <c r="G1704" s="705">
        <v>126</v>
      </c>
      <c r="H1704" s="705">
        <v>163</v>
      </c>
      <c r="I1704" s="705">
        <v>11204</v>
      </c>
      <c r="J1704" s="705">
        <v>10186</v>
      </c>
      <c r="K1704" s="705">
        <v>90</v>
      </c>
      <c r="L1704" s="705">
        <v>3735</v>
      </c>
      <c r="M1704" s="705">
        <v>3395</v>
      </c>
      <c r="N1704" s="705">
        <v>1626</v>
      </c>
      <c r="O1704" s="705">
        <v>602</v>
      </c>
      <c r="P1704" s="705">
        <v>473</v>
      </c>
      <c r="Q1704" s="705">
        <v>175</v>
      </c>
      <c r="R1704" s="705">
        <v>3442</v>
      </c>
      <c r="S1704" s="705">
        <v>2868</v>
      </c>
      <c r="T1704" s="705">
        <v>0</v>
      </c>
      <c r="U1704" s="705">
        <v>0</v>
      </c>
      <c r="V1704" s="705">
        <v>17226</v>
      </c>
      <c r="W1704" s="705">
        <f t="shared" si="72"/>
        <v>17226</v>
      </c>
      <c r="X1704" s="705">
        <f t="shared" si="73"/>
        <v>20480</v>
      </c>
    </row>
    <row r="1705" spans="2:24">
      <c r="B1705" t="s">
        <v>548</v>
      </c>
      <c r="C1705" t="s">
        <v>116</v>
      </c>
      <c r="D1705" t="s">
        <v>665</v>
      </c>
      <c r="E1705" t="s">
        <v>665</v>
      </c>
      <c r="F1705" s="705">
        <v>3</v>
      </c>
      <c r="G1705" s="705">
        <v>272</v>
      </c>
      <c r="H1705" s="705">
        <v>644</v>
      </c>
      <c r="I1705" s="705">
        <v>31669</v>
      </c>
      <c r="J1705" s="705">
        <v>28790</v>
      </c>
      <c r="K1705" s="705">
        <v>65</v>
      </c>
      <c r="L1705" s="705">
        <v>2586</v>
      </c>
      <c r="M1705" s="705">
        <v>2351</v>
      </c>
      <c r="N1705" s="705">
        <v>5207</v>
      </c>
      <c r="O1705" s="705">
        <v>1928</v>
      </c>
      <c r="P1705" s="705">
        <v>1053</v>
      </c>
      <c r="Q1705" s="705">
        <v>390</v>
      </c>
      <c r="R1705" s="705">
        <v>11939</v>
      </c>
      <c r="S1705" s="705">
        <v>10853</v>
      </c>
      <c r="T1705" s="705">
        <v>5462</v>
      </c>
      <c r="U1705" s="705">
        <v>2023</v>
      </c>
      <c r="V1705" s="705">
        <v>46336</v>
      </c>
      <c r="W1705" s="705">
        <f t="shared" si="72"/>
        <v>46335</v>
      </c>
      <c r="X1705" s="705">
        <f t="shared" si="73"/>
        <v>57916</v>
      </c>
    </row>
    <row r="1706" spans="2:24">
      <c r="B1706" t="s">
        <v>548</v>
      </c>
      <c r="C1706" t="s">
        <v>116</v>
      </c>
      <c r="D1706" t="s">
        <v>585</v>
      </c>
      <c r="E1706" t="s">
        <v>585</v>
      </c>
      <c r="F1706" s="705">
        <v>1</v>
      </c>
      <c r="G1706" s="705">
        <v>147</v>
      </c>
      <c r="H1706" s="705">
        <v>203</v>
      </c>
      <c r="I1706" s="705">
        <v>24165</v>
      </c>
      <c r="J1706" s="705">
        <v>21969</v>
      </c>
      <c r="K1706" s="705">
        <v>65</v>
      </c>
      <c r="L1706" s="705">
        <v>5818</v>
      </c>
      <c r="M1706" s="705">
        <v>5289</v>
      </c>
      <c r="N1706" s="705">
        <v>3255</v>
      </c>
      <c r="O1706" s="705">
        <v>1206</v>
      </c>
      <c r="P1706" s="705">
        <v>351</v>
      </c>
      <c r="Q1706" s="705">
        <v>130</v>
      </c>
      <c r="R1706" s="705">
        <v>8072</v>
      </c>
      <c r="S1706" s="705">
        <v>7338</v>
      </c>
      <c r="T1706" s="705">
        <v>0</v>
      </c>
      <c r="U1706" s="705">
        <v>0</v>
      </c>
      <c r="V1706" s="705">
        <v>35931</v>
      </c>
      <c r="W1706" s="705">
        <f t="shared" si="72"/>
        <v>35932</v>
      </c>
      <c r="X1706" s="705">
        <f t="shared" si="73"/>
        <v>41661</v>
      </c>
    </row>
    <row r="1707" spans="2:24">
      <c r="B1707" t="s">
        <v>548</v>
      </c>
      <c r="C1707" t="s">
        <v>118</v>
      </c>
      <c r="F1707" s="705">
        <v>6</v>
      </c>
      <c r="G1707" s="705">
        <v>428</v>
      </c>
      <c r="H1707" s="705">
        <v>1543</v>
      </c>
      <c r="I1707" s="705"/>
      <c r="J1707" s="705">
        <v>0</v>
      </c>
      <c r="K1707" s="705"/>
      <c r="L1707" s="705"/>
      <c r="M1707" s="705">
        <v>0</v>
      </c>
      <c r="N1707" s="705">
        <v>8939</v>
      </c>
      <c r="O1707" s="705">
        <v>3311</v>
      </c>
      <c r="P1707" s="705">
        <v>1863</v>
      </c>
      <c r="Q1707" s="705">
        <v>690</v>
      </c>
      <c r="R1707" s="705"/>
      <c r="S1707" s="705">
        <v>0</v>
      </c>
      <c r="T1707" s="705">
        <v>7059</v>
      </c>
      <c r="U1707" s="705">
        <v>2615</v>
      </c>
      <c r="V1707" s="705">
        <v>6615</v>
      </c>
      <c r="W1707" s="705">
        <f t="shared" ref="W1707:W1770" si="74">SUM(ABS(J1707),ABS(M1707),ABS(O1707),ABS(Q1707),ABS(S1707),ABS(U1707))</f>
        <v>6616</v>
      </c>
      <c r="X1707" s="705">
        <f t="shared" ref="X1707:X1770" si="75">SUM(ABS(I1707),ABS(N1707),ABS(P1707),ABS(R1707),ABS(T1707),ABS(L1707))</f>
        <v>17861</v>
      </c>
    </row>
    <row r="1708" spans="2:24">
      <c r="B1708" t="s">
        <v>548</v>
      </c>
      <c r="C1708" t="s">
        <v>118</v>
      </c>
      <c r="D1708" t="s">
        <v>582</v>
      </c>
      <c r="E1708" t="s">
        <v>582</v>
      </c>
      <c r="F1708" s="705">
        <v>5</v>
      </c>
      <c r="G1708" s="705">
        <v>496</v>
      </c>
      <c r="H1708" s="705">
        <v>1358</v>
      </c>
      <c r="I1708" s="705">
        <v>73656</v>
      </c>
      <c r="J1708" s="705">
        <v>66960</v>
      </c>
      <c r="K1708" s="705">
        <v>77</v>
      </c>
      <c r="L1708" s="705">
        <v>20209</v>
      </c>
      <c r="M1708" s="705">
        <v>16214</v>
      </c>
      <c r="N1708" s="705">
        <v>9983</v>
      </c>
      <c r="O1708" s="705">
        <v>3697</v>
      </c>
      <c r="P1708" s="705">
        <v>1890</v>
      </c>
      <c r="Q1708" s="705">
        <v>700</v>
      </c>
      <c r="R1708" s="705">
        <v>24245</v>
      </c>
      <c r="S1708" s="705">
        <v>22041</v>
      </c>
      <c r="T1708" s="705">
        <v>11823</v>
      </c>
      <c r="U1708" s="705">
        <v>4379</v>
      </c>
      <c r="V1708" s="705">
        <v>113991</v>
      </c>
      <c r="W1708" s="705">
        <f t="shared" si="74"/>
        <v>113991</v>
      </c>
      <c r="X1708" s="705">
        <f t="shared" si="75"/>
        <v>141806</v>
      </c>
    </row>
    <row r="1709" spans="2:24">
      <c r="B1709" t="s">
        <v>548</v>
      </c>
      <c r="C1709" t="s">
        <v>118</v>
      </c>
      <c r="D1709" t="s">
        <v>228</v>
      </c>
      <c r="E1709" t="s">
        <v>228</v>
      </c>
      <c r="F1709" s="705">
        <v>28</v>
      </c>
      <c r="G1709" s="705">
        <v>2518</v>
      </c>
      <c r="H1709" s="705">
        <v>7221</v>
      </c>
      <c r="I1709" s="705">
        <v>340537</v>
      </c>
      <c r="J1709" s="705">
        <v>126125</v>
      </c>
      <c r="K1709" s="705">
        <v>100</v>
      </c>
      <c r="L1709" s="705">
        <v>60834</v>
      </c>
      <c r="M1709" s="705">
        <v>44606</v>
      </c>
      <c r="N1709" s="705">
        <v>54292</v>
      </c>
      <c r="O1709" s="705">
        <v>20108</v>
      </c>
      <c r="P1709" s="705">
        <v>0</v>
      </c>
      <c r="Q1709" s="705">
        <v>0</v>
      </c>
      <c r="R1709" s="705">
        <v>188636</v>
      </c>
      <c r="S1709" s="705">
        <v>69865</v>
      </c>
      <c r="T1709" s="705">
        <v>0</v>
      </c>
      <c r="U1709" s="705">
        <v>0</v>
      </c>
      <c r="V1709" s="705">
        <v>260704</v>
      </c>
      <c r="W1709" s="705">
        <f t="shared" si="74"/>
        <v>260704</v>
      </c>
      <c r="X1709" s="705">
        <f t="shared" si="75"/>
        <v>644299</v>
      </c>
    </row>
    <row r="1710" spans="2:24">
      <c r="B1710" t="s">
        <v>548</v>
      </c>
      <c r="C1710" t="s">
        <v>118</v>
      </c>
      <c r="D1710" t="s">
        <v>583</v>
      </c>
      <c r="E1710" t="s">
        <v>664</v>
      </c>
      <c r="F1710" s="705">
        <v>3</v>
      </c>
      <c r="G1710" s="705">
        <v>322</v>
      </c>
      <c r="H1710" s="705">
        <v>759</v>
      </c>
      <c r="I1710" s="705">
        <v>41786</v>
      </c>
      <c r="J1710" s="705">
        <v>37987</v>
      </c>
      <c r="K1710" s="705">
        <v>76</v>
      </c>
      <c r="L1710" s="705">
        <v>10000</v>
      </c>
      <c r="M1710" s="705">
        <v>8754</v>
      </c>
      <c r="N1710" s="705">
        <v>7119</v>
      </c>
      <c r="O1710" s="705">
        <v>2637</v>
      </c>
      <c r="P1710" s="705">
        <v>1593</v>
      </c>
      <c r="Q1710" s="705">
        <v>590</v>
      </c>
      <c r="R1710" s="705">
        <v>14042</v>
      </c>
      <c r="S1710" s="705">
        <v>12765</v>
      </c>
      <c r="T1710" s="705">
        <v>5585</v>
      </c>
      <c r="U1710" s="705">
        <v>2069</v>
      </c>
      <c r="V1710" s="705">
        <v>64802</v>
      </c>
      <c r="W1710" s="705">
        <f t="shared" si="74"/>
        <v>64802</v>
      </c>
      <c r="X1710" s="705">
        <f t="shared" si="75"/>
        <v>80125</v>
      </c>
    </row>
    <row r="1711" spans="2:24">
      <c r="B1711" t="s">
        <v>548</v>
      </c>
      <c r="C1711" t="s">
        <v>118</v>
      </c>
      <c r="D1711" t="s">
        <v>583</v>
      </c>
      <c r="E1711" t="s">
        <v>228</v>
      </c>
      <c r="F1711" s="705">
        <v>4</v>
      </c>
      <c r="G1711" s="705">
        <v>297</v>
      </c>
      <c r="H1711" s="705">
        <v>1079</v>
      </c>
      <c r="I1711" s="705">
        <v>38855</v>
      </c>
      <c r="J1711" s="705">
        <v>35323</v>
      </c>
      <c r="K1711" s="705">
        <v>85</v>
      </c>
      <c r="L1711" s="705">
        <v>9736</v>
      </c>
      <c r="M1711" s="705">
        <v>8113</v>
      </c>
      <c r="N1711" s="705">
        <v>6629</v>
      </c>
      <c r="O1711" s="705">
        <v>2455</v>
      </c>
      <c r="P1711" s="705">
        <v>2484</v>
      </c>
      <c r="Q1711" s="705">
        <v>920</v>
      </c>
      <c r="R1711" s="705">
        <v>22929</v>
      </c>
      <c r="S1711" s="705">
        <v>8492</v>
      </c>
      <c r="T1711" s="705">
        <v>0</v>
      </c>
      <c r="U1711" s="705">
        <v>0</v>
      </c>
      <c r="V1711" s="705">
        <v>55303</v>
      </c>
      <c r="W1711" s="705">
        <f t="shared" si="74"/>
        <v>55303</v>
      </c>
      <c r="X1711" s="705">
        <f t="shared" si="75"/>
        <v>80633</v>
      </c>
    </row>
    <row r="1712" spans="2:24">
      <c r="B1712" t="s">
        <v>548</v>
      </c>
      <c r="C1712" t="s">
        <v>118</v>
      </c>
      <c r="D1712" t="s">
        <v>583</v>
      </c>
      <c r="E1712" t="s">
        <v>583</v>
      </c>
      <c r="F1712" s="705">
        <v>1068</v>
      </c>
      <c r="G1712" s="705">
        <v>103250</v>
      </c>
      <c r="H1712" s="705">
        <v>278126</v>
      </c>
      <c r="I1712" s="705">
        <v>14202091</v>
      </c>
      <c r="J1712" s="705">
        <v>12910992</v>
      </c>
      <c r="K1712" s="705">
        <v>80</v>
      </c>
      <c r="L1712" s="705">
        <v>3232807</v>
      </c>
      <c r="M1712" s="705">
        <v>2655072</v>
      </c>
      <c r="N1712" s="705">
        <v>2076374</v>
      </c>
      <c r="O1712" s="705">
        <v>769028</v>
      </c>
      <c r="P1712" s="705">
        <v>673421</v>
      </c>
      <c r="Q1712" s="705">
        <v>249415</v>
      </c>
      <c r="R1712" s="705">
        <v>4888997</v>
      </c>
      <c r="S1712" s="705">
        <v>4444543</v>
      </c>
      <c r="T1712" s="705">
        <v>1975296</v>
      </c>
      <c r="U1712" s="705">
        <v>731591</v>
      </c>
      <c r="V1712" s="705">
        <v>21760640</v>
      </c>
      <c r="W1712" s="705">
        <f t="shared" si="74"/>
        <v>21760641</v>
      </c>
      <c r="X1712" s="705">
        <f t="shared" si="75"/>
        <v>27048986</v>
      </c>
    </row>
    <row r="1713" spans="2:24">
      <c r="B1713" t="s">
        <v>548</v>
      </c>
      <c r="C1713" t="s">
        <v>118</v>
      </c>
      <c r="D1713" t="s">
        <v>666</v>
      </c>
      <c r="E1713" t="s">
        <v>666</v>
      </c>
      <c r="F1713" s="705">
        <v>24</v>
      </c>
      <c r="G1713" s="705">
        <v>1906</v>
      </c>
      <c r="H1713" s="705">
        <v>6814</v>
      </c>
      <c r="I1713" s="705">
        <v>262314</v>
      </c>
      <c r="J1713" s="705">
        <v>238467</v>
      </c>
      <c r="K1713" s="705">
        <v>56</v>
      </c>
      <c r="L1713" s="705">
        <v>50940</v>
      </c>
      <c r="M1713" s="705">
        <v>46309</v>
      </c>
      <c r="N1713" s="705">
        <v>39549</v>
      </c>
      <c r="O1713" s="705">
        <v>14648</v>
      </c>
      <c r="P1713" s="705">
        <v>8073</v>
      </c>
      <c r="Q1713" s="705">
        <v>2990</v>
      </c>
      <c r="R1713" s="705">
        <v>128921</v>
      </c>
      <c r="S1713" s="705">
        <v>117201</v>
      </c>
      <c r="T1713" s="705">
        <v>50841</v>
      </c>
      <c r="U1713" s="705">
        <v>18830</v>
      </c>
      <c r="V1713" s="705">
        <v>438446</v>
      </c>
      <c r="W1713" s="705">
        <f t="shared" si="74"/>
        <v>438445</v>
      </c>
      <c r="X1713" s="705">
        <f t="shared" si="75"/>
        <v>540638</v>
      </c>
    </row>
    <row r="1714" spans="2:24">
      <c r="B1714" t="s">
        <v>548</v>
      </c>
      <c r="C1714" t="s">
        <v>118</v>
      </c>
      <c r="D1714" t="s">
        <v>584</v>
      </c>
      <c r="E1714" t="s">
        <v>228</v>
      </c>
      <c r="F1714" s="705">
        <v>3</v>
      </c>
      <c r="G1714" s="705">
        <v>273</v>
      </c>
      <c r="H1714" s="705">
        <v>702</v>
      </c>
      <c r="I1714" s="705">
        <v>27862</v>
      </c>
      <c r="J1714" s="705">
        <v>25329</v>
      </c>
      <c r="K1714" s="705">
        <v>76</v>
      </c>
      <c r="L1714" s="705">
        <v>8063</v>
      </c>
      <c r="M1714" s="705">
        <v>7126</v>
      </c>
      <c r="N1714" s="705">
        <v>6324</v>
      </c>
      <c r="O1714" s="705">
        <v>2342</v>
      </c>
      <c r="P1714" s="705">
        <v>1418</v>
      </c>
      <c r="Q1714" s="705">
        <v>525</v>
      </c>
      <c r="R1714" s="705">
        <v>17699</v>
      </c>
      <c r="S1714" s="705">
        <v>6555</v>
      </c>
      <c r="T1714" s="705">
        <v>2501</v>
      </c>
      <c r="U1714" s="705">
        <v>926</v>
      </c>
      <c r="V1714" s="705">
        <v>42804</v>
      </c>
      <c r="W1714" s="705">
        <f t="shared" si="74"/>
        <v>42803</v>
      </c>
      <c r="X1714" s="705">
        <f t="shared" si="75"/>
        <v>63867</v>
      </c>
    </row>
    <row r="1715" spans="2:24">
      <c r="B1715" t="s">
        <v>548</v>
      </c>
      <c r="C1715" t="s">
        <v>118</v>
      </c>
      <c r="D1715" t="s">
        <v>584</v>
      </c>
      <c r="E1715" t="s">
        <v>583</v>
      </c>
      <c r="F1715" s="705">
        <v>2</v>
      </c>
      <c r="G1715" s="705">
        <v>154</v>
      </c>
      <c r="H1715" s="705">
        <v>471</v>
      </c>
      <c r="I1715" s="705">
        <v>15274</v>
      </c>
      <c r="J1715" s="705">
        <v>13886</v>
      </c>
      <c r="K1715" s="705">
        <v>75</v>
      </c>
      <c r="L1715" s="705">
        <v>4372</v>
      </c>
      <c r="M1715" s="705">
        <v>3644</v>
      </c>
      <c r="N1715" s="705">
        <v>3154</v>
      </c>
      <c r="O1715" s="705">
        <v>1168</v>
      </c>
      <c r="P1715" s="705">
        <v>945</v>
      </c>
      <c r="Q1715" s="705">
        <v>350</v>
      </c>
      <c r="R1715" s="705">
        <v>10383</v>
      </c>
      <c r="S1715" s="705">
        <v>9439</v>
      </c>
      <c r="T1715" s="705">
        <v>2181</v>
      </c>
      <c r="U1715" s="705">
        <v>808</v>
      </c>
      <c r="V1715" s="705">
        <v>29295</v>
      </c>
      <c r="W1715" s="705">
        <f t="shared" si="74"/>
        <v>29295</v>
      </c>
      <c r="X1715" s="705">
        <f t="shared" si="75"/>
        <v>36309</v>
      </c>
    </row>
    <row r="1716" spans="2:24">
      <c r="B1716" t="s">
        <v>548</v>
      </c>
      <c r="C1716" t="s">
        <v>118</v>
      </c>
      <c r="D1716" t="s">
        <v>584</v>
      </c>
      <c r="E1716" t="s">
        <v>666</v>
      </c>
      <c r="F1716" s="705">
        <v>1</v>
      </c>
      <c r="G1716" s="705">
        <v>85</v>
      </c>
      <c r="H1716" s="705">
        <v>237</v>
      </c>
      <c r="I1716" s="705">
        <v>10724</v>
      </c>
      <c r="J1716" s="705">
        <v>9749</v>
      </c>
      <c r="K1716" s="705">
        <v>77</v>
      </c>
      <c r="L1716" s="705">
        <v>1579</v>
      </c>
      <c r="M1716" s="705">
        <v>1436</v>
      </c>
      <c r="N1716" s="705">
        <v>1508</v>
      </c>
      <c r="O1716" s="705">
        <v>559</v>
      </c>
      <c r="P1716" s="705">
        <v>473</v>
      </c>
      <c r="Q1716" s="705">
        <v>175</v>
      </c>
      <c r="R1716" s="705">
        <v>5846</v>
      </c>
      <c r="S1716" s="705">
        <v>5315</v>
      </c>
      <c r="T1716" s="705">
        <v>0</v>
      </c>
      <c r="U1716" s="705">
        <v>0</v>
      </c>
      <c r="V1716" s="705">
        <v>17233</v>
      </c>
      <c r="W1716" s="705">
        <f t="shared" si="74"/>
        <v>17234</v>
      </c>
      <c r="X1716" s="705">
        <f t="shared" si="75"/>
        <v>20130</v>
      </c>
    </row>
    <row r="1717" spans="2:24">
      <c r="B1717" t="s">
        <v>548</v>
      </c>
      <c r="C1717" t="s">
        <v>118</v>
      </c>
      <c r="D1717" t="s">
        <v>584</v>
      </c>
      <c r="E1717" t="s">
        <v>584</v>
      </c>
      <c r="F1717" s="705">
        <v>1444</v>
      </c>
      <c r="G1717" s="705">
        <v>123617</v>
      </c>
      <c r="H1717" s="705">
        <v>369092</v>
      </c>
      <c r="I1717" s="705">
        <v>15788644</v>
      </c>
      <c r="J1717" s="705">
        <v>14353313</v>
      </c>
      <c r="K1717" s="705">
        <v>80</v>
      </c>
      <c r="L1717" s="705">
        <v>4636133</v>
      </c>
      <c r="M1717" s="705">
        <v>3980219</v>
      </c>
      <c r="N1717" s="705">
        <v>2472013</v>
      </c>
      <c r="O1717" s="705">
        <v>915560</v>
      </c>
      <c r="P1717" s="705">
        <v>686437</v>
      </c>
      <c r="Q1717" s="705">
        <v>254236</v>
      </c>
      <c r="R1717" s="705">
        <v>6655341</v>
      </c>
      <c r="S1717" s="705">
        <v>6050310</v>
      </c>
      <c r="T1717" s="705">
        <v>1405947</v>
      </c>
      <c r="U1717" s="705">
        <v>520721</v>
      </c>
      <c r="V1717" s="705">
        <v>26074359</v>
      </c>
      <c r="W1717" s="705">
        <f t="shared" si="74"/>
        <v>26074359</v>
      </c>
      <c r="X1717" s="705">
        <f t="shared" si="75"/>
        <v>31644515</v>
      </c>
    </row>
    <row r="1718" spans="2:24">
      <c r="B1718" t="s">
        <v>548</v>
      </c>
      <c r="C1718" t="s">
        <v>118</v>
      </c>
      <c r="D1718" t="s">
        <v>669</v>
      </c>
      <c r="E1718" t="s">
        <v>228</v>
      </c>
      <c r="F1718" s="705">
        <v>1</v>
      </c>
      <c r="G1718" s="705">
        <v>86</v>
      </c>
      <c r="H1718" s="705">
        <v>256</v>
      </c>
      <c r="I1718" s="705">
        <v>11982</v>
      </c>
      <c r="J1718" s="705">
        <v>9985</v>
      </c>
      <c r="K1718" s="705">
        <v>60</v>
      </c>
      <c r="L1718" s="705">
        <v>1797</v>
      </c>
      <c r="M1718" s="705">
        <v>666</v>
      </c>
      <c r="N1718" s="705">
        <v>1796</v>
      </c>
      <c r="O1718" s="705">
        <v>665</v>
      </c>
      <c r="P1718" s="705">
        <v>0</v>
      </c>
      <c r="Q1718" s="705">
        <v>0</v>
      </c>
      <c r="R1718" s="705">
        <v>6389</v>
      </c>
      <c r="S1718" s="705">
        <v>2366</v>
      </c>
      <c r="T1718" s="705">
        <v>0</v>
      </c>
      <c r="U1718" s="705">
        <v>0</v>
      </c>
      <c r="V1718" s="705">
        <v>13683</v>
      </c>
      <c r="W1718" s="705">
        <f t="shared" si="74"/>
        <v>13682</v>
      </c>
      <c r="X1718" s="705">
        <f t="shared" si="75"/>
        <v>21964</v>
      </c>
    </row>
    <row r="1719" spans="2:24">
      <c r="B1719" t="s">
        <v>548</v>
      </c>
      <c r="C1719" t="s">
        <v>118</v>
      </c>
      <c r="D1719" t="s">
        <v>669</v>
      </c>
      <c r="E1719" t="s">
        <v>669</v>
      </c>
      <c r="F1719" s="705">
        <v>15</v>
      </c>
      <c r="G1719" s="705">
        <v>1240</v>
      </c>
      <c r="H1719" s="705">
        <v>4205</v>
      </c>
      <c r="I1719" s="705">
        <v>184411</v>
      </c>
      <c r="J1719" s="705">
        <v>153676</v>
      </c>
      <c r="K1719" s="705">
        <v>60</v>
      </c>
      <c r="L1719" s="705">
        <v>21588</v>
      </c>
      <c r="M1719" s="705">
        <v>16628</v>
      </c>
      <c r="N1719" s="705">
        <v>23500</v>
      </c>
      <c r="O1719" s="705">
        <v>8704</v>
      </c>
      <c r="P1719" s="705">
        <v>5535</v>
      </c>
      <c r="Q1719" s="705">
        <v>2050</v>
      </c>
      <c r="R1719" s="705">
        <v>84153</v>
      </c>
      <c r="S1719" s="705">
        <v>70128</v>
      </c>
      <c r="T1719" s="705">
        <v>29063</v>
      </c>
      <c r="U1719" s="705">
        <v>10764</v>
      </c>
      <c r="V1719" s="705">
        <v>261950</v>
      </c>
      <c r="W1719" s="705">
        <f t="shared" si="74"/>
        <v>261950</v>
      </c>
      <c r="X1719" s="705">
        <f t="shared" si="75"/>
        <v>348250</v>
      </c>
    </row>
    <row r="1720" spans="2:24">
      <c r="B1720" t="s">
        <v>548</v>
      </c>
      <c r="C1720" t="s">
        <v>118</v>
      </c>
      <c r="D1720" t="s">
        <v>665</v>
      </c>
      <c r="E1720" t="s">
        <v>665</v>
      </c>
      <c r="F1720" s="705">
        <v>35</v>
      </c>
      <c r="G1720" s="705">
        <v>3114</v>
      </c>
      <c r="H1720" s="705">
        <v>9360</v>
      </c>
      <c r="I1720" s="705">
        <v>424711</v>
      </c>
      <c r="J1720" s="705">
        <v>386101</v>
      </c>
      <c r="K1720" s="705">
        <v>57</v>
      </c>
      <c r="L1720" s="705">
        <v>53214</v>
      </c>
      <c r="M1720" s="705">
        <v>46341</v>
      </c>
      <c r="N1720" s="705">
        <v>60172</v>
      </c>
      <c r="O1720" s="705">
        <v>22286</v>
      </c>
      <c r="P1720" s="705">
        <v>12555</v>
      </c>
      <c r="Q1720" s="705">
        <v>4650</v>
      </c>
      <c r="R1720" s="705">
        <v>193555</v>
      </c>
      <c r="S1720" s="705">
        <v>175959</v>
      </c>
      <c r="T1720" s="705">
        <v>88355</v>
      </c>
      <c r="U1720" s="705">
        <v>32724</v>
      </c>
      <c r="V1720" s="705">
        <v>668061</v>
      </c>
      <c r="W1720" s="705">
        <f t="shared" si="74"/>
        <v>668061</v>
      </c>
      <c r="X1720" s="705">
        <f t="shared" si="75"/>
        <v>832562</v>
      </c>
    </row>
    <row r="1721" spans="2:24">
      <c r="B1721" t="s">
        <v>548</v>
      </c>
      <c r="C1721" t="s">
        <v>120</v>
      </c>
      <c r="D1721" t="s">
        <v>582</v>
      </c>
      <c r="E1721" t="s">
        <v>582</v>
      </c>
      <c r="F1721" s="705">
        <v>2</v>
      </c>
      <c r="G1721" s="705">
        <v>224</v>
      </c>
      <c r="H1721" s="705">
        <v>677</v>
      </c>
      <c r="I1721" s="705">
        <v>45953</v>
      </c>
      <c r="J1721" s="705">
        <v>41776</v>
      </c>
      <c r="K1721" s="705">
        <v>85</v>
      </c>
      <c r="L1721" s="705">
        <v>14361</v>
      </c>
      <c r="M1721" s="705">
        <v>13055</v>
      </c>
      <c r="N1721" s="705">
        <v>4708</v>
      </c>
      <c r="O1721" s="705">
        <v>1744</v>
      </c>
      <c r="P1721" s="705">
        <v>945</v>
      </c>
      <c r="Q1721" s="705">
        <v>350</v>
      </c>
      <c r="R1721" s="705">
        <v>9060</v>
      </c>
      <c r="S1721" s="705">
        <v>8237</v>
      </c>
      <c r="T1721" s="705">
        <v>0</v>
      </c>
      <c r="U1721" s="705">
        <v>0</v>
      </c>
      <c r="V1721" s="705">
        <v>65161</v>
      </c>
      <c r="W1721" s="705">
        <f t="shared" si="74"/>
        <v>65162</v>
      </c>
      <c r="X1721" s="705">
        <f t="shared" si="75"/>
        <v>75027</v>
      </c>
    </row>
    <row r="1722" spans="2:24">
      <c r="B1722" t="s">
        <v>548</v>
      </c>
      <c r="C1722" t="s">
        <v>120</v>
      </c>
      <c r="D1722" t="s">
        <v>228</v>
      </c>
      <c r="E1722" t="s">
        <v>228</v>
      </c>
      <c r="F1722" s="705">
        <v>23</v>
      </c>
      <c r="G1722" s="705">
        <v>1940</v>
      </c>
      <c r="H1722" s="705">
        <v>7964</v>
      </c>
      <c r="I1722" s="705">
        <v>406116</v>
      </c>
      <c r="J1722" s="705">
        <v>150413</v>
      </c>
      <c r="K1722" s="705">
        <v>100</v>
      </c>
      <c r="L1722" s="705">
        <v>60657</v>
      </c>
      <c r="M1722" s="705">
        <v>35453</v>
      </c>
      <c r="N1722" s="705">
        <v>42049</v>
      </c>
      <c r="O1722" s="705">
        <v>15574</v>
      </c>
      <c r="P1722" s="705">
        <v>0</v>
      </c>
      <c r="Q1722" s="705">
        <v>0</v>
      </c>
      <c r="R1722" s="705">
        <v>171358</v>
      </c>
      <c r="S1722" s="705">
        <v>63466</v>
      </c>
      <c r="T1722" s="705">
        <v>0</v>
      </c>
      <c r="U1722" s="705">
        <v>0</v>
      </c>
      <c r="V1722" s="705">
        <v>264906</v>
      </c>
      <c r="W1722" s="705">
        <f t="shared" si="74"/>
        <v>264906</v>
      </c>
      <c r="X1722" s="705">
        <f t="shared" si="75"/>
        <v>680180</v>
      </c>
    </row>
    <row r="1723" spans="2:24">
      <c r="B1723" t="s">
        <v>548</v>
      </c>
      <c r="C1723" t="s">
        <v>120</v>
      </c>
      <c r="D1723" t="s">
        <v>228</v>
      </c>
      <c r="E1723" t="s">
        <v>666</v>
      </c>
      <c r="F1723" s="705">
        <v>1</v>
      </c>
      <c r="G1723" s="705">
        <v>74</v>
      </c>
      <c r="H1723" s="705">
        <v>343</v>
      </c>
      <c r="I1723" s="705">
        <v>16372</v>
      </c>
      <c r="J1723" s="705">
        <v>6064</v>
      </c>
      <c r="K1723" s="705">
        <v>100</v>
      </c>
      <c r="L1723" s="705">
        <v>1482</v>
      </c>
      <c r="M1723" s="705">
        <v>1348</v>
      </c>
      <c r="N1723" s="705">
        <v>1397</v>
      </c>
      <c r="O1723" s="705">
        <v>518</v>
      </c>
      <c r="P1723" s="705">
        <v>0</v>
      </c>
      <c r="Q1723" s="705">
        <v>0</v>
      </c>
      <c r="R1723" s="705">
        <v>4510</v>
      </c>
      <c r="S1723" s="705">
        <v>4100</v>
      </c>
      <c r="T1723" s="705">
        <v>1639</v>
      </c>
      <c r="U1723" s="705">
        <v>607</v>
      </c>
      <c r="V1723" s="705">
        <v>12636</v>
      </c>
      <c r="W1723" s="705">
        <f t="shared" si="74"/>
        <v>12637</v>
      </c>
      <c r="X1723" s="705">
        <f t="shared" si="75"/>
        <v>25400</v>
      </c>
    </row>
    <row r="1724" spans="2:24">
      <c r="B1724" t="s">
        <v>548</v>
      </c>
      <c r="C1724" t="s">
        <v>120</v>
      </c>
      <c r="D1724" t="s">
        <v>228</v>
      </c>
      <c r="E1724" t="s">
        <v>669</v>
      </c>
      <c r="F1724" s="705">
        <v>1</v>
      </c>
      <c r="G1724" s="705">
        <v>73</v>
      </c>
      <c r="H1724" s="705">
        <v>370</v>
      </c>
      <c r="I1724" s="705">
        <v>15834</v>
      </c>
      <c r="J1724" s="705">
        <v>5865</v>
      </c>
      <c r="K1724" s="705">
        <v>100</v>
      </c>
      <c r="L1724" s="705">
        <v>1564</v>
      </c>
      <c r="M1724" s="705">
        <v>1303</v>
      </c>
      <c r="N1724" s="705">
        <v>1279</v>
      </c>
      <c r="O1724" s="705">
        <v>474</v>
      </c>
      <c r="P1724" s="705">
        <v>351</v>
      </c>
      <c r="Q1724" s="705">
        <v>130</v>
      </c>
      <c r="R1724" s="705">
        <v>5617</v>
      </c>
      <c r="S1724" s="705">
        <v>4681</v>
      </c>
      <c r="T1724" s="705">
        <v>2337</v>
      </c>
      <c r="U1724" s="705">
        <v>865</v>
      </c>
      <c r="V1724" s="705">
        <v>13318</v>
      </c>
      <c r="W1724" s="705">
        <f t="shared" si="74"/>
        <v>13318</v>
      </c>
      <c r="X1724" s="705">
        <f t="shared" si="75"/>
        <v>26982</v>
      </c>
    </row>
    <row r="1725" spans="2:24">
      <c r="B1725" t="s">
        <v>548</v>
      </c>
      <c r="C1725" t="s">
        <v>120</v>
      </c>
      <c r="D1725" t="s">
        <v>583</v>
      </c>
      <c r="E1725" t="s">
        <v>228</v>
      </c>
      <c r="F1725" s="705">
        <v>6</v>
      </c>
      <c r="G1725" s="705">
        <v>705</v>
      </c>
      <c r="H1725" s="705">
        <v>2061</v>
      </c>
      <c r="I1725" s="705">
        <v>154458</v>
      </c>
      <c r="J1725" s="705">
        <v>140417</v>
      </c>
      <c r="K1725" s="705">
        <v>80</v>
      </c>
      <c r="L1725" s="705">
        <v>42329</v>
      </c>
      <c r="M1725" s="705">
        <v>37078</v>
      </c>
      <c r="N1725" s="705">
        <v>12001</v>
      </c>
      <c r="O1725" s="705">
        <v>4445</v>
      </c>
      <c r="P1725" s="705">
        <v>3726</v>
      </c>
      <c r="Q1725" s="705">
        <v>1380</v>
      </c>
      <c r="R1725" s="705">
        <v>33097</v>
      </c>
      <c r="S1725" s="705">
        <v>12258</v>
      </c>
      <c r="T1725" s="705">
        <v>0</v>
      </c>
      <c r="U1725" s="705">
        <v>0</v>
      </c>
      <c r="V1725" s="705">
        <v>195578</v>
      </c>
      <c r="W1725" s="705">
        <f t="shared" si="74"/>
        <v>195578</v>
      </c>
      <c r="X1725" s="705">
        <f t="shared" si="75"/>
        <v>245611</v>
      </c>
    </row>
    <row r="1726" spans="2:24">
      <c r="B1726" t="s">
        <v>548</v>
      </c>
      <c r="C1726" t="s">
        <v>120</v>
      </c>
      <c r="D1726" t="s">
        <v>583</v>
      </c>
      <c r="E1726" t="s">
        <v>583</v>
      </c>
      <c r="F1726" s="705">
        <v>524</v>
      </c>
      <c r="G1726" s="705">
        <v>47467</v>
      </c>
      <c r="H1726" s="705">
        <v>176804</v>
      </c>
      <c r="I1726" s="705">
        <v>9225281</v>
      </c>
      <c r="J1726" s="705">
        <v>8386619</v>
      </c>
      <c r="K1726" s="705">
        <v>76</v>
      </c>
      <c r="L1726" s="705">
        <v>2035291</v>
      </c>
      <c r="M1726" s="705">
        <v>1682242</v>
      </c>
      <c r="N1726" s="705">
        <v>989969</v>
      </c>
      <c r="O1726" s="705">
        <v>366655</v>
      </c>
      <c r="P1726" s="705">
        <v>334859</v>
      </c>
      <c r="Q1726" s="705">
        <v>124022</v>
      </c>
      <c r="R1726" s="705">
        <v>2456795</v>
      </c>
      <c r="S1726" s="705">
        <v>2233450</v>
      </c>
      <c r="T1726" s="705">
        <v>1057346</v>
      </c>
      <c r="U1726" s="705">
        <v>391609</v>
      </c>
      <c r="V1726" s="705">
        <v>13184598</v>
      </c>
      <c r="W1726" s="705">
        <f t="shared" si="74"/>
        <v>13184597</v>
      </c>
      <c r="X1726" s="705">
        <f t="shared" si="75"/>
        <v>16099541</v>
      </c>
    </row>
    <row r="1727" spans="2:24">
      <c r="B1727" t="s">
        <v>548</v>
      </c>
      <c r="C1727" t="s">
        <v>120</v>
      </c>
      <c r="D1727" t="s">
        <v>583</v>
      </c>
      <c r="E1727" t="s">
        <v>666</v>
      </c>
      <c r="F1727" s="705">
        <v>2</v>
      </c>
      <c r="G1727" s="705">
        <v>202</v>
      </c>
      <c r="H1727" s="705">
        <v>732</v>
      </c>
      <c r="I1727" s="705">
        <v>42741</v>
      </c>
      <c r="J1727" s="705">
        <v>38856</v>
      </c>
      <c r="K1727" s="705">
        <v>63</v>
      </c>
      <c r="L1727" s="705">
        <v>9373</v>
      </c>
      <c r="M1727" s="705">
        <v>4830</v>
      </c>
      <c r="N1727" s="705">
        <v>3937</v>
      </c>
      <c r="O1727" s="705">
        <v>1458</v>
      </c>
      <c r="P1727" s="705">
        <v>1323</v>
      </c>
      <c r="Q1727" s="705">
        <v>490</v>
      </c>
      <c r="R1727" s="705">
        <v>10797</v>
      </c>
      <c r="S1727" s="705">
        <v>9816</v>
      </c>
      <c r="T1727" s="705">
        <v>5748</v>
      </c>
      <c r="U1727" s="705">
        <v>2129</v>
      </c>
      <c r="V1727" s="705">
        <v>57579</v>
      </c>
      <c r="W1727" s="705">
        <f t="shared" si="74"/>
        <v>57579</v>
      </c>
      <c r="X1727" s="705">
        <f t="shared" si="75"/>
        <v>73919</v>
      </c>
    </row>
    <row r="1728" spans="2:24">
      <c r="B1728" t="s">
        <v>548</v>
      </c>
      <c r="C1728" t="s">
        <v>120</v>
      </c>
      <c r="D1728" t="s">
        <v>666</v>
      </c>
      <c r="E1728" t="s">
        <v>666</v>
      </c>
      <c r="F1728" s="705">
        <v>27</v>
      </c>
      <c r="G1728" s="705">
        <v>2318</v>
      </c>
      <c r="H1728" s="705">
        <v>8733</v>
      </c>
      <c r="I1728" s="705">
        <v>385915</v>
      </c>
      <c r="J1728" s="705">
        <v>350832</v>
      </c>
      <c r="K1728" s="705">
        <v>54</v>
      </c>
      <c r="L1728" s="705">
        <v>69553</v>
      </c>
      <c r="M1728" s="705">
        <v>62076</v>
      </c>
      <c r="N1728" s="705">
        <v>50445</v>
      </c>
      <c r="O1728" s="705">
        <v>18683</v>
      </c>
      <c r="P1728" s="705">
        <v>9477</v>
      </c>
      <c r="Q1728" s="705">
        <v>3510</v>
      </c>
      <c r="R1728" s="705">
        <v>160210</v>
      </c>
      <c r="S1728" s="705">
        <v>145646</v>
      </c>
      <c r="T1728" s="705">
        <v>72975</v>
      </c>
      <c r="U1728" s="705">
        <v>27028</v>
      </c>
      <c r="V1728" s="705">
        <v>607775</v>
      </c>
      <c r="W1728" s="705">
        <f t="shared" si="74"/>
        <v>607775</v>
      </c>
      <c r="X1728" s="705">
        <f t="shared" si="75"/>
        <v>748575</v>
      </c>
    </row>
    <row r="1729" spans="2:24">
      <c r="B1729" t="s">
        <v>548</v>
      </c>
      <c r="C1729" t="s">
        <v>120</v>
      </c>
      <c r="D1729" t="s">
        <v>584</v>
      </c>
      <c r="E1729" t="s">
        <v>228</v>
      </c>
      <c r="F1729" s="705">
        <v>2</v>
      </c>
      <c r="G1729" s="705">
        <v>194</v>
      </c>
      <c r="H1729" s="705">
        <v>699</v>
      </c>
      <c r="I1729" s="705">
        <v>44572</v>
      </c>
      <c r="J1729" s="705">
        <v>40520</v>
      </c>
      <c r="K1729" s="705">
        <v>79</v>
      </c>
      <c r="L1729" s="705">
        <v>5864</v>
      </c>
      <c r="M1729" s="705">
        <v>5331</v>
      </c>
      <c r="N1729" s="705">
        <v>4556</v>
      </c>
      <c r="O1729" s="705">
        <v>1687</v>
      </c>
      <c r="P1729" s="705">
        <v>945</v>
      </c>
      <c r="Q1729" s="705">
        <v>350</v>
      </c>
      <c r="R1729" s="705">
        <v>10647</v>
      </c>
      <c r="S1729" s="705">
        <v>3943</v>
      </c>
      <c r="T1729" s="705">
        <v>0</v>
      </c>
      <c r="U1729" s="705">
        <v>0</v>
      </c>
      <c r="V1729" s="705">
        <v>51831</v>
      </c>
      <c r="W1729" s="705">
        <f t="shared" si="74"/>
        <v>51831</v>
      </c>
      <c r="X1729" s="705">
        <f t="shared" si="75"/>
        <v>66584</v>
      </c>
    </row>
    <row r="1730" spans="2:24">
      <c r="B1730" t="s">
        <v>548</v>
      </c>
      <c r="C1730" t="s">
        <v>120</v>
      </c>
      <c r="D1730" t="s">
        <v>584</v>
      </c>
      <c r="E1730" t="s">
        <v>584</v>
      </c>
      <c r="F1730" s="705">
        <v>415</v>
      </c>
      <c r="G1730" s="705">
        <v>33930</v>
      </c>
      <c r="H1730" s="705">
        <v>138810</v>
      </c>
      <c r="I1730" s="705">
        <v>6416378</v>
      </c>
      <c r="J1730" s="705">
        <v>5833071</v>
      </c>
      <c r="K1730" s="705">
        <v>79</v>
      </c>
      <c r="L1730" s="705">
        <v>1787137</v>
      </c>
      <c r="M1730" s="705">
        <v>1516789</v>
      </c>
      <c r="N1730" s="705">
        <v>710616</v>
      </c>
      <c r="O1730" s="705">
        <v>263191</v>
      </c>
      <c r="P1730" s="705">
        <v>197056</v>
      </c>
      <c r="Q1730" s="705">
        <v>72984</v>
      </c>
      <c r="R1730" s="705">
        <v>1850275</v>
      </c>
      <c r="S1730" s="705">
        <v>1682068</v>
      </c>
      <c r="T1730" s="705">
        <v>479926</v>
      </c>
      <c r="U1730" s="705">
        <v>177750</v>
      </c>
      <c r="V1730" s="705">
        <v>9545853</v>
      </c>
      <c r="W1730" s="705">
        <f t="shared" si="74"/>
        <v>9545853</v>
      </c>
      <c r="X1730" s="705">
        <f t="shared" si="75"/>
        <v>11441388</v>
      </c>
    </row>
    <row r="1731" spans="2:24">
      <c r="B1731" t="s">
        <v>548</v>
      </c>
      <c r="C1731" t="s">
        <v>120</v>
      </c>
      <c r="D1731" t="s">
        <v>584</v>
      </c>
      <c r="E1731" t="s">
        <v>669</v>
      </c>
      <c r="F1731" s="705">
        <v>1</v>
      </c>
      <c r="G1731" s="705">
        <v>76</v>
      </c>
      <c r="H1731" s="705">
        <v>326</v>
      </c>
      <c r="I1731" s="705">
        <v>11561</v>
      </c>
      <c r="J1731" s="705">
        <v>10510</v>
      </c>
      <c r="K1731" s="705">
        <v>68</v>
      </c>
      <c r="L1731" s="705">
        <v>2766</v>
      </c>
      <c r="M1731" s="705">
        <v>2515</v>
      </c>
      <c r="N1731" s="705">
        <v>1645</v>
      </c>
      <c r="O1731" s="705">
        <v>609</v>
      </c>
      <c r="P1731" s="705">
        <v>473</v>
      </c>
      <c r="Q1731" s="705">
        <v>175</v>
      </c>
      <c r="R1731" s="705">
        <v>5460</v>
      </c>
      <c r="S1731" s="705">
        <v>4550</v>
      </c>
      <c r="T1731" s="705">
        <v>2822</v>
      </c>
      <c r="U1731" s="705">
        <v>1045</v>
      </c>
      <c r="V1731" s="705">
        <v>19404</v>
      </c>
      <c r="W1731" s="705">
        <f t="shared" si="74"/>
        <v>19404</v>
      </c>
      <c r="X1731" s="705">
        <f t="shared" si="75"/>
        <v>24727</v>
      </c>
    </row>
    <row r="1732" spans="2:24">
      <c r="B1732" t="s">
        <v>548</v>
      </c>
      <c r="C1732" t="s">
        <v>120</v>
      </c>
      <c r="D1732" t="s">
        <v>669</v>
      </c>
      <c r="E1732" t="s">
        <v>669</v>
      </c>
      <c r="F1732" s="705">
        <v>24</v>
      </c>
      <c r="G1732" s="705">
        <v>2006</v>
      </c>
      <c r="H1732" s="705">
        <v>8203</v>
      </c>
      <c r="I1732" s="705">
        <v>392167</v>
      </c>
      <c r="J1732" s="705">
        <v>326806</v>
      </c>
      <c r="K1732" s="705">
        <v>55</v>
      </c>
      <c r="L1732" s="705">
        <v>44320</v>
      </c>
      <c r="M1732" s="705">
        <v>32646</v>
      </c>
      <c r="N1732" s="705">
        <v>44089</v>
      </c>
      <c r="O1732" s="705">
        <v>16329</v>
      </c>
      <c r="P1732" s="705">
        <v>8424</v>
      </c>
      <c r="Q1732" s="705">
        <v>3120</v>
      </c>
      <c r="R1732" s="705">
        <v>149058</v>
      </c>
      <c r="S1732" s="705">
        <v>124215</v>
      </c>
      <c r="T1732" s="705">
        <v>49733</v>
      </c>
      <c r="U1732" s="705">
        <v>18420</v>
      </c>
      <c r="V1732" s="705">
        <v>521536</v>
      </c>
      <c r="W1732" s="705">
        <f t="shared" si="74"/>
        <v>521536</v>
      </c>
      <c r="X1732" s="705">
        <f t="shared" si="75"/>
        <v>687791</v>
      </c>
    </row>
    <row r="1733" spans="2:24">
      <c r="B1733" t="s">
        <v>548</v>
      </c>
      <c r="C1733" t="s">
        <v>120</v>
      </c>
      <c r="D1733" t="s">
        <v>671</v>
      </c>
      <c r="E1733" t="s">
        <v>671</v>
      </c>
      <c r="F1733" s="705">
        <v>1</v>
      </c>
      <c r="G1733" s="705">
        <v>102</v>
      </c>
      <c r="H1733" s="705">
        <v>349</v>
      </c>
      <c r="I1733" s="705">
        <v>19958</v>
      </c>
      <c r="J1733" s="705">
        <v>18144</v>
      </c>
      <c r="K1733" s="705">
        <v>55</v>
      </c>
      <c r="L1733" s="705">
        <v>4066</v>
      </c>
      <c r="M1733" s="705">
        <v>3696</v>
      </c>
      <c r="N1733" s="705">
        <v>1614</v>
      </c>
      <c r="O1733" s="705">
        <v>598</v>
      </c>
      <c r="P1733" s="705">
        <v>351</v>
      </c>
      <c r="Q1733" s="705">
        <v>130</v>
      </c>
      <c r="R1733" s="705">
        <v>6394</v>
      </c>
      <c r="S1733" s="705">
        <v>5813</v>
      </c>
      <c r="T1733" s="705">
        <v>3165</v>
      </c>
      <c r="U1733" s="705">
        <v>1172</v>
      </c>
      <c r="V1733" s="705">
        <v>29552</v>
      </c>
      <c r="W1733" s="705">
        <f t="shared" si="74"/>
        <v>29553</v>
      </c>
      <c r="X1733" s="705">
        <f t="shared" si="75"/>
        <v>35548</v>
      </c>
    </row>
    <row r="1734" spans="2:24">
      <c r="B1734" t="s">
        <v>548</v>
      </c>
      <c r="C1734" t="s">
        <v>120</v>
      </c>
      <c r="D1734" t="s">
        <v>665</v>
      </c>
      <c r="E1734" t="s">
        <v>665</v>
      </c>
      <c r="F1734" s="705">
        <v>31</v>
      </c>
      <c r="G1734" s="705">
        <v>2143</v>
      </c>
      <c r="H1734" s="705">
        <v>10666</v>
      </c>
      <c r="I1734" s="705">
        <v>402470</v>
      </c>
      <c r="J1734" s="705">
        <v>365882</v>
      </c>
      <c r="K1734" s="705">
        <v>57</v>
      </c>
      <c r="L1734" s="705">
        <v>50848</v>
      </c>
      <c r="M1734" s="705">
        <v>29601</v>
      </c>
      <c r="N1734" s="705">
        <v>42919</v>
      </c>
      <c r="O1734" s="705">
        <v>15896</v>
      </c>
      <c r="P1734" s="705">
        <v>11543</v>
      </c>
      <c r="Q1734" s="705">
        <v>4275</v>
      </c>
      <c r="R1734" s="705">
        <v>161689</v>
      </c>
      <c r="S1734" s="705">
        <v>146990</v>
      </c>
      <c r="T1734" s="705">
        <v>61192</v>
      </c>
      <c r="U1734" s="705">
        <v>22664</v>
      </c>
      <c r="V1734" s="705">
        <v>585307</v>
      </c>
      <c r="W1734" s="705">
        <f t="shared" si="74"/>
        <v>585308</v>
      </c>
      <c r="X1734" s="705">
        <f t="shared" si="75"/>
        <v>730661</v>
      </c>
    </row>
    <row r="1735" spans="2:24">
      <c r="B1735" t="s">
        <v>548</v>
      </c>
      <c r="C1735" t="s">
        <v>120</v>
      </c>
      <c r="D1735" t="s">
        <v>668</v>
      </c>
      <c r="E1735" t="s">
        <v>668</v>
      </c>
      <c r="F1735" s="705">
        <v>1</v>
      </c>
      <c r="G1735" s="705">
        <v>102</v>
      </c>
      <c r="H1735" s="705">
        <v>319</v>
      </c>
      <c r="I1735" s="705">
        <v>26586</v>
      </c>
      <c r="J1735" s="705">
        <v>24169</v>
      </c>
      <c r="K1735" s="705">
        <v>85</v>
      </c>
      <c r="L1735" s="705">
        <v>0</v>
      </c>
      <c r="M1735" s="705">
        <v>0</v>
      </c>
      <c r="N1735" s="705">
        <v>1385</v>
      </c>
      <c r="O1735" s="705">
        <v>513</v>
      </c>
      <c r="P1735" s="705">
        <v>351</v>
      </c>
      <c r="Q1735" s="705">
        <v>130</v>
      </c>
      <c r="R1735" s="705">
        <v>4386</v>
      </c>
      <c r="S1735" s="705">
        <v>3987</v>
      </c>
      <c r="T1735" s="705">
        <v>0</v>
      </c>
      <c r="U1735" s="705">
        <v>0</v>
      </c>
      <c r="V1735" s="705">
        <v>28799</v>
      </c>
      <c r="W1735" s="705">
        <f t="shared" si="74"/>
        <v>28799</v>
      </c>
      <c r="X1735" s="705">
        <f t="shared" si="75"/>
        <v>32708</v>
      </c>
    </row>
    <row r="1736" spans="2:24">
      <c r="B1736" t="s">
        <v>548</v>
      </c>
      <c r="C1736" t="s">
        <v>122</v>
      </c>
      <c r="D1736" t="s">
        <v>664</v>
      </c>
      <c r="E1736" t="s">
        <v>664</v>
      </c>
      <c r="F1736" s="705">
        <v>1</v>
      </c>
      <c r="G1736" s="705">
        <v>71</v>
      </c>
      <c r="H1736" s="705">
        <v>391</v>
      </c>
      <c r="I1736" s="705">
        <v>17858</v>
      </c>
      <c r="J1736" s="705">
        <v>16235</v>
      </c>
      <c r="K1736" s="705">
        <v>81</v>
      </c>
      <c r="L1736" s="705">
        <v>5060</v>
      </c>
      <c r="M1736" s="705">
        <v>4600</v>
      </c>
      <c r="N1736" s="705">
        <v>1725</v>
      </c>
      <c r="O1736" s="705">
        <v>639</v>
      </c>
      <c r="P1736" s="705">
        <v>473</v>
      </c>
      <c r="Q1736" s="705">
        <v>175</v>
      </c>
      <c r="R1736" s="705">
        <v>2575</v>
      </c>
      <c r="S1736" s="705">
        <v>2341</v>
      </c>
      <c r="T1736" s="705">
        <v>0</v>
      </c>
      <c r="U1736" s="705">
        <v>0</v>
      </c>
      <c r="V1736" s="705">
        <v>23990</v>
      </c>
      <c r="W1736" s="705">
        <f t="shared" si="74"/>
        <v>23990</v>
      </c>
      <c r="X1736" s="705">
        <f t="shared" si="75"/>
        <v>27691</v>
      </c>
    </row>
    <row r="1737" spans="2:24">
      <c r="B1737" t="s">
        <v>548</v>
      </c>
      <c r="C1737" t="s">
        <v>122</v>
      </c>
      <c r="D1737" t="s">
        <v>228</v>
      </c>
      <c r="E1737" t="s">
        <v>228</v>
      </c>
      <c r="F1737" s="705">
        <v>16</v>
      </c>
      <c r="G1737" s="705">
        <v>1498</v>
      </c>
      <c r="H1737" s="705">
        <v>6452</v>
      </c>
      <c r="I1737" s="705">
        <v>403321</v>
      </c>
      <c r="J1737" s="705">
        <v>149378</v>
      </c>
      <c r="K1737" s="705">
        <v>100</v>
      </c>
      <c r="L1737" s="705">
        <v>55681</v>
      </c>
      <c r="M1737" s="705">
        <v>42963</v>
      </c>
      <c r="N1737" s="705">
        <v>33414</v>
      </c>
      <c r="O1737" s="705">
        <v>12376</v>
      </c>
      <c r="P1737" s="705">
        <v>1053</v>
      </c>
      <c r="Q1737" s="705">
        <v>390</v>
      </c>
      <c r="R1737" s="705">
        <v>110605</v>
      </c>
      <c r="S1737" s="705">
        <v>40965</v>
      </c>
      <c r="T1737" s="705">
        <v>0</v>
      </c>
      <c r="U1737" s="705">
        <v>0</v>
      </c>
      <c r="V1737" s="705">
        <v>246072</v>
      </c>
      <c r="W1737" s="705">
        <f t="shared" si="74"/>
        <v>246072</v>
      </c>
      <c r="X1737" s="705">
        <f t="shared" si="75"/>
        <v>604074</v>
      </c>
    </row>
    <row r="1738" spans="2:24">
      <c r="B1738" t="s">
        <v>548</v>
      </c>
      <c r="C1738" t="s">
        <v>122</v>
      </c>
      <c r="D1738" t="s">
        <v>228</v>
      </c>
      <c r="E1738" t="s">
        <v>669</v>
      </c>
      <c r="F1738" s="705">
        <v>2</v>
      </c>
      <c r="G1738" s="705">
        <v>197</v>
      </c>
      <c r="H1738" s="705">
        <v>793</v>
      </c>
      <c r="I1738" s="705">
        <v>55315</v>
      </c>
      <c r="J1738" s="705">
        <v>20487</v>
      </c>
      <c r="K1738" s="705">
        <v>100</v>
      </c>
      <c r="L1738" s="705">
        <v>4967</v>
      </c>
      <c r="M1738" s="705">
        <v>4139</v>
      </c>
      <c r="N1738" s="705">
        <v>3744</v>
      </c>
      <c r="O1738" s="705">
        <v>1387</v>
      </c>
      <c r="P1738" s="705">
        <v>0</v>
      </c>
      <c r="Q1738" s="705">
        <v>0</v>
      </c>
      <c r="R1738" s="705">
        <v>9836</v>
      </c>
      <c r="S1738" s="705">
        <v>8197</v>
      </c>
      <c r="T1738" s="705">
        <v>4365</v>
      </c>
      <c r="U1738" s="705">
        <v>1617</v>
      </c>
      <c r="V1738" s="705">
        <v>35826</v>
      </c>
      <c r="W1738" s="705">
        <f t="shared" si="74"/>
        <v>35827</v>
      </c>
      <c r="X1738" s="705">
        <f t="shared" si="75"/>
        <v>78227</v>
      </c>
    </row>
    <row r="1739" spans="2:24">
      <c r="B1739" t="s">
        <v>548</v>
      </c>
      <c r="C1739" t="s">
        <v>122</v>
      </c>
      <c r="D1739" t="s">
        <v>228</v>
      </c>
      <c r="E1739" t="s">
        <v>665</v>
      </c>
      <c r="F1739" s="705">
        <v>1</v>
      </c>
      <c r="G1739" s="705">
        <v>79</v>
      </c>
      <c r="H1739" s="705">
        <v>398</v>
      </c>
      <c r="I1739" s="705">
        <v>14552</v>
      </c>
      <c r="J1739" s="705">
        <v>5390</v>
      </c>
      <c r="K1739" s="705">
        <v>100</v>
      </c>
      <c r="L1739" s="705">
        <v>1317</v>
      </c>
      <c r="M1739" s="705">
        <v>1198</v>
      </c>
      <c r="N1739" s="705">
        <v>1932</v>
      </c>
      <c r="O1739" s="705">
        <v>716</v>
      </c>
      <c r="P1739" s="705">
        <v>351</v>
      </c>
      <c r="Q1739" s="705">
        <v>130</v>
      </c>
      <c r="R1739" s="705">
        <v>9050</v>
      </c>
      <c r="S1739" s="705">
        <v>8228</v>
      </c>
      <c r="T1739" s="705">
        <v>4384</v>
      </c>
      <c r="U1739" s="705">
        <v>1624</v>
      </c>
      <c r="V1739" s="705">
        <v>17284</v>
      </c>
      <c r="W1739" s="705">
        <f t="shared" si="74"/>
        <v>17286</v>
      </c>
      <c r="X1739" s="705">
        <f t="shared" si="75"/>
        <v>31586</v>
      </c>
    </row>
    <row r="1740" spans="2:24">
      <c r="B1740" t="s">
        <v>548</v>
      </c>
      <c r="C1740" t="s">
        <v>122</v>
      </c>
      <c r="D1740" t="s">
        <v>583</v>
      </c>
      <c r="E1740" t="s">
        <v>664</v>
      </c>
      <c r="F1740" s="705">
        <v>1</v>
      </c>
      <c r="G1740" s="705">
        <v>74</v>
      </c>
      <c r="H1740" s="705">
        <v>411</v>
      </c>
      <c r="I1740" s="705">
        <v>17064</v>
      </c>
      <c r="J1740" s="705">
        <v>15512</v>
      </c>
      <c r="K1740" s="705">
        <v>70</v>
      </c>
      <c r="L1740" s="705">
        <v>4585</v>
      </c>
      <c r="M1740" s="705">
        <v>3821</v>
      </c>
      <c r="N1740" s="705">
        <v>1804</v>
      </c>
      <c r="O1740" s="705">
        <v>668</v>
      </c>
      <c r="P1740" s="705">
        <v>621</v>
      </c>
      <c r="Q1740" s="705">
        <v>230</v>
      </c>
      <c r="R1740" s="705">
        <v>4111</v>
      </c>
      <c r="S1740" s="705">
        <v>3738</v>
      </c>
      <c r="T1740" s="705">
        <v>2218</v>
      </c>
      <c r="U1740" s="705">
        <v>822</v>
      </c>
      <c r="V1740" s="705">
        <v>24790</v>
      </c>
      <c r="W1740" s="705">
        <f t="shared" si="74"/>
        <v>24791</v>
      </c>
      <c r="X1740" s="705">
        <f t="shared" si="75"/>
        <v>30403</v>
      </c>
    </row>
    <row r="1741" spans="2:24">
      <c r="B1741" t="s">
        <v>548</v>
      </c>
      <c r="C1741" t="s">
        <v>122</v>
      </c>
      <c r="D1741" t="s">
        <v>583</v>
      </c>
      <c r="E1741" t="s">
        <v>228</v>
      </c>
      <c r="F1741" s="705">
        <v>5</v>
      </c>
      <c r="G1741" s="705">
        <v>402</v>
      </c>
      <c r="H1741" s="705">
        <v>2061</v>
      </c>
      <c r="I1741" s="705">
        <v>95404</v>
      </c>
      <c r="J1741" s="705">
        <v>86731</v>
      </c>
      <c r="K1741" s="705">
        <v>81</v>
      </c>
      <c r="L1741" s="705">
        <v>24819</v>
      </c>
      <c r="M1741" s="705">
        <v>21322</v>
      </c>
      <c r="N1741" s="705">
        <v>9377</v>
      </c>
      <c r="O1741" s="705">
        <v>3473</v>
      </c>
      <c r="P1741" s="705">
        <v>3105</v>
      </c>
      <c r="Q1741" s="705">
        <v>1150</v>
      </c>
      <c r="R1741" s="705">
        <v>31035</v>
      </c>
      <c r="S1741" s="705">
        <v>11494</v>
      </c>
      <c r="T1741" s="705">
        <v>0</v>
      </c>
      <c r="U1741" s="705">
        <v>0</v>
      </c>
      <c r="V1741" s="705">
        <v>124171</v>
      </c>
      <c r="W1741" s="705">
        <f t="shared" si="74"/>
        <v>124170</v>
      </c>
      <c r="X1741" s="705">
        <f t="shared" si="75"/>
        <v>163740</v>
      </c>
    </row>
    <row r="1742" spans="2:24">
      <c r="B1742" t="s">
        <v>548</v>
      </c>
      <c r="C1742" t="s">
        <v>122</v>
      </c>
      <c r="D1742" t="s">
        <v>583</v>
      </c>
      <c r="E1742" t="s">
        <v>583</v>
      </c>
      <c r="F1742" s="705">
        <v>258</v>
      </c>
      <c r="G1742" s="705">
        <v>22628</v>
      </c>
      <c r="H1742" s="705">
        <v>106252</v>
      </c>
      <c r="I1742" s="705">
        <v>5769991</v>
      </c>
      <c r="J1742" s="705">
        <v>5245447</v>
      </c>
      <c r="K1742" s="705">
        <v>75</v>
      </c>
      <c r="L1742" s="705">
        <v>1319481</v>
      </c>
      <c r="M1742" s="705">
        <v>1112169</v>
      </c>
      <c r="N1742" s="705">
        <v>479160</v>
      </c>
      <c r="O1742" s="705">
        <v>177467</v>
      </c>
      <c r="P1742" s="705">
        <v>162527</v>
      </c>
      <c r="Q1742" s="705">
        <v>60195</v>
      </c>
      <c r="R1742" s="705">
        <v>1238228</v>
      </c>
      <c r="S1742" s="705">
        <v>1125662</v>
      </c>
      <c r="T1742" s="705">
        <v>478463</v>
      </c>
      <c r="U1742" s="705">
        <v>177208</v>
      </c>
      <c r="V1742" s="705">
        <v>7898147</v>
      </c>
      <c r="W1742" s="705">
        <f t="shared" si="74"/>
        <v>7898148</v>
      </c>
      <c r="X1742" s="705">
        <f t="shared" si="75"/>
        <v>9447850</v>
      </c>
    </row>
    <row r="1743" spans="2:24">
      <c r="B1743" t="s">
        <v>548</v>
      </c>
      <c r="C1743" t="s">
        <v>122</v>
      </c>
      <c r="D1743" t="s">
        <v>666</v>
      </c>
      <c r="E1743" t="s">
        <v>228</v>
      </c>
      <c r="F1743" s="705">
        <v>1</v>
      </c>
      <c r="G1743" s="705">
        <v>79</v>
      </c>
      <c r="H1743" s="705">
        <v>386</v>
      </c>
      <c r="I1743" s="705">
        <v>19691</v>
      </c>
      <c r="J1743" s="705">
        <v>17901</v>
      </c>
      <c r="K1743" s="705">
        <v>55</v>
      </c>
      <c r="L1743" s="705">
        <v>0</v>
      </c>
      <c r="M1743" s="705">
        <v>0</v>
      </c>
      <c r="N1743" s="705">
        <v>1923</v>
      </c>
      <c r="O1743" s="705">
        <v>712</v>
      </c>
      <c r="P1743" s="705">
        <v>351</v>
      </c>
      <c r="Q1743" s="705">
        <v>130</v>
      </c>
      <c r="R1743" s="705">
        <v>8463</v>
      </c>
      <c r="S1743" s="705">
        <v>3134</v>
      </c>
      <c r="T1743" s="705">
        <v>0</v>
      </c>
      <c r="U1743" s="705">
        <v>0</v>
      </c>
      <c r="V1743" s="705">
        <v>21878</v>
      </c>
      <c r="W1743" s="705">
        <f t="shared" si="74"/>
        <v>21877</v>
      </c>
      <c r="X1743" s="705">
        <f t="shared" si="75"/>
        <v>30428</v>
      </c>
    </row>
    <row r="1744" spans="2:24">
      <c r="B1744" t="s">
        <v>548</v>
      </c>
      <c r="C1744" t="s">
        <v>122</v>
      </c>
      <c r="D1744" t="s">
        <v>666</v>
      </c>
      <c r="E1744" t="s">
        <v>583</v>
      </c>
      <c r="F1744" s="705">
        <v>1</v>
      </c>
      <c r="G1744" s="705">
        <v>77</v>
      </c>
      <c r="H1744" s="705">
        <v>383</v>
      </c>
      <c r="I1744" s="705">
        <v>14517</v>
      </c>
      <c r="J1744" s="705">
        <v>13197</v>
      </c>
      <c r="K1744" s="705">
        <v>55</v>
      </c>
      <c r="L1744" s="705">
        <v>0</v>
      </c>
      <c r="M1744" s="705">
        <v>0</v>
      </c>
      <c r="N1744" s="705">
        <v>1793</v>
      </c>
      <c r="O1744" s="705">
        <v>664</v>
      </c>
      <c r="P1744" s="705">
        <v>351</v>
      </c>
      <c r="Q1744" s="705">
        <v>130</v>
      </c>
      <c r="R1744" s="705">
        <v>8622</v>
      </c>
      <c r="S1744" s="705">
        <v>7838</v>
      </c>
      <c r="T1744" s="705">
        <v>4359</v>
      </c>
      <c r="U1744" s="705">
        <v>1614</v>
      </c>
      <c r="V1744" s="705">
        <v>23443</v>
      </c>
      <c r="W1744" s="705">
        <f t="shared" si="74"/>
        <v>23443</v>
      </c>
      <c r="X1744" s="705">
        <f t="shared" si="75"/>
        <v>29642</v>
      </c>
    </row>
    <row r="1745" spans="2:24">
      <c r="B1745" t="s">
        <v>548</v>
      </c>
      <c r="C1745" t="s">
        <v>122</v>
      </c>
      <c r="D1745" t="s">
        <v>666</v>
      </c>
      <c r="E1745" t="s">
        <v>666</v>
      </c>
      <c r="F1745" s="705">
        <v>2</v>
      </c>
      <c r="G1745" s="705">
        <v>111</v>
      </c>
      <c r="H1745" s="705">
        <v>820</v>
      </c>
      <c r="I1745" s="705">
        <v>36028</v>
      </c>
      <c r="J1745" s="705">
        <v>32752</v>
      </c>
      <c r="K1745" s="705">
        <v>65</v>
      </c>
      <c r="L1745" s="705">
        <v>1514</v>
      </c>
      <c r="M1745" s="705">
        <v>561</v>
      </c>
      <c r="N1745" s="705">
        <v>1540</v>
      </c>
      <c r="O1745" s="705">
        <v>570</v>
      </c>
      <c r="P1745" s="705">
        <v>702</v>
      </c>
      <c r="Q1745" s="705">
        <v>260</v>
      </c>
      <c r="R1745" s="705">
        <v>8937</v>
      </c>
      <c r="S1745" s="705">
        <v>8124</v>
      </c>
      <c r="T1745" s="705">
        <v>1538</v>
      </c>
      <c r="U1745" s="705">
        <v>570</v>
      </c>
      <c r="V1745" s="705">
        <v>42838</v>
      </c>
      <c r="W1745" s="705">
        <f t="shared" si="74"/>
        <v>42837</v>
      </c>
      <c r="X1745" s="705">
        <f t="shared" si="75"/>
        <v>50259</v>
      </c>
    </row>
    <row r="1746" spans="2:24">
      <c r="B1746" t="s">
        <v>548</v>
      </c>
      <c r="C1746" t="s">
        <v>122</v>
      </c>
      <c r="D1746" t="s">
        <v>584</v>
      </c>
      <c r="E1746" t="s">
        <v>228</v>
      </c>
      <c r="F1746" s="705">
        <v>5</v>
      </c>
      <c r="G1746" s="705">
        <v>511</v>
      </c>
      <c r="H1746" s="705">
        <v>2098</v>
      </c>
      <c r="I1746" s="705">
        <v>149435</v>
      </c>
      <c r="J1746" s="705">
        <v>135850</v>
      </c>
      <c r="K1746" s="705">
        <v>77</v>
      </c>
      <c r="L1746" s="705">
        <v>20236</v>
      </c>
      <c r="M1746" s="705">
        <v>15688</v>
      </c>
      <c r="N1746" s="705">
        <v>11866</v>
      </c>
      <c r="O1746" s="705">
        <v>4395</v>
      </c>
      <c r="P1746" s="705">
        <v>2363</v>
      </c>
      <c r="Q1746" s="705">
        <v>875</v>
      </c>
      <c r="R1746" s="705">
        <v>30552</v>
      </c>
      <c r="S1746" s="705">
        <v>11316</v>
      </c>
      <c r="T1746" s="705">
        <v>0</v>
      </c>
      <c r="U1746" s="705">
        <v>0</v>
      </c>
      <c r="V1746" s="705">
        <v>168123</v>
      </c>
      <c r="W1746" s="705">
        <f t="shared" si="74"/>
        <v>168124</v>
      </c>
      <c r="X1746" s="705">
        <f t="shared" si="75"/>
        <v>214452</v>
      </c>
    </row>
    <row r="1747" spans="2:24">
      <c r="B1747" t="s">
        <v>548</v>
      </c>
      <c r="C1747" t="s">
        <v>122</v>
      </c>
      <c r="D1747" t="s">
        <v>584</v>
      </c>
      <c r="E1747" t="s">
        <v>583</v>
      </c>
      <c r="F1747" s="705">
        <v>1</v>
      </c>
      <c r="G1747" s="705">
        <v>120</v>
      </c>
      <c r="H1747" s="705">
        <v>427</v>
      </c>
      <c r="I1747" s="705">
        <v>30885</v>
      </c>
      <c r="J1747" s="705">
        <v>28077</v>
      </c>
      <c r="K1747" s="705">
        <v>79</v>
      </c>
      <c r="L1747" s="705">
        <v>8591</v>
      </c>
      <c r="M1747" s="705">
        <v>7810</v>
      </c>
      <c r="N1747" s="705">
        <v>2844</v>
      </c>
      <c r="O1747" s="705">
        <v>1053</v>
      </c>
      <c r="P1747" s="705">
        <v>473</v>
      </c>
      <c r="Q1747" s="705">
        <v>175</v>
      </c>
      <c r="R1747" s="705">
        <v>4922</v>
      </c>
      <c r="S1747" s="705">
        <v>4474</v>
      </c>
      <c r="T1747" s="705">
        <v>3384</v>
      </c>
      <c r="U1747" s="705">
        <v>1253</v>
      </c>
      <c r="V1747" s="705">
        <v>42843</v>
      </c>
      <c r="W1747" s="705">
        <f t="shared" si="74"/>
        <v>42842</v>
      </c>
      <c r="X1747" s="705">
        <f t="shared" si="75"/>
        <v>51099</v>
      </c>
    </row>
    <row r="1748" spans="2:24">
      <c r="B1748" t="s">
        <v>548</v>
      </c>
      <c r="C1748" t="s">
        <v>122</v>
      </c>
      <c r="D1748" t="s">
        <v>584</v>
      </c>
      <c r="E1748" t="s">
        <v>584</v>
      </c>
      <c r="F1748" s="705">
        <v>154</v>
      </c>
      <c r="G1748" s="705">
        <v>12775</v>
      </c>
      <c r="H1748" s="705">
        <v>63752</v>
      </c>
      <c r="I1748" s="705">
        <v>3209602</v>
      </c>
      <c r="J1748" s="705">
        <v>2917820</v>
      </c>
      <c r="K1748" s="705">
        <v>77</v>
      </c>
      <c r="L1748" s="705">
        <v>856305</v>
      </c>
      <c r="M1748" s="705">
        <v>720385</v>
      </c>
      <c r="N1748" s="705">
        <v>271542</v>
      </c>
      <c r="O1748" s="705">
        <v>100571</v>
      </c>
      <c r="P1748" s="705">
        <v>72873</v>
      </c>
      <c r="Q1748" s="705">
        <v>26990</v>
      </c>
      <c r="R1748" s="705">
        <v>687979</v>
      </c>
      <c r="S1748" s="705">
        <v>625435</v>
      </c>
      <c r="T1748" s="705">
        <v>205877</v>
      </c>
      <c r="U1748" s="705">
        <v>76251</v>
      </c>
      <c r="V1748" s="705">
        <v>4467452</v>
      </c>
      <c r="W1748" s="705">
        <f t="shared" si="74"/>
        <v>4467452</v>
      </c>
      <c r="X1748" s="705">
        <f t="shared" si="75"/>
        <v>5304178</v>
      </c>
    </row>
    <row r="1749" spans="2:24">
      <c r="B1749" t="s">
        <v>548</v>
      </c>
      <c r="C1749" t="s">
        <v>122</v>
      </c>
      <c r="D1749" t="s">
        <v>669</v>
      </c>
      <c r="E1749" t="s">
        <v>228</v>
      </c>
      <c r="F1749" s="705">
        <v>1</v>
      </c>
      <c r="G1749" s="705">
        <v>72</v>
      </c>
      <c r="H1749" s="705">
        <v>440</v>
      </c>
      <c r="I1749" s="705">
        <v>24134</v>
      </c>
      <c r="J1749" s="705">
        <v>20111</v>
      </c>
      <c r="K1749" s="705">
        <v>30</v>
      </c>
      <c r="L1749" s="705">
        <v>0</v>
      </c>
      <c r="M1749" s="705">
        <v>0</v>
      </c>
      <c r="N1749" s="705">
        <v>1370</v>
      </c>
      <c r="O1749" s="705">
        <v>508</v>
      </c>
      <c r="P1749" s="705">
        <v>0</v>
      </c>
      <c r="Q1749" s="705">
        <v>0</v>
      </c>
      <c r="R1749" s="705">
        <v>6238</v>
      </c>
      <c r="S1749" s="705">
        <v>2310</v>
      </c>
      <c r="T1749" s="705">
        <v>0</v>
      </c>
      <c r="U1749" s="705">
        <v>0</v>
      </c>
      <c r="V1749" s="705">
        <v>22929</v>
      </c>
      <c r="W1749" s="705">
        <f t="shared" si="74"/>
        <v>22929</v>
      </c>
      <c r="X1749" s="705">
        <f t="shared" si="75"/>
        <v>31742</v>
      </c>
    </row>
    <row r="1750" spans="2:24">
      <c r="B1750" t="s">
        <v>548</v>
      </c>
      <c r="C1750" t="s">
        <v>122</v>
      </c>
      <c r="D1750" t="s">
        <v>669</v>
      </c>
      <c r="E1750" t="s">
        <v>669</v>
      </c>
      <c r="F1750" s="705">
        <v>20</v>
      </c>
      <c r="G1750" s="705">
        <v>1658</v>
      </c>
      <c r="H1750" s="705">
        <v>8218</v>
      </c>
      <c r="I1750" s="705">
        <v>440722</v>
      </c>
      <c r="J1750" s="705">
        <v>367268</v>
      </c>
      <c r="K1750" s="705">
        <v>55</v>
      </c>
      <c r="L1750" s="705">
        <v>40633</v>
      </c>
      <c r="M1750" s="705">
        <v>34025</v>
      </c>
      <c r="N1750" s="705">
        <v>33936</v>
      </c>
      <c r="O1750" s="705">
        <v>12569</v>
      </c>
      <c r="P1750" s="705">
        <v>7479</v>
      </c>
      <c r="Q1750" s="705">
        <v>2770</v>
      </c>
      <c r="R1750" s="705">
        <v>116659</v>
      </c>
      <c r="S1750" s="705">
        <v>97216</v>
      </c>
      <c r="T1750" s="705">
        <v>43297</v>
      </c>
      <c r="U1750" s="705">
        <v>16036</v>
      </c>
      <c r="V1750" s="705">
        <v>529884</v>
      </c>
      <c r="W1750" s="705">
        <f t="shared" si="74"/>
        <v>529884</v>
      </c>
      <c r="X1750" s="705">
        <f t="shared" si="75"/>
        <v>682726</v>
      </c>
    </row>
    <row r="1751" spans="2:24">
      <c r="B1751" t="s">
        <v>548</v>
      </c>
      <c r="C1751" t="s">
        <v>122</v>
      </c>
      <c r="D1751" t="s">
        <v>665</v>
      </c>
      <c r="E1751" t="s">
        <v>665</v>
      </c>
      <c r="F1751" s="705">
        <v>9</v>
      </c>
      <c r="G1751" s="705">
        <v>554</v>
      </c>
      <c r="H1751" s="705">
        <v>3624</v>
      </c>
      <c r="I1751" s="705">
        <v>130636</v>
      </c>
      <c r="J1751" s="705">
        <v>118760</v>
      </c>
      <c r="K1751" s="705">
        <v>56</v>
      </c>
      <c r="L1751" s="705">
        <v>12485</v>
      </c>
      <c r="M1751" s="705">
        <v>13588</v>
      </c>
      <c r="N1751" s="705">
        <v>10967</v>
      </c>
      <c r="O1751" s="705">
        <v>4062</v>
      </c>
      <c r="P1751" s="705">
        <v>3429</v>
      </c>
      <c r="Q1751" s="705">
        <v>1270</v>
      </c>
      <c r="R1751" s="705">
        <v>44367</v>
      </c>
      <c r="S1751" s="705">
        <v>40334</v>
      </c>
      <c r="T1751" s="705">
        <v>20531</v>
      </c>
      <c r="U1751" s="705">
        <v>7604</v>
      </c>
      <c r="V1751" s="705">
        <v>185617</v>
      </c>
      <c r="W1751" s="705">
        <f t="shared" si="74"/>
        <v>185618</v>
      </c>
      <c r="X1751" s="705">
        <f t="shared" si="75"/>
        <v>222415</v>
      </c>
    </row>
    <row r="1752" spans="2:24">
      <c r="B1752" t="s">
        <v>548</v>
      </c>
      <c r="C1752" t="s">
        <v>124</v>
      </c>
      <c r="D1752" t="s">
        <v>582</v>
      </c>
      <c r="E1752" t="s">
        <v>582</v>
      </c>
      <c r="F1752" s="705">
        <v>1</v>
      </c>
      <c r="G1752" s="705">
        <v>85</v>
      </c>
      <c r="H1752" s="705">
        <v>491</v>
      </c>
      <c r="I1752" s="705">
        <v>25682</v>
      </c>
      <c r="J1752" s="705">
        <v>23347</v>
      </c>
      <c r="K1752" s="705">
        <v>73</v>
      </c>
      <c r="L1752" s="705">
        <v>6601</v>
      </c>
      <c r="M1752" s="705">
        <v>6001</v>
      </c>
      <c r="N1752" s="705">
        <v>1933</v>
      </c>
      <c r="O1752" s="705">
        <v>716</v>
      </c>
      <c r="P1752" s="705">
        <v>473</v>
      </c>
      <c r="Q1752" s="705">
        <v>175</v>
      </c>
      <c r="R1752" s="705">
        <v>4382</v>
      </c>
      <c r="S1752" s="705">
        <v>3984</v>
      </c>
      <c r="T1752" s="705">
        <v>2587</v>
      </c>
      <c r="U1752" s="705">
        <v>958</v>
      </c>
      <c r="V1752" s="705">
        <v>35181</v>
      </c>
      <c r="W1752" s="705">
        <f t="shared" si="74"/>
        <v>35181</v>
      </c>
      <c r="X1752" s="705">
        <f t="shared" si="75"/>
        <v>41658</v>
      </c>
    </row>
    <row r="1753" spans="2:24">
      <c r="B1753" t="s">
        <v>548</v>
      </c>
      <c r="C1753" t="s">
        <v>124</v>
      </c>
      <c r="D1753" t="s">
        <v>228</v>
      </c>
      <c r="E1753" t="s">
        <v>228</v>
      </c>
      <c r="F1753" s="705">
        <v>123</v>
      </c>
      <c r="G1753" s="705">
        <v>9258</v>
      </c>
      <c r="H1753" s="705">
        <v>88828</v>
      </c>
      <c r="I1753" s="705">
        <v>4690819</v>
      </c>
      <c r="J1753" s="705">
        <v>1737340</v>
      </c>
      <c r="K1753" s="705">
        <v>100</v>
      </c>
      <c r="L1753" s="705">
        <v>894008</v>
      </c>
      <c r="M1753" s="705">
        <v>714823</v>
      </c>
      <c r="N1753" s="705">
        <v>208114</v>
      </c>
      <c r="O1753" s="705">
        <v>77079</v>
      </c>
      <c r="P1753" s="705">
        <v>1404</v>
      </c>
      <c r="Q1753" s="705">
        <v>520</v>
      </c>
      <c r="R1753" s="705">
        <v>802011</v>
      </c>
      <c r="S1753" s="705">
        <v>297041</v>
      </c>
      <c r="T1753" s="705">
        <v>3449</v>
      </c>
      <c r="U1753" s="705">
        <v>1277</v>
      </c>
      <c r="V1753" s="705">
        <v>2828081</v>
      </c>
      <c r="W1753" s="705">
        <f t="shared" si="74"/>
        <v>2828080</v>
      </c>
      <c r="X1753" s="705">
        <f t="shared" si="75"/>
        <v>6599805</v>
      </c>
    </row>
    <row r="1754" spans="2:24">
      <c r="B1754" t="s">
        <v>548</v>
      </c>
      <c r="C1754" t="s">
        <v>124</v>
      </c>
      <c r="D1754" t="s">
        <v>228</v>
      </c>
      <c r="E1754" t="s">
        <v>583</v>
      </c>
      <c r="F1754" s="705">
        <v>2</v>
      </c>
      <c r="G1754" s="705">
        <v>286</v>
      </c>
      <c r="H1754" s="705">
        <v>1089</v>
      </c>
      <c r="I1754" s="705">
        <v>119867</v>
      </c>
      <c r="J1754" s="705">
        <v>44395</v>
      </c>
      <c r="K1754" s="705">
        <v>100</v>
      </c>
      <c r="L1754" s="705">
        <v>15725</v>
      </c>
      <c r="M1754" s="705">
        <v>14295</v>
      </c>
      <c r="N1754" s="705">
        <v>6288</v>
      </c>
      <c r="O1754" s="705">
        <v>2329</v>
      </c>
      <c r="P1754" s="705">
        <v>621</v>
      </c>
      <c r="Q1754" s="705">
        <v>230</v>
      </c>
      <c r="R1754" s="705">
        <v>15313</v>
      </c>
      <c r="S1754" s="705">
        <v>13921</v>
      </c>
      <c r="T1754" s="705">
        <v>3197</v>
      </c>
      <c r="U1754" s="705">
        <v>1184</v>
      </c>
      <c r="V1754" s="705">
        <v>76354</v>
      </c>
      <c r="W1754" s="705">
        <f t="shared" si="74"/>
        <v>76354</v>
      </c>
      <c r="X1754" s="705">
        <f t="shared" si="75"/>
        <v>161011</v>
      </c>
    </row>
    <row r="1755" spans="2:24">
      <c r="B1755" t="s">
        <v>548</v>
      </c>
      <c r="C1755" t="s">
        <v>124</v>
      </c>
      <c r="D1755" t="s">
        <v>228</v>
      </c>
      <c r="E1755" t="s">
        <v>666</v>
      </c>
      <c r="F1755" s="705">
        <v>1</v>
      </c>
      <c r="G1755" s="705">
        <v>64</v>
      </c>
      <c r="H1755" s="705">
        <v>756</v>
      </c>
      <c r="I1755" s="705">
        <v>37896</v>
      </c>
      <c r="J1755" s="705">
        <v>14035</v>
      </c>
      <c r="K1755" s="705">
        <v>100</v>
      </c>
      <c r="L1755" s="705">
        <v>3431</v>
      </c>
      <c r="M1755" s="705">
        <v>3119</v>
      </c>
      <c r="N1755" s="705">
        <v>1569</v>
      </c>
      <c r="O1755" s="705">
        <v>581</v>
      </c>
      <c r="P1755" s="705">
        <v>0</v>
      </c>
      <c r="Q1755" s="705">
        <v>0</v>
      </c>
      <c r="R1755" s="705">
        <v>4290</v>
      </c>
      <c r="S1755" s="705">
        <v>3900</v>
      </c>
      <c r="T1755" s="705">
        <v>1506</v>
      </c>
      <c r="U1755" s="705">
        <v>558</v>
      </c>
      <c r="V1755" s="705">
        <v>22193</v>
      </c>
      <c r="W1755" s="705">
        <f t="shared" si="74"/>
        <v>22193</v>
      </c>
      <c r="X1755" s="705">
        <f t="shared" si="75"/>
        <v>48692</v>
      </c>
    </row>
    <row r="1756" spans="2:24">
      <c r="B1756" t="s">
        <v>548</v>
      </c>
      <c r="C1756" t="s">
        <v>124</v>
      </c>
      <c r="D1756" t="s">
        <v>228</v>
      </c>
      <c r="E1756" t="s">
        <v>669</v>
      </c>
      <c r="F1756" s="705">
        <v>10</v>
      </c>
      <c r="G1756" s="705">
        <v>614</v>
      </c>
      <c r="H1756" s="705">
        <v>5901</v>
      </c>
      <c r="I1756" s="705">
        <v>232195</v>
      </c>
      <c r="J1756" s="705">
        <v>85998</v>
      </c>
      <c r="K1756" s="705">
        <v>100</v>
      </c>
      <c r="L1756" s="705">
        <v>44029</v>
      </c>
      <c r="M1756" s="705">
        <v>36691</v>
      </c>
      <c r="N1756" s="705">
        <v>13987</v>
      </c>
      <c r="O1756" s="705">
        <v>5180</v>
      </c>
      <c r="P1756" s="705">
        <v>1404</v>
      </c>
      <c r="Q1756" s="705">
        <v>520</v>
      </c>
      <c r="R1756" s="705">
        <v>53756</v>
      </c>
      <c r="S1756" s="705">
        <v>44796</v>
      </c>
      <c r="T1756" s="705">
        <v>19189</v>
      </c>
      <c r="U1756" s="705">
        <v>7107</v>
      </c>
      <c r="V1756" s="705">
        <v>180293</v>
      </c>
      <c r="W1756" s="705">
        <f t="shared" si="74"/>
        <v>180292</v>
      </c>
      <c r="X1756" s="705">
        <f t="shared" si="75"/>
        <v>364560</v>
      </c>
    </row>
    <row r="1757" spans="2:24">
      <c r="B1757" t="s">
        <v>548</v>
      </c>
      <c r="C1757" t="s">
        <v>124</v>
      </c>
      <c r="D1757" t="s">
        <v>228</v>
      </c>
      <c r="E1757" t="s">
        <v>665</v>
      </c>
      <c r="F1757" s="705">
        <v>1</v>
      </c>
      <c r="G1757" s="705">
        <v>73</v>
      </c>
      <c r="H1757" s="705">
        <v>511</v>
      </c>
      <c r="I1757" s="705">
        <v>28975</v>
      </c>
      <c r="J1757" s="705">
        <v>10732</v>
      </c>
      <c r="K1757" s="705">
        <v>100</v>
      </c>
      <c r="L1757" s="705">
        <v>2623</v>
      </c>
      <c r="M1757" s="705">
        <v>2385</v>
      </c>
      <c r="N1757" s="705">
        <v>1786</v>
      </c>
      <c r="O1757" s="705">
        <v>662</v>
      </c>
      <c r="P1757" s="705">
        <v>0</v>
      </c>
      <c r="Q1757" s="705">
        <v>0</v>
      </c>
      <c r="R1757" s="705">
        <v>2450</v>
      </c>
      <c r="S1757" s="705">
        <v>2228</v>
      </c>
      <c r="T1757" s="705">
        <v>1629</v>
      </c>
      <c r="U1757" s="705">
        <v>603</v>
      </c>
      <c r="V1757" s="705">
        <v>16609</v>
      </c>
      <c r="W1757" s="705">
        <f t="shared" si="74"/>
        <v>16610</v>
      </c>
      <c r="X1757" s="705">
        <f t="shared" si="75"/>
        <v>37463</v>
      </c>
    </row>
    <row r="1758" spans="2:24">
      <c r="B1758" t="s">
        <v>548</v>
      </c>
      <c r="C1758" t="s">
        <v>124</v>
      </c>
      <c r="D1758" t="s">
        <v>583</v>
      </c>
      <c r="E1758" t="s">
        <v>228</v>
      </c>
      <c r="F1758" s="705">
        <v>6</v>
      </c>
      <c r="G1758" s="705">
        <v>389</v>
      </c>
      <c r="H1758" s="705">
        <v>3612</v>
      </c>
      <c r="I1758" s="705">
        <v>148758</v>
      </c>
      <c r="J1758" s="705">
        <v>135235</v>
      </c>
      <c r="K1758" s="705">
        <v>69</v>
      </c>
      <c r="L1758" s="705">
        <v>33189</v>
      </c>
      <c r="M1758" s="705">
        <v>29182</v>
      </c>
      <c r="N1758" s="705">
        <v>8240</v>
      </c>
      <c r="O1758" s="705">
        <v>3052</v>
      </c>
      <c r="P1758" s="705">
        <v>3726</v>
      </c>
      <c r="Q1758" s="705">
        <v>1380</v>
      </c>
      <c r="R1758" s="705">
        <v>40319</v>
      </c>
      <c r="S1758" s="705">
        <v>14933</v>
      </c>
      <c r="T1758" s="705">
        <v>0</v>
      </c>
      <c r="U1758" s="705">
        <v>0</v>
      </c>
      <c r="V1758" s="705">
        <v>183782</v>
      </c>
      <c r="W1758" s="705">
        <f t="shared" si="74"/>
        <v>183782</v>
      </c>
      <c r="X1758" s="705">
        <f t="shared" si="75"/>
        <v>234232</v>
      </c>
    </row>
    <row r="1759" spans="2:24">
      <c r="B1759" t="s">
        <v>548</v>
      </c>
      <c r="C1759" t="s">
        <v>124</v>
      </c>
      <c r="D1759" t="s">
        <v>583</v>
      </c>
      <c r="E1759" t="s">
        <v>583</v>
      </c>
      <c r="F1759" s="705">
        <v>287</v>
      </c>
      <c r="G1759" s="705">
        <v>24140</v>
      </c>
      <c r="H1759" s="705">
        <v>154650</v>
      </c>
      <c r="I1759" s="705">
        <v>8558975</v>
      </c>
      <c r="J1759" s="705">
        <v>7780887</v>
      </c>
      <c r="K1759" s="705">
        <v>72</v>
      </c>
      <c r="L1759" s="705">
        <v>1894257</v>
      </c>
      <c r="M1759" s="705">
        <v>1624123</v>
      </c>
      <c r="N1759" s="705">
        <v>531254</v>
      </c>
      <c r="O1759" s="705">
        <v>196761</v>
      </c>
      <c r="P1759" s="705">
        <v>178781</v>
      </c>
      <c r="Q1759" s="705">
        <v>66215</v>
      </c>
      <c r="R1759" s="705">
        <v>1335106</v>
      </c>
      <c r="S1759" s="705">
        <v>1213733</v>
      </c>
      <c r="T1759" s="705">
        <v>580948</v>
      </c>
      <c r="U1759" s="705">
        <v>215166</v>
      </c>
      <c r="V1759" s="705">
        <v>11096885</v>
      </c>
      <c r="W1759" s="705">
        <f t="shared" si="74"/>
        <v>11096885</v>
      </c>
      <c r="X1759" s="705">
        <f t="shared" si="75"/>
        <v>13079321</v>
      </c>
    </row>
    <row r="1760" spans="2:24">
      <c r="B1760" t="s">
        <v>548</v>
      </c>
      <c r="C1760" t="s">
        <v>124</v>
      </c>
      <c r="D1760" t="s">
        <v>583</v>
      </c>
      <c r="E1760" t="s">
        <v>584</v>
      </c>
      <c r="F1760" s="705">
        <v>1</v>
      </c>
      <c r="G1760" s="705">
        <v>69</v>
      </c>
      <c r="H1760" s="705">
        <v>536</v>
      </c>
      <c r="I1760" s="705">
        <v>27013</v>
      </c>
      <c r="J1760" s="705">
        <v>24557</v>
      </c>
      <c r="K1760" s="705">
        <v>65</v>
      </c>
      <c r="L1760" s="705">
        <v>3091</v>
      </c>
      <c r="M1760" s="705">
        <v>2810</v>
      </c>
      <c r="N1760" s="705">
        <v>1203</v>
      </c>
      <c r="O1760" s="705">
        <v>446</v>
      </c>
      <c r="P1760" s="705">
        <v>621</v>
      </c>
      <c r="Q1760" s="705">
        <v>230</v>
      </c>
      <c r="R1760" s="705">
        <v>5119</v>
      </c>
      <c r="S1760" s="705">
        <v>4654</v>
      </c>
      <c r="T1760" s="705">
        <v>0</v>
      </c>
      <c r="U1760" s="705">
        <v>0</v>
      </c>
      <c r="V1760" s="705">
        <v>32697</v>
      </c>
      <c r="W1760" s="705">
        <f t="shared" si="74"/>
        <v>32697</v>
      </c>
      <c r="X1760" s="705">
        <f t="shared" si="75"/>
        <v>37047</v>
      </c>
    </row>
    <row r="1761" spans="2:24">
      <c r="B1761" t="s">
        <v>548</v>
      </c>
      <c r="C1761" t="s">
        <v>124</v>
      </c>
      <c r="D1761" t="s">
        <v>666</v>
      </c>
      <c r="E1761" t="s">
        <v>664</v>
      </c>
      <c r="F1761" s="705">
        <v>1</v>
      </c>
      <c r="G1761" s="705">
        <v>79</v>
      </c>
      <c r="H1761" s="705">
        <v>975</v>
      </c>
      <c r="I1761" s="705">
        <v>70164</v>
      </c>
      <c r="J1761" s="705">
        <v>63786</v>
      </c>
      <c r="K1761" s="705">
        <v>30</v>
      </c>
      <c r="L1761" s="705">
        <v>0</v>
      </c>
      <c r="M1761" s="705">
        <v>0</v>
      </c>
      <c r="N1761" s="705">
        <v>1745</v>
      </c>
      <c r="O1761" s="705">
        <v>646</v>
      </c>
      <c r="P1761" s="705">
        <v>0</v>
      </c>
      <c r="Q1761" s="705">
        <v>0</v>
      </c>
      <c r="R1761" s="705">
        <v>4814</v>
      </c>
      <c r="S1761" s="705">
        <v>4376</v>
      </c>
      <c r="T1761" s="705">
        <v>0</v>
      </c>
      <c r="U1761" s="705">
        <v>0</v>
      </c>
      <c r="V1761" s="705">
        <v>68808</v>
      </c>
      <c r="W1761" s="705">
        <f t="shared" si="74"/>
        <v>68808</v>
      </c>
      <c r="X1761" s="705">
        <f t="shared" si="75"/>
        <v>76723</v>
      </c>
    </row>
    <row r="1762" spans="2:24">
      <c r="B1762" t="s">
        <v>548</v>
      </c>
      <c r="C1762" t="s">
        <v>124</v>
      </c>
      <c r="D1762" t="s">
        <v>666</v>
      </c>
      <c r="E1762" t="s">
        <v>228</v>
      </c>
      <c r="F1762" s="705">
        <v>9</v>
      </c>
      <c r="G1762" s="705">
        <v>657</v>
      </c>
      <c r="H1762" s="705">
        <v>9242</v>
      </c>
      <c r="I1762" s="705">
        <v>521884</v>
      </c>
      <c r="J1762" s="705">
        <v>474440</v>
      </c>
      <c r="K1762" s="705">
        <v>33</v>
      </c>
      <c r="L1762" s="705">
        <v>45494</v>
      </c>
      <c r="M1762" s="705">
        <v>20505</v>
      </c>
      <c r="N1762" s="705">
        <v>14980</v>
      </c>
      <c r="O1762" s="705">
        <v>5548</v>
      </c>
      <c r="P1762" s="705">
        <v>0</v>
      </c>
      <c r="Q1762" s="705">
        <v>0</v>
      </c>
      <c r="R1762" s="705">
        <v>56784</v>
      </c>
      <c r="S1762" s="705">
        <v>21031</v>
      </c>
      <c r="T1762" s="705">
        <v>0</v>
      </c>
      <c r="U1762" s="705">
        <v>0</v>
      </c>
      <c r="V1762" s="705">
        <v>521524</v>
      </c>
      <c r="W1762" s="705">
        <f t="shared" si="74"/>
        <v>521524</v>
      </c>
      <c r="X1762" s="705">
        <f t="shared" si="75"/>
        <v>639142</v>
      </c>
    </row>
    <row r="1763" spans="2:24">
      <c r="B1763" t="s">
        <v>548</v>
      </c>
      <c r="C1763" t="s">
        <v>124</v>
      </c>
      <c r="D1763" t="s">
        <v>666</v>
      </c>
      <c r="E1763" t="s">
        <v>666</v>
      </c>
      <c r="F1763" s="705">
        <v>22</v>
      </c>
      <c r="G1763" s="705">
        <v>1464</v>
      </c>
      <c r="H1763" s="705">
        <v>16567</v>
      </c>
      <c r="I1763" s="705">
        <v>791378</v>
      </c>
      <c r="J1763" s="705">
        <v>719435</v>
      </c>
      <c r="K1763" s="705">
        <v>51</v>
      </c>
      <c r="L1763" s="705">
        <v>92802</v>
      </c>
      <c r="M1763" s="705">
        <v>58366</v>
      </c>
      <c r="N1763" s="705">
        <v>31942</v>
      </c>
      <c r="O1763" s="705">
        <v>11830</v>
      </c>
      <c r="P1763" s="705">
        <v>4914</v>
      </c>
      <c r="Q1763" s="705">
        <v>1820</v>
      </c>
      <c r="R1763" s="705">
        <v>132572</v>
      </c>
      <c r="S1763" s="705">
        <v>120520</v>
      </c>
      <c r="T1763" s="705">
        <v>36164</v>
      </c>
      <c r="U1763" s="705">
        <v>13394</v>
      </c>
      <c r="V1763" s="705">
        <v>925366</v>
      </c>
      <c r="W1763" s="705">
        <f t="shared" si="74"/>
        <v>925365</v>
      </c>
      <c r="X1763" s="705">
        <f t="shared" si="75"/>
        <v>1089772</v>
      </c>
    </row>
    <row r="1764" spans="2:24">
      <c r="B1764" t="s">
        <v>548</v>
      </c>
      <c r="C1764" t="s">
        <v>124</v>
      </c>
      <c r="D1764" t="s">
        <v>584</v>
      </c>
      <c r="E1764" t="s">
        <v>228</v>
      </c>
      <c r="F1764" s="705">
        <v>1</v>
      </c>
      <c r="G1764" s="705">
        <v>78</v>
      </c>
      <c r="H1764" s="705">
        <v>575</v>
      </c>
      <c r="I1764" s="705">
        <v>30353</v>
      </c>
      <c r="J1764" s="705">
        <v>27593</v>
      </c>
      <c r="K1764" s="705">
        <v>72</v>
      </c>
      <c r="L1764" s="705">
        <v>3662</v>
      </c>
      <c r="M1764" s="705">
        <v>3329</v>
      </c>
      <c r="N1764" s="705">
        <v>1890</v>
      </c>
      <c r="O1764" s="705">
        <v>700</v>
      </c>
      <c r="P1764" s="705">
        <v>473</v>
      </c>
      <c r="Q1764" s="705">
        <v>175</v>
      </c>
      <c r="R1764" s="705">
        <v>8225</v>
      </c>
      <c r="S1764" s="705">
        <v>3046</v>
      </c>
      <c r="T1764" s="705">
        <v>0</v>
      </c>
      <c r="U1764" s="705">
        <v>0</v>
      </c>
      <c r="V1764" s="705">
        <v>34843</v>
      </c>
      <c r="W1764" s="705">
        <f t="shared" si="74"/>
        <v>34843</v>
      </c>
      <c r="X1764" s="705">
        <f t="shared" si="75"/>
        <v>44603</v>
      </c>
    </row>
    <row r="1765" spans="2:24">
      <c r="B1765" t="s">
        <v>548</v>
      </c>
      <c r="C1765" t="s">
        <v>124</v>
      </c>
      <c r="D1765" t="s">
        <v>584</v>
      </c>
      <c r="E1765" t="s">
        <v>584</v>
      </c>
      <c r="F1765" s="705">
        <v>106</v>
      </c>
      <c r="G1765" s="705">
        <v>7741</v>
      </c>
      <c r="H1765" s="705">
        <v>56381</v>
      </c>
      <c r="I1765" s="705">
        <v>2580193</v>
      </c>
      <c r="J1765" s="705">
        <v>2345630</v>
      </c>
      <c r="K1765" s="705">
        <v>75</v>
      </c>
      <c r="L1765" s="705">
        <v>754366</v>
      </c>
      <c r="M1765" s="705">
        <v>641718</v>
      </c>
      <c r="N1765" s="705">
        <v>169993</v>
      </c>
      <c r="O1765" s="705">
        <v>62960</v>
      </c>
      <c r="P1765" s="705">
        <v>49842</v>
      </c>
      <c r="Q1765" s="705">
        <v>18460</v>
      </c>
      <c r="R1765" s="705">
        <v>443219</v>
      </c>
      <c r="S1765" s="705">
        <v>402927</v>
      </c>
      <c r="T1765" s="705">
        <v>144927</v>
      </c>
      <c r="U1765" s="705">
        <v>53677</v>
      </c>
      <c r="V1765" s="705">
        <v>3525372</v>
      </c>
      <c r="W1765" s="705">
        <f t="shared" si="74"/>
        <v>3525372</v>
      </c>
      <c r="X1765" s="705">
        <f t="shared" si="75"/>
        <v>4142540</v>
      </c>
    </row>
    <row r="1766" spans="2:24">
      <c r="B1766" t="s">
        <v>548</v>
      </c>
      <c r="C1766" t="s">
        <v>124</v>
      </c>
      <c r="D1766" t="s">
        <v>669</v>
      </c>
      <c r="E1766" t="s">
        <v>228</v>
      </c>
      <c r="F1766" s="705">
        <v>30</v>
      </c>
      <c r="G1766" s="705">
        <v>1944</v>
      </c>
      <c r="H1766" s="705">
        <v>34349</v>
      </c>
      <c r="I1766" s="705">
        <v>1808518</v>
      </c>
      <c r="J1766" s="705">
        <v>1507098</v>
      </c>
      <c r="K1766" s="705">
        <v>31</v>
      </c>
      <c r="L1766" s="705">
        <v>121830</v>
      </c>
      <c r="M1766" s="705">
        <v>64140</v>
      </c>
      <c r="N1766" s="705">
        <v>43235</v>
      </c>
      <c r="O1766" s="705">
        <v>16013</v>
      </c>
      <c r="P1766" s="705">
        <v>351</v>
      </c>
      <c r="Q1766" s="705">
        <v>130</v>
      </c>
      <c r="R1766" s="705">
        <v>164490</v>
      </c>
      <c r="S1766" s="705">
        <v>60922</v>
      </c>
      <c r="T1766" s="705">
        <v>0</v>
      </c>
      <c r="U1766" s="705">
        <v>0</v>
      </c>
      <c r="V1766" s="705">
        <v>1648304</v>
      </c>
      <c r="W1766" s="705">
        <f t="shared" si="74"/>
        <v>1648303</v>
      </c>
      <c r="X1766" s="705">
        <f t="shared" si="75"/>
        <v>2138424</v>
      </c>
    </row>
    <row r="1767" spans="2:24">
      <c r="B1767" t="s">
        <v>548</v>
      </c>
      <c r="C1767" t="s">
        <v>124</v>
      </c>
      <c r="D1767" t="s">
        <v>669</v>
      </c>
      <c r="E1767" t="s">
        <v>669</v>
      </c>
      <c r="F1767" s="705">
        <v>53</v>
      </c>
      <c r="G1767" s="705">
        <v>3914</v>
      </c>
      <c r="H1767" s="705">
        <v>35200</v>
      </c>
      <c r="I1767" s="705">
        <v>1868526</v>
      </c>
      <c r="J1767" s="705">
        <v>1557105</v>
      </c>
      <c r="K1767" s="705">
        <v>53</v>
      </c>
      <c r="L1767" s="705">
        <v>232986</v>
      </c>
      <c r="M1767" s="705">
        <v>167538</v>
      </c>
      <c r="N1767" s="705">
        <v>84521</v>
      </c>
      <c r="O1767" s="705">
        <v>31304</v>
      </c>
      <c r="P1767" s="705">
        <v>14391</v>
      </c>
      <c r="Q1767" s="705">
        <v>5330</v>
      </c>
      <c r="R1767" s="705">
        <v>294667</v>
      </c>
      <c r="S1767" s="705">
        <v>245556</v>
      </c>
      <c r="T1767" s="705">
        <v>98513</v>
      </c>
      <c r="U1767" s="705">
        <v>36486</v>
      </c>
      <c r="V1767" s="705">
        <v>2043319</v>
      </c>
      <c r="W1767" s="705">
        <f t="shared" si="74"/>
        <v>2043319</v>
      </c>
      <c r="X1767" s="705">
        <f t="shared" si="75"/>
        <v>2593604</v>
      </c>
    </row>
    <row r="1768" spans="2:24">
      <c r="B1768" t="s">
        <v>548</v>
      </c>
      <c r="C1768" t="s">
        <v>124</v>
      </c>
      <c r="D1768" t="s">
        <v>665</v>
      </c>
      <c r="E1768" t="s">
        <v>228</v>
      </c>
      <c r="F1768" s="705">
        <v>19</v>
      </c>
      <c r="G1768" s="705">
        <v>1350</v>
      </c>
      <c r="H1768" s="705">
        <v>19128</v>
      </c>
      <c r="I1768" s="705">
        <v>1064876</v>
      </c>
      <c r="J1768" s="705">
        <v>968069</v>
      </c>
      <c r="K1768" s="705">
        <v>32</v>
      </c>
      <c r="L1768" s="705">
        <v>113851</v>
      </c>
      <c r="M1768" s="705">
        <v>46303</v>
      </c>
      <c r="N1768" s="705">
        <v>32709</v>
      </c>
      <c r="O1768" s="705">
        <v>12115</v>
      </c>
      <c r="P1768" s="705">
        <v>0</v>
      </c>
      <c r="Q1768" s="705">
        <v>0</v>
      </c>
      <c r="R1768" s="705">
        <v>102143</v>
      </c>
      <c r="S1768" s="705">
        <v>37831</v>
      </c>
      <c r="T1768" s="705">
        <v>1347</v>
      </c>
      <c r="U1768" s="705">
        <v>499</v>
      </c>
      <c r="V1768" s="705">
        <v>1064816</v>
      </c>
      <c r="W1768" s="705">
        <f t="shared" si="74"/>
        <v>1064817</v>
      </c>
      <c r="X1768" s="705">
        <f t="shared" si="75"/>
        <v>1314926</v>
      </c>
    </row>
    <row r="1769" spans="2:24">
      <c r="B1769" t="s">
        <v>548</v>
      </c>
      <c r="C1769" t="s">
        <v>124</v>
      </c>
      <c r="D1769" t="s">
        <v>665</v>
      </c>
      <c r="E1769" t="s">
        <v>665</v>
      </c>
      <c r="F1769" s="705">
        <v>30</v>
      </c>
      <c r="G1769" s="705">
        <v>1962</v>
      </c>
      <c r="H1769" s="705">
        <v>21225</v>
      </c>
      <c r="I1769" s="705">
        <v>961540</v>
      </c>
      <c r="J1769" s="705">
        <v>874128</v>
      </c>
      <c r="K1769" s="705">
        <v>54</v>
      </c>
      <c r="L1769" s="705">
        <v>137039</v>
      </c>
      <c r="M1769" s="705">
        <v>101692</v>
      </c>
      <c r="N1769" s="705">
        <v>43403</v>
      </c>
      <c r="O1769" s="705">
        <v>16075</v>
      </c>
      <c r="P1769" s="705">
        <v>9936</v>
      </c>
      <c r="Q1769" s="705">
        <v>3680</v>
      </c>
      <c r="R1769" s="705">
        <v>150574</v>
      </c>
      <c r="S1769" s="705">
        <v>136885</v>
      </c>
      <c r="T1769" s="705">
        <v>61890</v>
      </c>
      <c r="U1769" s="705">
        <v>22922</v>
      </c>
      <c r="V1769" s="705">
        <v>1155382</v>
      </c>
      <c r="W1769" s="705">
        <f t="shared" si="74"/>
        <v>1155382</v>
      </c>
      <c r="X1769" s="705">
        <f t="shared" si="75"/>
        <v>1364382</v>
      </c>
    </row>
    <row r="1770" spans="2:24">
      <c r="B1770" t="s">
        <v>549</v>
      </c>
      <c r="C1770" t="s">
        <v>108</v>
      </c>
      <c r="D1770" t="s">
        <v>582</v>
      </c>
      <c r="E1770" t="s">
        <v>582</v>
      </c>
      <c r="F1770" s="705">
        <v>34</v>
      </c>
      <c r="G1770" s="705">
        <v>3828</v>
      </c>
      <c r="H1770" s="705">
        <v>2414</v>
      </c>
      <c r="I1770" s="705">
        <v>116471</v>
      </c>
      <c r="J1770" s="705">
        <v>105882</v>
      </c>
      <c r="K1770" s="705">
        <v>90</v>
      </c>
      <c r="L1770" s="705">
        <v>19039</v>
      </c>
      <c r="M1770" s="705">
        <v>17309</v>
      </c>
      <c r="N1770" s="705">
        <v>46638</v>
      </c>
      <c r="O1770" s="705">
        <v>17273</v>
      </c>
      <c r="P1770" s="705">
        <v>16065</v>
      </c>
      <c r="Q1770" s="705">
        <v>5950</v>
      </c>
      <c r="R1770" s="705">
        <v>73029</v>
      </c>
      <c r="S1770" s="705">
        <v>66390</v>
      </c>
      <c r="T1770" s="705">
        <v>0</v>
      </c>
      <c r="U1770" s="705">
        <v>0</v>
      </c>
      <c r="V1770" s="705">
        <v>212805</v>
      </c>
      <c r="W1770" s="705">
        <f t="shared" si="74"/>
        <v>212804</v>
      </c>
      <c r="X1770" s="705">
        <f t="shared" si="75"/>
        <v>271242</v>
      </c>
    </row>
    <row r="1771" spans="2:24">
      <c r="B1771" t="s">
        <v>549</v>
      </c>
      <c r="C1771" t="s">
        <v>108</v>
      </c>
      <c r="D1771" t="s">
        <v>228</v>
      </c>
      <c r="E1771" t="s">
        <v>228</v>
      </c>
      <c r="F1771" s="705">
        <v>102</v>
      </c>
      <c r="G1771" s="705">
        <v>9231</v>
      </c>
      <c r="H1771" s="705">
        <v>6567</v>
      </c>
      <c r="I1771" s="705">
        <v>-9800</v>
      </c>
      <c r="J1771" s="705">
        <v>-3630</v>
      </c>
      <c r="K1771" s="705">
        <v>472</v>
      </c>
      <c r="L1771" s="705">
        <v>-11863</v>
      </c>
      <c r="M1771" s="705">
        <v>-11061</v>
      </c>
      <c r="N1771" s="705">
        <v>127198</v>
      </c>
      <c r="O1771" s="705">
        <v>47110</v>
      </c>
      <c r="P1771" s="705">
        <v>79252</v>
      </c>
      <c r="Q1771" s="705">
        <v>29353</v>
      </c>
      <c r="R1771" s="705">
        <v>402012</v>
      </c>
      <c r="S1771" s="705">
        <v>148893</v>
      </c>
      <c r="T1771" s="705">
        <v>0</v>
      </c>
      <c r="U1771" s="705">
        <v>0</v>
      </c>
      <c r="V1771" s="705">
        <v>210665</v>
      </c>
      <c r="W1771" s="705">
        <f t="shared" ref="W1771:W1834" si="76">SUM(ABS(J1771),ABS(M1771),ABS(O1771),ABS(Q1771),ABS(S1771),ABS(U1771))</f>
        <v>240047</v>
      </c>
      <c r="X1771" s="705">
        <f t="shared" ref="X1771:X1834" si="77">SUM(ABS(I1771),ABS(N1771),ABS(P1771),ABS(R1771),ABS(T1771),ABS(L1771))</f>
        <v>630125</v>
      </c>
    </row>
    <row r="1772" spans="2:24">
      <c r="B1772" t="s">
        <v>549</v>
      </c>
      <c r="C1772" t="s">
        <v>108</v>
      </c>
      <c r="D1772" t="s">
        <v>583</v>
      </c>
      <c r="E1772" t="s">
        <v>583</v>
      </c>
      <c r="F1772" s="705">
        <v>25</v>
      </c>
      <c r="G1772" s="705">
        <v>2389</v>
      </c>
      <c r="H1772" s="705">
        <v>1491</v>
      </c>
      <c r="I1772" s="705">
        <v>-2033</v>
      </c>
      <c r="J1772" s="705">
        <v>-1848</v>
      </c>
      <c r="K1772" s="705">
        <v>95</v>
      </c>
      <c r="L1772" s="705">
        <v>-328</v>
      </c>
      <c r="M1772" s="705">
        <v>-298</v>
      </c>
      <c r="N1772" s="705">
        <v>33589</v>
      </c>
      <c r="O1772" s="705">
        <v>12440</v>
      </c>
      <c r="P1772" s="705">
        <v>25342</v>
      </c>
      <c r="Q1772" s="705">
        <v>9386</v>
      </c>
      <c r="R1772" s="705">
        <v>84431</v>
      </c>
      <c r="S1772" s="705">
        <v>76755</v>
      </c>
      <c r="T1772" s="705">
        <v>0</v>
      </c>
      <c r="U1772" s="705">
        <v>0</v>
      </c>
      <c r="V1772" s="705">
        <v>96435</v>
      </c>
      <c r="W1772" s="705">
        <f t="shared" si="76"/>
        <v>100727</v>
      </c>
      <c r="X1772" s="705">
        <f t="shared" si="77"/>
        <v>145723</v>
      </c>
    </row>
    <row r="1773" spans="2:24">
      <c r="B1773" t="s">
        <v>549</v>
      </c>
      <c r="C1773" t="s">
        <v>108</v>
      </c>
      <c r="D1773" t="s">
        <v>584</v>
      </c>
      <c r="E1773" t="s">
        <v>584</v>
      </c>
      <c r="F1773" s="705">
        <v>48</v>
      </c>
      <c r="G1773" s="705">
        <v>5411</v>
      </c>
      <c r="H1773" s="705">
        <v>2664</v>
      </c>
      <c r="I1773" s="705">
        <v>70777</v>
      </c>
      <c r="J1773" s="705">
        <v>64343</v>
      </c>
      <c r="K1773" s="705">
        <v>90</v>
      </c>
      <c r="L1773" s="705">
        <v>8614</v>
      </c>
      <c r="M1773" s="705">
        <v>7831</v>
      </c>
      <c r="N1773" s="705">
        <v>65923</v>
      </c>
      <c r="O1773" s="705">
        <v>24416</v>
      </c>
      <c r="P1773" s="705">
        <v>37784</v>
      </c>
      <c r="Q1773" s="705">
        <v>13994</v>
      </c>
      <c r="R1773" s="705">
        <v>116497</v>
      </c>
      <c r="S1773" s="705">
        <v>105906</v>
      </c>
      <c r="T1773" s="705">
        <v>0</v>
      </c>
      <c r="U1773" s="705">
        <v>0</v>
      </c>
      <c r="V1773" s="705">
        <v>216490</v>
      </c>
      <c r="W1773" s="705">
        <f t="shared" si="76"/>
        <v>216490</v>
      </c>
      <c r="X1773" s="705">
        <f t="shared" si="77"/>
        <v>299595</v>
      </c>
    </row>
    <row r="1774" spans="2:24">
      <c r="B1774" t="s">
        <v>549</v>
      </c>
      <c r="C1774" t="s">
        <v>110</v>
      </c>
      <c r="F1774" s="705">
        <v>6</v>
      </c>
      <c r="G1774" s="705">
        <v>434</v>
      </c>
      <c r="H1774" s="705">
        <v>473</v>
      </c>
      <c r="I1774" s="705"/>
      <c r="J1774" s="705">
        <v>0</v>
      </c>
      <c r="K1774" s="705"/>
      <c r="L1774" s="705"/>
      <c r="M1774" s="705">
        <v>0</v>
      </c>
      <c r="N1774" s="705">
        <v>10574</v>
      </c>
      <c r="O1774" s="705">
        <v>3916</v>
      </c>
      <c r="P1774" s="705">
        <v>2106</v>
      </c>
      <c r="Q1774" s="705">
        <v>780</v>
      </c>
      <c r="R1774" s="705"/>
      <c r="S1774" s="705">
        <v>0</v>
      </c>
      <c r="T1774" s="705">
        <v>0</v>
      </c>
      <c r="U1774" s="705">
        <v>0</v>
      </c>
      <c r="V1774" s="705">
        <v>4696</v>
      </c>
      <c r="W1774" s="705">
        <f t="shared" si="76"/>
        <v>4696</v>
      </c>
      <c r="X1774" s="705">
        <f t="shared" si="77"/>
        <v>12680</v>
      </c>
    </row>
    <row r="1775" spans="2:24">
      <c r="B1775" t="s">
        <v>549</v>
      </c>
      <c r="C1775" t="s">
        <v>110</v>
      </c>
      <c r="D1775" t="s">
        <v>582</v>
      </c>
      <c r="E1775" t="s">
        <v>582</v>
      </c>
      <c r="F1775" s="705">
        <v>12</v>
      </c>
      <c r="G1775" s="705">
        <v>950</v>
      </c>
      <c r="H1775" s="705">
        <v>1108</v>
      </c>
      <c r="I1775" s="705">
        <v>38082</v>
      </c>
      <c r="J1775" s="705">
        <v>34620</v>
      </c>
      <c r="K1775" s="705">
        <v>90</v>
      </c>
      <c r="L1775" s="705">
        <v>6368</v>
      </c>
      <c r="M1775" s="705">
        <v>5789</v>
      </c>
      <c r="N1775" s="705">
        <v>11576</v>
      </c>
      <c r="O1775" s="705">
        <v>4287</v>
      </c>
      <c r="P1775" s="705">
        <v>5670</v>
      </c>
      <c r="Q1775" s="705">
        <v>2100</v>
      </c>
      <c r="R1775" s="705">
        <v>25039</v>
      </c>
      <c r="S1775" s="705">
        <v>22763</v>
      </c>
      <c r="T1775" s="705">
        <v>0</v>
      </c>
      <c r="U1775" s="705">
        <v>0</v>
      </c>
      <c r="V1775" s="705">
        <v>69560</v>
      </c>
      <c r="W1775" s="705">
        <f t="shared" si="76"/>
        <v>69559</v>
      </c>
      <c r="X1775" s="705">
        <f t="shared" si="77"/>
        <v>86735</v>
      </c>
    </row>
    <row r="1776" spans="2:24">
      <c r="B1776" t="s">
        <v>549</v>
      </c>
      <c r="C1776" t="s">
        <v>110</v>
      </c>
      <c r="D1776" t="s">
        <v>228</v>
      </c>
      <c r="E1776" t="s">
        <v>228</v>
      </c>
      <c r="F1776" s="705">
        <v>13</v>
      </c>
      <c r="G1776" s="705">
        <v>1069</v>
      </c>
      <c r="H1776" s="705">
        <v>1134</v>
      </c>
      <c r="I1776" s="705">
        <v>23822</v>
      </c>
      <c r="J1776" s="705">
        <v>8823</v>
      </c>
      <c r="K1776" s="705">
        <v>412</v>
      </c>
      <c r="L1776" s="705">
        <v>5410</v>
      </c>
      <c r="M1776" s="705">
        <v>4919</v>
      </c>
      <c r="N1776" s="705">
        <v>17732</v>
      </c>
      <c r="O1776" s="705">
        <v>6567</v>
      </c>
      <c r="P1776" s="705">
        <v>6998</v>
      </c>
      <c r="Q1776" s="705">
        <v>2592</v>
      </c>
      <c r="R1776" s="705">
        <v>41323</v>
      </c>
      <c r="S1776" s="705">
        <v>15305</v>
      </c>
      <c r="T1776" s="705">
        <v>0</v>
      </c>
      <c r="U1776" s="705">
        <v>0</v>
      </c>
      <c r="V1776" s="705">
        <v>38206</v>
      </c>
      <c r="W1776" s="705">
        <f t="shared" si="76"/>
        <v>38206</v>
      </c>
      <c r="X1776" s="705">
        <f t="shared" si="77"/>
        <v>95285</v>
      </c>
    </row>
    <row r="1777" spans="2:24">
      <c r="B1777" t="s">
        <v>549</v>
      </c>
      <c r="C1777" t="s">
        <v>110</v>
      </c>
      <c r="D1777" t="s">
        <v>583</v>
      </c>
      <c r="E1777" t="s">
        <v>583</v>
      </c>
      <c r="F1777" s="705">
        <v>21</v>
      </c>
      <c r="G1777" s="705">
        <v>2116</v>
      </c>
      <c r="H1777" s="705">
        <v>1950</v>
      </c>
      <c r="I1777" s="705">
        <v>102475</v>
      </c>
      <c r="J1777" s="705">
        <v>93159</v>
      </c>
      <c r="K1777" s="705">
        <v>95</v>
      </c>
      <c r="L1777" s="705">
        <v>14566</v>
      </c>
      <c r="M1777" s="705">
        <v>13195</v>
      </c>
      <c r="N1777" s="705">
        <v>26839</v>
      </c>
      <c r="O1777" s="705">
        <v>9940</v>
      </c>
      <c r="P1777" s="705">
        <v>15039</v>
      </c>
      <c r="Q1777" s="705">
        <v>5570</v>
      </c>
      <c r="R1777" s="705">
        <v>38675</v>
      </c>
      <c r="S1777" s="705">
        <v>35159</v>
      </c>
      <c r="T1777" s="705">
        <v>0</v>
      </c>
      <c r="U1777" s="705">
        <v>0</v>
      </c>
      <c r="V1777" s="705">
        <v>157024</v>
      </c>
      <c r="W1777" s="705">
        <f t="shared" si="76"/>
        <v>157023</v>
      </c>
      <c r="X1777" s="705">
        <f t="shared" si="77"/>
        <v>197594</v>
      </c>
    </row>
    <row r="1778" spans="2:24">
      <c r="B1778" t="s">
        <v>549</v>
      </c>
      <c r="C1778" t="s">
        <v>110</v>
      </c>
      <c r="D1778" t="s">
        <v>584</v>
      </c>
      <c r="E1778" t="s">
        <v>584</v>
      </c>
      <c r="F1778" s="705">
        <v>34</v>
      </c>
      <c r="G1778" s="705">
        <v>2811</v>
      </c>
      <c r="H1778" s="705">
        <v>3111</v>
      </c>
      <c r="I1778" s="705">
        <v>100428</v>
      </c>
      <c r="J1778" s="705">
        <v>91298</v>
      </c>
      <c r="K1778" s="705">
        <v>90</v>
      </c>
      <c r="L1778" s="705">
        <v>12130</v>
      </c>
      <c r="M1778" s="705">
        <v>10940</v>
      </c>
      <c r="N1778" s="705">
        <v>36319</v>
      </c>
      <c r="O1778" s="705">
        <v>13451</v>
      </c>
      <c r="P1778" s="705">
        <v>29021</v>
      </c>
      <c r="Q1778" s="705">
        <v>10748</v>
      </c>
      <c r="R1778" s="705">
        <v>77984</v>
      </c>
      <c r="S1778" s="705">
        <v>70894</v>
      </c>
      <c r="T1778" s="705">
        <v>0</v>
      </c>
      <c r="U1778" s="705">
        <v>0</v>
      </c>
      <c r="V1778" s="705">
        <v>197332</v>
      </c>
      <c r="W1778" s="705">
        <f t="shared" si="76"/>
        <v>197331</v>
      </c>
      <c r="X1778" s="705">
        <f t="shared" si="77"/>
        <v>255882</v>
      </c>
    </row>
    <row r="1779" spans="2:24">
      <c r="B1779" t="s">
        <v>549</v>
      </c>
      <c r="C1779" t="s">
        <v>112</v>
      </c>
      <c r="D1779" t="s">
        <v>582</v>
      </c>
      <c r="E1779" t="s">
        <v>582</v>
      </c>
      <c r="F1779" s="705">
        <v>12</v>
      </c>
      <c r="G1779" s="705">
        <v>1060</v>
      </c>
      <c r="H1779" s="705">
        <v>1333</v>
      </c>
      <c r="I1779" s="705">
        <v>58724</v>
      </c>
      <c r="J1779" s="705">
        <v>53385</v>
      </c>
      <c r="K1779" s="705">
        <v>91</v>
      </c>
      <c r="L1779" s="705">
        <v>10827</v>
      </c>
      <c r="M1779" s="705">
        <v>9842</v>
      </c>
      <c r="N1779" s="705">
        <v>14242</v>
      </c>
      <c r="O1779" s="705">
        <v>5275</v>
      </c>
      <c r="P1779" s="705">
        <v>5670</v>
      </c>
      <c r="Q1779" s="705">
        <v>2100</v>
      </c>
      <c r="R1779" s="705">
        <v>35643</v>
      </c>
      <c r="S1779" s="705">
        <v>32403</v>
      </c>
      <c r="T1779" s="705">
        <v>0</v>
      </c>
      <c r="U1779" s="705">
        <v>0</v>
      </c>
      <c r="V1779" s="705">
        <v>103005</v>
      </c>
      <c r="W1779" s="705">
        <f t="shared" si="76"/>
        <v>103005</v>
      </c>
      <c r="X1779" s="705">
        <f t="shared" si="77"/>
        <v>125106</v>
      </c>
    </row>
    <row r="1780" spans="2:24">
      <c r="B1780" t="s">
        <v>549</v>
      </c>
      <c r="C1780" t="s">
        <v>112</v>
      </c>
      <c r="D1780" t="s">
        <v>228</v>
      </c>
      <c r="E1780" t="s">
        <v>228</v>
      </c>
      <c r="F1780" s="705">
        <v>17</v>
      </c>
      <c r="G1780" s="705">
        <v>1594</v>
      </c>
      <c r="H1780" s="705">
        <v>1963</v>
      </c>
      <c r="I1780" s="705">
        <v>60831</v>
      </c>
      <c r="J1780" s="705">
        <v>22530</v>
      </c>
      <c r="K1780" s="705">
        <v>360</v>
      </c>
      <c r="L1780" s="705">
        <v>24654</v>
      </c>
      <c r="M1780" s="705">
        <v>20890</v>
      </c>
      <c r="N1780" s="705">
        <v>30522</v>
      </c>
      <c r="O1780" s="705">
        <v>11305</v>
      </c>
      <c r="P1780" s="705">
        <v>10457</v>
      </c>
      <c r="Q1780" s="705">
        <v>3873</v>
      </c>
      <c r="R1780" s="705">
        <v>56899</v>
      </c>
      <c r="S1780" s="705">
        <v>21074</v>
      </c>
      <c r="T1780" s="705">
        <v>0</v>
      </c>
      <c r="U1780" s="705">
        <v>0</v>
      </c>
      <c r="V1780" s="705">
        <v>79671</v>
      </c>
      <c r="W1780" s="705">
        <f t="shared" si="76"/>
        <v>79672</v>
      </c>
      <c r="X1780" s="705">
        <f t="shared" si="77"/>
        <v>183363</v>
      </c>
    </row>
    <row r="1781" spans="2:24">
      <c r="B1781" t="s">
        <v>549</v>
      </c>
      <c r="C1781" t="s">
        <v>112</v>
      </c>
      <c r="D1781" t="s">
        <v>583</v>
      </c>
      <c r="E1781" t="s">
        <v>583</v>
      </c>
      <c r="F1781" s="705">
        <v>47</v>
      </c>
      <c r="G1781" s="705">
        <v>5427</v>
      </c>
      <c r="H1781" s="705">
        <v>5496</v>
      </c>
      <c r="I1781" s="705">
        <v>305284</v>
      </c>
      <c r="J1781" s="705">
        <v>277531</v>
      </c>
      <c r="K1781" s="705">
        <v>93</v>
      </c>
      <c r="L1781" s="705">
        <v>49602</v>
      </c>
      <c r="M1781" s="705">
        <v>47920</v>
      </c>
      <c r="N1781" s="705">
        <v>77394</v>
      </c>
      <c r="O1781" s="705">
        <v>28664</v>
      </c>
      <c r="P1781" s="705">
        <v>29349</v>
      </c>
      <c r="Q1781" s="705">
        <v>10870</v>
      </c>
      <c r="R1781" s="705">
        <v>170146</v>
      </c>
      <c r="S1781" s="705">
        <v>154678</v>
      </c>
      <c r="T1781" s="705">
        <v>1087</v>
      </c>
      <c r="U1781" s="705">
        <v>403</v>
      </c>
      <c r="V1781" s="705">
        <v>520066</v>
      </c>
      <c r="W1781" s="705">
        <f t="shared" si="76"/>
        <v>520066</v>
      </c>
      <c r="X1781" s="705">
        <f t="shared" si="77"/>
        <v>632862</v>
      </c>
    </row>
    <row r="1782" spans="2:24">
      <c r="B1782" t="s">
        <v>549</v>
      </c>
      <c r="C1782" t="s">
        <v>112</v>
      </c>
      <c r="D1782" t="s">
        <v>584</v>
      </c>
      <c r="E1782" t="s">
        <v>584</v>
      </c>
      <c r="F1782" s="705">
        <v>68</v>
      </c>
      <c r="G1782" s="705">
        <v>5904</v>
      </c>
      <c r="H1782" s="705">
        <v>7670</v>
      </c>
      <c r="I1782" s="705">
        <v>276957</v>
      </c>
      <c r="J1782" s="705">
        <v>251779</v>
      </c>
      <c r="K1782" s="705">
        <v>90</v>
      </c>
      <c r="L1782" s="705">
        <v>56793</v>
      </c>
      <c r="M1782" s="705">
        <v>51028</v>
      </c>
      <c r="N1782" s="705">
        <v>86601</v>
      </c>
      <c r="O1782" s="705">
        <v>32075</v>
      </c>
      <c r="P1782" s="705">
        <v>46136</v>
      </c>
      <c r="Q1782" s="705">
        <v>17087</v>
      </c>
      <c r="R1782" s="705">
        <v>208997</v>
      </c>
      <c r="S1782" s="705">
        <v>189997</v>
      </c>
      <c r="T1782" s="705">
        <v>2568</v>
      </c>
      <c r="U1782" s="705">
        <v>951</v>
      </c>
      <c r="V1782" s="705">
        <v>542917</v>
      </c>
      <c r="W1782" s="705">
        <f t="shared" si="76"/>
        <v>542917</v>
      </c>
      <c r="X1782" s="705">
        <f t="shared" si="77"/>
        <v>678052</v>
      </c>
    </row>
    <row r="1783" spans="2:24">
      <c r="B1783" t="s">
        <v>549</v>
      </c>
      <c r="C1783" t="s">
        <v>114</v>
      </c>
      <c r="D1783" t="s">
        <v>664</v>
      </c>
      <c r="E1783" t="s">
        <v>664</v>
      </c>
      <c r="F1783" s="705">
        <v>3</v>
      </c>
      <c r="G1783" s="705">
        <v>320</v>
      </c>
      <c r="H1783" s="705">
        <v>400</v>
      </c>
      <c r="I1783" s="705">
        <v>17775</v>
      </c>
      <c r="J1783" s="705">
        <v>16159</v>
      </c>
      <c r="K1783" s="705">
        <v>87</v>
      </c>
      <c r="L1783" s="705">
        <v>4006</v>
      </c>
      <c r="M1783" s="705">
        <v>3642</v>
      </c>
      <c r="N1783" s="705">
        <v>4693</v>
      </c>
      <c r="O1783" s="705">
        <v>1738</v>
      </c>
      <c r="P1783" s="705">
        <v>1418</v>
      </c>
      <c r="Q1783" s="705">
        <v>525</v>
      </c>
      <c r="R1783" s="705">
        <v>15101</v>
      </c>
      <c r="S1783" s="705">
        <v>13728</v>
      </c>
      <c r="T1783" s="705">
        <v>0</v>
      </c>
      <c r="U1783" s="705">
        <v>0</v>
      </c>
      <c r="V1783" s="705">
        <v>35792</v>
      </c>
      <c r="W1783" s="705">
        <f t="shared" si="76"/>
        <v>35792</v>
      </c>
      <c r="X1783" s="705">
        <f t="shared" si="77"/>
        <v>42993</v>
      </c>
    </row>
    <row r="1784" spans="2:24">
      <c r="B1784" t="s">
        <v>549</v>
      </c>
      <c r="C1784" t="s">
        <v>114</v>
      </c>
      <c r="D1784" t="s">
        <v>582</v>
      </c>
      <c r="E1784" t="s">
        <v>582</v>
      </c>
      <c r="F1784" s="705">
        <v>36</v>
      </c>
      <c r="G1784" s="705">
        <v>2827</v>
      </c>
      <c r="H1784" s="705">
        <v>4932</v>
      </c>
      <c r="I1784" s="705">
        <v>201358</v>
      </c>
      <c r="J1784" s="705">
        <v>183053</v>
      </c>
      <c r="K1784" s="705">
        <v>90</v>
      </c>
      <c r="L1784" s="705">
        <v>21071</v>
      </c>
      <c r="M1784" s="705">
        <v>17878</v>
      </c>
      <c r="N1784" s="705">
        <v>51054</v>
      </c>
      <c r="O1784" s="705">
        <v>18909</v>
      </c>
      <c r="P1784" s="705">
        <v>17361</v>
      </c>
      <c r="Q1784" s="705">
        <v>6430</v>
      </c>
      <c r="R1784" s="705">
        <v>97753</v>
      </c>
      <c r="S1784" s="705">
        <v>88866</v>
      </c>
      <c r="T1784" s="705">
        <v>0</v>
      </c>
      <c r="U1784" s="705">
        <v>0</v>
      </c>
      <c r="V1784" s="705">
        <v>315136</v>
      </c>
      <c r="W1784" s="705">
        <f t="shared" si="76"/>
        <v>315136</v>
      </c>
      <c r="X1784" s="705">
        <f t="shared" si="77"/>
        <v>388597</v>
      </c>
    </row>
    <row r="1785" spans="2:24">
      <c r="B1785" t="s">
        <v>549</v>
      </c>
      <c r="C1785" t="s">
        <v>114</v>
      </c>
      <c r="D1785" t="s">
        <v>228</v>
      </c>
      <c r="E1785" t="s">
        <v>228</v>
      </c>
      <c r="F1785" s="705">
        <v>5</v>
      </c>
      <c r="G1785" s="705">
        <v>557</v>
      </c>
      <c r="H1785" s="705">
        <v>693</v>
      </c>
      <c r="I1785" s="705">
        <v>32501</v>
      </c>
      <c r="J1785" s="705">
        <v>12037</v>
      </c>
      <c r="K1785" s="705">
        <v>350</v>
      </c>
      <c r="L1785" s="705">
        <v>12766</v>
      </c>
      <c r="M1785" s="705">
        <v>11605</v>
      </c>
      <c r="N1785" s="705">
        <v>9659</v>
      </c>
      <c r="O1785" s="705">
        <v>3577</v>
      </c>
      <c r="P1785" s="705">
        <v>4563</v>
      </c>
      <c r="Q1785" s="705">
        <v>1690</v>
      </c>
      <c r="R1785" s="705">
        <v>17778</v>
      </c>
      <c r="S1785" s="705">
        <v>6584</v>
      </c>
      <c r="T1785" s="705">
        <v>0</v>
      </c>
      <c r="U1785" s="705">
        <v>0</v>
      </c>
      <c r="V1785" s="705">
        <v>35495</v>
      </c>
      <c r="W1785" s="705">
        <f t="shared" si="76"/>
        <v>35493</v>
      </c>
      <c r="X1785" s="705">
        <f t="shared" si="77"/>
        <v>77267</v>
      </c>
    </row>
    <row r="1786" spans="2:24">
      <c r="B1786" t="s">
        <v>549</v>
      </c>
      <c r="C1786" t="s">
        <v>114</v>
      </c>
      <c r="D1786" t="s">
        <v>583</v>
      </c>
      <c r="E1786" t="s">
        <v>583</v>
      </c>
      <c r="F1786" s="705">
        <v>208</v>
      </c>
      <c r="G1786" s="705">
        <v>23160</v>
      </c>
      <c r="H1786" s="705">
        <v>29446</v>
      </c>
      <c r="I1786" s="705">
        <v>1491681</v>
      </c>
      <c r="J1786" s="705">
        <v>1356074</v>
      </c>
      <c r="K1786" s="705">
        <v>91</v>
      </c>
      <c r="L1786" s="705">
        <v>318949</v>
      </c>
      <c r="M1786" s="705">
        <v>285663</v>
      </c>
      <c r="N1786" s="705">
        <v>406550</v>
      </c>
      <c r="O1786" s="705">
        <v>150574</v>
      </c>
      <c r="P1786" s="705">
        <v>134354</v>
      </c>
      <c r="Q1786" s="705">
        <v>49761</v>
      </c>
      <c r="R1786" s="705">
        <v>871181</v>
      </c>
      <c r="S1786" s="705">
        <v>791983</v>
      </c>
      <c r="T1786" s="705">
        <v>101345</v>
      </c>
      <c r="U1786" s="705">
        <v>37535</v>
      </c>
      <c r="V1786" s="705">
        <v>2671590</v>
      </c>
      <c r="W1786" s="705">
        <f t="shared" si="76"/>
        <v>2671590</v>
      </c>
      <c r="X1786" s="705">
        <f t="shared" si="77"/>
        <v>3324060</v>
      </c>
    </row>
    <row r="1787" spans="2:24">
      <c r="B1787" t="s">
        <v>549</v>
      </c>
      <c r="C1787" t="s">
        <v>114</v>
      </c>
      <c r="D1787" t="s">
        <v>584</v>
      </c>
      <c r="E1787" t="s">
        <v>584</v>
      </c>
      <c r="F1787" s="705">
        <v>72</v>
      </c>
      <c r="G1787" s="705">
        <v>7227</v>
      </c>
      <c r="H1787" s="705">
        <v>10230</v>
      </c>
      <c r="I1787" s="705">
        <v>491740</v>
      </c>
      <c r="J1787" s="705">
        <v>447037</v>
      </c>
      <c r="K1787" s="705">
        <v>90</v>
      </c>
      <c r="L1787" s="705">
        <v>119212</v>
      </c>
      <c r="M1787" s="705">
        <v>107428</v>
      </c>
      <c r="N1787" s="705">
        <v>117151</v>
      </c>
      <c r="O1787" s="705">
        <v>43389</v>
      </c>
      <c r="P1787" s="705">
        <v>43719</v>
      </c>
      <c r="Q1787" s="705">
        <v>16192</v>
      </c>
      <c r="R1787" s="705">
        <v>251306</v>
      </c>
      <c r="S1787" s="705">
        <v>228460</v>
      </c>
      <c r="T1787" s="705">
        <v>4539</v>
      </c>
      <c r="U1787" s="705">
        <v>1681</v>
      </c>
      <c r="V1787" s="705">
        <v>844187</v>
      </c>
      <c r="W1787" s="705">
        <f t="shared" si="76"/>
        <v>844187</v>
      </c>
      <c r="X1787" s="705">
        <f t="shared" si="77"/>
        <v>1027667</v>
      </c>
    </row>
    <row r="1788" spans="2:24">
      <c r="B1788" t="s">
        <v>549</v>
      </c>
      <c r="C1788" t="s">
        <v>116</v>
      </c>
      <c r="F1788" s="705">
        <v>1</v>
      </c>
      <c r="G1788" s="705">
        <v>109</v>
      </c>
      <c r="H1788" s="705">
        <v>221</v>
      </c>
      <c r="I1788" s="705"/>
      <c r="J1788" s="705">
        <v>0</v>
      </c>
      <c r="K1788" s="705"/>
      <c r="L1788" s="705"/>
      <c r="M1788" s="705">
        <v>0</v>
      </c>
      <c r="N1788" s="705">
        <v>1331</v>
      </c>
      <c r="O1788" s="705">
        <v>493</v>
      </c>
      <c r="P1788" s="705">
        <v>621</v>
      </c>
      <c r="Q1788" s="705">
        <v>230</v>
      </c>
      <c r="R1788" s="705"/>
      <c r="S1788" s="705">
        <v>0</v>
      </c>
      <c r="T1788" s="705">
        <v>0</v>
      </c>
      <c r="U1788" s="705">
        <v>0</v>
      </c>
      <c r="V1788" s="705">
        <v>723</v>
      </c>
      <c r="W1788" s="705">
        <f t="shared" si="76"/>
        <v>723</v>
      </c>
      <c r="X1788" s="705">
        <f t="shared" si="77"/>
        <v>1952</v>
      </c>
    </row>
    <row r="1789" spans="2:24">
      <c r="B1789" t="s">
        <v>549</v>
      </c>
      <c r="C1789" t="s">
        <v>116</v>
      </c>
      <c r="D1789" t="s">
        <v>664</v>
      </c>
      <c r="E1789" t="s">
        <v>664</v>
      </c>
      <c r="F1789" s="705">
        <v>4</v>
      </c>
      <c r="G1789" s="705">
        <v>403</v>
      </c>
      <c r="H1789" s="705">
        <v>729</v>
      </c>
      <c r="I1789" s="705">
        <v>37250</v>
      </c>
      <c r="J1789" s="705">
        <v>33864</v>
      </c>
      <c r="K1789" s="705">
        <v>81</v>
      </c>
      <c r="L1789" s="705">
        <v>7877</v>
      </c>
      <c r="M1789" s="705">
        <v>5136</v>
      </c>
      <c r="N1789" s="705">
        <v>7883</v>
      </c>
      <c r="O1789" s="705">
        <v>2920</v>
      </c>
      <c r="P1789" s="705">
        <v>1769</v>
      </c>
      <c r="Q1789" s="705">
        <v>655</v>
      </c>
      <c r="R1789" s="705">
        <v>17326</v>
      </c>
      <c r="S1789" s="705">
        <v>15751</v>
      </c>
      <c r="T1789" s="705">
        <v>0</v>
      </c>
      <c r="U1789" s="705">
        <v>0</v>
      </c>
      <c r="V1789" s="705">
        <v>58326</v>
      </c>
      <c r="W1789" s="705">
        <f t="shared" si="76"/>
        <v>58326</v>
      </c>
      <c r="X1789" s="705">
        <f t="shared" si="77"/>
        <v>72105</v>
      </c>
    </row>
    <row r="1790" spans="2:24">
      <c r="B1790" t="s">
        <v>549</v>
      </c>
      <c r="C1790" t="s">
        <v>116</v>
      </c>
      <c r="D1790" t="s">
        <v>664</v>
      </c>
      <c r="E1790" t="s">
        <v>583</v>
      </c>
      <c r="F1790" s="705">
        <v>3</v>
      </c>
      <c r="G1790" s="705">
        <v>292</v>
      </c>
      <c r="H1790" s="705">
        <v>628</v>
      </c>
      <c r="I1790" s="705">
        <v>29102</v>
      </c>
      <c r="J1790" s="705">
        <v>26456</v>
      </c>
      <c r="K1790" s="705">
        <v>83</v>
      </c>
      <c r="L1790" s="705">
        <v>6274</v>
      </c>
      <c r="M1790" s="705">
        <v>5703</v>
      </c>
      <c r="N1790" s="705">
        <v>6362</v>
      </c>
      <c r="O1790" s="705">
        <v>2356</v>
      </c>
      <c r="P1790" s="705">
        <v>1863</v>
      </c>
      <c r="Q1790" s="705">
        <v>690</v>
      </c>
      <c r="R1790" s="705">
        <v>13451</v>
      </c>
      <c r="S1790" s="705">
        <v>12228</v>
      </c>
      <c r="T1790" s="705">
        <v>2758</v>
      </c>
      <c r="U1790" s="705">
        <v>1022</v>
      </c>
      <c r="V1790" s="705">
        <v>48456</v>
      </c>
      <c r="W1790" s="705">
        <f t="shared" si="76"/>
        <v>48455</v>
      </c>
      <c r="X1790" s="705">
        <f t="shared" si="77"/>
        <v>59810</v>
      </c>
    </row>
    <row r="1791" spans="2:24">
      <c r="B1791" t="s">
        <v>549</v>
      </c>
      <c r="C1791" t="s">
        <v>116</v>
      </c>
      <c r="D1791" t="s">
        <v>582</v>
      </c>
      <c r="E1791" t="s">
        <v>664</v>
      </c>
      <c r="F1791" s="705">
        <v>1</v>
      </c>
      <c r="G1791" s="705">
        <v>115</v>
      </c>
      <c r="H1791" s="705">
        <v>197</v>
      </c>
      <c r="I1791" s="705">
        <v>11885</v>
      </c>
      <c r="J1791" s="705">
        <v>10804</v>
      </c>
      <c r="K1791" s="705">
        <v>70</v>
      </c>
      <c r="L1791" s="705">
        <v>2927</v>
      </c>
      <c r="M1791" s="705">
        <v>2661</v>
      </c>
      <c r="N1791" s="705">
        <v>1403</v>
      </c>
      <c r="O1791" s="705">
        <v>520</v>
      </c>
      <c r="P1791" s="705">
        <v>473</v>
      </c>
      <c r="Q1791" s="705">
        <v>175</v>
      </c>
      <c r="R1791" s="705">
        <v>5949</v>
      </c>
      <c r="S1791" s="705">
        <v>5409</v>
      </c>
      <c r="T1791" s="705">
        <v>0</v>
      </c>
      <c r="U1791" s="705">
        <v>0</v>
      </c>
      <c r="V1791" s="705">
        <v>19569</v>
      </c>
      <c r="W1791" s="705">
        <f t="shared" si="76"/>
        <v>19569</v>
      </c>
      <c r="X1791" s="705">
        <f t="shared" si="77"/>
        <v>22637</v>
      </c>
    </row>
    <row r="1792" spans="2:24">
      <c r="B1792" t="s">
        <v>549</v>
      </c>
      <c r="C1792" t="s">
        <v>116</v>
      </c>
      <c r="D1792" t="s">
        <v>582</v>
      </c>
      <c r="E1792" t="s">
        <v>582</v>
      </c>
      <c r="F1792" s="705">
        <v>53</v>
      </c>
      <c r="G1792" s="705">
        <v>5264</v>
      </c>
      <c r="H1792" s="705">
        <v>9729</v>
      </c>
      <c r="I1792" s="705">
        <v>491288</v>
      </c>
      <c r="J1792" s="705">
        <v>446625</v>
      </c>
      <c r="K1792" s="705">
        <v>84</v>
      </c>
      <c r="L1792" s="705">
        <v>118217</v>
      </c>
      <c r="M1792" s="705">
        <v>101781</v>
      </c>
      <c r="N1792" s="705">
        <v>103941</v>
      </c>
      <c r="O1792" s="705">
        <v>38497</v>
      </c>
      <c r="P1792" s="705">
        <v>26204</v>
      </c>
      <c r="Q1792" s="705">
        <v>9705</v>
      </c>
      <c r="R1792" s="705">
        <v>211715</v>
      </c>
      <c r="S1792" s="705">
        <v>192468</v>
      </c>
      <c r="T1792" s="705">
        <v>24490</v>
      </c>
      <c r="U1792" s="705">
        <v>9070</v>
      </c>
      <c r="V1792" s="705">
        <v>798147</v>
      </c>
      <c r="W1792" s="705">
        <f t="shared" si="76"/>
        <v>798146</v>
      </c>
      <c r="X1792" s="705">
        <f t="shared" si="77"/>
        <v>975855</v>
      </c>
    </row>
    <row r="1793" spans="2:24">
      <c r="B1793" t="s">
        <v>549</v>
      </c>
      <c r="C1793" t="s">
        <v>116</v>
      </c>
      <c r="D1793" t="s">
        <v>228</v>
      </c>
      <c r="E1793" t="s">
        <v>228</v>
      </c>
      <c r="F1793" s="705">
        <v>22</v>
      </c>
      <c r="G1793" s="705">
        <v>1882</v>
      </c>
      <c r="H1793" s="705">
        <v>4517</v>
      </c>
      <c r="I1793" s="705">
        <v>171902</v>
      </c>
      <c r="J1793" s="705">
        <v>63667</v>
      </c>
      <c r="K1793" s="705">
        <v>107</v>
      </c>
      <c r="L1793" s="705">
        <v>30789</v>
      </c>
      <c r="M1793" s="705">
        <v>17921</v>
      </c>
      <c r="N1793" s="705">
        <v>40626</v>
      </c>
      <c r="O1793" s="705">
        <v>15047</v>
      </c>
      <c r="P1793" s="705">
        <v>702</v>
      </c>
      <c r="Q1793" s="705">
        <v>260</v>
      </c>
      <c r="R1793" s="705">
        <v>157540</v>
      </c>
      <c r="S1793" s="705">
        <v>58348</v>
      </c>
      <c r="T1793" s="705">
        <v>0</v>
      </c>
      <c r="U1793" s="705">
        <v>0</v>
      </c>
      <c r="V1793" s="705">
        <v>155244</v>
      </c>
      <c r="W1793" s="705">
        <f t="shared" si="76"/>
        <v>155243</v>
      </c>
      <c r="X1793" s="705">
        <f t="shared" si="77"/>
        <v>401559</v>
      </c>
    </row>
    <row r="1794" spans="2:24">
      <c r="B1794" t="s">
        <v>549</v>
      </c>
      <c r="C1794" t="s">
        <v>116</v>
      </c>
      <c r="D1794" t="s">
        <v>228</v>
      </c>
      <c r="E1794" t="s">
        <v>665</v>
      </c>
      <c r="F1794" s="705">
        <v>2</v>
      </c>
      <c r="G1794" s="705">
        <v>172</v>
      </c>
      <c r="H1794" s="705">
        <v>429</v>
      </c>
      <c r="I1794" s="705">
        <v>21331</v>
      </c>
      <c r="J1794" s="705">
        <v>7901</v>
      </c>
      <c r="K1794" s="705">
        <v>100</v>
      </c>
      <c r="L1794" s="705">
        <v>3598</v>
      </c>
      <c r="M1794" s="705">
        <v>2377</v>
      </c>
      <c r="N1794" s="705">
        <v>2094</v>
      </c>
      <c r="O1794" s="705">
        <v>775</v>
      </c>
      <c r="P1794" s="705">
        <v>0</v>
      </c>
      <c r="Q1794" s="705">
        <v>0</v>
      </c>
      <c r="R1794" s="705">
        <v>7575</v>
      </c>
      <c r="S1794" s="705">
        <v>6886</v>
      </c>
      <c r="T1794" s="705">
        <v>2579</v>
      </c>
      <c r="U1794" s="705">
        <v>955</v>
      </c>
      <c r="V1794" s="705">
        <v>18894</v>
      </c>
      <c r="W1794" s="705">
        <f t="shared" si="76"/>
        <v>18894</v>
      </c>
      <c r="X1794" s="705">
        <f t="shared" si="77"/>
        <v>37177</v>
      </c>
    </row>
    <row r="1795" spans="2:24">
      <c r="B1795" t="s">
        <v>549</v>
      </c>
      <c r="C1795" t="s">
        <v>116</v>
      </c>
      <c r="D1795" t="s">
        <v>583</v>
      </c>
      <c r="E1795" t="s">
        <v>664</v>
      </c>
      <c r="F1795" s="705">
        <v>2</v>
      </c>
      <c r="G1795" s="705">
        <v>184</v>
      </c>
      <c r="H1795" s="705">
        <v>369</v>
      </c>
      <c r="I1795" s="705">
        <v>16966</v>
      </c>
      <c r="J1795" s="705">
        <v>15423</v>
      </c>
      <c r="K1795" s="705">
        <v>88</v>
      </c>
      <c r="L1795" s="705">
        <v>2763</v>
      </c>
      <c r="M1795" s="705">
        <v>2393</v>
      </c>
      <c r="N1795" s="705">
        <v>3350</v>
      </c>
      <c r="O1795" s="705">
        <v>1241</v>
      </c>
      <c r="P1795" s="705">
        <v>1242</v>
      </c>
      <c r="Q1795" s="705">
        <v>460</v>
      </c>
      <c r="R1795" s="705">
        <v>7364</v>
      </c>
      <c r="S1795" s="705">
        <v>6695</v>
      </c>
      <c r="T1795" s="705">
        <v>2307</v>
      </c>
      <c r="U1795" s="705">
        <v>854</v>
      </c>
      <c r="V1795" s="705">
        <v>27066</v>
      </c>
      <c r="W1795" s="705">
        <f t="shared" si="76"/>
        <v>27066</v>
      </c>
      <c r="X1795" s="705">
        <f t="shared" si="77"/>
        <v>33992</v>
      </c>
    </row>
    <row r="1796" spans="2:24">
      <c r="B1796" t="s">
        <v>549</v>
      </c>
      <c r="C1796" t="s">
        <v>116</v>
      </c>
      <c r="D1796" t="s">
        <v>583</v>
      </c>
      <c r="E1796" t="s">
        <v>228</v>
      </c>
      <c r="F1796" s="705">
        <v>4</v>
      </c>
      <c r="G1796" s="705">
        <v>373</v>
      </c>
      <c r="H1796" s="705">
        <v>876</v>
      </c>
      <c r="I1796" s="705">
        <v>40571</v>
      </c>
      <c r="J1796" s="705">
        <v>36883</v>
      </c>
      <c r="K1796" s="705">
        <v>80</v>
      </c>
      <c r="L1796" s="705">
        <v>8344</v>
      </c>
      <c r="M1796" s="705">
        <v>7428</v>
      </c>
      <c r="N1796" s="705">
        <v>7562</v>
      </c>
      <c r="O1796" s="705">
        <v>2801</v>
      </c>
      <c r="P1796" s="705">
        <v>2484</v>
      </c>
      <c r="Q1796" s="705">
        <v>920</v>
      </c>
      <c r="R1796" s="705">
        <v>21085</v>
      </c>
      <c r="S1796" s="705">
        <v>7809</v>
      </c>
      <c r="T1796" s="705">
        <v>1353</v>
      </c>
      <c r="U1796" s="705">
        <v>501</v>
      </c>
      <c r="V1796" s="705">
        <v>56342</v>
      </c>
      <c r="W1796" s="705">
        <f t="shared" si="76"/>
        <v>56342</v>
      </c>
      <c r="X1796" s="705">
        <f t="shared" si="77"/>
        <v>81399</v>
      </c>
    </row>
    <row r="1797" spans="2:24">
      <c r="B1797" t="s">
        <v>549</v>
      </c>
      <c r="C1797" t="s">
        <v>116</v>
      </c>
      <c r="D1797" t="s">
        <v>583</v>
      </c>
      <c r="E1797" t="s">
        <v>583</v>
      </c>
      <c r="F1797" s="705">
        <v>3000</v>
      </c>
      <c r="G1797" s="705">
        <v>313918</v>
      </c>
      <c r="H1797" s="705">
        <v>587185</v>
      </c>
      <c r="I1797" s="705">
        <v>29114426</v>
      </c>
      <c r="J1797" s="705">
        <v>26467660</v>
      </c>
      <c r="K1797" s="705">
        <v>85</v>
      </c>
      <c r="L1797" s="705">
        <v>7162329</v>
      </c>
      <c r="M1797" s="705">
        <v>6426997</v>
      </c>
      <c r="N1797" s="705">
        <v>6176089</v>
      </c>
      <c r="O1797" s="705">
        <v>2287440</v>
      </c>
      <c r="P1797" s="705">
        <v>1926638</v>
      </c>
      <c r="Q1797" s="705">
        <v>713569</v>
      </c>
      <c r="R1797" s="705">
        <v>13288403</v>
      </c>
      <c r="S1797" s="705">
        <v>12080366</v>
      </c>
      <c r="T1797" s="705">
        <v>4362127</v>
      </c>
      <c r="U1797" s="705">
        <v>1615603</v>
      </c>
      <c r="V1797" s="705">
        <v>49591636</v>
      </c>
      <c r="W1797" s="705">
        <f t="shared" si="76"/>
        <v>49591635</v>
      </c>
      <c r="X1797" s="705">
        <f t="shared" si="77"/>
        <v>62030012</v>
      </c>
    </row>
    <row r="1798" spans="2:24">
      <c r="B1798" t="s">
        <v>549</v>
      </c>
      <c r="C1798" t="s">
        <v>116</v>
      </c>
      <c r="D1798" t="s">
        <v>583</v>
      </c>
      <c r="E1798" t="s">
        <v>666</v>
      </c>
      <c r="F1798" s="705">
        <v>2</v>
      </c>
      <c r="G1798" s="705">
        <v>210</v>
      </c>
      <c r="H1798" s="705">
        <v>368</v>
      </c>
      <c r="I1798" s="705">
        <v>18999</v>
      </c>
      <c r="J1798" s="705">
        <v>17272</v>
      </c>
      <c r="K1798" s="705">
        <v>91</v>
      </c>
      <c r="L1798" s="705">
        <v>4524</v>
      </c>
      <c r="M1798" s="705">
        <v>4113</v>
      </c>
      <c r="N1798" s="705">
        <v>3961</v>
      </c>
      <c r="O1798" s="705">
        <v>1467</v>
      </c>
      <c r="P1798" s="705">
        <v>1242</v>
      </c>
      <c r="Q1798" s="705">
        <v>460</v>
      </c>
      <c r="R1798" s="705">
        <v>7159</v>
      </c>
      <c r="S1798" s="705">
        <v>6508</v>
      </c>
      <c r="T1798" s="705">
        <v>2831</v>
      </c>
      <c r="U1798" s="705">
        <v>1049</v>
      </c>
      <c r="V1798" s="705">
        <v>30868</v>
      </c>
      <c r="W1798" s="705">
        <f t="shared" si="76"/>
        <v>30869</v>
      </c>
      <c r="X1798" s="705">
        <f t="shared" si="77"/>
        <v>38716</v>
      </c>
    </row>
    <row r="1799" spans="2:24">
      <c r="B1799" t="s">
        <v>549</v>
      </c>
      <c r="C1799" t="s">
        <v>116</v>
      </c>
      <c r="D1799" t="s">
        <v>583</v>
      </c>
      <c r="E1799" t="s">
        <v>584</v>
      </c>
      <c r="F1799" s="705">
        <v>1</v>
      </c>
      <c r="G1799" s="705">
        <v>80</v>
      </c>
      <c r="H1799" s="705">
        <v>215</v>
      </c>
      <c r="I1799" s="705">
        <v>8798</v>
      </c>
      <c r="J1799" s="705">
        <v>7998</v>
      </c>
      <c r="K1799" s="705">
        <v>79</v>
      </c>
      <c r="L1799" s="705">
        <v>4049</v>
      </c>
      <c r="M1799" s="705">
        <v>1500</v>
      </c>
      <c r="N1799" s="705">
        <v>978</v>
      </c>
      <c r="O1799" s="705">
        <v>362</v>
      </c>
      <c r="P1799" s="705">
        <v>621</v>
      </c>
      <c r="Q1799" s="705">
        <v>230</v>
      </c>
      <c r="R1799" s="705">
        <v>2383</v>
      </c>
      <c r="S1799" s="705">
        <v>2166</v>
      </c>
      <c r="T1799" s="705">
        <v>419</v>
      </c>
      <c r="U1799" s="705">
        <v>155</v>
      </c>
      <c r="V1799" s="705">
        <v>12411</v>
      </c>
      <c r="W1799" s="705">
        <f t="shared" si="76"/>
        <v>12411</v>
      </c>
      <c r="X1799" s="705">
        <f t="shared" si="77"/>
        <v>17248</v>
      </c>
    </row>
    <row r="1800" spans="2:24">
      <c r="B1800" t="s">
        <v>549</v>
      </c>
      <c r="C1800" t="s">
        <v>116</v>
      </c>
      <c r="D1800" t="s">
        <v>583</v>
      </c>
      <c r="E1800" t="s">
        <v>665</v>
      </c>
      <c r="F1800" s="705">
        <v>3</v>
      </c>
      <c r="G1800" s="705">
        <v>330</v>
      </c>
      <c r="H1800" s="705">
        <v>596</v>
      </c>
      <c r="I1800" s="705">
        <v>30670</v>
      </c>
      <c r="J1800" s="705">
        <v>27882</v>
      </c>
      <c r="K1800" s="705">
        <v>83</v>
      </c>
      <c r="L1800" s="705">
        <v>7913</v>
      </c>
      <c r="M1800" s="705">
        <v>7193</v>
      </c>
      <c r="N1800" s="705">
        <v>7786</v>
      </c>
      <c r="O1800" s="705">
        <v>2884</v>
      </c>
      <c r="P1800" s="705">
        <v>1863</v>
      </c>
      <c r="Q1800" s="705">
        <v>690</v>
      </c>
      <c r="R1800" s="705">
        <v>13767</v>
      </c>
      <c r="S1800" s="705">
        <v>12516</v>
      </c>
      <c r="T1800" s="705">
        <v>2708</v>
      </c>
      <c r="U1800" s="705">
        <v>1003</v>
      </c>
      <c r="V1800" s="705">
        <v>52167</v>
      </c>
      <c r="W1800" s="705">
        <f t="shared" si="76"/>
        <v>52168</v>
      </c>
      <c r="X1800" s="705">
        <f t="shared" si="77"/>
        <v>64707</v>
      </c>
    </row>
    <row r="1801" spans="2:24">
      <c r="B1801" t="s">
        <v>549</v>
      </c>
      <c r="C1801" t="s">
        <v>116</v>
      </c>
      <c r="D1801" t="s">
        <v>584</v>
      </c>
      <c r="E1801" t="s">
        <v>584</v>
      </c>
      <c r="F1801" s="705">
        <v>108</v>
      </c>
      <c r="G1801" s="705">
        <v>10859</v>
      </c>
      <c r="H1801" s="705">
        <v>19589</v>
      </c>
      <c r="I1801" s="705">
        <v>1035604</v>
      </c>
      <c r="J1801" s="705">
        <v>941458</v>
      </c>
      <c r="K1801" s="705">
        <v>85</v>
      </c>
      <c r="L1801" s="705">
        <v>224120</v>
      </c>
      <c r="M1801" s="705">
        <v>198213</v>
      </c>
      <c r="N1801" s="705">
        <v>212515</v>
      </c>
      <c r="O1801" s="705">
        <v>78709</v>
      </c>
      <c r="P1801" s="705">
        <v>57589</v>
      </c>
      <c r="Q1801" s="705">
        <v>21329</v>
      </c>
      <c r="R1801" s="705">
        <v>434851</v>
      </c>
      <c r="S1801" s="705">
        <v>395319</v>
      </c>
      <c r="T1801" s="705">
        <v>21530</v>
      </c>
      <c r="U1801" s="705">
        <v>7974</v>
      </c>
      <c r="V1801" s="705">
        <v>1643003</v>
      </c>
      <c r="W1801" s="705">
        <f t="shared" si="76"/>
        <v>1643002</v>
      </c>
      <c r="X1801" s="705">
        <f t="shared" si="77"/>
        <v>1986209</v>
      </c>
    </row>
    <row r="1802" spans="2:24">
      <c r="B1802" t="s">
        <v>549</v>
      </c>
      <c r="C1802" t="s">
        <v>116</v>
      </c>
      <c r="D1802" t="s">
        <v>669</v>
      </c>
      <c r="E1802" t="s">
        <v>669</v>
      </c>
      <c r="F1802" s="705">
        <v>1</v>
      </c>
      <c r="G1802" s="705">
        <v>106</v>
      </c>
      <c r="H1802" s="705">
        <v>197</v>
      </c>
      <c r="I1802" s="705">
        <v>10534</v>
      </c>
      <c r="J1802" s="705">
        <v>8778</v>
      </c>
      <c r="K1802" s="705">
        <v>79</v>
      </c>
      <c r="L1802" s="705">
        <v>0</v>
      </c>
      <c r="M1802" s="705">
        <v>0</v>
      </c>
      <c r="N1802" s="705">
        <v>2571</v>
      </c>
      <c r="O1802" s="705">
        <v>952</v>
      </c>
      <c r="P1802" s="705">
        <v>351</v>
      </c>
      <c r="Q1802" s="705">
        <v>130</v>
      </c>
      <c r="R1802" s="705">
        <v>4478</v>
      </c>
      <c r="S1802" s="705">
        <v>3732</v>
      </c>
      <c r="T1802" s="705">
        <v>2854</v>
      </c>
      <c r="U1802" s="705">
        <v>1057</v>
      </c>
      <c r="V1802" s="705">
        <v>14649</v>
      </c>
      <c r="W1802" s="705">
        <f t="shared" si="76"/>
        <v>14649</v>
      </c>
      <c r="X1802" s="705">
        <f t="shared" si="77"/>
        <v>20788</v>
      </c>
    </row>
    <row r="1803" spans="2:24">
      <c r="B1803" t="s">
        <v>549</v>
      </c>
      <c r="C1803" t="s">
        <v>116</v>
      </c>
      <c r="D1803" t="s">
        <v>667</v>
      </c>
      <c r="E1803" t="s">
        <v>673</v>
      </c>
      <c r="F1803" s="705">
        <v>1</v>
      </c>
      <c r="G1803" s="705">
        <v>98</v>
      </c>
      <c r="H1803" s="705">
        <v>191</v>
      </c>
      <c r="I1803" s="705">
        <v>8698</v>
      </c>
      <c r="J1803" s="705">
        <v>7908</v>
      </c>
      <c r="K1803" s="705">
        <v>95</v>
      </c>
      <c r="L1803" s="705">
        <v>0</v>
      </c>
      <c r="M1803" s="705">
        <v>1257</v>
      </c>
      <c r="N1803" s="705">
        <v>2394</v>
      </c>
      <c r="O1803" s="705">
        <v>887</v>
      </c>
      <c r="P1803" s="705">
        <v>621</v>
      </c>
      <c r="Q1803" s="705">
        <v>230</v>
      </c>
      <c r="R1803" s="705">
        <v>7084</v>
      </c>
      <c r="S1803" s="705">
        <v>6440</v>
      </c>
      <c r="T1803" s="705">
        <v>0</v>
      </c>
      <c r="U1803" s="705">
        <v>0</v>
      </c>
      <c r="V1803" s="705">
        <v>16721</v>
      </c>
      <c r="W1803" s="705">
        <f t="shared" si="76"/>
        <v>16722</v>
      </c>
      <c r="X1803" s="705">
        <f t="shared" si="77"/>
        <v>18797</v>
      </c>
    </row>
    <row r="1804" spans="2:24">
      <c r="B1804" t="s">
        <v>549</v>
      </c>
      <c r="C1804" t="s">
        <v>116</v>
      </c>
      <c r="D1804" t="s">
        <v>665</v>
      </c>
      <c r="E1804" t="s">
        <v>228</v>
      </c>
      <c r="F1804" s="705">
        <v>1</v>
      </c>
      <c r="G1804" s="705">
        <v>79</v>
      </c>
      <c r="H1804" s="705">
        <v>219</v>
      </c>
      <c r="I1804" s="705">
        <v>6320</v>
      </c>
      <c r="J1804" s="705">
        <v>5746</v>
      </c>
      <c r="K1804" s="705">
        <v>100</v>
      </c>
      <c r="L1804" s="705">
        <v>2519</v>
      </c>
      <c r="M1804" s="705">
        <v>933</v>
      </c>
      <c r="N1804" s="705">
        <v>1206</v>
      </c>
      <c r="O1804" s="705">
        <v>447</v>
      </c>
      <c r="P1804" s="705">
        <v>0</v>
      </c>
      <c r="Q1804" s="705">
        <v>0</v>
      </c>
      <c r="R1804" s="705">
        <v>7299</v>
      </c>
      <c r="S1804" s="705">
        <v>2703</v>
      </c>
      <c r="T1804" s="705">
        <v>0</v>
      </c>
      <c r="U1804" s="705">
        <v>0</v>
      </c>
      <c r="V1804" s="705">
        <v>9829</v>
      </c>
      <c r="W1804" s="705">
        <f t="shared" si="76"/>
        <v>9829</v>
      </c>
      <c r="X1804" s="705">
        <f t="shared" si="77"/>
        <v>17344</v>
      </c>
    </row>
    <row r="1805" spans="2:24">
      <c r="B1805" t="s">
        <v>549</v>
      </c>
      <c r="C1805" t="s">
        <v>116</v>
      </c>
      <c r="D1805" t="s">
        <v>665</v>
      </c>
      <c r="E1805" t="s">
        <v>665</v>
      </c>
      <c r="F1805" s="705">
        <v>10</v>
      </c>
      <c r="G1805" s="705">
        <v>982</v>
      </c>
      <c r="H1805" s="705">
        <v>2188</v>
      </c>
      <c r="I1805" s="705">
        <v>116063</v>
      </c>
      <c r="J1805" s="705">
        <v>105512</v>
      </c>
      <c r="K1805" s="705">
        <v>64</v>
      </c>
      <c r="L1805" s="705">
        <v>17043</v>
      </c>
      <c r="M1805" s="705">
        <v>14737</v>
      </c>
      <c r="N1805" s="705">
        <v>17513</v>
      </c>
      <c r="O1805" s="705">
        <v>6486</v>
      </c>
      <c r="P1805" s="705">
        <v>4590</v>
      </c>
      <c r="Q1805" s="705">
        <v>1700</v>
      </c>
      <c r="R1805" s="705">
        <v>51068</v>
      </c>
      <c r="S1805" s="705">
        <v>46426</v>
      </c>
      <c r="T1805" s="705">
        <v>13436</v>
      </c>
      <c r="U1805" s="705">
        <v>4976</v>
      </c>
      <c r="V1805" s="705">
        <v>179837</v>
      </c>
      <c r="W1805" s="705">
        <f t="shared" si="76"/>
        <v>179837</v>
      </c>
      <c r="X1805" s="705">
        <f t="shared" si="77"/>
        <v>219713</v>
      </c>
    </row>
    <row r="1806" spans="2:24">
      <c r="B1806" t="s">
        <v>549</v>
      </c>
      <c r="C1806" t="s">
        <v>118</v>
      </c>
      <c r="F1806" s="705">
        <v>2</v>
      </c>
      <c r="G1806" s="705">
        <v>140</v>
      </c>
      <c r="H1806" s="705">
        <v>531</v>
      </c>
      <c r="I1806" s="705"/>
      <c r="J1806" s="705">
        <v>0</v>
      </c>
      <c r="K1806" s="705"/>
      <c r="L1806" s="705"/>
      <c r="M1806" s="705">
        <v>0</v>
      </c>
      <c r="N1806" s="705">
        <v>3321</v>
      </c>
      <c r="O1806" s="705">
        <v>1230</v>
      </c>
      <c r="P1806" s="705">
        <v>0</v>
      </c>
      <c r="Q1806" s="705">
        <v>0</v>
      </c>
      <c r="R1806" s="705"/>
      <c r="S1806" s="705">
        <v>0</v>
      </c>
      <c r="T1806" s="705">
        <v>4763</v>
      </c>
      <c r="U1806" s="705">
        <v>1764</v>
      </c>
      <c r="V1806" s="705">
        <v>2994</v>
      </c>
      <c r="W1806" s="705">
        <f t="shared" si="76"/>
        <v>2994</v>
      </c>
      <c r="X1806" s="705">
        <f t="shared" si="77"/>
        <v>8084</v>
      </c>
    </row>
    <row r="1807" spans="2:24">
      <c r="B1807" t="s">
        <v>549</v>
      </c>
      <c r="C1807" t="s">
        <v>118</v>
      </c>
      <c r="D1807" t="s">
        <v>664</v>
      </c>
      <c r="E1807" t="s">
        <v>664</v>
      </c>
      <c r="F1807" s="705">
        <v>7</v>
      </c>
      <c r="G1807" s="705">
        <v>864</v>
      </c>
      <c r="H1807" s="705">
        <v>1867</v>
      </c>
      <c r="I1807" s="705">
        <v>133522</v>
      </c>
      <c r="J1807" s="705">
        <v>121384</v>
      </c>
      <c r="K1807" s="705">
        <v>74</v>
      </c>
      <c r="L1807" s="705">
        <v>28458</v>
      </c>
      <c r="M1807" s="705">
        <v>25871</v>
      </c>
      <c r="N1807" s="705">
        <v>18177</v>
      </c>
      <c r="O1807" s="705">
        <v>6732</v>
      </c>
      <c r="P1807" s="705">
        <v>4806</v>
      </c>
      <c r="Q1807" s="705">
        <v>1780</v>
      </c>
      <c r="R1807" s="705">
        <v>39690</v>
      </c>
      <c r="S1807" s="705">
        <v>36082</v>
      </c>
      <c r="T1807" s="705">
        <v>8713</v>
      </c>
      <c r="U1807" s="705">
        <v>3227</v>
      </c>
      <c r="V1807" s="705">
        <v>195075</v>
      </c>
      <c r="W1807" s="705">
        <f t="shared" si="76"/>
        <v>195076</v>
      </c>
      <c r="X1807" s="705">
        <f t="shared" si="77"/>
        <v>233366</v>
      </c>
    </row>
    <row r="1808" spans="2:24">
      <c r="B1808" t="s">
        <v>549</v>
      </c>
      <c r="C1808" t="s">
        <v>118</v>
      </c>
      <c r="D1808" t="s">
        <v>582</v>
      </c>
      <c r="E1808" t="s">
        <v>582</v>
      </c>
      <c r="F1808" s="705">
        <v>32</v>
      </c>
      <c r="G1808" s="705">
        <v>3152</v>
      </c>
      <c r="H1808" s="705">
        <v>8311</v>
      </c>
      <c r="I1808" s="705">
        <v>455534</v>
      </c>
      <c r="J1808" s="705">
        <v>414122</v>
      </c>
      <c r="K1808" s="705">
        <v>78</v>
      </c>
      <c r="L1808" s="705">
        <v>96221</v>
      </c>
      <c r="M1808" s="705">
        <v>84651</v>
      </c>
      <c r="N1808" s="705">
        <v>66156</v>
      </c>
      <c r="O1808" s="705">
        <v>24502</v>
      </c>
      <c r="P1808" s="705">
        <v>15431</v>
      </c>
      <c r="Q1808" s="705">
        <v>5715</v>
      </c>
      <c r="R1808" s="705">
        <v>145272</v>
      </c>
      <c r="S1808" s="705">
        <v>132065</v>
      </c>
      <c r="T1808" s="705">
        <v>38649</v>
      </c>
      <c r="U1808" s="705">
        <v>14315</v>
      </c>
      <c r="V1808" s="705">
        <v>675370</v>
      </c>
      <c r="W1808" s="705">
        <f t="shared" si="76"/>
        <v>675370</v>
      </c>
      <c r="X1808" s="705">
        <f t="shared" si="77"/>
        <v>817263</v>
      </c>
    </row>
    <row r="1809" spans="2:24">
      <c r="B1809" t="s">
        <v>549</v>
      </c>
      <c r="C1809" t="s">
        <v>118</v>
      </c>
      <c r="D1809" t="s">
        <v>228</v>
      </c>
      <c r="E1809" t="s">
        <v>228</v>
      </c>
      <c r="F1809" s="705">
        <v>147</v>
      </c>
      <c r="G1809" s="705">
        <v>13392</v>
      </c>
      <c r="H1809" s="705">
        <v>39329</v>
      </c>
      <c r="I1809" s="705">
        <v>2002671</v>
      </c>
      <c r="J1809" s="705">
        <v>741730</v>
      </c>
      <c r="K1809" s="705">
        <v>100</v>
      </c>
      <c r="L1809" s="705">
        <v>286743</v>
      </c>
      <c r="M1809" s="705">
        <v>203229</v>
      </c>
      <c r="N1809" s="705">
        <v>275076</v>
      </c>
      <c r="O1809" s="705">
        <v>101880</v>
      </c>
      <c r="P1809" s="705">
        <v>1526</v>
      </c>
      <c r="Q1809" s="705">
        <v>565</v>
      </c>
      <c r="R1809" s="705">
        <v>1054447</v>
      </c>
      <c r="S1809" s="705">
        <v>390536</v>
      </c>
      <c r="T1809" s="705">
        <v>2141</v>
      </c>
      <c r="U1809" s="705">
        <v>793</v>
      </c>
      <c r="V1809" s="705">
        <v>1438732</v>
      </c>
      <c r="W1809" s="705">
        <f t="shared" si="76"/>
        <v>1438733</v>
      </c>
      <c r="X1809" s="705">
        <f t="shared" si="77"/>
        <v>3622604</v>
      </c>
    </row>
    <row r="1810" spans="2:24">
      <c r="B1810" t="s">
        <v>549</v>
      </c>
      <c r="C1810" t="s">
        <v>118</v>
      </c>
      <c r="D1810" t="s">
        <v>228</v>
      </c>
      <c r="E1810" t="s">
        <v>583</v>
      </c>
      <c r="F1810" s="705">
        <v>4</v>
      </c>
      <c r="G1810" s="705">
        <v>298</v>
      </c>
      <c r="H1810" s="705">
        <v>1122</v>
      </c>
      <c r="I1810" s="705">
        <v>50616</v>
      </c>
      <c r="J1810" s="705">
        <v>18747</v>
      </c>
      <c r="K1810" s="705">
        <v>100</v>
      </c>
      <c r="L1810" s="705">
        <v>8293</v>
      </c>
      <c r="M1810" s="705">
        <v>7539</v>
      </c>
      <c r="N1810" s="705">
        <v>4756</v>
      </c>
      <c r="O1810" s="705">
        <v>1762</v>
      </c>
      <c r="P1810" s="705">
        <v>891</v>
      </c>
      <c r="Q1810" s="705">
        <v>330</v>
      </c>
      <c r="R1810" s="705">
        <v>17806</v>
      </c>
      <c r="S1810" s="705">
        <v>16188</v>
      </c>
      <c r="T1810" s="705">
        <v>4153</v>
      </c>
      <c r="U1810" s="705">
        <v>1538</v>
      </c>
      <c r="V1810" s="705">
        <v>46104</v>
      </c>
      <c r="W1810" s="705">
        <f t="shared" si="76"/>
        <v>46104</v>
      </c>
      <c r="X1810" s="705">
        <f t="shared" si="77"/>
        <v>86515</v>
      </c>
    </row>
    <row r="1811" spans="2:24">
      <c r="B1811" t="s">
        <v>549</v>
      </c>
      <c r="C1811" t="s">
        <v>118</v>
      </c>
      <c r="D1811" t="s">
        <v>228</v>
      </c>
      <c r="E1811" t="s">
        <v>666</v>
      </c>
      <c r="F1811" s="705">
        <v>1</v>
      </c>
      <c r="G1811" s="705">
        <v>90</v>
      </c>
      <c r="H1811" s="705">
        <v>283</v>
      </c>
      <c r="I1811" s="705">
        <v>14179</v>
      </c>
      <c r="J1811" s="705">
        <v>5251</v>
      </c>
      <c r="K1811" s="705">
        <v>100</v>
      </c>
      <c r="L1811" s="705">
        <v>1167</v>
      </c>
      <c r="M1811" s="705">
        <v>1061</v>
      </c>
      <c r="N1811" s="705">
        <v>2203</v>
      </c>
      <c r="O1811" s="705">
        <v>816</v>
      </c>
      <c r="P1811" s="705">
        <v>0</v>
      </c>
      <c r="Q1811" s="705">
        <v>0</v>
      </c>
      <c r="R1811" s="705">
        <v>5501</v>
      </c>
      <c r="S1811" s="705">
        <v>5001</v>
      </c>
      <c r="T1811" s="705">
        <v>2571</v>
      </c>
      <c r="U1811" s="705">
        <v>952</v>
      </c>
      <c r="V1811" s="705">
        <v>13082</v>
      </c>
      <c r="W1811" s="705">
        <f t="shared" si="76"/>
        <v>13081</v>
      </c>
      <c r="X1811" s="705">
        <f t="shared" si="77"/>
        <v>25621</v>
      </c>
    </row>
    <row r="1812" spans="2:24">
      <c r="B1812" t="s">
        <v>549</v>
      </c>
      <c r="C1812" t="s">
        <v>118</v>
      </c>
      <c r="D1812" t="s">
        <v>228</v>
      </c>
      <c r="E1812" t="s">
        <v>667</v>
      </c>
      <c r="F1812" s="705">
        <v>1</v>
      </c>
      <c r="G1812" s="705">
        <v>79</v>
      </c>
      <c r="H1812" s="705">
        <v>292</v>
      </c>
      <c r="I1812" s="705">
        <v>12438</v>
      </c>
      <c r="J1812" s="705">
        <v>4607</v>
      </c>
      <c r="K1812" s="705">
        <v>100</v>
      </c>
      <c r="L1812" s="705">
        <v>1126</v>
      </c>
      <c r="M1812" s="705">
        <v>1024</v>
      </c>
      <c r="N1812" s="705">
        <v>1922</v>
      </c>
      <c r="O1812" s="705">
        <v>712</v>
      </c>
      <c r="P1812" s="705">
        <v>0</v>
      </c>
      <c r="Q1812" s="705">
        <v>0</v>
      </c>
      <c r="R1812" s="705">
        <v>5356</v>
      </c>
      <c r="S1812" s="705">
        <v>4869</v>
      </c>
      <c r="T1812" s="705">
        <v>2151</v>
      </c>
      <c r="U1812" s="705">
        <v>797</v>
      </c>
      <c r="V1812" s="705">
        <v>12008</v>
      </c>
      <c r="W1812" s="705">
        <f t="shared" si="76"/>
        <v>12009</v>
      </c>
      <c r="X1812" s="705">
        <f t="shared" si="77"/>
        <v>22993</v>
      </c>
    </row>
    <row r="1813" spans="2:24">
      <c r="B1813" t="s">
        <v>549</v>
      </c>
      <c r="C1813" t="s">
        <v>118</v>
      </c>
      <c r="D1813" t="s">
        <v>228</v>
      </c>
      <c r="E1813" t="s">
        <v>671</v>
      </c>
      <c r="F1813" s="705">
        <v>1</v>
      </c>
      <c r="G1813" s="705">
        <v>81</v>
      </c>
      <c r="H1813" s="705">
        <v>254</v>
      </c>
      <c r="I1813" s="705">
        <v>11072</v>
      </c>
      <c r="J1813" s="705">
        <v>4101</v>
      </c>
      <c r="K1813" s="705">
        <v>100</v>
      </c>
      <c r="L1813" s="705">
        <v>911</v>
      </c>
      <c r="M1813" s="705">
        <v>828</v>
      </c>
      <c r="N1813" s="705">
        <v>1417</v>
      </c>
      <c r="O1813" s="705">
        <v>525</v>
      </c>
      <c r="P1813" s="705">
        <v>0</v>
      </c>
      <c r="Q1813" s="705">
        <v>0</v>
      </c>
      <c r="R1813" s="705">
        <v>4907</v>
      </c>
      <c r="S1813" s="705">
        <v>4461</v>
      </c>
      <c r="T1813" s="705">
        <v>2176</v>
      </c>
      <c r="U1813" s="705">
        <v>806</v>
      </c>
      <c r="V1813" s="705">
        <v>10721</v>
      </c>
      <c r="W1813" s="705">
        <f t="shared" si="76"/>
        <v>10721</v>
      </c>
      <c r="X1813" s="705">
        <f t="shared" si="77"/>
        <v>20483</v>
      </c>
    </row>
    <row r="1814" spans="2:24">
      <c r="B1814" t="s">
        <v>549</v>
      </c>
      <c r="C1814" t="s">
        <v>118</v>
      </c>
      <c r="D1814" t="s">
        <v>228</v>
      </c>
      <c r="E1814" t="s">
        <v>665</v>
      </c>
      <c r="F1814" s="705">
        <v>8</v>
      </c>
      <c r="G1814" s="705">
        <v>634</v>
      </c>
      <c r="H1814" s="705">
        <v>2254</v>
      </c>
      <c r="I1814" s="705">
        <v>100357</v>
      </c>
      <c r="J1814" s="705">
        <v>37169</v>
      </c>
      <c r="K1814" s="705">
        <v>100</v>
      </c>
      <c r="L1814" s="705">
        <v>9920</v>
      </c>
      <c r="M1814" s="705">
        <v>9019</v>
      </c>
      <c r="N1814" s="705">
        <v>11594</v>
      </c>
      <c r="O1814" s="705">
        <v>4294</v>
      </c>
      <c r="P1814" s="705">
        <v>972</v>
      </c>
      <c r="Q1814" s="705">
        <v>360</v>
      </c>
      <c r="R1814" s="705">
        <v>38165</v>
      </c>
      <c r="S1814" s="705">
        <v>34696</v>
      </c>
      <c r="T1814" s="705">
        <v>17604</v>
      </c>
      <c r="U1814" s="705">
        <v>6520</v>
      </c>
      <c r="V1814" s="705">
        <v>92057</v>
      </c>
      <c r="W1814" s="705">
        <f t="shared" si="76"/>
        <v>92058</v>
      </c>
      <c r="X1814" s="705">
        <f t="shared" si="77"/>
        <v>178612</v>
      </c>
    </row>
    <row r="1815" spans="2:24">
      <c r="B1815" t="s">
        <v>549</v>
      </c>
      <c r="C1815" t="s">
        <v>118</v>
      </c>
      <c r="D1815" t="s">
        <v>583</v>
      </c>
      <c r="E1815" t="s">
        <v>228</v>
      </c>
      <c r="F1815" s="705">
        <v>2</v>
      </c>
      <c r="G1815" s="705">
        <v>221</v>
      </c>
      <c r="H1815" s="705">
        <v>544</v>
      </c>
      <c r="I1815" s="705">
        <v>20134</v>
      </c>
      <c r="J1815" s="705">
        <v>18304</v>
      </c>
      <c r="K1815" s="705">
        <v>85</v>
      </c>
      <c r="L1815" s="705">
        <v>6036</v>
      </c>
      <c r="M1815" s="705">
        <v>5487</v>
      </c>
      <c r="N1815" s="705">
        <v>4624</v>
      </c>
      <c r="O1815" s="705">
        <v>1712</v>
      </c>
      <c r="P1815" s="705">
        <v>1242</v>
      </c>
      <c r="Q1815" s="705">
        <v>460</v>
      </c>
      <c r="R1815" s="705">
        <v>27766</v>
      </c>
      <c r="S1815" s="705">
        <v>10284</v>
      </c>
      <c r="T1815" s="705">
        <v>0</v>
      </c>
      <c r="U1815" s="705">
        <v>0</v>
      </c>
      <c r="V1815" s="705">
        <v>36247</v>
      </c>
      <c r="W1815" s="705">
        <f t="shared" si="76"/>
        <v>36247</v>
      </c>
      <c r="X1815" s="705">
        <f t="shared" si="77"/>
        <v>59802</v>
      </c>
    </row>
    <row r="1816" spans="2:24">
      <c r="B1816" t="s">
        <v>549</v>
      </c>
      <c r="C1816" t="s">
        <v>118</v>
      </c>
      <c r="D1816" t="s">
        <v>583</v>
      </c>
      <c r="E1816" t="s">
        <v>583</v>
      </c>
      <c r="F1816" s="705">
        <v>1574</v>
      </c>
      <c r="G1816" s="705">
        <v>145224</v>
      </c>
      <c r="H1816" s="705">
        <v>404176</v>
      </c>
      <c r="I1816" s="705">
        <v>19171443</v>
      </c>
      <c r="J1816" s="705">
        <v>17428585</v>
      </c>
      <c r="K1816" s="705">
        <v>80</v>
      </c>
      <c r="L1816" s="705">
        <v>4469876</v>
      </c>
      <c r="M1816" s="705">
        <v>3965121</v>
      </c>
      <c r="N1816" s="705">
        <v>3006813</v>
      </c>
      <c r="O1816" s="705">
        <v>1113634</v>
      </c>
      <c r="P1816" s="705">
        <v>1012626</v>
      </c>
      <c r="Q1816" s="705">
        <v>375047</v>
      </c>
      <c r="R1816" s="705">
        <v>7009952</v>
      </c>
      <c r="S1816" s="705">
        <v>6372683</v>
      </c>
      <c r="T1816" s="705">
        <v>2831527</v>
      </c>
      <c r="U1816" s="705">
        <v>1048714</v>
      </c>
      <c r="V1816" s="705">
        <v>30303783</v>
      </c>
      <c r="W1816" s="705">
        <f t="shared" si="76"/>
        <v>30303784</v>
      </c>
      <c r="X1816" s="705">
        <f t="shared" si="77"/>
        <v>37502237</v>
      </c>
    </row>
    <row r="1817" spans="2:24">
      <c r="B1817" t="s">
        <v>549</v>
      </c>
      <c r="C1817" t="s">
        <v>118</v>
      </c>
      <c r="D1817" t="s">
        <v>583</v>
      </c>
      <c r="E1817" t="s">
        <v>666</v>
      </c>
      <c r="F1817" s="705">
        <v>1</v>
      </c>
      <c r="G1817" s="705">
        <v>103</v>
      </c>
      <c r="H1817" s="705">
        <v>295</v>
      </c>
      <c r="I1817" s="705">
        <v>18342</v>
      </c>
      <c r="J1817" s="705">
        <v>16674</v>
      </c>
      <c r="K1817" s="705">
        <v>70</v>
      </c>
      <c r="L1817" s="705">
        <v>3012</v>
      </c>
      <c r="M1817" s="705">
        <v>2738</v>
      </c>
      <c r="N1817" s="705">
        <v>2511</v>
      </c>
      <c r="O1817" s="705">
        <v>930</v>
      </c>
      <c r="P1817" s="705">
        <v>621</v>
      </c>
      <c r="Q1817" s="705">
        <v>230</v>
      </c>
      <c r="R1817" s="705">
        <v>3865</v>
      </c>
      <c r="S1817" s="705">
        <v>3514</v>
      </c>
      <c r="T1817" s="705">
        <v>2021</v>
      </c>
      <c r="U1817" s="705">
        <v>748</v>
      </c>
      <c r="V1817" s="705">
        <v>24834</v>
      </c>
      <c r="W1817" s="705">
        <f t="shared" si="76"/>
        <v>24834</v>
      </c>
      <c r="X1817" s="705">
        <f t="shared" si="77"/>
        <v>30372</v>
      </c>
    </row>
    <row r="1818" spans="2:24">
      <c r="B1818" t="s">
        <v>549</v>
      </c>
      <c r="C1818" t="s">
        <v>118</v>
      </c>
      <c r="D1818" t="s">
        <v>666</v>
      </c>
      <c r="E1818" t="s">
        <v>666</v>
      </c>
      <c r="F1818" s="705">
        <v>6</v>
      </c>
      <c r="G1818" s="705">
        <v>521</v>
      </c>
      <c r="H1818" s="705">
        <v>1601</v>
      </c>
      <c r="I1818" s="705">
        <v>76741</v>
      </c>
      <c r="J1818" s="705">
        <v>69765</v>
      </c>
      <c r="K1818" s="705">
        <v>58</v>
      </c>
      <c r="L1818" s="705">
        <v>9822</v>
      </c>
      <c r="M1818" s="705">
        <v>8023</v>
      </c>
      <c r="N1818" s="705">
        <v>9482</v>
      </c>
      <c r="O1818" s="705">
        <v>3512</v>
      </c>
      <c r="P1818" s="705">
        <v>2106</v>
      </c>
      <c r="Q1818" s="705">
        <v>780</v>
      </c>
      <c r="R1818" s="705">
        <v>33482</v>
      </c>
      <c r="S1818" s="705">
        <v>30438</v>
      </c>
      <c r="T1818" s="705">
        <v>6843</v>
      </c>
      <c r="U1818" s="705">
        <v>2534</v>
      </c>
      <c r="V1818" s="705">
        <v>115052</v>
      </c>
      <c r="W1818" s="705">
        <f t="shared" si="76"/>
        <v>115052</v>
      </c>
      <c r="X1818" s="705">
        <f t="shared" si="77"/>
        <v>138476</v>
      </c>
    </row>
    <row r="1819" spans="2:24">
      <c r="B1819" t="s">
        <v>549</v>
      </c>
      <c r="C1819" t="s">
        <v>118</v>
      </c>
      <c r="D1819" t="s">
        <v>584</v>
      </c>
      <c r="E1819" t="s">
        <v>584</v>
      </c>
      <c r="F1819" s="705">
        <v>35</v>
      </c>
      <c r="G1819" s="705">
        <v>2940</v>
      </c>
      <c r="H1819" s="705">
        <v>8577</v>
      </c>
      <c r="I1819" s="705">
        <v>422492</v>
      </c>
      <c r="J1819" s="705">
        <v>384084</v>
      </c>
      <c r="K1819" s="705">
        <v>87</v>
      </c>
      <c r="L1819" s="705">
        <v>105709</v>
      </c>
      <c r="M1819" s="705">
        <v>93587</v>
      </c>
      <c r="N1819" s="705">
        <v>59103</v>
      </c>
      <c r="O1819" s="705">
        <v>21890</v>
      </c>
      <c r="P1819" s="705">
        <v>16767</v>
      </c>
      <c r="Q1819" s="705">
        <v>6210</v>
      </c>
      <c r="R1819" s="705">
        <v>126692</v>
      </c>
      <c r="S1819" s="705">
        <v>115174</v>
      </c>
      <c r="T1819" s="705">
        <v>14661</v>
      </c>
      <c r="U1819" s="705">
        <v>5430</v>
      </c>
      <c r="V1819" s="705">
        <v>626375</v>
      </c>
      <c r="W1819" s="705">
        <f t="shared" si="76"/>
        <v>626375</v>
      </c>
      <c r="X1819" s="705">
        <f t="shared" si="77"/>
        <v>745424</v>
      </c>
    </row>
    <row r="1820" spans="2:24">
      <c r="B1820" t="s">
        <v>549</v>
      </c>
      <c r="C1820" t="s">
        <v>118</v>
      </c>
      <c r="D1820" t="s">
        <v>669</v>
      </c>
      <c r="E1820" t="s">
        <v>669</v>
      </c>
      <c r="F1820" s="705">
        <v>11</v>
      </c>
      <c r="G1820" s="705">
        <v>1041</v>
      </c>
      <c r="H1820" s="705">
        <v>3120</v>
      </c>
      <c r="I1820" s="705">
        <v>161137</v>
      </c>
      <c r="J1820" s="705">
        <v>134281</v>
      </c>
      <c r="K1820" s="705">
        <v>70</v>
      </c>
      <c r="L1820" s="705">
        <v>31982</v>
      </c>
      <c r="M1820" s="705">
        <v>26805</v>
      </c>
      <c r="N1820" s="705">
        <v>21115</v>
      </c>
      <c r="O1820" s="705">
        <v>7821</v>
      </c>
      <c r="P1820" s="705">
        <v>4131</v>
      </c>
      <c r="Q1820" s="705">
        <v>1530</v>
      </c>
      <c r="R1820" s="705">
        <v>70887</v>
      </c>
      <c r="S1820" s="705">
        <v>59072</v>
      </c>
      <c r="T1820" s="705">
        <v>5196</v>
      </c>
      <c r="U1820" s="705">
        <v>1924</v>
      </c>
      <c r="V1820" s="705">
        <v>231433</v>
      </c>
      <c r="W1820" s="705">
        <f t="shared" si="76"/>
        <v>231433</v>
      </c>
      <c r="X1820" s="705">
        <f t="shared" si="77"/>
        <v>294448</v>
      </c>
    </row>
    <row r="1821" spans="2:24">
      <c r="B1821" t="s">
        <v>549</v>
      </c>
      <c r="C1821" t="s">
        <v>118</v>
      </c>
      <c r="D1821" t="s">
        <v>667</v>
      </c>
      <c r="E1821" t="s">
        <v>583</v>
      </c>
      <c r="F1821" s="705">
        <v>1</v>
      </c>
      <c r="G1821" s="705">
        <v>147</v>
      </c>
      <c r="H1821" s="705">
        <v>234</v>
      </c>
      <c r="I1821" s="705">
        <v>19376</v>
      </c>
      <c r="J1821" s="705">
        <v>17615</v>
      </c>
      <c r="K1821" s="705">
        <v>79</v>
      </c>
      <c r="L1821" s="705">
        <v>5382</v>
      </c>
      <c r="M1821" s="705">
        <v>4893</v>
      </c>
      <c r="N1821" s="705">
        <v>3446</v>
      </c>
      <c r="O1821" s="705">
        <v>1276</v>
      </c>
      <c r="P1821" s="705">
        <v>621</v>
      </c>
      <c r="Q1821" s="705">
        <v>230</v>
      </c>
      <c r="R1821" s="705">
        <v>5666</v>
      </c>
      <c r="S1821" s="705">
        <v>5151</v>
      </c>
      <c r="T1821" s="705">
        <v>0</v>
      </c>
      <c r="U1821" s="705">
        <v>0</v>
      </c>
      <c r="V1821" s="705">
        <v>29165</v>
      </c>
      <c r="W1821" s="705">
        <f t="shared" si="76"/>
        <v>29165</v>
      </c>
      <c r="X1821" s="705">
        <f t="shared" si="77"/>
        <v>34491</v>
      </c>
    </row>
    <row r="1822" spans="2:24">
      <c r="B1822" t="s">
        <v>549</v>
      </c>
      <c r="C1822" t="s">
        <v>118</v>
      </c>
      <c r="D1822" t="s">
        <v>667</v>
      </c>
      <c r="E1822" t="s">
        <v>667</v>
      </c>
      <c r="F1822" s="705">
        <v>6</v>
      </c>
      <c r="G1822" s="705">
        <v>531</v>
      </c>
      <c r="H1822" s="705">
        <v>1652</v>
      </c>
      <c r="I1822" s="705">
        <v>78832</v>
      </c>
      <c r="J1822" s="705">
        <v>71666</v>
      </c>
      <c r="K1822" s="705">
        <v>57</v>
      </c>
      <c r="L1822" s="705">
        <v>12085</v>
      </c>
      <c r="M1822" s="705">
        <v>8503</v>
      </c>
      <c r="N1822" s="705">
        <v>11005</v>
      </c>
      <c r="O1822" s="705">
        <v>4076</v>
      </c>
      <c r="P1822" s="705">
        <v>1053</v>
      </c>
      <c r="Q1822" s="705">
        <v>390</v>
      </c>
      <c r="R1822" s="705">
        <v>31491</v>
      </c>
      <c r="S1822" s="705">
        <v>28628</v>
      </c>
      <c r="T1822" s="705">
        <v>11477</v>
      </c>
      <c r="U1822" s="705">
        <v>4251</v>
      </c>
      <c r="V1822" s="705">
        <v>117514</v>
      </c>
      <c r="W1822" s="705">
        <f t="shared" si="76"/>
        <v>117514</v>
      </c>
      <c r="X1822" s="705">
        <f t="shared" si="77"/>
        <v>145943</v>
      </c>
    </row>
    <row r="1823" spans="2:24">
      <c r="B1823" t="s">
        <v>549</v>
      </c>
      <c r="C1823" t="s">
        <v>118</v>
      </c>
      <c r="D1823" t="s">
        <v>671</v>
      </c>
      <c r="E1823" t="s">
        <v>671</v>
      </c>
      <c r="F1823" s="705">
        <v>3</v>
      </c>
      <c r="G1823" s="705">
        <v>289</v>
      </c>
      <c r="H1823" s="705">
        <v>856</v>
      </c>
      <c r="I1823" s="705">
        <v>40323</v>
      </c>
      <c r="J1823" s="705">
        <v>36658</v>
      </c>
      <c r="K1823" s="705">
        <v>62</v>
      </c>
      <c r="L1823" s="705">
        <v>10429</v>
      </c>
      <c r="M1823" s="705">
        <v>7551</v>
      </c>
      <c r="N1823" s="705">
        <v>6207</v>
      </c>
      <c r="O1823" s="705">
        <v>2299</v>
      </c>
      <c r="P1823" s="705">
        <v>702</v>
      </c>
      <c r="Q1823" s="705">
        <v>260</v>
      </c>
      <c r="R1823" s="705">
        <v>21737</v>
      </c>
      <c r="S1823" s="705">
        <v>19761</v>
      </c>
      <c r="T1823" s="705">
        <v>2702</v>
      </c>
      <c r="U1823" s="705">
        <v>1001</v>
      </c>
      <c r="V1823" s="705">
        <v>67529</v>
      </c>
      <c r="W1823" s="705">
        <f t="shared" si="76"/>
        <v>67530</v>
      </c>
      <c r="X1823" s="705">
        <f t="shared" si="77"/>
        <v>82100</v>
      </c>
    </row>
    <row r="1824" spans="2:24">
      <c r="B1824" t="s">
        <v>549</v>
      </c>
      <c r="C1824" t="s">
        <v>118</v>
      </c>
      <c r="D1824" t="s">
        <v>665</v>
      </c>
      <c r="E1824" t="s">
        <v>228</v>
      </c>
      <c r="F1824" s="705">
        <v>2</v>
      </c>
      <c r="G1824" s="705">
        <v>163</v>
      </c>
      <c r="H1824" s="705">
        <v>506</v>
      </c>
      <c r="I1824" s="705">
        <v>18949</v>
      </c>
      <c r="J1824" s="705">
        <v>17227</v>
      </c>
      <c r="K1824" s="705">
        <v>60</v>
      </c>
      <c r="L1824" s="705">
        <v>3572</v>
      </c>
      <c r="M1824" s="705">
        <v>2287</v>
      </c>
      <c r="N1824" s="705">
        <v>2806</v>
      </c>
      <c r="O1824" s="705">
        <v>1039</v>
      </c>
      <c r="P1824" s="705">
        <v>0</v>
      </c>
      <c r="Q1824" s="705">
        <v>0</v>
      </c>
      <c r="R1824" s="705">
        <v>15830</v>
      </c>
      <c r="S1824" s="705">
        <v>5863</v>
      </c>
      <c r="T1824" s="705">
        <v>0</v>
      </c>
      <c r="U1824" s="705">
        <v>0</v>
      </c>
      <c r="V1824" s="705">
        <v>26416</v>
      </c>
      <c r="W1824" s="705">
        <f t="shared" si="76"/>
        <v>26416</v>
      </c>
      <c r="X1824" s="705">
        <f t="shared" si="77"/>
        <v>41157</v>
      </c>
    </row>
    <row r="1825" spans="2:24">
      <c r="B1825" t="s">
        <v>549</v>
      </c>
      <c r="C1825" t="s">
        <v>118</v>
      </c>
      <c r="D1825" t="s">
        <v>665</v>
      </c>
      <c r="E1825" t="s">
        <v>665</v>
      </c>
      <c r="F1825" s="705">
        <v>93</v>
      </c>
      <c r="G1825" s="705">
        <v>7872</v>
      </c>
      <c r="H1825" s="705">
        <v>25212</v>
      </c>
      <c r="I1825" s="705">
        <v>1184979</v>
      </c>
      <c r="J1825" s="705">
        <v>1077254</v>
      </c>
      <c r="K1825" s="705">
        <v>61</v>
      </c>
      <c r="L1825" s="705">
        <v>147508</v>
      </c>
      <c r="M1825" s="705">
        <v>122196</v>
      </c>
      <c r="N1825" s="705">
        <v>162261</v>
      </c>
      <c r="O1825" s="705">
        <v>60097</v>
      </c>
      <c r="P1825" s="705">
        <v>37638</v>
      </c>
      <c r="Q1825" s="705">
        <v>13940</v>
      </c>
      <c r="R1825" s="705">
        <v>466552</v>
      </c>
      <c r="S1825" s="705">
        <v>424138</v>
      </c>
      <c r="T1825" s="705">
        <v>200650</v>
      </c>
      <c r="U1825" s="705">
        <v>74315</v>
      </c>
      <c r="V1825" s="705">
        <v>1771939</v>
      </c>
      <c r="W1825" s="705">
        <f t="shared" si="76"/>
        <v>1771940</v>
      </c>
      <c r="X1825" s="705">
        <f t="shared" si="77"/>
        <v>2199588</v>
      </c>
    </row>
    <row r="1826" spans="2:24">
      <c r="B1826" t="s">
        <v>549</v>
      </c>
      <c r="C1826" t="s">
        <v>118</v>
      </c>
      <c r="D1826" t="s">
        <v>673</v>
      </c>
      <c r="E1826" t="s">
        <v>673</v>
      </c>
      <c r="F1826" s="705">
        <v>1</v>
      </c>
      <c r="G1826" s="705">
        <v>65</v>
      </c>
      <c r="H1826" s="705">
        <v>254</v>
      </c>
      <c r="I1826" s="705">
        <v>14375</v>
      </c>
      <c r="J1826" s="705">
        <v>13068</v>
      </c>
      <c r="K1826" s="705">
        <v>55</v>
      </c>
      <c r="L1826" s="705">
        <v>0</v>
      </c>
      <c r="M1826" s="705">
        <v>0</v>
      </c>
      <c r="N1826" s="705">
        <v>1336</v>
      </c>
      <c r="O1826" s="705">
        <v>495</v>
      </c>
      <c r="P1826" s="705">
        <v>351</v>
      </c>
      <c r="Q1826" s="705">
        <v>130</v>
      </c>
      <c r="R1826" s="705">
        <v>4502</v>
      </c>
      <c r="S1826" s="705">
        <v>4093</v>
      </c>
      <c r="T1826" s="705">
        <v>2673</v>
      </c>
      <c r="U1826" s="705">
        <v>990</v>
      </c>
      <c r="V1826" s="705">
        <v>18776</v>
      </c>
      <c r="W1826" s="705">
        <f t="shared" si="76"/>
        <v>18776</v>
      </c>
      <c r="X1826" s="705">
        <f t="shared" si="77"/>
        <v>23237</v>
      </c>
    </row>
    <row r="1827" spans="2:24">
      <c r="B1827" t="s">
        <v>549</v>
      </c>
      <c r="C1827" t="s">
        <v>120</v>
      </c>
      <c r="F1827" s="705">
        <v>1</v>
      </c>
      <c r="G1827" s="705">
        <v>80</v>
      </c>
      <c r="H1827" s="705">
        <v>337</v>
      </c>
      <c r="I1827" s="705"/>
      <c r="J1827" s="705">
        <v>0</v>
      </c>
      <c r="K1827" s="705"/>
      <c r="L1827" s="705"/>
      <c r="M1827" s="705">
        <v>0</v>
      </c>
      <c r="N1827" s="705">
        <v>1313</v>
      </c>
      <c r="O1827" s="705">
        <v>486</v>
      </c>
      <c r="P1827" s="705">
        <v>621</v>
      </c>
      <c r="Q1827" s="705">
        <v>230</v>
      </c>
      <c r="R1827" s="705"/>
      <c r="S1827" s="705">
        <v>0</v>
      </c>
      <c r="T1827" s="705">
        <v>0</v>
      </c>
      <c r="U1827" s="705">
        <v>0</v>
      </c>
      <c r="V1827" s="705">
        <v>716</v>
      </c>
      <c r="W1827" s="705">
        <f t="shared" si="76"/>
        <v>716</v>
      </c>
      <c r="X1827" s="705">
        <f t="shared" si="77"/>
        <v>1934</v>
      </c>
    </row>
    <row r="1828" spans="2:24">
      <c r="B1828" t="s">
        <v>549</v>
      </c>
      <c r="C1828" t="s">
        <v>120</v>
      </c>
      <c r="D1828" t="s">
        <v>582</v>
      </c>
      <c r="E1828" t="s">
        <v>582</v>
      </c>
      <c r="F1828" s="705">
        <v>3</v>
      </c>
      <c r="G1828" s="705">
        <v>280</v>
      </c>
      <c r="H1828" s="705">
        <v>1010</v>
      </c>
      <c r="I1828" s="705">
        <v>40929</v>
      </c>
      <c r="J1828" s="705">
        <v>37208</v>
      </c>
      <c r="K1828" s="705">
        <v>76</v>
      </c>
      <c r="L1828" s="705">
        <v>27763</v>
      </c>
      <c r="M1828" s="705">
        <v>18406</v>
      </c>
      <c r="N1828" s="705">
        <v>5639</v>
      </c>
      <c r="O1828" s="705">
        <v>2089</v>
      </c>
      <c r="P1828" s="705">
        <v>1418</v>
      </c>
      <c r="Q1828" s="705">
        <v>525</v>
      </c>
      <c r="R1828" s="705">
        <v>18387</v>
      </c>
      <c r="S1828" s="705">
        <v>16716</v>
      </c>
      <c r="T1828" s="705">
        <v>0</v>
      </c>
      <c r="U1828" s="705">
        <v>0</v>
      </c>
      <c r="V1828" s="705">
        <v>74943</v>
      </c>
      <c r="W1828" s="705">
        <f t="shared" si="76"/>
        <v>74944</v>
      </c>
      <c r="X1828" s="705">
        <f t="shared" si="77"/>
        <v>94136</v>
      </c>
    </row>
    <row r="1829" spans="2:24">
      <c r="B1829" t="s">
        <v>549</v>
      </c>
      <c r="C1829" t="s">
        <v>120</v>
      </c>
      <c r="D1829" t="s">
        <v>228</v>
      </c>
      <c r="E1829" t="s">
        <v>228</v>
      </c>
      <c r="F1829" s="705">
        <v>148</v>
      </c>
      <c r="G1829" s="705">
        <v>10294</v>
      </c>
      <c r="H1829" s="705">
        <v>50288</v>
      </c>
      <c r="I1829" s="705">
        <v>2022509</v>
      </c>
      <c r="J1829" s="705">
        <v>749078</v>
      </c>
      <c r="K1829" s="705">
        <v>100</v>
      </c>
      <c r="L1829" s="705">
        <v>288725</v>
      </c>
      <c r="M1829" s="705">
        <v>212738</v>
      </c>
      <c r="N1829" s="705">
        <v>210538</v>
      </c>
      <c r="O1829" s="705">
        <v>77977</v>
      </c>
      <c r="P1829" s="705">
        <v>1323</v>
      </c>
      <c r="Q1829" s="705">
        <v>490</v>
      </c>
      <c r="R1829" s="705">
        <v>984848</v>
      </c>
      <c r="S1829" s="705">
        <v>364759</v>
      </c>
      <c r="T1829" s="705">
        <v>3182</v>
      </c>
      <c r="U1829" s="705">
        <v>1178</v>
      </c>
      <c r="V1829" s="705">
        <v>1406220</v>
      </c>
      <c r="W1829" s="705">
        <f t="shared" si="76"/>
        <v>1406220</v>
      </c>
      <c r="X1829" s="705">
        <f t="shared" si="77"/>
        <v>3511125</v>
      </c>
    </row>
    <row r="1830" spans="2:24">
      <c r="B1830" t="s">
        <v>549</v>
      </c>
      <c r="C1830" t="s">
        <v>120</v>
      </c>
      <c r="D1830" t="s">
        <v>228</v>
      </c>
      <c r="E1830" t="s">
        <v>666</v>
      </c>
      <c r="F1830" s="705">
        <v>1</v>
      </c>
      <c r="G1830" s="705">
        <v>124</v>
      </c>
      <c r="H1830" s="705">
        <v>375</v>
      </c>
      <c r="I1830" s="705">
        <v>30070</v>
      </c>
      <c r="J1830" s="705">
        <v>11137</v>
      </c>
      <c r="K1830" s="705">
        <v>100</v>
      </c>
      <c r="L1830" s="705">
        <v>2094</v>
      </c>
      <c r="M1830" s="705">
        <v>1904</v>
      </c>
      <c r="N1830" s="705">
        <v>2761</v>
      </c>
      <c r="O1830" s="705">
        <v>1023</v>
      </c>
      <c r="P1830" s="705">
        <v>0</v>
      </c>
      <c r="Q1830" s="705">
        <v>0</v>
      </c>
      <c r="R1830" s="705">
        <v>11463</v>
      </c>
      <c r="S1830" s="705">
        <v>10421</v>
      </c>
      <c r="T1830" s="705">
        <v>0</v>
      </c>
      <c r="U1830" s="705">
        <v>0</v>
      </c>
      <c r="V1830" s="705">
        <v>24484</v>
      </c>
      <c r="W1830" s="705">
        <f t="shared" si="76"/>
        <v>24485</v>
      </c>
      <c r="X1830" s="705">
        <f t="shared" si="77"/>
        <v>46388</v>
      </c>
    </row>
    <row r="1831" spans="2:24">
      <c r="B1831" t="s">
        <v>549</v>
      </c>
      <c r="C1831" t="s">
        <v>120</v>
      </c>
      <c r="D1831" t="s">
        <v>228</v>
      </c>
      <c r="E1831" t="s">
        <v>671</v>
      </c>
      <c r="F1831" s="705">
        <v>2</v>
      </c>
      <c r="G1831" s="705">
        <v>156</v>
      </c>
      <c r="H1831" s="705">
        <v>675</v>
      </c>
      <c r="I1831" s="705">
        <v>31255</v>
      </c>
      <c r="J1831" s="705">
        <v>11576</v>
      </c>
      <c r="K1831" s="705">
        <v>100</v>
      </c>
      <c r="L1831" s="705">
        <v>2856</v>
      </c>
      <c r="M1831" s="705">
        <v>2596</v>
      </c>
      <c r="N1831" s="705">
        <v>3638</v>
      </c>
      <c r="O1831" s="705">
        <v>1347</v>
      </c>
      <c r="P1831" s="705">
        <v>351</v>
      </c>
      <c r="Q1831" s="705">
        <v>130</v>
      </c>
      <c r="R1831" s="705">
        <v>10353</v>
      </c>
      <c r="S1831" s="705">
        <v>9412</v>
      </c>
      <c r="T1831" s="705">
        <v>4051</v>
      </c>
      <c r="U1831" s="705">
        <v>1500</v>
      </c>
      <c r="V1831" s="705">
        <v>26562</v>
      </c>
      <c r="W1831" s="705">
        <f t="shared" si="76"/>
        <v>26561</v>
      </c>
      <c r="X1831" s="705">
        <f t="shared" si="77"/>
        <v>52504</v>
      </c>
    </row>
    <row r="1832" spans="2:24">
      <c r="B1832" t="s">
        <v>549</v>
      </c>
      <c r="C1832" t="s">
        <v>120</v>
      </c>
      <c r="D1832" t="s">
        <v>228</v>
      </c>
      <c r="E1832" t="s">
        <v>665</v>
      </c>
      <c r="F1832" s="705">
        <v>10</v>
      </c>
      <c r="G1832" s="705">
        <v>600</v>
      </c>
      <c r="H1832" s="705">
        <v>3618</v>
      </c>
      <c r="I1832" s="705">
        <v>119214</v>
      </c>
      <c r="J1832" s="705">
        <v>44153</v>
      </c>
      <c r="K1832" s="705">
        <v>100</v>
      </c>
      <c r="L1832" s="705">
        <v>13625</v>
      </c>
      <c r="M1832" s="705">
        <v>12387</v>
      </c>
      <c r="N1832" s="705">
        <v>11433</v>
      </c>
      <c r="O1832" s="705">
        <v>4234</v>
      </c>
      <c r="P1832" s="705">
        <v>972</v>
      </c>
      <c r="Q1832" s="705">
        <v>360</v>
      </c>
      <c r="R1832" s="705">
        <v>49186</v>
      </c>
      <c r="S1832" s="705">
        <v>44714</v>
      </c>
      <c r="T1832" s="705">
        <v>20356</v>
      </c>
      <c r="U1832" s="705">
        <v>7539</v>
      </c>
      <c r="V1832" s="705">
        <v>113388</v>
      </c>
      <c r="W1832" s="705">
        <f t="shared" si="76"/>
        <v>113387</v>
      </c>
      <c r="X1832" s="705">
        <f t="shared" si="77"/>
        <v>214786</v>
      </c>
    </row>
    <row r="1833" spans="2:24">
      <c r="B1833" t="s">
        <v>549</v>
      </c>
      <c r="C1833" t="s">
        <v>120</v>
      </c>
      <c r="D1833" t="s">
        <v>583</v>
      </c>
      <c r="E1833" t="s">
        <v>228</v>
      </c>
      <c r="F1833" s="705">
        <v>5</v>
      </c>
      <c r="G1833" s="705">
        <v>513</v>
      </c>
      <c r="H1833" s="705">
        <v>1747</v>
      </c>
      <c r="I1833" s="705">
        <v>116538</v>
      </c>
      <c r="J1833" s="705">
        <v>105944</v>
      </c>
      <c r="K1833" s="705">
        <v>73</v>
      </c>
      <c r="L1833" s="705">
        <v>15649</v>
      </c>
      <c r="M1833" s="705">
        <v>13143</v>
      </c>
      <c r="N1833" s="705">
        <v>10553</v>
      </c>
      <c r="O1833" s="705">
        <v>3909</v>
      </c>
      <c r="P1833" s="705">
        <v>3105</v>
      </c>
      <c r="Q1833" s="705">
        <v>1150</v>
      </c>
      <c r="R1833" s="705">
        <v>40748</v>
      </c>
      <c r="S1833" s="705">
        <v>15092</v>
      </c>
      <c r="T1833" s="705">
        <v>0</v>
      </c>
      <c r="U1833" s="705">
        <v>0</v>
      </c>
      <c r="V1833" s="705">
        <v>139237</v>
      </c>
      <c r="W1833" s="705">
        <f t="shared" si="76"/>
        <v>139238</v>
      </c>
      <c r="X1833" s="705">
        <f t="shared" si="77"/>
        <v>186593</v>
      </c>
    </row>
    <row r="1834" spans="2:24">
      <c r="B1834" t="s">
        <v>549</v>
      </c>
      <c r="C1834" t="s">
        <v>120</v>
      </c>
      <c r="D1834" t="s">
        <v>583</v>
      </c>
      <c r="E1834" t="s">
        <v>583</v>
      </c>
      <c r="F1834" s="705">
        <v>360</v>
      </c>
      <c r="G1834" s="705">
        <v>33257</v>
      </c>
      <c r="H1834" s="705">
        <v>121746</v>
      </c>
      <c r="I1834" s="705">
        <v>6818671</v>
      </c>
      <c r="J1834" s="705">
        <v>6198792</v>
      </c>
      <c r="K1834" s="705">
        <v>77</v>
      </c>
      <c r="L1834" s="705">
        <v>1308854</v>
      </c>
      <c r="M1834" s="705">
        <v>1162288</v>
      </c>
      <c r="N1834" s="705">
        <v>696814</v>
      </c>
      <c r="O1834" s="705">
        <v>258079</v>
      </c>
      <c r="P1834" s="705">
        <v>227651</v>
      </c>
      <c r="Q1834" s="705">
        <v>84315</v>
      </c>
      <c r="R1834" s="705">
        <v>1691187</v>
      </c>
      <c r="S1834" s="705">
        <v>1537443</v>
      </c>
      <c r="T1834" s="705">
        <v>626021</v>
      </c>
      <c r="U1834" s="705">
        <v>231859</v>
      </c>
      <c r="V1834" s="705">
        <v>9472776</v>
      </c>
      <c r="W1834" s="705">
        <f t="shared" si="76"/>
        <v>9472776</v>
      </c>
      <c r="X1834" s="705">
        <f t="shared" si="77"/>
        <v>11369198</v>
      </c>
    </row>
    <row r="1835" spans="2:24">
      <c r="B1835" t="s">
        <v>549</v>
      </c>
      <c r="C1835" t="s">
        <v>120</v>
      </c>
      <c r="D1835" t="s">
        <v>583</v>
      </c>
      <c r="E1835" t="s">
        <v>665</v>
      </c>
      <c r="F1835" s="705">
        <v>2</v>
      </c>
      <c r="G1835" s="705">
        <v>114</v>
      </c>
      <c r="H1835" s="705">
        <v>686</v>
      </c>
      <c r="I1835" s="705">
        <v>19642</v>
      </c>
      <c r="J1835" s="705">
        <v>17856</v>
      </c>
      <c r="K1835" s="705">
        <v>75</v>
      </c>
      <c r="L1835" s="705">
        <v>4862</v>
      </c>
      <c r="M1835" s="705">
        <v>3239</v>
      </c>
      <c r="N1835" s="705">
        <v>1975</v>
      </c>
      <c r="O1835" s="705">
        <v>731</v>
      </c>
      <c r="P1835" s="705">
        <v>972</v>
      </c>
      <c r="Q1835" s="705">
        <v>360</v>
      </c>
      <c r="R1835" s="705">
        <v>7067</v>
      </c>
      <c r="S1835" s="705">
        <v>6425</v>
      </c>
      <c r="T1835" s="705">
        <v>4051</v>
      </c>
      <c r="U1835" s="705">
        <v>1500</v>
      </c>
      <c r="V1835" s="705">
        <v>30112</v>
      </c>
      <c r="W1835" s="705">
        <f t="shared" ref="W1835:W1889" si="78">SUM(ABS(J1835),ABS(M1835),ABS(O1835),ABS(Q1835),ABS(S1835),ABS(U1835))</f>
        <v>30111</v>
      </c>
      <c r="X1835" s="705">
        <f t="shared" ref="X1835:X1889" si="79">SUM(ABS(I1835),ABS(N1835),ABS(P1835),ABS(R1835),ABS(T1835),ABS(L1835))</f>
        <v>38569</v>
      </c>
    </row>
    <row r="1836" spans="2:24">
      <c r="B1836" t="s">
        <v>549</v>
      </c>
      <c r="C1836" t="s">
        <v>120</v>
      </c>
      <c r="D1836" t="s">
        <v>666</v>
      </c>
      <c r="E1836" t="s">
        <v>666</v>
      </c>
      <c r="F1836" s="705">
        <v>7</v>
      </c>
      <c r="G1836" s="705">
        <v>534</v>
      </c>
      <c r="H1836" s="705">
        <v>2421</v>
      </c>
      <c r="I1836" s="705">
        <v>103512</v>
      </c>
      <c r="J1836" s="705">
        <v>94101</v>
      </c>
      <c r="K1836" s="705">
        <v>57</v>
      </c>
      <c r="L1836" s="705">
        <v>18567</v>
      </c>
      <c r="M1836" s="705">
        <v>9667</v>
      </c>
      <c r="N1836" s="705">
        <v>11429</v>
      </c>
      <c r="O1836" s="705">
        <v>4233</v>
      </c>
      <c r="P1836" s="705">
        <v>2376</v>
      </c>
      <c r="Q1836" s="705">
        <v>880</v>
      </c>
      <c r="R1836" s="705">
        <v>34473</v>
      </c>
      <c r="S1836" s="705">
        <v>31339</v>
      </c>
      <c r="T1836" s="705">
        <v>13961</v>
      </c>
      <c r="U1836" s="705">
        <v>5171</v>
      </c>
      <c r="V1836" s="705">
        <v>145392</v>
      </c>
      <c r="W1836" s="705">
        <f t="shared" si="78"/>
        <v>145391</v>
      </c>
      <c r="X1836" s="705">
        <f t="shared" si="79"/>
        <v>184318</v>
      </c>
    </row>
    <row r="1837" spans="2:24">
      <c r="B1837" t="s">
        <v>549</v>
      </c>
      <c r="C1837" t="s">
        <v>120</v>
      </c>
      <c r="D1837" t="s">
        <v>584</v>
      </c>
      <c r="E1837" t="s">
        <v>584</v>
      </c>
      <c r="F1837" s="705">
        <v>2</v>
      </c>
      <c r="G1837" s="705">
        <v>213</v>
      </c>
      <c r="H1837" s="705">
        <v>649</v>
      </c>
      <c r="I1837" s="705">
        <v>41242</v>
      </c>
      <c r="J1837" s="705">
        <v>37493</v>
      </c>
      <c r="K1837" s="705">
        <v>76</v>
      </c>
      <c r="L1837" s="705">
        <v>8885</v>
      </c>
      <c r="M1837" s="705">
        <v>8078</v>
      </c>
      <c r="N1837" s="705">
        <v>5183</v>
      </c>
      <c r="O1837" s="705">
        <v>1920</v>
      </c>
      <c r="P1837" s="705">
        <v>945</v>
      </c>
      <c r="Q1837" s="705">
        <v>350</v>
      </c>
      <c r="R1837" s="705">
        <v>7538</v>
      </c>
      <c r="S1837" s="705">
        <v>6853</v>
      </c>
      <c r="T1837" s="705">
        <v>5282</v>
      </c>
      <c r="U1837" s="705">
        <v>1956</v>
      </c>
      <c r="V1837" s="705">
        <v>56650</v>
      </c>
      <c r="W1837" s="705">
        <f t="shared" si="78"/>
        <v>56650</v>
      </c>
      <c r="X1837" s="705">
        <f t="shared" si="79"/>
        <v>69075</v>
      </c>
    </row>
    <row r="1838" spans="2:24">
      <c r="B1838" t="s">
        <v>549</v>
      </c>
      <c r="C1838" t="s">
        <v>120</v>
      </c>
      <c r="D1838" t="s">
        <v>669</v>
      </c>
      <c r="E1838" t="s">
        <v>669</v>
      </c>
      <c r="F1838" s="705">
        <v>1</v>
      </c>
      <c r="G1838" s="705">
        <v>112</v>
      </c>
      <c r="H1838" s="705">
        <v>303</v>
      </c>
      <c r="I1838" s="705">
        <v>16838</v>
      </c>
      <c r="J1838" s="705">
        <v>14032</v>
      </c>
      <c r="K1838" s="705">
        <v>45</v>
      </c>
      <c r="L1838" s="705">
        <v>2806</v>
      </c>
      <c r="M1838" s="705">
        <v>2339</v>
      </c>
      <c r="N1838" s="705">
        <v>2733</v>
      </c>
      <c r="O1838" s="705">
        <v>1012</v>
      </c>
      <c r="P1838" s="705">
        <v>351</v>
      </c>
      <c r="Q1838" s="705">
        <v>130</v>
      </c>
      <c r="R1838" s="705">
        <v>8246</v>
      </c>
      <c r="S1838" s="705">
        <v>6871</v>
      </c>
      <c r="T1838" s="705">
        <v>3025</v>
      </c>
      <c r="U1838" s="705">
        <v>1120</v>
      </c>
      <c r="V1838" s="705">
        <v>25504</v>
      </c>
      <c r="W1838" s="705">
        <f t="shared" si="78"/>
        <v>25504</v>
      </c>
      <c r="X1838" s="705">
        <f t="shared" si="79"/>
        <v>33999</v>
      </c>
    </row>
    <row r="1839" spans="2:24">
      <c r="B1839" t="s">
        <v>549</v>
      </c>
      <c r="C1839" t="s">
        <v>120</v>
      </c>
      <c r="D1839" t="s">
        <v>667</v>
      </c>
      <c r="E1839" t="s">
        <v>667</v>
      </c>
      <c r="F1839" s="705">
        <v>6</v>
      </c>
      <c r="G1839" s="705">
        <v>524</v>
      </c>
      <c r="H1839" s="705">
        <v>2044</v>
      </c>
      <c r="I1839" s="705">
        <v>105007</v>
      </c>
      <c r="J1839" s="705">
        <v>95461</v>
      </c>
      <c r="K1839" s="705">
        <v>52</v>
      </c>
      <c r="L1839" s="705">
        <v>15964</v>
      </c>
      <c r="M1839" s="705">
        <v>14513</v>
      </c>
      <c r="N1839" s="705">
        <v>10331</v>
      </c>
      <c r="O1839" s="705">
        <v>3826</v>
      </c>
      <c r="P1839" s="705">
        <v>1755</v>
      </c>
      <c r="Q1839" s="705">
        <v>650</v>
      </c>
      <c r="R1839" s="705">
        <v>30550</v>
      </c>
      <c r="S1839" s="705">
        <v>27773</v>
      </c>
      <c r="T1839" s="705">
        <v>13559</v>
      </c>
      <c r="U1839" s="705">
        <v>5022</v>
      </c>
      <c r="V1839" s="705">
        <v>147245</v>
      </c>
      <c r="W1839" s="705">
        <f t="shared" si="78"/>
        <v>147245</v>
      </c>
      <c r="X1839" s="705">
        <f t="shared" si="79"/>
        <v>177166</v>
      </c>
    </row>
    <row r="1840" spans="2:24">
      <c r="B1840" t="s">
        <v>549</v>
      </c>
      <c r="C1840" t="s">
        <v>120</v>
      </c>
      <c r="D1840" t="s">
        <v>671</v>
      </c>
      <c r="E1840" t="s">
        <v>671</v>
      </c>
      <c r="F1840" s="705">
        <v>6</v>
      </c>
      <c r="G1840" s="705">
        <v>516</v>
      </c>
      <c r="H1840" s="705">
        <v>2001</v>
      </c>
      <c r="I1840" s="705">
        <v>109961</v>
      </c>
      <c r="J1840" s="705">
        <v>99965</v>
      </c>
      <c r="K1840" s="705">
        <v>57</v>
      </c>
      <c r="L1840" s="705">
        <v>17739</v>
      </c>
      <c r="M1840" s="705">
        <v>14703</v>
      </c>
      <c r="N1840" s="705">
        <v>11970</v>
      </c>
      <c r="O1840" s="705">
        <v>4433</v>
      </c>
      <c r="P1840" s="705">
        <v>2106</v>
      </c>
      <c r="Q1840" s="705">
        <v>780</v>
      </c>
      <c r="R1840" s="705">
        <v>33544</v>
      </c>
      <c r="S1840" s="705">
        <v>30494</v>
      </c>
      <c r="T1840" s="705">
        <v>13376</v>
      </c>
      <c r="U1840" s="705">
        <v>4954</v>
      </c>
      <c r="V1840" s="705">
        <v>155330</v>
      </c>
      <c r="W1840" s="705">
        <f t="shared" si="78"/>
        <v>155329</v>
      </c>
      <c r="X1840" s="705">
        <f t="shared" si="79"/>
        <v>188696</v>
      </c>
    </row>
    <row r="1841" spans="2:24">
      <c r="B1841" t="s">
        <v>549</v>
      </c>
      <c r="C1841" t="s">
        <v>120</v>
      </c>
      <c r="D1841" t="s">
        <v>665</v>
      </c>
      <c r="E1841" t="s">
        <v>228</v>
      </c>
      <c r="F1841" s="705">
        <v>3</v>
      </c>
      <c r="G1841" s="705">
        <v>240</v>
      </c>
      <c r="H1841" s="705">
        <v>1070</v>
      </c>
      <c r="I1841" s="705">
        <v>46909</v>
      </c>
      <c r="J1841" s="705">
        <v>42644</v>
      </c>
      <c r="K1841" s="705">
        <v>64</v>
      </c>
      <c r="L1841" s="705">
        <v>12886</v>
      </c>
      <c r="M1841" s="705">
        <v>4773</v>
      </c>
      <c r="N1841" s="705">
        <v>4345</v>
      </c>
      <c r="O1841" s="705">
        <v>1609</v>
      </c>
      <c r="P1841" s="705">
        <v>351</v>
      </c>
      <c r="Q1841" s="705">
        <v>130</v>
      </c>
      <c r="R1841" s="705">
        <v>19435</v>
      </c>
      <c r="S1841" s="705">
        <v>7198</v>
      </c>
      <c r="T1841" s="705">
        <v>0</v>
      </c>
      <c r="U1841" s="705">
        <v>0</v>
      </c>
      <c r="V1841" s="705">
        <v>56355</v>
      </c>
      <c r="W1841" s="705">
        <f t="shared" si="78"/>
        <v>56354</v>
      </c>
      <c r="X1841" s="705">
        <f t="shared" si="79"/>
        <v>83926</v>
      </c>
    </row>
    <row r="1842" spans="2:24">
      <c r="B1842" t="s">
        <v>549</v>
      </c>
      <c r="C1842" t="s">
        <v>120</v>
      </c>
      <c r="D1842" t="s">
        <v>665</v>
      </c>
      <c r="E1842" t="s">
        <v>665</v>
      </c>
      <c r="F1842" s="705">
        <v>183</v>
      </c>
      <c r="G1842" s="705">
        <v>13600</v>
      </c>
      <c r="H1842" s="705">
        <v>62538</v>
      </c>
      <c r="I1842" s="705">
        <v>2591473</v>
      </c>
      <c r="J1842" s="705">
        <v>2355885</v>
      </c>
      <c r="K1842" s="705">
        <v>55</v>
      </c>
      <c r="L1842" s="705">
        <v>361671</v>
      </c>
      <c r="M1842" s="705">
        <v>271528</v>
      </c>
      <c r="N1842" s="705">
        <v>273736</v>
      </c>
      <c r="O1842" s="705">
        <v>101384</v>
      </c>
      <c r="P1842" s="705">
        <v>63099</v>
      </c>
      <c r="Q1842" s="705">
        <v>23370</v>
      </c>
      <c r="R1842" s="705">
        <v>1040442</v>
      </c>
      <c r="S1842" s="705">
        <v>945857</v>
      </c>
      <c r="T1842" s="705">
        <v>355702</v>
      </c>
      <c r="U1842" s="705">
        <v>131741</v>
      </c>
      <c r="V1842" s="705">
        <v>3829765</v>
      </c>
      <c r="W1842" s="705">
        <f t="shared" si="78"/>
        <v>3829765</v>
      </c>
      <c r="X1842" s="705">
        <f t="shared" si="79"/>
        <v>4686123</v>
      </c>
    </row>
    <row r="1843" spans="2:24">
      <c r="B1843" t="s">
        <v>549</v>
      </c>
      <c r="C1843" t="s">
        <v>120</v>
      </c>
      <c r="D1843" t="s">
        <v>673</v>
      </c>
      <c r="E1843" t="s">
        <v>673</v>
      </c>
      <c r="F1843" s="705">
        <v>3</v>
      </c>
      <c r="G1843" s="705">
        <v>240</v>
      </c>
      <c r="H1843" s="705">
        <v>1014</v>
      </c>
      <c r="I1843" s="705">
        <v>50966</v>
      </c>
      <c r="J1843" s="705">
        <v>46333</v>
      </c>
      <c r="K1843" s="705">
        <v>52</v>
      </c>
      <c r="L1843" s="705">
        <v>4750</v>
      </c>
      <c r="M1843" s="705">
        <v>4318</v>
      </c>
      <c r="N1843" s="705">
        <v>5326</v>
      </c>
      <c r="O1843" s="705">
        <v>1973</v>
      </c>
      <c r="P1843" s="705">
        <v>1053</v>
      </c>
      <c r="Q1843" s="705">
        <v>390</v>
      </c>
      <c r="R1843" s="705">
        <v>13275</v>
      </c>
      <c r="S1843" s="705">
        <v>12068</v>
      </c>
      <c r="T1843" s="705">
        <v>5606</v>
      </c>
      <c r="U1843" s="705">
        <v>2076</v>
      </c>
      <c r="V1843" s="705">
        <v>67158</v>
      </c>
      <c r="W1843" s="705">
        <f t="shared" si="78"/>
        <v>67158</v>
      </c>
      <c r="X1843" s="705">
        <f t="shared" si="79"/>
        <v>80976</v>
      </c>
    </row>
    <row r="1844" spans="2:24">
      <c r="B1844" t="s">
        <v>549</v>
      </c>
      <c r="C1844" t="s">
        <v>122</v>
      </c>
      <c r="F1844" s="705">
        <v>4</v>
      </c>
      <c r="G1844" s="705">
        <v>400</v>
      </c>
      <c r="H1844" s="705">
        <v>1677</v>
      </c>
      <c r="I1844" s="705"/>
      <c r="J1844" s="705">
        <v>0</v>
      </c>
      <c r="K1844" s="705"/>
      <c r="L1844" s="705"/>
      <c r="M1844" s="705">
        <v>0</v>
      </c>
      <c r="N1844" s="705">
        <v>9298</v>
      </c>
      <c r="O1844" s="705">
        <v>3444</v>
      </c>
      <c r="P1844" s="705">
        <v>2484</v>
      </c>
      <c r="Q1844" s="705">
        <v>920</v>
      </c>
      <c r="R1844" s="705"/>
      <c r="S1844" s="705">
        <v>0</v>
      </c>
      <c r="T1844" s="705">
        <v>4698</v>
      </c>
      <c r="U1844" s="705">
        <v>1740</v>
      </c>
      <c r="V1844" s="705">
        <v>6104</v>
      </c>
      <c r="W1844" s="705">
        <f t="shared" si="78"/>
        <v>6104</v>
      </c>
      <c r="X1844" s="705">
        <f t="shared" si="79"/>
        <v>16480</v>
      </c>
    </row>
    <row r="1845" spans="2:24">
      <c r="B1845" t="s">
        <v>549</v>
      </c>
      <c r="C1845" t="s">
        <v>122</v>
      </c>
      <c r="D1845" t="s">
        <v>582</v>
      </c>
      <c r="E1845" t="s">
        <v>582</v>
      </c>
      <c r="F1845" s="705">
        <v>1</v>
      </c>
      <c r="G1845" s="705">
        <v>144</v>
      </c>
      <c r="H1845" s="705">
        <v>424</v>
      </c>
      <c r="I1845" s="705">
        <v>45947</v>
      </c>
      <c r="J1845" s="705">
        <v>41770</v>
      </c>
      <c r="K1845" s="705">
        <v>73</v>
      </c>
      <c r="L1845" s="705">
        <v>4853</v>
      </c>
      <c r="M1845" s="705">
        <v>4412</v>
      </c>
      <c r="N1845" s="705">
        <v>2623</v>
      </c>
      <c r="O1845" s="705">
        <v>971</v>
      </c>
      <c r="P1845" s="705">
        <v>621</v>
      </c>
      <c r="Q1845" s="705">
        <v>230</v>
      </c>
      <c r="R1845" s="705">
        <v>4282</v>
      </c>
      <c r="S1845" s="705">
        <v>3892</v>
      </c>
      <c r="T1845" s="705">
        <v>2503</v>
      </c>
      <c r="U1845" s="705">
        <v>927</v>
      </c>
      <c r="V1845" s="705">
        <v>52202</v>
      </c>
      <c r="W1845" s="705">
        <f t="shared" si="78"/>
        <v>52202</v>
      </c>
      <c r="X1845" s="705">
        <f t="shared" si="79"/>
        <v>60829</v>
      </c>
    </row>
    <row r="1846" spans="2:24">
      <c r="B1846" t="s">
        <v>549</v>
      </c>
      <c r="C1846" t="s">
        <v>122</v>
      </c>
      <c r="D1846" t="s">
        <v>228</v>
      </c>
      <c r="E1846" t="s">
        <v>228</v>
      </c>
      <c r="F1846" s="705">
        <v>71</v>
      </c>
      <c r="G1846" s="705">
        <v>4389</v>
      </c>
      <c r="H1846" s="705">
        <v>29621</v>
      </c>
      <c r="I1846" s="705">
        <v>1135720</v>
      </c>
      <c r="J1846" s="705">
        <v>420637</v>
      </c>
      <c r="K1846" s="705">
        <v>100</v>
      </c>
      <c r="L1846" s="705">
        <v>162914</v>
      </c>
      <c r="M1846" s="705">
        <v>127907</v>
      </c>
      <c r="N1846" s="705">
        <v>92818</v>
      </c>
      <c r="O1846" s="705">
        <v>34377</v>
      </c>
      <c r="P1846" s="705">
        <v>1323</v>
      </c>
      <c r="Q1846" s="705">
        <v>490</v>
      </c>
      <c r="R1846" s="705">
        <v>437767</v>
      </c>
      <c r="S1846" s="705">
        <v>162136</v>
      </c>
      <c r="T1846" s="705">
        <v>0</v>
      </c>
      <c r="U1846" s="705">
        <v>0</v>
      </c>
      <c r="V1846" s="705">
        <v>745547</v>
      </c>
      <c r="W1846" s="705">
        <f t="shared" si="78"/>
        <v>745547</v>
      </c>
      <c r="X1846" s="705">
        <f t="shared" si="79"/>
        <v>1830542</v>
      </c>
    </row>
    <row r="1847" spans="2:24">
      <c r="B1847" t="s">
        <v>549</v>
      </c>
      <c r="C1847" t="s">
        <v>122</v>
      </c>
      <c r="D1847" t="s">
        <v>228</v>
      </c>
      <c r="E1847" t="s">
        <v>583</v>
      </c>
      <c r="F1847" s="705">
        <v>1</v>
      </c>
      <c r="G1847" s="705">
        <v>138</v>
      </c>
      <c r="H1847" s="705">
        <v>449</v>
      </c>
      <c r="I1847" s="705">
        <v>41180</v>
      </c>
      <c r="J1847" s="705">
        <v>15252</v>
      </c>
      <c r="K1847" s="705">
        <v>100</v>
      </c>
      <c r="L1847" s="705">
        <v>9869</v>
      </c>
      <c r="M1847" s="705">
        <v>8972</v>
      </c>
      <c r="N1847" s="705">
        <v>2875</v>
      </c>
      <c r="O1847" s="705">
        <v>1065</v>
      </c>
      <c r="P1847" s="705">
        <v>270</v>
      </c>
      <c r="Q1847" s="705">
        <v>100</v>
      </c>
      <c r="R1847" s="705">
        <v>7792</v>
      </c>
      <c r="S1847" s="705">
        <v>7084</v>
      </c>
      <c r="T1847" s="705">
        <v>0</v>
      </c>
      <c r="U1847" s="705">
        <v>0</v>
      </c>
      <c r="V1847" s="705">
        <v>32472</v>
      </c>
      <c r="W1847" s="705">
        <f t="shared" si="78"/>
        <v>32473</v>
      </c>
      <c r="X1847" s="705">
        <f t="shared" si="79"/>
        <v>61986</v>
      </c>
    </row>
    <row r="1848" spans="2:24">
      <c r="B1848" t="s">
        <v>549</v>
      </c>
      <c r="C1848" t="s">
        <v>122</v>
      </c>
      <c r="D1848" t="s">
        <v>228</v>
      </c>
      <c r="E1848" t="s">
        <v>666</v>
      </c>
      <c r="F1848" s="705">
        <v>1</v>
      </c>
      <c r="G1848" s="705">
        <v>81</v>
      </c>
      <c r="H1848" s="705">
        <v>395</v>
      </c>
      <c r="I1848" s="705">
        <v>23397</v>
      </c>
      <c r="J1848" s="705">
        <v>8665</v>
      </c>
      <c r="K1848" s="705">
        <v>100</v>
      </c>
      <c r="L1848" s="705">
        <v>2118</v>
      </c>
      <c r="M1848" s="705">
        <v>1926</v>
      </c>
      <c r="N1848" s="705">
        <v>1749</v>
      </c>
      <c r="O1848" s="705">
        <v>648</v>
      </c>
      <c r="P1848" s="705">
        <v>0</v>
      </c>
      <c r="Q1848" s="705">
        <v>0</v>
      </c>
      <c r="R1848" s="705">
        <v>2860</v>
      </c>
      <c r="S1848" s="705">
        <v>2600</v>
      </c>
      <c r="T1848" s="705">
        <v>1729</v>
      </c>
      <c r="U1848" s="705">
        <v>640</v>
      </c>
      <c r="V1848" s="705">
        <v>14479</v>
      </c>
      <c r="W1848" s="705">
        <f t="shared" si="78"/>
        <v>14479</v>
      </c>
      <c r="X1848" s="705">
        <f t="shared" si="79"/>
        <v>31853</v>
      </c>
    </row>
    <row r="1849" spans="2:24">
      <c r="B1849" t="s">
        <v>549</v>
      </c>
      <c r="C1849" t="s">
        <v>122</v>
      </c>
      <c r="D1849" t="s">
        <v>228</v>
      </c>
      <c r="E1849" t="s">
        <v>665</v>
      </c>
      <c r="F1849" s="705">
        <v>19</v>
      </c>
      <c r="G1849" s="705">
        <v>920</v>
      </c>
      <c r="H1849" s="705">
        <v>7779</v>
      </c>
      <c r="I1849" s="705">
        <v>201036</v>
      </c>
      <c r="J1849" s="705">
        <v>74458</v>
      </c>
      <c r="K1849" s="705">
        <v>100</v>
      </c>
      <c r="L1849" s="705">
        <v>20438</v>
      </c>
      <c r="M1849" s="705">
        <v>18580</v>
      </c>
      <c r="N1849" s="705">
        <v>19848</v>
      </c>
      <c r="O1849" s="705">
        <v>7351</v>
      </c>
      <c r="P1849" s="705">
        <v>4563</v>
      </c>
      <c r="Q1849" s="705">
        <v>1690</v>
      </c>
      <c r="R1849" s="705">
        <v>100792</v>
      </c>
      <c r="S1849" s="705">
        <v>91629</v>
      </c>
      <c r="T1849" s="705">
        <v>31525</v>
      </c>
      <c r="U1849" s="705">
        <v>11676</v>
      </c>
      <c r="V1849" s="705">
        <v>205384</v>
      </c>
      <c r="W1849" s="705">
        <f t="shared" si="78"/>
        <v>205384</v>
      </c>
      <c r="X1849" s="705">
        <f t="shared" si="79"/>
        <v>378202</v>
      </c>
    </row>
    <row r="1850" spans="2:24">
      <c r="B1850" t="s">
        <v>549</v>
      </c>
      <c r="C1850" t="s">
        <v>122</v>
      </c>
      <c r="D1850" t="s">
        <v>583</v>
      </c>
      <c r="E1850" t="s">
        <v>228</v>
      </c>
      <c r="F1850" s="705">
        <v>3</v>
      </c>
      <c r="G1850" s="705">
        <v>206</v>
      </c>
      <c r="H1850" s="705">
        <v>1308</v>
      </c>
      <c r="I1850" s="705">
        <v>49911</v>
      </c>
      <c r="J1850" s="705">
        <v>45374</v>
      </c>
      <c r="K1850" s="705">
        <v>78</v>
      </c>
      <c r="L1850" s="705">
        <v>10874</v>
      </c>
      <c r="M1850" s="705">
        <v>8351</v>
      </c>
      <c r="N1850" s="705">
        <v>4613</v>
      </c>
      <c r="O1850" s="705">
        <v>1709</v>
      </c>
      <c r="P1850" s="705">
        <v>1863</v>
      </c>
      <c r="Q1850" s="705">
        <v>690</v>
      </c>
      <c r="R1850" s="705">
        <v>22345</v>
      </c>
      <c r="S1850" s="705">
        <v>8276</v>
      </c>
      <c r="T1850" s="705">
        <v>0</v>
      </c>
      <c r="U1850" s="705">
        <v>0</v>
      </c>
      <c r="V1850" s="705">
        <v>64400</v>
      </c>
      <c r="W1850" s="705">
        <f t="shared" si="78"/>
        <v>64400</v>
      </c>
      <c r="X1850" s="705">
        <f t="shared" si="79"/>
        <v>89606</v>
      </c>
    </row>
    <row r="1851" spans="2:24">
      <c r="B1851" t="s">
        <v>549</v>
      </c>
      <c r="C1851" t="s">
        <v>122</v>
      </c>
      <c r="D1851" t="s">
        <v>583</v>
      </c>
      <c r="E1851" t="s">
        <v>583</v>
      </c>
      <c r="F1851" s="705">
        <v>167</v>
      </c>
      <c r="G1851" s="705">
        <v>14600</v>
      </c>
      <c r="H1851" s="705">
        <v>68905</v>
      </c>
      <c r="I1851" s="705">
        <v>3874992</v>
      </c>
      <c r="J1851" s="705">
        <v>3522720</v>
      </c>
      <c r="K1851" s="705">
        <v>77</v>
      </c>
      <c r="L1851" s="705">
        <v>795109</v>
      </c>
      <c r="M1851" s="705">
        <v>696528</v>
      </c>
      <c r="N1851" s="705">
        <v>309089</v>
      </c>
      <c r="O1851" s="705">
        <v>114477</v>
      </c>
      <c r="P1851" s="705">
        <v>105624</v>
      </c>
      <c r="Q1851" s="705">
        <v>39120</v>
      </c>
      <c r="R1851" s="705">
        <v>724211</v>
      </c>
      <c r="S1851" s="705">
        <v>658374</v>
      </c>
      <c r="T1851" s="705">
        <v>285708</v>
      </c>
      <c r="U1851" s="705">
        <v>105818</v>
      </c>
      <c r="V1851" s="705">
        <v>5137037</v>
      </c>
      <c r="W1851" s="705">
        <f t="shared" si="78"/>
        <v>5137037</v>
      </c>
      <c r="X1851" s="705">
        <f t="shared" si="79"/>
        <v>6094733</v>
      </c>
    </row>
    <row r="1852" spans="2:24">
      <c r="B1852" t="s">
        <v>549</v>
      </c>
      <c r="C1852" t="s">
        <v>122</v>
      </c>
      <c r="D1852" t="s">
        <v>583</v>
      </c>
      <c r="E1852" t="s">
        <v>665</v>
      </c>
      <c r="F1852" s="705">
        <v>2</v>
      </c>
      <c r="G1852" s="705">
        <v>206</v>
      </c>
      <c r="H1852" s="705">
        <v>856</v>
      </c>
      <c r="I1852" s="705">
        <v>46357</v>
      </c>
      <c r="J1852" s="705">
        <v>42143</v>
      </c>
      <c r="K1852" s="705">
        <v>77</v>
      </c>
      <c r="L1852" s="705">
        <v>12336</v>
      </c>
      <c r="M1852" s="705">
        <v>11215</v>
      </c>
      <c r="N1852" s="705">
        <v>5025</v>
      </c>
      <c r="O1852" s="705">
        <v>1861</v>
      </c>
      <c r="P1852" s="705">
        <v>1242</v>
      </c>
      <c r="Q1852" s="705">
        <v>460</v>
      </c>
      <c r="R1852" s="705">
        <v>15825</v>
      </c>
      <c r="S1852" s="705">
        <v>14386</v>
      </c>
      <c r="T1852" s="705">
        <v>7294</v>
      </c>
      <c r="U1852" s="705">
        <v>2701</v>
      </c>
      <c r="V1852" s="705">
        <v>72767</v>
      </c>
      <c r="W1852" s="705">
        <f t="shared" si="78"/>
        <v>72766</v>
      </c>
      <c r="X1852" s="705">
        <f t="shared" si="79"/>
        <v>88079</v>
      </c>
    </row>
    <row r="1853" spans="2:24">
      <c r="B1853" t="s">
        <v>549</v>
      </c>
      <c r="C1853" t="s">
        <v>122</v>
      </c>
      <c r="D1853" t="s">
        <v>666</v>
      </c>
      <c r="E1853" t="s">
        <v>583</v>
      </c>
      <c r="F1853" s="705">
        <v>1</v>
      </c>
      <c r="G1853" s="705">
        <v>90</v>
      </c>
      <c r="H1853" s="705">
        <v>444</v>
      </c>
      <c r="I1853" s="705">
        <v>24108</v>
      </c>
      <c r="J1853" s="705">
        <v>21916</v>
      </c>
      <c r="K1853" s="705">
        <v>60</v>
      </c>
      <c r="L1853" s="705">
        <v>5089</v>
      </c>
      <c r="M1853" s="705">
        <v>4627</v>
      </c>
      <c r="N1853" s="705">
        <v>2087</v>
      </c>
      <c r="O1853" s="705">
        <v>773</v>
      </c>
      <c r="P1853" s="705">
        <v>621</v>
      </c>
      <c r="Q1853" s="705">
        <v>230</v>
      </c>
      <c r="R1853" s="705">
        <v>8109</v>
      </c>
      <c r="S1853" s="705">
        <v>7371</v>
      </c>
      <c r="T1853" s="705">
        <v>0</v>
      </c>
      <c r="U1853" s="705">
        <v>0</v>
      </c>
      <c r="V1853" s="705">
        <v>34917</v>
      </c>
      <c r="W1853" s="705">
        <f t="shared" si="78"/>
        <v>34917</v>
      </c>
      <c r="X1853" s="705">
        <f t="shared" si="79"/>
        <v>40014</v>
      </c>
    </row>
    <row r="1854" spans="2:24">
      <c r="B1854" t="s">
        <v>549</v>
      </c>
      <c r="C1854" t="s">
        <v>122</v>
      </c>
      <c r="D1854" t="s">
        <v>666</v>
      </c>
      <c r="E1854" t="s">
        <v>666</v>
      </c>
      <c r="F1854" s="705">
        <v>8</v>
      </c>
      <c r="G1854" s="705">
        <v>637</v>
      </c>
      <c r="H1854" s="705">
        <v>3209</v>
      </c>
      <c r="I1854" s="705">
        <v>163152</v>
      </c>
      <c r="J1854" s="705">
        <v>148320</v>
      </c>
      <c r="K1854" s="705">
        <v>53</v>
      </c>
      <c r="L1854" s="705">
        <v>23160</v>
      </c>
      <c r="M1854" s="705">
        <v>14831</v>
      </c>
      <c r="N1854" s="705">
        <v>11940</v>
      </c>
      <c r="O1854" s="705">
        <v>4422</v>
      </c>
      <c r="P1854" s="705">
        <v>2106</v>
      </c>
      <c r="Q1854" s="705">
        <v>780</v>
      </c>
      <c r="R1854" s="705">
        <v>38783</v>
      </c>
      <c r="S1854" s="705">
        <v>35258</v>
      </c>
      <c r="T1854" s="705">
        <v>16974</v>
      </c>
      <c r="U1854" s="705">
        <v>6287</v>
      </c>
      <c r="V1854" s="705">
        <v>209898</v>
      </c>
      <c r="W1854" s="705">
        <f t="shared" si="78"/>
        <v>209898</v>
      </c>
      <c r="X1854" s="705">
        <f t="shared" si="79"/>
        <v>256115</v>
      </c>
    </row>
    <row r="1855" spans="2:24">
      <c r="B1855" t="s">
        <v>549</v>
      </c>
      <c r="C1855" t="s">
        <v>122</v>
      </c>
      <c r="D1855" t="s">
        <v>584</v>
      </c>
      <c r="E1855" t="s">
        <v>584</v>
      </c>
      <c r="F1855" s="705">
        <v>1</v>
      </c>
      <c r="G1855" s="705">
        <v>81</v>
      </c>
      <c r="H1855" s="705">
        <v>391</v>
      </c>
      <c r="I1855" s="705">
        <v>22911</v>
      </c>
      <c r="J1855" s="705">
        <v>20828</v>
      </c>
      <c r="K1855" s="705">
        <v>68</v>
      </c>
      <c r="L1855" s="705">
        <v>2990</v>
      </c>
      <c r="M1855" s="705">
        <v>2492</v>
      </c>
      <c r="N1855" s="705">
        <v>1974</v>
      </c>
      <c r="O1855" s="705">
        <v>731</v>
      </c>
      <c r="P1855" s="705">
        <v>473</v>
      </c>
      <c r="Q1855" s="705">
        <v>175</v>
      </c>
      <c r="R1855" s="705">
        <v>3314</v>
      </c>
      <c r="S1855" s="705">
        <v>3012</v>
      </c>
      <c r="T1855" s="705">
        <v>0</v>
      </c>
      <c r="U1855" s="705">
        <v>0</v>
      </c>
      <c r="V1855" s="705">
        <v>27239</v>
      </c>
      <c r="W1855" s="705">
        <f t="shared" si="78"/>
        <v>27238</v>
      </c>
      <c r="X1855" s="705">
        <f t="shared" si="79"/>
        <v>31662</v>
      </c>
    </row>
    <row r="1856" spans="2:24">
      <c r="B1856" t="s">
        <v>549</v>
      </c>
      <c r="C1856" t="s">
        <v>122</v>
      </c>
      <c r="D1856" t="s">
        <v>669</v>
      </c>
      <c r="E1856" t="s">
        <v>669</v>
      </c>
      <c r="F1856" s="705">
        <v>6</v>
      </c>
      <c r="G1856" s="705">
        <v>277</v>
      </c>
      <c r="H1856" s="705">
        <v>2483</v>
      </c>
      <c r="I1856" s="705">
        <v>61161</v>
      </c>
      <c r="J1856" s="705">
        <v>50967</v>
      </c>
      <c r="K1856" s="705">
        <v>65</v>
      </c>
      <c r="L1856" s="705">
        <v>6216</v>
      </c>
      <c r="M1856" s="705">
        <v>5180</v>
      </c>
      <c r="N1856" s="705">
        <v>5797</v>
      </c>
      <c r="O1856" s="705">
        <v>2147</v>
      </c>
      <c r="P1856" s="705">
        <v>2106</v>
      </c>
      <c r="Q1856" s="705">
        <v>780</v>
      </c>
      <c r="R1856" s="705">
        <v>35351</v>
      </c>
      <c r="S1856" s="705">
        <v>29459</v>
      </c>
      <c r="T1856" s="705">
        <v>2445</v>
      </c>
      <c r="U1856" s="705">
        <v>906</v>
      </c>
      <c r="V1856" s="705">
        <v>89439</v>
      </c>
      <c r="W1856" s="705">
        <f t="shared" si="78"/>
        <v>89439</v>
      </c>
      <c r="X1856" s="705">
        <f t="shared" si="79"/>
        <v>113076</v>
      </c>
    </row>
    <row r="1857" spans="2:24">
      <c r="B1857" t="s">
        <v>549</v>
      </c>
      <c r="C1857" t="s">
        <v>122</v>
      </c>
      <c r="D1857" t="s">
        <v>669</v>
      </c>
      <c r="E1857" t="s">
        <v>671</v>
      </c>
      <c r="F1857" s="705">
        <v>1</v>
      </c>
      <c r="G1857" s="705">
        <v>79</v>
      </c>
      <c r="H1857" s="705">
        <v>404</v>
      </c>
      <c r="I1857" s="705">
        <v>19871</v>
      </c>
      <c r="J1857" s="705">
        <v>16559</v>
      </c>
      <c r="K1857" s="705">
        <v>65</v>
      </c>
      <c r="L1857" s="705">
        <v>4784</v>
      </c>
      <c r="M1857" s="705">
        <v>3986</v>
      </c>
      <c r="N1857" s="705">
        <v>1648</v>
      </c>
      <c r="O1857" s="705">
        <v>610</v>
      </c>
      <c r="P1857" s="705">
        <v>351</v>
      </c>
      <c r="Q1857" s="705">
        <v>130</v>
      </c>
      <c r="R1857" s="705">
        <v>3557</v>
      </c>
      <c r="S1857" s="705">
        <v>3234</v>
      </c>
      <c r="T1857" s="705">
        <v>1708</v>
      </c>
      <c r="U1857" s="705">
        <v>633</v>
      </c>
      <c r="V1857" s="705">
        <v>25152</v>
      </c>
      <c r="W1857" s="705">
        <f t="shared" si="78"/>
        <v>25152</v>
      </c>
      <c r="X1857" s="705">
        <f t="shared" si="79"/>
        <v>31919</v>
      </c>
    </row>
    <row r="1858" spans="2:24">
      <c r="B1858" t="s">
        <v>549</v>
      </c>
      <c r="C1858" t="s">
        <v>122</v>
      </c>
      <c r="D1858" t="s">
        <v>667</v>
      </c>
      <c r="E1858" t="s">
        <v>667</v>
      </c>
      <c r="F1858" s="705">
        <v>1</v>
      </c>
      <c r="G1858" s="705">
        <v>110</v>
      </c>
      <c r="H1858" s="705">
        <v>426</v>
      </c>
      <c r="I1858" s="705">
        <v>29589</v>
      </c>
      <c r="J1858" s="705">
        <v>26899</v>
      </c>
      <c r="K1858" s="705">
        <v>55</v>
      </c>
      <c r="L1858" s="705">
        <v>6027</v>
      </c>
      <c r="M1858" s="705">
        <v>5479</v>
      </c>
      <c r="N1858" s="705">
        <v>2668</v>
      </c>
      <c r="O1858" s="705">
        <v>988</v>
      </c>
      <c r="P1858" s="705">
        <v>351</v>
      </c>
      <c r="Q1858" s="705">
        <v>130</v>
      </c>
      <c r="R1858" s="705">
        <v>5465</v>
      </c>
      <c r="S1858" s="705">
        <v>4968</v>
      </c>
      <c r="T1858" s="705">
        <v>2547</v>
      </c>
      <c r="U1858" s="705">
        <v>943</v>
      </c>
      <c r="V1858" s="705">
        <v>39409</v>
      </c>
      <c r="W1858" s="705">
        <f t="shared" si="78"/>
        <v>39407</v>
      </c>
      <c r="X1858" s="705">
        <f t="shared" si="79"/>
        <v>46647</v>
      </c>
    </row>
    <row r="1859" spans="2:24">
      <c r="B1859" t="s">
        <v>549</v>
      </c>
      <c r="C1859" t="s">
        <v>122</v>
      </c>
      <c r="D1859" t="s">
        <v>671</v>
      </c>
      <c r="E1859" t="s">
        <v>666</v>
      </c>
      <c r="F1859" s="705">
        <v>1</v>
      </c>
      <c r="G1859" s="705">
        <v>46</v>
      </c>
      <c r="H1859" s="705">
        <v>410</v>
      </c>
      <c r="I1859" s="705">
        <v>18943</v>
      </c>
      <c r="J1859" s="705">
        <v>17221</v>
      </c>
      <c r="K1859" s="705">
        <v>45</v>
      </c>
      <c r="L1859" s="705">
        <v>3157</v>
      </c>
      <c r="M1859" s="705">
        <v>2870</v>
      </c>
      <c r="N1859" s="705">
        <v>1717</v>
      </c>
      <c r="O1859" s="705">
        <v>636</v>
      </c>
      <c r="P1859" s="705">
        <v>351</v>
      </c>
      <c r="Q1859" s="705">
        <v>130</v>
      </c>
      <c r="R1859" s="705">
        <v>6326</v>
      </c>
      <c r="S1859" s="705">
        <v>5751</v>
      </c>
      <c r="T1859" s="705">
        <v>2898</v>
      </c>
      <c r="U1859" s="705">
        <v>1073</v>
      </c>
      <c r="V1859" s="705">
        <v>27682</v>
      </c>
      <c r="W1859" s="705">
        <f t="shared" si="78"/>
        <v>27681</v>
      </c>
      <c r="X1859" s="705">
        <f t="shared" si="79"/>
        <v>33392</v>
      </c>
    </row>
    <row r="1860" spans="2:24">
      <c r="B1860" t="s">
        <v>549</v>
      </c>
      <c r="C1860" t="s">
        <v>122</v>
      </c>
      <c r="D1860" t="s">
        <v>671</v>
      </c>
      <c r="E1860" t="s">
        <v>671</v>
      </c>
      <c r="F1860" s="705">
        <v>3</v>
      </c>
      <c r="G1860" s="705">
        <v>237</v>
      </c>
      <c r="H1860" s="705">
        <v>1226</v>
      </c>
      <c r="I1860" s="705">
        <v>58673</v>
      </c>
      <c r="J1860" s="705">
        <v>53339</v>
      </c>
      <c r="K1860" s="705">
        <v>53</v>
      </c>
      <c r="L1860" s="705">
        <v>7084</v>
      </c>
      <c r="M1860" s="705">
        <v>6440</v>
      </c>
      <c r="N1860" s="705">
        <v>4357</v>
      </c>
      <c r="O1860" s="705">
        <v>1614</v>
      </c>
      <c r="P1860" s="705">
        <v>1053</v>
      </c>
      <c r="Q1860" s="705">
        <v>390</v>
      </c>
      <c r="R1860" s="705">
        <v>23194</v>
      </c>
      <c r="S1860" s="705">
        <v>21085</v>
      </c>
      <c r="T1860" s="705">
        <v>2207</v>
      </c>
      <c r="U1860" s="705">
        <v>817</v>
      </c>
      <c r="V1860" s="705">
        <v>83685</v>
      </c>
      <c r="W1860" s="705">
        <f t="shared" si="78"/>
        <v>83685</v>
      </c>
      <c r="X1860" s="705">
        <f t="shared" si="79"/>
        <v>96568</v>
      </c>
    </row>
    <row r="1861" spans="2:24">
      <c r="B1861" t="s">
        <v>549</v>
      </c>
      <c r="C1861" t="s">
        <v>122</v>
      </c>
      <c r="D1861" t="s">
        <v>665</v>
      </c>
      <c r="E1861" t="s">
        <v>228</v>
      </c>
      <c r="F1861" s="705">
        <v>5</v>
      </c>
      <c r="G1861" s="705">
        <v>378</v>
      </c>
      <c r="H1861" s="705">
        <v>2058</v>
      </c>
      <c r="I1861" s="705">
        <v>72023</v>
      </c>
      <c r="J1861" s="705">
        <v>65475</v>
      </c>
      <c r="K1861" s="705">
        <v>52</v>
      </c>
      <c r="L1861" s="705">
        <v>14344</v>
      </c>
      <c r="M1861" s="705">
        <v>9671</v>
      </c>
      <c r="N1861" s="705">
        <v>8434</v>
      </c>
      <c r="O1861" s="705">
        <v>3124</v>
      </c>
      <c r="P1861" s="705">
        <v>702</v>
      </c>
      <c r="Q1861" s="705">
        <v>260</v>
      </c>
      <c r="R1861" s="705">
        <v>51588</v>
      </c>
      <c r="S1861" s="705">
        <v>19107</v>
      </c>
      <c r="T1861" s="705">
        <v>7235</v>
      </c>
      <c r="U1861" s="705">
        <v>2680</v>
      </c>
      <c r="V1861" s="705">
        <v>100316</v>
      </c>
      <c r="W1861" s="705">
        <f t="shared" si="78"/>
        <v>100317</v>
      </c>
      <c r="X1861" s="705">
        <f t="shared" si="79"/>
        <v>154326</v>
      </c>
    </row>
    <row r="1862" spans="2:24">
      <c r="B1862" t="s">
        <v>549</v>
      </c>
      <c r="C1862" t="s">
        <v>122</v>
      </c>
      <c r="D1862" t="s">
        <v>665</v>
      </c>
      <c r="E1862" t="s">
        <v>665</v>
      </c>
      <c r="F1862" s="705">
        <v>97</v>
      </c>
      <c r="G1862" s="705">
        <v>7487</v>
      </c>
      <c r="H1862" s="705">
        <v>39649</v>
      </c>
      <c r="I1862" s="705">
        <v>1866977</v>
      </c>
      <c r="J1862" s="705">
        <v>1697252</v>
      </c>
      <c r="K1862" s="705">
        <v>52</v>
      </c>
      <c r="L1862" s="705">
        <v>247023</v>
      </c>
      <c r="M1862" s="705">
        <v>194397</v>
      </c>
      <c r="N1862" s="705">
        <v>160406</v>
      </c>
      <c r="O1862" s="705">
        <v>59410</v>
      </c>
      <c r="P1862" s="705">
        <v>33021</v>
      </c>
      <c r="Q1862" s="705">
        <v>12230</v>
      </c>
      <c r="R1862" s="705">
        <v>572667</v>
      </c>
      <c r="S1862" s="705">
        <v>520606</v>
      </c>
      <c r="T1862" s="705">
        <v>190608</v>
      </c>
      <c r="U1862" s="705">
        <v>70596</v>
      </c>
      <c r="V1862" s="705">
        <v>2554490</v>
      </c>
      <c r="W1862" s="705">
        <f t="shared" si="78"/>
        <v>2554491</v>
      </c>
      <c r="X1862" s="705">
        <f t="shared" si="79"/>
        <v>3070702</v>
      </c>
    </row>
    <row r="1863" spans="2:24">
      <c r="B1863" t="s">
        <v>549</v>
      </c>
      <c r="C1863" t="s">
        <v>124</v>
      </c>
      <c r="F1863" s="705">
        <v>5</v>
      </c>
      <c r="G1863" s="705">
        <v>296</v>
      </c>
      <c r="H1863" s="705">
        <v>3120</v>
      </c>
      <c r="I1863" s="705"/>
      <c r="J1863" s="705">
        <v>0</v>
      </c>
      <c r="K1863" s="705"/>
      <c r="L1863" s="705"/>
      <c r="M1863" s="705">
        <v>0</v>
      </c>
      <c r="N1863" s="705">
        <v>6029</v>
      </c>
      <c r="O1863" s="705">
        <v>2233</v>
      </c>
      <c r="P1863" s="705">
        <v>3105</v>
      </c>
      <c r="Q1863" s="705">
        <v>1150</v>
      </c>
      <c r="R1863" s="705"/>
      <c r="S1863" s="705">
        <v>0</v>
      </c>
      <c r="T1863" s="705">
        <v>2214</v>
      </c>
      <c r="U1863" s="705">
        <v>820</v>
      </c>
      <c r="V1863" s="705">
        <v>4203</v>
      </c>
      <c r="W1863" s="705">
        <f t="shared" si="78"/>
        <v>4203</v>
      </c>
      <c r="X1863" s="705">
        <f t="shared" si="79"/>
        <v>11348</v>
      </c>
    </row>
    <row r="1864" spans="2:24">
      <c r="B1864" t="s">
        <v>549</v>
      </c>
      <c r="C1864" t="s">
        <v>124</v>
      </c>
      <c r="D1864" t="s">
        <v>228</v>
      </c>
      <c r="E1864" t="s">
        <v>228</v>
      </c>
      <c r="F1864" s="705">
        <v>152</v>
      </c>
      <c r="G1864" s="705">
        <v>11194</v>
      </c>
      <c r="H1864" s="705">
        <v>94653</v>
      </c>
      <c r="I1864" s="705">
        <v>4976689</v>
      </c>
      <c r="J1864" s="705">
        <v>1843218</v>
      </c>
      <c r="K1864" s="705">
        <v>100</v>
      </c>
      <c r="L1864" s="705">
        <v>748164</v>
      </c>
      <c r="M1864" s="705">
        <v>597692</v>
      </c>
      <c r="N1864" s="705">
        <v>252476</v>
      </c>
      <c r="O1864" s="705">
        <v>93510</v>
      </c>
      <c r="P1864" s="705">
        <v>2288</v>
      </c>
      <c r="Q1864" s="705">
        <v>848</v>
      </c>
      <c r="R1864" s="705">
        <v>986604</v>
      </c>
      <c r="S1864" s="705">
        <v>365409</v>
      </c>
      <c r="T1864" s="705">
        <v>4419</v>
      </c>
      <c r="U1864" s="705">
        <v>1637</v>
      </c>
      <c r="V1864" s="705">
        <v>2902313</v>
      </c>
      <c r="W1864" s="705">
        <f t="shared" si="78"/>
        <v>2902314</v>
      </c>
      <c r="X1864" s="705">
        <f t="shared" si="79"/>
        <v>6970640</v>
      </c>
    </row>
    <row r="1865" spans="2:24">
      <c r="B1865" t="s">
        <v>549</v>
      </c>
      <c r="C1865" t="s">
        <v>124</v>
      </c>
      <c r="D1865" t="s">
        <v>228</v>
      </c>
      <c r="E1865" t="s">
        <v>583</v>
      </c>
      <c r="F1865" s="705">
        <v>4</v>
      </c>
      <c r="G1865" s="705">
        <v>411</v>
      </c>
      <c r="H1865" s="705">
        <v>2508</v>
      </c>
      <c r="I1865" s="705">
        <v>186942</v>
      </c>
      <c r="J1865" s="705">
        <v>69238</v>
      </c>
      <c r="K1865" s="705">
        <v>100</v>
      </c>
      <c r="L1865" s="705">
        <v>32515</v>
      </c>
      <c r="M1865" s="705">
        <v>29559</v>
      </c>
      <c r="N1865" s="705">
        <v>9311</v>
      </c>
      <c r="O1865" s="705">
        <v>3449</v>
      </c>
      <c r="P1865" s="705">
        <v>621</v>
      </c>
      <c r="Q1865" s="705">
        <v>230</v>
      </c>
      <c r="R1865" s="705">
        <v>23475</v>
      </c>
      <c r="S1865" s="705">
        <v>21341</v>
      </c>
      <c r="T1865" s="705">
        <v>8344</v>
      </c>
      <c r="U1865" s="705">
        <v>3091</v>
      </c>
      <c r="V1865" s="705">
        <v>126907</v>
      </c>
      <c r="W1865" s="705">
        <f t="shared" si="78"/>
        <v>126908</v>
      </c>
      <c r="X1865" s="705">
        <f t="shared" si="79"/>
        <v>261208</v>
      </c>
    </row>
    <row r="1866" spans="2:24">
      <c r="B1866" t="s">
        <v>549</v>
      </c>
      <c r="C1866" t="s">
        <v>124</v>
      </c>
      <c r="D1866" t="s">
        <v>228</v>
      </c>
      <c r="E1866" t="s">
        <v>666</v>
      </c>
      <c r="F1866" s="705">
        <v>1</v>
      </c>
      <c r="G1866" s="705">
        <v>80</v>
      </c>
      <c r="H1866" s="705">
        <v>578</v>
      </c>
      <c r="I1866" s="705">
        <v>32316</v>
      </c>
      <c r="J1866" s="705">
        <v>11969</v>
      </c>
      <c r="K1866" s="705">
        <v>100</v>
      </c>
      <c r="L1866" s="705">
        <v>3251</v>
      </c>
      <c r="M1866" s="705">
        <v>2955</v>
      </c>
      <c r="N1866" s="705">
        <v>1805</v>
      </c>
      <c r="O1866" s="705">
        <v>669</v>
      </c>
      <c r="P1866" s="705">
        <v>0</v>
      </c>
      <c r="Q1866" s="705">
        <v>0</v>
      </c>
      <c r="R1866" s="705">
        <v>6473</v>
      </c>
      <c r="S1866" s="705">
        <v>5884</v>
      </c>
      <c r="T1866" s="705">
        <v>2434</v>
      </c>
      <c r="U1866" s="705">
        <v>902</v>
      </c>
      <c r="V1866" s="705">
        <v>22379</v>
      </c>
      <c r="W1866" s="705">
        <f t="shared" si="78"/>
        <v>22379</v>
      </c>
      <c r="X1866" s="705">
        <f t="shared" si="79"/>
        <v>46279</v>
      </c>
    </row>
    <row r="1867" spans="2:24">
      <c r="B1867" t="s">
        <v>549</v>
      </c>
      <c r="C1867" t="s">
        <v>124</v>
      </c>
      <c r="D1867" t="s">
        <v>228</v>
      </c>
      <c r="E1867" t="s">
        <v>671</v>
      </c>
      <c r="F1867" s="705">
        <v>1</v>
      </c>
      <c r="G1867" s="705">
        <v>86</v>
      </c>
      <c r="H1867" s="705">
        <v>824</v>
      </c>
      <c r="I1867" s="705">
        <v>59136</v>
      </c>
      <c r="J1867" s="705">
        <v>21902</v>
      </c>
      <c r="K1867" s="705">
        <v>100</v>
      </c>
      <c r="L1867" s="705">
        <v>4118</v>
      </c>
      <c r="M1867" s="705">
        <v>3744</v>
      </c>
      <c r="N1867" s="705">
        <v>1998</v>
      </c>
      <c r="O1867" s="705">
        <v>740</v>
      </c>
      <c r="P1867" s="705">
        <v>351</v>
      </c>
      <c r="Q1867" s="705">
        <v>130</v>
      </c>
      <c r="R1867" s="705">
        <v>5492</v>
      </c>
      <c r="S1867" s="705">
        <v>4993</v>
      </c>
      <c r="T1867" s="705">
        <v>0</v>
      </c>
      <c r="U1867" s="705">
        <v>0</v>
      </c>
      <c r="V1867" s="705">
        <v>31509</v>
      </c>
      <c r="W1867" s="705">
        <f t="shared" si="78"/>
        <v>31509</v>
      </c>
      <c r="X1867" s="705">
        <f t="shared" si="79"/>
        <v>71095</v>
      </c>
    </row>
    <row r="1868" spans="2:24">
      <c r="B1868" t="s">
        <v>549</v>
      </c>
      <c r="C1868" t="s">
        <v>124</v>
      </c>
      <c r="D1868" t="s">
        <v>228</v>
      </c>
      <c r="E1868" t="s">
        <v>665</v>
      </c>
      <c r="F1868" s="705">
        <v>37</v>
      </c>
      <c r="G1868" s="705">
        <v>1979</v>
      </c>
      <c r="H1868" s="705">
        <v>21763</v>
      </c>
      <c r="I1868" s="705">
        <v>784729</v>
      </c>
      <c r="J1868" s="705">
        <v>290640</v>
      </c>
      <c r="K1868" s="705">
        <v>100</v>
      </c>
      <c r="L1868" s="705">
        <v>100187</v>
      </c>
      <c r="M1868" s="705">
        <v>87437</v>
      </c>
      <c r="N1868" s="705">
        <v>41224</v>
      </c>
      <c r="O1868" s="705">
        <v>15268</v>
      </c>
      <c r="P1868" s="705">
        <v>3159</v>
      </c>
      <c r="Q1868" s="705">
        <v>1170</v>
      </c>
      <c r="R1868" s="705">
        <v>218898</v>
      </c>
      <c r="S1868" s="705">
        <v>198998</v>
      </c>
      <c r="T1868" s="705">
        <v>54679</v>
      </c>
      <c r="U1868" s="705">
        <v>20251</v>
      </c>
      <c r="V1868" s="705">
        <v>613765</v>
      </c>
      <c r="W1868" s="705">
        <f t="shared" si="78"/>
        <v>613764</v>
      </c>
      <c r="X1868" s="705">
        <f t="shared" si="79"/>
        <v>1202876</v>
      </c>
    </row>
    <row r="1869" spans="2:24">
      <c r="B1869" t="s">
        <v>549</v>
      </c>
      <c r="C1869" t="s">
        <v>124</v>
      </c>
      <c r="D1869" t="s">
        <v>228</v>
      </c>
      <c r="E1869" t="s">
        <v>673</v>
      </c>
      <c r="F1869" s="705">
        <v>1</v>
      </c>
      <c r="G1869" s="705">
        <v>82</v>
      </c>
      <c r="H1869" s="705">
        <v>771</v>
      </c>
      <c r="I1869" s="705">
        <v>41544</v>
      </c>
      <c r="J1869" s="705">
        <v>15387</v>
      </c>
      <c r="K1869" s="705">
        <v>100</v>
      </c>
      <c r="L1869" s="705">
        <v>6637</v>
      </c>
      <c r="M1869" s="705">
        <v>6034</v>
      </c>
      <c r="N1869" s="705">
        <v>1706</v>
      </c>
      <c r="O1869" s="705">
        <v>632</v>
      </c>
      <c r="P1869" s="705">
        <v>0</v>
      </c>
      <c r="Q1869" s="705">
        <v>0</v>
      </c>
      <c r="R1869" s="705">
        <v>13631</v>
      </c>
      <c r="S1869" s="705">
        <v>12392</v>
      </c>
      <c r="T1869" s="705">
        <v>0</v>
      </c>
      <c r="U1869" s="705">
        <v>0</v>
      </c>
      <c r="V1869" s="705">
        <v>34445</v>
      </c>
      <c r="W1869" s="705">
        <f t="shared" si="78"/>
        <v>34445</v>
      </c>
      <c r="X1869" s="705">
        <f t="shared" si="79"/>
        <v>63518</v>
      </c>
    </row>
    <row r="1870" spans="2:24">
      <c r="B1870" t="s">
        <v>549</v>
      </c>
      <c r="C1870" t="s">
        <v>124</v>
      </c>
      <c r="D1870" t="s">
        <v>583</v>
      </c>
      <c r="E1870" t="s">
        <v>674</v>
      </c>
      <c r="F1870" s="705">
        <v>1</v>
      </c>
      <c r="G1870" s="705">
        <v>54</v>
      </c>
      <c r="H1870" s="705">
        <v>516</v>
      </c>
      <c r="I1870" s="705">
        <v>36351</v>
      </c>
      <c r="J1870" s="705">
        <v>33047</v>
      </c>
      <c r="K1870" s="705">
        <v>70</v>
      </c>
      <c r="L1870" s="705">
        <v>6593</v>
      </c>
      <c r="M1870" s="705">
        <v>2442</v>
      </c>
      <c r="N1870" s="705">
        <v>1932</v>
      </c>
      <c r="O1870" s="705">
        <v>715</v>
      </c>
      <c r="P1870" s="705">
        <v>972</v>
      </c>
      <c r="Q1870" s="705">
        <v>360</v>
      </c>
      <c r="R1870" s="705">
        <v>7256</v>
      </c>
      <c r="S1870" s="705">
        <v>6596</v>
      </c>
      <c r="T1870" s="705">
        <v>0</v>
      </c>
      <c r="U1870" s="705">
        <v>0</v>
      </c>
      <c r="V1870" s="705">
        <v>43160</v>
      </c>
      <c r="W1870" s="705">
        <f t="shared" si="78"/>
        <v>43160</v>
      </c>
      <c r="X1870" s="705">
        <f t="shared" si="79"/>
        <v>53104</v>
      </c>
    </row>
    <row r="1871" spans="2:24">
      <c r="B1871" t="s">
        <v>549</v>
      </c>
      <c r="C1871" t="s">
        <v>124</v>
      </c>
      <c r="D1871" t="s">
        <v>583</v>
      </c>
      <c r="E1871" t="s">
        <v>228</v>
      </c>
      <c r="F1871" s="705">
        <v>6</v>
      </c>
      <c r="G1871" s="705">
        <v>654</v>
      </c>
      <c r="H1871" s="705">
        <v>3215</v>
      </c>
      <c r="I1871" s="705">
        <v>237386</v>
      </c>
      <c r="J1871" s="705">
        <v>215805</v>
      </c>
      <c r="K1871" s="705">
        <v>66</v>
      </c>
      <c r="L1871" s="705">
        <v>45551</v>
      </c>
      <c r="M1871" s="705">
        <v>39137</v>
      </c>
      <c r="N1871" s="705">
        <v>14369</v>
      </c>
      <c r="O1871" s="705">
        <v>5322</v>
      </c>
      <c r="P1871" s="705">
        <v>3726</v>
      </c>
      <c r="Q1871" s="705">
        <v>1380</v>
      </c>
      <c r="R1871" s="705">
        <v>33936</v>
      </c>
      <c r="S1871" s="705">
        <v>12569</v>
      </c>
      <c r="T1871" s="705">
        <v>0</v>
      </c>
      <c r="U1871" s="705">
        <v>0</v>
      </c>
      <c r="V1871" s="705">
        <v>274212</v>
      </c>
      <c r="W1871" s="705">
        <f t="shared" si="78"/>
        <v>274213</v>
      </c>
      <c r="X1871" s="705">
        <f t="shared" si="79"/>
        <v>334968</v>
      </c>
    </row>
    <row r="1872" spans="2:24">
      <c r="B1872" t="s">
        <v>549</v>
      </c>
      <c r="C1872" t="s">
        <v>124</v>
      </c>
      <c r="D1872" t="s">
        <v>583</v>
      </c>
      <c r="E1872" t="s">
        <v>583</v>
      </c>
      <c r="F1872" s="705">
        <v>144</v>
      </c>
      <c r="G1872" s="705">
        <v>12237</v>
      </c>
      <c r="H1872" s="705">
        <v>75443</v>
      </c>
      <c r="I1872" s="705">
        <v>4352289</v>
      </c>
      <c r="J1872" s="705">
        <v>3956627</v>
      </c>
      <c r="K1872" s="705">
        <v>72</v>
      </c>
      <c r="L1872" s="705">
        <v>882878</v>
      </c>
      <c r="M1872" s="705">
        <v>776104</v>
      </c>
      <c r="N1872" s="705">
        <v>274292</v>
      </c>
      <c r="O1872" s="705">
        <v>101590</v>
      </c>
      <c r="P1872" s="705">
        <v>93555</v>
      </c>
      <c r="Q1872" s="705">
        <v>34650</v>
      </c>
      <c r="R1872" s="705">
        <v>627804</v>
      </c>
      <c r="S1872" s="705">
        <v>570731</v>
      </c>
      <c r="T1872" s="705">
        <v>254534</v>
      </c>
      <c r="U1872" s="705">
        <v>94272</v>
      </c>
      <c r="V1872" s="705">
        <v>5533973</v>
      </c>
      <c r="W1872" s="705">
        <f t="shared" si="78"/>
        <v>5533974</v>
      </c>
      <c r="X1872" s="705">
        <f t="shared" si="79"/>
        <v>6485352</v>
      </c>
    </row>
    <row r="1873" spans="2:24">
      <c r="B1873" t="s">
        <v>549</v>
      </c>
      <c r="C1873" t="s">
        <v>124</v>
      </c>
      <c r="D1873" t="s">
        <v>666</v>
      </c>
      <c r="E1873" t="s">
        <v>228</v>
      </c>
      <c r="F1873" s="705">
        <v>3</v>
      </c>
      <c r="G1873" s="705">
        <v>338</v>
      </c>
      <c r="H1873" s="705">
        <v>2445</v>
      </c>
      <c r="I1873" s="705">
        <v>197968</v>
      </c>
      <c r="J1873" s="705">
        <v>179970</v>
      </c>
      <c r="K1873" s="705">
        <v>50</v>
      </c>
      <c r="L1873" s="705">
        <v>37680</v>
      </c>
      <c r="M1873" s="705">
        <v>34254</v>
      </c>
      <c r="N1873" s="705">
        <v>8244</v>
      </c>
      <c r="O1873" s="705">
        <v>3053</v>
      </c>
      <c r="P1873" s="705">
        <v>0</v>
      </c>
      <c r="Q1873" s="705">
        <v>0</v>
      </c>
      <c r="R1873" s="705">
        <v>18475</v>
      </c>
      <c r="S1873" s="705">
        <v>6843</v>
      </c>
      <c r="T1873" s="705">
        <v>0</v>
      </c>
      <c r="U1873" s="705">
        <v>0</v>
      </c>
      <c r="V1873" s="705">
        <v>224121</v>
      </c>
      <c r="W1873" s="705">
        <f t="shared" si="78"/>
        <v>224120</v>
      </c>
      <c r="X1873" s="705">
        <f t="shared" si="79"/>
        <v>262367</v>
      </c>
    </row>
    <row r="1874" spans="2:24">
      <c r="B1874" t="s">
        <v>549</v>
      </c>
      <c r="C1874" t="s">
        <v>124</v>
      </c>
      <c r="D1874" t="s">
        <v>666</v>
      </c>
      <c r="E1874" t="s">
        <v>583</v>
      </c>
      <c r="F1874" s="705">
        <v>1</v>
      </c>
      <c r="G1874" s="705">
        <v>78</v>
      </c>
      <c r="H1874" s="705">
        <v>728</v>
      </c>
      <c r="I1874" s="705">
        <v>46319</v>
      </c>
      <c r="J1874" s="705">
        <v>42109</v>
      </c>
      <c r="K1874" s="705">
        <v>45</v>
      </c>
      <c r="L1874" s="705">
        <v>0</v>
      </c>
      <c r="M1874" s="705">
        <v>0</v>
      </c>
      <c r="N1874" s="705">
        <v>1895</v>
      </c>
      <c r="O1874" s="705">
        <v>702</v>
      </c>
      <c r="P1874" s="705">
        <v>351</v>
      </c>
      <c r="Q1874" s="705">
        <v>130</v>
      </c>
      <c r="R1874" s="705">
        <v>5924</v>
      </c>
      <c r="S1874" s="705">
        <v>5386</v>
      </c>
      <c r="T1874" s="705">
        <v>2136</v>
      </c>
      <c r="U1874" s="705">
        <v>791</v>
      </c>
      <c r="V1874" s="705">
        <v>49117</v>
      </c>
      <c r="W1874" s="705">
        <f t="shared" si="78"/>
        <v>49118</v>
      </c>
      <c r="X1874" s="705">
        <f t="shared" si="79"/>
        <v>56625</v>
      </c>
    </row>
    <row r="1875" spans="2:24">
      <c r="B1875" t="s">
        <v>549</v>
      </c>
      <c r="C1875" t="s">
        <v>124</v>
      </c>
      <c r="D1875" t="s">
        <v>666</v>
      </c>
      <c r="E1875" t="s">
        <v>666</v>
      </c>
      <c r="F1875" s="705">
        <v>6</v>
      </c>
      <c r="G1875" s="705">
        <v>494</v>
      </c>
      <c r="H1875" s="705">
        <v>3568</v>
      </c>
      <c r="I1875" s="705">
        <v>178592</v>
      </c>
      <c r="J1875" s="705">
        <v>162357</v>
      </c>
      <c r="K1875" s="705">
        <v>53</v>
      </c>
      <c r="L1875" s="705">
        <v>26407</v>
      </c>
      <c r="M1875" s="705">
        <v>22336</v>
      </c>
      <c r="N1875" s="705">
        <v>10935</v>
      </c>
      <c r="O1875" s="705">
        <v>4050</v>
      </c>
      <c r="P1875" s="705">
        <v>2106</v>
      </c>
      <c r="Q1875" s="705">
        <v>780</v>
      </c>
      <c r="R1875" s="705">
        <v>41240</v>
      </c>
      <c r="S1875" s="705">
        <v>37491</v>
      </c>
      <c r="T1875" s="705">
        <v>16539</v>
      </c>
      <c r="U1875" s="705">
        <v>6126</v>
      </c>
      <c r="V1875" s="705">
        <v>233138</v>
      </c>
      <c r="W1875" s="705">
        <f t="shared" si="78"/>
        <v>233140</v>
      </c>
      <c r="X1875" s="705">
        <f t="shared" si="79"/>
        <v>275819</v>
      </c>
    </row>
    <row r="1876" spans="2:24">
      <c r="B1876" t="s">
        <v>549</v>
      </c>
      <c r="C1876" t="s">
        <v>124</v>
      </c>
      <c r="D1876" t="s">
        <v>669</v>
      </c>
      <c r="E1876" t="s">
        <v>669</v>
      </c>
      <c r="F1876" s="705">
        <v>2</v>
      </c>
      <c r="G1876" s="705">
        <v>185</v>
      </c>
      <c r="H1876" s="705">
        <v>1238</v>
      </c>
      <c r="I1876" s="705">
        <v>84952</v>
      </c>
      <c r="J1876" s="705">
        <v>70793</v>
      </c>
      <c r="K1876" s="705">
        <v>55</v>
      </c>
      <c r="L1876" s="705">
        <v>6388</v>
      </c>
      <c r="M1876" s="705">
        <v>2366</v>
      </c>
      <c r="N1876" s="705">
        <v>4446</v>
      </c>
      <c r="O1876" s="705">
        <v>1647</v>
      </c>
      <c r="P1876" s="705">
        <v>702</v>
      </c>
      <c r="Q1876" s="705">
        <v>260</v>
      </c>
      <c r="R1876" s="705">
        <v>16111</v>
      </c>
      <c r="S1876" s="705">
        <v>13426</v>
      </c>
      <c r="T1876" s="705">
        <v>1862</v>
      </c>
      <c r="U1876" s="705">
        <v>690</v>
      </c>
      <c r="V1876" s="705">
        <v>89181</v>
      </c>
      <c r="W1876" s="705">
        <f t="shared" si="78"/>
        <v>89182</v>
      </c>
      <c r="X1876" s="705">
        <f t="shared" si="79"/>
        <v>114461</v>
      </c>
    </row>
    <row r="1877" spans="2:24">
      <c r="B1877" t="s">
        <v>549</v>
      </c>
      <c r="C1877" t="s">
        <v>124</v>
      </c>
      <c r="D1877" t="s">
        <v>667</v>
      </c>
      <c r="E1877" t="s">
        <v>667</v>
      </c>
      <c r="F1877" s="705">
        <v>1</v>
      </c>
      <c r="G1877" s="705">
        <v>84</v>
      </c>
      <c r="H1877" s="705">
        <v>592</v>
      </c>
      <c r="I1877" s="705">
        <v>37566</v>
      </c>
      <c r="J1877" s="705">
        <v>34151</v>
      </c>
      <c r="K1877" s="705">
        <v>54</v>
      </c>
      <c r="L1877" s="705">
        <v>4113</v>
      </c>
      <c r="M1877" s="705">
        <v>3739</v>
      </c>
      <c r="N1877" s="705">
        <v>1587</v>
      </c>
      <c r="O1877" s="705">
        <v>588</v>
      </c>
      <c r="P1877" s="705">
        <v>351</v>
      </c>
      <c r="Q1877" s="705">
        <v>130</v>
      </c>
      <c r="R1877" s="705">
        <v>4366</v>
      </c>
      <c r="S1877" s="705">
        <v>3969</v>
      </c>
      <c r="T1877" s="705">
        <v>1774</v>
      </c>
      <c r="U1877" s="705">
        <v>657</v>
      </c>
      <c r="V1877" s="705">
        <v>43234</v>
      </c>
      <c r="W1877" s="705">
        <f t="shared" si="78"/>
        <v>43234</v>
      </c>
      <c r="X1877" s="705">
        <f t="shared" si="79"/>
        <v>49757</v>
      </c>
    </row>
    <row r="1878" spans="2:24">
      <c r="B1878" t="s">
        <v>549</v>
      </c>
      <c r="C1878" t="s">
        <v>124</v>
      </c>
      <c r="D1878" t="s">
        <v>671</v>
      </c>
      <c r="E1878" t="s">
        <v>671</v>
      </c>
      <c r="F1878" s="705">
        <v>3</v>
      </c>
      <c r="G1878" s="705">
        <v>202</v>
      </c>
      <c r="H1878" s="705">
        <v>2391</v>
      </c>
      <c r="I1878" s="705">
        <v>124946</v>
      </c>
      <c r="J1878" s="705">
        <v>113587</v>
      </c>
      <c r="K1878" s="705">
        <v>59</v>
      </c>
      <c r="L1878" s="705">
        <v>10456</v>
      </c>
      <c r="M1878" s="705">
        <v>9506</v>
      </c>
      <c r="N1878" s="705">
        <v>3892</v>
      </c>
      <c r="O1878" s="705">
        <v>1442</v>
      </c>
      <c r="P1878" s="705">
        <v>1053</v>
      </c>
      <c r="Q1878" s="705">
        <v>390</v>
      </c>
      <c r="R1878" s="705">
        <v>15319</v>
      </c>
      <c r="S1878" s="705">
        <v>13927</v>
      </c>
      <c r="T1878" s="705">
        <v>4801</v>
      </c>
      <c r="U1878" s="705">
        <v>1778</v>
      </c>
      <c r="V1878" s="705">
        <v>140629</v>
      </c>
      <c r="W1878" s="705">
        <f t="shared" si="78"/>
        <v>140630</v>
      </c>
      <c r="X1878" s="705">
        <f t="shared" si="79"/>
        <v>160467</v>
      </c>
    </row>
    <row r="1879" spans="2:24">
      <c r="B1879" t="s">
        <v>549</v>
      </c>
      <c r="C1879" t="s">
        <v>124</v>
      </c>
      <c r="D1879" t="s">
        <v>665</v>
      </c>
      <c r="E1879" t="s">
        <v>228</v>
      </c>
      <c r="F1879" s="705">
        <v>37</v>
      </c>
      <c r="G1879" s="705">
        <v>3794</v>
      </c>
      <c r="H1879" s="705">
        <v>33964</v>
      </c>
      <c r="I1879" s="705">
        <v>2891258</v>
      </c>
      <c r="J1879" s="705">
        <v>2628417</v>
      </c>
      <c r="K1879" s="705">
        <v>37</v>
      </c>
      <c r="L1879" s="705">
        <v>215613</v>
      </c>
      <c r="M1879" s="705">
        <v>129477</v>
      </c>
      <c r="N1879" s="705">
        <v>89486</v>
      </c>
      <c r="O1879" s="705">
        <v>33143</v>
      </c>
      <c r="P1879" s="705">
        <v>1404</v>
      </c>
      <c r="Q1879" s="705">
        <v>520</v>
      </c>
      <c r="R1879" s="705">
        <v>268962</v>
      </c>
      <c r="S1879" s="705">
        <v>99615</v>
      </c>
      <c r="T1879" s="705">
        <v>0</v>
      </c>
      <c r="U1879" s="705">
        <v>0</v>
      </c>
      <c r="V1879" s="705">
        <v>2891172</v>
      </c>
      <c r="W1879" s="705">
        <f t="shared" si="78"/>
        <v>2891172</v>
      </c>
      <c r="X1879" s="705">
        <f t="shared" si="79"/>
        <v>3466723</v>
      </c>
    </row>
    <row r="1880" spans="2:24">
      <c r="B1880" t="s">
        <v>549</v>
      </c>
      <c r="C1880" t="s">
        <v>124</v>
      </c>
      <c r="D1880" t="s">
        <v>665</v>
      </c>
      <c r="E1880" t="s">
        <v>583</v>
      </c>
      <c r="F1880" s="705">
        <v>2</v>
      </c>
      <c r="G1880" s="705">
        <v>110</v>
      </c>
      <c r="H1880" s="705">
        <v>1568</v>
      </c>
      <c r="I1880" s="705">
        <v>54098</v>
      </c>
      <c r="J1880" s="705">
        <v>49180</v>
      </c>
      <c r="K1880" s="705">
        <v>45</v>
      </c>
      <c r="L1880" s="705">
        <v>6639</v>
      </c>
      <c r="M1880" s="705">
        <v>2459</v>
      </c>
      <c r="N1880" s="705">
        <v>1815</v>
      </c>
      <c r="O1880" s="705">
        <v>672</v>
      </c>
      <c r="P1880" s="705">
        <v>351</v>
      </c>
      <c r="Q1880" s="705">
        <v>130</v>
      </c>
      <c r="R1880" s="705">
        <v>12105</v>
      </c>
      <c r="S1880" s="705">
        <v>11004</v>
      </c>
      <c r="T1880" s="705">
        <v>2183</v>
      </c>
      <c r="U1880" s="705">
        <v>808</v>
      </c>
      <c r="V1880" s="705">
        <v>64254</v>
      </c>
      <c r="W1880" s="705">
        <f t="shared" si="78"/>
        <v>64253</v>
      </c>
      <c r="X1880" s="705">
        <f t="shared" si="79"/>
        <v>77191</v>
      </c>
    </row>
    <row r="1881" spans="2:24">
      <c r="B1881" t="s">
        <v>549</v>
      </c>
      <c r="C1881" t="s">
        <v>124</v>
      </c>
      <c r="D1881" t="s">
        <v>665</v>
      </c>
      <c r="E1881" t="s">
        <v>666</v>
      </c>
      <c r="F1881" s="705">
        <v>1</v>
      </c>
      <c r="G1881" s="705">
        <v>80</v>
      </c>
      <c r="H1881" s="705">
        <v>499</v>
      </c>
      <c r="I1881" s="705">
        <v>26649</v>
      </c>
      <c r="J1881" s="705">
        <v>24226</v>
      </c>
      <c r="K1881" s="705">
        <v>45</v>
      </c>
      <c r="L1881" s="705">
        <v>4442</v>
      </c>
      <c r="M1881" s="705">
        <v>4038</v>
      </c>
      <c r="N1881" s="705">
        <v>1710</v>
      </c>
      <c r="O1881" s="705">
        <v>633</v>
      </c>
      <c r="P1881" s="705">
        <v>351</v>
      </c>
      <c r="Q1881" s="705">
        <v>130</v>
      </c>
      <c r="R1881" s="705">
        <v>5165</v>
      </c>
      <c r="S1881" s="705">
        <v>4696</v>
      </c>
      <c r="T1881" s="705">
        <v>1723</v>
      </c>
      <c r="U1881" s="705">
        <v>638</v>
      </c>
      <c r="V1881" s="705">
        <v>34361</v>
      </c>
      <c r="W1881" s="705">
        <f t="shared" si="78"/>
        <v>34361</v>
      </c>
      <c r="X1881" s="705">
        <f t="shared" si="79"/>
        <v>40040</v>
      </c>
    </row>
    <row r="1882" spans="2:24">
      <c r="B1882" t="s">
        <v>549</v>
      </c>
      <c r="C1882" t="s">
        <v>124</v>
      </c>
      <c r="D1882" t="s">
        <v>665</v>
      </c>
      <c r="E1882" t="s">
        <v>665</v>
      </c>
      <c r="F1882" s="705">
        <v>151</v>
      </c>
      <c r="G1882" s="705">
        <v>10720</v>
      </c>
      <c r="H1882" s="705">
        <v>88881</v>
      </c>
      <c r="I1882" s="705">
        <v>4427216</v>
      </c>
      <c r="J1882" s="705">
        <v>4024741</v>
      </c>
      <c r="K1882" s="705">
        <v>50</v>
      </c>
      <c r="L1882" s="705">
        <v>581004</v>
      </c>
      <c r="M1882" s="705">
        <v>413696</v>
      </c>
      <c r="N1882" s="705">
        <v>236116</v>
      </c>
      <c r="O1882" s="705">
        <v>87450</v>
      </c>
      <c r="P1882" s="705">
        <v>42336</v>
      </c>
      <c r="Q1882" s="705">
        <v>15680</v>
      </c>
      <c r="R1882" s="705">
        <v>891870</v>
      </c>
      <c r="S1882" s="705">
        <v>810791</v>
      </c>
      <c r="T1882" s="705">
        <v>285679</v>
      </c>
      <c r="U1882" s="705">
        <v>105807</v>
      </c>
      <c r="V1882" s="705">
        <v>5458166</v>
      </c>
      <c r="W1882" s="705">
        <f t="shared" si="78"/>
        <v>5458165</v>
      </c>
      <c r="X1882" s="705">
        <f t="shared" si="79"/>
        <v>6464221</v>
      </c>
    </row>
    <row r="1883" spans="2:24">
      <c r="B1883" t="s">
        <v>550</v>
      </c>
      <c r="C1883" t="s">
        <v>108</v>
      </c>
      <c r="D1883" t="s">
        <v>228</v>
      </c>
      <c r="E1883" t="s">
        <v>228</v>
      </c>
      <c r="F1883" s="705">
        <v>806</v>
      </c>
      <c r="G1883" s="705">
        <v>97446</v>
      </c>
      <c r="H1883" s="705">
        <v>43050</v>
      </c>
      <c r="I1883" s="705">
        <v>327087</v>
      </c>
      <c r="J1883" s="705">
        <v>121143</v>
      </c>
      <c r="K1883" s="705">
        <v>486</v>
      </c>
      <c r="L1883" s="705">
        <v>33754</v>
      </c>
      <c r="M1883" s="705">
        <v>24377</v>
      </c>
      <c r="N1883" s="705">
        <v>1229671</v>
      </c>
      <c r="O1883" s="705">
        <v>455434</v>
      </c>
      <c r="P1883" s="705">
        <v>310550</v>
      </c>
      <c r="Q1883" s="705">
        <v>115019</v>
      </c>
      <c r="R1883" s="705">
        <v>3316038</v>
      </c>
      <c r="S1883" s="705">
        <v>1228162</v>
      </c>
      <c r="T1883" s="705">
        <v>0</v>
      </c>
      <c r="U1883" s="705">
        <v>0</v>
      </c>
      <c r="V1883" s="705">
        <v>1944135</v>
      </c>
      <c r="W1883" s="705">
        <f t="shared" si="78"/>
        <v>1944135</v>
      </c>
      <c r="X1883" s="705">
        <f t="shared" si="79"/>
        <v>5217100</v>
      </c>
    </row>
    <row r="1884" spans="2:24">
      <c r="B1884" t="s">
        <v>550</v>
      </c>
      <c r="C1884" t="s">
        <v>108</v>
      </c>
      <c r="D1884" t="s">
        <v>583</v>
      </c>
      <c r="E1884" t="s">
        <v>583</v>
      </c>
      <c r="F1884" s="705">
        <v>6</v>
      </c>
      <c r="G1884" s="705">
        <v>737</v>
      </c>
      <c r="H1884" s="705">
        <v>410</v>
      </c>
      <c r="I1884" s="705">
        <v>15081</v>
      </c>
      <c r="J1884" s="705">
        <v>13710</v>
      </c>
      <c r="K1884" s="705">
        <v>94</v>
      </c>
      <c r="L1884" s="705">
        <v>1216</v>
      </c>
      <c r="M1884" s="705">
        <v>1106</v>
      </c>
      <c r="N1884" s="705">
        <v>8976</v>
      </c>
      <c r="O1884" s="705">
        <v>3324</v>
      </c>
      <c r="P1884" s="705">
        <v>3726</v>
      </c>
      <c r="Q1884" s="705">
        <v>1380</v>
      </c>
      <c r="R1884" s="705">
        <v>21726</v>
      </c>
      <c r="S1884" s="705">
        <v>19751</v>
      </c>
      <c r="T1884" s="705">
        <v>0</v>
      </c>
      <c r="U1884" s="705">
        <v>0</v>
      </c>
      <c r="V1884" s="705">
        <v>39271</v>
      </c>
      <c r="W1884" s="705">
        <f t="shared" si="78"/>
        <v>39271</v>
      </c>
      <c r="X1884" s="705">
        <f t="shared" si="79"/>
        <v>50725</v>
      </c>
    </row>
    <row r="1885" spans="2:24">
      <c r="B1885" t="s">
        <v>550</v>
      </c>
      <c r="C1885" t="s">
        <v>108</v>
      </c>
      <c r="D1885" t="s">
        <v>584</v>
      </c>
      <c r="E1885" t="s">
        <v>584</v>
      </c>
      <c r="F1885" s="705">
        <v>2390</v>
      </c>
      <c r="G1885" s="705">
        <v>280429</v>
      </c>
      <c r="H1885" s="705">
        <v>133999</v>
      </c>
      <c r="I1885" s="705">
        <v>1949499</v>
      </c>
      <c r="J1885" s="705">
        <v>1772272</v>
      </c>
      <c r="K1885" s="705">
        <v>91</v>
      </c>
      <c r="L1885" s="705">
        <v>54157</v>
      </c>
      <c r="M1885" s="705">
        <v>50145</v>
      </c>
      <c r="N1885" s="705">
        <v>3472106</v>
      </c>
      <c r="O1885" s="705">
        <v>1285965</v>
      </c>
      <c r="P1885" s="705">
        <v>1955740</v>
      </c>
      <c r="Q1885" s="705">
        <v>724348</v>
      </c>
      <c r="R1885" s="705">
        <v>8226074</v>
      </c>
      <c r="S1885" s="705">
        <v>7478249</v>
      </c>
      <c r="T1885" s="705">
        <v>0</v>
      </c>
      <c r="U1885" s="705">
        <v>0</v>
      </c>
      <c r="V1885" s="705">
        <v>11310979</v>
      </c>
      <c r="W1885" s="705">
        <f t="shared" si="78"/>
        <v>11310979</v>
      </c>
      <c r="X1885" s="705">
        <f t="shared" si="79"/>
        <v>15657576</v>
      </c>
    </row>
    <row r="1886" spans="2:24">
      <c r="B1886" t="s">
        <v>550</v>
      </c>
      <c r="C1886" t="s">
        <v>110</v>
      </c>
      <c r="D1886" t="s">
        <v>228</v>
      </c>
      <c r="E1886" t="s">
        <v>228</v>
      </c>
      <c r="F1886" s="705">
        <v>1</v>
      </c>
      <c r="G1886" s="705">
        <v>331</v>
      </c>
      <c r="H1886" s="705">
        <v>79</v>
      </c>
      <c r="I1886" s="705">
        <v>6699</v>
      </c>
      <c r="J1886" s="705">
        <v>2481</v>
      </c>
      <c r="K1886" s="705">
        <v>582</v>
      </c>
      <c r="L1886" s="705">
        <v>5883</v>
      </c>
      <c r="M1886" s="705">
        <v>5348</v>
      </c>
      <c r="N1886" s="705">
        <v>4997</v>
      </c>
      <c r="O1886" s="705">
        <v>1851</v>
      </c>
      <c r="P1886" s="705">
        <v>351</v>
      </c>
      <c r="Q1886" s="705">
        <v>130</v>
      </c>
      <c r="R1886" s="705">
        <v>8044</v>
      </c>
      <c r="S1886" s="705">
        <v>2979</v>
      </c>
      <c r="T1886" s="705">
        <v>0</v>
      </c>
      <c r="U1886" s="705">
        <v>0</v>
      </c>
      <c r="V1886" s="705">
        <v>12790</v>
      </c>
      <c r="W1886" s="705">
        <f t="shared" si="78"/>
        <v>12789</v>
      </c>
      <c r="X1886" s="705">
        <f t="shared" si="79"/>
        <v>25974</v>
      </c>
    </row>
    <row r="1887" spans="2:24">
      <c r="B1887" t="s">
        <v>550</v>
      </c>
      <c r="C1887" t="s">
        <v>110</v>
      </c>
      <c r="D1887" t="s">
        <v>583</v>
      </c>
      <c r="E1887" t="s">
        <v>583</v>
      </c>
      <c r="F1887" s="705">
        <v>1</v>
      </c>
      <c r="G1887" s="705">
        <v>112</v>
      </c>
      <c r="H1887" s="705">
        <v>79</v>
      </c>
      <c r="I1887" s="705">
        <v>2285</v>
      </c>
      <c r="J1887" s="705">
        <v>2077</v>
      </c>
      <c r="K1887" s="705">
        <v>95</v>
      </c>
      <c r="L1887" s="705">
        <v>804</v>
      </c>
      <c r="M1887" s="705">
        <v>731</v>
      </c>
      <c r="N1887" s="705">
        <v>1362</v>
      </c>
      <c r="O1887" s="705">
        <v>504</v>
      </c>
      <c r="P1887" s="705">
        <v>621</v>
      </c>
      <c r="Q1887" s="705">
        <v>230</v>
      </c>
      <c r="R1887" s="705">
        <v>3763</v>
      </c>
      <c r="S1887" s="705">
        <v>3421</v>
      </c>
      <c r="T1887" s="705">
        <v>0</v>
      </c>
      <c r="U1887" s="705">
        <v>0</v>
      </c>
      <c r="V1887" s="705">
        <v>6964</v>
      </c>
      <c r="W1887" s="705">
        <f t="shared" si="78"/>
        <v>6963</v>
      </c>
      <c r="X1887" s="705">
        <f t="shared" si="79"/>
        <v>8835</v>
      </c>
    </row>
    <row r="1888" spans="2:24">
      <c r="B1888" t="s">
        <v>550</v>
      </c>
      <c r="C1888" t="s">
        <v>110</v>
      </c>
      <c r="D1888" t="s">
        <v>584</v>
      </c>
      <c r="E1888" t="s">
        <v>584</v>
      </c>
      <c r="F1888" s="705">
        <v>178</v>
      </c>
      <c r="G1888" s="705">
        <v>21410</v>
      </c>
      <c r="H1888" s="705">
        <v>16159</v>
      </c>
      <c r="I1888" s="705">
        <v>895689</v>
      </c>
      <c r="J1888" s="705">
        <v>814263</v>
      </c>
      <c r="K1888" s="705">
        <v>91</v>
      </c>
      <c r="L1888" s="705">
        <v>102506</v>
      </c>
      <c r="M1888" s="705">
        <v>91947</v>
      </c>
      <c r="N1888" s="705">
        <v>291149</v>
      </c>
      <c r="O1888" s="705">
        <v>107833</v>
      </c>
      <c r="P1888" s="705">
        <v>85996</v>
      </c>
      <c r="Q1888" s="705">
        <v>31850</v>
      </c>
      <c r="R1888" s="705">
        <v>554479</v>
      </c>
      <c r="S1888" s="705">
        <v>504071</v>
      </c>
      <c r="T1888" s="705">
        <v>9897</v>
      </c>
      <c r="U1888" s="705">
        <v>3665</v>
      </c>
      <c r="V1888" s="705">
        <v>1553630</v>
      </c>
      <c r="W1888" s="705">
        <f t="shared" si="78"/>
        <v>1553629</v>
      </c>
      <c r="X1888" s="705">
        <f t="shared" si="79"/>
        <v>1939716</v>
      </c>
    </row>
    <row r="1889" spans="2:24">
      <c r="B1889" t="s">
        <v>550</v>
      </c>
      <c r="C1889" t="s">
        <v>112</v>
      </c>
      <c r="D1889" t="s">
        <v>583</v>
      </c>
      <c r="E1889" t="s">
        <v>583</v>
      </c>
      <c r="F1889" s="705">
        <v>21</v>
      </c>
      <c r="G1889" s="705">
        <v>2869</v>
      </c>
      <c r="H1889" s="705">
        <v>2487</v>
      </c>
      <c r="I1889" s="705">
        <v>162211</v>
      </c>
      <c r="J1889" s="705">
        <v>147465</v>
      </c>
      <c r="K1889" s="705">
        <v>91</v>
      </c>
      <c r="L1889" s="705">
        <v>28492</v>
      </c>
      <c r="M1889" s="705">
        <v>25356</v>
      </c>
      <c r="N1889" s="705">
        <v>45106</v>
      </c>
      <c r="O1889" s="705">
        <v>16706</v>
      </c>
      <c r="P1889" s="705">
        <v>14445</v>
      </c>
      <c r="Q1889" s="705">
        <v>5350</v>
      </c>
      <c r="R1889" s="705">
        <v>88852</v>
      </c>
      <c r="S1889" s="705">
        <v>80775</v>
      </c>
      <c r="T1889" s="705">
        <v>0</v>
      </c>
      <c r="U1889" s="705">
        <v>0</v>
      </c>
      <c r="V1889" s="705">
        <v>275651</v>
      </c>
      <c r="W1889" s="705">
        <f t="shared" si="78"/>
        <v>275652</v>
      </c>
      <c r="X1889" s="705">
        <f t="shared" si="79"/>
        <v>339106</v>
      </c>
    </row>
    <row r="1890" spans="2:24">
      <c r="B1890" t="s">
        <v>550</v>
      </c>
      <c r="C1890" t="s">
        <v>112</v>
      </c>
      <c r="D1890" t="s">
        <v>584</v>
      </c>
      <c r="E1890" t="s">
        <v>584</v>
      </c>
      <c r="F1890" s="705">
        <v>328</v>
      </c>
      <c r="G1890" s="705">
        <v>38334</v>
      </c>
      <c r="H1890" s="705">
        <v>38130</v>
      </c>
      <c r="I1890" s="705">
        <v>2001894</v>
      </c>
      <c r="J1890" s="705">
        <v>1819904</v>
      </c>
      <c r="K1890" s="705">
        <v>88</v>
      </c>
      <c r="L1890" s="705">
        <v>297166</v>
      </c>
      <c r="M1890" s="705">
        <v>238356</v>
      </c>
      <c r="N1890" s="705">
        <v>665101</v>
      </c>
      <c r="O1890" s="705">
        <v>246334</v>
      </c>
      <c r="P1890" s="705">
        <v>160149</v>
      </c>
      <c r="Q1890" s="705">
        <v>59314</v>
      </c>
      <c r="R1890" s="705">
        <v>1366417</v>
      </c>
      <c r="S1890" s="705">
        <v>1242197</v>
      </c>
      <c r="T1890" s="705">
        <v>25597</v>
      </c>
      <c r="U1890" s="705">
        <v>9480</v>
      </c>
      <c r="V1890" s="705">
        <v>3615585</v>
      </c>
      <c r="W1890" s="705">
        <f t="shared" ref="W1890:W1953" si="80">SUM(ABS(J1890),ABS(M1890),ABS(O1890),ABS(Q1890),ABS(S1890),ABS(U1890))</f>
        <v>3615585</v>
      </c>
      <c r="X1890" s="705">
        <f t="shared" ref="X1890:X1953" si="81">SUM(ABS(I1890),ABS(N1890),ABS(P1890),ABS(R1890),ABS(T1890),ABS(L1890))</f>
        <v>4516324</v>
      </c>
    </row>
    <row r="1891" spans="2:24">
      <c r="B1891" t="s">
        <v>550</v>
      </c>
      <c r="C1891" t="s">
        <v>112</v>
      </c>
      <c r="D1891" t="s">
        <v>665</v>
      </c>
      <c r="E1891" t="s">
        <v>665</v>
      </c>
      <c r="F1891" s="705">
        <v>1</v>
      </c>
      <c r="G1891" s="705">
        <v>135</v>
      </c>
      <c r="H1891" s="705">
        <v>113</v>
      </c>
      <c r="I1891" s="705">
        <v>7248</v>
      </c>
      <c r="J1891" s="705">
        <v>6589</v>
      </c>
      <c r="K1891" s="705">
        <v>79</v>
      </c>
      <c r="L1891" s="705">
        <v>2121</v>
      </c>
      <c r="M1891" s="705">
        <v>1928</v>
      </c>
      <c r="N1891" s="705">
        <v>1648</v>
      </c>
      <c r="O1891" s="705">
        <v>611</v>
      </c>
      <c r="P1891" s="705">
        <v>351</v>
      </c>
      <c r="Q1891" s="705">
        <v>130</v>
      </c>
      <c r="R1891" s="705">
        <v>3925</v>
      </c>
      <c r="S1891" s="705">
        <v>3569</v>
      </c>
      <c r="T1891" s="705">
        <v>0</v>
      </c>
      <c r="U1891" s="705">
        <v>0</v>
      </c>
      <c r="V1891" s="705">
        <v>12826</v>
      </c>
      <c r="W1891" s="705">
        <f t="shared" si="80"/>
        <v>12827</v>
      </c>
      <c r="X1891" s="705">
        <f t="shared" si="81"/>
        <v>15293</v>
      </c>
    </row>
    <row r="1892" spans="2:24">
      <c r="B1892" t="s">
        <v>550</v>
      </c>
      <c r="C1892" t="s">
        <v>112</v>
      </c>
      <c r="D1892" t="s">
        <v>585</v>
      </c>
      <c r="E1892" t="s">
        <v>585</v>
      </c>
      <c r="F1892" s="705">
        <v>1</v>
      </c>
      <c r="G1892" s="705">
        <v>260</v>
      </c>
      <c r="H1892" s="705">
        <v>123</v>
      </c>
      <c r="I1892" s="705">
        <v>18219</v>
      </c>
      <c r="J1892" s="705">
        <v>16563</v>
      </c>
      <c r="K1892" s="705">
        <v>87</v>
      </c>
      <c r="L1892" s="705">
        <v>2935</v>
      </c>
      <c r="M1892" s="705">
        <v>2668</v>
      </c>
      <c r="N1892" s="705">
        <v>4144</v>
      </c>
      <c r="O1892" s="705">
        <v>1535</v>
      </c>
      <c r="P1892" s="705">
        <v>351</v>
      </c>
      <c r="Q1892" s="705">
        <v>130</v>
      </c>
      <c r="R1892" s="705">
        <v>6190</v>
      </c>
      <c r="S1892" s="705">
        <v>5628</v>
      </c>
      <c r="T1892" s="705">
        <v>0</v>
      </c>
      <c r="U1892" s="705">
        <v>0</v>
      </c>
      <c r="V1892" s="705">
        <v>26524</v>
      </c>
      <c r="W1892" s="705">
        <f t="shared" si="80"/>
        <v>26524</v>
      </c>
      <c r="X1892" s="705">
        <f t="shared" si="81"/>
        <v>31839</v>
      </c>
    </row>
    <row r="1893" spans="2:24">
      <c r="B1893" t="s">
        <v>550</v>
      </c>
      <c r="C1893" t="s">
        <v>114</v>
      </c>
      <c r="F1893" s="705">
        <v>7</v>
      </c>
      <c r="G1893" s="705">
        <v>906</v>
      </c>
      <c r="H1893" s="705">
        <v>963</v>
      </c>
      <c r="I1893" s="705"/>
      <c r="J1893" s="705">
        <v>0</v>
      </c>
      <c r="K1893" s="705"/>
      <c r="L1893" s="705"/>
      <c r="M1893" s="705">
        <v>0</v>
      </c>
      <c r="N1893" s="705">
        <v>17198</v>
      </c>
      <c r="O1893" s="705">
        <v>6370</v>
      </c>
      <c r="P1893" s="705">
        <v>4347</v>
      </c>
      <c r="Q1893" s="705">
        <v>1610</v>
      </c>
      <c r="R1893" s="705"/>
      <c r="S1893" s="705">
        <v>0</v>
      </c>
      <c r="T1893" s="705">
        <v>0</v>
      </c>
      <c r="U1893" s="705">
        <v>0</v>
      </c>
      <c r="V1893" s="705">
        <v>7980</v>
      </c>
      <c r="W1893" s="705">
        <f t="shared" si="80"/>
        <v>7980</v>
      </c>
      <c r="X1893" s="705">
        <f t="shared" si="81"/>
        <v>21545</v>
      </c>
    </row>
    <row r="1894" spans="2:24">
      <c r="B1894" t="s">
        <v>550</v>
      </c>
      <c r="C1894" t="s">
        <v>114</v>
      </c>
      <c r="D1894" t="s">
        <v>664</v>
      </c>
      <c r="E1894" t="s">
        <v>664</v>
      </c>
      <c r="F1894" s="705">
        <v>1</v>
      </c>
      <c r="G1894" s="705">
        <v>171</v>
      </c>
      <c r="H1894" s="705">
        <v>142</v>
      </c>
      <c r="I1894" s="705">
        <v>12918</v>
      </c>
      <c r="J1894" s="705">
        <v>11744</v>
      </c>
      <c r="K1894" s="705">
        <v>92</v>
      </c>
      <c r="L1894" s="705">
        <v>4182</v>
      </c>
      <c r="M1894" s="705">
        <v>3802</v>
      </c>
      <c r="N1894" s="705">
        <v>2672</v>
      </c>
      <c r="O1894" s="705">
        <v>990</v>
      </c>
      <c r="P1894" s="705">
        <v>473</v>
      </c>
      <c r="Q1894" s="705">
        <v>175</v>
      </c>
      <c r="R1894" s="705">
        <v>4085</v>
      </c>
      <c r="S1894" s="705">
        <v>3713</v>
      </c>
      <c r="T1894" s="705">
        <v>0</v>
      </c>
      <c r="U1894" s="705">
        <v>0</v>
      </c>
      <c r="V1894" s="705">
        <v>20423</v>
      </c>
      <c r="W1894" s="705">
        <f t="shared" si="80"/>
        <v>20424</v>
      </c>
      <c r="X1894" s="705">
        <f t="shared" si="81"/>
        <v>24330</v>
      </c>
    </row>
    <row r="1895" spans="2:24">
      <c r="B1895" t="s">
        <v>550</v>
      </c>
      <c r="C1895" t="s">
        <v>114</v>
      </c>
      <c r="D1895" t="s">
        <v>664</v>
      </c>
      <c r="E1895" t="s">
        <v>582</v>
      </c>
      <c r="F1895" s="705">
        <v>1</v>
      </c>
      <c r="G1895" s="705">
        <v>109</v>
      </c>
      <c r="H1895" s="705">
        <v>149</v>
      </c>
      <c r="I1895" s="705">
        <v>7902</v>
      </c>
      <c r="J1895" s="705">
        <v>7184</v>
      </c>
      <c r="K1895" s="705">
        <v>91</v>
      </c>
      <c r="L1895" s="705">
        <v>1950</v>
      </c>
      <c r="M1895" s="705">
        <v>722</v>
      </c>
      <c r="N1895" s="705">
        <v>1857</v>
      </c>
      <c r="O1895" s="705">
        <v>688</v>
      </c>
      <c r="P1895" s="705">
        <v>122</v>
      </c>
      <c r="Q1895" s="705">
        <v>45</v>
      </c>
      <c r="R1895" s="705">
        <v>4387</v>
      </c>
      <c r="S1895" s="705">
        <v>3988</v>
      </c>
      <c r="T1895" s="705">
        <v>0</v>
      </c>
      <c r="U1895" s="705">
        <v>0</v>
      </c>
      <c r="V1895" s="705">
        <v>12627</v>
      </c>
      <c r="W1895" s="705">
        <f t="shared" si="80"/>
        <v>12627</v>
      </c>
      <c r="X1895" s="705">
        <f t="shared" si="81"/>
        <v>16218</v>
      </c>
    </row>
    <row r="1896" spans="2:24">
      <c r="B1896" t="s">
        <v>550</v>
      </c>
      <c r="C1896" t="s">
        <v>114</v>
      </c>
      <c r="D1896" t="s">
        <v>582</v>
      </c>
      <c r="E1896" t="s">
        <v>582</v>
      </c>
      <c r="F1896" s="705">
        <v>7</v>
      </c>
      <c r="G1896" s="705">
        <v>668</v>
      </c>
      <c r="H1896" s="705">
        <v>1006</v>
      </c>
      <c r="I1896" s="705">
        <v>44859</v>
      </c>
      <c r="J1896" s="705">
        <v>40781</v>
      </c>
      <c r="K1896" s="705">
        <v>86</v>
      </c>
      <c r="L1896" s="705">
        <v>11150</v>
      </c>
      <c r="M1896" s="705">
        <v>10136</v>
      </c>
      <c r="N1896" s="705">
        <v>11191</v>
      </c>
      <c r="O1896" s="705">
        <v>4145</v>
      </c>
      <c r="P1896" s="705">
        <v>3308</v>
      </c>
      <c r="Q1896" s="705">
        <v>1225</v>
      </c>
      <c r="R1896" s="705">
        <v>27210</v>
      </c>
      <c r="S1896" s="705">
        <v>24736</v>
      </c>
      <c r="T1896" s="705">
        <v>0</v>
      </c>
      <c r="U1896" s="705">
        <v>0</v>
      </c>
      <c r="V1896" s="705">
        <v>81023</v>
      </c>
      <c r="W1896" s="705">
        <f t="shared" si="80"/>
        <v>81023</v>
      </c>
      <c r="X1896" s="705">
        <f t="shared" si="81"/>
        <v>97718</v>
      </c>
    </row>
    <row r="1897" spans="2:24">
      <c r="B1897" t="s">
        <v>550</v>
      </c>
      <c r="C1897" t="s">
        <v>114</v>
      </c>
      <c r="D1897" t="s">
        <v>582</v>
      </c>
      <c r="E1897" t="s">
        <v>584</v>
      </c>
      <c r="F1897" s="705">
        <v>1</v>
      </c>
      <c r="G1897" s="705">
        <v>82</v>
      </c>
      <c r="H1897" s="705">
        <v>143</v>
      </c>
      <c r="I1897" s="705">
        <v>4949</v>
      </c>
      <c r="J1897" s="705">
        <v>4499</v>
      </c>
      <c r="K1897" s="705">
        <v>80</v>
      </c>
      <c r="L1897" s="705">
        <v>1395</v>
      </c>
      <c r="M1897" s="705">
        <v>1268</v>
      </c>
      <c r="N1897" s="705">
        <v>995</v>
      </c>
      <c r="O1897" s="705">
        <v>369</v>
      </c>
      <c r="P1897" s="705">
        <v>473</v>
      </c>
      <c r="Q1897" s="705">
        <v>175</v>
      </c>
      <c r="R1897" s="705">
        <v>3855</v>
      </c>
      <c r="S1897" s="705">
        <v>3504</v>
      </c>
      <c r="T1897" s="705">
        <v>0</v>
      </c>
      <c r="U1897" s="705">
        <v>0</v>
      </c>
      <c r="V1897" s="705">
        <v>9815</v>
      </c>
      <c r="W1897" s="705">
        <f t="shared" si="80"/>
        <v>9815</v>
      </c>
      <c r="X1897" s="705">
        <f t="shared" si="81"/>
        <v>11667</v>
      </c>
    </row>
    <row r="1898" spans="2:24">
      <c r="B1898" t="s">
        <v>550</v>
      </c>
      <c r="C1898" t="s">
        <v>114</v>
      </c>
      <c r="D1898" t="s">
        <v>583</v>
      </c>
      <c r="E1898" t="s">
        <v>583</v>
      </c>
      <c r="F1898" s="705">
        <v>234</v>
      </c>
      <c r="G1898" s="705">
        <v>26769</v>
      </c>
      <c r="H1898" s="705">
        <v>32755</v>
      </c>
      <c r="I1898" s="705">
        <v>1750518</v>
      </c>
      <c r="J1898" s="705">
        <v>1591380</v>
      </c>
      <c r="K1898" s="705">
        <v>91</v>
      </c>
      <c r="L1898" s="705">
        <v>397293</v>
      </c>
      <c r="M1898" s="705">
        <v>340132</v>
      </c>
      <c r="N1898" s="705">
        <v>465025</v>
      </c>
      <c r="O1898" s="705">
        <v>172231</v>
      </c>
      <c r="P1898" s="705">
        <v>150660</v>
      </c>
      <c r="Q1898" s="705">
        <v>55800</v>
      </c>
      <c r="R1898" s="705">
        <v>1015368</v>
      </c>
      <c r="S1898" s="705">
        <v>923062</v>
      </c>
      <c r="T1898" s="705">
        <v>11694</v>
      </c>
      <c r="U1898" s="705">
        <v>4331</v>
      </c>
      <c r="V1898" s="705">
        <v>3086937</v>
      </c>
      <c r="W1898" s="705">
        <f t="shared" si="80"/>
        <v>3086936</v>
      </c>
      <c r="X1898" s="705">
        <f t="shared" si="81"/>
        <v>3790558</v>
      </c>
    </row>
    <row r="1899" spans="2:24">
      <c r="B1899" t="s">
        <v>550</v>
      </c>
      <c r="C1899" t="s">
        <v>114</v>
      </c>
      <c r="D1899" t="s">
        <v>584</v>
      </c>
      <c r="E1899" t="s">
        <v>583</v>
      </c>
      <c r="F1899" s="705">
        <v>1</v>
      </c>
      <c r="G1899" s="705">
        <v>122</v>
      </c>
      <c r="H1899" s="705">
        <v>146</v>
      </c>
      <c r="I1899" s="705">
        <v>12513</v>
      </c>
      <c r="J1899" s="705">
        <v>11375</v>
      </c>
      <c r="K1899" s="705">
        <v>73</v>
      </c>
      <c r="L1899" s="705">
        <v>2412</v>
      </c>
      <c r="M1899" s="705">
        <v>2193</v>
      </c>
      <c r="N1899" s="705">
        <v>1917</v>
      </c>
      <c r="O1899" s="705">
        <v>710</v>
      </c>
      <c r="P1899" s="705">
        <v>824</v>
      </c>
      <c r="Q1899" s="705">
        <v>305</v>
      </c>
      <c r="R1899" s="705">
        <v>164</v>
      </c>
      <c r="S1899" s="705">
        <v>149</v>
      </c>
      <c r="T1899" s="705">
        <v>0</v>
      </c>
      <c r="U1899" s="705">
        <v>0</v>
      </c>
      <c r="V1899" s="705">
        <v>14732</v>
      </c>
      <c r="W1899" s="705">
        <f t="shared" si="80"/>
        <v>14732</v>
      </c>
      <c r="X1899" s="705">
        <f t="shared" si="81"/>
        <v>17830</v>
      </c>
    </row>
    <row r="1900" spans="2:24">
      <c r="B1900" t="s">
        <v>550</v>
      </c>
      <c r="C1900" t="s">
        <v>114</v>
      </c>
      <c r="D1900" t="s">
        <v>584</v>
      </c>
      <c r="E1900" t="s">
        <v>584</v>
      </c>
      <c r="F1900" s="705">
        <v>1071</v>
      </c>
      <c r="G1900" s="705">
        <v>121790</v>
      </c>
      <c r="H1900" s="705">
        <v>150062</v>
      </c>
      <c r="I1900" s="705">
        <v>8052105</v>
      </c>
      <c r="J1900" s="705">
        <v>7320096</v>
      </c>
      <c r="K1900" s="705">
        <v>86</v>
      </c>
      <c r="L1900" s="705">
        <v>1487115</v>
      </c>
      <c r="M1900" s="705">
        <v>1249870</v>
      </c>
      <c r="N1900" s="705">
        <v>2155084</v>
      </c>
      <c r="O1900" s="705">
        <v>798179</v>
      </c>
      <c r="P1900" s="705">
        <v>528206</v>
      </c>
      <c r="Q1900" s="705">
        <v>195632</v>
      </c>
      <c r="R1900" s="705">
        <v>4893939</v>
      </c>
      <c r="S1900" s="705">
        <v>4449036</v>
      </c>
      <c r="T1900" s="705">
        <v>175866</v>
      </c>
      <c r="U1900" s="705">
        <v>65136</v>
      </c>
      <c r="V1900" s="705">
        <v>14077948</v>
      </c>
      <c r="W1900" s="705">
        <f t="shared" si="80"/>
        <v>14077949</v>
      </c>
      <c r="X1900" s="705">
        <f t="shared" si="81"/>
        <v>17292315</v>
      </c>
    </row>
    <row r="1901" spans="2:24">
      <c r="B1901" t="s">
        <v>550</v>
      </c>
      <c r="C1901" t="s">
        <v>114</v>
      </c>
      <c r="D1901" t="s">
        <v>669</v>
      </c>
      <c r="E1901" t="s">
        <v>584</v>
      </c>
      <c r="F1901" s="705">
        <v>1</v>
      </c>
      <c r="G1901" s="705">
        <v>127</v>
      </c>
      <c r="H1901" s="705">
        <v>139</v>
      </c>
      <c r="I1901" s="705">
        <v>8852</v>
      </c>
      <c r="J1901" s="705">
        <v>7377</v>
      </c>
      <c r="K1901" s="705">
        <v>90</v>
      </c>
      <c r="L1901" s="705">
        <v>1354</v>
      </c>
      <c r="M1901" s="705">
        <v>1231</v>
      </c>
      <c r="N1901" s="705">
        <v>2235</v>
      </c>
      <c r="O1901" s="705">
        <v>828</v>
      </c>
      <c r="P1901" s="705">
        <v>473</v>
      </c>
      <c r="Q1901" s="705">
        <v>175</v>
      </c>
      <c r="R1901" s="705">
        <v>4699</v>
      </c>
      <c r="S1901" s="705">
        <v>4272</v>
      </c>
      <c r="T1901" s="705">
        <v>0</v>
      </c>
      <c r="U1901" s="705">
        <v>0</v>
      </c>
      <c r="V1901" s="705">
        <v>13882</v>
      </c>
      <c r="W1901" s="705">
        <f t="shared" si="80"/>
        <v>13883</v>
      </c>
      <c r="X1901" s="705">
        <f t="shared" si="81"/>
        <v>17613</v>
      </c>
    </row>
    <row r="1902" spans="2:24">
      <c r="B1902" t="s">
        <v>550</v>
      </c>
      <c r="C1902" t="s">
        <v>114</v>
      </c>
      <c r="D1902" t="s">
        <v>585</v>
      </c>
      <c r="E1902" t="s">
        <v>585</v>
      </c>
      <c r="F1902" s="705">
        <v>1</v>
      </c>
      <c r="G1902" s="705">
        <v>143</v>
      </c>
      <c r="H1902" s="705">
        <v>140</v>
      </c>
      <c r="I1902" s="705">
        <v>8854</v>
      </c>
      <c r="J1902" s="705">
        <v>8049</v>
      </c>
      <c r="K1902" s="705">
        <v>94</v>
      </c>
      <c r="L1902" s="705">
        <v>3373</v>
      </c>
      <c r="M1902" s="705">
        <v>2811</v>
      </c>
      <c r="N1902" s="705">
        <v>2708</v>
      </c>
      <c r="O1902" s="705">
        <v>1003</v>
      </c>
      <c r="P1902" s="705">
        <v>351</v>
      </c>
      <c r="Q1902" s="705">
        <v>130</v>
      </c>
      <c r="R1902" s="705">
        <v>4744</v>
      </c>
      <c r="S1902" s="705">
        <v>4313</v>
      </c>
      <c r="T1902" s="705">
        <v>0</v>
      </c>
      <c r="U1902" s="705">
        <v>0</v>
      </c>
      <c r="V1902" s="705">
        <v>16306</v>
      </c>
      <c r="W1902" s="705">
        <f t="shared" si="80"/>
        <v>16306</v>
      </c>
      <c r="X1902" s="705">
        <f t="shared" si="81"/>
        <v>20030</v>
      </c>
    </row>
    <row r="1903" spans="2:24">
      <c r="B1903" t="s">
        <v>550</v>
      </c>
      <c r="C1903" t="s">
        <v>116</v>
      </c>
      <c r="F1903" s="705">
        <v>5</v>
      </c>
      <c r="G1903" s="705">
        <v>805</v>
      </c>
      <c r="H1903" s="705">
        <v>875</v>
      </c>
      <c r="I1903" s="705"/>
      <c r="J1903" s="705">
        <v>0</v>
      </c>
      <c r="K1903" s="705"/>
      <c r="L1903" s="705"/>
      <c r="M1903" s="705">
        <v>0</v>
      </c>
      <c r="N1903" s="705">
        <v>16552</v>
      </c>
      <c r="O1903" s="705">
        <v>6130</v>
      </c>
      <c r="P1903" s="705">
        <v>2336</v>
      </c>
      <c r="Q1903" s="705">
        <v>865</v>
      </c>
      <c r="R1903" s="705"/>
      <c r="S1903" s="705">
        <v>0</v>
      </c>
      <c r="T1903" s="705">
        <v>3344</v>
      </c>
      <c r="U1903" s="705">
        <v>1239</v>
      </c>
      <c r="V1903" s="705">
        <v>8234</v>
      </c>
      <c r="W1903" s="705">
        <f t="shared" si="80"/>
        <v>8234</v>
      </c>
      <c r="X1903" s="705">
        <f t="shared" si="81"/>
        <v>22232</v>
      </c>
    </row>
    <row r="1904" spans="2:24">
      <c r="B1904" t="s">
        <v>550</v>
      </c>
      <c r="C1904" t="s">
        <v>116</v>
      </c>
      <c r="D1904" t="s">
        <v>664</v>
      </c>
      <c r="E1904" t="s">
        <v>584</v>
      </c>
      <c r="F1904" s="705">
        <v>1</v>
      </c>
      <c r="G1904" s="705">
        <v>91</v>
      </c>
      <c r="H1904" s="705">
        <v>194</v>
      </c>
      <c r="I1904" s="705">
        <v>8331</v>
      </c>
      <c r="J1904" s="705">
        <v>7573</v>
      </c>
      <c r="K1904" s="705">
        <v>91</v>
      </c>
      <c r="L1904" s="705">
        <v>2808</v>
      </c>
      <c r="M1904" s="705">
        <v>2552</v>
      </c>
      <c r="N1904" s="705">
        <v>1557</v>
      </c>
      <c r="O1904" s="705">
        <v>577</v>
      </c>
      <c r="P1904" s="705">
        <v>473</v>
      </c>
      <c r="Q1904" s="705">
        <v>175</v>
      </c>
      <c r="R1904" s="705">
        <v>2315</v>
      </c>
      <c r="S1904" s="705">
        <v>2105</v>
      </c>
      <c r="T1904" s="705">
        <v>2226</v>
      </c>
      <c r="U1904" s="705">
        <v>825</v>
      </c>
      <c r="V1904" s="705">
        <v>13807</v>
      </c>
      <c r="W1904" s="705">
        <f t="shared" si="80"/>
        <v>13807</v>
      </c>
      <c r="X1904" s="705">
        <f t="shared" si="81"/>
        <v>17710</v>
      </c>
    </row>
    <row r="1905" spans="2:24">
      <c r="B1905" t="s">
        <v>550</v>
      </c>
      <c r="C1905" t="s">
        <v>116</v>
      </c>
      <c r="D1905" t="s">
        <v>582</v>
      </c>
      <c r="E1905" t="s">
        <v>664</v>
      </c>
      <c r="F1905" s="705">
        <v>2</v>
      </c>
      <c r="G1905" s="705">
        <v>216</v>
      </c>
      <c r="H1905" s="705">
        <v>393</v>
      </c>
      <c r="I1905" s="705">
        <v>20128</v>
      </c>
      <c r="J1905" s="705">
        <v>18298</v>
      </c>
      <c r="K1905" s="705">
        <v>86</v>
      </c>
      <c r="L1905" s="705">
        <v>6410</v>
      </c>
      <c r="M1905" s="705">
        <v>5827</v>
      </c>
      <c r="N1905" s="705">
        <v>4084</v>
      </c>
      <c r="O1905" s="705">
        <v>1513</v>
      </c>
      <c r="P1905" s="705">
        <v>945</v>
      </c>
      <c r="Q1905" s="705">
        <v>350</v>
      </c>
      <c r="R1905" s="705">
        <v>7684</v>
      </c>
      <c r="S1905" s="705">
        <v>6985</v>
      </c>
      <c r="T1905" s="705">
        <v>2489</v>
      </c>
      <c r="U1905" s="705">
        <v>922</v>
      </c>
      <c r="V1905" s="705">
        <v>33895</v>
      </c>
      <c r="W1905" s="705">
        <f t="shared" si="80"/>
        <v>33895</v>
      </c>
      <c r="X1905" s="705">
        <f t="shared" si="81"/>
        <v>41740</v>
      </c>
    </row>
    <row r="1906" spans="2:24">
      <c r="B1906" t="s">
        <v>550</v>
      </c>
      <c r="C1906" t="s">
        <v>116</v>
      </c>
      <c r="D1906" t="s">
        <v>582</v>
      </c>
      <c r="E1906" t="s">
        <v>582</v>
      </c>
      <c r="F1906" s="705">
        <v>41</v>
      </c>
      <c r="G1906" s="705">
        <v>4423</v>
      </c>
      <c r="H1906" s="705">
        <v>7483</v>
      </c>
      <c r="I1906" s="705">
        <v>414289</v>
      </c>
      <c r="J1906" s="705">
        <v>376626</v>
      </c>
      <c r="K1906" s="705">
        <v>84</v>
      </c>
      <c r="L1906" s="705">
        <v>94170</v>
      </c>
      <c r="M1906" s="705">
        <v>83752</v>
      </c>
      <c r="N1906" s="705">
        <v>84926</v>
      </c>
      <c r="O1906" s="705">
        <v>31454</v>
      </c>
      <c r="P1906" s="705">
        <v>19251</v>
      </c>
      <c r="Q1906" s="705">
        <v>7130</v>
      </c>
      <c r="R1906" s="705">
        <v>195590</v>
      </c>
      <c r="S1906" s="705">
        <v>177809</v>
      </c>
      <c r="T1906" s="705">
        <v>12557</v>
      </c>
      <c r="U1906" s="705">
        <v>4651</v>
      </c>
      <c r="V1906" s="705">
        <v>681421</v>
      </c>
      <c r="W1906" s="705">
        <f t="shared" si="80"/>
        <v>681422</v>
      </c>
      <c r="X1906" s="705">
        <f t="shared" si="81"/>
        <v>820783</v>
      </c>
    </row>
    <row r="1907" spans="2:24">
      <c r="B1907" t="s">
        <v>550</v>
      </c>
      <c r="C1907" t="s">
        <v>116</v>
      </c>
      <c r="D1907" t="s">
        <v>228</v>
      </c>
      <c r="E1907" t="s">
        <v>228</v>
      </c>
      <c r="F1907" s="705">
        <v>24</v>
      </c>
      <c r="G1907" s="705">
        <v>2469</v>
      </c>
      <c r="H1907" s="705">
        <v>4797</v>
      </c>
      <c r="I1907" s="705">
        <v>262420</v>
      </c>
      <c r="J1907" s="705">
        <v>97193</v>
      </c>
      <c r="K1907" s="705">
        <v>100</v>
      </c>
      <c r="L1907" s="705">
        <v>17554</v>
      </c>
      <c r="M1907" s="705">
        <v>7878</v>
      </c>
      <c r="N1907" s="705">
        <v>53223</v>
      </c>
      <c r="O1907" s="705">
        <v>19712</v>
      </c>
      <c r="P1907" s="705">
        <v>0</v>
      </c>
      <c r="Q1907" s="705">
        <v>0</v>
      </c>
      <c r="R1907" s="705">
        <v>158658</v>
      </c>
      <c r="S1907" s="705">
        <v>58762</v>
      </c>
      <c r="T1907" s="705">
        <v>0</v>
      </c>
      <c r="U1907" s="705">
        <v>0</v>
      </c>
      <c r="V1907" s="705">
        <v>183545</v>
      </c>
      <c r="W1907" s="705">
        <f t="shared" si="80"/>
        <v>183545</v>
      </c>
      <c r="X1907" s="705">
        <f t="shared" si="81"/>
        <v>491855</v>
      </c>
    </row>
    <row r="1908" spans="2:24">
      <c r="B1908" t="s">
        <v>550</v>
      </c>
      <c r="C1908" t="s">
        <v>116</v>
      </c>
      <c r="D1908" t="s">
        <v>583</v>
      </c>
      <c r="E1908" t="s">
        <v>664</v>
      </c>
      <c r="F1908" s="705">
        <v>2</v>
      </c>
      <c r="G1908" s="705">
        <v>241</v>
      </c>
      <c r="H1908" s="705">
        <v>327</v>
      </c>
      <c r="I1908" s="705">
        <v>18348</v>
      </c>
      <c r="J1908" s="705">
        <v>16680</v>
      </c>
      <c r="K1908" s="705">
        <v>87</v>
      </c>
      <c r="L1908" s="705">
        <v>3823</v>
      </c>
      <c r="M1908" s="705">
        <v>2098</v>
      </c>
      <c r="N1908" s="705">
        <v>5503</v>
      </c>
      <c r="O1908" s="705">
        <v>2038</v>
      </c>
      <c r="P1908" s="705">
        <v>1242</v>
      </c>
      <c r="Q1908" s="705">
        <v>460</v>
      </c>
      <c r="R1908" s="705">
        <v>10369</v>
      </c>
      <c r="S1908" s="705">
        <v>9426</v>
      </c>
      <c r="T1908" s="705">
        <v>0</v>
      </c>
      <c r="U1908" s="705">
        <v>0</v>
      </c>
      <c r="V1908" s="705">
        <v>30702</v>
      </c>
      <c r="W1908" s="705">
        <f t="shared" si="80"/>
        <v>30702</v>
      </c>
      <c r="X1908" s="705">
        <f t="shared" si="81"/>
        <v>39285</v>
      </c>
    </row>
    <row r="1909" spans="2:24">
      <c r="B1909" t="s">
        <v>550</v>
      </c>
      <c r="C1909" t="s">
        <v>116</v>
      </c>
      <c r="D1909" t="s">
        <v>583</v>
      </c>
      <c r="E1909" t="s">
        <v>583</v>
      </c>
      <c r="F1909" s="705">
        <v>1852</v>
      </c>
      <c r="G1909" s="705">
        <v>194189</v>
      </c>
      <c r="H1909" s="705">
        <v>346504</v>
      </c>
      <c r="I1909" s="705">
        <v>17460749</v>
      </c>
      <c r="J1909" s="705">
        <v>15873408</v>
      </c>
      <c r="K1909" s="705">
        <v>87</v>
      </c>
      <c r="L1909" s="705">
        <v>4450731</v>
      </c>
      <c r="M1909" s="705">
        <v>3891417</v>
      </c>
      <c r="N1909" s="705">
        <v>3682229</v>
      </c>
      <c r="O1909" s="705">
        <v>1363789</v>
      </c>
      <c r="P1909" s="705">
        <v>1162764</v>
      </c>
      <c r="Q1909" s="705">
        <v>430653</v>
      </c>
      <c r="R1909" s="705">
        <v>8365785</v>
      </c>
      <c r="S1909" s="705">
        <v>7605259</v>
      </c>
      <c r="T1909" s="705">
        <v>1471041</v>
      </c>
      <c r="U1909" s="705">
        <v>544830</v>
      </c>
      <c r="V1909" s="705">
        <v>29709355</v>
      </c>
      <c r="W1909" s="705">
        <f t="shared" si="80"/>
        <v>29709356</v>
      </c>
      <c r="X1909" s="705">
        <f t="shared" si="81"/>
        <v>36593299</v>
      </c>
    </row>
    <row r="1910" spans="2:24">
      <c r="B1910" t="s">
        <v>550</v>
      </c>
      <c r="C1910" t="s">
        <v>116</v>
      </c>
      <c r="D1910" t="s">
        <v>583</v>
      </c>
      <c r="E1910" t="s">
        <v>584</v>
      </c>
      <c r="F1910" s="705">
        <v>1</v>
      </c>
      <c r="G1910" s="705">
        <v>123</v>
      </c>
      <c r="H1910" s="705">
        <v>179</v>
      </c>
      <c r="I1910" s="705">
        <v>11067</v>
      </c>
      <c r="J1910" s="705">
        <v>10061</v>
      </c>
      <c r="K1910" s="705">
        <v>86</v>
      </c>
      <c r="L1910" s="705">
        <v>3509</v>
      </c>
      <c r="M1910" s="705">
        <v>3190</v>
      </c>
      <c r="N1910" s="705">
        <v>1980</v>
      </c>
      <c r="O1910" s="705">
        <v>733</v>
      </c>
      <c r="P1910" s="705">
        <v>621</v>
      </c>
      <c r="Q1910" s="705">
        <v>230</v>
      </c>
      <c r="R1910" s="705">
        <v>4889</v>
      </c>
      <c r="S1910" s="705">
        <v>4445</v>
      </c>
      <c r="T1910" s="705">
        <v>0</v>
      </c>
      <c r="U1910" s="705">
        <v>0</v>
      </c>
      <c r="V1910" s="705">
        <v>18659</v>
      </c>
      <c r="W1910" s="705">
        <f t="shared" si="80"/>
        <v>18659</v>
      </c>
      <c r="X1910" s="705">
        <f t="shared" si="81"/>
        <v>22066</v>
      </c>
    </row>
    <row r="1911" spans="2:24">
      <c r="B1911" t="s">
        <v>550</v>
      </c>
      <c r="C1911" t="s">
        <v>116</v>
      </c>
      <c r="D1911" t="s">
        <v>583</v>
      </c>
      <c r="E1911" t="s">
        <v>665</v>
      </c>
      <c r="F1911" s="705">
        <v>1</v>
      </c>
      <c r="G1911" s="705">
        <v>163</v>
      </c>
      <c r="H1911" s="705">
        <v>215</v>
      </c>
      <c r="I1911" s="705">
        <v>15582</v>
      </c>
      <c r="J1911" s="705">
        <v>14166</v>
      </c>
      <c r="K1911" s="705">
        <v>95</v>
      </c>
      <c r="L1911" s="705">
        <v>3470</v>
      </c>
      <c r="M1911" s="705">
        <v>3155</v>
      </c>
      <c r="N1911" s="705">
        <v>3325</v>
      </c>
      <c r="O1911" s="705">
        <v>1232</v>
      </c>
      <c r="P1911" s="705">
        <v>621</v>
      </c>
      <c r="Q1911" s="705">
        <v>230</v>
      </c>
      <c r="R1911" s="705">
        <v>8742</v>
      </c>
      <c r="S1911" s="705">
        <v>7947</v>
      </c>
      <c r="T1911" s="705">
        <v>3431</v>
      </c>
      <c r="U1911" s="705">
        <v>1271</v>
      </c>
      <c r="V1911" s="705">
        <v>28000</v>
      </c>
      <c r="W1911" s="705">
        <f t="shared" si="80"/>
        <v>28001</v>
      </c>
      <c r="X1911" s="705">
        <f t="shared" si="81"/>
        <v>35171</v>
      </c>
    </row>
    <row r="1912" spans="2:24">
      <c r="B1912" t="s">
        <v>550</v>
      </c>
      <c r="C1912" t="s">
        <v>116</v>
      </c>
      <c r="D1912" t="s">
        <v>666</v>
      </c>
      <c r="E1912" t="s">
        <v>666</v>
      </c>
      <c r="F1912" s="705">
        <v>1</v>
      </c>
      <c r="G1912" s="705">
        <v>133</v>
      </c>
      <c r="H1912" s="705">
        <v>224</v>
      </c>
      <c r="I1912" s="705">
        <v>16120</v>
      </c>
      <c r="J1912" s="705">
        <v>14655</v>
      </c>
      <c r="K1912" s="705">
        <v>65</v>
      </c>
      <c r="L1912" s="705">
        <v>1940</v>
      </c>
      <c r="M1912" s="705">
        <v>1764</v>
      </c>
      <c r="N1912" s="705">
        <v>3231</v>
      </c>
      <c r="O1912" s="705">
        <v>1197</v>
      </c>
      <c r="P1912" s="705">
        <v>351</v>
      </c>
      <c r="Q1912" s="705">
        <v>130</v>
      </c>
      <c r="R1912" s="705">
        <v>5147</v>
      </c>
      <c r="S1912" s="705">
        <v>4679</v>
      </c>
      <c r="T1912" s="705">
        <v>2957</v>
      </c>
      <c r="U1912" s="705">
        <v>1095</v>
      </c>
      <c r="V1912" s="705">
        <v>23520</v>
      </c>
      <c r="W1912" s="705">
        <f t="shared" si="80"/>
        <v>23520</v>
      </c>
      <c r="X1912" s="705">
        <f t="shared" si="81"/>
        <v>29746</v>
      </c>
    </row>
    <row r="1913" spans="2:24">
      <c r="B1913" t="s">
        <v>550</v>
      </c>
      <c r="C1913" t="s">
        <v>116</v>
      </c>
      <c r="D1913" t="s">
        <v>584</v>
      </c>
      <c r="E1913" t="s">
        <v>582</v>
      </c>
      <c r="F1913" s="705">
        <v>1</v>
      </c>
      <c r="G1913" s="705">
        <v>99</v>
      </c>
      <c r="H1913" s="705">
        <v>168</v>
      </c>
      <c r="I1913" s="705">
        <v>7723</v>
      </c>
      <c r="J1913" s="705">
        <v>7021</v>
      </c>
      <c r="K1913" s="705">
        <v>91</v>
      </c>
      <c r="L1913" s="705">
        <v>1919</v>
      </c>
      <c r="M1913" s="705">
        <v>711</v>
      </c>
      <c r="N1913" s="705">
        <v>2400</v>
      </c>
      <c r="O1913" s="705">
        <v>889</v>
      </c>
      <c r="P1913" s="705">
        <v>473</v>
      </c>
      <c r="Q1913" s="705">
        <v>175</v>
      </c>
      <c r="R1913" s="705">
        <v>4000</v>
      </c>
      <c r="S1913" s="705">
        <v>3637</v>
      </c>
      <c r="T1913" s="705">
        <v>0</v>
      </c>
      <c r="U1913" s="705">
        <v>0</v>
      </c>
      <c r="V1913" s="705">
        <v>12432</v>
      </c>
      <c r="W1913" s="705">
        <f t="shared" si="80"/>
        <v>12433</v>
      </c>
      <c r="X1913" s="705">
        <f t="shared" si="81"/>
        <v>16515</v>
      </c>
    </row>
    <row r="1914" spans="2:24">
      <c r="B1914" t="s">
        <v>550</v>
      </c>
      <c r="C1914" t="s">
        <v>116</v>
      </c>
      <c r="D1914" t="s">
        <v>584</v>
      </c>
      <c r="E1914" t="s">
        <v>583</v>
      </c>
      <c r="F1914" s="705">
        <v>1</v>
      </c>
      <c r="G1914" s="705">
        <v>119</v>
      </c>
      <c r="H1914" s="705">
        <v>191</v>
      </c>
      <c r="I1914" s="705">
        <v>10838</v>
      </c>
      <c r="J1914" s="705">
        <v>9853</v>
      </c>
      <c r="K1914" s="705">
        <v>79</v>
      </c>
      <c r="L1914" s="705">
        <v>3011</v>
      </c>
      <c r="M1914" s="705">
        <v>2737</v>
      </c>
      <c r="N1914" s="705">
        <v>2245</v>
      </c>
      <c r="O1914" s="705">
        <v>832</v>
      </c>
      <c r="P1914" s="705">
        <v>473</v>
      </c>
      <c r="Q1914" s="705">
        <v>175</v>
      </c>
      <c r="R1914" s="705">
        <v>6175</v>
      </c>
      <c r="S1914" s="705">
        <v>5614</v>
      </c>
      <c r="T1914" s="705">
        <v>0</v>
      </c>
      <c r="U1914" s="705">
        <v>0</v>
      </c>
      <c r="V1914" s="705">
        <v>19210</v>
      </c>
      <c r="W1914" s="705">
        <f t="shared" si="80"/>
        <v>19211</v>
      </c>
      <c r="X1914" s="705">
        <f t="shared" si="81"/>
        <v>22742</v>
      </c>
    </row>
    <row r="1915" spans="2:24">
      <c r="B1915" t="s">
        <v>550</v>
      </c>
      <c r="C1915" t="s">
        <v>116</v>
      </c>
      <c r="D1915" t="s">
        <v>584</v>
      </c>
      <c r="E1915" t="s">
        <v>584</v>
      </c>
      <c r="F1915" s="705">
        <v>5340</v>
      </c>
      <c r="G1915" s="705">
        <v>562362</v>
      </c>
      <c r="H1915" s="705">
        <v>983431</v>
      </c>
      <c r="I1915" s="705">
        <v>48969234</v>
      </c>
      <c r="J1915" s="705">
        <v>44517486</v>
      </c>
      <c r="K1915" s="705">
        <v>82</v>
      </c>
      <c r="L1915" s="705">
        <v>13762685</v>
      </c>
      <c r="M1915" s="705">
        <v>11956990</v>
      </c>
      <c r="N1915" s="705">
        <v>10553248</v>
      </c>
      <c r="O1915" s="705">
        <v>3908610</v>
      </c>
      <c r="P1915" s="705">
        <v>2528167</v>
      </c>
      <c r="Q1915" s="705">
        <v>936358</v>
      </c>
      <c r="R1915" s="705">
        <v>25832289</v>
      </c>
      <c r="S1915" s="705">
        <v>23483899</v>
      </c>
      <c r="T1915" s="705">
        <v>2235505</v>
      </c>
      <c r="U1915" s="705">
        <v>827965</v>
      </c>
      <c r="V1915" s="705">
        <v>85631308</v>
      </c>
      <c r="W1915" s="705">
        <f t="shared" si="80"/>
        <v>85631308</v>
      </c>
      <c r="X1915" s="705">
        <f t="shared" si="81"/>
        <v>103881128</v>
      </c>
    </row>
    <row r="1916" spans="2:24">
      <c r="B1916" t="s">
        <v>550</v>
      </c>
      <c r="C1916" t="s">
        <v>116</v>
      </c>
      <c r="D1916" t="s">
        <v>584</v>
      </c>
      <c r="E1916" t="s">
        <v>669</v>
      </c>
      <c r="F1916" s="705">
        <v>3</v>
      </c>
      <c r="G1916" s="705">
        <v>342</v>
      </c>
      <c r="H1916" s="705">
        <v>600</v>
      </c>
      <c r="I1916" s="705">
        <v>32396</v>
      </c>
      <c r="J1916" s="705">
        <v>29451</v>
      </c>
      <c r="K1916" s="705">
        <v>79</v>
      </c>
      <c r="L1916" s="705">
        <v>10060</v>
      </c>
      <c r="M1916" s="705">
        <v>8383</v>
      </c>
      <c r="N1916" s="705">
        <v>4967</v>
      </c>
      <c r="O1916" s="705">
        <v>1839</v>
      </c>
      <c r="P1916" s="705">
        <v>1418</v>
      </c>
      <c r="Q1916" s="705">
        <v>525</v>
      </c>
      <c r="R1916" s="705">
        <v>13674</v>
      </c>
      <c r="S1916" s="705">
        <v>11395</v>
      </c>
      <c r="T1916" s="705">
        <v>5722</v>
      </c>
      <c r="U1916" s="705">
        <v>2119</v>
      </c>
      <c r="V1916" s="705">
        <v>53713</v>
      </c>
      <c r="W1916" s="705">
        <f t="shared" si="80"/>
        <v>53712</v>
      </c>
      <c r="X1916" s="705">
        <f t="shared" si="81"/>
        <v>68237</v>
      </c>
    </row>
    <row r="1917" spans="2:24">
      <c r="B1917" t="s">
        <v>550</v>
      </c>
      <c r="C1917" t="s">
        <v>116</v>
      </c>
      <c r="D1917" t="s">
        <v>584</v>
      </c>
      <c r="E1917" t="s">
        <v>665</v>
      </c>
      <c r="F1917" s="705">
        <v>1</v>
      </c>
      <c r="G1917" s="705">
        <v>75</v>
      </c>
      <c r="H1917" s="705">
        <v>190</v>
      </c>
      <c r="I1917" s="705">
        <v>4651</v>
      </c>
      <c r="J1917" s="705">
        <v>4228</v>
      </c>
      <c r="K1917" s="705">
        <v>79</v>
      </c>
      <c r="L1917" s="705">
        <v>1363</v>
      </c>
      <c r="M1917" s="705">
        <v>1239</v>
      </c>
      <c r="N1917" s="705">
        <v>1770</v>
      </c>
      <c r="O1917" s="705">
        <v>656</v>
      </c>
      <c r="P1917" s="705">
        <v>473</v>
      </c>
      <c r="Q1917" s="705">
        <v>175</v>
      </c>
      <c r="R1917" s="705">
        <v>3609</v>
      </c>
      <c r="S1917" s="705">
        <v>3281</v>
      </c>
      <c r="T1917" s="705">
        <v>2364</v>
      </c>
      <c r="U1917" s="705">
        <v>876</v>
      </c>
      <c r="V1917" s="705">
        <v>10454</v>
      </c>
      <c r="W1917" s="705">
        <f t="shared" si="80"/>
        <v>10455</v>
      </c>
      <c r="X1917" s="705">
        <f t="shared" si="81"/>
        <v>14230</v>
      </c>
    </row>
    <row r="1918" spans="2:24">
      <c r="B1918" t="s">
        <v>550</v>
      </c>
      <c r="C1918" t="s">
        <v>116</v>
      </c>
      <c r="D1918" t="s">
        <v>665</v>
      </c>
      <c r="E1918" t="s">
        <v>584</v>
      </c>
      <c r="F1918" s="705">
        <v>1</v>
      </c>
      <c r="G1918" s="705">
        <v>117</v>
      </c>
      <c r="H1918" s="705">
        <v>160</v>
      </c>
      <c r="I1918" s="705">
        <v>8279</v>
      </c>
      <c r="J1918" s="705">
        <v>7527</v>
      </c>
      <c r="K1918" s="705">
        <v>79</v>
      </c>
      <c r="L1918" s="705">
        <v>2413</v>
      </c>
      <c r="M1918" s="705">
        <v>2194</v>
      </c>
      <c r="N1918" s="705">
        <v>2541</v>
      </c>
      <c r="O1918" s="705">
        <v>941</v>
      </c>
      <c r="P1918" s="705">
        <v>473</v>
      </c>
      <c r="Q1918" s="705">
        <v>175</v>
      </c>
      <c r="R1918" s="705">
        <v>4983</v>
      </c>
      <c r="S1918" s="705">
        <v>4530</v>
      </c>
      <c r="T1918" s="705">
        <v>0</v>
      </c>
      <c r="U1918" s="705">
        <v>0</v>
      </c>
      <c r="V1918" s="705">
        <v>15366</v>
      </c>
      <c r="W1918" s="705">
        <f t="shared" si="80"/>
        <v>15367</v>
      </c>
      <c r="X1918" s="705">
        <f t="shared" si="81"/>
        <v>18689</v>
      </c>
    </row>
    <row r="1919" spans="2:24">
      <c r="B1919" t="s">
        <v>550</v>
      </c>
      <c r="C1919" t="s">
        <v>116</v>
      </c>
      <c r="D1919" t="s">
        <v>665</v>
      </c>
      <c r="E1919" t="s">
        <v>665</v>
      </c>
      <c r="F1919" s="705">
        <v>3</v>
      </c>
      <c r="G1919" s="705">
        <v>293</v>
      </c>
      <c r="H1919" s="705">
        <v>639</v>
      </c>
      <c r="I1919" s="705">
        <v>33728</v>
      </c>
      <c r="J1919" s="705">
        <v>30662</v>
      </c>
      <c r="K1919" s="705">
        <v>63</v>
      </c>
      <c r="L1919" s="705">
        <v>4536</v>
      </c>
      <c r="M1919" s="705">
        <v>3096</v>
      </c>
      <c r="N1919" s="705">
        <v>4789</v>
      </c>
      <c r="O1919" s="705">
        <v>1774</v>
      </c>
      <c r="P1919" s="705">
        <v>1053</v>
      </c>
      <c r="Q1919" s="705">
        <v>390</v>
      </c>
      <c r="R1919" s="705">
        <v>11893</v>
      </c>
      <c r="S1919" s="705">
        <v>10812</v>
      </c>
      <c r="T1919" s="705">
        <v>6272</v>
      </c>
      <c r="U1919" s="705">
        <v>2323</v>
      </c>
      <c r="V1919" s="705">
        <v>49056</v>
      </c>
      <c r="W1919" s="705">
        <f t="shared" si="80"/>
        <v>49057</v>
      </c>
      <c r="X1919" s="705">
        <f t="shared" si="81"/>
        <v>62271</v>
      </c>
    </row>
    <row r="1920" spans="2:24">
      <c r="B1920" t="s">
        <v>550</v>
      </c>
      <c r="C1920" t="s">
        <v>118</v>
      </c>
      <c r="F1920" s="705">
        <v>3</v>
      </c>
      <c r="G1920" s="705">
        <v>319</v>
      </c>
      <c r="H1920" s="705">
        <v>806</v>
      </c>
      <c r="I1920" s="705"/>
      <c r="J1920" s="705">
        <v>0</v>
      </c>
      <c r="K1920" s="705"/>
      <c r="L1920" s="705"/>
      <c r="M1920" s="705">
        <v>0</v>
      </c>
      <c r="N1920" s="705">
        <v>5766</v>
      </c>
      <c r="O1920" s="705">
        <v>2136</v>
      </c>
      <c r="P1920" s="705">
        <v>621</v>
      </c>
      <c r="Q1920" s="705">
        <v>230</v>
      </c>
      <c r="R1920" s="705"/>
      <c r="S1920" s="705">
        <v>0</v>
      </c>
      <c r="T1920" s="705">
        <v>0</v>
      </c>
      <c r="U1920" s="705">
        <v>0</v>
      </c>
      <c r="V1920" s="705">
        <v>2366</v>
      </c>
      <c r="W1920" s="705">
        <f t="shared" si="80"/>
        <v>2366</v>
      </c>
      <c r="X1920" s="705">
        <f t="shared" si="81"/>
        <v>6387</v>
      </c>
    </row>
    <row r="1921" spans="2:24">
      <c r="B1921" t="s">
        <v>550</v>
      </c>
      <c r="C1921" t="s">
        <v>118</v>
      </c>
      <c r="D1921" t="s">
        <v>582</v>
      </c>
      <c r="E1921" t="s">
        <v>582</v>
      </c>
      <c r="F1921" s="705">
        <v>15</v>
      </c>
      <c r="G1921" s="705">
        <v>1652</v>
      </c>
      <c r="H1921" s="705">
        <v>3808</v>
      </c>
      <c r="I1921" s="705">
        <v>224471</v>
      </c>
      <c r="J1921" s="705">
        <v>204064</v>
      </c>
      <c r="K1921" s="705">
        <v>79</v>
      </c>
      <c r="L1921" s="705">
        <v>66532</v>
      </c>
      <c r="M1921" s="705">
        <v>59883</v>
      </c>
      <c r="N1921" s="705">
        <v>30589</v>
      </c>
      <c r="O1921" s="705">
        <v>11329</v>
      </c>
      <c r="P1921" s="705">
        <v>7587</v>
      </c>
      <c r="Q1921" s="705">
        <v>2810</v>
      </c>
      <c r="R1921" s="705">
        <v>81601</v>
      </c>
      <c r="S1921" s="705">
        <v>74183</v>
      </c>
      <c r="T1921" s="705">
        <v>17402</v>
      </c>
      <c r="U1921" s="705">
        <v>6445</v>
      </c>
      <c r="V1921" s="705">
        <v>358716</v>
      </c>
      <c r="W1921" s="705">
        <f t="shared" si="80"/>
        <v>358714</v>
      </c>
      <c r="X1921" s="705">
        <f t="shared" si="81"/>
        <v>428182</v>
      </c>
    </row>
    <row r="1922" spans="2:24">
      <c r="B1922" t="s">
        <v>550</v>
      </c>
      <c r="C1922" t="s">
        <v>118</v>
      </c>
      <c r="D1922" t="s">
        <v>228</v>
      </c>
      <c r="E1922" t="s">
        <v>228</v>
      </c>
      <c r="F1922" s="705">
        <v>85</v>
      </c>
      <c r="G1922" s="705">
        <v>8111</v>
      </c>
      <c r="H1922" s="705">
        <v>22459</v>
      </c>
      <c r="I1922" s="705">
        <v>1173655</v>
      </c>
      <c r="J1922" s="705">
        <v>434687</v>
      </c>
      <c r="K1922" s="705">
        <v>100</v>
      </c>
      <c r="L1922" s="705">
        <v>180678</v>
      </c>
      <c r="M1922" s="705">
        <v>125305</v>
      </c>
      <c r="N1922" s="705">
        <v>164666</v>
      </c>
      <c r="O1922" s="705">
        <v>60987</v>
      </c>
      <c r="P1922" s="705">
        <v>1948</v>
      </c>
      <c r="Q1922" s="705">
        <v>721</v>
      </c>
      <c r="R1922" s="705">
        <v>635392</v>
      </c>
      <c r="S1922" s="705">
        <v>235330</v>
      </c>
      <c r="T1922" s="705">
        <v>1793</v>
      </c>
      <c r="U1922" s="705">
        <v>664</v>
      </c>
      <c r="V1922" s="705">
        <v>857695</v>
      </c>
      <c r="W1922" s="705">
        <f t="shared" si="80"/>
        <v>857694</v>
      </c>
      <c r="X1922" s="705">
        <f t="shared" si="81"/>
        <v>2158132</v>
      </c>
    </row>
    <row r="1923" spans="2:24">
      <c r="B1923" t="s">
        <v>550</v>
      </c>
      <c r="C1923" t="s">
        <v>118</v>
      </c>
      <c r="D1923" t="s">
        <v>228</v>
      </c>
      <c r="E1923" t="s">
        <v>669</v>
      </c>
      <c r="F1923" s="705">
        <v>1</v>
      </c>
      <c r="G1923" s="705">
        <v>86</v>
      </c>
      <c r="H1923" s="705">
        <v>286</v>
      </c>
      <c r="I1923" s="705">
        <v>11476</v>
      </c>
      <c r="J1923" s="705">
        <v>4251</v>
      </c>
      <c r="K1923" s="705">
        <v>100</v>
      </c>
      <c r="L1923" s="705">
        <v>2318</v>
      </c>
      <c r="M1923" s="705">
        <v>1932</v>
      </c>
      <c r="N1923" s="705">
        <v>2103</v>
      </c>
      <c r="O1923" s="705">
        <v>779</v>
      </c>
      <c r="P1923" s="705">
        <v>351</v>
      </c>
      <c r="Q1923" s="705">
        <v>130</v>
      </c>
      <c r="R1923" s="705">
        <v>5913</v>
      </c>
      <c r="S1923" s="705">
        <v>4928</v>
      </c>
      <c r="T1923" s="705">
        <v>2517</v>
      </c>
      <c r="U1923" s="705">
        <v>932</v>
      </c>
      <c r="V1923" s="705">
        <v>12951</v>
      </c>
      <c r="W1923" s="705">
        <f t="shared" si="80"/>
        <v>12952</v>
      </c>
      <c r="X1923" s="705">
        <f t="shared" si="81"/>
        <v>24678</v>
      </c>
    </row>
    <row r="1924" spans="2:24">
      <c r="B1924" t="s">
        <v>550</v>
      </c>
      <c r="C1924" t="s">
        <v>118</v>
      </c>
      <c r="D1924" t="s">
        <v>228</v>
      </c>
      <c r="E1924" t="s">
        <v>665</v>
      </c>
      <c r="F1924" s="705">
        <v>3</v>
      </c>
      <c r="G1924" s="705">
        <v>260</v>
      </c>
      <c r="H1924" s="705">
        <v>867</v>
      </c>
      <c r="I1924" s="705">
        <v>39541</v>
      </c>
      <c r="J1924" s="705">
        <v>14645</v>
      </c>
      <c r="K1924" s="705">
        <v>100</v>
      </c>
      <c r="L1924" s="705">
        <v>4867</v>
      </c>
      <c r="M1924" s="705">
        <v>3700</v>
      </c>
      <c r="N1924" s="705">
        <v>5696</v>
      </c>
      <c r="O1924" s="705">
        <v>2110</v>
      </c>
      <c r="P1924" s="705">
        <v>351</v>
      </c>
      <c r="Q1924" s="705">
        <v>130</v>
      </c>
      <c r="R1924" s="705">
        <v>17266</v>
      </c>
      <c r="S1924" s="705">
        <v>15697</v>
      </c>
      <c r="T1924" s="705">
        <v>7209</v>
      </c>
      <c r="U1924" s="705">
        <v>2670</v>
      </c>
      <c r="V1924" s="705">
        <v>38951</v>
      </c>
      <c r="W1924" s="705">
        <f t="shared" si="80"/>
        <v>38952</v>
      </c>
      <c r="X1924" s="705">
        <f t="shared" si="81"/>
        <v>74930</v>
      </c>
    </row>
    <row r="1925" spans="2:24">
      <c r="B1925" t="s">
        <v>550</v>
      </c>
      <c r="C1925" t="s">
        <v>118</v>
      </c>
      <c r="D1925" t="s">
        <v>583</v>
      </c>
      <c r="E1925" t="s">
        <v>664</v>
      </c>
      <c r="F1925" s="705">
        <v>1</v>
      </c>
      <c r="G1925" s="705">
        <v>132</v>
      </c>
      <c r="H1925" s="705">
        <v>239</v>
      </c>
      <c r="I1925" s="705">
        <v>24333</v>
      </c>
      <c r="J1925" s="705">
        <v>22121</v>
      </c>
      <c r="K1925" s="705">
        <v>79</v>
      </c>
      <c r="L1925" s="705">
        <v>6759</v>
      </c>
      <c r="M1925" s="705">
        <v>6145</v>
      </c>
      <c r="N1925" s="705">
        <v>4474</v>
      </c>
      <c r="O1925" s="705">
        <v>1657</v>
      </c>
      <c r="P1925" s="705">
        <v>621</v>
      </c>
      <c r="Q1925" s="705">
        <v>230</v>
      </c>
      <c r="R1925" s="705">
        <v>7768</v>
      </c>
      <c r="S1925" s="705">
        <v>7061</v>
      </c>
      <c r="T1925" s="705">
        <v>0</v>
      </c>
      <c r="U1925" s="705">
        <v>0</v>
      </c>
      <c r="V1925" s="705">
        <v>37214</v>
      </c>
      <c r="W1925" s="705">
        <f t="shared" si="80"/>
        <v>37214</v>
      </c>
      <c r="X1925" s="705">
        <f t="shared" si="81"/>
        <v>43955</v>
      </c>
    </row>
    <row r="1926" spans="2:24">
      <c r="B1926" t="s">
        <v>550</v>
      </c>
      <c r="C1926" t="s">
        <v>118</v>
      </c>
      <c r="D1926" t="s">
        <v>583</v>
      </c>
      <c r="E1926" t="s">
        <v>228</v>
      </c>
      <c r="F1926" s="705">
        <v>1</v>
      </c>
      <c r="G1926" s="705">
        <v>143</v>
      </c>
      <c r="H1926" s="705">
        <v>241</v>
      </c>
      <c r="I1926" s="705">
        <v>24103</v>
      </c>
      <c r="J1926" s="705">
        <v>21912</v>
      </c>
      <c r="K1926" s="705">
        <v>79</v>
      </c>
      <c r="L1926" s="705">
        <v>0</v>
      </c>
      <c r="M1926" s="705">
        <v>0</v>
      </c>
      <c r="N1926" s="705">
        <v>3342</v>
      </c>
      <c r="O1926" s="705">
        <v>1238</v>
      </c>
      <c r="P1926" s="705">
        <v>621</v>
      </c>
      <c r="Q1926" s="705">
        <v>230</v>
      </c>
      <c r="R1926" s="705">
        <v>6427</v>
      </c>
      <c r="S1926" s="705">
        <v>2380</v>
      </c>
      <c r="T1926" s="705">
        <v>0</v>
      </c>
      <c r="U1926" s="705">
        <v>0</v>
      </c>
      <c r="V1926" s="705">
        <v>25760</v>
      </c>
      <c r="W1926" s="705">
        <f t="shared" si="80"/>
        <v>25760</v>
      </c>
      <c r="X1926" s="705">
        <f t="shared" si="81"/>
        <v>34493</v>
      </c>
    </row>
    <row r="1927" spans="2:24">
      <c r="B1927" t="s">
        <v>550</v>
      </c>
      <c r="C1927" t="s">
        <v>118</v>
      </c>
      <c r="D1927" t="s">
        <v>583</v>
      </c>
      <c r="E1927" t="s">
        <v>583</v>
      </c>
      <c r="F1927" s="705">
        <v>997</v>
      </c>
      <c r="G1927" s="705">
        <v>97831</v>
      </c>
      <c r="H1927" s="705">
        <v>257665</v>
      </c>
      <c r="I1927" s="705">
        <v>13534863</v>
      </c>
      <c r="J1927" s="705">
        <v>12304420</v>
      </c>
      <c r="K1927" s="705">
        <v>80</v>
      </c>
      <c r="L1927" s="705">
        <v>3093012</v>
      </c>
      <c r="M1927" s="705">
        <v>2689363</v>
      </c>
      <c r="N1927" s="705">
        <v>1948276</v>
      </c>
      <c r="O1927" s="705">
        <v>721584</v>
      </c>
      <c r="P1927" s="705">
        <v>633353</v>
      </c>
      <c r="Q1927" s="705">
        <v>234575</v>
      </c>
      <c r="R1927" s="705">
        <v>4655990</v>
      </c>
      <c r="S1927" s="705">
        <v>4232718</v>
      </c>
      <c r="T1927" s="705">
        <v>1539052</v>
      </c>
      <c r="U1927" s="705">
        <v>570019</v>
      </c>
      <c r="V1927" s="705">
        <v>20752679</v>
      </c>
      <c r="W1927" s="705">
        <f t="shared" si="80"/>
        <v>20752679</v>
      </c>
      <c r="X1927" s="705">
        <f t="shared" si="81"/>
        <v>25404546</v>
      </c>
    </row>
    <row r="1928" spans="2:24">
      <c r="B1928" t="s">
        <v>550</v>
      </c>
      <c r="C1928" t="s">
        <v>118</v>
      </c>
      <c r="D1928" t="s">
        <v>583</v>
      </c>
      <c r="E1928" t="s">
        <v>666</v>
      </c>
      <c r="F1928" s="705">
        <v>1</v>
      </c>
      <c r="G1928" s="705">
        <v>82</v>
      </c>
      <c r="H1928" s="705">
        <v>274</v>
      </c>
      <c r="I1928" s="705">
        <v>11094</v>
      </c>
      <c r="J1928" s="705">
        <v>10086</v>
      </c>
      <c r="K1928" s="705">
        <v>79</v>
      </c>
      <c r="L1928" s="705">
        <v>3082</v>
      </c>
      <c r="M1928" s="705">
        <v>2802</v>
      </c>
      <c r="N1928" s="705">
        <v>2010</v>
      </c>
      <c r="O1928" s="705">
        <v>744</v>
      </c>
      <c r="P1928" s="705">
        <v>621</v>
      </c>
      <c r="Q1928" s="705">
        <v>230</v>
      </c>
      <c r="R1928" s="705">
        <v>3622</v>
      </c>
      <c r="S1928" s="705">
        <v>3293</v>
      </c>
      <c r="T1928" s="705">
        <v>2199</v>
      </c>
      <c r="U1928" s="705">
        <v>814</v>
      </c>
      <c r="V1928" s="705">
        <v>17969</v>
      </c>
      <c r="W1928" s="705">
        <f t="shared" si="80"/>
        <v>17969</v>
      </c>
      <c r="X1928" s="705">
        <f t="shared" si="81"/>
        <v>22628</v>
      </c>
    </row>
    <row r="1929" spans="2:24">
      <c r="B1929" t="s">
        <v>550</v>
      </c>
      <c r="C1929" t="s">
        <v>118</v>
      </c>
      <c r="D1929" t="s">
        <v>666</v>
      </c>
      <c r="E1929" t="s">
        <v>666</v>
      </c>
      <c r="F1929" s="705">
        <v>3</v>
      </c>
      <c r="G1929" s="705">
        <v>254</v>
      </c>
      <c r="H1929" s="705">
        <v>807</v>
      </c>
      <c r="I1929" s="705">
        <v>33425</v>
      </c>
      <c r="J1929" s="705">
        <v>30386</v>
      </c>
      <c r="K1929" s="705">
        <v>62</v>
      </c>
      <c r="L1929" s="705">
        <v>7619</v>
      </c>
      <c r="M1929" s="705">
        <v>6926</v>
      </c>
      <c r="N1929" s="705">
        <v>5430</v>
      </c>
      <c r="O1929" s="705">
        <v>2011</v>
      </c>
      <c r="P1929" s="705">
        <v>1053</v>
      </c>
      <c r="Q1929" s="705">
        <v>390</v>
      </c>
      <c r="R1929" s="705">
        <v>13752</v>
      </c>
      <c r="S1929" s="705">
        <v>12502</v>
      </c>
      <c r="T1929" s="705">
        <v>6948</v>
      </c>
      <c r="U1929" s="705">
        <v>2573</v>
      </c>
      <c r="V1929" s="705">
        <v>54789</v>
      </c>
      <c r="W1929" s="705">
        <f t="shared" si="80"/>
        <v>54788</v>
      </c>
      <c r="X1929" s="705">
        <f t="shared" si="81"/>
        <v>68227</v>
      </c>
    </row>
    <row r="1930" spans="2:24">
      <c r="B1930" t="s">
        <v>550</v>
      </c>
      <c r="C1930" t="s">
        <v>118</v>
      </c>
      <c r="D1930" t="s">
        <v>584</v>
      </c>
      <c r="E1930" t="s">
        <v>228</v>
      </c>
      <c r="F1930" s="705">
        <v>1</v>
      </c>
      <c r="G1930" s="705">
        <v>37</v>
      </c>
      <c r="H1930" s="705">
        <v>265</v>
      </c>
      <c r="I1930" s="705">
        <v>5546</v>
      </c>
      <c r="J1930" s="705">
        <v>5042</v>
      </c>
      <c r="K1930" s="705">
        <v>79</v>
      </c>
      <c r="L1930" s="705">
        <v>0</v>
      </c>
      <c r="M1930" s="705">
        <v>0</v>
      </c>
      <c r="N1930" s="705">
        <v>899</v>
      </c>
      <c r="O1930" s="705">
        <v>333</v>
      </c>
      <c r="P1930" s="705">
        <v>473</v>
      </c>
      <c r="Q1930" s="705">
        <v>175</v>
      </c>
      <c r="R1930" s="705">
        <v>2853</v>
      </c>
      <c r="S1930" s="705">
        <v>1057</v>
      </c>
      <c r="T1930" s="705">
        <v>0</v>
      </c>
      <c r="U1930" s="705">
        <v>0</v>
      </c>
      <c r="V1930" s="705">
        <v>6606</v>
      </c>
      <c r="W1930" s="705">
        <f t="shared" si="80"/>
        <v>6607</v>
      </c>
      <c r="X1930" s="705">
        <f t="shared" si="81"/>
        <v>9771</v>
      </c>
    </row>
    <row r="1931" spans="2:24">
      <c r="B1931" t="s">
        <v>550</v>
      </c>
      <c r="C1931" t="s">
        <v>118</v>
      </c>
      <c r="D1931" t="s">
        <v>584</v>
      </c>
      <c r="E1931" t="s">
        <v>583</v>
      </c>
      <c r="F1931" s="705">
        <v>3</v>
      </c>
      <c r="G1931" s="705">
        <v>258</v>
      </c>
      <c r="H1931" s="705">
        <v>771</v>
      </c>
      <c r="I1931" s="705">
        <v>31714</v>
      </c>
      <c r="J1931" s="705">
        <v>28831</v>
      </c>
      <c r="K1931" s="705">
        <v>74</v>
      </c>
      <c r="L1931" s="705">
        <v>8642</v>
      </c>
      <c r="M1931" s="705">
        <v>7407</v>
      </c>
      <c r="N1931" s="705">
        <v>4435</v>
      </c>
      <c r="O1931" s="705">
        <v>1643</v>
      </c>
      <c r="P1931" s="705">
        <v>1296</v>
      </c>
      <c r="Q1931" s="705">
        <v>480</v>
      </c>
      <c r="R1931" s="705">
        <v>12746</v>
      </c>
      <c r="S1931" s="705">
        <v>11587</v>
      </c>
      <c r="T1931" s="705">
        <v>7453</v>
      </c>
      <c r="U1931" s="705">
        <v>2760</v>
      </c>
      <c r="V1931" s="705">
        <v>52708</v>
      </c>
      <c r="W1931" s="705">
        <f t="shared" si="80"/>
        <v>52708</v>
      </c>
      <c r="X1931" s="705">
        <f t="shared" si="81"/>
        <v>66286</v>
      </c>
    </row>
    <row r="1932" spans="2:24">
      <c r="B1932" t="s">
        <v>550</v>
      </c>
      <c r="C1932" t="s">
        <v>118</v>
      </c>
      <c r="D1932" t="s">
        <v>584</v>
      </c>
      <c r="E1932" t="s">
        <v>666</v>
      </c>
      <c r="F1932" s="705">
        <v>1</v>
      </c>
      <c r="G1932" s="705">
        <v>124</v>
      </c>
      <c r="H1932" s="705">
        <v>228</v>
      </c>
      <c r="I1932" s="705">
        <v>13535</v>
      </c>
      <c r="J1932" s="705">
        <v>12304</v>
      </c>
      <c r="K1932" s="705">
        <v>79</v>
      </c>
      <c r="L1932" s="705">
        <v>3765</v>
      </c>
      <c r="M1932" s="705">
        <v>3422</v>
      </c>
      <c r="N1932" s="705">
        <v>3009</v>
      </c>
      <c r="O1932" s="705">
        <v>1115</v>
      </c>
      <c r="P1932" s="705">
        <v>473</v>
      </c>
      <c r="Q1932" s="705">
        <v>175</v>
      </c>
      <c r="R1932" s="705">
        <v>7420</v>
      </c>
      <c r="S1932" s="705">
        <v>6746</v>
      </c>
      <c r="T1932" s="705">
        <v>0</v>
      </c>
      <c r="U1932" s="705">
        <v>0</v>
      </c>
      <c r="V1932" s="705">
        <v>23762</v>
      </c>
      <c r="W1932" s="705">
        <f t="shared" si="80"/>
        <v>23762</v>
      </c>
      <c r="X1932" s="705">
        <f t="shared" si="81"/>
        <v>28202</v>
      </c>
    </row>
    <row r="1933" spans="2:24">
      <c r="B1933" t="s">
        <v>550</v>
      </c>
      <c r="C1933" t="s">
        <v>118</v>
      </c>
      <c r="D1933" t="s">
        <v>584</v>
      </c>
      <c r="E1933" t="s">
        <v>584</v>
      </c>
      <c r="F1933" s="705">
        <v>1021</v>
      </c>
      <c r="G1933" s="705">
        <v>96141</v>
      </c>
      <c r="H1933" s="705">
        <v>254438</v>
      </c>
      <c r="I1933" s="705">
        <v>11769981</v>
      </c>
      <c r="J1933" s="705">
        <v>10699983</v>
      </c>
      <c r="K1933" s="705">
        <v>79</v>
      </c>
      <c r="L1933" s="705">
        <v>3596060</v>
      </c>
      <c r="M1933" s="705">
        <v>3165896</v>
      </c>
      <c r="N1933" s="705">
        <v>1948715</v>
      </c>
      <c r="O1933" s="705">
        <v>721746</v>
      </c>
      <c r="P1933" s="705">
        <v>485486</v>
      </c>
      <c r="Q1933" s="705">
        <v>179810</v>
      </c>
      <c r="R1933" s="705">
        <v>4946319</v>
      </c>
      <c r="S1933" s="705">
        <v>4496653</v>
      </c>
      <c r="T1933" s="705">
        <v>1220010</v>
      </c>
      <c r="U1933" s="705">
        <v>451856</v>
      </c>
      <c r="V1933" s="705">
        <v>19715944</v>
      </c>
      <c r="W1933" s="705">
        <f t="shared" si="80"/>
        <v>19715944</v>
      </c>
      <c r="X1933" s="705">
        <f t="shared" si="81"/>
        <v>23966571</v>
      </c>
    </row>
    <row r="1934" spans="2:24">
      <c r="B1934" t="s">
        <v>550</v>
      </c>
      <c r="C1934" t="s">
        <v>118</v>
      </c>
      <c r="D1934" t="s">
        <v>584</v>
      </c>
      <c r="E1934" t="s">
        <v>665</v>
      </c>
      <c r="F1934" s="705">
        <v>1</v>
      </c>
      <c r="G1934" s="705">
        <v>82</v>
      </c>
      <c r="H1934" s="705">
        <v>248</v>
      </c>
      <c r="I1934" s="705">
        <v>9613</v>
      </c>
      <c r="J1934" s="705">
        <v>8739</v>
      </c>
      <c r="K1934" s="705">
        <v>80</v>
      </c>
      <c r="L1934" s="705">
        <v>6651</v>
      </c>
      <c r="M1934" s="705">
        <v>2463</v>
      </c>
      <c r="N1934" s="705">
        <v>1726</v>
      </c>
      <c r="O1934" s="705">
        <v>639</v>
      </c>
      <c r="P1934" s="705">
        <v>473</v>
      </c>
      <c r="Q1934" s="705">
        <v>175</v>
      </c>
      <c r="R1934" s="705">
        <v>1832</v>
      </c>
      <c r="S1934" s="705">
        <v>1665</v>
      </c>
      <c r="T1934" s="705">
        <v>0</v>
      </c>
      <c r="U1934" s="705">
        <v>0</v>
      </c>
      <c r="V1934" s="705">
        <v>13682</v>
      </c>
      <c r="W1934" s="705">
        <f t="shared" si="80"/>
        <v>13681</v>
      </c>
      <c r="X1934" s="705">
        <f t="shared" si="81"/>
        <v>20295</v>
      </c>
    </row>
    <row r="1935" spans="2:24">
      <c r="B1935" t="s">
        <v>550</v>
      </c>
      <c r="C1935" t="s">
        <v>118</v>
      </c>
      <c r="D1935" t="s">
        <v>584</v>
      </c>
      <c r="E1935" t="s">
        <v>673</v>
      </c>
      <c r="F1935" s="705">
        <v>1</v>
      </c>
      <c r="G1935" s="705">
        <v>132</v>
      </c>
      <c r="H1935" s="705">
        <v>246</v>
      </c>
      <c r="I1935" s="705">
        <v>17796</v>
      </c>
      <c r="J1935" s="705">
        <v>16178</v>
      </c>
      <c r="K1935" s="705">
        <v>75</v>
      </c>
      <c r="L1935" s="705">
        <v>5127</v>
      </c>
      <c r="M1935" s="705">
        <v>4272</v>
      </c>
      <c r="N1935" s="705">
        <v>1614</v>
      </c>
      <c r="O1935" s="705">
        <v>598</v>
      </c>
      <c r="P1935" s="705">
        <v>473</v>
      </c>
      <c r="Q1935" s="705">
        <v>175</v>
      </c>
      <c r="R1935" s="705">
        <v>7545</v>
      </c>
      <c r="S1935" s="705">
        <v>6859</v>
      </c>
      <c r="T1935" s="705">
        <v>0</v>
      </c>
      <c r="U1935" s="705">
        <v>0</v>
      </c>
      <c r="V1935" s="705">
        <v>28082</v>
      </c>
      <c r="W1935" s="705">
        <f t="shared" si="80"/>
        <v>28082</v>
      </c>
      <c r="X1935" s="705">
        <f t="shared" si="81"/>
        <v>32555</v>
      </c>
    </row>
    <row r="1936" spans="2:24">
      <c r="B1936" t="s">
        <v>550</v>
      </c>
      <c r="C1936" t="s">
        <v>118</v>
      </c>
      <c r="D1936" t="s">
        <v>669</v>
      </c>
      <c r="E1936" t="s">
        <v>669</v>
      </c>
      <c r="F1936" s="705">
        <v>13</v>
      </c>
      <c r="G1936" s="705">
        <v>1176</v>
      </c>
      <c r="H1936" s="705">
        <v>3690</v>
      </c>
      <c r="I1936" s="705">
        <v>172838</v>
      </c>
      <c r="J1936" s="705">
        <v>144031</v>
      </c>
      <c r="K1936" s="705">
        <v>58</v>
      </c>
      <c r="L1936" s="705">
        <v>25413</v>
      </c>
      <c r="M1936" s="705">
        <v>18846</v>
      </c>
      <c r="N1936" s="705">
        <v>23695</v>
      </c>
      <c r="O1936" s="705">
        <v>8776</v>
      </c>
      <c r="P1936" s="705">
        <v>6197</v>
      </c>
      <c r="Q1936" s="705">
        <v>2295</v>
      </c>
      <c r="R1936" s="705">
        <v>75658</v>
      </c>
      <c r="S1936" s="705">
        <v>63048</v>
      </c>
      <c r="T1936" s="705">
        <v>29568</v>
      </c>
      <c r="U1936" s="705">
        <v>10951</v>
      </c>
      <c r="V1936" s="705">
        <v>247947</v>
      </c>
      <c r="W1936" s="705">
        <f t="shared" si="80"/>
        <v>247947</v>
      </c>
      <c r="X1936" s="705">
        <f t="shared" si="81"/>
        <v>333369</v>
      </c>
    </row>
    <row r="1937" spans="2:24">
      <c r="B1937" t="s">
        <v>550</v>
      </c>
      <c r="C1937" t="s">
        <v>118</v>
      </c>
      <c r="D1937" t="s">
        <v>669</v>
      </c>
      <c r="E1937" t="s">
        <v>673</v>
      </c>
      <c r="F1937" s="705">
        <v>1</v>
      </c>
      <c r="G1937" s="705">
        <v>80</v>
      </c>
      <c r="H1937" s="705">
        <v>234</v>
      </c>
      <c r="I1937" s="705">
        <v>8374</v>
      </c>
      <c r="J1937" s="705">
        <v>6979</v>
      </c>
      <c r="K1937" s="705">
        <v>65</v>
      </c>
      <c r="L1937" s="705">
        <v>2016</v>
      </c>
      <c r="M1937" s="705">
        <v>1680</v>
      </c>
      <c r="N1937" s="705">
        <v>1470</v>
      </c>
      <c r="O1937" s="705">
        <v>544</v>
      </c>
      <c r="P1937" s="705">
        <v>351</v>
      </c>
      <c r="Q1937" s="705">
        <v>130</v>
      </c>
      <c r="R1937" s="705">
        <v>4317</v>
      </c>
      <c r="S1937" s="705">
        <v>3924</v>
      </c>
      <c r="T1937" s="705">
        <v>2305</v>
      </c>
      <c r="U1937" s="705">
        <v>854</v>
      </c>
      <c r="V1937" s="705">
        <v>14111</v>
      </c>
      <c r="W1937" s="705">
        <f t="shared" si="80"/>
        <v>14111</v>
      </c>
      <c r="X1937" s="705">
        <f t="shared" si="81"/>
        <v>18833</v>
      </c>
    </row>
    <row r="1938" spans="2:24">
      <c r="B1938" t="s">
        <v>550</v>
      </c>
      <c r="C1938" t="s">
        <v>118</v>
      </c>
      <c r="D1938" t="s">
        <v>671</v>
      </c>
      <c r="E1938" t="s">
        <v>671</v>
      </c>
      <c r="F1938" s="705">
        <v>2</v>
      </c>
      <c r="G1938" s="705">
        <v>146</v>
      </c>
      <c r="H1938" s="705">
        <v>517</v>
      </c>
      <c r="I1938" s="705">
        <v>21150</v>
      </c>
      <c r="J1938" s="705">
        <v>19227</v>
      </c>
      <c r="K1938" s="705">
        <v>55</v>
      </c>
      <c r="L1938" s="705">
        <v>0</v>
      </c>
      <c r="M1938" s="705">
        <v>0</v>
      </c>
      <c r="N1938" s="705">
        <v>1783</v>
      </c>
      <c r="O1938" s="705">
        <v>660</v>
      </c>
      <c r="P1938" s="705">
        <v>702</v>
      </c>
      <c r="Q1938" s="705">
        <v>260</v>
      </c>
      <c r="R1938" s="705">
        <v>14188</v>
      </c>
      <c r="S1938" s="705">
        <v>12898</v>
      </c>
      <c r="T1938" s="705">
        <v>0</v>
      </c>
      <c r="U1938" s="705">
        <v>0</v>
      </c>
      <c r="V1938" s="705">
        <v>33045</v>
      </c>
      <c r="W1938" s="705">
        <f t="shared" si="80"/>
        <v>33045</v>
      </c>
      <c r="X1938" s="705">
        <f t="shared" si="81"/>
        <v>37823</v>
      </c>
    </row>
    <row r="1939" spans="2:24">
      <c r="B1939" t="s">
        <v>550</v>
      </c>
      <c r="C1939" t="s">
        <v>118</v>
      </c>
      <c r="D1939" t="s">
        <v>665</v>
      </c>
      <c r="E1939" t="s">
        <v>665</v>
      </c>
      <c r="F1939" s="705">
        <v>21</v>
      </c>
      <c r="G1939" s="705">
        <v>1747</v>
      </c>
      <c r="H1939" s="705">
        <v>5880</v>
      </c>
      <c r="I1939" s="705">
        <v>260744</v>
      </c>
      <c r="J1939" s="705">
        <v>237040</v>
      </c>
      <c r="K1939" s="705">
        <v>59</v>
      </c>
      <c r="L1939" s="705">
        <v>40946</v>
      </c>
      <c r="M1939" s="705">
        <v>36138</v>
      </c>
      <c r="N1939" s="705">
        <v>33166</v>
      </c>
      <c r="O1939" s="705">
        <v>12284</v>
      </c>
      <c r="P1939" s="705">
        <v>7911</v>
      </c>
      <c r="Q1939" s="705">
        <v>2930</v>
      </c>
      <c r="R1939" s="705">
        <v>102861</v>
      </c>
      <c r="S1939" s="705">
        <v>93510</v>
      </c>
      <c r="T1939" s="705">
        <v>43763</v>
      </c>
      <c r="U1939" s="705">
        <v>16208</v>
      </c>
      <c r="V1939" s="705">
        <v>398111</v>
      </c>
      <c r="W1939" s="705">
        <f t="shared" si="80"/>
        <v>398110</v>
      </c>
      <c r="X1939" s="705">
        <f t="shared" si="81"/>
        <v>489391</v>
      </c>
    </row>
    <row r="1940" spans="2:24">
      <c r="B1940" t="s">
        <v>550</v>
      </c>
      <c r="C1940" t="s">
        <v>118</v>
      </c>
      <c r="D1940" t="s">
        <v>585</v>
      </c>
      <c r="E1940" t="s">
        <v>585</v>
      </c>
      <c r="F1940" s="705">
        <v>1</v>
      </c>
      <c r="G1940" s="705">
        <v>298</v>
      </c>
      <c r="H1940" s="705">
        <v>294</v>
      </c>
      <c r="I1940" s="705">
        <v>64619</v>
      </c>
      <c r="J1940" s="705">
        <v>58745</v>
      </c>
      <c r="K1940" s="705">
        <v>60</v>
      </c>
      <c r="L1940" s="705">
        <v>6628</v>
      </c>
      <c r="M1940" s="705">
        <v>6025</v>
      </c>
      <c r="N1940" s="705">
        <v>5006</v>
      </c>
      <c r="O1940" s="705">
        <v>1854</v>
      </c>
      <c r="P1940" s="705">
        <v>621</v>
      </c>
      <c r="Q1940" s="705">
        <v>230</v>
      </c>
      <c r="R1940" s="705">
        <v>6744</v>
      </c>
      <c r="S1940" s="705">
        <v>6131</v>
      </c>
      <c r="T1940" s="705">
        <v>3805</v>
      </c>
      <c r="U1940" s="705">
        <v>1409</v>
      </c>
      <c r="V1940" s="705">
        <v>74394</v>
      </c>
      <c r="W1940" s="705">
        <f t="shared" si="80"/>
        <v>74394</v>
      </c>
      <c r="X1940" s="705">
        <f t="shared" si="81"/>
        <v>87423</v>
      </c>
    </row>
    <row r="1941" spans="2:24">
      <c r="B1941" t="s">
        <v>550</v>
      </c>
      <c r="C1941" t="s">
        <v>120</v>
      </c>
      <c r="D1941" t="s">
        <v>582</v>
      </c>
      <c r="E1941" t="s">
        <v>582</v>
      </c>
      <c r="F1941" s="705">
        <v>4</v>
      </c>
      <c r="G1941" s="705">
        <v>364</v>
      </c>
      <c r="H1941" s="705">
        <v>1265</v>
      </c>
      <c r="I1941" s="705">
        <v>68735</v>
      </c>
      <c r="J1941" s="705">
        <v>62486</v>
      </c>
      <c r="K1941" s="705">
        <v>81</v>
      </c>
      <c r="L1941" s="705">
        <v>18445</v>
      </c>
      <c r="M1941" s="705">
        <v>16276</v>
      </c>
      <c r="N1941" s="705">
        <v>7811</v>
      </c>
      <c r="O1941" s="705">
        <v>2893</v>
      </c>
      <c r="P1941" s="705">
        <v>1890</v>
      </c>
      <c r="Q1941" s="705">
        <v>700</v>
      </c>
      <c r="R1941" s="705">
        <v>14992</v>
      </c>
      <c r="S1941" s="705">
        <v>13629</v>
      </c>
      <c r="T1941" s="705">
        <v>2503</v>
      </c>
      <c r="U1941" s="705">
        <v>927</v>
      </c>
      <c r="V1941" s="705">
        <v>96911</v>
      </c>
      <c r="W1941" s="705">
        <f t="shared" si="80"/>
        <v>96911</v>
      </c>
      <c r="X1941" s="705">
        <f t="shared" si="81"/>
        <v>114376</v>
      </c>
    </row>
    <row r="1942" spans="2:24">
      <c r="B1942" t="s">
        <v>550</v>
      </c>
      <c r="C1942" t="s">
        <v>120</v>
      </c>
      <c r="D1942" t="s">
        <v>228</v>
      </c>
      <c r="E1942" t="s">
        <v>228</v>
      </c>
      <c r="F1942" s="705">
        <v>48</v>
      </c>
      <c r="G1942" s="705">
        <v>3904</v>
      </c>
      <c r="H1942" s="705">
        <v>16387</v>
      </c>
      <c r="I1942" s="705">
        <v>827219</v>
      </c>
      <c r="J1942" s="705">
        <v>306378</v>
      </c>
      <c r="K1942" s="705">
        <v>100</v>
      </c>
      <c r="L1942" s="705">
        <v>122442</v>
      </c>
      <c r="M1942" s="705">
        <v>82692</v>
      </c>
      <c r="N1942" s="705">
        <v>80766</v>
      </c>
      <c r="O1942" s="705">
        <v>29913</v>
      </c>
      <c r="P1942" s="705">
        <v>1404</v>
      </c>
      <c r="Q1942" s="705">
        <v>520</v>
      </c>
      <c r="R1942" s="705">
        <v>327468</v>
      </c>
      <c r="S1942" s="705">
        <v>121284</v>
      </c>
      <c r="T1942" s="705">
        <v>2147</v>
      </c>
      <c r="U1942" s="705">
        <v>795</v>
      </c>
      <c r="V1942" s="705">
        <v>541583</v>
      </c>
      <c r="W1942" s="705">
        <f t="shared" si="80"/>
        <v>541582</v>
      </c>
      <c r="X1942" s="705">
        <f t="shared" si="81"/>
        <v>1361446</v>
      </c>
    </row>
    <row r="1943" spans="2:24">
      <c r="B1943" t="s">
        <v>550</v>
      </c>
      <c r="C1943" t="s">
        <v>120</v>
      </c>
      <c r="D1943" t="s">
        <v>228</v>
      </c>
      <c r="E1943" t="s">
        <v>665</v>
      </c>
      <c r="F1943" s="705">
        <v>2</v>
      </c>
      <c r="G1943" s="705">
        <v>152</v>
      </c>
      <c r="H1943" s="705">
        <v>724</v>
      </c>
      <c r="I1943" s="705">
        <v>31405</v>
      </c>
      <c r="J1943" s="705">
        <v>11632</v>
      </c>
      <c r="K1943" s="705">
        <v>100</v>
      </c>
      <c r="L1943" s="705">
        <v>6188</v>
      </c>
      <c r="M1943" s="705">
        <v>5625</v>
      </c>
      <c r="N1943" s="705">
        <v>2684</v>
      </c>
      <c r="O1943" s="705">
        <v>994</v>
      </c>
      <c r="P1943" s="705">
        <v>351</v>
      </c>
      <c r="Q1943" s="705">
        <v>130</v>
      </c>
      <c r="R1943" s="705">
        <v>9674</v>
      </c>
      <c r="S1943" s="705">
        <v>8794</v>
      </c>
      <c r="T1943" s="705">
        <v>4618</v>
      </c>
      <c r="U1943" s="705">
        <v>1710</v>
      </c>
      <c r="V1943" s="705">
        <v>28885</v>
      </c>
      <c r="W1943" s="705">
        <f t="shared" si="80"/>
        <v>28885</v>
      </c>
      <c r="X1943" s="705">
        <f t="shared" si="81"/>
        <v>54920</v>
      </c>
    </row>
    <row r="1944" spans="2:24">
      <c r="B1944" t="s">
        <v>550</v>
      </c>
      <c r="C1944" t="s">
        <v>120</v>
      </c>
      <c r="D1944" t="s">
        <v>583</v>
      </c>
      <c r="E1944" t="s">
        <v>664</v>
      </c>
      <c r="F1944" s="705">
        <v>1</v>
      </c>
      <c r="G1944" s="705">
        <v>120</v>
      </c>
      <c r="H1944" s="705">
        <v>350</v>
      </c>
      <c r="I1944" s="705">
        <v>24797</v>
      </c>
      <c r="J1944" s="705">
        <v>22543</v>
      </c>
      <c r="K1944" s="705">
        <v>65</v>
      </c>
      <c r="L1944" s="705">
        <v>5676</v>
      </c>
      <c r="M1944" s="705">
        <v>5160</v>
      </c>
      <c r="N1944" s="705">
        <v>2665</v>
      </c>
      <c r="O1944" s="705">
        <v>987</v>
      </c>
      <c r="P1944" s="705">
        <v>621</v>
      </c>
      <c r="Q1944" s="705">
        <v>230</v>
      </c>
      <c r="R1944" s="705">
        <v>5400</v>
      </c>
      <c r="S1944" s="705">
        <v>4909</v>
      </c>
      <c r="T1944" s="705">
        <v>2945</v>
      </c>
      <c r="U1944" s="705">
        <v>1091</v>
      </c>
      <c r="V1944" s="705">
        <v>34920</v>
      </c>
      <c r="W1944" s="705">
        <f t="shared" si="80"/>
        <v>34920</v>
      </c>
      <c r="X1944" s="705">
        <f t="shared" si="81"/>
        <v>42104</v>
      </c>
    </row>
    <row r="1945" spans="2:24">
      <c r="B1945" t="s">
        <v>550</v>
      </c>
      <c r="C1945" t="s">
        <v>120</v>
      </c>
      <c r="D1945" t="s">
        <v>583</v>
      </c>
      <c r="E1945" t="s">
        <v>228</v>
      </c>
      <c r="F1945" s="705">
        <v>1</v>
      </c>
      <c r="G1945" s="705">
        <v>47</v>
      </c>
      <c r="H1945" s="705">
        <v>305</v>
      </c>
      <c r="I1945" s="705">
        <v>8320</v>
      </c>
      <c r="J1945" s="705">
        <v>7563</v>
      </c>
      <c r="K1945" s="705">
        <v>94</v>
      </c>
      <c r="L1945" s="705">
        <v>0</v>
      </c>
      <c r="M1945" s="705">
        <v>0</v>
      </c>
      <c r="N1945" s="705">
        <v>855</v>
      </c>
      <c r="O1945" s="705">
        <v>317</v>
      </c>
      <c r="P1945" s="705">
        <v>621</v>
      </c>
      <c r="Q1945" s="705">
        <v>230</v>
      </c>
      <c r="R1945" s="705">
        <v>4476</v>
      </c>
      <c r="S1945" s="705">
        <v>1658</v>
      </c>
      <c r="T1945" s="705">
        <v>0</v>
      </c>
      <c r="U1945" s="705">
        <v>0</v>
      </c>
      <c r="V1945" s="705">
        <v>9768</v>
      </c>
      <c r="W1945" s="705">
        <f t="shared" si="80"/>
        <v>9768</v>
      </c>
      <c r="X1945" s="705">
        <f t="shared" si="81"/>
        <v>14272</v>
      </c>
    </row>
    <row r="1946" spans="2:24">
      <c r="B1946" t="s">
        <v>550</v>
      </c>
      <c r="C1946" t="s">
        <v>120</v>
      </c>
      <c r="D1946" t="s">
        <v>583</v>
      </c>
      <c r="E1946" t="s">
        <v>583</v>
      </c>
      <c r="F1946" s="705">
        <v>386</v>
      </c>
      <c r="G1946" s="705">
        <v>36661</v>
      </c>
      <c r="H1946" s="705">
        <v>129326</v>
      </c>
      <c r="I1946" s="705">
        <v>7241615</v>
      </c>
      <c r="J1946" s="705">
        <v>6583286</v>
      </c>
      <c r="K1946" s="705">
        <v>78</v>
      </c>
      <c r="L1946" s="705">
        <v>1631130</v>
      </c>
      <c r="M1946" s="705">
        <v>1414806</v>
      </c>
      <c r="N1946" s="705">
        <v>743863</v>
      </c>
      <c r="O1946" s="705">
        <v>275505</v>
      </c>
      <c r="P1946" s="705">
        <v>245174</v>
      </c>
      <c r="Q1946" s="705">
        <v>90805</v>
      </c>
      <c r="R1946" s="705">
        <v>1871963</v>
      </c>
      <c r="S1946" s="705">
        <v>1701784</v>
      </c>
      <c r="T1946" s="705">
        <v>683287</v>
      </c>
      <c r="U1946" s="705">
        <v>253069</v>
      </c>
      <c r="V1946" s="705">
        <v>10319256</v>
      </c>
      <c r="W1946" s="705">
        <f t="shared" si="80"/>
        <v>10319255</v>
      </c>
      <c r="X1946" s="705">
        <f t="shared" si="81"/>
        <v>12417032</v>
      </c>
    </row>
    <row r="1947" spans="2:24">
      <c r="B1947" t="s">
        <v>550</v>
      </c>
      <c r="C1947" t="s">
        <v>120</v>
      </c>
      <c r="D1947" t="s">
        <v>666</v>
      </c>
      <c r="E1947" t="s">
        <v>666</v>
      </c>
      <c r="F1947" s="705">
        <v>37</v>
      </c>
      <c r="G1947" s="705">
        <v>2992</v>
      </c>
      <c r="H1947" s="705">
        <v>12995</v>
      </c>
      <c r="I1947" s="705">
        <v>571463</v>
      </c>
      <c r="J1947" s="705">
        <v>519512</v>
      </c>
      <c r="K1947" s="705">
        <v>49</v>
      </c>
      <c r="L1947" s="705">
        <v>82694</v>
      </c>
      <c r="M1947" s="705">
        <v>73170</v>
      </c>
      <c r="N1947" s="705">
        <v>61612</v>
      </c>
      <c r="O1947" s="705">
        <v>22819</v>
      </c>
      <c r="P1947" s="705">
        <v>13797</v>
      </c>
      <c r="Q1947" s="705">
        <v>5110</v>
      </c>
      <c r="R1947" s="705">
        <v>241499</v>
      </c>
      <c r="S1947" s="705">
        <v>219545</v>
      </c>
      <c r="T1947" s="705">
        <v>77107</v>
      </c>
      <c r="U1947" s="705">
        <v>28558</v>
      </c>
      <c r="V1947" s="705">
        <v>868714</v>
      </c>
      <c r="W1947" s="705">
        <f t="shared" si="80"/>
        <v>868714</v>
      </c>
      <c r="X1947" s="705">
        <f t="shared" si="81"/>
        <v>1048172</v>
      </c>
    </row>
    <row r="1948" spans="2:24">
      <c r="B1948" t="s">
        <v>550</v>
      </c>
      <c r="C1948" t="s">
        <v>120</v>
      </c>
      <c r="D1948" t="s">
        <v>584</v>
      </c>
      <c r="E1948" t="s">
        <v>584</v>
      </c>
      <c r="F1948" s="705">
        <v>157</v>
      </c>
      <c r="G1948" s="705">
        <v>12658</v>
      </c>
      <c r="H1948" s="705">
        <v>51967</v>
      </c>
      <c r="I1948" s="705">
        <v>2344043</v>
      </c>
      <c r="J1948" s="705">
        <v>2130948</v>
      </c>
      <c r="K1948" s="705">
        <v>80</v>
      </c>
      <c r="L1948" s="705">
        <v>642112</v>
      </c>
      <c r="M1948" s="705">
        <v>550224</v>
      </c>
      <c r="N1948" s="705">
        <v>253610</v>
      </c>
      <c r="O1948" s="705">
        <v>93930</v>
      </c>
      <c r="P1948" s="705">
        <v>74412</v>
      </c>
      <c r="Q1948" s="705">
        <v>27560</v>
      </c>
      <c r="R1948" s="705">
        <v>717092</v>
      </c>
      <c r="S1948" s="705">
        <v>651902</v>
      </c>
      <c r="T1948" s="705">
        <v>176034</v>
      </c>
      <c r="U1948" s="705">
        <v>65198</v>
      </c>
      <c r="V1948" s="705">
        <v>3519761</v>
      </c>
      <c r="W1948" s="705">
        <f t="shared" si="80"/>
        <v>3519762</v>
      </c>
      <c r="X1948" s="705">
        <f t="shared" si="81"/>
        <v>4207303</v>
      </c>
    </row>
    <row r="1949" spans="2:24">
      <c r="B1949" t="s">
        <v>550</v>
      </c>
      <c r="C1949" t="s">
        <v>120</v>
      </c>
      <c r="D1949" t="s">
        <v>669</v>
      </c>
      <c r="E1949" t="s">
        <v>669</v>
      </c>
      <c r="F1949" s="705">
        <v>23</v>
      </c>
      <c r="G1949" s="705">
        <v>1816</v>
      </c>
      <c r="H1949" s="705">
        <v>7590</v>
      </c>
      <c r="I1949" s="705">
        <v>327635</v>
      </c>
      <c r="J1949" s="705">
        <v>273029</v>
      </c>
      <c r="K1949" s="705">
        <v>58</v>
      </c>
      <c r="L1949" s="705">
        <v>46958</v>
      </c>
      <c r="M1949" s="705">
        <v>39505</v>
      </c>
      <c r="N1949" s="705">
        <v>37051</v>
      </c>
      <c r="O1949" s="705">
        <v>13722</v>
      </c>
      <c r="P1949" s="705">
        <v>8883</v>
      </c>
      <c r="Q1949" s="705">
        <v>3290</v>
      </c>
      <c r="R1949" s="705">
        <v>120743</v>
      </c>
      <c r="S1949" s="705">
        <v>100619</v>
      </c>
      <c r="T1949" s="705">
        <v>52830</v>
      </c>
      <c r="U1949" s="705">
        <v>19567</v>
      </c>
      <c r="V1949" s="705">
        <v>449733</v>
      </c>
      <c r="W1949" s="705">
        <f t="shared" si="80"/>
        <v>449732</v>
      </c>
      <c r="X1949" s="705">
        <f t="shared" si="81"/>
        <v>594100</v>
      </c>
    </row>
    <row r="1950" spans="2:24">
      <c r="B1950" t="s">
        <v>550</v>
      </c>
      <c r="C1950" t="s">
        <v>120</v>
      </c>
      <c r="D1950" t="s">
        <v>669</v>
      </c>
      <c r="E1950" t="s">
        <v>667</v>
      </c>
      <c r="F1950" s="705">
        <v>1</v>
      </c>
      <c r="G1950" s="705">
        <v>81</v>
      </c>
      <c r="H1950" s="705">
        <v>303</v>
      </c>
      <c r="I1950" s="705">
        <v>15759</v>
      </c>
      <c r="J1950" s="705">
        <v>13133</v>
      </c>
      <c r="K1950" s="705">
        <v>65</v>
      </c>
      <c r="L1950" s="705">
        <v>0</v>
      </c>
      <c r="M1950" s="705">
        <v>0</v>
      </c>
      <c r="N1950" s="705">
        <v>984</v>
      </c>
      <c r="O1950" s="705">
        <v>365</v>
      </c>
      <c r="P1950" s="705">
        <v>473</v>
      </c>
      <c r="Q1950" s="705">
        <v>175</v>
      </c>
      <c r="R1950" s="705">
        <v>4368</v>
      </c>
      <c r="S1950" s="705">
        <v>3971</v>
      </c>
      <c r="T1950" s="705">
        <v>2889</v>
      </c>
      <c r="U1950" s="705">
        <v>1070</v>
      </c>
      <c r="V1950" s="705">
        <v>18714</v>
      </c>
      <c r="W1950" s="705">
        <f t="shared" si="80"/>
        <v>18714</v>
      </c>
      <c r="X1950" s="705">
        <f t="shared" si="81"/>
        <v>24473</v>
      </c>
    </row>
    <row r="1951" spans="2:24">
      <c r="B1951" t="s">
        <v>550</v>
      </c>
      <c r="C1951" t="s">
        <v>120</v>
      </c>
      <c r="D1951" t="s">
        <v>671</v>
      </c>
      <c r="E1951" t="s">
        <v>671</v>
      </c>
      <c r="F1951" s="705">
        <v>2</v>
      </c>
      <c r="G1951" s="705">
        <v>159</v>
      </c>
      <c r="H1951" s="705">
        <v>729</v>
      </c>
      <c r="I1951" s="705">
        <v>28712</v>
      </c>
      <c r="J1951" s="705">
        <v>26102</v>
      </c>
      <c r="K1951" s="705">
        <v>55</v>
      </c>
      <c r="L1951" s="705">
        <v>6826</v>
      </c>
      <c r="M1951" s="705">
        <v>6206</v>
      </c>
      <c r="N1951" s="705">
        <v>3364</v>
      </c>
      <c r="O1951" s="705">
        <v>1246</v>
      </c>
      <c r="P1951" s="705">
        <v>702</v>
      </c>
      <c r="Q1951" s="705">
        <v>260</v>
      </c>
      <c r="R1951" s="705">
        <v>12559</v>
      </c>
      <c r="S1951" s="705">
        <v>11417</v>
      </c>
      <c r="T1951" s="705">
        <v>5926</v>
      </c>
      <c r="U1951" s="705">
        <v>2195</v>
      </c>
      <c r="V1951" s="705">
        <v>47426</v>
      </c>
      <c r="W1951" s="705">
        <f t="shared" si="80"/>
        <v>47426</v>
      </c>
      <c r="X1951" s="705">
        <f t="shared" si="81"/>
        <v>58089</v>
      </c>
    </row>
    <row r="1952" spans="2:24">
      <c r="B1952" t="s">
        <v>550</v>
      </c>
      <c r="C1952" t="s">
        <v>120</v>
      </c>
      <c r="D1952" t="s">
        <v>665</v>
      </c>
      <c r="E1952" t="s">
        <v>665</v>
      </c>
      <c r="F1952" s="705">
        <v>100</v>
      </c>
      <c r="G1952" s="705">
        <v>7983</v>
      </c>
      <c r="H1952" s="705">
        <v>34411</v>
      </c>
      <c r="I1952" s="705">
        <v>1550226</v>
      </c>
      <c r="J1952" s="705">
        <v>1409297</v>
      </c>
      <c r="K1952" s="705">
        <v>55</v>
      </c>
      <c r="L1952" s="705">
        <v>240959</v>
      </c>
      <c r="M1952" s="705">
        <v>207517</v>
      </c>
      <c r="N1952" s="705">
        <v>155573</v>
      </c>
      <c r="O1952" s="705">
        <v>57620</v>
      </c>
      <c r="P1952" s="705">
        <v>37068</v>
      </c>
      <c r="Q1952" s="705">
        <v>13729</v>
      </c>
      <c r="R1952" s="705">
        <v>536517</v>
      </c>
      <c r="S1952" s="705">
        <v>487743</v>
      </c>
      <c r="T1952" s="705">
        <v>226346</v>
      </c>
      <c r="U1952" s="705">
        <v>83832</v>
      </c>
      <c r="V1952" s="705">
        <v>2259737</v>
      </c>
      <c r="W1952" s="705">
        <f t="shared" si="80"/>
        <v>2259738</v>
      </c>
      <c r="X1952" s="705">
        <f t="shared" si="81"/>
        <v>2746689</v>
      </c>
    </row>
    <row r="1953" spans="2:24">
      <c r="B1953" t="s">
        <v>550</v>
      </c>
      <c r="C1953" t="s">
        <v>122</v>
      </c>
      <c r="D1953" t="s">
        <v>582</v>
      </c>
      <c r="E1953" t="s">
        <v>582</v>
      </c>
      <c r="F1953" s="705">
        <v>2</v>
      </c>
      <c r="G1953" s="705">
        <v>201</v>
      </c>
      <c r="H1953" s="705">
        <v>810</v>
      </c>
      <c r="I1953" s="705">
        <v>41219</v>
      </c>
      <c r="J1953" s="705">
        <v>37471</v>
      </c>
      <c r="K1953" s="705">
        <v>79</v>
      </c>
      <c r="L1953" s="705">
        <v>22736</v>
      </c>
      <c r="M1953" s="705">
        <v>20669</v>
      </c>
      <c r="N1953" s="705">
        <v>4600</v>
      </c>
      <c r="O1953" s="705">
        <v>1704</v>
      </c>
      <c r="P1953" s="705">
        <v>945</v>
      </c>
      <c r="Q1953" s="705">
        <v>350</v>
      </c>
      <c r="R1953" s="705">
        <v>9127</v>
      </c>
      <c r="S1953" s="705">
        <v>8297</v>
      </c>
      <c r="T1953" s="705">
        <v>2541</v>
      </c>
      <c r="U1953" s="705">
        <v>941</v>
      </c>
      <c r="V1953" s="705">
        <v>69433</v>
      </c>
      <c r="W1953" s="705">
        <f t="shared" si="80"/>
        <v>69432</v>
      </c>
      <c r="X1953" s="705">
        <f t="shared" si="81"/>
        <v>81168</v>
      </c>
    </row>
    <row r="1954" spans="2:24">
      <c r="B1954" t="s">
        <v>550</v>
      </c>
      <c r="C1954" t="s">
        <v>122</v>
      </c>
      <c r="D1954" t="s">
        <v>228</v>
      </c>
      <c r="E1954" t="s">
        <v>228</v>
      </c>
      <c r="F1954" s="705">
        <v>29</v>
      </c>
      <c r="G1954" s="705">
        <v>1749</v>
      </c>
      <c r="H1954" s="705">
        <v>11849</v>
      </c>
      <c r="I1954" s="705">
        <v>443224</v>
      </c>
      <c r="J1954" s="705">
        <v>164157</v>
      </c>
      <c r="K1954" s="705">
        <v>100</v>
      </c>
      <c r="L1954" s="705">
        <v>72660</v>
      </c>
      <c r="M1954" s="705">
        <v>48856</v>
      </c>
      <c r="N1954" s="705">
        <v>36977</v>
      </c>
      <c r="O1954" s="705">
        <v>13695</v>
      </c>
      <c r="P1954" s="705">
        <v>0</v>
      </c>
      <c r="Q1954" s="705">
        <v>0</v>
      </c>
      <c r="R1954" s="705">
        <v>158505</v>
      </c>
      <c r="S1954" s="705">
        <v>58706</v>
      </c>
      <c r="T1954" s="705">
        <v>1821</v>
      </c>
      <c r="U1954" s="705">
        <v>675</v>
      </c>
      <c r="V1954" s="705">
        <v>286089</v>
      </c>
      <c r="W1954" s="705">
        <f t="shared" ref="W1954:W2017" si="82">SUM(ABS(J1954),ABS(M1954),ABS(O1954),ABS(Q1954),ABS(S1954),ABS(U1954))</f>
        <v>286089</v>
      </c>
      <c r="X1954" s="705">
        <f t="shared" ref="X1954:X2017" si="83">SUM(ABS(I1954),ABS(N1954),ABS(P1954),ABS(R1954),ABS(T1954),ABS(L1954))</f>
        <v>713187</v>
      </c>
    </row>
    <row r="1955" spans="2:24">
      <c r="B1955" t="s">
        <v>550</v>
      </c>
      <c r="C1955" t="s">
        <v>122</v>
      </c>
      <c r="D1955" t="s">
        <v>583</v>
      </c>
      <c r="E1955" t="s">
        <v>228</v>
      </c>
      <c r="F1955" s="705">
        <v>2</v>
      </c>
      <c r="G1955" s="705">
        <v>139</v>
      </c>
      <c r="H1955" s="705">
        <v>833</v>
      </c>
      <c r="I1955" s="705">
        <v>35866</v>
      </c>
      <c r="J1955" s="705">
        <v>32605</v>
      </c>
      <c r="K1955" s="705">
        <v>75</v>
      </c>
      <c r="L1955" s="705">
        <v>8076</v>
      </c>
      <c r="M1955" s="705">
        <v>5211</v>
      </c>
      <c r="N1955" s="705">
        <v>2520</v>
      </c>
      <c r="O1955" s="705">
        <v>933</v>
      </c>
      <c r="P1955" s="705">
        <v>1242</v>
      </c>
      <c r="Q1955" s="705">
        <v>460</v>
      </c>
      <c r="R1955" s="705">
        <v>10060</v>
      </c>
      <c r="S1955" s="705">
        <v>3726</v>
      </c>
      <c r="T1955" s="705">
        <v>0</v>
      </c>
      <c r="U1955" s="705">
        <v>0</v>
      </c>
      <c r="V1955" s="705">
        <v>42935</v>
      </c>
      <c r="W1955" s="705">
        <f t="shared" si="82"/>
        <v>42935</v>
      </c>
      <c r="X1955" s="705">
        <f t="shared" si="83"/>
        <v>57764</v>
      </c>
    </row>
    <row r="1956" spans="2:24">
      <c r="B1956" t="s">
        <v>550</v>
      </c>
      <c r="C1956" t="s">
        <v>122</v>
      </c>
      <c r="D1956" t="s">
        <v>583</v>
      </c>
      <c r="E1956" t="s">
        <v>583</v>
      </c>
      <c r="F1956" s="705">
        <v>176</v>
      </c>
      <c r="G1956" s="705">
        <v>16699</v>
      </c>
      <c r="H1956" s="705">
        <v>72835</v>
      </c>
      <c r="I1956" s="705">
        <v>4397542</v>
      </c>
      <c r="J1956" s="705">
        <v>3997766</v>
      </c>
      <c r="K1956" s="705">
        <v>73</v>
      </c>
      <c r="L1956" s="705">
        <v>876929</v>
      </c>
      <c r="M1956" s="705">
        <v>759325</v>
      </c>
      <c r="N1956" s="705">
        <v>343793</v>
      </c>
      <c r="O1956" s="705">
        <v>127331</v>
      </c>
      <c r="P1956" s="705">
        <v>112455</v>
      </c>
      <c r="Q1956" s="705">
        <v>41650</v>
      </c>
      <c r="R1956" s="705">
        <v>915839</v>
      </c>
      <c r="S1956" s="705">
        <v>832581</v>
      </c>
      <c r="T1956" s="705">
        <v>304153</v>
      </c>
      <c r="U1956" s="705">
        <v>112649</v>
      </c>
      <c r="V1956" s="705">
        <v>5871301</v>
      </c>
      <c r="W1956" s="705">
        <f t="shared" si="82"/>
        <v>5871302</v>
      </c>
      <c r="X1956" s="705">
        <f t="shared" si="83"/>
        <v>6950711</v>
      </c>
    </row>
    <row r="1957" spans="2:24">
      <c r="B1957" t="s">
        <v>550</v>
      </c>
      <c r="C1957" t="s">
        <v>122</v>
      </c>
      <c r="D1957" t="s">
        <v>666</v>
      </c>
      <c r="E1957" t="s">
        <v>583</v>
      </c>
      <c r="F1957" s="705">
        <v>2</v>
      </c>
      <c r="G1957" s="705">
        <v>81</v>
      </c>
      <c r="H1957" s="705">
        <v>853</v>
      </c>
      <c r="I1957" s="705">
        <v>17548</v>
      </c>
      <c r="J1957" s="705">
        <v>15952</v>
      </c>
      <c r="K1957" s="705">
        <v>55</v>
      </c>
      <c r="L1957" s="705">
        <v>3575</v>
      </c>
      <c r="M1957" s="705">
        <v>3250</v>
      </c>
      <c r="N1957" s="705">
        <v>1428</v>
      </c>
      <c r="O1957" s="705">
        <v>529</v>
      </c>
      <c r="P1957" s="705">
        <v>702</v>
      </c>
      <c r="Q1957" s="705">
        <v>260</v>
      </c>
      <c r="R1957" s="705">
        <v>8106</v>
      </c>
      <c r="S1957" s="705">
        <v>7369</v>
      </c>
      <c r="T1957" s="705">
        <v>3216</v>
      </c>
      <c r="U1957" s="705">
        <v>1191</v>
      </c>
      <c r="V1957" s="705">
        <v>28551</v>
      </c>
      <c r="W1957" s="705">
        <f t="shared" si="82"/>
        <v>28551</v>
      </c>
      <c r="X1957" s="705">
        <f t="shared" si="83"/>
        <v>34575</v>
      </c>
    </row>
    <row r="1958" spans="2:24">
      <c r="B1958" t="s">
        <v>550</v>
      </c>
      <c r="C1958" t="s">
        <v>122</v>
      </c>
      <c r="D1958" t="s">
        <v>666</v>
      </c>
      <c r="E1958" t="s">
        <v>666</v>
      </c>
      <c r="F1958" s="705">
        <v>16</v>
      </c>
      <c r="G1958" s="705">
        <v>1139</v>
      </c>
      <c r="H1958" s="705">
        <v>6452</v>
      </c>
      <c r="I1958" s="705">
        <v>257771</v>
      </c>
      <c r="J1958" s="705">
        <v>234337</v>
      </c>
      <c r="K1958" s="705">
        <v>49</v>
      </c>
      <c r="L1958" s="705">
        <v>36958</v>
      </c>
      <c r="M1958" s="705">
        <v>33598</v>
      </c>
      <c r="N1958" s="705">
        <v>25201</v>
      </c>
      <c r="O1958" s="705">
        <v>9334</v>
      </c>
      <c r="P1958" s="705">
        <v>5616</v>
      </c>
      <c r="Q1958" s="705">
        <v>2080</v>
      </c>
      <c r="R1958" s="705">
        <v>117886</v>
      </c>
      <c r="S1958" s="705">
        <v>107169</v>
      </c>
      <c r="T1958" s="705">
        <v>16554</v>
      </c>
      <c r="U1958" s="705">
        <v>6131</v>
      </c>
      <c r="V1958" s="705">
        <v>392649</v>
      </c>
      <c r="W1958" s="705">
        <f t="shared" si="82"/>
        <v>392649</v>
      </c>
      <c r="X1958" s="705">
        <f t="shared" si="83"/>
        <v>459986</v>
      </c>
    </row>
    <row r="1959" spans="2:24">
      <c r="B1959" t="s">
        <v>550</v>
      </c>
      <c r="C1959" t="s">
        <v>122</v>
      </c>
      <c r="D1959" t="s">
        <v>584</v>
      </c>
      <c r="E1959" t="s">
        <v>584</v>
      </c>
      <c r="F1959" s="705">
        <v>52</v>
      </c>
      <c r="G1959" s="705">
        <v>4503</v>
      </c>
      <c r="H1959" s="705">
        <v>21098</v>
      </c>
      <c r="I1959" s="705">
        <v>1076661</v>
      </c>
      <c r="J1959" s="705">
        <v>978783</v>
      </c>
      <c r="K1959" s="705">
        <v>77</v>
      </c>
      <c r="L1959" s="705">
        <v>313540</v>
      </c>
      <c r="M1959" s="705">
        <v>276792</v>
      </c>
      <c r="N1959" s="705">
        <v>95360</v>
      </c>
      <c r="O1959" s="705">
        <v>35319</v>
      </c>
      <c r="P1959" s="705">
        <v>24327</v>
      </c>
      <c r="Q1959" s="705">
        <v>9010</v>
      </c>
      <c r="R1959" s="705">
        <v>260295</v>
      </c>
      <c r="S1959" s="705">
        <v>236632</v>
      </c>
      <c r="T1959" s="705">
        <v>58473</v>
      </c>
      <c r="U1959" s="705">
        <v>21657</v>
      </c>
      <c r="V1959" s="705">
        <v>1558192</v>
      </c>
      <c r="W1959" s="705">
        <f t="shared" si="82"/>
        <v>1558193</v>
      </c>
      <c r="X1959" s="705">
        <f t="shared" si="83"/>
        <v>1828656</v>
      </c>
    </row>
    <row r="1960" spans="2:24">
      <c r="B1960" t="s">
        <v>550</v>
      </c>
      <c r="C1960" t="s">
        <v>122</v>
      </c>
      <c r="D1960" t="s">
        <v>669</v>
      </c>
      <c r="E1960" t="s">
        <v>669</v>
      </c>
      <c r="F1960" s="705">
        <v>15</v>
      </c>
      <c r="G1960" s="705">
        <v>1075</v>
      </c>
      <c r="H1960" s="705">
        <v>6188</v>
      </c>
      <c r="I1960" s="705">
        <v>252117</v>
      </c>
      <c r="J1960" s="705">
        <v>210097</v>
      </c>
      <c r="K1960" s="705">
        <v>51</v>
      </c>
      <c r="L1960" s="705">
        <v>36125</v>
      </c>
      <c r="M1960" s="705">
        <v>28693</v>
      </c>
      <c r="N1960" s="705">
        <v>21178</v>
      </c>
      <c r="O1960" s="705">
        <v>7844</v>
      </c>
      <c r="P1960" s="705">
        <v>5184</v>
      </c>
      <c r="Q1960" s="705">
        <v>1920</v>
      </c>
      <c r="R1960" s="705">
        <v>99762</v>
      </c>
      <c r="S1960" s="705">
        <v>83135</v>
      </c>
      <c r="T1960" s="705">
        <v>28750</v>
      </c>
      <c r="U1960" s="705">
        <v>10648</v>
      </c>
      <c r="V1960" s="705">
        <v>342338</v>
      </c>
      <c r="W1960" s="705">
        <f t="shared" si="82"/>
        <v>342337</v>
      </c>
      <c r="X1960" s="705">
        <f t="shared" si="83"/>
        <v>443116</v>
      </c>
    </row>
    <row r="1961" spans="2:24">
      <c r="B1961" t="s">
        <v>550</v>
      </c>
      <c r="C1961" t="s">
        <v>122</v>
      </c>
      <c r="D1961" t="s">
        <v>671</v>
      </c>
      <c r="E1961" t="s">
        <v>671</v>
      </c>
      <c r="F1961" s="705">
        <v>2</v>
      </c>
      <c r="G1961" s="705">
        <v>167</v>
      </c>
      <c r="H1961" s="705">
        <v>793</v>
      </c>
      <c r="I1961" s="705">
        <v>38758</v>
      </c>
      <c r="J1961" s="705">
        <v>35234</v>
      </c>
      <c r="K1961" s="705">
        <v>45</v>
      </c>
      <c r="L1961" s="705">
        <v>6460</v>
      </c>
      <c r="M1961" s="705">
        <v>5872</v>
      </c>
      <c r="N1961" s="705">
        <v>3264</v>
      </c>
      <c r="O1961" s="705">
        <v>1209</v>
      </c>
      <c r="P1961" s="705">
        <v>351</v>
      </c>
      <c r="Q1961" s="705">
        <v>130</v>
      </c>
      <c r="R1961" s="705">
        <v>12619</v>
      </c>
      <c r="S1961" s="705">
        <v>11472</v>
      </c>
      <c r="T1961" s="705">
        <v>4691</v>
      </c>
      <c r="U1961" s="705">
        <v>1737</v>
      </c>
      <c r="V1961" s="705">
        <v>55655</v>
      </c>
      <c r="W1961" s="705">
        <f t="shared" si="82"/>
        <v>55654</v>
      </c>
      <c r="X1961" s="705">
        <f t="shared" si="83"/>
        <v>66143</v>
      </c>
    </row>
    <row r="1962" spans="2:24">
      <c r="B1962" t="s">
        <v>550</v>
      </c>
      <c r="C1962" t="s">
        <v>122</v>
      </c>
      <c r="D1962" t="s">
        <v>665</v>
      </c>
      <c r="E1962" t="s">
        <v>228</v>
      </c>
      <c r="F1962" s="705">
        <v>1</v>
      </c>
      <c r="G1962" s="705">
        <v>72</v>
      </c>
      <c r="H1962" s="705">
        <v>407</v>
      </c>
      <c r="I1962" s="705">
        <v>17567</v>
      </c>
      <c r="J1962" s="705">
        <v>15970</v>
      </c>
      <c r="K1962" s="705">
        <v>65</v>
      </c>
      <c r="L1962" s="705">
        <v>1952</v>
      </c>
      <c r="M1962" s="705">
        <v>1774</v>
      </c>
      <c r="N1962" s="705">
        <v>1742</v>
      </c>
      <c r="O1962" s="705">
        <v>645</v>
      </c>
      <c r="P1962" s="705">
        <v>351</v>
      </c>
      <c r="Q1962" s="705">
        <v>130</v>
      </c>
      <c r="R1962" s="705">
        <v>7481</v>
      </c>
      <c r="S1962" s="705">
        <v>2771</v>
      </c>
      <c r="T1962" s="705">
        <v>0</v>
      </c>
      <c r="U1962" s="705">
        <v>0</v>
      </c>
      <c r="V1962" s="705">
        <v>21291</v>
      </c>
      <c r="W1962" s="705">
        <f t="shared" si="82"/>
        <v>21290</v>
      </c>
      <c r="X1962" s="705">
        <f t="shared" si="83"/>
        <v>29093</v>
      </c>
    </row>
    <row r="1963" spans="2:24">
      <c r="B1963" t="s">
        <v>550</v>
      </c>
      <c r="C1963" t="s">
        <v>122</v>
      </c>
      <c r="D1963" t="s">
        <v>665</v>
      </c>
      <c r="E1963" t="s">
        <v>665</v>
      </c>
      <c r="F1963" s="705">
        <v>77</v>
      </c>
      <c r="G1963" s="705">
        <v>5913</v>
      </c>
      <c r="H1963" s="705">
        <v>31514</v>
      </c>
      <c r="I1963" s="705">
        <v>1439199</v>
      </c>
      <c r="J1963" s="705">
        <v>1308362</v>
      </c>
      <c r="K1963" s="705">
        <v>48</v>
      </c>
      <c r="L1963" s="705">
        <v>221494</v>
      </c>
      <c r="M1963" s="705">
        <v>192403</v>
      </c>
      <c r="N1963" s="705">
        <v>115801</v>
      </c>
      <c r="O1963" s="705">
        <v>42889</v>
      </c>
      <c r="P1963" s="705">
        <v>27586</v>
      </c>
      <c r="Q1963" s="705">
        <v>10217</v>
      </c>
      <c r="R1963" s="705">
        <v>462966</v>
      </c>
      <c r="S1963" s="705">
        <v>420878</v>
      </c>
      <c r="T1963" s="705">
        <v>168592</v>
      </c>
      <c r="U1963" s="705">
        <v>62442</v>
      </c>
      <c r="V1963" s="705">
        <v>2037191</v>
      </c>
      <c r="W1963" s="705">
        <f t="shared" si="82"/>
        <v>2037191</v>
      </c>
      <c r="X1963" s="705">
        <f t="shared" si="83"/>
        <v>2435638</v>
      </c>
    </row>
    <row r="1964" spans="2:24">
      <c r="B1964" t="s">
        <v>550</v>
      </c>
      <c r="C1964" t="s">
        <v>124</v>
      </c>
      <c r="D1964" t="s">
        <v>228</v>
      </c>
      <c r="E1964" t="s">
        <v>228</v>
      </c>
      <c r="F1964" s="705">
        <v>74</v>
      </c>
      <c r="G1964" s="705">
        <v>5443</v>
      </c>
      <c r="H1964" s="705">
        <v>49880</v>
      </c>
      <c r="I1964" s="705">
        <v>2612473</v>
      </c>
      <c r="J1964" s="705">
        <v>967583</v>
      </c>
      <c r="K1964" s="705">
        <v>100</v>
      </c>
      <c r="L1964" s="705">
        <v>409950</v>
      </c>
      <c r="M1964" s="705">
        <v>347244</v>
      </c>
      <c r="N1964" s="705">
        <v>118228</v>
      </c>
      <c r="O1964" s="705">
        <v>43788</v>
      </c>
      <c r="P1964" s="705">
        <v>1755</v>
      </c>
      <c r="Q1964" s="705">
        <v>650</v>
      </c>
      <c r="R1964" s="705">
        <v>491854</v>
      </c>
      <c r="S1964" s="705">
        <v>182168</v>
      </c>
      <c r="T1964" s="705">
        <v>3603</v>
      </c>
      <c r="U1964" s="705">
        <v>1335</v>
      </c>
      <c r="V1964" s="705">
        <v>1542767</v>
      </c>
      <c r="W1964" s="705">
        <f t="shared" si="82"/>
        <v>1542768</v>
      </c>
      <c r="X1964" s="705">
        <f t="shared" si="83"/>
        <v>3637863</v>
      </c>
    </row>
    <row r="1965" spans="2:24">
      <c r="B1965" t="s">
        <v>550</v>
      </c>
      <c r="C1965" t="s">
        <v>124</v>
      </c>
      <c r="D1965" t="s">
        <v>228</v>
      </c>
      <c r="E1965" t="s">
        <v>669</v>
      </c>
      <c r="F1965" s="705">
        <v>1</v>
      </c>
      <c r="G1965" s="705">
        <v>73</v>
      </c>
      <c r="H1965" s="705">
        <v>508</v>
      </c>
      <c r="I1965" s="705">
        <v>24670</v>
      </c>
      <c r="J1965" s="705">
        <v>9137</v>
      </c>
      <c r="K1965" s="705">
        <v>100</v>
      </c>
      <c r="L1965" s="705">
        <v>3870</v>
      </c>
      <c r="M1965" s="705">
        <v>3225</v>
      </c>
      <c r="N1965" s="705">
        <v>1676</v>
      </c>
      <c r="O1965" s="705">
        <v>621</v>
      </c>
      <c r="P1965" s="705">
        <v>0</v>
      </c>
      <c r="Q1965" s="705">
        <v>0</v>
      </c>
      <c r="R1965" s="705">
        <v>5148</v>
      </c>
      <c r="S1965" s="705">
        <v>4290</v>
      </c>
      <c r="T1965" s="705">
        <v>1623</v>
      </c>
      <c r="U1965" s="705">
        <v>601</v>
      </c>
      <c r="V1965" s="705">
        <v>17874</v>
      </c>
      <c r="W1965" s="705">
        <f t="shared" si="82"/>
        <v>17874</v>
      </c>
      <c r="X1965" s="705">
        <f t="shared" si="83"/>
        <v>36987</v>
      </c>
    </row>
    <row r="1966" spans="2:24">
      <c r="B1966" t="s">
        <v>550</v>
      </c>
      <c r="C1966" t="s">
        <v>124</v>
      </c>
      <c r="D1966" t="s">
        <v>228</v>
      </c>
      <c r="E1966" t="s">
        <v>665</v>
      </c>
      <c r="F1966" s="705">
        <v>7</v>
      </c>
      <c r="G1966" s="705">
        <v>542</v>
      </c>
      <c r="H1966" s="705">
        <v>4978</v>
      </c>
      <c r="I1966" s="705">
        <v>270701</v>
      </c>
      <c r="J1966" s="705">
        <v>100260</v>
      </c>
      <c r="K1966" s="705">
        <v>100</v>
      </c>
      <c r="L1966" s="705">
        <v>28270</v>
      </c>
      <c r="M1966" s="705">
        <v>25700</v>
      </c>
      <c r="N1966" s="705">
        <v>12551</v>
      </c>
      <c r="O1966" s="705">
        <v>4648</v>
      </c>
      <c r="P1966" s="705">
        <v>1053</v>
      </c>
      <c r="Q1966" s="705">
        <v>390</v>
      </c>
      <c r="R1966" s="705">
        <v>37357</v>
      </c>
      <c r="S1966" s="705">
        <v>33961</v>
      </c>
      <c r="T1966" s="705">
        <v>8842</v>
      </c>
      <c r="U1966" s="705">
        <v>3275</v>
      </c>
      <c r="V1966" s="705">
        <v>168234</v>
      </c>
      <c r="W1966" s="705">
        <f t="shared" si="82"/>
        <v>168234</v>
      </c>
      <c r="X1966" s="705">
        <f t="shared" si="83"/>
        <v>358774</v>
      </c>
    </row>
    <row r="1967" spans="2:24">
      <c r="B1967" t="s">
        <v>550</v>
      </c>
      <c r="C1967" t="s">
        <v>124</v>
      </c>
      <c r="D1967" t="s">
        <v>583</v>
      </c>
      <c r="E1967" t="s">
        <v>228</v>
      </c>
      <c r="F1967" s="705">
        <v>1</v>
      </c>
      <c r="G1967" s="705">
        <v>82</v>
      </c>
      <c r="H1967" s="705">
        <v>614</v>
      </c>
      <c r="I1967" s="705">
        <v>32940</v>
      </c>
      <c r="J1967" s="705">
        <v>29945</v>
      </c>
      <c r="K1967" s="705">
        <v>86</v>
      </c>
      <c r="L1967" s="705">
        <v>10807</v>
      </c>
      <c r="M1967" s="705">
        <v>9006</v>
      </c>
      <c r="N1967" s="705">
        <v>1395</v>
      </c>
      <c r="O1967" s="705">
        <v>517</v>
      </c>
      <c r="P1967" s="705">
        <v>621</v>
      </c>
      <c r="Q1967" s="705">
        <v>230</v>
      </c>
      <c r="R1967" s="705">
        <v>4494</v>
      </c>
      <c r="S1967" s="705">
        <v>1664</v>
      </c>
      <c r="T1967" s="705">
        <v>0</v>
      </c>
      <c r="U1967" s="705">
        <v>0</v>
      </c>
      <c r="V1967" s="705">
        <v>41362</v>
      </c>
      <c r="W1967" s="705">
        <f t="shared" si="82"/>
        <v>41362</v>
      </c>
      <c r="X1967" s="705">
        <f t="shared" si="83"/>
        <v>50257</v>
      </c>
    </row>
    <row r="1968" spans="2:24">
      <c r="B1968" t="s">
        <v>550</v>
      </c>
      <c r="C1968" t="s">
        <v>124</v>
      </c>
      <c r="D1968" t="s">
        <v>583</v>
      </c>
      <c r="E1968" t="s">
        <v>583</v>
      </c>
      <c r="F1968" s="705">
        <v>127</v>
      </c>
      <c r="G1968" s="705">
        <v>11620</v>
      </c>
      <c r="H1968" s="705">
        <v>69142</v>
      </c>
      <c r="I1968" s="705">
        <v>4114921</v>
      </c>
      <c r="J1968" s="705">
        <v>3740837</v>
      </c>
      <c r="K1968" s="705">
        <v>70</v>
      </c>
      <c r="L1968" s="705">
        <v>1043874</v>
      </c>
      <c r="M1968" s="705">
        <v>912538</v>
      </c>
      <c r="N1968" s="705">
        <v>246438</v>
      </c>
      <c r="O1968" s="705">
        <v>91273</v>
      </c>
      <c r="P1968" s="705">
        <v>80042</v>
      </c>
      <c r="Q1968" s="705">
        <v>29645</v>
      </c>
      <c r="R1968" s="705">
        <v>639056</v>
      </c>
      <c r="S1968" s="705">
        <v>580960</v>
      </c>
      <c r="T1968" s="705">
        <v>213729</v>
      </c>
      <c r="U1968" s="705">
        <v>79159</v>
      </c>
      <c r="V1968" s="705">
        <v>5434412</v>
      </c>
      <c r="W1968" s="705">
        <f t="shared" si="82"/>
        <v>5434412</v>
      </c>
      <c r="X1968" s="705">
        <f t="shared" si="83"/>
        <v>6338060</v>
      </c>
    </row>
    <row r="1969" spans="2:24">
      <c r="B1969" t="s">
        <v>550</v>
      </c>
      <c r="C1969" t="s">
        <v>124</v>
      </c>
      <c r="D1969" t="s">
        <v>666</v>
      </c>
      <c r="E1969" t="s">
        <v>228</v>
      </c>
      <c r="F1969" s="705">
        <v>3</v>
      </c>
      <c r="G1969" s="705">
        <v>206</v>
      </c>
      <c r="H1969" s="705">
        <v>2571</v>
      </c>
      <c r="I1969" s="705">
        <v>124500</v>
      </c>
      <c r="J1969" s="705">
        <v>113181</v>
      </c>
      <c r="K1969" s="705">
        <v>38</v>
      </c>
      <c r="L1969" s="705">
        <v>5297</v>
      </c>
      <c r="M1969" s="705">
        <v>7352</v>
      </c>
      <c r="N1969" s="705">
        <v>5013</v>
      </c>
      <c r="O1969" s="705">
        <v>1857</v>
      </c>
      <c r="P1969" s="705">
        <v>351</v>
      </c>
      <c r="Q1969" s="705">
        <v>130</v>
      </c>
      <c r="R1969" s="705">
        <v>38110</v>
      </c>
      <c r="S1969" s="705">
        <v>14115</v>
      </c>
      <c r="T1969" s="705">
        <v>0</v>
      </c>
      <c r="U1969" s="705">
        <v>0</v>
      </c>
      <c r="V1969" s="705">
        <v>136635</v>
      </c>
      <c r="W1969" s="705">
        <f t="shared" si="82"/>
        <v>136635</v>
      </c>
      <c r="X1969" s="705">
        <f t="shared" si="83"/>
        <v>173271</v>
      </c>
    </row>
    <row r="1970" spans="2:24">
      <c r="B1970" t="s">
        <v>550</v>
      </c>
      <c r="C1970" t="s">
        <v>124</v>
      </c>
      <c r="D1970" t="s">
        <v>666</v>
      </c>
      <c r="E1970" t="s">
        <v>583</v>
      </c>
      <c r="F1970" s="705">
        <v>2</v>
      </c>
      <c r="G1970" s="705">
        <v>85</v>
      </c>
      <c r="H1970" s="705">
        <v>930</v>
      </c>
      <c r="I1970" s="705">
        <v>21672</v>
      </c>
      <c r="J1970" s="705">
        <v>19702</v>
      </c>
      <c r="K1970" s="705">
        <v>55</v>
      </c>
      <c r="L1970" s="705">
        <v>4415</v>
      </c>
      <c r="M1970" s="705">
        <v>4013</v>
      </c>
      <c r="N1970" s="705">
        <v>1227</v>
      </c>
      <c r="O1970" s="705">
        <v>454</v>
      </c>
      <c r="P1970" s="705">
        <v>702</v>
      </c>
      <c r="Q1970" s="705">
        <v>260</v>
      </c>
      <c r="R1970" s="705">
        <v>8192</v>
      </c>
      <c r="S1970" s="705">
        <v>7448</v>
      </c>
      <c r="T1970" s="705">
        <v>3273</v>
      </c>
      <c r="U1970" s="705">
        <v>1212</v>
      </c>
      <c r="V1970" s="705">
        <v>33090</v>
      </c>
      <c r="W1970" s="705">
        <f t="shared" si="82"/>
        <v>33089</v>
      </c>
      <c r="X1970" s="705">
        <f t="shared" si="83"/>
        <v>39481</v>
      </c>
    </row>
    <row r="1971" spans="2:24">
      <c r="B1971" t="s">
        <v>550</v>
      </c>
      <c r="C1971" t="s">
        <v>124</v>
      </c>
      <c r="D1971" t="s">
        <v>666</v>
      </c>
      <c r="E1971" t="s">
        <v>666</v>
      </c>
      <c r="F1971" s="705">
        <v>7</v>
      </c>
      <c r="G1971" s="705">
        <v>540</v>
      </c>
      <c r="H1971" s="705">
        <v>4262</v>
      </c>
      <c r="I1971" s="705">
        <v>207419</v>
      </c>
      <c r="J1971" s="705">
        <v>188562</v>
      </c>
      <c r="K1971" s="705">
        <v>52</v>
      </c>
      <c r="L1971" s="705">
        <v>40134</v>
      </c>
      <c r="M1971" s="705">
        <v>29571</v>
      </c>
      <c r="N1971" s="705">
        <v>12100</v>
      </c>
      <c r="O1971" s="705">
        <v>4482</v>
      </c>
      <c r="P1971" s="705">
        <v>2106</v>
      </c>
      <c r="Q1971" s="705">
        <v>780</v>
      </c>
      <c r="R1971" s="705">
        <v>48806</v>
      </c>
      <c r="S1971" s="705">
        <v>44369</v>
      </c>
      <c r="T1971" s="705">
        <v>10772</v>
      </c>
      <c r="U1971" s="705">
        <v>3990</v>
      </c>
      <c r="V1971" s="705">
        <v>271754</v>
      </c>
      <c r="W1971" s="705">
        <f t="shared" si="82"/>
        <v>271754</v>
      </c>
      <c r="X1971" s="705">
        <f t="shared" si="83"/>
        <v>321337</v>
      </c>
    </row>
    <row r="1972" spans="2:24">
      <c r="B1972" t="s">
        <v>550</v>
      </c>
      <c r="C1972" t="s">
        <v>124</v>
      </c>
      <c r="D1972" t="s">
        <v>584</v>
      </c>
      <c r="E1972" t="s">
        <v>584</v>
      </c>
      <c r="F1972" s="705">
        <v>28</v>
      </c>
      <c r="G1972" s="705">
        <v>2162</v>
      </c>
      <c r="H1972" s="705">
        <v>14374</v>
      </c>
      <c r="I1972" s="705">
        <v>704116</v>
      </c>
      <c r="J1972" s="705">
        <v>640105</v>
      </c>
      <c r="K1972" s="705">
        <v>75</v>
      </c>
      <c r="L1972" s="705">
        <v>181213</v>
      </c>
      <c r="M1972" s="705">
        <v>156236</v>
      </c>
      <c r="N1972" s="705">
        <v>45012</v>
      </c>
      <c r="O1972" s="705">
        <v>16671</v>
      </c>
      <c r="P1972" s="705">
        <v>13109</v>
      </c>
      <c r="Q1972" s="705">
        <v>4855</v>
      </c>
      <c r="R1972" s="705">
        <v>130579</v>
      </c>
      <c r="S1972" s="705">
        <v>118708</v>
      </c>
      <c r="T1972" s="705">
        <v>33196</v>
      </c>
      <c r="U1972" s="705">
        <v>12295</v>
      </c>
      <c r="V1972" s="705">
        <v>948871</v>
      </c>
      <c r="W1972" s="705">
        <f t="shared" si="82"/>
        <v>948870</v>
      </c>
      <c r="X1972" s="705">
        <f t="shared" si="83"/>
        <v>1107225</v>
      </c>
    </row>
    <row r="1973" spans="2:24">
      <c r="B1973" t="s">
        <v>550</v>
      </c>
      <c r="C1973" t="s">
        <v>124</v>
      </c>
      <c r="D1973" t="s">
        <v>669</v>
      </c>
      <c r="E1973" t="s">
        <v>228</v>
      </c>
      <c r="F1973" s="705">
        <v>6</v>
      </c>
      <c r="G1973" s="705">
        <v>481</v>
      </c>
      <c r="H1973" s="705">
        <v>6722</v>
      </c>
      <c r="I1973" s="705">
        <v>444685</v>
      </c>
      <c r="J1973" s="705">
        <v>370570</v>
      </c>
      <c r="K1973" s="705">
        <v>35</v>
      </c>
      <c r="L1973" s="705">
        <v>48049</v>
      </c>
      <c r="M1973" s="705">
        <v>20957</v>
      </c>
      <c r="N1973" s="705">
        <v>10446</v>
      </c>
      <c r="O1973" s="705">
        <v>3869</v>
      </c>
      <c r="P1973" s="705">
        <v>0</v>
      </c>
      <c r="Q1973" s="705">
        <v>0</v>
      </c>
      <c r="R1973" s="705">
        <v>42039</v>
      </c>
      <c r="S1973" s="705">
        <v>15570</v>
      </c>
      <c r="T1973" s="705">
        <v>0</v>
      </c>
      <c r="U1973" s="705">
        <v>0</v>
      </c>
      <c r="V1973" s="705">
        <v>410966</v>
      </c>
      <c r="W1973" s="705">
        <f t="shared" si="82"/>
        <v>410966</v>
      </c>
      <c r="X1973" s="705">
        <f t="shared" si="83"/>
        <v>545219</v>
      </c>
    </row>
    <row r="1974" spans="2:24">
      <c r="B1974" t="s">
        <v>550</v>
      </c>
      <c r="C1974" t="s">
        <v>124</v>
      </c>
      <c r="D1974" t="s">
        <v>669</v>
      </c>
      <c r="E1974" t="s">
        <v>669</v>
      </c>
      <c r="F1974" s="705">
        <v>27</v>
      </c>
      <c r="G1974" s="705">
        <v>1738</v>
      </c>
      <c r="H1974" s="705">
        <v>16037</v>
      </c>
      <c r="I1974" s="705">
        <v>703836</v>
      </c>
      <c r="J1974" s="705">
        <v>586530</v>
      </c>
      <c r="K1974" s="705">
        <v>54</v>
      </c>
      <c r="L1974" s="705">
        <v>104080</v>
      </c>
      <c r="M1974" s="705">
        <v>84479</v>
      </c>
      <c r="N1974" s="705">
        <v>34524</v>
      </c>
      <c r="O1974" s="705">
        <v>12787</v>
      </c>
      <c r="P1974" s="705">
        <v>9720</v>
      </c>
      <c r="Q1974" s="705">
        <v>3600</v>
      </c>
      <c r="R1974" s="705">
        <v>151391</v>
      </c>
      <c r="S1974" s="705">
        <v>126159</v>
      </c>
      <c r="T1974" s="705">
        <v>55521</v>
      </c>
      <c r="U1974" s="705">
        <v>20563</v>
      </c>
      <c r="V1974" s="705">
        <v>834118</v>
      </c>
      <c r="W1974" s="705">
        <f t="shared" si="82"/>
        <v>834118</v>
      </c>
      <c r="X1974" s="705">
        <f t="shared" si="83"/>
        <v>1059072</v>
      </c>
    </row>
    <row r="1975" spans="2:24">
      <c r="B1975" t="s">
        <v>550</v>
      </c>
      <c r="C1975" t="s">
        <v>124</v>
      </c>
      <c r="D1975" t="s">
        <v>671</v>
      </c>
      <c r="E1975" t="s">
        <v>671</v>
      </c>
      <c r="F1975" s="705">
        <v>2</v>
      </c>
      <c r="G1975" s="705">
        <v>184</v>
      </c>
      <c r="H1975" s="705">
        <v>1171</v>
      </c>
      <c r="I1975" s="705">
        <v>82112</v>
      </c>
      <c r="J1975" s="705">
        <v>74647</v>
      </c>
      <c r="K1975" s="705">
        <v>53</v>
      </c>
      <c r="L1975" s="705">
        <v>16155</v>
      </c>
      <c r="M1975" s="705">
        <v>14687</v>
      </c>
      <c r="N1975" s="705">
        <v>5061</v>
      </c>
      <c r="O1975" s="705">
        <v>1874</v>
      </c>
      <c r="P1975" s="705">
        <v>702</v>
      </c>
      <c r="Q1975" s="705">
        <v>260</v>
      </c>
      <c r="R1975" s="705">
        <v>15183</v>
      </c>
      <c r="S1975" s="705">
        <v>13803</v>
      </c>
      <c r="T1975" s="705">
        <v>7553</v>
      </c>
      <c r="U1975" s="705">
        <v>2798</v>
      </c>
      <c r="V1975" s="705">
        <v>108069</v>
      </c>
      <c r="W1975" s="705">
        <f t="shared" si="82"/>
        <v>108069</v>
      </c>
      <c r="X1975" s="705">
        <f t="shared" si="83"/>
        <v>126766</v>
      </c>
    </row>
    <row r="1976" spans="2:24">
      <c r="B1976" t="s">
        <v>550</v>
      </c>
      <c r="C1976" t="s">
        <v>124</v>
      </c>
      <c r="D1976" t="s">
        <v>665</v>
      </c>
      <c r="E1976" t="s">
        <v>228</v>
      </c>
      <c r="F1976" s="705">
        <v>10</v>
      </c>
      <c r="G1976" s="705">
        <v>798</v>
      </c>
      <c r="H1976" s="705">
        <v>9581</v>
      </c>
      <c r="I1976" s="705">
        <v>631029</v>
      </c>
      <c r="J1976" s="705">
        <v>573662</v>
      </c>
      <c r="K1976" s="705">
        <v>35</v>
      </c>
      <c r="L1976" s="705">
        <v>50284</v>
      </c>
      <c r="M1976" s="705">
        <v>23974</v>
      </c>
      <c r="N1976" s="705">
        <v>18071</v>
      </c>
      <c r="O1976" s="705">
        <v>6693</v>
      </c>
      <c r="P1976" s="705">
        <v>351</v>
      </c>
      <c r="Q1976" s="705">
        <v>130</v>
      </c>
      <c r="R1976" s="705">
        <v>66577</v>
      </c>
      <c r="S1976" s="705">
        <v>24658</v>
      </c>
      <c r="T1976" s="705">
        <v>0</v>
      </c>
      <c r="U1976" s="705">
        <v>0</v>
      </c>
      <c r="V1976" s="705">
        <v>629118</v>
      </c>
      <c r="W1976" s="705">
        <f t="shared" si="82"/>
        <v>629117</v>
      </c>
      <c r="X1976" s="705">
        <f t="shared" si="83"/>
        <v>766312</v>
      </c>
    </row>
    <row r="1977" spans="2:24">
      <c r="B1977" t="s">
        <v>550</v>
      </c>
      <c r="C1977" t="s">
        <v>124</v>
      </c>
      <c r="D1977" t="s">
        <v>665</v>
      </c>
      <c r="E1977" t="s">
        <v>665</v>
      </c>
      <c r="F1977" s="705">
        <v>57</v>
      </c>
      <c r="G1977" s="705">
        <v>4208</v>
      </c>
      <c r="H1977" s="705">
        <v>35365</v>
      </c>
      <c r="I1977" s="705">
        <v>1809185</v>
      </c>
      <c r="J1977" s="705">
        <v>1644714</v>
      </c>
      <c r="K1977" s="705">
        <v>51</v>
      </c>
      <c r="L1977" s="705">
        <v>277551</v>
      </c>
      <c r="M1977" s="705">
        <v>224230</v>
      </c>
      <c r="N1977" s="705">
        <v>89710</v>
      </c>
      <c r="O1977" s="705">
        <v>33226</v>
      </c>
      <c r="P1977" s="705">
        <v>17820</v>
      </c>
      <c r="Q1977" s="705">
        <v>6600</v>
      </c>
      <c r="R1977" s="705">
        <v>335030</v>
      </c>
      <c r="S1977" s="705">
        <v>304572</v>
      </c>
      <c r="T1977" s="705">
        <v>104730</v>
      </c>
      <c r="U1977" s="705">
        <v>38789</v>
      </c>
      <c r="V1977" s="705">
        <v>2252131</v>
      </c>
      <c r="W1977" s="705">
        <f t="shared" si="82"/>
        <v>2252131</v>
      </c>
      <c r="X1977" s="705">
        <f t="shared" si="83"/>
        <v>2634026</v>
      </c>
    </row>
    <row r="1978" spans="2:24">
      <c r="B1978" t="s">
        <v>550</v>
      </c>
      <c r="C1978" t="s">
        <v>124</v>
      </c>
      <c r="D1978" t="s">
        <v>673</v>
      </c>
      <c r="E1978" t="s">
        <v>673</v>
      </c>
      <c r="F1978" s="705">
        <v>1</v>
      </c>
      <c r="G1978" s="705">
        <v>65</v>
      </c>
      <c r="H1978" s="705">
        <v>662</v>
      </c>
      <c r="I1978" s="705">
        <v>31881</v>
      </c>
      <c r="J1978" s="705">
        <v>28983</v>
      </c>
      <c r="K1978" s="705">
        <v>45</v>
      </c>
      <c r="L1978" s="705">
        <v>5313</v>
      </c>
      <c r="M1978" s="705">
        <v>4830</v>
      </c>
      <c r="N1978" s="705">
        <v>794</v>
      </c>
      <c r="O1978" s="705">
        <v>294</v>
      </c>
      <c r="P1978" s="705">
        <v>351</v>
      </c>
      <c r="Q1978" s="705">
        <v>130</v>
      </c>
      <c r="R1978" s="705">
        <v>3898</v>
      </c>
      <c r="S1978" s="705">
        <v>3544</v>
      </c>
      <c r="T1978" s="705">
        <v>918</v>
      </c>
      <c r="U1978" s="705">
        <v>340</v>
      </c>
      <c r="V1978" s="705">
        <v>38120</v>
      </c>
      <c r="W1978" s="705">
        <f t="shared" si="82"/>
        <v>38121</v>
      </c>
      <c r="X1978" s="705">
        <f t="shared" si="83"/>
        <v>43155</v>
      </c>
    </row>
    <row r="1979" spans="2:24">
      <c r="B1979" t="s">
        <v>551</v>
      </c>
      <c r="C1979" t="s">
        <v>108</v>
      </c>
      <c r="D1979" t="s">
        <v>228</v>
      </c>
      <c r="E1979" t="s">
        <v>228</v>
      </c>
      <c r="F1979" s="705">
        <v>49</v>
      </c>
      <c r="G1979" s="705">
        <v>4788</v>
      </c>
      <c r="H1979" s="705">
        <v>2751</v>
      </c>
      <c r="I1979" s="705">
        <v>3940</v>
      </c>
      <c r="J1979" s="705">
        <v>1459</v>
      </c>
      <c r="K1979" s="705">
        <v>472</v>
      </c>
      <c r="L1979" s="705">
        <v>194</v>
      </c>
      <c r="M1979" s="705">
        <v>176</v>
      </c>
      <c r="N1979" s="705">
        <v>58339</v>
      </c>
      <c r="O1979" s="705">
        <v>21607</v>
      </c>
      <c r="P1979" s="705">
        <v>24157</v>
      </c>
      <c r="Q1979" s="705">
        <v>8947</v>
      </c>
      <c r="R1979" s="705">
        <v>182889</v>
      </c>
      <c r="S1979" s="705">
        <v>67737</v>
      </c>
      <c r="T1979" s="705">
        <v>0</v>
      </c>
      <c r="U1979" s="705">
        <v>0</v>
      </c>
      <c r="V1979" s="705">
        <v>99926</v>
      </c>
      <c r="W1979" s="705">
        <f t="shared" si="82"/>
        <v>99926</v>
      </c>
      <c r="X1979" s="705">
        <f t="shared" si="83"/>
        <v>269519</v>
      </c>
    </row>
    <row r="1980" spans="2:24">
      <c r="B1980" t="s">
        <v>551</v>
      </c>
      <c r="C1980" t="s">
        <v>108</v>
      </c>
      <c r="D1980" t="s">
        <v>583</v>
      </c>
      <c r="E1980" t="s">
        <v>583</v>
      </c>
      <c r="F1980" s="705">
        <v>22</v>
      </c>
      <c r="G1980" s="705">
        <v>2262</v>
      </c>
      <c r="H1980" s="705">
        <v>1181</v>
      </c>
      <c r="I1980" s="705">
        <v>-7906</v>
      </c>
      <c r="J1980" s="705">
        <v>-7187</v>
      </c>
      <c r="K1980" s="705">
        <v>94</v>
      </c>
      <c r="L1980" s="705">
        <v>-874</v>
      </c>
      <c r="M1980" s="705">
        <v>-795</v>
      </c>
      <c r="N1980" s="705">
        <v>27554</v>
      </c>
      <c r="O1980" s="705">
        <v>10205</v>
      </c>
      <c r="P1980" s="705">
        <v>14356</v>
      </c>
      <c r="Q1980" s="705">
        <v>5317</v>
      </c>
      <c r="R1980" s="705">
        <v>87775</v>
      </c>
      <c r="S1980" s="705">
        <v>79796</v>
      </c>
      <c r="T1980" s="705">
        <v>0</v>
      </c>
      <c r="U1980" s="705">
        <v>0</v>
      </c>
      <c r="V1980" s="705">
        <v>87336</v>
      </c>
      <c r="W1980" s="705">
        <f t="shared" si="82"/>
        <v>103300</v>
      </c>
      <c r="X1980" s="705">
        <f t="shared" si="83"/>
        <v>138465</v>
      </c>
    </row>
    <row r="1981" spans="2:24">
      <c r="B1981" t="s">
        <v>551</v>
      </c>
      <c r="C1981" t="s">
        <v>108</v>
      </c>
      <c r="D1981" t="s">
        <v>584</v>
      </c>
      <c r="E1981" t="s">
        <v>674</v>
      </c>
      <c r="F1981" s="705">
        <v>1</v>
      </c>
      <c r="G1981" s="705">
        <v>140</v>
      </c>
      <c r="H1981" s="705">
        <v>69</v>
      </c>
      <c r="I1981" s="705">
        <v>4081</v>
      </c>
      <c r="J1981" s="705">
        <v>3710</v>
      </c>
      <c r="K1981" s="705">
        <v>90</v>
      </c>
      <c r="L1981" s="705">
        <v>532</v>
      </c>
      <c r="M1981" s="705">
        <v>484</v>
      </c>
      <c r="N1981" s="705">
        <v>1706</v>
      </c>
      <c r="O1981" s="705">
        <v>632</v>
      </c>
      <c r="P1981" s="705">
        <v>473</v>
      </c>
      <c r="Q1981" s="705">
        <v>175</v>
      </c>
      <c r="R1981" s="705">
        <v>2799</v>
      </c>
      <c r="S1981" s="705">
        <v>2544</v>
      </c>
      <c r="T1981" s="705">
        <v>0</v>
      </c>
      <c r="U1981" s="705">
        <v>0</v>
      </c>
      <c r="V1981" s="705">
        <v>7545</v>
      </c>
      <c r="W1981" s="705">
        <f t="shared" si="82"/>
        <v>7545</v>
      </c>
      <c r="X1981" s="705">
        <f t="shared" si="83"/>
        <v>9591</v>
      </c>
    </row>
    <row r="1982" spans="2:24">
      <c r="B1982" t="s">
        <v>551</v>
      </c>
      <c r="C1982" t="s">
        <v>108</v>
      </c>
      <c r="D1982" t="s">
        <v>584</v>
      </c>
      <c r="E1982" t="s">
        <v>584</v>
      </c>
      <c r="F1982" s="705">
        <v>91</v>
      </c>
      <c r="G1982" s="705">
        <v>10562</v>
      </c>
      <c r="H1982" s="705">
        <v>5139</v>
      </c>
      <c r="I1982" s="705">
        <v>94526</v>
      </c>
      <c r="J1982" s="705">
        <v>85933</v>
      </c>
      <c r="K1982" s="705">
        <v>90</v>
      </c>
      <c r="L1982" s="705">
        <v>7102</v>
      </c>
      <c r="M1982" s="705">
        <v>6575</v>
      </c>
      <c r="N1982" s="705">
        <v>128680</v>
      </c>
      <c r="O1982" s="705">
        <v>47659</v>
      </c>
      <c r="P1982" s="705">
        <v>47702</v>
      </c>
      <c r="Q1982" s="705">
        <v>17667</v>
      </c>
      <c r="R1982" s="705">
        <v>313032</v>
      </c>
      <c r="S1982" s="705">
        <v>284575</v>
      </c>
      <c r="T1982" s="705">
        <v>0</v>
      </c>
      <c r="U1982" s="705">
        <v>0</v>
      </c>
      <c r="V1982" s="705">
        <v>442410</v>
      </c>
      <c r="W1982" s="705">
        <f t="shared" si="82"/>
        <v>442409</v>
      </c>
      <c r="X1982" s="705">
        <f t="shared" si="83"/>
        <v>591042</v>
      </c>
    </row>
    <row r="1983" spans="2:24">
      <c r="B1983" t="s">
        <v>551</v>
      </c>
      <c r="C1983" t="s">
        <v>108</v>
      </c>
      <c r="D1983" t="s">
        <v>584</v>
      </c>
      <c r="E1983" t="s">
        <v>668</v>
      </c>
      <c r="F1983" s="705">
        <v>2</v>
      </c>
      <c r="G1983" s="705">
        <v>297</v>
      </c>
      <c r="H1983" s="705">
        <v>145</v>
      </c>
      <c r="I1983" s="705">
        <v>8004</v>
      </c>
      <c r="J1983" s="705">
        <v>7276</v>
      </c>
      <c r="K1983" s="705">
        <v>91</v>
      </c>
      <c r="L1983" s="705">
        <v>1238</v>
      </c>
      <c r="M1983" s="705">
        <v>1126</v>
      </c>
      <c r="N1983" s="705">
        <v>3615</v>
      </c>
      <c r="O1983" s="705">
        <v>1339</v>
      </c>
      <c r="P1983" s="705">
        <v>945</v>
      </c>
      <c r="Q1983" s="705">
        <v>350</v>
      </c>
      <c r="R1983" s="705">
        <v>7641</v>
      </c>
      <c r="S1983" s="705">
        <v>6946</v>
      </c>
      <c r="T1983" s="705">
        <v>0</v>
      </c>
      <c r="U1983" s="705">
        <v>0</v>
      </c>
      <c r="V1983" s="705">
        <v>17037</v>
      </c>
      <c r="W1983" s="705">
        <f t="shared" si="82"/>
        <v>17037</v>
      </c>
      <c r="X1983" s="705">
        <f t="shared" si="83"/>
        <v>21443</v>
      </c>
    </row>
    <row r="1984" spans="2:24">
      <c r="B1984" t="s">
        <v>551</v>
      </c>
      <c r="C1984" t="s">
        <v>110</v>
      </c>
      <c r="D1984" t="s">
        <v>582</v>
      </c>
      <c r="E1984" t="s">
        <v>582</v>
      </c>
      <c r="F1984" s="705">
        <v>2</v>
      </c>
      <c r="G1984" s="705">
        <v>197</v>
      </c>
      <c r="H1984" s="705">
        <v>190</v>
      </c>
      <c r="I1984" s="705">
        <v>10303</v>
      </c>
      <c r="J1984" s="705">
        <v>9367</v>
      </c>
      <c r="K1984" s="705">
        <v>92</v>
      </c>
      <c r="L1984" s="705">
        <v>0</v>
      </c>
      <c r="M1984" s="705">
        <v>0</v>
      </c>
      <c r="N1984" s="705">
        <v>3040</v>
      </c>
      <c r="O1984" s="705">
        <v>1126</v>
      </c>
      <c r="P1984" s="705">
        <v>945</v>
      </c>
      <c r="Q1984" s="705">
        <v>350</v>
      </c>
      <c r="R1984" s="705">
        <v>4482</v>
      </c>
      <c r="S1984" s="705">
        <v>4074</v>
      </c>
      <c r="T1984" s="705">
        <v>0</v>
      </c>
      <c r="U1984" s="705">
        <v>0</v>
      </c>
      <c r="V1984" s="705">
        <v>14917</v>
      </c>
      <c r="W1984" s="705">
        <f t="shared" si="82"/>
        <v>14917</v>
      </c>
      <c r="X1984" s="705">
        <f t="shared" si="83"/>
        <v>18770</v>
      </c>
    </row>
    <row r="1985" spans="2:24">
      <c r="B1985" t="s">
        <v>551</v>
      </c>
      <c r="C1985" t="s">
        <v>110</v>
      </c>
      <c r="D1985" t="s">
        <v>228</v>
      </c>
      <c r="E1985" t="s">
        <v>228</v>
      </c>
      <c r="F1985" s="705">
        <v>8</v>
      </c>
      <c r="G1985" s="705">
        <v>591</v>
      </c>
      <c r="H1985" s="705">
        <v>681</v>
      </c>
      <c r="I1985" s="705">
        <v>7017</v>
      </c>
      <c r="J1985" s="705">
        <v>2599</v>
      </c>
      <c r="K1985" s="705">
        <v>450</v>
      </c>
      <c r="L1985" s="705">
        <v>1731</v>
      </c>
      <c r="M1985" s="705">
        <v>1574</v>
      </c>
      <c r="N1985" s="705">
        <v>9376</v>
      </c>
      <c r="O1985" s="705">
        <v>3473</v>
      </c>
      <c r="P1985" s="705">
        <v>3510</v>
      </c>
      <c r="Q1985" s="705">
        <v>1300</v>
      </c>
      <c r="R1985" s="705">
        <v>28929</v>
      </c>
      <c r="S1985" s="705">
        <v>10714</v>
      </c>
      <c r="T1985" s="705">
        <v>0</v>
      </c>
      <c r="U1985" s="705">
        <v>0</v>
      </c>
      <c r="V1985" s="705">
        <v>19660</v>
      </c>
      <c r="W1985" s="705">
        <f t="shared" si="82"/>
        <v>19660</v>
      </c>
      <c r="X1985" s="705">
        <f t="shared" si="83"/>
        <v>50563</v>
      </c>
    </row>
    <row r="1986" spans="2:24">
      <c r="B1986" t="s">
        <v>551</v>
      </c>
      <c r="C1986" t="s">
        <v>110</v>
      </c>
      <c r="D1986" t="s">
        <v>583</v>
      </c>
      <c r="E1986" t="s">
        <v>228</v>
      </c>
      <c r="F1986" s="705">
        <v>8</v>
      </c>
      <c r="G1986" s="705">
        <v>570</v>
      </c>
      <c r="H1986" s="705">
        <v>785</v>
      </c>
      <c r="I1986" s="705">
        <v>-703</v>
      </c>
      <c r="J1986" s="705">
        <v>-639</v>
      </c>
      <c r="K1986" s="705">
        <v>94</v>
      </c>
      <c r="L1986" s="705">
        <v>-171</v>
      </c>
      <c r="M1986" s="705">
        <v>-63</v>
      </c>
      <c r="N1986" s="705">
        <v>6939</v>
      </c>
      <c r="O1986" s="705">
        <v>2570</v>
      </c>
      <c r="P1986" s="705">
        <v>4968</v>
      </c>
      <c r="Q1986" s="705">
        <v>1840</v>
      </c>
      <c r="R1986" s="705">
        <v>44794</v>
      </c>
      <c r="S1986" s="705">
        <v>16590</v>
      </c>
      <c r="T1986" s="705">
        <v>0</v>
      </c>
      <c r="U1986" s="705">
        <v>0</v>
      </c>
      <c r="V1986" s="705">
        <v>20298</v>
      </c>
      <c r="W1986" s="705">
        <f t="shared" si="82"/>
        <v>21702</v>
      </c>
      <c r="X1986" s="705">
        <f t="shared" si="83"/>
        <v>57575</v>
      </c>
    </row>
    <row r="1987" spans="2:24">
      <c r="B1987" t="s">
        <v>551</v>
      </c>
      <c r="C1987" t="s">
        <v>110</v>
      </c>
      <c r="D1987" t="s">
        <v>583</v>
      </c>
      <c r="E1987" t="s">
        <v>583</v>
      </c>
      <c r="F1987" s="705">
        <v>3</v>
      </c>
      <c r="G1987" s="705">
        <v>315</v>
      </c>
      <c r="H1987" s="705">
        <v>267</v>
      </c>
      <c r="I1987" s="705">
        <v>10448</v>
      </c>
      <c r="J1987" s="705">
        <v>9498</v>
      </c>
      <c r="K1987" s="705">
        <v>91</v>
      </c>
      <c r="L1987" s="705">
        <v>1894</v>
      </c>
      <c r="M1987" s="705">
        <v>1265</v>
      </c>
      <c r="N1987" s="705">
        <v>4935</v>
      </c>
      <c r="O1987" s="705">
        <v>1828</v>
      </c>
      <c r="P1987" s="705">
        <v>3335</v>
      </c>
      <c r="Q1987" s="705">
        <v>1235</v>
      </c>
      <c r="R1987" s="705">
        <v>7053</v>
      </c>
      <c r="S1987" s="705">
        <v>6412</v>
      </c>
      <c r="T1987" s="705">
        <v>0</v>
      </c>
      <c r="U1987" s="705">
        <v>0</v>
      </c>
      <c r="V1987" s="705">
        <v>20238</v>
      </c>
      <c r="W1987" s="705">
        <f t="shared" si="82"/>
        <v>20238</v>
      </c>
      <c r="X1987" s="705">
        <f t="shared" si="83"/>
        <v>27665</v>
      </c>
    </row>
    <row r="1988" spans="2:24">
      <c r="B1988" t="s">
        <v>551</v>
      </c>
      <c r="C1988" t="s">
        <v>110</v>
      </c>
      <c r="D1988" t="s">
        <v>584</v>
      </c>
      <c r="E1988" t="s">
        <v>584</v>
      </c>
      <c r="F1988" s="705">
        <v>34</v>
      </c>
      <c r="G1988" s="705">
        <v>2981</v>
      </c>
      <c r="H1988" s="705">
        <v>3161</v>
      </c>
      <c r="I1988" s="705">
        <v>119378</v>
      </c>
      <c r="J1988" s="705">
        <v>108525</v>
      </c>
      <c r="K1988" s="705">
        <v>90</v>
      </c>
      <c r="L1988" s="705">
        <v>11623</v>
      </c>
      <c r="M1988" s="705">
        <v>10566</v>
      </c>
      <c r="N1988" s="705">
        <v>41293</v>
      </c>
      <c r="O1988" s="705">
        <v>15294</v>
      </c>
      <c r="P1988" s="705">
        <v>20633</v>
      </c>
      <c r="Q1988" s="705">
        <v>7642</v>
      </c>
      <c r="R1988" s="705">
        <v>83149</v>
      </c>
      <c r="S1988" s="705">
        <v>75590</v>
      </c>
      <c r="T1988" s="705">
        <v>0</v>
      </c>
      <c r="U1988" s="705">
        <v>0</v>
      </c>
      <c r="V1988" s="705">
        <v>217617</v>
      </c>
      <c r="W1988" s="705">
        <f t="shared" si="82"/>
        <v>217617</v>
      </c>
      <c r="X1988" s="705">
        <f t="shared" si="83"/>
        <v>276076</v>
      </c>
    </row>
    <row r="1989" spans="2:24">
      <c r="B1989" t="s">
        <v>551</v>
      </c>
      <c r="C1989" t="s">
        <v>112</v>
      </c>
      <c r="F1989" s="705">
        <v>14</v>
      </c>
      <c r="G1989" s="705">
        <v>986</v>
      </c>
      <c r="H1989" s="705">
        <v>1693</v>
      </c>
      <c r="I1989" s="705"/>
      <c r="J1989" s="705">
        <v>0</v>
      </c>
      <c r="K1989" s="705"/>
      <c r="L1989" s="705"/>
      <c r="M1989" s="705">
        <v>0</v>
      </c>
      <c r="N1989" s="705">
        <v>22671</v>
      </c>
      <c r="O1989" s="705">
        <v>8397</v>
      </c>
      <c r="P1989" s="705">
        <v>0</v>
      </c>
      <c r="Q1989" s="705">
        <v>0</v>
      </c>
      <c r="R1989" s="705"/>
      <c r="S1989" s="705">
        <v>0</v>
      </c>
      <c r="T1989" s="705">
        <v>0</v>
      </c>
      <c r="U1989" s="705">
        <v>0</v>
      </c>
      <c r="V1989" s="705">
        <v>8397</v>
      </c>
      <c r="W1989" s="705">
        <f t="shared" si="82"/>
        <v>8397</v>
      </c>
      <c r="X1989" s="705">
        <f t="shared" si="83"/>
        <v>22671</v>
      </c>
    </row>
    <row r="1990" spans="2:24">
      <c r="B1990" t="s">
        <v>551</v>
      </c>
      <c r="C1990" t="s">
        <v>112</v>
      </c>
      <c r="D1990" t="s">
        <v>582</v>
      </c>
      <c r="E1990" t="s">
        <v>582</v>
      </c>
      <c r="F1990" s="705">
        <v>5</v>
      </c>
      <c r="G1990" s="705">
        <v>474</v>
      </c>
      <c r="H1990" s="705">
        <v>558</v>
      </c>
      <c r="I1990" s="705">
        <v>26188</v>
      </c>
      <c r="J1990" s="705">
        <v>23807</v>
      </c>
      <c r="K1990" s="705">
        <v>90</v>
      </c>
      <c r="L1990" s="705">
        <v>998</v>
      </c>
      <c r="M1990" s="705">
        <v>370</v>
      </c>
      <c r="N1990" s="705">
        <v>10929</v>
      </c>
      <c r="O1990" s="705">
        <v>4048</v>
      </c>
      <c r="P1990" s="705">
        <v>2241</v>
      </c>
      <c r="Q1990" s="705">
        <v>830</v>
      </c>
      <c r="R1990" s="705">
        <v>12339</v>
      </c>
      <c r="S1990" s="705">
        <v>11218</v>
      </c>
      <c r="T1990" s="705">
        <v>0</v>
      </c>
      <c r="U1990" s="705">
        <v>0</v>
      </c>
      <c r="V1990" s="705">
        <v>40273</v>
      </c>
      <c r="W1990" s="705">
        <f t="shared" si="82"/>
        <v>40273</v>
      </c>
      <c r="X1990" s="705">
        <f t="shared" si="83"/>
        <v>52695</v>
      </c>
    </row>
    <row r="1991" spans="2:24">
      <c r="B1991" t="s">
        <v>551</v>
      </c>
      <c r="C1991" t="s">
        <v>112</v>
      </c>
      <c r="D1991" t="s">
        <v>228</v>
      </c>
      <c r="E1991" t="s">
        <v>228</v>
      </c>
      <c r="F1991" s="705">
        <v>2</v>
      </c>
      <c r="G1991" s="705">
        <v>167</v>
      </c>
      <c r="H1991" s="705">
        <v>247</v>
      </c>
      <c r="I1991" s="705">
        <v>9547</v>
      </c>
      <c r="J1991" s="705">
        <v>3536</v>
      </c>
      <c r="K1991" s="705">
        <v>279</v>
      </c>
      <c r="L1991" s="705">
        <v>0</v>
      </c>
      <c r="M1991" s="705">
        <v>0</v>
      </c>
      <c r="N1991" s="705">
        <v>2034</v>
      </c>
      <c r="O1991" s="705">
        <v>753</v>
      </c>
      <c r="P1991" s="705">
        <v>702</v>
      </c>
      <c r="Q1991" s="705">
        <v>260</v>
      </c>
      <c r="R1991" s="705">
        <v>8380</v>
      </c>
      <c r="S1991" s="705">
        <v>3104</v>
      </c>
      <c r="T1991" s="705">
        <v>0</v>
      </c>
      <c r="U1991" s="705">
        <v>0</v>
      </c>
      <c r="V1991" s="705">
        <v>7653</v>
      </c>
      <c r="W1991" s="705">
        <f t="shared" si="82"/>
        <v>7653</v>
      </c>
      <c r="X1991" s="705">
        <f t="shared" si="83"/>
        <v>20663</v>
      </c>
    </row>
    <row r="1992" spans="2:24">
      <c r="B1992" t="s">
        <v>551</v>
      </c>
      <c r="C1992" t="s">
        <v>112</v>
      </c>
      <c r="D1992" t="s">
        <v>583</v>
      </c>
      <c r="E1992" t="s">
        <v>228</v>
      </c>
      <c r="F1992" s="705">
        <v>2</v>
      </c>
      <c r="G1992" s="705">
        <v>138</v>
      </c>
      <c r="H1992" s="705">
        <v>202</v>
      </c>
      <c r="I1992" s="705">
        <v>-395</v>
      </c>
      <c r="J1992" s="705">
        <v>-359</v>
      </c>
      <c r="K1992" s="705">
        <v>94</v>
      </c>
      <c r="L1992" s="705">
        <v>-96</v>
      </c>
      <c r="M1992" s="705">
        <v>-36</v>
      </c>
      <c r="N1992" s="705">
        <v>1681</v>
      </c>
      <c r="O1992" s="705">
        <v>622</v>
      </c>
      <c r="P1992" s="705">
        <v>1242</v>
      </c>
      <c r="Q1992" s="705">
        <v>460</v>
      </c>
      <c r="R1992" s="705">
        <v>11506</v>
      </c>
      <c r="S1992" s="705">
        <v>4261</v>
      </c>
      <c r="T1992" s="705">
        <v>0</v>
      </c>
      <c r="U1992" s="705">
        <v>0</v>
      </c>
      <c r="V1992" s="705">
        <v>4949</v>
      </c>
      <c r="W1992" s="705">
        <f t="shared" si="82"/>
        <v>5738</v>
      </c>
      <c r="X1992" s="705">
        <f t="shared" si="83"/>
        <v>14920</v>
      </c>
    </row>
    <row r="1993" spans="2:24">
      <c r="B1993" t="s">
        <v>551</v>
      </c>
      <c r="C1993" t="s">
        <v>112</v>
      </c>
      <c r="D1993" t="s">
        <v>583</v>
      </c>
      <c r="E1993" t="s">
        <v>583</v>
      </c>
      <c r="F1993" s="705">
        <v>36</v>
      </c>
      <c r="G1993" s="705">
        <v>4344</v>
      </c>
      <c r="H1993" s="705">
        <v>4185</v>
      </c>
      <c r="I1993" s="705">
        <v>225414</v>
      </c>
      <c r="J1993" s="705">
        <v>204922</v>
      </c>
      <c r="K1993" s="705">
        <v>91</v>
      </c>
      <c r="L1993" s="705">
        <v>44830</v>
      </c>
      <c r="M1993" s="705">
        <v>35918</v>
      </c>
      <c r="N1993" s="705">
        <v>67920</v>
      </c>
      <c r="O1993" s="705">
        <v>25156</v>
      </c>
      <c r="P1993" s="705">
        <v>28679</v>
      </c>
      <c r="Q1993" s="705">
        <v>10622</v>
      </c>
      <c r="R1993" s="705">
        <v>138368</v>
      </c>
      <c r="S1993" s="705">
        <v>125789</v>
      </c>
      <c r="T1993" s="705">
        <v>0</v>
      </c>
      <c r="U1993" s="705">
        <v>0</v>
      </c>
      <c r="V1993" s="705">
        <v>402406</v>
      </c>
      <c r="W1993" s="705">
        <f t="shared" si="82"/>
        <v>402407</v>
      </c>
      <c r="X1993" s="705">
        <f t="shared" si="83"/>
        <v>505211</v>
      </c>
    </row>
    <row r="1994" spans="2:24">
      <c r="B1994" t="s">
        <v>551</v>
      </c>
      <c r="C1994" t="s">
        <v>112</v>
      </c>
      <c r="D1994" t="s">
        <v>584</v>
      </c>
      <c r="E1994" t="s">
        <v>584</v>
      </c>
      <c r="F1994" s="705">
        <v>16</v>
      </c>
      <c r="G1994" s="705">
        <v>1963</v>
      </c>
      <c r="H1994" s="705">
        <v>1778</v>
      </c>
      <c r="I1994" s="705">
        <v>103154</v>
      </c>
      <c r="J1994" s="705">
        <v>93776</v>
      </c>
      <c r="K1994" s="705">
        <v>90</v>
      </c>
      <c r="L1994" s="705">
        <v>30196</v>
      </c>
      <c r="M1994" s="705">
        <v>27451</v>
      </c>
      <c r="N1994" s="705">
        <v>24803</v>
      </c>
      <c r="O1994" s="705">
        <v>9186</v>
      </c>
      <c r="P1994" s="705">
        <v>7560</v>
      </c>
      <c r="Q1994" s="705">
        <v>2800</v>
      </c>
      <c r="R1994" s="705">
        <v>51731</v>
      </c>
      <c r="S1994" s="705">
        <v>47029</v>
      </c>
      <c r="T1994" s="705">
        <v>0</v>
      </c>
      <c r="U1994" s="705">
        <v>0</v>
      </c>
      <c r="V1994" s="705">
        <v>180242</v>
      </c>
      <c r="W1994" s="705">
        <f t="shared" si="82"/>
        <v>180242</v>
      </c>
      <c r="X1994" s="705">
        <f t="shared" si="83"/>
        <v>217444</v>
      </c>
    </row>
    <row r="1995" spans="2:24">
      <c r="B1995" t="s">
        <v>551</v>
      </c>
      <c r="C1995" t="s">
        <v>114</v>
      </c>
      <c r="D1995" t="s">
        <v>664</v>
      </c>
      <c r="E1995" t="s">
        <v>664</v>
      </c>
      <c r="F1995" s="705">
        <v>1</v>
      </c>
      <c r="G1995" s="705">
        <v>89</v>
      </c>
      <c r="H1995" s="705">
        <v>150</v>
      </c>
      <c r="I1995" s="705">
        <v>5026</v>
      </c>
      <c r="J1995" s="705">
        <v>4569</v>
      </c>
      <c r="K1995" s="705">
        <v>92</v>
      </c>
      <c r="L1995" s="705">
        <v>1631</v>
      </c>
      <c r="M1995" s="705">
        <v>1482</v>
      </c>
      <c r="N1995" s="705">
        <v>1084</v>
      </c>
      <c r="O1995" s="705">
        <v>402</v>
      </c>
      <c r="P1995" s="705">
        <v>473</v>
      </c>
      <c r="Q1995" s="705">
        <v>175</v>
      </c>
      <c r="R1995" s="705">
        <v>5130</v>
      </c>
      <c r="S1995" s="705">
        <v>4664</v>
      </c>
      <c r="T1995" s="705">
        <v>0</v>
      </c>
      <c r="U1995" s="705">
        <v>0</v>
      </c>
      <c r="V1995" s="705">
        <v>11292</v>
      </c>
      <c r="W1995" s="705">
        <f t="shared" si="82"/>
        <v>11292</v>
      </c>
      <c r="X1995" s="705">
        <f t="shared" si="83"/>
        <v>13344</v>
      </c>
    </row>
    <row r="1996" spans="2:24">
      <c r="B1996" t="s">
        <v>551</v>
      </c>
      <c r="C1996" t="s">
        <v>114</v>
      </c>
      <c r="D1996" t="s">
        <v>582</v>
      </c>
      <c r="E1996" t="s">
        <v>582</v>
      </c>
      <c r="F1996" s="705">
        <v>30</v>
      </c>
      <c r="G1996" s="705">
        <v>3760</v>
      </c>
      <c r="H1996" s="705">
        <v>4259</v>
      </c>
      <c r="I1996" s="705">
        <v>246688</v>
      </c>
      <c r="J1996" s="705">
        <v>224262</v>
      </c>
      <c r="K1996" s="705">
        <v>84</v>
      </c>
      <c r="L1996" s="705">
        <v>55744</v>
      </c>
      <c r="M1996" s="705">
        <v>48823</v>
      </c>
      <c r="N1996" s="705">
        <v>76507</v>
      </c>
      <c r="O1996" s="705">
        <v>28336</v>
      </c>
      <c r="P1996" s="705">
        <v>16312</v>
      </c>
      <c r="Q1996" s="705">
        <v>6042</v>
      </c>
      <c r="R1996" s="705">
        <v>138911</v>
      </c>
      <c r="S1996" s="705">
        <v>126283</v>
      </c>
      <c r="T1996" s="705">
        <v>0</v>
      </c>
      <c r="U1996" s="705">
        <v>0</v>
      </c>
      <c r="V1996" s="705">
        <v>433746</v>
      </c>
      <c r="W1996" s="705">
        <f t="shared" si="82"/>
        <v>433746</v>
      </c>
      <c r="X1996" s="705">
        <f t="shared" si="83"/>
        <v>534162</v>
      </c>
    </row>
    <row r="1997" spans="2:24">
      <c r="B1997" t="s">
        <v>551</v>
      </c>
      <c r="C1997" t="s">
        <v>114</v>
      </c>
      <c r="D1997" t="s">
        <v>583</v>
      </c>
      <c r="E1997" t="s">
        <v>228</v>
      </c>
      <c r="F1997" s="705">
        <v>1</v>
      </c>
      <c r="G1997" s="705">
        <v>116</v>
      </c>
      <c r="H1997" s="705">
        <v>140</v>
      </c>
      <c r="I1997" s="705">
        <v>7778</v>
      </c>
      <c r="J1997" s="705">
        <v>7071</v>
      </c>
      <c r="K1997" s="705">
        <v>94</v>
      </c>
      <c r="L1997" s="705">
        <v>2774</v>
      </c>
      <c r="M1997" s="705">
        <v>2522</v>
      </c>
      <c r="N1997" s="705">
        <v>1712</v>
      </c>
      <c r="O1997" s="705">
        <v>634</v>
      </c>
      <c r="P1997" s="705">
        <v>972</v>
      </c>
      <c r="Q1997" s="705">
        <v>360</v>
      </c>
      <c r="R1997" s="705">
        <v>3038</v>
      </c>
      <c r="S1997" s="705">
        <v>1125</v>
      </c>
      <c r="T1997" s="705">
        <v>0</v>
      </c>
      <c r="U1997" s="705">
        <v>0</v>
      </c>
      <c r="V1997" s="705">
        <v>11711</v>
      </c>
      <c r="W1997" s="705">
        <f t="shared" si="82"/>
        <v>11712</v>
      </c>
      <c r="X1997" s="705">
        <f t="shared" si="83"/>
        <v>16274</v>
      </c>
    </row>
    <row r="1998" spans="2:24">
      <c r="B1998" t="s">
        <v>551</v>
      </c>
      <c r="C1998" t="s">
        <v>114</v>
      </c>
      <c r="D1998" t="s">
        <v>583</v>
      </c>
      <c r="E1998" t="s">
        <v>583</v>
      </c>
      <c r="F1998" s="705">
        <v>215</v>
      </c>
      <c r="G1998" s="705">
        <v>21905</v>
      </c>
      <c r="H1998" s="705">
        <v>30084</v>
      </c>
      <c r="I1998" s="705">
        <v>1418380</v>
      </c>
      <c r="J1998" s="705">
        <v>1289436</v>
      </c>
      <c r="K1998" s="705">
        <v>90</v>
      </c>
      <c r="L1998" s="705">
        <v>324115</v>
      </c>
      <c r="M1998" s="705">
        <v>289063</v>
      </c>
      <c r="N1998" s="705">
        <v>355095</v>
      </c>
      <c r="O1998" s="705">
        <v>131517</v>
      </c>
      <c r="P1998" s="705">
        <v>143809</v>
      </c>
      <c r="Q1998" s="705">
        <v>53263</v>
      </c>
      <c r="R1998" s="705">
        <v>872768</v>
      </c>
      <c r="S1998" s="705">
        <v>793425</v>
      </c>
      <c r="T1998" s="705">
        <v>37898</v>
      </c>
      <c r="U1998" s="705">
        <v>14036</v>
      </c>
      <c r="V1998" s="705">
        <v>2570741</v>
      </c>
      <c r="W1998" s="705">
        <f t="shared" si="82"/>
        <v>2570740</v>
      </c>
      <c r="X1998" s="705">
        <f t="shared" si="83"/>
        <v>3152065</v>
      </c>
    </row>
    <row r="1999" spans="2:24">
      <c r="B1999" t="s">
        <v>551</v>
      </c>
      <c r="C1999" t="s">
        <v>114</v>
      </c>
      <c r="D1999" t="s">
        <v>584</v>
      </c>
      <c r="E1999" t="s">
        <v>584</v>
      </c>
      <c r="F1999" s="705">
        <v>53</v>
      </c>
      <c r="G1999" s="705">
        <v>6574</v>
      </c>
      <c r="H1999" s="705">
        <v>7461</v>
      </c>
      <c r="I1999" s="705">
        <v>437536</v>
      </c>
      <c r="J1999" s="705">
        <v>397760</v>
      </c>
      <c r="K1999" s="705">
        <v>87</v>
      </c>
      <c r="L1999" s="705">
        <v>105712</v>
      </c>
      <c r="M1999" s="705">
        <v>94829</v>
      </c>
      <c r="N1999" s="705">
        <v>116028</v>
      </c>
      <c r="O1999" s="705">
        <v>42973</v>
      </c>
      <c r="P1999" s="705">
        <v>26447</v>
      </c>
      <c r="Q1999" s="705">
        <v>9795</v>
      </c>
      <c r="R1999" s="705">
        <v>243043</v>
      </c>
      <c r="S1999" s="705">
        <v>220948</v>
      </c>
      <c r="T1999" s="705">
        <v>669</v>
      </c>
      <c r="U1999" s="705">
        <v>248</v>
      </c>
      <c r="V1999" s="705">
        <v>766554</v>
      </c>
      <c r="W1999" s="705">
        <f t="shared" si="82"/>
        <v>766553</v>
      </c>
      <c r="X1999" s="705">
        <f t="shared" si="83"/>
        <v>929435</v>
      </c>
    </row>
    <row r="2000" spans="2:24">
      <c r="B2000" t="s">
        <v>551</v>
      </c>
      <c r="C2000" t="s">
        <v>116</v>
      </c>
      <c r="D2000" t="s">
        <v>664</v>
      </c>
      <c r="E2000" t="s">
        <v>664</v>
      </c>
      <c r="F2000" s="705">
        <v>1</v>
      </c>
      <c r="G2000" s="705">
        <v>109</v>
      </c>
      <c r="H2000" s="705">
        <v>191</v>
      </c>
      <c r="I2000" s="705">
        <v>13935</v>
      </c>
      <c r="J2000" s="705">
        <v>12668</v>
      </c>
      <c r="K2000" s="705">
        <v>93</v>
      </c>
      <c r="L2000" s="705">
        <v>0</v>
      </c>
      <c r="M2000" s="705">
        <v>0</v>
      </c>
      <c r="N2000" s="705">
        <v>1984</v>
      </c>
      <c r="O2000" s="705">
        <v>735</v>
      </c>
      <c r="P2000" s="705">
        <v>473</v>
      </c>
      <c r="Q2000" s="705">
        <v>175</v>
      </c>
      <c r="R2000" s="705">
        <v>4325</v>
      </c>
      <c r="S2000" s="705">
        <v>3932</v>
      </c>
      <c r="T2000" s="705">
        <v>0</v>
      </c>
      <c r="U2000" s="705">
        <v>0</v>
      </c>
      <c r="V2000" s="705">
        <v>17510</v>
      </c>
      <c r="W2000" s="705">
        <f t="shared" si="82"/>
        <v>17510</v>
      </c>
      <c r="X2000" s="705">
        <f t="shared" si="83"/>
        <v>20717</v>
      </c>
    </row>
    <row r="2001" spans="2:24">
      <c r="B2001" t="s">
        <v>551</v>
      </c>
      <c r="C2001" t="s">
        <v>116</v>
      </c>
      <c r="D2001" t="s">
        <v>664</v>
      </c>
      <c r="E2001" t="s">
        <v>583</v>
      </c>
      <c r="F2001" s="705">
        <v>1</v>
      </c>
      <c r="G2001" s="705">
        <v>105</v>
      </c>
      <c r="H2001" s="705">
        <v>180</v>
      </c>
      <c r="I2001" s="705">
        <v>9296</v>
      </c>
      <c r="J2001" s="705">
        <v>8451</v>
      </c>
      <c r="K2001" s="705">
        <v>85</v>
      </c>
      <c r="L2001" s="705">
        <v>2782</v>
      </c>
      <c r="M2001" s="705">
        <v>2529</v>
      </c>
      <c r="N2001" s="705">
        <v>1277</v>
      </c>
      <c r="O2001" s="705">
        <v>473</v>
      </c>
      <c r="P2001" s="705">
        <v>621</v>
      </c>
      <c r="Q2001" s="705">
        <v>230</v>
      </c>
      <c r="R2001" s="705">
        <v>4834</v>
      </c>
      <c r="S2001" s="705">
        <v>4394</v>
      </c>
      <c r="T2001" s="705">
        <v>0</v>
      </c>
      <c r="U2001" s="705">
        <v>0</v>
      </c>
      <c r="V2001" s="705">
        <v>16077</v>
      </c>
      <c r="W2001" s="705">
        <f t="shared" si="82"/>
        <v>16077</v>
      </c>
      <c r="X2001" s="705">
        <f t="shared" si="83"/>
        <v>18810</v>
      </c>
    </row>
    <row r="2002" spans="2:24">
      <c r="B2002" t="s">
        <v>551</v>
      </c>
      <c r="C2002" t="s">
        <v>116</v>
      </c>
      <c r="D2002" t="s">
        <v>582</v>
      </c>
      <c r="E2002" t="s">
        <v>582</v>
      </c>
      <c r="F2002" s="705">
        <v>31</v>
      </c>
      <c r="G2002" s="705">
        <v>3270</v>
      </c>
      <c r="H2002" s="705">
        <v>5629</v>
      </c>
      <c r="I2002" s="705">
        <v>276097</v>
      </c>
      <c r="J2002" s="705">
        <v>250997</v>
      </c>
      <c r="K2002" s="705">
        <v>81</v>
      </c>
      <c r="L2002" s="705">
        <v>71341</v>
      </c>
      <c r="M2002" s="705">
        <v>62154</v>
      </c>
      <c r="N2002" s="705">
        <v>66800</v>
      </c>
      <c r="O2002" s="705">
        <v>24741</v>
      </c>
      <c r="P2002" s="705">
        <v>14796</v>
      </c>
      <c r="Q2002" s="705">
        <v>5480</v>
      </c>
      <c r="R2002" s="705">
        <v>135782</v>
      </c>
      <c r="S2002" s="705">
        <v>123439</v>
      </c>
      <c r="T2002" s="705">
        <v>13612</v>
      </c>
      <c r="U2002" s="705">
        <v>5042</v>
      </c>
      <c r="V2002" s="705">
        <v>471852</v>
      </c>
      <c r="W2002" s="705">
        <f t="shared" si="82"/>
        <v>471853</v>
      </c>
      <c r="X2002" s="705">
        <f t="shared" si="83"/>
        <v>578428</v>
      </c>
    </row>
    <row r="2003" spans="2:24">
      <c r="B2003" t="s">
        <v>551</v>
      </c>
      <c r="C2003" t="s">
        <v>116</v>
      </c>
      <c r="D2003" t="s">
        <v>228</v>
      </c>
      <c r="E2003" t="s">
        <v>228</v>
      </c>
      <c r="F2003" s="705">
        <v>18</v>
      </c>
      <c r="G2003" s="705">
        <v>1588</v>
      </c>
      <c r="H2003" s="705">
        <v>3588</v>
      </c>
      <c r="I2003" s="705">
        <v>142872</v>
      </c>
      <c r="J2003" s="705">
        <v>52916</v>
      </c>
      <c r="K2003" s="705">
        <v>108</v>
      </c>
      <c r="L2003" s="705">
        <v>15055</v>
      </c>
      <c r="M2003" s="705">
        <v>12953</v>
      </c>
      <c r="N2003" s="705">
        <v>33447</v>
      </c>
      <c r="O2003" s="705">
        <v>12388</v>
      </c>
      <c r="P2003" s="705">
        <v>3026</v>
      </c>
      <c r="Q2003" s="705">
        <v>1121</v>
      </c>
      <c r="R2003" s="705">
        <v>131527</v>
      </c>
      <c r="S2003" s="705">
        <v>48714</v>
      </c>
      <c r="T2003" s="705">
        <v>0</v>
      </c>
      <c r="U2003" s="705">
        <v>0</v>
      </c>
      <c r="V2003" s="705">
        <v>128091</v>
      </c>
      <c r="W2003" s="705">
        <f t="shared" si="82"/>
        <v>128092</v>
      </c>
      <c r="X2003" s="705">
        <f t="shared" si="83"/>
        <v>325927</v>
      </c>
    </row>
    <row r="2004" spans="2:24">
      <c r="B2004" t="s">
        <v>551</v>
      </c>
      <c r="C2004" t="s">
        <v>116</v>
      </c>
      <c r="D2004" t="s">
        <v>583</v>
      </c>
      <c r="E2004" t="s">
        <v>228</v>
      </c>
      <c r="F2004" s="705">
        <v>1</v>
      </c>
      <c r="G2004" s="705">
        <v>72</v>
      </c>
      <c r="H2004" s="705">
        <v>224</v>
      </c>
      <c r="I2004" s="705">
        <v>8864</v>
      </c>
      <c r="J2004" s="705">
        <v>8058</v>
      </c>
      <c r="K2004" s="705">
        <v>93</v>
      </c>
      <c r="L2004" s="705">
        <v>2889</v>
      </c>
      <c r="M2004" s="705">
        <v>2626</v>
      </c>
      <c r="N2004" s="705">
        <v>2109</v>
      </c>
      <c r="O2004" s="705">
        <v>781</v>
      </c>
      <c r="P2004" s="705">
        <v>621</v>
      </c>
      <c r="Q2004" s="705">
        <v>230</v>
      </c>
      <c r="R2004" s="705">
        <v>4902</v>
      </c>
      <c r="S2004" s="705">
        <v>1815</v>
      </c>
      <c r="T2004" s="705">
        <v>0</v>
      </c>
      <c r="U2004" s="705">
        <v>0</v>
      </c>
      <c r="V2004" s="705">
        <v>13511</v>
      </c>
      <c r="W2004" s="705">
        <f t="shared" si="82"/>
        <v>13510</v>
      </c>
      <c r="X2004" s="705">
        <f t="shared" si="83"/>
        <v>19385</v>
      </c>
    </row>
    <row r="2005" spans="2:24">
      <c r="B2005" t="s">
        <v>551</v>
      </c>
      <c r="C2005" t="s">
        <v>116</v>
      </c>
      <c r="D2005" t="s">
        <v>583</v>
      </c>
      <c r="E2005" t="s">
        <v>583</v>
      </c>
      <c r="F2005" s="705">
        <v>1082</v>
      </c>
      <c r="G2005" s="705">
        <v>104874</v>
      </c>
      <c r="H2005" s="705">
        <v>202365</v>
      </c>
      <c r="I2005" s="705">
        <v>9120596</v>
      </c>
      <c r="J2005" s="705">
        <v>8291451</v>
      </c>
      <c r="K2005" s="705">
        <v>86</v>
      </c>
      <c r="L2005" s="705">
        <v>2216393</v>
      </c>
      <c r="M2005" s="705">
        <v>1956281</v>
      </c>
      <c r="N2005" s="705">
        <v>1968140</v>
      </c>
      <c r="O2005" s="705">
        <v>728941</v>
      </c>
      <c r="P2005" s="705">
        <v>705117</v>
      </c>
      <c r="Q2005" s="705">
        <v>261155</v>
      </c>
      <c r="R2005" s="705">
        <v>4611228</v>
      </c>
      <c r="S2005" s="705">
        <v>4192025</v>
      </c>
      <c r="T2005" s="705">
        <v>1067128</v>
      </c>
      <c r="U2005" s="705">
        <v>395233</v>
      </c>
      <c r="V2005" s="705">
        <v>15825085</v>
      </c>
      <c r="W2005" s="705">
        <f t="shared" si="82"/>
        <v>15825086</v>
      </c>
      <c r="X2005" s="705">
        <f t="shared" si="83"/>
        <v>19688602</v>
      </c>
    </row>
    <row r="2006" spans="2:24">
      <c r="B2006" t="s">
        <v>551</v>
      </c>
      <c r="C2006" t="s">
        <v>116</v>
      </c>
      <c r="D2006" t="s">
        <v>583</v>
      </c>
      <c r="E2006" t="s">
        <v>665</v>
      </c>
      <c r="F2006" s="705">
        <v>15</v>
      </c>
      <c r="G2006" s="705">
        <v>1280</v>
      </c>
      <c r="H2006" s="705">
        <v>2733</v>
      </c>
      <c r="I2006" s="705">
        <v>80396</v>
      </c>
      <c r="J2006" s="705">
        <v>73087</v>
      </c>
      <c r="K2006" s="705">
        <v>81</v>
      </c>
      <c r="L2006" s="705">
        <v>12077</v>
      </c>
      <c r="M2006" s="705">
        <v>10979</v>
      </c>
      <c r="N2006" s="705">
        <v>24485</v>
      </c>
      <c r="O2006" s="705">
        <v>9069</v>
      </c>
      <c r="P2006" s="705">
        <v>9315</v>
      </c>
      <c r="Q2006" s="705">
        <v>3450</v>
      </c>
      <c r="R2006" s="705">
        <v>69854</v>
      </c>
      <c r="S2006" s="705">
        <v>63503</v>
      </c>
      <c r="T2006" s="705">
        <v>35591</v>
      </c>
      <c r="U2006" s="705">
        <v>13182</v>
      </c>
      <c r="V2006" s="705">
        <v>173270</v>
      </c>
      <c r="W2006" s="705">
        <f t="shared" si="82"/>
        <v>173270</v>
      </c>
      <c r="X2006" s="705">
        <f t="shared" si="83"/>
        <v>231718</v>
      </c>
    </row>
    <row r="2007" spans="2:24">
      <c r="B2007" t="s">
        <v>551</v>
      </c>
      <c r="C2007" t="s">
        <v>116</v>
      </c>
      <c r="D2007" t="s">
        <v>666</v>
      </c>
      <c r="E2007" t="s">
        <v>583</v>
      </c>
      <c r="F2007" s="705">
        <v>2</v>
      </c>
      <c r="G2007" s="705">
        <v>225</v>
      </c>
      <c r="H2007" s="705">
        <v>379</v>
      </c>
      <c r="I2007" s="705">
        <v>18994</v>
      </c>
      <c r="J2007" s="705">
        <v>17267</v>
      </c>
      <c r="K2007" s="705">
        <v>85</v>
      </c>
      <c r="L2007" s="705">
        <v>3997</v>
      </c>
      <c r="M2007" s="705">
        <v>3633</v>
      </c>
      <c r="N2007" s="705">
        <v>5278</v>
      </c>
      <c r="O2007" s="705">
        <v>1955</v>
      </c>
      <c r="P2007" s="705">
        <v>1242</v>
      </c>
      <c r="Q2007" s="705">
        <v>460</v>
      </c>
      <c r="R2007" s="705">
        <v>13436</v>
      </c>
      <c r="S2007" s="705">
        <v>12215</v>
      </c>
      <c r="T2007" s="705">
        <v>0</v>
      </c>
      <c r="U2007" s="705">
        <v>0</v>
      </c>
      <c r="V2007" s="705">
        <v>35530</v>
      </c>
      <c r="W2007" s="705">
        <f t="shared" si="82"/>
        <v>35530</v>
      </c>
      <c r="X2007" s="705">
        <f t="shared" si="83"/>
        <v>42947</v>
      </c>
    </row>
    <row r="2008" spans="2:24">
      <c r="B2008" t="s">
        <v>551</v>
      </c>
      <c r="C2008" t="s">
        <v>116</v>
      </c>
      <c r="D2008" t="s">
        <v>666</v>
      </c>
      <c r="E2008" t="s">
        <v>666</v>
      </c>
      <c r="F2008" s="705">
        <v>1</v>
      </c>
      <c r="G2008" s="705">
        <v>111</v>
      </c>
      <c r="H2008" s="705">
        <v>218</v>
      </c>
      <c r="I2008" s="705">
        <v>13951</v>
      </c>
      <c r="J2008" s="705">
        <v>12683</v>
      </c>
      <c r="K2008" s="705">
        <v>65</v>
      </c>
      <c r="L2008" s="705">
        <v>1439</v>
      </c>
      <c r="M2008" s="705">
        <v>1309</v>
      </c>
      <c r="N2008" s="705">
        <v>1349</v>
      </c>
      <c r="O2008" s="705">
        <v>500</v>
      </c>
      <c r="P2008" s="705">
        <v>621</v>
      </c>
      <c r="Q2008" s="705">
        <v>230</v>
      </c>
      <c r="R2008" s="705">
        <v>6762</v>
      </c>
      <c r="S2008" s="705">
        <v>6147</v>
      </c>
      <c r="T2008" s="705">
        <v>0</v>
      </c>
      <c r="U2008" s="705">
        <v>0</v>
      </c>
      <c r="V2008" s="705">
        <v>20869</v>
      </c>
      <c r="W2008" s="705">
        <f t="shared" si="82"/>
        <v>20869</v>
      </c>
      <c r="X2008" s="705">
        <f t="shared" si="83"/>
        <v>24122</v>
      </c>
    </row>
    <row r="2009" spans="2:24">
      <c r="B2009" t="s">
        <v>551</v>
      </c>
      <c r="C2009" t="s">
        <v>116</v>
      </c>
      <c r="D2009" t="s">
        <v>584</v>
      </c>
      <c r="E2009" t="s">
        <v>584</v>
      </c>
      <c r="F2009" s="705">
        <v>237</v>
      </c>
      <c r="G2009" s="705">
        <v>24260</v>
      </c>
      <c r="H2009" s="705">
        <v>44735</v>
      </c>
      <c r="I2009" s="705">
        <v>2187786</v>
      </c>
      <c r="J2009" s="705">
        <v>1988897</v>
      </c>
      <c r="K2009" s="705">
        <v>81</v>
      </c>
      <c r="L2009" s="705">
        <v>510337</v>
      </c>
      <c r="M2009" s="705">
        <v>423216</v>
      </c>
      <c r="N2009" s="705">
        <v>464818</v>
      </c>
      <c r="O2009" s="705">
        <v>172155</v>
      </c>
      <c r="P2009" s="705">
        <v>116451</v>
      </c>
      <c r="Q2009" s="705">
        <v>43130</v>
      </c>
      <c r="R2009" s="705">
        <v>1120378</v>
      </c>
      <c r="S2009" s="705">
        <v>1018525</v>
      </c>
      <c r="T2009" s="705">
        <v>130344</v>
      </c>
      <c r="U2009" s="705">
        <v>48276</v>
      </c>
      <c r="V2009" s="705">
        <v>3694199</v>
      </c>
      <c r="W2009" s="705">
        <f t="shared" si="82"/>
        <v>3694199</v>
      </c>
      <c r="X2009" s="705">
        <f t="shared" si="83"/>
        <v>4530114</v>
      </c>
    </row>
    <row r="2010" spans="2:24">
      <c r="B2010" t="s">
        <v>551</v>
      </c>
      <c r="C2010" t="s">
        <v>116</v>
      </c>
      <c r="D2010" t="s">
        <v>665</v>
      </c>
      <c r="E2010" t="s">
        <v>665</v>
      </c>
      <c r="F2010" s="705">
        <v>2</v>
      </c>
      <c r="G2010" s="705">
        <v>154</v>
      </c>
      <c r="H2010" s="705">
        <v>444</v>
      </c>
      <c r="I2010" s="705">
        <v>15767</v>
      </c>
      <c r="J2010" s="705">
        <v>14334</v>
      </c>
      <c r="K2010" s="705">
        <v>70</v>
      </c>
      <c r="L2010" s="705">
        <v>2089</v>
      </c>
      <c r="M2010" s="705">
        <v>1202</v>
      </c>
      <c r="N2010" s="705">
        <v>2978</v>
      </c>
      <c r="O2010" s="705">
        <v>1103</v>
      </c>
      <c r="P2010" s="705">
        <v>972</v>
      </c>
      <c r="Q2010" s="705">
        <v>360</v>
      </c>
      <c r="R2010" s="705">
        <v>7624</v>
      </c>
      <c r="S2010" s="705">
        <v>6931</v>
      </c>
      <c r="T2010" s="705">
        <v>4734</v>
      </c>
      <c r="U2010" s="705">
        <v>1753</v>
      </c>
      <c r="V2010" s="705">
        <v>25683</v>
      </c>
      <c r="W2010" s="705">
        <f t="shared" si="82"/>
        <v>25683</v>
      </c>
      <c r="X2010" s="705">
        <f t="shared" si="83"/>
        <v>34164</v>
      </c>
    </row>
    <row r="2011" spans="2:24">
      <c r="B2011" t="s">
        <v>551</v>
      </c>
      <c r="C2011" t="s">
        <v>118</v>
      </c>
      <c r="D2011" t="s">
        <v>664</v>
      </c>
      <c r="E2011" t="s">
        <v>664</v>
      </c>
      <c r="F2011" s="705">
        <v>2</v>
      </c>
      <c r="G2011" s="705">
        <v>221</v>
      </c>
      <c r="H2011" s="705">
        <v>521</v>
      </c>
      <c r="I2011" s="705">
        <v>32172</v>
      </c>
      <c r="J2011" s="705">
        <v>29247</v>
      </c>
      <c r="K2011" s="705">
        <v>74</v>
      </c>
      <c r="L2011" s="705">
        <v>7069</v>
      </c>
      <c r="M2011" s="705">
        <v>6426</v>
      </c>
      <c r="N2011" s="705">
        <v>5096</v>
      </c>
      <c r="O2011" s="705">
        <v>1888</v>
      </c>
      <c r="P2011" s="705">
        <v>824</v>
      </c>
      <c r="Q2011" s="705">
        <v>305</v>
      </c>
      <c r="R2011" s="705">
        <v>12669</v>
      </c>
      <c r="S2011" s="705">
        <v>11518</v>
      </c>
      <c r="T2011" s="705">
        <v>0</v>
      </c>
      <c r="U2011" s="705">
        <v>0</v>
      </c>
      <c r="V2011" s="705">
        <v>49384</v>
      </c>
      <c r="W2011" s="705">
        <f t="shared" si="82"/>
        <v>49384</v>
      </c>
      <c r="X2011" s="705">
        <f t="shared" si="83"/>
        <v>57830</v>
      </c>
    </row>
    <row r="2012" spans="2:24">
      <c r="B2012" t="s">
        <v>551</v>
      </c>
      <c r="C2012" t="s">
        <v>118</v>
      </c>
      <c r="D2012" t="s">
        <v>582</v>
      </c>
      <c r="E2012" t="s">
        <v>582</v>
      </c>
      <c r="F2012" s="705">
        <v>4</v>
      </c>
      <c r="G2012" s="705">
        <v>575</v>
      </c>
      <c r="H2012" s="705">
        <v>1012</v>
      </c>
      <c r="I2012" s="705">
        <v>93308</v>
      </c>
      <c r="J2012" s="705">
        <v>84826</v>
      </c>
      <c r="K2012" s="705">
        <v>84</v>
      </c>
      <c r="L2012" s="705">
        <v>17421</v>
      </c>
      <c r="M2012" s="705">
        <v>15837</v>
      </c>
      <c r="N2012" s="705">
        <v>10482</v>
      </c>
      <c r="O2012" s="705">
        <v>3882</v>
      </c>
      <c r="P2012" s="705">
        <v>2039</v>
      </c>
      <c r="Q2012" s="705">
        <v>755</v>
      </c>
      <c r="R2012" s="705">
        <v>25049</v>
      </c>
      <c r="S2012" s="705">
        <v>22772</v>
      </c>
      <c r="T2012" s="705">
        <v>0</v>
      </c>
      <c r="U2012" s="705">
        <v>0</v>
      </c>
      <c r="V2012" s="705">
        <v>128072</v>
      </c>
      <c r="W2012" s="705">
        <f t="shared" si="82"/>
        <v>128072</v>
      </c>
      <c r="X2012" s="705">
        <f t="shared" si="83"/>
        <v>148299</v>
      </c>
    </row>
    <row r="2013" spans="2:24">
      <c r="B2013" t="s">
        <v>551</v>
      </c>
      <c r="C2013" t="s">
        <v>118</v>
      </c>
      <c r="D2013" t="s">
        <v>228</v>
      </c>
      <c r="E2013" t="s">
        <v>228</v>
      </c>
      <c r="F2013" s="705">
        <v>47</v>
      </c>
      <c r="G2013" s="705">
        <v>4916</v>
      </c>
      <c r="H2013" s="705">
        <v>12061</v>
      </c>
      <c r="I2013" s="705">
        <v>742069</v>
      </c>
      <c r="J2013" s="705">
        <v>274840</v>
      </c>
      <c r="K2013" s="705">
        <v>100</v>
      </c>
      <c r="L2013" s="705">
        <v>64258</v>
      </c>
      <c r="M2013" s="705">
        <v>55845</v>
      </c>
      <c r="N2013" s="705">
        <v>101096</v>
      </c>
      <c r="O2013" s="705">
        <v>37443</v>
      </c>
      <c r="P2013" s="705">
        <v>2106</v>
      </c>
      <c r="Q2013" s="705">
        <v>780</v>
      </c>
      <c r="R2013" s="705">
        <v>347214</v>
      </c>
      <c r="S2013" s="705">
        <v>128598</v>
      </c>
      <c r="T2013" s="705">
        <v>0</v>
      </c>
      <c r="U2013" s="705">
        <v>0</v>
      </c>
      <c r="V2013" s="705">
        <v>497506</v>
      </c>
      <c r="W2013" s="705">
        <f t="shared" si="82"/>
        <v>497506</v>
      </c>
      <c r="X2013" s="705">
        <f t="shared" si="83"/>
        <v>1256743</v>
      </c>
    </row>
    <row r="2014" spans="2:24">
      <c r="B2014" t="s">
        <v>551</v>
      </c>
      <c r="C2014" t="s">
        <v>118</v>
      </c>
      <c r="D2014" t="s">
        <v>228</v>
      </c>
      <c r="E2014" t="s">
        <v>665</v>
      </c>
      <c r="F2014" s="705">
        <v>1</v>
      </c>
      <c r="G2014" s="705">
        <v>80</v>
      </c>
      <c r="H2014" s="705">
        <v>254</v>
      </c>
      <c r="I2014" s="705">
        <v>8216</v>
      </c>
      <c r="J2014" s="705">
        <v>3043</v>
      </c>
      <c r="K2014" s="705">
        <v>100</v>
      </c>
      <c r="L2014" s="705">
        <v>1450</v>
      </c>
      <c r="M2014" s="705">
        <v>537</v>
      </c>
      <c r="N2014" s="705">
        <v>1956</v>
      </c>
      <c r="O2014" s="705">
        <v>725</v>
      </c>
      <c r="P2014" s="705">
        <v>0</v>
      </c>
      <c r="Q2014" s="705">
        <v>0</v>
      </c>
      <c r="R2014" s="705">
        <v>6124</v>
      </c>
      <c r="S2014" s="705">
        <v>5568</v>
      </c>
      <c r="T2014" s="705">
        <v>2615</v>
      </c>
      <c r="U2014" s="705">
        <v>969</v>
      </c>
      <c r="V2014" s="705">
        <v>10841</v>
      </c>
      <c r="W2014" s="705">
        <f t="shared" si="82"/>
        <v>10842</v>
      </c>
      <c r="X2014" s="705">
        <f t="shared" si="83"/>
        <v>20361</v>
      </c>
    </row>
    <row r="2015" spans="2:24">
      <c r="B2015" t="s">
        <v>551</v>
      </c>
      <c r="C2015" t="s">
        <v>118</v>
      </c>
      <c r="D2015" t="s">
        <v>583</v>
      </c>
      <c r="E2015" t="s">
        <v>228</v>
      </c>
      <c r="F2015" s="705">
        <v>2</v>
      </c>
      <c r="G2015" s="705">
        <v>176</v>
      </c>
      <c r="H2015" s="705">
        <v>506</v>
      </c>
      <c r="I2015" s="705">
        <v>27195</v>
      </c>
      <c r="J2015" s="705">
        <v>24723</v>
      </c>
      <c r="K2015" s="705">
        <v>78</v>
      </c>
      <c r="L2015" s="705">
        <v>2313</v>
      </c>
      <c r="M2015" s="705">
        <v>2102</v>
      </c>
      <c r="N2015" s="705">
        <v>3579</v>
      </c>
      <c r="O2015" s="705">
        <v>1325</v>
      </c>
      <c r="P2015" s="705">
        <v>1242</v>
      </c>
      <c r="Q2015" s="705">
        <v>460</v>
      </c>
      <c r="R2015" s="705">
        <v>10423</v>
      </c>
      <c r="S2015" s="705">
        <v>3860</v>
      </c>
      <c r="T2015" s="705">
        <v>0</v>
      </c>
      <c r="U2015" s="705">
        <v>0</v>
      </c>
      <c r="V2015" s="705">
        <v>32471</v>
      </c>
      <c r="W2015" s="705">
        <f t="shared" si="82"/>
        <v>32470</v>
      </c>
      <c r="X2015" s="705">
        <f t="shared" si="83"/>
        <v>44752</v>
      </c>
    </row>
    <row r="2016" spans="2:24">
      <c r="B2016" t="s">
        <v>551</v>
      </c>
      <c r="C2016" t="s">
        <v>118</v>
      </c>
      <c r="D2016" t="s">
        <v>583</v>
      </c>
      <c r="E2016" t="s">
        <v>583</v>
      </c>
      <c r="F2016" s="705">
        <v>658</v>
      </c>
      <c r="G2016" s="705">
        <v>55411</v>
      </c>
      <c r="H2016" s="705">
        <v>170538</v>
      </c>
      <c r="I2016" s="705">
        <v>7208713</v>
      </c>
      <c r="J2016" s="705">
        <v>6553375</v>
      </c>
      <c r="K2016" s="705">
        <v>81</v>
      </c>
      <c r="L2016" s="705">
        <v>1563818</v>
      </c>
      <c r="M2016" s="705">
        <v>1362378</v>
      </c>
      <c r="N2016" s="705">
        <v>1103717</v>
      </c>
      <c r="O2016" s="705">
        <v>408784</v>
      </c>
      <c r="P2016" s="705">
        <v>417389</v>
      </c>
      <c r="Q2016" s="705">
        <v>154588</v>
      </c>
      <c r="R2016" s="705">
        <v>2856237</v>
      </c>
      <c r="S2016" s="705">
        <v>2596579</v>
      </c>
      <c r="T2016" s="705">
        <v>1226951</v>
      </c>
      <c r="U2016" s="705">
        <v>454426</v>
      </c>
      <c r="V2016" s="705">
        <v>11530132</v>
      </c>
      <c r="W2016" s="705">
        <f t="shared" si="82"/>
        <v>11530130</v>
      </c>
      <c r="X2016" s="705">
        <f t="shared" si="83"/>
        <v>14376825</v>
      </c>
    </row>
    <row r="2017" spans="2:24">
      <c r="B2017" t="s">
        <v>551</v>
      </c>
      <c r="C2017" t="s">
        <v>118</v>
      </c>
      <c r="D2017" t="s">
        <v>583</v>
      </c>
      <c r="E2017" t="s">
        <v>665</v>
      </c>
      <c r="F2017" s="705">
        <v>3</v>
      </c>
      <c r="G2017" s="705">
        <v>184</v>
      </c>
      <c r="H2017" s="705">
        <v>746</v>
      </c>
      <c r="I2017" s="705">
        <v>17589</v>
      </c>
      <c r="J2017" s="705">
        <v>15990</v>
      </c>
      <c r="K2017" s="705">
        <v>85</v>
      </c>
      <c r="L2017" s="705">
        <v>2815</v>
      </c>
      <c r="M2017" s="705">
        <v>2559</v>
      </c>
      <c r="N2017" s="705">
        <v>2776</v>
      </c>
      <c r="O2017" s="705">
        <v>1028</v>
      </c>
      <c r="P2017" s="705">
        <v>1863</v>
      </c>
      <c r="Q2017" s="705">
        <v>690</v>
      </c>
      <c r="R2017" s="705">
        <v>13594</v>
      </c>
      <c r="S2017" s="705">
        <v>12358</v>
      </c>
      <c r="T2017" s="705">
        <v>6335</v>
      </c>
      <c r="U2017" s="705">
        <v>2346</v>
      </c>
      <c r="V2017" s="705">
        <v>34972</v>
      </c>
      <c r="W2017" s="705">
        <f t="shared" si="82"/>
        <v>34971</v>
      </c>
      <c r="X2017" s="705">
        <f t="shared" si="83"/>
        <v>44972</v>
      </c>
    </row>
    <row r="2018" spans="2:24">
      <c r="B2018" t="s">
        <v>551</v>
      </c>
      <c r="C2018" t="s">
        <v>118</v>
      </c>
      <c r="D2018" t="s">
        <v>584</v>
      </c>
      <c r="E2018" t="s">
        <v>584</v>
      </c>
      <c r="F2018" s="705">
        <v>100</v>
      </c>
      <c r="G2018" s="705">
        <v>8171</v>
      </c>
      <c r="H2018" s="705">
        <v>24176</v>
      </c>
      <c r="I2018" s="705">
        <v>949913</v>
      </c>
      <c r="J2018" s="705">
        <v>863557</v>
      </c>
      <c r="K2018" s="705">
        <v>80</v>
      </c>
      <c r="L2018" s="705">
        <v>263092</v>
      </c>
      <c r="M2018" s="705">
        <v>233835</v>
      </c>
      <c r="N2018" s="705">
        <v>161466</v>
      </c>
      <c r="O2018" s="705">
        <v>59802</v>
      </c>
      <c r="P2018" s="705">
        <v>47601</v>
      </c>
      <c r="Q2018" s="705">
        <v>17630</v>
      </c>
      <c r="R2018" s="705">
        <v>410412</v>
      </c>
      <c r="S2018" s="705">
        <v>373102</v>
      </c>
      <c r="T2018" s="705">
        <v>132891</v>
      </c>
      <c r="U2018" s="705">
        <v>49219</v>
      </c>
      <c r="V2018" s="705">
        <v>1597145</v>
      </c>
      <c r="W2018" s="705">
        <f t="shared" ref="W2018:W2081" si="84">SUM(ABS(J2018),ABS(M2018),ABS(O2018),ABS(Q2018),ABS(S2018),ABS(U2018))</f>
        <v>1597145</v>
      </c>
      <c r="X2018" s="705">
        <f t="shared" ref="X2018:X2081" si="85">SUM(ABS(I2018),ABS(N2018),ABS(P2018),ABS(R2018),ABS(T2018),ABS(L2018))</f>
        <v>1965375</v>
      </c>
    </row>
    <row r="2019" spans="2:24">
      <c r="B2019" t="s">
        <v>551</v>
      </c>
      <c r="C2019" t="s">
        <v>118</v>
      </c>
      <c r="D2019" t="s">
        <v>665</v>
      </c>
      <c r="E2019" t="s">
        <v>228</v>
      </c>
      <c r="F2019" s="705">
        <v>2</v>
      </c>
      <c r="G2019" s="705">
        <v>156</v>
      </c>
      <c r="H2019" s="705">
        <v>512</v>
      </c>
      <c r="I2019" s="705">
        <v>23453</v>
      </c>
      <c r="J2019" s="705">
        <v>21321</v>
      </c>
      <c r="K2019" s="705">
        <v>63</v>
      </c>
      <c r="L2019" s="705">
        <v>3946</v>
      </c>
      <c r="M2019" s="705">
        <v>1462</v>
      </c>
      <c r="N2019" s="705">
        <v>3811</v>
      </c>
      <c r="O2019" s="705">
        <v>1411</v>
      </c>
      <c r="P2019" s="705">
        <v>351</v>
      </c>
      <c r="Q2019" s="705">
        <v>130</v>
      </c>
      <c r="R2019" s="705">
        <v>8733</v>
      </c>
      <c r="S2019" s="705">
        <v>3234</v>
      </c>
      <c r="T2019" s="705">
        <v>0</v>
      </c>
      <c r="U2019" s="705">
        <v>0</v>
      </c>
      <c r="V2019" s="705">
        <v>27558</v>
      </c>
      <c r="W2019" s="705">
        <f t="shared" si="84"/>
        <v>27558</v>
      </c>
      <c r="X2019" s="705">
        <f t="shared" si="85"/>
        <v>40294</v>
      </c>
    </row>
    <row r="2020" spans="2:24">
      <c r="B2020" t="s">
        <v>551</v>
      </c>
      <c r="C2020" t="s">
        <v>118</v>
      </c>
      <c r="D2020" t="s">
        <v>665</v>
      </c>
      <c r="E2020" t="s">
        <v>665</v>
      </c>
      <c r="F2020" s="705">
        <v>114</v>
      </c>
      <c r="G2020" s="705">
        <v>9580</v>
      </c>
      <c r="H2020" s="705">
        <v>30774</v>
      </c>
      <c r="I2020" s="705">
        <v>1361856</v>
      </c>
      <c r="J2020" s="705">
        <v>1238051</v>
      </c>
      <c r="K2020" s="705">
        <v>60</v>
      </c>
      <c r="L2020" s="705">
        <v>176196</v>
      </c>
      <c r="M2020" s="705">
        <v>155385</v>
      </c>
      <c r="N2020" s="705">
        <v>188653</v>
      </c>
      <c r="O2020" s="705">
        <v>69871</v>
      </c>
      <c r="P2020" s="705">
        <v>58577</v>
      </c>
      <c r="Q2020" s="705">
        <v>21695</v>
      </c>
      <c r="R2020" s="705">
        <v>560458</v>
      </c>
      <c r="S2020" s="705">
        <v>509508</v>
      </c>
      <c r="T2020" s="705">
        <v>276923</v>
      </c>
      <c r="U2020" s="705">
        <v>102564</v>
      </c>
      <c r="V2020" s="705">
        <v>2097074</v>
      </c>
      <c r="W2020" s="705">
        <f t="shared" si="84"/>
        <v>2097074</v>
      </c>
      <c r="X2020" s="705">
        <f t="shared" si="85"/>
        <v>2622663</v>
      </c>
    </row>
    <row r="2021" spans="2:24">
      <c r="B2021" t="s">
        <v>551</v>
      </c>
      <c r="C2021" t="s">
        <v>120</v>
      </c>
      <c r="F2021" s="705">
        <v>1</v>
      </c>
      <c r="G2021" s="705">
        <v>159</v>
      </c>
      <c r="H2021" s="705">
        <v>366</v>
      </c>
      <c r="I2021" s="705"/>
      <c r="J2021" s="705">
        <v>0</v>
      </c>
      <c r="K2021" s="705"/>
      <c r="L2021" s="705"/>
      <c r="M2021" s="705">
        <v>0</v>
      </c>
      <c r="N2021" s="705">
        <v>3133</v>
      </c>
      <c r="O2021" s="705">
        <v>1161</v>
      </c>
      <c r="P2021" s="705">
        <v>621</v>
      </c>
      <c r="Q2021" s="705">
        <v>230</v>
      </c>
      <c r="R2021" s="705"/>
      <c r="S2021" s="705">
        <v>0</v>
      </c>
      <c r="T2021" s="705">
        <v>0</v>
      </c>
      <c r="U2021" s="705">
        <v>0</v>
      </c>
      <c r="V2021" s="705">
        <v>1391</v>
      </c>
      <c r="W2021" s="705">
        <f t="shared" si="84"/>
        <v>1391</v>
      </c>
      <c r="X2021" s="705">
        <f t="shared" si="85"/>
        <v>3754</v>
      </c>
    </row>
    <row r="2022" spans="2:24">
      <c r="B2022" t="s">
        <v>551</v>
      </c>
      <c r="C2022" t="s">
        <v>120</v>
      </c>
      <c r="D2022" t="s">
        <v>228</v>
      </c>
      <c r="E2022" t="s">
        <v>228</v>
      </c>
      <c r="F2022" s="705">
        <v>36</v>
      </c>
      <c r="G2022" s="705">
        <v>2847</v>
      </c>
      <c r="H2022" s="705">
        <v>12470</v>
      </c>
      <c r="I2022" s="705">
        <v>599080</v>
      </c>
      <c r="J2022" s="705">
        <v>221882</v>
      </c>
      <c r="K2022" s="705">
        <v>100</v>
      </c>
      <c r="L2022" s="705">
        <v>76604</v>
      </c>
      <c r="M2022" s="705">
        <v>52886</v>
      </c>
      <c r="N2022" s="705">
        <v>63254</v>
      </c>
      <c r="O2022" s="705">
        <v>23427</v>
      </c>
      <c r="P2022" s="705">
        <v>0</v>
      </c>
      <c r="Q2022" s="705">
        <v>0</v>
      </c>
      <c r="R2022" s="705">
        <v>242983</v>
      </c>
      <c r="S2022" s="705">
        <v>89994</v>
      </c>
      <c r="T2022" s="705">
        <v>2462</v>
      </c>
      <c r="U2022" s="705">
        <v>912</v>
      </c>
      <c r="V2022" s="705">
        <v>389100</v>
      </c>
      <c r="W2022" s="705">
        <f t="shared" si="84"/>
        <v>389101</v>
      </c>
      <c r="X2022" s="705">
        <f t="shared" si="85"/>
        <v>984383</v>
      </c>
    </row>
    <row r="2023" spans="2:24">
      <c r="B2023" t="s">
        <v>551</v>
      </c>
      <c r="C2023" t="s">
        <v>120</v>
      </c>
      <c r="D2023" t="s">
        <v>583</v>
      </c>
      <c r="E2023" t="s">
        <v>228</v>
      </c>
      <c r="F2023" s="705">
        <v>6</v>
      </c>
      <c r="G2023" s="705">
        <v>616</v>
      </c>
      <c r="H2023" s="705">
        <v>1988</v>
      </c>
      <c r="I2023" s="705">
        <v>116334</v>
      </c>
      <c r="J2023" s="705">
        <v>105758</v>
      </c>
      <c r="K2023" s="705">
        <v>83</v>
      </c>
      <c r="L2023" s="705">
        <v>27675</v>
      </c>
      <c r="M2023" s="705">
        <v>25159</v>
      </c>
      <c r="N2023" s="705">
        <v>13506</v>
      </c>
      <c r="O2023" s="705">
        <v>5002</v>
      </c>
      <c r="P2023" s="705">
        <v>3726</v>
      </c>
      <c r="Q2023" s="705">
        <v>1380</v>
      </c>
      <c r="R2023" s="705">
        <v>45369</v>
      </c>
      <c r="S2023" s="705">
        <v>16803</v>
      </c>
      <c r="T2023" s="705">
        <v>1635</v>
      </c>
      <c r="U2023" s="705">
        <v>606</v>
      </c>
      <c r="V2023" s="705">
        <v>154708</v>
      </c>
      <c r="W2023" s="705">
        <f t="shared" si="84"/>
        <v>154708</v>
      </c>
      <c r="X2023" s="705">
        <f t="shared" si="85"/>
        <v>208245</v>
      </c>
    </row>
    <row r="2024" spans="2:24">
      <c r="B2024" t="s">
        <v>551</v>
      </c>
      <c r="C2024" t="s">
        <v>120</v>
      </c>
      <c r="D2024" t="s">
        <v>583</v>
      </c>
      <c r="E2024" t="s">
        <v>583</v>
      </c>
      <c r="F2024" s="705">
        <v>245</v>
      </c>
      <c r="G2024" s="705">
        <v>20748</v>
      </c>
      <c r="H2024" s="705">
        <v>82057</v>
      </c>
      <c r="I2024" s="705">
        <v>4025277</v>
      </c>
      <c r="J2024" s="705">
        <v>3659342</v>
      </c>
      <c r="K2024" s="705">
        <v>77</v>
      </c>
      <c r="L2024" s="705">
        <v>805375</v>
      </c>
      <c r="M2024" s="705">
        <v>688669</v>
      </c>
      <c r="N2024" s="705">
        <v>434084</v>
      </c>
      <c r="O2024" s="705">
        <v>160772</v>
      </c>
      <c r="P2024" s="705">
        <v>152928</v>
      </c>
      <c r="Q2024" s="705">
        <v>56640</v>
      </c>
      <c r="R2024" s="705">
        <v>1089242</v>
      </c>
      <c r="S2024" s="705">
        <v>990220</v>
      </c>
      <c r="T2024" s="705">
        <v>514307</v>
      </c>
      <c r="U2024" s="705">
        <v>190484</v>
      </c>
      <c r="V2024" s="705">
        <v>5746128</v>
      </c>
      <c r="W2024" s="705">
        <f t="shared" si="84"/>
        <v>5746127</v>
      </c>
      <c r="X2024" s="705">
        <f t="shared" si="85"/>
        <v>7021213</v>
      </c>
    </row>
    <row r="2025" spans="2:24">
      <c r="B2025" t="s">
        <v>551</v>
      </c>
      <c r="C2025" t="s">
        <v>120</v>
      </c>
      <c r="D2025" t="s">
        <v>583</v>
      </c>
      <c r="E2025" t="s">
        <v>665</v>
      </c>
      <c r="F2025" s="705">
        <v>1</v>
      </c>
      <c r="G2025" s="705">
        <v>150</v>
      </c>
      <c r="H2025" s="705">
        <v>369</v>
      </c>
      <c r="I2025" s="705">
        <v>33721</v>
      </c>
      <c r="J2025" s="705">
        <v>30656</v>
      </c>
      <c r="K2025" s="705">
        <v>85</v>
      </c>
      <c r="L2025" s="705">
        <v>10079</v>
      </c>
      <c r="M2025" s="705">
        <v>9163</v>
      </c>
      <c r="N2025" s="705">
        <v>3658</v>
      </c>
      <c r="O2025" s="705">
        <v>1355</v>
      </c>
      <c r="P2025" s="705">
        <v>621</v>
      </c>
      <c r="Q2025" s="705">
        <v>230</v>
      </c>
      <c r="R2025" s="705">
        <v>7371</v>
      </c>
      <c r="S2025" s="705">
        <v>6701</v>
      </c>
      <c r="T2025" s="705">
        <v>0</v>
      </c>
      <c r="U2025" s="705">
        <v>0</v>
      </c>
      <c r="V2025" s="705">
        <v>48104</v>
      </c>
      <c r="W2025" s="705">
        <f t="shared" si="84"/>
        <v>48105</v>
      </c>
      <c r="X2025" s="705">
        <f t="shared" si="85"/>
        <v>55450</v>
      </c>
    </row>
    <row r="2026" spans="2:24">
      <c r="B2026" t="s">
        <v>551</v>
      </c>
      <c r="C2026" t="s">
        <v>120</v>
      </c>
      <c r="D2026" t="s">
        <v>584</v>
      </c>
      <c r="E2026" t="s">
        <v>584</v>
      </c>
      <c r="F2026" s="705">
        <v>16</v>
      </c>
      <c r="G2026" s="705">
        <v>975</v>
      </c>
      <c r="H2026" s="705">
        <v>5342</v>
      </c>
      <c r="I2026" s="705">
        <v>179961</v>
      </c>
      <c r="J2026" s="705">
        <v>163601</v>
      </c>
      <c r="K2026" s="705">
        <v>78</v>
      </c>
      <c r="L2026" s="705">
        <v>47139</v>
      </c>
      <c r="M2026" s="705">
        <v>40123</v>
      </c>
      <c r="N2026" s="705">
        <v>19162</v>
      </c>
      <c r="O2026" s="705">
        <v>7097</v>
      </c>
      <c r="P2026" s="705">
        <v>7911</v>
      </c>
      <c r="Q2026" s="705">
        <v>2930</v>
      </c>
      <c r="R2026" s="705">
        <v>58927</v>
      </c>
      <c r="S2026" s="705">
        <v>53570</v>
      </c>
      <c r="T2026" s="705">
        <v>10544</v>
      </c>
      <c r="U2026" s="705">
        <v>3905</v>
      </c>
      <c r="V2026" s="705">
        <v>271225</v>
      </c>
      <c r="W2026" s="705">
        <f t="shared" si="84"/>
        <v>271226</v>
      </c>
      <c r="X2026" s="705">
        <f t="shared" si="85"/>
        <v>323644</v>
      </c>
    </row>
    <row r="2027" spans="2:24">
      <c r="B2027" t="s">
        <v>551</v>
      </c>
      <c r="C2027" t="s">
        <v>120</v>
      </c>
      <c r="D2027" t="s">
        <v>665</v>
      </c>
      <c r="E2027" t="s">
        <v>665</v>
      </c>
      <c r="F2027" s="705">
        <v>62</v>
      </c>
      <c r="G2027" s="705">
        <v>4420</v>
      </c>
      <c r="H2027" s="705">
        <v>20735</v>
      </c>
      <c r="I2027" s="705">
        <v>872556</v>
      </c>
      <c r="J2027" s="705">
        <v>793233</v>
      </c>
      <c r="K2027" s="705">
        <v>59</v>
      </c>
      <c r="L2027" s="705">
        <v>98222</v>
      </c>
      <c r="M2027" s="705">
        <v>82887</v>
      </c>
      <c r="N2027" s="705">
        <v>93407</v>
      </c>
      <c r="O2027" s="705">
        <v>34595</v>
      </c>
      <c r="P2027" s="705">
        <v>30713</v>
      </c>
      <c r="Q2027" s="705">
        <v>11375</v>
      </c>
      <c r="R2027" s="705">
        <v>310686</v>
      </c>
      <c r="S2027" s="705">
        <v>282442</v>
      </c>
      <c r="T2027" s="705">
        <v>147519</v>
      </c>
      <c r="U2027" s="705">
        <v>54637</v>
      </c>
      <c r="V2027" s="705">
        <v>1259169</v>
      </c>
      <c r="W2027" s="705">
        <f t="shared" si="84"/>
        <v>1259169</v>
      </c>
      <c r="X2027" s="705">
        <f t="shared" si="85"/>
        <v>1553103</v>
      </c>
    </row>
    <row r="2028" spans="2:24">
      <c r="B2028" t="s">
        <v>551</v>
      </c>
      <c r="C2028" t="s">
        <v>122</v>
      </c>
      <c r="D2028" t="s">
        <v>582</v>
      </c>
      <c r="E2028" t="s">
        <v>582</v>
      </c>
      <c r="F2028" s="705">
        <v>1</v>
      </c>
      <c r="G2028" s="705">
        <v>113</v>
      </c>
      <c r="H2028" s="705">
        <v>387</v>
      </c>
      <c r="I2028" s="705">
        <v>26792</v>
      </c>
      <c r="J2028" s="705">
        <v>24357</v>
      </c>
      <c r="K2028" s="705">
        <v>73</v>
      </c>
      <c r="L2028" s="705">
        <v>6887</v>
      </c>
      <c r="M2028" s="705">
        <v>6261</v>
      </c>
      <c r="N2028" s="705">
        <v>2564</v>
      </c>
      <c r="O2028" s="705">
        <v>950</v>
      </c>
      <c r="P2028" s="705">
        <v>351</v>
      </c>
      <c r="Q2028" s="705">
        <v>130</v>
      </c>
      <c r="R2028" s="705">
        <v>4379</v>
      </c>
      <c r="S2028" s="705">
        <v>3981</v>
      </c>
      <c r="T2028" s="705">
        <v>2585</v>
      </c>
      <c r="U2028" s="705">
        <v>957</v>
      </c>
      <c r="V2028" s="705">
        <v>36635</v>
      </c>
      <c r="W2028" s="705">
        <f t="shared" si="84"/>
        <v>36636</v>
      </c>
      <c r="X2028" s="705">
        <f t="shared" si="85"/>
        <v>43558</v>
      </c>
    </row>
    <row r="2029" spans="2:24">
      <c r="B2029" t="s">
        <v>551</v>
      </c>
      <c r="C2029" t="s">
        <v>122</v>
      </c>
      <c r="D2029" t="s">
        <v>228</v>
      </c>
      <c r="E2029" t="s">
        <v>228</v>
      </c>
      <c r="F2029" s="705">
        <v>12</v>
      </c>
      <c r="G2029" s="705">
        <v>969</v>
      </c>
      <c r="H2029" s="705">
        <v>4843</v>
      </c>
      <c r="I2029" s="705">
        <v>271414</v>
      </c>
      <c r="J2029" s="705">
        <v>100524</v>
      </c>
      <c r="K2029" s="705">
        <v>100</v>
      </c>
      <c r="L2029" s="705">
        <v>42310</v>
      </c>
      <c r="M2029" s="705">
        <v>28766</v>
      </c>
      <c r="N2029" s="705">
        <v>23145</v>
      </c>
      <c r="O2029" s="705">
        <v>8572</v>
      </c>
      <c r="P2029" s="705">
        <v>0</v>
      </c>
      <c r="Q2029" s="705">
        <v>0</v>
      </c>
      <c r="R2029" s="705">
        <v>71903</v>
      </c>
      <c r="S2029" s="705">
        <v>26631</v>
      </c>
      <c r="T2029" s="705">
        <v>0</v>
      </c>
      <c r="U2029" s="705">
        <v>0</v>
      </c>
      <c r="V2029" s="705">
        <v>164492</v>
      </c>
      <c r="W2029" s="705">
        <f t="shared" si="84"/>
        <v>164493</v>
      </c>
      <c r="X2029" s="705">
        <f t="shared" si="85"/>
        <v>408772</v>
      </c>
    </row>
    <row r="2030" spans="2:24">
      <c r="B2030" t="s">
        <v>551</v>
      </c>
      <c r="C2030" t="s">
        <v>122</v>
      </c>
      <c r="D2030" t="s">
        <v>228</v>
      </c>
      <c r="E2030" t="s">
        <v>583</v>
      </c>
      <c r="F2030" s="705">
        <v>1</v>
      </c>
      <c r="G2030" s="705">
        <v>180</v>
      </c>
      <c r="H2030" s="705">
        <v>438</v>
      </c>
      <c r="I2030" s="705">
        <v>61807</v>
      </c>
      <c r="J2030" s="705">
        <v>22891</v>
      </c>
      <c r="K2030" s="705">
        <v>100</v>
      </c>
      <c r="L2030" s="705">
        <v>4663</v>
      </c>
      <c r="M2030" s="705">
        <v>4239</v>
      </c>
      <c r="N2030" s="705">
        <v>3976</v>
      </c>
      <c r="O2030" s="705">
        <v>1473</v>
      </c>
      <c r="P2030" s="705">
        <v>0</v>
      </c>
      <c r="Q2030" s="705">
        <v>0</v>
      </c>
      <c r="R2030" s="705">
        <v>8614</v>
      </c>
      <c r="S2030" s="705">
        <v>7831</v>
      </c>
      <c r="T2030" s="705">
        <v>0</v>
      </c>
      <c r="U2030" s="705">
        <v>0</v>
      </c>
      <c r="V2030" s="705">
        <v>36434</v>
      </c>
      <c r="W2030" s="705">
        <f t="shared" si="84"/>
        <v>36434</v>
      </c>
      <c r="X2030" s="705">
        <f t="shared" si="85"/>
        <v>79060</v>
      </c>
    </row>
    <row r="2031" spans="2:24">
      <c r="B2031" t="s">
        <v>551</v>
      </c>
      <c r="C2031" t="s">
        <v>122</v>
      </c>
      <c r="D2031" t="s">
        <v>228</v>
      </c>
      <c r="E2031" t="s">
        <v>665</v>
      </c>
      <c r="F2031" s="705">
        <v>1</v>
      </c>
      <c r="G2031" s="705">
        <v>75</v>
      </c>
      <c r="H2031" s="705">
        <v>408</v>
      </c>
      <c r="I2031" s="705">
        <v>17516</v>
      </c>
      <c r="J2031" s="705">
        <v>6487</v>
      </c>
      <c r="K2031" s="705">
        <v>100</v>
      </c>
      <c r="L2031" s="705">
        <v>1586</v>
      </c>
      <c r="M2031" s="705">
        <v>1442</v>
      </c>
      <c r="N2031" s="705">
        <v>1834</v>
      </c>
      <c r="O2031" s="705">
        <v>679</v>
      </c>
      <c r="P2031" s="705">
        <v>0</v>
      </c>
      <c r="Q2031" s="705">
        <v>0</v>
      </c>
      <c r="R2031" s="705">
        <v>6750</v>
      </c>
      <c r="S2031" s="705">
        <v>6136</v>
      </c>
      <c r="T2031" s="705">
        <v>2993</v>
      </c>
      <c r="U2031" s="705">
        <v>1108</v>
      </c>
      <c r="V2031" s="705">
        <v>15853</v>
      </c>
      <c r="W2031" s="705">
        <f t="shared" si="84"/>
        <v>15852</v>
      </c>
      <c r="X2031" s="705">
        <f t="shared" si="85"/>
        <v>30679</v>
      </c>
    </row>
    <row r="2032" spans="2:24">
      <c r="B2032" t="s">
        <v>551</v>
      </c>
      <c r="C2032" t="s">
        <v>122</v>
      </c>
      <c r="D2032" t="s">
        <v>583</v>
      </c>
      <c r="E2032" t="s">
        <v>583</v>
      </c>
      <c r="F2032" s="705">
        <v>101</v>
      </c>
      <c r="G2032" s="705">
        <v>9377</v>
      </c>
      <c r="H2032" s="705">
        <v>41894</v>
      </c>
      <c r="I2032" s="705">
        <v>2495019</v>
      </c>
      <c r="J2032" s="705">
        <v>2268199</v>
      </c>
      <c r="K2032" s="705">
        <v>74</v>
      </c>
      <c r="L2032" s="705">
        <v>488367</v>
      </c>
      <c r="M2032" s="705">
        <v>406864</v>
      </c>
      <c r="N2032" s="705">
        <v>199225</v>
      </c>
      <c r="O2032" s="705">
        <v>73787</v>
      </c>
      <c r="P2032" s="705">
        <v>62802</v>
      </c>
      <c r="Q2032" s="705">
        <v>23260</v>
      </c>
      <c r="R2032" s="705">
        <v>480813</v>
      </c>
      <c r="S2032" s="705">
        <v>437103</v>
      </c>
      <c r="T2032" s="705">
        <v>201000</v>
      </c>
      <c r="U2032" s="705">
        <v>74445</v>
      </c>
      <c r="V2032" s="705">
        <v>3283658</v>
      </c>
      <c r="W2032" s="705">
        <f t="shared" si="84"/>
        <v>3283658</v>
      </c>
      <c r="X2032" s="705">
        <f t="shared" si="85"/>
        <v>3927226</v>
      </c>
    </row>
    <row r="2033" spans="2:24">
      <c r="B2033" t="s">
        <v>551</v>
      </c>
      <c r="C2033" t="s">
        <v>122</v>
      </c>
      <c r="D2033" t="s">
        <v>583</v>
      </c>
      <c r="E2033" t="s">
        <v>665</v>
      </c>
      <c r="F2033" s="705">
        <v>2</v>
      </c>
      <c r="G2033" s="705">
        <v>160</v>
      </c>
      <c r="H2033" s="705">
        <v>856</v>
      </c>
      <c r="I2033" s="705">
        <v>44463</v>
      </c>
      <c r="J2033" s="705">
        <v>40421</v>
      </c>
      <c r="K2033" s="705">
        <v>80</v>
      </c>
      <c r="L2033" s="705">
        <v>5709</v>
      </c>
      <c r="M2033" s="705">
        <v>5190</v>
      </c>
      <c r="N2033" s="705">
        <v>3454</v>
      </c>
      <c r="O2033" s="705">
        <v>1279</v>
      </c>
      <c r="P2033" s="705">
        <v>1242</v>
      </c>
      <c r="Q2033" s="705">
        <v>460</v>
      </c>
      <c r="R2033" s="705">
        <v>9363</v>
      </c>
      <c r="S2033" s="705">
        <v>8512</v>
      </c>
      <c r="T2033" s="705">
        <v>4586</v>
      </c>
      <c r="U2033" s="705">
        <v>1699</v>
      </c>
      <c r="V2033" s="705">
        <v>57561</v>
      </c>
      <c r="W2033" s="705">
        <f t="shared" si="84"/>
        <v>57561</v>
      </c>
      <c r="X2033" s="705">
        <f t="shared" si="85"/>
        <v>68817</v>
      </c>
    </row>
    <row r="2034" spans="2:24">
      <c r="B2034" t="s">
        <v>551</v>
      </c>
      <c r="C2034" t="s">
        <v>122</v>
      </c>
      <c r="D2034" t="s">
        <v>666</v>
      </c>
      <c r="E2034" t="s">
        <v>666</v>
      </c>
      <c r="F2034" s="705">
        <v>3</v>
      </c>
      <c r="G2034" s="705">
        <v>244</v>
      </c>
      <c r="H2034" s="705">
        <v>1188</v>
      </c>
      <c r="I2034" s="705">
        <v>59036</v>
      </c>
      <c r="J2034" s="705">
        <v>53669</v>
      </c>
      <c r="K2034" s="705">
        <v>53</v>
      </c>
      <c r="L2034" s="705">
        <v>3334</v>
      </c>
      <c r="M2034" s="705">
        <v>3031</v>
      </c>
      <c r="N2034" s="705">
        <v>5501</v>
      </c>
      <c r="O2034" s="705">
        <v>2037</v>
      </c>
      <c r="P2034" s="705">
        <v>1053</v>
      </c>
      <c r="Q2034" s="705">
        <v>390</v>
      </c>
      <c r="R2034" s="705">
        <v>23682</v>
      </c>
      <c r="S2034" s="705">
        <v>21529</v>
      </c>
      <c r="T2034" s="705">
        <v>12441</v>
      </c>
      <c r="U2034" s="705">
        <v>4608</v>
      </c>
      <c r="V2034" s="705">
        <v>85264</v>
      </c>
      <c r="W2034" s="705">
        <f t="shared" si="84"/>
        <v>85264</v>
      </c>
      <c r="X2034" s="705">
        <f t="shared" si="85"/>
        <v>105047</v>
      </c>
    </row>
    <row r="2035" spans="2:24">
      <c r="B2035" t="s">
        <v>551</v>
      </c>
      <c r="C2035" t="s">
        <v>122</v>
      </c>
      <c r="D2035" t="s">
        <v>665</v>
      </c>
      <c r="E2035" t="s">
        <v>228</v>
      </c>
      <c r="F2035" s="705">
        <v>1</v>
      </c>
      <c r="G2035" s="705">
        <v>82</v>
      </c>
      <c r="H2035" s="705">
        <v>437</v>
      </c>
      <c r="I2035" s="705">
        <v>28329</v>
      </c>
      <c r="J2035" s="705">
        <v>25754</v>
      </c>
      <c r="K2035" s="705">
        <v>65</v>
      </c>
      <c r="L2035" s="705">
        <v>0</v>
      </c>
      <c r="M2035" s="705">
        <v>0</v>
      </c>
      <c r="N2035" s="705">
        <v>1965</v>
      </c>
      <c r="O2035" s="705">
        <v>728</v>
      </c>
      <c r="P2035" s="705">
        <v>351</v>
      </c>
      <c r="Q2035" s="705">
        <v>130</v>
      </c>
      <c r="R2035" s="705">
        <v>5307</v>
      </c>
      <c r="S2035" s="705">
        <v>1965</v>
      </c>
      <c r="T2035" s="705">
        <v>0</v>
      </c>
      <c r="U2035" s="705">
        <v>0</v>
      </c>
      <c r="V2035" s="705">
        <v>28577</v>
      </c>
      <c r="W2035" s="705">
        <f t="shared" si="84"/>
        <v>28577</v>
      </c>
      <c r="X2035" s="705">
        <f t="shared" si="85"/>
        <v>35952</v>
      </c>
    </row>
    <row r="2036" spans="2:24">
      <c r="B2036" t="s">
        <v>551</v>
      </c>
      <c r="C2036" t="s">
        <v>122</v>
      </c>
      <c r="D2036" t="s">
        <v>665</v>
      </c>
      <c r="E2036" t="s">
        <v>665</v>
      </c>
      <c r="F2036" s="705">
        <v>41</v>
      </c>
      <c r="G2036" s="705">
        <v>2404</v>
      </c>
      <c r="H2036" s="705">
        <v>17214</v>
      </c>
      <c r="I2036" s="705">
        <v>586428</v>
      </c>
      <c r="J2036" s="705">
        <v>533117</v>
      </c>
      <c r="K2036" s="705">
        <v>50</v>
      </c>
      <c r="L2036" s="705">
        <v>35015</v>
      </c>
      <c r="M2036" s="705">
        <v>28717</v>
      </c>
      <c r="N2036" s="705">
        <v>50166</v>
      </c>
      <c r="O2036" s="705">
        <v>18580</v>
      </c>
      <c r="P2036" s="705">
        <v>15930</v>
      </c>
      <c r="Q2036" s="705">
        <v>5900</v>
      </c>
      <c r="R2036" s="705">
        <v>231531</v>
      </c>
      <c r="S2036" s="705">
        <v>210482</v>
      </c>
      <c r="T2036" s="705">
        <v>93971</v>
      </c>
      <c r="U2036" s="705">
        <v>34804</v>
      </c>
      <c r="V2036" s="705">
        <v>831600</v>
      </c>
      <c r="W2036" s="705">
        <f t="shared" si="84"/>
        <v>831600</v>
      </c>
      <c r="X2036" s="705">
        <f t="shared" si="85"/>
        <v>1013041</v>
      </c>
    </row>
    <row r="2037" spans="2:24">
      <c r="B2037" t="s">
        <v>551</v>
      </c>
      <c r="C2037" t="s">
        <v>124</v>
      </c>
      <c r="D2037" t="s">
        <v>228</v>
      </c>
      <c r="E2037" t="s">
        <v>228</v>
      </c>
      <c r="F2037" s="705">
        <v>37</v>
      </c>
      <c r="G2037" s="705">
        <v>2766</v>
      </c>
      <c r="H2037" s="705">
        <v>21039</v>
      </c>
      <c r="I2037" s="705">
        <v>1085034</v>
      </c>
      <c r="J2037" s="705">
        <v>401865</v>
      </c>
      <c r="K2037" s="705">
        <v>100</v>
      </c>
      <c r="L2037" s="705">
        <v>175746</v>
      </c>
      <c r="M2037" s="705">
        <v>145565</v>
      </c>
      <c r="N2037" s="705">
        <v>60801</v>
      </c>
      <c r="O2037" s="705">
        <v>22519</v>
      </c>
      <c r="P2037" s="705">
        <v>1053</v>
      </c>
      <c r="Q2037" s="705">
        <v>390</v>
      </c>
      <c r="R2037" s="705">
        <v>264352</v>
      </c>
      <c r="S2037" s="705">
        <v>97908</v>
      </c>
      <c r="T2037" s="705">
        <v>0</v>
      </c>
      <c r="U2037" s="705">
        <v>0</v>
      </c>
      <c r="V2037" s="705">
        <v>668247</v>
      </c>
      <c r="W2037" s="705">
        <f t="shared" si="84"/>
        <v>668247</v>
      </c>
      <c r="X2037" s="705">
        <f t="shared" si="85"/>
        <v>1586986</v>
      </c>
    </row>
    <row r="2038" spans="2:24">
      <c r="B2038" t="s">
        <v>551</v>
      </c>
      <c r="C2038" t="s">
        <v>124</v>
      </c>
      <c r="D2038" t="s">
        <v>228</v>
      </c>
      <c r="E2038" t="s">
        <v>583</v>
      </c>
      <c r="F2038" s="705">
        <v>1</v>
      </c>
      <c r="G2038" s="705">
        <v>98</v>
      </c>
      <c r="H2038" s="705">
        <v>452</v>
      </c>
      <c r="I2038" s="705">
        <v>31561</v>
      </c>
      <c r="J2038" s="705">
        <v>11689</v>
      </c>
      <c r="K2038" s="705">
        <v>100</v>
      </c>
      <c r="L2038" s="705">
        <v>4762</v>
      </c>
      <c r="M2038" s="705">
        <v>4329</v>
      </c>
      <c r="N2038" s="705">
        <v>2111</v>
      </c>
      <c r="O2038" s="705">
        <v>782</v>
      </c>
      <c r="P2038" s="705">
        <v>0</v>
      </c>
      <c r="Q2038" s="705">
        <v>0</v>
      </c>
      <c r="R2038" s="705">
        <v>5779</v>
      </c>
      <c r="S2038" s="705">
        <v>5253</v>
      </c>
      <c r="T2038" s="705">
        <v>0</v>
      </c>
      <c r="U2038" s="705">
        <v>0</v>
      </c>
      <c r="V2038" s="705">
        <v>22054</v>
      </c>
      <c r="W2038" s="705">
        <f t="shared" si="84"/>
        <v>22053</v>
      </c>
      <c r="X2038" s="705">
        <f t="shared" si="85"/>
        <v>44213</v>
      </c>
    </row>
    <row r="2039" spans="2:24">
      <c r="B2039" t="s">
        <v>551</v>
      </c>
      <c r="C2039" t="s">
        <v>124</v>
      </c>
      <c r="D2039" t="s">
        <v>228</v>
      </c>
      <c r="E2039" t="s">
        <v>666</v>
      </c>
      <c r="F2039" s="705">
        <v>2</v>
      </c>
      <c r="G2039" s="705">
        <v>181</v>
      </c>
      <c r="H2039" s="705">
        <v>1431</v>
      </c>
      <c r="I2039" s="705">
        <v>101242</v>
      </c>
      <c r="J2039" s="705">
        <v>37497</v>
      </c>
      <c r="K2039" s="705">
        <v>100</v>
      </c>
      <c r="L2039" s="705">
        <v>12594</v>
      </c>
      <c r="M2039" s="705">
        <v>11449</v>
      </c>
      <c r="N2039" s="705">
        <v>4595</v>
      </c>
      <c r="O2039" s="705">
        <v>1702</v>
      </c>
      <c r="P2039" s="705">
        <v>0</v>
      </c>
      <c r="Q2039" s="705">
        <v>0</v>
      </c>
      <c r="R2039" s="705">
        <v>14846</v>
      </c>
      <c r="S2039" s="705">
        <v>13496</v>
      </c>
      <c r="T2039" s="705">
        <v>5233</v>
      </c>
      <c r="U2039" s="705">
        <v>1938</v>
      </c>
      <c r="V2039" s="705">
        <v>66083</v>
      </c>
      <c r="W2039" s="705">
        <f t="shared" si="84"/>
        <v>66082</v>
      </c>
      <c r="X2039" s="705">
        <f t="shared" si="85"/>
        <v>138510</v>
      </c>
    </row>
    <row r="2040" spans="2:24">
      <c r="B2040" t="s">
        <v>551</v>
      </c>
      <c r="C2040" t="s">
        <v>124</v>
      </c>
      <c r="D2040" t="s">
        <v>228</v>
      </c>
      <c r="E2040" t="s">
        <v>665</v>
      </c>
      <c r="F2040" s="705">
        <v>2</v>
      </c>
      <c r="G2040" s="705">
        <v>186</v>
      </c>
      <c r="H2040" s="705">
        <v>1161</v>
      </c>
      <c r="I2040" s="705">
        <v>83570</v>
      </c>
      <c r="J2040" s="705">
        <v>30952</v>
      </c>
      <c r="K2040" s="705">
        <v>100</v>
      </c>
      <c r="L2040" s="705">
        <v>8048</v>
      </c>
      <c r="M2040" s="705">
        <v>7316</v>
      </c>
      <c r="N2040" s="705">
        <v>4319</v>
      </c>
      <c r="O2040" s="705">
        <v>1600</v>
      </c>
      <c r="P2040" s="705">
        <v>0</v>
      </c>
      <c r="Q2040" s="705">
        <v>0</v>
      </c>
      <c r="R2040" s="705">
        <v>8771</v>
      </c>
      <c r="S2040" s="705">
        <v>7974</v>
      </c>
      <c r="T2040" s="705">
        <v>3779</v>
      </c>
      <c r="U2040" s="705">
        <v>1400</v>
      </c>
      <c r="V2040" s="705">
        <v>49241</v>
      </c>
      <c r="W2040" s="705">
        <f t="shared" si="84"/>
        <v>49242</v>
      </c>
      <c r="X2040" s="705">
        <f t="shared" si="85"/>
        <v>108487</v>
      </c>
    </row>
    <row r="2041" spans="2:24">
      <c r="B2041" t="s">
        <v>551</v>
      </c>
      <c r="C2041" t="s">
        <v>124</v>
      </c>
      <c r="D2041" t="s">
        <v>583</v>
      </c>
      <c r="E2041" t="s">
        <v>228</v>
      </c>
      <c r="F2041" s="705">
        <v>1</v>
      </c>
      <c r="G2041" s="705">
        <v>135</v>
      </c>
      <c r="H2041" s="705">
        <v>466</v>
      </c>
      <c r="I2041" s="705">
        <v>43318</v>
      </c>
      <c r="J2041" s="705">
        <v>39380</v>
      </c>
      <c r="K2041" s="705">
        <v>70</v>
      </c>
      <c r="L2041" s="705">
        <v>10669</v>
      </c>
      <c r="M2041" s="705">
        <v>9699</v>
      </c>
      <c r="N2041" s="705">
        <v>2275</v>
      </c>
      <c r="O2041" s="705">
        <v>842</v>
      </c>
      <c r="P2041" s="705">
        <v>621</v>
      </c>
      <c r="Q2041" s="705">
        <v>230</v>
      </c>
      <c r="R2041" s="705">
        <v>6205</v>
      </c>
      <c r="S2041" s="705">
        <v>2298</v>
      </c>
      <c r="T2041" s="705">
        <v>0</v>
      </c>
      <c r="U2041" s="705">
        <v>0</v>
      </c>
      <c r="V2041" s="705">
        <v>52450</v>
      </c>
      <c r="W2041" s="705">
        <f t="shared" si="84"/>
        <v>52449</v>
      </c>
      <c r="X2041" s="705">
        <f t="shared" si="85"/>
        <v>63088</v>
      </c>
    </row>
    <row r="2042" spans="2:24">
      <c r="B2042" t="s">
        <v>551</v>
      </c>
      <c r="C2042" t="s">
        <v>124</v>
      </c>
      <c r="D2042" t="s">
        <v>583</v>
      </c>
      <c r="E2042" t="s">
        <v>583</v>
      </c>
      <c r="F2042" s="705">
        <v>87</v>
      </c>
      <c r="G2042" s="705">
        <v>7777</v>
      </c>
      <c r="H2042" s="705">
        <v>45741</v>
      </c>
      <c r="I2042" s="705">
        <v>2717456</v>
      </c>
      <c r="J2042" s="705">
        <v>2470414</v>
      </c>
      <c r="K2042" s="705">
        <v>70</v>
      </c>
      <c r="L2042" s="705">
        <v>536588</v>
      </c>
      <c r="M2042" s="705">
        <v>477992</v>
      </c>
      <c r="N2042" s="705">
        <v>172572</v>
      </c>
      <c r="O2042" s="705">
        <v>63916</v>
      </c>
      <c r="P2042" s="705">
        <v>55161</v>
      </c>
      <c r="Q2042" s="705">
        <v>20430</v>
      </c>
      <c r="R2042" s="705">
        <v>401440</v>
      </c>
      <c r="S2042" s="705">
        <v>364946</v>
      </c>
      <c r="T2042" s="705">
        <v>191905</v>
      </c>
      <c r="U2042" s="705">
        <v>71076</v>
      </c>
      <c r="V2042" s="705">
        <v>3468774</v>
      </c>
      <c r="W2042" s="705">
        <f t="shared" si="84"/>
        <v>3468774</v>
      </c>
      <c r="X2042" s="705">
        <f t="shared" si="85"/>
        <v>4075122</v>
      </c>
    </row>
    <row r="2043" spans="2:24">
      <c r="B2043" t="s">
        <v>551</v>
      </c>
      <c r="C2043" t="s">
        <v>124</v>
      </c>
      <c r="D2043" t="s">
        <v>583</v>
      </c>
      <c r="E2043" t="s">
        <v>665</v>
      </c>
      <c r="F2043" s="705">
        <v>1</v>
      </c>
      <c r="G2043" s="705">
        <v>131</v>
      </c>
      <c r="H2043" s="705">
        <v>515</v>
      </c>
      <c r="I2043" s="705">
        <v>51803</v>
      </c>
      <c r="J2043" s="705">
        <v>47094</v>
      </c>
      <c r="K2043" s="705">
        <v>65</v>
      </c>
      <c r="L2043" s="705">
        <v>5473</v>
      </c>
      <c r="M2043" s="705">
        <v>4975</v>
      </c>
      <c r="N2043" s="705">
        <v>2908</v>
      </c>
      <c r="O2043" s="705">
        <v>1077</v>
      </c>
      <c r="P2043" s="705">
        <v>621</v>
      </c>
      <c r="Q2043" s="705">
        <v>230</v>
      </c>
      <c r="R2043" s="705">
        <v>4388</v>
      </c>
      <c r="S2043" s="705">
        <v>3989</v>
      </c>
      <c r="T2043" s="705">
        <v>2361</v>
      </c>
      <c r="U2043" s="705">
        <v>874</v>
      </c>
      <c r="V2043" s="705">
        <v>58239</v>
      </c>
      <c r="W2043" s="705">
        <f t="shared" si="84"/>
        <v>58239</v>
      </c>
      <c r="X2043" s="705">
        <f t="shared" si="85"/>
        <v>67554</v>
      </c>
    </row>
    <row r="2044" spans="2:24">
      <c r="B2044" t="s">
        <v>551</v>
      </c>
      <c r="C2044" t="s">
        <v>124</v>
      </c>
      <c r="D2044" t="s">
        <v>666</v>
      </c>
      <c r="E2044" t="s">
        <v>228</v>
      </c>
      <c r="F2044" s="705">
        <v>1</v>
      </c>
      <c r="G2044" s="705">
        <v>60</v>
      </c>
      <c r="H2044" s="705">
        <v>1530</v>
      </c>
      <c r="I2044" s="705">
        <v>79618</v>
      </c>
      <c r="J2044" s="705">
        <v>72380</v>
      </c>
      <c r="K2044" s="705">
        <v>30</v>
      </c>
      <c r="L2044" s="705">
        <v>6514</v>
      </c>
      <c r="M2044" s="705">
        <v>2413</v>
      </c>
      <c r="N2044" s="705">
        <v>1328</v>
      </c>
      <c r="O2044" s="705">
        <v>492</v>
      </c>
      <c r="P2044" s="705">
        <v>0</v>
      </c>
      <c r="Q2044" s="705">
        <v>0</v>
      </c>
      <c r="R2044" s="705">
        <v>3705</v>
      </c>
      <c r="S2044" s="705">
        <v>1372</v>
      </c>
      <c r="T2044" s="705">
        <v>0</v>
      </c>
      <c r="U2044" s="705">
        <v>0</v>
      </c>
      <c r="V2044" s="705">
        <v>76656</v>
      </c>
      <c r="W2044" s="705">
        <f t="shared" si="84"/>
        <v>76657</v>
      </c>
      <c r="X2044" s="705">
        <f t="shared" si="85"/>
        <v>91165</v>
      </c>
    </row>
    <row r="2045" spans="2:24">
      <c r="B2045" t="s">
        <v>551</v>
      </c>
      <c r="C2045" t="s">
        <v>124</v>
      </c>
      <c r="D2045" t="s">
        <v>666</v>
      </c>
      <c r="E2045" t="s">
        <v>666</v>
      </c>
      <c r="F2045" s="705">
        <v>17</v>
      </c>
      <c r="G2045" s="705">
        <v>917</v>
      </c>
      <c r="H2045" s="705">
        <v>10527</v>
      </c>
      <c r="I2045" s="705">
        <v>362825</v>
      </c>
      <c r="J2045" s="705">
        <v>329841</v>
      </c>
      <c r="K2045" s="705">
        <v>53</v>
      </c>
      <c r="L2045" s="705">
        <v>67709</v>
      </c>
      <c r="M2045" s="705">
        <v>40267</v>
      </c>
      <c r="N2045" s="705">
        <v>20401</v>
      </c>
      <c r="O2045" s="705">
        <v>7556</v>
      </c>
      <c r="P2045" s="705">
        <v>5265</v>
      </c>
      <c r="Q2045" s="705">
        <v>1950</v>
      </c>
      <c r="R2045" s="705">
        <v>95182</v>
      </c>
      <c r="S2045" s="705">
        <v>86529</v>
      </c>
      <c r="T2045" s="705">
        <v>34464</v>
      </c>
      <c r="U2045" s="705">
        <v>12765</v>
      </c>
      <c r="V2045" s="705">
        <v>478907</v>
      </c>
      <c r="W2045" s="705">
        <f t="shared" si="84"/>
        <v>478908</v>
      </c>
      <c r="X2045" s="705">
        <f t="shared" si="85"/>
        <v>585846</v>
      </c>
    </row>
    <row r="2046" spans="2:24">
      <c r="B2046" t="s">
        <v>551</v>
      </c>
      <c r="C2046" t="s">
        <v>124</v>
      </c>
      <c r="D2046" t="s">
        <v>584</v>
      </c>
      <c r="E2046" t="s">
        <v>228</v>
      </c>
      <c r="F2046" s="705">
        <v>1</v>
      </c>
      <c r="G2046" s="705">
        <v>77</v>
      </c>
      <c r="H2046" s="705">
        <v>754</v>
      </c>
      <c r="I2046" s="705">
        <v>26174</v>
      </c>
      <c r="J2046" s="705">
        <v>23795</v>
      </c>
      <c r="K2046" s="705">
        <v>65</v>
      </c>
      <c r="L2046" s="705">
        <v>2995</v>
      </c>
      <c r="M2046" s="705">
        <v>2723</v>
      </c>
      <c r="N2046" s="705">
        <v>1774</v>
      </c>
      <c r="O2046" s="705">
        <v>657</v>
      </c>
      <c r="P2046" s="705">
        <v>473</v>
      </c>
      <c r="Q2046" s="705">
        <v>175</v>
      </c>
      <c r="R2046" s="705">
        <v>26697</v>
      </c>
      <c r="S2046" s="705">
        <v>9888</v>
      </c>
      <c r="T2046" s="705">
        <v>0</v>
      </c>
      <c r="U2046" s="705">
        <v>0</v>
      </c>
      <c r="V2046" s="705">
        <v>37237</v>
      </c>
      <c r="W2046" s="705">
        <f t="shared" si="84"/>
        <v>37238</v>
      </c>
      <c r="X2046" s="705">
        <f t="shared" si="85"/>
        <v>58113</v>
      </c>
    </row>
    <row r="2047" spans="2:24">
      <c r="B2047" t="s">
        <v>551</v>
      </c>
      <c r="C2047" t="s">
        <v>124</v>
      </c>
      <c r="D2047" t="s">
        <v>584</v>
      </c>
      <c r="E2047" t="s">
        <v>584</v>
      </c>
      <c r="F2047" s="705">
        <v>2</v>
      </c>
      <c r="G2047" s="705">
        <v>160</v>
      </c>
      <c r="H2047" s="705">
        <v>1223</v>
      </c>
      <c r="I2047" s="705">
        <v>64047</v>
      </c>
      <c r="J2047" s="705">
        <v>58224</v>
      </c>
      <c r="K2047" s="705">
        <v>76</v>
      </c>
      <c r="L2047" s="705">
        <v>12377</v>
      </c>
      <c r="M2047" s="705">
        <v>11252</v>
      </c>
      <c r="N2047" s="705">
        <v>3693</v>
      </c>
      <c r="O2047" s="705">
        <v>1368</v>
      </c>
      <c r="P2047" s="705">
        <v>945</v>
      </c>
      <c r="Q2047" s="705">
        <v>350</v>
      </c>
      <c r="R2047" s="705">
        <v>9389</v>
      </c>
      <c r="S2047" s="705">
        <v>8536</v>
      </c>
      <c r="T2047" s="705">
        <v>6107</v>
      </c>
      <c r="U2047" s="705">
        <v>2262</v>
      </c>
      <c r="V2047" s="705">
        <v>81992</v>
      </c>
      <c r="W2047" s="705">
        <f t="shared" si="84"/>
        <v>81992</v>
      </c>
      <c r="X2047" s="705">
        <f t="shared" si="85"/>
        <v>96558</v>
      </c>
    </row>
    <row r="2048" spans="2:24">
      <c r="B2048" t="s">
        <v>551</v>
      </c>
      <c r="C2048" t="s">
        <v>124</v>
      </c>
      <c r="D2048" t="s">
        <v>669</v>
      </c>
      <c r="E2048" t="s">
        <v>669</v>
      </c>
      <c r="F2048" s="705">
        <v>1</v>
      </c>
      <c r="G2048" s="705">
        <v>99</v>
      </c>
      <c r="H2048" s="705">
        <v>739</v>
      </c>
      <c r="I2048" s="705">
        <v>50749</v>
      </c>
      <c r="J2048" s="705">
        <v>42291</v>
      </c>
      <c r="K2048" s="705">
        <v>55</v>
      </c>
      <c r="L2048" s="705">
        <v>10338</v>
      </c>
      <c r="M2048" s="705">
        <v>8615</v>
      </c>
      <c r="N2048" s="705">
        <v>2115</v>
      </c>
      <c r="O2048" s="705">
        <v>783</v>
      </c>
      <c r="P2048" s="705">
        <v>0</v>
      </c>
      <c r="Q2048" s="705">
        <v>0</v>
      </c>
      <c r="R2048" s="705">
        <v>6919</v>
      </c>
      <c r="S2048" s="705">
        <v>5766</v>
      </c>
      <c r="T2048" s="705">
        <v>3130</v>
      </c>
      <c r="U2048" s="705">
        <v>1159</v>
      </c>
      <c r="V2048" s="705">
        <v>58614</v>
      </c>
      <c r="W2048" s="705">
        <f t="shared" si="84"/>
        <v>58614</v>
      </c>
      <c r="X2048" s="705">
        <f t="shared" si="85"/>
        <v>73251</v>
      </c>
    </row>
    <row r="2049" spans="2:24">
      <c r="B2049" t="s">
        <v>551</v>
      </c>
      <c r="C2049" t="s">
        <v>124</v>
      </c>
      <c r="D2049" t="s">
        <v>665</v>
      </c>
      <c r="E2049" t="s">
        <v>228</v>
      </c>
      <c r="F2049" s="705">
        <v>4</v>
      </c>
      <c r="G2049" s="705">
        <v>286</v>
      </c>
      <c r="H2049" s="705">
        <v>3664</v>
      </c>
      <c r="I2049" s="705">
        <v>216926</v>
      </c>
      <c r="J2049" s="705">
        <v>197206</v>
      </c>
      <c r="K2049" s="705">
        <v>30</v>
      </c>
      <c r="L2049" s="705">
        <v>17749</v>
      </c>
      <c r="M2049" s="705">
        <v>6574</v>
      </c>
      <c r="N2049" s="705">
        <v>6614</v>
      </c>
      <c r="O2049" s="705">
        <v>2450</v>
      </c>
      <c r="P2049" s="705">
        <v>0</v>
      </c>
      <c r="Q2049" s="705">
        <v>0</v>
      </c>
      <c r="R2049" s="705">
        <v>22093</v>
      </c>
      <c r="S2049" s="705">
        <v>8183</v>
      </c>
      <c r="T2049" s="705">
        <v>0</v>
      </c>
      <c r="U2049" s="705">
        <v>0</v>
      </c>
      <c r="V2049" s="705">
        <v>214412</v>
      </c>
      <c r="W2049" s="705">
        <f t="shared" si="84"/>
        <v>214413</v>
      </c>
      <c r="X2049" s="705">
        <f t="shared" si="85"/>
        <v>263382</v>
      </c>
    </row>
    <row r="2050" spans="2:24">
      <c r="B2050" t="s">
        <v>551</v>
      </c>
      <c r="C2050" t="s">
        <v>124</v>
      </c>
      <c r="D2050" t="s">
        <v>665</v>
      </c>
      <c r="E2050" t="s">
        <v>583</v>
      </c>
      <c r="F2050" s="705">
        <v>1</v>
      </c>
      <c r="G2050" s="705">
        <v>132</v>
      </c>
      <c r="H2050" s="705">
        <v>807</v>
      </c>
      <c r="I2050" s="705">
        <v>91397</v>
      </c>
      <c r="J2050" s="705">
        <v>83089</v>
      </c>
      <c r="K2050" s="705">
        <v>30</v>
      </c>
      <c r="L2050" s="705">
        <v>5078</v>
      </c>
      <c r="M2050" s="705">
        <v>4616</v>
      </c>
      <c r="N2050" s="705">
        <v>3094</v>
      </c>
      <c r="O2050" s="705">
        <v>1146</v>
      </c>
      <c r="P2050" s="705">
        <v>0</v>
      </c>
      <c r="Q2050" s="705">
        <v>0</v>
      </c>
      <c r="R2050" s="705">
        <v>4772</v>
      </c>
      <c r="S2050" s="705">
        <v>4338</v>
      </c>
      <c r="T2050" s="705">
        <v>2374</v>
      </c>
      <c r="U2050" s="705">
        <v>879</v>
      </c>
      <c r="V2050" s="705">
        <v>94068</v>
      </c>
      <c r="W2050" s="705">
        <f t="shared" si="84"/>
        <v>94068</v>
      </c>
      <c r="X2050" s="705">
        <f t="shared" si="85"/>
        <v>106715</v>
      </c>
    </row>
    <row r="2051" spans="2:24">
      <c r="B2051" t="s">
        <v>551</v>
      </c>
      <c r="C2051" t="s">
        <v>124</v>
      </c>
      <c r="D2051" t="s">
        <v>665</v>
      </c>
      <c r="E2051" t="s">
        <v>665</v>
      </c>
      <c r="F2051" s="705">
        <v>16</v>
      </c>
      <c r="G2051" s="705">
        <v>1368</v>
      </c>
      <c r="H2051" s="705">
        <v>9695</v>
      </c>
      <c r="I2051" s="705">
        <v>600254</v>
      </c>
      <c r="J2051" s="705">
        <v>545686</v>
      </c>
      <c r="K2051" s="705">
        <v>51</v>
      </c>
      <c r="L2051" s="705">
        <v>72490</v>
      </c>
      <c r="M2051" s="705">
        <v>47471</v>
      </c>
      <c r="N2051" s="705">
        <v>31116</v>
      </c>
      <c r="O2051" s="705">
        <v>11525</v>
      </c>
      <c r="P2051" s="705">
        <v>5103</v>
      </c>
      <c r="Q2051" s="705">
        <v>1890</v>
      </c>
      <c r="R2051" s="705">
        <v>87183</v>
      </c>
      <c r="S2051" s="705">
        <v>79258</v>
      </c>
      <c r="T2051" s="705">
        <v>38603</v>
      </c>
      <c r="U2051" s="705">
        <v>14297</v>
      </c>
      <c r="V2051" s="705">
        <v>700126</v>
      </c>
      <c r="W2051" s="705">
        <f t="shared" si="84"/>
        <v>700127</v>
      </c>
      <c r="X2051" s="705">
        <f t="shared" si="85"/>
        <v>834749</v>
      </c>
    </row>
    <row r="2052" spans="2:24">
      <c r="B2052" t="s">
        <v>552</v>
      </c>
      <c r="C2052" t="s">
        <v>108</v>
      </c>
      <c r="D2052" t="s">
        <v>228</v>
      </c>
      <c r="E2052" t="s">
        <v>228</v>
      </c>
      <c r="F2052" s="705">
        <v>34</v>
      </c>
      <c r="G2052" s="705">
        <v>3347</v>
      </c>
      <c r="H2052" s="705">
        <v>1838</v>
      </c>
      <c r="I2052" s="705">
        <v>-13890</v>
      </c>
      <c r="J2052" s="705">
        <v>-5144</v>
      </c>
      <c r="K2052" s="705">
        <v>477</v>
      </c>
      <c r="L2052" s="705">
        <v>-2821</v>
      </c>
      <c r="M2052" s="705">
        <v>-2573</v>
      </c>
      <c r="N2052" s="705">
        <v>46471</v>
      </c>
      <c r="O2052" s="705">
        <v>17212</v>
      </c>
      <c r="P2052" s="705">
        <v>29132</v>
      </c>
      <c r="Q2052" s="705">
        <v>10790</v>
      </c>
      <c r="R2052" s="705">
        <v>128478</v>
      </c>
      <c r="S2052" s="705">
        <v>47584</v>
      </c>
      <c r="T2052" s="705">
        <v>0</v>
      </c>
      <c r="U2052" s="705">
        <v>0</v>
      </c>
      <c r="V2052" s="705">
        <v>67869</v>
      </c>
      <c r="W2052" s="705">
        <f t="shared" si="84"/>
        <v>83303</v>
      </c>
      <c r="X2052" s="705">
        <f t="shared" si="85"/>
        <v>220792</v>
      </c>
    </row>
    <row r="2053" spans="2:24">
      <c r="B2053" t="s">
        <v>552</v>
      </c>
      <c r="C2053" t="s">
        <v>108</v>
      </c>
      <c r="D2053" t="s">
        <v>583</v>
      </c>
      <c r="E2053" t="s">
        <v>583</v>
      </c>
      <c r="F2053" s="705">
        <v>36</v>
      </c>
      <c r="G2053" s="705">
        <v>3226</v>
      </c>
      <c r="H2053" s="705">
        <v>2470</v>
      </c>
      <c r="I2053" s="705">
        <v>58355</v>
      </c>
      <c r="J2053" s="705">
        <v>53050</v>
      </c>
      <c r="K2053" s="705">
        <v>94</v>
      </c>
      <c r="L2053" s="705">
        <v>7422</v>
      </c>
      <c r="M2053" s="705">
        <v>6021</v>
      </c>
      <c r="N2053" s="705">
        <v>40586</v>
      </c>
      <c r="O2053" s="705">
        <v>15032</v>
      </c>
      <c r="P2053" s="705">
        <v>41078</v>
      </c>
      <c r="Q2053" s="705">
        <v>15214</v>
      </c>
      <c r="R2053" s="705">
        <v>73011</v>
      </c>
      <c r="S2053" s="705">
        <v>66373</v>
      </c>
      <c r="T2053" s="705">
        <v>0</v>
      </c>
      <c r="U2053" s="705">
        <v>0</v>
      </c>
      <c r="V2053" s="705">
        <v>155690</v>
      </c>
      <c r="W2053" s="705">
        <f t="shared" si="84"/>
        <v>155690</v>
      </c>
      <c r="X2053" s="705">
        <f t="shared" si="85"/>
        <v>220452</v>
      </c>
    </row>
    <row r="2054" spans="2:24">
      <c r="B2054" t="s">
        <v>552</v>
      </c>
      <c r="C2054" t="s">
        <v>108</v>
      </c>
      <c r="D2054" t="s">
        <v>668</v>
      </c>
      <c r="E2054" t="s">
        <v>668</v>
      </c>
      <c r="F2054" s="705">
        <v>1</v>
      </c>
      <c r="G2054" s="705">
        <v>115</v>
      </c>
      <c r="H2054" s="705">
        <v>73</v>
      </c>
      <c r="I2054" s="705">
        <v>2754</v>
      </c>
      <c r="J2054" s="705">
        <v>2504</v>
      </c>
      <c r="K2054" s="705">
        <v>82</v>
      </c>
      <c r="L2054" s="705">
        <v>0</v>
      </c>
      <c r="M2054" s="705">
        <v>0</v>
      </c>
      <c r="N2054" s="705">
        <v>1404</v>
      </c>
      <c r="O2054" s="705">
        <v>520</v>
      </c>
      <c r="P2054" s="705">
        <v>1865</v>
      </c>
      <c r="Q2054" s="705">
        <v>691</v>
      </c>
      <c r="R2054" s="705">
        <v>2332</v>
      </c>
      <c r="S2054" s="705">
        <v>2120</v>
      </c>
      <c r="T2054" s="705">
        <v>0</v>
      </c>
      <c r="U2054" s="705">
        <v>0</v>
      </c>
      <c r="V2054" s="705">
        <v>5835</v>
      </c>
      <c r="W2054" s="705">
        <f t="shared" si="84"/>
        <v>5835</v>
      </c>
      <c r="X2054" s="705">
        <f t="shared" si="85"/>
        <v>8355</v>
      </c>
    </row>
    <row r="2055" spans="2:24">
      <c r="B2055" t="s">
        <v>552</v>
      </c>
      <c r="C2055" t="s">
        <v>110</v>
      </c>
      <c r="F2055" s="705">
        <v>12</v>
      </c>
      <c r="G2055" s="705">
        <v>787</v>
      </c>
      <c r="H2055" s="705">
        <v>1155</v>
      </c>
      <c r="I2055" s="705"/>
      <c r="J2055" s="705">
        <v>0</v>
      </c>
      <c r="K2055" s="705"/>
      <c r="L2055" s="705"/>
      <c r="M2055" s="705">
        <v>0</v>
      </c>
      <c r="N2055" s="705">
        <v>16457</v>
      </c>
      <c r="O2055" s="705">
        <v>6095</v>
      </c>
      <c r="P2055" s="705">
        <v>0</v>
      </c>
      <c r="Q2055" s="705">
        <v>0</v>
      </c>
      <c r="R2055" s="705"/>
      <c r="S2055" s="705">
        <v>0</v>
      </c>
      <c r="T2055" s="705">
        <v>0</v>
      </c>
      <c r="U2055" s="705">
        <v>0</v>
      </c>
      <c r="V2055" s="705">
        <v>6095</v>
      </c>
      <c r="W2055" s="705">
        <f t="shared" si="84"/>
        <v>6095</v>
      </c>
      <c r="X2055" s="705">
        <f t="shared" si="85"/>
        <v>16457</v>
      </c>
    </row>
    <row r="2056" spans="2:24">
      <c r="B2056" t="s">
        <v>552</v>
      </c>
      <c r="C2056" t="s">
        <v>110</v>
      </c>
      <c r="D2056" t="s">
        <v>583</v>
      </c>
      <c r="E2056" t="s">
        <v>583</v>
      </c>
      <c r="F2056" s="705">
        <v>2</v>
      </c>
      <c r="G2056" s="705">
        <v>198</v>
      </c>
      <c r="H2056" s="705">
        <v>187</v>
      </c>
      <c r="I2056" s="705">
        <v>8857</v>
      </c>
      <c r="J2056" s="705">
        <v>8051</v>
      </c>
      <c r="K2056" s="705">
        <v>92</v>
      </c>
      <c r="L2056" s="705">
        <v>1515</v>
      </c>
      <c r="M2056" s="705">
        <v>1378</v>
      </c>
      <c r="N2056" s="705">
        <v>2412</v>
      </c>
      <c r="O2056" s="705">
        <v>893</v>
      </c>
      <c r="P2056" s="705">
        <v>1242</v>
      </c>
      <c r="Q2056" s="705">
        <v>460</v>
      </c>
      <c r="R2056" s="705">
        <v>4434</v>
      </c>
      <c r="S2056" s="705">
        <v>4031</v>
      </c>
      <c r="T2056" s="705">
        <v>0</v>
      </c>
      <c r="U2056" s="705">
        <v>0</v>
      </c>
      <c r="V2056" s="705">
        <v>14813</v>
      </c>
      <c r="W2056" s="705">
        <f t="shared" si="84"/>
        <v>14813</v>
      </c>
      <c r="X2056" s="705">
        <f t="shared" si="85"/>
        <v>18460</v>
      </c>
    </row>
    <row r="2057" spans="2:24">
      <c r="B2057" t="s">
        <v>552</v>
      </c>
      <c r="C2057" t="s">
        <v>110</v>
      </c>
      <c r="D2057" t="s">
        <v>584</v>
      </c>
      <c r="E2057" t="s">
        <v>584</v>
      </c>
      <c r="F2057" s="705">
        <v>4</v>
      </c>
      <c r="G2057" s="705">
        <v>441</v>
      </c>
      <c r="H2057" s="705">
        <v>378</v>
      </c>
      <c r="I2057" s="705">
        <v>15882</v>
      </c>
      <c r="J2057" s="705">
        <v>14438</v>
      </c>
      <c r="K2057" s="705">
        <v>90</v>
      </c>
      <c r="L2057" s="705">
        <v>2747</v>
      </c>
      <c r="M2057" s="705">
        <v>2498</v>
      </c>
      <c r="N2057" s="705">
        <v>5376</v>
      </c>
      <c r="O2057" s="705">
        <v>1991</v>
      </c>
      <c r="P2057" s="705">
        <v>1890</v>
      </c>
      <c r="Q2057" s="705">
        <v>700</v>
      </c>
      <c r="R2057" s="705">
        <v>15736</v>
      </c>
      <c r="S2057" s="705">
        <v>14305</v>
      </c>
      <c r="T2057" s="705">
        <v>0</v>
      </c>
      <c r="U2057" s="705">
        <v>0</v>
      </c>
      <c r="V2057" s="705">
        <v>33932</v>
      </c>
      <c r="W2057" s="705">
        <f t="shared" si="84"/>
        <v>33932</v>
      </c>
      <c r="X2057" s="705">
        <f t="shared" si="85"/>
        <v>41631</v>
      </c>
    </row>
    <row r="2058" spans="2:24">
      <c r="B2058" t="s">
        <v>552</v>
      </c>
      <c r="C2058" t="s">
        <v>110</v>
      </c>
      <c r="D2058" t="s">
        <v>668</v>
      </c>
      <c r="E2058" t="s">
        <v>668</v>
      </c>
      <c r="F2058" s="705">
        <v>1</v>
      </c>
      <c r="G2058" s="705">
        <v>114</v>
      </c>
      <c r="H2058" s="705">
        <v>90</v>
      </c>
      <c r="I2058" s="705">
        <v>3983</v>
      </c>
      <c r="J2058" s="705">
        <v>3621</v>
      </c>
      <c r="K2058" s="705">
        <v>80</v>
      </c>
      <c r="L2058" s="705">
        <v>0</v>
      </c>
      <c r="M2058" s="705">
        <v>0</v>
      </c>
      <c r="N2058" s="705">
        <v>1384</v>
      </c>
      <c r="O2058" s="705">
        <v>513</v>
      </c>
      <c r="P2058" s="705">
        <v>1847</v>
      </c>
      <c r="Q2058" s="705">
        <v>684</v>
      </c>
      <c r="R2058" s="705">
        <v>2977</v>
      </c>
      <c r="S2058" s="705">
        <v>2707</v>
      </c>
      <c r="T2058" s="705">
        <v>0</v>
      </c>
      <c r="U2058" s="705">
        <v>0</v>
      </c>
      <c r="V2058" s="705">
        <v>7524</v>
      </c>
      <c r="W2058" s="705">
        <f t="shared" si="84"/>
        <v>7525</v>
      </c>
      <c r="X2058" s="705">
        <f t="shared" si="85"/>
        <v>10191</v>
      </c>
    </row>
    <row r="2059" spans="2:24">
      <c r="B2059" t="s">
        <v>552</v>
      </c>
      <c r="C2059" t="s">
        <v>112</v>
      </c>
      <c r="F2059" s="705">
        <v>4</v>
      </c>
      <c r="G2059" s="705">
        <v>262</v>
      </c>
      <c r="H2059" s="705">
        <v>407</v>
      </c>
      <c r="I2059" s="705"/>
      <c r="J2059" s="705">
        <v>0</v>
      </c>
      <c r="K2059" s="705"/>
      <c r="L2059" s="705"/>
      <c r="M2059" s="705">
        <v>0</v>
      </c>
      <c r="N2059" s="705">
        <v>5491</v>
      </c>
      <c r="O2059" s="705">
        <v>2034</v>
      </c>
      <c r="P2059" s="705">
        <v>0</v>
      </c>
      <c r="Q2059" s="705">
        <v>0</v>
      </c>
      <c r="R2059" s="705"/>
      <c r="S2059" s="705">
        <v>0</v>
      </c>
      <c r="T2059" s="705">
        <v>0</v>
      </c>
      <c r="U2059" s="705">
        <v>0</v>
      </c>
      <c r="V2059" s="705">
        <v>2034</v>
      </c>
      <c r="W2059" s="705">
        <f t="shared" si="84"/>
        <v>2034</v>
      </c>
      <c r="X2059" s="705">
        <f t="shared" si="85"/>
        <v>5491</v>
      </c>
    </row>
    <row r="2060" spans="2:24">
      <c r="B2060" t="s">
        <v>552</v>
      </c>
      <c r="C2060" t="s">
        <v>112</v>
      </c>
      <c r="D2060" t="s">
        <v>228</v>
      </c>
      <c r="E2060" t="s">
        <v>228</v>
      </c>
      <c r="F2060" s="705">
        <v>24</v>
      </c>
      <c r="G2060" s="705">
        <v>2384</v>
      </c>
      <c r="H2060" s="705">
        <v>2808</v>
      </c>
      <c r="I2060" s="705">
        <v>106560</v>
      </c>
      <c r="J2060" s="705">
        <v>39467</v>
      </c>
      <c r="K2060" s="705">
        <v>297</v>
      </c>
      <c r="L2060" s="705">
        <v>20677</v>
      </c>
      <c r="M2060" s="705">
        <v>18797</v>
      </c>
      <c r="N2060" s="705">
        <v>32174</v>
      </c>
      <c r="O2060" s="705">
        <v>11916</v>
      </c>
      <c r="P2060" s="705">
        <v>15629</v>
      </c>
      <c r="Q2060" s="705">
        <v>5789</v>
      </c>
      <c r="R2060" s="705">
        <v>101784</v>
      </c>
      <c r="S2060" s="705">
        <v>37698</v>
      </c>
      <c r="T2060" s="705">
        <v>0</v>
      </c>
      <c r="U2060" s="705">
        <v>0</v>
      </c>
      <c r="V2060" s="705">
        <v>113667</v>
      </c>
      <c r="W2060" s="705">
        <f t="shared" si="84"/>
        <v>113667</v>
      </c>
      <c r="X2060" s="705">
        <f t="shared" si="85"/>
        <v>276824</v>
      </c>
    </row>
    <row r="2061" spans="2:24">
      <c r="B2061" t="s">
        <v>552</v>
      </c>
      <c r="C2061" t="s">
        <v>112</v>
      </c>
      <c r="D2061" t="s">
        <v>583</v>
      </c>
      <c r="E2061" t="s">
        <v>583</v>
      </c>
      <c r="F2061" s="705">
        <v>28</v>
      </c>
      <c r="G2061" s="705">
        <v>2899</v>
      </c>
      <c r="H2061" s="705">
        <v>3296</v>
      </c>
      <c r="I2061" s="705">
        <v>148031</v>
      </c>
      <c r="J2061" s="705">
        <v>134573</v>
      </c>
      <c r="K2061" s="705">
        <v>93</v>
      </c>
      <c r="L2061" s="705">
        <v>32018</v>
      </c>
      <c r="M2061" s="705">
        <v>29107</v>
      </c>
      <c r="N2061" s="705">
        <v>41382</v>
      </c>
      <c r="O2061" s="705">
        <v>15327</v>
      </c>
      <c r="P2061" s="705">
        <v>17739</v>
      </c>
      <c r="Q2061" s="705">
        <v>6570</v>
      </c>
      <c r="R2061" s="705">
        <v>101693</v>
      </c>
      <c r="S2061" s="705">
        <v>92448</v>
      </c>
      <c r="T2061" s="705">
        <v>0</v>
      </c>
      <c r="U2061" s="705">
        <v>0</v>
      </c>
      <c r="V2061" s="705">
        <v>278026</v>
      </c>
      <c r="W2061" s="705">
        <f t="shared" si="84"/>
        <v>278025</v>
      </c>
      <c r="X2061" s="705">
        <f t="shared" si="85"/>
        <v>340863</v>
      </c>
    </row>
    <row r="2062" spans="2:24">
      <c r="B2062" t="s">
        <v>552</v>
      </c>
      <c r="C2062" t="s">
        <v>112</v>
      </c>
      <c r="D2062" t="s">
        <v>584</v>
      </c>
      <c r="E2062" t="s">
        <v>584</v>
      </c>
      <c r="F2062" s="705">
        <v>18</v>
      </c>
      <c r="G2062" s="705">
        <v>2096</v>
      </c>
      <c r="H2062" s="705">
        <v>2183</v>
      </c>
      <c r="I2062" s="705">
        <v>127849</v>
      </c>
      <c r="J2062" s="705">
        <v>116226</v>
      </c>
      <c r="K2062" s="705">
        <v>91</v>
      </c>
      <c r="L2062" s="705">
        <v>14699</v>
      </c>
      <c r="M2062" s="705">
        <v>13363</v>
      </c>
      <c r="N2062" s="705">
        <v>29497</v>
      </c>
      <c r="O2062" s="705">
        <v>10925</v>
      </c>
      <c r="P2062" s="705">
        <v>8033</v>
      </c>
      <c r="Q2062" s="705">
        <v>2975</v>
      </c>
      <c r="R2062" s="705">
        <v>74193</v>
      </c>
      <c r="S2062" s="705">
        <v>67449</v>
      </c>
      <c r="T2062" s="705">
        <v>0</v>
      </c>
      <c r="U2062" s="705">
        <v>0</v>
      </c>
      <c r="V2062" s="705">
        <v>210938</v>
      </c>
      <c r="W2062" s="705">
        <f t="shared" si="84"/>
        <v>210938</v>
      </c>
      <c r="X2062" s="705">
        <f t="shared" si="85"/>
        <v>254271</v>
      </c>
    </row>
    <row r="2063" spans="2:24">
      <c r="B2063" t="s">
        <v>552</v>
      </c>
      <c r="C2063" t="s">
        <v>114</v>
      </c>
      <c r="F2063" s="705">
        <v>5</v>
      </c>
      <c r="G2063" s="705">
        <v>274</v>
      </c>
      <c r="H2063" s="705">
        <v>691</v>
      </c>
      <c r="I2063" s="705"/>
      <c r="J2063" s="705">
        <v>0</v>
      </c>
      <c r="K2063" s="705"/>
      <c r="L2063" s="705"/>
      <c r="M2063" s="705">
        <v>0</v>
      </c>
      <c r="N2063" s="705">
        <v>3942</v>
      </c>
      <c r="O2063" s="705">
        <v>1460</v>
      </c>
      <c r="P2063" s="705">
        <v>1755</v>
      </c>
      <c r="Q2063" s="705">
        <v>650</v>
      </c>
      <c r="R2063" s="705"/>
      <c r="S2063" s="705">
        <v>0</v>
      </c>
      <c r="T2063" s="705">
        <v>1498</v>
      </c>
      <c r="U2063" s="705">
        <v>555</v>
      </c>
      <c r="V2063" s="705">
        <v>2665</v>
      </c>
      <c r="W2063" s="705">
        <f t="shared" si="84"/>
        <v>2665</v>
      </c>
      <c r="X2063" s="705">
        <f t="shared" si="85"/>
        <v>7195</v>
      </c>
    </row>
    <row r="2064" spans="2:24">
      <c r="B2064" t="s">
        <v>552</v>
      </c>
      <c r="C2064" t="s">
        <v>114</v>
      </c>
      <c r="D2064" t="s">
        <v>582</v>
      </c>
      <c r="E2064" t="s">
        <v>582</v>
      </c>
      <c r="F2064" s="705">
        <v>4</v>
      </c>
      <c r="G2064" s="705">
        <v>537</v>
      </c>
      <c r="H2064" s="705">
        <v>568</v>
      </c>
      <c r="I2064" s="705">
        <v>41810</v>
      </c>
      <c r="J2064" s="705">
        <v>38009</v>
      </c>
      <c r="K2064" s="705">
        <v>90</v>
      </c>
      <c r="L2064" s="705">
        <v>9575</v>
      </c>
      <c r="M2064" s="705">
        <v>8705</v>
      </c>
      <c r="N2064" s="705">
        <v>10796</v>
      </c>
      <c r="O2064" s="705">
        <v>3998</v>
      </c>
      <c r="P2064" s="705">
        <v>1769</v>
      </c>
      <c r="Q2064" s="705">
        <v>655</v>
      </c>
      <c r="R2064" s="705">
        <v>15499</v>
      </c>
      <c r="S2064" s="705">
        <v>14090</v>
      </c>
      <c r="T2064" s="705">
        <v>0</v>
      </c>
      <c r="U2064" s="705">
        <v>0</v>
      </c>
      <c r="V2064" s="705">
        <v>65457</v>
      </c>
      <c r="W2064" s="705">
        <f t="shared" si="84"/>
        <v>65457</v>
      </c>
      <c r="X2064" s="705">
        <f t="shared" si="85"/>
        <v>79449</v>
      </c>
    </row>
    <row r="2065" spans="2:24">
      <c r="B2065" t="s">
        <v>552</v>
      </c>
      <c r="C2065" t="s">
        <v>114</v>
      </c>
      <c r="D2065" t="s">
        <v>228</v>
      </c>
      <c r="E2065" t="s">
        <v>228</v>
      </c>
      <c r="F2065" s="705">
        <v>5</v>
      </c>
      <c r="G2065" s="705">
        <v>415</v>
      </c>
      <c r="H2065" s="705">
        <v>668</v>
      </c>
      <c r="I2065" s="705">
        <v>23055</v>
      </c>
      <c r="J2065" s="705">
        <v>8539</v>
      </c>
      <c r="K2065" s="705">
        <v>336</v>
      </c>
      <c r="L2065" s="705">
        <v>6790</v>
      </c>
      <c r="M2065" s="705">
        <v>5937</v>
      </c>
      <c r="N2065" s="705">
        <v>6177</v>
      </c>
      <c r="O2065" s="705">
        <v>2288</v>
      </c>
      <c r="P2065" s="705">
        <v>2596</v>
      </c>
      <c r="Q2065" s="705">
        <v>961</v>
      </c>
      <c r="R2065" s="705">
        <v>16964</v>
      </c>
      <c r="S2065" s="705">
        <v>6283</v>
      </c>
      <c r="T2065" s="705">
        <v>0</v>
      </c>
      <c r="U2065" s="705">
        <v>0</v>
      </c>
      <c r="V2065" s="705">
        <v>24008</v>
      </c>
      <c r="W2065" s="705">
        <f t="shared" si="84"/>
        <v>24008</v>
      </c>
      <c r="X2065" s="705">
        <f t="shared" si="85"/>
        <v>55582</v>
      </c>
    </row>
    <row r="2066" spans="2:24">
      <c r="B2066" t="s">
        <v>552</v>
      </c>
      <c r="C2066" t="s">
        <v>114</v>
      </c>
      <c r="D2066" t="s">
        <v>583</v>
      </c>
      <c r="E2066" t="s">
        <v>583</v>
      </c>
      <c r="F2066" s="705">
        <v>91</v>
      </c>
      <c r="G2066" s="705">
        <v>9611</v>
      </c>
      <c r="H2066" s="705">
        <v>12790</v>
      </c>
      <c r="I2066" s="705">
        <v>623317</v>
      </c>
      <c r="J2066" s="705">
        <v>566651</v>
      </c>
      <c r="K2066" s="705">
        <v>89</v>
      </c>
      <c r="L2066" s="705">
        <v>118245</v>
      </c>
      <c r="M2066" s="705">
        <v>105298</v>
      </c>
      <c r="N2066" s="705">
        <v>163588</v>
      </c>
      <c r="O2066" s="705">
        <v>60588</v>
      </c>
      <c r="P2066" s="705">
        <v>57564</v>
      </c>
      <c r="Q2066" s="705">
        <v>21320</v>
      </c>
      <c r="R2066" s="705">
        <v>384765</v>
      </c>
      <c r="S2066" s="705">
        <v>349786</v>
      </c>
      <c r="T2066" s="705">
        <v>8274</v>
      </c>
      <c r="U2066" s="705">
        <v>3064</v>
      </c>
      <c r="V2066" s="705">
        <v>1106708</v>
      </c>
      <c r="W2066" s="705">
        <f t="shared" si="84"/>
        <v>1106707</v>
      </c>
      <c r="X2066" s="705">
        <f t="shared" si="85"/>
        <v>1355753</v>
      </c>
    </row>
    <row r="2067" spans="2:24">
      <c r="B2067" t="s">
        <v>552</v>
      </c>
      <c r="C2067" t="s">
        <v>114</v>
      </c>
      <c r="D2067" t="s">
        <v>584</v>
      </c>
      <c r="E2067" t="s">
        <v>584</v>
      </c>
      <c r="F2067" s="705">
        <v>103</v>
      </c>
      <c r="G2067" s="705">
        <v>11245</v>
      </c>
      <c r="H2067" s="705">
        <v>14574</v>
      </c>
      <c r="I2067" s="705">
        <v>735022</v>
      </c>
      <c r="J2067" s="705">
        <v>668202</v>
      </c>
      <c r="K2067" s="705">
        <v>87</v>
      </c>
      <c r="L2067" s="705">
        <v>149646</v>
      </c>
      <c r="M2067" s="705">
        <v>131335</v>
      </c>
      <c r="N2067" s="705">
        <v>198259</v>
      </c>
      <c r="O2067" s="705">
        <v>73429</v>
      </c>
      <c r="P2067" s="705">
        <v>47682</v>
      </c>
      <c r="Q2067" s="705">
        <v>17660</v>
      </c>
      <c r="R2067" s="705">
        <v>470554</v>
      </c>
      <c r="S2067" s="705">
        <v>427776</v>
      </c>
      <c r="T2067" s="705">
        <v>2466</v>
      </c>
      <c r="U2067" s="705">
        <v>913</v>
      </c>
      <c r="V2067" s="705">
        <v>1319316</v>
      </c>
      <c r="W2067" s="705">
        <f t="shared" si="84"/>
        <v>1319315</v>
      </c>
      <c r="X2067" s="705">
        <f t="shared" si="85"/>
        <v>1603629</v>
      </c>
    </row>
    <row r="2068" spans="2:24">
      <c r="B2068" t="s">
        <v>552</v>
      </c>
      <c r="C2068" t="s">
        <v>116</v>
      </c>
      <c r="F2068" s="705">
        <v>16</v>
      </c>
      <c r="G2068" s="705">
        <v>1120</v>
      </c>
      <c r="H2068" s="705">
        <v>2642</v>
      </c>
      <c r="I2068" s="705"/>
      <c r="J2068" s="705">
        <v>0</v>
      </c>
      <c r="K2068" s="705"/>
      <c r="L2068" s="705"/>
      <c r="M2068" s="705">
        <v>0</v>
      </c>
      <c r="N2068" s="705">
        <v>16088</v>
      </c>
      <c r="O2068" s="705">
        <v>5959</v>
      </c>
      <c r="P2068" s="705">
        <v>5886</v>
      </c>
      <c r="Q2068" s="705">
        <v>2180</v>
      </c>
      <c r="R2068" s="705"/>
      <c r="S2068" s="705">
        <v>0</v>
      </c>
      <c r="T2068" s="705">
        <v>16315</v>
      </c>
      <c r="U2068" s="705">
        <v>6042</v>
      </c>
      <c r="V2068" s="705">
        <v>14181</v>
      </c>
      <c r="W2068" s="705">
        <f t="shared" si="84"/>
        <v>14181</v>
      </c>
      <c r="X2068" s="705">
        <f t="shared" si="85"/>
        <v>38289</v>
      </c>
    </row>
    <row r="2069" spans="2:24">
      <c r="B2069" t="s">
        <v>552</v>
      </c>
      <c r="C2069" t="s">
        <v>116</v>
      </c>
      <c r="D2069" t="s">
        <v>664</v>
      </c>
      <c r="E2069" t="s">
        <v>664</v>
      </c>
      <c r="F2069" s="705">
        <v>1</v>
      </c>
      <c r="G2069" s="705">
        <v>154</v>
      </c>
      <c r="H2069" s="705">
        <v>175</v>
      </c>
      <c r="I2069" s="705">
        <v>16734</v>
      </c>
      <c r="J2069" s="705">
        <v>15213</v>
      </c>
      <c r="K2069" s="705">
        <v>90</v>
      </c>
      <c r="L2069" s="705">
        <v>2795</v>
      </c>
      <c r="M2069" s="705">
        <v>2541</v>
      </c>
      <c r="N2069" s="705">
        <v>2107</v>
      </c>
      <c r="O2069" s="705">
        <v>780</v>
      </c>
      <c r="P2069" s="705">
        <v>473</v>
      </c>
      <c r="Q2069" s="705">
        <v>175</v>
      </c>
      <c r="R2069" s="705">
        <v>4942</v>
      </c>
      <c r="S2069" s="705">
        <v>4493</v>
      </c>
      <c r="T2069" s="705">
        <v>0</v>
      </c>
      <c r="U2069" s="705">
        <v>0</v>
      </c>
      <c r="V2069" s="705">
        <v>23202</v>
      </c>
      <c r="W2069" s="705">
        <f t="shared" si="84"/>
        <v>23202</v>
      </c>
      <c r="X2069" s="705">
        <f t="shared" si="85"/>
        <v>27051</v>
      </c>
    </row>
    <row r="2070" spans="2:24">
      <c r="B2070" t="s">
        <v>552</v>
      </c>
      <c r="C2070" t="s">
        <v>116</v>
      </c>
      <c r="D2070" t="s">
        <v>582</v>
      </c>
      <c r="E2070" t="s">
        <v>582</v>
      </c>
      <c r="F2070" s="705">
        <v>42</v>
      </c>
      <c r="G2070" s="705">
        <v>3952</v>
      </c>
      <c r="H2070" s="705">
        <v>7738</v>
      </c>
      <c r="I2070" s="705">
        <v>293489</v>
      </c>
      <c r="J2070" s="705">
        <v>266808</v>
      </c>
      <c r="K2070" s="705">
        <v>83</v>
      </c>
      <c r="L2070" s="705">
        <v>103260</v>
      </c>
      <c r="M2070" s="705">
        <v>73034</v>
      </c>
      <c r="N2070" s="705">
        <v>87686</v>
      </c>
      <c r="O2070" s="705">
        <v>32476</v>
      </c>
      <c r="P2070" s="705">
        <v>20844</v>
      </c>
      <c r="Q2070" s="705">
        <v>7720</v>
      </c>
      <c r="R2070" s="705">
        <v>179170</v>
      </c>
      <c r="S2070" s="705">
        <v>162882</v>
      </c>
      <c r="T2070" s="705">
        <v>47442</v>
      </c>
      <c r="U2070" s="705">
        <v>17571</v>
      </c>
      <c r="V2070" s="705">
        <v>560492</v>
      </c>
      <c r="W2070" s="705">
        <f t="shared" si="84"/>
        <v>560491</v>
      </c>
      <c r="X2070" s="705">
        <f t="shared" si="85"/>
        <v>731891</v>
      </c>
    </row>
    <row r="2071" spans="2:24">
      <c r="B2071" t="s">
        <v>552</v>
      </c>
      <c r="C2071" t="s">
        <v>116</v>
      </c>
      <c r="D2071" t="s">
        <v>582</v>
      </c>
      <c r="E2071" t="s">
        <v>665</v>
      </c>
      <c r="F2071" s="705">
        <v>1</v>
      </c>
      <c r="G2071" s="705">
        <v>93</v>
      </c>
      <c r="H2071" s="705">
        <v>187</v>
      </c>
      <c r="I2071" s="705">
        <v>8934</v>
      </c>
      <c r="J2071" s="705">
        <v>8122</v>
      </c>
      <c r="K2071" s="705">
        <v>87</v>
      </c>
      <c r="L2071" s="705">
        <v>2743</v>
      </c>
      <c r="M2071" s="705">
        <v>2494</v>
      </c>
      <c r="N2071" s="705">
        <v>1135</v>
      </c>
      <c r="O2071" s="705">
        <v>420</v>
      </c>
      <c r="P2071" s="705">
        <v>473</v>
      </c>
      <c r="Q2071" s="705">
        <v>175</v>
      </c>
      <c r="R2071" s="705">
        <v>4159</v>
      </c>
      <c r="S2071" s="705">
        <v>3781</v>
      </c>
      <c r="T2071" s="705">
        <v>0</v>
      </c>
      <c r="U2071" s="705">
        <v>0</v>
      </c>
      <c r="V2071" s="705">
        <v>14992</v>
      </c>
      <c r="W2071" s="705">
        <f t="shared" si="84"/>
        <v>14992</v>
      </c>
      <c r="X2071" s="705">
        <f t="shared" si="85"/>
        <v>17444</v>
      </c>
    </row>
    <row r="2072" spans="2:24">
      <c r="B2072" t="s">
        <v>552</v>
      </c>
      <c r="C2072" t="s">
        <v>116</v>
      </c>
      <c r="D2072" t="s">
        <v>228</v>
      </c>
      <c r="E2072" t="s">
        <v>228</v>
      </c>
      <c r="F2072" s="705">
        <v>28</v>
      </c>
      <c r="G2072" s="705">
        <v>2348</v>
      </c>
      <c r="H2072" s="705">
        <v>5589</v>
      </c>
      <c r="I2072" s="705">
        <v>208609</v>
      </c>
      <c r="J2072" s="705">
        <v>77263</v>
      </c>
      <c r="K2072" s="705">
        <v>112</v>
      </c>
      <c r="L2072" s="705">
        <v>32182</v>
      </c>
      <c r="M2072" s="705">
        <v>16503</v>
      </c>
      <c r="N2072" s="705">
        <v>39539</v>
      </c>
      <c r="O2072" s="705">
        <v>14644</v>
      </c>
      <c r="P2072" s="705">
        <v>3095</v>
      </c>
      <c r="Q2072" s="705">
        <v>1146</v>
      </c>
      <c r="R2072" s="705">
        <v>185343</v>
      </c>
      <c r="S2072" s="705">
        <v>68646</v>
      </c>
      <c r="T2072" s="705">
        <v>0</v>
      </c>
      <c r="U2072" s="705">
        <v>0</v>
      </c>
      <c r="V2072" s="705">
        <v>178202</v>
      </c>
      <c r="W2072" s="705">
        <f t="shared" si="84"/>
        <v>178202</v>
      </c>
      <c r="X2072" s="705">
        <f t="shared" si="85"/>
        <v>468768</v>
      </c>
    </row>
    <row r="2073" spans="2:24">
      <c r="B2073" t="s">
        <v>552</v>
      </c>
      <c r="C2073" t="s">
        <v>116</v>
      </c>
      <c r="D2073" t="s">
        <v>583</v>
      </c>
      <c r="E2073" t="s">
        <v>228</v>
      </c>
      <c r="F2073" s="705">
        <v>2</v>
      </c>
      <c r="G2073" s="705">
        <v>158</v>
      </c>
      <c r="H2073" s="705">
        <v>411</v>
      </c>
      <c r="I2073" s="705">
        <v>13210</v>
      </c>
      <c r="J2073" s="705">
        <v>12009</v>
      </c>
      <c r="K2073" s="705">
        <v>90</v>
      </c>
      <c r="L2073" s="705">
        <v>3326</v>
      </c>
      <c r="M2073" s="705">
        <v>3024</v>
      </c>
      <c r="N2073" s="705">
        <v>3757</v>
      </c>
      <c r="O2073" s="705">
        <v>1392</v>
      </c>
      <c r="P2073" s="705">
        <v>1242</v>
      </c>
      <c r="Q2073" s="705">
        <v>460</v>
      </c>
      <c r="R2073" s="705">
        <v>10810</v>
      </c>
      <c r="S2073" s="705">
        <v>4004</v>
      </c>
      <c r="T2073" s="705">
        <v>0</v>
      </c>
      <c r="U2073" s="705">
        <v>0</v>
      </c>
      <c r="V2073" s="705">
        <v>20888</v>
      </c>
      <c r="W2073" s="705">
        <f t="shared" si="84"/>
        <v>20889</v>
      </c>
      <c r="X2073" s="705">
        <f t="shared" si="85"/>
        <v>32345</v>
      </c>
    </row>
    <row r="2074" spans="2:24">
      <c r="B2074" t="s">
        <v>552</v>
      </c>
      <c r="C2074" t="s">
        <v>116</v>
      </c>
      <c r="D2074" t="s">
        <v>583</v>
      </c>
      <c r="E2074" t="s">
        <v>583</v>
      </c>
      <c r="F2074" s="705">
        <v>1052</v>
      </c>
      <c r="G2074" s="705">
        <v>108674</v>
      </c>
      <c r="H2074" s="705">
        <v>201508</v>
      </c>
      <c r="I2074" s="705">
        <v>9948725</v>
      </c>
      <c r="J2074" s="705">
        <v>9044295</v>
      </c>
      <c r="K2074" s="705">
        <v>85</v>
      </c>
      <c r="L2074" s="705">
        <v>2360159</v>
      </c>
      <c r="M2074" s="705">
        <v>2121263</v>
      </c>
      <c r="N2074" s="705">
        <v>2124834</v>
      </c>
      <c r="O2074" s="705">
        <v>786976</v>
      </c>
      <c r="P2074" s="705">
        <v>683393</v>
      </c>
      <c r="Q2074" s="705">
        <v>253109</v>
      </c>
      <c r="R2074" s="705">
        <v>4819768</v>
      </c>
      <c r="S2074" s="705">
        <v>4381607</v>
      </c>
      <c r="T2074" s="705">
        <v>990251</v>
      </c>
      <c r="U2074" s="705">
        <v>366760</v>
      </c>
      <c r="V2074" s="705">
        <v>16954010</v>
      </c>
      <c r="W2074" s="705">
        <f t="shared" si="84"/>
        <v>16954010</v>
      </c>
      <c r="X2074" s="705">
        <f t="shared" si="85"/>
        <v>20927130</v>
      </c>
    </row>
    <row r="2075" spans="2:24">
      <c r="B2075" t="s">
        <v>552</v>
      </c>
      <c r="C2075" t="s">
        <v>116</v>
      </c>
      <c r="D2075" t="s">
        <v>583</v>
      </c>
      <c r="E2075" t="s">
        <v>666</v>
      </c>
      <c r="F2075" s="705">
        <v>1</v>
      </c>
      <c r="G2075" s="705">
        <v>74</v>
      </c>
      <c r="H2075" s="705">
        <v>210</v>
      </c>
      <c r="I2075" s="705">
        <v>7085</v>
      </c>
      <c r="J2075" s="705">
        <v>6441</v>
      </c>
      <c r="K2075" s="705">
        <v>83</v>
      </c>
      <c r="L2075" s="705">
        <v>1242</v>
      </c>
      <c r="M2075" s="705">
        <v>1129</v>
      </c>
      <c r="N2075" s="705">
        <v>902</v>
      </c>
      <c r="O2075" s="705">
        <v>334</v>
      </c>
      <c r="P2075" s="705">
        <v>621</v>
      </c>
      <c r="Q2075" s="705">
        <v>230</v>
      </c>
      <c r="R2075" s="705">
        <v>3463</v>
      </c>
      <c r="S2075" s="705">
        <v>3148</v>
      </c>
      <c r="T2075" s="705">
        <v>2218</v>
      </c>
      <c r="U2075" s="705">
        <v>822</v>
      </c>
      <c r="V2075" s="705">
        <v>12104</v>
      </c>
      <c r="W2075" s="705">
        <f t="shared" si="84"/>
        <v>12104</v>
      </c>
      <c r="X2075" s="705">
        <f t="shared" si="85"/>
        <v>15531</v>
      </c>
    </row>
    <row r="2076" spans="2:24">
      <c r="B2076" t="s">
        <v>552</v>
      </c>
      <c r="C2076" t="s">
        <v>116</v>
      </c>
      <c r="D2076" t="s">
        <v>583</v>
      </c>
      <c r="E2076" t="s">
        <v>665</v>
      </c>
      <c r="F2076" s="705">
        <v>1</v>
      </c>
      <c r="G2076" s="705">
        <v>104</v>
      </c>
      <c r="H2076" s="705">
        <v>201</v>
      </c>
      <c r="I2076" s="705">
        <v>10716</v>
      </c>
      <c r="J2076" s="705">
        <v>9742</v>
      </c>
      <c r="K2076" s="705">
        <v>85</v>
      </c>
      <c r="L2076" s="705">
        <v>1747</v>
      </c>
      <c r="M2076" s="705">
        <v>1588</v>
      </c>
      <c r="N2076" s="705">
        <v>2364</v>
      </c>
      <c r="O2076" s="705">
        <v>875</v>
      </c>
      <c r="P2076" s="705">
        <v>621</v>
      </c>
      <c r="Q2076" s="705">
        <v>230</v>
      </c>
      <c r="R2076" s="705">
        <v>5446</v>
      </c>
      <c r="S2076" s="705">
        <v>4951</v>
      </c>
      <c r="T2076" s="705">
        <v>0</v>
      </c>
      <c r="U2076" s="705">
        <v>0</v>
      </c>
      <c r="V2076" s="705">
        <v>17386</v>
      </c>
      <c r="W2076" s="705">
        <f t="shared" si="84"/>
        <v>17386</v>
      </c>
      <c r="X2076" s="705">
        <f t="shared" si="85"/>
        <v>20894</v>
      </c>
    </row>
    <row r="2077" spans="2:24">
      <c r="B2077" t="s">
        <v>552</v>
      </c>
      <c r="C2077" t="s">
        <v>116</v>
      </c>
      <c r="D2077" t="s">
        <v>584</v>
      </c>
      <c r="E2077" t="s">
        <v>228</v>
      </c>
      <c r="F2077" s="705">
        <v>1</v>
      </c>
      <c r="G2077" s="705">
        <v>83</v>
      </c>
      <c r="H2077" s="705">
        <v>196</v>
      </c>
      <c r="I2077" s="705">
        <v>7546</v>
      </c>
      <c r="J2077" s="705">
        <v>6860</v>
      </c>
      <c r="K2077" s="705">
        <v>80</v>
      </c>
      <c r="L2077" s="705">
        <v>2127</v>
      </c>
      <c r="M2077" s="705">
        <v>1933</v>
      </c>
      <c r="N2077" s="705">
        <v>1510</v>
      </c>
      <c r="O2077" s="705">
        <v>559</v>
      </c>
      <c r="P2077" s="705">
        <v>473</v>
      </c>
      <c r="Q2077" s="705">
        <v>175</v>
      </c>
      <c r="R2077" s="705">
        <v>4523</v>
      </c>
      <c r="S2077" s="705">
        <v>1675</v>
      </c>
      <c r="T2077" s="705">
        <v>0</v>
      </c>
      <c r="U2077" s="705">
        <v>0</v>
      </c>
      <c r="V2077" s="705">
        <v>11203</v>
      </c>
      <c r="W2077" s="705">
        <f t="shared" si="84"/>
        <v>11202</v>
      </c>
      <c r="X2077" s="705">
        <f t="shared" si="85"/>
        <v>16179</v>
      </c>
    </row>
    <row r="2078" spans="2:24">
      <c r="B2078" t="s">
        <v>552</v>
      </c>
      <c r="C2078" t="s">
        <v>116</v>
      </c>
      <c r="D2078" t="s">
        <v>584</v>
      </c>
      <c r="E2078" t="s">
        <v>583</v>
      </c>
      <c r="F2078" s="705">
        <v>1</v>
      </c>
      <c r="G2078" s="705">
        <v>103</v>
      </c>
      <c r="H2078" s="705">
        <v>187</v>
      </c>
      <c r="I2078" s="705">
        <v>9351</v>
      </c>
      <c r="J2078" s="705">
        <v>8501</v>
      </c>
      <c r="K2078" s="705">
        <v>80</v>
      </c>
      <c r="L2078" s="705">
        <v>2635</v>
      </c>
      <c r="M2078" s="705">
        <v>2396</v>
      </c>
      <c r="N2078" s="705">
        <v>1973</v>
      </c>
      <c r="O2078" s="705">
        <v>731</v>
      </c>
      <c r="P2078" s="705">
        <v>473</v>
      </c>
      <c r="Q2078" s="705">
        <v>175</v>
      </c>
      <c r="R2078" s="705">
        <v>4884</v>
      </c>
      <c r="S2078" s="705">
        <v>4440</v>
      </c>
      <c r="T2078" s="705">
        <v>0</v>
      </c>
      <c r="U2078" s="705">
        <v>0</v>
      </c>
      <c r="V2078" s="705">
        <v>16242</v>
      </c>
      <c r="W2078" s="705">
        <f t="shared" si="84"/>
        <v>16243</v>
      </c>
      <c r="X2078" s="705">
        <f t="shared" si="85"/>
        <v>19316</v>
      </c>
    </row>
    <row r="2079" spans="2:24">
      <c r="B2079" t="s">
        <v>552</v>
      </c>
      <c r="C2079" t="s">
        <v>116</v>
      </c>
      <c r="D2079" t="s">
        <v>584</v>
      </c>
      <c r="E2079" t="s">
        <v>584</v>
      </c>
      <c r="F2079" s="705">
        <v>784</v>
      </c>
      <c r="G2079" s="705">
        <v>81152</v>
      </c>
      <c r="H2079" s="705">
        <v>144799</v>
      </c>
      <c r="I2079" s="705">
        <v>6891796</v>
      </c>
      <c r="J2079" s="705">
        <v>6265269</v>
      </c>
      <c r="K2079" s="705">
        <v>81</v>
      </c>
      <c r="L2079" s="705">
        <v>1932279</v>
      </c>
      <c r="M2079" s="705">
        <v>1736810</v>
      </c>
      <c r="N2079" s="705">
        <v>1647852</v>
      </c>
      <c r="O2079" s="705">
        <v>610315</v>
      </c>
      <c r="P2079" s="705">
        <v>372843</v>
      </c>
      <c r="Q2079" s="705">
        <v>138090</v>
      </c>
      <c r="R2079" s="705">
        <v>3823342</v>
      </c>
      <c r="S2079" s="705">
        <v>3475766</v>
      </c>
      <c r="T2079" s="705">
        <v>347253</v>
      </c>
      <c r="U2079" s="705">
        <v>128612</v>
      </c>
      <c r="V2079" s="705">
        <v>12354862</v>
      </c>
      <c r="W2079" s="705">
        <f t="shared" si="84"/>
        <v>12354862</v>
      </c>
      <c r="X2079" s="705">
        <f t="shared" si="85"/>
        <v>15015365</v>
      </c>
    </row>
    <row r="2080" spans="2:24">
      <c r="B2080" t="s">
        <v>552</v>
      </c>
      <c r="C2080" t="s">
        <v>116</v>
      </c>
      <c r="D2080" t="s">
        <v>584</v>
      </c>
      <c r="E2080" t="s">
        <v>667</v>
      </c>
      <c r="F2080" s="705">
        <v>1</v>
      </c>
      <c r="G2080" s="705">
        <v>124</v>
      </c>
      <c r="H2080" s="705">
        <v>172</v>
      </c>
      <c r="I2080" s="705">
        <v>9697</v>
      </c>
      <c r="J2080" s="705">
        <v>8815</v>
      </c>
      <c r="K2080" s="705">
        <v>73</v>
      </c>
      <c r="L2080" s="705">
        <v>2492</v>
      </c>
      <c r="M2080" s="705">
        <v>2266</v>
      </c>
      <c r="N2080" s="705">
        <v>3029</v>
      </c>
      <c r="O2080" s="705">
        <v>1122</v>
      </c>
      <c r="P2080" s="705">
        <v>473</v>
      </c>
      <c r="Q2080" s="705">
        <v>175</v>
      </c>
      <c r="R2080" s="705">
        <v>5663</v>
      </c>
      <c r="S2080" s="705">
        <v>5148</v>
      </c>
      <c r="T2080" s="705">
        <v>0</v>
      </c>
      <c r="U2080" s="705">
        <v>0</v>
      </c>
      <c r="V2080" s="705">
        <v>17526</v>
      </c>
      <c r="W2080" s="705">
        <f t="shared" si="84"/>
        <v>17526</v>
      </c>
      <c r="X2080" s="705">
        <f t="shared" si="85"/>
        <v>21354</v>
      </c>
    </row>
    <row r="2081" spans="2:24">
      <c r="B2081" t="s">
        <v>552</v>
      </c>
      <c r="C2081" t="s">
        <v>116</v>
      </c>
      <c r="D2081" t="s">
        <v>584</v>
      </c>
      <c r="E2081" t="s">
        <v>665</v>
      </c>
      <c r="F2081" s="705">
        <v>1</v>
      </c>
      <c r="G2081" s="705">
        <v>126</v>
      </c>
      <c r="H2081" s="705">
        <v>224</v>
      </c>
      <c r="I2081" s="705">
        <v>14148</v>
      </c>
      <c r="J2081" s="705">
        <v>12862</v>
      </c>
      <c r="K2081" s="705">
        <v>78</v>
      </c>
      <c r="L2081" s="705">
        <v>3888</v>
      </c>
      <c r="M2081" s="705">
        <v>3535</v>
      </c>
      <c r="N2081" s="705">
        <v>3067</v>
      </c>
      <c r="O2081" s="705">
        <v>1136</v>
      </c>
      <c r="P2081" s="705">
        <v>473</v>
      </c>
      <c r="Q2081" s="705">
        <v>175</v>
      </c>
      <c r="R2081" s="705">
        <v>6598</v>
      </c>
      <c r="S2081" s="705">
        <v>5999</v>
      </c>
      <c r="T2081" s="705">
        <v>0</v>
      </c>
      <c r="U2081" s="705">
        <v>0</v>
      </c>
      <c r="V2081" s="705">
        <v>23706</v>
      </c>
      <c r="W2081" s="705">
        <f t="shared" si="84"/>
        <v>23707</v>
      </c>
      <c r="X2081" s="705">
        <f t="shared" si="85"/>
        <v>28174</v>
      </c>
    </row>
    <row r="2082" spans="2:24">
      <c r="B2082" t="s">
        <v>552</v>
      </c>
      <c r="C2082" t="s">
        <v>116</v>
      </c>
      <c r="D2082" t="s">
        <v>665</v>
      </c>
      <c r="E2082" t="s">
        <v>665</v>
      </c>
      <c r="F2082" s="705">
        <v>12</v>
      </c>
      <c r="G2082" s="705">
        <v>1222</v>
      </c>
      <c r="H2082" s="705">
        <v>2513</v>
      </c>
      <c r="I2082" s="705">
        <v>150848</v>
      </c>
      <c r="J2082" s="705">
        <v>137134</v>
      </c>
      <c r="K2082" s="705">
        <v>71</v>
      </c>
      <c r="L2082" s="705">
        <v>14478</v>
      </c>
      <c r="M2082" s="705">
        <v>10506</v>
      </c>
      <c r="N2082" s="705">
        <v>27498</v>
      </c>
      <c r="O2082" s="705">
        <v>10185</v>
      </c>
      <c r="P2082" s="705">
        <v>5994</v>
      </c>
      <c r="Q2082" s="705">
        <v>2220</v>
      </c>
      <c r="R2082" s="705">
        <v>53604</v>
      </c>
      <c r="S2082" s="705">
        <v>48731</v>
      </c>
      <c r="T2082" s="705">
        <v>29427</v>
      </c>
      <c r="U2082" s="705">
        <v>10899</v>
      </c>
      <c r="V2082" s="705">
        <v>219674</v>
      </c>
      <c r="W2082" s="705">
        <f t="shared" ref="W2082:W2145" si="86">SUM(ABS(J2082),ABS(M2082),ABS(O2082),ABS(Q2082),ABS(S2082),ABS(U2082))</f>
        <v>219675</v>
      </c>
      <c r="X2082" s="705">
        <f t="shared" ref="X2082:X2145" si="87">SUM(ABS(I2082),ABS(N2082),ABS(P2082),ABS(R2082),ABS(T2082),ABS(L2082))</f>
        <v>281849</v>
      </c>
    </row>
    <row r="2083" spans="2:24">
      <c r="B2083" t="s">
        <v>552</v>
      </c>
      <c r="C2083" t="s">
        <v>116</v>
      </c>
      <c r="D2083" t="s">
        <v>673</v>
      </c>
      <c r="E2083" t="s">
        <v>673</v>
      </c>
      <c r="F2083" s="705">
        <v>1</v>
      </c>
      <c r="G2083" s="705">
        <v>90</v>
      </c>
      <c r="H2083" s="705">
        <v>211</v>
      </c>
      <c r="I2083" s="705">
        <v>9224</v>
      </c>
      <c r="J2083" s="705">
        <v>8386</v>
      </c>
      <c r="K2083" s="705">
        <v>78</v>
      </c>
      <c r="L2083" s="705">
        <v>1025</v>
      </c>
      <c r="M2083" s="705">
        <v>932</v>
      </c>
      <c r="N2083" s="705">
        <v>2188</v>
      </c>
      <c r="O2083" s="705">
        <v>810</v>
      </c>
      <c r="P2083" s="705">
        <v>351</v>
      </c>
      <c r="Q2083" s="705">
        <v>130</v>
      </c>
      <c r="R2083" s="705">
        <v>3729</v>
      </c>
      <c r="S2083" s="705">
        <v>3390</v>
      </c>
      <c r="T2083" s="705">
        <v>2429</v>
      </c>
      <c r="U2083" s="705">
        <v>900</v>
      </c>
      <c r="V2083" s="705">
        <v>14548</v>
      </c>
      <c r="W2083" s="705">
        <f t="shared" si="86"/>
        <v>14548</v>
      </c>
      <c r="X2083" s="705">
        <f t="shared" si="87"/>
        <v>18946</v>
      </c>
    </row>
    <row r="2084" spans="2:24">
      <c r="B2084" t="s">
        <v>552</v>
      </c>
      <c r="C2084" t="s">
        <v>116</v>
      </c>
      <c r="D2084" t="s">
        <v>585</v>
      </c>
      <c r="E2084" t="s">
        <v>585</v>
      </c>
      <c r="F2084" s="705">
        <v>2</v>
      </c>
      <c r="G2084" s="705">
        <v>206</v>
      </c>
      <c r="H2084" s="705">
        <v>413</v>
      </c>
      <c r="I2084" s="705">
        <v>20187</v>
      </c>
      <c r="J2084" s="705">
        <v>18352</v>
      </c>
      <c r="K2084" s="705">
        <v>86</v>
      </c>
      <c r="L2084" s="705">
        <v>6459</v>
      </c>
      <c r="M2084" s="705">
        <v>5872</v>
      </c>
      <c r="N2084" s="705">
        <v>3051</v>
      </c>
      <c r="O2084" s="705">
        <v>1130</v>
      </c>
      <c r="P2084" s="705">
        <v>702</v>
      </c>
      <c r="Q2084" s="705">
        <v>260</v>
      </c>
      <c r="R2084" s="705">
        <v>6869</v>
      </c>
      <c r="S2084" s="705">
        <v>6245</v>
      </c>
      <c r="T2084" s="705">
        <v>4997</v>
      </c>
      <c r="U2084" s="705">
        <v>1851</v>
      </c>
      <c r="V2084" s="705">
        <v>33709</v>
      </c>
      <c r="W2084" s="705">
        <f t="shared" si="86"/>
        <v>33710</v>
      </c>
      <c r="X2084" s="705">
        <f t="shared" si="87"/>
        <v>42265</v>
      </c>
    </row>
    <row r="2085" spans="2:24">
      <c r="B2085" t="s">
        <v>552</v>
      </c>
      <c r="C2085" t="s">
        <v>116</v>
      </c>
      <c r="D2085" t="s">
        <v>668</v>
      </c>
      <c r="E2085" t="s">
        <v>668</v>
      </c>
      <c r="F2085" s="705">
        <v>8</v>
      </c>
      <c r="G2085" s="705">
        <v>731</v>
      </c>
      <c r="H2085" s="705">
        <v>1562</v>
      </c>
      <c r="I2085" s="705">
        <v>84940</v>
      </c>
      <c r="J2085" s="705">
        <v>77218</v>
      </c>
      <c r="K2085" s="705">
        <v>85</v>
      </c>
      <c r="L2085" s="705">
        <v>8842</v>
      </c>
      <c r="M2085" s="705">
        <v>12247</v>
      </c>
      <c r="N2085" s="705">
        <v>9274</v>
      </c>
      <c r="O2085" s="705">
        <v>3435</v>
      </c>
      <c r="P2085" s="705">
        <v>3429</v>
      </c>
      <c r="Q2085" s="705">
        <v>1270</v>
      </c>
      <c r="R2085" s="705">
        <v>35279</v>
      </c>
      <c r="S2085" s="705">
        <v>32072</v>
      </c>
      <c r="T2085" s="705">
        <v>4657</v>
      </c>
      <c r="U2085" s="705">
        <v>1725</v>
      </c>
      <c r="V2085" s="705">
        <v>127967</v>
      </c>
      <c r="W2085" s="705">
        <f t="shared" si="86"/>
        <v>127967</v>
      </c>
      <c r="X2085" s="705">
        <f t="shared" si="87"/>
        <v>146421</v>
      </c>
    </row>
    <row r="2086" spans="2:24">
      <c r="B2086" t="s">
        <v>552</v>
      </c>
      <c r="C2086" t="s">
        <v>118</v>
      </c>
      <c r="F2086" s="705">
        <v>9</v>
      </c>
      <c r="G2086" s="705">
        <v>394</v>
      </c>
      <c r="H2086" s="705">
        <v>2447</v>
      </c>
      <c r="I2086" s="705"/>
      <c r="J2086" s="705">
        <v>0</v>
      </c>
      <c r="K2086" s="705"/>
      <c r="L2086" s="705"/>
      <c r="M2086" s="705">
        <v>0</v>
      </c>
      <c r="N2086" s="705">
        <v>4882</v>
      </c>
      <c r="O2086" s="705">
        <v>1808</v>
      </c>
      <c r="P2086" s="705">
        <v>2457</v>
      </c>
      <c r="Q2086" s="705">
        <v>910</v>
      </c>
      <c r="R2086" s="705"/>
      <c r="S2086" s="705">
        <v>0</v>
      </c>
      <c r="T2086" s="705">
        <v>0</v>
      </c>
      <c r="U2086" s="705">
        <v>0</v>
      </c>
      <c r="V2086" s="705">
        <v>2718</v>
      </c>
      <c r="W2086" s="705">
        <f t="shared" si="86"/>
        <v>2718</v>
      </c>
      <c r="X2086" s="705">
        <f t="shared" si="87"/>
        <v>7339</v>
      </c>
    </row>
    <row r="2087" spans="2:24">
      <c r="B2087" t="s">
        <v>552</v>
      </c>
      <c r="C2087" t="s">
        <v>118</v>
      </c>
      <c r="D2087" t="s">
        <v>664</v>
      </c>
      <c r="E2087" t="s">
        <v>664</v>
      </c>
      <c r="F2087" s="705">
        <v>1</v>
      </c>
      <c r="G2087" s="705">
        <v>84</v>
      </c>
      <c r="H2087" s="705">
        <v>282</v>
      </c>
      <c r="I2087" s="705">
        <v>10127</v>
      </c>
      <c r="J2087" s="705">
        <v>9206</v>
      </c>
      <c r="K2087" s="705">
        <v>65</v>
      </c>
      <c r="L2087" s="705">
        <v>3840</v>
      </c>
      <c r="M2087" s="705">
        <v>1422</v>
      </c>
      <c r="N2087" s="705">
        <v>1818</v>
      </c>
      <c r="O2087" s="705">
        <v>673</v>
      </c>
      <c r="P2087" s="705">
        <v>351</v>
      </c>
      <c r="Q2087" s="705">
        <v>130</v>
      </c>
      <c r="R2087" s="705">
        <v>7497</v>
      </c>
      <c r="S2087" s="705">
        <v>6816</v>
      </c>
      <c r="T2087" s="705">
        <v>0</v>
      </c>
      <c r="U2087" s="705">
        <v>0</v>
      </c>
      <c r="V2087" s="705">
        <v>18247</v>
      </c>
      <c r="W2087" s="705">
        <f t="shared" si="86"/>
        <v>18247</v>
      </c>
      <c r="X2087" s="705">
        <f t="shared" si="87"/>
        <v>23633</v>
      </c>
    </row>
    <row r="2088" spans="2:24">
      <c r="B2088" t="s">
        <v>552</v>
      </c>
      <c r="C2088" t="s">
        <v>118</v>
      </c>
      <c r="D2088" t="s">
        <v>582</v>
      </c>
      <c r="E2088" t="s">
        <v>582</v>
      </c>
      <c r="F2088" s="705">
        <v>6</v>
      </c>
      <c r="G2088" s="705">
        <v>631</v>
      </c>
      <c r="H2088" s="705">
        <v>1409</v>
      </c>
      <c r="I2088" s="705">
        <v>71463</v>
      </c>
      <c r="J2088" s="705">
        <v>64967</v>
      </c>
      <c r="K2088" s="705">
        <v>81</v>
      </c>
      <c r="L2088" s="705">
        <v>25981</v>
      </c>
      <c r="M2088" s="705">
        <v>23619</v>
      </c>
      <c r="N2088" s="705">
        <v>14085</v>
      </c>
      <c r="O2088" s="705">
        <v>5217</v>
      </c>
      <c r="P2088" s="705">
        <v>2835</v>
      </c>
      <c r="Q2088" s="705">
        <v>1050</v>
      </c>
      <c r="R2088" s="705">
        <v>26271</v>
      </c>
      <c r="S2088" s="705">
        <v>23883</v>
      </c>
      <c r="T2088" s="705">
        <v>7649</v>
      </c>
      <c r="U2088" s="705">
        <v>2833</v>
      </c>
      <c r="V2088" s="705">
        <v>121568</v>
      </c>
      <c r="W2088" s="705">
        <f t="shared" si="86"/>
        <v>121569</v>
      </c>
      <c r="X2088" s="705">
        <f t="shared" si="87"/>
        <v>148284</v>
      </c>
    </row>
    <row r="2089" spans="2:24">
      <c r="B2089" t="s">
        <v>552</v>
      </c>
      <c r="C2089" t="s">
        <v>118</v>
      </c>
      <c r="D2089" t="s">
        <v>228</v>
      </c>
      <c r="E2089" t="s">
        <v>228</v>
      </c>
      <c r="F2089" s="705">
        <v>71</v>
      </c>
      <c r="G2089" s="705">
        <v>6676</v>
      </c>
      <c r="H2089" s="705">
        <v>18853</v>
      </c>
      <c r="I2089" s="705">
        <v>955275</v>
      </c>
      <c r="J2089" s="705">
        <v>353805</v>
      </c>
      <c r="K2089" s="705">
        <v>100</v>
      </c>
      <c r="L2089" s="705">
        <v>177171</v>
      </c>
      <c r="M2089" s="705">
        <v>110502</v>
      </c>
      <c r="N2089" s="705">
        <v>135268</v>
      </c>
      <c r="O2089" s="705">
        <v>50099</v>
      </c>
      <c r="P2089" s="705">
        <v>1674</v>
      </c>
      <c r="Q2089" s="705">
        <v>620</v>
      </c>
      <c r="R2089" s="705">
        <v>511385</v>
      </c>
      <c r="S2089" s="705">
        <v>189402</v>
      </c>
      <c r="T2089" s="705">
        <v>0</v>
      </c>
      <c r="U2089" s="705">
        <v>0</v>
      </c>
      <c r="V2089" s="705">
        <v>704428</v>
      </c>
      <c r="W2089" s="705">
        <f t="shared" si="86"/>
        <v>704428</v>
      </c>
      <c r="X2089" s="705">
        <f t="shared" si="87"/>
        <v>1780773</v>
      </c>
    </row>
    <row r="2090" spans="2:24">
      <c r="B2090" t="s">
        <v>552</v>
      </c>
      <c r="C2090" t="s">
        <v>118</v>
      </c>
      <c r="D2090" t="s">
        <v>228</v>
      </c>
      <c r="E2090" t="s">
        <v>666</v>
      </c>
      <c r="F2090" s="705">
        <v>1</v>
      </c>
      <c r="G2090" s="705">
        <v>112</v>
      </c>
      <c r="H2090" s="705">
        <v>296</v>
      </c>
      <c r="I2090" s="705">
        <v>18942</v>
      </c>
      <c r="J2090" s="705">
        <v>7015</v>
      </c>
      <c r="K2090" s="705">
        <v>100</v>
      </c>
      <c r="L2090" s="705">
        <v>1429</v>
      </c>
      <c r="M2090" s="705">
        <v>1299</v>
      </c>
      <c r="N2090" s="705">
        <v>2390</v>
      </c>
      <c r="O2090" s="705">
        <v>885</v>
      </c>
      <c r="P2090" s="705">
        <v>0</v>
      </c>
      <c r="Q2090" s="705">
        <v>0</v>
      </c>
      <c r="R2090" s="705">
        <v>10425</v>
      </c>
      <c r="S2090" s="705">
        <v>9477</v>
      </c>
      <c r="T2090" s="705">
        <v>0</v>
      </c>
      <c r="U2090" s="705">
        <v>0</v>
      </c>
      <c r="V2090" s="705">
        <v>18677</v>
      </c>
      <c r="W2090" s="705">
        <f t="shared" si="86"/>
        <v>18676</v>
      </c>
      <c r="X2090" s="705">
        <f t="shared" si="87"/>
        <v>33186</v>
      </c>
    </row>
    <row r="2091" spans="2:24">
      <c r="B2091" t="s">
        <v>552</v>
      </c>
      <c r="C2091" t="s">
        <v>118</v>
      </c>
      <c r="D2091" t="s">
        <v>228</v>
      </c>
      <c r="E2091" t="s">
        <v>665</v>
      </c>
      <c r="F2091" s="705">
        <v>1</v>
      </c>
      <c r="G2091" s="705">
        <v>115</v>
      </c>
      <c r="H2091" s="705">
        <v>251</v>
      </c>
      <c r="I2091" s="705">
        <v>17341</v>
      </c>
      <c r="J2091" s="705">
        <v>6423</v>
      </c>
      <c r="K2091" s="705">
        <v>100</v>
      </c>
      <c r="L2091" s="705">
        <v>1208</v>
      </c>
      <c r="M2091" s="705">
        <v>1098</v>
      </c>
      <c r="N2091" s="705">
        <v>2536</v>
      </c>
      <c r="O2091" s="705">
        <v>939</v>
      </c>
      <c r="P2091" s="705">
        <v>0</v>
      </c>
      <c r="Q2091" s="705">
        <v>0</v>
      </c>
      <c r="R2091" s="705">
        <v>4937</v>
      </c>
      <c r="S2091" s="705">
        <v>4488</v>
      </c>
      <c r="T2091" s="705">
        <v>2793</v>
      </c>
      <c r="U2091" s="705">
        <v>1034</v>
      </c>
      <c r="V2091" s="705">
        <v>13983</v>
      </c>
      <c r="W2091" s="705">
        <f t="shared" si="86"/>
        <v>13982</v>
      </c>
      <c r="X2091" s="705">
        <f t="shared" si="87"/>
        <v>28815</v>
      </c>
    </row>
    <row r="2092" spans="2:24">
      <c r="B2092" t="s">
        <v>552</v>
      </c>
      <c r="C2092" t="s">
        <v>118</v>
      </c>
      <c r="D2092" t="s">
        <v>583</v>
      </c>
      <c r="E2092" t="s">
        <v>228</v>
      </c>
      <c r="F2092" s="705">
        <v>4</v>
      </c>
      <c r="G2092" s="705">
        <v>376</v>
      </c>
      <c r="H2092" s="705">
        <v>1093</v>
      </c>
      <c r="I2092" s="705">
        <v>54761</v>
      </c>
      <c r="J2092" s="705">
        <v>49783</v>
      </c>
      <c r="K2092" s="705">
        <v>84</v>
      </c>
      <c r="L2092" s="705">
        <v>10196</v>
      </c>
      <c r="M2092" s="705">
        <v>5462</v>
      </c>
      <c r="N2092" s="705">
        <v>8172</v>
      </c>
      <c r="O2092" s="705">
        <v>3027</v>
      </c>
      <c r="P2092" s="705">
        <v>3105</v>
      </c>
      <c r="Q2092" s="705">
        <v>1150</v>
      </c>
      <c r="R2092" s="705">
        <v>22289</v>
      </c>
      <c r="S2092" s="705">
        <v>8255</v>
      </c>
      <c r="T2092" s="705">
        <v>0</v>
      </c>
      <c r="U2092" s="705">
        <v>0</v>
      </c>
      <c r="V2092" s="705">
        <v>67677</v>
      </c>
      <c r="W2092" s="705">
        <f t="shared" si="86"/>
        <v>67677</v>
      </c>
      <c r="X2092" s="705">
        <f t="shared" si="87"/>
        <v>98523</v>
      </c>
    </row>
    <row r="2093" spans="2:24">
      <c r="B2093" t="s">
        <v>552</v>
      </c>
      <c r="C2093" t="s">
        <v>118</v>
      </c>
      <c r="D2093" t="s">
        <v>583</v>
      </c>
      <c r="E2093" t="s">
        <v>583</v>
      </c>
      <c r="F2093" s="705">
        <v>584</v>
      </c>
      <c r="G2093" s="705">
        <v>55075</v>
      </c>
      <c r="H2093" s="705">
        <v>150471</v>
      </c>
      <c r="I2093" s="705">
        <v>7675817</v>
      </c>
      <c r="J2093" s="705">
        <v>6978015</v>
      </c>
      <c r="K2093" s="705">
        <v>83</v>
      </c>
      <c r="L2093" s="705">
        <v>1594036</v>
      </c>
      <c r="M2093" s="705">
        <v>1421300</v>
      </c>
      <c r="N2093" s="705">
        <v>1116757</v>
      </c>
      <c r="O2093" s="705">
        <v>413614</v>
      </c>
      <c r="P2093" s="705">
        <v>387765</v>
      </c>
      <c r="Q2093" s="705">
        <v>143617</v>
      </c>
      <c r="R2093" s="705">
        <v>2598027</v>
      </c>
      <c r="S2093" s="705">
        <v>2361843</v>
      </c>
      <c r="T2093" s="705">
        <v>947909</v>
      </c>
      <c r="U2093" s="705">
        <v>351077</v>
      </c>
      <c r="V2093" s="705">
        <v>11669466</v>
      </c>
      <c r="W2093" s="705">
        <f t="shared" si="86"/>
        <v>11669466</v>
      </c>
      <c r="X2093" s="705">
        <f t="shared" si="87"/>
        <v>14320311</v>
      </c>
    </row>
    <row r="2094" spans="2:24">
      <c r="B2094" t="s">
        <v>552</v>
      </c>
      <c r="C2094" t="s">
        <v>118</v>
      </c>
      <c r="D2094" t="s">
        <v>583</v>
      </c>
      <c r="E2094" t="s">
        <v>666</v>
      </c>
      <c r="F2094" s="705">
        <v>1</v>
      </c>
      <c r="G2094" s="705">
        <v>74</v>
      </c>
      <c r="H2094" s="705">
        <v>234</v>
      </c>
      <c r="I2094" s="705">
        <v>6642</v>
      </c>
      <c r="J2094" s="705">
        <v>6038</v>
      </c>
      <c r="K2094" s="705">
        <v>85</v>
      </c>
      <c r="L2094" s="705">
        <v>1196</v>
      </c>
      <c r="M2094" s="705">
        <v>1087</v>
      </c>
      <c r="N2094" s="705">
        <v>1695</v>
      </c>
      <c r="O2094" s="705">
        <v>628</v>
      </c>
      <c r="P2094" s="705">
        <v>621</v>
      </c>
      <c r="Q2094" s="705">
        <v>230</v>
      </c>
      <c r="R2094" s="705">
        <v>4971</v>
      </c>
      <c r="S2094" s="705">
        <v>4519</v>
      </c>
      <c r="T2094" s="705">
        <v>2218</v>
      </c>
      <c r="U2094" s="705">
        <v>822</v>
      </c>
      <c r="V2094" s="705">
        <v>13324</v>
      </c>
      <c r="W2094" s="705">
        <f t="shared" si="86"/>
        <v>13324</v>
      </c>
      <c r="X2094" s="705">
        <f t="shared" si="87"/>
        <v>17343</v>
      </c>
    </row>
    <row r="2095" spans="2:24">
      <c r="B2095" t="s">
        <v>552</v>
      </c>
      <c r="C2095" t="s">
        <v>118</v>
      </c>
      <c r="D2095" t="s">
        <v>583</v>
      </c>
      <c r="E2095" t="s">
        <v>665</v>
      </c>
      <c r="F2095" s="705">
        <v>1</v>
      </c>
      <c r="G2095" s="705">
        <v>86</v>
      </c>
      <c r="H2095" s="705">
        <v>246</v>
      </c>
      <c r="I2095" s="705">
        <v>11478</v>
      </c>
      <c r="J2095" s="705">
        <v>10434</v>
      </c>
      <c r="K2095" s="705">
        <v>85</v>
      </c>
      <c r="L2095" s="705">
        <v>1715</v>
      </c>
      <c r="M2095" s="705">
        <v>1559</v>
      </c>
      <c r="N2095" s="705">
        <v>1565</v>
      </c>
      <c r="O2095" s="705">
        <v>579</v>
      </c>
      <c r="P2095" s="705">
        <v>621</v>
      </c>
      <c r="Q2095" s="705">
        <v>230</v>
      </c>
      <c r="R2095" s="705">
        <v>3409</v>
      </c>
      <c r="S2095" s="705">
        <v>3099</v>
      </c>
      <c r="T2095" s="705">
        <v>2241</v>
      </c>
      <c r="U2095" s="705">
        <v>830</v>
      </c>
      <c r="V2095" s="705">
        <v>16732</v>
      </c>
      <c r="W2095" s="705">
        <f t="shared" si="86"/>
        <v>16731</v>
      </c>
      <c r="X2095" s="705">
        <f t="shared" si="87"/>
        <v>21029</v>
      </c>
    </row>
    <row r="2096" spans="2:24">
      <c r="B2096" t="s">
        <v>552</v>
      </c>
      <c r="C2096" t="s">
        <v>118</v>
      </c>
      <c r="D2096" t="s">
        <v>666</v>
      </c>
      <c r="E2096" t="s">
        <v>583</v>
      </c>
      <c r="F2096" s="705">
        <v>1</v>
      </c>
      <c r="G2096" s="705">
        <v>83</v>
      </c>
      <c r="H2096" s="705">
        <v>281</v>
      </c>
      <c r="I2096" s="705">
        <v>12311</v>
      </c>
      <c r="J2096" s="705">
        <v>11192</v>
      </c>
      <c r="K2096" s="705">
        <v>65</v>
      </c>
      <c r="L2096" s="705">
        <v>2540</v>
      </c>
      <c r="M2096" s="705">
        <v>2309</v>
      </c>
      <c r="N2096" s="705">
        <v>1568</v>
      </c>
      <c r="O2096" s="705">
        <v>581</v>
      </c>
      <c r="P2096" s="705">
        <v>351</v>
      </c>
      <c r="Q2096" s="705">
        <v>130</v>
      </c>
      <c r="R2096" s="705">
        <v>4182</v>
      </c>
      <c r="S2096" s="705">
        <v>3802</v>
      </c>
      <c r="T2096" s="705">
        <v>2199</v>
      </c>
      <c r="U2096" s="705">
        <v>814</v>
      </c>
      <c r="V2096" s="705">
        <v>18828</v>
      </c>
      <c r="W2096" s="705">
        <f t="shared" si="86"/>
        <v>18828</v>
      </c>
      <c r="X2096" s="705">
        <f t="shared" si="87"/>
        <v>23151</v>
      </c>
    </row>
    <row r="2097" spans="2:24">
      <c r="B2097" t="s">
        <v>552</v>
      </c>
      <c r="C2097" t="s">
        <v>118</v>
      </c>
      <c r="D2097" t="s">
        <v>666</v>
      </c>
      <c r="E2097" t="s">
        <v>666</v>
      </c>
      <c r="F2097" s="705">
        <v>31</v>
      </c>
      <c r="G2097" s="705">
        <v>2593</v>
      </c>
      <c r="H2097" s="705">
        <v>8574</v>
      </c>
      <c r="I2097" s="705">
        <v>404639</v>
      </c>
      <c r="J2097" s="705">
        <v>367854</v>
      </c>
      <c r="K2097" s="705">
        <v>58</v>
      </c>
      <c r="L2097" s="705">
        <v>22374</v>
      </c>
      <c r="M2097" s="705">
        <v>20340</v>
      </c>
      <c r="N2097" s="705">
        <v>52013</v>
      </c>
      <c r="O2097" s="705">
        <v>19264</v>
      </c>
      <c r="P2097" s="705">
        <v>10530</v>
      </c>
      <c r="Q2097" s="705">
        <v>3900</v>
      </c>
      <c r="R2097" s="705">
        <v>163077</v>
      </c>
      <c r="S2097" s="705">
        <v>148252</v>
      </c>
      <c r="T2097" s="705">
        <v>64480</v>
      </c>
      <c r="U2097" s="705">
        <v>23881</v>
      </c>
      <c r="V2097" s="705">
        <v>583491</v>
      </c>
      <c r="W2097" s="705">
        <f t="shared" si="86"/>
        <v>583491</v>
      </c>
      <c r="X2097" s="705">
        <f t="shared" si="87"/>
        <v>717113</v>
      </c>
    </row>
    <row r="2098" spans="2:24">
      <c r="B2098" t="s">
        <v>552</v>
      </c>
      <c r="C2098" t="s">
        <v>118</v>
      </c>
      <c r="D2098" t="s">
        <v>584</v>
      </c>
      <c r="E2098" t="s">
        <v>584</v>
      </c>
      <c r="F2098" s="705">
        <v>41</v>
      </c>
      <c r="G2098" s="705">
        <v>4250</v>
      </c>
      <c r="H2098" s="705">
        <v>10040</v>
      </c>
      <c r="I2098" s="705">
        <v>518864</v>
      </c>
      <c r="J2098" s="705">
        <v>471694</v>
      </c>
      <c r="K2098" s="705">
        <v>78</v>
      </c>
      <c r="L2098" s="705">
        <v>163352</v>
      </c>
      <c r="M2098" s="705">
        <v>148136</v>
      </c>
      <c r="N2098" s="705">
        <v>87977</v>
      </c>
      <c r="O2098" s="705">
        <v>32584</v>
      </c>
      <c r="P2098" s="705">
        <v>19251</v>
      </c>
      <c r="Q2098" s="705">
        <v>7130</v>
      </c>
      <c r="R2098" s="705">
        <v>220582</v>
      </c>
      <c r="S2098" s="705">
        <v>200530</v>
      </c>
      <c r="T2098" s="705">
        <v>30000</v>
      </c>
      <c r="U2098" s="705">
        <v>11111</v>
      </c>
      <c r="V2098" s="705">
        <v>871185</v>
      </c>
      <c r="W2098" s="705">
        <f t="shared" si="86"/>
        <v>871185</v>
      </c>
      <c r="X2098" s="705">
        <f t="shared" si="87"/>
        <v>1040026</v>
      </c>
    </row>
    <row r="2099" spans="2:24">
      <c r="B2099" t="s">
        <v>552</v>
      </c>
      <c r="C2099" t="s">
        <v>118</v>
      </c>
      <c r="D2099" t="s">
        <v>584</v>
      </c>
      <c r="E2099" t="s">
        <v>665</v>
      </c>
      <c r="F2099" s="705">
        <v>1</v>
      </c>
      <c r="G2099" s="705">
        <v>105</v>
      </c>
      <c r="H2099" s="705">
        <v>238</v>
      </c>
      <c r="I2099" s="705">
        <v>10974</v>
      </c>
      <c r="J2099" s="705">
        <v>9976</v>
      </c>
      <c r="K2099" s="705">
        <v>78</v>
      </c>
      <c r="L2099" s="705">
        <v>1807</v>
      </c>
      <c r="M2099" s="705">
        <v>1643</v>
      </c>
      <c r="N2099" s="705">
        <v>2441</v>
      </c>
      <c r="O2099" s="705">
        <v>904</v>
      </c>
      <c r="P2099" s="705">
        <v>473</v>
      </c>
      <c r="Q2099" s="705">
        <v>175</v>
      </c>
      <c r="R2099" s="705">
        <v>9295</v>
      </c>
      <c r="S2099" s="705">
        <v>8450</v>
      </c>
      <c r="T2099" s="705">
        <v>0</v>
      </c>
      <c r="U2099" s="705">
        <v>0</v>
      </c>
      <c r="V2099" s="705">
        <v>21148</v>
      </c>
      <c r="W2099" s="705">
        <f t="shared" si="86"/>
        <v>21148</v>
      </c>
      <c r="X2099" s="705">
        <f t="shared" si="87"/>
        <v>24990</v>
      </c>
    </row>
    <row r="2100" spans="2:24">
      <c r="B2100" t="s">
        <v>552</v>
      </c>
      <c r="C2100" t="s">
        <v>118</v>
      </c>
      <c r="D2100" t="s">
        <v>669</v>
      </c>
      <c r="E2100" t="s">
        <v>671</v>
      </c>
      <c r="F2100" s="705">
        <v>1</v>
      </c>
      <c r="G2100" s="705">
        <v>75</v>
      </c>
      <c r="H2100" s="705">
        <v>259</v>
      </c>
      <c r="I2100" s="705">
        <v>12107</v>
      </c>
      <c r="J2100" s="705">
        <v>10089</v>
      </c>
      <c r="K2100" s="705">
        <v>65</v>
      </c>
      <c r="L2100" s="705">
        <v>0</v>
      </c>
      <c r="M2100" s="705">
        <v>1121</v>
      </c>
      <c r="N2100" s="705">
        <v>1722</v>
      </c>
      <c r="O2100" s="705">
        <v>638</v>
      </c>
      <c r="P2100" s="705">
        <v>351</v>
      </c>
      <c r="Q2100" s="705">
        <v>130</v>
      </c>
      <c r="R2100" s="705">
        <v>3100</v>
      </c>
      <c r="S2100" s="705">
        <v>2818</v>
      </c>
      <c r="T2100" s="705">
        <v>2115</v>
      </c>
      <c r="U2100" s="705">
        <v>783</v>
      </c>
      <c r="V2100" s="705">
        <v>15580</v>
      </c>
      <c r="W2100" s="705">
        <f t="shared" si="86"/>
        <v>15579</v>
      </c>
      <c r="X2100" s="705">
        <f t="shared" si="87"/>
        <v>19395</v>
      </c>
    </row>
    <row r="2101" spans="2:24">
      <c r="B2101" t="s">
        <v>552</v>
      </c>
      <c r="C2101" t="s">
        <v>118</v>
      </c>
      <c r="D2101" t="s">
        <v>667</v>
      </c>
      <c r="E2101" t="s">
        <v>667</v>
      </c>
      <c r="F2101" s="705">
        <v>6</v>
      </c>
      <c r="G2101" s="705">
        <v>546</v>
      </c>
      <c r="H2101" s="705">
        <v>1684</v>
      </c>
      <c r="I2101" s="705">
        <v>79342</v>
      </c>
      <c r="J2101" s="705">
        <v>72129</v>
      </c>
      <c r="K2101" s="705">
        <v>59</v>
      </c>
      <c r="L2101" s="705">
        <v>13450</v>
      </c>
      <c r="M2101" s="705">
        <v>12227</v>
      </c>
      <c r="N2101" s="705">
        <v>10634</v>
      </c>
      <c r="O2101" s="705">
        <v>3938</v>
      </c>
      <c r="P2101" s="705">
        <v>1755</v>
      </c>
      <c r="Q2101" s="705">
        <v>650</v>
      </c>
      <c r="R2101" s="705">
        <v>33517</v>
      </c>
      <c r="S2101" s="705">
        <v>30470</v>
      </c>
      <c r="T2101" s="705">
        <v>14321</v>
      </c>
      <c r="U2101" s="705">
        <v>5304</v>
      </c>
      <c r="V2101" s="705">
        <v>124718</v>
      </c>
      <c r="W2101" s="705">
        <f t="shared" si="86"/>
        <v>124718</v>
      </c>
      <c r="X2101" s="705">
        <f t="shared" si="87"/>
        <v>153019</v>
      </c>
    </row>
    <row r="2102" spans="2:24">
      <c r="B2102" t="s">
        <v>552</v>
      </c>
      <c r="C2102" t="s">
        <v>118</v>
      </c>
      <c r="D2102" t="s">
        <v>671</v>
      </c>
      <c r="E2102" t="s">
        <v>671</v>
      </c>
      <c r="F2102" s="705">
        <v>20</v>
      </c>
      <c r="G2102" s="705">
        <v>1794</v>
      </c>
      <c r="H2102" s="705">
        <v>5732</v>
      </c>
      <c r="I2102" s="705">
        <v>285890</v>
      </c>
      <c r="J2102" s="705">
        <v>259900</v>
      </c>
      <c r="K2102" s="705">
        <v>51</v>
      </c>
      <c r="L2102" s="705">
        <v>42578</v>
      </c>
      <c r="M2102" s="705">
        <v>36635</v>
      </c>
      <c r="N2102" s="705">
        <v>35857</v>
      </c>
      <c r="O2102" s="705">
        <v>13280</v>
      </c>
      <c r="P2102" s="705">
        <v>7020</v>
      </c>
      <c r="Q2102" s="705">
        <v>2600</v>
      </c>
      <c r="R2102" s="705">
        <v>109929</v>
      </c>
      <c r="S2102" s="705">
        <v>99935</v>
      </c>
      <c r="T2102" s="705">
        <v>31879</v>
      </c>
      <c r="U2102" s="705">
        <v>11807</v>
      </c>
      <c r="V2102" s="705">
        <v>424159</v>
      </c>
      <c r="W2102" s="705">
        <f t="shared" si="86"/>
        <v>424157</v>
      </c>
      <c r="X2102" s="705">
        <f t="shared" si="87"/>
        <v>513153</v>
      </c>
    </row>
    <row r="2103" spans="2:24">
      <c r="B2103" t="s">
        <v>552</v>
      </c>
      <c r="C2103" t="s">
        <v>118</v>
      </c>
      <c r="D2103" t="s">
        <v>665</v>
      </c>
      <c r="E2103" t="s">
        <v>665</v>
      </c>
      <c r="F2103" s="705">
        <v>133</v>
      </c>
      <c r="G2103" s="705">
        <v>11701</v>
      </c>
      <c r="H2103" s="705">
        <v>36374</v>
      </c>
      <c r="I2103" s="705">
        <v>1685575</v>
      </c>
      <c r="J2103" s="705">
        <v>1532341</v>
      </c>
      <c r="K2103" s="705">
        <v>56</v>
      </c>
      <c r="L2103" s="705">
        <v>243543</v>
      </c>
      <c r="M2103" s="705">
        <v>209524</v>
      </c>
      <c r="N2103" s="705">
        <v>205260</v>
      </c>
      <c r="O2103" s="705">
        <v>76022</v>
      </c>
      <c r="P2103" s="705">
        <v>50065</v>
      </c>
      <c r="Q2103" s="705">
        <v>18543</v>
      </c>
      <c r="R2103" s="705">
        <v>727746</v>
      </c>
      <c r="S2103" s="705">
        <v>661588</v>
      </c>
      <c r="T2103" s="705">
        <v>283253</v>
      </c>
      <c r="U2103" s="705">
        <v>104908</v>
      </c>
      <c r="V2103" s="705">
        <v>2602926</v>
      </c>
      <c r="W2103" s="705">
        <f t="shared" si="86"/>
        <v>2602926</v>
      </c>
      <c r="X2103" s="705">
        <f t="shared" si="87"/>
        <v>3195442</v>
      </c>
    </row>
    <row r="2104" spans="2:24">
      <c r="B2104" t="s">
        <v>552</v>
      </c>
      <c r="C2104" t="s">
        <v>118</v>
      </c>
      <c r="D2104" t="s">
        <v>665</v>
      </c>
      <c r="E2104" t="s">
        <v>722</v>
      </c>
      <c r="F2104" s="705">
        <v>1</v>
      </c>
      <c r="G2104" s="705">
        <v>109</v>
      </c>
      <c r="H2104" s="705">
        <v>261</v>
      </c>
      <c r="I2104" s="705">
        <v>18896</v>
      </c>
      <c r="J2104" s="705">
        <v>17178</v>
      </c>
      <c r="K2104" s="705">
        <v>55</v>
      </c>
      <c r="L2104" s="705">
        <v>0</v>
      </c>
      <c r="M2104" s="705">
        <v>0</v>
      </c>
      <c r="N2104" s="705">
        <v>2079</v>
      </c>
      <c r="O2104" s="705">
        <v>770</v>
      </c>
      <c r="P2104" s="705">
        <v>351</v>
      </c>
      <c r="Q2104" s="705">
        <v>130</v>
      </c>
      <c r="R2104" s="705">
        <v>4646</v>
      </c>
      <c r="S2104" s="705">
        <v>4223</v>
      </c>
      <c r="T2104" s="705">
        <v>2546</v>
      </c>
      <c r="U2104" s="705">
        <v>943</v>
      </c>
      <c r="V2104" s="705">
        <v>23244</v>
      </c>
      <c r="W2104" s="705">
        <f t="shared" si="86"/>
        <v>23244</v>
      </c>
      <c r="X2104" s="705">
        <f t="shared" si="87"/>
        <v>28518</v>
      </c>
    </row>
    <row r="2105" spans="2:24">
      <c r="B2105" t="s">
        <v>552</v>
      </c>
      <c r="C2105" t="s">
        <v>118</v>
      </c>
      <c r="D2105" t="s">
        <v>673</v>
      </c>
      <c r="E2105" t="s">
        <v>673</v>
      </c>
      <c r="F2105" s="705">
        <v>1</v>
      </c>
      <c r="G2105" s="705">
        <v>90</v>
      </c>
      <c r="H2105" s="705">
        <v>299</v>
      </c>
      <c r="I2105" s="705">
        <v>11401</v>
      </c>
      <c r="J2105" s="705">
        <v>10364</v>
      </c>
      <c r="K2105" s="705">
        <v>65</v>
      </c>
      <c r="L2105" s="705">
        <v>1267</v>
      </c>
      <c r="M2105" s="705">
        <v>1152</v>
      </c>
      <c r="N2105" s="705">
        <v>2188</v>
      </c>
      <c r="O2105" s="705">
        <v>810</v>
      </c>
      <c r="P2105" s="705">
        <v>351</v>
      </c>
      <c r="Q2105" s="705">
        <v>130</v>
      </c>
      <c r="R2105" s="705">
        <v>7139</v>
      </c>
      <c r="S2105" s="705">
        <v>6490</v>
      </c>
      <c r="T2105" s="705">
        <v>4523</v>
      </c>
      <c r="U2105" s="705">
        <v>1675</v>
      </c>
      <c r="V2105" s="705">
        <v>20622</v>
      </c>
      <c r="W2105" s="705">
        <f t="shared" si="86"/>
        <v>20621</v>
      </c>
      <c r="X2105" s="705">
        <f t="shared" si="87"/>
        <v>26869</v>
      </c>
    </row>
    <row r="2106" spans="2:24">
      <c r="B2106" t="s">
        <v>552</v>
      </c>
      <c r="C2106" t="s">
        <v>118</v>
      </c>
      <c r="D2106" t="s">
        <v>585</v>
      </c>
      <c r="E2106" t="s">
        <v>585</v>
      </c>
      <c r="F2106" s="705">
        <v>4</v>
      </c>
      <c r="G2106" s="705">
        <v>265</v>
      </c>
      <c r="H2106" s="705">
        <v>1059</v>
      </c>
      <c r="I2106" s="705">
        <v>44034</v>
      </c>
      <c r="J2106" s="705">
        <v>40031</v>
      </c>
      <c r="K2106" s="705">
        <v>80</v>
      </c>
      <c r="L2106" s="705">
        <v>8205</v>
      </c>
      <c r="M2106" s="705">
        <v>6110</v>
      </c>
      <c r="N2106" s="705">
        <v>5183</v>
      </c>
      <c r="O2106" s="705">
        <v>1920</v>
      </c>
      <c r="P2106" s="705">
        <v>1404</v>
      </c>
      <c r="Q2106" s="705">
        <v>520</v>
      </c>
      <c r="R2106" s="705">
        <v>14257</v>
      </c>
      <c r="S2106" s="705">
        <v>12961</v>
      </c>
      <c r="T2106" s="705">
        <v>6017</v>
      </c>
      <c r="U2106" s="705">
        <v>2228</v>
      </c>
      <c r="V2106" s="705">
        <v>63770</v>
      </c>
      <c r="W2106" s="705">
        <f t="shared" si="86"/>
        <v>63770</v>
      </c>
      <c r="X2106" s="705">
        <f t="shared" si="87"/>
        <v>79100</v>
      </c>
    </row>
    <row r="2107" spans="2:24">
      <c r="B2107" t="s">
        <v>552</v>
      </c>
      <c r="C2107" t="s">
        <v>118</v>
      </c>
      <c r="D2107" t="s">
        <v>668</v>
      </c>
      <c r="E2107" t="s">
        <v>668</v>
      </c>
      <c r="F2107" s="705">
        <v>3</v>
      </c>
      <c r="G2107" s="705">
        <v>317</v>
      </c>
      <c r="H2107" s="705">
        <v>808</v>
      </c>
      <c r="I2107" s="705">
        <v>46450</v>
      </c>
      <c r="J2107" s="705">
        <v>42227</v>
      </c>
      <c r="K2107" s="705">
        <v>85</v>
      </c>
      <c r="L2107" s="705">
        <v>14694</v>
      </c>
      <c r="M2107" s="705">
        <v>13358</v>
      </c>
      <c r="N2107" s="705">
        <v>5622</v>
      </c>
      <c r="O2107" s="705">
        <v>2082</v>
      </c>
      <c r="P2107" s="705">
        <v>1053</v>
      </c>
      <c r="Q2107" s="705">
        <v>390</v>
      </c>
      <c r="R2107" s="705">
        <v>10158</v>
      </c>
      <c r="S2107" s="705">
        <v>9234</v>
      </c>
      <c r="T2107" s="705">
        <v>7224</v>
      </c>
      <c r="U2107" s="705">
        <v>2675</v>
      </c>
      <c r="V2107" s="705">
        <v>69967</v>
      </c>
      <c r="W2107" s="705">
        <f t="shared" si="86"/>
        <v>69966</v>
      </c>
      <c r="X2107" s="705">
        <f t="shared" si="87"/>
        <v>85201</v>
      </c>
    </row>
    <row r="2108" spans="2:24">
      <c r="B2108" t="s">
        <v>552</v>
      </c>
      <c r="C2108" t="s">
        <v>120</v>
      </c>
      <c r="D2108" t="s">
        <v>228</v>
      </c>
      <c r="E2108" t="s">
        <v>228</v>
      </c>
      <c r="F2108" s="705">
        <v>53</v>
      </c>
      <c r="G2108" s="705">
        <v>4799</v>
      </c>
      <c r="H2108" s="705">
        <v>17931</v>
      </c>
      <c r="I2108" s="705">
        <v>1012284</v>
      </c>
      <c r="J2108" s="705">
        <v>374920</v>
      </c>
      <c r="K2108" s="705">
        <v>100</v>
      </c>
      <c r="L2108" s="705">
        <v>153497</v>
      </c>
      <c r="M2108" s="705">
        <v>122041</v>
      </c>
      <c r="N2108" s="705">
        <v>106464</v>
      </c>
      <c r="O2108" s="705">
        <v>39431</v>
      </c>
      <c r="P2108" s="705">
        <v>3861</v>
      </c>
      <c r="Q2108" s="705">
        <v>1430</v>
      </c>
      <c r="R2108" s="705">
        <v>393102</v>
      </c>
      <c r="S2108" s="705">
        <v>145593</v>
      </c>
      <c r="T2108" s="705">
        <v>0</v>
      </c>
      <c r="U2108" s="705">
        <v>0</v>
      </c>
      <c r="V2108" s="705">
        <v>683415</v>
      </c>
      <c r="W2108" s="705">
        <f t="shared" si="86"/>
        <v>683415</v>
      </c>
      <c r="X2108" s="705">
        <f t="shared" si="87"/>
        <v>1669208</v>
      </c>
    </row>
    <row r="2109" spans="2:24">
      <c r="B2109" t="s">
        <v>552</v>
      </c>
      <c r="C2109" t="s">
        <v>120</v>
      </c>
      <c r="D2109" t="s">
        <v>228</v>
      </c>
      <c r="E2109" t="s">
        <v>666</v>
      </c>
      <c r="F2109" s="705">
        <v>1</v>
      </c>
      <c r="G2109" s="705">
        <v>81</v>
      </c>
      <c r="H2109" s="705">
        <v>332</v>
      </c>
      <c r="I2109" s="705">
        <v>13960</v>
      </c>
      <c r="J2109" s="705">
        <v>5170</v>
      </c>
      <c r="K2109" s="705">
        <v>100</v>
      </c>
      <c r="L2109" s="705">
        <v>2106</v>
      </c>
      <c r="M2109" s="705">
        <v>1915</v>
      </c>
      <c r="N2109" s="705">
        <v>1768</v>
      </c>
      <c r="O2109" s="705">
        <v>655</v>
      </c>
      <c r="P2109" s="705">
        <v>0</v>
      </c>
      <c r="Q2109" s="705">
        <v>0</v>
      </c>
      <c r="R2109" s="705">
        <v>8946</v>
      </c>
      <c r="S2109" s="705">
        <v>8133</v>
      </c>
      <c r="T2109" s="705">
        <v>0</v>
      </c>
      <c r="U2109" s="705">
        <v>0</v>
      </c>
      <c r="V2109" s="705">
        <v>15873</v>
      </c>
      <c r="W2109" s="705">
        <f t="shared" si="86"/>
        <v>15873</v>
      </c>
      <c r="X2109" s="705">
        <f t="shared" si="87"/>
        <v>26780</v>
      </c>
    </row>
    <row r="2110" spans="2:24">
      <c r="B2110" t="s">
        <v>552</v>
      </c>
      <c r="C2110" t="s">
        <v>120</v>
      </c>
      <c r="D2110" t="s">
        <v>228</v>
      </c>
      <c r="E2110" t="s">
        <v>665</v>
      </c>
      <c r="F2110" s="705">
        <v>5</v>
      </c>
      <c r="G2110" s="705">
        <v>434</v>
      </c>
      <c r="H2110" s="705">
        <v>1709</v>
      </c>
      <c r="I2110" s="705">
        <v>90973</v>
      </c>
      <c r="J2110" s="705">
        <v>33694</v>
      </c>
      <c r="K2110" s="705">
        <v>100</v>
      </c>
      <c r="L2110" s="705">
        <v>9829</v>
      </c>
      <c r="M2110" s="705">
        <v>8935</v>
      </c>
      <c r="N2110" s="705">
        <v>9548</v>
      </c>
      <c r="O2110" s="705">
        <v>3536</v>
      </c>
      <c r="P2110" s="705">
        <v>1053</v>
      </c>
      <c r="Q2110" s="705">
        <v>390</v>
      </c>
      <c r="R2110" s="705">
        <v>27483</v>
      </c>
      <c r="S2110" s="705">
        <v>24984</v>
      </c>
      <c r="T2110" s="705">
        <v>10469</v>
      </c>
      <c r="U2110" s="705">
        <v>3877</v>
      </c>
      <c r="V2110" s="705">
        <v>75417</v>
      </c>
      <c r="W2110" s="705">
        <f t="shared" si="86"/>
        <v>75416</v>
      </c>
      <c r="X2110" s="705">
        <f t="shared" si="87"/>
        <v>149355</v>
      </c>
    </row>
    <row r="2111" spans="2:24">
      <c r="B2111" t="s">
        <v>552</v>
      </c>
      <c r="C2111" t="s">
        <v>120</v>
      </c>
      <c r="D2111" t="s">
        <v>583</v>
      </c>
      <c r="E2111" t="s">
        <v>664</v>
      </c>
      <c r="F2111" s="705">
        <v>1</v>
      </c>
      <c r="G2111" s="705">
        <v>131</v>
      </c>
      <c r="H2111" s="705">
        <v>376</v>
      </c>
      <c r="I2111" s="705">
        <v>31939</v>
      </c>
      <c r="J2111" s="705">
        <v>29035</v>
      </c>
      <c r="K2111" s="705">
        <v>60</v>
      </c>
      <c r="L2111" s="705">
        <v>6743</v>
      </c>
      <c r="M2111" s="705">
        <v>6130</v>
      </c>
      <c r="N2111" s="705">
        <v>2882</v>
      </c>
      <c r="O2111" s="705">
        <v>1067</v>
      </c>
      <c r="P2111" s="705">
        <v>621</v>
      </c>
      <c r="Q2111" s="705">
        <v>230</v>
      </c>
      <c r="R2111" s="705">
        <v>7263</v>
      </c>
      <c r="S2111" s="705">
        <v>6603</v>
      </c>
      <c r="T2111" s="705">
        <v>0</v>
      </c>
      <c r="U2111" s="705">
        <v>0</v>
      </c>
      <c r="V2111" s="705">
        <v>43065</v>
      </c>
      <c r="W2111" s="705">
        <f t="shared" si="86"/>
        <v>43065</v>
      </c>
      <c r="X2111" s="705">
        <f t="shared" si="87"/>
        <v>49448</v>
      </c>
    </row>
    <row r="2112" spans="2:24">
      <c r="B2112" t="s">
        <v>552</v>
      </c>
      <c r="C2112" t="s">
        <v>120</v>
      </c>
      <c r="D2112" t="s">
        <v>583</v>
      </c>
      <c r="E2112" t="s">
        <v>228</v>
      </c>
      <c r="F2112" s="705">
        <v>1</v>
      </c>
      <c r="G2112" s="705">
        <v>61</v>
      </c>
      <c r="H2112" s="705">
        <v>308</v>
      </c>
      <c r="I2112" s="705">
        <v>18715</v>
      </c>
      <c r="J2112" s="705">
        <v>17013</v>
      </c>
      <c r="K2112" s="705">
        <v>86</v>
      </c>
      <c r="L2112" s="705">
        <v>0</v>
      </c>
      <c r="M2112" s="705">
        <v>0</v>
      </c>
      <c r="N2112" s="705">
        <v>2042</v>
      </c>
      <c r="O2112" s="705">
        <v>756</v>
      </c>
      <c r="P2112" s="705">
        <v>621</v>
      </c>
      <c r="Q2112" s="705">
        <v>230</v>
      </c>
      <c r="R2112" s="705">
        <v>4848</v>
      </c>
      <c r="S2112" s="705">
        <v>1796</v>
      </c>
      <c r="T2112" s="705">
        <v>0</v>
      </c>
      <c r="U2112" s="705">
        <v>0</v>
      </c>
      <c r="V2112" s="705">
        <v>19795</v>
      </c>
      <c r="W2112" s="705">
        <f t="shared" si="86"/>
        <v>19795</v>
      </c>
      <c r="X2112" s="705">
        <f t="shared" si="87"/>
        <v>26226</v>
      </c>
    </row>
    <row r="2113" spans="2:24">
      <c r="B2113" t="s">
        <v>552</v>
      </c>
      <c r="C2113" t="s">
        <v>120</v>
      </c>
      <c r="D2113" t="s">
        <v>583</v>
      </c>
      <c r="E2113" t="s">
        <v>583</v>
      </c>
      <c r="F2113" s="705">
        <v>239</v>
      </c>
      <c r="G2113" s="705">
        <v>21695</v>
      </c>
      <c r="H2113" s="705">
        <v>81227</v>
      </c>
      <c r="I2113" s="705">
        <v>4516627</v>
      </c>
      <c r="J2113" s="705">
        <v>4106025</v>
      </c>
      <c r="K2113" s="705">
        <v>80</v>
      </c>
      <c r="L2113" s="705">
        <v>876532</v>
      </c>
      <c r="M2113" s="705">
        <v>772776</v>
      </c>
      <c r="N2113" s="705">
        <v>445835</v>
      </c>
      <c r="O2113" s="705">
        <v>165124</v>
      </c>
      <c r="P2113" s="705">
        <v>163195</v>
      </c>
      <c r="Q2113" s="705">
        <v>60443</v>
      </c>
      <c r="R2113" s="705">
        <v>1066603</v>
      </c>
      <c r="S2113" s="705">
        <v>969639</v>
      </c>
      <c r="T2113" s="705">
        <v>359105</v>
      </c>
      <c r="U2113" s="705">
        <v>133002</v>
      </c>
      <c r="V2113" s="705">
        <v>6207008</v>
      </c>
      <c r="W2113" s="705">
        <f t="shared" si="86"/>
        <v>6207009</v>
      </c>
      <c r="X2113" s="705">
        <f t="shared" si="87"/>
        <v>7427897</v>
      </c>
    </row>
    <row r="2114" spans="2:24">
      <c r="B2114" t="s">
        <v>552</v>
      </c>
      <c r="C2114" t="s">
        <v>120</v>
      </c>
      <c r="D2114" t="s">
        <v>583</v>
      </c>
      <c r="E2114" t="s">
        <v>671</v>
      </c>
      <c r="F2114" s="705">
        <v>1</v>
      </c>
      <c r="G2114" s="705">
        <v>68</v>
      </c>
      <c r="H2114" s="705">
        <v>337</v>
      </c>
      <c r="I2114" s="705">
        <v>23108</v>
      </c>
      <c r="J2114" s="705">
        <v>21008</v>
      </c>
      <c r="K2114" s="705">
        <v>81</v>
      </c>
      <c r="L2114" s="705">
        <v>3057</v>
      </c>
      <c r="M2114" s="705">
        <v>2779</v>
      </c>
      <c r="N2114" s="705">
        <v>2213</v>
      </c>
      <c r="O2114" s="705">
        <v>820</v>
      </c>
      <c r="P2114" s="705">
        <v>621</v>
      </c>
      <c r="Q2114" s="705">
        <v>230</v>
      </c>
      <c r="R2114" s="705">
        <v>4450</v>
      </c>
      <c r="S2114" s="705">
        <v>4045</v>
      </c>
      <c r="T2114" s="705">
        <v>0</v>
      </c>
      <c r="U2114" s="705">
        <v>0</v>
      </c>
      <c r="V2114" s="705">
        <v>28882</v>
      </c>
      <c r="W2114" s="705">
        <f t="shared" si="86"/>
        <v>28882</v>
      </c>
      <c r="X2114" s="705">
        <f t="shared" si="87"/>
        <v>33449</v>
      </c>
    </row>
    <row r="2115" spans="2:24">
      <c r="B2115" t="s">
        <v>552</v>
      </c>
      <c r="C2115" t="s">
        <v>120</v>
      </c>
      <c r="D2115" t="s">
        <v>583</v>
      </c>
      <c r="E2115" t="s">
        <v>665</v>
      </c>
      <c r="F2115" s="705">
        <v>2</v>
      </c>
      <c r="G2115" s="705">
        <v>251</v>
      </c>
      <c r="H2115" s="705">
        <v>644</v>
      </c>
      <c r="I2115" s="705">
        <v>47796</v>
      </c>
      <c r="J2115" s="705">
        <v>43450</v>
      </c>
      <c r="K2115" s="705">
        <v>78</v>
      </c>
      <c r="L2115" s="705">
        <v>9174</v>
      </c>
      <c r="M2115" s="705">
        <v>8340</v>
      </c>
      <c r="N2115" s="705">
        <v>5474</v>
      </c>
      <c r="O2115" s="705">
        <v>2028</v>
      </c>
      <c r="P2115" s="705">
        <v>1242</v>
      </c>
      <c r="Q2115" s="705">
        <v>460</v>
      </c>
      <c r="R2115" s="705">
        <v>10954</v>
      </c>
      <c r="S2115" s="705">
        <v>9958</v>
      </c>
      <c r="T2115" s="705">
        <v>6331</v>
      </c>
      <c r="U2115" s="705">
        <v>2345</v>
      </c>
      <c r="V2115" s="705">
        <v>66581</v>
      </c>
      <c r="W2115" s="705">
        <f t="shared" si="86"/>
        <v>66581</v>
      </c>
      <c r="X2115" s="705">
        <f t="shared" si="87"/>
        <v>80971</v>
      </c>
    </row>
    <row r="2116" spans="2:24">
      <c r="B2116" t="s">
        <v>552</v>
      </c>
      <c r="C2116" t="s">
        <v>120</v>
      </c>
      <c r="D2116" t="s">
        <v>666</v>
      </c>
      <c r="E2116" t="s">
        <v>666</v>
      </c>
      <c r="F2116" s="705">
        <v>115</v>
      </c>
      <c r="G2116" s="705">
        <v>9739</v>
      </c>
      <c r="H2116" s="705">
        <v>39826</v>
      </c>
      <c r="I2116" s="705">
        <v>1854837</v>
      </c>
      <c r="J2116" s="705">
        <v>1686216</v>
      </c>
      <c r="K2116" s="705">
        <v>48</v>
      </c>
      <c r="L2116" s="705">
        <v>294881</v>
      </c>
      <c r="M2116" s="705">
        <v>268074</v>
      </c>
      <c r="N2116" s="705">
        <v>166239</v>
      </c>
      <c r="O2116" s="705">
        <v>61570</v>
      </c>
      <c r="P2116" s="705">
        <v>40635</v>
      </c>
      <c r="Q2116" s="705">
        <v>15050</v>
      </c>
      <c r="R2116" s="705">
        <v>702228</v>
      </c>
      <c r="S2116" s="705">
        <v>638389</v>
      </c>
      <c r="T2116" s="705">
        <v>308648</v>
      </c>
      <c r="U2116" s="705">
        <v>114314</v>
      </c>
      <c r="V2116" s="705">
        <v>2783613</v>
      </c>
      <c r="W2116" s="705">
        <f t="shared" si="86"/>
        <v>2783613</v>
      </c>
      <c r="X2116" s="705">
        <f t="shared" si="87"/>
        <v>3367468</v>
      </c>
    </row>
    <row r="2117" spans="2:24">
      <c r="B2117" t="s">
        <v>552</v>
      </c>
      <c r="C2117" t="s">
        <v>120</v>
      </c>
      <c r="D2117" t="s">
        <v>584</v>
      </c>
      <c r="E2117" t="s">
        <v>584</v>
      </c>
      <c r="F2117" s="705">
        <v>2</v>
      </c>
      <c r="G2117" s="705">
        <v>161</v>
      </c>
      <c r="H2117" s="705">
        <v>677</v>
      </c>
      <c r="I2117" s="705">
        <v>32583</v>
      </c>
      <c r="J2117" s="705">
        <v>29621</v>
      </c>
      <c r="K2117" s="705">
        <v>84</v>
      </c>
      <c r="L2117" s="705">
        <v>6775</v>
      </c>
      <c r="M2117" s="705">
        <v>6159</v>
      </c>
      <c r="N2117" s="705">
        <v>2977</v>
      </c>
      <c r="O2117" s="705">
        <v>1102</v>
      </c>
      <c r="P2117" s="705">
        <v>945</v>
      </c>
      <c r="Q2117" s="705">
        <v>350</v>
      </c>
      <c r="R2117" s="705">
        <v>6844</v>
      </c>
      <c r="S2117" s="705">
        <v>6222</v>
      </c>
      <c r="T2117" s="705">
        <v>4435</v>
      </c>
      <c r="U2117" s="705">
        <v>1642</v>
      </c>
      <c r="V2117" s="705">
        <v>45097</v>
      </c>
      <c r="W2117" s="705">
        <f t="shared" si="86"/>
        <v>45096</v>
      </c>
      <c r="X2117" s="705">
        <f t="shared" si="87"/>
        <v>54559</v>
      </c>
    </row>
    <row r="2118" spans="2:24">
      <c r="B2118" t="s">
        <v>552</v>
      </c>
      <c r="C2118" t="s">
        <v>120</v>
      </c>
      <c r="D2118" t="s">
        <v>669</v>
      </c>
      <c r="E2118" t="s">
        <v>669</v>
      </c>
      <c r="F2118" s="705">
        <v>9</v>
      </c>
      <c r="G2118" s="705">
        <v>803</v>
      </c>
      <c r="H2118" s="705">
        <v>3011</v>
      </c>
      <c r="I2118" s="705">
        <v>161928</v>
      </c>
      <c r="J2118" s="705">
        <v>134940</v>
      </c>
      <c r="K2118" s="705">
        <v>51</v>
      </c>
      <c r="L2118" s="705">
        <v>12354</v>
      </c>
      <c r="M2118" s="705">
        <v>16827</v>
      </c>
      <c r="N2118" s="705">
        <v>14963</v>
      </c>
      <c r="O2118" s="705">
        <v>5542</v>
      </c>
      <c r="P2118" s="705">
        <v>3429</v>
      </c>
      <c r="Q2118" s="705">
        <v>1270</v>
      </c>
      <c r="R2118" s="705">
        <v>57472</v>
      </c>
      <c r="S2118" s="705">
        <v>47893</v>
      </c>
      <c r="T2118" s="705">
        <v>19002</v>
      </c>
      <c r="U2118" s="705">
        <v>7038</v>
      </c>
      <c r="V2118" s="705">
        <v>213509</v>
      </c>
      <c r="W2118" s="705">
        <f t="shared" si="86"/>
        <v>213510</v>
      </c>
      <c r="X2118" s="705">
        <f t="shared" si="87"/>
        <v>269148</v>
      </c>
    </row>
    <row r="2119" spans="2:24">
      <c r="B2119" t="s">
        <v>552</v>
      </c>
      <c r="C2119" t="s">
        <v>120</v>
      </c>
      <c r="D2119" t="s">
        <v>669</v>
      </c>
      <c r="E2119" t="s">
        <v>665</v>
      </c>
      <c r="F2119" s="705">
        <v>1</v>
      </c>
      <c r="G2119" s="705">
        <v>78</v>
      </c>
      <c r="H2119" s="705">
        <v>340</v>
      </c>
      <c r="I2119" s="705">
        <v>19354</v>
      </c>
      <c r="J2119" s="705">
        <v>16128</v>
      </c>
      <c r="K2119" s="705">
        <v>55</v>
      </c>
      <c r="L2119" s="705">
        <v>0</v>
      </c>
      <c r="M2119" s="705">
        <v>3285</v>
      </c>
      <c r="N2119" s="705">
        <v>950</v>
      </c>
      <c r="O2119" s="705">
        <v>352</v>
      </c>
      <c r="P2119" s="705">
        <v>351</v>
      </c>
      <c r="Q2119" s="705">
        <v>130</v>
      </c>
      <c r="R2119" s="705">
        <v>3719</v>
      </c>
      <c r="S2119" s="705">
        <v>3381</v>
      </c>
      <c r="T2119" s="705">
        <v>2152</v>
      </c>
      <c r="U2119" s="705">
        <v>797</v>
      </c>
      <c r="V2119" s="705">
        <v>24074</v>
      </c>
      <c r="W2119" s="705">
        <f t="shared" si="86"/>
        <v>24073</v>
      </c>
      <c r="X2119" s="705">
        <f t="shared" si="87"/>
        <v>26526</v>
      </c>
    </row>
    <row r="2120" spans="2:24">
      <c r="B2120" t="s">
        <v>552</v>
      </c>
      <c r="C2120" t="s">
        <v>120</v>
      </c>
      <c r="D2120" t="s">
        <v>667</v>
      </c>
      <c r="E2120" t="s">
        <v>667</v>
      </c>
      <c r="F2120" s="705">
        <v>7</v>
      </c>
      <c r="G2120" s="705">
        <v>639</v>
      </c>
      <c r="H2120" s="705">
        <v>2334</v>
      </c>
      <c r="I2120" s="705">
        <v>108732</v>
      </c>
      <c r="J2120" s="705">
        <v>98847</v>
      </c>
      <c r="K2120" s="705">
        <v>56</v>
      </c>
      <c r="L2120" s="705">
        <v>25155</v>
      </c>
      <c r="M2120" s="705">
        <v>19243</v>
      </c>
      <c r="N2120" s="705">
        <v>14901</v>
      </c>
      <c r="O2120" s="705">
        <v>5519</v>
      </c>
      <c r="P2120" s="705">
        <v>2457</v>
      </c>
      <c r="Q2120" s="705">
        <v>910</v>
      </c>
      <c r="R2120" s="705">
        <v>40853</v>
      </c>
      <c r="S2120" s="705">
        <v>37139</v>
      </c>
      <c r="T2120" s="705">
        <v>20855</v>
      </c>
      <c r="U2120" s="705">
        <v>7724</v>
      </c>
      <c r="V2120" s="705">
        <v>169382</v>
      </c>
      <c r="W2120" s="705">
        <f t="shared" si="86"/>
        <v>169382</v>
      </c>
      <c r="X2120" s="705">
        <f t="shared" si="87"/>
        <v>212953</v>
      </c>
    </row>
    <row r="2121" spans="2:24">
      <c r="B2121" t="s">
        <v>552</v>
      </c>
      <c r="C2121" t="s">
        <v>120</v>
      </c>
      <c r="D2121" t="s">
        <v>671</v>
      </c>
      <c r="E2121" t="s">
        <v>228</v>
      </c>
      <c r="F2121" s="705">
        <v>1</v>
      </c>
      <c r="G2121" s="705">
        <v>75</v>
      </c>
      <c r="H2121" s="705">
        <v>368</v>
      </c>
      <c r="I2121" s="705">
        <v>15272</v>
      </c>
      <c r="J2121" s="705">
        <v>13884</v>
      </c>
      <c r="K2121" s="705">
        <v>60</v>
      </c>
      <c r="L2121" s="705">
        <v>2499</v>
      </c>
      <c r="M2121" s="705">
        <v>926</v>
      </c>
      <c r="N2121" s="705">
        <v>1372</v>
      </c>
      <c r="O2121" s="705">
        <v>508</v>
      </c>
      <c r="P2121" s="705">
        <v>0</v>
      </c>
      <c r="Q2121" s="705">
        <v>0</v>
      </c>
      <c r="R2121" s="705">
        <v>8522</v>
      </c>
      <c r="S2121" s="705">
        <v>3156</v>
      </c>
      <c r="T2121" s="705">
        <v>0</v>
      </c>
      <c r="U2121" s="705">
        <v>0</v>
      </c>
      <c r="V2121" s="705">
        <v>18474</v>
      </c>
      <c r="W2121" s="705">
        <f t="shared" si="86"/>
        <v>18474</v>
      </c>
      <c r="X2121" s="705">
        <f t="shared" si="87"/>
        <v>27665</v>
      </c>
    </row>
    <row r="2122" spans="2:24">
      <c r="B2122" t="s">
        <v>552</v>
      </c>
      <c r="C2122" t="s">
        <v>120</v>
      </c>
      <c r="D2122" t="s">
        <v>671</v>
      </c>
      <c r="E2122" t="s">
        <v>671</v>
      </c>
      <c r="F2122" s="705">
        <v>48</v>
      </c>
      <c r="G2122" s="705">
        <v>4320</v>
      </c>
      <c r="H2122" s="705">
        <v>15767</v>
      </c>
      <c r="I2122" s="705">
        <v>776602</v>
      </c>
      <c r="J2122" s="705">
        <v>706002</v>
      </c>
      <c r="K2122" s="705">
        <v>48</v>
      </c>
      <c r="L2122" s="705">
        <v>125268</v>
      </c>
      <c r="M2122" s="705">
        <v>113880</v>
      </c>
      <c r="N2122" s="705">
        <v>83669</v>
      </c>
      <c r="O2122" s="705">
        <v>30989</v>
      </c>
      <c r="P2122" s="705">
        <v>16497</v>
      </c>
      <c r="Q2122" s="705">
        <v>6110</v>
      </c>
      <c r="R2122" s="705">
        <v>310251</v>
      </c>
      <c r="S2122" s="705">
        <v>282047</v>
      </c>
      <c r="T2122" s="705">
        <v>110826</v>
      </c>
      <c r="U2122" s="705">
        <v>41047</v>
      </c>
      <c r="V2122" s="705">
        <v>1180073</v>
      </c>
      <c r="W2122" s="705">
        <f t="shared" si="86"/>
        <v>1180075</v>
      </c>
      <c r="X2122" s="705">
        <f t="shared" si="87"/>
        <v>1423113</v>
      </c>
    </row>
    <row r="2123" spans="2:24">
      <c r="B2123" t="s">
        <v>552</v>
      </c>
      <c r="C2123" t="s">
        <v>120</v>
      </c>
      <c r="D2123" t="s">
        <v>665</v>
      </c>
      <c r="E2123" t="s">
        <v>665</v>
      </c>
      <c r="F2123" s="705">
        <v>597</v>
      </c>
      <c r="G2123" s="705">
        <v>48972</v>
      </c>
      <c r="H2123" s="705">
        <v>204739</v>
      </c>
      <c r="I2123" s="705">
        <v>9273670</v>
      </c>
      <c r="J2123" s="705">
        <v>8430609</v>
      </c>
      <c r="K2123" s="705">
        <v>48</v>
      </c>
      <c r="L2123" s="705">
        <v>1366694</v>
      </c>
      <c r="M2123" s="705">
        <v>1210759</v>
      </c>
      <c r="N2123" s="705">
        <v>862535</v>
      </c>
      <c r="O2123" s="705">
        <v>319458</v>
      </c>
      <c r="P2123" s="705">
        <v>211316</v>
      </c>
      <c r="Q2123" s="705">
        <v>78265</v>
      </c>
      <c r="R2123" s="705">
        <v>3692014</v>
      </c>
      <c r="S2123" s="705">
        <v>3356376</v>
      </c>
      <c r="T2123" s="705">
        <v>1368098</v>
      </c>
      <c r="U2123" s="705">
        <v>506703</v>
      </c>
      <c r="V2123" s="705">
        <v>13902170</v>
      </c>
      <c r="W2123" s="705">
        <f t="shared" si="86"/>
        <v>13902170</v>
      </c>
      <c r="X2123" s="705">
        <f t="shared" si="87"/>
        <v>16774327</v>
      </c>
    </row>
    <row r="2124" spans="2:24">
      <c r="B2124" t="s">
        <v>552</v>
      </c>
      <c r="C2124" t="s">
        <v>120</v>
      </c>
      <c r="D2124" t="s">
        <v>722</v>
      </c>
      <c r="E2124" t="s">
        <v>665</v>
      </c>
      <c r="F2124" s="705">
        <v>2</v>
      </c>
      <c r="G2124" s="705">
        <v>165</v>
      </c>
      <c r="H2124" s="705">
        <v>664</v>
      </c>
      <c r="I2124" s="705">
        <v>29074</v>
      </c>
      <c r="J2124" s="705">
        <v>26431</v>
      </c>
      <c r="K2124" s="705">
        <v>45</v>
      </c>
      <c r="L2124" s="705">
        <v>4846</v>
      </c>
      <c r="M2124" s="705">
        <v>4405</v>
      </c>
      <c r="N2124" s="705">
        <v>2217</v>
      </c>
      <c r="O2124" s="705">
        <v>821</v>
      </c>
      <c r="P2124" s="705">
        <v>702</v>
      </c>
      <c r="Q2124" s="705">
        <v>260</v>
      </c>
      <c r="R2124" s="705">
        <v>13054</v>
      </c>
      <c r="S2124" s="705">
        <v>11868</v>
      </c>
      <c r="T2124" s="705">
        <v>4928</v>
      </c>
      <c r="U2124" s="705">
        <v>1825</v>
      </c>
      <c r="V2124" s="705">
        <v>45610</v>
      </c>
      <c r="W2124" s="705">
        <f t="shared" si="86"/>
        <v>45610</v>
      </c>
      <c r="X2124" s="705">
        <f t="shared" si="87"/>
        <v>54821</v>
      </c>
    </row>
    <row r="2125" spans="2:24">
      <c r="B2125" t="s">
        <v>552</v>
      </c>
      <c r="C2125" t="s">
        <v>120</v>
      </c>
      <c r="D2125" t="s">
        <v>585</v>
      </c>
      <c r="E2125" t="s">
        <v>585</v>
      </c>
      <c r="F2125" s="705">
        <v>1</v>
      </c>
      <c r="G2125" s="705">
        <v>194</v>
      </c>
      <c r="H2125" s="705">
        <v>334</v>
      </c>
      <c r="I2125" s="705">
        <v>46129</v>
      </c>
      <c r="J2125" s="705">
        <v>41935</v>
      </c>
      <c r="K2125" s="705">
        <v>82</v>
      </c>
      <c r="L2125" s="705">
        <v>6019</v>
      </c>
      <c r="M2125" s="705">
        <v>5472</v>
      </c>
      <c r="N2125" s="705">
        <v>4715</v>
      </c>
      <c r="O2125" s="705">
        <v>1746</v>
      </c>
      <c r="P2125" s="705">
        <v>972</v>
      </c>
      <c r="Q2125" s="705">
        <v>360</v>
      </c>
      <c r="R2125" s="705">
        <v>6836</v>
      </c>
      <c r="S2125" s="705">
        <v>6214</v>
      </c>
      <c r="T2125" s="705">
        <v>0</v>
      </c>
      <c r="U2125" s="705">
        <v>0</v>
      </c>
      <c r="V2125" s="705">
        <v>55727</v>
      </c>
      <c r="W2125" s="705">
        <f t="shared" si="86"/>
        <v>55727</v>
      </c>
      <c r="X2125" s="705">
        <f t="shared" si="87"/>
        <v>64671</v>
      </c>
    </row>
    <row r="2126" spans="2:24">
      <c r="B2126" t="s">
        <v>552</v>
      </c>
      <c r="C2126" t="s">
        <v>120</v>
      </c>
      <c r="D2126" t="s">
        <v>668</v>
      </c>
      <c r="E2126" t="s">
        <v>668</v>
      </c>
      <c r="F2126" s="705">
        <v>1</v>
      </c>
      <c r="G2126" s="705">
        <v>97</v>
      </c>
      <c r="H2126" s="705">
        <v>348</v>
      </c>
      <c r="I2126" s="705">
        <v>22271</v>
      </c>
      <c r="J2126" s="705">
        <v>20246</v>
      </c>
      <c r="K2126" s="705">
        <v>65</v>
      </c>
      <c r="L2126" s="705">
        <v>2132</v>
      </c>
      <c r="M2126" s="705">
        <v>1938</v>
      </c>
      <c r="N2126" s="705">
        <v>1540</v>
      </c>
      <c r="O2126" s="705">
        <v>570</v>
      </c>
      <c r="P2126" s="705">
        <v>351</v>
      </c>
      <c r="Q2126" s="705">
        <v>130</v>
      </c>
      <c r="R2126" s="705">
        <v>7267</v>
      </c>
      <c r="S2126" s="705">
        <v>6606</v>
      </c>
      <c r="T2126" s="705">
        <v>0</v>
      </c>
      <c r="U2126" s="705">
        <v>0</v>
      </c>
      <c r="V2126" s="705">
        <v>29491</v>
      </c>
      <c r="W2126" s="705">
        <f t="shared" si="86"/>
        <v>29490</v>
      </c>
      <c r="X2126" s="705">
        <f t="shared" si="87"/>
        <v>33561</v>
      </c>
    </row>
    <row r="2127" spans="2:24">
      <c r="B2127" t="s">
        <v>552</v>
      </c>
      <c r="C2127" t="s">
        <v>122</v>
      </c>
      <c r="D2127" t="s">
        <v>228</v>
      </c>
      <c r="E2127" t="s">
        <v>228</v>
      </c>
      <c r="F2127" s="705">
        <v>14</v>
      </c>
      <c r="G2127" s="705">
        <v>1138</v>
      </c>
      <c r="H2127" s="705">
        <v>5686</v>
      </c>
      <c r="I2127" s="705">
        <v>301502</v>
      </c>
      <c r="J2127" s="705">
        <v>111668</v>
      </c>
      <c r="K2127" s="705">
        <v>100</v>
      </c>
      <c r="L2127" s="705">
        <v>46017</v>
      </c>
      <c r="M2127" s="705">
        <v>37702</v>
      </c>
      <c r="N2127" s="705">
        <v>23651</v>
      </c>
      <c r="O2127" s="705">
        <v>8760</v>
      </c>
      <c r="P2127" s="705">
        <v>0</v>
      </c>
      <c r="Q2127" s="705">
        <v>0</v>
      </c>
      <c r="R2127" s="705">
        <v>91688</v>
      </c>
      <c r="S2127" s="705">
        <v>33959</v>
      </c>
      <c r="T2127" s="705">
        <v>0</v>
      </c>
      <c r="U2127" s="705">
        <v>0</v>
      </c>
      <c r="V2127" s="705">
        <v>192088</v>
      </c>
      <c r="W2127" s="705">
        <f t="shared" si="86"/>
        <v>192089</v>
      </c>
      <c r="X2127" s="705">
        <f t="shared" si="87"/>
        <v>462858</v>
      </c>
    </row>
    <row r="2128" spans="2:24">
      <c r="B2128" t="s">
        <v>552</v>
      </c>
      <c r="C2128" t="s">
        <v>122</v>
      </c>
      <c r="D2128" t="s">
        <v>228</v>
      </c>
      <c r="E2128" t="s">
        <v>671</v>
      </c>
      <c r="F2128" s="705">
        <v>3</v>
      </c>
      <c r="G2128" s="705">
        <v>335</v>
      </c>
      <c r="H2128" s="705">
        <v>1240</v>
      </c>
      <c r="I2128" s="705">
        <v>85671</v>
      </c>
      <c r="J2128" s="705">
        <v>31730</v>
      </c>
      <c r="K2128" s="705">
        <v>100</v>
      </c>
      <c r="L2128" s="705">
        <v>18767</v>
      </c>
      <c r="M2128" s="705">
        <v>17061</v>
      </c>
      <c r="N2128" s="705">
        <v>6938</v>
      </c>
      <c r="O2128" s="705">
        <v>2570</v>
      </c>
      <c r="P2128" s="705">
        <v>351</v>
      </c>
      <c r="Q2128" s="705">
        <v>130</v>
      </c>
      <c r="R2128" s="705">
        <v>21295</v>
      </c>
      <c r="S2128" s="705">
        <v>19359</v>
      </c>
      <c r="T2128" s="705">
        <v>5734</v>
      </c>
      <c r="U2128" s="705">
        <v>2124</v>
      </c>
      <c r="V2128" s="705">
        <v>72973</v>
      </c>
      <c r="W2128" s="705">
        <f t="shared" si="86"/>
        <v>72974</v>
      </c>
      <c r="X2128" s="705">
        <f t="shared" si="87"/>
        <v>138756</v>
      </c>
    </row>
    <row r="2129" spans="2:24">
      <c r="B2129" t="s">
        <v>552</v>
      </c>
      <c r="C2129" t="s">
        <v>122</v>
      </c>
      <c r="D2129" t="s">
        <v>228</v>
      </c>
      <c r="E2129" t="s">
        <v>665</v>
      </c>
      <c r="F2129" s="705">
        <v>4</v>
      </c>
      <c r="G2129" s="705">
        <v>323</v>
      </c>
      <c r="H2129" s="705">
        <v>1650</v>
      </c>
      <c r="I2129" s="705">
        <v>82358</v>
      </c>
      <c r="J2129" s="705">
        <v>30503</v>
      </c>
      <c r="K2129" s="705">
        <v>100</v>
      </c>
      <c r="L2129" s="705">
        <v>11049</v>
      </c>
      <c r="M2129" s="705">
        <v>10045</v>
      </c>
      <c r="N2129" s="705">
        <v>6161</v>
      </c>
      <c r="O2129" s="705">
        <v>2282</v>
      </c>
      <c r="P2129" s="705">
        <v>0</v>
      </c>
      <c r="Q2129" s="705">
        <v>0</v>
      </c>
      <c r="R2129" s="705">
        <v>23545</v>
      </c>
      <c r="S2129" s="705">
        <v>21405</v>
      </c>
      <c r="T2129" s="705">
        <v>10486</v>
      </c>
      <c r="U2129" s="705">
        <v>3884</v>
      </c>
      <c r="V2129" s="705">
        <v>68118</v>
      </c>
      <c r="W2129" s="705">
        <f t="shared" si="86"/>
        <v>68119</v>
      </c>
      <c r="X2129" s="705">
        <f t="shared" si="87"/>
        <v>133599</v>
      </c>
    </row>
    <row r="2130" spans="2:24">
      <c r="B2130" t="s">
        <v>552</v>
      </c>
      <c r="C2130" t="s">
        <v>122</v>
      </c>
      <c r="D2130" t="s">
        <v>583</v>
      </c>
      <c r="E2130" t="s">
        <v>228</v>
      </c>
      <c r="F2130" s="705">
        <v>2</v>
      </c>
      <c r="G2130" s="705">
        <v>242</v>
      </c>
      <c r="H2130" s="705">
        <v>850</v>
      </c>
      <c r="I2130" s="705">
        <v>73706</v>
      </c>
      <c r="J2130" s="705">
        <v>67005</v>
      </c>
      <c r="K2130" s="705">
        <v>90</v>
      </c>
      <c r="L2130" s="705">
        <v>9394</v>
      </c>
      <c r="M2130" s="705">
        <v>8540</v>
      </c>
      <c r="N2130" s="705">
        <v>5813</v>
      </c>
      <c r="O2130" s="705">
        <v>2153</v>
      </c>
      <c r="P2130" s="705">
        <v>1242</v>
      </c>
      <c r="Q2130" s="705">
        <v>460</v>
      </c>
      <c r="R2130" s="705">
        <v>12489</v>
      </c>
      <c r="S2130" s="705">
        <v>4626</v>
      </c>
      <c r="T2130" s="705">
        <v>0</v>
      </c>
      <c r="U2130" s="705">
        <v>0</v>
      </c>
      <c r="V2130" s="705">
        <v>82784</v>
      </c>
      <c r="W2130" s="705">
        <f t="shared" si="86"/>
        <v>82784</v>
      </c>
      <c r="X2130" s="705">
        <f t="shared" si="87"/>
        <v>102644</v>
      </c>
    </row>
    <row r="2131" spans="2:24">
      <c r="B2131" t="s">
        <v>552</v>
      </c>
      <c r="C2131" t="s">
        <v>122</v>
      </c>
      <c r="D2131" t="s">
        <v>583</v>
      </c>
      <c r="E2131" t="s">
        <v>583</v>
      </c>
      <c r="F2131" s="705">
        <v>110</v>
      </c>
      <c r="G2131" s="705">
        <v>10106</v>
      </c>
      <c r="H2131" s="705">
        <v>45651</v>
      </c>
      <c r="I2131" s="705">
        <v>2725698</v>
      </c>
      <c r="J2131" s="705">
        <v>2477907</v>
      </c>
      <c r="K2131" s="705">
        <v>77</v>
      </c>
      <c r="L2131" s="705">
        <v>496958</v>
      </c>
      <c r="M2131" s="705">
        <v>440538</v>
      </c>
      <c r="N2131" s="705">
        <v>213227</v>
      </c>
      <c r="O2131" s="705">
        <v>78973</v>
      </c>
      <c r="P2131" s="705">
        <v>74277</v>
      </c>
      <c r="Q2131" s="705">
        <v>27510</v>
      </c>
      <c r="R2131" s="705">
        <v>512108</v>
      </c>
      <c r="S2131" s="705">
        <v>465553</v>
      </c>
      <c r="T2131" s="705">
        <v>182782</v>
      </c>
      <c r="U2131" s="705">
        <v>67697</v>
      </c>
      <c r="V2131" s="705">
        <v>3558178</v>
      </c>
      <c r="W2131" s="705">
        <f t="shared" si="86"/>
        <v>3558178</v>
      </c>
      <c r="X2131" s="705">
        <f t="shared" si="87"/>
        <v>4205050</v>
      </c>
    </row>
    <row r="2132" spans="2:24">
      <c r="B2132" t="s">
        <v>552</v>
      </c>
      <c r="C2132" t="s">
        <v>122</v>
      </c>
      <c r="D2132" t="s">
        <v>666</v>
      </c>
      <c r="E2132" t="s">
        <v>666</v>
      </c>
      <c r="F2132" s="705">
        <v>72</v>
      </c>
      <c r="G2132" s="705">
        <v>5871</v>
      </c>
      <c r="H2132" s="705">
        <v>28924</v>
      </c>
      <c r="I2132" s="705">
        <v>1371710</v>
      </c>
      <c r="J2132" s="705">
        <v>1247009</v>
      </c>
      <c r="K2132" s="705">
        <v>45</v>
      </c>
      <c r="L2132" s="705">
        <v>217347</v>
      </c>
      <c r="M2132" s="705">
        <v>196165</v>
      </c>
      <c r="N2132" s="705">
        <v>93143</v>
      </c>
      <c r="O2132" s="705">
        <v>34497</v>
      </c>
      <c r="P2132" s="705">
        <v>25893</v>
      </c>
      <c r="Q2132" s="705">
        <v>9590</v>
      </c>
      <c r="R2132" s="705">
        <v>465596</v>
      </c>
      <c r="S2132" s="705">
        <v>423269</v>
      </c>
      <c r="T2132" s="705">
        <v>183523</v>
      </c>
      <c r="U2132" s="705">
        <v>67972</v>
      </c>
      <c r="V2132" s="705">
        <v>1978502</v>
      </c>
      <c r="W2132" s="705">
        <f t="shared" si="86"/>
        <v>1978502</v>
      </c>
      <c r="X2132" s="705">
        <f t="shared" si="87"/>
        <v>2357212</v>
      </c>
    </row>
    <row r="2133" spans="2:24">
      <c r="B2133" t="s">
        <v>552</v>
      </c>
      <c r="C2133" t="s">
        <v>122</v>
      </c>
      <c r="D2133" t="s">
        <v>584</v>
      </c>
      <c r="E2133" t="s">
        <v>584</v>
      </c>
      <c r="F2133" s="705">
        <v>1</v>
      </c>
      <c r="G2133" s="705">
        <v>129</v>
      </c>
      <c r="H2133" s="705">
        <v>432</v>
      </c>
      <c r="I2133" s="705">
        <v>35303</v>
      </c>
      <c r="J2133" s="705">
        <v>32094</v>
      </c>
      <c r="K2133" s="705">
        <v>90</v>
      </c>
      <c r="L2133" s="705">
        <v>11232</v>
      </c>
      <c r="M2133" s="705">
        <v>10211</v>
      </c>
      <c r="N2133" s="705">
        <v>2849</v>
      </c>
      <c r="O2133" s="705">
        <v>1055</v>
      </c>
      <c r="P2133" s="705">
        <v>473</v>
      </c>
      <c r="Q2133" s="705">
        <v>175</v>
      </c>
      <c r="R2133" s="705">
        <v>3292</v>
      </c>
      <c r="S2133" s="705">
        <v>2992</v>
      </c>
      <c r="T2133" s="705">
        <v>2330</v>
      </c>
      <c r="U2133" s="705">
        <v>863</v>
      </c>
      <c r="V2133" s="705">
        <v>47390</v>
      </c>
      <c r="W2133" s="705">
        <f t="shared" si="86"/>
        <v>47390</v>
      </c>
      <c r="X2133" s="705">
        <f t="shared" si="87"/>
        <v>55479</v>
      </c>
    </row>
    <row r="2134" spans="2:24">
      <c r="B2134" t="s">
        <v>552</v>
      </c>
      <c r="C2134" t="s">
        <v>122</v>
      </c>
      <c r="D2134" t="s">
        <v>669</v>
      </c>
      <c r="E2134" t="s">
        <v>669</v>
      </c>
      <c r="F2134" s="705">
        <v>5</v>
      </c>
      <c r="G2134" s="705">
        <v>405</v>
      </c>
      <c r="H2134" s="705">
        <v>2030</v>
      </c>
      <c r="I2134" s="705">
        <v>93666</v>
      </c>
      <c r="J2134" s="705">
        <v>78055</v>
      </c>
      <c r="K2134" s="705">
        <v>47</v>
      </c>
      <c r="L2134" s="705">
        <v>13975</v>
      </c>
      <c r="M2134" s="705">
        <v>11646</v>
      </c>
      <c r="N2134" s="705">
        <v>8202</v>
      </c>
      <c r="O2134" s="705">
        <v>3038</v>
      </c>
      <c r="P2134" s="705">
        <v>1404</v>
      </c>
      <c r="Q2134" s="705">
        <v>520</v>
      </c>
      <c r="R2134" s="705">
        <v>37940</v>
      </c>
      <c r="S2134" s="705">
        <v>31616</v>
      </c>
      <c r="T2134" s="705">
        <v>9266</v>
      </c>
      <c r="U2134" s="705">
        <v>3432</v>
      </c>
      <c r="V2134" s="705">
        <v>128307</v>
      </c>
      <c r="W2134" s="705">
        <f t="shared" si="86"/>
        <v>128307</v>
      </c>
      <c r="X2134" s="705">
        <f t="shared" si="87"/>
        <v>164453</v>
      </c>
    </row>
    <row r="2135" spans="2:24">
      <c r="B2135" t="s">
        <v>552</v>
      </c>
      <c r="C2135" t="s">
        <v>122</v>
      </c>
      <c r="D2135" t="s">
        <v>667</v>
      </c>
      <c r="E2135" t="s">
        <v>667</v>
      </c>
      <c r="F2135" s="705">
        <v>5</v>
      </c>
      <c r="G2135" s="705">
        <v>441</v>
      </c>
      <c r="H2135" s="705">
        <v>1943</v>
      </c>
      <c r="I2135" s="705">
        <v>91570</v>
      </c>
      <c r="J2135" s="705">
        <v>83245</v>
      </c>
      <c r="K2135" s="705">
        <v>45</v>
      </c>
      <c r="L2135" s="705">
        <v>12209</v>
      </c>
      <c r="M2135" s="705">
        <v>11099</v>
      </c>
      <c r="N2135" s="705">
        <v>8929</v>
      </c>
      <c r="O2135" s="705">
        <v>3307</v>
      </c>
      <c r="P2135" s="705">
        <v>1755</v>
      </c>
      <c r="Q2135" s="705">
        <v>650</v>
      </c>
      <c r="R2135" s="705">
        <v>40394</v>
      </c>
      <c r="S2135" s="705">
        <v>36722</v>
      </c>
      <c r="T2135" s="705">
        <v>16540</v>
      </c>
      <c r="U2135" s="705">
        <v>6126</v>
      </c>
      <c r="V2135" s="705">
        <v>141149</v>
      </c>
      <c r="W2135" s="705">
        <f t="shared" si="86"/>
        <v>141149</v>
      </c>
      <c r="X2135" s="705">
        <f t="shared" si="87"/>
        <v>171397</v>
      </c>
    </row>
    <row r="2136" spans="2:24">
      <c r="B2136" t="s">
        <v>552</v>
      </c>
      <c r="C2136" t="s">
        <v>122</v>
      </c>
      <c r="D2136" t="s">
        <v>667</v>
      </c>
      <c r="E2136" t="s">
        <v>671</v>
      </c>
      <c r="F2136" s="705">
        <v>1</v>
      </c>
      <c r="G2136" s="705">
        <v>71</v>
      </c>
      <c r="H2136" s="705">
        <v>384</v>
      </c>
      <c r="I2136" s="705">
        <v>15616</v>
      </c>
      <c r="J2136" s="705">
        <v>14197</v>
      </c>
      <c r="K2136" s="705">
        <v>45</v>
      </c>
      <c r="L2136" s="705">
        <v>2603</v>
      </c>
      <c r="M2136" s="705">
        <v>2366</v>
      </c>
      <c r="N2136" s="705">
        <v>1488</v>
      </c>
      <c r="O2136" s="705">
        <v>551</v>
      </c>
      <c r="P2136" s="705">
        <v>351</v>
      </c>
      <c r="Q2136" s="705">
        <v>130</v>
      </c>
      <c r="R2136" s="705">
        <v>7082</v>
      </c>
      <c r="S2136" s="705">
        <v>6438</v>
      </c>
      <c r="T2136" s="705">
        <v>0</v>
      </c>
      <c r="U2136" s="705">
        <v>0</v>
      </c>
      <c r="V2136" s="705">
        <v>23682</v>
      </c>
      <c r="W2136" s="705">
        <f t="shared" si="86"/>
        <v>23682</v>
      </c>
      <c r="X2136" s="705">
        <f t="shared" si="87"/>
        <v>27140</v>
      </c>
    </row>
    <row r="2137" spans="2:24">
      <c r="B2137" t="s">
        <v>552</v>
      </c>
      <c r="C2137" t="s">
        <v>122</v>
      </c>
      <c r="D2137" t="s">
        <v>671</v>
      </c>
      <c r="E2137" t="s">
        <v>671</v>
      </c>
      <c r="F2137" s="705">
        <v>17</v>
      </c>
      <c r="G2137" s="705">
        <v>1454</v>
      </c>
      <c r="H2137" s="705">
        <v>7091</v>
      </c>
      <c r="I2137" s="705">
        <v>386343</v>
      </c>
      <c r="J2137" s="705">
        <v>351221</v>
      </c>
      <c r="K2137" s="705">
        <v>49</v>
      </c>
      <c r="L2137" s="705">
        <v>54966</v>
      </c>
      <c r="M2137" s="705">
        <v>46129</v>
      </c>
      <c r="N2137" s="705">
        <v>26194</v>
      </c>
      <c r="O2137" s="705">
        <v>9701</v>
      </c>
      <c r="P2137" s="705">
        <v>6237</v>
      </c>
      <c r="Q2137" s="705">
        <v>2310</v>
      </c>
      <c r="R2137" s="705">
        <v>102996</v>
      </c>
      <c r="S2137" s="705">
        <v>93633</v>
      </c>
      <c r="T2137" s="705">
        <v>29303</v>
      </c>
      <c r="U2137" s="705">
        <v>10853</v>
      </c>
      <c r="V2137" s="705">
        <v>513847</v>
      </c>
      <c r="W2137" s="705">
        <f t="shared" si="86"/>
        <v>513847</v>
      </c>
      <c r="X2137" s="705">
        <f t="shared" si="87"/>
        <v>606039</v>
      </c>
    </row>
    <row r="2138" spans="2:24">
      <c r="B2138" t="s">
        <v>552</v>
      </c>
      <c r="C2138" t="s">
        <v>122</v>
      </c>
      <c r="D2138" t="s">
        <v>665</v>
      </c>
      <c r="E2138" t="s">
        <v>665</v>
      </c>
      <c r="F2138" s="705">
        <v>288</v>
      </c>
      <c r="G2138" s="705">
        <v>23244</v>
      </c>
      <c r="H2138" s="705">
        <v>118068</v>
      </c>
      <c r="I2138" s="705">
        <v>5695125</v>
      </c>
      <c r="J2138" s="705">
        <v>5177386</v>
      </c>
      <c r="K2138" s="705">
        <v>47</v>
      </c>
      <c r="L2138" s="705">
        <v>866357</v>
      </c>
      <c r="M2138" s="705">
        <v>776213</v>
      </c>
      <c r="N2138" s="705">
        <v>426313</v>
      </c>
      <c r="O2138" s="705">
        <v>157894</v>
      </c>
      <c r="P2138" s="705">
        <v>102209</v>
      </c>
      <c r="Q2138" s="705">
        <v>37855</v>
      </c>
      <c r="R2138" s="705">
        <v>1793330</v>
      </c>
      <c r="S2138" s="705">
        <v>1630300</v>
      </c>
      <c r="T2138" s="705">
        <v>639775</v>
      </c>
      <c r="U2138" s="705">
        <v>236954</v>
      </c>
      <c r="V2138" s="705">
        <v>8016602</v>
      </c>
      <c r="W2138" s="705">
        <f t="shared" si="86"/>
        <v>8016602</v>
      </c>
      <c r="X2138" s="705">
        <f t="shared" si="87"/>
        <v>9523109</v>
      </c>
    </row>
    <row r="2139" spans="2:24">
      <c r="B2139" t="s">
        <v>552</v>
      </c>
      <c r="C2139" t="s">
        <v>122</v>
      </c>
      <c r="D2139" t="s">
        <v>585</v>
      </c>
      <c r="E2139" t="s">
        <v>228</v>
      </c>
      <c r="F2139" s="705">
        <v>1</v>
      </c>
      <c r="G2139" s="705">
        <v>78</v>
      </c>
      <c r="H2139" s="705">
        <v>432</v>
      </c>
      <c r="I2139" s="705">
        <v>27424</v>
      </c>
      <c r="J2139" s="705">
        <v>24931</v>
      </c>
      <c r="K2139" s="705">
        <v>65</v>
      </c>
      <c r="L2139" s="705">
        <v>0</v>
      </c>
      <c r="M2139" s="705">
        <v>0</v>
      </c>
      <c r="N2139" s="705">
        <v>1080</v>
      </c>
      <c r="O2139" s="705">
        <v>400</v>
      </c>
      <c r="P2139" s="705">
        <v>0</v>
      </c>
      <c r="Q2139" s="705">
        <v>0</v>
      </c>
      <c r="R2139" s="705">
        <v>5123</v>
      </c>
      <c r="S2139" s="705">
        <v>1897</v>
      </c>
      <c r="T2139" s="705">
        <v>0</v>
      </c>
      <c r="U2139" s="705">
        <v>0</v>
      </c>
      <c r="V2139" s="705">
        <v>27228</v>
      </c>
      <c r="W2139" s="705">
        <f t="shared" si="86"/>
        <v>27228</v>
      </c>
      <c r="X2139" s="705">
        <f t="shared" si="87"/>
        <v>33627</v>
      </c>
    </row>
    <row r="2140" spans="2:24">
      <c r="B2140" t="s">
        <v>552</v>
      </c>
      <c r="C2140" t="s">
        <v>122</v>
      </c>
      <c r="D2140" t="s">
        <v>585</v>
      </c>
      <c r="E2140" t="s">
        <v>585</v>
      </c>
      <c r="F2140" s="705">
        <v>2</v>
      </c>
      <c r="G2140" s="705">
        <v>162</v>
      </c>
      <c r="H2140" s="705">
        <v>845</v>
      </c>
      <c r="I2140" s="705">
        <v>40149</v>
      </c>
      <c r="J2140" s="705">
        <v>36499</v>
      </c>
      <c r="K2140" s="705">
        <v>72</v>
      </c>
      <c r="L2140" s="705">
        <v>10864</v>
      </c>
      <c r="M2140" s="705">
        <v>9877</v>
      </c>
      <c r="N2140" s="705">
        <v>3877</v>
      </c>
      <c r="O2140" s="705">
        <v>1436</v>
      </c>
      <c r="P2140" s="705">
        <v>702</v>
      </c>
      <c r="Q2140" s="705">
        <v>260</v>
      </c>
      <c r="R2140" s="705">
        <v>8146</v>
      </c>
      <c r="S2140" s="705">
        <v>7405</v>
      </c>
      <c r="T2140" s="705">
        <v>4895</v>
      </c>
      <c r="U2140" s="705">
        <v>1813</v>
      </c>
      <c r="V2140" s="705">
        <v>57290</v>
      </c>
      <c r="W2140" s="705">
        <f t="shared" si="86"/>
        <v>57290</v>
      </c>
      <c r="X2140" s="705">
        <f t="shared" si="87"/>
        <v>68633</v>
      </c>
    </row>
    <row r="2141" spans="2:24">
      <c r="B2141" t="s">
        <v>552</v>
      </c>
      <c r="C2141" t="s">
        <v>124</v>
      </c>
      <c r="D2141" t="s">
        <v>228</v>
      </c>
      <c r="E2141" t="s">
        <v>228</v>
      </c>
      <c r="F2141" s="705">
        <v>49</v>
      </c>
      <c r="G2141" s="705">
        <v>3678</v>
      </c>
      <c r="H2141" s="705">
        <v>29052</v>
      </c>
      <c r="I2141" s="705">
        <v>1504246</v>
      </c>
      <c r="J2141" s="705">
        <v>557128</v>
      </c>
      <c r="K2141" s="705">
        <v>100</v>
      </c>
      <c r="L2141" s="705">
        <v>200545</v>
      </c>
      <c r="M2141" s="705">
        <v>174208</v>
      </c>
      <c r="N2141" s="705">
        <v>77297</v>
      </c>
      <c r="O2141" s="705">
        <v>28628</v>
      </c>
      <c r="P2141" s="705">
        <v>1053</v>
      </c>
      <c r="Q2141" s="705">
        <v>390</v>
      </c>
      <c r="R2141" s="705">
        <v>363220</v>
      </c>
      <c r="S2141" s="705">
        <v>134526</v>
      </c>
      <c r="T2141" s="705">
        <v>0</v>
      </c>
      <c r="U2141" s="705">
        <v>0</v>
      </c>
      <c r="V2141" s="705">
        <v>894880</v>
      </c>
      <c r="W2141" s="705">
        <f t="shared" si="86"/>
        <v>894880</v>
      </c>
      <c r="X2141" s="705">
        <f t="shared" si="87"/>
        <v>2146361</v>
      </c>
    </row>
    <row r="2142" spans="2:24">
      <c r="B2142" t="s">
        <v>552</v>
      </c>
      <c r="C2142" t="s">
        <v>124</v>
      </c>
      <c r="D2142" t="s">
        <v>228</v>
      </c>
      <c r="E2142" t="s">
        <v>665</v>
      </c>
      <c r="F2142" s="705">
        <v>12</v>
      </c>
      <c r="G2142" s="705">
        <v>1063</v>
      </c>
      <c r="H2142" s="705">
        <v>7826</v>
      </c>
      <c r="I2142" s="705">
        <v>478141</v>
      </c>
      <c r="J2142" s="705">
        <v>177089</v>
      </c>
      <c r="K2142" s="705">
        <v>100</v>
      </c>
      <c r="L2142" s="705">
        <v>71683</v>
      </c>
      <c r="M2142" s="705">
        <v>52689</v>
      </c>
      <c r="N2142" s="705">
        <v>22419</v>
      </c>
      <c r="O2142" s="705">
        <v>8303</v>
      </c>
      <c r="P2142" s="705">
        <v>1053</v>
      </c>
      <c r="Q2142" s="705">
        <v>390</v>
      </c>
      <c r="R2142" s="705">
        <v>71438</v>
      </c>
      <c r="S2142" s="705">
        <v>64943</v>
      </c>
      <c r="T2142" s="705">
        <v>20124</v>
      </c>
      <c r="U2142" s="705">
        <v>7453</v>
      </c>
      <c r="V2142" s="705">
        <v>310869</v>
      </c>
      <c r="W2142" s="705">
        <f t="shared" si="86"/>
        <v>310867</v>
      </c>
      <c r="X2142" s="705">
        <f t="shared" si="87"/>
        <v>664858</v>
      </c>
    </row>
    <row r="2143" spans="2:24">
      <c r="B2143" t="s">
        <v>552</v>
      </c>
      <c r="C2143" t="s">
        <v>124</v>
      </c>
      <c r="D2143" t="s">
        <v>583</v>
      </c>
      <c r="E2143" t="s">
        <v>228</v>
      </c>
      <c r="F2143" s="705">
        <v>2</v>
      </c>
      <c r="G2143" s="705">
        <v>156</v>
      </c>
      <c r="H2143" s="705">
        <v>1000</v>
      </c>
      <c r="I2143" s="705">
        <v>55452</v>
      </c>
      <c r="J2143" s="705">
        <v>50410</v>
      </c>
      <c r="K2143" s="705">
        <v>77</v>
      </c>
      <c r="L2143" s="705">
        <v>15077</v>
      </c>
      <c r="M2143" s="705">
        <v>13706</v>
      </c>
      <c r="N2143" s="705">
        <v>3962</v>
      </c>
      <c r="O2143" s="705">
        <v>1467</v>
      </c>
      <c r="P2143" s="705">
        <v>1242</v>
      </c>
      <c r="Q2143" s="705">
        <v>460</v>
      </c>
      <c r="R2143" s="705">
        <v>9447</v>
      </c>
      <c r="S2143" s="705">
        <v>3499</v>
      </c>
      <c r="T2143" s="705">
        <v>0</v>
      </c>
      <c r="U2143" s="705">
        <v>0</v>
      </c>
      <c r="V2143" s="705">
        <v>69543</v>
      </c>
      <c r="W2143" s="705">
        <f t="shared" si="86"/>
        <v>69542</v>
      </c>
      <c r="X2143" s="705">
        <f t="shared" si="87"/>
        <v>85180</v>
      </c>
    </row>
    <row r="2144" spans="2:24">
      <c r="B2144" t="s">
        <v>552</v>
      </c>
      <c r="C2144" t="s">
        <v>124</v>
      </c>
      <c r="D2144" t="s">
        <v>583</v>
      </c>
      <c r="E2144" t="s">
        <v>583</v>
      </c>
      <c r="F2144" s="705">
        <v>102</v>
      </c>
      <c r="G2144" s="705">
        <v>8997</v>
      </c>
      <c r="H2144" s="705">
        <v>55486</v>
      </c>
      <c r="I2144" s="705">
        <v>3196011</v>
      </c>
      <c r="J2144" s="705">
        <v>2905464</v>
      </c>
      <c r="K2144" s="705">
        <v>73</v>
      </c>
      <c r="L2144" s="705">
        <v>879481</v>
      </c>
      <c r="M2144" s="705">
        <v>781846</v>
      </c>
      <c r="N2144" s="705">
        <v>199864</v>
      </c>
      <c r="O2144" s="705">
        <v>74024</v>
      </c>
      <c r="P2144" s="705">
        <v>66501</v>
      </c>
      <c r="Q2144" s="705">
        <v>24630</v>
      </c>
      <c r="R2144" s="705">
        <v>485385</v>
      </c>
      <c r="S2144" s="705">
        <v>441259</v>
      </c>
      <c r="T2144" s="705">
        <v>186667</v>
      </c>
      <c r="U2144" s="705">
        <v>69136</v>
      </c>
      <c r="V2144" s="705">
        <v>4296359</v>
      </c>
      <c r="W2144" s="705">
        <f t="shared" si="86"/>
        <v>4296359</v>
      </c>
      <c r="X2144" s="705">
        <f t="shared" si="87"/>
        <v>5013909</v>
      </c>
    </row>
    <row r="2145" spans="2:24">
      <c r="B2145" t="s">
        <v>552</v>
      </c>
      <c r="C2145" t="s">
        <v>124</v>
      </c>
      <c r="D2145" t="s">
        <v>666</v>
      </c>
      <c r="E2145" t="s">
        <v>666</v>
      </c>
      <c r="F2145" s="705">
        <v>18</v>
      </c>
      <c r="G2145" s="705">
        <v>1179</v>
      </c>
      <c r="H2145" s="705">
        <v>9728</v>
      </c>
      <c r="I2145" s="705">
        <v>464261</v>
      </c>
      <c r="J2145" s="705">
        <v>422055</v>
      </c>
      <c r="K2145" s="705">
        <v>49</v>
      </c>
      <c r="L2145" s="705">
        <v>57542</v>
      </c>
      <c r="M2145" s="705">
        <v>51420</v>
      </c>
      <c r="N2145" s="705">
        <v>20290</v>
      </c>
      <c r="O2145" s="705">
        <v>7515</v>
      </c>
      <c r="P2145" s="705">
        <v>6318</v>
      </c>
      <c r="Q2145" s="705">
        <v>2340</v>
      </c>
      <c r="R2145" s="705">
        <v>96358</v>
      </c>
      <c r="S2145" s="705">
        <v>87599</v>
      </c>
      <c r="T2145" s="705">
        <v>39353</v>
      </c>
      <c r="U2145" s="705">
        <v>14575</v>
      </c>
      <c r="V2145" s="705">
        <v>585504</v>
      </c>
      <c r="W2145" s="705">
        <f t="shared" si="86"/>
        <v>585504</v>
      </c>
      <c r="X2145" s="705">
        <f t="shared" si="87"/>
        <v>684122</v>
      </c>
    </row>
    <row r="2146" spans="2:24">
      <c r="B2146" t="s">
        <v>552</v>
      </c>
      <c r="C2146" t="s">
        <v>124</v>
      </c>
      <c r="D2146" t="s">
        <v>669</v>
      </c>
      <c r="E2146" t="s">
        <v>669</v>
      </c>
      <c r="F2146" s="705">
        <v>2</v>
      </c>
      <c r="G2146" s="705">
        <v>147</v>
      </c>
      <c r="H2146" s="705">
        <v>1154</v>
      </c>
      <c r="I2146" s="705">
        <v>58705</v>
      </c>
      <c r="J2146" s="705">
        <v>48921</v>
      </c>
      <c r="K2146" s="705">
        <v>50</v>
      </c>
      <c r="L2146" s="705">
        <v>8784</v>
      </c>
      <c r="M2146" s="705">
        <v>5138</v>
      </c>
      <c r="N2146" s="705">
        <v>3137</v>
      </c>
      <c r="O2146" s="705">
        <v>1162</v>
      </c>
      <c r="P2146" s="705">
        <v>702</v>
      </c>
      <c r="Q2146" s="705">
        <v>260</v>
      </c>
      <c r="R2146" s="705">
        <v>9915</v>
      </c>
      <c r="S2146" s="705">
        <v>8262</v>
      </c>
      <c r="T2146" s="705">
        <v>3262</v>
      </c>
      <c r="U2146" s="705">
        <v>1208</v>
      </c>
      <c r="V2146" s="705">
        <v>64951</v>
      </c>
      <c r="W2146" s="705">
        <f t="shared" ref="W2146:W2209" si="88">SUM(ABS(J2146),ABS(M2146),ABS(O2146),ABS(Q2146),ABS(S2146),ABS(U2146))</f>
        <v>64951</v>
      </c>
      <c r="X2146" s="705">
        <f t="shared" ref="X2146:X2209" si="89">SUM(ABS(I2146),ABS(N2146),ABS(P2146),ABS(R2146),ABS(T2146),ABS(L2146))</f>
        <v>84505</v>
      </c>
    </row>
    <row r="2147" spans="2:24">
      <c r="B2147" t="s">
        <v>552</v>
      </c>
      <c r="C2147" t="s">
        <v>124</v>
      </c>
      <c r="D2147" t="s">
        <v>667</v>
      </c>
      <c r="E2147" t="s">
        <v>667</v>
      </c>
      <c r="F2147" s="705">
        <v>4</v>
      </c>
      <c r="G2147" s="705">
        <v>300</v>
      </c>
      <c r="H2147" s="705">
        <v>2556</v>
      </c>
      <c r="I2147" s="705">
        <v>129821</v>
      </c>
      <c r="J2147" s="705">
        <v>118020</v>
      </c>
      <c r="K2147" s="705">
        <v>45</v>
      </c>
      <c r="L2147" s="705">
        <v>21637</v>
      </c>
      <c r="M2147" s="705">
        <v>19670</v>
      </c>
      <c r="N2147" s="705">
        <v>6069</v>
      </c>
      <c r="O2147" s="705">
        <v>2248</v>
      </c>
      <c r="P2147" s="705">
        <v>1404</v>
      </c>
      <c r="Q2147" s="705">
        <v>520</v>
      </c>
      <c r="R2147" s="705">
        <v>29065</v>
      </c>
      <c r="S2147" s="705">
        <v>26423</v>
      </c>
      <c r="T2147" s="705">
        <v>2111</v>
      </c>
      <c r="U2147" s="705">
        <v>782</v>
      </c>
      <c r="V2147" s="705">
        <v>167662</v>
      </c>
      <c r="W2147" s="705">
        <f t="shared" si="88"/>
        <v>167663</v>
      </c>
      <c r="X2147" s="705">
        <f t="shared" si="89"/>
        <v>190107</v>
      </c>
    </row>
    <row r="2148" spans="2:24">
      <c r="B2148" t="s">
        <v>552</v>
      </c>
      <c r="C2148" t="s">
        <v>124</v>
      </c>
      <c r="D2148" t="s">
        <v>671</v>
      </c>
      <c r="E2148" t="s">
        <v>671</v>
      </c>
      <c r="F2148" s="705">
        <v>30</v>
      </c>
      <c r="G2148" s="705">
        <v>2458</v>
      </c>
      <c r="H2148" s="705">
        <v>18460</v>
      </c>
      <c r="I2148" s="705">
        <v>1052084</v>
      </c>
      <c r="J2148" s="705">
        <v>956440</v>
      </c>
      <c r="K2148" s="705">
        <v>47</v>
      </c>
      <c r="L2148" s="705">
        <v>159663</v>
      </c>
      <c r="M2148" s="705">
        <v>129615</v>
      </c>
      <c r="N2148" s="705">
        <v>48128</v>
      </c>
      <c r="O2148" s="705">
        <v>17825</v>
      </c>
      <c r="P2148" s="705">
        <v>9828</v>
      </c>
      <c r="Q2148" s="705">
        <v>3640</v>
      </c>
      <c r="R2148" s="705">
        <v>210531</v>
      </c>
      <c r="S2148" s="705">
        <v>191391</v>
      </c>
      <c r="T2148" s="705">
        <v>55939</v>
      </c>
      <c r="U2148" s="705">
        <v>20718</v>
      </c>
      <c r="V2148" s="705">
        <v>1319630</v>
      </c>
      <c r="W2148" s="705">
        <f t="shared" si="88"/>
        <v>1319629</v>
      </c>
      <c r="X2148" s="705">
        <f t="shared" si="89"/>
        <v>1536173</v>
      </c>
    </row>
    <row r="2149" spans="2:24">
      <c r="B2149" t="s">
        <v>552</v>
      </c>
      <c r="C2149" t="s">
        <v>124</v>
      </c>
      <c r="D2149" t="s">
        <v>665</v>
      </c>
      <c r="E2149" t="s">
        <v>228</v>
      </c>
      <c r="F2149" s="705">
        <v>21</v>
      </c>
      <c r="G2149" s="705">
        <v>1917</v>
      </c>
      <c r="H2149" s="705">
        <v>20614</v>
      </c>
      <c r="I2149" s="705">
        <v>1560215</v>
      </c>
      <c r="J2149" s="705">
        <v>1418377</v>
      </c>
      <c r="K2149" s="705">
        <v>40</v>
      </c>
      <c r="L2149" s="705">
        <v>116532</v>
      </c>
      <c r="M2149" s="705">
        <v>84238</v>
      </c>
      <c r="N2149" s="705">
        <v>42751</v>
      </c>
      <c r="O2149" s="705">
        <v>15834</v>
      </c>
      <c r="P2149" s="705">
        <v>702</v>
      </c>
      <c r="Q2149" s="705">
        <v>260</v>
      </c>
      <c r="R2149" s="705">
        <v>163115</v>
      </c>
      <c r="S2149" s="705">
        <v>60413</v>
      </c>
      <c r="T2149" s="705">
        <v>0</v>
      </c>
      <c r="U2149" s="705">
        <v>0</v>
      </c>
      <c r="V2149" s="705">
        <v>1579122</v>
      </c>
      <c r="W2149" s="705">
        <f t="shared" si="88"/>
        <v>1579122</v>
      </c>
      <c r="X2149" s="705">
        <f t="shared" si="89"/>
        <v>1883315</v>
      </c>
    </row>
    <row r="2150" spans="2:24">
      <c r="B2150" t="s">
        <v>552</v>
      </c>
      <c r="C2150" t="s">
        <v>124</v>
      </c>
      <c r="D2150" t="s">
        <v>665</v>
      </c>
      <c r="E2150" t="s">
        <v>583</v>
      </c>
      <c r="F2150" s="705">
        <v>2</v>
      </c>
      <c r="G2150" s="705">
        <v>171</v>
      </c>
      <c r="H2150" s="705">
        <v>1323</v>
      </c>
      <c r="I2150" s="705">
        <v>78387</v>
      </c>
      <c r="J2150" s="705">
        <v>71261</v>
      </c>
      <c r="K2150" s="705">
        <v>45</v>
      </c>
      <c r="L2150" s="705">
        <v>12709</v>
      </c>
      <c r="M2150" s="705">
        <v>11554</v>
      </c>
      <c r="N2150" s="705">
        <v>2990</v>
      </c>
      <c r="O2150" s="705">
        <v>1107</v>
      </c>
      <c r="P2150" s="705">
        <v>702</v>
      </c>
      <c r="Q2150" s="705">
        <v>260</v>
      </c>
      <c r="R2150" s="705">
        <v>17212</v>
      </c>
      <c r="S2150" s="705">
        <v>15647</v>
      </c>
      <c r="T2150" s="705">
        <v>0</v>
      </c>
      <c r="U2150" s="705">
        <v>0</v>
      </c>
      <c r="V2150" s="705">
        <v>99829</v>
      </c>
      <c r="W2150" s="705">
        <f t="shared" si="88"/>
        <v>99829</v>
      </c>
      <c r="X2150" s="705">
        <f t="shared" si="89"/>
        <v>112000</v>
      </c>
    </row>
    <row r="2151" spans="2:24">
      <c r="B2151" t="s">
        <v>552</v>
      </c>
      <c r="C2151" t="s">
        <v>124</v>
      </c>
      <c r="D2151" t="s">
        <v>665</v>
      </c>
      <c r="E2151" t="s">
        <v>665</v>
      </c>
      <c r="F2151" s="705">
        <v>264</v>
      </c>
      <c r="G2151" s="705">
        <v>19277</v>
      </c>
      <c r="H2151" s="705">
        <v>160504</v>
      </c>
      <c r="I2151" s="705">
        <v>7999305</v>
      </c>
      <c r="J2151" s="705">
        <v>7272095</v>
      </c>
      <c r="K2151" s="705">
        <v>49</v>
      </c>
      <c r="L2151" s="705">
        <v>1097909</v>
      </c>
      <c r="M2151" s="705">
        <v>945409</v>
      </c>
      <c r="N2151" s="705">
        <v>384140</v>
      </c>
      <c r="O2151" s="705">
        <v>142274</v>
      </c>
      <c r="P2151" s="705">
        <v>89964</v>
      </c>
      <c r="Q2151" s="705">
        <v>33320</v>
      </c>
      <c r="R2151" s="705">
        <v>1550646</v>
      </c>
      <c r="S2151" s="705">
        <v>1409678</v>
      </c>
      <c r="T2151" s="705">
        <v>510652</v>
      </c>
      <c r="U2151" s="705">
        <v>189130</v>
      </c>
      <c r="V2151" s="705">
        <v>9991907</v>
      </c>
      <c r="W2151" s="705">
        <f t="shared" si="88"/>
        <v>9991906</v>
      </c>
      <c r="X2151" s="705">
        <f t="shared" si="89"/>
        <v>11632616</v>
      </c>
    </row>
    <row r="2152" spans="2:24">
      <c r="B2152" t="s">
        <v>552</v>
      </c>
      <c r="C2152" t="s">
        <v>124</v>
      </c>
      <c r="D2152" t="s">
        <v>673</v>
      </c>
      <c r="E2152" t="s">
        <v>673</v>
      </c>
      <c r="F2152" s="705">
        <v>1</v>
      </c>
      <c r="G2152" s="705">
        <v>85</v>
      </c>
      <c r="H2152" s="705">
        <v>483</v>
      </c>
      <c r="I2152" s="705">
        <v>28784</v>
      </c>
      <c r="J2152" s="705">
        <v>26167</v>
      </c>
      <c r="K2152" s="705">
        <v>67</v>
      </c>
      <c r="L2152" s="705">
        <v>3561</v>
      </c>
      <c r="M2152" s="705">
        <v>3237</v>
      </c>
      <c r="N2152" s="705">
        <v>1728</v>
      </c>
      <c r="O2152" s="705">
        <v>640</v>
      </c>
      <c r="P2152" s="705">
        <v>351</v>
      </c>
      <c r="Q2152" s="705">
        <v>130</v>
      </c>
      <c r="R2152" s="705">
        <v>4275</v>
      </c>
      <c r="S2152" s="705">
        <v>3886</v>
      </c>
      <c r="T2152" s="705">
        <v>2365</v>
      </c>
      <c r="U2152" s="705">
        <v>876</v>
      </c>
      <c r="V2152" s="705">
        <v>34936</v>
      </c>
      <c r="W2152" s="705">
        <f t="shared" si="88"/>
        <v>34936</v>
      </c>
      <c r="X2152" s="705">
        <f t="shared" si="89"/>
        <v>41064</v>
      </c>
    </row>
    <row r="2153" spans="2:24">
      <c r="B2153" t="s">
        <v>553</v>
      </c>
      <c r="C2153" t="s">
        <v>108</v>
      </c>
      <c r="D2153" t="s">
        <v>228</v>
      </c>
      <c r="E2153" t="s">
        <v>228</v>
      </c>
      <c r="F2153" s="705">
        <v>27</v>
      </c>
      <c r="G2153" s="705">
        <v>2951</v>
      </c>
      <c r="H2153" s="705">
        <v>1622</v>
      </c>
      <c r="I2153" s="705">
        <v>21226</v>
      </c>
      <c r="J2153" s="705">
        <v>7861</v>
      </c>
      <c r="K2153" s="705">
        <v>475</v>
      </c>
      <c r="L2153" s="705">
        <v>3838</v>
      </c>
      <c r="M2153" s="705">
        <v>3489</v>
      </c>
      <c r="N2153" s="705">
        <v>38378</v>
      </c>
      <c r="O2153" s="705">
        <v>14214</v>
      </c>
      <c r="P2153" s="705">
        <v>9828</v>
      </c>
      <c r="Q2153" s="705">
        <v>3640</v>
      </c>
      <c r="R2153" s="705">
        <v>102147</v>
      </c>
      <c r="S2153" s="705">
        <v>37832</v>
      </c>
      <c r="T2153" s="705">
        <v>0</v>
      </c>
      <c r="U2153" s="705">
        <v>0</v>
      </c>
      <c r="V2153" s="705">
        <v>67037</v>
      </c>
      <c r="W2153" s="705">
        <f t="shared" si="88"/>
        <v>67036</v>
      </c>
      <c r="X2153" s="705">
        <f t="shared" si="89"/>
        <v>175417</v>
      </c>
    </row>
    <row r="2154" spans="2:24">
      <c r="B2154" t="s">
        <v>553</v>
      </c>
      <c r="C2154" t="s">
        <v>108</v>
      </c>
      <c r="D2154" t="s">
        <v>584</v>
      </c>
      <c r="E2154" t="s">
        <v>584</v>
      </c>
      <c r="F2154" s="705">
        <v>15</v>
      </c>
      <c r="G2154" s="705">
        <v>1676</v>
      </c>
      <c r="H2154" s="705">
        <v>877</v>
      </c>
      <c r="I2154" s="705">
        <v>-92</v>
      </c>
      <c r="J2154" s="705">
        <v>-83</v>
      </c>
      <c r="K2154" s="705">
        <v>90</v>
      </c>
      <c r="L2154" s="705">
        <v>-668</v>
      </c>
      <c r="M2154" s="705">
        <v>-10</v>
      </c>
      <c r="N2154" s="705">
        <v>20424</v>
      </c>
      <c r="O2154" s="705">
        <v>7565</v>
      </c>
      <c r="P2154" s="705">
        <v>7088</v>
      </c>
      <c r="Q2154" s="705">
        <v>2625</v>
      </c>
      <c r="R2154" s="705">
        <v>71134</v>
      </c>
      <c r="S2154" s="705">
        <v>64668</v>
      </c>
      <c r="T2154" s="705">
        <v>0</v>
      </c>
      <c r="U2154" s="705">
        <v>0</v>
      </c>
      <c r="V2154" s="705">
        <v>74764</v>
      </c>
      <c r="W2154" s="705">
        <f t="shared" si="88"/>
        <v>74951</v>
      </c>
      <c r="X2154" s="705">
        <f t="shared" si="89"/>
        <v>99406</v>
      </c>
    </row>
    <row r="2155" spans="2:24">
      <c r="B2155" t="s">
        <v>553</v>
      </c>
      <c r="C2155" t="s">
        <v>110</v>
      </c>
      <c r="D2155" t="s">
        <v>228</v>
      </c>
      <c r="E2155" t="s">
        <v>228</v>
      </c>
      <c r="F2155" s="705">
        <v>11</v>
      </c>
      <c r="G2155" s="705">
        <v>836</v>
      </c>
      <c r="H2155" s="705">
        <v>915</v>
      </c>
      <c r="I2155" s="705">
        <v>17696</v>
      </c>
      <c r="J2155" s="705">
        <v>6554</v>
      </c>
      <c r="K2155" s="705">
        <v>411</v>
      </c>
      <c r="L2155" s="705">
        <v>4818</v>
      </c>
      <c r="M2155" s="705">
        <v>4380</v>
      </c>
      <c r="N2155" s="705">
        <v>17931</v>
      </c>
      <c r="O2155" s="705">
        <v>6641</v>
      </c>
      <c r="P2155" s="705">
        <v>4212</v>
      </c>
      <c r="Q2155" s="705">
        <v>1560</v>
      </c>
      <c r="R2155" s="705">
        <v>27340</v>
      </c>
      <c r="S2155" s="705">
        <v>10126</v>
      </c>
      <c r="T2155" s="705">
        <v>0</v>
      </c>
      <c r="U2155" s="705">
        <v>0</v>
      </c>
      <c r="V2155" s="705">
        <v>29261</v>
      </c>
      <c r="W2155" s="705">
        <f t="shared" si="88"/>
        <v>29261</v>
      </c>
      <c r="X2155" s="705">
        <f t="shared" si="89"/>
        <v>71997</v>
      </c>
    </row>
    <row r="2156" spans="2:24">
      <c r="B2156" t="s">
        <v>553</v>
      </c>
      <c r="C2156" t="s">
        <v>112</v>
      </c>
      <c r="D2156" t="s">
        <v>582</v>
      </c>
      <c r="E2156" t="s">
        <v>582</v>
      </c>
      <c r="F2156" s="705">
        <v>5</v>
      </c>
      <c r="G2156" s="705">
        <v>642</v>
      </c>
      <c r="H2156" s="705">
        <v>604</v>
      </c>
      <c r="I2156" s="705">
        <v>34105</v>
      </c>
      <c r="J2156" s="705">
        <v>31005</v>
      </c>
      <c r="K2156" s="705">
        <v>91</v>
      </c>
      <c r="L2156" s="705">
        <v>10128</v>
      </c>
      <c r="M2156" s="705">
        <v>9207</v>
      </c>
      <c r="N2156" s="705">
        <v>9745</v>
      </c>
      <c r="O2156" s="705">
        <v>3609</v>
      </c>
      <c r="P2156" s="705">
        <v>2363</v>
      </c>
      <c r="Q2156" s="705">
        <v>875</v>
      </c>
      <c r="R2156" s="705">
        <v>20927</v>
      </c>
      <c r="S2156" s="705">
        <v>19025</v>
      </c>
      <c r="T2156" s="705">
        <v>0</v>
      </c>
      <c r="U2156" s="705">
        <v>0</v>
      </c>
      <c r="V2156" s="705">
        <v>63721</v>
      </c>
      <c r="W2156" s="705">
        <f t="shared" si="88"/>
        <v>63721</v>
      </c>
      <c r="X2156" s="705">
        <f t="shared" si="89"/>
        <v>77268</v>
      </c>
    </row>
    <row r="2157" spans="2:24">
      <c r="B2157" t="s">
        <v>553</v>
      </c>
      <c r="C2157" t="s">
        <v>112</v>
      </c>
      <c r="D2157" t="s">
        <v>228</v>
      </c>
      <c r="E2157" t="s">
        <v>228</v>
      </c>
      <c r="F2157" s="705">
        <v>2</v>
      </c>
      <c r="G2157" s="705">
        <v>191</v>
      </c>
      <c r="H2157" s="705">
        <v>217</v>
      </c>
      <c r="I2157" s="705">
        <v>5783</v>
      </c>
      <c r="J2157" s="705">
        <v>2142</v>
      </c>
      <c r="K2157" s="705">
        <v>393</v>
      </c>
      <c r="L2157" s="705">
        <v>2046</v>
      </c>
      <c r="M2157" s="705">
        <v>1860</v>
      </c>
      <c r="N2157" s="705">
        <v>4489</v>
      </c>
      <c r="O2157" s="705">
        <v>1662</v>
      </c>
      <c r="P2157" s="705">
        <v>1053</v>
      </c>
      <c r="Q2157" s="705">
        <v>390</v>
      </c>
      <c r="R2157" s="705">
        <v>7094</v>
      </c>
      <c r="S2157" s="705">
        <v>2627</v>
      </c>
      <c r="T2157" s="705">
        <v>0</v>
      </c>
      <c r="U2157" s="705">
        <v>0</v>
      </c>
      <c r="V2157" s="705">
        <v>8682</v>
      </c>
      <c r="W2157" s="705">
        <f t="shared" si="88"/>
        <v>8681</v>
      </c>
      <c r="X2157" s="705">
        <f t="shared" si="89"/>
        <v>20465</v>
      </c>
    </row>
    <row r="2158" spans="2:24">
      <c r="B2158" t="s">
        <v>553</v>
      </c>
      <c r="C2158" t="s">
        <v>112</v>
      </c>
      <c r="D2158" t="s">
        <v>583</v>
      </c>
      <c r="E2158" t="s">
        <v>583</v>
      </c>
      <c r="F2158" s="705">
        <v>5</v>
      </c>
      <c r="G2158" s="705">
        <v>679</v>
      </c>
      <c r="H2158" s="705">
        <v>612</v>
      </c>
      <c r="I2158" s="705">
        <v>33830</v>
      </c>
      <c r="J2158" s="705">
        <v>30755</v>
      </c>
      <c r="K2158" s="705">
        <v>89</v>
      </c>
      <c r="L2158" s="705">
        <v>8739</v>
      </c>
      <c r="M2158" s="705">
        <v>7945</v>
      </c>
      <c r="N2158" s="705">
        <v>12660</v>
      </c>
      <c r="O2158" s="705">
        <v>4689</v>
      </c>
      <c r="P2158" s="705">
        <v>3105</v>
      </c>
      <c r="Q2158" s="705">
        <v>1150</v>
      </c>
      <c r="R2158" s="705">
        <v>24599</v>
      </c>
      <c r="S2158" s="705">
        <v>22362</v>
      </c>
      <c r="T2158" s="705">
        <v>0</v>
      </c>
      <c r="U2158" s="705">
        <v>0</v>
      </c>
      <c r="V2158" s="705">
        <v>66901</v>
      </c>
      <c r="W2158" s="705">
        <f t="shared" si="88"/>
        <v>66901</v>
      </c>
      <c r="X2158" s="705">
        <f t="shared" si="89"/>
        <v>82933</v>
      </c>
    </row>
    <row r="2159" spans="2:24">
      <c r="B2159" t="s">
        <v>553</v>
      </c>
      <c r="C2159" t="s">
        <v>114</v>
      </c>
      <c r="D2159" t="s">
        <v>582</v>
      </c>
      <c r="E2159" t="s">
        <v>582</v>
      </c>
      <c r="F2159" s="705">
        <v>8</v>
      </c>
      <c r="G2159" s="705">
        <v>912</v>
      </c>
      <c r="H2159" s="705">
        <v>1145</v>
      </c>
      <c r="I2159" s="705">
        <v>57154</v>
      </c>
      <c r="J2159" s="705">
        <v>51958</v>
      </c>
      <c r="K2159" s="705">
        <v>84</v>
      </c>
      <c r="L2159" s="705">
        <v>15542</v>
      </c>
      <c r="M2159" s="705">
        <v>14129</v>
      </c>
      <c r="N2159" s="705">
        <v>18595</v>
      </c>
      <c r="O2159" s="705">
        <v>6887</v>
      </c>
      <c r="P2159" s="705">
        <v>3659</v>
      </c>
      <c r="Q2159" s="705">
        <v>1355</v>
      </c>
      <c r="R2159" s="705">
        <v>35222</v>
      </c>
      <c r="S2159" s="705">
        <v>32020</v>
      </c>
      <c r="T2159" s="705">
        <v>0</v>
      </c>
      <c r="U2159" s="705">
        <v>0</v>
      </c>
      <c r="V2159" s="705">
        <v>106349</v>
      </c>
      <c r="W2159" s="705">
        <f t="shared" si="88"/>
        <v>106349</v>
      </c>
      <c r="X2159" s="705">
        <f t="shared" si="89"/>
        <v>130172</v>
      </c>
    </row>
    <row r="2160" spans="2:24">
      <c r="B2160" t="s">
        <v>553</v>
      </c>
      <c r="C2160" t="s">
        <v>114</v>
      </c>
      <c r="D2160" t="s">
        <v>583</v>
      </c>
      <c r="E2160" t="s">
        <v>583</v>
      </c>
      <c r="F2160" s="705">
        <v>56</v>
      </c>
      <c r="G2160" s="705">
        <v>6676</v>
      </c>
      <c r="H2160" s="705">
        <v>7949</v>
      </c>
      <c r="I2160" s="705">
        <v>433224</v>
      </c>
      <c r="J2160" s="705">
        <v>393840</v>
      </c>
      <c r="K2160" s="705">
        <v>90</v>
      </c>
      <c r="L2160" s="705">
        <v>110225</v>
      </c>
      <c r="M2160" s="705">
        <v>97878</v>
      </c>
      <c r="N2160" s="705">
        <v>123501</v>
      </c>
      <c r="O2160" s="705">
        <v>45741</v>
      </c>
      <c r="P2160" s="705">
        <v>34898</v>
      </c>
      <c r="Q2160" s="705">
        <v>12925</v>
      </c>
      <c r="R2160" s="705">
        <v>252627</v>
      </c>
      <c r="S2160" s="705">
        <v>229661</v>
      </c>
      <c r="T2160" s="705">
        <v>11388</v>
      </c>
      <c r="U2160" s="705">
        <v>4218</v>
      </c>
      <c r="V2160" s="705">
        <v>784264</v>
      </c>
      <c r="W2160" s="705">
        <f t="shared" si="88"/>
        <v>784263</v>
      </c>
      <c r="X2160" s="705">
        <f t="shared" si="89"/>
        <v>965863</v>
      </c>
    </row>
    <row r="2161" spans="2:24">
      <c r="B2161" t="s">
        <v>553</v>
      </c>
      <c r="C2161" t="s">
        <v>114</v>
      </c>
      <c r="D2161" t="s">
        <v>584</v>
      </c>
      <c r="E2161" t="s">
        <v>584</v>
      </c>
      <c r="F2161" s="705">
        <v>43</v>
      </c>
      <c r="G2161" s="705">
        <v>4684</v>
      </c>
      <c r="H2161" s="705">
        <v>6197</v>
      </c>
      <c r="I2161" s="705">
        <v>321728</v>
      </c>
      <c r="J2161" s="705">
        <v>292480</v>
      </c>
      <c r="K2161" s="705">
        <v>81</v>
      </c>
      <c r="L2161" s="705">
        <v>47055</v>
      </c>
      <c r="M2161" s="705">
        <v>96281</v>
      </c>
      <c r="N2161" s="705">
        <v>76823</v>
      </c>
      <c r="O2161" s="705">
        <v>28453</v>
      </c>
      <c r="P2161" s="705">
        <v>21722</v>
      </c>
      <c r="Q2161" s="705">
        <v>8045</v>
      </c>
      <c r="R2161" s="705">
        <v>169023</v>
      </c>
      <c r="S2161" s="705">
        <v>153657</v>
      </c>
      <c r="T2161" s="705">
        <v>42852</v>
      </c>
      <c r="U2161" s="705">
        <v>15871</v>
      </c>
      <c r="V2161" s="705">
        <v>594787</v>
      </c>
      <c r="W2161" s="705">
        <f t="shared" si="88"/>
        <v>594787</v>
      </c>
      <c r="X2161" s="705">
        <f t="shared" si="89"/>
        <v>679203</v>
      </c>
    </row>
    <row r="2162" spans="2:24">
      <c r="B2162" t="s">
        <v>553</v>
      </c>
      <c r="C2162" t="s">
        <v>116</v>
      </c>
      <c r="D2162" t="s">
        <v>582</v>
      </c>
      <c r="E2162" t="s">
        <v>582</v>
      </c>
      <c r="F2162" s="705">
        <v>125</v>
      </c>
      <c r="G2162" s="705">
        <v>13673</v>
      </c>
      <c r="H2162" s="705">
        <v>22330</v>
      </c>
      <c r="I2162" s="705">
        <v>1089342</v>
      </c>
      <c r="J2162" s="705">
        <v>990311</v>
      </c>
      <c r="K2162" s="705">
        <v>82</v>
      </c>
      <c r="L2162" s="705">
        <v>336913</v>
      </c>
      <c r="M2162" s="705">
        <v>303172</v>
      </c>
      <c r="N2162" s="705">
        <v>273765</v>
      </c>
      <c r="O2162" s="705">
        <v>101394</v>
      </c>
      <c r="P2162" s="705">
        <v>58604</v>
      </c>
      <c r="Q2162" s="705">
        <v>21705</v>
      </c>
      <c r="R2162" s="705">
        <v>625690</v>
      </c>
      <c r="S2162" s="705">
        <v>568809</v>
      </c>
      <c r="T2162" s="705">
        <v>40959</v>
      </c>
      <c r="U2162" s="705">
        <v>15170</v>
      </c>
      <c r="V2162" s="705">
        <v>2000561</v>
      </c>
      <c r="W2162" s="705">
        <f t="shared" si="88"/>
        <v>2000561</v>
      </c>
      <c r="X2162" s="705">
        <f t="shared" si="89"/>
        <v>2425273</v>
      </c>
    </row>
    <row r="2163" spans="2:24">
      <c r="B2163" t="s">
        <v>553</v>
      </c>
      <c r="C2163" t="s">
        <v>116</v>
      </c>
      <c r="D2163" t="s">
        <v>228</v>
      </c>
      <c r="E2163" t="s">
        <v>228</v>
      </c>
      <c r="F2163" s="705">
        <v>15</v>
      </c>
      <c r="G2163" s="705">
        <v>1674</v>
      </c>
      <c r="H2163" s="705">
        <v>3124</v>
      </c>
      <c r="I2163" s="705">
        <v>182637</v>
      </c>
      <c r="J2163" s="705">
        <v>67643</v>
      </c>
      <c r="K2163" s="705">
        <v>100</v>
      </c>
      <c r="L2163" s="705">
        <v>29527</v>
      </c>
      <c r="M2163" s="705">
        <v>22091</v>
      </c>
      <c r="N2163" s="705">
        <v>36994</v>
      </c>
      <c r="O2163" s="705">
        <v>13702</v>
      </c>
      <c r="P2163" s="705">
        <v>0</v>
      </c>
      <c r="Q2163" s="705">
        <v>0</v>
      </c>
      <c r="R2163" s="705">
        <v>98399</v>
      </c>
      <c r="S2163" s="705">
        <v>36444</v>
      </c>
      <c r="T2163" s="705">
        <v>0</v>
      </c>
      <c r="U2163" s="705">
        <v>0</v>
      </c>
      <c r="V2163" s="705">
        <v>139880</v>
      </c>
      <c r="W2163" s="705">
        <f t="shared" si="88"/>
        <v>139880</v>
      </c>
      <c r="X2163" s="705">
        <f t="shared" si="89"/>
        <v>347557</v>
      </c>
    </row>
    <row r="2164" spans="2:24">
      <c r="B2164" t="s">
        <v>553</v>
      </c>
      <c r="C2164" t="s">
        <v>116</v>
      </c>
      <c r="D2164" t="s">
        <v>228</v>
      </c>
      <c r="E2164" t="s">
        <v>583</v>
      </c>
      <c r="F2164" s="705">
        <v>1</v>
      </c>
      <c r="G2164" s="705">
        <v>74</v>
      </c>
      <c r="H2164" s="705">
        <v>215</v>
      </c>
      <c r="I2164" s="705">
        <v>9632</v>
      </c>
      <c r="J2164" s="705">
        <v>3567</v>
      </c>
      <c r="K2164" s="705">
        <v>100</v>
      </c>
      <c r="L2164" s="705">
        <v>2308</v>
      </c>
      <c r="M2164" s="705">
        <v>2099</v>
      </c>
      <c r="N2164" s="705">
        <v>1415</v>
      </c>
      <c r="O2164" s="705">
        <v>524</v>
      </c>
      <c r="P2164" s="705">
        <v>0</v>
      </c>
      <c r="Q2164" s="705">
        <v>0</v>
      </c>
      <c r="R2164" s="705">
        <v>2659</v>
      </c>
      <c r="S2164" s="705">
        <v>2417</v>
      </c>
      <c r="T2164" s="705">
        <v>0</v>
      </c>
      <c r="U2164" s="705">
        <v>0</v>
      </c>
      <c r="V2164" s="705">
        <v>8607</v>
      </c>
      <c r="W2164" s="705">
        <f t="shared" si="88"/>
        <v>8607</v>
      </c>
      <c r="X2164" s="705">
        <f t="shared" si="89"/>
        <v>16014</v>
      </c>
    </row>
    <row r="2165" spans="2:24">
      <c r="B2165" t="s">
        <v>553</v>
      </c>
      <c r="C2165" t="s">
        <v>116</v>
      </c>
      <c r="D2165" t="s">
        <v>583</v>
      </c>
      <c r="E2165" t="s">
        <v>228</v>
      </c>
      <c r="F2165" s="705">
        <v>19</v>
      </c>
      <c r="G2165" s="705">
        <v>2006</v>
      </c>
      <c r="H2165" s="705">
        <v>3646</v>
      </c>
      <c r="I2165" s="705">
        <v>174351</v>
      </c>
      <c r="J2165" s="705">
        <v>158501</v>
      </c>
      <c r="K2165" s="705">
        <v>84</v>
      </c>
      <c r="L2165" s="705">
        <v>48237</v>
      </c>
      <c r="M2165" s="705">
        <v>43851</v>
      </c>
      <c r="N2165" s="705">
        <v>48716</v>
      </c>
      <c r="O2165" s="705">
        <v>18043</v>
      </c>
      <c r="P2165" s="705">
        <v>12150</v>
      </c>
      <c r="Q2165" s="705">
        <v>4500</v>
      </c>
      <c r="R2165" s="705">
        <v>100654</v>
      </c>
      <c r="S2165" s="705">
        <v>37279</v>
      </c>
      <c r="T2165" s="705">
        <v>0</v>
      </c>
      <c r="U2165" s="705">
        <v>0</v>
      </c>
      <c r="V2165" s="705">
        <v>262175</v>
      </c>
      <c r="W2165" s="705">
        <f t="shared" si="88"/>
        <v>262174</v>
      </c>
      <c r="X2165" s="705">
        <f t="shared" si="89"/>
        <v>384108</v>
      </c>
    </row>
    <row r="2166" spans="2:24">
      <c r="B2166" t="s">
        <v>553</v>
      </c>
      <c r="C2166" t="s">
        <v>116</v>
      </c>
      <c r="D2166" t="s">
        <v>583</v>
      </c>
      <c r="E2166" t="s">
        <v>583</v>
      </c>
      <c r="F2166" s="705">
        <v>1404</v>
      </c>
      <c r="G2166" s="705">
        <v>150363</v>
      </c>
      <c r="H2166" s="705">
        <v>271242</v>
      </c>
      <c r="I2166" s="705">
        <v>13385503</v>
      </c>
      <c r="J2166" s="705">
        <v>12168639</v>
      </c>
      <c r="K2166" s="705">
        <v>85</v>
      </c>
      <c r="L2166" s="705">
        <v>3486640</v>
      </c>
      <c r="M2166" s="705">
        <v>3108396</v>
      </c>
      <c r="N2166" s="705">
        <v>3109506</v>
      </c>
      <c r="O2166" s="705">
        <v>1151669</v>
      </c>
      <c r="P2166" s="705">
        <v>880815</v>
      </c>
      <c r="Q2166" s="705">
        <v>326228</v>
      </c>
      <c r="R2166" s="705">
        <v>6157221</v>
      </c>
      <c r="S2166" s="705">
        <v>5597474</v>
      </c>
      <c r="T2166" s="705">
        <v>2216349</v>
      </c>
      <c r="U2166" s="705">
        <v>820870</v>
      </c>
      <c r="V2166" s="705">
        <v>23173275</v>
      </c>
      <c r="W2166" s="705">
        <f t="shared" si="88"/>
        <v>23173276</v>
      </c>
      <c r="X2166" s="705">
        <f t="shared" si="89"/>
        <v>29236034</v>
      </c>
    </row>
    <row r="2167" spans="2:24">
      <c r="B2167" t="s">
        <v>553</v>
      </c>
      <c r="C2167" t="s">
        <v>116</v>
      </c>
      <c r="D2167" t="s">
        <v>583</v>
      </c>
      <c r="E2167" t="s">
        <v>666</v>
      </c>
      <c r="F2167" s="705">
        <v>1</v>
      </c>
      <c r="G2167" s="705">
        <v>129</v>
      </c>
      <c r="H2167" s="705">
        <v>206</v>
      </c>
      <c r="I2167" s="705">
        <v>13093</v>
      </c>
      <c r="J2167" s="705">
        <v>11903</v>
      </c>
      <c r="K2167" s="705">
        <v>79</v>
      </c>
      <c r="L2167" s="705">
        <v>3637</v>
      </c>
      <c r="M2167" s="705">
        <v>3306</v>
      </c>
      <c r="N2167" s="705">
        <v>2880</v>
      </c>
      <c r="O2167" s="705">
        <v>1067</v>
      </c>
      <c r="P2167" s="705">
        <v>621</v>
      </c>
      <c r="Q2167" s="705">
        <v>230</v>
      </c>
      <c r="R2167" s="705">
        <v>6368</v>
      </c>
      <c r="S2167" s="705">
        <v>5789</v>
      </c>
      <c r="T2167" s="705">
        <v>0</v>
      </c>
      <c r="U2167" s="705">
        <v>0</v>
      </c>
      <c r="V2167" s="705">
        <v>22294</v>
      </c>
      <c r="W2167" s="705">
        <f t="shared" si="88"/>
        <v>22295</v>
      </c>
      <c r="X2167" s="705">
        <f t="shared" si="89"/>
        <v>26599</v>
      </c>
    </row>
    <row r="2168" spans="2:24">
      <c r="B2168" t="s">
        <v>553</v>
      </c>
      <c r="C2168" t="s">
        <v>116</v>
      </c>
      <c r="D2168" t="s">
        <v>583</v>
      </c>
      <c r="E2168" t="s">
        <v>665</v>
      </c>
      <c r="F2168" s="705">
        <v>2</v>
      </c>
      <c r="G2168" s="705">
        <v>192</v>
      </c>
      <c r="H2168" s="705">
        <v>405</v>
      </c>
      <c r="I2168" s="705">
        <v>18653</v>
      </c>
      <c r="J2168" s="705">
        <v>16958</v>
      </c>
      <c r="K2168" s="705">
        <v>90</v>
      </c>
      <c r="L2168" s="705">
        <v>4906</v>
      </c>
      <c r="M2168" s="705">
        <v>4460</v>
      </c>
      <c r="N2168" s="705">
        <v>4311</v>
      </c>
      <c r="O2168" s="705">
        <v>1597</v>
      </c>
      <c r="P2168" s="705">
        <v>1635</v>
      </c>
      <c r="Q2168" s="705">
        <v>606</v>
      </c>
      <c r="R2168" s="705">
        <v>9298</v>
      </c>
      <c r="S2168" s="705">
        <v>8453</v>
      </c>
      <c r="T2168" s="705">
        <v>0</v>
      </c>
      <c r="U2168" s="705">
        <v>0</v>
      </c>
      <c r="V2168" s="705">
        <v>32073</v>
      </c>
      <c r="W2168" s="705">
        <f t="shared" si="88"/>
        <v>32074</v>
      </c>
      <c r="X2168" s="705">
        <f t="shared" si="89"/>
        <v>38803</v>
      </c>
    </row>
    <row r="2169" spans="2:24">
      <c r="B2169" t="s">
        <v>553</v>
      </c>
      <c r="C2169" t="s">
        <v>116</v>
      </c>
      <c r="D2169" t="s">
        <v>584</v>
      </c>
      <c r="E2169" t="s">
        <v>584</v>
      </c>
      <c r="F2169" s="705">
        <v>185</v>
      </c>
      <c r="G2169" s="705">
        <v>18082</v>
      </c>
      <c r="H2169" s="705">
        <v>33915</v>
      </c>
      <c r="I2169" s="705">
        <v>1520845</v>
      </c>
      <c r="J2169" s="705">
        <v>1382586</v>
      </c>
      <c r="K2169" s="705">
        <v>82</v>
      </c>
      <c r="L2169" s="705">
        <v>409170</v>
      </c>
      <c r="M2169" s="705">
        <v>361428</v>
      </c>
      <c r="N2169" s="705">
        <v>345975</v>
      </c>
      <c r="O2169" s="705">
        <v>128139</v>
      </c>
      <c r="P2169" s="705">
        <v>92381</v>
      </c>
      <c r="Q2169" s="705">
        <v>34215</v>
      </c>
      <c r="R2169" s="705">
        <v>888896</v>
      </c>
      <c r="S2169" s="705">
        <v>808087</v>
      </c>
      <c r="T2169" s="705">
        <v>68261</v>
      </c>
      <c r="U2169" s="705">
        <v>25282</v>
      </c>
      <c r="V2169" s="705">
        <v>2739737</v>
      </c>
      <c r="W2169" s="705">
        <f t="shared" si="88"/>
        <v>2739737</v>
      </c>
      <c r="X2169" s="705">
        <f t="shared" si="89"/>
        <v>3325528</v>
      </c>
    </row>
    <row r="2170" spans="2:24">
      <c r="B2170" t="s">
        <v>553</v>
      </c>
      <c r="C2170" t="s">
        <v>116</v>
      </c>
      <c r="D2170" t="s">
        <v>671</v>
      </c>
      <c r="E2170" t="s">
        <v>671</v>
      </c>
      <c r="F2170" s="705">
        <v>1</v>
      </c>
      <c r="G2170" s="705">
        <v>108</v>
      </c>
      <c r="H2170" s="705">
        <v>181</v>
      </c>
      <c r="I2170" s="705">
        <v>11879</v>
      </c>
      <c r="J2170" s="705">
        <v>10799</v>
      </c>
      <c r="K2170" s="705">
        <v>77</v>
      </c>
      <c r="L2170" s="705">
        <v>0</v>
      </c>
      <c r="M2170" s="705">
        <v>0</v>
      </c>
      <c r="N2170" s="705">
        <v>1417</v>
      </c>
      <c r="O2170" s="705">
        <v>525</v>
      </c>
      <c r="P2170" s="705">
        <v>351</v>
      </c>
      <c r="Q2170" s="705">
        <v>130</v>
      </c>
      <c r="R2170" s="705">
        <v>5791</v>
      </c>
      <c r="S2170" s="705">
        <v>5265</v>
      </c>
      <c r="T2170" s="705">
        <v>0</v>
      </c>
      <c r="U2170" s="705">
        <v>0</v>
      </c>
      <c r="V2170" s="705">
        <v>16718</v>
      </c>
      <c r="W2170" s="705">
        <f t="shared" si="88"/>
        <v>16719</v>
      </c>
      <c r="X2170" s="705">
        <f t="shared" si="89"/>
        <v>19438</v>
      </c>
    </row>
    <row r="2171" spans="2:24">
      <c r="B2171" t="s">
        <v>553</v>
      </c>
      <c r="C2171" t="s">
        <v>116</v>
      </c>
      <c r="D2171" t="s">
        <v>665</v>
      </c>
      <c r="E2171" t="s">
        <v>665</v>
      </c>
      <c r="F2171" s="705">
        <v>1</v>
      </c>
      <c r="G2171" s="705">
        <v>112</v>
      </c>
      <c r="H2171" s="705">
        <v>209</v>
      </c>
      <c r="I2171" s="705">
        <v>11695</v>
      </c>
      <c r="J2171" s="705">
        <v>10631</v>
      </c>
      <c r="K2171" s="705">
        <v>65</v>
      </c>
      <c r="L2171" s="705">
        <v>1299</v>
      </c>
      <c r="M2171" s="705">
        <v>1181</v>
      </c>
      <c r="N2171" s="705">
        <v>2525</v>
      </c>
      <c r="O2171" s="705">
        <v>935</v>
      </c>
      <c r="P2171" s="705">
        <v>702</v>
      </c>
      <c r="Q2171" s="705">
        <v>260</v>
      </c>
      <c r="R2171" s="705">
        <v>4664</v>
      </c>
      <c r="S2171" s="705">
        <v>4240</v>
      </c>
      <c r="T2171" s="705">
        <v>2578</v>
      </c>
      <c r="U2171" s="705">
        <v>955</v>
      </c>
      <c r="V2171" s="705">
        <v>18203</v>
      </c>
      <c r="W2171" s="705">
        <f t="shared" si="88"/>
        <v>18202</v>
      </c>
      <c r="X2171" s="705">
        <f t="shared" si="89"/>
        <v>23463</v>
      </c>
    </row>
    <row r="2172" spans="2:24">
      <c r="B2172" t="s">
        <v>553</v>
      </c>
      <c r="C2172" t="s">
        <v>118</v>
      </c>
      <c r="D2172" t="s">
        <v>582</v>
      </c>
      <c r="E2172" t="s">
        <v>674</v>
      </c>
      <c r="F2172" s="705">
        <v>1</v>
      </c>
      <c r="G2172" s="705">
        <v>122</v>
      </c>
      <c r="H2172" s="705">
        <v>249</v>
      </c>
      <c r="I2172" s="705">
        <v>14466</v>
      </c>
      <c r="J2172" s="705">
        <v>13151</v>
      </c>
      <c r="K2172" s="705">
        <v>78</v>
      </c>
      <c r="L2172" s="705">
        <v>6305</v>
      </c>
      <c r="M2172" s="705">
        <v>5732</v>
      </c>
      <c r="N2172" s="705">
        <v>2563</v>
      </c>
      <c r="O2172" s="705">
        <v>949</v>
      </c>
      <c r="P2172" s="705">
        <v>473</v>
      </c>
      <c r="Q2172" s="705">
        <v>175</v>
      </c>
      <c r="R2172" s="705">
        <v>3773</v>
      </c>
      <c r="S2172" s="705">
        <v>3430</v>
      </c>
      <c r="T2172" s="705">
        <v>2836</v>
      </c>
      <c r="U2172" s="705">
        <v>1050</v>
      </c>
      <c r="V2172" s="705">
        <v>24487</v>
      </c>
      <c r="W2172" s="705">
        <f t="shared" si="88"/>
        <v>24487</v>
      </c>
      <c r="X2172" s="705">
        <f t="shared" si="89"/>
        <v>30416</v>
      </c>
    </row>
    <row r="2173" spans="2:24">
      <c r="B2173" t="s">
        <v>553</v>
      </c>
      <c r="C2173" t="s">
        <v>118</v>
      </c>
      <c r="D2173" t="s">
        <v>582</v>
      </c>
      <c r="E2173" t="s">
        <v>582</v>
      </c>
      <c r="F2173" s="705">
        <v>9</v>
      </c>
      <c r="G2173" s="705">
        <v>800</v>
      </c>
      <c r="H2173" s="705">
        <v>2339</v>
      </c>
      <c r="I2173" s="705">
        <v>106559</v>
      </c>
      <c r="J2173" s="705">
        <v>96871</v>
      </c>
      <c r="K2173" s="705">
        <v>75</v>
      </c>
      <c r="L2173" s="705">
        <v>32075</v>
      </c>
      <c r="M2173" s="705">
        <v>28802</v>
      </c>
      <c r="N2173" s="705">
        <v>16961</v>
      </c>
      <c r="O2173" s="705">
        <v>6282</v>
      </c>
      <c r="P2173" s="705">
        <v>4712</v>
      </c>
      <c r="Q2173" s="705">
        <v>1745</v>
      </c>
      <c r="R2173" s="705">
        <v>43955</v>
      </c>
      <c r="S2173" s="705">
        <v>39959</v>
      </c>
      <c r="T2173" s="705">
        <v>2544</v>
      </c>
      <c r="U2173" s="705">
        <v>942</v>
      </c>
      <c r="V2173" s="705">
        <v>174602</v>
      </c>
      <c r="W2173" s="705">
        <f t="shared" si="88"/>
        <v>174601</v>
      </c>
      <c r="X2173" s="705">
        <f t="shared" si="89"/>
        <v>206806</v>
      </c>
    </row>
    <row r="2174" spans="2:24">
      <c r="B2174" t="s">
        <v>553</v>
      </c>
      <c r="C2174" t="s">
        <v>118</v>
      </c>
      <c r="D2174" t="s">
        <v>228</v>
      </c>
      <c r="E2174" t="s">
        <v>228</v>
      </c>
      <c r="F2174" s="705">
        <v>117</v>
      </c>
      <c r="G2174" s="705">
        <v>10812</v>
      </c>
      <c r="H2174" s="705">
        <v>31568</v>
      </c>
      <c r="I2174" s="705">
        <v>1576715</v>
      </c>
      <c r="J2174" s="705">
        <v>583968</v>
      </c>
      <c r="K2174" s="705">
        <v>100</v>
      </c>
      <c r="L2174" s="705">
        <v>286796</v>
      </c>
      <c r="M2174" s="705">
        <v>223908</v>
      </c>
      <c r="N2174" s="705">
        <v>240429</v>
      </c>
      <c r="O2174" s="705">
        <v>89048</v>
      </c>
      <c r="P2174" s="705">
        <v>1301</v>
      </c>
      <c r="Q2174" s="705">
        <v>482</v>
      </c>
      <c r="R2174" s="705">
        <v>806109</v>
      </c>
      <c r="S2174" s="705">
        <v>298559</v>
      </c>
      <c r="T2174" s="705">
        <v>0</v>
      </c>
      <c r="U2174" s="705">
        <v>0</v>
      </c>
      <c r="V2174" s="705">
        <v>1195965</v>
      </c>
      <c r="W2174" s="705">
        <f t="shared" si="88"/>
        <v>1195965</v>
      </c>
      <c r="X2174" s="705">
        <f t="shared" si="89"/>
        <v>2911350</v>
      </c>
    </row>
    <row r="2175" spans="2:24">
      <c r="B2175" t="s">
        <v>553</v>
      </c>
      <c r="C2175" t="s">
        <v>118</v>
      </c>
      <c r="D2175" t="s">
        <v>583</v>
      </c>
      <c r="E2175" t="s">
        <v>228</v>
      </c>
      <c r="F2175" s="705">
        <v>4</v>
      </c>
      <c r="G2175" s="705">
        <v>419</v>
      </c>
      <c r="H2175" s="705">
        <v>991</v>
      </c>
      <c r="I2175" s="705">
        <v>47773</v>
      </c>
      <c r="J2175" s="705">
        <v>43430</v>
      </c>
      <c r="K2175" s="705">
        <v>82</v>
      </c>
      <c r="L2175" s="705">
        <v>9622</v>
      </c>
      <c r="M2175" s="705">
        <v>8747</v>
      </c>
      <c r="N2175" s="705">
        <v>8874</v>
      </c>
      <c r="O2175" s="705">
        <v>3287</v>
      </c>
      <c r="P2175" s="705">
        <v>2484</v>
      </c>
      <c r="Q2175" s="705">
        <v>920</v>
      </c>
      <c r="R2175" s="705">
        <v>34008</v>
      </c>
      <c r="S2175" s="705">
        <v>12595</v>
      </c>
      <c r="T2175" s="705">
        <v>0</v>
      </c>
      <c r="U2175" s="705">
        <v>0</v>
      </c>
      <c r="V2175" s="705">
        <v>68979</v>
      </c>
      <c r="W2175" s="705">
        <f t="shared" si="88"/>
        <v>68979</v>
      </c>
      <c r="X2175" s="705">
        <f t="shared" si="89"/>
        <v>102761</v>
      </c>
    </row>
    <row r="2176" spans="2:24">
      <c r="B2176" t="s">
        <v>553</v>
      </c>
      <c r="C2176" t="s">
        <v>118</v>
      </c>
      <c r="D2176" t="s">
        <v>583</v>
      </c>
      <c r="E2176" t="s">
        <v>583</v>
      </c>
      <c r="F2176" s="705">
        <v>398</v>
      </c>
      <c r="G2176" s="705">
        <v>36473</v>
      </c>
      <c r="H2176" s="705">
        <v>100943</v>
      </c>
      <c r="I2176" s="705">
        <v>4851780</v>
      </c>
      <c r="J2176" s="705">
        <v>4410709</v>
      </c>
      <c r="K2176" s="705">
        <v>82</v>
      </c>
      <c r="L2176" s="705">
        <v>1130301</v>
      </c>
      <c r="M2176" s="705">
        <v>1012409</v>
      </c>
      <c r="N2176" s="705">
        <v>772002</v>
      </c>
      <c r="O2176" s="705">
        <v>285927</v>
      </c>
      <c r="P2176" s="705">
        <v>252626</v>
      </c>
      <c r="Q2176" s="705">
        <v>93565</v>
      </c>
      <c r="R2176" s="705">
        <v>1654834</v>
      </c>
      <c r="S2176" s="705">
        <v>1504394</v>
      </c>
      <c r="T2176" s="705">
        <v>689943</v>
      </c>
      <c r="U2176" s="705">
        <v>255534</v>
      </c>
      <c r="V2176" s="705">
        <v>7562538</v>
      </c>
      <c r="W2176" s="705">
        <f t="shared" si="88"/>
        <v>7562538</v>
      </c>
      <c r="X2176" s="705">
        <f t="shared" si="89"/>
        <v>9351486</v>
      </c>
    </row>
    <row r="2177" spans="2:24">
      <c r="B2177" t="s">
        <v>553</v>
      </c>
      <c r="C2177" t="s">
        <v>118</v>
      </c>
      <c r="D2177" t="s">
        <v>583</v>
      </c>
      <c r="E2177" t="s">
        <v>671</v>
      </c>
      <c r="F2177" s="705">
        <v>1</v>
      </c>
      <c r="G2177" s="705">
        <v>80</v>
      </c>
      <c r="H2177" s="705">
        <v>240</v>
      </c>
      <c r="I2177" s="705">
        <v>9833</v>
      </c>
      <c r="J2177" s="705">
        <v>8939</v>
      </c>
      <c r="K2177" s="705">
        <v>84</v>
      </c>
      <c r="L2177" s="705">
        <v>1928</v>
      </c>
      <c r="M2177" s="705">
        <v>1752</v>
      </c>
      <c r="N2177" s="705">
        <v>975</v>
      </c>
      <c r="O2177" s="705">
        <v>361</v>
      </c>
      <c r="P2177" s="705">
        <v>621</v>
      </c>
      <c r="Q2177" s="705">
        <v>230</v>
      </c>
      <c r="R2177" s="705">
        <v>3527</v>
      </c>
      <c r="S2177" s="705">
        <v>3207</v>
      </c>
      <c r="T2177" s="705">
        <v>2300</v>
      </c>
      <c r="U2177" s="705">
        <v>852</v>
      </c>
      <c r="V2177" s="705">
        <v>15341</v>
      </c>
      <c r="W2177" s="705">
        <f t="shared" si="88"/>
        <v>15341</v>
      </c>
      <c r="X2177" s="705">
        <f t="shared" si="89"/>
        <v>19184</v>
      </c>
    </row>
    <row r="2178" spans="2:24">
      <c r="B2178" t="s">
        <v>553</v>
      </c>
      <c r="C2178" t="s">
        <v>118</v>
      </c>
      <c r="D2178" t="s">
        <v>666</v>
      </c>
      <c r="E2178" t="s">
        <v>228</v>
      </c>
      <c r="F2178" s="705">
        <v>1</v>
      </c>
      <c r="G2178" s="705">
        <v>135</v>
      </c>
      <c r="H2178" s="705">
        <v>255</v>
      </c>
      <c r="I2178" s="705">
        <v>22510</v>
      </c>
      <c r="J2178" s="705">
        <v>20463</v>
      </c>
      <c r="K2178" s="705">
        <v>55</v>
      </c>
      <c r="L2178" s="705">
        <v>2501</v>
      </c>
      <c r="M2178" s="705">
        <v>2274</v>
      </c>
      <c r="N2178" s="705">
        <v>3300</v>
      </c>
      <c r="O2178" s="705">
        <v>1222</v>
      </c>
      <c r="P2178" s="705">
        <v>0</v>
      </c>
      <c r="Q2178" s="705">
        <v>0</v>
      </c>
      <c r="R2178" s="705">
        <v>6210</v>
      </c>
      <c r="S2178" s="705">
        <v>2300</v>
      </c>
      <c r="T2178" s="705">
        <v>0</v>
      </c>
      <c r="U2178" s="705">
        <v>0</v>
      </c>
      <c r="V2178" s="705">
        <v>26259</v>
      </c>
      <c r="W2178" s="705">
        <f t="shared" si="88"/>
        <v>26259</v>
      </c>
      <c r="X2178" s="705">
        <f t="shared" si="89"/>
        <v>34521</v>
      </c>
    </row>
    <row r="2179" spans="2:24">
      <c r="B2179" t="s">
        <v>553</v>
      </c>
      <c r="C2179" t="s">
        <v>118</v>
      </c>
      <c r="D2179" t="s">
        <v>666</v>
      </c>
      <c r="E2179" t="s">
        <v>666</v>
      </c>
      <c r="F2179" s="705">
        <v>7</v>
      </c>
      <c r="G2179" s="705">
        <v>422</v>
      </c>
      <c r="H2179" s="705">
        <v>2017</v>
      </c>
      <c r="I2179" s="705">
        <v>67927</v>
      </c>
      <c r="J2179" s="705">
        <v>61751</v>
      </c>
      <c r="K2179" s="705">
        <v>64</v>
      </c>
      <c r="L2179" s="705">
        <v>2663</v>
      </c>
      <c r="M2179" s="705">
        <v>2421</v>
      </c>
      <c r="N2179" s="705">
        <v>8496</v>
      </c>
      <c r="O2179" s="705">
        <v>3147</v>
      </c>
      <c r="P2179" s="705">
        <v>2457</v>
      </c>
      <c r="Q2179" s="705">
        <v>910</v>
      </c>
      <c r="R2179" s="705">
        <v>25772</v>
      </c>
      <c r="S2179" s="705">
        <v>23429</v>
      </c>
      <c r="T2179" s="705">
        <v>14664</v>
      </c>
      <c r="U2179" s="705">
        <v>5431</v>
      </c>
      <c r="V2179" s="705">
        <v>97090</v>
      </c>
      <c r="W2179" s="705">
        <f t="shared" si="88"/>
        <v>97089</v>
      </c>
      <c r="X2179" s="705">
        <f t="shared" si="89"/>
        <v>121979</v>
      </c>
    </row>
    <row r="2180" spans="2:24">
      <c r="B2180" t="s">
        <v>553</v>
      </c>
      <c r="C2180" t="s">
        <v>118</v>
      </c>
      <c r="D2180" t="s">
        <v>584</v>
      </c>
      <c r="E2180" t="s">
        <v>584</v>
      </c>
      <c r="F2180" s="705">
        <v>26</v>
      </c>
      <c r="G2180" s="705">
        <v>1993</v>
      </c>
      <c r="H2180" s="705">
        <v>6224</v>
      </c>
      <c r="I2180" s="705">
        <v>223585</v>
      </c>
      <c r="J2180" s="705">
        <v>203259</v>
      </c>
      <c r="K2180" s="705">
        <v>80</v>
      </c>
      <c r="L2180" s="705">
        <v>67820</v>
      </c>
      <c r="M2180" s="705">
        <v>58404</v>
      </c>
      <c r="N2180" s="705">
        <v>38331</v>
      </c>
      <c r="O2180" s="705">
        <v>14197</v>
      </c>
      <c r="P2180" s="705">
        <v>12285</v>
      </c>
      <c r="Q2180" s="705">
        <v>4550</v>
      </c>
      <c r="R2180" s="705">
        <v>109248</v>
      </c>
      <c r="S2180" s="705">
        <v>99316</v>
      </c>
      <c r="T2180" s="705">
        <v>22006</v>
      </c>
      <c r="U2180" s="705">
        <v>8150</v>
      </c>
      <c r="V2180" s="705">
        <v>387877</v>
      </c>
      <c r="W2180" s="705">
        <f t="shared" si="88"/>
        <v>387876</v>
      </c>
      <c r="X2180" s="705">
        <f t="shared" si="89"/>
        <v>473275</v>
      </c>
    </row>
    <row r="2181" spans="2:24">
      <c r="B2181" t="s">
        <v>553</v>
      </c>
      <c r="C2181" t="s">
        <v>118</v>
      </c>
      <c r="D2181" t="s">
        <v>669</v>
      </c>
      <c r="E2181" t="s">
        <v>669</v>
      </c>
      <c r="F2181" s="705">
        <v>6</v>
      </c>
      <c r="G2181" s="705">
        <v>591</v>
      </c>
      <c r="H2181" s="705">
        <v>1661</v>
      </c>
      <c r="I2181" s="705">
        <v>89104</v>
      </c>
      <c r="J2181" s="705">
        <v>74253</v>
      </c>
      <c r="K2181" s="705">
        <v>65</v>
      </c>
      <c r="L2181" s="705">
        <v>17263</v>
      </c>
      <c r="M2181" s="705">
        <v>15222</v>
      </c>
      <c r="N2181" s="705">
        <v>11877</v>
      </c>
      <c r="O2181" s="705">
        <v>4399</v>
      </c>
      <c r="P2181" s="705">
        <v>1877</v>
      </c>
      <c r="Q2181" s="705">
        <v>695</v>
      </c>
      <c r="R2181" s="705">
        <v>27929</v>
      </c>
      <c r="S2181" s="705">
        <v>23274</v>
      </c>
      <c r="T2181" s="705">
        <v>16129</v>
      </c>
      <c r="U2181" s="705">
        <v>5974</v>
      </c>
      <c r="V2181" s="705">
        <v>123817</v>
      </c>
      <c r="W2181" s="705">
        <f t="shared" si="88"/>
        <v>123817</v>
      </c>
      <c r="X2181" s="705">
        <f t="shared" si="89"/>
        <v>164179</v>
      </c>
    </row>
    <row r="2182" spans="2:24">
      <c r="B2182" t="s">
        <v>553</v>
      </c>
      <c r="C2182" t="s">
        <v>118</v>
      </c>
      <c r="D2182" t="s">
        <v>671</v>
      </c>
      <c r="E2182" t="s">
        <v>671</v>
      </c>
      <c r="F2182" s="705">
        <v>2</v>
      </c>
      <c r="G2182" s="705">
        <v>188</v>
      </c>
      <c r="H2182" s="705">
        <v>531</v>
      </c>
      <c r="I2182" s="705">
        <v>26677</v>
      </c>
      <c r="J2182" s="705">
        <v>24252</v>
      </c>
      <c r="K2182" s="705">
        <v>68</v>
      </c>
      <c r="L2182" s="705">
        <v>6517</v>
      </c>
      <c r="M2182" s="705">
        <v>5924</v>
      </c>
      <c r="N2182" s="705">
        <v>3344</v>
      </c>
      <c r="O2182" s="705">
        <v>1239</v>
      </c>
      <c r="P2182" s="705">
        <v>702</v>
      </c>
      <c r="Q2182" s="705">
        <v>260</v>
      </c>
      <c r="R2182" s="705">
        <v>7449</v>
      </c>
      <c r="S2182" s="705">
        <v>6772</v>
      </c>
      <c r="T2182" s="705">
        <v>4831</v>
      </c>
      <c r="U2182" s="705">
        <v>1789</v>
      </c>
      <c r="V2182" s="705">
        <v>40236</v>
      </c>
      <c r="W2182" s="705">
        <f t="shared" si="88"/>
        <v>40236</v>
      </c>
      <c r="X2182" s="705">
        <f t="shared" si="89"/>
        <v>49520</v>
      </c>
    </row>
    <row r="2183" spans="2:24">
      <c r="B2183" t="s">
        <v>553</v>
      </c>
      <c r="C2183" t="s">
        <v>118</v>
      </c>
      <c r="D2183" t="s">
        <v>665</v>
      </c>
      <c r="E2183" t="s">
        <v>665</v>
      </c>
      <c r="F2183" s="705">
        <v>19</v>
      </c>
      <c r="G2183" s="705">
        <v>1708</v>
      </c>
      <c r="H2183" s="705">
        <v>5039</v>
      </c>
      <c r="I2183" s="705">
        <v>244720</v>
      </c>
      <c r="J2183" s="705">
        <v>222472</v>
      </c>
      <c r="K2183" s="705">
        <v>63</v>
      </c>
      <c r="L2183" s="705">
        <v>29944</v>
      </c>
      <c r="M2183" s="705">
        <v>25293</v>
      </c>
      <c r="N2183" s="705">
        <v>34034</v>
      </c>
      <c r="O2183" s="705">
        <v>12605</v>
      </c>
      <c r="P2183" s="705">
        <v>7290</v>
      </c>
      <c r="Q2183" s="705">
        <v>2700</v>
      </c>
      <c r="R2183" s="705">
        <v>96576</v>
      </c>
      <c r="S2183" s="705">
        <v>87796</v>
      </c>
      <c r="T2183" s="705">
        <v>37318</v>
      </c>
      <c r="U2183" s="705">
        <v>13821</v>
      </c>
      <c r="V2183" s="705">
        <v>364688</v>
      </c>
      <c r="W2183" s="705">
        <f t="shared" si="88"/>
        <v>364687</v>
      </c>
      <c r="X2183" s="705">
        <f t="shared" si="89"/>
        <v>449882</v>
      </c>
    </row>
    <row r="2184" spans="2:24">
      <c r="B2184" t="s">
        <v>553</v>
      </c>
      <c r="C2184" t="s">
        <v>118</v>
      </c>
      <c r="D2184" t="s">
        <v>585</v>
      </c>
      <c r="E2184" t="s">
        <v>585</v>
      </c>
      <c r="F2184" s="705">
        <v>1</v>
      </c>
      <c r="G2184" s="705">
        <v>179</v>
      </c>
      <c r="H2184" s="705">
        <v>256</v>
      </c>
      <c r="I2184" s="705">
        <v>38494</v>
      </c>
      <c r="J2184" s="705">
        <v>34995</v>
      </c>
      <c r="K2184" s="705">
        <v>88</v>
      </c>
      <c r="L2184" s="705">
        <v>6238</v>
      </c>
      <c r="M2184" s="705">
        <v>5670</v>
      </c>
      <c r="N2184" s="705">
        <v>2467</v>
      </c>
      <c r="O2184" s="705">
        <v>914</v>
      </c>
      <c r="P2184" s="705">
        <v>351</v>
      </c>
      <c r="Q2184" s="705">
        <v>130</v>
      </c>
      <c r="R2184" s="705">
        <v>4396</v>
      </c>
      <c r="S2184" s="705">
        <v>3996</v>
      </c>
      <c r="T2184" s="705">
        <v>0</v>
      </c>
      <c r="U2184" s="705">
        <v>0</v>
      </c>
      <c r="V2184" s="705">
        <v>45705</v>
      </c>
      <c r="W2184" s="705">
        <f t="shared" si="88"/>
        <v>45705</v>
      </c>
      <c r="X2184" s="705">
        <f t="shared" si="89"/>
        <v>51946</v>
      </c>
    </row>
    <row r="2185" spans="2:24">
      <c r="B2185" t="s">
        <v>553</v>
      </c>
      <c r="C2185" t="s">
        <v>120</v>
      </c>
      <c r="D2185" t="s">
        <v>674</v>
      </c>
      <c r="E2185" t="s">
        <v>674</v>
      </c>
      <c r="F2185" s="705">
        <v>2</v>
      </c>
      <c r="G2185" s="705">
        <v>111</v>
      </c>
      <c r="H2185" s="705">
        <v>688</v>
      </c>
      <c r="I2185" s="705">
        <v>24582</v>
      </c>
      <c r="J2185" s="705">
        <v>22347</v>
      </c>
      <c r="K2185" s="705">
        <v>65</v>
      </c>
      <c r="L2185" s="705">
        <v>0</v>
      </c>
      <c r="M2185" s="705">
        <v>0</v>
      </c>
      <c r="N2185" s="705">
        <v>2530</v>
      </c>
      <c r="O2185" s="705">
        <v>937</v>
      </c>
      <c r="P2185" s="705">
        <v>702</v>
      </c>
      <c r="Q2185" s="705">
        <v>260</v>
      </c>
      <c r="R2185" s="705">
        <v>6367</v>
      </c>
      <c r="S2185" s="705">
        <v>5788</v>
      </c>
      <c r="T2185" s="705">
        <v>3916</v>
      </c>
      <c r="U2185" s="705">
        <v>1450</v>
      </c>
      <c r="V2185" s="705">
        <v>30782</v>
      </c>
      <c r="W2185" s="705">
        <f t="shared" si="88"/>
        <v>30782</v>
      </c>
      <c r="X2185" s="705">
        <f t="shared" si="89"/>
        <v>38097</v>
      </c>
    </row>
    <row r="2186" spans="2:24">
      <c r="B2186" t="s">
        <v>553</v>
      </c>
      <c r="C2186" t="s">
        <v>120</v>
      </c>
      <c r="D2186" t="s">
        <v>582</v>
      </c>
      <c r="E2186" t="s">
        <v>582</v>
      </c>
      <c r="F2186" s="705">
        <v>2</v>
      </c>
      <c r="G2186" s="705">
        <v>133</v>
      </c>
      <c r="H2186" s="705">
        <v>657</v>
      </c>
      <c r="I2186" s="705">
        <v>29668</v>
      </c>
      <c r="J2186" s="705">
        <v>26971</v>
      </c>
      <c r="K2186" s="705">
        <v>79</v>
      </c>
      <c r="L2186" s="705">
        <v>3637</v>
      </c>
      <c r="M2186" s="705">
        <v>3307</v>
      </c>
      <c r="N2186" s="705">
        <v>2162</v>
      </c>
      <c r="O2186" s="705">
        <v>801</v>
      </c>
      <c r="P2186" s="705">
        <v>945</v>
      </c>
      <c r="Q2186" s="705">
        <v>350</v>
      </c>
      <c r="R2186" s="705">
        <v>7417</v>
      </c>
      <c r="S2186" s="705">
        <v>6743</v>
      </c>
      <c r="T2186" s="705">
        <v>0</v>
      </c>
      <c r="U2186" s="705">
        <v>0</v>
      </c>
      <c r="V2186" s="705">
        <v>38172</v>
      </c>
      <c r="W2186" s="705">
        <f t="shared" si="88"/>
        <v>38172</v>
      </c>
      <c r="X2186" s="705">
        <f t="shared" si="89"/>
        <v>43829</v>
      </c>
    </row>
    <row r="2187" spans="2:24">
      <c r="B2187" t="s">
        <v>553</v>
      </c>
      <c r="C2187" t="s">
        <v>120</v>
      </c>
      <c r="D2187" t="s">
        <v>228</v>
      </c>
      <c r="E2187" t="s">
        <v>228</v>
      </c>
      <c r="F2187" s="705">
        <v>131</v>
      </c>
      <c r="G2187" s="705">
        <v>8682</v>
      </c>
      <c r="H2187" s="705">
        <v>44263</v>
      </c>
      <c r="I2187" s="705">
        <v>1706900</v>
      </c>
      <c r="J2187" s="705">
        <v>632185</v>
      </c>
      <c r="K2187" s="705">
        <v>100</v>
      </c>
      <c r="L2187" s="705">
        <v>268014</v>
      </c>
      <c r="M2187" s="705">
        <v>215296</v>
      </c>
      <c r="N2187" s="705">
        <v>170755</v>
      </c>
      <c r="O2187" s="705">
        <v>63242</v>
      </c>
      <c r="P2187" s="705">
        <v>6534</v>
      </c>
      <c r="Q2187" s="705">
        <v>2420</v>
      </c>
      <c r="R2187" s="705">
        <v>807749</v>
      </c>
      <c r="S2187" s="705">
        <v>299166</v>
      </c>
      <c r="T2187" s="705">
        <v>15402</v>
      </c>
      <c r="U2187" s="705">
        <v>5704</v>
      </c>
      <c r="V2187" s="705">
        <v>1218014</v>
      </c>
      <c r="W2187" s="705">
        <f t="shared" si="88"/>
        <v>1218013</v>
      </c>
      <c r="X2187" s="705">
        <f t="shared" si="89"/>
        <v>2975354</v>
      </c>
    </row>
    <row r="2188" spans="2:24">
      <c r="B2188" t="s">
        <v>553</v>
      </c>
      <c r="C2188" t="s">
        <v>120</v>
      </c>
      <c r="D2188" t="s">
        <v>228</v>
      </c>
      <c r="E2188" t="s">
        <v>665</v>
      </c>
      <c r="F2188" s="705">
        <v>1</v>
      </c>
      <c r="G2188" s="705">
        <v>81</v>
      </c>
      <c r="H2188" s="705">
        <v>331</v>
      </c>
      <c r="I2188" s="705">
        <v>15142</v>
      </c>
      <c r="J2188" s="705">
        <v>5608</v>
      </c>
      <c r="K2188" s="705">
        <v>100</v>
      </c>
      <c r="L2188" s="705">
        <v>1523</v>
      </c>
      <c r="M2188" s="705">
        <v>1385</v>
      </c>
      <c r="N2188" s="705">
        <v>1160</v>
      </c>
      <c r="O2188" s="705">
        <v>430</v>
      </c>
      <c r="P2188" s="705">
        <v>0</v>
      </c>
      <c r="Q2188" s="705">
        <v>0</v>
      </c>
      <c r="R2188" s="705">
        <v>6488</v>
      </c>
      <c r="S2188" s="705">
        <v>5898</v>
      </c>
      <c r="T2188" s="705">
        <v>2443</v>
      </c>
      <c r="U2188" s="705">
        <v>905</v>
      </c>
      <c r="V2188" s="705">
        <v>14226</v>
      </c>
      <c r="W2188" s="705">
        <f t="shared" si="88"/>
        <v>14226</v>
      </c>
      <c r="X2188" s="705">
        <f t="shared" si="89"/>
        <v>26756</v>
      </c>
    </row>
    <row r="2189" spans="2:24">
      <c r="B2189" t="s">
        <v>553</v>
      </c>
      <c r="C2189" t="s">
        <v>120</v>
      </c>
      <c r="D2189" t="s">
        <v>583</v>
      </c>
      <c r="E2189" t="s">
        <v>664</v>
      </c>
      <c r="F2189" s="705">
        <v>1</v>
      </c>
      <c r="G2189" s="705">
        <v>101</v>
      </c>
      <c r="H2189" s="705">
        <v>347</v>
      </c>
      <c r="I2189" s="705">
        <v>22983</v>
      </c>
      <c r="J2189" s="705">
        <v>20894</v>
      </c>
      <c r="K2189" s="705">
        <v>65</v>
      </c>
      <c r="L2189" s="705">
        <v>2869</v>
      </c>
      <c r="M2189" s="705">
        <v>2609</v>
      </c>
      <c r="N2189" s="705">
        <v>2331</v>
      </c>
      <c r="O2189" s="705">
        <v>863</v>
      </c>
      <c r="P2189" s="705">
        <v>621</v>
      </c>
      <c r="Q2189" s="705">
        <v>230</v>
      </c>
      <c r="R2189" s="705">
        <v>4123</v>
      </c>
      <c r="S2189" s="705">
        <v>3748</v>
      </c>
      <c r="T2189" s="705">
        <v>1991</v>
      </c>
      <c r="U2189" s="705">
        <v>737</v>
      </c>
      <c r="V2189" s="705">
        <v>29082</v>
      </c>
      <c r="W2189" s="705">
        <f t="shared" si="88"/>
        <v>29081</v>
      </c>
      <c r="X2189" s="705">
        <f t="shared" si="89"/>
        <v>34918</v>
      </c>
    </row>
    <row r="2190" spans="2:24">
      <c r="B2190" t="s">
        <v>553</v>
      </c>
      <c r="C2190" t="s">
        <v>120</v>
      </c>
      <c r="D2190" t="s">
        <v>583</v>
      </c>
      <c r="E2190" t="s">
        <v>583</v>
      </c>
      <c r="F2190" s="705">
        <v>121</v>
      </c>
      <c r="G2190" s="705">
        <v>11526</v>
      </c>
      <c r="H2190" s="705">
        <v>41006</v>
      </c>
      <c r="I2190" s="705">
        <v>2384508</v>
      </c>
      <c r="J2190" s="705">
        <v>2167734</v>
      </c>
      <c r="K2190" s="705">
        <v>78</v>
      </c>
      <c r="L2190" s="705">
        <v>451942</v>
      </c>
      <c r="M2190" s="705">
        <v>398901</v>
      </c>
      <c r="N2190" s="705">
        <v>243420</v>
      </c>
      <c r="O2190" s="705">
        <v>90156</v>
      </c>
      <c r="P2190" s="705">
        <v>76545</v>
      </c>
      <c r="Q2190" s="705">
        <v>28350</v>
      </c>
      <c r="R2190" s="705">
        <v>551633</v>
      </c>
      <c r="S2190" s="705">
        <v>501484</v>
      </c>
      <c r="T2190" s="705">
        <v>218018</v>
      </c>
      <c r="U2190" s="705">
        <v>80747</v>
      </c>
      <c r="V2190" s="705">
        <v>3267373</v>
      </c>
      <c r="W2190" s="705">
        <f t="shared" si="88"/>
        <v>3267372</v>
      </c>
      <c r="X2190" s="705">
        <f t="shared" si="89"/>
        <v>3926066</v>
      </c>
    </row>
    <row r="2191" spans="2:24">
      <c r="B2191" t="s">
        <v>553</v>
      </c>
      <c r="C2191" t="s">
        <v>120</v>
      </c>
      <c r="D2191" t="s">
        <v>666</v>
      </c>
      <c r="E2191" t="s">
        <v>666</v>
      </c>
      <c r="F2191" s="705">
        <v>26</v>
      </c>
      <c r="G2191" s="705">
        <v>2151</v>
      </c>
      <c r="H2191" s="705">
        <v>9067</v>
      </c>
      <c r="I2191" s="705">
        <v>421772</v>
      </c>
      <c r="J2191" s="705">
        <v>383429</v>
      </c>
      <c r="K2191" s="705">
        <v>49</v>
      </c>
      <c r="L2191" s="705">
        <v>62859</v>
      </c>
      <c r="M2191" s="705">
        <v>56229</v>
      </c>
      <c r="N2191" s="705">
        <v>45687</v>
      </c>
      <c r="O2191" s="705">
        <v>16921</v>
      </c>
      <c r="P2191" s="705">
        <v>9126</v>
      </c>
      <c r="Q2191" s="705">
        <v>3380</v>
      </c>
      <c r="R2191" s="705">
        <v>144220</v>
      </c>
      <c r="S2191" s="705">
        <v>131109</v>
      </c>
      <c r="T2191" s="705">
        <v>67266</v>
      </c>
      <c r="U2191" s="705">
        <v>24913</v>
      </c>
      <c r="V2191" s="705">
        <v>615981</v>
      </c>
      <c r="W2191" s="705">
        <f t="shared" si="88"/>
        <v>615981</v>
      </c>
      <c r="X2191" s="705">
        <f t="shared" si="89"/>
        <v>750930</v>
      </c>
    </row>
    <row r="2192" spans="2:24">
      <c r="B2192" t="s">
        <v>553</v>
      </c>
      <c r="C2192" t="s">
        <v>120</v>
      </c>
      <c r="D2192" t="s">
        <v>584</v>
      </c>
      <c r="E2192" t="s">
        <v>584</v>
      </c>
      <c r="F2192" s="705">
        <v>1</v>
      </c>
      <c r="G2192" s="705">
        <v>184</v>
      </c>
      <c r="H2192" s="705">
        <v>305</v>
      </c>
      <c r="I2192" s="705">
        <v>36496</v>
      </c>
      <c r="J2192" s="705">
        <v>33178</v>
      </c>
      <c r="K2192" s="705">
        <v>65</v>
      </c>
      <c r="L2192" s="705">
        <v>3855</v>
      </c>
      <c r="M2192" s="705">
        <v>3505</v>
      </c>
      <c r="N2192" s="705">
        <v>4477</v>
      </c>
      <c r="O2192" s="705">
        <v>1658</v>
      </c>
      <c r="P2192" s="705">
        <v>473</v>
      </c>
      <c r="Q2192" s="705">
        <v>175</v>
      </c>
      <c r="R2192" s="705">
        <v>10690</v>
      </c>
      <c r="S2192" s="705">
        <v>9719</v>
      </c>
      <c r="T2192" s="705">
        <v>0</v>
      </c>
      <c r="U2192" s="705">
        <v>0</v>
      </c>
      <c r="V2192" s="705">
        <v>48235</v>
      </c>
      <c r="W2192" s="705">
        <f t="shared" si="88"/>
        <v>48235</v>
      </c>
      <c r="X2192" s="705">
        <f t="shared" si="89"/>
        <v>55991</v>
      </c>
    </row>
    <row r="2193" spans="2:24">
      <c r="B2193" t="s">
        <v>553</v>
      </c>
      <c r="C2193" t="s">
        <v>120</v>
      </c>
      <c r="D2193" t="s">
        <v>669</v>
      </c>
      <c r="E2193" t="s">
        <v>228</v>
      </c>
      <c r="F2193" s="705">
        <v>2</v>
      </c>
      <c r="G2193" s="705">
        <v>117</v>
      </c>
      <c r="H2193" s="705">
        <v>647</v>
      </c>
      <c r="I2193" s="705">
        <v>12316</v>
      </c>
      <c r="J2193" s="705">
        <v>10263</v>
      </c>
      <c r="K2193" s="705">
        <v>70</v>
      </c>
      <c r="L2193" s="705">
        <v>4849</v>
      </c>
      <c r="M2193" s="705">
        <v>1796</v>
      </c>
      <c r="N2193" s="705">
        <v>2141</v>
      </c>
      <c r="O2193" s="705">
        <v>793</v>
      </c>
      <c r="P2193" s="705">
        <v>702</v>
      </c>
      <c r="Q2193" s="705">
        <v>260</v>
      </c>
      <c r="R2193" s="705">
        <v>17920</v>
      </c>
      <c r="S2193" s="705">
        <v>6637</v>
      </c>
      <c r="T2193" s="705">
        <v>0</v>
      </c>
      <c r="U2193" s="705">
        <v>0</v>
      </c>
      <c r="V2193" s="705">
        <v>19749</v>
      </c>
      <c r="W2193" s="705">
        <f t="shared" si="88"/>
        <v>19749</v>
      </c>
      <c r="X2193" s="705">
        <f t="shared" si="89"/>
        <v>37928</v>
      </c>
    </row>
    <row r="2194" spans="2:24">
      <c r="B2194" t="s">
        <v>553</v>
      </c>
      <c r="C2194" t="s">
        <v>120</v>
      </c>
      <c r="D2194" t="s">
        <v>669</v>
      </c>
      <c r="E2194" t="s">
        <v>669</v>
      </c>
      <c r="F2194" s="705">
        <v>42</v>
      </c>
      <c r="G2194" s="705">
        <v>2100</v>
      </c>
      <c r="H2194" s="705">
        <v>14298</v>
      </c>
      <c r="I2194" s="705">
        <v>399709</v>
      </c>
      <c r="J2194" s="705">
        <v>333091</v>
      </c>
      <c r="K2194" s="705">
        <v>63</v>
      </c>
      <c r="L2194" s="705">
        <v>13328</v>
      </c>
      <c r="M2194" s="705">
        <v>7742</v>
      </c>
      <c r="N2194" s="705">
        <v>45997</v>
      </c>
      <c r="O2194" s="705">
        <v>17036</v>
      </c>
      <c r="P2194" s="705">
        <v>14985</v>
      </c>
      <c r="Q2194" s="705">
        <v>5550</v>
      </c>
      <c r="R2194" s="705">
        <v>159532</v>
      </c>
      <c r="S2194" s="705">
        <v>132943</v>
      </c>
      <c r="T2194" s="705">
        <v>78119</v>
      </c>
      <c r="U2194" s="705">
        <v>28933</v>
      </c>
      <c r="V2194" s="705">
        <v>525294</v>
      </c>
      <c r="W2194" s="705">
        <f t="shared" si="88"/>
        <v>525295</v>
      </c>
      <c r="X2194" s="705">
        <f t="shared" si="89"/>
        <v>711670</v>
      </c>
    </row>
    <row r="2195" spans="2:24">
      <c r="B2195" t="s">
        <v>553</v>
      </c>
      <c r="C2195" t="s">
        <v>120</v>
      </c>
      <c r="D2195" t="s">
        <v>671</v>
      </c>
      <c r="E2195" t="s">
        <v>671</v>
      </c>
      <c r="F2195" s="705">
        <v>7</v>
      </c>
      <c r="G2195" s="705">
        <v>515</v>
      </c>
      <c r="H2195" s="705">
        <v>2470</v>
      </c>
      <c r="I2195" s="705">
        <v>108258</v>
      </c>
      <c r="J2195" s="705">
        <v>98417</v>
      </c>
      <c r="K2195" s="705">
        <v>53</v>
      </c>
      <c r="L2195" s="705">
        <v>11267</v>
      </c>
      <c r="M2195" s="705">
        <v>9332</v>
      </c>
      <c r="N2195" s="705">
        <v>10697</v>
      </c>
      <c r="O2195" s="705">
        <v>3962</v>
      </c>
      <c r="P2195" s="705">
        <v>2457</v>
      </c>
      <c r="Q2195" s="705">
        <v>910</v>
      </c>
      <c r="R2195" s="705">
        <v>34985</v>
      </c>
      <c r="S2195" s="705">
        <v>31805</v>
      </c>
      <c r="T2195" s="705">
        <v>14825</v>
      </c>
      <c r="U2195" s="705">
        <v>5491</v>
      </c>
      <c r="V2195" s="705">
        <v>149916</v>
      </c>
      <c r="W2195" s="705">
        <f t="shared" si="88"/>
        <v>149917</v>
      </c>
      <c r="X2195" s="705">
        <f t="shared" si="89"/>
        <v>182489</v>
      </c>
    </row>
    <row r="2196" spans="2:24">
      <c r="B2196" t="s">
        <v>553</v>
      </c>
      <c r="C2196" t="s">
        <v>120</v>
      </c>
      <c r="D2196" t="s">
        <v>665</v>
      </c>
      <c r="E2196" t="s">
        <v>228</v>
      </c>
      <c r="F2196" s="705">
        <v>2</v>
      </c>
      <c r="G2196" s="705">
        <v>157</v>
      </c>
      <c r="H2196" s="705">
        <v>729</v>
      </c>
      <c r="I2196" s="705">
        <v>38025</v>
      </c>
      <c r="J2196" s="705">
        <v>34568</v>
      </c>
      <c r="K2196" s="705">
        <v>45</v>
      </c>
      <c r="L2196" s="705">
        <v>3360</v>
      </c>
      <c r="M2196" s="705">
        <v>3054</v>
      </c>
      <c r="N2196" s="705">
        <v>3822</v>
      </c>
      <c r="O2196" s="705">
        <v>1415</v>
      </c>
      <c r="P2196" s="705">
        <v>351</v>
      </c>
      <c r="Q2196" s="705">
        <v>130</v>
      </c>
      <c r="R2196" s="705">
        <v>11484</v>
      </c>
      <c r="S2196" s="705">
        <v>4253</v>
      </c>
      <c r="T2196" s="705">
        <v>0</v>
      </c>
      <c r="U2196" s="705">
        <v>0</v>
      </c>
      <c r="V2196" s="705">
        <v>43421</v>
      </c>
      <c r="W2196" s="705">
        <f t="shared" si="88"/>
        <v>43420</v>
      </c>
      <c r="X2196" s="705">
        <f t="shared" si="89"/>
        <v>57042</v>
      </c>
    </row>
    <row r="2197" spans="2:24">
      <c r="B2197" t="s">
        <v>553</v>
      </c>
      <c r="C2197" t="s">
        <v>120</v>
      </c>
      <c r="D2197" t="s">
        <v>665</v>
      </c>
      <c r="E2197" t="s">
        <v>665</v>
      </c>
      <c r="F2197" s="705">
        <v>74</v>
      </c>
      <c r="G2197" s="705">
        <v>5862</v>
      </c>
      <c r="H2197" s="705">
        <v>25410</v>
      </c>
      <c r="I2197" s="705">
        <v>1131962</v>
      </c>
      <c r="J2197" s="705">
        <v>1029057</v>
      </c>
      <c r="K2197" s="705">
        <v>51</v>
      </c>
      <c r="L2197" s="705">
        <v>136810</v>
      </c>
      <c r="M2197" s="705">
        <v>122610</v>
      </c>
      <c r="N2197" s="705">
        <v>117563</v>
      </c>
      <c r="O2197" s="705">
        <v>43542</v>
      </c>
      <c r="P2197" s="705">
        <v>26514</v>
      </c>
      <c r="Q2197" s="705">
        <v>9820</v>
      </c>
      <c r="R2197" s="705">
        <v>429891</v>
      </c>
      <c r="S2197" s="705">
        <v>390810</v>
      </c>
      <c r="T2197" s="705">
        <v>172020</v>
      </c>
      <c r="U2197" s="705">
        <v>63711</v>
      </c>
      <c r="V2197" s="705">
        <v>1659550</v>
      </c>
      <c r="W2197" s="705">
        <f t="shared" si="88"/>
        <v>1659550</v>
      </c>
      <c r="X2197" s="705">
        <f t="shared" si="89"/>
        <v>2014760</v>
      </c>
    </row>
    <row r="2198" spans="2:24">
      <c r="B2198" t="s">
        <v>553</v>
      </c>
      <c r="C2198" t="s">
        <v>120</v>
      </c>
      <c r="D2198" t="s">
        <v>673</v>
      </c>
      <c r="E2198" t="s">
        <v>228</v>
      </c>
      <c r="F2198" s="705">
        <v>1</v>
      </c>
      <c r="G2198" s="705">
        <v>57</v>
      </c>
      <c r="H2198" s="705">
        <v>309</v>
      </c>
      <c r="I2198" s="705">
        <v>4891</v>
      </c>
      <c r="J2198" s="705">
        <v>4447</v>
      </c>
      <c r="K2198" s="705">
        <v>75</v>
      </c>
      <c r="L2198" s="705">
        <v>2257</v>
      </c>
      <c r="M2198" s="705">
        <v>836</v>
      </c>
      <c r="N2198" s="705">
        <v>1176</v>
      </c>
      <c r="O2198" s="705">
        <v>435</v>
      </c>
      <c r="P2198" s="705">
        <v>351</v>
      </c>
      <c r="Q2198" s="705">
        <v>130</v>
      </c>
      <c r="R2198" s="705">
        <v>8881</v>
      </c>
      <c r="S2198" s="705">
        <v>3289</v>
      </c>
      <c r="T2198" s="705">
        <v>0</v>
      </c>
      <c r="U2198" s="705">
        <v>0</v>
      </c>
      <c r="V2198" s="705">
        <v>9138</v>
      </c>
      <c r="W2198" s="705">
        <f t="shared" si="88"/>
        <v>9137</v>
      </c>
      <c r="X2198" s="705">
        <f t="shared" si="89"/>
        <v>17556</v>
      </c>
    </row>
    <row r="2199" spans="2:24">
      <c r="B2199" t="s">
        <v>553</v>
      </c>
      <c r="C2199" t="s">
        <v>120</v>
      </c>
      <c r="D2199" t="s">
        <v>673</v>
      </c>
      <c r="E2199" t="s">
        <v>673</v>
      </c>
      <c r="F2199" s="705">
        <v>1</v>
      </c>
      <c r="G2199" s="705">
        <v>45</v>
      </c>
      <c r="H2199" s="705">
        <v>308</v>
      </c>
      <c r="I2199" s="705">
        <v>4480</v>
      </c>
      <c r="J2199" s="705">
        <v>4073</v>
      </c>
      <c r="K2199" s="705">
        <v>60</v>
      </c>
      <c r="L2199" s="705">
        <v>1649</v>
      </c>
      <c r="M2199" s="705">
        <v>611</v>
      </c>
      <c r="N2199" s="705">
        <v>1051</v>
      </c>
      <c r="O2199" s="705">
        <v>389</v>
      </c>
      <c r="P2199" s="705">
        <v>351</v>
      </c>
      <c r="Q2199" s="705">
        <v>130</v>
      </c>
      <c r="R2199" s="705">
        <v>4047</v>
      </c>
      <c r="S2199" s="705">
        <v>3679</v>
      </c>
      <c r="T2199" s="705">
        <v>2392</v>
      </c>
      <c r="U2199" s="705">
        <v>886</v>
      </c>
      <c r="V2199" s="705">
        <v>9767</v>
      </c>
      <c r="W2199" s="705">
        <f t="shared" si="88"/>
        <v>9768</v>
      </c>
      <c r="X2199" s="705">
        <f t="shared" si="89"/>
        <v>13970</v>
      </c>
    </row>
    <row r="2200" spans="2:24">
      <c r="B2200" t="s">
        <v>553</v>
      </c>
      <c r="C2200" t="s">
        <v>122</v>
      </c>
      <c r="D2200" t="s">
        <v>582</v>
      </c>
      <c r="E2200" t="s">
        <v>582</v>
      </c>
      <c r="F2200" s="705">
        <v>2</v>
      </c>
      <c r="G2200" s="705">
        <v>171</v>
      </c>
      <c r="H2200" s="705">
        <v>820</v>
      </c>
      <c r="I2200" s="705">
        <v>48105</v>
      </c>
      <c r="J2200" s="705">
        <v>43731</v>
      </c>
      <c r="K2200" s="705">
        <v>69</v>
      </c>
      <c r="L2200" s="705">
        <v>5849</v>
      </c>
      <c r="M2200" s="705">
        <v>5317</v>
      </c>
      <c r="N2200" s="705">
        <v>2639</v>
      </c>
      <c r="O2200" s="705">
        <v>977</v>
      </c>
      <c r="P2200" s="705">
        <v>945</v>
      </c>
      <c r="Q2200" s="705">
        <v>350</v>
      </c>
      <c r="R2200" s="705">
        <v>10111</v>
      </c>
      <c r="S2200" s="705">
        <v>9192</v>
      </c>
      <c r="T2200" s="705">
        <v>2570</v>
      </c>
      <c r="U2200" s="705">
        <v>952</v>
      </c>
      <c r="V2200" s="705">
        <v>60520</v>
      </c>
      <c r="W2200" s="705">
        <f t="shared" si="88"/>
        <v>60519</v>
      </c>
      <c r="X2200" s="705">
        <f t="shared" si="89"/>
        <v>70219</v>
      </c>
    </row>
    <row r="2201" spans="2:24">
      <c r="B2201" t="s">
        <v>553</v>
      </c>
      <c r="C2201" t="s">
        <v>122</v>
      </c>
      <c r="D2201" t="s">
        <v>228</v>
      </c>
      <c r="E2201" t="s">
        <v>228</v>
      </c>
      <c r="F2201" s="705">
        <v>68</v>
      </c>
      <c r="G2201" s="705">
        <v>4577</v>
      </c>
      <c r="H2201" s="705">
        <v>28519</v>
      </c>
      <c r="I2201" s="705">
        <v>1081273</v>
      </c>
      <c r="J2201" s="705">
        <v>400472</v>
      </c>
      <c r="K2201" s="705">
        <v>100</v>
      </c>
      <c r="L2201" s="705">
        <v>199558</v>
      </c>
      <c r="M2201" s="705">
        <v>171642</v>
      </c>
      <c r="N2201" s="705">
        <v>105847</v>
      </c>
      <c r="O2201" s="705">
        <v>39203</v>
      </c>
      <c r="P2201" s="705">
        <v>1674</v>
      </c>
      <c r="Q2201" s="705">
        <v>620</v>
      </c>
      <c r="R2201" s="705">
        <v>530178</v>
      </c>
      <c r="S2201" s="705">
        <v>196362</v>
      </c>
      <c r="T2201" s="705">
        <v>0</v>
      </c>
      <c r="U2201" s="705">
        <v>0</v>
      </c>
      <c r="V2201" s="705">
        <v>808299</v>
      </c>
      <c r="W2201" s="705">
        <f t="shared" si="88"/>
        <v>808299</v>
      </c>
      <c r="X2201" s="705">
        <f t="shared" si="89"/>
        <v>1918530</v>
      </c>
    </row>
    <row r="2202" spans="2:24">
      <c r="B2202" t="s">
        <v>553</v>
      </c>
      <c r="C2202" t="s">
        <v>122</v>
      </c>
      <c r="D2202" t="s">
        <v>228</v>
      </c>
      <c r="E2202" t="s">
        <v>665</v>
      </c>
      <c r="F2202" s="705">
        <v>2</v>
      </c>
      <c r="G2202" s="705">
        <v>150</v>
      </c>
      <c r="H2202" s="705">
        <v>805</v>
      </c>
      <c r="I2202" s="705">
        <v>43043</v>
      </c>
      <c r="J2202" s="705">
        <v>15942</v>
      </c>
      <c r="K2202" s="705">
        <v>100</v>
      </c>
      <c r="L2202" s="705">
        <v>3213</v>
      </c>
      <c r="M2202" s="705">
        <v>2921</v>
      </c>
      <c r="N2202" s="705">
        <v>3304</v>
      </c>
      <c r="O2202" s="705">
        <v>1224</v>
      </c>
      <c r="P2202" s="705">
        <v>0</v>
      </c>
      <c r="Q2202" s="705">
        <v>0</v>
      </c>
      <c r="R2202" s="705">
        <v>7160</v>
      </c>
      <c r="S2202" s="705">
        <v>6509</v>
      </c>
      <c r="T2202" s="705">
        <v>4112</v>
      </c>
      <c r="U2202" s="705">
        <v>1523</v>
      </c>
      <c r="V2202" s="705">
        <v>28119</v>
      </c>
      <c r="W2202" s="705">
        <f t="shared" si="88"/>
        <v>28119</v>
      </c>
      <c r="X2202" s="705">
        <f t="shared" si="89"/>
        <v>60832</v>
      </c>
    </row>
    <row r="2203" spans="2:24">
      <c r="B2203" t="s">
        <v>553</v>
      </c>
      <c r="C2203" t="s">
        <v>122</v>
      </c>
      <c r="D2203" t="s">
        <v>583</v>
      </c>
      <c r="E2203" t="s">
        <v>228</v>
      </c>
      <c r="F2203" s="705">
        <v>2</v>
      </c>
      <c r="G2203" s="705">
        <v>246</v>
      </c>
      <c r="H2203" s="705">
        <v>830</v>
      </c>
      <c r="I2203" s="705">
        <v>65934</v>
      </c>
      <c r="J2203" s="705">
        <v>59940</v>
      </c>
      <c r="K2203" s="705">
        <v>82</v>
      </c>
      <c r="L2203" s="705">
        <v>15932</v>
      </c>
      <c r="M2203" s="705">
        <v>14483</v>
      </c>
      <c r="N2203" s="705">
        <v>5492</v>
      </c>
      <c r="O2203" s="705">
        <v>2034</v>
      </c>
      <c r="P2203" s="705">
        <v>1242</v>
      </c>
      <c r="Q2203" s="705">
        <v>460</v>
      </c>
      <c r="R2203" s="705">
        <v>13854</v>
      </c>
      <c r="S2203" s="705">
        <v>5131</v>
      </c>
      <c r="T2203" s="705">
        <v>0</v>
      </c>
      <c r="U2203" s="705">
        <v>0</v>
      </c>
      <c r="V2203" s="705">
        <v>82048</v>
      </c>
      <c r="W2203" s="705">
        <f t="shared" si="88"/>
        <v>82048</v>
      </c>
      <c r="X2203" s="705">
        <f t="shared" si="89"/>
        <v>102454</v>
      </c>
    </row>
    <row r="2204" spans="2:24">
      <c r="B2204" t="s">
        <v>553</v>
      </c>
      <c r="C2204" t="s">
        <v>122</v>
      </c>
      <c r="D2204" t="s">
        <v>583</v>
      </c>
      <c r="E2204" t="s">
        <v>583</v>
      </c>
      <c r="F2204" s="705">
        <v>56</v>
      </c>
      <c r="G2204" s="705">
        <v>5899</v>
      </c>
      <c r="H2204" s="705">
        <v>23366</v>
      </c>
      <c r="I2204" s="705">
        <v>1638270</v>
      </c>
      <c r="J2204" s="705">
        <v>1489336</v>
      </c>
      <c r="K2204" s="705">
        <v>75</v>
      </c>
      <c r="L2204" s="705">
        <v>314370</v>
      </c>
      <c r="M2204" s="705">
        <v>284609</v>
      </c>
      <c r="N2204" s="705">
        <v>129544</v>
      </c>
      <c r="O2204" s="705">
        <v>47979</v>
      </c>
      <c r="P2204" s="705">
        <v>36450</v>
      </c>
      <c r="Q2204" s="705">
        <v>13500</v>
      </c>
      <c r="R2204" s="705">
        <v>262965</v>
      </c>
      <c r="S2204" s="705">
        <v>239059</v>
      </c>
      <c r="T2204" s="705">
        <v>104728</v>
      </c>
      <c r="U2204" s="705">
        <v>38788</v>
      </c>
      <c r="V2204" s="705">
        <v>2113272</v>
      </c>
      <c r="W2204" s="705">
        <f t="shared" si="88"/>
        <v>2113271</v>
      </c>
      <c r="X2204" s="705">
        <f t="shared" si="89"/>
        <v>2486327</v>
      </c>
    </row>
    <row r="2205" spans="2:24">
      <c r="B2205" t="s">
        <v>553</v>
      </c>
      <c r="C2205" t="s">
        <v>122</v>
      </c>
      <c r="D2205" t="s">
        <v>666</v>
      </c>
      <c r="E2205" t="s">
        <v>666</v>
      </c>
      <c r="F2205" s="705">
        <v>29</v>
      </c>
      <c r="G2205" s="705">
        <v>1809</v>
      </c>
      <c r="H2205" s="705">
        <v>11994</v>
      </c>
      <c r="I2205" s="705">
        <v>457077</v>
      </c>
      <c r="J2205" s="705">
        <v>415524</v>
      </c>
      <c r="K2205" s="705">
        <v>46</v>
      </c>
      <c r="L2205" s="705">
        <v>29707</v>
      </c>
      <c r="M2205" s="705">
        <v>25189</v>
      </c>
      <c r="N2205" s="705">
        <v>37197</v>
      </c>
      <c r="O2205" s="705">
        <v>13777</v>
      </c>
      <c r="P2205" s="705">
        <v>10179</v>
      </c>
      <c r="Q2205" s="705">
        <v>3770</v>
      </c>
      <c r="R2205" s="705">
        <v>149653</v>
      </c>
      <c r="S2205" s="705">
        <v>136048</v>
      </c>
      <c r="T2205" s="705">
        <v>62837</v>
      </c>
      <c r="U2205" s="705">
        <v>23273</v>
      </c>
      <c r="V2205" s="705">
        <v>617581</v>
      </c>
      <c r="W2205" s="705">
        <f t="shared" si="88"/>
        <v>617581</v>
      </c>
      <c r="X2205" s="705">
        <f t="shared" si="89"/>
        <v>746650</v>
      </c>
    </row>
    <row r="2206" spans="2:24">
      <c r="B2206" t="s">
        <v>553</v>
      </c>
      <c r="C2206" t="s">
        <v>122</v>
      </c>
      <c r="D2206" t="s">
        <v>669</v>
      </c>
      <c r="E2206" t="s">
        <v>669</v>
      </c>
      <c r="F2206" s="705">
        <v>7</v>
      </c>
      <c r="G2206" s="705">
        <v>421</v>
      </c>
      <c r="H2206" s="705">
        <v>2914</v>
      </c>
      <c r="I2206" s="705">
        <v>100584</v>
      </c>
      <c r="J2206" s="705">
        <v>83820</v>
      </c>
      <c r="K2206" s="705">
        <v>53</v>
      </c>
      <c r="L2206" s="705">
        <v>10085</v>
      </c>
      <c r="M2206" s="705">
        <v>8616</v>
      </c>
      <c r="N2206" s="705">
        <v>7857</v>
      </c>
      <c r="O2206" s="705">
        <v>2910</v>
      </c>
      <c r="P2206" s="705">
        <v>2457</v>
      </c>
      <c r="Q2206" s="705">
        <v>910</v>
      </c>
      <c r="R2206" s="705">
        <v>42784</v>
      </c>
      <c r="S2206" s="705">
        <v>35654</v>
      </c>
      <c r="T2206" s="705">
        <v>11288</v>
      </c>
      <c r="U2206" s="705">
        <v>4181</v>
      </c>
      <c r="V2206" s="705">
        <v>136090</v>
      </c>
      <c r="W2206" s="705">
        <f t="shared" si="88"/>
        <v>136091</v>
      </c>
      <c r="X2206" s="705">
        <f t="shared" si="89"/>
        <v>175055</v>
      </c>
    </row>
    <row r="2207" spans="2:24">
      <c r="B2207" t="s">
        <v>553</v>
      </c>
      <c r="C2207" t="s">
        <v>122</v>
      </c>
      <c r="D2207" t="s">
        <v>667</v>
      </c>
      <c r="E2207" t="s">
        <v>667</v>
      </c>
      <c r="F2207" s="705">
        <v>1</v>
      </c>
      <c r="G2207" s="705">
        <v>40</v>
      </c>
      <c r="H2207" s="705">
        <v>428</v>
      </c>
      <c r="I2207" s="705">
        <v>8197</v>
      </c>
      <c r="J2207" s="705">
        <v>7452</v>
      </c>
      <c r="K2207" s="705">
        <v>45</v>
      </c>
      <c r="L2207" s="705">
        <v>0</v>
      </c>
      <c r="M2207" s="705">
        <v>0</v>
      </c>
      <c r="N2207" s="705">
        <v>823</v>
      </c>
      <c r="O2207" s="705">
        <v>305</v>
      </c>
      <c r="P2207" s="705">
        <v>351</v>
      </c>
      <c r="Q2207" s="705">
        <v>130</v>
      </c>
      <c r="R2207" s="705">
        <v>5580</v>
      </c>
      <c r="S2207" s="705">
        <v>5073</v>
      </c>
      <c r="T2207" s="705">
        <v>1949</v>
      </c>
      <c r="U2207" s="705">
        <v>722</v>
      </c>
      <c r="V2207" s="705">
        <v>13681</v>
      </c>
      <c r="W2207" s="705">
        <f t="shared" si="88"/>
        <v>13682</v>
      </c>
      <c r="X2207" s="705">
        <f t="shared" si="89"/>
        <v>16900</v>
      </c>
    </row>
    <row r="2208" spans="2:24">
      <c r="B2208" t="s">
        <v>553</v>
      </c>
      <c r="C2208" t="s">
        <v>122</v>
      </c>
      <c r="D2208" t="s">
        <v>671</v>
      </c>
      <c r="E2208" t="s">
        <v>671</v>
      </c>
      <c r="F2208" s="705">
        <v>2</v>
      </c>
      <c r="G2208" s="705">
        <v>115</v>
      </c>
      <c r="H2208" s="705">
        <v>787</v>
      </c>
      <c r="I2208" s="705">
        <v>24529</v>
      </c>
      <c r="J2208" s="705">
        <v>22299</v>
      </c>
      <c r="K2208" s="705">
        <v>53</v>
      </c>
      <c r="L2208" s="705">
        <v>1259</v>
      </c>
      <c r="M2208" s="705">
        <v>1145</v>
      </c>
      <c r="N2208" s="705">
        <v>2790</v>
      </c>
      <c r="O2208" s="705">
        <v>1033</v>
      </c>
      <c r="P2208" s="705">
        <v>702</v>
      </c>
      <c r="Q2208" s="705">
        <v>260</v>
      </c>
      <c r="R2208" s="705">
        <v>10951</v>
      </c>
      <c r="S2208" s="705">
        <v>9956</v>
      </c>
      <c r="T2208" s="705">
        <v>4842</v>
      </c>
      <c r="U2208" s="705">
        <v>1793</v>
      </c>
      <c r="V2208" s="705">
        <v>36486</v>
      </c>
      <c r="W2208" s="705">
        <f t="shared" si="88"/>
        <v>36486</v>
      </c>
      <c r="X2208" s="705">
        <f t="shared" si="89"/>
        <v>45073</v>
      </c>
    </row>
    <row r="2209" spans="2:24">
      <c r="B2209" t="s">
        <v>553</v>
      </c>
      <c r="C2209" t="s">
        <v>122</v>
      </c>
      <c r="D2209" t="s">
        <v>665</v>
      </c>
      <c r="E2209" t="s">
        <v>665</v>
      </c>
      <c r="F2209" s="705">
        <v>50</v>
      </c>
      <c r="G2209" s="705">
        <v>3666</v>
      </c>
      <c r="H2209" s="705">
        <v>20453</v>
      </c>
      <c r="I2209" s="705">
        <v>894956</v>
      </c>
      <c r="J2209" s="705">
        <v>813596</v>
      </c>
      <c r="K2209" s="705">
        <v>47</v>
      </c>
      <c r="L2209" s="705">
        <v>97942</v>
      </c>
      <c r="M2209" s="705">
        <v>87369</v>
      </c>
      <c r="N2209" s="705">
        <v>76177</v>
      </c>
      <c r="O2209" s="705">
        <v>28214</v>
      </c>
      <c r="P2209" s="705">
        <v>18171</v>
      </c>
      <c r="Q2209" s="705">
        <v>6730</v>
      </c>
      <c r="R2209" s="705">
        <v>299449</v>
      </c>
      <c r="S2209" s="705">
        <v>272226</v>
      </c>
      <c r="T2209" s="705">
        <v>106540</v>
      </c>
      <c r="U2209" s="705">
        <v>39459</v>
      </c>
      <c r="V2209" s="705">
        <v>1247594</v>
      </c>
      <c r="W2209" s="705">
        <f t="shared" si="88"/>
        <v>1247594</v>
      </c>
      <c r="X2209" s="705">
        <f t="shared" si="89"/>
        <v>1493235</v>
      </c>
    </row>
    <row r="2210" spans="2:24">
      <c r="B2210" t="s">
        <v>553</v>
      </c>
      <c r="C2210" t="s">
        <v>124</v>
      </c>
      <c r="D2210" t="s">
        <v>228</v>
      </c>
      <c r="E2210" t="s">
        <v>228</v>
      </c>
      <c r="F2210" s="705">
        <v>47</v>
      </c>
      <c r="G2210" s="705">
        <v>3799</v>
      </c>
      <c r="H2210" s="705">
        <v>27634</v>
      </c>
      <c r="I2210" s="705">
        <v>1577025</v>
      </c>
      <c r="J2210" s="705">
        <v>584083</v>
      </c>
      <c r="K2210" s="705">
        <v>100</v>
      </c>
      <c r="L2210" s="705">
        <v>282386</v>
      </c>
      <c r="M2210" s="705">
        <v>218400</v>
      </c>
      <c r="N2210" s="705">
        <v>86220</v>
      </c>
      <c r="O2210" s="705">
        <v>31933</v>
      </c>
      <c r="P2210" s="705">
        <v>1593</v>
      </c>
      <c r="Q2210" s="705">
        <v>590</v>
      </c>
      <c r="R2210" s="705">
        <v>309876</v>
      </c>
      <c r="S2210" s="705">
        <v>114769</v>
      </c>
      <c r="T2210" s="705">
        <v>0</v>
      </c>
      <c r="U2210" s="705">
        <v>0</v>
      </c>
      <c r="V2210" s="705">
        <v>949775</v>
      </c>
      <c r="W2210" s="705">
        <f t="shared" ref="W2210:W2273" si="90">SUM(ABS(J2210),ABS(M2210),ABS(O2210),ABS(Q2210),ABS(S2210),ABS(U2210))</f>
        <v>949775</v>
      </c>
      <c r="X2210" s="705">
        <f t="shared" ref="X2210:X2273" si="91">SUM(ABS(I2210),ABS(N2210),ABS(P2210),ABS(R2210),ABS(T2210),ABS(L2210))</f>
        <v>2257100</v>
      </c>
    </row>
    <row r="2211" spans="2:24">
      <c r="B2211" t="s">
        <v>553</v>
      </c>
      <c r="C2211" t="s">
        <v>124</v>
      </c>
      <c r="D2211" t="s">
        <v>228</v>
      </c>
      <c r="E2211" t="s">
        <v>665</v>
      </c>
      <c r="F2211" s="705">
        <v>1</v>
      </c>
      <c r="G2211" s="705">
        <v>101</v>
      </c>
      <c r="H2211" s="705">
        <v>703</v>
      </c>
      <c r="I2211" s="705">
        <v>54684</v>
      </c>
      <c r="J2211" s="705">
        <v>20253</v>
      </c>
      <c r="K2211" s="705">
        <v>100</v>
      </c>
      <c r="L2211" s="705">
        <v>3808</v>
      </c>
      <c r="M2211" s="705">
        <v>3462</v>
      </c>
      <c r="N2211" s="705">
        <v>2206</v>
      </c>
      <c r="O2211" s="705">
        <v>817</v>
      </c>
      <c r="P2211" s="705">
        <v>351</v>
      </c>
      <c r="Q2211" s="705">
        <v>130</v>
      </c>
      <c r="R2211" s="705">
        <v>6965</v>
      </c>
      <c r="S2211" s="705">
        <v>6332</v>
      </c>
      <c r="T2211" s="705">
        <v>2702</v>
      </c>
      <c r="U2211" s="705">
        <v>1001</v>
      </c>
      <c r="V2211" s="705">
        <v>31995</v>
      </c>
      <c r="W2211" s="705">
        <f t="shared" si="90"/>
        <v>31995</v>
      </c>
      <c r="X2211" s="705">
        <f t="shared" si="91"/>
        <v>70716</v>
      </c>
    </row>
    <row r="2212" spans="2:24">
      <c r="B2212" t="s">
        <v>553</v>
      </c>
      <c r="C2212" t="s">
        <v>124</v>
      </c>
      <c r="D2212" t="s">
        <v>583</v>
      </c>
      <c r="E2212" t="s">
        <v>228</v>
      </c>
      <c r="F2212" s="705">
        <v>4</v>
      </c>
      <c r="G2212" s="705">
        <v>314</v>
      </c>
      <c r="H2212" s="705">
        <v>2442</v>
      </c>
      <c r="I2212" s="705">
        <v>132404</v>
      </c>
      <c r="J2212" s="705">
        <v>120367</v>
      </c>
      <c r="K2212" s="705">
        <v>70</v>
      </c>
      <c r="L2212" s="705">
        <v>31086</v>
      </c>
      <c r="M2212" s="705">
        <v>27300</v>
      </c>
      <c r="N2212" s="705">
        <v>6417</v>
      </c>
      <c r="O2212" s="705">
        <v>2377</v>
      </c>
      <c r="P2212" s="705">
        <v>2484</v>
      </c>
      <c r="Q2212" s="705">
        <v>920</v>
      </c>
      <c r="R2212" s="705">
        <v>25324</v>
      </c>
      <c r="S2212" s="705">
        <v>9379</v>
      </c>
      <c r="T2212" s="705">
        <v>0</v>
      </c>
      <c r="U2212" s="705">
        <v>0</v>
      </c>
      <c r="V2212" s="705">
        <v>160343</v>
      </c>
      <c r="W2212" s="705">
        <f t="shared" si="90"/>
        <v>160343</v>
      </c>
      <c r="X2212" s="705">
        <f t="shared" si="91"/>
        <v>197715</v>
      </c>
    </row>
    <row r="2213" spans="2:24">
      <c r="B2213" t="s">
        <v>553</v>
      </c>
      <c r="C2213" t="s">
        <v>124</v>
      </c>
      <c r="D2213" t="s">
        <v>583</v>
      </c>
      <c r="E2213" t="s">
        <v>583</v>
      </c>
      <c r="F2213" s="705">
        <v>72</v>
      </c>
      <c r="G2213" s="705">
        <v>6719</v>
      </c>
      <c r="H2213" s="705">
        <v>38414</v>
      </c>
      <c r="I2213" s="705">
        <v>2402426</v>
      </c>
      <c r="J2213" s="705">
        <v>2184023</v>
      </c>
      <c r="K2213" s="705">
        <v>71</v>
      </c>
      <c r="L2213" s="705">
        <v>488849</v>
      </c>
      <c r="M2213" s="705">
        <v>441140</v>
      </c>
      <c r="N2213" s="705">
        <v>147134</v>
      </c>
      <c r="O2213" s="705">
        <v>54494</v>
      </c>
      <c r="P2213" s="705">
        <v>44375</v>
      </c>
      <c r="Q2213" s="705">
        <v>16435</v>
      </c>
      <c r="R2213" s="705">
        <v>334841</v>
      </c>
      <c r="S2213" s="705">
        <v>304401</v>
      </c>
      <c r="T2213" s="705">
        <v>137380</v>
      </c>
      <c r="U2213" s="705">
        <v>50881</v>
      </c>
      <c r="V2213" s="705">
        <v>3051375</v>
      </c>
      <c r="W2213" s="705">
        <f t="shared" si="90"/>
        <v>3051374</v>
      </c>
      <c r="X2213" s="705">
        <f t="shared" si="91"/>
        <v>3555005</v>
      </c>
    </row>
    <row r="2214" spans="2:24">
      <c r="B2214" t="s">
        <v>553</v>
      </c>
      <c r="C2214" t="s">
        <v>124</v>
      </c>
      <c r="D2214" t="s">
        <v>666</v>
      </c>
      <c r="E2214" t="s">
        <v>666</v>
      </c>
      <c r="F2214" s="705">
        <v>8</v>
      </c>
      <c r="G2214" s="705">
        <v>456</v>
      </c>
      <c r="H2214" s="705">
        <v>3999</v>
      </c>
      <c r="I2214" s="705">
        <v>156637</v>
      </c>
      <c r="J2214" s="705">
        <v>142398</v>
      </c>
      <c r="K2214" s="705">
        <v>46</v>
      </c>
      <c r="L2214" s="705">
        <v>8899</v>
      </c>
      <c r="M2214" s="705">
        <v>8090</v>
      </c>
      <c r="N2214" s="705">
        <v>10039</v>
      </c>
      <c r="O2214" s="705">
        <v>3718</v>
      </c>
      <c r="P2214" s="705">
        <v>2808</v>
      </c>
      <c r="Q2214" s="705">
        <v>1040</v>
      </c>
      <c r="R2214" s="705">
        <v>37284</v>
      </c>
      <c r="S2214" s="705">
        <v>33895</v>
      </c>
      <c r="T2214" s="705">
        <v>14866</v>
      </c>
      <c r="U2214" s="705">
        <v>5506</v>
      </c>
      <c r="V2214" s="705">
        <v>194646</v>
      </c>
      <c r="W2214" s="705">
        <f t="shared" si="90"/>
        <v>194647</v>
      </c>
      <c r="X2214" s="705">
        <f t="shared" si="91"/>
        <v>230533</v>
      </c>
    </row>
    <row r="2215" spans="2:24">
      <c r="B2215" t="s">
        <v>553</v>
      </c>
      <c r="C2215" t="s">
        <v>124</v>
      </c>
      <c r="D2215" t="s">
        <v>584</v>
      </c>
      <c r="E2215" t="s">
        <v>584</v>
      </c>
      <c r="F2215" s="705">
        <v>1</v>
      </c>
      <c r="G2215" s="705">
        <v>70</v>
      </c>
      <c r="H2215" s="705">
        <v>456</v>
      </c>
      <c r="I2215" s="705">
        <v>20063</v>
      </c>
      <c r="J2215" s="705">
        <v>18239</v>
      </c>
      <c r="K2215" s="705">
        <v>79</v>
      </c>
      <c r="L2215" s="705">
        <v>3032</v>
      </c>
      <c r="M2215" s="705">
        <v>2756</v>
      </c>
      <c r="N2215" s="705">
        <v>1706</v>
      </c>
      <c r="O2215" s="705">
        <v>632</v>
      </c>
      <c r="P2215" s="705">
        <v>473</v>
      </c>
      <c r="Q2215" s="705">
        <v>175</v>
      </c>
      <c r="R2215" s="705">
        <v>6618</v>
      </c>
      <c r="S2215" s="705">
        <v>6016</v>
      </c>
      <c r="T2215" s="705">
        <v>0</v>
      </c>
      <c r="U2215" s="705">
        <v>0</v>
      </c>
      <c r="V2215" s="705">
        <v>27818</v>
      </c>
      <c r="W2215" s="705">
        <f t="shared" si="90"/>
        <v>27818</v>
      </c>
      <c r="X2215" s="705">
        <f t="shared" si="91"/>
        <v>31892</v>
      </c>
    </row>
    <row r="2216" spans="2:24">
      <c r="B2216" t="s">
        <v>553</v>
      </c>
      <c r="C2216" t="s">
        <v>124</v>
      </c>
      <c r="D2216" t="s">
        <v>669</v>
      </c>
      <c r="E2216" t="s">
        <v>669</v>
      </c>
      <c r="F2216" s="705">
        <v>5</v>
      </c>
      <c r="G2216" s="705">
        <v>229</v>
      </c>
      <c r="H2216" s="705">
        <v>2473</v>
      </c>
      <c r="I2216" s="705">
        <v>67378</v>
      </c>
      <c r="J2216" s="705">
        <v>56149</v>
      </c>
      <c r="K2216" s="705">
        <v>48</v>
      </c>
      <c r="L2216" s="705">
        <v>5291</v>
      </c>
      <c r="M2216" s="705">
        <v>1960</v>
      </c>
      <c r="N2216" s="705">
        <v>5428</v>
      </c>
      <c r="O2216" s="705">
        <v>2010</v>
      </c>
      <c r="P2216" s="705">
        <v>1755</v>
      </c>
      <c r="Q2216" s="705">
        <v>650</v>
      </c>
      <c r="R2216" s="705">
        <v>24793</v>
      </c>
      <c r="S2216" s="705">
        <v>20661</v>
      </c>
      <c r="T2216" s="705">
        <v>8599</v>
      </c>
      <c r="U2216" s="705">
        <v>3185</v>
      </c>
      <c r="V2216" s="705">
        <v>84615</v>
      </c>
      <c r="W2216" s="705">
        <f t="shared" si="90"/>
        <v>84615</v>
      </c>
      <c r="X2216" s="705">
        <f t="shared" si="91"/>
        <v>113244</v>
      </c>
    </row>
    <row r="2217" spans="2:24">
      <c r="B2217" t="s">
        <v>553</v>
      </c>
      <c r="C2217" t="s">
        <v>124</v>
      </c>
      <c r="D2217" t="s">
        <v>665</v>
      </c>
      <c r="E2217" t="s">
        <v>228</v>
      </c>
      <c r="F2217" s="705">
        <v>16</v>
      </c>
      <c r="G2217" s="705">
        <v>1273</v>
      </c>
      <c r="H2217" s="705">
        <v>13253</v>
      </c>
      <c r="I2217" s="705">
        <v>858613</v>
      </c>
      <c r="J2217" s="705">
        <v>780557</v>
      </c>
      <c r="K2217" s="705">
        <v>38</v>
      </c>
      <c r="L2217" s="705">
        <v>79079</v>
      </c>
      <c r="M2217" s="705">
        <v>35422</v>
      </c>
      <c r="N2217" s="705">
        <v>28758</v>
      </c>
      <c r="O2217" s="705">
        <v>10651</v>
      </c>
      <c r="P2217" s="705">
        <v>3223</v>
      </c>
      <c r="Q2217" s="705">
        <v>1194</v>
      </c>
      <c r="R2217" s="705">
        <v>132386</v>
      </c>
      <c r="S2217" s="705">
        <v>49032</v>
      </c>
      <c r="T2217" s="705">
        <v>0</v>
      </c>
      <c r="U2217" s="705">
        <v>0</v>
      </c>
      <c r="V2217" s="705">
        <v>876856</v>
      </c>
      <c r="W2217" s="705">
        <f t="shared" si="90"/>
        <v>876856</v>
      </c>
      <c r="X2217" s="705">
        <f t="shared" si="91"/>
        <v>1102059</v>
      </c>
    </row>
    <row r="2218" spans="2:24">
      <c r="B2218" t="s">
        <v>553</v>
      </c>
      <c r="C2218" t="s">
        <v>124</v>
      </c>
      <c r="D2218" t="s">
        <v>665</v>
      </c>
      <c r="E2218" t="s">
        <v>665</v>
      </c>
      <c r="F2218" s="705">
        <v>57</v>
      </c>
      <c r="G2218" s="705">
        <v>4140</v>
      </c>
      <c r="H2218" s="705">
        <v>36521</v>
      </c>
      <c r="I2218" s="705">
        <v>1906183</v>
      </c>
      <c r="J2218" s="705">
        <v>1732893</v>
      </c>
      <c r="K2218" s="705">
        <v>46</v>
      </c>
      <c r="L2218" s="705">
        <v>249168</v>
      </c>
      <c r="M2218" s="705">
        <v>198298</v>
      </c>
      <c r="N2218" s="705">
        <v>92888</v>
      </c>
      <c r="O2218" s="705">
        <v>34403</v>
      </c>
      <c r="P2218" s="705">
        <v>17469</v>
      </c>
      <c r="Q2218" s="705">
        <v>6470</v>
      </c>
      <c r="R2218" s="705">
        <v>345191</v>
      </c>
      <c r="S2218" s="705">
        <v>313810</v>
      </c>
      <c r="T2218" s="705">
        <v>109024</v>
      </c>
      <c r="U2218" s="705">
        <v>40379</v>
      </c>
      <c r="V2218" s="705">
        <v>2326254</v>
      </c>
      <c r="W2218" s="705">
        <f t="shared" si="90"/>
        <v>2326253</v>
      </c>
      <c r="X2218" s="705">
        <f t="shared" si="91"/>
        <v>2719923</v>
      </c>
    </row>
    <row r="2219" spans="2:24">
      <c r="B2219" t="s">
        <v>553</v>
      </c>
      <c r="C2219" t="s">
        <v>124</v>
      </c>
      <c r="D2219" t="s">
        <v>673</v>
      </c>
      <c r="E2219" t="s">
        <v>673</v>
      </c>
      <c r="F2219" s="705">
        <v>1</v>
      </c>
      <c r="G2219" s="705">
        <v>98</v>
      </c>
      <c r="H2219" s="705">
        <v>455</v>
      </c>
      <c r="I2219" s="705">
        <v>36660</v>
      </c>
      <c r="J2219" s="705">
        <v>33327</v>
      </c>
      <c r="K2219" s="705">
        <v>65</v>
      </c>
      <c r="L2219" s="705">
        <v>0</v>
      </c>
      <c r="M2219" s="705">
        <v>0</v>
      </c>
      <c r="N2219" s="705">
        <v>1791</v>
      </c>
      <c r="O2219" s="705">
        <v>663</v>
      </c>
      <c r="P2219" s="705">
        <v>351</v>
      </c>
      <c r="Q2219" s="705">
        <v>130</v>
      </c>
      <c r="R2219" s="705">
        <v>3874</v>
      </c>
      <c r="S2219" s="705">
        <v>3521</v>
      </c>
      <c r="T2219" s="705">
        <v>1957</v>
      </c>
      <c r="U2219" s="705">
        <v>725</v>
      </c>
      <c r="V2219" s="705">
        <v>38367</v>
      </c>
      <c r="W2219" s="705">
        <f t="shared" si="90"/>
        <v>38366</v>
      </c>
      <c r="X2219" s="705">
        <f t="shared" si="91"/>
        <v>44633</v>
      </c>
    </row>
    <row r="2220" spans="2:24">
      <c r="B2220" t="s">
        <v>554</v>
      </c>
      <c r="C2220" t="s">
        <v>108</v>
      </c>
      <c r="D2220" t="s">
        <v>228</v>
      </c>
      <c r="E2220" t="s">
        <v>228</v>
      </c>
      <c r="F2220" s="705">
        <v>81</v>
      </c>
      <c r="G2220" s="705">
        <v>7107</v>
      </c>
      <c r="H2220" s="705">
        <v>5023</v>
      </c>
      <c r="I2220" s="705">
        <v>42267</v>
      </c>
      <c r="J2220" s="705">
        <v>15654</v>
      </c>
      <c r="K2220" s="705">
        <v>410</v>
      </c>
      <c r="L2220" s="705">
        <v>7057</v>
      </c>
      <c r="M2220" s="705">
        <v>6354</v>
      </c>
      <c r="N2220" s="705">
        <v>86590</v>
      </c>
      <c r="O2220" s="705">
        <v>32070</v>
      </c>
      <c r="P2220" s="705">
        <v>59461</v>
      </c>
      <c r="Q2220" s="705">
        <v>22022</v>
      </c>
      <c r="R2220" s="705">
        <v>231614</v>
      </c>
      <c r="S2220" s="705">
        <v>85783</v>
      </c>
      <c r="T2220" s="705">
        <v>0</v>
      </c>
      <c r="U2220" s="705">
        <v>0</v>
      </c>
      <c r="V2220" s="705">
        <v>161884</v>
      </c>
      <c r="W2220" s="705">
        <f t="shared" si="90"/>
        <v>161883</v>
      </c>
      <c r="X2220" s="705">
        <f t="shared" si="91"/>
        <v>426989</v>
      </c>
    </row>
    <row r="2221" spans="2:24">
      <c r="B2221" t="s">
        <v>554</v>
      </c>
      <c r="C2221" t="s">
        <v>108</v>
      </c>
      <c r="D2221" t="s">
        <v>583</v>
      </c>
      <c r="E2221" t="s">
        <v>583</v>
      </c>
      <c r="F2221" s="705">
        <v>7</v>
      </c>
      <c r="G2221" s="705">
        <v>1054</v>
      </c>
      <c r="H2221" s="705">
        <v>413</v>
      </c>
      <c r="I2221" s="705">
        <v>12034</v>
      </c>
      <c r="J2221" s="705">
        <v>10940</v>
      </c>
      <c r="K2221" s="705">
        <v>94</v>
      </c>
      <c r="L2221" s="705">
        <v>497</v>
      </c>
      <c r="M2221" s="705">
        <v>452</v>
      </c>
      <c r="N2221" s="705">
        <v>14618</v>
      </c>
      <c r="O2221" s="705">
        <v>5414</v>
      </c>
      <c r="P2221" s="705">
        <v>4347</v>
      </c>
      <c r="Q2221" s="705">
        <v>1610</v>
      </c>
      <c r="R2221" s="705">
        <v>30678</v>
      </c>
      <c r="S2221" s="705">
        <v>27889</v>
      </c>
      <c r="T2221" s="705">
        <v>0</v>
      </c>
      <c r="U2221" s="705">
        <v>0</v>
      </c>
      <c r="V2221" s="705">
        <v>46305</v>
      </c>
      <c r="W2221" s="705">
        <f t="shared" si="90"/>
        <v>46305</v>
      </c>
      <c r="X2221" s="705">
        <f t="shared" si="91"/>
        <v>62174</v>
      </c>
    </row>
    <row r="2222" spans="2:24">
      <c r="B2222" t="s">
        <v>554</v>
      </c>
      <c r="C2222" t="s">
        <v>110</v>
      </c>
      <c r="D2222" t="s">
        <v>582</v>
      </c>
      <c r="E2222" t="s">
        <v>582</v>
      </c>
      <c r="F2222" s="705">
        <v>1</v>
      </c>
      <c r="G2222" s="705">
        <v>133</v>
      </c>
      <c r="H2222" s="705">
        <v>99</v>
      </c>
      <c r="I2222" s="705">
        <v>5164</v>
      </c>
      <c r="J2222" s="705">
        <v>4695</v>
      </c>
      <c r="K2222" s="705">
        <v>92</v>
      </c>
      <c r="L2222" s="705">
        <v>1767</v>
      </c>
      <c r="M2222" s="705">
        <v>1607</v>
      </c>
      <c r="N2222" s="705">
        <v>3249</v>
      </c>
      <c r="O2222" s="705">
        <v>1203</v>
      </c>
      <c r="P2222" s="705">
        <v>473</v>
      </c>
      <c r="Q2222" s="705">
        <v>175</v>
      </c>
      <c r="R2222" s="705">
        <v>2609</v>
      </c>
      <c r="S2222" s="705">
        <v>2372</v>
      </c>
      <c r="T2222" s="705">
        <v>0</v>
      </c>
      <c r="U2222" s="705">
        <v>0</v>
      </c>
      <c r="V2222" s="705">
        <v>10052</v>
      </c>
      <c r="W2222" s="705">
        <f t="shared" si="90"/>
        <v>10052</v>
      </c>
      <c r="X2222" s="705">
        <f t="shared" si="91"/>
        <v>13262</v>
      </c>
    </row>
    <row r="2223" spans="2:24">
      <c r="B2223" t="s">
        <v>554</v>
      </c>
      <c r="C2223" t="s">
        <v>110</v>
      </c>
      <c r="D2223" t="s">
        <v>228</v>
      </c>
      <c r="E2223" t="s">
        <v>228</v>
      </c>
      <c r="F2223" s="705">
        <v>66</v>
      </c>
      <c r="G2223" s="705">
        <v>5031</v>
      </c>
      <c r="H2223" s="705">
        <v>5822</v>
      </c>
      <c r="I2223" s="705">
        <v>113148</v>
      </c>
      <c r="J2223" s="705">
        <v>41907</v>
      </c>
      <c r="K2223" s="705">
        <v>368</v>
      </c>
      <c r="L2223" s="705">
        <v>27056</v>
      </c>
      <c r="M2223" s="705">
        <v>24597</v>
      </c>
      <c r="N2223" s="705">
        <v>85012</v>
      </c>
      <c r="O2223" s="705">
        <v>31486</v>
      </c>
      <c r="P2223" s="705">
        <v>37685</v>
      </c>
      <c r="Q2223" s="705">
        <v>13958</v>
      </c>
      <c r="R2223" s="705">
        <v>183002</v>
      </c>
      <c r="S2223" s="705">
        <v>67779</v>
      </c>
      <c r="T2223" s="705">
        <v>0</v>
      </c>
      <c r="U2223" s="705">
        <v>0</v>
      </c>
      <c r="V2223" s="705">
        <v>179725</v>
      </c>
      <c r="W2223" s="705">
        <f t="shared" si="90"/>
        <v>179727</v>
      </c>
      <c r="X2223" s="705">
        <f t="shared" si="91"/>
        <v>445903</v>
      </c>
    </row>
    <row r="2224" spans="2:24">
      <c r="B2224" t="s">
        <v>554</v>
      </c>
      <c r="C2224" t="s">
        <v>110</v>
      </c>
      <c r="D2224" t="s">
        <v>583</v>
      </c>
      <c r="E2224" t="s">
        <v>583</v>
      </c>
      <c r="F2224" s="705">
        <v>9</v>
      </c>
      <c r="G2224" s="705">
        <v>1023</v>
      </c>
      <c r="H2224" s="705">
        <v>783</v>
      </c>
      <c r="I2224" s="705">
        <v>44690</v>
      </c>
      <c r="J2224" s="705">
        <v>40627</v>
      </c>
      <c r="K2224" s="705">
        <v>95</v>
      </c>
      <c r="L2224" s="705">
        <v>7971</v>
      </c>
      <c r="M2224" s="705">
        <v>7246</v>
      </c>
      <c r="N2224" s="705">
        <v>13252</v>
      </c>
      <c r="O2224" s="705">
        <v>4908</v>
      </c>
      <c r="P2224" s="705">
        <v>5589</v>
      </c>
      <c r="Q2224" s="705">
        <v>2070</v>
      </c>
      <c r="R2224" s="705">
        <v>17430</v>
      </c>
      <c r="S2224" s="705">
        <v>15845</v>
      </c>
      <c r="T2224" s="705">
        <v>0</v>
      </c>
      <c r="U2224" s="705">
        <v>0</v>
      </c>
      <c r="V2224" s="705">
        <v>70697</v>
      </c>
      <c r="W2224" s="705">
        <f t="shared" si="90"/>
        <v>70696</v>
      </c>
      <c r="X2224" s="705">
        <f t="shared" si="91"/>
        <v>88932</v>
      </c>
    </row>
    <row r="2225" spans="2:24">
      <c r="B2225" t="s">
        <v>554</v>
      </c>
      <c r="C2225" t="s">
        <v>110</v>
      </c>
      <c r="D2225" t="s">
        <v>584</v>
      </c>
      <c r="E2225" t="s">
        <v>584</v>
      </c>
      <c r="F2225" s="705">
        <v>1</v>
      </c>
      <c r="G2225" s="705">
        <v>129</v>
      </c>
      <c r="H2225" s="705">
        <v>95</v>
      </c>
      <c r="I2225" s="705">
        <v>5109</v>
      </c>
      <c r="J2225" s="705">
        <v>4644</v>
      </c>
      <c r="K2225" s="705">
        <v>92</v>
      </c>
      <c r="L2225" s="705">
        <v>874</v>
      </c>
      <c r="M2225" s="705">
        <v>795</v>
      </c>
      <c r="N2225" s="705">
        <v>1890</v>
      </c>
      <c r="O2225" s="705">
        <v>700</v>
      </c>
      <c r="P2225" s="705">
        <v>473</v>
      </c>
      <c r="Q2225" s="705">
        <v>175</v>
      </c>
      <c r="R2225" s="705">
        <v>3902</v>
      </c>
      <c r="S2225" s="705">
        <v>3548</v>
      </c>
      <c r="T2225" s="705">
        <v>0</v>
      </c>
      <c r="U2225" s="705">
        <v>0</v>
      </c>
      <c r="V2225" s="705">
        <v>9862</v>
      </c>
      <c r="W2225" s="705">
        <f t="shared" si="90"/>
        <v>9862</v>
      </c>
      <c r="X2225" s="705">
        <f t="shared" si="91"/>
        <v>12248</v>
      </c>
    </row>
    <row r="2226" spans="2:24">
      <c r="B2226" t="s">
        <v>554</v>
      </c>
      <c r="C2226" t="s">
        <v>112</v>
      </c>
      <c r="D2226" t="s">
        <v>582</v>
      </c>
      <c r="E2226" t="s">
        <v>582</v>
      </c>
      <c r="F2226" s="705">
        <v>41</v>
      </c>
      <c r="G2226" s="705">
        <v>4712</v>
      </c>
      <c r="H2226" s="705">
        <v>4840</v>
      </c>
      <c r="I2226" s="705">
        <v>246573</v>
      </c>
      <c r="J2226" s="705">
        <v>224157</v>
      </c>
      <c r="K2226" s="705">
        <v>90</v>
      </c>
      <c r="L2226" s="705">
        <v>52297</v>
      </c>
      <c r="M2226" s="705">
        <v>45480</v>
      </c>
      <c r="N2226" s="705">
        <v>99311</v>
      </c>
      <c r="O2226" s="705">
        <v>36782</v>
      </c>
      <c r="P2226" s="705">
        <v>20223</v>
      </c>
      <c r="Q2226" s="705">
        <v>7490</v>
      </c>
      <c r="R2226" s="705">
        <v>163553</v>
      </c>
      <c r="S2226" s="705">
        <v>148685</v>
      </c>
      <c r="T2226" s="705">
        <v>0</v>
      </c>
      <c r="U2226" s="705">
        <v>0</v>
      </c>
      <c r="V2226" s="705">
        <v>462594</v>
      </c>
      <c r="W2226" s="705">
        <f t="shared" si="90"/>
        <v>462594</v>
      </c>
      <c r="X2226" s="705">
        <f t="shared" si="91"/>
        <v>581957</v>
      </c>
    </row>
    <row r="2227" spans="2:24">
      <c r="B2227" t="s">
        <v>554</v>
      </c>
      <c r="C2227" t="s">
        <v>112</v>
      </c>
      <c r="D2227" t="s">
        <v>228</v>
      </c>
      <c r="E2227" t="s">
        <v>228</v>
      </c>
      <c r="F2227" s="705">
        <v>4</v>
      </c>
      <c r="G2227" s="705">
        <v>552</v>
      </c>
      <c r="H2227" s="705">
        <v>469</v>
      </c>
      <c r="I2227" s="705">
        <v>19784</v>
      </c>
      <c r="J2227" s="705">
        <v>7328</v>
      </c>
      <c r="K2227" s="705">
        <v>286</v>
      </c>
      <c r="L2227" s="705">
        <v>1938</v>
      </c>
      <c r="M2227" s="705">
        <v>1129</v>
      </c>
      <c r="N2227" s="705">
        <v>10007</v>
      </c>
      <c r="O2227" s="705">
        <v>3706</v>
      </c>
      <c r="P2227" s="705">
        <v>1404</v>
      </c>
      <c r="Q2227" s="705">
        <v>520</v>
      </c>
      <c r="R2227" s="705">
        <v>33548</v>
      </c>
      <c r="S2227" s="705">
        <v>12425</v>
      </c>
      <c r="T2227" s="705">
        <v>0</v>
      </c>
      <c r="U2227" s="705">
        <v>0</v>
      </c>
      <c r="V2227" s="705">
        <v>25108</v>
      </c>
      <c r="W2227" s="705">
        <f t="shared" si="90"/>
        <v>25108</v>
      </c>
      <c r="X2227" s="705">
        <f t="shared" si="91"/>
        <v>66681</v>
      </c>
    </row>
    <row r="2228" spans="2:24">
      <c r="B2228" t="s">
        <v>554</v>
      </c>
      <c r="C2228" t="s">
        <v>112</v>
      </c>
      <c r="D2228" t="s">
        <v>583</v>
      </c>
      <c r="E2228" t="s">
        <v>583</v>
      </c>
      <c r="F2228" s="705">
        <v>36</v>
      </c>
      <c r="G2228" s="705">
        <v>3881</v>
      </c>
      <c r="H2228" s="705">
        <v>4274</v>
      </c>
      <c r="I2228" s="705">
        <v>200290</v>
      </c>
      <c r="J2228" s="705">
        <v>182082</v>
      </c>
      <c r="K2228" s="705">
        <v>92</v>
      </c>
      <c r="L2228" s="705">
        <v>36181</v>
      </c>
      <c r="M2228" s="705">
        <v>34317</v>
      </c>
      <c r="N2228" s="705">
        <v>64703</v>
      </c>
      <c r="O2228" s="705">
        <v>23964</v>
      </c>
      <c r="P2228" s="705">
        <v>22356</v>
      </c>
      <c r="Q2228" s="705">
        <v>8280</v>
      </c>
      <c r="R2228" s="705">
        <v>146050</v>
      </c>
      <c r="S2228" s="705">
        <v>132773</v>
      </c>
      <c r="T2228" s="705">
        <v>2913</v>
      </c>
      <c r="U2228" s="705">
        <v>1079</v>
      </c>
      <c r="V2228" s="705">
        <v>382494</v>
      </c>
      <c r="W2228" s="705">
        <f t="shared" si="90"/>
        <v>382495</v>
      </c>
      <c r="X2228" s="705">
        <f t="shared" si="91"/>
        <v>472493</v>
      </c>
    </row>
    <row r="2229" spans="2:24">
      <c r="B2229" t="s">
        <v>554</v>
      </c>
      <c r="C2229" t="s">
        <v>114</v>
      </c>
      <c r="D2229" t="s">
        <v>664</v>
      </c>
      <c r="E2229" t="s">
        <v>664</v>
      </c>
      <c r="F2229" s="705">
        <v>1</v>
      </c>
      <c r="G2229" s="705">
        <v>78</v>
      </c>
      <c r="H2229" s="705">
        <v>140</v>
      </c>
      <c r="I2229" s="705">
        <v>4984</v>
      </c>
      <c r="J2229" s="705">
        <v>4531</v>
      </c>
      <c r="K2229" s="705">
        <v>91</v>
      </c>
      <c r="L2229" s="705">
        <v>758</v>
      </c>
      <c r="M2229" s="705">
        <v>689</v>
      </c>
      <c r="N2229" s="705">
        <v>953</v>
      </c>
      <c r="O2229" s="705">
        <v>353</v>
      </c>
      <c r="P2229" s="705">
        <v>473</v>
      </c>
      <c r="Q2229" s="705">
        <v>175</v>
      </c>
      <c r="R2229" s="705">
        <v>3783</v>
      </c>
      <c r="S2229" s="705">
        <v>3439</v>
      </c>
      <c r="T2229" s="705">
        <v>0</v>
      </c>
      <c r="U2229" s="705">
        <v>0</v>
      </c>
      <c r="V2229" s="705">
        <v>9187</v>
      </c>
      <c r="W2229" s="705">
        <f t="shared" si="90"/>
        <v>9187</v>
      </c>
      <c r="X2229" s="705">
        <f t="shared" si="91"/>
        <v>10951</v>
      </c>
    </row>
    <row r="2230" spans="2:24">
      <c r="B2230" t="s">
        <v>554</v>
      </c>
      <c r="C2230" t="s">
        <v>114</v>
      </c>
      <c r="D2230" t="s">
        <v>582</v>
      </c>
      <c r="E2230" t="s">
        <v>582</v>
      </c>
      <c r="F2230" s="705">
        <v>112</v>
      </c>
      <c r="G2230" s="705">
        <v>11160</v>
      </c>
      <c r="H2230" s="705">
        <v>15356</v>
      </c>
      <c r="I2230" s="705">
        <v>685099</v>
      </c>
      <c r="J2230" s="705">
        <v>622817</v>
      </c>
      <c r="K2230" s="705">
        <v>89</v>
      </c>
      <c r="L2230" s="705">
        <v>150041</v>
      </c>
      <c r="M2230" s="705">
        <v>129404</v>
      </c>
      <c r="N2230" s="705">
        <v>232131</v>
      </c>
      <c r="O2230" s="705">
        <v>85974</v>
      </c>
      <c r="P2230" s="705">
        <v>57912</v>
      </c>
      <c r="Q2230" s="705">
        <v>21449</v>
      </c>
      <c r="R2230" s="705">
        <v>454988</v>
      </c>
      <c r="S2230" s="705">
        <v>413625</v>
      </c>
      <c r="T2230" s="705">
        <v>2664</v>
      </c>
      <c r="U2230" s="705">
        <v>987</v>
      </c>
      <c r="V2230" s="705">
        <v>1274257</v>
      </c>
      <c r="W2230" s="705">
        <f t="shared" si="90"/>
        <v>1274256</v>
      </c>
      <c r="X2230" s="705">
        <f t="shared" si="91"/>
        <v>1582835</v>
      </c>
    </row>
    <row r="2231" spans="2:24">
      <c r="B2231" t="s">
        <v>554</v>
      </c>
      <c r="C2231" t="s">
        <v>114</v>
      </c>
      <c r="D2231" t="s">
        <v>228</v>
      </c>
      <c r="E2231" t="s">
        <v>228</v>
      </c>
      <c r="F2231" s="705">
        <v>3</v>
      </c>
      <c r="G2231" s="705">
        <v>228</v>
      </c>
      <c r="H2231" s="705">
        <v>421</v>
      </c>
      <c r="I2231" s="705">
        <v>10448</v>
      </c>
      <c r="J2231" s="705">
        <v>3870</v>
      </c>
      <c r="K2231" s="705">
        <v>199</v>
      </c>
      <c r="L2231" s="705">
        <v>1418</v>
      </c>
      <c r="M2231" s="705">
        <v>525</v>
      </c>
      <c r="N2231" s="705">
        <v>3136</v>
      </c>
      <c r="O2231" s="705">
        <v>1162</v>
      </c>
      <c r="P2231" s="705">
        <v>351</v>
      </c>
      <c r="Q2231" s="705">
        <v>130</v>
      </c>
      <c r="R2231" s="705">
        <v>16511</v>
      </c>
      <c r="S2231" s="705">
        <v>6115</v>
      </c>
      <c r="T2231" s="705">
        <v>0</v>
      </c>
      <c r="U2231" s="705">
        <v>0</v>
      </c>
      <c r="V2231" s="705">
        <v>11801</v>
      </c>
      <c r="W2231" s="705">
        <f t="shared" si="90"/>
        <v>11802</v>
      </c>
      <c r="X2231" s="705">
        <f t="shared" si="91"/>
        <v>31864</v>
      </c>
    </row>
    <row r="2232" spans="2:24">
      <c r="B2232" t="s">
        <v>554</v>
      </c>
      <c r="C2232" t="s">
        <v>114</v>
      </c>
      <c r="D2232" t="s">
        <v>583</v>
      </c>
      <c r="E2232" t="s">
        <v>583</v>
      </c>
      <c r="F2232" s="705">
        <v>276</v>
      </c>
      <c r="G2232" s="705">
        <v>28853</v>
      </c>
      <c r="H2232" s="705">
        <v>39450</v>
      </c>
      <c r="I2232" s="705">
        <v>1814810</v>
      </c>
      <c r="J2232" s="705">
        <v>1649827</v>
      </c>
      <c r="K2232" s="705">
        <v>91</v>
      </c>
      <c r="L2232" s="705">
        <v>421422</v>
      </c>
      <c r="M2232" s="705">
        <v>371691</v>
      </c>
      <c r="N2232" s="705">
        <v>523405</v>
      </c>
      <c r="O2232" s="705">
        <v>193854</v>
      </c>
      <c r="P2232" s="705">
        <v>182536</v>
      </c>
      <c r="Q2232" s="705">
        <v>67606</v>
      </c>
      <c r="R2232" s="705">
        <v>1150462</v>
      </c>
      <c r="S2232" s="705">
        <v>1045874</v>
      </c>
      <c r="T2232" s="705">
        <v>62422</v>
      </c>
      <c r="U2232" s="705">
        <v>23119</v>
      </c>
      <c r="V2232" s="705">
        <v>3351971</v>
      </c>
      <c r="W2232" s="705">
        <f t="shared" si="90"/>
        <v>3351971</v>
      </c>
      <c r="X2232" s="705">
        <f t="shared" si="91"/>
        <v>4155057</v>
      </c>
    </row>
    <row r="2233" spans="2:24">
      <c r="B2233" t="s">
        <v>554</v>
      </c>
      <c r="C2233" t="s">
        <v>114</v>
      </c>
      <c r="D2233" t="s">
        <v>584</v>
      </c>
      <c r="E2233" t="s">
        <v>584</v>
      </c>
      <c r="F2233" s="705">
        <v>18</v>
      </c>
      <c r="G2233" s="705">
        <v>1860</v>
      </c>
      <c r="H2233" s="705">
        <v>2476</v>
      </c>
      <c r="I2233" s="705">
        <v>131060</v>
      </c>
      <c r="J2233" s="705">
        <v>119146</v>
      </c>
      <c r="K2233" s="705">
        <v>80</v>
      </c>
      <c r="L2233" s="705">
        <v>5143</v>
      </c>
      <c r="M2233" s="705">
        <v>15495</v>
      </c>
      <c r="N2233" s="705">
        <v>31657</v>
      </c>
      <c r="O2233" s="705">
        <v>11725</v>
      </c>
      <c r="P2233" s="705">
        <v>8505</v>
      </c>
      <c r="Q2233" s="705">
        <v>3150</v>
      </c>
      <c r="R2233" s="705">
        <v>81125</v>
      </c>
      <c r="S2233" s="705">
        <v>73750</v>
      </c>
      <c r="T2233" s="705">
        <v>2326</v>
      </c>
      <c r="U2233" s="705">
        <v>861</v>
      </c>
      <c r="V2233" s="705">
        <v>224127</v>
      </c>
      <c r="W2233" s="705">
        <f t="shared" si="90"/>
        <v>224127</v>
      </c>
      <c r="X2233" s="705">
        <f t="shared" si="91"/>
        <v>259816</v>
      </c>
    </row>
    <row r="2234" spans="2:24">
      <c r="B2234" t="s">
        <v>554</v>
      </c>
      <c r="C2234" t="s">
        <v>116</v>
      </c>
      <c r="D2234" t="s">
        <v>664</v>
      </c>
      <c r="E2234" t="s">
        <v>664</v>
      </c>
      <c r="F2234" s="705">
        <v>2</v>
      </c>
      <c r="G2234" s="705">
        <v>150</v>
      </c>
      <c r="H2234" s="705">
        <v>395</v>
      </c>
      <c r="I2234" s="705">
        <v>13956</v>
      </c>
      <c r="J2234" s="705">
        <v>12687</v>
      </c>
      <c r="K2234" s="705">
        <v>86</v>
      </c>
      <c r="L2234" s="705">
        <v>4700</v>
      </c>
      <c r="M2234" s="705">
        <v>4145</v>
      </c>
      <c r="N2234" s="705">
        <v>2792</v>
      </c>
      <c r="O2234" s="705">
        <v>1034</v>
      </c>
      <c r="P2234" s="705">
        <v>945</v>
      </c>
      <c r="Q2234" s="705">
        <v>350</v>
      </c>
      <c r="R2234" s="705">
        <v>6364</v>
      </c>
      <c r="S2234" s="705">
        <v>5786</v>
      </c>
      <c r="T2234" s="705">
        <v>0</v>
      </c>
      <c r="U2234" s="705">
        <v>0</v>
      </c>
      <c r="V2234" s="705">
        <v>24001</v>
      </c>
      <c r="W2234" s="705">
        <f t="shared" si="90"/>
        <v>24002</v>
      </c>
      <c r="X2234" s="705">
        <f t="shared" si="91"/>
        <v>28757</v>
      </c>
    </row>
    <row r="2235" spans="2:24">
      <c r="B2235" t="s">
        <v>554</v>
      </c>
      <c r="C2235" t="s">
        <v>116</v>
      </c>
      <c r="D2235" t="s">
        <v>582</v>
      </c>
      <c r="E2235" t="s">
        <v>664</v>
      </c>
      <c r="F2235" s="705">
        <v>1</v>
      </c>
      <c r="G2235" s="705">
        <v>94</v>
      </c>
      <c r="H2235" s="705">
        <v>189</v>
      </c>
      <c r="I2235" s="705">
        <v>7103</v>
      </c>
      <c r="J2235" s="705">
        <v>6457</v>
      </c>
      <c r="K2235" s="705">
        <v>82</v>
      </c>
      <c r="L2235" s="705">
        <v>3070</v>
      </c>
      <c r="M2235" s="705">
        <v>2791</v>
      </c>
      <c r="N2235" s="705">
        <v>2201</v>
      </c>
      <c r="O2235" s="705">
        <v>815</v>
      </c>
      <c r="P2235" s="705">
        <v>824</v>
      </c>
      <c r="Q2235" s="705">
        <v>305</v>
      </c>
      <c r="R2235" s="705">
        <v>4594</v>
      </c>
      <c r="S2235" s="705">
        <v>4176</v>
      </c>
      <c r="T2235" s="705">
        <v>0</v>
      </c>
      <c r="U2235" s="705">
        <v>0</v>
      </c>
      <c r="V2235" s="705">
        <v>14545</v>
      </c>
      <c r="W2235" s="705">
        <f t="shared" si="90"/>
        <v>14544</v>
      </c>
      <c r="X2235" s="705">
        <f t="shared" si="91"/>
        <v>17792</v>
      </c>
    </row>
    <row r="2236" spans="2:24">
      <c r="B2236" t="s">
        <v>554</v>
      </c>
      <c r="C2236" t="s">
        <v>116</v>
      </c>
      <c r="D2236" t="s">
        <v>582</v>
      </c>
      <c r="E2236" t="s">
        <v>582</v>
      </c>
      <c r="F2236" s="705">
        <v>154</v>
      </c>
      <c r="G2236" s="705">
        <v>15368</v>
      </c>
      <c r="H2236" s="705">
        <v>27563</v>
      </c>
      <c r="I2236" s="705">
        <v>1268305</v>
      </c>
      <c r="J2236" s="705">
        <v>1153005</v>
      </c>
      <c r="K2236" s="705">
        <v>82</v>
      </c>
      <c r="L2236" s="705">
        <v>396216</v>
      </c>
      <c r="M2236" s="705">
        <v>358504</v>
      </c>
      <c r="N2236" s="705">
        <v>320574</v>
      </c>
      <c r="O2236" s="705">
        <v>118731</v>
      </c>
      <c r="P2236" s="705">
        <v>82318</v>
      </c>
      <c r="Q2236" s="705">
        <v>30488</v>
      </c>
      <c r="R2236" s="705">
        <v>684926</v>
      </c>
      <c r="S2236" s="705">
        <v>622660</v>
      </c>
      <c r="T2236" s="705">
        <v>18766</v>
      </c>
      <c r="U2236" s="705">
        <v>6950</v>
      </c>
      <c r="V2236" s="705">
        <v>2290338</v>
      </c>
      <c r="W2236" s="705">
        <f t="shared" si="90"/>
        <v>2290338</v>
      </c>
      <c r="X2236" s="705">
        <f t="shared" si="91"/>
        <v>2771105</v>
      </c>
    </row>
    <row r="2237" spans="2:24">
      <c r="B2237" t="s">
        <v>554</v>
      </c>
      <c r="C2237" t="s">
        <v>116</v>
      </c>
      <c r="D2237" t="s">
        <v>582</v>
      </c>
      <c r="E2237" t="s">
        <v>228</v>
      </c>
      <c r="F2237" s="705">
        <v>2</v>
      </c>
      <c r="G2237" s="705">
        <v>201</v>
      </c>
      <c r="H2237" s="705">
        <v>394</v>
      </c>
      <c r="I2237" s="705">
        <v>13722</v>
      </c>
      <c r="J2237" s="705">
        <v>12474</v>
      </c>
      <c r="K2237" s="705">
        <v>81</v>
      </c>
      <c r="L2237" s="705">
        <v>5112</v>
      </c>
      <c r="M2237" s="705">
        <v>4647</v>
      </c>
      <c r="N2237" s="705">
        <v>4896</v>
      </c>
      <c r="O2237" s="705">
        <v>1813</v>
      </c>
      <c r="P2237" s="705">
        <v>945</v>
      </c>
      <c r="Q2237" s="705">
        <v>350</v>
      </c>
      <c r="R2237" s="705">
        <v>13961</v>
      </c>
      <c r="S2237" s="705">
        <v>5171</v>
      </c>
      <c r="T2237" s="705">
        <v>0</v>
      </c>
      <c r="U2237" s="705">
        <v>0</v>
      </c>
      <c r="V2237" s="705">
        <v>24455</v>
      </c>
      <c r="W2237" s="705">
        <f t="shared" si="90"/>
        <v>24455</v>
      </c>
      <c r="X2237" s="705">
        <f t="shared" si="91"/>
        <v>38636</v>
      </c>
    </row>
    <row r="2238" spans="2:24">
      <c r="B2238" t="s">
        <v>554</v>
      </c>
      <c r="C2238" t="s">
        <v>116</v>
      </c>
      <c r="D2238" t="s">
        <v>228</v>
      </c>
      <c r="E2238" t="s">
        <v>228</v>
      </c>
      <c r="F2238" s="705">
        <v>57</v>
      </c>
      <c r="G2238" s="705">
        <v>5791</v>
      </c>
      <c r="H2238" s="705">
        <v>11631</v>
      </c>
      <c r="I2238" s="705">
        <v>606550</v>
      </c>
      <c r="J2238" s="705">
        <v>224648</v>
      </c>
      <c r="K2238" s="705">
        <v>108</v>
      </c>
      <c r="L2238" s="705">
        <v>71472</v>
      </c>
      <c r="M2238" s="705">
        <v>43282</v>
      </c>
      <c r="N2238" s="705">
        <v>118353</v>
      </c>
      <c r="O2238" s="705">
        <v>43834</v>
      </c>
      <c r="P2238" s="705">
        <v>792</v>
      </c>
      <c r="Q2238" s="705">
        <v>293</v>
      </c>
      <c r="R2238" s="705">
        <v>409649</v>
      </c>
      <c r="S2238" s="705">
        <v>151722</v>
      </c>
      <c r="T2238" s="705">
        <v>0</v>
      </c>
      <c r="U2238" s="705">
        <v>0</v>
      </c>
      <c r="V2238" s="705">
        <v>463780</v>
      </c>
      <c r="W2238" s="705">
        <f t="shared" si="90"/>
        <v>463779</v>
      </c>
      <c r="X2238" s="705">
        <f t="shared" si="91"/>
        <v>1206816</v>
      </c>
    </row>
    <row r="2239" spans="2:24">
      <c r="B2239" t="s">
        <v>554</v>
      </c>
      <c r="C2239" t="s">
        <v>116</v>
      </c>
      <c r="D2239" t="s">
        <v>583</v>
      </c>
      <c r="E2239" t="s">
        <v>664</v>
      </c>
      <c r="F2239" s="705">
        <v>2</v>
      </c>
      <c r="G2239" s="705">
        <v>175</v>
      </c>
      <c r="H2239" s="705">
        <v>416</v>
      </c>
      <c r="I2239" s="705">
        <v>16752</v>
      </c>
      <c r="J2239" s="705">
        <v>15229</v>
      </c>
      <c r="K2239" s="705">
        <v>85</v>
      </c>
      <c r="L2239" s="705">
        <v>2832</v>
      </c>
      <c r="M2239" s="705">
        <v>2575</v>
      </c>
      <c r="N2239" s="705">
        <v>3974</v>
      </c>
      <c r="O2239" s="705">
        <v>1472</v>
      </c>
      <c r="P2239" s="705">
        <v>1242</v>
      </c>
      <c r="Q2239" s="705">
        <v>460</v>
      </c>
      <c r="R2239" s="705">
        <v>9362</v>
      </c>
      <c r="S2239" s="705">
        <v>8511</v>
      </c>
      <c r="T2239" s="705">
        <v>2526</v>
      </c>
      <c r="U2239" s="705">
        <v>936</v>
      </c>
      <c r="V2239" s="705">
        <v>29183</v>
      </c>
      <c r="W2239" s="705">
        <f t="shared" si="90"/>
        <v>29183</v>
      </c>
      <c r="X2239" s="705">
        <f t="shared" si="91"/>
        <v>36688</v>
      </c>
    </row>
    <row r="2240" spans="2:24">
      <c r="B2240" t="s">
        <v>554</v>
      </c>
      <c r="C2240" t="s">
        <v>116</v>
      </c>
      <c r="D2240" t="s">
        <v>583</v>
      </c>
      <c r="E2240" t="s">
        <v>228</v>
      </c>
      <c r="F2240" s="705">
        <v>8</v>
      </c>
      <c r="G2240" s="705">
        <v>724</v>
      </c>
      <c r="H2240" s="705">
        <v>1502</v>
      </c>
      <c r="I2240" s="705">
        <v>59754</v>
      </c>
      <c r="J2240" s="705">
        <v>54322</v>
      </c>
      <c r="K2240" s="705">
        <v>85</v>
      </c>
      <c r="L2240" s="705">
        <v>12300</v>
      </c>
      <c r="M2240" s="705">
        <v>11129</v>
      </c>
      <c r="N2240" s="705">
        <v>15782</v>
      </c>
      <c r="O2240" s="705">
        <v>5845</v>
      </c>
      <c r="P2240" s="705">
        <v>4968</v>
      </c>
      <c r="Q2240" s="705">
        <v>1840</v>
      </c>
      <c r="R2240" s="705">
        <v>42784</v>
      </c>
      <c r="S2240" s="705">
        <v>15846</v>
      </c>
      <c r="T2240" s="705">
        <v>0</v>
      </c>
      <c r="U2240" s="705">
        <v>0</v>
      </c>
      <c r="V2240" s="705">
        <v>88982</v>
      </c>
      <c r="W2240" s="705">
        <f t="shared" si="90"/>
        <v>88982</v>
      </c>
      <c r="X2240" s="705">
        <f t="shared" si="91"/>
        <v>135588</v>
      </c>
    </row>
    <row r="2241" spans="2:24">
      <c r="B2241" t="s">
        <v>554</v>
      </c>
      <c r="C2241" t="s">
        <v>116</v>
      </c>
      <c r="D2241" t="s">
        <v>583</v>
      </c>
      <c r="E2241" t="s">
        <v>583</v>
      </c>
      <c r="F2241" s="705">
        <v>2053</v>
      </c>
      <c r="G2241" s="705">
        <v>206047</v>
      </c>
      <c r="H2241" s="705">
        <v>393760</v>
      </c>
      <c r="I2241" s="705">
        <v>18094072</v>
      </c>
      <c r="J2241" s="705">
        <v>16449156</v>
      </c>
      <c r="K2241" s="705">
        <v>86</v>
      </c>
      <c r="L2241" s="705">
        <v>4502123</v>
      </c>
      <c r="M2241" s="705">
        <v>3968985</v>
      </c>
      <c r="N2241" s="705">
        <v>4093957</v>
      </c>
      <c r="O2241" s="705">
        <v>1516281</v>
      </c>
      <c r="P2241" s="705">
        <v>1329940</v>
      </c>
      <c r="Q2241" s="705">
        <v>492570</v>
      </c>
      <c r="R2241" s="705">
        <v>8871648</v>
      </c>
      <c r="S2241" s="705">
        <v>8065135</v>
      </c>
      <c r="T2241" s="705">
        <v>2666390</v>
      </c>
      <c r="U2241" s="705">
        <v>987552</v>
      </c>
      <c r="V2241" s="705">
        <v>31479679</v>
      </c>
      <c r="W2241" s="705">
        <f t="shared" si="90"/>
        <v>31479679</v>
      </c>
      <c r="X2241" s="705">
        <f t="shared" si="91"/>
        <v>39558130</v>
      </c>
    </row>
    <row r="2242" spans="2:24">
      <c r="B2242" t="s">
        <v>554</v>
      </c>
      <c r="C2242" t="s">
        <v>116</v>
      </c>
      <c r="D2242" t="s">
        <v>583</v>
      </c>
      <c r="E2242" t="s">
        <v>671</v>
      </c>
      <c r="F2242" s="705">
        <v>1</v>
      </c>
      <c r="G2242" s="705">
        <v>118</v>
      </c>
      <c r="H2242" s="705">
        <v>185</v>
      </c>
      <c r="I2242" s="705">
        <v>9384</v>
      </c>
      <c r="J2242" s="705">
        <v>8531</v>
      </c>
      <c r="K2242" s="705">
        <v>84</v>
      </c>
      <c r="L2242" s="705">
        <v>2760</v>
      </c>
      <c r="M2242" s="705">
        <v>2509</v>
      </c>
      <c r="N2242" s="705">
        <v>2870</v>
      </c>
      <c r="O2242" s="705">
        <v>1063</v>
      </c>
      <c r="P2242" s="705">
        <v>270</v>
      </c>
      <c r="Q2242" s="705">
        <v>100</v>
      </c>
      <c r="R2242" s="705">
        <v>3890</v>
      </c>
      <c r="S2242" s="705">
        <v>3537</v>
      </c>
      <c r="T2242" s="705">
        <v>2648</v>
      </c>
      <c r="U2242" s="705">
        <v>981</v>
      </c>
      <c r="V2242" s="705">
        <v>16720</v>
      </c>
      <c r="W2242" s="705">
        <f t="shared" si="90"/>
        <v>16721</v>
      </c>
      <c r="X2242" s="705">
        <f t="shared" si="91"/>
        <v>21822</v>
      </c>
    </row>
    <row r="2243" spans="2:24">
      <c r="B2243" t="s">
        <v>554</v>
      </c>
      <c r="C2243" t="s">
        <v>116</v>
      </c>
      <c r="D2243" t="s">
        <v>583</v>
      </c>
      <c r="E2243" t="s">
        <v>665</v>
      </c>
      <c r="F2243" s="705">
        <v>1</v>
      </c>
      <c r="G2243" s="705">
        <v>81</v>
      </c>
      <c r="H2243" s="705">
        <v>193</v>
      </c>
      <c r="I2243" s="705">
        <v>7744</v>
      </c>
      <c r="J2243" s="705">
        <v>7040</v>
      </c>
      <c r="K2243" s="705">
        <v>79</v>
      </c>
      <c r="L2243" s="705">
        <v>2266</v>
      </c>
      <c r="M2243" s="705">
        <v>2060</v>
      </c>
      <c r="N2243" s="705">
        <v>993</v>
      </c>
      <c r="O2243" s="705">
        <v>368</v>
      </c>
      <c r="P2243" s="705">
        <v>621</v>
      </c>
      <c r="Q2243" s="705">
        <v>230</v>
      </c>
      <c r="R2243" s="705">
        <v>4126</v>
      </c>
      <c r="S2243" s="705">
        <v>3751</v>
      </c>
      <c r="T2243" s="705">
        <v>0</v>
      </c>
      <c r="U2243" s="705">
        <v>0</v>
      </c>
      <c r="V2243" s="705">
        <v>13448</v>
      </c>
      <c r="W2243" s="705">
        <f t="shared" si="90"/>
        <v>13449</v>
      </c>
      <c r="X2243" s="705">
        <f t="shared" si="91"/>
        <v>15750</v>
      </c>
    </row>
    <row r="2244" spans="2:24">
      <c r="B2244" t="s">
        <v>554</v>
      </c>
      <c r="C2244" t="s">
        <v>116</v>
      </c>
      <c r="D2244" t="s">
        <v>584</v>
      </c>
      <c r="E2244" t="s">
        <v>584</v>
      </c>
      <c r="F2244" s="705">
        <v>31</v>
      </c>
      <c r="G2244" s="705">
        <v>3288</v>
      </c>
      <c r="H2244" s="705">
        <v>5427</v>
      </c>
      <c r="I2244" s="705">
        <v>273857</v>
      </c>
      <c r="J2244" s="705">
        <v>248960</v>
      </c>
      <c r="K2244" s="705">
        <v>81</v>
      </c>
      <c r="L2244" s="705">
        <v>60758</v>
      </c>
      <c r="M2244" s="705">
        <v>55864</v>
      </c>
      <c r="N2244" s="705">
        <v>66842</v>
      </c>
      <c r="O2244" s="705">
        <v>24756</v>
      </c>
      <c r="P2244" s="705">
        <v>16375</v>
      </c>
      <c r="Q2244" s="705">
        <v>6065</v>
      </c>
      <c r="R2244" s="705">
        <v>146195</v>
      </c>
      <c r="S2244" s="705">
        <v>132904</v>
      </c>
      <c r="T2244" s="705">
        <v>11222</v>
      </c>
      <c r="U2244" s="705">
        <v>4156</v>
      </c>
      <c r="V2244" s="705">
        <v>472706</v>
      </c>
      <c r="W2244" s="705">
        <f t="shared" si="90"/>
        <v>472705</v>
      </c>
      <c r="X2244" s="705">
        <f t="shared" si="91"/>
        <v>575249</v>
      </c>
    </row>
    <row r="2245" spans="2:24">
      <c r="B2245" t="s">
        <v>554</v>
      </c>
      <c r="C2245" t="s">
        <v>116</v>
      </c>
      <c r="D2245" t="s">
        <v>669</v>
      </c>
      <c r="E2245" t="s">
        <v>669</v>
      </c>
      <c r="F2245" s="705">
        <v>2</v>
      </c>
      <c r="G2245" s="705">
        <v>129</v>
      </c>
      <c r="H2245" s="705">
        <v>409</v>
      </c>
      <c r="I2245" s="705">
        <v>12542</v>
      </c>
      <c r="J2245" s="705">
        <v>10452</v>
      </c>
      <c r="K2245" s="705">
        <v>78</v>
      </c>
      <c r="L2245" s="705">
        <v>487</v>
      </c>
      <c r="M2245" s="705">
        <v>406</v>
      </c>
      <c r="N2245" s="705">
        <v>1946</v>
      </c>
      <c r="O2245" s="705">
        <v>721</v>
      </c>
      <c r="P2245" s="705">
        <v>972</v>
      </c>
      <c r="Q2245" s="705">
        <v>360</v>
      </c>
      <c r="R2245" s="705">
        <v>8233</v>
      </c>
      <c r="S2245" s="705">
        <v>6861</v>
      </c>
      <c r="T2245" s="705">
        <v>2431</v>
      </c>
      <c r="U2245" s="705">
        <v>900</v>
      </c>
      <c r="V2245" s="705">
        <v>19699</v>
      </c>
      <c r="W2245" s="705">
        <f t="shared" si="90"/>
        <v>19700</v>
      </c>
      <c r="X2245" s="705">
        <f t="shared" si="91"/>
        <v>26611</v>
      </c>
    </row>
    <row r="2246" spans="2:24">
      <c r="B2246" t="s">
        <v>554</v>
      </c>
      <c r="C2246" t="s">
        <v>116</v>
      </c>
      <c r="D2246" t="s">
        <v>665</v>
      </c>
      <c r="E2246" t="s">
        <v>665</v>
      </c>
      <c r="F2246" s="705">
        <v>2</v>
      </c>
      <c r="G2246" s="705">
        <v>221</v>
      </c>
      <c r="H2246" s="705">
        <v>444</v>
      </c>
      <c r="I2246" s="705">
        <v>25283</v>
      </c>
      <c r="J2246" s="705">
        <v>22985</v>
      </c>
      <c r="K2246" s="705">
        <v>69</v>
      </c>
      <c r="L2246" s="705">
        <v>3868</v>
      </c>
      <c r="M2246" s="705">
        <v>3516</v>
      </c>
      <c r="N2246" s="705">
        <v>4890</v>
      </c>
      <c r="O2246" s="705">
        <v>1811</v>
      </c>
      <c r="P2246" s="705">
        <v>702</v>
      </c>
      <c r="Q2246" s="705">
        <v>260</v>
      </c>
      <c r="R2246" s="705">
        <v>9046</v>
      </c>
      <c r="S2246" s="705">
        <v>8224</v>
      </c>
      <c r="T2246" s="705">
        <v>5265</v>
      </c>
      <c r="U2246" s="705">
        <v>1950</v>
      </c>
      <c r="V2246" s="705">
        <v>38745</v>
      </c>
      <c r="W2246" s="705">
        <f t="shared" si="90"/>
        <v>38746</v>
      </c>
      <c r="X2246" s="705">
        <f t="shared" si="91"/>
        <v>49054</v>
      </c>
    </row>
    <row r="2247" spans="2:24">
      <c r="B2247" t="s">
        <v>554</v>
      </c>
      <c r="C2247" t="s">
        <v>116</v>
      </c>
      <c r="D2247" t="s">
        <v>585</v>
      </c>
      <c r="E2247" t="s">
        <v>585</v>
      </c>
      <c r="F2247" s="705">
        <v>1</v>
      </c>
      <c r="G2247" s="705">
        <v>81</v>
      </c>
      <c r="H2247" s="705">
        <v>170</v>
      </c>
      <c r="I2247" s="705">
        <v>6820</v>
      </c>
      <c r="J2247" s="705">
        <v>6200</v>
      </c>
      <c r="K2247" s="705">
        <v>84</v>
      </c>
      <c r="L2247" s="705">
        <v>1153</v>
      </c>
      <c r="M2247" s="705">
        <v>961</v>
      </c>
      <c r="N2247" s="705">
        <v>1286</v>
      </c>
      <c r="O2247" s="705">
        <v>476</v>
      </c>
      <c r="P2247" s="705">
        <v>351</v>
      </c>
      <c r="Q2247" s="705">
        <v>130</v>
      </c>
      <c r="R2247" s="705">
        <v>4217</v>
      </c>
      <c r="S2247" s="705">
        <v>3834</v>
      </c>
      <c r="T2247" s="705">
        <v>0</v>
      </c>
      <c r="U2247" s="705">
        <v>0</v>
      </c>
      <c r="V2247" s="705">
        <v>11601</v>
      </c>
      <c r="W2247" s="705">
        <f t="shared" si="90"/>
        <v>11601</v>
      </c>
      <c r="X2247" s="705">
        <f t="shared" si="91"/>
        <v>13827</v>
      </c>
    </row>
    <row r="2248" spans="2:24">
      <c r="B2248" t="s">
        <v>554</v>
      </c>
      <c r="C2248" t="s">
        <v>118</v>
      </c>
      <c r="F2248" s="705">
        <v>15</v>
      </c>
      <c r="G2248" s="705">
        <v>994</v>
      </c>
      <c r="H2248" s="705">
        <v>3774</v>
      </c>
      <c r="I2248" s="705"/>
      <c r="J2248" s="705">
        <v>0</v>
      </c>
      <c r="K2248" s="705"/>
      <c r="L2248" s="705"/>
      <c r="M2248" s="705">
        <v>0</v>
      </c>
      <c r="N2248" s="705">
        <v>21312</v>
      </c>
      <c r="O2248" s="705">
        <v>7893</v>
      </c>
      <c r="P2248" s="705">
        <v>9126</v>
      </c>
      <c r="Q2248" s="705">
        <v>3380</v>
      </c>
      <c r="R2248" s="705"/>
      <c r="S2248" s="705">
        <v>0</v>
      </c>
      <c r="T2248" s="705">
        <v>0</v>
      </c>
      <c r="U2248" s="705">
        <v>0</v>
      </c>
      <c r="V2248" s="705">
        <v>11273</v>
      </c>
      <c r="W2248" s="705">
        <f t="shared" si="90"/>
        <v>11273</v>
      </c>
      <c r="X2248" s="705">
        <f t="shared" si="91"/>
        <v>30438</v>
      </c>
    </row>
    <row r="2249" spans="2:24">
      <c r="B2249" t="s">
        <v>554</v>
      </c>
      <c r="C2249" t="s">
        <v>118</v>
      </c>
      <c r="D2249" t="s">
        <v>664</v>
      </c>
      <c r="E2249" t="s">
        <v>664</v>
      </c>
      <c r="F2249" s="705">
        <v>2</v>
      </c>
      <c r="G2249" s="705">
        <v>188</v>
      </c>
      <c r="H2249" s="705">
        <v>570</v>
      </c>
      <c r="I2249" s="705">
        <v>28457</v>
      </c>
      <c r="J2249" s="705">
        <v>25870</v>
      </c>
      <c r="K2249" s="705">
        <v>67</v>
      </c>
      <c r="L2249" s="705">
        <v>4422</v>
      </c>
      <c r="M2249" s="705">
        <v>4020</v>
      </c>
      <c r="N2249" s="705">
        <v>3800</v>
      </c>
      <c r="O2249" s="705">
        <v>1407</v>
      </c>
      <c r="P2249" s="705">
        <v>1094</v>
      </c>
      <c r="Q2249" s="705">
        <v>405</v>
      </c>
      <c r="R2249" s="705">
        <v>13130</v>
      </c>
      <c r="S2249" s="705">
        <v>11937</v>
      </c>
      <c r="T2249" s="705">
        <v>2746</v>
      </c>
      <c r="U2249" s="705">
        <v>1017</v>
      </c>
      <c r="V2249" s="705">
        <v>44656</v>
      </c>
      <c r="W2249" s="705">
        <f t="shared" si="90"/>
        <v>44656</v>
      </c>
      <c r="X2249" s="705">
        <f t="shared" si="91"/>
        <v>53649</v>
      </c>
    </row>
    <row r="2250" spans="2:24">
      <c r="B2250" t="s">
        <v>554</v>
      </c>
      <c r="C2250" t="s">
        <v>118</v>
      </c>
      <c r="D2250" t="s">
        <v>582</v>
      </c>
      <c r="E2250" t="s">
        <v>582</v>
      </c>
      <c r="F2250" s="705">
        <v>14</v>
      </c>
      <c r="G2250" s="705">
        <v>1345</v>
      </c>
      <c r="H2250" s="705">
        <v>3597</v>
      </c>
      <c r="I2250" s="705">
        <v>181941</v>
      </c>
      <c r="J2250" s="705">
        <v>165401</v>
      </c>
      <c r="K2250" s="705">
        <v>76</v>
      </c>
      <c r="L2250" s="705">
        <v>45865</v>
      </c>
      <c r="M2250" s="705">
        <v>41315</v>
      </c>
      <c r="N2250" s="705">
        <v>28631</v>
      </c>
      <c r="O2250" s="705">
        <v>10604</v>
      </c>
      <c r="P2250" s="705">
        <v>8033</v>
      </c>
      <c r="Q2250" s="705">
        <v>2975</v>
      </c>
      <c r="R2250" s="705">
        <v>69010</v>
      </c>
      <c r="S2250" s="705">
        <v>62736</v>
      </c>
      <c r="T2250" s="705">
        <v>13498</v>
      </c>
      <c r="U2250" s="705">
        <v>4999</v>
      </c>
      <c r="V2250" s="705">
        <v>288030</v>
      </c>
      <c r="W2250" s="705">
        <f t="shared" si="90"/>
        <v>288030</v>
      </c>
      <c r="X2250" s="705">
        <f t="shared" si="91"/>
        <v>346978</v>
      </c>
    </row>
    <row r="2251" spans="2:24">
      <c r="B2251" t="s">
        <v>554</v>
      </c>
      <c r="C2251" t="s">
        <v>118</v>
      </c>
      <c r="D2251" t="s">
        <v>228</v>
      </c>
      <c r="E2251" t="s">
        <v>228</v>
      </c>
      <c r="F2251" s="705">
        <v>194</v>
      </c>
      <c r="G2251" s="705">
        <v>18537</v>
      </c>
      <c r="H2251" s="705">
        <v>51365</v>
      </c>
      <c r="I2251" s="705">
        <v>2803636</v>
      </c>
      <c r="J2251" s="705">
        <v>1038384</v>
      </c>
      <c r="K2251" s="705">
        <v>100</v>
      </c>
      <c r="L2251" s="705">
        <v>378017</v>
      </c>
      <c r="M2251" s="705">
        <v>242057</v>
      </c>
      <c r="N2251" s="705">
        <v>405468</v>
      </c>
      <c r="O2251" s="705">
        <v>150173</v>
      </c>
      <c r="P2251" s="705">
        <v>2025</v>
      </c>
      <c r="Q2251" s="705">
        <v>750</v>
      </c>
      <c r="R2251" s="705">
        <v>1357379</v>
      </c>
      <c r="S2251" s="705">
        <v>502733</v>
      </c>
      <c r="T2251" s="705">
        <v>5095</v>
      </c>
      <c r="U2251" s="705">
        <v>1887</v>
      </c>
      <c r="V2251" s="705">
        <v>1935984</v>
      </c>
      <c r="W2251" s="705">
        <f t="shared" si="90"/>
        <v>1935984</v>
      </c>
      <c r="X2251" s="705">
        <f t="shared" si="91"/>
        <v>4951620</v>
      </c>
    </row>
    <row r="2252" spans="2:24">
      <c r="B2252" t="s">
        <v>554</v>
      </c>
      <c r="C2252" t="s">
        <v>118</v>
      </c>
      <c r="D2252" t="s">
        <v>228</v>
      </c>
      <c r="E2252" t="s">
        <v>665</v>
      </c>
      <c r="F2252" s="705">
        <v>1</v>
      </c>
      <c r="G2252" s="705">
        <v>92</v>
      </c>
      <c r="H2252" s="705">
        <v>287</v>
      </c>
      <c r="I2252" s="705">
        <v>15382</v>
      </c>
      <c r="J2252" s="705">
        <v>5697</v>
      </c>
      <c r="K2252" s="705">
        <v>100</v>
      </c>
      <c r="L2252" s="705">
        <v>1393</v>
      </c>
      <c r="M2252" s="705">
        <v>1266</v>
      </c>
      <c r="N2252" s="705">
        <v>1563</v>
      </c>
      <c r="O2252" s="705">
        <v>579</v>
      </c>
      <c r="P2252" s="705">
        <v>0</v>
      </c>
      <c r="Q2252" s="705">
        <v>0</v>
      </c>
      <c r="R2252" s="705">
        <v>5636</v>
      </c>
      <c r="S2252" s="705">
        <v>5124</v>
      </c>
      <c r="T2252" s="705">
        <v>2320</v>
      </c>
      <c r="U2252" s="705">
        <v>859</v>
      </c>
      <c r="V2252" s="705">
        <v>13525</v>
      </c>
      <c r="W2252" s="705">
        <f t="shared" si="90"/>
        <v>13525</v>
      </c>
      <c r="X2252" s="705">
        <f t="shared" si="91"/>
        <v>26294</v>
      </c>
    </row>
    <row r="2253" spans="2:24">
      <c r="B2253" t="s">
        <v>554</v>
      </c>
      <c r="C2253" t="s">
        <v>118</v>
      </c>
      <c r="D2253" t="s">
        <v>583</v>
      </c>
      <c r="E2253" t="s">
        <v>228</v>
      </c>
      <c r="F2253" s="705">
        <v>2</v>
      </c>
      <c r="G2253" s="705">
        <v>156</v>
      </c>
      <c r="H2253" s="705">
        <v>557</v>
      </c>
      <c r="I2253" s="705">
        <v>21828</v>
      </c>
      <c r="J2253" s="705">
        <v>19844</v>
      </c>
      <c r="K2253" s="705">
        <v>87</v>
      </c>
      <c r="L2253" s="705">
        <v>5580</v>
      </c>
      <c r="M2253" s="705">
        <v>4746</v>
      </c>
      <c r="N2253" s="705">
        <v>3439</v>
      </c>
      <c r="O2253" s="705">
        <v>1274</v>
      </c>
      <c r="P2253" s="705">
        <v>1242</v>
      </c>
      <c r="Q2253" s="705">
        <v>460</v>
      </c>
      <c r="R2253" s="705">
        <v>11748</v>
      </c>
      <c r="S2253" s="705">
        <v>4351</v>
      </c>
      <c r="T2253" s="705">
        <v>0</v>
      </c>
      <c r="U2253" s="705">
        <v>0</v>
      </c>
      <c r="V2253" s="705">
        <v>30674</v>
      </c>
      <c r="W2253" s="705">
        <f t="shared" si="90"/>
        <v>30675</v>
      </c>
      <c r="X2253" s="705">
        <f t="shared" si="91"/>
        <v>43837</v>
      </c>
    </row>
    <row r="2254" spans="2:24">
      <c r="B2254" t="s">
        <v>554</v>
      </c>
      <c r="C2254" t="s">
        <v>118</v>
      </c>
      <c r="D2254" t="s">
        <v>583</v>
      </c>
      <c r="E2254" t="s">
        <v>583</v>
      </c>
      <c r="F2254" s="705">
        <v>1062</v>
      </c>
      <c r="G2254" s="705">
        <v>97911</v>
      </c>
      <c r="H2254" s="705">
        <v>274870</v>
      </c>
      <c r="I2254" s="705">
        <v>13097530</v>
      </c>
      <c r="J2254" s="705">
        <v>11906846</v>
      </c>
      <c r="K2254" s="705">
        <v>81</v>
      </c>
      <c r="L2254" s="705">
        <v>2964992</v>
      </c>
      <c r="M2254" s="705">
        <v>2546623</v>
      </c>
      <c r="N2254" s="705">
        <v>2028657</v>
      </c>
      <c r="O2254" s="705">
        <v>751354</v>
      </c>
      <c r="P2254" s="705">
        <v>685968</v>
      </c>
      <c r="Q2254" s="705">
        <v>254062</v>
      </c>
      <c r="R2254" s="705">
        <v>4628630</v>
      </c>
      <c r="S2254" s="705">
        <v>4207846</v>
      </c>
      <c r="T2254" s="705">
        <v>2053809</v>
      </c>
      <c r="U2254" s="705">
        <v>760670</v>
      </c>
      <c r="V2254" s="705">
        <v>20427401</v>
      </c>
      <c r="W2254" s="705">
        <f t="shared" si="90"/>
        <v>20427401</v>
      </c>
      <c r="X2254" s="705">
        <f t="shared" si="91"/>
        <v>25459586</v>
      </c>
    </row>
    <row r="2255" spans="2:24">
      <c r="B2255" t="s">
        <v>554</v>
      </c>
      <c r="C2255" t="s">
        <v>118</v>
      </c>
      <c r="D2255" t="s">
        <v>583</v>
      </c>
      <c r="E2255" t="s">
        <v>666</v>
      </c>
      <c r="F2255" s="705">
        <v>2</v>
      </c>
      <c r="G2255" s="705">
        <v>232</v>
      </c>
      <c r="H2255" s="705">
        <v>532</v>
      </c>
      <c r="I2255" s="705">
        <v>34469</v>
      </c>
      <c r="J2255" s="705">
        <v>31336</v>
      </c>
      <c r="K2255" s="705">
        <v>70</v>
      </c>
      <c r="L2255" s="705">
        <v>6431</v>
      </c>
      <c r="M2255" s="705">
        <v>5617</v>
      </c>
      <c r="N2255" s="705">
        <v>5142</v>
      </c>
      <c r="O2255" s="705">
        <v>1904</v>
      </c>
      <c r="P2255" s="705">
        <v>1593</v>
      </c>
      <c r="Q2255" s="705">
        <v>590</v>
      </c>
      <c r="R2255" s="705">
        <v>11405</v>
      </c>
      <c r="S2255" s="705">
        <v>10368</v>
      </c>
      <c r="T2255" s="705">
        <v>2898</v>
      </c>
      <c r="U2255" s="705">
        <v>1073</v>
      </c>
      <c r="V2255" s="705">
        <v>50889</v>
      </c>
      <c r="W2255" s="705">
        <f t="shared" si="90"/>
        <v>50888</v>
      </c>
      <c r="X2255" s="705">
        <f t="shared" si="91"/>
        <v>61938</v>
      </c>
    </row>
    <row r="2256" spans="2:24">
      <c r="B2256" t="s">
        <v>554</v>
      </c>
      <c r="C2256" t="s">
        <v>118</v>
      </c>
      <c r="D2256" t="s">
        <v>583</v>
      </c>
      <c r="E2256" t="s">
        <v>669</v>
      </c>
      <c r="F2256" s="705">
        <v>1</v>
      </c>
      <c r="G2256" s="705">
        <v>56</v>
      </c>
      <c r="H2256" s="705">
        <v>234</v>
      </c>
      <c r="I2256" s="705">
        <v>8400</v>
      </c>
      <c r="J2256" s="705">
        <v>7636</v>
      </c>
      <c r="K2256" s="705">
        <v>79</v>
      </c>
      <c r="L2256" s="705">
        <v>2333</v>
      </c>
      <c r="M2256" s="705">
        <v>2121</v>
      </c>
      <c r="N2256" s="705">
        <v>1468</v>
      </c>
      <c r="O2256" s="705">
        <v>544</v>
      </c>
      <c r="P2256" s="705">
        <v>621</v>
      </c>
      <c r="Q2256" s="705">
        <v>230</v>
      </c>
      <c r="R2256" s="705">
        <v>3863</v>
      </c>
      <c r="S2256" s="705">
        <v>3219</v>
      </c>
      <c r="T2256" s="705">
        <v>2125</v>
      </c>
      <c r="U2256" s="705">
        <v>787</v>
      </c>
      <c r="V2256" s="705">
        <v>14537</v>
      </c>
      <c r="W2256" s="705">
        <f t="shared" si="90"/>
        <v>14537</v>
      </c>
      <c r="X2256" s="705">
        <f t="shared" si="91"/>
        <v>18810</v>
      </c>
    </row>
    <row r="2257" spans="2:24">
      <c r="B2257" t="s">
        <v>554</v>
      </c>
      <c r="C2257" t="s">
        <v>118</v>
      </c>
      <c r="D2257" t="s">
        <v>583</v>
      </c>
      <c r="E2257" t="s">
        <v>665</v>
      </c>
      <c r="F2257" s="705">
        <v>1</v>
      </c>
      <c r="G2257" s="705">
        <v>101</v>
      </c>
      <c r="H2257" s="705">
        <v>247</v>
      </c>
      <c r="I2257" s="705">
        <v>14550</v>
      </c>
      <c r="J2257" s="705">
        <v>13227</v>
      </c>
      <c r="K2257" s="705">
        <v>79</v>
      </c>
      <c r="L2257" s="705">
        <v>4257</v>
      </c>
      <c r="M2257" s="705">
        <v>3870</v>
      </c>
      <c r="N2257" s="705">
        <v>1226</v>
      </c>
      <c r="O2257" s="705">
        <v>454</v>
      </c>
      <c r="P2257" s="705">
        <v>621</v>
      </c>
      <c r="Q2257" s="705">
        <v>230</v>
      </c>
      <c r="R2257" s="705">
        <v>4167</v>
      </c>
      <c r="S2257" s="705">
        <v>3788</v>
      </c>
      <c r="T2257" s="705">
        <v>0</v>
      </c>
      <c r="U2257" s="705">
        <v>0</v>
      </c>
      <c r="V2257" s="705">
        <v>21570</v>
      </c>
      <c r="W2257" s="705">
        <f t="shared" si="90"/>
        <v>21569</v>
      </c>
      <c r="X2257" s="705">
        <f t="shared" si="91"/>
        <v>24821</v>
      </c>
    </row>
    <row r="2258" spans="2:24">
      <c r="B2258" t="s">
        <v>554</v>
      </c>
      <c r="C2258" t="s">
        <v>118</v>
      </c>
      <c r="D2258" t="s">
        <v>583</v>
      </c>
      <c r="E2258" t="s">
        <v>673</v>
      </c>
      <c r="F2258" s="705">
        <v>1</v>
      </c>
      <c r="G2258" s="705">
        <v>80</v>
      </c>
      <c r="H2258" s="705">
        <v>260</v>
      </c>
      <c r="I2258" s="705">
        <v>9944</v>
      </c>
      <c r="J2258" s="705">
        <v>9040</v>
      </c>
      <c r="K2258" s="705">
        <v>86</v>
      </c>
      <c r="L2258" s="705">
        <v>1794</v>
      </c>
      <c r="M2258" s="705">
        <v>1631</v>
      </c>
      <c r="N2258" s="705">
        <v>1458</v>
      </c>
      <c r="O2258" s="705">
        <v>540</v>
      </c>
      <c r="P2258" s="705">
        <v>621</v>
      </c>
      <c r="Q2258" s="705">
        <v>230</v>
      </c>
      <c r="R2258" s="705">
        <v>4035</v>
      </c>
      <c r="S2258" s="705">
        <v>3668</v>
      </c>
      <c r="T2258" s="705">
        <v>2875</v>
      </c>
      <c r="U2258" s="705">
        <v>1065</v>
      </c>
      <c r="V2258" s="705">
        <v>16175</v>
      </c>
      <c r="W2258" s="705">
        <f t="shared" si="90"/>
        <v>16174</v>
      </c>
      <c r="X2258" s="705">
        <f t="shared" si="91"/>
        <v>20727</v>
      </c>
    </row>
    <row r="2259" spans="2:24">
      <c r="B2259" t="s">
        <v>554</v>
      </c>
      <c r="C2259" t="s">
        <v>118</v>
      </c>
      <c r="D2259" t="s">
        <v>666</v>
      </c>
      <c r="E2259" t="s">
        <v>666</v>
      </c>
      <c r="F2259" s="705">
        <v>1</v>
      </c>
      <c r="G2259" s="705">
        <v>81</v>
      </c>
      <c r="H2259" s="705">
        <v>254</v>
      </c>
      <c r="I2259" s="705">
        <v>10713</v>
      </c>
      <c r="J2259" s="705">
        <v>9739</v>
      </c>
      <c r="K2259" s="705">
        <v>55</v>
      </c>
      <c r="L2259" s="705">
        <v>1607</v>
      </c>
      <c r="M2259" s="705">
        <v>595</v>
      </c>
      <c r="N2259" s="705">
        <v>1080</v>
      </c>
      <c r="O2259" s="705">
        <v>400</v>
      </c>
      <c r="P2259" s="705">
        <v>0</v>
      </c>
      <c r="Q2259" s="705">
        <v>0</v>
      </c>
      <c r="R2259" s="705">
        <v>4904</v>
      </c>
      <c r="S2259" s="705">
        <v>4458</v>
      </c>
      <c r="T2259" s="705">
        <v>2174</v>
      </c>
      <c r="U2259" s="705">
        <v>805</v>
      </c>
      <c r="V2259" s="705">
        <v>15998</v>
      </c>
      <c r="W2259" s="705">
        <f t="shared" si="90"/>
        <v>15997</v>
      </c>
      <c r="X2259" s="705">
        <f t="shared" si="91"/>
        <v>20478</v>
      </c>
    </row>
    <row r="2260" spans="2:24">
      <c r="B2260" t="s">
        <v>554</v>
      </c>
      <c r="C2260" t="s">
        <v>118</v>
      </c>
      <c r="D2260" t="s">
        <v>584</v>
      </c>
      <c r="E2260" t="s">
        <v>584</v>
      </c>
      <c r="F2260" s="705">
        <v>3</v>
      </c>
      <c r="G2260" s="705">
        <v>237</v>
      </c>
      <c r="H2260" s="705">
        <v>746</v>
      </c>
      <c r="I2260" s="705">
        <v>33790</v>
      </c>
      <c r="J2260" s="705">
        <v>30718</v>
      </c>
      <c r="K2260" s="705">
        <v>77</v>
      </c>
      <c r="L2260" s="705">
        <v>9562</v>
      </c>
      <c r="M2260" s="705">
        <v>8692</v>
      </c>
      <c r="N2260" s="705">
        <v>5398</v>
      </c>
      <c r="O2260" s="705">
        <v>1999</v>
      </c>
      <c r="P2260" s="705">
        <v>1418</v>
      </c>
      <c r="Q2260" s="705">
        <v>525</v>
      </c>
      <c r="R2260" s="705">
        <v>9687</v>
      </c>
      <c r="S2260" s="705">
        <v>8806</v>
      </c>
      <c r="T2260" s="705">
        <v>-1093</v>
      </c>
      <c r="U2260" s="705">
        <v>-405</v>
      </c>
      <c r="V2260" s="705">
        <v>50336</v>
      </c>
      <c r="W2260" s="705">
        <f t="shared" si="90"/>
        <v>51145</v>
      </c>
      <c r="X2260" s="705">
        <f t="shared" si="91"/>
        <v>60948</v>
      </c>
    </row>
    <row r="2261" spans="2:24">
      <c r="B2261" t="s">
        <v>554</v>
      </c>
      <c r="C2261" t="s">
        <v>118</v>
      </c>
      <c r="D2261" t="s">
        <v>669</v>
      </c>
      <c r="E2261" t="s">
        <v>669</v>
      </c>
      <c r="F2261" s="705">
        <v>77</v>
      </c>
      <c r="G2261" s="705">
        <v>7230</v>
      </c>
      <c r="H2261" s="705">
        <v>21021</v>
      </c>
      <c r="I2261" s="705">
        <v>1123876</v>
      </c>
      <c r="J2261" s="705">
        <v>936563</v>
      </c>
      <c r="K2261" s="705">
        <v>57</v>
      </c>
      <c r="L2261" s="705">
        <v>43087</v>
      </c>
      <c r="M2261" s="705">
        <v>35303</v>
      </c>
      <c r="N2261" s="705">
        <v>148649</v>
      </c>
      <c r="O2261" s="705">
        <v>55055</v>
      </c>
      <c r="P2261" s="705">
        <v>29187</v>
      </c>
      <c r="Q2261" s="705">
        <v>10810</v>
      </c>
      <c r="R2261" s="705">
        <v>439617</v>
      </c>
      <c r="S2261" s="705">
        <v>366348</v>
      </c>
      <c r="T2261" s="705">
        <v>189631</v>
      </c>
      <c r="U2261" s="705">
        <v>70234</v>
      </c>
      <c r="V2261" s="705">
        <v>1474312</v>
      </c>
      <c r="W2261" s="705">
        <f t="shared" si="90"/>
        <v>1474313</v>
      </c>
      <c r="X2261" s="705">
        <f t="shared" si="91"/>
        <v>1974047</v>
      </c>
    </row>
    <row r="2262" spans="2:24">
      <c r="B2262" t="s">
        <v>554</v>
      </c>
      <c r="C2262" t="s">
        <v>118</v>
      </c>
      <c r="D2262" t="s">
        <v>665</v>
      </c>
      <c r="E2262" t="s">
        <v>665</v>
      </c>
      <c r="F2262" s="705">
        <v>32</v>
      </c>
      <c r="G2262" s="705">
        <v>3095</v>
      </c>
      <c r="H2262" s="705">
        <v>8468</v>
      </c>
      <c r="I2262" s="705">
        <v>458214</v>
      </c>
      <c r="J2262" s="705">
        <v>416558</v>
      </c>
      <c r="K2262" s="705">
        <v>58</v>
      </c>
      <c r="L2262" s="705">
        <v>46944</v>
      </c>
      <c r="M2262" s="705">
        <v>38762</v>
      </c>
      <c r="N2262" s="705">
        <v>64176</v>
      </c>
      <c r="O2262" s="705">
        <v>23769</v>
      </c>
      <c r="P2262" s="705">
        <v>13716</v>
      </c>
      <c r="Q2262" s="705">
        <v>5080</v>
      </c>
      <c r="R2262" s="705">
        <v>164565</v>
      </c>
      <c r="S2262" s="705">
        <v>149605</v>
      </c>
      <c r="T2262" s="705">
        <v>77003</v>
      </c>
      <c r="U2262" s="705">
        <v>28520</v>
      </c>
      <c r="V2262" s="705">
        <v>662294</v>
      </c>
      <c r="W2262" s="705">
        <f t="shared" si="90"/>
        <v>662294</v>
      </c>
      <c r="X2262" s="705">
        <f t="shared" si="91"/>
        <v>824618</v>
      </c>
    </row>
    <row r="2263" spans="2:24">
      <c r="B2263" t="s">
        <v>554</v>
      </c>
      <c r="C2263" t="s">
        <v>120</v>
      </c>
      <c r="D2263" t="s">
        <v>664</v>
      </c>
      <c r="E2263" t="s">
        <v>664</v>
      </c>
      <c r="F2263" s="705">
        <v>2</v>
      </c>
      <c r="G2263" s="705">
        <v>157</v>
      </c>
      <c r="H2263" s="705">
        <v>711</v>
      </c>
      <c r="I2263" s="705">
        <v>27359</v>
      </c>
      <c r="J2263" s="705">
        <v>24872</v>
      </c>
      <c r="K2263" s="705">
        <v>69</v>
      </c>
      <c r="L2263" s="705">
        <v>9337</v>
      </c>
      <c r="M2263" s="705">
        <v>5190</v>
      </c>
      <c r="N2263" s="705">
        <v>3814</v>
      </c>
      <c r="O2263" s="705">
        <v>1412</v>
      </c>
      <c r="P2263" s="705">
        <v>945</v>
      </c>
      <c r="Q2263" s="705">
        <v>350</v>
      </c>
      <c r="R2263" s="705">
        <v>8426</v>
      </c>
      <c r="S2263" s="705">
        <v>7660</v>
      </c>
      <c r="T2263" s="705">
        <v>5709</v>
      </c>
      <c r="U2263" s="705">
        <v>2115</v>
      </c>
      <c r="V2263" s="705">
        <v>41599</v>
      </c>
      <c r="W2263" s="705">
        <f t="shared" si="90"/>
        <v>41599</v>
      </c>
      <c r="X2263" s="705">
        <f t="shared" si="91"/>
        <v>55590</v>
      </c>
    </row>
    <row r="2264" spans="2:24">
      <c r="B2264" t="s">
        <v>554</v>
      </c>
      <c r="C2264" t="s">
        <v>120</v>
      </c>
      <c r="D2264" t="s">
        <v>582</v>
      </c>
      <c r="E2264" t="s">
        <v>582</v>
      </c>
      <c r="F2264" s="705">
        <v>1</v>
      </c>
      <c r="G2264" s="705">
        <v>84</v>
      </c>
      <c r="H2264" s="705">
        <v>312</v>
      </c>
      <c r="I2264" s="705">
        <v>15856</v>
      </c>
      <c r="J2264" s="705">
        <v>14415</v>
      </c>
      <c r="K2264" s="705">
        <v>65</v>
      </c>
      <c r="L2264" s="705">
        <v>1512</v>
      </c>
      <c r="M2264" s="705">
        <v>1375</v>
      </c>
      <c r="N2264" s="705">
        <v>1801</v>
      </c>
      <c r="O2264" s="705">
        <v>667</v>
      </c>
      <c r="P2264" s="705">
        <v>351</v>
      </c>
      <c r="Q2264" s="705">
        <v>130</v>
      </c>
      <c r="R2264" s="705">
        <v>4050</v>
      </c>
      <c r="S2264" s="705">
        <v>3682</v>
      </c>
      <c r="T2264" s="705">
        <v>2480</v>
      </c>
      <c r="U2264" s="705">
        <v>919</v>
      </c>
      <c r="V2264" s="705">
        <v>21187</v>
      </c>
      <c r="W2264" s="705">
        <f t="shared" si="90"/>
        <v>21188</v>
      </c>
      <c r="X2264" s="705">
        <f t="shared" si="91"/>
        <v>26050</v>
      </c>
    </row>
    <row r="2265" spans="2:24">
      <c r="B2265" t="s">
        <v>554</v>
      </c>
      <c r="C2265" t="s">
        <v>120</v>
      </c>
      <c r="D2265" t="s">
        <v>582</v>
      </c>
      <c r="E2265" t="s">
        <v>584</v>
      </c>
      <c r="F2265" s="705">
        <v>1</v>
      </c>
      <c r="G2265" s="705">
        <v>52</v>
      </c>
      <c r="H2265" s="705">
        <v>372</v>
      </c>
      <c r="I2265" s="705">
        <v>31196</v>
      </c>
      <c r="J2265" s="705">
        <v>28360</v>
      </c>
      <c r="K2265" s="705">
        <v>73</v>
      </c>
      <c r="L2265" s="705">
        <v>0</v>
      </c>
      <c r="M2265" s="705">
        <v>0</v>
      </c>
      <c r="N2265" s="705">
        <v>2053</v>
      </c>
      <c r="O2265" s="705">
        <v>760</v>
      </c>
      <c r="P2265" s="705">
        <v>473</v>
      </c>
      <c r="Q2265" s="705">
        <v>175</v>
      </c>
      <c r="R2265" s="705">
        <v>5235</v>
      </c>
      <c r="S2265" s="705">
        <v>4759</v>
      </c>
      <c r="T2265" s="705">
        <v>0</v>
      </c>
      <c r="U2265" s="705">
        <v>0</v>
      </c>
      <c r="V2265" s="705">
        <v>34055</v>
      </c>
      <c r="W2265" s="705">
        <f t="shared" si="90"/>
        <v>34054</v>
      </c>
      <c r="X2265" s="705">
        <f t="shared" si="91"/>
        <v>38957</v>
      </c>
    </row>
    <row r="2266" spans="2:24">
      <c r="B2266" t="s">
        <v>554</v>
      </c>
      <c r="C2266" t="s">
        <v>120</v>
      </c>
      <c r="D2266" t="s">
        <v>228</v>
      </c>
      <c r="E2266" t="s">
        <v>228</v>
      </c>
      <c r="F2266" s="705">
        <v>165</v>
      </c>
      <c r="G2266" s="705">
        <v>13445</v>
      </c>
      <c r="H2266" s="705">
        <v>55137</v>
      </c>
      <c r="I2266" s="705">
        <v>2714810</v>
      </c>
      <c r="J2266" s="705">
        <v>1005485</v>
      </c>
      <c r="K2266" s="705">
        <v>100</v>
      </c>
      <c r="L2266" s="705">
        <v>390113</v>
      </c>
      <c r="M2266" s="705">
        <v>300517</v>
      </c>
      <c r="N2266" s="705">
        <v>294068</v>
      </c>
      <c r="O2266" s="705">
        <v>108914</v>
      </c>
      <c r="P2266" s="705">
        <v>1323</v>
      </c>
      <c r="Q2266" s="705">
        <v>490</v>
      </c>
      <c r="R2266" s="705">
        <v>1126570</v>
      </c>
      <c r="S2266" s="705">
        <v>417248</v>
      </c>
      <c r="T2266" s="705">
        <v>2235</v>
      </c>
      <c r="U2266" s="705">
        <v>828</v>
      </c>
      <c r="V2266" s="705">
        <v>1833483</v>
      </c>
      <c r="W2266" s="705">
        <f t="shared" si="90"/>
        <v>1833482</v>
      </c>
      <c r="X2266" s="705">
        <f t="shared" si="91"/>
        <v>4529119</v>
      </c>
    </row>
    <row r="2267" spans="2:24">
      <c r="B2267" t="s">
        <v>554</v>
      </c>
      <c r="C2267" t="s">
        <v>120</v>
      </c>
      <c r="D2267" t="s">
        <v>228</v>
      </c>
      <c r="E2267" t="s">
        <v>669</v>
      </c>
      <c r="F2267" s="705">
        <v>2</v>
      </c>
      <c r="G2267" s="705">
        <v>161</v>
      </c>
      <c r="H2267" s="705">
        <v>686</v>
      </c>
      <c r="I2267" s="705">
        <v>32888</v>
      </c>
      <c r="J2267" s="705">
        <v>12181</v>
      </c>
      <c r="K2267" s="705">
        <v>100</v>
      </c>
      <c r="L2267" s="705">
        <v>3084</v>
      </c>
      <c r="M2267" s="705">
        <v>2570</v>
      </c>
      <c r="N2267" s="705">
        <v>2897</v>
      </c>
      <c r="O2267" s="705">
        <v>1073</v>
      </c>
      <c r="P2267" s="705">
        <v>0</v>
      </c>
      <c r="Q2267" s="705">
        <v>0</v>
      </c>
      <c r="R2267" s="705">
        <v>11822</v>
      </c>
      <c r="S2267" s="705">
        <v>9852</v>
      </c>
      <c r="T2267" s="705">
        <v>4343</v>
      </c>
      <c r="U2267" s="705">
        <v>1608</v>
      </c>
      <c r="V2267" s="705">
        <v>27285</v>
      </c>
      <c r="W2267" s="705">
        <f t="shared" si="90"/>
        <v>27284</v>
      </c>
      <c r="X2267" s="705">
        <f t="shared" si="91"/>
        <v>55034</v>
      </c>
    </row>
    <row r="2268" spans="2:24">
      <c r="B2268" t="s">
        <v>554</v>
      </c>
      <c r="C2268" t="s">
        <v>120</v>
      </c>
      <c r="D2268" t="s">
        <v>228</v>
      </c>
      <c r="E2268" t="s">
        <v>665</v>
      </c>
      <c r="F2268" s="705">
        <v>2</v>
      </c>
      <c r="G2268" s="705">
        <v>121</v>
      </c>
      <c r="H2268" s="705">
        <v>646</v>
      </c>
      <c r="I2268" s="705">
        <v>19587</v>
      </c>
      <c r="J2268" s="705">
        <v>7254</v>
      </c>
      <c r="K2268" s="705">
        <v>100</v>
      </c>
      <c r="L2268" s="705">
        <v>3187</v>
      </c>
      <c r="M2268" s="705">
        <v>2897</v>
      </c>
      <c r="N2268" s="705">
        <v>2442</v>
      </c>
      <c r="O2268" s="705">
        <v>904</v>
      </c>
      <c r="P2268" s="705">
        <v>351</v>
      </c>
      <c r="Q2268" s="705">
        <v>130</v>
      </c>
      <c r="R2268" s="705">
        <v>10489</v>
      </c>
      <c r="S2268" s="705">
        <v>9536</v>
      </c>
      <c r="T2268" s="705">
        <v>2599</v>
      </c>
      <c r="U2268" s="705">
        <v>963</v>
      </c>
      <c r="V2268" s="705">
        <v>21685</v>
      </c>
      <c r="W2268" s="705">
        <f t="shared" si="90"/>
        <v>21684</v>
      </c>
      <c r="X2268" s="705">
        <f t="shared" si="91"/>
        <v>38655</v>
      </c>
    </row>
    <row r="2269" spans="2:24">
      <c r="B2269" t="s">
        <v>554</v>
      </c>
      <c r="C2269" t="s">
        <v>120</v>
      </c>
      <c r="D2269" t="s">
        <v>583</v>
      </c>
      <c r="E2269" t="s">
        <v>228</v>
      </c>
      <c r="F2269" s="705">
        <v>2</v>
      </c>
      <c r="G2269" s="705">
        <v>140</v>
      </c>
      <c r="H2269" s="705">
        <v>722</v>
      </c>
      <c r="I2269" s="705">
        <v>28554</v>
      </c>
      <c r="J2269" s="705">
        <v>25958</v>
      </c>
      <c r="K2269" s="705">
        <v>78</v>
      </c>
      <c r="L2269" s="705">
        <v>6839</v>
      </c>
      <c r="M2269" s="705">
        <v>5289</v>
      </c>
      <c r="N2269" s="705">
        <v>2950</v>
      </c>
      <c r="O2269" s="705">
        <v>1093</v>
      </c>
      <c r="P2269" s="705">
        <v>1242</v>
      </c>
      <c r="Q2269" s="705">
        <v>460</v>
      </c>
      <c r="R2269" s="705">
        <v>11010</v>
      </c>
      <c r="S2269" s="705">
        <v>4078</v>
      </c>
      <c r="T2269" s="705">
        <v>0</v>
      </c>
      <c r="U2269" s="705">
        <v>0</v>
      </c>
      <c r="V2269" s="705">
        <v>36878</v>
      </c>
      <c r="W2269" s="705">
        <f t="shared" si="90"/>
        <v>36878</v>
      </c>
      <c r="X2269" s="705">
        <f t="shared" si="91"/>
        <v>50595</v>
      </c>
    </row>
    <row r="2270" spans="2:24">
      <c r="B2270" t="s">
        <v>554</v>
      </c>
      <c r="C2270" t="s">
        <v>120</v>
      </c>
      <c r="D2270" t="s">
        <v>583</v>
      </c>
      <c r="E2270" t="s">
        <v>583</v>
      </c>
      <c r="F2270" s="705">
        <v>320</v>
      </c>
      <c r="G2270" s="705">
        <v>30593</v>
      </c>
      <c r="H2270" s="705">
        <v>107942</v>
      </c>
      <c r="I2270" s="705">
        <v>6044220</v>
      </c>
      <c r="J2270" s="705">
        <v>5494745</v>
      </c>
      <c r="K2270" s="705">
        <v>78</v>
      </c>
      <c r="L2270" s="705">
        <v>1336548</v>
      </c>
      <c r="M2270" s="705">
        <v>1154743</v>
      </c>
      <c r="N2270" s="705">
        <v>646092</v>
      </c>
      <c r="O2270" s="705">
        <v>239293</v>
      </c>
      <c r="P2270" s="705">
        <v>205084</v>
      </c>
      <c r="Q2270" s="705">
        <v>75957</v>
      </c>
      <c r="R2270" s="705">
        <v>1459591</v>
      </c>
      <c r="S2270" s="705">
        <v>1326901</v>
      </c>
      <c r="T2270" s="705">
        <v>683025</v>
      </c>
      <c r="U2270" s="705">
        <v>252972</v>
      </c>
      <c r="V2270" s="705">
        <v>8544612</v>
      </c>
      <c r="W2270" s="705">
        <f t="shared" si="90"/>
        <v>8544611</v>
      </c>
      <c r="X2270" s="705">
        <f t="shared" si="91"/>
        <v>10374560</v>
      </c>
    </row>
    <row r="2271" spans="2:24">
      <c r="B2271" t="s">
        <v>554</v>
      </c>
      <c r="C2271" t="s">
        <v>120</v>
      </c>
      <c r="D2271" t="s">
        <v>666</v>
      </c>
      <c r="E2271" t="s">
        <v>583</v>
      </c>
      <c r="F2271" s="705">
        <v>1</v>
      </c>
      <c r="G2271" s="705">
        <v>74</v>
      </c>
      <c r="H2271" s="705">
        <v>362</v>
      </c>
      <c r="I2271" s="705">
        <v>12574</v>
      </c>
      <c r="J2271" s="705">
        <v>11431</v>
      </c>
      <c r="K2271" s="705">
        <v>70</v>
      </c>
      <c r="L2271" s="705">
        <v>1429</v>
      </c>
      <c r="M2271" s="705">
        <v>1299</v>
      </c>
      <c r="N2271" s="705">
        <v>1805</v>
      </c>
      <c r="O2271" s="705">
        <v>669</v>
      </c>
      <c r="P2271" s="705">
        <v>621</v>
      </c>
      <c r="Q2271" s="705">
        <v>230</v>
      </c>
      <c r="R2271" s="705">
        <v>6041</v>
      </c>
      <c r="S2271" s="705">
        <v>5492</v>
      </c>
      <c r="T2271" s="705">
        <v>4313</v>
      </c>
      <c r="U2271" s="705">
        <v>1597</v>
      </c>
      <c r="V2271" s="705">
        <v>20718</v>
      </c>
      <c r="W2271" s="705">
        <f t="shared" si="90"/>
        <v>20718</v>
      </c>
      <c r="X2271" s="705">
        <f t="shared" si="91"/>
        <v>26783</v>
      </c>
    </row>
    <row r="2272" spans="2:24">
      <c r="B2272" t="s">
        <v>554</v>
      </c>
      <c r="C2272" t="s">
        <v>120</v>
      </c>
      <c r="D2272" t="s">
        <v>666</v>
      </c>
      <c r="E2272" t="s">
        <v>666</v>
      </c>
      <c r="F2272" s="705">
        <v>1</v>
      </c>
      <c r="G2272" s="705">
        <v>77</v>
      </c>
      <c r="H2272" s="705">
        <v>363</v>
      </c>
      <c r="I2272" s="705">
        <v>16467</v>
      </c>
      <c r="J2272" s="705">
        <v>14970</v>
      </c>
      <c r="K2272" s="705">
        <v>50</v>
      </c>
      <c r="L2272" s="705">
        <v>1830</v>
      </c>
      <c r="M2272" s="705">
        <v>1663</v>
      </c>
      <c r="N2272" s="705">
        <v>935</v>
      </c>
      <c r="O2272" s="705">
        <v>346</v>
      </c>
      <c r="P2272" s="705">
        <v>0</v>
      </c>
      <c r="Q2272" s="705">
        <v>0</v>
      </c>
      <c r="R2272" s="705">
        <v>6047</v>
      </c>
      <c r="S2272" s="705">
        <v>5497</v>
      </c>
      <c r="T2272" s="705">
        <v>2568</v>
      </c>
      <c r="U2272" s="705">
        <v>951</v>
      </c>
      <c r="V2272" s="705">
        <v>23428</v>
      </c>
      <c r="W2272" s="705">
        <f t="shared" si="90"/>
        <v>23427</v>
      </c>
      <c r="X2272" s="705">
        <f t="shared" si="91"/>
        <v>27847</v>
      </c>
    </row>
    <row r="2273" spans="2:24">
      <c r="B2273" t="s">
        <v>554</v>
      </c>
      <c r="C2273" t="s">
        <v>120</v>
      </c>
      <c r="D2273" t="s">
        <v>669</v>
      </c>
      <c r="E2273" t="s">
        <v>669</v>
      </c>
      <c r="F2273" s="705">
        <v>158</v>
      </c>
      <c r="G2273" s="705">
        <v>12671</v>
      </c>
      <c r="H2273" s="705">
        <v>53026</v>
      </c>
      <c r="I2273" s="705">
        <v>2515026</v>
      </c>
      <c r="J2273" s="705">
        <v>2095855</v>
      </c>
      <c r="K2273" s="705">
        <v>56</v>
      </c>
      <c r="L2273" s="705">
        <v>185800</v>
      </c>
      <c r="M2273" s="705">
        <v>142400</v>
      </c>
      <c r="N2273" s="705">
        <v>253266</v>
      </c>
      <c r="O2273" s="705">
        <v>93802</v>
      </c>
      <c r="P2273" s="705">
        <v>57537</v>
      </c>
      <c r="Q2273" s="705">
        <v>21310</v>
      </c>
      <c r="R2273" s="705">
        <v>863402</v>
      </c>
      <c r="S2273" s="705">
        <v>719502</v>
      </c>
      <c r="T2273" s="705">
        <v>360435</v>
      </c>
      <c r="U2273" s="705">
        <v>133494</v>
      </c>
      <c r="V2273" s="705">
        <v>3206364</v>
      </c>
      <c r="W2273" s="705">
        <f t="shared" si="90"/>
        <v>3206363</v>
      </c>
      <c r="X2273" s="705">
        <f t="shared" si="91"/>
        <v>4235466</v>
      </c>
    </row>
    <row r="2274" spans="2:24">
      <c r="B2274" t="s">
        <v>554</v>
      </c>
      <c r="C2274" t="s">
        <v>120</v>
      </c>
      <c r="D2274" t="s">
        <v>671</v>
      </c>
      <c r="E2274" t="s">
        <v>671</v>
      </c>
      <c r="F2274" s="705">
        <v>1</v>
      </c>
      <c r="G2274" s="705">
        <v>83</v>
      </c>
      <c r="H2274" s="705">
        <v>358</v>
      </c>
      <c r="I2274" s="705">
        <v>20538</v>
      </c>
      <c r="J2274" s="705">
        <v>18671</v>
      </c>
      <c r="K2274" s="705">
        <v>55</v>
      </c>
      <c r="L2274" s="705">
        <v>0</v>
      </c>
      <c r="M2274" s="705">
        <v>0</v>
      </c>
      <c r="N2274" s="705">
        <v>1538</v>
      </c>
      <c r="O2274" s="705">
        <v>570</v>
      </c>
      <c r="P2274" s="705">
        <v>351</v>
      </c>
      <c r="Q2274" s="705">
        <v>130</v>
      </c>
      <c r="R2274" s="705">
        <v>4460</v>
      </c>
      <c r="S2274" s="705">
        <v>4054</v>
      </c>
      <c r="T2274" s="705">
        <v>2645</v>
      </c>
      <c r="U2274" s="705">
        <v>979</v>
      </c>
      <c r="V2274" s="705">
        <v>24404</v>
      </c>
      <c r="W2274" s="705">
        <f t="shared" ref="W2274:W2337" si="92">SUM(ABS(J2274),ABS(M2274),ABS(O2274),ABS(Q2274),ABS(S2274),ABS(U2274))</f>
        <v>24404</v>
      </c>
      <c r="X2274" s="705">
        <f t="shared" ref="X2274:X2337" si="93">SUM(ABS(I2274),ABS(N2274),ABS(P2274),ABS(R2274),ABS(T2274),ABS(L2274))</f>
        <v>29532</v>
      </c>
    </row>
    <row r="2275" spans="2:24">
      <c r="B2275" t="s">
        <v>554</v>
      </c>
      <c r="C2275" t="s">
        <v>120</v>
      </c>
      <c r="D2275" t="s">
        <v>665</v>
      </c>
      <c r="E2275" t="s">
        <v>665</v>
      </c>
      <c r="F2275" s="705">
        <v>105</v>
      </c>
      <c r="G2275" s="705">
        <v>8137</v>
      </c>
      <c r="H2275" s="705">
        <v>35863</v>
      </c>
      <c r="I2275" s="705">
        <v>1531205</v>
      </c>
      <c r="J2275" s="705">
        <v>1392005</v>
      </c>
      <c r="K2275" s="705">
        <v>53</v>
      </c>
      <c r="L2275" s="705">
        <v>206681</v>
      </c>
      <c r="M2275" s="705">
        <v>164577</v>
      </c>
      <c r="N2275" s="705">
        <v>159956</v>
      </c>
      <c r="O2275" s="705">
        <v>59243</v>
      </c>
      <c r="P2275" s="705">
        <v>39258</v>
      </c>
      <c r="Q2275" s="705">
        <v>14540</v>
      </c>
      <c r="R2275" s="705">
        <v>588740</v>
      </c>
      <c r="S2275" s="705">
        <v>535218</v>
      </c>
      <c r="T2275" s="705">
        <v>245793</v>
      </c>
      <c r="U2275" s="705">
        <v>91035</v>
      </c>
      <c r="V2275" s="705">
        <v>2256617</v>
      </c>
      <c r="W2275" s="705">
        <f t="shared" si="92"/>
        <v>2256618</v>
      </c>
      <c r="X2275" s="705">
        <f t="shared" si="93"/>
        <v>2771633</v>
      </c>
    </row>
    <row r="2276" spans="2:24">
      <c r="B2276" t="s">
        <v>554</v>
      </c>
      <c r="C2276" t="s">
        <v>122</v>
      </c>
      <c r="D2276" t="s">
        <v>228</v>
      </c>
      <c r="E2276" t="s">
        <v>228</v>
      </c>
      <c r="F2276" s="705">
        <v>32</v>
      </c>
      <c r="G2276" s="705">
        <v>2411</v>
      </c>
      <c r="H2276" s="705">
        <v>13401</v>
      </c>
      <c r="I2276" s="705">
        <v>635048</v>
      </c>
      <c r="J2276" s="705">
        <v>235203</v>
      </c>
      <c r="K2276" s="705">
        <v>100</v>
      </c>
      <c r="L2276" s="705">
        <v>105998</v>
      </c>
      <c r="M2276" s="705">
        <v>69062</v>
      </c>
      <c r="N2276" s="705">
        <v>50104</v>
      </c>
      <c r="O2276" s="705">
        <v>18557</v>
      </c>
      <c r="P2276" s="705">
        <v>1620</v>
      </c>
      <c r="Q2276" s="705">
        <v>600</v>
      </c>
      <c r="R2276" s="705">
        <v>221125</v>
      </c>
      <c r="S2276" s="705">
        <v>81898</v>
      </c>
      <c r="T2276" s="705">
        <v>0</v>
      </c>
      <c r="U2276" s="705">
        <v>0</v>
      </c>
      <c r="V2276" s="705">
        <v>405321</v>
      </c>
      <c r="W2276" s="705">
        <f t="shared" si="92"/>
        <v>405320</v>
      </c>
      <c r="X2276" s="705">
        <f t="shared" si="93"/>
        <v>1013895</v>
      </c>
    </row>
    <row r="2277" spans="2:24">
      <c r="B2277" t="s">
        <v>554</v>
      </c>
      <c r="C2277" t="s">
        <v>122</v>
      </c>
      <c r="D2277" t="s">
        <v>228</v>
      </c>
      <c r="E2277" t="s">
        <v>669</v>
      </c>
      <c r="F2277" s="705">
        <v>3</v>
      </c>
      <c r="G2277" s="705">
        <v>171</v>
      </c>
      <c r="H2277" s="705">
        <v>1233</v>
      </c>
      <c r="I2277" s="705">
        <v>39154</v>
      </c>
      <c r="J2277" s="705">
        <v>14502</v>
      </c>
      <c r="K2277" s="705">
        <v>100</v>
      </c>
      <c r="L2277" s="705">
        <v>3893</v>
      </c>
      <c r="M2277" s="705">
        <v>3244</v>
      </c>
      <c r="N2277" s="705">
        <v>3131</v>
      </c>
      <c r="O2277" s="705">
        <v>1160</v>
      </c>
      <c r="P2277" s="705">
        <v>351</v>
      </c>
      <c r="Q2277" s="705">
        <v>130</v>
      </c>
      <c r="R2277" s="705">
        <v>18036</v>
      </c>
      <c r="S2277" s="705">
        <v>15030</v>
      </c>
      <c r="T2277" s="705">
        <v>6691</v>
      </c>
      <c r="U2277" s="705">
        <v>2478</v>
      </c>
      <c r="V2277" s="705">
        <v>36544</v>
      </c>
      <c r="W2277" s="705">
        <f t="shared" si="92"/>
        <v>36544</v>
      </c>
      <c r="X2277" s="705">
        <f t="shared" si="93"/>
        <v>71256</v>
      </c>
    </row>
    <row r="2278" spans="2:24">
      <c r="B2278" t="s">
        <v>554</v>
      </c>
      <c r="C2278" t="s">
        <v>122</v>
      </c>
      <c r="D2278" t="s">
        <v>228</v>
      </c>
      <c r="E2278" t="s">
        <v>665</v>
      </c>
      <c r="F2278" s="705">
        <v>2</v>
      </c>
      <c r="G2278" s="705">
        <v>166</v>
      </c>
      <c r="H2278" s="705">
        <v>838</v>
      </c>
      <c r="I2278" s="705">
        <v>45964</v>
      </c>
      <c r="J2278" s="705">
        <v>17024</v>
      </c>
      <c r="K2278" s="705">
        <v>100</v>
      </c>
      <c r="L2278" s="705">
        <v>4364</v>
      </c>
      <c r="M2278" s="705">
        <v>3967</v>
      </c>
      <c r="N2278" s="705">
        <v>3754</v>
      </c>
      <c r="O2278" s="705">
        <v>1390</v>
      </c>
      <c r="P2278" s="705">
        <v>0</v>
      </c>
      <c r="Q2278" s="705">
        <v>0</v>
      </c>
      <c r="R2278" s="705">
        <v>11403</v>
      </c>
      <c r="S2278" s="705">
        <v>10366</v>
      </c>
      <c r="T2278" s="705">
        <v>4413</v>
      </c>
      <c r="U2278" s="705">
        <v>1634</v>
      </c>
      <c r="V2278" s="705">
        <v>34382</v>
      </c>
      <c r="W2278" s="705">
        <f t="shared" si="92"/>
        <v>34381</v>
      </c>
      <c r="X2278" s="705">
        <f t="shared" si="93"/>
        <v>69898</v>
      </c>
    </row>
    <row r="2279" spans="2:24">
      <c r="B2279" t="s">
        <v>554</v>
      </c>
      <c r="C2279" t="s">
        <v>122</v>
      </c>
      <c r="D2279" t="s">
        <v>583</v>
      </c>
      <c r="E2279" t="s">
        <v>228</v>
      </c>
      <c r="F2279" s="705">
        <v>2</v>
      </c>
      <c r="G2279" s="705">
        <v>188</v>
      </c>
      <c r="H2279" s="705">
        <v>862</v>
      </c>
      <c r="I2279" s="705">
        <v>46782</v>
      </c>
      <c r="J2279" s="705">
        <v>42529</v>
      </c>
      <c r="K2279" s="705">
        <v>89</v>
      </c>
      <c r="L2279" s="705">
        <v>11468</v>
      </c>
      <c r="M2279" s="705">
        <v>10426</v>
      </c>
      <c r="N2279" s="705">
        <v>3757</v>
      </c>
      <c r="O2279" s="705">
        <v>1392</v>
      </c>
      <c r="P2279" s="705">
        <v>1242</v>
      </c>
      <c r="Q2279" s="705">
        <v>460</v>
      </c>
      <c r="R2279" s="705">
        <v>14997</v>
      </c>
      <c r="S2279" s="705">
        <v>5554</v>
      </c>
      <c r="T2279" s="705">
        <v>2820</v>
      </c>
      <c r="U2279" s="705">
        <v>1045</v>
      </c>
      <c r="V2279" s="705">
        <v>61405</v>
      </c>
      <c r="W2279" s="705">
        <f t="shared" si="92"/>
        <v>61406</v>
      </c>
      <c r="X2279" s="705">
        <f t="shared" si="93"/>
        <v>81066</v>
      </c>
    </row>
    <row r="2280" spans="2:24">
      <c r="B2280" t="s">
        <v>554</v>
      </c>
      <c r="C2280" t="s">
        <v>122</v>
      </c>
      <c r="D2280" t="s">
        <v>583</v>
      </c>
      <c r="E2280" t="s">
        <v>583</v>
      </c>
      <c r="F2280" s="705">
        <v>163</v>
      </c>
      <c r="G2280" s="705">
        <v>14834</v>
      </c>
      <c r="H2280" s="705">
        <v>67144</v>
      </c>
      <c r="I2280" s="705">
        <v>3790119</v>
      </c>
      <c r="J2280" s="705">
        <v>3445563</v>
      </c>
      <c r="K2280" s="705">
        <v>78</v>
      </c>
      <c r="L2280" s="705">
        <v>829692</v>
      </c>
      <c r="M2280" s="705">
        <v>710481</v>
      </c>
      <c r="N2280" s="705">
        <v>316708</v>
      </c>
      <c r="O2280" s="705">
        <v>117299</v>
      </c>
      <c r="P2280" s="705">
        <v>106961</v>
      </c>
      <c r="Q2280" s="705">
        <v>39615</v>
      </c>
      <c r="R2280" s="705">
        <v>759817</v>
      </c>
      <c r="S2280" s="705">
        <v>690743</v>
      </c>
      <c r="T2280" s="705">
        <v>320969</v>
      </c>
      <c r="U2280" s="705">
        <v>118877</v>
      </c>
      <c r="V2280" s="705">
        <v>5122578</v>
      </c>
      <c r="W2280" s="705">
        <f t="shared" si="92"/>
        <v>5122578</v>
      </c>
      <c r="X2280" s="705">
        <f t="shared" si="93"/>
        <v>6124266</v>
      </c>
    </row>
    <row r="2281" spans="2:24">
      <c r="B2281" t="s">
        <v>554</v>
      </c>
      <c r="C2281" t="s">
        <v>122</v>
      </c>
      <c r="D2281" t="s">
        <v>583</v>
      </c>
      <c r="E2281" t="s">
        <v>667</v>
      </c>
      <c r="F2281" s="705">
        <v>1</v>
      </c>
      <c r="G2281" s="705">
        <v>138</v>
      </c>
      <c r="H2281" s="705">
        <v>434</v>
      </c>
      <c r="I2281" s="705">
        <v>49556</v>
      </c>
      <c r="J2281" s="705">
        <v>45051</v>
      </c>
      <c r="K2281" s="705">
        <v>70</v>
      </c>
      <c r="L2281" s="705">
        <v>7323</v>
      </c>
      <c r="M2281" s="705">
        <v>6658</v>
      </c>
      <c r="N2281" s="705">
        <v>2997</v>
      </c>
      <c r="O2281" s="705">
        <v>1110</v>
      </c>
      <c r="P2281" s="705">
        <v>621</v>
      </c>
      <c r="Q2281" s="705">
        <v>230</v>
      </c>
      <c r="R2281" s="705">
        <v>7412</v>
      </c>
      <c r="S2281" s="705">
        <v>6738</v>
      </c>
      <c r="T2281" s="705">
        <v>3169</v>
      </c>
      <c r="U2281" s="705">
        <v>1174</v>
      </c>
      <c r="V2281" s="705">
        <v>60960</v>
      </c>
      <c r="W2281" s="705">
        <f t="shared" si="92"/>
        <v>60961</v>
      </c>
      <c r="X2281" s="705">
        <f t="shared" si="93"/>
        <v>71078</v>
      </c>
    </row>
    <row r="2282" spans="2:24">
      <c r="B2282" t="s">
        <v>554</v>
      </c>
      <c r="C2282" t="s">
        <v>122</v>
      </c>
      <c r="D2282" t="s">
        <v>669</v>
      </c>
      <c r="E2282" t="s">
        <v>669</v>
      </c>
      <c r="F2282" s="705">
        <v>55</v>
      </c>
      <c r="G2282" s="705">
        <v>4078</v>
      </c>
      <c r="H2282" s="705">
        <v>22674</v>
      </c>
      <c r="I2282" s="705">
        <v>1081956</v>
      </c>
      <c r="J2282" s="705">
        <v>901630</v>
      </c>
      <c r="K2282" s="705">
        <v>55</v>
      </c>
      <c r="L2282" s="705">
        <v>92997</v>
      </c>
      <c r="M2282" s="705">
        <v>70337</v>
      </c>
      <c r="N2282" s="705">
        <v>72882</v>
      </c>
      <c r="O2282" s="705">
        <v>26993</v>
      </c>
      <c r="P2282" s="705">
        <v>18914</v>
      </c>
      <c r="Q2282" s="705">
        <v>7005</v>
      </c>
      <c r="R2282" s="705">
        <v>298141</v>
      </c>
      <c r="S2282" s="705">
        <v>248450</v>
      </c>
      <c r="T2282" s="705">
        <v>121552</v>
      </c>
      <c r="U2282" s="705">
        <v>45019</v>
      </c>
      <c r="V2282" s="705">
        <v>1299436</v>
      </c>
      <c r="W2282" s="705">
        <f t="shared" si="92"/>
        <v>1299434</v>
      </c>
      <c r="X2282" s="705">
        <f t="shared" si="93"/>
        <v>1686442</v>
      </c>
    </row>
    <row r="2283" spans="2:24">
      <c r="B2283" t="s">
        <v>554</v>
      </c>
      <c r="C2283" t="s">
        <v>122</v>
      </c>
      <c r="D2283" t="s">
        <v>665</v>
      </c>
      <c r="E2283" t="s">
        <v>228</v>
      </c>
      <c r="F2283" s="705">
        <v>3</v>
      </c>
      <c r="G2283" s="705">
        <v>205</v>
      </c>
      <c r="H2283" s="705">
        <v>1283</v>
      </c>
      <c r="I2283" s="705">
        <v>50609</v>
      </c>
      <c r="J2283" s="705">
        <v>46008</v>
      </c>
      <c r="K2283" s="705">
        <v>42</v>
      </c>
      <c r="L2283" s="705">
        <v>6900</v>
      </c>
      <c r="M2283" s="705">
        <v>4807</v>
      </c>
      <c r="N2283" s="705">
        <v>4264</v>
      </c>
      <c r="O2283" s="705">
        <v>1579</v>
      </c>
      <c r="P2283" s="705">
        <v>351</v>
      </c>
      <c r="Q2283" s="705">
        <v>130</v>
      </c>
      <c r="R2283" s="705">
        <v>24450</v>
      </c>
      <c r="S2283" s="705">
        <v>9055</v>
      </c>
      <c r="T2283" s="705">
        <v>0</v>
      </c>
      <c r="U2283" s="705">
        <v>0</v>
      </c>
      <c r="V2283" s="705">
        <v>61579</v>
      </c>
      <c r="W2283" s="705">
        <f t="shared" si="92"/>
        <v>61579</v>
      </c>
      <c r="X2283" s="705">
        <f t="shared" si="93"/>
        <v>86574</v>
      </c>
    </row>
    <row r="2284" spans="2:24">
      <c r="B2284" t="s">
        <v>554</v>
      </c>
      <c r="C2284" t="s">
        <v>122</v>
      </c>
      <c r="D2284" t="s">
        <v>665</v>
      </c>
      <c r="E2284" t="s">
        <v>665</v>
      </c>
      <c r="F2284" s="705">
        <v>57</v>
      </c>
      <c r="G2284" s="705">
        <v>3963</v>
      </c>
      <c r="H2284" s="705">
        <v>23551</v>
      </c>
      <c r="I2284" s="705">
        <v>945938</v>
      </c>
      <c r="J2284" s="705">
        <v>859944</v>
      </c>
      <c r="K2284" s="705">
        <v>49</v>
      </c>
      <c r="L2284" s="705">
        <v>126442</v>
      </c>
      <c r="M2284" s="705">
        <v>108951</v>
      </c>
      <c r="N2284" s="705">
        <v>80505</v>
      </c>
      <c r="O2284" s="705">
        <v>29817</v>
      </c>
      <c r="P2284" s="705">
        <v>19697</v>
      </c>
      <c r="Q2284" s="705">
        <v>7295</v>
      </c>
      <c r="R2284" s="705">
        <v>332503</v>
      </c>
      <c r="S2284" s="705">
        <v>302276</v>
      </c>
      <c r="T2284" s="705">
        <v>127024</v>
      </c>
      <c r="U2284" s="705">
        <v>47046</v>
      </c>
      <c r="V2284" s="705">
        <v>1355328</v>
      </c>
      <c r="W2284" s="705">
        <f t="shared" si="92"/>
        <v>1355329</v>
      </c>
      <c r="X2284" s="705">
        <f t="shared" si="93"/>
        <v>1632109</v>
      </c>
    </row>
    <row r="2285" spans="2:24">
      <c r="B2285" t="s">
        <v>554</v>
      </c>
      <c r="C2285" t="s">
        <v>124</v>
      </c>
      <c r="D2285" t="s">
        <v>664</v>
      </c>
      <c r="E2285" t="s">
        <v>664</v>
      </c>
      <c r="F2285" s="705">
        <v>1</v>
      </c>
      <c r="G2285" s="705">
        <v>89</v>
      </c>
      <c r="H2285" s="705">
        <v>501</v>
      </c>
      <c r="I2285" s="705">
        <v>31058</v>
      </c>
      <c r="J2285" s="705">
        <v>28234</v>
      </c>
      <c r="K2285" s="705">
        <v>73</v>
      </c>
      <c r="L2285" s="705">
        <v>7983</v>
      </c>
      <c r="M2285" s="705">
        <v>7257</v>
      </c>
      <c r="N2285" s="705">
        <v>1689</v>
      </c>
      <c r="O2285" s="705">
        <v>625</v>
      </c>
      <c r="P2285" s="705">
        <v>473</v>
      </c>
      <c r="Q2285" s="705">
        <v>175</v>
      </c>
      <c r="R2285" s="705">
        <v>3272</v>
      </c>
      <c r="S2285" s="705">
        <v>2975</v>
      </c>
      <c r="T2285" s="705">
        <v>0</v>
      </c>
      <c r="U2285" s="705">
        <v>0</v>
      </c>
      <c r="V2285" s="705">
        <v>39266</v>
      </c>
      <c r="W2285" s="705">
        <f t="shared" si="92"/>
        <v>39266</v>
      </c>
      <c r="X2285" s="705">
        <f t="shared" si="93"/>
        <v>44475</v>
      </c>
    </row>
    <row r="2286" spans="2:24">
      <c r="B2286" t="s">
        <v>554</v>
      </c>
      <c r="C2286" t="s">
        <v>124</v>
      </c>
      <c r="D2286" t="s">
        <v>664</v>
      </c>
      <c r="E2286" t="s">
        <v>583</v>
      </c>
      <c r="F2286" s="705">
        <v>1</v>
      </c>
      <c r="G2286" s="705">
        <v>83</v>
      </c>
      <c r="H2286" s="705">
        <v>566</v>
      </c>
      <c r="I2286" s="705">
        <v>26721</v>
      </c>
      <c r="J2286" s="705">
        <v>24292</v>
      </c>
      <c r="K2286" s="705">
        <v>70</v>
      </c>
      <c r="L2286" s="705">
        <v>6581</v>
      </c>
      <c r="M2286" s="705">
        <v>5983</v>
      </c>
      <c r="N2286" s="705">
        <v>1824</v>
      </c>
      <c r="O2286" s="705">
        <v>676</v>
      </c>
      <c r="P2286" s="705">
        <v>621</v>
      </c>
      <c r="Q2286" s="705">
        <v>230</v>
      </c>
      <c r="R2286" s="705">
        <v>6870</v>
      </c>
      <c r="S2286" s="705">
        <v>6245</v>
      </c>
      <c r="T2286" s="705">
        <v>4436</v>
      </c>
      <c r="U2286" s="705">
        <v>1643</v>
      </c>
      <c r="V2286" s="705">
        <v>39069</v>
      </c>
      <c r="W2286" s="705">
        <f t="shared" si="92"/>
        <v>39069</v>
      </c>
      <c r="X2286" s="705">
        <f t="shared" si="93"/>
        <v>47053</v>
      </c>
    </row>
    <row r="2287" spans="2:24">
      <c r="B2287" t="s">
        <v>554</v>
      </c>
      <c r="C2287" t="s">
        <v>124</v>
      </c>
      <c r="D2287" t="s">
        <v>228</v>
      </c>
      <c r="E2287" t="s">
        <v>228</v>
      </c>
      <c r="F2287" s="705">
        <v>93</v>
      </c>
      <c r="G2287" s="705">
        <v>7773</v>
      </c>
      <c r="H2287" s="705">
        <v>59010</v>
      </c>
      <c r="I2287" s="705">
        <v>3537040</v>
      </c>
      <c r="J2287" s="705">
        <v>1310015</v>
      </c>
      <c r="K2287" s="705">
        <v>100</v>
      </c>
      <c r="L2287" s="705">
        <v>551085</v>
      </c>
      <c r="M2287" s="705">
        <v>425847</v>
      </c>
      <c r="N2287" s="705">
        <v>170172</v>
      </c>
      <c r="O2287" s="705">
        <v>63027</v>
      </c>
      <c r="P2287" s="705">
        <v>1053</v>
      </c>
      <c r="Q2287" s="705">
        <v>390</v>
      </c>
      <c r="R2287" s="705">
        <v>616170</v>
      </c>
      <c r="S2287" s="705">
        <v>228211</v>
      </c>
      <c r="T2287" s="705">
        <v>0</v>
      </c>
      <c r="U2287" s="705">
        <v>0</v>
      </c>
      <c r="V2287" s="705">
        <v>2027490</v>
      </c>
      <c r="W2287" s="705">
        <f t="shared" si="92"/>
        <v>2027490</v>
      </c>
      <c r="X2287" s="705">
        <f t="shared" si="93"/>
        <v>4875520</v>
      </c>
    </row>
    <row r="2288" spans="2:24">
      <c r="B2288" t="s">
        <v>554</v>
      </c>
      <c r="C2288" t="s">
        <v>124</v>
      </c>
      <c r="D2288" t="s">
        <v>228</v>
      </c>
      <c r="E2288" t="s">
        <v>583</v>
      </c>
      <c r="F2288" s="705">
        <v>1</v>
      </c>
      <c r="G2288" s="705">
        <v>283</v>
      </c>
      <c r="H2288" s="705">
        <v>550</v>
      </c>
      <c r="I2288" s="705">
        <v>125199</v>
      </c>
      <c r="J2288" s="705">
        <v>46370</v>
      </c>
      <c r="K2288" s="705">
        <v>100</v>
      </c>
      <c r="L2288" s="705">
        <v>13848</v>
      </c>
      <c r="M2288" s="705">
        <v>12589</v>
      </c>
      <c r="N2288" s="705">
        <v>5835</v>
      </c>
      <c r="O2288" s="705">
        <v>2161</v>
      </c>
      <c r="P2288" s="705">
        <v>0</v>
      </c>
      <c r="Q2288" s="705">
        <v>0</v>
      </c>
      <c r="R2288" s="705">
        <v>6683</v>
      </c>
      <c r="S2288" s="705">
        <v>6076</v>
      </c>
      <c r="T2288" s="705">
        <v>4165</v>
      </c>
      <c r="U2288" s="705">
        <v>1543</v>
      </c>
      <c r="V2288" s="705">
        <v>68739</v>
      </c>
      <c r="W2288" s="705">
        <f t="shared" si="92"/>
        <v>68739</v>
      </c>
      <c r="X2288" s="705">
        <f t="shared" si="93"/>
        <v>155730</v>
      </c>
    </row>
    <row r="2289" spans="2:24">
      <c r="B2289" t="s">
        <v>554</v>
      </c>
      <c r="C2289" t="s">
        <v>124</v>
      </c>
      <c r="D2289" t="s">
        <v>228</v>
      </c>
      <c r="E2289" t="s">
        <v>666</v>
      </c>
      <c r="F2289" s="705">
        <v>1</v>
      </c>
      <c r="G2289" s="705">
        <v>98</v>
      </c>
      <c r="H2289" s="705">
        <v>679</v>
      </c>
      <c r="I2289" s="705">
        <v>51883</v>
      </c>
      <c r="J2289" s="705">
        <v>19216</v>
      </c>
      <c r="K2289" s="705">
        <v>100</v>
      </c>
      <c r="L2289" s="705">
        <v>4270</v>
      </c>
      <c r="M2289" s="705">
        <v>3882</v>
      </c>
      <c r="N2289" s="705">
        <v>1734</v>
      </c>
      <c r="O2289" s="705">
        <v>642</v>
      </c>
      <c r="P2289" s="705">
        <v>351</v>
      </c>
      <c r="Q2289" s="705">
        <v>130</v>
      </c>
      <c r="R2289" s="705">
        <v>8436</v>
      </c>
      <c r="S2289" s="705">
        <v>7669</v>
      </c>
      <c r="T2289" s="705">
        <v>0</v>
      </c>
      <c r="U2289" s="705">
        <v>0</v>
      </c>
      <c r="V2289" s="705">
        <v>31539</v>
      </c>
      <c r="W2289" s="705">
        <f t="shared" si="92"/>
        <v>31539</v>
      </c>
      <c r="X2289" s="705">
        <f t="shared" si="93"/>
        <v>66674</v>
      </c>
    </row>
    <row r="2290" spans="2:24">
      <c r="B2290" t="s">
        <v>554</v>
      </c>
      <c r="C2290" t="s">
        <v>124</v>
      </c>
      <c r="D2290" t="s">
        <v>228</v>
      </c>
      <c r="E2290" t="s">
        <v>669</v>
      </c>
      <c r="F2290" s="705">
        <v>4</v>
      </c>
      <c r="G2290" s="705">
        <v>253</v>
      </c>
      <c r="H2290" s="705">
        <v>2110</v>
      </c>
      <c r="I2290" s="705">
        <v>87563</v>
      </c>
      <c r="J2290" s="705">
        <v>32431</v>
      </c>
      <c r="K2290" s="705">
        <v>100</v>
      </c>
      <c r="L2290" s="705">
        <v>11460</v>
      </c>
      <c r="M2290" s="705">
        <v>9550</v>
      </c>
      <c r="N2290" s="705">
        <v>5520</v>
      </c>
      <c r="O2290" s="705">
        <v>2045</v>
      </c>
      <c r="P2290" s="705">
        <v>351</v>
      </c>
      <c r="Q2290" s="705">
        <v>130</v>
      </c>
      <c r="R2290" s="705">
        <v>20665</v>
      </c>
      <c r="S2290" s="705">
        <v>17221</v>
      </c>
      <c r="T2290" s="705">
        <v>6973</v>
      </c>
      <c r="U2290" s="705">
        <v>2583</v>
      </c>
      <c r="V2290" s="705">
        <v>63959</v>
      </c>
      <c r="W2290" s="705">
        <f t="shared" si="92"/>
        <v>63960</v>
      </c>
      <c r="X2290" s="705">
        <f t="shared" si="93"/>
        <v>132532</v>
      </c>
    </row>
    <row r="2291" spans="2:24">
      <c r="B2291" t="s">
        <v>554</v>
      </c>
      <c r="C2291" t="s">
        <v>124</v>
      </c>
      <c r="D2291" t="s">
        <v>228</v>
      </c>
      <c r="E2291" t="s">
        <v>665</v>
      </c>
      <c r="F2291" s="705">
        <v>10</v>
      </c>
      <c r="G2291" s="705">
        <v>538</v>
      </c>
      <c r="H2291" s="705">
        <v>8837</v>
      </c>
      <c r="I2291" s="705">
        <v>331068</v>
      </c>
      <c r="J2291" s="705">
        <v>122618</v>
      </c>
      <c r="K2291" s="705">
        <v>100</v>
      </c>
      <c r="L2291" s="705">
        <v>39656</v>
      </c>
      <c r="M2291" s="705">
        <v>35816</v>
      </c>
      <c r="N2291" s="705">
        <v>12209</v>
      </c>
      <c r="O2291" s="705">
        <v>4522</v>
      </c>
      <c r="P2291" s="705">
        <v>1053</v>
      </c>
      <c r="Q2291" s="705">
        <v>390</v>
      </c>
      <c r="R2291" s="705">
        <v>73731</v>
      </c>
      <c r="S2291" s="705">
        <v>67028</v>
      </c>
      <c r="T2291" s="705">
        <v>14964</v>
      </c>
      <c r="U2291" s="705">
        <v>5542</v>
      </c>
      <c r="V2291" s="705">
        <v>235916</v>
      </c>
      <c r="W2291" s="705">
        <f t="shared" si="92"/>
        <v>235916</v>
      </c>
      <c r="X2291" s="705">
        <f t="shared" si="93"/>
        <v>472681</v>
      </c>
    </row>
    <row r="2292" spans="2:24">
      <c r="B2292" t="s">
        <v>554</v>
      </c>
      <c r="C2292" t="s">
        <v>124</v>
      </c>
      <c r="D2292" t="s">
        <v>583</v>
      </c>
      <c r="E2292" t="s">
        <v>228</v>
      </c>
      <c r="F2292" s="705">
        <v>1</v>
      </c>
      <c r="G2292" s="705">
        <v>96</v>
      </c>
      <c r="H2292" s="705">
        <v>529</v>
      </c>
      <c r="I2292" s="705">
        <v>34941</v>
      </c>
      <c r="J2292" s="705">
        <v>31765</v>
      </c>
      <c r="K2292" s="705">
        <v>65</v>
      </c>
      <c r="L2292" s="705">
        <v>7998</v>
      </c>
      <c r="M2292" s="705">
        <v>7271</v>
      </c>
      <c r="N2292" s="705">
        <v>2345</v>
      </c>
      <c r="O2292" s="705">
        <v>869</v>
      </c>
      <c r="P2292" s="705">
        <v>621</v>
      </c>
      <c r="Q2292" s="705">
        <v>230</v>
      </c>
      <c r="R2292" s="705">
        <v>4982</v>
      </c>
      <c r="S2292" s="705">
        <v>1845</v>
      </c>
      <c r="T2292" s="705">
        <v>0</v>
      </c>
      <c r="U2292" s="705">
        <v>0</v>
      </c>
      <c r="V2292" s="705">
        <v>41979</v>
      </c>
      <c r="W2292" s="705">
        <f t="shared" si="92"/>
        <v>41980</v>
      </c>
      <c r="X2292" s="705">
        <f t="shared" si="93"/>
        <v>50887</v>
      </c>
    </row>
    <row r="2293" spans="2:24">
      <c r="B2293" t="s">
        <v>554</v>
      </c>
      <c r="C2293" t="s">
        <v>124</v>
      </c>
      <c r="D2293" t="s">
        <v>583</v>
      </c>
      <c r="E2293" t="s">
        <v>583</v>
      </c>
      <c r="F2293" s="705">
        <v>108</v>
      </c>
      <c r="G2293" s="705">
        <v>9083</v>
      </c>
      <c r="H2293" s="705">
        <v>56935</v>
      </c>
      <c r="I2293" s="705">
        <v>3104050</v>
      </c>
      <c r="J2293" s="705">
        <v>2821864</v>
      </c>
      <c r="K2293" s="705">
        <v>73</v>
      </c>
      <c r="L2293" s="705">
        <v>722853</v>
      </c>
      <c r="M2293" s="705">
        <v>634967</v>
      </c>
      <c r="N2293" s="705">
        <v>199298</v>
      </c>
      <c r="O2293" s="705">
        <v>73814</v>
      </c>
      <c r="P2293" s="705">
        <v>69876</v>
      </c>
      <c r="Q2293" s="705">
        <v>25880</v>
      </c>
      <c r="R2293" s="705">
        <v>502752</v>
      </c>
      <c r="S2293" s="705">
        <v>457047</v>
      </c>
      <c r="T2293" s="705">
        <v>229456</v>
      </c>
      <c r="U2293" s="705">
        <v>84984</v>
      </c>
      <c r="V2293" s="705">
        <v>4098556</v>
      </c>
      <c r="W2293" s="705">
        <f t="shared" si="92"/>
        <v>4098556</v>
      </c>
      <c r="X2293" s="705">
        <f t="shared" si="93"/>
        <v>4828285</v>
      </c>
    </row>
    <row r="2294" spans="2:24">
      <c r="B2294" t="s">
        <v>554</v>
      </c>
      <c r="C2294" t="s">
        <v>124</v>
      </c>
      <c r="D2294" t="s">
        <v>583</v>
      </c>
      <c r="E2294" t="s">
        <v>665</v>
      </c>
      <c r="F2294" s="705">
        <v>1</v>
      </c>
      <c r="G2294" s="705">
        <v>78</v>
      </c>
      <c r="H2294" s="705">
        <v>510</v>
      </c>
      <c r="I2294" s="705">
        <v>25047</v>
      </c>
      <c r="J2294" s="705">
        <v>22770</v>
      </c>
      <c r="K2294" s="705">
        <v>65</v>
      </c>
      <c r="L2294" s="705">
        <v>5733</v>
      </c>
      <c r="M2294" s="705">
        <v>5212</v>
      </c>
      <c r="N2294" s="705">
        <v>1771</v>
      </c>
      <c r="O2294" s="705">
        <v>656</v>
      </c>
      <c r="P2294" s="705">
        <v>621</v>
      </c>
      <c r="Q2294" s="705">
        <v>230</v>
      </c>
      <c r="R2294" s="705">
        <v>4316</v>
      </c>
      <c r="S2294" s="705">
        <v>3924</v>
      </c>
      <c r="T2294" s="705">
        <v>2135</v>
      </c>
      <c r="U2294" s="705">
        <v>791</v>
      </c>
      <c r="V2294" s="705">
        <v>33582</v>
      </c>
      <c r="W2294" s="705">
        <f t="shared" si="92"/>
        <v>33583</v>
      </c>
      <c r="X2294" s="705">
        <f t="shared" si="93"/>
        <v>39623</v>
      </c>
    </row>
    <row r="2295" spans="2:24">
      <c r="B2295" t="s">
        <v>554</v>
      </c>
      <c r="C2295" t="s">
        <v>124</v>
      </c>
      <c r="D2295" t="s">
        <v>666</v>
      </c>
      <c r="E2295" t="s">
        <v>228</v>
      </c>
      <c r="F2295" s="705">
        <v>1</v>
      </c>
      <c r="G2295" s="705">
        <v>54</v>
      </c>
      <c r="H2295" s="705">
        <v>1433</v>
      </c>
      <c r="I2295" s="705">
        <v>63393</v>
      </c>
      <c r="J2295" s="705">
        <v>57630</v>
      </c>
      <c r="K2295" s="705">
        <v>30</v>
      </c>
      <c r="L2295" s="705">
        <v>0</v>
      </c>
      <c r="M2295" s="705">
        <v>0</v>
      </c>
      <c r="N2295" s="705">
        <v>1320</v>
      </c>
      <c r="O2295" s="705">
        <v>489</v>
      </c>
      <c r="P2295" s="705">
        <v>0</v>
      </c>
      <c r="Q2295" s="705">
        <v>0</v>
      </c>
      <c r="R2295" s="705">
        <v>12867</v>
      </c>
      <c r="S2295" s="705">
        <v>4766</v>
      </c>
      <c r="T2295" s="705">
        <v>0</v>
      </c>
      <c r="U2295" s="705">
        <v>0</v>
      </c>
      <c r="V2295" s="705">
        <v>62884</v>
      </c>
      <c r="W2295" s="705">
        <f t="shared" si="92"/>
        <v>62885</v>
      </c>
      <c r="X2295" s="705">
        <f t="shared" si="93"/>
        <v>77580</v>
      </c>
    </row>
    <row r="2296" spans="2:24">
      <c r="B2296" t="s">
        <v>554</v>
      </c>
      <c r="C2296" t="s">
        <v>124</v>
      </c>
      <c r="D2296" t="s">
        <v>666</v>
      </c>
      <c r="E2296" t="s">
        <v>666</v>
      </c>
      <c r="F2296" s="705">
        <v>1</v>
      </c>
      <c r="G2296" s="705">
        <v>80</v>
      </c>
      <c r="H2296" s="705">
        <v>733</v>
      </c>
      <c r="I2296" s="705">
        <v>44884</v>
      </c>
      <c r="J2296" s="705">
        <v>40803</v>
      </c>
      <c r="K2296" s="705">
        <v>55</v>
      </c>
      <c r="L2296" s="705">
        <v>5486</v>
      </c>
      <c r="M2296" s="705">
        <v>4987</v>
      </c>
      <c r="N2296" s="705">
        <v>1948</v>
      </c>
      <c r="O2296" s="705">
        <v>722</v>
      </c>
      <c r="P2296" s="705">
        <v>351</v>
      </c>
      <c r="Q2296" s="705">
        <v>130</v>
      </c>
      <c r="R2296" s="705">
        <v>4222</v>
      </c>
      <c r="S2296" s="705">
        <v>3838</v>
      </c>
      <c r="T2296" s="705">
        <v>1720</v>
      </c>
      <c r="U2296" s="705">
        <v>637</v>
      </c>
      <c r="V2296" s="705">
        <v>51117</v>
      </c>
      <c r="W2296" s="705">
        <f t="shared" si="92"/>
        <v>51117</v>
      </c>
      <c r="X2296" s="705">
        <f t="shared" si="93"/>
        <v>58611</v>
      </c>
    </row>
    <row r="2297" spans="2:24">
      <c r="B2297" t="s">
        <v>554</v>
      </c>
      <c r="C2297" t="s">
        <v>124</v>
      </c>
      <c r="D2297" t="s">
        <v>669</v>
      </c>
      <c r="E2297" t="s">
        <v>228</v>
      </c>
      <c r="F2297" s="705">
        <v>8</v>
      </c>
      <c r="G2297" s="705">
        <v>549</v>
      </c>
      <c r="H2297" s="705">
        <v>8334</v>
      </c>
      <c r="I2297" s="705">
        <v>506565</v>
      </c>
      <c r="J2297" s="705">
        <v>422138</v>
      </c>
      <c r="K2297" s="705">
        <v>30</v>
      </c>
      <c r="L2297" s="705">
        <v>28852</v>
      </c>
      <c r="M2297" s="705">
        <v>14091</v>
      </c>
      <c r="N2297" s="705">
        <v>11879</v>
      </c>
      <c r="O2297" s="705">
        <v>4400</v>
      </c>
      <c r="P2297" s="705">
        <v>0</v>
      </c>
      <c r="Q2297" s="705">
        <v>0</v>
      </c>
      <c r="R2297" s="705">
        <v>44295</v>
      </c>
      <c r="S2297" s="705">
        <v>16405</v>
      </c>
      <c r="T2297" s="705">
        <v>0</v>
      </c>
      <c r="U2297" s="705">
        <v>0</v>
      </c>
      <c r="V2297" s="705">
        <v>457034</v>
      </c>
      <c r="W2297" s="705">
        <f t="shared" si="92"/>
        <v>457034</v>
      </c>
      <c r="X2297" s="705">
        <f t="shared" si="93"/>
        <v>591591</v>
      </c>
    </row>
    <row r="2298" spans="2:24">
      <c r="B2298" t="s">
        <v>554</v>
      </c>
      <c r="C2298" t="s">
        <v>124</v>
      </c>
      <c r="D2298" t="s">
        <v>669</v>
      </c>
      <c r="E2298" t="s">
        <v>669</v>
      </c>
      <c r="F2298" s="705">
        <v>83</v>
      </c>
      <c r="G2298" s="705">
        <v>6157</v>
      </c>
      <c r="H2298" s="705">
        <v>47707</v>
      </c>
      <c r="I2298" s="705">
        <v>2547303</v>
      </c>
      <c r="J2298" s="705">
        <v>2122753</v>
      </c>
      <c r="K2298" s="705">
        <v>54</v>
      </c>
      <c r="L2298" s="705">
        <v>214085</v>
      </c>
      <c r="M2298" s="705">
        <v>174750</v>
      </c>
      <c r="N2298" s="705">
        <v>131534</v>
      </c>
      <c r="O2298" s="705">
        <v>48716</v>
      </c>
      <c r="P2298" s="705">
        <v>29430</v>
      </c>
      <c r="Q2298" s="705">
        <v>10900</v>
      </c>
      <c r="R2298" s="705">
        <v>464800</v>
      </c>
      <c r="S2298" s="705">
        <v>387333</v>
      </c>
      <c r="T2298" s="705">
        <v>174487</v>
      </c>
      <c r="U2298" s="705">
        <v>64625</v>
      </c>
      <c r="V2298" s="705">
        <v>2809077</v>
      </c>
      <c r="W2298" s="705">
        <f t="shared" si="92"/>
        <v>2809077</v>
      </c>
      <c r="X2298" s="705">
        <f t="shared" si="93"/>
        <v>3561639</v>
      </c>
    </row>
    <row r="2299" spans="2:24">
      <c r="B2299" t="s">
        <v>554</v>
      </c>
      <c r="C2299" t="s">
        <v>124</v>
      </c>
      <c r="D2299" t="s">
        <v>665</v>
      </c>
      <c r="E2299" t="s">
        <v>228</v>
      </c>
      <c r="F2299" s="705">
        <v>11</v>
      </c>
      <c r="G2299" s="705">
        <v>889</v>
      </c>
      <c r="H2299" s="705">
        <v>11397</v>
      </c>
      <c r="I2299" s="705">
        <v>768483</v>
      </c>
      <c r="J2299" s="705">
        <v>698621</v>
      </c>
      <c r="K2299" s="705">
        <v>33</v>
      </c>
      <c r="L2299" s="705">
        <v>72564</v>
      </c>
      <c r="M2299" s="705">
        <v>34064</v>
      </c>
      <c r="N2299" s="705">
        <v>19641</v>
      </c>
      <c r="O2299" s="705">
        <v>7274</v>
      </c>
      <c r="P2299" s="705">
        <v>0</v>
      </c>
      <c r="Q2299" s="705">
        <v>0</v>
      </c>
      <c r="R2299" s="705">
        <v>63068</v>
      </c>
      <c r="S2299" s="705">
        <v>23359</v>
      </c>
      <c r="T2299" s="705">
        <v>0</v>
      </c>
      <c r="U2299" s="705">
        <v>0</v>
      </c>
      <c r="V2299" s="705">
        <v>763317</v>
      </c>
      <c r="W2299" s="705">
        <f t="shared" si="92"/>
        <v>763318</v>
      </c>
      <c r="X2299" s="705">
        <f t="shared" si="93"/>
        <v>923756</v>
      </c>
    </row>
    <row r="2300" spans="2:24">
      <c r="B2300" t="s">
        <v>554</v>
      </c>
      <c r="C2300" t="s">
        <v>124</v>
      </c>
      <c r="D2300" t="s">
        <v>665</v>
      </c>
      <c r="E2300" t="s">
        <v>665</v>
      </c>
      <c r="F2300" s="705">
        <v>61</v>
      </c>
      <c r="G2300" s="705">
        <v>4319</v>
      </c>
      <c r="H2300" s="705">
        <v>34165</v>
      </c>
      <c r="I2300" s="705">
        <v>1701651</v>
      </c>
      <c r="J2300" s="705">
        <v>1546956</v>
      </c>
      <c r="K2300" s="705">
        <v>51</v>
      </c>
      <c r="L2300" s="705">
        <v>170132</v>
      </c>
      <c r="M2300" s="705">
        <v>145621</v>
      </c>
      <c r="N2300" s="705">
        <v>92146</v>
      </c>
      <c r="O2300" s="705">
        <v>34128</v>
      </c>
      <c r="P2300" s="705">
        <v>20399</v>
      </c>
      <c r="Q2300" s="705">
        <v>7555</v>
      </c>
      <c r="R2300" s="705">
        <v>370860</v>
      </c>
      <c r="S2300" s="705">
        <v>337146</v>
      </c>
      <c r="T2300" s="705">
        <v>128479</v>
      </c>
      <c r="U2300" s="705">
        <v>47585</v>
      </c>
      <c r="V2300" s="705">
        <v>2118990</v>
      </c>
      <c r="W2300" s="705">
        <f t="shared" si="92"/>
        <v>2118991</v>
      </c>
      <c r="X2300" s="705">
        <f t="shared" si="93"/>
        <v>2483667</v>
      </c>
    </row>
    <row r="2301" spans="2:24">
      <c r="B2301" t="s">
        <v>555</v>
      </c>
      <c r="C2301" t="s">
        <v>108</v>
      </c>
      <c r="F2301" s="705">
        <v>4</v>
      </c>
      <c r="G2301" s="705">
        <v>622</v>
      </c>
      <c r="H2301" s="705">
        <v>261</v>
      </c>
      <c r="I2301" s="705"/>
      <c r="J2301" s="705">
        <v>0</v>
      </c>
      <c r="K2301" s="705"/>
      <c r="L2301" s="705"/>
      <c r="M2301" s="705">
        <v>0</v>
      </c>
      <c r="N2301" s="705">
        <v>7573</v>
      </c>
      <c r="O2301" s="705">
        <v>2805</v>
      </c>
      <c r="P2301" s="705">
        <v>7876</v>
      </c>
      <c r="Q2301" s="705">
        <v>2917</v>
      </c>
      <c r="R2301" s="705"/>
      <c r="S2301" s="705">
        <v>0</v>
      </c>
      <c r="T2301" s="705">
        <v>0</v>
      </c>
      <c r="U2301" s="705">
        <v>0</v>
      </c>
      <c r="V2301" s="705">
        <v>5722</v>
      </c>
      <c r="W2301" s="705">
        <f t="shared" si="92"/>
        <v>5722</v>
      </c>
      <c r="X2301" s="705">
        <f t="shared" si="93"/>
        <v>15449</v>
      </c>
    </row>
    <row r="2302" spans="2:24">
      <c r="B2302" t="s">
        <v>555</v>
      </c>
      <c r="C2302" t="s">
        <v>108</v>
      </c>
      <c r="D2302" t="s">
        <v>582</v>
      </c>
      <c r="E2302" t="s">
        <v>582</v>
      </c>
      <c r="F2302" s="705">
        <v>4</v>
      </c>
      <c r="G2302" s="705">
        <v>416</v>
      </c>
      <c r="H2302" s="705">
        <v>243</v>
      </c>
      <c r="I2302" s="705">
        <v>4131</v>
      </c>
      <c r="J2302" s="705">
        <v>3756</v>
      </c>
      <c r="K2302" s="705">
        <v>91</v>
      </c>
      <c r="L2302" s="705">
        <v>560</v>
      </c>
      <c r="M2302" s="705">
        <v>509</v>
      </c>
      <c r="N2302" s="705">
        <v>5451</v>
      </c>
      <c r="O2302" s="705">
        <v>2019</v>
      </c>
      <c r="P2302" s="705">
        <v>2039</v>
      </c>
      <c r="Q2302" s="705">
        <v>755</v>
      </c>
      <c r="R2302" s="705">
        <v>13096</v>
      </c>
      <c r="S2302" s="705">
        <v>11906</v>
      </c>
      <c r="T2302" s="705">
        <v>0</v>
      </c>
      <c r="U2302" s="705">
        <v>0</v>
      </c>
      <c r="V2302" s="705">
        <v>18945</v>
      </c>
      <c r="W2302" s="705">
        <f t="shared" si="92"/>
        <v>18945</v>
      </c>
      <c r="X2302" s="705">
        <f t="shared" si="93"/>
        <v>25277</v>
      </c>
    </row>
    <row r="2303" spans="2:24">
      <c r="B2303" t="s">
        <v>555</v>
      </c>
      <c r="C2303" t="s">
        <v>108</v>
      </c>
      <c r="D2303" t="s">
        <v>228</v>
      </c>
      <c r="E2303" t="s">
        <v>228</v>
      </c>
      <c r="F2303" s="705">
        <v>108</v>
      </c>
      <c r="G2303" s="705">
        <v>11451</v>
      </c>
      <c r="H2303" s="705">
        <v>6724</v>
      </c>
      <c r="I2303" s="705">
        <v>54893</v>
      </c>
      <c r="J2303" s="705">
        <v>20331</v>
      </c>
      <c r="K2303" s="705">
        <v>435</v>
      </c>
      <c r="L2303" s="705">
        <v>1615</v>
      </c>
      <c r="M2303" s="705">
        <v>1495</v>
      </c>
      <c r="N2303" s="705">
        <v>147105</v>
      </c>
      <c r="O2303" s="705">
        <v>54483</v>
      </c>
      <c r="P2303" s="705">
        <v>63952</v>
      </c>
      <c r="Q2303" s="705">
        <v>23686</v>
      </c>
      <c r="R2303" s="705">
        <v>446011</v>
      </c>
      <c r="S2303" s="705">
        <v>165189</v>
      </c>
      <c r="T2303" s="705">
        <v>0</v>
      </c>
      <c r="U2303" s="705">
        <v>0</v>
      </c>
      <c r="V2303" s="705">
        <v>265184</v>
      </c>
      <c r="W2303" s="705">
        <f t="shared" si="92"/>
        <v>265184</v>
      </c>
      <c r="X2303" s="705">
        <f t="shared" si="93"/>
        <v>713576</v>
      </c>
    </row>
    <row r="2304" spans="2:24">
      <c r="B2304" t="s">
        <v>555</v>
      </c>
      <c r="C2304" t="s">
        <v>108</v>
      </c>
      <c r="D2304" t="s">
        <v>583</v>
      </c>
      <c r="E2304" t="s">
        <v>583</v>
      </c>
      <c r="F2304" s="705">
        <v>4</v>
      </c>
      <c r="G2304" s="705">
        <v>436</v>
      </c>
      <c r="H2304" s="705">
        <v>244</v>
      </c>
      <c r="I2304" s="705">
        <v>10441</v>
      </c>
      <c r="J2304" s="705">
        <v>9492</v>
      </c>
      <c r="K2304" s="705">
        <v>95</v>
      </c>
      <c r="L2304" s="705">
        <v>1442</v>
      </c>
      <c r="M2304" s="705">
        <v>1311</v>
      </c>
      <c r="N2304" s="705">
        <v>5315</v>
      </c>
      <c r="O2304" s="705">
        <v>1968</v>
      </c>
      <c r="P2304" s="705">
        <v>2484</v>
      </c>
      <c r="Q2304" s="705">
        <v>920</v>
      </c>
      <c r="R2304" s="705">
        <v>6880</v>
      </c>
      <c r="S2304" s="705">
        <v>6255</v>
      </c>
      <c r="T2304" s="705">
        <v>0</v>
      </c>
      <c r="U2304" s="705">
        <v>0</v>
      </c>
      <c r="V2304" s="705">
        <v>19946</v>
      </c>
      <c r="W2304" s="705">
        <f t="shared" si="92"/>
        <v>19946</v>
      </c>
      <c r="X2304" s="705">
        <f t="shared" si="93"/>
        <v>26562</v>
      </c>
    </row>
    <row r="2305" spans="2:24">
      <c r="B2305" t="s">
        <v>555</v>
      </c>
      <c r="C2305" t="s">
        <v>110</v>
      </c>
      <c r="F2305" s="705">
        <v>9</v>
      </c>
      <c r="G2305" s="705">
        <v>1311</v>
      </c>
      <c r="H2305" s="705">
        <v>835</v>
      </c>
      <c r="I2305" s="705"/>
      <c r="J2305" s="705">
        <v>0</v>
      </c>
      <c r="K2305" s="705"/>
      <c r="L2305" s="705"/>
      <c r="M2305" s="705">
        <v>0</v>
      </c>
      <c r="N2305" s="705">
        <v>17575</v>
      </c>
      <c r="O2305" s="705">
        <v>6509</v>
      </c>
      <c r="P2305" s="705">
        <v>8448</v>
      </c>
      <c r="Q2305" s="705">
        <v>3129</v>
      </c>
      <c r="R2305" s="705"/>
      <c r="S2305" s="705">
        <v>0</v>
      </c>
      <c r="T2305" s="705">
        <v>0</v>
      </c>
      <c r="U2305" s="705">
        <v>0</v>
      </c>
      <c r="V2305" s="705">
        <v>9638</v>
      </c>
      <c r="W2305" s="705">
        <f t="shared" si="92"/>
        <v>9638</v>
      </c>
      <c r="X2305" s="705">
        <f t="shared" si="93"/>
        <v>26023</v>
      </c>
    </row>
    <row r="2306" spans="2:24">
      <c r="B2306" t="s">
        <v>555</v>
      </c>
      <c r="C2306" t="s">
        <v>110</v>
      </c>
      <c r="D2306" t="s">
        <v>228</v>
      </c>
      <c r="E2306" t="s">
        <v>228</v>
      </c>
      <c r="F2306" s="705">
        <v>61</v>
      </c>
      <c r="G2306" s="705">
        <v>5650</v>
      </c>
      <c r="H2306" s="705">
        <v>5108</v>
      </c>
      <c r="I2306" s="705">
        <v>104652</v>
      </c>
      <c r="J2306" s="705">
        <v>38760</v>
      </c>
      <c r="K2306" s="705">
        <v>483</v>
      </c>
      <c r="L2306" s="705">
        <v>32442</v>
      </c>
      <c r="M2306" s="705">
        <v>29018</v>
      </c>
      <c r="N2306" s="705">
        <v>75909</v>
      </c>
      <c r="O2306" s="705">
        <v>28115</v>
      </c>
      <c r="P2306" s="705">
        <v>32066</v>
      </c>
      <c r="Q2306" s="705">
        <v>11876</v>
      </c>
      <c r="R2306" s="705">
        <v>228273</v>
      </c>
      <c r="S2306" s="705">
        <v>84545</v>
      </c>
      <c r="T2306" s="705">
        <v>0</v>
      </c>
      <c r="U2306" s="705">
        <v>0</v>
      </c>
      <c r="V2306" s="705">
        <v>192314</v>
      </c>
      <c r="W2306" s="705">
        <f t="shared" si="92"/>
        <v>192314</v>
      </c>
      <c r="X2306" s="705">
        <f t="shared" si="93"/>
        <v>473342</v>
      </c>
    </row>
    <row r="2307" spans="2:24">
      <c r="B2307" t="s">
        <v>555</v>
      </c>
      <c r="C2307" t="s">
        <v>110</v>
      </c>
      <c r="D2307" t="s">
        <v>583</v>
      </c>
      <c r="E2307" t="s">
        <v>583</v>
      </c>
      <c r="F2307" s="705">
        <v>34</v>
      </c>
      <c r="G2307" s="705">
        <v>3733</v>
      </c>
      <c r="H2307" s="705">
        <v>3068</v>
      </c>
      <c r="I2307" s="705">
        <v>142000</v>
      </c>
      <c r="J2307" s="705">
        <v>129091</v>
      </c>
      <c r="K2307" s="705">
        <v>94</v>
      </c>
      <c r="L2307" s="705">
        <v>32753</v>
      </c>
      <c r="M2307" s="705">
        <v>29723</v>
      </c>
      <c r="N2307" s="705">
        <v>50273</v>
      </c>
      <c r="O2307" s="705">
        <v>18620</v>
      </c>
      <c r="P2307" s="705">
        <v>21114</v>
      </c>
      <c r="Q2307" s="705">
        <v>7820</v>
      </c>
      <c r="R2307" s="705">
        <v>91460</v>
      </c>
      <c r="S2307" s="705">
        <v>83146</v>
      </c>
      <c r="T2307" s="705">
        <v>0</v>
      </c>
      <c r="U2307" s="705">
        <v>0</v>
      </c>
      <c r="V2307" s="705">
        <v>268399</v>
      </c>
      <c r="W2307" s="705">
        <f t="shared" si="92"/>
        <v>268400</v>
      </c>
      <c r="X2307" s="705">
        <f t="shared" si="93"/>
        <v>337600</v>
      </c>
    </row>
    <row r="2308" spans="2:24">
      <c r="B2308" t="s">
        <v>555</v>
      </c>
      <c r="C2308" t="s">
        <v>110</v>
      </c>
      <c r="D2308" t="s">
        <v>584</v>
      </c>
      <c r="E2308" t="s">
        <v>584</v>
      </c>
      <c r="F2308" s="705">
        <v>12</v>
      </c>
      <c r="G2308" s="705">
        <v>1203</v>
      </c>
      <c r="H2308" s="705">
        <v>1059</v>
      </c>
      <c r="I2308" s="705">
        <v>54117</v>
      </c>
      <c r="J2308" s="705">
        <v>49197</v>
      </c>
      <c r="K2308" s="705">
        <v>90</v>
      </c>
      <c r="L2308" s="705">
        <v>2013</v>
      </c>
      <c r="M2308" s="705">
        <v>1830</v>
      </c>
      <c r="N2308" s="705">
        <v>16411</v>
      </c>
      <c r="O2308" s="705">
        <v>6078</v>
      </c>
      <c r="P2308" s="705">
        <v>5670</v>
      </c>
      <c r="Q2308" s="705">
        <v>2100</v>
      </c>
      <c r="R2308" s="705">
        <v>28564</v>
      </c>
      <c r="S2308" s="705">
        <v>25968</v>
      </c>
      <c r="T2308" s="705">
        <v>0</v>
      </c>
      <c r="U2308" s="705">
        <v>0</v>
      </c>
      <c r="V2308" s="705">
        <v>85173</v>
      </c>
      <c r="W2308" s="705">
        <f t="shared" si="92"/>
        <v>85173</v>
      </c>
      <c r="X2308" s="705">
        <f t="shared" si="93"/>
        <v>106775</v>
      </c>
    </row>
    <row r="2309" spans="2:24">
      <c r="B2309" t="s">
        <v>555</v>
      </c>
      <c r="C2309" t="s">
        <v>110</v>
      </c>
      <c r="D2309" t="s">
        <v>585</v>
      </c>
      <c r="E2309" t="s">
        <v>585</v>
      </c>
      <c r="F2309" s="705">
        <v>6</v>
      </c>
      <c r="G2309" s="705">
        <v>488</v>
      </c>
      <c r="H2309" s="705">
        <v>562</v>
      </c>
      <c r="I2309" s="705">
        <v>23263</v>
      </c>
      <c r="J2309" s="705">
        <v>21148</v>
      </c>
      <c r="K2309" s="705">
        <v>84</v>
      </c>
      <c r="L2309" s="705">
        <v>0</v>
      </c>
      <c r="M2309" s="705">
        <v>0</v>
      </c>
      <c r="N2309" s="705">
        <v>5940</v>
      </c>
      <c r="O2309" s="705">
        <v>2200</v>
      </c>
      <c r="P2309" s="705">
        <v>2106</v>
      </c>
      <c r="Q2309" s="705">
        <v>780</v>
      </c>
      <c r="R2309" s="705">
        <v>10337</v>
      </c>
      <c r="S2309" s="705">
        <v>9397</v>
      </c>
      <c r="T2309" s="705">
        <v>4004</v>
      </c>
      <c r="U2309" s="705">
        <v>1483</v>
      </c>
      <c r="V2309" s="705">
        <v>35008</v>
      </c>
      <c r="W2309" s="705">
        <f t="shared" si="92"/>
        <v>35008</v>
      </c>
      <c r="X2309" s="705">
        <f t="shared" si="93"/>
        <v>45650</v>
      </c>
    </row>
    <row r="2310" spans="2:24">
      <c r="B2310" t="s">
        <v>555</v>
      </c>
      <c r="C2310" t="s">
        <v>112</v>
      </c>
      <c r="F2310" s="705">
        <v>2</v>
      </c>
      <c r="G2310" s="705">
        <v>417</v>
      </c>
      <c r="H2310" s="705">
        <v>225</v>
      </c>
      <c r="I2310" s="705"/>
      <c r="J2310" s="705">
        <v>0</v>
      </c>
      <c r="K2310" s="705"/>
      <c r="L2310" s="705"/>
      <c r="M2310" s="705">
        <v>0</v>
      </c>
      <c r="N2310" s="705">
        <v>6824</v>
      </c>
      <c r="O2310" s="705">
        <v>2527</v>
      </c>
      <c r="P2310" s="705">
        <v>1053</v>
      </c>
      <c r="Q2310" s="705">
        <v>390</v>
      </c>
      <c r="R2310" s="705"/>
      <c r="S2310" s="705">
        <v>0</v>
      </c>
      <c r="T2310" s="705">
        <v>0</v>
      </c>
      <c r="U2310" s="705">
        <v>0</v>
      </c>
      <c r="V2310" s="705">
        <v>2917</v>
      </c>
      <c r="W2310" s="705">
        <f t="shared" si="92"/>
        <v>2917</v>
      </c>
      <c r="X2310" s="705">
        <f t="shared" si="93"/>
        <v>7877</v>
      </c>
    </row>
    <row r="2311" spans="2:24">
      <c r="B2311" t="s">
        <v>555</v>
      </c>
      <c r="C2311" t="s">
        <v>112</v>
      </c>
      <c r="D2311" t="s">
        <v>228</v>
      </c>
      <c r="E2311" t="s">
        <v>228</v>
      </c>
      <c r="F2311" s="705">
        <v>55</v>
      </c>
      <c r="G2311" s="705">
        <v>4821</v>
      </c>
      <c r="H2311" s="705">
        <v>6332</v>
      </c>
      <c r="I2311" s="705">
        <v>235461</v>
      </c>
      <c r="J2311" s="705">
        <v>87208</v>
      </c>
      <c r="K2311" s="705">
        <v>277</v>
      </c>
      <c r="L2311" s="705">
        <v>46945</v>
      </c>
      <c r="M2311" s="705">
        <v>40957</v>
      </c>
      <c r="N2311" s="705">
        <v>86724</v>
      </c>
      <c r="O2311" s="705">
        <v>32120</v>
      </c>
      <c r="P2311" s="705">
        <v>20248</v>
      </c>
      <c r="Q2311" s="705">
        <v>7499</v>
      </c>
      <c r="R2311" s="705">
        <v>166331</v>
      </c>
      <c r="S2311" s="705">
        <v>61604</v>
      </c>
      <c r="T2311" s="705">
        <v>0</v>
      </c>
      <c r="U2311" s="705">
        <v>0</v>
      </c>
      <c r="V2311" s="705">
        <v>229388</v>
      </c>
      <c r="W2311" s="705">
        <f t="shared" si="92"/>
        <v>229388</v>
      </c>
      <c r="X2311" s="705">
        <f t="shared" si="93"/>
        <v>555709</v>
      </c>
    </row>
    <row r="2312" spans="2:24">
      <c r="B2312" t="s">
        <v>555</v>
      </c>
      <c r="C2312" t="s">
        <v>112</v>
      </c>
      <c r="D2312" t="s">
        <v>228</v>
      </c>
      <c r="E2312" t="s">
        <v>665</v>
      </c>
      <c r="F2312" s="705">
        <v>1</v>
      </c>
      <c r="G2312" s="705">
        <v>87</v>
      </c>
      <c r="H2312" s="705">
        <v>115</v>
      </c>
      <c r="I2312" s="705">
        <v>5756</v>
      </c>
      <c r="J2312" s="705">
        <v>2132</v>
      </c>
      <c r="K2312" s="705">
        <v>258</v>
      </c>
      <c r="L2312" s="705">
        <v>1121</v>
      </c>
      <c r="M2312" s="705">
        <v>1019</v>
      </c>
      <c r="N2312" s="705">
        <v>1586</v>
      </c>
      <c r="O2312" s="705">
        <v>587</v>
      </c>
      <c r="P2312" s="705">
        <v>351</v>
      </c>
      <c r="Q2312" s="705">
        <v>130</v>
      </c>
      <c r="R2312" s="705">
        <v>1158</v>
      </c>
      <c r="S2312" s="705">
        <v>1053</v>
      </c>
      <c r="T2312" s="705">
        <v>0</v>
      </c>
      <c r="U2312" s="705">
        <v>0</v>
      </c>
      <c r="V2312" s="705">
        <v>4921</v>
      </c>
      <c r="W2312" s="705">
        <f t="shared" si="92"/>
        <v>4921</v>
      </c>
      <c r="X2312" s="705">
        <f t="shared" si="93"/>
        <v>9972</v>
      </c>
    </row>
    <row r="2313" spans="2:24">
      <c r="B2313" t="s">
        <v>555</v>
      </c>
      <c r="C2313" t="s">
        <v>112</v>
      </c>
      <c r="D2313" t="s">
        <v>583</v>
      </c>
      <c r="E2313" t="s">
        <v>583</v>
      </c>
      <c r="F2313" s="705">
        <v>90</v>
      </c>
      <c r="G2313" s="705">
        <v>9643</v>
      </c>
      <c r="H2313" s="705">
        <v>10609</v>
      </c>
      <c r="I2313" s="705">
        <v>479385</v>
      </c>
      <c r="J2313" s="705">
        <v>435805</v>
      </c>
      <c r="K2313" s="705">
        <v>92</v>
      </c>
      <c r="L2313" s="705">
        <v>81703</v>
      </c>
      <c r="M2313" s="705">
        <v>72124</v>
      </c>
      <c r="N2313" s="705">
        <v>172255</v>
      </c>
      <c r="O2313" s="705">
        <v>63798</v>
      </c>
      <c r="P2313" s="705">
        <v>55890</v>
      </c>
      <c r="Q2313" s="705">
        <v>20700</v>
      </c>
      <c r="R2313" s="705">
        <v>336791</v>
      </c>
      <c r="S2313" s="705">
        <v>306174</v>
      </c>
      <c r="T2313" s="705">
        <v>14943</v>
      </c>
      <c r="U2313" s="705">
        <v>5534</v>
      </c>
      <c r="V2313" s="705">
        <v>904135</v>
      </c>
      <c r="W2313" s="705">
        <f t="shared" si="92"/>
        <v>904135</v>
      </c>
      <c r="X2313" s="705">
        <f t="shared" si="93"/>
        <v>1140967</v>
      </c>
    </row>
    <row r="2314" spans="2:24">
      <c r="B2314" t="s">
        <v>555</v>
      </c>
      <c r="C2314" t="s">
        <v>112</v>
      </c>
      <c r="D2314" t="s">
        <v>584</v>
      </c>
      <c r="E2314" t="s">
        <v>228</v>
      </c>
      <c r="F2314" s="705">
        <v>1</v>
      </c>
      <c r="G2314" s="705">
        <v>125</v>
      </c>
      <c r="H2314" s="705">
        <v>102</v>
      </c>
      <c r="I2314" s="705">
        <v>9145</v>
      </c>
      <c r="J2314" s="705">
        <v>8313</v>
      </c>
      <c r="K2314" s="705">
        <v>91</v>
      </c>
      <c r="L2314" s="705">
        <v>0</v>
      </c>
      <c r="M2314" s="705">
        <v>0</v>
      </c>
      <c r="N2314" s="705">
        <v>1523</v>
      </c>
      <c r="O2314" s="705">
        <v>564</v>
      </c>
      <c r="P2314" s="705">
        <v>473</v>
      </c>
      <c r="Q2314" s="705">
        <v>175</v>
      </c>
      <c r="R2314" s="705">
        <v>1635</v>
      </c>
      <c r="S2314" s="705">
        <v>606</v>
      </c>
      <c r="T2314" s="705">
        <v>0</v>
      </c>
      <c r="U2314" s="705">
        <v>0</v>
      </c>
      <c r="V2314" s="705">
        <v>9658</v>
      </c>
      <c r="W2314" s="705">
        <f t="shared" si="92"/>
        <v>9658</v>
      </c>
      <c r="X2314" s="705">
        <f t="shared" si="93"/>
        <v>12776</v>
      </c>
    </row>
    <row r="2315" spans="2:24">
      <c r="B2315" t="s">
        <v>555</v>
      </c>
      <c r="C2315" t="s">
        <v>112</v>
      </c>
      <c r="D2315" t="s">
        <v>584</v>
      </c>
      <c r="E2315" t="s">
        <v>584</v>
      </c>
      <c r="F2315" s="705">
        <v>19</v>
      </c>
      <c r="G2315" s="705">
        <v>2253</v>
      </c>
      <c r="H2315" s="705">
        <v>2225</v>
      </c>
      <c r="I2315" s="705">
        <v>126103</v>
      </c>
      <c r="J2315" s="705">
        <v>114640</v>
      </c>
      <c r="K2315" s="705">
        <v>89</v>
      </c>
      <c r="L2315" s="705">
        <v>19670</v>
      </c>
      <c r="M2315" s="705">
        <v>17455</v>
      </c>
      <c r="N2315" s="705">
        <v>35207</v>
      </c>
      <c r="O2315" s="705">
        <v>13040</v>
      </c>
      <c r="P2315" s="705">
        <v>8978</v>
      </c>
      <c r="Q2315" s="705">
        <v>3325</v>
      </c>
      <c r="R2315" s="705">
        <v>74243</v>
      </c>
      <c r="S2315" s="705">
        <v>67493</v>
      </c>
      <c r="T2315" s="705">
        <v>4690</v>
      </c>
      <c r="U2315" s="705">
        <v>1737</v>
      </c>
      <c r="V2315" s="705">
        <v>217689</v>
      </c>
      <c r="W2315" s="705">
        <f t="shared" si="92"/>
        <v>217690</v>
      </c>
      <c r="X2315" s="705">
        <f t="shared" si="93"/>
        <v>268891</v>
      </c>
    </row>
    <row r="2316" spans="2:24">
      <c r="B2316" t="s">
        <v>555</v>
      </c>
      <c r="C2316" t="s">
        <v>112</v>
      </c>
      <c r="D2316" t="s">
        <v>585</v>
      </c>
      <c r="E2316" t="s">
        <v>585</v>
      </c>
      <c r="F2316" s="705">
        <v>4</v>
      </c>
      <c r="G2316" s="705">
        <v>331</v>
      </c>
      <c r="H2316" s="705">
        <v>431</v>
      </c>
      <c r="I2316" s="705">
        <v>20503</v>
      </c>
      <c r="J2316" s="705">
        <v>18639</v>
      </c>
      <c r="K2316" s="705">
        <v>84</v>
      </c>
      <c r="L2316" s="705">
        <v>0</v>
      </c>
      <c r="M2316" s="705">
        <v>0</v>
      </c>
      <c r="N2316" s="705">
        <v>4030</v>
      </c>
      <c r="O2316" s="705">
        <v>1493</v>
      </c>
      <c r="P2316" s="705">
        <v>1404</v>
      </c>
      <c r="Q2316" s="705">
        <v>520</v>
      </c>
      <c r="R2316" s="705">
        <v>6966</v>
      </c>
      <c r="S2316" s="705">
        <v>6333</v>
      </c>
      <c r="T2316" s="705">
        <v>2745</v>
      </c>
      <c r="U2316" s="705">
        <v>1017</v>
      </c>
      <c r="V2316" s="705">
        <v>28001</v>
      </c>
      <c r="W2316" s="705">
        <f t="shared" si="92"/>
        <v>28002</v>
      </c>
      <c r="X2316" s="705">
        <f t="shared" si="93"/>
        <v>35648</v>
      </c>
    </row>
    <row r="2317" spans="2:24">
      <c r="B2317" t="s">
        <v>555</v>
      </c>
      <c r="C2317" t="s">
        <v>114</v>
      </c>
      <c r="F2317" s="705">
        <v>1</v>
      </c>
      <c r="G2317" s="705">
        <v>74</v>
      </c>
      <c r="H2317" s="705">
        <v>128</v>
      </c>
      <c r="I2317" s="705"/>
      <c r="J2317" s="705">
        <v>0</v>
      </c>
      <c r="K2317" s="705"/>
      <c r="L2317" s="705"/>
      <c r="M2317" s="705">
        <v>0</v>
      </c>
      <c r="N2317" s="705">
        <v>1352</v>
      </c>
      <c r="O2317" s="705">
        <v>501</v>
      </c>
      <c r="P2317" s="705">
        <v>473</v>
      </c>
      <c r="Q2317" s="705">
        <v>175</v>
      </c>
      <c r="R2317" s="705"/>
      <c r="S2317" s="705">
        <v>0</v>
      </c>
      <c r="T2317" s="705">
        <v>0</v>
      </c>
      <c r="U2317" s="705">
        <v>0</v>
      </c>
      <c r="V2317" s="705">
        <v>676</v>
      </c>
      <c r="W2317" s="705">
        <f t="shared" si="92"/>
        <v>676</v>
      </c>
      <c r="X2317" s="705">
        <f t="shared" si="93"/>
        <v>1825</v>
      </c>
    </row>
    <row r="2318" spans="2:24">
      <c r="B2318" t="s">
        <v>555</v>
      </c>
      <c r="C2318" t="s">
        <v>114</v>
      </c>
      <c r="D2318" t="s">
        <v>582</v>
      </c>
      <c r="E2318" t="s">
        <v>582</v>
      </c>
      <c r="F2318" s="705">
        <v>4</v>
      </c>
      <c r="G2318" s="705">
        <v>409</v>
      </c>
      <c r="H2318" s="705">
        <v>555</v>
      </c>
      <c r="I2318" s="705">
        <v>25010</v>
      </c>
      <c r="J2318" s="705">
        <v>22736</v>
      </c>
      <c r="K2318" s="705">
        <v>85</v>
      </c>
      <c r="L2318" s="705">
        <v>6649</v>
      </c>
      <c r="M2318" s="705">
        <v>6044</v>
      </c>
      <c r="N2318" s="705">
        <v>6128</v>
      </c>
      <c r="O2318" s="705">
        <v>2270</v>
      </c>
      <c r="P2318" s="705">
        <v>1890</v>
      </c>
      <c r="Q2318" s="705">
        <v>700</v>
      </c>
      <c r="R2318" s="705">
        <v>16880</v>
      </c>
      <c r="S2318" s="705">
        <v>15345</v>
      </c>
      <c r="T2318" s="705">
        <v>0</v>
      </c>
      <c r="U2318" s="705">
        <v>0</v>
      </c>
      <c r="V2318" s="705">
        <v>47096</v>
      </c>
      <c r="W2318" s="705">
        <f t="shared" si="92"/>
        <v>47095</v>
      </c>
      <c r="X2318" s="705">
        <f t="shared" si="93"/>
        <v>56557</v>
      </c>
    </row>
    <row r="2319" spans="2:24">
      <c r="B2319" t="s">
        <v>555</v>
      </c>
      <c r="C2319" t="s">
        <v>114</v>
      </c>
      <c r="D2319" t="s">
        <v>228</v>
      </c>
      <c r="E2319" t="s">
        <v>228</v>
      </c>
      <c r="F2319" s="705">
        <v>29</v>
      </c>
      <c r="G2319" s="705">
        <v>3354</v>
      </c>
      <c r="H2319" s="705">
        <v>3915</v>
      </c>
      <c r="I2319" s="705">
        <v>215917</v>
      </c>
      <c r="J2319" s="705">
        <v>79969</v>
      </c>
      <c r="K2319" s="705">
        <v>200</v>
      </c>
      <c r="L2319" s="705">
        <v>33475</v>
      </c>
      <c r="M2319" s="705">
        <v>22684</v>
      </c>
      <c r="N2319" s="705">
        <v>50698</v>
      </c>
      <c r="O2319" s="705">
        <v>18777</v>
      </c>
      <c r="P2319" s="705">
        <v>7020</v>
      </c>
      <c r="Q2319" s="705">
        <v>2600</v>
      </c>
      <c r="R2319" s="705">
        <v>149601</v>
      </c>
      <c r="S2319" s="705">
        <v>55408</v>
      </c>
      <c r="T2319" s="705">
        <v>0</v>
      </c>
      <c r="U2319" s="705">
        <v>0</v>
      </c>
      <c r="V2319" s="705">
        <v>179438</v>
      </c>
      <c r="W2319" s="705">
        <f t="shared" si="92"/>
        <v>179438</v>
      </c>
      <c r="X2319" s="705">
        <f t="shared" si="93"/>
        <v>456711</v>
      </c>
    </row>
    <row r="2320" spans="2:24">
      <c r="B2320" t="s">
        <v>555</v>
      </c>
      <c r="C2320" t="s">
        <v>114</v>
      </c>
      <c r="D2320" t="s">
        <v>583</v>
      </c>
      <c r="E2320" t="s">
        <v>228</v>
      </c>
      <c r="F2320" s="705">
        <v>2</v>
      </c>
      <c r="G2320" s="705">
        <v>267</v>
      </c>
      <c r="H2320" s="705">
        <v>270</v>
      </c>
      <c r="I2320" s="705">
        <v>19123</v>
      </c>
      <c r="J2320" s="705">
        <v>17384</v>
      </c>
      <c r="K2320" s="705">
        <v>93</v>
      </c>
      <c r="L2320" s="705">
        <v>5270</v>
      </c>
      <c r="M2320" s="705">
        <v>4791</v>
      </c>
      <c r="N2320" s="705">
        <v>4649</v>
      </c>
      <c r="O2320" s="705">
        <v>1722</v>
      </c>
      <c r="P2320" s="705">
        <v>1242</v>
      </c>
      <c r="Q2320" s="705">
        <v>460</v>
      </c>
      <c r="R2320" s="705">
        <v>5497</v>
      </c>
      <c r="S2320" s="705">
        <v>2036</v>
      </c>
      <c r="T2320" s="705">
        <v>0</v>
      </c>
      <c r="U2320" s="705">
        <v>0</v>
      </c>
      <c r="V2320" s="705">
        <v>26393</v>
      </c>
      <c r="W2320" s="705">
        <f t="shared" si="92"/>
        <v>26393</v>
      </c>
      <c r="X2320" s="705">
        <f t="shared" si="93"/>
        <v>35781</v>
      </c>
    </row>
    <row r="2321" spans="2:24">
      <c r="B2321" t="s">
        <v>555</v>
      </c>
      <c r="C2321" t="s">
        <v>114</v>
      </c>
      <c r="D2321" t="s">
        <v>583</v>
      </c>
      <c r="E2321" t="s">
        <v>583</v>
      </c>
      <c r="F2321" s="705">
        <v>370</v>
      </c>
      <c r="G2321" s="705">
        <v>37992</v>
      </c>
      <c r="H2321" s="705">
        <v>51785</v>
      </c>
      <c r="I2321" s="705">
        <v>2362490</v>
      </c>
      <c r="J2321" s="705">
        <v>2147718</v>
      </c>
      <c r="K2321" s="705">
        <v>91</v>
      </c>
      <c r="L2321" s="705">
        <v>518593</v>
      </c>
      <c r="M2321" s="705">
        <v>465240</v>
      </c>
      <c r="N2321" s="705">
        <v>692351</v>
      </c>
      <c r="O2321" s="705">
        <v>256426</v>
      </c>
      <c r="P2321" s="705">
        <v>228569</v>
      </c>
      <c r="Q2321" s="705">
        <v>84655</v>
      </c>
      <c r="R2321" s="705">
        <v>1419928</v>
      </c>
      <c r="S2321" s="705">
        <v>1290843</v>
      </c>
      <c r="T2321" s="705">
        <v>143963</v>
      </c>
      <c r="U2321" s="705">
        <v>53320</v>
      </c>
      <c r="V2321" s="705">
        <v>4298202</v>
      </c>
      <c r="W2321" s="705">
        <f t="shared" si="92"/>
        <v>4298202</v>
      </c>
      <c r="X2321" s="705">
        <f t="shared" si="93"/>
        <v>5365894</v>
      </c>
    </row>
    <row r="2322" spans="2:24">
      <c r="B2322" t="s">
        <v>555</v>
      </c>
      <c r="C2322" t="s">
        <v>114</v>
      </c>
      <c r="D2322" t="s">
        <v>584</v>
      </c>
      <c r="E2322" t="s">
        <v>228</v>
      </c>
      <c r="F2322" s="705">
        <v>1</v>
      </c>
      <c r="G2322" s="705">
        <v>106</v>
      </c>
      <c r="H2322" s="705">
        <v>140</v>
      </c>
      <c r="I2322" s="705">
        <v>7321</v>
      </c>
      <c r="J2322" s="705">
        <v>6656</v>
      </c>
      <c r="K2322" s="705">
        <v>87</v>
      </c>
      <c r="L2322" s="705">
        <v>2251</v>
      </c>
      <c r="M2322" s="705">
        <v>2046</v>
      </c>
      <c r="N2322" s="705">
        <v>1346</v>
      </c>
      <c r="O2322" s="705">
        <v>499</v>
      </c>
      <c r="P2322" s="705">
        <v>473</v>
      </c>
      <c r="Q2322" s="705">
        <v>175</v>
      </c>
      <c r="R2322" s="705">
        <v>3476</v>
      </c>
      <c r="S2322" s="705">
        <v>1288</v>
      </c>
      <c r="T2322" s="705">
        <v>0</v>
      </c>
      <c r="U2322" s="705">
        <v>0</v>
      </c>
      <c r="V2322" s="705">
        <v>10663</v>
      </c>
      <c r="W2322" s="705">
        <f t="shared" si="92"/>
        <v>10664</v>
      </c>
      <c r="X2322" s="705">
        <f t="shared" si="93"/>
        <v>14867</v>
      </c>
    </row>
    <row r="2323" spans="2:24">
      <c r="B2323" t="s">
        <v>555</v>
      </c>
      <c r="C2323" t="s">
        <v>114</v>
      </c>
      <c r="D2323" t="s">
        <v>584</v>
      </c>
      <c r="E2323" t="s">
        <v>584</v>
      </c>
      <c r="F2323" s="705">
        <v>230</v>
      </c>
      <c r="G2323" s="705">
        <v>24389</v>
      </c>
      <c r="H2323" s="705">
        <v>32634</v>
      </c>
      <c r="I2323" s="705">
        <v>1576199</v>
      </c>
      <c r="J2323" s="705">
        <v>1432908</v>
      </c>
      <c r="K2323" s="705">
        <v>88</v>
      </c>
      <c r="L2323" s="705">
        <v>351053</v>
      </c>
      <c r="M2323" s="705">
        <v>306996</v>
      </c>
      <c r="N2323" s="705">
        <v>444101</v>
      </c>
      <c r="O2323" s="705">
        <v>164482</v>
      </c>
      <c r="P2323" s="705">
        <v>119907</v>
      </c>
      <c r="Q2323" s="705">
        <v>44410</v>
      </c>
      <c r="R2323" s="705">
        <v>973181</v>
      </c>
      <c r="S2323" s="705">
        <v>884710</v>
      </c>
      <c r="T2323" s="705">
        <v>22457</v>
      </c>
      <c r="U2323" s="705">
        <v>8317</v>
      </c>
      <c r="V2323" s="705">
        <v>2841823</v>
      </c>
      <c r="W2323" s="705">
        <f t="shared" si="92"/>
        <v>2841823</v>
      </c>
      <c r="X2323" s="705">
        <f t="shared" si="93"/>
        <v>3486898</v>
      </c>
    </row>
    <row r="2324" spans="2:24">
      <c r="B2324" t="s">
        <v>555</v>
      </c>
      <c r="C2324" t="s">
        <v>114</v>
      </c>
      <c r="D2324" t="s">
        <v>665</v>
      </c>
      <c r="E2324" t="s">
        <v>665</v>
      </c>
      <c r="F2324" s="705">
        <v>1</v>
      </c>
      <c r="G2324" s="705">
        <v>51</v>
      </c>
      <c r="H2324" s="705">
        <v>148</v>
      </c>
      <c r="I2324" s="705">
        <v>3651</v>
      </c>
      <c r="J2324" s="705">
        <v>3319</v>
      </c>
      <c r="K2324" s="705">
        <v>65</v>
      </c>
      <c r="L2324" s="705">
        <v>615</v>
      </c>
      <c r="M2324" s="705">
        <v>228</v>
      </c>
      <c r="N2324" s="705">
        <v>627</v>
      </c>
      <c r="O2324" s="705">
        <v>232</v>
      </c>
      <c r="P2324" s="705">
        <v>621</v>
      </c>
      <c r="Q2324" s="705">
        <v>230</v>
      </c>
      <c r="R2324" s="705">
        <v>2092</v>
      </c>
      <c r="S2324" s="705">
        <v>1901</v>
      </c>
      <c r="T2324" s="705">
        <v>0</v>
      </c>
      <c r="U2324" s="705">
        <v>0</v>
      </c>
      <c r="V2324" s="705">
        <v>5911</v>
      </c>
      <c r="W2324" s="705">
        <f t="shared" si="92"/>
        <v>5910</v>
      </c>
      <c r="X2324" s="705">
        <f t="shared" si="93"/>
        <v>7606</v>
      </c>
    </row>
    <row r="2325" spans="2:24">
      <c r="B2325" t="s">
        <v>555</v>
      </c>
      <c r="C2325" t="s">
        <v>116</v>
      </c>
      <c r="F2325" s="705">
        <v>10</v>
      </c>
      <c r="G2325" s="705">
        <v>836</v>
      </c>
      <c r="H2325" s="705">
        <v>2032</v>
      </c>
      <c r="I2325" s="705"/>
      <c r="J2325" s="705">
        <v>0</v>
      </c>
      <c r="K2325" s="705"/>
      <c r="L2325" s="705"/>
      <c r="M2325" s="705">
        <v>0</v>
      </c>
      <c r="N2325" s="705">
        <v>14575</v>
      </c>
      <c r="O2325" s="705">
        <v>5398</v>
      </c>
      <c r="P2325" s="705">
        <v>1769</v>
      </c>
      <c r="Q2325" s="705">
        <v>655</v>
      </c>
      <c r="R2325" s="705"/>
      <c r="S2325" s="705">
        <v>0</v>
      </c>
      <c r="T2325" s="705">
        <v>3668</v>
      </c>
      <c r="U2325" s="705">
        <v>1358</v>
      </c>
      <c r="V2325" s="705">
        <v>7411</v>
      </c>
      <c r="W2325" s="705">
        <f t="shared" si="92"/>
        <v>7411</v>
      </c>
      <c r="X2325" s="705">
        <f t="shared" si="93"/>
        <v>20012</v>
      </c>
    </row>
    <row r="2326" spans="2:24">
      <c r="B2326" t="s">
        <v>555</v>
      </c>
      <c r="C2326" t="s">
        <v>116</v>
      </c>
      <c r="D2326" t="s">
        <v>664</v>
      </c>
      <c r="E2326" t="s">
        <v>664</v>
      </c>
      <c r="F2326" s="705">
        <v>4</v>
      </c>
      <c r="G2326" s="705">
        <v>387</v>
      </c>
      <c r="H2326" s="705">
        <v>743</v>
      </c>
      <c r="I2326" s="705">
        <v>34181</v>
      </c>
      <c r="J2326" s="705">
        <v>31073</v>
      </c>
      <c r="K2326" s="705">
        <v>81</v>
      </c>
      <c r="L2326" s="705">
        <v>7396</v>
      </c>
      <c r="M2326" s="705">
        <v>6724</v>
      </c>
      <c r="N2326" s="705">
        <v>7117</v>
      </c>
      <c r="O2326" s="705">
        <v>2636</v>
      </c>
      <c r="P2326" s="705">
        <v>1890</v>
      </c>
      <c r="Q2326" s="705">
        <v>700</v>
      </c>
      <c r="R2326" s="705">
        <v>16682</v>
      </c>
      <c r="S2326" s="705">
        <v>15165</v>
      </c>
      <c r="T2326" s="705">
        <v>2316</v>
      </c>
      <c r="U2326" s="705">
        <v>858</v>
      </c>
      <c r="V2326" s="705">
        <v>57156</v>
      </c>
      <c r="W2326" s="705">
        <f t="shared" si="92"/>
        <v>57156</v>
      </c>
      <c r="X2326" s="705">
        <f t="shared" si="93"/>
        <v>69582</v>
      </c>
    </row>
    <row r="2327" spans="2:24">
      <c r="B2327" t="s">
        <v>555</v>
      </c>
      <c r="C2327" t="s">
        <v>116</v>
      </c>
      <c r="D2327" t="s">
        <v>582</v>
      </c>
      <c r="E2327" t="s">
        <v>582</v>
      </c>
      <c r="F2327" s="705">
        <v>76</v>
      </c>
      <c r="G2327" s="705">
        <v>7827</v>
      </c>
      <c r="H2327" s="705">
        <v>13809</v>
      </c>
      <c r="I2327" s="705">
        <v>638919</v>
      </c>
      <c r="J2327" s="705">
        <v>580835</v>
      </c>
      <c r="K2327" s="705">
        <v>77</v>
      </c>
      <c r="L2327" s="705">
        <v>156674</v>
      </c>
      <c r="M2327" s="705">
        <v>134021</v>
      </c>
      <c r="N2327" s="705">
        <v>157566</v>
      </c>
      <c r="O2327" s="705">
        <v>58358</v>
      </c>
      <c r="P2327" s="705">
        <v>35573</v>
      </c>
      <c r="Q2327" s="705">
        <v>13175</v>
      </c>
      <c r="R2327" s="705">
        <v>396651</v>
      </c>
      <c r="S2327" s="705">
        <v>360592</v>
      </c>
      <c r="T2327" s="705">
        <v>21524</v>
      </c>
      <c r="U2327" s="705">
        <v>7972</v>
      </c>
      <c r="V2327" s="705">
        <v>1154952</v>
      </c>
      <c r="W2327" s="705">
        <f t="shared" si="92"/>
        <v>1154953</v>
      </c>
      <c r="X2327" s="705">
        <f t="shared" si="93"/>
        <v>1406907</v>
      </c>
    </row>
    <row r="2328" spans="2:24">
      <c r="B2328" t="s">
        <v>555</v>
      </c>
      <c r="C2328" t="s">
        <v>116</v>
      </c>
      <c r="D2328" t="s">
        <v>228</v>
      </c>
      <c r="E2328" t="s">
        <v>228</v>
      </c>
      <c r="F2328" s="705">
        <v>51</v>
      </c>
      <c r="G2328" s="705">
        <v>5656</v>
      </c>
      <c r="H2328" s="705">
        <v>10039</v>
      </c>
      <c r="I2328" s="705">
        <v>545658</v>
      </c>
      <c r="J2328" s="705">
        <v>202096</v>
      </c>
      <c r="K2328" s="705">
        <v>104</v>
      </c>
      <c r="L2328" s="705">
        <v>69814</v>
      </c>
      <c r="M2328" s="705">
        <v>38878</v>
      </c>
      <c r="N2328" s="705">
        <v>102191</v>
      </c>
      <c r="O2328" s="705">
        <v>37849</v>
      </c>
      <c r="P2328" s="705">
        <v>2528</v>
      </c>
      <c r="Q2328" s="705">
        <v>936</v>
      </c>
      <c r="R2328" s="705">
        <v>386578</v>
      </c>
      <c r="S2328" s="705">
        <v>143177</v>
      </c>
      <c r="T2328" s="705">
        <v>0</v>
      </c>
      <c r="U2328" s="705">
        <v>0</v>
      </c>
      <c r="V2328" s="705">
        <v>422935</v>
      </c>
      <c r="W2328" s="705">
        <f t="shared" si="92"/>
        <v>422936</v>
      </c>
      <c r="X2328" s="705">
        <f t="shared" si="93"/>
        <v>1106769</v>
      </c>
    </row>
    <row r="2329" spans="2:24">
      <c r="B2329" t="s">
        <v>555</v>
      </c>
      <c r="C2329" t="s">
        <v>116</v>
      </c>
      <c r="D2329" t="s">
        <v>228</v>
      </c>
      <c r="E2329" t="s">
        <v>665</v>
      </c>
      <c r="F2329" s="705">
        <v>1</v>
      </c>
      <c r="G2329" s="705">
        <v>77</v>
      </c>
      <c r="H2329" s="705">
        <v>223</v>
      </c>
      <c r="I2329" s="705">
        <v>8989</v>
      </c>
      <c r="J2329" s="705">
        <v>3329</v>
      </c>
      <c r="K2329" s="705">
        <v>100</v>
      </c>
      <c r="L2329" s="705">
        <v>3329</v>
      </c>
      <c r="M2329" s="705">
        <v>1233</v>
      </c>
      <c r="N2329" s="705">
        <v>937</v>
      </c>
      <c r="O2329" s="705">
        <v>347</v>
      </c>
      <c r="P2329" s="705">
        <v>0</v>
      </c>
      <c r="Q2329" s="705">
        <v>0</v>
      </c>
      <c r="R2329" s="705">
        <v>3854</v>
      </c>
      <c r="S2329" s="705">
        <v>3503</v>
      </c>
      <c r="T2329" s="705">
        <v>0</v>
      </c>
      <c r="U2329" s="705">
        <v>0</v>
      </c>
      <c r="V2329" s="705">
        <v>8413</v>
      </c>
      <c r="W2329" s="705">
        <f t="shared" si="92"/>
        <v>8412</v>
      </c>
      <c r="X2329" s="705">
        <f t="shared" si="93"/>
        <v>17109</v>
      </c>
    </row>
    <row r="2330" spans="2:24">
      <c r="B2330" t="s">
        <v>555</v>
      </c>
      <c r="C2330" t="s">
        <v>116</v>
      </c>
      <c r="D2330" t="s">
        <v>583</v>
      </c>
      <c r="E2330" t="s">
        <v>674</v>
      </c>
      <c r="F2330" s="705">
        <v>1</v>
      </c>
      <c r="G2330" s="705">
        <v>135</v>
      </c>
      <c r="H2330" s="705">
        <v>172</v>
      </c>
      <c r="I2330" s="705">
        <v>10886</v>
      </c>
      <c r="J2330" s="705">
        <v>9897</v>
      </c>
      <c r="K2330" s="705">
        <v>85</v>
      </c>
      <c r="L2330" s="705">
        <v>3254</v>
      </c>
      <c r="M2330" s="705">
        <v>2958</v>
      </c>
      <c r="N2330" s="705">
        <v>3285</v>
      </c>
      <c r="O2330" s="705">
        <v>1217</v>
      </c>
      <c r="P2330" s="705">
        <v>621</v>
      </c>
      <c r="Q2330" s="705">
        <v>230</v>
      </c>
      <c r="R2330" s="705">
        <v>5187</v>
      </c>
      <c r="S2330" s="705">
        <v>4716</v>
      </c>
      <c r="T2330" s="705">
        <v>0</v>
      </c>
      <c r="U2330" s="705">
        <v>0</v>
      </c>
      <c r="V2330" s="705">
        <v>19018</v>
      </c>
      <c r="W2330" s="705">
        <f t="shared" si="92"/>
        <v>19018</v>
      </c>
      <c r="X2330" s="705">
        <f t="shared" si="93"/>
        <v>23233</v>
      </c>
    </row>
    <row r="2331" spans="2:24">
      <c r="B2331" t="s">
        <v>555</v>
      </c>
      <c r="C2331" t="s">
        <v>116</v>
      </c>
      <c r="D2331" t="s">
        <v>583</v>
      </c>
      <c r="E2331" t="s">
        <v>582</v>
      </c>
      <c r="F2331" s="705">
        <v>1</v>
      </c>
      <c r="G2331" s="705">
        <v>73</v>
      </c>
      <c r="H2331" s="705">
        <v>221</v>
      </c>
      <c r="I2331" s="705">
        <v>10786</v>
      </c>
      <c r="J2331" s="705">
        <v>9805</v>
      </c>
      <c r="K2331" s="705">
        <v>92</v>
      </c>
      <c r="L2331" s="705">
        <v>3499</v>
      </c>
      <c r="M2331" s="705">
        <v>3181</v>
      </c>
      <c r="N2331" s="705">
        <v>1177</v>
      </c>
      <c r="O2331" s="705">
        <v>436</v>
      </c>
      <c r="P2331" s="705">
        <v>972</v>
      </c>
      <c r="Q2331" s="705">
        <v>360</v>
      </c>
      <c r="R2331" s="705">
        <v>4892</v>
      </c>
      <c r="S2331" s="705">
        <v>4447</v>
      </c>
      <c r="T2331" s="705">
        <v>0</v>
      </c>
      <c r="U2331" s="705">
        <v>0</v>
      </c>
      <c r="V2331" s="705">
        <v>18230</v>
      </c>
      <c r="W2331" s="705">
        <f t="shared" si="92"/>
        <v>18229</v>
      </c>
      <c r="X2331" s="705">
        <f t="shared" si="93"/>
        <v>21326</v>
      </c>
    </row>
    <row r="2332" spans="2:24">
      <c r="B2332" t="s">
        <v>555</v>
      </c>
      <c r="C2332" t="s">
        <v>116</v>
      </c>
      <c r="D2332" t="s">
        <v>583</v>
      </c>
      <c r="E2332" t="s">
        <v>228</v>
      </c>
      <c r="F2332" s="705">
        <v>22</v>
      </c>
      <c r="G2332" s="705">
        <v>2302</v>
      </c>
      <c r="H2332" s="705">
        <v>4349</v>
      </c>
      <c r="I2332" s="705">
        <v>245789</v>
      </c>
      <c r="J2332" s="705">
        <v>223444</v>
      </c>
      <c r="K2332" s="705">
        <v>85</v>
      </c>
      <c r="L2332" s="705">
        <v>71207</v>
      </c>
      <c r="M2332" s="705">
        <v>64734</v>
      </c>
      <c r="N2332" s="705">
        <v>64567</v>
      </c>
      <c r="O2332" s="705">
        <v>23914</v>
      </c>
      <c r="P2332" s="705">
        <v>13662</v>
      </c>
      <c r="Q2332" s="705">
        <v>5060</v>
      </c>
      <c r="R2332" s="705">
        <v>132987</v>
      </c>
      <c r="S2332" s="705">
        <v>49255</v>
      </c>
      <c r="T2332" s="705">
        <v>0</v>
      </c>
      <c r="U2332" s="705">
        <v>0</v>
      </c>
      <c r="V2332" s="705">
        <v>366407</v>
      </c>
      <c r="W2332" s="705">
        <f t="shared" si="92"/>
        <v>366407</v>
      </c>
      <c r="X2332" s="705">
        <f t="shared" si="93"/>
        <v>528212</v>
      </c>
    </row>
    <row r="2333" spans="2:24">
      <c r="B2333" t="s">
        <v>555</v>
      </c>
      <c r="C2333" t="s">
        <v>116</v>
      </c>
      <c r="D2333" t="s">
        <v>583</v>
      </c>
      <c r="E2333" t="s">
        <v>583</v>
      </c>
      <c r="F2333" s="705">
        <v>3405</v>
      </c>
      <c r="G2333" s="705">
        <v>328972</v>
      </c>
      <c r="H2333" s="705">
        <v>649992</v>
      </c>
      <c r="I2333" s="705">
        <v>29143406</v>
      </c>
      <c r="J2333" s="705">
        <v>26494005</v>
      </c>
      <c r="K2333" s="705">
        <v>86</v>
      </c>
      <c r="L2333" s="705">
        <v>7249373</v>
      </c>
      <c r="M2333" s="705">
        <v>6442141</v>
      </c>
      <c r="N2333" s="705">
        <v>6534757</v>
      </c>
      <c r="O2333" s="705">
        <v>2420280</v>
      </c>
      <c r="P2333" s="705">
        <v>2132475</v>
      </c>
      <c r="Q2333" s="705">
        <v>789806</v>
      </c>
      <c r="R2333" s="705">
        <v>14371022</v>
      </c>
      <c r="S2333" s="705">
        <v>13064566</v>
      </c>
      <c r="T2333" s="705">
        <v>3864302</v>
      </c>
      <c r="U2333" s="705">
        <v>1431223</v>
      </c>
      <c r="V2333" s="705">
        <v>50642020</v>
      </c>
      <c r="W2333" s="705">
        <f t="shared" si="92"/>
        <v>50642021</v>
      </c>
      <c r="X2333" s="705">
        <f t="shared" si="93"/>
        <v>63295335</v>
      </c>
    </row>
    <row r="2334" spans="2:24">
      <c r="B2334" t="s">
        <v>555</v>
      </c>
      <c r="C2334" t="s">
        <v>116</v>
      </c>
      <c r="D2334" t="s">
        <v>583</v>
      </c>
      <c r="E2334" t="s">
        <v>665</v>
      </c>
      <c r="F2334" s="705">
        <v>1</v>
      </c>
      <c r="G2334" s="705">
        <v>73</v>
      </c>
      <c r="H2334" s="705">
        <v>198</v>
      </c>
      <c r="I2334" s="705">
        <v>6639</v>
      </c>
      <c r="J2334" s="705">
        <v>6035</v>
      </c>
      <c r="K2334" s="705">
        <v>84</v>
      </c>
      <c r="L2334" s="705">
        <v>1952</v>
      </c>
      <c r="M2334" s="705">
        <v>1775</v>
      </c>
      <c r="N2334" s="705">
        <v>1593</v>
      </c>
      <c r="O2334" s="705">
        <v>590</v>
      </c>
      <c r="P2334" s="705">
        <v>621</v>
      </c>
      <c r="Q2334" s="705">
        <v>230</v>
      </c>
      <c r="R2334" s="705">
        <v>3572</v>
      </c>
      <c r="S2334" s="705">
        <v>3247</v>
      </c>
      <c r="T2334" s="705">
        <v>0</v>
      </c>
      <c r="U2334" s="705">
        <v>0</v>
      </c>
      <c r="V2334" s="705">
        <v>11877</v>
      </c>
      <c r="W2334" s="705">
        <f t="shared" si="92"/>
        <v>11877</v>
      </c>
      <c r="X2334" s="705">
        <f t="shared" si="93"/>
        <v>14377</v>
      </c>
    </row>
    <row r="2335" spans="2:24">
      <c r="B2335" t="s">
        <v>555</v>
      </c>
      <c r="C2335" t="s">
        <v>116</v>
      </c>
      <c r="D2335" t="s">
        <v>666</v>
      </c>
      <c r="E2335" t="s">
        <v>583</v>
      </c>
      <c r="F2335" s="705">
        <v>2</v>
      </c>
      <c r="G2335" s="705">
        <v>227</v>
      </c>
      <c r="H2335" s="705">
        <v>423</v>
      </c>
      <c r="I2335" s="705">
        <v>23269</v>
      </c>
      <c r="J2335" s="705">
        <v>21154</v>
      </c>
      <c r="K2335" s="705">
        <v>86</v>
      </c>
      <c r="L2335" s="705">
        <v>7051</v>
      </c>
      <c r="M2335" s="705">
        <v>6410</v>
      </c>
      <c r="N2335" s="705">
        <v>4147</v>
      </c>
      <c r="O2335" s="705">
        <v>1536</v>
      </c>
      <c r="P2335" s="705">
        <v>1242</v>
      </c>
      <c r="Q2335" s="705">
        <v>460</v>
      </c>
      <c r="R2335" s="705">
        <v>7312</v>
      </c>
      <c r="S2335" s="705">
        <v>6647</v>
      </c>
      <c r="T2335" s="705">
        <v>4923</v>
      </c>
      <c r="U2335" s="705">
        <v>1823</v>
      </c>
      <c r="V2335" s="705">
        <v>38031</v>
      </c>
      <c r="W2335" s="705">
        <f t="shared" si="92"/>
        <v>38030</v>
      </c>
      <c r="X2335" s="705">
        <f t="shared" si="93"/>
        <v>47944</v>
      </c>
    </row>
    <row r="2336" spans="2:24">
      <c r="B2336" t="s">
        <v>555</v>
      </c>
      <c r="C2336" t="s">
        <v>116</v>
      </c>
      <c r="D2336" t="s">
        <v>666</v>
      </c>
      <c r="E2336" t="s">
        <v>666</v>
      </c>
      <c r="F2336" s="705">
        <v>1</v>
      </c>
      <c r="G2336" s="705">
        <v>103</v>
      </c>
      <c r="H2336" s="705">
        <v>202</v>
      </c>
      <c r="I2336" s="705">
        <v>11976</v>
      </c>
      <c r="J2336" s="705">
        <v>10888</v>
      </c>
      <c r="K2336" s="705">
        <v>65</v>
      </c>
      <c r="L2336" s="705">
        <v>0</v>
      </c>
      <c r="M2336" s="705">
        <v>0</v>
      </c>
      <c r="N2336" s="705">
        <v>1885</v>
      </c>
      <c r="O2336" s="705">
        <v>698</v>
      </c>
      <c r="P2336" s="705">
        <v>351</v>
      </c>
      <c r="Q2336" s="705">
        <v>130</v>
      </c>
      <c r="R2336" s="705">
        <v>4001</v>
      </c>
      <c r="S2336" s="705">
        <v>3637</v>
      </c>
      <c r="T2336" s="705">
        <v>2601</v>
      </c>
      <c r="U2336" s="705">
        <v>963</v>
      </c>
      <c r="V2336" s="705">
        <v>16316</v>
      </c>
      <c r="W2336" s="705">
        <f t="shared" si="92"/>
        <v>16316</v>
      </c>
      <c r="X2336" s="705">
        <f t="shared" si="93"/>
        <v>20814</v>
      </c>
    </row>
    <row r="2337" spans="2:24">
      <c r="B2337" t="s">
        <v>555</v>
      </c>
      <c r="C2337" t="s">
        <v>116</v>
      </c>
      <c r="D2337" t="s">
        <v>584</v>
      </c>
      <c r="E2337" t="s">
        <v>583</v>
      </c>
      <c r="F2337" s="705">
        <v>2</v>
      </c>
      <c r="G2337" s="705">
        <v>162</v>
      </c>
      <c r="H2337" s="705">
        <v>351</v>
      </c>
      <c r="I2337" s="705">
        <v>16700</v>
      </c>
      <c r="J2337" s="705">
        <v>15182</v>
      </c>
      <c r="K2337" s="705">
        <v>85</v>
      </c>
      <c r="L2337" s="705">
        <v>5020</v>
      </c>
      <c r="M2337" s="705">
        <v>4564</v>
      </c>
      <c r="N2337" s="705">
        <v>5109</v>
      </c>
      <c r="O2337" s="705">
        <v>1892</v>
      </c>
      <c r="P2337" s="705">
        <v>945</v>
      </c>
      <c r="Q2337" s="705">
        <v>350</v>
      </c>
      <c r="R2337" s="705">
        <v>6535</v>
      </c>
      <c r="S2337" s="705">
        <v>5941</v>
      </c>
      <c r="T2337" s="705">
        <v>2391</v>
      </c>
      <c r="U2337" s="705">
        <v>886</v>
      </c>
      <c r="V2337" s="705">
        <v>28814</v>
      </c>
      <c r="W2337" s="705">
        <f t="shared" si="92"/>
        <v>28815</v>
      </c>
      <c r="X2337" s="705">
        <f t="shared" si="93"/>
        <v>36700</v>
      </c>
    </row>
    <row r="2338" spans="2:24">
      <c r="B2338" t="s">
        <v>555</v>
      </c>
      <c r="C2338" t="s">
        <v>116</v>
      </c>
      <c r="D2338" t="s">
        <v>584</v>
      </c>
      <c r="E2338" t="s">
        <v>584</v>
      </c>
      <c r="F2338" s="705">
        <v>1296</v>
      </c>
      <c r="G2338" s="705">
        <v>126494</v>
      </c>
      <c r="H2338" s="705">
        <v>246183</v>
      </c>
      <c r="I2338" s="705">
        <v>11486843</v>
      </c>
      <c r="J2338" s="705">
        <v>10442585</v>
      </c>
      <c r="K2338" s="705">
        <v>82</v>
      </c>
      <c r="L2338" s="705">
        <v>2583821</v>
      </c>
      <c r="M2338" s="705">
        <v>2504730</v>
      </c>
      <c r="N2338" s="705">
        <v>2464681</v>
      </c>
      <c r="O2338" s="705">
        <v>912845</v>
      </c>
      <c r="P2338" s="705">
        <v>638535</v>
      </c>
      <c r="Q2338" s="705">
        <v>236495</v>
      </c>
      <c r="R2338" s="705">
        <v>5988511</v>
      </c>
      <c r="S2338" s="705">
        <v>5444101</v>
      </c>
      <c r="T2338" s="705">
        <v>978761</v>
      </c>
      <c r="U2338" s="705">
        <v>362504</v>
      </c>
      <c r="V2338" s="705">
        <v>19903259</v>
      </c>
      <c r="W2338" s="705">
        <f t="shared" ref="W2338:W2401" si="94">SUM(ABS(J2338),ABS(M2338),ABS(O2338),ABS(Q2338),ABS(S2338),ABS(U2338))</f>
        <v>19903260</v>
      </c>
      <c r="X2338" s="705">
        <f t="shared" ref="X2338:X2401" si="95">SUM(ABS(I2338),ABS(N2338),ABS(P2338),ABS(R2338),ABS(T2338),ABS(L2338))</f>
        <v>24141152</v>
      </c>
    </row>
    <row r="2339" spans="2:24">
      <c r="B2339" t="s">
        <v>555</v>
      </c>
      <c r="C2339" t="s">
        <v>116</v>
      </c>
      <c r="D2339" t="s">
        <v>584</v>
      </c>
      <c r="E2339" t="s">
        <v>665</v>
      </c>
      <c r="F2339" s="705">
        <v>1</v>
      </c>
      <c r="G2339" s="705">
        <v>86</v>
      </c>
      <c r="H2339" s="705">
        <v>212</v>
      </c>
      <c r="I2339" s="705">
        <v>9318</v>
      </c>
      <c r="J2339" s="705">
        <v>8471</v>
      </c>
      <c r="K2339" s="705">
        <v>79</v>
      </c>
      <c r="L2339" s="705">
        <v>1291</v>
      </c>
      <c r="M2339" s="705">
        <v>1173</v>
      </c>
      <c r="N2339" s="705">
        <v>1633</v>
      </c>
      <c r="O2339" s="705">
        <v>605</v>
      </c>
      <c r="P2339" s="705">
        <v>473</v>
      </c>
      <c r="Q2339" s="705">
        <v>175</v>
      </c>
      <c r="R2339" s="705">
        <v>5501</v>
      </c>
      <c r="S2339" s="705">
        <v>5001</v>
      </c>
      <c r="T2339" s="705">
        <v>0</v>
      </c>
      <c r="U2339" s="705">
        <v>0</v>
      </c>
      <c r="V2339" s="705">
        <v>15425</v>
      </c>
      <c r="W2339" s="705">
        <f t="shared" si="94"/>
        <v>15425</v>
      </c>
      <c r="X2339" s="705">
        <f t="shared" si="95"/>
        <v>18216</v>
      </c>
    </row>
    <row r="2340" spans="2:24">
      <c r="B2340" t="s">
        <v>555</v>
      </c>
      <c r="C2340" t="s">
        <v>116</v>
      </c>
      <c r="D2340" t="s">
        <v>669</v>
      </c>
      <c r="E2340" t="s">
        <v>669</v>
      </c>
      <c r="F2340" s="705">
        <v>1</v>
      </c>
      <c r="G2340" s="705">
        <v>84</v>
      </c>
      <c r="H2340" s="705">
        <v>217</v>
      </c>
      <c r="I2340" s="705">
        <v>8142</v>
      </c>
      <c r="J2340" s="705">
        <v>6785</v>
      </c>
      <c r="K2340" s="705">
        <v>65</v>
      </c>
      <c r="L2340" s="705">
        <v>0</v>
      </c>
      <c r="M2340" s="705">
        <v>0</v>
      </c>
      <c r="N2340" s="705">
        <v>1787</v>
      </c>
      <c r="O2340" s="705">
        <v>662</v>
      </c>
      <c r="P2340" s="705">
        <v>351</v>
      </c>
      <c r="Q2340" s="705">
        <v>130</v>
      </c>
      <c r="R2340" s="705">
        <v>5205</v>
      </c>
      <c r="S2340" s="705">
        <v>4338</v>
      </c>
      <c r="T2340" s="705">
        <v>2662</v>
      </c>
      <c r="U2340" s="705">
        <v>986</v>
      </c>
      <c r="V2340" s="705">
        <v>12901</v>
      </c>
      <c r="W2340" s="705">
        <f t="shared" si="94"/>
        <v>12901</v>
      </c>
      <c r="X2340" s="705">
        <f t="shared" si="95"/>
        <v>18147</v>
      </c>
    </row>
    <row r="2341" spans="2:24">
      <c r="B2341" t="s">
        <v>555</v>
      </c>
      <c r="C2341" t="s">
        <v>116</v>
      </c>
      <c r="D2341" t="s">
        <v>667</v>
      </c>
      <c r="E2341" t="s">
        <v>667</v>
      </c>
      <c r="F2341" s="705">
        <v>1</v>
      </c>
      <c r="G2341" s="705">
        <v>81</v>
      </c>
      <c r="H2341" s="705">
        <v>203</v>
      </c>
      <c r="I2341" s="705">
        <v>6796</v>
      </c>
      <c r="J2341" s="705">
        <v>6178</v>
      </c>
      <c r="K2341" s="705">
        <v>65</v>
      </c>
      <c r="L2341" s="705">
        <v>1636</v>
      </c>
      <c r="M2341" s="705">
        <v>1487</v>
      </c>
      <c r="N2341" s="705">
        <v>1561</v>
      </c>
      <c r="O2341" s="705">
        <v>578</v>
      </c>
      <c r="P2341" s="705">
        <v>0</v>
      </c>
      <c r="Q2341" s="705">
        <v>0</v>
      </c>
      <c r="R2341" s="705">
        <v>4149</v>
      </c>
      <c r="S2341" s="705">
        <v>3772</v>
      </c>
      <c r="T2341" s="705">
        <v>2173</v>
      </c>
      <c r="U2341" s="705">
        <v>805</v>
      </c>
      <c r="V2341" s="705">
        <v>12821</v>
      </c>
      <c r="W2341" s="705">
        <f t="shared" si="94"/>
        <v>12820</v>
      </c>
      <c r="X2341" s="705">
        <f t="shared" si="95"/>
        <v>16315</v>
      </c>
    </row>
    <row r="2342" spans="2:24">
      <c r="B2342" t="s">
        <v>555</v>
      </c>
      <c r="C2342" t="s">
        <v>116</v>
      </c>
      <c r="D2342" t="s">
        <v>665</v>
      </c>
      <c r="E2342" t="s">
        <v>665</v>
      </c>
      <c r="F2342" s="705">
        <v>28</v>
      </c>
      <c r="G2342" s="705">
        <v>2563</v>
      </c>
      <c r="H2342" s="705">
        <v>5991</v>
      </c>
      <c r="I2342" s="705">
        <v>265932</v>
      </c>
      <c r="J2342" s="705">
        <v>241756</v>
      </c>
      <c r="K2342" s="705">
        <v>71</v>
      </c>
      <c r="L2342" s="705">
        <v>50835</v>
      </c>
      <c r="M2342" s="705">
        <v>43549</v>
      </c>
      <c r="N2342" s="705">
        <v>45260</v>
      </c>
      <c r="O2342" s="705">
        <v>16763</v>
      </c>
      <c r="P2342" s="705">
        <v>10220</v>
      </c>
      <c r="Q2342" s="705">
        <v>3785</v>
      </c>
      <c r="R2342" s="705">
        <v>115829</v>
      </c>
      <c r="S2342" s="705">
        <v>105299</v>
      </c>
      <c r="T2342" s="705">
        <v>61824</v>
      </c>
      <c r="U2342" s="705">
        <v>22898</v>
      </c>
      <c r="V2342" s="705">
        <v>434050</v>
      </c>
      <c r="W2342" s="705">
        <f t="shared" si="94"/>
        <v>434050</v>
      </c>
      <c r="X2342" s="705">
        <f t="shared" si="95"/>
        <v>549900</v>
      </c>
    </row>
    <row r="2343" spans="2:24">
      <c r="B2343" t="s">
        <v>555</v>
      </c>
      <c r="C2343" t="s">
        <v>116</v>
      </c>
      <c r="D2343" t="s">
        <v>585</v>
      </c>
      <c r="E2343" t="s">
        <v>585</v>
      </c>
      <c r="F2343" s="705">
        <v>1</v>
      </c>
      <c r="G2343" s="705">
        <v>102</v>
      </c>
      <c r="H2343" s="705">
        <v>172</v>
      </c>
      <c r="I2343" s="705">
        <v>10056</v>
      </c>
      <c r="J2343" s="705">
        <v>9141</v>
      </c>
      <c r="K2343" s="705">
        <v>80</v>
      </c>
      <c r="L2343" s="705">
        <v>1441</v>
      </c>
      <c r="M2343" s="705">
        <v>1310</v>
      </c>
      <c r="N2343" s="705">
        <v>1368</v>
      </c>
      <c r="O2343" s="705">
        <v>507</v>
      </c>
      <c r="P2343" s="705">
        <v>351</v>
      </c>
      <c r="Q2343" s="705">
        <v>130</v>
      </c>
      <c r="R2343" s="705">
        <v>4305</v>
      </c>
      <c r="S2343" s="705">
        <v>3914</v>
      </c>
      <c r="T2343" s="705">
        <v>0</v>
      </c>
      <c r="U2343" s="705">
        <v>0</v>
      </c>
      <c r="V2343" s="705">
        <v>15002</v>
      </c>
      <c r="W2343" s="705">
        <f t="shared" si="94"/>
        <v>15002</v>
      </c>
      <c r="X2343" s="705">
        <f t="shared" si="95"/>
        <v>17521</v>
      </c>
    </row>
    <row r="2344" spans="2:24">
      <c r="B2344" t="s">
        <v>555</v>
      </c>
      <c r="C2344" t="s">
        <v>118</v>
      </c>
      <c r="F2344" s="705">
        <v>1</v>
      </c>
      <c r="G2344" s="705">
        <v>55</v>
      </c>
      <c r="H2344" s="705">
        <v>226</v>
      </c>
      <c r="I2344" s="705"/>
      <c r="J2344" s="705">
        <v>0</v>
      </c>
      <c r="K2344" s="705"/>
      <c r="L2344" s="705"/>
      <c r="M2344" s="705">
        <v>0</v>
      </c>
      <c r="N2344" s="705">
        <v>957</v>
      </c>
      <c r="O2344" s="705">
        <v>354</v>
      </c>
      <c r="P2344" s="705">
        <v>0</v>
      </c>
      <c r="Q2344" s="705">
        <v>0</v>
      </c>
      <c r="R2344" s="705"/>
      <c r="S2344" s="705">
        <v>0</v>
      </c>
      <c r="T2344" s="705">
        <v>0</v>
      </c>
      <c r="U2344" s="705">
        <v>0</v>
      </c>
      <c r="V2344" s="705">
        <v>354</v>
      </c>
      <c r="W2344" s="705">
        <f t="shared" si="94"/>
        <v>354</v>
      </c>
      <c r="X2344" s="705">
        <f t="shared" si="95"/>
        <v>957</v>
      </c>
    </row>
    <row r="2345" spans="2:24">
      <c r="B2345" t="s">
        <v>555</v>
      </c>
      <c r="C2345" t="s">
        <v>118</v>
      </c>
      <c r="D2345" t="s">
        <v>674</v>
      </c>
      <c r="E2345" t="s">
        <v>674</v>
      </c>
      <c r="F2345" s="705">
        <v>2</v>
      </c>
      <c r="G2345" s="705">
        <v>185</v>
      </c>
      <c r="H2345" s="705">
        <v>568</v>
      </c>
      <c r="I2345" s="705">
        <v>27866</v>
      </c>
      <c r="J2345" s="705">
        <v>25333</v>
      </c>
      <c r="K2345" s="705">
        <v>60</v>
      </c>
      <c r="L2345" s="705">
        <v>6216</v>
      </c>
      <c r="M2345" s="705">
        <v>5651</v>
      </c>
      <c r="N2345" s="705">
        <v>3677</v>
      </c>
      <c r="O2345" s="705">
        <v>1362</v>
      </c>
      <c r="P2345" s="705">
        <v>702</v>
      </c>
      <c r="Q2345" s="705">
        <v>260</v>
      </c>
      <c r="R2345" s="705">
        <v>9492</v>
      </c>
      <c r="S2345" s="705">
        <v>8629</v>
      </c>
      <c r="T2345" s="705">
        <v>4665</v>
      </c>
      <c r="U2345" s="705">
        <v>1728</v>
      </c>
      <c r="V2345" s="705">
        <v>42963</v>
      </c>
      <c r="W2345" s="705">
        <f t="shared" si="94"/>
        <v>42963</v>
      </c>
      <c r="X2345" s="705">
        <f t="shared" si="95"/>
        <v>52618</v>
      </c>
    </row>
    <row r="2346" spans="2:24">
      <c r="B2346" t="s">
        <v>555</v>
      </c>
      <c r="C2346" t="s">
        <v>118</v>
      </c>
      <c r="D2346" t="s">
        <v>664</v>
      </c>
      <c r="E2346" t="s">
        <v>664</v>
      </c>
      <c r="F2346" s="705">
        <v>5</v>
      </c>
      <c r="G2346" s="705">
        <v>414</v>
      </c>
      <c r="H2346" s="705">
        <v>1279</v>
      </c>
      <c r="I2346" s="705">
        <v>55419</v>
      </c>
      <c r="J2346" s="705">
        <v>50381</v>
      </c>
      <c r="K2346" s="705">
        <v>77</v>
      </c>
      <c r="L2346" s="705">
        <v>13060</v>
      </c>
      <c r="M2346" s="705">
        <v>9075</v>
      </c>
      <c r="N2346" s="705">
        <v>9368</v>
      </c>
      <c r="O2346" s="705">
        <v>3470</v>
      </c>
      <c r="P2346" s="705">
        <v>2241</v>
      </c>
      <c r="Q2346" s="705">
        <v>830</v>
      </c>
      <c r="R2346" s="705">
        <v>21613</v>
      </c>
      <c r="S2346" s="705">
        <v>19648</v>
      </c>
      <c r="T2346" s="705">
        <v>4703</v>
      </c>
      <c r="U2346" s="705">
        <v>1742</v>
      </c>
      <c r="V2346" s="705">
        <v>85146</v>
      </c>
      <c r="W2346" s="705">
        <f t="shared" si="94"/>
        <v>85146</v>
      </c>
      <c r="X2346" s="705">
        <f t="shared" si="95"/>
        <v>106404</v>
      </c>
    </row>
    <row r="2347" spans="2:24">
      <c r="B2347" t="s">
        <v>555</v>
      </c>
      <c r="C2347" t="s">
        <v>118</v>
      </c>
      <c r="D2347" t="s">
        <v>582</v>
      </c>
      <c r="E2347" t="s">
        <v>582</v>
      </c>
      <c r="F2347" s="705">
        <v>7</v>
      </c>
      <c r="G2347" s="705">
        <v>708</v>
      </c>
      <c r="H2347" s="705">
        <v>1692</v>
      </c>
      <c r="I2347" s="705">
        <v>98470</v>
      </c>
      <c r="J2347" s="705">
        <v>89518</v>
      </c>
      <c r="K2347" s="705">
        <v>76</v>
      </c>
      <c r="L2347" s="705">
        <v>20190</v>
      </c>
      <c r="M2347" s="705">
        <v>18205</v>
      </c>
      <c r="N2347" s="705">
        <v>14455</v>
      </c>
      <c r="O2347" s="705">
        <v>5354</v>
      </c>
      <c r="P2347" s="705">
        <v>3659</v>
      </c>
      <c r="Q2347" s="705">
        <v>1355</v>
      </c>
      <c r="R2347" s="705">
        <v>35825</v>
      </c>
      <c r="S2347" s="705">
        <v>32568</v>
      </c>
      <c r="T2347" s="705">
        <v>6452</v>
      </c>
      <c r="U2347" s="705">
        <v>2389</v>
      </c>
      <c r="V2347" s="705">
        <v>149389</v>
      </c>
      <c r="W2347" s="705">
        <f t="shared" si="94"/>
        <v>149389</v>
      </c>
      <c r="X2347" s="705">
        <f t="shared" si="95"/>
        <v>179051</v>
      </c>
    </row>
    <row r="2348" spans="2:24">
      <c r="B2348" t="s">
        <v>555</v>
      </c>
      <c r="C2348" t="s">
        <v>118</v>
      </c>
      <c r="D2348" t="s">
        <v>228</v>
      </c>
      <c r="E2348" t="s">
        <v>228</v>
      </c>
      <c r="F2348" s="705">
        <v>206</v>
      </c>
      <c r="G2348" s="705">
        <v>19630</v>
      </c>
      <c r="H2348" s="705">
        <v>54268</v>
      </c>
      <c r="I2348" s="705">
        <v>2820940</v>
      </c>
      <c r="J2348" s="705">
        <v>1044793</v>
      </c>
      <c r="K2348" s="705">
        <v>100</v>
      </c>
      <c r="L2348" s="705">
        <v>449157</v>
      </c>
      <c r="M2348" s="705">
        <v>339616</v>
      </c>
      <c r="N2348" s="705">
        <v>410560</v>
      </c>
      <c r="O2348" s="705">
        <v>152059</v>
      </c>
      <c r="P2348" s="705">
        <v>10898</v>
      </c>
      <c r="Q2348" s="705">
        <v>4036</v>
      </c>
      <c r="R2348" s="705">
        <v>1474404</v>
      </c>
      <c r="S2348" s="705">
        <v>546076</v>
      </c>
      <c r="T2348" s="705">
        <v>2212</v>
      </c>
      <c r="U2348" s="705">
        <v>819</v>
      </c>
      <c r="V2348" s="705">
        <v>2087399</v>
      </c>
      <c r="W2348" s="705">
        <f t="shared" si="94"/>
        <v>2087399</v>
      </c>
      <c r="X2348" s="705">
        <f t="shared" si="95"/>
        <v>5168171</v>
      </c>
    </row>
    <row r="2349" spans="2:24">
      <c r="B2349" t="s">
        <v>555</v>
      </c>
      <c r="C2349" t="s">
        <v>118</v>
      </c>
      <c r="D2349" t="s">
        <v>228</v>
      </c>
      <c r="E2349" t="s">
        <v>666</v>
      </c>
      <c r="F2349" s="705">
        <v>1</v>
      </c>
      <c r="G2349" s="705">
        <v>81</v>
      </c>
      <c r="H2349" s="705">
        <v>265</v>
      </c>
      <c r="I2349" s="705">
        <v>10210</v>
      </c>
      <c r="J2349" s="705">
        <v>3781</v>
      </c>
      <c r="K2349" s="705">
        <v>100</v>
      </c>
      <c r="L2349" s="705">
        <v>2080</v>
      </c>
      <c r="M2349" s="705">
        <v>1891</v>
      </c>
      <c r="N2349" s="705">
        <v>1320</v>
      </c>
      <c r="O2349" s="705">
        <v>489</v>
      </c>
      <c r="P2349" s="705">
        <v>351</v>
      </c>
      <c r="Q2349" s="705">
        <v>130</v>
      </c>
      <c r="R2349" s="705">
        <v>5413</v>
      </c>
      <c r="S2349" s="705">
        <v>4921</v>
      </c>
      <c r="T2349" s="705">
        <v>2185</v>
      </c>
      <c r="U2349" s="705">
        <v>809</v>
      </c>
      <c r="V2349" s="705">
        <v>12022</v>
      </c>
      <c r="W2349" s="705">
        <f t="shared" si="94"/>
        <v>12021</v>
      </c>
      <c r="X2349" s="705">
        <f t="shared" si="95"/>
        <v>21559</v>
      </c>
    </row>
    <row r="2350" spans="2:24">
      <c r="B2350" t="s">
        <v>555</v>
      </c>
      <c r="C2350" t="s">
        <v>118</v>
      </c>
      <c r="D2350" t="s">
        <v>228</v>
      </c>
      <c r="E2350" t="s">
        <v>665</v>
      </c>
      <c r="F2350" s="705">
        <v>2</v>
      </c>
      <c r="G2350" s="705">
        <v>152</v>
      </c>
      <c r="H2350" s="705">
        <v>565</v>
      </c>
      <c r="I2350" s="705">
        <v>24545</v>
      </c>
      <c r="J2350" s="705">
        <v>9091</v>
      </c>
      <c r="K2350" s="705">
        <v>100</v>
      </c>
      <c r="L2350" s="705">
        <v>4088</v>
      </c>
      <c r="M2350" s="705">
        <v>3717</v>
      </c>
      <c r="N2350" s="705">
        <v>2573</v>
      </c>
      <c r="O2350" s="705">
        <v>953</v>
      </c>
      <c r="P2350" s="705">
        <v>351</v>
      </c>
      <c r="Q2350" s="705">
        <v>130</v>
      </c>
      <c r="R2350" s="705">
        <v>9696</v>
      </c>
      <c r="S2350" s="705">
        <v>8814</v>
      </c>
      <c r="T2350" s="705">
        <v>1665</v>
      </c>
      <c r="U2350" s="705">
        <v>617</v>
      </c>
      <c r="V2350" s="705">
        <v>23321</v>
      </c>
      <c r="W2350" s="705">
        <f t="shared" si="94"/>
        <v>23322</v>
      </c>
      <c r="X2350" s="705">
        <f t="shared" si="95"/>
        <v>42918</v>
      </c>
    </row>
    <row r="2351" spans="2:24">
      <c r="B2351" t="s">
        <v>555</v>
      </c>
      <c r="C2351" t="s">
        <v>118</v>
      </c>
      <c r="D2351" t="s">
        <v>583</v>
      </c>
      <c r="E2351" t="s">
        <v>228</v>
      </c>
      <c r="F2351" s="705">
        <v>13</v>
      </c>
      <c r="G2351" s="705">
        <v>1013</v>
      </c>
      <c r="H2351" s="705">
        <v>3436</v>
      </c>
      <c r="I2351" s="705">
        <v>143993</v>
      </c>
      <c r="J2351" s="705">
        <v>130903</v>
      </c>
      <c r="K2351" s="705">
        <v>78</v>
      </c>
      <c r="L2351" s="705">
        <v>20140</v>
      </c>
      <c r="M2351" s="705">
        <v>23987</v>
      </c>
      <c r="N2351" s="705">
        <v>22968</v>
      </c>
      <c r="O2351" s="705">
        <v>8507</v>
      </c>
      <c r="P2351" s="705">
        <v>8073</v>
      </c>
      <c r="Q2351" s="705">
        <v>2990</v>
      </c>
      <c r="R2351" s="705">
        <v>72914</v>
      </c>
      <c r="S2351" s="705">
        <v>27005</v>
      </c>
      <c r="T2351" s="705">
        <v>0</v>
      </c>
      <c r="U2351" s="705">
        <v>0</v>
      </c>
      <c r="V2351" s="705">
        <v>193392</v>
      </c>
      <c r="W2351" s="705">
        <f t="shared" si="94"/>
        <v>193392</v>
      </c>
      <c r="X2351" s="705">
        <f t="shared" si="95"/>
        <v>268088</v>
      </c>
    </row>
    <row r="2352" spans="2:24">
      <c r="B2352" t="s">
        <v>555</v>
      </c>
      <c r="C2352" t="s">
        <v>118</v>
      </c>
      <c r="D2352" t="s">
        <v>583</v>
      </c>
      <c r="E2352" t="s">
        <v>583</v>
      </c>
      <c r="F2352" s="705">
        <v>1868</v>
      </c>
      <c r="G2352" s="705">
        <v>163546</v>
      </c>
      <c r="H2352" s="705">
        <v>482747</v>
      </c>
      <c r="I2352" s="705">
        <v>22047576</v>
      </c>
      <c r="J2352" s="705">
        <v>20043251</v>
      </c>
      <c r="K2352" s="705">
        <v>81</v>
      </c>
      <c r="L2352" s="705">
        <v>4828798</v>
      </c>
      <c r="M2352" s="705">
        <v>4221127</v>
      </c>
      <c r="N2352" s="705">
        <v>3385319</v>
      </c>
      <c r="O2352" s="705">
        <v>1253822</v>
      </c>
      <c r="P2352" s="705">
        <v>1175216</v>
      </c>
      <c r="Q2352" s="705">
        <v>435265</v>
      </c>
      <c r="R2352" s="705">
        <v>8311545</v>
      </c>
      <c r="S2352" s="705">
        <v>7555950</v>
      </c>
      <c r="T2352" s="705">
        <v>2786445</v>
      </c>
      <c r="U2352" s="705">
        <v>1032017</v>
      </c>
      <c r="V2352" s="705">
        <v>34541432</v>
      </c>
      <c r="W2352" s="705">
        <f t="shared" si="94"/>
        <v>34541432</v>
      </c>
      <c r="X2352" s="705">
        <f t="shared" si="95"/>
        <v>42534899</v>
      </c>
    </row>
    <row r="2353" spans="2:24">
      <c r="B2353" t="s">
        <v>555</v>
      </c>
      <c r="C2353" t="s">
        <v>118</v>
      </c>
      <c r="D2353" t="s">
        <v>583</v>
      </c>
      <c r="E2353" t="s">
        <v>666</v>
      </c>
      <c r="F2353" s="705">
        <v>3</v>
      </c>
      <c r="G2353" s="705">
        <v>268</v>
      </c>
      <c r="H2353" s="705">
        <v>741</v>
      </c>
      <c r="I2353" s="705">
        <v>36329</v>
      </c>
      <c r="J2353" s="705">
        <v>33027</v>
      </c>
      <c r="K2353" s="705">
        <v>70</v>
      </c>
      <c r="L2353" s="705">
        <v>7066</v>
      </c>
      <c r="M2353" s="705">
        <v>6424</v>
      </c>
      <c r="N2353" s="705">
        <v>5175</v>
      </c>
      <c r="O2353" s="705">
        <v>1917</v>
      </c>
      <c r="P2353" s="705">
        <v>1863</v>
      </c>
      <c r="Q2353" s="705">
        <v>690</v>
      </c>
      <c r="R2353" s="705">
        <v>13144</v>
      </c>
      <c r="S2353" s="705">
        <v>11949</v>
      </c>
      <c r="T2353" s="705">
        <v>2579</v>
      </c>
      <c r="U2353" s="705">
        <v>955</v>
      </c>
      <c r="V2353" s="705">
        <v>54962</v>
      </c>
      <c r="W2353" s="705">
        <f t="shared" si="94"/>
        <v>54962</v>
      </c>
      <c r="X2353" s="705">
        <f t="shared" si="95"/>
        <v>66156</v>
      </c>
    </row>
    <row r="2354" spans="2:24">
      <c r="B2354" t="s">
        <v>555</v>
      </c>
      <c r="C2354" t="s">
        <v>118</v>
      </c>
      <c r="D2354" t="s">
        <v>583</v>
      </c>
      <c r="E2354" t="s">
        <v>665</v>
      </c>
      <c r="F2354" s="705">
        <v>3</v>
      </c>
      <c r="G2354" s="705">
        <v>227</v>
      </c>
      <c r="H2354" s="705">
        <v>804</v>
      </c>
      <c r="I2354" s="705">
        <v>27447</v>
      </c>
      <c r="J2354" s="705">
        <v>24952</v>
      </c>
      <c r="K2354" s="705">
        <v>80</v>
      </c>
      <c r="L2354" s="705">
        <v>5018</v>
      </c>
      <c r="M2354" s="705">
        <v>4561</v>
      </c>
      <c r="N2354" s="705">
        <v>5179</v>
      </c>
      <c r="O2354" s="705">
        <v>1918</v>
      </c>
      <c r="P2354" s="705">
        <v>1863</v>
      </c>
      <c r="Q2354" s="705">
        <v>690</v>
      </c>
      <c r="R2354" s="705">
        <v>16941</v>
      </c>
      <c r="S2354" s="705">
        <v>15401</v>
      </c>
      <c r="T2354" s="705">
        <v>4263</v>
      </c>
      <c r="U2354" s="705">
        <v>1579</v>
      </c>
      <c r="V2354" s="705">
        <v>49101</v>
      </c>
      <c r="W2354" s="705">
        <f t="shared" si="94"/>
        <v>49101</v>
      </c>
      <c r="X2354" s="705">
        <f t="shared" si="95"/>
        <v>60711</v>
      </c>
    </row>
    <row r="2355" spans="2:24">
      <c r="B2355" t="s">
        <v>555</v>
      </c>
      <c r="C2355" t="s">
        <v>118</v>
      </c>
      <c r="D2355" t="s">
        <v>666</v>
      </c>
      <c r="E2355" t="s">
        <v>583</v>
      </c>
      <c r="F2355" s="705">
        <v>1</v>
      </c>
      <c r="G2355" s="705">
        <v>121</v>
      </c>
      <c r="H2355" s="705">
        <v>227</v>
      </c>
      <c r="I2355" s="705">
        <v>12990</v>
      </c>
      <c r="J2355" s="705">
        <v>11810</v>
      </c>
      <c r="K2355" s="705">
        <v>79</v>
      </c>
      <c r="L2355" s="705">
        <v>3608</v>
      </c>
      <c r="M2355" s="705">
        <v>3280</v>
      </c>
      <c r="N2355" s="705">
        <v>2940</v>
      </c>
      <c r="O2355" s="705">
        <v>1089</v>
      </c>
      <c r="P2355" s="705">
        <v>621</v>
      </c>
      <c r="Q2355" s="705">
        <v>230</v>
      </c>
      <c r="R2355" s="705">
        <v>4352</v>
      </c>
      <c r="S2355" s="705">
        <v>3956</v>
      </c>
      <c r="T2355" s="705">
        <v>2861</v>
      </c>
      <c r="U2355" s="705">
        <v>1060</v>
      </c>
      <c r="V2355" s="705">
        <v>21425</v>
      </c>
      <c r="W2355" s="705">
        <f t="shared" si="94"/>
        <v>21425</v>
      </c>
      <c r="X2355" s="705">
        <f t="shared" si="95"/>
        <v>27372</v>
      </c>
    </row>
    <row r="2356" spans="2:24">
      <c r="B2356" t="s">
        <v>555</v>
      </c>
      <c r="C2356" t="s">
        <v>118</v>
      </c>
      <c r="D2356" t="s">
        <v>666</v>
      </c>
      <c r="E2356" t="s">
        <v>666</v>
      </c>
      <c r="F2356" s="705">
        <v>16</v>
      </c>
      <c r="G2356" s="705">
        <v>1238</v>
      </c>
      <c r="H2356" s="705">
        <v>4471</v>
      </c>
      <c r="I2356" s="705">
        <v>180545</v>
      </c>
      <c r="J2356" s="705">
        <v>164131</v>
      </c>
      <c r="K2356" s="705">
        <v>59</v>
      </c>
      <c r="L2356" s="705">
        <v>18710</v>
      </c>
      <c r="M2356" s="705">
        <v>10493</v>
      </c>
      <c r="N2356" s="705">
        <v>24255</v>
      </c>
      <c r="O2356" s="705">
        <v>8983</v>
      </c>
      <c r="P2356" s="705">
        <v>5535</v>
      </c>
      <c r="Q2356" s="705">
        <v>2050</v>
      </c>
      <c r="R2356" s="705">
        <v>86708</v>
      </c>
      <c r="S2356" s="705">
        <v>78825</v>
      </c>
      <c r="T2356" s="705">
        <v>29149</v>
      </c>
      <c r="U2356" s="705">
        <v>10796</v>
      </c>
      <c r="V2356" s="705">
        <v>275280</v>
      </c>
      <c r="W2356" s="705">
        <f t="shared" si="94"/>
        <v>275278</v>
      </c>
      <c r="X2356" s="705">
        <f t="shared" si="95"/>
        <v>344902</v>
      </c>
    </row>
    <row r="2357" spans="2:24">
      <c r="B2357" t="s">
        <v>555</v>
      </c>
      <c r="C2357" t="s">
        <v>118</v>
      </c>
      <c r="D2357" t="s">
        <v>584</v>
      </c>
      <c r="E2357" t="s">
        <v>228</v>
      </c>
      <c r="F2357" s="705">
        <v>2</v>
      </c>
      <c r="G2357" s="705">
        <v>143</v>
      </c>
      <c r="H2357" s="705">
        <v>498</v>
      </c>
      <c r="I2357" s="705">
        <v>14462</v>
      </c>
      <c r="J2357" s="705">
        <v>13148</v>
      </c>
      <c r="K2357" s="705">
        <v>72</v>
      </c>
      <c r="L2357" s="705">
        <v>3252</v>
      </c>
      <c r="M2357" s="705">
        <v>2259</v>
      </c>
      <c r="N2357" s="705">
        <v>3150</v>
      </c>
      <c r="O2357" s="705">
        <v>1166</v>
      </c>
      <c r="P2357" s="705">
        <v>824</v>
      </c>
      <c r="Q2357" s="705">
        <v>305</v>
      </c>
      <c r="R2357" s="705">
        <v>13893</v>
      </c>
      <c r="S2357" s="705">
        <v>5145</v>
      </c>
      <c r="T2357" s="705">
        <v>0</v>
      </c>
      <c r="U2357" s="705">
        <v>0</v>
      </c>
      <c r="V2357" s="705">
        <v>22023</v>
      </c>
      <c r="W2357" s="705">
        <f t="shared" si="94"/>
        <v>22023</v>
      </c>
      <c r="X2357" s="705">
        <f t="shared" si="95"/>
        <v>35581</v>
      </c>
    </row>
    <row r="2358" spans="2:24">
      <c r="B2358" t="s">
        <v>555</v>
      </c>
      <c r="C2358" t="s">
        <v>118</v>
      </c>
      <c r="D2358" t="s">
        <v>584</v>
      </c>
      <c r="E2358" t="s">
        <v>584</v>
      </c>
      <c r="F2358" s="705">
        <v>812</v>
      </c>
      <c r="G2358" s="705">
        <v>70856</v>
      </c>
      <c r="H2358" s="705">
        <v>207185</v>
      </c>
      <c r="I2358" s="705">
        <v>9231459</v>
      </c>
      <c r="J2358" s="705">
        <v>8392235</v>
      </c>
      <c r="K2358" s="705">
        <v>77</v>
      </c>
      <c r="L2358" s="705">
        <v>2012013</v>
      </c>
      <c r="M2358" s="705">
        <v>1749521</v>
      </c>
      <c r="N2358" s="705">
        <v>1440709</v>
      </c>
      <c r="O2358" s="705">
        <v>533596</v>
      </c>
      <c r="P2358" s="705">
        <v>378459</v>
      </c>
      <c r="Q2358" s="705">
        <v>140170</v>
      </c>
      <c r="R2358" s="705">
        <v>3953832</v>
      </c>
      <c r="S2358" s="705">
        <v>3594393</v>
      </c>
      <c r="T2358" s="705">
        <v>1085943</v>
      </c>
      <c r="U2358" s="705">
        <v>402201</v>
      </c>
      <c r="V2358" s="705">
        <v>14812116</v>
      </c>
      <c r="W2358" s="705">
        <f t="shared" si="94"/>
        <v>14812116</v>
      </c>
      <c r="X2358" s="705">
        <f t="shared" si="95"/>
        <v>18102415</v>
      </c>
    </row>
    <row r="2359" spans="2:24">
      <c r="B2359" t="s">
        <v>555</v>
      </c>
      <c r="C2359" t="s">
        <v>118</v>
      </c>
      <c r="D2359" t="s">
        <v>584</v>
      </c>
      <c r="E2359" t="s">
        <v>669</v>
      </c>
      <c r="F2359" s="705">
        <v>1</v>
      </c>
      <c r="G2359" s="705">
        <v>90</v>
      </c>
      <c r="H2359" s="705">
        <v>260</v>
      </c>
      <c r="I2359" s="705">
        <v>12827</v>
      </c>
      <c r="J2359" s="705">
        <v>11661</v>
      </c>
      <c r="K2359" s="705">
        <v>79</v>
      </c>
      <c r="L2359" s="705">
        <v>3753</v>
      </c>
      <c r="M2359" s="705">
        <v>3412</v>
      </c>
      <c r="N2359" s="705">
        <v>1376</v>
      </c>
      <c r="O2359" s="705">
        <v>510</v>
      </c>
      <c r="P2359" s="705">
        <v>473</v>
      </c>
      <c r="Q2359" s="705">
        <v>175</v>
      </c>
      <c r="R2359" s="705">
        <v>5020</v>
      </c>
      <c r="S2359" s="705">
        <v>4184</v>
      </c>
      <c r="T2359" s="705">
        <v>0</v>
      </c>
      <c r="U2359" s="705">
        <v>0</v>
      </c>
      <c r="V2359" s="705">
        <v>19941</v>
      </c>
      <c r="W2359" s="705">
        <f t="shared" si="94"/>
        <v>19942</v>
      </c>
      <c r="X2359" s="705">
        <f t="shared" si="95"/>
        <v>23449</v>
      </c>
    </row>
    <row r="2360" spans="2:24">
      <c r="B2360" t="s">
        <v>555</v>
      </c>
      <c r="C2360" t="s">
        <v>118</v>
      </c>
      <c r="D2360" t="s">
        <v>669</v>
      </c>
      <c r="E2360" t="s">
        <v>228</v>
      </c>
      <c r="F2360" s="705">
        <v>2</v>
      </c>
      <c r="G2360" s="705">
        <v>203</v>
      </c>
      <c r="H2360" s="705">
        <v>505</v>
      </c>
      <c r="I2360" s="705">
        <v>25459</v>
      </c>
      <c r="J2360" s="705">
        <v>21216</v>
      </c>
      <c r="K2360" s="705">
        <v>72</v>
      </c>
      <c r="L2360" s="705">
        <v>6947</v>
      </c>
      <c r="M2360" s="705">
        <v>5789</v>
      </c>
      <c r="N2360" s="705">
        <v>2796</v>
      </c>
      <c r="O2360" s="705">
        <v>1036</v>
      </c>
      <c r="P2360" s="705">
        <v>351</v>
      </c>
      <c r="Q2360" s="705">
        <v>130</v>
      </c>
      <c r="R2360" s="705">
        <v>15683</v>
      </c>
      <c r="S2360" s="705">
        <v>5809</v>
      </c>
      <c r="T2360" s="705">
        <v>0</v>
      </c>
      <c r="U2360" s="705">
        <v>0</v>
      </c>
      <c r="V2360" s="705">
        <v>33980</v>
      </c>
      <c r="W2360" s="705">
        <f t="shared" si="94"/>
        <v>33980</v>
      </c>
      <c r="X2360" s="705">
        <f t="shared" si="95"/>
        <v>51236</v>
      </c>
    </row>
    <row r="2361" spans="2:24">
      <c r="B2361" t="s">
        <v>555</v>
      </c>
      <c r="C2361" t="s">
        <v>118</v>
      </c>
      <c r="D2361" t="s">
        <v>669</v>
      </c>
      <c r="E2361" t="s">
        <v>669</v>
      </c>
      <c r="F2361" s="705">
        <v>19</v>
      </c>
      <c r="G2361" s="705">
        <v>1638</v>
      </c>
      <c r="H2361" s="705">
        <v>5179</v>
      </c>
      <c r="I2361" s="705">
        <v>250185</v>
      </c>
      <c r="J2361" s="705">
        <v>208487</v>
      </c>
      <c r="K2361" s="705">
        <v>65</v>
      </c>
      <c r="L2361" s="705">
        <v>18260</v>
      </c>
      <c r="M2361" s="705">
        <v>15609</v>
      </c>
      <c r="N2361" s="705">
        <v>32022</v>
      </c>
      <c r="O2361" s="705">
        <v>11860</v>
      </c>
      <c r="P2361" s="705">
        <v>7061</v>
      </c>
      <c r="Q2361" s="705">
        <v>2615</v>
      </c>
      <c r="R2361" s="705">
        <v>109716</v>
      </c>
      <c r="S2361" s="705">
        <v>91430</v>
      </c>
      <c r="T2361" s="705">
        <v>27632</v>
      </c>
      <c r="U2361" s="705">
        <v>10234</v>
      </c>
      <c r="V2361" s="705">
        <v>340236</v>
      </c>
      <c r="W2361" s="705">
        <f t="shared" si="94"/>
        <v>340235</v>
      </c>
      <c r="X2361" s="705">
        <f t="shared" si="95"/>
        <v>444876</v>
      </c>
    </row>
    <row r="2362" spans="2:24">
      <c r="B2362" t="s">
        <v>555</v>
      </c>
      <c r="C2362" t="s">
        <v>118</v>
      </c>
      <c r="D2362" t="s">
        <v>667</v>
      </c>
      <c r="E2362" t="s">
        <v>667</v>
      </c>
      <c r="F2362" s="705">
        <v>1</v>
      </c>
      <c r="G2362" s="705">
        <v>96</v>
      </c>
      <c r="H2362" s="705">
        <v>260</v>
      </c>
      <c r="I2362" s="705">
        <v>12307</v>
      </c>
      <c r="J2362" s="705">
        <v>11188</v>
      </c>
      <c r="K2362" s="705">
        <v>60</v>
      </c>
      <c r="L2362" s="705">
        <v>2735</v>
      </c>
      <c r="M2362" s="705">
        <v>2486</v>
      </c>
      <c r="N2362" s="705">
        <v>1629</v>
      </c>
      <c r="O2362" s="705">
        <v>604</v>
      </c>
      <c r="P2362" s="705">
        <v>351</v>
      </c>
      <c r="Q2362" s="705">
        <v>130</v>
      </c>
      <c r="R2362" s="705">
        <v>7847</v>
      </c>
      <c r="S2362" s="705">
        <v>7134</v>
      </c>
      <c r="T2362" s="705">
        <v>0</v>
      </c>
      <c r="U2362" s="705">
        <v>0</v>
      </c>
      <c r="V2362" s="705">
        <v>21542</v>
      </c>
      <c r="W2362" s="705">
        <f t="shared" si="94"/>
        <v>21542</v>
      </c>
      <c r="X2362" s="705">
        <f t="shared" si="95"/>
        <v>24869</v>
      </c>
    </row>
    <row r="2363" spans="2:24">
      <c r="B2363" t="s">
        <v>555</v>
      </c>
      <c r="C2363" t="s">
        <v>118</v>
      </c>
      <c r="D2363" t="s">
        <v>671</v>
      </c>
      <c r="E2363" t="s">
        <v>671</v>
      </c>
      <c r="F2363" s="705">
        <v>12</v>
      </c>
      <c r="G2363" s="705">
        <v>974</v>
      </c>
      <c r="H2363" s="705">
        <v>3472</v>
      </c>
      <c r="I2363" s="705">
        <v>170219</v>
      </c>
      <c r="J2363" s="705">
        <v>154744</v>
      </c>
      <c r="K2363" s="705">
        <v>56</v>
      </c>
      <c r="L2363" s="705">
        <v>20190</v>
      </c>
      <c r="M2363" s="705">
        <v>18355</v>
      </c>
      <c r="N2363" s="705">
        <v>12569</v>
      </c>
      <c r="O2363" s="705">
        <v>4655</v>
      </c>
      <c r="P2363" s="705">
        <v>3861</v>
      </c>
      <c r="Q2363" s="705">
        <v>1430</v>
      </c>
      <c r="R2363" s="705">
        <v>48917</v>
      </c>
      <c r="S2363" s="705">
        <v>44470</v>
      </c>
      <c r="T2363" s="705">
        <v>26175</v>
      </c>
      <c r="U2363" s="705">
        <v>9695</v>
      </c>
      <c r="V2363" s="705">
        <v>233349</v>
      </c>
      <c r="W2363" s="705">
        <f t="shared" si="94"/>
        <v>233349</v>
      </c>
      <c r="X2363" s="705">
        <f t="shared" si="95"/>
        <v>281931</v>
      </c>
    </row>
    <row r="2364" spans="2:24">
      <c r="B2364" t="s">
        <v>555</v>
      </c>
      <c r="C2364" t="s">
        <v>118</v>
      </c>
      <c r="D2364" t="s">
        <v>665</v>
      </c>
      <c r="E2364" t="s">
        <v>228</v>
      </c>
      <c r="F2364" s="705">
        <v>13</v>
      </c>
      <c r="G2364" s="705">
        <v>961</v>
      </c>
      <c r="H2364" s="705">
        <v>3616</v>
      </c>
      <c r="I2364" s="705">
        <v>104143</v>
      </c>
      <c r="J2364" s="705">
        <v>94676</v>
      </c>
      <c r="K2364" s="705">
        <v>70</v>
      </c>
      <c r="L2364" s="705">
        <v>31501</v>
      </c>
      <c r="M2364" s="705">
        <v>14876</v>
      </c>
      <c r="N2364" s="705">
        <v>19505</v>
      </c>
      <c r="O2364" s="705">
        <v>7224</v>
      </c>
      <c r="P2364" s="705">
        <v>4212</v>
      </c>
      <c r="Q2364" s="705">
        <v>1560</v>
      </c>
      <c r="R2364" s="705">
        <v>105826</v>
      </c>
      <c r="S2364" s="705">
        <v>39195</v>
      </c>
      <c r="T2364" s="705">
        <v>0</v>
      </c>
      <c r="U2364" s="705">
        <v>0</v>
      </c>
      <c r="V2364" s="705">
        <v>157531</v>
      </c>
      <c r="W2364" s="705">
        <f t="shared" si="94"/>
        <v>157531</v>
      </c>
      <c r="X2364" s="705">
        <f t="shared" si="95"/>
        <v>265187</v>
      </c>
    </row>
    <row r="2365" spans="2:24">
      <c r="B2365" t="s">
        <v>555</v>
      </c>
      <c r="C2365" t="s">
        <v>118</v>
      </c>
      <c r="D2365" t="s">
        <v>665</v>
      </c>
      <c r="E2365" t="s">
        <v>583</v>
      </c>
      <c r="F2365" s="705">
        <v>2</v>
      </c>
      <c r="G2365" s="705">
        <v>185</v>
      </c>
      <c r="H2365" s="705">
        <v>560</v>
      </c>
      <c r="I2365" s="705">
        <v>34568</v>
      </c>
      <c r="J2365" s="705">
        <v>31425</v>
      </c>
      <c r="K2365" s="705">
        <v>68</v>
      </c>
      <c r="L2365" s="705">
        <v>0</v>
      </c>
      <c r="M2365" s="705">
        <v>2020</v>
      </c>
      <c r="N2365" s="705">
        <v>3447</v>
      </c>
      <c r="O2365" s="705">
        <v>1277</v>
      </c>
      <c r="P2365" s="705">
        <v>972</v>
      </c>
      <c r="Q2365" s="705">
        <v>360</v>
      </c>
      <c r="R2365" s="705">
        <v>8474</v>
      </c>
      <c r="S2365" s="705">
        <v>7703</v>
      </c>
      <c r="T2365" s="705">
        <v>4573</v>
      </c>
      <c r="U2365" s="705">
        <v>1694</v>
      </c>
      <c r="V2365" s="705">
        <v>44479</v>
      </c>
      <c r="W2365" s="705">
        <f t="shared" si="94"/>
        <v>44479</v>
      </c>
      <c r="X2365" s="705">
        <f t="shared" si="95"/>
        <v>52034</v>
      </c>
    </row>
    <row r="2366" spans="2:24">
      <c r="B2366" t="s">
        <v>555</v>
      </c>
      <c r="C2366" t="s">
        <v>118</v>
      </c>
      <c r="D2366" t="s">
        <v>665</v>
      </c>
      <c r="E2366" t="s">
        <v>665</v>
      </c>
      <c r="F2366" s="705">
        <v>230</v>
      </c>
      <c r="G2366" s="705">
        <v>19529</v>
      </c>
      <c r="H2366" s="705">
        <v>61372</v>
      </c>
      <c r="I2366" s="705">
        <v>2742772</v>
      </c>
      <c r="J2366" s="705">
        <v>2493429</v>
      </c>
      <c r="K2366" s="705">
        <v>63</v>
      </c>
      <c r="L2366" s="705">
        <v>420930</v>
      </c>
      <c r="M2366" s="705">
        <v>354584</v>
      </c>
      <c r="N2366" s="705">
        <v>362979</v>
      </c>
      <c r="O2366" s="705">
        <v>134437</v>
      </c>
      <c r="P2366" s="705">
        <v>81068</v>
      </c>
      <c r="Q2366" s="705">
        <v>30025</v>
      </c>
      <c r="R2366" s="705">
        <v>1099696</v>
      </c>
      <c r="S2366" s="705">
        <v>999724</v>
      </c>
      <c r="T2366" s="705">
        <v>531954</v>
      </c>
      <c r="U2366" s="705">
        <v>197020</v>
      </c>
      <c r="V2366" s="705">
        <v>4209218</v>
      </c>
      <c r="W2366" s="705">
        <f t="shared" si="94"/>
        <v>4209219</v>
      </c>
      <c r="X2366" s="705">
        <f t="shared" si="95"/>
        <v>5239399</v>
      </c>
    </row>
    <row r="2367" spans="2:24">
      <c r="B2367" t="s">
        <v>555</v>
      </c>
      <c r="C2367" t="s">
        <v>118</v>
      </c>
      <c r="D2367" t="s">
        <v>673</v>
      </c>
      <c r="E2367" t="s">
        <v>673</v>
      </c>
      <c r="F2367" s="705">
        <v>7</v>
      </c>
      <c r="G2367" s="705">
        <v>575</v>
      </c>
      <c r="H2367" s="705">
        <v>1879</v>
      </c>
      <c r="I2367" s="705">
        <v>89945</v>
      </c>
      <c r="J2367" s="705">
        <v>81768</v>
      </c>
      <c r="K2367" s="705">
        <v>64</v>
      </c>
      <c r="L2367" s="705">
        <v>5810</v>
      </c>
      <c r="M2367" s="705">
        <v>5282</v>
      </c>
      <c r="N2367" s="705">
        <v>10106</v>
      </c>
      <c r="O2367" s="705">
        <v>3743</v>
      </c>
      <c r="P2367" s="705">
        <v>2457</v>
      </c>
      <c r="Q2367" s="705">
        <v>910</v>
      </c>
      <c r="R2367" s="705">
        <v>32816</v>
      </c>
      <c r="S2367" s="705">
        <v>29833</v>
      </c>
      <c r="T2367" s="705">
        <v>12642</v>
      </c>
      <c r="U2367" s="705">
        <v>4682</v>
      </c>
      <c r="V2367" s="705">
        <v>126219</v>
      </c>
      <c r="W2367" s="705">
        <f t="shared" si="94"/>
        <v>126218</v>
      </c>
      <c r="X2367" s="705">
        <f t="shared" si="95"/>
        <v>153776</v>
      </c>
    </row>
    <row r="2368" spans="2:24">
      <c r="B2368" t="s">
        <v>555</v>
      </c>
      <c r="C2368" t="s">
        <v>118</v>
      </c>
      <c r="D2368" t="s">
        <v>585</v>
      </c>
      <c r="E2368" t="s">
        <v>585</v>
      </c>
      <c r="F2368" s="705">
        <v>2</v>
      </c>
      <c r="G2368" s="705">
        <v>167</v>
      </c>
      <c r="H2368" s="705">
        <v>525</v>
      </c>
      <c r="I2368" s="705">
        <v>25721</v>
      </c>
      <c r="J2368" s="705">
        <v>23382</v>
      </c>
      <c r="K2368" s="705">
        <v>75</v>
      </c>
      <c r="L2368" s="705">
        <v>3196</v>
      </c>
      <c r="M2368" s="705">
        <v>2906</v>
      </c>
      <c r="N2368" s="705">
        <v>2262</v>
      </c>
      <c r="O2368" s="705">
        <v>838</v>
      </c>
      <c r="P2368" s="705">
        <v>1053</v>
      </c>
      <c r="Q2368" s="705">
        <v>390</v>
      </c>
      <c r="R2368" s="705">
        <v>6509</v>
      </c>
      <c r="S2368" s="705">
        <v>5918</v>
      </c>
      <c r="T2368" s="705">
        <v>4689</v>
      </c>
      <c r="U2368" s="705">
        <v>1737</v>
      </c>
      <c r="V2368" s="705">
        <v>35170</v>
      </c>
      <c r="W2368" s="705">
        <f t="shared" si="94"/>
        <v>35171</v>
      </c>
      <c r="X2368" s="705">
        <f t="shared" si="95"/>
        <v>43430</v>
      </c>
    </row>
    <row r="2369" spans="2:24">
      <c r="B2369" t="s">
        <v>555</v>
      </c>
      <c r="C2369" t="s">
        <v>118</v>
      </c>
      <c r="D2369" t="s">
        <v>585</v>
      </c>
      <c r="E2369" t="s">
        <v>668</v>
      </c>
      <c r="F2369" s="705">
        <v>1</v>
      </c>
      <c r="G2369" s="705">
        <v>60</v>
      </c>
      <c r="H2369" s="705">
        <v>269</v>
      </c>
      <c r="I2369" s="705">
        <v>13756</v>
      </c>
      <c r="J2369" s="705">
        <v>12506</v>
      </c>
      <c r="K2369" s="705">
        <v>65</v>
      </c>
      <c r="L2369" s="705">
        <v>3312</v>
      </c>
      <c r="M2369" s="705">
        <v>3011</v>
      </c>
      <c r="N2369" s="705">
        <v>2425</v>
      </c>
      <c r="O2369" s="705">
        <v>898</v>
      </c>
      <c r="P2369" s="705">
        <v>621</v>
      </c>
      <c r="Q2369" s="705">
        <v>230</v>
      </c>
      <c r="R2369" s="705">
        <v>6663</v>
      </c>
      <c r="S2369" s="705">
        <v>6057</v>
      </c>
      <c r="T2369" s="705">
        <v>0</v>
      </c>
      <c r="U2369" s="705">
        <v>0</v>
      </c>
      <c r="V2369" s="705">
        <v>22702</v>
      </c>
      <c r="W2369" s="705">
        <f t="shared" si="94"/>
        <v>22702</v>
      </c>
      <c r="X2369" s="705">
        <f t="shared" si="95"/>
        <v>26777</v>
      </c>
    </row>
    <row r="2370" spans="2:24">
      <c r="B2370" t="s">
        <v>555</v>
      </c>
      <c r="C2370" t="s">
        <v>120</v>
      </c>
      <c r="D2370" t="s">
        <v>664</v>
      </c>
      <c r="E2370" t="s">
        <v>664</v>
      </c>
      <c r="F2370" s="705">
        <v>2</v>
      </c>
      <c r="G2370" s="705">
        <v>178</v>
      </c>
      <c r="H2370" s="705">
        <v>654</v>
      </c>
      <c r="I2370" s="705">
        <v>51518</v>
      </c>
      <c r="J2370" s="705">
        <v>46835</v>
      </c>
      <c r="K2370" s="705">
        <v>88</v>
      </c>
      <c r="L2370" s="705">
        <v>7889</v>
      </c>
      <c r="M2370" s="705">
        <v>7172</v>
      </c>
      <c r="N2370" s="705">
        <v>4671</v>
      </c>
      <c r="O2370" s="705">
        <v>1730</v>
      </c>
      <c r="P2370" s="705">
        <v>1094</v>
      </c>
      <c r="Q2370" s="705">
        <v>405</v>
      </c>
      <c r="R2370" s="705">
        <v>7299</v>
      </c>
      <c r="S2370" s="705">
        <v>6635</v>
      </c>
      <c r="T2370" s="705">
        <v>5181</v>
      </c>
      <c r="U2370" s="705">
        <v>1919</v>
      </c>
      <c r="V2370" s="705">
        <v>64695</v>
      </c>
      <c r="W2370" s="705">
        <f t="shared" si="94"/>
        <v>64696</v>
      </c>
      <c r="X2370" s="705">
        <f t="shared" si="95"/>
        <v>77652</v>
      </c>
    </row>
    <row r="2371" spans="2:24">
      <c r="B2371" t="s">
        <v>555</v>
      </c>
      <c r="C2371" t="s">
        <v>120</v>
      </c>
      <c r="D2371" t="s">
        <v>664</v>
      </c>
      <c r="E2371" t="s">
        <v>583</v>
      </c>
      <c r="F2371" s="705">
        <v>2</v>
      </c>
      <c r="G2371" s="705">
        <v>309</v>
      </c>
      <c r="H2371" s="705">
        <v>629</v>
      </c>
      <c r="I2371" s="705">
        <v>60452</v>
      </c>
      <c r="J2371" s="705">
        <v>54956</v>
      </c>
      <c r="K2371" s="705">
        <v>85</v>
      </c>
      <c r="L2371" s="705">
        <v>15069</v>
      </c>
      <c r="M2371" s="705">
        <v>13699</v>
      </c>
      <c r="N2371" s="705">
        <v>7089</v>
      </c>
      <c r="O2371" s="705">
        <v>2626</v>
      </c>
      <c r="P2371" s="705">
        <v>1242</v>
      </c>
      <c r="Q2371" s="705">
        <v>460</v>
      </c>
      <c r="R2371" s="705">
        <v>13618</v>
      </c>
      <c r="S2371" s="705">
        <v>12380</v>
      </c>
      <c r="T2371" s="705">
        <v>0</v>
      </c>
      <c r="U2371" s="705">
        <v>0</v>
      </c>
      <c r="V2371" s="705">
        <v>84121</v>
      </c>
      <c r="W2371" s="705">
        <f t="shared" si="94"/>
        <v>84121</v>
      </c>
      <c r="X2371" s="705">
        <f t="shared" si="95"/>
        <v>97470</v>
      </c>
    </row>
    <row r="2372" spans="2:24">
      <c r="B2372" t="s">
        <v>555</v>
      </c>
      <c r="C2372" t="s">
        <v>120</v>
      </c>
      <c r="D2372" t="s">
        <v>582</v>
      </c>
      <c r="E2372" t="s">
        <v>582</v>
      </c>
      <c r="F2372" s="705">
        <v>3</v>
      </c>
      <c r="G2372" s="705">
        <v>263</v>
      </c>
      <c r="H2372" s="705">
        <v>1047</v>
      </c>
      <c r="I2372" s="705">
        <v>58755</v>
      </c>
      <c r="J2372" s="705">
        <v>53413</v>
      </c>
      <c r="K2372" s="705">
        <v>70</v>
      </c>
      <c r="L2372" s="705">
        <v>6833</v>
      </c>
      <c r="M2372" s="705">
        <v>6212</v>
      </c>
      <c r="N2372" s="705">
        <v>4785</v>
      </c>
      <c r="O2372" s="705">
        <v>1772</v>
      </c>
      <c r="P2372" s="705">
        <v>1296</v>
      </c>
      <c r="Q2372" s="705">
        <v>480</v>
      </c>
      <c r="R2372" s="705">
        <v>18510</v>
      </c>
      <c r="S2372" s="705">
        <v>16827</v>
      </c>
      <c r="T2372" s="705">
        <v>1972</v>
      </c>
      <c r="U2372" s="705">
        <v>730</v>
      </c>
      <c r="V2372" s="705">
        <v>79434</v>
      </c>
      <c r="W2372" s="705">
        <f t="shared" si="94"/>
        <v>79434</v>
      </c>
      <c r="X2372" s="705">
        <f t="shared" si="95"/>
        <v>92151</v>
      </c>
    </row>
    <row r="2373" spans="2:24">
      <c r="B2373" t="s">
        <v>555</v>
      </c>
      <c r="C2373" t="s">
        <v>120</v>
      </c>
      <c r="D2373" t="s">
        <v>228</v>
      </c>
      <c r="E2373" t="s">
        <v>228</v>
      </c>
      <c r="F2373" s="705">
        <v>144</v>
      </c>
      <c r="G2373" s="705">
        <v>11634</v>
      </c>
      <c r="H2373" s="705">
        <v>48793</v>
      </c>
      <c r="I2373" s="705">
        <v>2328884</v>
      </c>
      <c r="J2373" s="705">
        <v>862549</v>
      </c>
      <c r="K2373" s="705">
        <v>100</v>
      </c>
      <c r="L2373" s="705">
        <v>326037</v>
      </c>
      <c r="M2373" s="705">
        <v>247423</v>
      </c>
      <c r="N2373" s="705">
        <v>229787</v>
      </c>
      <c r="O2373" s="705">
        <v>85106</v>
      </c>
      <c r="P2373" s="705">
        <v>5967</v>
      </c>
      <c r="Q2373" s="705">
        <v>2210</v>
      </c>
      <c r="R2373" s="705">
        <v>1034499</v>
      </c>
      <c r="S2373" s="705">
        <v>383148</v>
      </c>
      <c r="T2373" s="705">
        <v>7488</v>
      </c>
      <c r="U2373" s="705">
        <v>2773</v>
      </c>
      <c r="V2373" s="705">
        <v>1583210</v>
      </c>
      <c r="W2373" s="705">
        <f t="shared" si="94"/>
        <v>1583209</v>
      </c>
      <c r="X2373" s="705">
        <f t="shared" si="95"/>
        <v>3932662</v>
      </c>
    </row>
    <row r="2374" spans="2:24">
      <c r="B2374" t="s">
        <v>555</v>
      </c>
      <c r="C2374" t="s">
        <v>120</v>
      </c>
      <c r="D2374" t="s">
        <v>228</v>
      </c>
      <c r="E2374" t="s">
        <v>666</v>
      </c>
      <c r="F2374" s="705">
        <v>3</v>
      </c>
      <c r="G2374" s="705">
        <v>215</v>
      </c>
      <c r="H2374" s="705">
        <v>1049</v>
      </c>
      <c r="I2374" s="705">
        <v>42066</v>
      </c>
      <c r="J2374" s="705">
        <v>15580</v>
      </c>
      <c r="K2374" s="705">
        <v>100</v>
      </c>
      <c r="L2374" s="705">
        <v>6707</v>
      </c>
      <c r="M2374" s="705">
        <v>6097</v>
      </c>
      <c r="N2374" s="705">
        <v>3793</v>
      </c>
      <c r="O2374" s="705">
        <v>1405</v>
      </c>
      <c r="P2374" s="705">
        <v>0</v>
      </c>
      <c r="Q2374" s="705">
        <v>0</v>
      </c>
      <c r="R2374" s="705">
        <v>17806</v>
      </c>
      <c r="S2374" s="705">
        <v>16188</v>
      </c>
      <c r="T2374" s="705">
        <v>4304</v>
      </c>
      <c r="U2374" s="705">
        <v>1594</v>
      </c>
      <c r="V2374" s="705">
        <v>40863</v>
      </c>
      <c r="W2374" s="705">
        <f t="shared" si="94"/>
        <v>40864</v>
      </c>
      <c r="X2374" s="705">
        <f t="shared" si="95"/>
        <v>74676</v>
      </c>
    </row>
    <row r="2375" spans="2:24">
      <c r="B2375" t="s">
        <v>555</v>
      </c>
      <c r="C2375" t="s">
        <v>120</v>
      </c>
      <c r="D2375" t="s">
        <v>228</v>
      </c>
      <c r="E2375" t="s">
        <v>665</v>
      </c>
      <c r="F2375" s="705">
        <v>6</v>
      </c>
      <c r="G2375" s="705">
        <v>482</v>
      </c>
      <c r="H2375" s="705">
        <v>2060</v>
      </c>
      <c r="I2375" s="705">
        <v>97534</v>
      </c>
      <c r="J2375" s="705">
        <v>36124</v>
      </c>
      <c r="K2375" s="705">
        <v>100</v>
      </c>
      <c r="L2375" s="705">
        <v>14700</v>
      </c>
      <c r="M2375" s="705">
        <v>13364</v>
      </c>
      <c r="N2375" s="705">
        <v>8921</v>
      </c>
      <c r="O2375" s="705">
        <v>3304</v>
      </c>
      <c r="P2375" s="705">
        <v>1053</v>
      </c>
      <c r="Q2375" s="705">
        <v>390</v>
      </c>
      <c r="R2375" s="705">
        <v>29269</v>
      </c>
      <c r="S2375" s="705">
        <v>26608</v>
      </c>
      <c r="T2375" s="705">
        <v>13194</v>
      </c>
      <c r="U2375" s="705">
        <v>4887</v>
      </c>
      <c r="V2375" s="705">
        <v>84677</v>
      </c>
      <c r="W2375" s="705">
        <f t="shared" si="94"/>
        <v>84677</v>
      </c>
      <c r="X2375" s="705">
        <f t="shared" si="95"/>
        <v>164671</v>
      </c>
    </row>
    <row r="2376" spans="2:24">
      <c r="B2376" t="s">
        <v>555</v>
      </c>
      <c r="C2376" t="s">
        <v>120</v>
      </c>
      <c r="D2376" t="s">
        <v>583</v>
      </c>
      <c r="E2376" t="s">
        <v>664</v>
      </c>
      <c r="F2376" s="705">
        <v>1</v>
      </c>
      <c r="G2376" s="705">
        <v>82</v>
      </c>
      <c r="H2376" s="705">
        <v>308</v>
      </c>
      <c r="I2376" s="705">
        <v>14675</v>
      </c>
      <c r="J2376" s="705">
        <v>13341</v>
      </c>
      <c r="K2376" s="705">
        <v>70</v>
      </c>
      <c r="L2376" s="705">
        <v>3614</v>
      </c>
      <c r="M2376" s="705">
        <v>3286</v>
      </c>
      <c r="N2376" s="705">
        <v>1079</v>
      </c>
      <c r="O2376" s="705">
        <v>400</v>
      </c>
      <c r="P2376" s="705">
        <v>621</v>
      </c>
      <c r="Q2376" s="705">
        <v>230</v>
      </c>
      <c r="R2376" s="705">
        <v>3525</v>
      </c>
      <c r="S2376" s="705">
        <v>3205</v>
      </c>
      <c r="T2376" s="705">
        <v>1747</v>
      </c>
      <c r="U2376" s="705">
        <v>647</v>
      </c>
      <c r="V2376" s="705">
        <v>21108</v>
      </c>
      <c r="W2376" s="705">
        <f t="shared" si="94"/>
        <v>21109</v>
      </c>
      <c r="X2376" s="705">
        <f t="shared" si="95"/>
        <v>25261</v>
      </c>
    </row>
    <row r="2377" spans="2:24">
      <c r="B2377" t="s">
        <v>555</v>
      </c>
      <c r="C2377" t="s">
        <v>120</v>
      </c>
      <c r="D2377" t="s">
        <v>583</v>
      </c>
      <c r="E2377" t="s">
        <v>228</v>
      </c>
      <c r="F2377" s="705">
        <v>7</v>
      </c>
      <c r="G2377" s="705">
        <v>400</v>
      </c>
      <c r="H2377" s="705">
        <v>2401</v>
      </c>
      <c r="I2377" s="705">
        <v>84722</v>
      </c>
      <c r="J2377" s="705">
        <v>77020</v>
      </c>
      <c r="K2377" s="705">
        <v>84</v>
      </c>
      <c r="L2377" s="705">
        <v>17360</v>
      </c>
      <c r="M2377" s="705">
        <v>14878</v>
      </c>
      <c r="N2377" s="705">
        <v>8789</v>
      </c>
      <c r="O2377" s="705">
        <v>3255</v>
      </c>
      <c r="P2377" s="705">
        <v>4347</v>
      </c>
      <c r="Q2377" s="705">
        <v>1610</v>
      </c>
      <c r="R2377" s="705">
        <v>37810</v>
      </c>
      <c r="S2377" s="705">
        <v>14004</v>
      </c>
      <c r="T2377" s="705">
        <v>0</v>
      </c>
      <c r="U2377" s="705">
        <v>0</v>
      </c>
      <c r="V2377" s="705">
        <v>110768</v>
      </c>
      <c r="W2377" s="705">
        <f t="shared" si="94"/>
        <v>110767</v>
      </c>
      <c r="X2377" s="705">
        <f t="shared" si="95"/>
        <v>153028</v>
      </c>
    </row>
    <row r="2378" spans="2:24">
      <c r="B2378" t="s">
        <v>555</v>
      </c>
      <c r="C2378" t="s">
        <v>120</v>
      </c>
      <c r="D2378" t="s">
        <v>583</v>
      </c>
      <c r="E2378" t="s">
        <v>583</v>
      </c>
      <c r="F2378" s="705">
        <v>769</v>
      </c>
      <c r="G2378" s="705">
        <v>65842</v>
      </c>
      <c r="H2378" s="705">
        <v>260020</v>
      </c>
      <c r="I2378" s="705">
        <v>13106868</v>
      </c>
      <c r="J2378" s="705">
        <v>11915334</v>
      </c>
      <c r="K2378" s="705">
        <v>78</v>
      </c>
      <c r="L2378" s="705">
        <v>2639808</v>
      </c>
      <c r="M2378" s="705">
        <v>2297074</v>
      </c>
      <c r="N2378" s="705">
        <v>1375486</v>
      </c>
      <c r="O2378" s="705">
        <v>509439</v>
      </c>
      <c r="P2378" s="705">
        <v>483525</v>
      </c>
      <c r="Q2378" s="705">
        <v>179084</v>
      </c>
      <c r="R2378" s="705">
        <v>3518832</v>
      </c>
      <c r="S2378" s="705">
        <v>3198938</v>
      </c>
      <c r="T2378" s="705">
        <v>1251417</v>
      </c>
      <c r="U2378" s="705">
        <v>463488</v>
      </c>
      <c r="V2378" s="705">
        <v>18563357</v>
      </c>
      <c r="W2378" s="705">
        <f t="shared" si="94"/>
        <v>18563357</v>
      </c>
      <c r="X2378" s="705">
        <f t="shared" si="95"/>
        <v>22375936</v>
      </c>
    </row>
    <row r="2379" spans="2:24">
      <c r="B2379" t="s">
        <v>555</v>
      </c>
      <c r="C2379" t="s">
        <v>120</v>
      </c>
      <c r="D2379" t="s">
        <v>583</v>
      </c>
      <c r="E2379" t="s">
        <v>665</v>
      </c>
      <c r="F2379" s="705">
        <v>2</v>
      </c>
      <c r="G2379" s="705">
        <v>224</v>
      </c>
      <c r="H2379" s="705">
        <v>715</v>
      </c>
      <c r="I2379" s="705">
        <v>46665</v>
      </c>
      <c r="J2379" s="705">
        <v>42422</v>
      </c>
      <c r="K2379" s="705">
        <v>82</v>
      </c>
      <c r="L2379" s="705">
        <v>11061</v>
      </c>
      <c r="M2379" s="705">
        <v>10055</v>
      </c>
      <c r="N2379" s="705">
        <v>5282</v>
      </c>
      <c r="O2379" s="705">
        <v>1956</v>
      </c>
      <c r="P2379" s="705">
        <v>1364</v>
      </c>
      <c r="Q2379" s="705">
        <v>505</v>
      </c>
      <c r="R2379" s="705">
        <v>15462</v>
      </c>
      <c r="S2379" s="705">
        <v>14057</v>
      </c>
      <c r="T2379" s="705">
        <v>1701</v>
      </c>
      <c r="U2379" s="705">
        <v>630</v>
      </c>
      <c r="V2379" s="705">
        <v>69626</v>
      </c>
      <c r="W2379" s="705">
        <f t="shared" si="94"/>
        <v>69625</v>
      </c>
      <c r="X2379" s="705">
        <f t="shared" si="95"/>
        <v>81535</v>
      </c>
    </row>
    <row r="2380" spans="2:24">
      <c r="B2380" t="s">
        <v>555</v>
      </c>
      <c r="C2380" t="s">
        <v>120</v>
      </c>
      <c r="D2380" t="s">
        <v>666</v>
      </c>
      <c r="E2380" t="s">
        <v>583</v>
      </c>
      <c r="F2380" s="705">
        <v>1</v>
      </c>
      <c r="G2380" s="705">
        <v>72</v>
      </c>
      <c r="H2380" s="705">
        <v>344</v>
      </c>
      <c r="I2380" s="705">
        <v>16745</v>
      </c>
      <c r="J2380" s="705">
        <v>15222</v>
      </c>
      <c r="K2380" s="705">
        <v>55</v>
      </c>
      <c r="L2380" s="705">
        <v>0</v>
      </c>
      <c r="M2380" s="705">
        <v>0</v>
      </c>
      <c r="N2380" s="705">
        <v>1764</v>
      </c>
      <c r="O2380" s="705">
        <v>653</v>
      </c>
      <c r="P2380" s="705">
        <v>351</v>
      </c>
      <c r="Q2380" s="705">
        <v>130</v>
      </c>
      <c r="R2380" s="705">
        <v>3638</v>
      </c>
      <c r="S2380" s="705">
        <v>3307</v>
      </c>
      <c r="T2380" s="705">
        <v>2419</v>
      </c>
      <c r="U2380" s="705">
        <v>896</v>
      </c>
      <c r="V2380" s="705">
        <v>20209</v>
      </c>
      <c r="W2380" s="705">
        <f t="shared" si="94"/>
        <v>20208</v>
      </c>
      <c r="X2380" s="705">
        <f t="shared" si="95"/>
        <v>24917</v>
      </c>
    </row>
    <row r="2381" spans="2:24">
      <c r="B2381" t="s">
        <v>555</v>
      </c>
      <c r="C2381" t="s">
        <v>120</v>
      </c>
      <c r="D2381" t="s">
        <v>666</v>
      </c>
      <c r="E2381" t="s">
        <v>666</v>
      </c>
      <c r="F2381" s="705">
        <v>21</v>
      </c>
      <c r="G2381" s="705">
        <v>1641</v>
      </c>
      <c r="H2381" s="705">
        <v>6943</v>
      </c>
      <c r="I2381" s="705">
        <v>302637</v>
      </c>
      <c r="J2381" s="705">
        <v>275124</v>
      </c>
      <c r="K2381" s="705">
        <v>58</v>
      </c>
      <c r="L2381" s="705">
        <v>42632</v>
      </c>
      <c r="M2381" s="705">
        <v>22357</v>
      </c>
      <c r="N2381" s="705">
        <v>33401</v>
      </c>
      <c r="O2381" s="705">
        <v>12371</v>
      </c>
      <c r="P2381" s="705">
        <v>7493</v>
      </c>
      <c r="Q2381" s="705">
        <v>2775</v>
      </c>
      <c r="R2381" s="705">
        <v>125766</v>
      </c>
      <c r="S2381" s="705">
        <v>114333</v>
      </c>
      <c r="T2381" s="705">
        <v>31343</v>
      </c>
      <c r="U2381" s="705">
        <v>11608</v>
      </c>
      <c r="V2381" s="705">
        <v>438568</v>
      </c>
      <c r="W2381" s="705">
        <f t="shared" si="94"/>
        <v>438568</v>
      </c>
      <c r="X2381" s="705">
        <f t="shared" si="95"/>
        <v>543272</v>
      </c>
    </row>
    <row r="2382" spans="2:24">
      <c r="B2382" t="s">
        <v>555</v>
      </c>
      <c r="C2382" t="s">
        <v>120</v>
      </c>
      <c r="D2382" t="s">
        <v>584</v>
      </c>
      <c r="E2382" t="s">
        <v>228</v>
      </c>
      <c r="F2382" s="705">
        <v>3</v>
      </c>
      <c r="G2382" s="705">
        <v>264</v>
      </c>
      <c r="H2382" s="705">
        <v>1054</v>
      </c>
      <c r="I2382" s="705">
        <v>59395</v>
      </c>
      <c r="J2382" s="705">
        <v>53995</v>
      </c>
      <c r="K2382" s="705">
        <v>48</v>
      </c>
      <c r="L2382" s="705">
        <v>4920</v>
      </c>
      <c r="M2382" s="705">
        <v>2931</v>
      </c>
      <c r="N2382" s="705">
        <v>5810</v>
      </c>
      <c r="O2382" s="705">
        <v>2152</v>
      </c>
      <c r="P2382" s="705">
        <v>702</v>
      </c>
      <c r="Q2382" s="705">
        <v>260</v>
      </c>
      <c r="R2382" s="705">
        <v>19643</v>
      </c>
      <c r="S2382" s="705">
        <v>7275</v>
      </c>
      <c r="T2382" s="705">
        <v>1107</v>
      </c>
      <c r="U2382" s="705">
        <v>410</v>
      </c>
      <c r="V2382" s="705">
        <v>67023</v>
      </c>
      <c r="W2382" s="705">
        <f t="shared" si="94"/>
        <v>67023</v>
      </c>
      <c r="X2382" s="705">
        <f t="shared" si="95"/>
        <v>91577</v>
      </c>
    </row>
    <row r="2383" spans="2:24">
      <c r="B2383" t="s">
        <v>555</v>
      </c>
      <c r="C2383" t="s">
        <v>120</v>
      </c>
      <c r="D2383" t="s">
        <v>584</v>
      </c>
      <c r="E2383" t="s">
        <v>584</v>
      </c>
      <c r="F2383" s="705">
        <v>237</v>
      </c>
      <c r="G2383" s="705">
        <v>18517</v>
      </c>
      <c r="H2383" s="705">
        <v>80156</v>
      </c>
      <c r="I2383" s="705">
        <v>3679362</v>
      </c>
      <c r="J2383" s="705">
        <v>3344875</v>
      </c>
      <c r="K2383" s="705">
        <v>75</v>
      </c>
      <c r="L2383" s="705">
        <v>735244</v>
      </c>
      <c r="M2383" s="705">
        <v>641161</v>
      </c>
      <c r="N2383" s="705">
        <v>395050</v>
      </c>
      <c r="O2383" s="705">
        <v>146315</v>
      </c>
      <c r="P2383" s="705">
        <v>109782</v>
      </c>
      <c r="Q2383" s="705">
        <v>40660</v>
      </c>
      <c r="R2383" s="705">
        <v>1110759</v>
      </c>
      <c r="S2383" s="705">
        <v>1009781</v>
      </c>
      <c r="T2383" s="705">
        <v>303740</v>
      </c>
      <c r="U2383" s="705">
        <v>112496</v>
      </c>
      <c r="V2383" s="705">
        <v>5295288</v>
      </c>
      <c r="W2383" s="705">
        <f t="shared" si="94"/>
        <v>5295288</v>
      </c>
      <c r="X2383" s="705">
        <f t="shared" si="95"/>
        <v>6333937</v>
      </c>
    </row>
    <row r="2384" spans="2:24">
      <c r="B2384" t="s">
        <v>555</v>
      </c>
      <c r="C2384" t="s">
        <v>120</v>
      </c>
      <c r="D2384" t="s">
        <v>584</v>
      </c>
      <c r="E2384" t="s">
        <v>669</v>
      </c>
      <c r="F2384" s="705">
        <v>1</v>
      </c>
      <c r="G2384" s="705">
        <v>231</v>
      </c>
      <c r="H2384" s="705">
        <v>339</v>
      </c>
      <c r="I2384" s="705">
        <v>64225</v>
      </c>
      <c r="J2384" s="705">
        <v>58386</v>
      </c>
      <c r="K2384" s="705">
        <v>70</v>
      </c>
      <c r="L2384" s="705">
        <v>0</v>
      </c>
      <c r="M2384" s="705">
        <v>15137</v>
      </c>
      <c r="N2384" s="705">
        <v>5056</v>
      </c>
      <c r="O2384" s="705">
        <v>1873</v>
      </c>
      <c r="P2384" s="705">
        <v>473</v>
      </c>
      <c r="Q2384" s="705">
        <v>175</v>
      </c>
      <c r="R2384" s="705">
        <v>8520</v>
      </c>
      <c r="S2384" s="705">
        <v>7100</v>
      </c>
      <c r="T2384" s="705">
        <v>0</v>
      </c>
      <c r="U2384" s="705">
        <v>0</v>
      </c>
      <c r="V2384" s="705">
        <v>82672</v>
      </c>
      <c r="W2384" s="705">
        <f t="shared" si="94"/>
        <v>82671</v>
      </c>
      <c r="X2384" s="705">
        <f t="shared" si="95"/>
        <v>78274</v>
      </c>
    </row>
    <row r="2385" spans="2:24">
      <c r="B2385" t="s">
        <v>555</v>
      </c>
      <c r="C2385" t="s">
        <v>120</v>
      </c>
      <c r="D2385" t="s">
        <v>669</v>
      </c>
      <c r="E2385" t="s">
        <v>228</v>
      </c>
      <c r="F2385" s="705">
        <v>2</v>
      </c>
      <c r="G2385" s="705">
        <v>159</v>
      </c>
      <c r="H2385" s="705">
        <v>660</v>
      </c>
      <c r="I2385" s="705">
        <v>31688</v>
      </c>
      <c r="J2385" s="705">
        <v>26407</v>
      </c>
      <c r="K2385" s="705">
        <v>58</v>
      </c>
      <c r="L2385" s="705">
        <v>2089</v>
      </c>
      <c r="M2385" s="705">
        <v>774</v>
      </c>
      <c r="N2385" s="705">
        <v>3420</v>
      </c>
      <c r="O2385" s="705">
        <v>1267</v>
      </c>
      <c r="P2385" s="705">
        <v>351</v>
      </c>
      <c r="Q2385" s="705">
        <v>130</v>
      </c>
      <c r="R2385" s="705">
        <v>15031</v>
      </c>
      <c r="S2385" s="705">
        <v>5567</v>
      </c>
      <c r="T2385" s="705">
        <v>0</v>
      </c>
      <c r="U2385" s="705">
        <v>0</v>
      </c>
      <c r="V2385" s="705">
        <v>34144</v>
      </c>
      <c r="W2385" s="705">
        <f t="shared" si="94"/>
        <v>34145</v>
      </c>
      <c r="X2385" s="705">
        <f t="shared" si="95"/>
        <v>52579</v>
      </c>
    </row>
    <row r="2386" spans="2:24">
      <c r="B2386" t="s">
        <v>555</v>
      </c>
      <c r="C2386" t="s">
        <v>120</v>
      </c>
      <c r="D2386" t="s">
        <v>669</v>
      </c>
      <c r="E2386" t="s">
        <v>669</v>
      </c>
      <c r="F2386" s="705">
        <v>30</v>
      </c>
      <c r="G2386" s="705">
        <v>2452</v>
      </c>
      <c r="H2386" s="705">
        <v>10139</v>
      </c>
      <c r="I2386" s="705">
        <v>487546</v>
      </c>
      <c r="J2386" s="705">
        <v>406288</v>
      </c>
      <c r="K2386" s="705">
        <v>55</v>
      </c>
      <c r="L2386" s="705">
        <v>27103</v>
      </c>
      <c r="M2386" s="705">
        <v>22877</v>
      </c>
      <c r="N2386" s="705">
        <v>53048</v>
      </c>
      <c r="O2386" s="705">
        <v>19647</v>
      </c>
      <c r="P2386" s="705">
        <v>9828</v>
      </c>
      <c r="Q2386" s="705">
        <v>3640</v>
      </c>
      <c r="R2386" s="705">
        <v>190141</v>
      </c>
      <c r="S2386" s="705">
        <v>158451</v>
      </c>
      <c r="T2386" s="705">
        <v>62817</v>
      </c>
      <c r="U2386" s="705">
        <v>23265</v>
      </c>
      <c r="V2386" s="705">
        <v>634169</v>
      </c>
      <c r="W2386" s="705">
        <f t="shared" si="94"/>
        <v>634168</v>
      </c>
      <c r="X2386" s="705">
        <f t="shared" si="95"/>
        <v>830483</v>
      </c>
    </row>
    <row r="2387" spans="2:24">
      <c r="B2387" t="s">
        <v>555</v>
      </c>
      <c r="C2387" t="s">
        <v>120</v>
      </c>
      <c r="D2387" t="s">
        <v>667</v>
      </c>
      <c r="E2387" t="s">
        <v>667</v>
      </c>
      <c r="F2387" s="705">
        <v>2</v>
      </c>
      <c r="G2387" s="705">
        <v>177</v>
      </c>
      <c r="H2387" s="705">
        <v>698</v>
      </c>
      <c r="I2387" s="705">
        <v>36126</v>
      </c>
      <c r="J2387" s="705">
        <v>32842</v>
      </c>
      <c r="K2387" s="705">
        <v>63</v>
      </c>
      <c r="L2387" s="705">
        <v>8253</v>
      </c>
      <c r="M2387" s="705">
        <v>7503</v>
      </c>
      <c r="N2387" s="705">
        <v>3062</v>
      </c>
      <c r="O2387" s="705">
        <v>1134</v>
      </c>
      <c r="P2387" s="705">
        <v>702</v>
      </c>
      <c r="Q2387" s="705">
        <v>260</v>
      </c>
      <c r="R2387" s="705">
        <v>12145</v>
      </c>
      <c r="S2387" s="705">
        <v>11041</v>
      </c>
      <c r="T2387" s="705">
        <v>1980</v>
      </c>
      <c r="U2387" s="705">
        <v>733</v>
      </c>
      <c r="V2387" s="705">
        <v>53512</v>
      </c>
      <c r="W2387" s="705">
        <f t="shared" si="94"/>
        <v>53513</v>
      </c>
      <c r="X2387" s="705">
        <f t="shared" si="95"/>
        <v>62268</v>
      </c>
    </row>
    <row r="2388" spans="2:24">
      <c r="B2388" t="s">
        <v>555</v>
      </c>
      <c r="C2388" t="s">
        <v>120</v>
      </c>
      <c r="D2388" t="s">
        <v>667</v>
      </c>
      <c r="E2388" t="s">
        <v>673</v>
      </c>
      <c r="F2388" s="705">
        <v>1</v>
      </c>
      <c r="G2388" s="705">
        <v>52</v>
      </c>
      <c r="H2388" s="705">
        <v>365</v>
      </c>
      <c r="I2388" s="705">
        <v>11321</v>
      </c>
      <c r="J2388" s="705">
        <v>10292</v>
      </c>
      <c r="K2388" s="705">
        <v>55</v>
      </c>
      <c r="L2388" s="705">
        <v>1064</v>
      </c>
      <c r="M2388" s="705">
        <v>968</v>
      </c>
      <c r="N2388" s="705">
        <v>835</v>
      </c>
      <c r="O2388" s="705">
        <v>309</v>
      </c>
      <c r="P2388" s="705">
        <v>351</v>
      </c>
      <c r="Q2388" s="705">
        <v>130</v>
      </c>
      <c r="R2388" s="705">
        <v>3478</v>
      </c>
      <c r="S2388" s="705">
        <v>3161</v>
      </c>
      <c r="T2388" s="705">
        <v>1769</v>
      </c>
      <c r="U2388" s="705">
        <v>655</v>
      </c>
      <c r="V2388" s="705">
        <v>15516</v>
      </c>
      <c r="W2388" s="705">
        <f t="shared" si="94"/>
        <v>15515</v>
      </c>
      <c r="X2388" s="705">
        <f t="shared" si="95"/>
        <v>18818</v>
      </c>
    </row>
    <row r="2389" spans="2:24">
      <c r="B2389" t="s">
        <v>555</v>
      </c>
      <c r="C2389" t="s">
        <v>120</v>
      </c>
      <c r="D2389" t="s">
        <v>671</v>
      </c>
      <c r="E2389" t="s">
        <v>671</v>
      </c>
      <c r="F2389" s="705">
        <v>14</v>
      </c>
      <c r="G2389" s="705">
        <v>1209</v>
      </c>
      <c r="H2389" s="705">
        <v>4421</v>
      </c>
      <c r="I2389" s="705">
        <v>245373</v>
      </c>
      <c r="J2389" s="705">
        <v>223067</v>
      </c>
      <c r="K2389" s="705">
        <v>55</v>
      </c>
      <c r="L2389" s="705">
        <v>25498</v>
      </c>
      <c r="M2389" s="705">
        <v>23180</v>
      </c>
      <c r="N2389" s="705">
        <v>15418</v>
      </c>
      <c r="O2389" s="705">
        <v>5710</v>
      </c>
      <c r="P2389" s="705">
        <v>5454</v>
      </c>
      <c r="Q2389" s="705">
        <v>2020</v>
      </c>
      <c r="R2389" s="705">
        <v>57608</v>
      </c>
      <c r="S2389" s="705">
        <v>52371</v>
      </c>
      <c r="T2389" s="705">
        <v>30802</v>
      </c>
      <c r="U2389" s="705">
        <v>11408</v>
      </c>
      <c r="V2389" s="705">
        <v>317755</v>
      </c>
      <c r="W2389" s="705">
        <f t="shared" si="94"/>
        <v>317756</v>
      </c>
      <c r="X2389" s="705">
        <f t="shared" si="95"/>
        <v>380153</v>
      </c>
    </row>
    <row r="2390" spans="2:24">
      <c r="B2390" t="s">
        <v>555</v>
      </c>
      <c r="C2390" t="s">
        <v>120</v>
      </c>
      <c r="D2390" t="s">
        <v>665</v>
      </c>
      <c r="E2390" t="s">
        <v>228</v>
      </c>
      <c r="F2390" s="705">
        <v>2</v>
      </c>
      <c r="G2390" s="705">
        <v>136</v>
      </c>
      <c r="H2390" s="705">
        <v>630</v>
      </c>
      <c r="I2390" s="705">
        <v>15617</v>
      </c>
      <c r="J2390" s="705">
        <v>14197</v>
      </c>
      <c r="K2390" s="705">
        <v>70</v>
      </c>
      <c r="L2390" s="705">
        <v>4735</v>
      </c>
      <c r="M2390" s="705">
        <v>1754</v>
      </c>
      <c r="N2390" s="705">
        <v>2980</v>
      </c>
      <c r="O2390" s="705">
        <v>1104</v>
      </c>
      <c r="P2390" s="705">
        <v>702</v>
      </c>
      <c r="Q2390" s="705">
        <v>260</v>
      </c>
      <c r="R2390" s="705">
        <v>18805</v>
      </c>
      <c r="S2390" s="705">
        <v>6965</v>
      </c>
      <c r="T2390" s="705">
        <v>0</v>
      </c>
      <c r="U2390" s="705">
        <v>0</v>
      </c>
      <c r="V2390" s="705">
        <v>24280</v>
      </c>
      <c r="W2390" s="705">
        <f t="shared" si="94"/>
        <v>24280</v>
      </c>
      <c r="X2390" s="705">
        <f t="shared" si="95"/>
        <v>42839</v>
      </c>
    </row>
    <row r="2391" spans="2:24">
      <c r="B2391" t="s">
        <v>555</v>
      </c>
      <c r="C2391" t="s">
        <v>120</v>
      </c>
      <c r="D2391" t="s">
        <v>665</v>
      </c>
      <c r="E2391" t="s">
        <v>665</v>
      </c>
      <c r="F2391" s="705">
        <v>558</v>
      </c>
      <c r="G2391" s="705">
        <v>42451</v>
      </c>
      <c r="H2391" s="705">
        <v>191737</v>
      </c>
      <c r="I2391" s="705">
        <v>8230687</v>
      </c>
      <c r="J2391" s="705">
        <v>7482443</v>
      </c>
      <c r="K2391" s="705">
        <v>52</v>
      </c>
      <c r="L2391" s="705">
        <v>902448</v>
      </c>
      <c r="M2391" s="705">
        <v>775860</v>
      </c>
      <c r="N2391" s="705">
        <v>868872</v>
      </c>
      <c r="O2391" s="705">
        <v>321804</v>
      </c>
      <c r="P2391" s="705">
        <v>199206</v>
      </c>
      <c r="Q2391" s="705">
        <v>73780</v>
      </c>
      <c r="R2391" s="705">
        <v>3121320</v>
      </c>
      <c r="S2391" s="705">
        <v>2837563</v>
      </c>
      <c r="T2391" s="705">
        <v>1267177</v>
      </c>
      <c r="U2391" s="705">
        <v>469325</v>
      </c>
      <c r="V2391" s="705">
        <v>11960776</v>
      </c>
      <c r="W2391" s="705">
        <f t="shared" si="94"/>
        <v>11960775</v>
      </c>
      <c r="X2391" s="705">
        <f t="shared" si="95"/>
        <v>14589710</v>
      </c>
    </row>
    <row r="2392" spans="2:24">
      <c r="B2392" t="s">
        <v>555</v>
      </c>
      <c r="C2392" t="s">
        <v>120</v>
      </c>
      <c r="D2392" t="s">
        <v>665</v>
      </c>
      <c r="E2392" t="s">
        <v>722</v>
      </c>
      <c r="F2392" s="705">
        <v>3</v>
      </c>
      <c r="G2392" s="705">
        <v>279</v>
      </c>
      <c r="H2392" s="705">
        <v>933</v>
      </c>
      <c r="I2392" s="705">
        <v>52704</v>
      </c>
      <c r="J2392" s="705">
        <v>47913</v>
      </c>
      <c r="K2392" s="705">
        <v>65</v>
      </c>
      <c r="L2392" s="705">
        <v>12688</v>
      </c>
      <c r="M2392" s="705">
        <v>11535</v>
      </c>
      <c r="N2392" s="705">
        <v>3404</v>
      </c>
      <c r="O2392" s="705">
        <v>1261</v>
      </c>
      <c r="P2392" s="705">
        <v>1053</v>
      </c>
      <c r="Q2392" s="705">
        <v>390</v>
      </c>
      <c r="R2392" s="705">
        <v>11380</v>
      </c>
      <c r="S2392" s="705">
        <v>10345</v>
      </c>
      <c r="T2392" s="705">
        <v>5681</v>
      </c>
      <c r="U2392" s="705">
        <v>2104</v>
      </c>
      <c r="V2392" s="705">
        <v>73548</v>
      </c>
      <c r="W2392" s="705">
        <f t="shared" si="94"/>
        <v>73548</v>
      </c>
      <c r="X2392" s="705">
        <f t="shared" si="95"/>
        <v>86910</v>
      </c>
    </row>
    <row r="2393" spans="2:24">
      <c r="B2393" t="s">
        <v>555</v>
      </c>
      <c r="C2393" t="s">
        <v>120</v>
      </c>
      <c r="D2393" t="s">
        <v>673</v>
      </c>
      <c r="E2393" t="s">
        <v>673</v>
      </c>
      <c r="F2393" s="705">
        <v>5</v>
      </c>
      <c r="G2393" s="705">
        <v>372</v>
      </c>
      <c r="H2393" s="705">
        <v>1716</v>
      </c>
      <c r="I2393" s="705">
        <v>66788</v>
      </c>
      <c r="J2393" s="705">
        <v>60716</v>
      </c>
      <c r="K2393" s="705">
        <v>55</v>
      </c>
      <c r="L2393" s="705">
        <v>12610</v>
      </c>
      <c r="M2393" s="705">
        <v>10421</v>
      </c>
      <c r="N2393" s="705">
        <v>6840</v>
      </c>
      <c r="O2393" s="705">
        <v>2533</v>
      </c>
      <c r="P2393" s="705">
        <v>1755</v>
      </c>
      <c r="Q2393" s="705">
        <v>650</v>
      </c>
      <c r="R2393" s="705">
        <v>29219</v>
      </c>
      <c r="S2393" s="705">
        <v>26562</v>
      </c>
      <c r="T2393" s="705">
        <v>10849</v>
      </c>
      <c r="U2393" s="705">
        <v>4018</v>
      </c>
      <c r="V2393" s="705">
        <v>104901</v>
      </c>
      <c r="W2393" s="705">
        <f t="shared" si="94"/>
        <v>104900</v>
      </c>
      <c r="X2393" s="705">
        <f t="shared" si="95"/>
        <v>128061</v>
      </c>
    </row>
    <row r="2394" spans="2:24">
      <c r="B2394" t="s">
        <v>555</v>
      </c>
      <c r="C2394" t="s">
        <v>122</v>
      </c>
      <c r="D2394" t="s">
        <v>664</v>
      </c>
      <c r="E2394" t="s">
        <v>664</v>
      </c>
      <c r="F2394" s="705">
        <v>2</v>
      </c>
      <c r="G2394" s="705">
        <v>165</v>
      </c>
      <c r="H2394" s="705">
        <v>848</v>
      </c>
      <c r="I2394" s="705">
        <v>44726</v>
      </c>
      <c r="J2394" s="705">
        <v>40660</v>
      </c>
      <c r="K2394" s="705">
        <v>78</v>
      </c>
      <c r="L2394" s="705">
        <v>10825</v>
      </c>
      <c r="M2394" s="705">
        <v>7714</v>
      </c>
      <c r="N2394" s="705">
        <v>3525</v>
      </c>
      <c r="O2394" s="705">
        <v>1305</v>
      </c>
      <c r="P2394" s="705">
        <v>945</v>
      </c>
      <c r="Q2394" s="705">
        <v>350</v>
      </c>
      <c r="R2394" s="705">
        <v>7841</v>
      </c>
      <c r="S2394" s="705">
        <v>7128</v>
      </c>
      <c r="T2394" s="705">
        <v>1869</v>
      </c>
      <c r="U2394" s="705">
        <v>692</v>
      </c>
      <c r="V2394" s="705">
        <v>57849</v>
      </c>
      <c r="W2394" s="705">
        <f t="shared" si="94"/>
        <v>57849</v>
      </c>
      <c r="X2394" s="705">
        <f t="shared" si="95"/>
        <v>69731</v>
      </c>
    </row>
    <row r="2395" spans="2:24">
      <c r="B2395" t="s">
        <v>555</v>
      </c>
      <c r="C2395" t="s">
        <v>122</v>
      </c>
      <c r="D2395" t="s">
        <v>582</v>
      </c>
      <c r="E2395" t="s">
        <v>582</v>
      </c>
      <c r="F2395" s="705">
        <v>2</v>
      </c>
      <c r="G2395" s="705">
        <v>167</v>
      </c>
      <c r="H2395" s="705">
        <v>821</v>
      </c>
      <c r="I2395" s="705">
        <v>36798</v>
      </c>
      <c r="J2395" s="705">
        <v>33453</v>
      </c>
      <c r="K2395" s="705">
        <v>69</v>
      </c>
      <c r="L2395" s="705">
        <v>9173</v>
      </c>
      <c r="M2395" s="705">
        <v>5521</v>
      </c>
      <c r="N2395" s="705">
        <v>3461</v>
      </c>
      <c r="O2395" s="705">
        <v>1282</v>
      </c>
      <c r="P2395" s="705">
        <v>824</v>
      </c>
      <c r="Q2395" s="705">
        <v>305</v>
      </c>
      <c r="R2395" s="705">
        <v>11545</v>
      </c>
      <c r="S2395" s="705">
        <v>10495</v>
      </c>
      <c r="T2395" s="705">
        <v>6832</v>
      </c>
      <c r="U2395" s="705">
        <v>2530</v>
      </c>
      <c r="V2395" s="705">
        <v>53586</v>
      </c>
      <c r="W2395" s="705">
        <f t="shared" si="94"/>
        <v>53586</v>
      </c>
      <c r="X2395" s="705">
        <f t="shared" si="95"/>
        <v>68633</v>
      </c>
    </row>
    <row r="2396" spans="2:24">
      <c r="B2396" t="s">
        <v>555</v>
      </c>
      <c r="C2396" t="s">
        <v>122</v>
      </c>
      <c r="D2396" t="s">
        <v>228</v>
      </c>
      <c r="E2396" t="s">
        <v>228</v>
      </c>
      <c r="F2396" s="705">
        <v>60</v>
      </c>
      <c r="G2396" s="705">
        <v>4858</v>
      </c>
      <c r="H2396" s="705">
        <v>24923</v>
      </c>
      <c r="I2396" s="705">
        <v>1360238</v>
      </c>
      <c r="J2396" s="705">
        <v>503792</v>
      </c>
      <c r="K2396" s="705">
        <v>100</v>
      </c>
      <c r="L2396" s="705">
        <v>182485</v>
      </c>
      <c r="M2396" s="705">
        <v>135438</v>
      </c>
      <c r="N2396" s="705">
        <v>107145</v>
      </c>
      <c r="O2396" s="705">
        <v>39683</v>
      </c>
      <c r="P2396" s="705">
        <v>2457</v>
      </c>
      <c r="Q2396" s="705">
        <v>910</v>
      </c>
      <c r="R2396" s="705">
        <v>399084</v>
      </c>
      <c r="S2396" s="705">
        <v>147809</v>
      </c>
      <c r="T2396" s="705">
        <v>0</v>
      </c>
      <c r="U2396" s="705">
        <v>0</v>
      </c>
      <c r="V2396" s="705">
        <v>827631</v>
      </c>
      <c r="W2396" s="705">
        <f t="shared" si="94"/>
        <v>827632</v>
      </c>
      <c r="X2396" s="705">
        <f t="shared" si="95"/>
        <v>2051409</v>
      </c>
    </row>
    <row r="2397" spans="2:24">
      <c r="B2397" t="s">
        <v>555</v>
      </c>
      <c r="C2397" t="s">
        <v>122</v>
      </c>
      <c r="D2397" t="s">
        <v>228</v>
      </c>
      <c r="E2397" t="s">
        <v>583</v>
      </c>
      <c r="F2397" s="705">
        <v>1</v>
      </c>
      <c r="G2397" s="705">
        <v>86</v>
      </c>
      <c r="H2397" s="705">
        <v>441</v>
      </c>
      <c r="I2397" s="705">
        <v>25422</v>
      </c>
      <c r="J2397" s="705">
        <v>9416</v>
      </c>
      <c r="K2397" s="705">
        <v>100</v>
      </c>
      <c r="L2397" s="705">
        <v>1918</v>
      </c>
      <c r="M2397" s="705">
        <v>1744</v>
      </c>
      <c r="N2397" s="705">
        <v>1798</v>
      </c>
      <c r="O2397" s="705">
        <v>666</v>
      </c>
      <c r="P2397" s="705">
        <v>270</v>
      </c>
      <c r="Q2397" s="705">
        <v>100</v>
      </c>
      <c r="R2397" s="705">
        <v>8428</v>
      </c>
      <c r="S2397" s="705">
        <v>7662</v>
      </c>
      <c r="T2397" s="705">
        <v>0</v>
      </c>
      <c r="U2397" s="705">
        <v>0</v>
      </c>
      <c r="V2397" s="705">
        <v>19587</v>
      </c>
      <c r="W2397" s="705">
        <f t="shared" si="94"/>
        <v>19588</v>
      </c>
      <c r="X2397" s="705">
        <f t="shared" si="95"/>
        <v>37836</v>
      </c>
    </row>
    <row r="2398" spans="2:24">
      <c r="B2398" t="s">
        <v>555</v>
      </c>
      <c r="C2398" t="s">
        <v>122</v>
      </c>
      <c r="D2398" t="s">
        <v>228</v>
      </c>
      <c r="E2398" t="s">
        <v>665</v>
      </c>
      <c r="F2398" s="705">
        <v>5</v>
      </c>
      <c r="G2398" s="705">
        <v>381</v>
      </c>
      <c r="H2398" s="705">
        <v>2059</v>
      </c>
      <c r="I2398" s="705">
        <v>100859</v>
      </c>
      <c r="J2398" s="705">
        <v>37355</v>
      </c>
      <c r="K2398" s="705">
        <v>100</v>
      </c>
      <c r="L2398" s="705">
        <v>15577</v>
      </c>
      <c r="M2398" s="705">
        <v>12039</v>
      </c>
      <c r="N2398" s="705">
        <v>7638</v>
      </c>
      <c r="O2398" s="705">
        <v>2829</v>
      </c>
      <c r="P2398" s="705">
        <v>351</v>
      </c>
      <c r="Q2398" s="705">
        <v>130</v>
      </c>
      <c r="R2398" s="705">
        <v>22309</v>
      </c>
      <c r="S2398" s="705">
        <v>20281</v>
      </c>
      <c r="T2398" s="705">
        <v>8977</v>
      </c>
      <c r="U2398" s="705">
        <v>3325</v>
      </c>
      <c r="V2398" s="705">
        <v>75959</v>
      </c>
      <c r="W2398" s="705">
        <f t="shared" si="94"/>
        <v>75959</v>
      </c>
      <c r="X2398" s="705">
        <f t="shared" si="95"/>
        <v>155711</v>
      </c>
    </row>
    <row r="2399" spans="2:24">
      <c r="B2399" t="s">
        <v>555</v>
      </c>
      <c r="C2399" t="s">
        <v>122</v>
      </c>
      <c r="D2399" t="s">
        <v>583</v>
      </c>
      <c r="E2399" t="s">
        <v>228</v>
      </c>
      <c r="F2399" s="705">
        <v>5</v>
      </c>
      <c r="G2399" s="705">
        <v>408</v>
      </c>
      <c r="H2399" s="705">
        <v>2108</v>
      </c>
      <c r="I2399" s="705">
        <v>112401</v>
      </c>
      <c r="J2399" s="705">
        <v>102183</v>
      </c>
      <c r="K2399" s="705">
        <v>79</v>
      </c>
      <c r="L2399" s="705">
        <v>24428</v>
      </c>
      <c r="M2399" s="705">
        <v>22207</v>
      </c>
      <c r="N2399" s="705">
        <v>8257</v>
      </c>
      <c r="O2399" s="705">
        <v>3058</v>
      </c>
      <c r="P2399" s="705">
        <v>3105</v>
      </c>
      <c r="Q2399" s="705">
        <v>1150</v>
      </c>
      <c r="R2399" s="705">
        <v>24696</v>
      </c>
      <c r="S2399" s="705">
        <v>9146</v>
      </c>
      <c r="T2399" s="705">
        <v>0</v>
      </c>
      <c r="U2399" s="705">
        <v>0</v>
      </c>
      <c r="V2399" s="705">
        <v>137744</v>
      </c>
      <c r="W2399" s="705">
        <f t="shared" si="94"/>
        <v>137744</v>
      </c>
      <c r="X2399" s="705">
        <f t="shared" si="95"/>
        <v>172887</v>
      </c>
    </row>
    <row r="2400" spans="2:24">
      <c r="B2400" t="s">
        <v>555</v>
      </c>
      <c r="C2400" t="s">
        <v>122</v>
      </c>
      <c r="D2400" t="s">
        <v>583</v>
      </c>
      <c r="E2400" t="s">
        <v>583</v>
      </c>
      <c r="F2400" s="705">
        <v>348</v>
      </c>
      <c r="G2400" s="705">
        <v>30048</v>
      </c>
      <c r="H2400" s="705">
        <v>143630</v>
      </c>
      <c r="I2400" s="705">
        <v>7802916</v>
      </c>
      <c r="J2400" s="705">
        <v>7093560</v>
      </c>
      <c r="K2400" s="705">
        <v>77</v>
      </c>
      <c r="L2400" s="705">
        <v>1651609</v>
      </c>
      <c r="M2400" s="705">
        <v>1464311</v>
      </c>
      <c r="N2400" s="705">
        <v>648166</v>
      </c>
      <c r="O2400" s="705">
        <v>240061</v>
      </c>
      <c r="P2400" s="705">
        <v>219780</v>
      </c>
      <c r="Q2400" s="705">
        <v>81400</v>
      </c>
      <c r="R2400" s="705">
        <v>1601427</v>
      </c>
      <c r="S2400" s="705">
        <v>1455843</v>
      </c>
      <c r="T2400" s="705">
        <v>608929</v>
      </c>
      <c r="U2400" s="705">
        <v>225529</v>
      </c>
      <c r="V2400" s="705">
        <v>10560705</v>
      </c>
      <c r="W2400" s="705">
        <f t="shared" si="94"/>
        <v>10560704</v>
      </c>
      <c r="X2400" s="705">
        <f t="shared" si="95"/>
        <v>12532827</v>
      </c>
    </row>
    <row r="2401" spans="2:24">
      <c r="B2401" t="s">
        <v>555</v>
      </c>
      <c r="C2401" t="s">
        <v>122</v>
      </c>
      <c r="D2401" t="s">
        <v>666</v>
      </c>
      <c r="E2401" t="s">
        <v>228</v>
      </c>
      <c r="F2401" s="705">
        <v>1</v>
      </c>
      <c r="G2401" s="705">
        <v>53</v>
      </c>
      <c r="H2401" s="705">
        <v>447</v>
      </c>
      <c r="I2401" s="705">
        <v>11641</v>
      </c>
      <c r="J2401" s="705">
        <v>10583</v>
      </c>
      <c r="K2401" s="705">
        <v>70</v>
      </c>
      <c r="L2401" s="705">
        <v>3530</v>
      </c>
      <c r="M2401" s="705">
        <v>1307</v>
      </c>
      <c r="N2401" s="705">
        <v>841</v>
      </c>
      <c r="O2401" s="705">
        <v>312</v>
      </c>
      <c r="P2401" s="705">
        <v>351</v>
      </c>
      <c r="Q2401" s="705">
        <v>130</v>
      </c>
      <c r="R2401" s="705">
        <v>7373</v>
      </c>
      <c r="S2401" s="705">
        <v>2731</v>
      </c>
      <c r="T2401" s="705">
        <v>0</v>
      </c>
      <c r="U2401" s="705">
        <v>0</v>
      </c>
      <c r="V2401" s="705">
        <v>15062</v>
      </c>
      <c r="W2401" s="705">
        <f t="shared" si="94"/>
        <v>15063</v>
      </c>
      <c r="X2401" s="705">
        <f t="shared" si="95"/>
        <v>23736</v>
      </c>
    </row>
    <row r="2402" spans="2:24">
      <c r="B2402" t="s">
        <v>555</v>
      </c>
      <c r="C2402" t="s">
        <v>122</v>
      </c>
      <c r="D2402" t="s">
        <v>666</v>
      </c>
      <c r="E2402" t="s">
        <v>666</v>
      </c>
      <c r="F2402" s="705">
        <v>10</v>
      </c>
      <c r="G2402" s="705">
        <v>785</v>
      </c>
      <c r="H2402" s="705">
        <v>4161</v>
      </c>
      <c r="I2402" s="705">
        <v>205998</v>
      </c>
      <c r="J2402" s="705">
        <v>187271</v>
      </c>
      <c r="K2402" s="705">
        <v>51</v>
      </c>
      <c r="L2402" s="705">
        <v>32789</v>
      </c>
      <c r="M2402" s="705">
        <v>17406</v>
      </c>
      <c r="N2402" s="705">
        <v>15281</v>
      </c>
      <c r="O2402" s="705">
        <v>5659</v>
      </c>
      <c r="P2402" s="705">
        <v>3159</v>
      </c>
      <c r="Q2402" s="705">
        <v>1170</v>
      </c>
      <c r="R2402" s="705">
        <v>66716</v>
      </c>
      <c r="S2402" s="705">
        <v>60651</v>
      </c>
      <c r="T2402" s="705">
        <v>10609</v>
      </c>
      <c r="U2402" s="705">
        <v>3929</v>
      </c>
      <c r="V2402" s="705">
        <v>276086</v>
      </c>
      <c r="W2402" s="705">
        <f t="shared" ref="W2402:W2465" si="96">SUM(ABS(J2402),ABS(M2402),ABS(O2402),ABS(Q2402),ABS(S2402),ABS(U2402))</f>
        <v>276086</v>
      </c>
      <c r="X2402" s="705">
        <f t="shared" ref="X2402:X2465" si="97">SUM(ABS(I2402),ABS(N2402),ABS(P2402),ABS(R2402),ABS(T2402),ABS(L2402))</f>
        <v>334552</v>
      </c>
    </row>
    <row r="2403" spans="2:24">
      <c r="B2403" t="s">
        <v>555</v>
      </c>
      <c r="C2403" t="s">
        <v>122</v>
      </c>
      <c r="D2403" t="s">
        <v>584</v>
      </c>
      <c r="E2403" t="s">
        <v>228</v>
      </c>
      <c r="F2403" s="705">
        <v>1</v>
      </c>
      <c r="G2403" s="705">
        <v>94</v>
      </c>
      <c r="H2403" s="705">
        <v>414</v>
      </c>
      <c r="I2403" s="705">
        <v>27297</v>
      </c>
      <c r="J2403" s="705">
        <v>24816</v>
      </c>
      <c r="K2403" s="705">
        <v>40</v>
      </c>
      <c r="L2403" s="705">
        <v>2426</v>
      </c>
      <c r="M2403" s="705">
        <v>2206</v>
      </c>
      <c r="N2403" s="705">
        <v>2181</v>
      </c>
      <c r="O2403" s="705">
        <v>808</v>
      </c>
      <c r="P2403" s="705">
        <v>0</v>
      </c>
      <c r="Q2403" s="705">
        <v>0</v>
      </c>
      <c r="R2403" s="705">
        <v>7131</v>
      </c>
      <c r="S2403" s="705">
        <v>2641</v>
      </c>
      <c r="T2403" s="705">
        <v>0</v>
      </c>
      <c r="U2403" s="705">
        <v>0</v>
      </c>
      <c r="V2403" s="705">
        <v>30470</v>
      </c>
      <c r="W2403" s="705">
        <f t="shared" si="96"/>
        <v>30471</v>
      </c>
      <c r="X2403" s="705">
        <f t="shared" si="97"/>
        <v>39035</v>
      </c>
    </row>
    <row r="2404" spans="2:24">
      <c r="B2404" t="s">
        <v>555</v>
      </c>
      <c r="C2404" t="s">
        <v>122</v>
      </c>
      <c r="D2404" t="s">
        <v>584</v>
      </c>
      <c r="E2404" t="s">
        <v>584</v>
      </c>
      <c r="F2404" s="705">
        <v>99</v>
      </c>
      <c r="G2404" s="705">
        <v>7704</v>
      </c>
      <c r="H2404" s="705">
        <v>41267</v>
      </c>
      <c r="I2404" s="705">
        <v>2069519</v>
      </c>
      <c r="J2404" s="705">
        <v>1881381</v>
      </c>
      <c r="K2404" s="705">
        <v>71</v>
      </c>
      <c r="L2404" s="705">
        <v>405663</v>
      </c>
      <c r="M2404" s="705">
        <v>342018</v>
      </c>
      <c r="N2404" s="705">
        <v>163920</v>
      </c>
      <c r="O2404" s="705">
        <v>60711</v>
      </c>
      <c r="P2404" s="705">
        <v>45320</v>
      </c>
      <c r="Q2404" s="705">
        <v>16785</v>
      </c>
      <c r="R2404" s="705">
        <v>487738</v>
      </c>
      <c r="S2404" s="705">
        <v>443398</v>
      </c>
      <c r="T2404" s="705">
        <v>113903</v>
      </c>
      <c r="U2404" s="705">
        <v>42186</v>
      </c>
      <c r="V2404" s="705">
        <v>2786479</v>
      </c>
      <c r="W2404" s="705">
        <f t="shared" si="96"/>
        <v>2786479</v>
      </c>
      <c r="X2404" s="705">
        <f t="shared" si="97"/>
        <v>3286063</v>
      </c>
    </row>
    <row r="2405" spans="2:24">
      <c r="B2405" t="s">
        <v>555</v>
      </c>
      <c r="C2405" t="s">
        <v>122</v>
      </c>
      <c r="D2405" t="s">
        <v>669</v>
      </c>
      <c r="E2405" t="s">
        <v>669</v>
      </c>
      <c r="F2405" s="705">
        <v>11</v>
      </c>
      <c r="G2405" s="705">
        <v>909</v>
      </c>
      <c r="H2405" s="705">
        <v>4617</v>
      </c>
      <c r="I2405" s="705">
        <v>247110</v>
      </c>
      <c r="J2405" s="705">
        <v>205925</v>
      </c>
      <c r="K2405" s="705">
        <v>55</v>
      </c>
      <c r="L2405" s="705">
        <v>27950</v>
      </c>
      <c r="M2405" s="705">
        <v>27775</v>
      </c>
      <c r="N2405" s="705">
        <v>17390</v>
      </c>
      <c r="O2405" s="705">
        <v>6441</v>
      </c>
      <c r="P2405" s="705">
        <v>3861</v>
      </c>
      <c r="Q2405" s="705">
        <v>1430</v>
      </c>
      <c r="R2405" s="705">
        <v>73492</v>
      </c>
      <c r="S2405" s="705">
        <v>61243</v>
      </c>
      <c r="T2405" s="705">
        <v>11036</v>
      </c>
      <c r="U2405" s="705">
        <v>4087</v>
      </c>
      <c r="V2405" s="705">
        <v>306901</v>
      </c>
      <c r="W2405" s="705">
        <f t="shared" si="96"/>
        <v>306901</v>
      </c>
      <c r="X2405" s="705">
        <f t="shared" si="97"/>
        <v>380839</v>
      </c>
    </row>
    <row r="2406" spans="2:24">
      <c r="B2406" t="s">
        <v>555</v>
      </c>
      <c r="C2406" t="s">
        <v>122</v>
      </c>
      <c r="D2406" t="s">
        <v>665</v>
      </c>
      <c r="E2406" t="s">
        <v>228</v>
      </c>
      <c r="F2406" s="705">
        <v>5</v>
      </c>
      <c r="G2406" s="705">
        <v>312</v>
      </c>
      <c r="H2406" s="705">
        <v>2114</v>
      </c>
      <c r="I2406" s="705">
        <v>87396</v>
      </c>
      <c r="J2406" s="705">
        <v>79451</v>
      </c>
      <c r="K2406" s="705">
        <v>45</v>
      </c>
      <c r="L2406" s="705">
        <v>8625</v>
      </c>
      <c r="M2406" s="705">
        <v>5305</v>
      </c>
      <c r="N2406" s="705">
        <v>7496</v>
      </c>
      <c r="O2406" s="705">
        <v>2776</v>
      </c>
      <c r="P2406" s="705">
        <v>1053</v>
      </c>
      <c r="Q2406" s="705">
        <v>390</v>
      </c>
      <c r="R2406" s="705">
        <v>27649</v>
      </c>
      <c r="S2406" s="705">
        <v>10240</v>
      </c>
      <c r="T2406" s="705">
        <v>0</v>
      </c>
      <c r="U2406" s="705">
        <v>0</v>
      </c>
      <c r="V2406" s="705">
        <v>98163</v>
      </c>
      <c r="W2406" s="705">
        <f t="shared" si="96"/>
        <v>98162</v>
      </c>
      <c r="X2406" s="705">
        <f t="shared" si="97"/>
        <v>132219</v>
      </c>
    </row>
    <row r="2407" spans="2:24">
      <c r="B2407" t="s">
        <v>555</v>
      </c>
      <c r="C2407" t="s">
        <v>122</v>
      </c>
      <c r="D2407" t="s">
        <v>665</v>
      </c>
      <c r="E2407" t="s">
        <v>583</v>
      </c>
      <c r="F2407" s="705">
        <v>1</v>
      </c>
      <c r="G2407" s="705">
        <v>47</v>
      </c>
      <c r="H2407" s="705">
        <v>429</v>
      </c>
      <c r="I2407" s="705">
        <v>9725</v>
      </c>
      <c r="J2407" s="705">
        <v>8841</v>
      </c>
      <c r="K2407" s="705">
        <v>45</v>
      </c>
      <c r="L2407" s="705">
        <v>0</v>
      </c>
      <c r="M2407" s="705">
        <v>0</v>
      </c>
      <c r="N2407" s="705">
        <v>956</v>
      </c>
      <c r="O2407" s="705">
        <v>354</v>
      </c>
      <c r="P2407" s="705">
        <v>621</v>
      </c>
      <c r="Q2407" s="705">
        <v>230</v>
      </c>
      <c r="R2407" s="705">
        <v>6438</v>
      </c>
      <c r="S2407" s="705">
        <v>5853</v>
      </c>
      <c r="T2407" s="705">
        <v>2416</v>
      </c>
      <c r="U2407" s="705">
        <v>895</v>
      </c>
      <c r="V2407" s="705">
        <v>16173</v>
      </c>
      <c r="W2407" s="705">
        <f t="shared" si="96"/>
        <v>16173</v>
      </c>
      <c r="X2407" s="705">
        <f t="shared" si="97"/>
        <v>20156</v>
      </c>
    </row>
    <row r="2408" spans="2:24">
      <c r="B2408" t="s">
        <v>555</v>
      </c>
      <c r="C2408" t="s">
        <v>122</v>
      </c>
      <c r="D2408" t="s">
        <v>665</v>
      </c>
      <c r="E2408" t="s">
        <v>665</v>
      </c>
      <c r="F2408" s="705">
        <v>324</v>
      </c>
      <c r="G2408" s="705">
        <v>22308</v>
      </c>
      <c r="H2408" s="705">
        <v>132383</v>
      </c>
      <c r="I2408" s="705">
        <v>5600324</v>
      </c>
      <c r="J2408" s="705">
        <v>5091204</v>
      </c>
      <c r="K2408" s="705">
        <v>51</v>
      </c>
      <c r="L2408" s="705">
        <v>537577</v>
      </c>
      <c r="M2408" s="705">
        <v>452012</v>
      </c>
      <c r="N2408" s="705">
        <v>460877</v>
      </c>
      <c r="O2408" s="705">
        <v>170695</v>
      </c>
      <c r="P2408" s="705">
        <v>112968</v>
      </c>
      <c r="Q2408" s="705">
        <v>41840</v>
      </c>
      <c r="R2408" s="705">
        <v>1752189</v>
      </c>
      <c r="S2408" s="705">
        <v>1592899</v>
      </c>
      <c r="T2408" s="705">
        <v>672563</v>
      </c>
      <c r="U2408" s="705">
        <v>249098</v>
      </c>
      <c r="V2408" s="705">
        <v>7597747</v>
      </c>
      <c r="W2408" s="705">
        <f t="shared" si="96"/>
        <v>7597748</v>
      </c>
      <c r="X2408" s="705">
        <f t="shared" si="97"/>
        <v>9136498</v>
      </c>
    </row>
    <row r="2409" spans="2:24">
      <c r="B2409" t="s">
        <v>555</v>
      </c>
      <c r="C2409" t="s">
        <v>122</v>
      </c>
      <c r="D2409" t="s">
        <v>673</v>
      </c>
      <c r="E2409" t="s">
        <v>673</v>
      </c>
      <c r="F2409" s="705">
        <v>2</v>
      </c>
      <c r="G2409" s="705">
        <v>254</v>
      </c>
      <c r="H2409" s="705">
        <v>835</v>
      </c>
      <c r="I2409" s="705">
        <v>69526</v>
      </c>
      <c r="J2409" s="705">
        <v>63205</v>
      </c>
      <c r="K2409" s="705">
        <v>65</v>
      </c>
      <c r="L2409" s="705">
        <v>16738</v>
      </c>
      <c r="M2409" s="705">
        <v>15216</v>
      </c>
      <c r="N2409" s="705">
        <v>3501</v>
      </c>
      <c r="O2409" s="705">
        <v>1297</v>
      </c>
      <c r="P2409" s="705">
        <v>702</v>
      </c>
      <c r="Q2409" s="705">
        <v>260</v>
      </c>
      <c r="R2409" s="705">
        <v>9619</v>
      </c>
      <c r="S2409" s="705">
        <v>8744</v>
      </c>
      <c r="T2409" s="705">
        <v>5385</v>
      </c>
      <c r="U2409" s="705">
        <v>1994</v>
      </c>
      <c r="V2409" s="705">
        <v>90717</v>
      </c>
      <c r="W2409" s="705">
        <f t="shared" si="96"/>
        <v>90716</v>
      </c>
      <c r="X2409" s="705">
        <f t="shared" si="97"/>
        <v>105471</v>
      </c>
    </row>
    <row r="2410" spans="2:24">
      <c r="B2410" t="s">
        <v>555</v>
      </c>
      <c r="C2410" t="s">
        <v>122</v>
      </c>
      <c r="D2410" t="s">
        <v>585</v>
      </c>
      <c r="E2410" t="s">
        <v>585</v>
      </c>
      <c r="F2410" s="705">
        <v>1</v>
      </c>
      <c r="G2410" s="705">
        <v>76</v>
      </c>
      <c r="H2410" s="705">
        <v>396</v>
      </c>
      <c r="I2410" s="705">
        <v>16308</v>
      </c>
      <c r="J2410" s="705">
        <v>14825</v>
      </c>
      <c r="K2410" s="705">
        <v>65</v>
      </c>
      <c r="L2410" s="705">
        <v>3926</v>
      </c>
      <c r="M2410" s="705">
        <v>3569</v>
      </c>
      <c r="N2410" s="705">
        <v>1443</v>
      </c>
      <c r="O2410" s="705">
        <v>534</v>
      </c>
      <c r="P2410" s="705">
        <v>351</v>
      </c>
      <c r="Q2410" s="705">
        <v>130</v>
      </c>
      <c r="R2410" s="705">
        <v>5211</v>
      </c>
      <c r="S2410" s="705">
        <v>4738</v>
      </c>
      <c r="T2410" s="705">
        <v>3008</v>
      </c>
      <c r="U2410" s="705">
        <v>1114</v>
      </c>
      <c r="V2410" s="705">
        <v>24910</v>
      </c>
      <c r="W2410" s="705">
        <f t="shared" si="96"/>
        <v>24910</v>
      </c>
      <c r="X2410" s="705">
        <f t="shared" si="97"/>
        <v>30247</v>
      </c>
    </row>
    <row r="2411" spans="2:24">
      <c r="B2411" t="s">
        <v>555</v>
      </c>
      <c r="C2411" t="s">
        <v>124</v>
      </c>
      <c r="D2411" t="s">
        <v>664</v>
      </c>
      <c r="E2411" t="s">
        <v>664</v>
      </c>
      <c r="F2411" s="705">
        <v>1</v>
      </c>
      <c r="G2411" s="705">
        <v>92</v>
      </c>
      <c r="H2411" s="705">
        <v>458</v>
      </c>
      <c r="I2411" s="705">
        <v>26649</v>
      </c>
      <c r="J2411" s="705">
        <v>24227</v>
      </c>
      <c r="K2411" s="705">
        <v>73</v>
      </c>
      <c r="L2411" s="705">
        <v>7473</v>
      </c>
      <c r="M2411" s="705">
        <v>6227</v>
      </c>
      <c r="N2411" s="705">
        <v>2196</v>
      </c>
      <c r="O2411" s="705">
        <v>813</v>
      </c>
      <c r="P2411" s="705">
        <v>473</v>
      </c>
      <c r="Q2411" s="705">
        <v>175</v>
      </c>
      <c r="R2411" s="705">
        <v>5279</v>
      </c>
      <c r="S2411" s="705">
        <v>4799</v>
      </c>
      <c r="T2411" s="705">
        <v>0</v>
      </c>
      <c r="U2411" s="705">
        <v>0</v>
      </c>
      <c r="V2411" s="705">
        <v>36241</v>
      </c>
      <c r="W2411" s="705">
        <f t="shared" si="96"/>
        <v>36241</v>
      </c>
      <c r="X2411" s="705">
        <f t="shared" si="97"/>
        <v>42070</v>
      </c>
    </row>
    <row r="2412" spans="2:24">
      <c r="B2412" t="s">
        <v>555</v>
      </c>
      <c r="C2412" t="s">
        <v>124</v>
      </c>
      <c r="D2412" t="s">
        <v>664</v>
      </c>
      <c r="E2412" t="s">
        <v>228</v>
      </c>
      <c r="F2412" s="705">
        <v>1</v>
      </c>
      <c r="G2412" s="705">
        <v>178</v>
      </c>
      <c r="H2412" s="705">
        <v>507</v>
      </c>
      <c r="I2412" s="705">
        <v>58862</v>
      </c>
      <c r="J2412" s="705">
        <v>53511</v>
      </c>
      <c r="K2412" s="705">
        <v>81</v>
      </c>
      <c r="L2412" s="705">
        <v>16743</v>
      </c>
      <c r="M2412" s="705">
        <v>15221</v>
      </c>
      <c r="N2412" s="705">
        <v>3408</v>
      </c>
      <c r="O2412" s="705">
        <v>1262</v>
      </c>
      <c r="P2412" s="705">
        <v>473</v>
      </c>
      <c r="Q2412" s="705">
        <v>175</v>
      </c>
      <c r="R2412" s="705">
        <v>10759</v>
      </c>
      <c r="S2412" s="705">
        <v>3985</v>
      </c>
      <c r="T2412" s="705">
        <v>0</v>
      </c>
      <c r="U2412" s="705">
        <v>0</v>
      </c>
      <c r="V2412" s="705">
        <v>74154</v>
      </c>
      <c r="W2412" s="705">
        <f t="shared" si="96"/>
        <v>74154</v>
      </c>
      <c r="X2412" s="705">
        <f t="shared" si="97"/>
        <v>90245</v>
      </c>
    </row>
    <row r="2413" spans="2:24">
      <c r="B2413" t="s">
        <v>555</v>
      </c>
      <c r="C2413" t="s">
        <v>124</v>
      </c>
      <c r="D2413" t="s">
        <v>582</v>
      </c>
      <c r="E2413" t="s">
        <v>582</v>
      </c>
      <c r="F2413" s="705">
        <v>5</v>
      </c>
      <c r="G2413" s="705">
        <v>500</v>
      </c>
      <c r="H2413" s="705">
        <v>2456</v>
      </c>
      <c r="I2413" s="705">
        <v>177466</v>
      </c>
      <c r="J2413" s="705">
        <v>161333</v>
      </c>
      <c r="K2413" s="705">
        <v>68</v>
      </c>
      <c r="L2413" s="705">
        <v>38473</v>
      </c>
      <c r="M2413" s="705">
        <v>34976</v>
      </c>
      <c r="N2413" s="705">
        <v>12111</v>
      </c>
      <c r="O2413" s="705">
        <v>4486</v>
      </c>
      <c r="P2413" s="705">
        <v>1998</v>
      </c>
      <c r="Q2413" s="705">
        <v>740</v>
      </c>
      <c r="R2413" s="705">
        <v>28407</v>
      </c>
      <c r="S2413" s="705">
        <v>25825</v>
      </c>
      <c r="T2413" s="705">
        <v>5514</v>
      </c>
      <c r="U2413" s="705">
        <v>2042</v>
      </c>
      <c r="V2413" s="705">
        <v>229401</v>
      </c>
      <c r="W2413" s="705">
        <f t="shared" si="96"/>
        <v>229402</v>
      </c>
      <c r="X2413" s="705">
        <f t="shared" si="97"/>
        <v>263969</v>
      </c>
    </row>
    <row r="2414" spans="2:24">
      <c r="B2414" t="s">
        <v>555</v>
      </c>
      <c r="C2414" t="s">
        <v>124</v>
      </c>
      <c r="D2414" t="s">
        <v>228</v>
      </c>
      <c r="E2414" t="s">
        <v>582</v>
      </c>
      <c r="F2414" s="705">
        <v>1</v>
      </c>
      <c r="G2414" s="705">
        <v>245</v>
      </c>
      <c r="H2414" s="705">
        <v>528</v>
      </c>
      <c r="I2414" s="705">
        <v>109308</v>
      </c>
      <c r="J2414" s="705">
        <v>40484</v>
      </c>
      <c r="K2414" s="705">
        <v>100</v>
      </c>
      <c r="L2414" s="705">
        <v>6162</v>
      </c>
      <c r="M2414" s="705">
        <v>5602</v>
      </c>
      <c r="N2414" s="705">
        <v>3851</v>
      </c>
      <c r="O2414" s="705">
        <v>1426</v>
      </c>
      <c r="P2414" s="705">
        <v>473</v>
      </c>
      <c r="Q2414" s="705">
        <v>175</v>
      </c>
      <c r="R2414" s="705">
        <v>5552</v>
      </c>
      <c r="S2414" s="705">
        <v>5048</v>
      </c>
      <c r="T2414" s="705">
        <v>4034</v>
      </c>
      <c r="U2414" s="705">
        <v>1494</v>
      </c>
      <c r="V2414" s="705">
        <v>54229</v>
      </c>
      <c r="W2414" s="705">
        <f t="shared" si="96"/>
        <v>54229</v>
      </c>
      <c r="X2414" s="705">
        <f t="shared" si="97"/>
        <v>129380</v>
      </c>
    </row>
    <row r="2415" spans="2:24">
      <c r="B2415" t="s">
        <v>555</v>
      </c>
      <c r="C2415" t="s">
        <v>124</v>
      </c>
      <c r="D2415" t="s">
        <v>228</v>
      </c>
      <c r="E2415" t="s">
        <v>228</v>
      </c>
      <c r="F2415" s="705">
        <v>299</v>
      </c>
      <c r="G2415" s="705">
        <v>22531</v>
      </c>
      <c r="H2415" s="705">
        <v>183677</v>
      </c>
      <c r="I2415" s="705">
        <v>9917862</v>
      </c>
      <c r="J2415" s="705">
        <v>3673282</v>
      </c>
      <c r="K2415" s="705">
        <v>100</v>
      </c>
      <c r="L2415" s="705">
        <v>1652209</v>
      </c>
      <c r="M2415" s="705">
        <v>1359850</v>
      </c>
      <c r="N2415" s="705">
        <v>503751</v>
      </c>
      <c r="O2415" s="705">
        <v>186574</v>
      </c>
      <c r="P2415" s="705">
        <v>5886</v>
      </c>
      <c r="Q2415" s="705">
        <v>2180</v>
      </c>
      <c r="R2415" s="705">
        <v>1996649</v>
      </c>
      <c r="S2415" s="705">
        <v>739500</v>
      </c>
      <c r="T2415" s="705">
        <v>5651</v>
      </c>
      <c r="U2415" s="705">
        <v>2093</v>
      </c>
      <c r="V2415" s="705">
        <v>5963480</v>
      </c>
      <c r="W2415" s="705">
        <f t="shared" si="96"/>
        <v>5963479</v>
      </c>
      <c r="X2415" s="705">
        <f t="shared" si="97"/>
        <v>14082008</v>
      </c>
    </row>
    <row r="2416" spans="2:24">
      <c r="B2416" t="s">
        <v>555</v>
      </c>
      <c r="C2416" t="s">
        <v>124</v>
      </c>
      <c r="D2416" t="s">
        <v>228</v>
      </c>
      <c r="E2416" t="s">
        <v>583</v>
      </c>
      <c r="F2416" s="705">
        <v>4</v>
      </c>
      <c r="G2416" s="705">
        <v>624</v>
      </c>
      <c r="H2416" s="705">
        <v>2218</v>
      </c>
      <c r="I2416" s="705">
        <v>232190</v>
      </c>
      <c r="J2416" s="705">
        <v>85996</v>
      </c>
      <c r="K2416" s="705">
        <v>100</v>
      </c>
      <c r="L2416" s="705">
        <v>53425</v>
      </c>
      <c r="M2416" s="705">
        <v>48569</v>
      </c>
      <c r="N2416" s="705">
        <v>14791</v>
      </c>
      <c r="O2416" s="705">
        <v>5478</v>
      </c>
      <c r="P2416" s="705">
        <v>1242</v>
      </c>
      <c r="Q2416" s="705">
        <v>460</v>
      </c>
      <c r="R2416" s="705">
        <v>29691</v>
      </c>
      <c r="S2416" s="705">
        <v>26992</v>
      </c>
      <c r="T2416" s="705">
        <v>9886</v>
      </c>
      <c r="U2416" s="705">
        <v>3662</v>
      </c>
      <c r="V2416" s="705">
        <v>171156</v>
      </c>
      <c r="W2416" s="705">
        <f t="shared" si="96"/>
        <v>171157</v>
      </c>
      <c r="X2416" s="705">
        <f t="shared" si="97"/>
        <v>341225</v>
      </c>
    </row>
    <row r="2417" spans="2:24">
      <c r="B2417" t="s">
        <v>555</v>
      </c>
      <c r="C2417" t="s">
        <v>124</v>
      </c>
      <c r="D2417" t="s">
        <v>228</v>
      </c>
      <c r="E2417" t="s">
        <v>666</v>
      </c>
      <c r="F2417" s="705">
        <v>1</v>
      </c>
      <c r="G2417" s="705">
        <v>69</v>
      </c>
      <c r="H2417" s="705">
        <v>884</v>
      </c>
      <c r="I2417" s="705">
        <v>47157</v>
      </c>
      <c r="J2417" s="705">
        <v>17466</v>
      </c>
      <c r="K2417" s="705">
        <v>100</v>
      </c>
      <c r="L2417" s="705">
        <v>4269</v>
      </c>
      <c r="M2417" s="705">
        <v>3881</v>
      </c>
      <c r="N2417" s="705">
        <v>1676</v>
      </c>
      <c r="O2417" s="705">
        <v>621</v>
      </c>
      <c r="P2417" s="705">
        <v>0</v>
      </c>
      <c r="Q2417" s="705">
        <v>0</v>
      </c>
      <c r="R2417" s="705">
        <v>4804</v>
      </c>
      <c r="S2417" s="705">
        <v>4368</v>
      </c>
      <c r="T2417" s="705">
        <v>2904</v>
      </c>
      <c r="U2417" s="705">
        <v>1076</v>
      </c>
      <c r="V2417" s="705">
        <v>27411</v>
      </c>
      <c r="W2417" s="705">
        <f t="shared" si="96"/>
        <v>27412</v>
      </c>
      <c r="X2417" s="705">
        <f t="shared" si="97"/>
        <v>60810</v>
      </c>
    </row>
    <row r="2418" spans="2:24">
      <c r="B2418" t="s">
        <v>555</v>
      </c>
      <c r="C2418" t="s">
        <v>124</v>
      </c>
      <c r="D2418" t="s">
        <v>228</v>
      </c>
      <c r="E2418" t="s">
        <v>667</v>
      </c>
      <c r="F2418" s="705">
        <v>1</v>
      </c>
      <c r="G2418" s="705">
        <v>64</v>
      </c>
      <c r="H2418" s="705">
        <v>892</v>
      </c>
      <c r="I2418" s="705">
        <v>44191</v>
      </c>
      <c r="J2418" s="705">
        <v>16367</v>
      </c>
      <c r="K2418" s="705">
        <v>100</v>
      </c>
      <c r="L2418" s="705">
        <v>3078</v>
      </c>
      <c r="M2418" s="705">
        <v>2798</v>
      </c>
      <c r="N2418" s="705">
        <v>1562</v>
      </c>
      <c r="O2418" s="705">
        <v>579</v>
      </c>
      <c r="P2418" s="705">
        <v>0</v>
      </c>
      <c r="Q2418" s="705">
        <v>0</v>
      </c>
      <c r="R2418" s="705">
        <v>8325</v>
      </c>
      <c r="S2418" s="705">
        <v>7568</v>
      </c>
      <c r="T2418" s="705">
        <v>0</v>
      </c>
      <c r="U2418" s="705">
        <v>0</v>
      </c>
      <c r="V2418" s="705">
        <v>27311</v>
      </c>
      <c r="W2418" s="705">
        <f t="shared" si="96"/>
        <v>27312</v>
      </c>
      <c r="X2418" s="705">
        <f t="shared" si="97"/>
        <v>57156</v>
      </c>
    </row>
    <row r="2419" spans="2:24">
      <c r="B2419" t="s">
        <v>555</v>
      </c>
      <c r="C2419" t="s">
        <v>124</v>
      </c>
      <c r="D2419" t="s">
        <v>228</v>
      </c>
      <c r="E2419" t="s">
        <v>665</v>
      </c>
      <c r="F2419" s="705">
        <v>19</v>
      </c>
      <c r="G2419" s="705">
        <v>1659</v>
      </c>
      <c r="H2419" s="705">
        <v>11702</v>
      </c>
      <c r="I2419" s="705">
        <v>742127</v>
      </c>
      <c r="J2419" s="705">
        <v>274862</v>
      </c>
      <c r="K2419" s="705">
        <v>100</v>
      </c>
      <c r="L2419" s="705">
        <v>123492</v>
      </c>
      <c r="M2419" s="705">
        <v>99676</v>
      </c>
      <c r="N2419" s="705">
        <v>39516</v>
      </c>
      <c r="O2419" s="705">
        <v>14636</v>
      </c>
      <c r="P2419" s="705">
        <v>1404</v>
      </c>
      <c r="Q2419" s="705">
        <v>520</v>
      </c>
      <c r="R2419" s="705">
        <v>104288</v>
      </c>
      <c r="S2419" s="705">
        <v>94808</v>
      </c>
      <c r="T2419" s="705">
        <v>41467</v>
      </c>
      <c r="U2419" s="705">
        <v>15358</v>
      </c>
      <c r="V2419" s="705">
        <v>499859</v>
      </c>
      <c r="W2419" s="705">
        <f t="shared" si="96"/>
        <v>499860</v>
      </c>
      <c r="X2419" s="705">
        <f t="shared" si="97"/>
        <v>1052294</v>
      </c>
    </row>
    <row r="2420" spans="2:24">
      <c r="B2420" t="s">
        <v>555</v>
      </c>
      <c r="C2420" t="s">
        <v>124</v>
      </c>
      <c r="D2420" t="s">
        <v>583</v>
      </c>
      <c r="E2420" t="s">
        <v>228</v>
      </c>
      <c r="F2420" s="705">
        <v>11</v>
      </c>
      <c r="G2420" s="705">
        <v>832</v>
      </c>
      <c r="H2420" s="705">
        <v>5735</v>
      </c>
      <c r="I2420" s="705">
        <v>275941</v>
      </c>
      <c r="J2420" s="705">
        <v>250856</v>
      </c>
      <c r="K2420" s="705">
        <v>76</v>
      </c>
      <c r="L2420" s="705">
        <v>58984</v>
      </c>
      <c r="M2420" s="705">
        <v>51159</v>
      </c>
      <c r="N2420" s="705">
        <v>17272</v>
      </c>
      <c r="O2420" s="705">
        <v>6397</v>
      </c>
      <c r="P2420" s="705">
        <v>6480</v>
      </c>
      <c r="Q2420" s="705">
        <v>2400</v>
      </c>
      <c r="R2420" s="705">
        <v>66299</v>
      </c>
      <c r="S2420" s="705">
        <v>24555</v>
      </c>
      <c r="T2420" s="705">
        <v>0</v>
      </c>
      <c r="U2420" s="705">
        <v>0</v>
      </c>
      <c r="V2420" s="705">
        <v>335367</v>
      </c>
      <c r="W2420" s="705">
        <f t="shared" si="96"/>
        <v>335367</v>
      </c>
      <c r="X2420" s="705">
        <f t="shared" si="97"/>
        <v>424976</v>
      </c>
    </row>
    <row r="2421" spans="2:24">
      <c r="B2421" t="s">
        <v>555</v>
      </c>
      <c r="C2421" t="s">
        <v>124</v>
      </c>
      <c r="D2421" t="s">
        <v>583</v>
      </c>
      <c r="E2421" t="s">
        <v>583</v>
      </c>
      <c r="F2421" s="705">
        <v>280</v>
      </c>
      <c r="G2421" s="705">
        <v>23432</v>
      </c>
      <c r="H2421" s="705">
        <v>147581</v>
      </c>
      <c r="I2421" s="705">
        <v>8243301</v>
      </c>
      <c r="J2421" s="705">
        <v>7493910</v>
      </c>
      <c r="K2421" s="705">
        <v>71</v>
      </c>
      <c r="L2421" s="705">
        <v>1721209</v>
      </c>
      <c r="M2421" s="705">
        <v>1514065</v>
      </c>
      <c r="N2421" s="705">
        <v>522336</v>
      </c>
      <c r="O2421" s="705">
        <v>193458</v>
      </c>
      <c r="P2421" s="705">
        <v>174636</v>
      </c>
      <c r="Q2421" s="705">
        <v>64680</v>
      </c>
      <c r="R2421" s="705">
        <v>1358975</v>
      </c>
      <c r="S2421" s="705">
        <v>1235432</v>
      </c>
      <c r="T2421" s="705">
        <v>452436</v>
      </c>
      <c r="U2421" s="705">
        <v>167569</v>
      </c>
      <c r="V2421" s="705">
        <v>10669113</v>
      </c>
      <c r="W2421" s="705">
        <f t="shared" si="96"/>
        <v>10669114</v>
      </c>
      <c r="X2421" s="705">
        <f t="shared" si="97"/>
        <v>12472893</v>
      </c>
    </row>
    <row r="2422" spans="2:24">
      <c r="B2422" t="s">
        <v>555</v>
      </c>
      <c r="C2422" t="s">
        <v>124</v>
      </c>
      <c r="D2422" t="s">
        <v>583</v>
      </c>
      <c r="E2422" t="s">
        <v>665</v>
      </c>
      <c r="F2422" s="705">
        <v>1</v>
      </c>
      <c r="G2422" s="705">
        <v>63</v>
      </c>
      <c r="H2422" s="705">
        <v>555</v>
      </c>
      <c r="I2422" s="705">
        <v>21276</v>
      </c>
      <c r="J2422" s="705">
        <v>19342</v>
      </c>
      <c r="K2422" s="705">
        <v>85</v>
      </c>
      <c r="L2422" s="705">
        <v>6359</v>
      </c>
      <c r="M2422" s="705">
        <v>5781</v>
      </c>
      <c r="N2422" s="705">
        <v>1535</v>
      </c>
      <c r="O2422" s="705">
        <v>569</v>
      </c>
      <c r="P2422" s="705">
        <v>621</v>
      </c>
      <c r="Q2422" s="705">
        <v>230</v>
      </c>
      <c r="R2422" s="705">
        <v>5147</v>
      </c>
      <c r="S2422" s="705">
        <v>4679</v>
      </c>
      <c r="T2422" s="705">
        <v>0</v>
      </c>
      <c r="U2422" s="705">
        <v>0</v>
      </c>
      <c r="V2422" s="705">
        <v>30601</v>
      </c>
      <c r="W2422" s="705">
        <f t="shared" si="96"/>
        <v>30601</v>
      </c>
      <c r="X2422" s="705">
        <f t="shared" si="97"/>
        <v>34938</v>
      </c>
    </row>
    <row r="2423" spans="2:24">
      <c r="B2423" t="s">
        <v>555</v>
      </c>
      <c r="C2423" t="s">
        <v>124</v>
      </c>
      <c r="D2423" t="s">
        <v>666</v>
      </c>
      <c r="E2423" t="s">
        <v>228</v>
      </c>
      <c r="F2423" s="705">
        <v>5</v>
      </c>
      <c r="G2423" s="705">
        <v>388</v>
      </c>
      <c r="H2423" s="705">
        <v>5641</v>
      </c>
      <c r="I2423" s="705">
        <v>317156</v>
      </c>
      <c r="J2423" s="705">
        <v>288324</v>
      </c>
      <c r="K2423" s="705">
        <v>33</v>
      </c>
      <c r="L2423" s="705">
        <v>37618</v>
      </c>
      <c r="M2423" s="705">
        <v>24299</v>
      </c>
      <c r="N2423" s="705">
        <v>8542</v>
      </c>
      <c r="O2423" s="705">
        <v>3164</v>
      </c>
      <c r="P2423" s="705">
        <v>351</v>
      </c>
      <c r="Q2423" s="705">
        <v>130</v>
      </c>
      <c r="R2423" s="705">
        <v>53789</v>
      </c>
      <c r="S2423" s="705">
        <v>19922</v>
      </c>
      <c r="T2423" s="705">
        <v>0</v>
      </c>
      <c r="U2423" s="705">
        <v>0</v>
      </c>
      <c r="V2423" s="705">
        <v>335838</v>
      </c>
      <c r="W2423" s="705">
        <f t="shared" si="96"/>
        <v>335839</v>
      </c>
      <c r="X2423" s="705">
        <f t="shared" si="97"/>
        <v>417456</v>
      </c>
    </row>
    <row r="2424" spans="2:24">
      <c r="B2424" t="s">
        <v>555</v>
      </c>
      <c r="C2424" t="s">
        <v>124</v>
      </c>
      <c r="D2424" t="s">
        <v>666</v>
      </c>
      <c r="E2424" t="s">
        <v>583</v>
      </c>
      <c r="F2424" s="705">
        <v>1</v>
      </c>
      <c r="G2424" s="705">
        <v>60</v>
      </c>
      <c r="H2424" s="705">
        <v>707</v>
      </c>
      <c r="I2424" s="705">
        <v>27357</v>
      </c>
      <c r="J2424" s="705">
        <v>24870</v>
      </c>
      <c r="K2424" s="705">
        <v>70</v>
      </c>
      <c r="L2424" s="705">
        <v>6738</v>
      </c>
      <c r="M2424" s="705">
        <v>6125</v>
      </c>
      <c r="N2424" s="705">
        <v>1467</v>
      </c>
      <c r="O2424" s="705">
        <v>543</v>
      </c>
      <c r="P2424" s="705">
        <v>621</v>
      </c>
      <c r="Q2424" s="705">
        <v>230</v>
      </c>
      <c r="R2424" s="705">
        <v>6359</v>
      </c>
      <c r="S2424" s="705">
        <v>5781</v>
      </c>
      <c r="T2424" s="705">
        <v>0</v>
      </c>
      <c r="U2424" s="705">
        <v>0</v>
      </c>
      <c r="V2424" s="705">
        <v>37550</v>
      </c>
      <c r="W2424" s="705">
        <f t="shared" si="96"/>
        <v>37549</v>
      </c>
      <c r="X2424" s="705">
        <f t="shared" si="97"/>
        <v>42542</v>
      </c>
    </row>
    <row r="2425" spans="2:24">
      <c r="B2425" t="s">
        <v>555</v>
      </c>
      <c r="C2425" t="s">
        <v>124</v>
      </c>
      <c r="D2425" t="s">
        <v>666</v>
      </c>
      <c r="E2425" t="s">
        <v>666</v>
      </c>
      <c r="F2425" s="705">
        <v>19</v>
      </c>
      <c r="G2425" s="705">
        <v>1524</v>
      </c>
      <c r="H2425" s="705">
        <v>11626</v>
      </c>
      <c r="I2425" s="705">
        <v>659288</v>
      </c>
      <c r="J2425" s="705">
        <v>599353</v>
      </c>
      <c r="K2425" s="705">
        <v>53</v>
      </c>
      <c r="L2425" s="705">
        <v>86483</v>
      </c>
      <c r="M2425" s="705">
        <v>73225</v>
      </c>
      <c r="N2425" s="705">
        <v>33657</v>
      </c>
      <c r="O2425" s="705">
        <v>12466</v>
      </c>
      <c r="P2425" s="705">
        <v>5738</v>
      </c>
      <c r="Q2425" s="705">
        <v>2125</v>
      </c>
      <c r="R2425" s="705">
        <v>126850</v>
      </c>
      <c r="S2425" s="705">
        <v>115318</v>
      </c>
      <c r="T2425" s="705">
        <v>29528</v>
      </c>
      <c r="U2425" s="705">
        <v>10936</v>
      </c>
      <c r="V2425" s="705">
        <v>813423</v>
      </c>
      <c r="W2425" s="705">
        <f t="shared" si="96"/>
        <v>813423</v>
      </c>
      <c r="X2425" s="705">
        <f t="shared" si="97"/>
        <v>941544</v>
      </c>
    </row>
    <row r="2426" spans="2:24">
      <c r="B2426" t="s">
        <v>555</v>
      </c>
      <c r="C2426" t="s">
        <v>124</v>
      </c>
      <c r="D2426" t="s">
        <v>584</v>
      </c>
      <c r="E2426" t="s">
        <v>584</v>
      </c>
      <c r="F2426" s="705">
        <v>68</v>
      </c>
      <c r="G2426" s="705">
        <v>4437</v>
      </c>
      <c r="H2426" s="705">
        <v>35510</v>
      </c>
      <c r="I2426" s="705">
        <v>1470851</v>
      </c>
      <c r="J2426" s="705">
        <v>1337137</v>
      </c>
      <c r="K2426" s="705">
        <v>66</v>
      </c>
      <c r="L2426" s="705">
        <v>282724</v>
      </c>
      <c r="M2426" s="705">
        <v>246606</v>
      </c>
      <c r="N2426" s="705">
        <v>99625</v>
      </c>
      <c r="O2426" s="705">
        <v>36898</v>
      </c>
      <c r="P2426" s="705">
        <v>30186</v>
      </c>
      <c r="Q2426" s="705">
        <v>11180</v>
      </c>
      <c r="R2426" s="705">
        <v>356801</v>
      </c>
      <c r="S2426" s="705">
        <v>324364</v>
      </c>
      <c r="T2426" s="705">
        <v>79554</v>
      </c>
      <c r="U2426" s="705">
        <v>29465</v>
      </c>
      <c r="V2426" s="705">
        <v>1985650</v>
      </c>
      <c r="W2426" s="705">
        <f t="shared" si="96"/>
        <v>1985650</v>
      </c>
      <c r="X2426" s="705">
        <f t="shared" si="97"/>
        <v>2319741</v>
      </c>
    </row>
    <row r="2427" spans="2:24">
      <c r="B2427" t="s">
        <v>555</v>
      </c>
      <c r="C2427" t="s">
        <v>124</v>
      </c>
      <c r="D2427" t="s">
        <v>669</v>
      </c>
      <c r="E2427" t="s">
        <v>228</v>
      </c>
      <c r="F2427" s="705">
        <v>4</v>
      </c>
      <c r="G2427" s="705">
        <v>412</v>
      </c>
      <c r="H2427" s="705">
        <v>3049</v>
      </c>
      <c r="I2427" s="705">
        <v>252336</v>
      </c>
      <c r="J2427" s="705">
        <v>210280</v>
      </c>
      <c r="K2427" s="705">
        <v>41</v>
      </c>
      <c r="L2427" s="705">
        <v>24300</v>
      </c>
      <c r="M2427" s="705">
        <v>16121</v>
      </c>
      <c r="N2427" s="705">
        <v>10046</v>
      </c>
      <c r="O2427" s="705">
        <v>3721</v>
      </c>
      <c r="P2427" s="705">
        <v>0</v>
      </c>
      <c r="Q2427" s="705">
        <v>0</v>
      </c>
      <c r="R2427" s="705">
        <v>38144</v>
      </c>
      <c r="S2427" s="705">
        <v>14127</v>
      </c>
      <c r="T2427" s="705">
        <v>0</v>
      </c>
      <c r="U2427" s="705">
        <v>0</v>
      </c>
      <c r="V2427" s="705">
        <v>244250</v>
      </c>
      <c r="W2427" s="705">
        <f t="shared" si="96"/>
        <v>244249</v>
      </c>
      <c r="X2427" s="705">
        <f t="shared" si="97"/>
        <v>324826</v>
      </c>
    </row>
    <row r="2428" spans="2:24">
      <c r="B2428" t="s">
        <v>555</v>
      </c>
      <c r="C2428" t="s">
        <v>124</v>
      </c>
      <c r="D2428" t="s">
        <v>669</v>
      </c>
      <c r="E2428" t="s">
        <v>669</v>
      </c>
      <c r="F2428" s="705">
        <v>16</v>
      </c>
      <c r="G2428" s="705">
        <v>1188</v>
      </c>
      <c r="H2428" s="705">
        <v>10654</v>
      </c>
      <c r="I2428" s="705">
        <v>630284</v>
      </c>
      <c r="J2428" s="705">
        <v>525236</v>
      </c>
      <c r="K2428" s="705">
        <v>51</v>
      </c>
      <c r="L2428" s="705">
        <v>71851</v>
      </c>
      <c r="M2428" s="705">
        <v>65349</v>
      </c>
      <c r="N2428" s="705">
        <v>26723</v>
      </c>
      <c r="O2428" s="705">
        <v>9897</v>
      </c>
      <c r="P2428" s="705">
        <v>3510</v>
      </c>
      <c r="Q2428" s="705">
        <v>1300</v>
      </c>
      <c r="R2428" s="705">
        <v>111200</v>
      </c>
      <c r="S2428" s="705">
        <v>92666</v>
      </c>
      <c r="T2428" s="705">
        <v>21058</v>
      </c>
      <c r="U2428" s="705">
        <v>7799</v>
      </c>
      <c r="V2428" s="705">
        <v>702249</v>
      </c>
      <c r="W2428" s="705">
        <f t="shared" si="96"/>
        <v>702247</v>
      </c>
      <c r="X2428" s="705">
        <f t="shared" si="97"/>
        <v>864626</v>
      </c>
    </row>
    <row r="2429" spans="2:24">
      <c r="B2429" t="s">
        <v>555</v>
      </c>
      <c r="C2429" t="s">
        <v>124</v>
      </c>
      <c r="D2429" t="s">
        <v>667</v>
      </c>
      <c r="E2429" t="s">
        <v>667</v>
      </c>
      <c r="F2429" s="705">
        <v>2</v>
      </c>
      <c r="G2429" s="705">
        <v>152</v>
      </c>
      <c r="H2429" s="705">
        <v>1010</v>
      </c>
      <c r="I2429" s="705">
        <v>49672</v>
      </c>
      <c r="J2429" s="705">
        <v>45156</v>
      </c>
      <c r="K2429" s="705">
        <v>65</v>
      </c>
      <c r="L2429" s="705">
        <v>11688</v>
      </c>
      <c r="M2429" s="705">
        <v>10626</v>
      </c>
      <c r="N2429" s="705">
        <v>3286</v>
      </c>
      <c r="O2429" s="705">
        <v>1217</v>
      </c>
      <c r="P2429" s="705">
        <v>972</v>
      </c>
      <c r="Q2429" s="705">
        <v>360</v>
      </c>
      <c r="R2429" s="705">
        <v>8905</v>
      </c>
      <c r="S2429" s="705">
        <v>8096</v>
      </c>
      <c r="T2429" s="705">
        <v>2092</v>
      </c>
      <c r="U2429" s="705">
        <v>775</v>
      </c>
      <c r="V2429" s="705">
        <v>66229</v>
      </c>
      <c r="W2429" s="705">
        <f t="shared" si="96"/>
        <v>66230</v>
      </c>
      <c r="X2429" s="705">
        <f t="shared" si="97"/>
        <v>76615</v>
      </c>
    </row>
    <row r="2430" spans="2:24">
      <c r="B2430" t="s">
        <v>555</v>
      </c>
      <c r="C2430" t="s">
        <v>124</v>
      </c>
      <c r="D2430" t="s">
        <v>671</v>
      </c>
      <c r="E2430" t="s">
        <v>671</v>
      </c>
      <c r="F2430" s="705">
        <v>1</v>
      </c>
      <c r="G2430" s="705">
        <v>98</v>
      </c>
      <c r="H2430" s="705">
        <v>589</v>
      </c>
      <c r="I2430" s="705">
        <v>37171</v>
      </c>
      <c r="J2430" s="705">
        <v>33792</v>
      </c>
      <c r="K2430" s="705">
        <v>45</v>
      </c>
      <c r="L2430" s="705">
        <v>6195</v>
      </c>
      <c r="M2430" s="705">
        <v>5632</v>
      </c>
      <c r="N2430" s="705">
        <v>1723</v>
      </c>
      <c r="O2430" s="705">
        <v>638</v>
      </c>
      <c r="P2430" s="705">
        <v>351</v>
      </c>
      <c r="Q2430" s="705">
        <v>130</v>
      </c>
      <c r="R2430" s="705">
        <v>12000</v>
      </c>
      <c r="S2430" s="705">
        <v>10909</v>
      </c>
      <c r="T2430" s="705">
        <v>0</v>
      </c>
      <c r="U2430" s="705">
        <v>0</v>
      </c>
      <c r="V2430" s="705">
        <v>51101</v>
      </c>
      <c r="W2430" s="705">
        <f t="shared" si="96"/>
        <v>51101</v>
      </c>
      <c r="X2430" s="705">
        <f t="shared" si="97"/>
        <v>57440</v>
      </c>
    </row>
    <row r="2431" spans="2:24">
      <c r="B2431" t="s">
        <v>555</v>
      </c>
      <c r="C2431" t="s">
        <v>124</v>
      </c>
      <c r="D2431" t="s">
        <v>665</v>
      </c>
      <c r="E2431" t="s">
        <v>228</v>
      </c>
      <c r="F2431" s="705">
        <v>47</v>
      </c>
      <c r="G2431" s="705">
        <v>4244</v>
      </c>
      <c r="H2431" s="705">
        <v>42315</v>
      </c>
      <c r="I2431" s="705">
        <v>3128650</v>
      </c>
      <c r="J2431" s="705">
        <v>2844227</v>
      </c>
      <c r="K2431" s="705">
        <v>39</v>
      </c>
      <c r="L2431" s="705">
        <v>276407</v>
      </c>
      <c r="M2431" s="705">
        <v>154386</v>
      </c>
      <c r="N2431" s="705">
        <v>99792</v>
      </c>
      <c r="O2431" s="705">
        <v>36960</v>
      </c>
      <c r="P2431" s="705">
        <v>2457</v>
      </c>
      <c r="Q2431" s="705">
        <v>910</v>
      </c>
      <c r="R2431" s="705">
        <v>348083</v>
      </c>
      <c r="S2431" s="705">
        <v>128920</v>
      </c>
      <c r="T2431" s="705">
        <v>4644</v>
      </c>
      <c r="U2431" s="705">
        <v>1720</v>
      </c>
      <c r="V2431" s="705">
        <v>3167123</v>
      </c>
      <c r="W2431" s="705">
        <f t="shared" si="96"/>
        <v>3167123</v>
      </c>
      <c r="X2431" s="705">
        <f t="shared" si="97"/>
        <v>3860033</v>
      </c>
    </row>
    <row r="2432" spans="2:24">
      <c r="B2432" t="s">
        <v>555</v>
      </c>
      <c r="C2432" t="s">
        <v>124</v>
      </c>
      <c r="D2432" t="s">
        <v>665</v>
      </c>
      <c r="E2432" t="s">
        <v>583</v>
      </c>
      <c r="F2432" s="705">
        <v>2</v>
      </c>
      <c r="G2432" s="705">
        <v>208</v>
      </c>
      <c r="H2432" s="705">
        <v>2421</v>
      </c>
      <c r="I2432" s="705">
        <v>202731</v>
      </c>
      <c r="J2432" s="705">
        <v>184301</v>
      </c>
      <c r="K2432" s="705">
        <v>30</v>
      </c>
      <c r="L2432" s="705">
        <v>17144</v>
      </c>
      <c r="M2432" s="705">
        <v>15585</v>
      </c>
      <c r="N2432" s="705">
        <v>4831</v>
      </c>
      <c r="O2432" s="705">
        <v>1789</v>
      </c>
      <c r="P2432" s="705">
        <v>270</v>
      </c>
      <c r="Q2432" s="705">
        <v>100</v>
      </c>
      <c r="R2432" s="705">
        <v>13965</v>
      </c>
      <c r="S2432" s="705">
        <v>12696</v>
      </c>
      <c r="T2432" s="705">
        <v>4633</v>
      </c>
      <c r="U2432" s="705">
        <v>1716</v>
      </c>
      <c r="V2432" s="705">
        <v>216187</v>
      </c>
      <c r="W2432" s="705">
        <f t="shared" si="96"/>
        <v>216187</v>
      </c>
      <c r="X2432" s="705">
        <f t="shared" si="97"/>
        <v>243574</v>
      </c>
    </row>
    <row r="2433" spans="2:24">
      <c r="B2433" t="s">
        <v>555</v>
      </c>
      <c r="C2433" t="s">
        <v>124</v>
      </c>
      <c r="D2433" t="s">
        <v>665</v>
      </c>
      <c r="E2433" t="s">
        <v>665</v>
      </c>
      <c r="F2433" s="705">
        <v>300</v>
      </c>
      <c r="G2433" s="705">
        <v>21489</v>
      </c>
      <c r="H2433" s="705">
        <v>178279</v>
      </c>
      <c r="I2433" s="705">
        <v>9057780</v>
      </c>
      <c r="J2433" s="705">
        <v>8234345</v>
      </c>
      <c r="K2433" s="705">
        <v>50</v>
      </c>
      <c r="L2433" s="705">
        <v>1075470</v>
      </c>
      <c r="M2433" s="705">
        <v>848643</v>
      </c>
      <c r="N2433" s="705">
        <v>461652</v>
      </c>
      <c r="O2433" s="705">
        <v>170982</v>
      </c>
      <c r="P2433" s="705">
        <v>98402</v>
      </c>
      <c r="Q2433" s="705">
        <v>36445</v>
      </c>
      <c r="R2433" s="705">
        <v>1721928</v>
      </c>
      <c r="S2433" s="705">
        <v>1565389</v>
      </c>
      <c r="T2433" s="705">
        <v>580256</v>
      </c>
      <c r="U2433" s="705">
        <v>214910</v>
      </c>
      <c r="V2433" s="705">
        <v>11070714</v>
      </c>
      <c r="W2433" s="705">
        <f t="shared" si="96"/>
        <v>11070714</v>
      </c>
      <c r="X2433" s="705">
        <f t="shared" si="97"/>
        <v>12995488</v>
      </c>
    </row>
    <row r="2434" spans="2:24">
      <c r="B2434" t="s">
        <v>555</v>
      </c>
      <c r="C2434" t="s">
        <v>124</v>
      </c>
      <c r="D2434" t="s">
        <v>673</v>
      </c>
      <c r="E2434" t="s">
        <v>673</v>
      </c>
      <c r="F2434" s="705">
        <v>4</v>
      </c>
      <c r="G2434" s="705">
        <v>297</v>
      </c>
      <c r="H2434" s="705">
        <v>2420</v>
      </c>
      <c r="I2434" s="705">
        <v>120956</v>
      </c>
      <c r="J2434" s="705">
        <v>109960</v>
      </c>
      <c r="K2434" s="705">
        <v>55</v>
      </c>
      <c r="L2434" s="705">
        <v>13917</v>
      </c>
      <c r="M2434" s="705">
        <v>11047</v>
      </c>
      <c r="N2434" s="705">
        <v>5653</v>
      </c>
      <c r="O2434" s="705">
        <v>2094</v>
      </c>
      <c r="P2434" s="705">
        <v>1404</v>
      </c>
      <c r="Q2434" s="705">
        <v>520</v>
      </c>
      <c r="R2434" s="705">
        <v>23480</v>
      </c>
      <c r="S2434" s="705">
        <v>21346</v>
      </c>
      <c r="T2434" s="705">
        <v>11021</v>
      </c>
      <c r="U2434" s="705">
        <v>4082</v>
      </c>
      <c r="V2434" s="705">
        <v>149049</v>
      </c>
      <c r="W2434" s="705">
        <f t="shared" si="96"/>
        <v>149049</v>
      </c>
      <c r="X2434" s="705">
        <f t="shared" si="97"/>
        <v>176431</v>
      </c>
    </row>
    <row r="2435" spans="2:24">
      <c r="B2435" t="s">
        <v>556</v>
      </c>
      <c r="C2435" t="s">
        <v>108</v>
      </c>
      <c r="D2435" t="s">
        <v>228</v>
      </c>
      <c r="E2435" t="s">
        <v>228</v>
      </c>
      <c r="F2435" s="705">
        <v>498</v>
      </c>
      <c r="G2435" s="705">
        <v>55612</v>
      </c>
      <c r="H2435" s="705">
        <v>27497</v>
      </c>
      <c r="I2435" s="705">
        <v>317147</v>
      </c>
      <c r="J2435" s="705">
        <v>117462</v>
      </c>
      <c r="K2435" s="705">
        <v>467</v>
      </c>
      <c r="L2435" s="705">
        <v>75977</v>
      </c>
      <c r="M2435" s="705">
        <v>64136</v>
      </c>
      <c r="N2435" s="705">
        <v>736745</v>
      </c>
      <c r="O2435" s="705">
        <v>272869</v>
      </c>
      <c r="P2435" s="705">
        <v>198959</v>
      </c>
      <c r="Q2435" s="705">
        <v>73689</v>
      </c>
      <c r="R2435" s="705">
        <v>1720394</v>
      </c>
      <c r="S2435" s="705">
        <v>637183</v>
      </c>
      <c r="T2435" s="705">
        <v>0</v>
      </c>
      <c r="U2435" s="705">
        <v>0</v>
      </c>
      <c r="V2435" s="705">
        <v>1165338</v>
      </c>
      <c r="W2435" s="705">
        <f t="shared" si="96"/>
        <v>1165339</v>
      </c>
      <c r="X2435" s="705">
        <f t="shared" si="97"/>
        <v>3049222</v>
      </c>
    </row>
    <row r="2436" spans="2:24">
      <c r="B2436" t="s">
        <v>556</v>
      </c>
      <c r="C2436" t="s">
        <v>108</v>
      </c>
      <c r="D2436" t="s">
        <v>584</v>
      </c>
      <c r="E2436" t="s">
        <v>584</v>
      </c>
      <c r="F2436" s="705">
        <v>161</v>
      </c>
      <c r="G2436" s="705">
        <v>15952</v>
      </c>
      <c r="H2436" s="705">
        <v>9219</v>
      </c>
      <c r="I2436" s="705">
        <v>82355</v>
      </c>
      <c r="J2436" s="705">
        <v>74869</v>
      </c>
      <c r="K2436" s="705">
        <v>90</v>
      </c>
      <c r="L2436" s="705">
        <v>5604</v>
      </c>
      <c r="M2436" s="705">
        <v>4774</v>
      </c>
      <c r="N2436" s="705">
        <v>202530</v>
      </c>
      <c r="O2436" s="705">
        <v>75011</v>
      </c>
      <c r="P2436" s="705">
        <v>76073</v>
      </c>
      <c r="Q2436" s="705">
        <v>28175</v>
      </c>
      <c r="R2436" s="705">
        <v>544056</v>
      </c>
      <c r="S2436" s="705">
        <v>494596</v>
      </c>
      <c r="T2436" s="705">
        <v>0</v>
      </c>
      <c r="U2436" s="705">
        <v>0</v>
      </c>
      <c r="V2436" s="705">
        <v>677425</v>
      </c>
      <c r="W2436" s="705">
        <f t="shared" si="96"/>
        <v>677425</v>
      </c>
      <c r="X2436" s="705">
        <f t="shared" si="97"/>
        <v>910618</v>
      </c>
    </row>
    <row r="2437" spans="2:24">
      <c r="B2437" t="s">
        <v>556</v>
      </c>
      <c r="C2437" t="s">
        <v>110</v>
      </c>
      <c r="D2437" t="s">
        <v>582</v>
      </c>
      <c r="E2437" t="s">
        <v>582</v>
      </c>
      <c r="F2437" s="705">
        <v>8</v>
      </c>
      <c r="G2437" s="705">
        <v>854</v>
      </c>
      <c r="H2437" s="705">
        <v>696</v>
      </c>
      <c r="I2437" s="705">
        <v>19923</v>
      </c>
      <c r="J2437" s="705">
        <v>18112</v>
      </c>
      <c r="K2437" s="705">
        <v>87</v>
      </c>
      <c r="L2437" s="705">
        <v>6412</v>
      </c>
      <c r="M2437" s="705">
        <v>5829</v>
      </c>
      <c r="N2437" s="705">
        <v>10400</v>
      </c>
      <c r="O2437" s="705">
        <v>3852</v>
      </c>
      <c r="P2437" s="705">
        <v>3780</v>
      </c>
      <c r="Q2437" s="705">
        <v>1400</v>
      </c>
      <c r="R2437" s="705">
        <v>33714</v>
      </c>
      <c r="S2437" s="705">
        <v>30649</v>
      </c>
      <c r="T2437" s="705">
        <v>0</v>
      </c>
      <c r="U2437" s="705">
        <v>0</v>
      </c>
      <c r="V2437" s="705">
        <v>59842</v>
      </c>
      <c r="W2437" s="705">
        <f t="shared" si="96"/>
        <v>59842</v>
      </c>
      <c r="X2437" s="705">
        <f t="shared" si="97"/>
        <v>74229</v>
      </c>
    </row>
    <row r="2438" spans="2:24">
      <c r="B2438" t="s">
        <v>556</v>
      </c>
      <c r="C2438" t="s">
        <v>110</v>
      </c>
      <c r="D2438" t="s">
        <v>228</v>
      </c>
      <c r="E2438" t="s">
        <v>228</v>
      </c>
      <c r="F2438" s="705">
        <v>71</v>
      </c>
      <c r="G2438" s="705">
        <v>6527</v>
      </c>
      <c r="H2438" s="705">
        <v>6470</v>
      </c>
      <c r="I2438" s="705">
        <v>195019</v>
      </c>
      <c r="J2438" s="705">
        <v>72229</v>
      </c>
      <c r="K2438" s="705">
        <v>394</v>
      </c>
      <c r="L2438" s="705">
        <v>47920</v>
      </c>
      <c r="M2438" s="705">
        <v>42757</v>
      </c>
      <c r="N2438" s="705">
        <v>113186</v>
      </c>
      <c r="O2438" s="705">
        <v>41921</v>
      </c>
      <c r="P2438" s="705">
        <v>25563</v>
      </c>
      <c r="Q2438" s="705">
        <v>9468</v>
      </c>
      <c r="R2438" s="705">
        <v>211262</v>
      </c>
      <c r="S2438" s="705">
        <v>78245</v>
      </c>
      <c r="T2438" s="705">
        <v>0</v>
      </c>
      <c r="U2438" s="705">
        <v>0</v>
      </c>
      <c r="V2438" s="705">
        <v>244620</v>
      </c>
      <c r="W2438" s="705">
        <f t="shared" si="96"/>
        <v>244620</v>
      </c>
      <c r="X2438" s="705">
        <f t="shared" si="97"/>
        <v>592950</v>
      </c>
    </row>
    <row r="2439" spans="2:24">
      <c r="B2439" t="s">
        <v>556</v>
      </c>
      <c r="C2439" t="s">
        <v>110</v>
      </c>
      <c r="D2439" t="s">
        <v>583</v>
      </c>
      <c r="E2439" t="s">
        <v>583</v>
      </c>
      <c r="F2439" s="705">
        <v>34</v>
      </c>
      <c r="G2439" s="705">
        <v>4073</v>
      </c>
      <c r="H2439" s="705">
        <v>3047</v>
      </c>
      <c r="I2439" s="705">
        <v>158558</v>
      </c>
      <c r="J2439" s="705">
        <v>144144</v>
      </c>
      <c r="K2439" s="705">
        <v>94</v>
      </c>
      <c r="L2439" s="705">
        <v>35449</v>
      </c>
      <c r="M2439" s="705">
        <v>29258</v>
      </c>
      <c r="N2439" s="705">
        <v>52405</v>
      </c>
      <c r="O2439" s="705">
        <v>19409</v>
      </c>
      <c r="P2439" s="705">
        <v>21114</v>
      </c>
      <c r="Q2439" s="705">
        <v>7820</v>
      </c>
      <c r="R2439" s="705">
        <v>95761</v>
      </c>
      <c r="S2439" s="705">
        <v>87055</v>
      </c>
      <c r="T2439" s="705">
        <v>0</v>
      </c>
      <c r="U2439" s="705">
        <v>0</v>
      </c>
      <c r="V2439" s="705">
        <v>287686</v>
      </c>
      <c r="W2439" s="705">
        <f t="shared" si="96"/>
        <v>287686</v>
      </c>
      <c r="X2439" s="705">
        <f t="shared" si="97"/>
        <v>363287</v>
      </c>
    </row>
    <row r="2440" spans="2:24">
      <c r="B2440" t="s">
        <v>556</v>
      </c>
      <c r="C2440" t="s">
        <v>110</v>
      </c>
      <c r="D2440" t="s">
        <v>584</v>
      </c>
      <c r="E2440" t="s">
        <v>584</v>
      </c>
      <c r="F2440" s="705">
        <v>36</v>
      </c>
      <c r="G2440" s="705">
        <v>3616</v>
      </c>
      <c r="H2440" s="705">
        <v>3272</v>
      </c>
      <c r="I2440" s="705">
        <v>141326</v>
      </c>
      <c r="J2440" s="705">
        <v>128478</v>
      </c>
      <c r="K2440" s="705">
        <v>90</v>
      </c>
      <c r="L2440" s="705">
        <v>11072</v>
      </c>
      <c r="M2440" s="705">
        <v>9655</v>
      </c>
      <c r="N2440" s="705">
        <v>63307</v>
      </c>
      <c r="O2440" s="705">
        <v>23447</v>
      </c>
      <c r="P2440" s="705">
        <v>17766</v>
      </c>
      <c r="Q2440" s="705">
        <v>6580</v>
      </c>
      <c r="R2440" s="705">
        <v>96186</v>
      </c>
      <c r="S2440" s="705">
        <v>87442</v>
      </c>
      <c r="T2440" s="705">
        <v>0</v>
      </c>
      <c r="U2440" s="705">
        <v>0</v>
      </c>
      <c r="V2440" s="705">
        <v>255602</v>
      </c>
      <c r="W2440" s="705">
        <f t="shared" si="96"/>
        <v>255602</v>
      </c>
      <c r="X2440" s="705">
        <f t="shared" si="97"/>
        <v>329657</v>
      </c>
    </row>
    <row r="2441" spans="2:24">
      <c r="B2441" t="s">
        <v>556</v>
      </c>
      <c r="C2441" t="s">
        <v>112</v>
      </c>
      <c r="D2441" t="s">
        <v>228</v>
      </c>
      <c r="E2441" t="s">
        <v>228</v>
      </c>
      <c r="F2441" s="705">
        <v>64</v>
      </c>
      <c r="G2441" s="705">
        <v>4944</v>
      </c>
      <c r="H2441" s="705">
        <v>7027</v>
      </c>
      <c r="I2441" s="705">
        <v>138943</v>
      </c>
      <c r="J2441" s="705">
        <v>51460</v>
      </c>
      <c r="K2441" s="705">
        <v>393</v>
      </c>
      <c r="L2441" s="705">
        <v>37307</v>
      </c>
      <c r="M2441" s="705">
        <v>32495</v>
      </c>
      <c r="N2441" s="705">
        <v>83933</v>
      </c>
      <c r="O2441" s="705">
        <v>31086</v>
      </c>
      <c r="P2441" s="705">
        <v>23085</v>
      </c>
      <c r="Q2441" s="705">
        <v>8550</v>
      </c>
      <c r="R2441" s="705">
        <v>257119</v>
      </c>
      <c r="S2441" s="705">
        <v>95229</v>
      </c>
      <c r="T2441" s="705">
        <v>0</v>
      </c>
      <c r="U2441" s="705">
        <v>0</v>
      </c>
      <c r="V2441" s="705">
        <v>218821</v>
      </c>
      <c r="W2441" s="705">
        <f t="shared" si="96"/>
        <v>218820</v>
      </c>
      <c r="X2441" s="705">
        <f t="shared" si="97"/>
        <v>540387</v>
      </c>
    </row>
    <row r="2442" spans="2:24">
      <c r="B2442" t="s">
        <v>556</v>
      </c>
      <c r="C2442" t="s">
        <v>112</v>
      </c>
      <c r="D2442" t="s">
        <v>583</v>
      </c>
      <c r="E2442" t="s">
        <v>583</v>
      </c>
      <c r="F2442" s="705">
        <v>60</v>
      </c>
      <c r="G2442" s="705">
        <v>7653</v>
      </c>
      <c r="H2442" s="705">
        <v>7075</v>
      </c>
      <c r="I2442" s="705">
        <v>415689</v>
      </c>
      <c r="J2442" s="705">
        <v>377900</v>
      </c>
      <c r="K2442" s="705">
        <v>93</v>
      </c>
      <c r="L2442" s="705">
        <v>100514</v>
      </c>
      <c r="M2442" s="705">
        <v>91191</v>
      </c>
      <c r="N2442" s="705">
        <v>137617</v>
      </c>
      <c r="O2442" s="705">
        <v>50969</v>
      </c>
      <c r="P2442" s="705">
        <v>38313</v>
      </c>
      <c r="Q2442" s="705">
        <v>14190</v>
      </c>
      <c r="R2442" s="705">
        <v>214246</v>
      </c>
      <c r="S2442" s="705">
        <v>194769</v>
      </c>
      <c r="T2442" s="705">
        <v>737</v>
      </c>
      <c r="U2442" s="705">
        <v>273</v>
      </c>
      <c r="V2442" s="705">
        <v>729292</v>
      </c>
      <c r="W2442" s="705">
        <f t="shared" si="96"/>
        <v>729292</v>
      </c>
      <c r="X2442" s="705">
        <f t="shared" si="97"/>
        <v>907116</v>
      </c>
    </row>
    <row r="2443" spans="2:24">
      <c r="B2443" t="s">
        <v>556</v>
      </c>
      <c r="C2443" t="s">
        <v>112</v>
      </c>
      <c r="D2443" t="s">
        <v>584</v>
      </c>
      <c r="E2443" t="s">
        <v>584</v>
      </c>
      <c r="F2443" s="705">
        <v>95</v>
      </c>
      <c r="G2443" s="705">
        <v>11135</v>
      </c>
      <c r="H2443" s="705">
        <v>11170</v>
      </c>
      <c r="I2443" s="705">
        <v>563017</v>
      </c>
      <c r="J2443" s="705">
        <v>511833</v>
      </c>
      <c r="K2443" s="705">
        <v>90</v>
      </c>
      <c r="L2443" s="705">
        <v>117025</v>
      </c>
      <c r="M2443" s="705">
        <v>105401</v>
      </c>
      <c r="N2443" s="705">
        <v>207335</v>
      </c>
      <c r="O2443" s="705">
        <v>76791</v>
      </c>
      <c r="P2443" s="705">
        <v>44766</v>
      </c>
      <c r="Q2443" s="705">
        <v>16580</v>
      </c>
      <c r="R2443" s="705">
        <v>379183</v>
      </c>
      <c r="S2443" s="705">
        <v>344712</v>
      </c>
      <c r="T2443" s="705">
        <v>0</v>
      </c>
      <c r="U2443" s="705">
        <v>0</v>
      </c>
      <c r="V2443" s="705">
        <v>1055317</v>
      </c>
      <c r="W2443" s="705">
        <f t="shared" si="96"/>
        <v>1055317</v>
      </c>
      <c r="X2443" s="705">
        <f t="shared" si="97"/>
        <v>1311326</v>
      </c>
    </row>
    <row r="2444" spans="2:24">
      <c r="B2444" t="s">
        <v>556</v>
      </c>
      <c r="C2444" t="s">
        <v>114</v>
      </c>
      <c r="D2444" t="s">
        <v>664</v>
      </c>
      <c r="E2444" t="s">
        <v>664</v>
      </c>
      <c r="F2444" s="705">
        <v>1</v>
      </c>
      <c r="G2444" s="705">
        <v>75</v>
      </c>
      <c r="H2444" s="705">
        <v>145</v>
      </c>
      <c r="I2444" s="705">
        <v>6162</v>
      </c>
      <c r="J2444" s="705">
        <v>5601</v>
      </c>
      <c r="K2444" s="705">
        <v>90</v>
      </c>
      <c r="L2444" s="705">
        <v>1030</v>
      </c>
      <c r="M2444" s="705">
        <v>937</v>
      </c>
      <c r="N2444" s="705">
        <v>999</v>
      </c>
      <c r="O2444" s="705">
        <v>370</v>
      </c>
      <c r="P2444" s="705">
        <v>473</v>
      </c>
      <c r="Q2444" s="705">
        <v>175</v>
      </c>
      <c r="R2444" s="705">
        <v>2263</v>
      </c>
      <c r="S2444" s="705">
        <v>2058</v>
      </c>
      <c r="T2444" s="705">
        <v>0</v>
      </c>
      <c r="U2444" s="705">
        <v>0</v>
      </c>
      <c r="V2444" s="705">
        <v>9141</v>
      </c>
      <c r="W2444" s="705">
        <f t="shared" si="96"/>
        <v>9141</v>
      </c>
      <c r="X2444" s="705">
        <f t="shared" si="97"/>
        <v>10927</v>
      </c>
    </row>
    <row r="2445" spans="2:24">
      <c r="B2445" t="s">
        <v>556</v>
      </c>
      <c r="C2445" t="s">
        <v>114</v>
      </c>
      <c r="D2445" t="s">
        <v>582</v>
      </c>
      <c r="E2445" t="s">
        <v>582</v>
      </c>
      <c r="F2445" s="705">
        <v>4</v>
      </c>
      <c r="G2445" s="705">
        <v>419</v>
      </c>
      <c r="H2445" s="705">
        <v>547</v>
      </c>
      <c r="I2445" s="705">
        <v>28346</v>
      </c>
      <c r="J2445" s="705">
        <v>25769</v>
      </c>
      <c r="K2445" s="705">
        <v>88</v>
      </c>
      <c r="L2445" s="705">
        <v>4676</v>
      </c>
      <c r="M2445" s="705">
        <v>4250</v>
      </c>
      <c r="N2445" s="705">
        <v>7474</v>
      </c>
      <c r="O2445" s="705">
        <v>2768</v>
      </c>
      <c r="P2445" s="705">
        <v>1890</v>
      </c>
      <c r="Q2445" s="705">
        <v>700</v>
      </c>
      <c r="R2445" s="705">
        <v>16113</v>
      </c>
      <c r="S2445" s="705">
        <v>14649</v>
      </c>
      <c r="T2445" s="705">
        <v>2796</v>
      </c>
      <c r="U2445" s="705">
        <v>1036</v>
      </c>
      <c r="V2445" s="705">
        <v>49172</v>
      </c>
      <c r="W2445" s="705">
        <f t="shared" si="96"/>
        <v>49172</v>
      </c>
      <c r="X2445" s="705">
        <f t="shared" si="97"/>
        <v>61295</v>
      </c>
    </row>
    <row r="2446" spans="2:24">
      <c r="B2446" t="s">
        <v>556</v>
      </c>
      <c r="C2446" t="s">
        <v>114</v>
      </c>
      <c r="D2446" t="s">
        <v>228</v>
      </c>
      <c r="E2446" t="s">
        <v>228</v>
      </c>
      <c r="F2446" s="705">
        <v>44</v>
      </c>
      <c r="G2446" s="705">
        <v>2869</v>
      </c>
      <c r="H2446" s="705">
        <v>6240</v>
      </c>
      <c r="I2446" s="705">
        <v>161763</v>
      </c>
      <c r="J2446" s="705">
        <v>59912</v>
      </c>
      <c r="K2446" s="705">
        <v>285</v>
      </c>
      <c r="L2446" s="705">
        <v>29689</v>
      </c>
      <c r="M2446" s="705">
        <v>22254</v>
      </c>
      <c r="N2446" s="705">
        <v>43883</v>
      </c>
      <c r="O2446" s="705">
        <v>16253</v>
      </c>
      <c r="P2446" s="705">
        <v>11421</v>
      </c>
      <c r="Q2446" s="705">
        <v>4230</v>
      </c>
      <c r="R2446" s="705">
        <v>163102</v>
      </c>
      <c r="S2446" s="705">
        <v>60408</v>
      </c>
      <c r="T2446" s="705">
        <v>8752</v>
      </c>
      <c r="U2446" s="705">
        <v>3242</v>
      </c>
      <c r="V2446" s="705">
        <v>166299</v>
      </c>
      <c r="W2446" s="705">
        <f t="shared" si="96"/>
        <v>166299</v>
      </c>
      <c r="X2446" s="705">
        <f t="shared" si="97"/>
        <v>418610</v>
      </c>
    </row>
    <row r="2447" spans="2:24">
      <c r="B2447" t="s">
        <v>556</v>
      </c>
      <c r="C2447" t="s">
        <v>114</v>
      </c>
      <c r="D2447" t="s">
        <v>583</v>
      </c>
      <c r="E2447" t="s">
        <v>228</v>
      </c>
      <c r="F2447" s="705">
        <v>1</v>
      </c>
      <c r="G2447" s="705">
        <v>152</v>
      </c>
      <c r="H2447" s="705">
        <v>126</v>
      </c>
      <c r="I2447" s="705">
        <v>9455</v>
      </c>
      <c r="J2447" s="705">
        <v>8596</v>
      </c>
      <c r="K2447" s="705">
        <v>95</v>
      </c>
      <c r="L2447" s="705">
        <v>1663</v>
      </c>
      <c r="M2447" s="705">
        <v>1512</v>
      </c>
      <c r="N2447" s="705">
        <v>2640</v>
      </c>
      <c r="O2447" s="705">
        <v>978</v>
      </c>
      <c r="P2447" s="705">
        <v>621</v>
      </c>
      <c r="Q2447" s="705">
        <v>230</v>
      </c>
      <c r="R2447" s="705">
        <v>4659</v>
      </c>
      <c r="S2447" s="705">
        <v>1725</v>
      </c>
      <c r="T2447" s="705">
        <v>0</v>
      </c>
      <c r="U2447" s="705">
        <v>0</v>
      </c>
      <c r="V2447" s="705">
        <v>13041</v>
      </c>
      <c r="W2447" s="705">
        <f t="shared" si="96"/>
        <v>13041</v>
      </c>
      <c r="X2447" s="705">
        <f t="shared" si="97"/>
        <v>19038</v>
      </c>
    </row>
    <row r="2448" spans="2:24">
      <c r="B2448" t="s">
        <v>556</v>
      </c>
      <c r="C2448" t="s">
        <v>114</v>
      </c>
      <c r="D2448" t="s">
        <v>583</v>
      </c>
      <c r="E2448" t="s">
        <v>583</v>
      </c>
      <c r="F2448" s="705">
        <v>165</v>
      </c>
      <c r="G2448" s="705">
        <v>18742</v>
      </c>
      <c r="H2448" s="705">
        <v>23337</v>
      </c>
      <c r="I2448" s="705">
        <v>1223050</v>
      </c>
      <c r="J2448" s="705">
        <v>1111864</v>
      </c>
      <c r="K2448" s="705">
        <v>89</v>
      </c>
      <c r="L2448" s="705">
        <v>286183</v>
      </c>
      <c r="M2448" s="705">
        <v>252761</v>
      </c>
      <c r="N2448" s="705">
        <v>337759</v>
      </c>
      <c r="O2448" s="705">
        <v>125096</v>
      </c>
      <c r="P2448" s="705">
        <v>106056</v>
      </c>
      <c r="Q2448" s="705">
        <v>39280</v>
      </c>
      <c r="R2448" s="705">
        <v>713595</v>
      </c>
      <c r="S2448" s="705">
        <v>648723</v>
      </c>
      <c r="T2448" s="705">
        <v>34456</v>
      </c>
      <c r="U2448" s="705">
        <v>12761</v>
      </c>
      <c r="V2448" s="705">
        <v>2190485</v>
      </c>
      <c r="W2448" s="705">
        <f t="shared" si="96"/>
        <v>2190485</v>
      </c>
      <c r="X2448" s="705">
        <f t="shared" si="97"/>
        <v>2701099</v>
      </c>
    </row>
    <row r="2449" spans="2:24">
      <c r="B2449" t="s">
        <v>556</v>
      </c>
      <c r="C2449" t="s">
        <v>114</v>
      </c>
      <c r="D2449" t="s">
        <v>584</v>
      </c>
      <c r="E2449" t="s">
        <v>582</v>
      </c>
      <c r="F2449" s="705">
        <v>1</v>
      </c>
      <c r="G2449" s="705">
        <v>70</v>
      </c>
      <c r="H2449" s="705">
        <v>145</v>
      </c>
      <c r="I2449" s="705">
        <v>2820</v>
      </c>
      <c r="J2449" s="705">
        <v>2564</v>
      </c>
      <c r="K2449" s="705">
        <v>91</v>
      </c>
      <c r="L2449" s="705">
        <v>302</v>
      </c>
      <c r="M2449" s="705">
        <v>274</v>
      </c>
      <c r="N2449" s="705">
        <v>1272</v>
      </c>
      <c r="O2449" s="705">
        <v>471</v>
      </c>
      <c r="P2449" s="705">
        <v>473</v>
      </c>
      <c r="Q2449" s="705">
        <v>175</v>
      </c>
      <c r="R2449" s="705">
        <v>3098</v>
      </c>
      <c r="S2449" s="705">
        <v>2817</v>
      </c>
      <c r="T2449" s="705">
        <v>2158</v>
      </c>
      <c r="U2449" s="705">
        <v>799</v>
      </c>
      <c r="V2449" s="705">
        <v>7100</v>
      </c>
      <c r="W2449" s="705">
        <f t="shared" si="96"/>
        <v>7100</v>
      </c>
      <c r="X2449" s="705">
        <f t="shared" si="97"/>
        <v>10123</v>
      </c>
    </row>
    <row r="2450" spans="2:24">
      <c r="B2450" t="s">
        <v>556</v>
      </c>
      <c r="C2450" t="s">
        <v>114</v>
      </c>
      <c r="D2450" t="s">
        <v>584</v>
      </c>
      <c r="E2450" t="s">
        <v>584</v>
      </c>
      <c r="F2450" s="705">
        <v>469</v>
      </c>
      <c r="G2450" s="705">
        <v>48173</v>
      </c>
      <c r="H2450" s="705">
        <v>66270</v>
      </c>
      <c r="I2450" s="705">
        <v>3036909</v>
      </c>
      <c r="J2450" s="705">
        <v>2760827</v>
      </c>
      <c r="K2450" s="705">
        <v>87</v>
      </c>
      <c r="L2450" s="705">
        <v>636347</v>
      </c>
      <c r="M2450" s="705">
        <v>546029</v>
      </c>
      <c r="N2450" s="705">
        <v>911568</v>
      </c>
      <c r="O2450" s="705">
        <v>337618</v>
      </c>
      <c r="P2450" s="705">
        <v>224627</v>
      </c>
      <c r="Q2450" s="705">
        <v>83195</v>
      </c>
      <c r="R2450" s="705">
        <v>1990490</v>
      </c>
      <c r="S2450" s="705">
        <v>1809536</v>
      </c>
      <c r="T2450" s="705">
        <v>38713</v>
      </c>
      <c r="U2450" s="705">
        <v>14338</v>
      </c>
      <c r="V2450" s="705">
        <v>5551543</v>
      </c>
      <c r="W2450" s="705">
        <f t="shared" si="96"/>
        <v>5551543</v>
      </c>
      <c r="X2450" s="705">
        <f t="shared" si="97"/>
        <v>6838654</v>
      </c>
    </row>
    <row r="2451" spans="2:24">
      <c r="B2451" t="s">
        <v>556</v>
      </c>
      <c r="C2451" t="s">
        <v>116</v>
      </c>
      <c r="D2451" t="s">
        <v>664</v>
      </c>
      <c r="E2451" t="s">
        <v>664</v>
      </c>
      <c r="F2451" s="705">
        <v>1</v>
      </c>
      <c r="G2451" s="705">
        <v>114</v>
      </c>
      <c r="H2451" s="705">
        <v>171</v>
      </c>
      <c r="I2451" s="705">
        <v>10784</v>
      </c>
      <c r="J2451" s="705">
        <v>9803</v>
      </c>
      <c r="K2451" s="705">
        <v>90</v>
      </c>
      <c r="L2451" s="705">
        <v>2564</v>
      </c>
      <c r="M2451" s="705">
        <v>2331</v>
      </c>
      <c r="N2451" s="705">
        <v>2608</v>
      </c>
      <c r="O2451" s="705">
        <v>966</v>
      </c>
      <c r="P2451" s="705">
        <v>473</v>
      </c>
      <c r="Q2451" s="705">
        <v>175</v>
      </c>
      <c r="R2451" s="705">
        <v>3119</v>
      </c>
      <c r="S2451" s="705">
        <v>2836</v>
      </c>
      <c r="T2451" s="705">
        <v>0</v>
      </c>
      <c r="U2451" s="705">
        <v>0</v>
      </c>
      <c r="V2451" s="705">
        <v>16111</v>
      </c>
      <c r="W2451" s="705">
        <f t="shared" si="96"/>
        <v>16111</v>
      </c>
      <c r="X2451" s="705">
        <f t="shared" si="97"/>
        <v>19548</v>
      </c>
    </row>
    <row r="2452" spans="2:24">
      <c r="B2452" t="s">
        <v>556</v>
      </c>
      <c r="C2452" t="s">
        <v>116</v>
      </c>
      <c r="D2452" t="s">
        <v>664</v>
      </c>
      <c r="E2452" t="s">
        <v>583</v>
      </c>
      <c r="F2452" s="705">
        <v>1</v>
      </c>
      <c r="G2452" s="705">
        <v>132</v>
      </c>
      <c r="H2452" s="705">
        <v>199</v>
      </c>
      <c r="I2452" s="705">
        <v>15377</v>
      </c>
      <c r="J2452" s="705">
        <v>13979</v>
      </c>
      <c r="K2452" s="705">
        <v>95</v>
      </c>
      <c r="L2452" s="705">
        <v>3359</v>
      </c>
      <c r="M2452" s="705">
        <v>2799</v>
      </c>
      <c r="N2452" s="705">
        <v>2275</v>
      </c>
      <c r="O2452" s="705">
        <v>842</v>
      </c>
      <c r="P2452" s="705">
        <v>621</v>
      </c>
      <c r="Q2452" s="705">
        <v>230</v>
      </c>
      <c r="R2452" s="705">
        <v>3203</v>
      </c>
      <c r="S2452" s="705">
        <v>2912</v>
      </c>
      <c r="T2452" s="705">
        <v>1526</v>
      </c>
      <c r="U2452" s="705">
        <v>565</v>
      </c>
      <c r="V2452" s="705">
        <v>21328</v>
      </c>
      <c r="W2452" s="705">
        <f t="shared" si="96"/>
        <v>21327</v>
      </c>
      <c r="X2452" s="705">
        <f t="shared" si="97"/>
        <v>26361</v>
      </c>
    </row>
    <row r="2453" spans="2:24">
      <c r="B2453" t="s">
        <v>556</v>
      </c>
      <c r="C2453" t="s">
        <v>116</v>
      </c>
      <c r="D2453" t="s">
        <v>582</v>
      </c>
      <c r="E2453" t="s">
        <v>582</v>
      </c>
      <c r="F2453" s="705">
        <v>24</v>
      </c>
      <c r="G2453" s="705">
        <v>2587</v>
      </c>
      <c r="H2453" s="705">
        <v>4317</v>
      </c>
      <c r="I2453" s="705">
        <v>227694</v>
      </c>
      <c r="J2453" s="705">
        <v>206994</v>
      </c>
      <c r="K2453" s="705">
        <v>81</v>
      </c>
      <c r="L2453" s="705">
        <v>51018</v>
      </c>
      <c r="M2453" s="705">
        <v>47843</v>
      </c>
      <c r="N2453" s="705">
        <v>52388</v>
      </c>
      <c r="O2453" s="705">
        <v>19403</v>
      </c>
      <c r="P2453" s="705">
        <v>12434</v>
      </c>
      <c r="Q2453" s="705">
        <v>4605</v>
      </c>
      <c r="R2453" s="705">
        <v>107592</v>
      </c>
      <c r="S2453" s="705">
        <v>97811</v>
      </c>
      <c r="T2453" s="705">
        <v>14880</v>
      </c>
      <c r="U2453" s="705">
        <v>5511</v>
      </c>
      <c r="V2453" s="705">
        <v>382168</v>
      </c>
      <c r="W2453" s="705">
        <f t="shared" si="96"/>
        <v>382167</v>
      </c>
      <c r="X2453" s="705">
        <f t="shared" si="97"/>
        <v>466006</v>
      </c>
    </row>
    <row r="2454" spans="2:24">
      <c r="B2454" t="s">
        <v>556</v>
      </c>
      <c r="C2454" t="s">
        <v>116</v>
      </c>
      <c r="D2454" t="s">
        <v>582</v>
      </c>
      <c r="E2454" t="s">
        <v>583</v>
      </c>
      <c r="F2454" s="705">
        <v>1</v>
      </c>
      <c r="G2454" s="705">
        <v>104</v>
      </c>
      <c r="H2454" s="705">
        <v>156</v>
      </c>
      <c r="I2454" s="705">
        <v>7678</v>
      </c>
      <c r="J2454" s="705">
        <v>6980</v>
      </c>
      <c r="K2454" s="705">
        <v>79</v>
      </c>
      <c r="L2454" s="705">
        <v>1125</v>
      </c>
      <c r="M2454" s="705">
        <v>1023</v>
      </c>
      <c r="N2454" s="705">
        <v>2204</v>
      </c>
      <c r="O2454" s="705">
        <v>816</v>
      </c>
      <c r="P2454" s="705">
        <v>473</v>
      </c>
      <c r="Q2454" s="705">
        <v>175</v>
      </c>
      <c r="R2454" s="705">
        <v>4716</v>
      </c>
      <c r="S2454" s="705">
        <v>4287</v>
      </c>
      <c r="T2454" s="705">
        <v>0</v>
      </c>
      <c r="U2454" s="705">
        <v>0</v>
      </c>
      <c r="V2454" s="705">
        <v>13281</v>
      </c>
      <c r="W2454" s="705">
        <f t="shared" si="96"/>
        <v>13281</v>
      </c>
      <c r="X2454" s="705">
        <f t="shared" si="97"/>
        <v>16196</v>
      </c>
    </row>
    <row r="2455" spans="2:24">
      <c r="B2455" t="s">
        <v>556</v>
      </c>
      <c r="C2455" t="s">
        <v>116</v>
      </c>
      <c r="D2455" t="s">
        <v>228</v>
      </c>
      <c r="E2455" t="s">
        <v>228</v>
      </c>
      <c r="F2455" s="705">
        <v>84</v>
      </c>
      <c r="G2455" s="705">
        <v>5710</v>
      </c>
      <c r="H2455" s="705">
        <v>15442</v>
      </c>
      <c r="I2455" s="705">
        <v>431830</v>
      </c>
      <c r="J2455" s="705">
        <v>159937</v>
      </c>
      <c r="K2455" s="705">
        <v>259</v>
      </c>
      <c r="L2455" s="705">
        <v>65963</v>
      </c>
      <c r="M2455" s="705">
        <v>47977</v>
      </c>
      <c r="N2455" s="705">
        <v>99865</v>
      </c>
      <c r="O2455" s="705">
        <v>36987</v>
      </c>
      <c r="P2455" s="705">
        <v>19474</v>
      </c>
      <c r="Q2455" s="705">
        <v>7213</v>
      </c>
      <c r="R2455" s="705">
        <v>476088</v>
      </c>
      <c r="S2455" s="705">
        <v>176329</v>
      </c>
      <c r="T2455" s="705">
        <v>1777</v>
      </c>
      <c r="U2455" s="705">
        <v>658</v>
      </c>
      <c r="V2455" s="705">
        <v>429101</v>
      </c>
      <c r="W2455" s="705">
        <f t="shared" si="96"/>
        <v>429101</v>
      </c>
      <c r="X2455" s="705">
        <f t="shared" si="97"/>
        <v>1094997</v>
      </c>
    </row>
    <row r="2456" spans="2:24">
      <c r="B2456" t="s">
        <v>556</v>
      </c>
      <c r="C2456" t="s">
        <v>116</v>
      </c>
      <c r="D2456" t="s">
        <v>583</v>
      </c>
      <c r="E2456" t="s">
        <v>664</v>
      </c>
      <c r="F2456" s="705">
        <v>2</v>
      </c>
      <c r="G2456" s="705">
        <v>226</v>
      </c>
      <c r="H2456" s="705">
        <v>439</v>
      </c>
      <c r="I2456" s="705">
        <v>25355</v>
      </c>
      <c r="J2456" s="705">
        <v>23050</v>
      </c>
      <c r="K2456" s="705">
        <v>85</v>
      </c>
      <c r="L2456" s="705">
        <v>7597</v>
      </c>
      <c r="M2456" s="705">
        <v>6906</v>
      </c>
      <c r="N2456" s="705">
        <v>3902</v>
      </c>
      <c r="O2456" s="705">
        <v>1445</v>
      </c>
      <c r="P2456" s="705">
        <v>1242</v>
      </c>
      <c r="Q2456" s="705">
        <v>460</v>
      </c>
      <c r="R2456" s="705">
        <v>8776</v>
      </c>
      <c r="S2456" s="705">
        <v>7978</v>
      </c>
      <c r="T2456" s="705">
        <v>2774</v>
      </c>
      <c r="U2456" s="705">
        <v>1027</v>
      </c>
      <c r="V2456" s="705">
        <v>40867</v>
      </c>
      <c r="W2456" s="705">
        <f t="shared" si="96"/>
        <v>40866</v>
      </c>
      <c r="X2456" s="705">
        <f t="shared" si="97"/>
        <v>49646</v>
      </c>
    </row>
    <row r="2457" spans="2:24">
      <c r="B2457" t="s">
        <v>556</v>
      </c>
      <c r="C2457" t="s">
        <v>116</v>
      </c>
      <c r="D2457" t="s">
        <v>583</v>
      </c>
      <c r="E2457" t="s">
        <v>228</v>
      </c>
      <c r="F2457" s="705">
        <v>1</v>
      </c>
      <c r="G2457" s="705">
        <v>129</v>
      </c>
      <c r="H2457" s="705">
        <v>172</v>
      </c>
      <c r="I2457" s="705">
        <v>6204</v>
      </c>
      <c r="J2457" s="705">
        <v>5640</v>
      </c>
      <c r="K2457" s="705">
        <v>85</v>
      </c>
      <c r="L2457" s="705">
        <v>976</v>
      </c>
      <c r="M2457" s="705">
        <v>888</v>
      </c>
      <c r="N2457" s="705">
        <v>2577</v>
      </c>
      <c r="O2457" s="705">
        <v>954</v>
      </c>
      <c r="P2457" s="705">
        <v>621</v>
      </c>
      <c r="Q2457" s="705">
        <v>230</v>
      </c>
      <c r="R2457" s="705">
        <v>11853</v>
      </c>
      <c r="S2457" s="705">
        <v>4390</v>
      </c>
      <c r="T2457" s="705">
        <v>0</v>
      </c>
      <c r="U2457" s="705">
        <v>0</v>
      </c>
      <c r="V2457" s="705">
        <v>12102</v>
      </c>
      <c r="W2457" s="705">
        <f t="shared" si="96"/>
        <v>12102</v>
      </c>
      <c r="X2457" s="705">
        <f t="shared" si="97"/>
        <v>22231</v>
      </c>
    </row>
    <row r="2458" spans="2:24">
      <c r="B2458" t="s">
        <v>556</v>
      </c>
      <c r="C2458" t="s">
        <v>116</v>
      </c>
      <c r="D2458" t="s">
        <v>583</v>
      </c>
      <c r="E2458" t="s">
        <v>583</v>
      </c>
      <c r="F2458" s="705">
        <v>1467</v>
      </c>
      <c r="G2458" s="705">
        <v>150254</v>
      </c>
      <c r="H2458" s="705">
        <v>280430</v>
      </c>
      <c r="I2458" s="705">
        <v>14088444</v>
      </c>
      <c r="J2458" s="705">
        <v>12807676</v>
      </c>
      <c r="K2458" s="705">
        <v>86</v>
      </c>
      <c r="L2458" s="705">
        <v>3363628</v>
      </c>
      <c r="M2458" s="705">
        <v>3139490</v>
      </c>
      <c r="N2458" s="705">
        <v>2942402</v>
      </c>
      <c r="O2458" s="705">
        <v>1089779</v>
      </c>
      <c r="P2458" s="705">
        <v>939418</v>
      </c>
      <c r="Q2458" s="705">
        <v>347933</v>
      </c>
      <c r="R2458" s="705">
        <v>6508657</v>
      </c>
      <c r="S2458" s="705">
        <v>5916960</v>
      </c>
      <c r="T2458" s="705">
        <v>1360686</v>
      </c>
      <c r="U2458" s="705">
        <v>503958</v>
      </c>
      <c r="V2458" s="705">
        <v>23805795</v>
      </c>
      <c r="W2458" s="705">
        <f t="shared" si="96"/>
        <v>23805796</v>
      </c>
      <c r="X2458" s="705">
        <f t="shared" si="97"/>
        <v>29203235</v>
      </c>
    </row>
    <row r="2459" spans="2:24">
      <c r="B2459" t="s">
        <v>556</v>
      </c>
      <c r="C2459" t="s">
        <v>116</v>
      </c>
      <c r="D2459" t="s">
        <v>583</v>
      </c>
      <c r="E2459" t="s">
        <v>669</v>
      </c>
      <c r="F2459" s="705">
        <v>1</v>
      </c>
      <c r="G2459" s="705">
        <v>80</v>
      </c>
      <c r="H2459" s="705">
        <v>212</v>
      </c>
      <c r="I2459" s="705">
        <v>7990</v>
      </c>
      <c r="J2459" s="705">
        <v>7263</v>
      </c>
      <c r="K2459" s="705">
        <v>79</v>
      </c>
      <c r="L2459" s="705">
        <v>1321</v>
      </c>
      <c r="M2459" s="705">
        <v>1100</v>
      </c>
      <c r="N2459" s="705">
        <v>1059</v>
      </c>
      <c r="O2459" s="705">
        <v>392</v>
      </c>
      <c r="P2459" s="705">
        <v>621</v>
      </c>
      <c r="Q2459" s="705">
        <v>230</v>
      </c>
      <c r="R2459" s="705">
        <v>3918</v>
      </c>
      <c r="S2459" s="705">
        <v>3265</v>
      </c>
      <c r="T2459" s="705">
        <v>2172</v>
      </c>
      <c r="U2459" s="705">
        <v>804</v>
      </c>
      <c r="V2459" s="705">
        <v>13056</v>
      </c>
      <c r="W2459" s="705">
        <f t="shared" si="96"/>
        <v>13054</v>
      </c>
      <c r="X2459" s="705">
        <f t="shared" si="97"/>
        <v>17081</v>
      </c>
    </row>
    <row r="2460" spans="2:24">
      <c r="B2460" t="s">
        <v>556</v>
      </c>
      <c r="C2460" t="s">
        <v>116</v>
      </c>
      <c r="D2460" t="s">
        <v>666</v>
      </c>
      <c r="E2460" t="s">
        <v>666</v>
      </c>
      <c r="F2460" s="705">
        <v>1</v>
      </c>
      <c r="G2460" s="705">
        <v>114</v>
      </c>
      <c r="H2460" s="705">
        <v>219</v>
      </c>
      <c r="I2460" s="705">
        <v>12196</v>
      </c>
      <c r="J2460" s="705">
        <v>11087</v>
      </c>
      <c r="K2460" s="705">
        <v>55</v>
      </c>
      <c r="L2460" s="705">
        <v>1736</v>
      </c>
      <c r="M2460" s="705">
        <v>643</v>
      </c>
      <c r="N2460" s="705">
        <v>1881</v>
      </c>
      <c r="O2460" s="705">
        <v>697</v>
      </c>
      <c r="P2460" s="705">
        <v>351</v>
      </c>
      <c r="Q2460" s="705">
        <v>130</v>
      </c>
      <c r="R2460" s="705">
        <v>8703</v>
      </c>
      <c r="S2460" s="705">
        <v>7912</v>
      </c>
      <c r="T2460" s="705">
        <v>0</v>
      </c>
      <c r="U2460" s="705">
        <v>0</v>
      </c>
      <c r="V2460" s="705">
        <v>20469</v>
      </c>
      <c r="W2460" s="705">
        <f t="shared" si="96"/>
        <v>20469</v>
      </c>
      <c r="X2460" s="705">
        <f t="shared" si="97"/>
        <v>24867</v>
      </c>
    </row>
    <row r="2461" spans="2:24">
      <c r="B2461" t="s">
        <v>556</v>
      </c>
      <c r="C2461" t="s">
        <v>116</v>
      </c>
      <c r="D2461" t="s">
        <v>584</v>
      </c>
      <c r="E2461" t="s">
        <v>582</v>
      </c>
      <c r="F2461" s="705">
        <v>3</v>
      </c>
      <c r="G2461" s="705">
        <v>257</v>
      </c>
      <c r="H2461" s="705">
        <v>619</v>
      </c>
      <c r="I2461" s="705">
        <v>24474</v>
      </c>
      <c r="J2461" s="705">
        <v>22250</v>
      </c>
      <c r="K2461" s="705">
        <v>84</v>
      </c>
      <c r="L2461" s="705">
        <v>8686</v>
      </c>
      <c r="M2461" s="705">
        <v>7521</v>
      </c>
      <c r="N2461" s="705">
        <v>4686</v>
      </c>
      <c r="O2461" s="705">
        <v>1736</v>
      </c>
      <c r="P2461" s="705">
        <v>1418</v>
      </c>
      <c r="Q2461" s="705">
        <v>525</v>
      </c>
      <c r="R2461" s="705">
        <v>14532</v>
      </c>
      <c r="S2461" s="705">
        <v>13211</v>
      </c>
      <c r="T2461" s="705">
        <v>0</v>
      </c>
      <c r="U2461" s="705">
        <v>0</v>
      </c>
      <c r="V2461" s="705">
        <v>45242</v>
      </c>
      <c r="W2461" s="705">
        <f t="shared" si="96"/>
        <v>45243</v>
      </c>
      <c r="X2461" s="705">
        <f t="shared" si="97"/>
        <v>53796</v>
      </c>
    </row>
    <row r="2462" spans="2:24">
      <c r="B2462" t="s">
        <v>556</v>
      </c>
      <c r="C2462" t="s">
        <v>116</v>
      </c>
      <c r="D2462" t="s">
        <v>584</v>
      </c>
      <c r="E2462" t="s">
        <v>228</v>
      </c>
      <c r="F2462" s="705">
        <v>3</v>
      </c>
      <c r="G2462" s="705">
        <v>313</v>
      </c>
      <c r="H2462" s="705">
        <v>552</v>
      </c>
      <c r="I2462" s="705">
        <v>27057</v>
      </c>
      <c r="J2462" s="705">
        <v>24597</v>
      </c>
      <c r="K2462" s="705">
        <v>90</v>
      </c>
      <c r="L2462" s="705">
        <v>1360</v>
      </c>
      <c r="M2462" s="705">
        <v>1237</v>
      </c>
      <c r="N2462" s="705">
        <v>4901</v>
      </c>
      <c r="O2462" s="705">
        <v>1815</v>
      </c>
      <c r="P2462" s="705">
        <v>1418</v>
      </c>
      <c r="Q2462" s="705">
        <v>525</v>
      </c>
      <c r="R2462" s="705">
        <v>21554</v>
      </c>
      <c r="S2462" s="705">
        <v>7983</v>
      </c>
      <c r="T2462" s="705">
        <v>0</v>
      </c>
      <c r="U2462" s="705">
        <v>0</v>
      </c>
      <c r="V2462" s="705">
        <v>36156</v>
      </c>
      <c r="W2462" s="705">
        <f t="shared" si="96"/>
        <v>36157</v>
      </c>
      <c r="X2462" s="705">
        <f t="shared" si="97"/>
        <v>56290</v>
      </c>
    </row>
    <row r="2463" spans="2:24">
      <c r="B2463" t="s">
        <v>556</v>
      </c>
      <c r="C2463" t="s">
        <v>116</v>
      </c>
      <c r="D2463" t="s">
        <v>584</v>
      </c>
      <c r="E2463" t="s">
        <v>583</v>
      </c>
      <c r="F2463" s="705">
        <v>1</v>
      </c>
      <c r="G2463" s="705">
        <v>94</v>
      </c>
      <c r="H2463" s="705">
        <v>223</v>
      </c>
      <c r="I2463" s="705">
        <v>9245</v>
      </c>
      <c r="J2463" s="705">
        <v>8404</v>
      </c>
      <c r="K2463" s="705">
        <v>79</v>
      </c>
      <c r="L2463" s="705">
        <v>3847</v>
      </c>
      <c r="M2463" s="705">
        <v>3497</v>
      </c>
      <c r="N2463" s="705">
        <v>1572</v>
      </c>
      <c r="O2463" s="705">
        <v>582</v>
      </c>
      <c r="P2463" s="705">
        <v>473</v>
      </c>
      <c r="Q2463" s="705">
        <v>175</v>
      </c>
      <c r="R2463" s="705">
        <v>3348</v>
      </c>
      <c r="S2463" s="705">
        <v>3044</v>
      </c>
      <c r="T2463" s="705">
        <v>2487</v>
      </c>
      <c r="U2463" s="705">
        <v>921</v>
      </c>
      <c r="V2463" s="705">
        <v>16624</v>
      </c>
      <c r="W2463" s="705">
        <f t="shared" si="96"/>
        <v>16623</v>
      </c>
      <c r="X2463" s="705">
        <f t="shared" si="97"/>
        <v>20972</v>
      </c>
    </row>
    <row r="2464" spans="2:24">
      <c r="B2464" t="s">
        <v>556</v>
      </c>
      <c r="C2464" t="s">
        <v>116</v>
      </c>
      <c r="D2464" t="s">
        <v>584</v>
      </c>
      <c r="E2464" t="s">
        <v>584</v>
      </c>
      <c r="F2464" s="705">
        <v>3249</v>
      </c>
      <c r="G2464" s="705">
        <v>318554</v>
      </c>
      <c r="H2464" s="705">
        <v>612954</v>
      </c>
      <c r="I2464" s="705">
        <v>28412787</v>
      </c>
      <c r="J2464" s="705">
        <v>25829806</v>
      </c>
      <c r="K2464" s="705">
        <v>83</v>
      </c>
      <c r="L2464" s="705">
        <v>6732035</v>
      </c>
      <c r="M2464" s="705">
        <v>5822347</v>
      </c>
      <c r="N2464" s="705">
        <v>6319022</v>
      </c>
      <c r="O2464" s="705">
        <v>2340378</v>
      </c>
      <c r="P2464" s="705">
        <v>1616837</v>
      </c>
      <c r="Q2464" s="705">
        <v>598828</v>
      </c>
      <c r="R2464" s="705">
        <v>14734716</v>
      </c>
      <c r="S2464" s="705">
        <v>13395196</v>
      </c>
      <c r="T2464" s="705">
        <v>2277528</v>
      </c>
      <c r="U2464" s="705">
        <v>843529</v>
      </c>
      <c r="V2464" s="705">
        <v>48830085</v>
      </c>
      <c r="W2464" s="705">
        <f t="shared" si="96"/>
        <v>48830084</v>
      </c>
      <c r="X2464" s="705">
        <f t="shared" si="97"/>
        <v>60092925</v>
      </c>
    </row>
    <row r="2465" spans="2:24">
      <c r="B2465" t="s">
        <v>556</v>
      </c>
      <c r="C2465" t="s">
        <v>116</v>
      </c>
      <c r="D2465" t="s">
        <v>669</v>
      </c>
      <c r="E2465" t="s">
        <v>669</v>
      </c>
      <c r="F2465" s="705">
        <v>2</v>
      </c>
      <c r="G2465" s="705">
        <v>191</v>
      </c>
      <c r="H2465" s="705">
        <v>435</v>
      </c>
      <c r="I2465" s="705">
        <v>23256</v>
      </c>
      <c r="J2465" s="705">
        <v>19380</v>
      </c>
      <c r="K2465" s="705">
        <v>72</v>
      </c>
      <c r="L2465" s="705">
        <v>1809</v>
      </c>
      <c r="M2465" s="705">
        <v>1507</v>
      </c>
      <c r="N2465" s="705">
        <v>2881</v>
      </c>
      <c r="O2465" s="705">
        <v>1067</v>
      </c>
      <c r="P2465" s="705">
        <v>702</v>
      </c>
      <c r="Q2465" s="705">
        <v>260</v>
      </c>
      <c r="R2465" s="705">
        <v>10771</v>
      </c>
      <c r="S2465" s="705">
        <v>8976</v>
      </c>
      <c r="T2465" s="705">
        <v>2156</v>
      </c>
      <c r="U2465" s="705">
        <v>798</v>
      </c>
      <c r="V2465" s="705">
        <v>31989</v>
      </c>
      <c r="W2465" s="705">
        <f t="shared" si="96"/>
        <v>31988</v>
      </c>
      <c r="X2465" s="705">
        <f t="shared" si="97"/>
        <v>41575</v>
      </c>
    </row>
    <row r="2466" spans="2:24">
      <c r="B2466" t="s">
        <v>556</v>
      </c>
      <c r="C2466" t="s">
        <v>116</v>
      </c>
      <c r="D2466" t="s">
        <v>667</v>
      </c>
      <c r="E2466" t="s">
        <v>667</v>
      </c>
      <c r="F2466" s="705">
        <v>1</v>
      </c>
      <c r="G2466" s="705">
        <v>92</v>
      </c>
      <c r="H2466" s="705">
        <v>190</v>
      </c>
      <c r="I2466" s="705">
        <v>9363</v>
      </c>
      <c r="J2466" s="705">
        <v>8512</v>
      </c>
      <c r="K2466" s="705">
        <v>65</v>
      </c>
      <c r="L2466" s="705">
        <v>676</v>
      </c>
      <c r="M2466" s="705">
        <v>615</v>
      </c>
      <c r="N2466" s="705">
        <v>1849</v>
      </c>
      <c r="O2466" s="705">
        <v>685</v>
      </c>
      <c r="P2466" s="705">
        <v>351</v>
      </c>
      <c r="Q2466" s="705">
        <v>130</v>
      </c>
      <c r="R2466" s="705">
        <v>2958</v>
      </c>
      <c r="S2466" s="705">
        <v>2689</v>
      </c>
      <c r="T2466" s="705">
        <v>2324</v>
      </c>
      <c r="U2466" s="705">
        <v>861</v>
      </c>
      <c r="V2466" s="705">
        <v>13491</v>
      </c>
      <c r="W2466" s="705">
        <f t="shared" ref="W2466:W2529" si="98">SUM(ABS(J2466),ABS(M2466),ABS(O2466),ABS(Q2466),ABS(S2466),ABS(U2466))</f>
        <v>13492</v>
      </c>
      <c r="X2466" s="705">
        <f t="shared" ref="X2466:X2529" si="99">SUM(ABS(I2466),ABS(N2466),ABS(P2466),ABS(R2466),ABS(T2466),ABS(L2466))</f>
        <v>17521</v>
      </c>
    </row>
    <row r="2467" spans="2:24">
      <c r="B2467" t="s">
        <v>556</v>
      </c>
      <c r="C2467" t="s">
        <v>116</v>
      </c>
      <c r="D2467" t="s">
        <v>665</v>
      </c>
      <c r="E2467" t="s">
        <v>665</v>
      </c>
      <c r="F2467" s="705">
        <v>14</v>
      </c>
      <c r="G2467" s="705">
        <v>1489</v>
      </c>
      <c r="H2467" s="705">
        <v>2897</v>
      </c>
      <c r="I2467" s="705">
        <v>166087</v>
      </c>
      <c r="J2467" s="705">
        <v>150988</v>
      </c>
      <c r="K2467" s="705">
        <v>70</v>
      </c>
      <c r="L2467" s="705">
        <v>12561</v>
      </c>
      <c r="M2467" s="705">
        <v>9777</v>
      </c>
      <c r="N2467" s="705">
        <v>29024</v>
      </c>
      <c r="O2467" s="705">
        <v>10750</v>
      </c>
      <c r="P2467" s="705">
        <v>6548</v>
      </c>
      <c r="Q2467" s="705">
        <v>2425</v>
      </c>
      <c r="R2467" s="705">
        <v>67209</v>
      </c>
      <c r="S2467" s="705">
        <v>61099</v>
      </c>
      <c r="T2467" s="705">
        <v>27774</v>
      </c>
      <c r="U2467" s="705">
        <v>10287</v>
      </c>
      <c r="V2467" s="705">
        <v>245325</v>
      </c>
      <c r="W2467" s="705">
        <f t="shared" si="98"/>
        <v>245326</v>
      </c>
      <c r="X2467" s="705">
        <f t="shared" si="99"/>
        <v>309203</v>
      </c>
    </row>
    <row r="2468" spans="2:24">
      <c r="B2468" t="s">
        <v>556</v>
      </c>
      <c r="C2468" t="s">
        <v>116</v>
      </c>
      <c r="D2468" t="s">
        <v>673</v>
      </c>
      <c r="E2468" t="s">
        <v>673</v>
      </c>
      <c r="F2468" s="705">
        <v>1</v>
      </c>
      <c r="G2468" s="705">
        <v>73</v>
      </c>
      <c r="H2468" s="705">
        <v>162</v>
      </c>
      <c r="I2468" s="705">
        <v>11261</v>
      </c>
      <c r="J2468" s="705">
        <v>10238</v>
      </c>
      <c r="K2468" s="705">
        <v>72</v>
      </c>
      <c r="L2468" s="705">
        <v>0</v>
      </c>
      <c r="M2468" s="705">
        <v>1138</v>
      </c>
      <c r="N2468" s="705">
        <v>2069</v>
      </c>
      <c r="O2468" s="705">
        <v>766</v>
      </c>
      <c r="P2468" s="705">
        <v>351</v>
      </c>
      <c r="Q2468" s="705">
        <v>130</v>
      </c>
      <c r="R2468" s="705">
        <v>3764</v>
      </c>
      <c r="S2468" s="705">
        <v>3422</v>
      </c>
      <c r="T2468" s="705">
        <v>2733</v>
      </c>
      <c r="U2468" s="705">
        <v>1012</v>
      </c>
      <c r="V2468" s="705">
        <v>16705</v>
      </c>
      <c r="W2468" s="705">
        <f t="shared" si="98"/>
        <v>16706</v>
      </c>
      <c r="X2468" s="705">
        <f t="shared" si="99"/>
        <v>20178</v>
      </c>
    </row>
    <row r="2469" spans="2:24">
      <c r="B2469" t="s">
        <v>556</v>
      </c>
      <c r="C2469" t="s">
        <v>118</v>
      </c>
      <c r="D2469" t="s">
        <v>582</v>
      </c>
      <c r="E2469" t="s">
        <v>582</v>
      </c>
      <c r="F2469" s="705">
        <v>9</v>
      </c>
      <c r="G2469" s="705">
        <v>921</v>
      </c>
      <c r="H2469" s="705">
        <v>2371</v>
      </c>
      <c r="I2469" s="705">
        <v>142378</v>
      </c>
      <c r="J2469" s="705">
        <v>129435</v>
      </c>
      <c r="K2469" s="705">
        <v>81</v>
      </c>
      <c r="L2469" s="705">
        <v>29636</v>
      </c>
      <c r="M2469" s="705">
        <v>21985</v>
      </c>
      <c r="N2469" s="705">
        <v>21614</v>
      </c>
      <c r="O2469" s="705">
        <v>8005</v>
      </c>
      <c r="P2469" s="705">
        <v>4131</v>
      </c>
      <c r="Q2469" s="705">
        <v>1530</v>
      </c>
      <c r="R2469" s="705">
        <v>44252</v>
      </c>
      <c r="S2469" s="705">
        <v>40229</v>
      </c>
      <c r="T2469" s="705">
        <v>8811</v>
      </c>
      <c r="U2469" s="705">
        <v>3263</v>
      </c>
      <c r="V2469" s="705">
        <v>204448</v>
      </c>
      <c r="W2469" s="705">
        <f t="shared" si="98"/>
        <v>204447</v>
      </c>
      <c r="X2469" s="705">
        <f t="shared" si="99"/>
        <v>250822</v>
      </c>
    </row>
    <row r="2470" spans="2:24">
      <c r="B2470" t="s">
        <v>556</v>
      </c>
      <c r="C2470" t="s">
        <v>118</v>
      </c>
      <c r="D2470" t="s">
        <v>228</v>
      </c>
      <c r="E2470" t="s">
        <v>228</v>
      </c>
      <c r="F2470" s="705">
        <v>183</v>
      </c>
      <c r="G2470" s="705">
        <v>16830</v>
      </c>
      <c r="H2470" s="705">
        <v>49227</v>
      </c>
      <c r="I2470" s="705">
        <v>2507859</v>
      </c>
      <c r="J2470" s="705">
        <v>928837</v>
      </c>
      <c r="K2470" s="705">
        <v>101</v>
      </c>
      <c r="L2470" s="705">
        <v>420137</v>
      </c>
      <c r="M2470" s="705">
        <v>271319</v>
      </c>
      <c r="N2470" s="705">
        <v>343740</v>
      </c>
      <c r="O2470" s="705">
        <v>127311</v>
      </c>
      <c r="P2470" s="705">
        <v>1239</v>
      </c>
      <c r="Q2470" s="705">
        <v>459</v>
      </c>
      <c r="R2470" s="705">
        <v>1327077</v>
      </c>
      <c r="S2470" s="705">
        <v>491510</v>
      </c>
      <c r="T2470" s="705">
        <v>4714</v>
      </c>
      <c r="U2470" s="705">
        <v>1746</v>
      </c>
      <c r="V2470" s="705">
        <v>1821182</v>
      </c>
      <c r="W2470" s="705">
        <f t="shared" si="98"/>
        <v>1821182</v>
      </c>
      <c r="X2470" s="705">
        <f t="shared" si="99"/>
        <v>4604766</v>
      </c>
    </row>
    <row r="2471" spans="2:24">
      <c r="B2471" t="s">
        <v>556</v>
      </c>
      <c r="C2471" t="s">
        <v>118</v>
      </c>
      <c r="D2471" t="s">
        <v>228</v>
      </c>
      <c r="E2471" t="s">
        <v>666</v>
      </c>
      <c r="F2471" s="705">
        <v>3</v>
      </c>
      <c r="G2471" s="705">
        <v>209</v>
      </c>
      <c r="H2471" s="705">
        <v>843</v>
      </c>
      <c r="I2471" s="705">
        <v>28001</v>
      </c>
      <c r="J2471" s="705">
        <v>10371</v>
      </c>
      <c r="K2471" s="705">
        <v>100</v>
      </c>
      <c r="L2471" s="705">
        <v>6572</v>
      </c>
      <c r="M2471" s="705">
        <v>5975</v>
      </c>
      <c r="N2471" s="705">
        <v>2548</v>
      </c>
      <c r="O2471" s="705">
        <v>944</v>
      </c>
      <c r="P2471" s="705">
        <v>351</v>
      </c>
      <c r="Q2471" s="705">
        <v>130</v>
      </c>
      <c r="R2471" s="705">
        <v>14432</v>
      </c>
      <c r="S2471" s="705">
        <v>13120</v>
      </c>
      <c r="T2471" s="705">
        <v>6879</v>
      </c>
      <c r="U2471" s="705">
        <v>2548</v>
      </c>
      <c r="V2471" s="705">
        <v>33087</v>
      </c>
      <c r="W2471" s="705">
        <f t="shared" si="98"/>
        <v>33088</v>
      </c>
      <c r="X2471" s="705">
        <f t="shared" si="99"/>
        <v>58783</v>
      </c>
    </row>
    <row r="2472" spans="2:24">
      <c r="B2472" t="s">
        <v>556</v>
      </c>
      <c r="C2472" t="s">
        <v>118</v>
      </c>
      <c r="D2472" t="s">
        <v>228</v>
      </c>
      <c r="E2472" t="s">
        <v>669</v>
      </c>
      <c r="F2472" s="705">
        <v>2</v>
      </c>
      <c r="G2472" s="705">
        <v>151</v>
      </c>
      <c r="H2472" s="705">
        <v>570</v>
      </c>
      <c r="I2472" s="705">
        <v>20980</v>
      </c>
      <c r="J2472" s="705">
        <v>7771</v>
      </c>
      <c r="K2472" s="705">
        <v>100</v>
      </c>
      <c r="L2472" s="705">
        <v>3454</v>
      </c>
      <c r="M2472" s="705">
        <v>2878</v>
      </c>
      <c r="N2472" s="705">
        <v>3004</v>
      </c>
      <c r="O2472" s="705">
        <v>1113</v>
      </c>
      <c r="P2472" s="705">
        <v>0</v>
      </c>
      <c r="Q2472" s="705">
        <v>0</v>
      </c>
      <c r="R2472" s="705">
        <v>10557</v>
      </c>
      <c r="S2472" s="705">
        <v>8797</v>
      </c>
      <c r="T2472" s="705">
        <v>4875</v>
      </c>
      <c r="U2472" s="705">
        <v>1805</v>
      </c>
      <c r="V2472" s="705">
        <v>22364</v>
      </c>
      <c r="W2472" s="705">
        <f t="shared" si="98"/>
        <v>22364</v>
      </c>
      <c r="X2472" s="705">
        <f t="shared" si="99"/>
        <v>42870</v>
      </c>
    </row>
    <row r="2473" spans="2:24">
      <c r="B2473" t="s">
        <v>556</v>
      </c>
      <c r="C2473" t="s">
        <v>118</v>
      </c>
      <c r="D2473" t="s">
        <v>583</v>
      </c>
      <c r="E2473" t="s">
        <v>228</v>
      </c>
      <c r="F2473" s="705">
        <v>6</v>
      </c>
      <c r="G2473" s="705">
        <v>373</v>
      </c>
      <c r="H2473" s="705">
        <v>1626</v>
      </c>
      <c r="I2473" s="705">
        <v>47804</v>
      </c>
      <c r="J2473" s="705">
        <v>43458</v>
      </c>
      <c r="K2473" s="705">
        <v>81</v>
      </c>
      <c r="L2473" s="705">
        <v>13003</v>
      </c>
      <c r="M2473" s="705">
        <v>11193</v>
      </c>
      <c r="N2473" s="705">
        <v>6303</v>
      </c>
      <c r="O2473" s="705">
        <v>2334</v>
      </c>
      <c r="P2473" s="705">
        <v>3105</v>
      </c>
      <c r="Q2473" s="705">
        <v>1150</v>
      </c>
      <c r="R2473" s="705">
        <v>29117</v>
      </c>
      <c r="S2473" s="705">
        <v>10784</v>
      </c>
      <c r="T2473" s="705">
        <v>1467</v>
      </c>
      <c r="U2473" s="705">
        <v>543</v>
      </c>
      <c r="V2473" s="705">
        <v>69463</v>
      </c>
      <c r="W2473" s="705">
        <f t="shared" si="98"/>
        <v>69462</v>
      </c>
      <c r="X2473" s="705">
        <f t="shared" si="99"/>
        <v>100799</v>
      </c>
    </row>
    <row r="2474" spans="2:24">
      <c r="B2474" t="s">
        <v>556</v>
      </c>
      <c r="C2474" t="s">
        <v>118</v>
      </c>
      <c r="D2474" t="s">
        <v>583</v>
      </c>
      <c r="E2474" t="s">
        <v>583</v>
      </c>
      <c r="F2474" s="705">
        <v>1180</v>
      </c>
      <c r="G2474" s="705">
        <v>105190</v>
      </c>
      <c r="H2474" s="705">
        <v>304826</v>
      </c>
      <c r="I2474" s="705">
        <v>14456861</v>
      </c>
      <c r="J2474" s="705">
        <v>13142601</v>
      </c>
      <c r="K2474" s="705">
        <v>82</v>
      </c>
      <c r="L2474" s="705">
        <v>3229044</v>
      </c>
      <c r="M2474" s="705">
        <v>2773648</v>
      </c>
      <c r="N2474" s="705">
        <v>2086632</v>
      </c>
      <c r="O2474" s="705">
        <v>772827</v>
      </c>
      <c r="P2474" s="705">
        <v>765828</v>
      </c>
      <c r="Q2474" s="705">
        <v>283640</v>
      </c>
      <c r="R2474" s="705">
        <v>5327072</v>
      </c>
      <c r="S2474" s="705">
        <v>4842792</v>
      </c>
      <c r="T2474" s="705">
        <v>1612552</v>
      </c>
      <c r="U2474" s="705">
        <v>597241</v>
      </c>
      <c r="V2474" s="705">
        <v>22412749</v>
      </c>
      <c r="W2474" s="705">
        <f t="shared" si="98"/>
        <v>22412749</v>
      </c>
      <c r="X2474" s="705">
        <f t="shared" si="99"/>
        <v>27477989</v>
      </c>
    </row>
    <row r="2475" spans="2:24">
      <c r="B2475" t="s">
        <v>556</v>
      </c>
      <c r="C2475" t="s">
        <v>118</v>
      </c>
      <c r="D2475" t="s">
        <v>583</v>
      </c>
      <c r="E2475" t="s">
        <v>584</v>
      </c>
      <c r="F2475" s="705">
        <v>1</v>
      </c>
      <c r="G2475" s="705">
        <v>80</v>
      </c>
      <c r="H2475" s="705">
        <v>227</v>
      </c>
      <c r="I2475" s="705">
        <v>7527</v>
      </c>
      <c r="J2475" s="705">
        <v>6843</v>
      </c>
      <c r="K2475" s="705">
        <v>85</v>
      </c>
      <c r="L2475" s="705">
        <v>1232</v>
      </c>
      <c r="M2475" s="705">
        <v>1120</v>
      </c>
      <c r="N2475" s="705">
        <v>1521</v>
      </c>
      <c r="O2475" s="705">
        <v>563</v>
      </c>
      <c r="P2475" s="705">
        <v>972</v>
      </c>
      <c r="Q2475" s="705">
        <v>360</v>
      </c>
      <c r="R2475" s="705">
        <v>4048</v>
      </c>
      <c r="S2475" s="705">
        <v>3680</v>
      </c>
      <c r="T2475" s="705">
        <v>2879</v>
      </c>
      <c r="U2475" s="705">
        <v>1066</v>
      </c>
      <c r="V2475" s="705">
        <v>13632</v>
      </c>
      <c r="W2475" s="705">
        <f t="shared" si="98"/>
        <v>13632</v>
      </c>
      <c r="X2475" s="705">
        <f t="shared" si="99"/>
        <v>18179</v>
      </c>
    </row>
    <row r="2476" spans="2:24">
      <c r="B2476" t="s">
        <v>556</v>
      </c>
      <c r="C2476" t="s">
        <v>118</v>
      </c>
      <c r="D2476" t="s">
        <v>583</v>
      </c>
      <c r="E2476" t="s">
        <v>665</v>
      </c>
      <c r="F2476" s="705">
        <v>1</v>
      </c>
      <c r="G2476" s="705">
        <v>80</v>
      </c>
      <c r="H2476" s="705">
        <v>268</v>
      </c>
      <c r="I2476" s="705">
        <v>9008</v>
      </c>
      <c r="J2476" s="705">
        <v>8189</v>
      </c>
      <c r="K2476" s="705">
        <v>85</v>
      </c>
      <c r="L2476" s="705">
        <v>2937</v>
      </c>
      <c r="M2476" s="705">
        <v>2448</v>
      </c>
      <c r="N2476" s="705">
        <v>1824</v>
      </c>
      <c r="O2476" s="705">
        <v>676</v>
      </c>
      <c r="P2476" s="705">
        <v>621</v>
      </c>
      <c r="Q2476" s="705">
        <v>230</v>
      </c>
      <c r="R2476" s="705">
        <v>4057</v>
      </c>
      <c r="S2476" s="705">
        <v>3689</v>
      </c>
      <c r="T2476" s="705">
        <v>2874</v>
      </c>
      <c r="U2476" s="705">
        <v>1064</v>
      </c>
      <c r="V2476" s="705">
        <v>16295</v>
      </c>
      <c r="W2476" s="705">
        <f t="shared" si="98"/>
        <v>16296</v>
      </c>
      <c r="X2476" s="705">
        <f t="shared" si="99"/>
        <v>21321</v>
      </c>
    </row>
    <row r="2477" spans="2:24">
      <c r="B2477" t="s">
        <v>556</v>
      </c>
      <c r="C2477" t="s">
        <v>118</v>
      </c>
      <c r="D2477" t="s">
        <v>666</v>
      </c>
      <c r="E2477" t="s">
        <v>228</v>
      </c>
      <c r="F2477" s="705">
        <v>1</v>
      </c>
      <c r="G2477" s="705">
        <v>68</v>
      </c>
      <c r="H2477" s="705">
        <v>279</v>
      </c>
      <c r="I2477" s="705">
        <v>5377</v>
      </c>
      <c r="J2477" s="705">
        <v>4889</v>
      </c>
      <c r="K2477" s="705">
        <v>100</v>
      </c>
      <c r="L2477" s="705">
        <v>4889</v>
      </c>
      <c r="M2477" s="705">
        <v>1811</v>
      </c>
      <c r="N2477" s="705">
        <v>1237</v>
      </c>
      <c r="O2477" s="705">
        <v>458</v>
      </c>
      <c r="P2477" s="705">
        <v>0</v>
      </c>
      <c r="Q2477" s="705">
        <v>0</v>
      </c>
      <c r="R2477" s="705">
        <v>7404</v>
      </c>
      <c r="S2477" s="705">
        <v>2742</v>
      </c>
      <c r="T2477" s="705">
        <v>0</v>
      </c>
      <c r="U2477" s="705">
        <v>0</v>
      </c>
      <c r="V2477" s="705">
        <v>9900</v>
      </c>
      <c r="W2477" s="705">
        <f t="shared" si="98"/>
        <v>9900</v>
      </c>
      <c r="X2477" s="705">
        <f t="shared" si="99"/>
        <v>18907</v>
      </c>
    </row>
    <row r="2478" spans="2:24">
      <c r="B2478" t="s">
        <v>556</v>
      </c>
      <c r="C2478" t="s">
        <v>118</v>
      </c>
      <c r="D2478" t="s">
        <v>666</v>
      </c>
      <c r="E2478" t="s">
        <v>666</v>
      </c>
      <c r="F2478" s="705">
        <v>42</v>
      </c>
      <c r="G2478" s="705">
        <v>3742</v>
      </c>
      <c r="H2478" s="705">
        <v>11220</v>
      </c>
      <c r="I2478" s="705">
        <v>555502</v>
      </c>
      <c r="J2478" s="705">
        <v>505002</v>
      </c>
      <c r="K2478" s="705">
        <v>56</v>
      </c>
      <c r="L2478" s="705">
        <v>59200</v>
      </c>
      <c r="M2478" s="705">
        <v>34392</v>
      </c>
      <c r="N2478" s="705">
        <v>67352</v>
      </c>
      <c r="O2478" s="705">
        <v>24945</v>
      </c>
      <c r="P2478" s="705">
        <v>13689</v>
      </c>
      <c r="Q2478" s="705">
        <v>5070</v>
      </c>
      <c r="R2478" s="705">
        <v>240882</v>
      </c>
      <c r="S2478" s="705">
        <v>218984</v>
      </c>
      <c r="T2478" s="705">
        <v>56248</v>
      </c>
      <c r="U2478" s="705">
        <v>20833</v>
      </c>
      <c r="V2478" s="705">
        <v>809225</v>
      </c>
      <c r="W2478" s="705">
        <f t="shared" si="98"/>
        <v>809226</v>
      </c>
      <c r="X2478" s="705">
        <f t="shared" si="99"/>
        <v>992873</v>
      </c>
    </row>
    <row r="2479" spans="2:24">
      <c r="B2479" t="s">
        <v>556</v>
      </c>
      <c r="C2479" t="s">
        <v>118</v>
      </c>
      <c r="D2479" t="s">
        <v>584</v>
      </c>
      <c r="E2479" t="s">
        <v>228</v>
      </c>
      <c r="F2479" s="705">
        <v>8</v>
      </c>
      <c r="G2479" s="705">
        <v>638</v>
      </c>
      <c r="H2479" s="705">
        <v>2112</v>
      </c>
      <c r="I2479" s="705">
        <v>77790</v>
      </c>
      <c r="J2479" s="705">
        <v>70718</v>
      </c>
      <c r="K2479" s="705">
        <v>79</v>
      </c>
      <c r="L2479" s="705">
        <v>17462</v>
      </c>
      <c r="M2479" s="705">
        <v>15102</v>
      </c>
      <c r="N2479" s="705">
        <v>11774</v>
      </c>
      <c r="O2479" s="705">
        <v>4361</v>
      </c>
      <c r="P2479" s="705">
        <v>3780</v>
      </c>
      <c r="Q2479" s="705">
        <v>1400</v>
      </c>
      <c r="R2479" s="705">
        <v>57837</v>
      </c>
      <c r="S2479" s="705">
        <v>21421</v>
      </c>
      <c r="T2479" s="705">
        <v>0</v>
      </c>
      <c r="U2479" s="705">
        <v>0</v>
      </c>
      <c r="V2479" s="705">
        <v>113003</v>
      </c>
      <c r="W2479" s="705">
        <f t="shared" si="98"/>
        <v>113002</v>
      </c>
      <c r="X2479" s="705">
        <f t="shared" si="99"/>
        <v>168643</v>
      </c>
    </row>
    <row r="2480" spans="2:24">
      <c r="B2480" t="s">
        <v>556</v>
      </c>
      <c r="C2480" t="s">
        <v>118</v>
      </c>
      <c r="D2480" t="s">
        <v>584</v>
      </c>
      <c r="E2480" t="s">
        <v>584</v>
      </c>
      <c r="F2480" s="705">
        <v>1586</v>
      </c>
      <c r="G2480" s="705">
        <v>137917</v>
      </c>
      <c r="H2480" s="705">
        <v>405379</v>
      </c>
      <c r="I2480" s="705">
        <v>18201696</v>
      </c>
      <c r="J2480" s="705">
        <v>16546996</v>
      </c>
      <c r="K2480" s="705">
        <v>79</v>
      </c>
      <c r="L2480" s="705">
        <v>4342000</v>
      </c>
      <c r="M2480" s="705">
        <v>3772671</v>
      </c>
      <c r="N2480" s="705">
        <v>2785904</v>
      </c>
      <c r="O2480" s="705">
        <v>1031816</v>
      </c>
      <c r="P2480" s="705">
        <v>749730</v>
      </c>
      <c r="Q2480" s="705">
        <v>277678</v>
      </c>
      <c r="R2480" s="705">
        <v>7138086</v>
      </c>
      <c r="S2480" s="705">
        <v>6489169</v>
      </c>
      <c r="T2480" s="705">
        <v>2101090</v>
      </c>
      <c r="U2480" s="705">
        <v>778182</v>
      </c>
      <c r="V2480" s="705">
        <v>28896512</v>
      </c>
      <c r="W2480" s="705">
        <f t="shared" si="98"/>
        <v>28896512</v>
      </c>
      <c r="X2480" s="705">
        <f t="shared" si="99"/>
        <v>35318506</v>
      </c>
    </row>
    <row r="2481" spans="2:24">
      <c r="B2481" t="s">
        <v>556</v>
      </c>
      <c r="C2481" t="s">
        <v>118</v>
      </c>
      <c r="D2481" t="s">
        <v>584</v>
      </c>
      <c r="E2481" t="s">
        <v>669</v>
      </c>
      <c r="F2481" s="705">
        <v>1</v>
      </c>
      <c r="G2481" s="705">
        <v>101</v>
      </c>
      <c r="H2481" s="705">
        <v>289</v>
      </c>
      <c r="I2481" s="705">
        <v>15069</v>
      </c>
      <c r="J2481" s="705">
        <v>13699</v>
      </c>
      <c r="K2481" s="705">
        <v>65</v>
      </c>
      <c r="L2481" s="705">
        <v>3449</v>
      </c>
      <c r="M2481" s="705">
        <v>3136</v>
      </c>
      <c r="N2481" s="705">
        <v>1596</v>
      </c>
      <c r="O2481" s="705">
        <v>591</v>
      </c>
      <c r="P2481" s="705">
        <v>351</v>
      </c>
      <c r="Q2481" s="705">
        <v>130</v>
      </c>
      <c r="R2481" s="705">
        <v>5801</v>
      </c>
      <c r="S2481" s="705">
        <v>4834</v>
      </c>
      <c r="T2481" s="705">
        <v>2883</v>
      </c>
      <c r="U2481" s="705">
        <v>1068</v>
      </c>
      <c r="V2481" s="705">
        <v>23458</v>
      </c>
      <c r="W2481" s="705">
        <f t="shared" si="98"/>
        <v>23458</v>
      </c>
      <c r="X2481" s="705">
        <f t="shared" si="99"/>
        <v>29149</v>
      </c>
    </row>
    <row r="2482" spans="2:24">
      <c r="B2482" t="s">
        <v>556</v>
      </c>
      <c r="C2482" t="s">
        <v>118</v>
      </c>
      <c r="D2482" t="s">
        <v>584</v>
      </c>
      <c r="E2482" t="s">
        <v>665</v>
      </c>
      <c r="F2482" s="705">
        <v>1</v>
      </c>
      <c r="G2482" s="705">
        <v>88</v>
      </c>
      <c r="H2482" s="705">
        <v>240</v>
      </c>
      <c r="I2482" s="705">
        <v>10791</v>
      </c>
      <c r="J2482" s="705">
        <v>9810</v>
      </c>
      <c r="K2482" s="705">
        <v>79</v>
      </c>
      <c r="L2482" s="705">
        <v>2994</v>
      </c>
      <c r="M2482" s="705">
        <v>2721</v>
      </c>
      <c r="N2482" s="705">
        <v>1398</v>
      </c>
      <c r="O2482" s="705">
        <v>518</v>
      </c>
      <c r="P2482" s="705">
        <v>473</v>
      </c>
      <c r="Q2482" s="705">
        <v>175</v>
      </c>
      <c r="R2482" s="705">
        <v>3470</v>
      </c>
      <c r="S2482" s="705">
        <v>3154</v>
      </c>
      <c r="T2482" s="705">
        <v>2053</v>
      </c>
      <c r="U2482" s="705">
        <v>761</v>
      </c>
      <c r="V2482" s="705">
        <v>17140</v>
      </c>
      <c r="W2482" s="705">
        <f t="shared" si="98"/>
        <v>17139</v>
      </c>
      <c r="X2482" s="705">
        <f t="shared" si="99"/>
        <v>21179</v>
      </c>
    </row>
    <row r="2483" spans="2:24">
      <c r="B2483" t="s">
        <v>556</v>
      </c>
      <c r="C2483" t="s">
        <v>118</v>
      </c>
      <c r="D2483" t="s">
        <v>669</v>
      </c>
      <c r="E2483" t="s">
        <v>669</v>
      </c>
      <c r="F2483" s="705">
        <v>25</v>
      </c>
      <c r="G2483" s="705">
        <v>2208</v>
      </c>
      <c r="H2483" s="705">
        <v>6970</v>
      </c>
      <c r="I2483" s="705">
        <v>348874</v>
      </c>
      <c r="J2483" s="705">
        <v>290728</v>
      </c>
      <c r="K2483" s="705">
        <v>60</v>
      </c>
      <c r="L2483" s="705">
        <v>32063</v>
      </c>
      <c r="M2483" s="705">
        <v>24090</v>
      </c>
      <c r="N2483" s="705">
        <v>39099</v>
      </c>
      <c r="O2483" s="705">
        <v>14481</v>
      </c>
      <c r="P2483" s="705">
        <v>8343</v>
      </c>
      <c r="Q2483" s="705">
        <v>3090</v>
      </c>
      <c r="R2483" s="705">
        <v>133422</v>
      </c>
      <c r="S2483" s="705">
        <v>111185</v>
      </c>
      <c r="T2483" s="705">
        <v>55417</v>
      </c>
      <c r="U2483" s="705">
        <v>20525</v>
      </c>
      <c r="V2483" s="705">
        <v>464099</v>
      </c>
      <c r="W2483" s="705">
        <f t="shared" si="98"/>
        <v>464099</v>
      </c>
      <c r="X2483" s="705">
        <f t="shared" si="99"/>
        <v>617218</v>
      </c>
    </row>
    <row r="2484" spans="2:24">
      <c r="B2484" t="s">
        <v>556</v>
      </c>
      <c r="C2484" t="s">
        <v>118</v>
      </c>
      <c r="D2484" t="s">
        <v>665</v>
      </c>
      <c r="E2484" t="s">
        <v>228</v>
      </c>
      <c r="F2484" s="705">
        <v>2</v>
      </c>
      <c r="G2484" s="705">
        <v>176</v>
      </c>
      <c r="H2484" s="705">
        <v>556</v>
      </c>
      <c r="I2484" s="705">
        <v>28819</v>
      </c>
      <c r="J2484" s="705">
        <v>26200</v>
      </c>
      <c r="K2484" s="705">
        <v>66</v>
      </c>
      <c r="L2484" s="705">
        <v>3409</v>
      </c>
      <c r="M2484" s="705">
        <v>1263</v>
      </c>
      <c r="N2484" s="705">
        <v>2307</v>
      </c>
      <c r="O2484" s="705">
        <v>855</v>
      </c>
      <c r="P2484" s="705">
        <v>0</v>
      </c>
      <c r="Q2484" s="705">
        <v>0</v>
      </c>
      <c r="R2484" s="705">
        <v>15106</v>
      </c>
      <c r="S2484" s="705">
        <v>5595</v>
      </c>
      <c r="T2484" s="705">
        <v>0</v>
      </c>
      <c r="U2484" s="705">
        <v>0</v>
      </c>
      <c r="V2484" s="705">
        <v>33911</v>
      </c>
      <c r="W2484" s="705">
        <f t="shared" si="98"/>
        <v>33913</v>
      </c>
      <c r="X2484" s="705">
        <f t="shared" si="99"/>
        <v>49641</v>
      </c>
    </row>
    <row r="2485" spans="2:24">
      <c r="B2485" t="s">
        <v>556</v>
      </c>
      <c r="C2485" t="s">
        <v>118</v>
      </c>
      <c r="D2485" t="s">
        <v>665</v>
      </c>
      <c r="E2485" t="s">
        <v>665</v>
      </c>
      <c r="F2485" s="705">
        <v>96</v>
      </c>
      <c r="G2485" s="705">
        <v>7923</v>
      </c>
      <c r="H2485" s="705">
        <v>26408</v>
      </c>
      <c r="I2485" s="705">
        <v>1165641</v>
      </c>
      <c r="J2485" s="705">
        <v>1059673</v>
      </c>
      <c r="K2485" s="705">
        <v>59</v>
      </c>
      <c r="L2485" s="705">
        <v>129381</v>
      </c>
      <c r="M2485" s="705">
        <v>95582</v>
      </c>
      <c r="N2485" s="705">
        <v>160682</v>
      </c>
      <c r="O2485" s="705">
        <v>59512</v>
      </c>
      <c r="P2485" s="705">
        <v>35937</v>
      </c>
      <c r="Q2485" s="705">
        <v>13310</v>
      </c>
      <c r="R2485" s="705">
        <v>469806</v>
      </c>
      <c r="S2485" s="705">
        <v>427097</v>
      </c>
      <c r="T2485" s="705">
        <v>213490</v>
      </c>
      <c r="U2485" s="705">
        <v>79070</v>
      </c>
      <c r="V2485" s="705">
        <v>1734245</v>
      </c>
      <c r="W2485" s="705">
        <f t="shared" si="98"/>
        <v>1734244</v>
      </c>
      <c r="X2485" s="705">
        <f t="shared" si="99"/>
        <v>2174937</v>
      </c>
    </row>
    <row r="2486" spans="2:24">
      <c r="B2486" t="s">
        <v>556</v>
      </c>
      <c r="C2486" t="s">
        <v>120</v>
      </c>
      <c r="F2486" s="705">
        <v>3</v>
      </c>
      <c r="G2486" s="705">
        <v>132</v>
      </c>
      <c r="H2486" s="705">
        <v>1035</v>
      </c>
      <c r="I2486" s="705"/>
      <c r="J2486" s="705">
        <v>0</v>
      </c>
      <c r="K2486" s="705"/>
      <c r="L2486" s="705"/>
      <c r="M2486" s="705">
        <v>0</v>
      </c>
      <c r="N2486" s="705">
        <v>1964</v>
      </c>
      <c r="O2486" s="705">
        <v>727</v>
      </c>
      <c r="P2486" s="705">
        <v>621</v>
      </c>
      <c r="Q2486" s="705">
        <v>230</v>
      </c>
      <c r="R2486" s="705"/>
      <c r="S2486" s="705">
        <v>0</v>
      </c>
      <c r="T2486" s="705">
        <v>1598</v>
      </c>
      <c r="U2486" s="705">
        <v>592</v>
      </c>
      <c r="V2486" s="705">
        <v>1549</v>
      </c>
      <c r="W2486" s="705">
        <f t="shared" si="98"/>
        <v>1549</v>
      </c>
      <c r="X2486" s="705">
        <f t="shared" si="99"/>
        <v>4183</v>
      </c>
    </row>
    <row r="2487" spans="2:24">
      <c r="B2487" t="s">
        <v>556</v>
      </c>
      <c r="C2487" t="s">
        <v>120</v>
      </c>
      <c r="D2487" t="s">
        <v>674</v>
      </c>
      <c r="E2487" t="s">
        <v>674</v>
      </c>
      <c r="F2487" s="705">
        <v>1</v>
      </c>
      <c r="G2487" s="705">
        <v>89</v>
      </c>
      <c r="H2487" s="705">
        <v>363</v>
      </c>
      <c r="I2487" s="705">
        <v>18478</v>
      </c>
      <c r="J2487" s="705">
        <v>16798</v>
      </c>
      <c r="K2487" s="705">
        <v>60</v>
      </c>
      <c r="L2487" s="705">
        <v>4479</v>
      </c>
      <c r="M2487" s="705">
        <v>3733</v>
      </c>
      <c r="N2487" s="705">
        <v>1981</v>
      </c>
      <c r="O2487" s="705">
        <v>734</v>
      </c>
      <c r="P2487" s="705">
        <v>351</v>
      </c>
      <c r="Q2487" s="705">
        <v>130</v>
      </c>
      <c r="R2487" s="705">
        <v>4647</v>
      </c>
      <c r="S2487" s="705">
        <v>4224</v>
      </c>
      <c r="T2487" s="705">
        <v>2284</v>
      </c>
      <c r="U2487" s="705">
        <v>846</v>
      </c>
      <c r="V2487" s="705">
        <v>26465</v>
      </c>
      <c r="W2487" s="705">
        <f t="shared" si="98"/>
        <v>26465</v>
      </c>
      <c r="X2487" s="705">
        <f t="shared" si="99"/>
        <v>32220</v>
      </c>
    </row>
    <row r="2488" spans="2:24">
      <c r="B2488" t="s">
        <v>556</v>
      </c>
      <c r="C2488" t="s">
        <v>120</v>
      </c>
      <c r="D2488" t="s">
        <v>664</v>
      </c>
      <c r="E2488" t="s">
        <v>664</v>
      </c>
      <c r="F2488" s="705">
        <v>1</v>
      </c>
      <c r="G2488" s="705">
        <v>72</v>
      </c>
      <c r="H2488" s="705">
        <v>363</v>
      </c>
      <c r="I2488" s="705">
        <v>13946</v>
      </c>
      <c r="J2488" s="705">
        <v>12678</v>
      </c>
      <c r="K2488" s="705">
        <v>93</v>
      </c>
      <c r="L2488" s="705">
        <v>4953</v>
      </c>
      <c r="M2488" s="705">
        <v>4127</v>
      </c>
      <c r="N2488" s="705">
        <v>1567</v>
      </c>
      <c r="O2488" s="705">
        <v>580</v>
      </c>
      <c r="P2488" s="705">
        <v>473</v>
      </c>
      <c r="Q2488" s="705">
        <v>175</v>
      </c>
      <c r="R2488" s="705">
        <v>3089</v>
      </c>
      <c r="S2488" s="705">
        <v>2808</v>
      </c>
      <c r="T2488" s="705">
        <v>2194</v>
      </c>
      <c r="U2488" s="705">
        <v>813</v>
      </c>
      <c r="V2488" s="705">
        <v>21181</v>
      </c>
      <c r="W2488" s="705">
        <f t="shared" si="98"/>
        <v>21181</v>
      </c>
      <c r="X2488" s="705">
        <f t="shared" si="99"/>
        <v>26222</v>
      </c>
    </row>
    <row r="2489" spans="2:24">
      <c r="B2489" t="s">
        <v>556</v>
      </c>
      <c r="C2489" t="s">
        <v>120</v>
      </c>
      <c r="D2489" t="s">
        <v>582</v>
      </c>
      <c r="E2489" t="s">
        <v>582</v>
      </c>
      <c r="F2489" s="705">
        <v>5</v>
      </c>
      <c r="G2489" s="705">
        <v>569</v>
      </c>
      <c r="H2489" s="705">
        <v>1718</v>
      </c>
      <c r="I2489" s="705">
        <v>126199</v>
      </c>
      <c r="J2489" s="705">
        <v>114727</v>
      </c>
      <c r="K2489" s="705">
        <v>86</v>
      </c>
      <c r="L2489" s="705">
        <v>32752</v>
      </c>
      <c r="M2489" s="705">
        <v>29775</v>
      </c>
      <c r="N2489" s="705">
        <v>12047</v>
      </c>
      <c r="O2489" s="705">
        <v>4462</v>
      </c>
      <c r="P2489" s="705">
        <v>2363</v>
      </c>
      <c r="Q2489" s="705">
        <v>875</v>
      </c>
      <c r="R2489" s="705">
        <v>20886</v>
      </c>
      <c r="S2489" s="705">
        <v>18988</v>
      </c>
      <c r="T2489" s="705">
        <v>2558</v>
      </c>
      <c r="U2489" s="705">
        <v>947</v>
      </c>
      <c r="V2489" s="705">
        <v>169773</v>
      </c>
      <c r="W2489" s="705">
        <f t="shared" si="98"/>
        <v>169774</v>
      </c>
      <c r="X2489" s="705">
        <f t="shared" si="99"/>
        <v>196805</v>
      </c>
    </row>
    <row r="2490" spans="2:24">
      <c r="B2490" t="s">
        <v>556</v>
      </c>
      <c r="C2490" t="s">
        <v>120</v>
      </c>
      <c r="D2490" t="s">
        <v>228</v>
      </c>
      <c r="E2490" t="s">
        <v>228</v>
      </c>
      <c r="F2490" s="705">
        <v>165</v>
      </c>
      <c r="G2490" s="705">
        <v>12758</v>
      </c>
      <c r="H2490" s="705">
        <v>56246</v>
      </c>
      <c r="I2490" s="705">
        <v>2646083</v>
      </c>
      <c r="J2490" s="705">
        <v>980031</v>
      </c>
      <c r="K2490" s="705">
        <v>100</v>
      </c>
      <c r="L2490" s="705">
        <v>388707</v>
      </c>
      <c r="M2490" s="705">
        <v>275747</v>
      </c>
      <c r="N2490" s="705">
        <v>262447</v>
      </c>
      <c r="O2490" s="705">
        <v>97203</v>
      </c>
      <c r="P2490" s="705">
        <v>1404</v>
      </c>
      <c r="Q2490" s="705">
        <v>520</v>
      </c>
      <c r="R2490" s="705">
        <v>1115180</v>
      </c>
      <c r="S2490" s="705">
        <v>413030</v>
      </c>
      <c r="T2490" s="705">
        <v>2829</v>
      </c>
      <c r="U2490" s="705">
        <v>1048</v>
      </c>
      <c r="V2490" s="705">
        <v>1767578</v>
      </c>
      <c r="W2490" s="705">
        <f t="shared" si="98"/>
        <v>1767579</v>
      </c>
      <c r="X2490" s="705">
        <f t="shared" si="99"/>
        <v>4416650</v>
      </c>
    </row>
    <row r="2491" spans="2:24">
      <c r="B2491" t="s">
        <v>556</v>
      </c>
      <c r="C2491" t="s">
        <v>120</v>
      </c>
      <c r="D2491" t="s">
        <v>228</v>
      </c>
      <c r="E2491" t="s">
        <v>666</v>
      </c>
      <c r="F2491" s="705">
        <v>2</v>
      </c>
      <c r="G2491" s="705">
        <v>159</v>
      </c>
      <c r="H2491" s="705">
        <v>753</v>
      </c>
      <c r="I2491" s="705">
        <v>32965</v>
      </c>
      <c r="J2491" s="705">
        <v>12209</v>
      </c>
      <c r="K2491" s="705">
        <v>100</v>
      </c>
      <c r="L2491" s="705">
        <v>11192</v>
      </c>
      <c r="M2491" s="705">
        <v>10174</v>
      </c>
      <c r="N2491" s="705">
        <v>1932</v>
      </c>
      <c r="O2491" s="705">
        <v>715</v>
      </c>
      <c r="P2491" s="705">
        <v>351</v>
      </c>
      <c r="Q2491" s="705">
        <v>130</v>
      </c>
      <c r="R2491" s="705">
        <v>9285</v>
      </c>
      <c r="S2491" s="705">
        <v>8441</v>
      </c>
      <c r="T2491" s="705">
        <v>4000</v>
      </c>
      <c r="U2491" s="705">
        <v>1482</v>
      </c>
      <c r="V2491" s="705">
        <v>33152</v>
      </c>
      <c r="W2491" s="705">
        <f t="shared" si="98"/>
        <v>33151</v>
      </c>
      <c r="X2491" s="705">
        <f t="shared" si="99"/>
        <v>59725</v>
      </c>
    </row>
    <row r="2492" spans="2:24">
      <c r="B2492" t="s">
        <v>556</v>
      </c>
      <c r="C2492" t="s">
        <v>120</v>
      </c>
      <c r="D2492" t="s">
        <v>228</v>
      </c>
      <c r="E2492" t="s">
        <v>669</v>
      </c>
      <c r="F2492" s="705">
        <v>2</v>
      </c>
      <c r="G2492" s="705">
        <v>174</v>
      </c>
      <c r="H2492" s="705">
        <v>627</v>
      </c>
      <c r="I2492" s="705">
        <v>28496</v>
      </c>
      <c r="J2492" s="705">
        <v>10554</v>
      </c>
      <c r="K2492" s="705">
        <v>100</v>
      </c>
      <c r="L2492" s="705">
        <v>3639</v>
      </c>
      <c r="M2492" s="705">
        <v>3033</v>
      </c>
      <c r="N2492" s="705">
        <v>3588</v>
      </c>
      <c r="O2492" s="705">
        <v>1329</v>
      </c>
      <c r="P2492" s="705">
        <v>351</v>
      </c>
      <c r="Q2492" s="705">
        <v>130</v>
      </c>
      <c r="R2492" s="705">
        <v>13367</v>
      </c>
      <c r="S2492" s="705">
        <v>11140</v>
      </c>
      <c r="T2492" s="705">
        <v>5233</v>
      </c>
      <c r="U2492" s="705">
        <v>1938</v>
      </c>
      <c r="V2492" s="705">
        <v>28123</v>
      </c>
      <c r="W2492" s="705">
        <f t="shared" si="98"/>
        <v>28124</v>
      </c>
      <c r="X2492" s="705">
        <f t="shared" si="99"/>
        <v>54674</v>
      </c>
    </row>
    <row r="2493" spans="2:24">
      <c r="B2493" t="s">
        <v>556</v>
      </c>
      <c r="C2493" t="s">
        <v>120</v>
      </c>
      <c r="D2493" t="s">
        <v>228</v>
      </c>
      <c r="E2493" t="s">
        <v>665</v>
      </c>
      <c r="F2493" s="705">
        <v>3</v>
      </c>
      <c r="G2493" s="705">
        <v>251</v>
      </c>
      <c r="H2493" s="705">
        <v>1065</v>
      </c>
      <c r="I2493" s="705">
        <v>47886</v>
      </c>
      <c r="J2493" s="705">
        <v>17736</v>
      </c>
      <c r="K2493" s="705">
        <v>100</v>
      </c>
      <c r="L2493" s="705">
        <v>6264</v>
      </c>
      <c r="M2493" s="705">
        <v>5695</v>
      </c>
      <c r="N2493" s="705">
        <v>5539</v>
      </c>
      <c r="O2493" s="705">
        <v>2052</v>
      </c>
      <c r="P2493" s="705">
        <v>351</v>
      </c>
      <c r="Q2493" s="705">
        <v>130</v>
      </c>
      <c r="R2493" s="705">
        <v>21599</v>
      </c>
      <c r="S2493" s="705">
        <v>19635</v>
      </c>
      <c r="T2493" s="705">
        <v>7427</v>
      </c>
      <c r="U2493" s="705">
        <v>2751</v>
      </c>
      <c r="V2493" s="705">
        <v>47998</v>
      </c>
      <c r="W2493" s="705">
        <f t="shared" si="98"/>
        <v>47999</v>
      </c>
      <c r="X2493" s="705">
        <f t="shared" si="99"/>
        <v>89066</v>
      </c>
    </row>
    <row r="2494" spans="2:24">
      <c r="B2494" t="s">
        <v>556</v>
      </c>
      <c r="C2494" t="s">
        <v>120</v>
      </c>
      <c r="D2494" t="s">
        <v>583</v>
      </c>
      <c r="E2494" t="s">
        <v>228</v>
      </c>
      <c r="F2494" s="705">
        <v>2</v>
      </c>
      <c r="G2494" s="705">
        <v>89</v>
      </c>
      <c r="H2494" s="705">
        <v>725</v>
      </c>
      <c r="I2494" s="705">
        <v>17516</v>
      </c>
      <c r="J2494" s="705">
        <v>15924</v>
      </c>
      <c r="K2494" s="705">
        <v>90</v>
      </c>
      <c r="L2494" s="705">
        <v>3516</v>
      </c>
      <c r="M2494" s="705">
        <v>3196</v>
      </c>
      <c r="N2494" s="705">
        <v>1730</v>
      </c>
      <c r="O2494" s="705">
        <v>641</v>
      </c>
      <c r="P2494" s="705">
        <v>1242</v>
      </c>
      <c r="Q2494" s="705">
        <v>460</v>
      </c>
      <c r="R2494" s="705">
        <v>8247</v>
      </c>
      <c r="S2494" s="705">
        <v>3054</v>
      </c>
      <c r="T2494" s="705">
        <v>0</v>
      </c>
      <c r="U2494" s="705">
        <v>0</v>
      </c>
      <c r="V2494" s="705">
        <v>23276</v>
      </c>
      <c r="W2494" s="705">
        <f t="shared" si="98"/>
        <v>23275</v>
      </c>
      <c r="X2494" s="705">
        <f t="shared" si="99"/>
        <v>32251</v>
      </c>
    </row>
    <row r="2495" spans="2:24">
      <c r="B2495" t="s">
        <v>556</v>
      </c>
      <c r="C2495" t="s">
        <v>120</v>
      </c>
      <c r="D2495" t="s">
        <v>583</v>
      </c>
      <c r="E2495" t="s">
        <v>583</v>
      </c>
      <c r="F2495" s="705">
        <v>373</v>
      </c>
      <c r="G2495" s="705">
        <v>34001</v>
      </c>
      <c r="H2495" s="705">
        <v>124791</v>
      </c>
      <c r="I2495" s="705">
        <v>6733106</v>
      </c>
      <c r="J2495" s="705">
        <v>6121005</v>
      </c>
      <c r="K2495" s="705">
        <v>79</v>
      </c>
      <c r="L2495" s="705">
        <v>1520302</v>
      </c>
      <c r="M2495" s="705">
        <v>1292734</v>
      </c>
      <c r="N2495" s="705">
        <v>712205</v>
      </c>
      <c r="O2495" s="705">
        <v>263780</v>
      </c>
      <c r="P2495" s="705">
        <v>238707</v>
      </c>
      <c r="Q2495" s="705">
        <v>88410</v>
      </c>
      <c r="R2495" s="705">
        <v>1749647</v>
      </c>
      <c r="S2495" s="705">
        <v>1590588</v>
      </c>
      <c r="T2495" s="705">
        <v>613694</v>
      </c>
      <c r="U2495" s="705">
        <v>227294</v>
      </c>
      <c r="V2495" s="705">
        <v>9583811</v>
      </c>
      <c r="W2495" s="705">
        <f t="shared" si="98"/>
        <v>9583811</v>
      </c>
      <c r="X2495" s="705">
        <f t="shared" si="99"/>
        <v>11567661</v>
      </c>
    </row>
    <row r="2496" spans="2:24">
      <c r="B2496" t="s">
        <v>556</v>
      </c>
      <c r="C2496" t="s">
        <v>120</v>
      </c>
      <c r="D2496" t="s">
        <v>666</v>
      </c>
      <c r="E2496" t="s">
        <v>228</v>
      </c>
      <c r="F2496" s="705">
        <v>2</v>
      </c>
      <c r="G2496" s="705">
        <v>125</v>
      </c>
      <c r="H2496" s="705">
        <v>693</v>
      </c>
      <c r="I2496" s="705">
        <v>21682</v>
      </c>
      <c r="J2496" s="705">
        <v>19711</v>
      </c>
      <c r="K2496" s="705">
        <v>55</v>
      </c>
      <c r="L2496" s="705">
        <v>3252</v>
      </c>
      <c r="M2496" s="705">
        <v>1205</v>
      </c>
      <c r="N2496" s="705">
        <v>2053</v>
      </c>
      <c r="O2496" s="705">
        <v>760</v>
      </c>
      <c r="P2496" s="705">
        <v>351</v>
      </c>
      <c r="Q2496" s="705">
        <v>130</v>
      </c>
      <c r="R2496" s="705">
        <v>14369</v>
      </c>
      <c r="S2496" s="705">
        <v>5322</v>
      </c>
      <c r="T2496" s="705">
        <v>0</v>
      </c>
      <c r="U2496" s="705">
        <v>0</v>
      </c>
      <c r="V2496" s="705">
        <v>27127</v>
      </c>
      <c r="W2496" s="705">
        <f t="shared" si="98"/>
        <v>27128</v>
      </c>
      <c r="X2496" s="705">
        <f t="shared" si="99"/>
        <v>41707</v>
      </c>
    </row>
    <row r="2497" spans="2:24">
      <c r="B2497" t="s">
        <v>556</v>
      </c>
      <c r="C2497" t="s">
        <v>120</v>
      </c>
      <c r="D2497" t="s">
        <v>666</v>
      </c>
      <c r="E2497" t="s">
        <v>583</v>
      </c>
      <c r="F2497" s="705">
        <v>1</v>
      </c>
      <c r="G2497" s="705">
        <v>62</v>
      </c>
      <c r="H2497" s="705">
        <v>377</v>
      </c>
      <c r="I2497" s="705">
        <v>13770</v>
      </c>
      <c r="J2497" s="705">
        <v>12518</v>
      </c>
      <c r="K2497" s="705">
        <v>55</v>
      </c>
      <c r="L2497" s="705">
        <v>2065</v>
      </c>
      <c r="M2497" s="705">
        <v>765</v>
      </c>
      <c r="N2497" s="705">
        <v>755</v>
      </c>
      <c r="O2497" s="705">
        <v>280</v>
      </c>
      <c r="P2497" s="705">
        <v>351</v>
      </c>
      <c r="Q2497" s="705">
        <v>130</v>
      </c>
      <c r="R2497" s="705">
        <v>4520</v>
      </c>
      <c r="S2497" s="705">
        <v>4109</v>
      </c>
      <c r="T2497" s="705">
        <v>1918</v>
      </c>
      <c r="U2497" s="705">
        <v>711</v>
      </c>
      <c r="V2497" s="705">
        <v>18512</v>
      </c>
      <c r="W2497" s="705">
        <f t="shared" si="98"/>
        <v>18513</v>
      </c>
      <c r="X2497" s="705">
        <f t="shared" si="99"/>
        <v>23379</v>
      </c>
    </row>
    <row r="2498" spans="2:24">
      <c r="B2498" t="s">
        <v>556</v>
      </c>
      <c r="C2498" t="s">
        <v>120</v>
      </c>
      <c r="D2498" t="s">
        <v>666</v>
      </c>
      <c r="E2498" t="s">
        <v>666</v>
      </c>
      <c r="F2498" s="705">
        <v>51</v>
      </c>
      <c r="G2498" s="705">
        <v>3576</v>
      </c>
      <c r="H2498" s="705">
        <v>17477</v>
      </c>
      <c r="I2498" s="705">
        <v>682170</v>
      </c>
      <c r="J2498" s="705">
        <v>620154</v>
      </c>
      <c r="K2498" s="705">
        <v>55</v>
      </c>
      <c r="L2498" s="705">
        <v>99951</v>
      </c>
      <c r="M2498" s="705">
        <v>57819</v>
      </c>
      <c r="N2498" s="705">
        <v>66108</v>
      </c>
      <c r="O2498" s="705">
        <v>24485</v>
      </c>
      <c r="P2498" s="705">
        <v>18711</v>
      </c>
      <c r="Q2498" s="705">
        <v>6930</v>
      </c>
      <c r="R2498" s="705">
        <v>261454</v>
      </c>
      <c r="S2498" s="705">
        <v>237685</v>
      </c>
      <c r="T2498" s="705">
        <v>87873</v>
      </c>
      <c r="U2498" s="705">
        <v>32546</v>
      </c>
      <c r="V2498" s="705">
        <v>979620</v>
      </c>
      <c r="W2498" s="705">
        <f t="shared" si="98"/>
        <v>979619</v>
      </c>
      <c r="X2498" s="705">
        <f t="shared" si="99"/>
        <v>1216267</v>
      </c>
    </row>
    <row r="2499" spans="2:24">
      <c r="B2499" t="s">
        <v>556</v>
      </c>
      <c r="C2499" t="s">
        <v>120</v>
      </c>
      <c r="D2499" t="s">
        <v>584</v>
      </c>
      <c r="E2499" t="s">
        <v>228</v>
      </c>
      <c r="F2499" s="705">
        <v>2</v>
      </c>
      <c r="G2499" s="705">
        <v>202</v>
      </c>
      <c r="H2499" s="705">
        <v>728</v>
      </c>
      <c r="I2499" s="705">
        <v>50309</v>
      </c>
      <c r="J2499" s="705">
        <v>45736</v>
      </c>
      <c r="K2499" s="705">
        <v>85</v>
      </c>
      <c r="L2499" s="705">
        <v>12898</v>
      </c>
      <c r="M2499" s="705">
        <v>11262</v>
      </c>
      <c r="N2499" s="705">
        <v>5302</v>
      </c>
      <c r="O2499" s="705">
        <v>1964</v>
      </c>
      <c r="P2499" s="705">
        <v>945</v>
      </c>
      <c r="Q2499" s="705">
        <v>350</v>
      </c>
      <c r="R2499" s="705">
        <v>11096</v>
      </c>
      <c r="S2499" s="705">
        <v>4110</v>
      </c>
      <c r="T2499" s="705">
        <v>0</v>
      </c>
      <c r="U2499" s="705">
        <v>0</v>
      </c>
      <c r="V2499" s="705">
        <v>63421</v>
      </c>
      <c r="W2499" s="705">
        <f t="shared" si="98"/>
        <v>63422</v>
      </c>
      <c r="X2499" s="705">
        <f t="shared" si="99"/>
        <v>80550</v>
      </c>
    </row>
    <row r="2500" spans="2:24">
      <c r="B2500" t="s">
        <v>556</v>
      </c>
      <c r="C2500" t="s">
        <v>120</v>
      </c>
      <c r="D2500" t="s">
        <v>584</v>
      </c>
      <c r="E2500" t="s">
        <v>584</v>
      </c>
      <c r="F2500" s="705">
        <v>344</v>
      </c>
      <c r="G2500" s="705">
        <v>28029</v>
      </c>
      <c r="H2500" s="705">
        <v>115252</v>
      </c>
      <c r="I2500" s="705">
        <v>5524566</v>
      </c>
      <c r="J2500" s="705">
        <v>5022333</v>
      </c>
      <c r="K2500" s="705">
        <v>79</v>
      </c>
      <c r="L2500" s="705">
        <v>1288338</v>
      </c>
      <c r="M2500" s="705">
        <v>1098990</v>
      </c>
      <c r="N2500" s="705">
        <v>593002</v>
      </c>
      <c r="O2500" s="705">
        <v>219630</v>
      </c>
      <c r="P2500" s="705">
        <v>162807</v>
      </c>
      <c r="Q2500" s="705">
        <v>60299</v>
      </c>
      <c r="R2500" s="705">
        <v>1527755</v>
      </c>
      <c r="S2500" s="705">
        <v>1388868</v>
      </c>
      <c r="T2500" s="705">
        <v>458687</v>
      </c>
      <c r="U2500" s="705">
        <v>169884</v>
      </c>
      <c r="V2500" s="705">
        <v>7960004</v>
      </c>
      <c r="W2500" s="705">
        <f t="shared" si="98"/>
        <v>7960004</v>
      </c>
      <c r="X2500" s="705">
        <f t="shared" si="99"/>
        <v>9555155</v>
      </c>
    </row>
    <row r="2501" spans="2:24">
      <c r="B2501" t="s">
        <v>556</v>
      </c>
      <c r="C2501" t="s">
        <v>120</v>
      </c>
      <c r="D2501" t="s">
        <v>584</v>
      </c>
      <c r="E2501" t="s">
        <v>669</v>
      </c>
      <c r="F2501" s="705">
        <v>1</v>
      </c>
      <c r="G2501" s="705">
        <v>116</v>
      </c>
      <c r="H2501" s="705">
        <v>336</v>
      </c>
      <c r="I2501" s="705">
        <v>29666</v>
      </c>
      <c r="J2501" s="705">
        <v>26969</v>
      </c>
      <c r="K2501" s="705">
        <v>65</v>
      </c>
      <c r="L2501" s="705">
        <v>6790</v>
      </c>
      <c r="M2501" s="705">
        <v>6173</v>
      </c>
      <c r="N2501" s="705">
        <v>3298</v>
      </c>
      <c r="O2501" s="705">
        <v>1221</v>
      </c>
      <c r="P2501" s="705">
        <v>473</v>
      </c>
      <c r="Q2501" s="705">
        <v>175</v>
      </c>
      <c r="R2501" s="705">
        <v>4397</v>
      </c>
      <c r="S2501" s="705">
        <v>3664</v>
      </c>
      <c r="T2501" s="705">
        <v>2466</v>
      </c>
      <c r="U2501" s="705">
        <v>913</v>
      </c>
      <c r="V2501" s="705">
        <v>39117</v>
      </c>
      <c r="W2501" s="705">
        <f t="shared" si="98"/>
        <v>39115</v>
      </c>
      <c r="X2501" s="705">
        <f t="shared" si="99"/>
        <v>47090</v>
      </c>
    </row>
    <row r="2502" spans="2:24">
      <c r="B2502" t="s">
        <v>556</v>
      </c>
      <c r="C2502" t="s">
        <v>120</v>
      </c>
      <c r="D2502" t="s">
        <v>669</v>
      </c>
      <c r="E2502" t="s">
        <v>228</v>
      </c>
      <c r="F2502" s="705">
        <v>4</v>
      </c>
      <c r="G2502" s="705">
        <v>446</v>
      </c>
      <c r="H2502" s="705">
        <v>1372</v>
      </c>
      <c r="I2502" s="705">
        <v>99418</v>
      </c>
      <c r="J2502" s="705">
        <v>82849</v>
      </c>
      <c r="K2502" s="705">
        <v>60</v>
      </c>
      <c r="L2502" s="705">
        <v>10598</v>
      </c>
      <c r="M2502" s="705">
        <v>5466</v>
      </c>
      <c r="N2502" s="705">
        <v>9409</v>
      </c>
      <c r="O2502" s="705">
        <v>3485</v>
      </c>
      <c r="P2502" s="705">
        <v>702</v>
      </c>
      <c r="Q2502" s="705">
        <v>260</v>
      </c>
      <c r="R2502" s="705">
        <v>32148</v>
      </c>
      <c r="S2502" s="705">
        <v>11907</v>
      </c>
      <c r="T2502" s="705">
        <v>0</v>
      </c>
      <c r="U2502" s="705">
        <v>0</v>
      </c>
      <c r="V2502" s="705">
        <v>103966</v>
      </c>
      <c r="W2502" s="705">
        <f t="shared" si="98"/>
        <v>103967</v>
      </c>
      <c r="X2502" s="705">
        <f t="shared" si="99"/>
        <v>152275</v>
      </c>
    </row>
    <row r="2503" spans="2:24">
      <c r="B2503" t="s">
        <v>556</v>
      </c>
      <c r="C2503" t="s">
        <v>120</v>
      </c>
      <c r="D2503" t="s">
        <v>669</v>
      </c>
      <c r="E2503" t="s">
        <v>669</v>
      </c>
      <c r="F2503" s="705">
        <v>49</v>
      </c>
      <c r="G2503" s="705">
        <v>4075</v>
      </c>
      <c r="H2503" s="705">
        <v>15980</v>
      </c>
      <c r="I2503" s="705">
        <v>747396</v>
      </c>
      <c r="J2503" s="705">
        <v>622830</v>
      </c>
      <c r="K2503" s="705">
        <v>57</v>
      </c>
      <c r="L2503" s="705">
        <v>96048</v>
      </c>
      <c r="M2503" s="705">
        <v>73208</v>
      </c>
      <c r="N2503" s="705">
        <v>78648</v>
      </c>
      <c r="O2503" s="705">
        <v>29129</v>
      </c>
      <c r="P2503" s="705">
        <v>15795</v>
      </c>
      <c r="Q2503" s="705">
        <v>5850</v>
      </c>
      <c r="R2503" s="705">
        <v>275436</v>
      </c>
      <c r="S2503" s="705">
        <v>229530</v>
      </c>
      <c r="T2503" s="705">
        <v>111180</v>
      </c>
      <c r="U2503" s="705">
        <v>41178</v>
      </c>
      <c r="V2503" s="705">
        <v>1001725</v>
      </c>
      <c r="W2503" s="705">
        <f t="shared" si="98"/>
        <v>1001725</v>
      </c>
      <c r="X2503" s="705">
        <f t="shared" si="99"/>
        <v>1324503</v>
      </c>
    </row>
    <row r="2504" spans="2:24">
      <c r="B2504" t="s">
        <v>556</v>
      </c>
      <c r="C2504" t="s">
        <v>120</v>
      </c>
      <c r="D2504" t="s">
        <v>665</v>
      </c>
      <c r="E2504" t="s">
        <v>228</v>
      </c>
      <c r="F2504" s="705">
        <v>3</v>
      </c>
      <c r="G2504" s="705">
        <v>195</v>
      </c>
      <c r="H2504" s="705">
        <v>1050</v>
      </c>
      <c r="I2504" s="705">
        <v>34767</v>
      </c>
      <c r="J2504" s="705">
        <v>31606</v>
      </c>
      <c r="K2504" s="705">
        <v>65</v>
      </c>
      <c r="L2504" s="705">
        <v>6871</v>
      </c>
      <c r="M2504" s="705">
        <v>4118</v>
      </c>
      <c r="N2504" s="705">
        <v>3942</v>
      </c>
      <c r="O2504" s="705">
        <v>1460</v>
      </c>
      <c r="P2504" s="705">
        <v>351</v>
      </c>
      <c r="Q2504" s="705">
        <v>130</v>
      </c>
      <c r="R2504" s="705">
        <v>22292</v>
      </c>
      <c r="S2504" s="705">
        <v>8256</v>
      </c>
      <c r="T2504" s="705">
        <v>0</v>
      </c>
      <c r="U2504" s="705">
        <v>0</v>
      </c>
      <c r="V2504" s="705">
        <v>45571</v>
      </c>
      <c r="W2504" s="705">
        <f t="shared" si="98"/>
        <v>45570</v>
      </c>
      <c r="X2504" s="705">
        <f t="shared" si="99"/>
        <v>68223</v>
      </c>
    </row>
    <row r="2505" spans="2:24">
      <c r="B2505" t="s">
        <v>556</v>
      </c>
      <c r="C2505" t="s">
        <v>120</v>
      </c>
      <c r="D2505" t="s">
        <v>665</v>
      </c>
      <c r="E2505" t="s">
        <v>583</v>
      </c>
      <c r="F2505" s="705">
        <v>1</v>
      </c>
      <c r="G2505" s="705">
        <v>172</v>
      </c>
      <c r="H2505" s="705">
        <v>353</v>
      </c>
      <c r="I2505" s="705">
        <v>37300</v>
      </c>
      <c r="J2505" s="705">
        <v>33909</v>
      </c>
      <c r="K2505" s="705">
        <v>65</v>
      </c>
      <c r="L2505" s="705">
        <v>9314</v>
      </c>
      <c r="M2505" s="705">
        <v>7761</v>
      </c>
      <c r="N2505" s="705">
        <v>3693</v>
      </c>
      <c r="O2505" s="705">
        <v>1368</v>
      </c>
      <c r="P2505" s="705">
        <v>621</v>
      </c>
      <c r="Q2505" s="705">
        <v>230</v>
      </c>
      <c r="R2505" s="705">
        <v>6292</v>
      </c>
      <c r="S2505" s="705">
        <v>5720</v>
      </c>
      <c r="T2505" s="705">
        <v>3610</v>
      </c>
      <c r="U2505" s="705">
        <v>1337</v>
      </c>
      <c r="V2505" s="705">
        <v>50326</v>
      </c>
      <c r="W2505" s="705">
        <f t="shared" si="98"/>
        <v>50325</v>
      </c>
      <c r="X2505" s="705">
        <f t="shared" si="99"/>
        <v>60830</v>
      </c>
    </row>
    <row r="2506" spans="2:24">
      <c r="B2506" t="s">
        <v>556</v>
      </c>
      <c r="C2506" t="s">
        <v>120</v>
      </c>
      <c r="D2506" t="s">
        <v>665</v>
      </c>
      <c r="E2506" t="s">
        <v>665</v>
      </c>
      <c r="F2506" s="705">
        <v>164</v>
      </c>
      <c r="G2506" s="705">
        <v>12332</v>
      </c>
      <c r="H2506" s="705">
        <v>53866</v>
      </c>
      <c r="I2506" s="705">
        <v>2338680</v>
      </c>
      <c r="J2506" s="705">
        <v>2126072</v>
      </c>
      <c r="K2506" s="705">
        <v>56</v>
      </c>
      <c r="L2506" s="705">
        <v>188391</v>
      </c>
      <c r="M2506" s="705">
        <v>148744</v>
      </c>
      <c r="N2506" s="705">
        <v>260571</v>
      </c>
      <c r="O2506" s="705">
        <v>96508</v>
      </c>
      <c r="P2506" s="705">
        <v>57632</v>
      </c>
      <c r="Q2506" s="705">
        <v>21345</v>
      </c>
      <c r="R2506" s="705">
        <v>832993</v>
      </c>
      <c r="S2506" s="705">
        <v>757266</v>
      </c>
      <c r="T2506" s="705">
        <v>376956</v>
      </c>
      <c r="U2506" s="705">
        <v>139613</v>
      </c>
      <c r="V2506" s="705">
        <v>3289549</v>
      </c>
      <c r="W2506" s="705">
        <f t="shared" si="98"/>
        <v>3289548</v>
      </c>
      <c r="X2506" s="705">
        <f t="shared" si="99"/>
        <v>4055223</v>
      </c>
    </row>
    <row r="2507" spans="2:24">
      <c r="B2507" t="s">
        <v>556</v>
      </c>
      <c r="C2507" t="s">
        <v>120</v>
      </c>
      <c r="D2507" t="s">
        <v>673</v>
      </c>
      <c r="E2507" t="s">
        <v>673</v>
      </c>
      <c r="F2507" s="705">
        <v>3</v>
      </c>
      <c r="G2507" s="705">
        <v>240</v>
      </c>
      <c r="H2507" s="705">
        <v>999</v>
      </c>
      <c r="I2507" s="705">
        <v>37449</v>
      </c>
      <c r="J2507" s="705">
        <v>34044</v>
      </c>
      <c r="K2507" s="705">
        <v>52</v>
      </c>
      <c r="L2507" s="705">
        <v>5901</v>
      </c>
      <c r="M2507" s="705">
        <v>3802</v>
      </c>
      <c r="N2507" s="705">
        <v>4684</v>
      </c>
      <c r="O2507" s="705">
        <v>1735</v>
      </c>
      <c r="P2507" s="705">
        <v>1053</v>
      </c>
      <c r="Q2507" s="705">
        <v>390</v>
      </c>
      <c r="R2507" s="705">
        <v>21055</v>
      </c>
      <c r="S2507" s="705">
        <v>19141</v>
      </c>
      <c r="T2507" s="705">
        <v>9595</v>
      </c>
      <c r="U2507" s="705">
        <v>3554</v>
      </c>
      <c r="V2507" s="705">
        <v>62665</v>
      </c>
      <c r="W2507" s="705">
        <f t="shared" si="98"/>
        <v>62666</v>
      </c>
      <c r="X2507" s="705">
        <f t="shared" si="99"/>
        <v>79737</v>
      </c>
    </row>
    <row r="2508" spans="2:24">
      <c r="B2508" t="s">
        <v>556</v>
      </c>
      <c r="C2508" t="s">
        <v>120</v>
      </c>
      <c r="D2508" t="s">
        <v>585</v>
      </c>
      <c r="E2508" t="s">
        <v>585</v>
      </c>
      <c r="F2508" s="705">
        <v>2</v>
      </c>
      <c r="G2508" s="705">
        <v>271</v>
      </c>
      <c r="H2508" s="705">
        <v>612</v>
      </c>
      <c r="I2508" s="705">
        <v>57602</v>
      </c>
      <c r="J2508" s="705">
        <v>52366</v>
      </c>
      <c r="K2508" s="705">
        <v>73</v>
      </c>
      <c r="L2508" s="705">
        <v>7900</v>
      </c>
      <c r="M2508" s="705">
        <v>7182</v>
      </c>
      <c r="N2508" s="705">
        <v>5318</v>
      </c>
      <c r="O2508" s="705">
        <v>1970</v>
      </c>
      <c r="P2508" s="705">
        <v>702</v>
      </c>
      <c r="Q2508" s="705">
        <v>260</v>
      </c>
      <c r="R2508" s="705">
        <v>7012</v>
      </c>
      <c r="S2508" s="705">
        <v>6374</v>
      </c>
      <c r="T2508" s="705">
        <v>4428</v>
      </c>
      <c r="U2508" s="705">
        <v>1640</v>
      </c>
      <c r="V2508" s="705">
        <v>69792</v>
      </c>
      <c r="W2508" s="705">
        <f t="shared" si="98"/>
        <v>69792</v>
      </c>
      <c r="X2508" s="705">
        <f t="shared" si="99"/>
        <v>82962</v>
      </c>
    </row>
    <row r="2509" spans="2:24">
      <c r="B2509" t="s">
        <v>556</v>
      </c>
      <c r="C2509" t="s">
        <v>122</v>
      </c>
      <c r="F2509" s="705">
        <v>2</v>
      </c>
      <c r="G2509" s="705">
        <v>66</v>
      </c>
      <c r="H2509" s="705">
        <v>876</v>
      </c>
      <c r="I2509" s="705"/>
      <c r="J2509" s="705">
        <v>0</v>
      </c>
      <c r="K2509" s="705"/>
      <c r="L2509" s="705"/>
      <c r="M2509" s="705">
        <v>0</v>
      </c>
      <c r="N2509" s="705">
        <v>1564</v>
      </c>
      <c r="O2509" s="705">
        <v>579</v>
      </c>
      <c r="P2509" s="705">
        <v>0</v>
      </c>
      <c r="Q2509" s="705">
        <v>0</v>
      </c>
      <c r="R2509" s="705"/>
      <c r="S2509" s="705">
        <v>0</v>
      </c>
      <c r="T2509" s="705">
        <v>5573</v>
      </c>
      <c r="U2509" s="705">
        <v>2064</v>
      </c>
      <c r="V2509" s="705">
        <v>2643</v>
      </c>
      <c r="W2509" s="705">
        <f t="shared" si="98"/>
        <v>2643</v>
      </c>
      <c r="X2509" s="705">
        <f t="shared" si="99"/>
        <v>7137</v>
      </c>
    </row>
    <row r="2510" spans="2:24">
      <c r="B2510" t="s">
        <v>556</v>
      </c>
      <c r="C2510" t="s">
        <v>122</v>
      </c>
      <c r="D2510" t="s">
        <v>674</v>
      </c>
      <c r="E2510" t="s">
        <v>674</v>
      </c>
      <c r="F2510" s="705">
        <v>1</v>
      </c>
      <c r="G2510" s="705">
        <v>97</v>
      </c>
      <c r="H2510" s="705">
        <v>423</v>
      </c>
      <c r="I2510" s="705">
        <v>30226</v>
      </c>
      <c r="J2510" s="705">
        <v>27478</v>
      </c>
      <c r="K2510" s="705">
        <v>65</v>
      </c>
      <c r="L2510" s="705">
        <v>0</v>
      </c>
      <c r="M2510" s="705">
        <v>0</v>
      </c>
      <c r="N2510" s="705">
        <v>2281</v>
      </c>
      <c r="O2510" s="705">
        <v>845</v>
      </c>
      <c r="P2510" s="705">
        <v>351</v>
      </c>
      <c r="Q2510" s="705">
        <v>130</v>
      </c>
      <c r="R2510" s="705">
        <v>4866</v>
      </c>
      <c r="S2510" s="705">
        <v>4423</v>
      </c>
      <c r="T2510" s="705">
        <v>3280</v>
      </c>
      <c r="U2510" s="705">
        <v>1215</v>
      </c>
      <c r="V2510" s="705">
        <v>34091</v>
      </c>
      <c r="W2510" s="705">
        <f t="shared" si="98"/>
        <v>34091</v>
      </c>
      <c r="X2510" s="705">
        <f t="shared" si="99"/>
        <v>41004</v>
      </c>
    </row>
    <row r="2511" spans="2:24">
      <c r="B2511" t="s">
        <v>556</v>
      </c>
      <c r="C2511" t="s">
        <v>122</v>
      </c>
      <c r="D2511" t="s">
        <v>582</v>
      </c>
      <c r="E2511" t="s">
        <v>582</v>
      </c>
      <c r="F2511" s="705">
        <v>1</v>
      </c>
      <c r="G2511" s="705">
        <v>96</v>
      </c>
      <c r="H2511" s="705">
        <v>442</v>
      </c>
      <c r="I2511" s="705">
        <v>32269</v>
      </c>
      <c r="J2511" s="705">
        <v>29336</v>
      </c>
      <c r="K2511" s="705">
        <v>78</v>
      </c>
      <c r="L2511" s="705">
        <v>4446</v>
      </c>
      <c r="M2511" s="705">
        <v>4042</v>
      </c>
      <c r="N2511" s="705">
        <v>2121</v>
      </c>
      <c r="O2511" s="705">
        <v>786</v>
      </c>
      <c r="P2511" s="705">
        <v>473</v>
      </c>
      <c r="Q2511" s="705">
        <v>175</v>
      </c>
      <c r="R2511" s="705">
        <v>3209</v>
      </c>
      <c r="S2511" s="705">
        <v>2917</v>
      </c>
      <c r="T2511" s="705">
        <v>0</v>
      </c>
      <c r="U2511" s="705">
        <v>0</v>
      </c>
      <c r="V2511" s="705">
        <v>37255</v>
      </c>
      <c r="W2511" s="705">
        <f t="shared" si="98"/>
        <v>37256</v>
      </c>
      <c r="X2511" s="705">
        <f t="shared" si="99"/>
        <v>42518</v>
      </c>
    </row>
    <row r="2512" spans="2:24">
      <c r="B2512" t="s">
        <v>556</v>
      </c>
      <c r="C2512" t="s">
        <v>122</v>
      </c>
      <c r="D2512" t="s">
        <v>228</v>
      </c>
      <c r="E2512" t="s">
        <v>228</v>
      </c>
      <c r="F2512" s="705">
        <v>132</v>
      </c>
      <c r="G2512" s="705">
        <v>9660</v>
      </c>
      <c r="H2512" s="705">
        <v>54752</v>
      </c>
      <c r="I2512" s="705">
        <v>2546694</v>
      </c>
      <c r="J2512" s="705">
        <v>943220</v>
      </c>
      <c r="K2512" s="705">
        <v>100</v>
      </c>
      <c r="L2512" s="705">
        <v>445700</v>
      </c>
      <c r="M2512" s="705">
        <v>267307</v>
      </c>
      <c r="N2512" s="705">
        <v>215299</v>
      </c>
      <c r="O2512" s="705">
        <v>79740</v>
      </c>
      <c r="P2512" s="705">
        <v>351</v>
      </c>
      <c r="Q2512" s="705">
        <v>130</v>
      </c>
      <c r="R2512" s="705">
        <v>827680</v>
      </c>
      <c r="S2512" s="705">
        <v>306548</v>
      </c>
      <c r="T2512" s="705">
        <v>0</v>
      </c>
      <c r="U2512" s="705">
        <v>0</v>
      </c>
      <c r="V2512" s="705">
        <v>1596946</v>
      </c>
      <c r="W2512" s="705">
        <f t="shared" si="98"/>
        <v>1596945</v>
      </c>
      <c r="X2512" s="705">
        <f t="shared" si="99"/>
        <v>4035724</v>
      </c>
    </row>
    <row r="2513" spans="2:24">
      <c r="B2513" t="s">
        <v>556</v>
      </c>
      <c r="C2513" t="s">
        <v>122</v>
      </c>
      <c r="D2513" t="s">
        <v>228</v>
      </c>
      <c r="E2513" t="s">
        <v>669</v>
      </c>
      <c r="F2513" s="705">
        <v>1</v>
      </c>
      <c r="G2513" s="705">
        <v>127</v>
      </c>
      <c r="H2513" s="705">
        <v>445</v>
      </c>
      <c r="I2513" s="705">
        <v>41074</v>
      </c>
      <c r="J2513" s="705">
        <v>15213</v>
      </c>
      <c r="K2513" s="705">
        <v>100</v>
      </c>
      <c r="L2513" s="705">
        <v>4057</v>
      </c>
      <c r="M2513" s="705">
        <v>3381</v>
      </c>
      <c r="N2513" s="705">
        <v>3106</v>
      </c>
      <c r="O2513" s="705">
        <v>1151</v>
      </c>
      <c r="P2513" s="705">
        <v>0</v>
      </c>
      <c r="Q2513" s="705">
        <v>0</v>
      </c>
      <c r="R2513" s="705">
        <v>6146</v>
      </c>
      <c r="S2513" s="705">
        <v>5122</v>
      </c>
      <c r="T2513" s="705">
        <v>2319</v>
      </c>
      <c r="U2513" s="705">
        <v>859</v>
      </c>
      <c r="V2513" s="705">
        <v>25724</v>
      </c>
      <c r="W2513" s="705">
        <f t="shared" si="98"/>
        <v>25726</v>
      </c>
      <c r="X2513" s="705">
        <f t="shared" si="99"/>
        <v>56702</v>
      </c>
    </row>
    <row r="2514" spans="2:24">
      <c r="B2514" t="s">
        <v>556</v>
      </c>
      <c r="C2514" t="s">
        <v>122</v>
      </c>
      <c r="D2514" t="s">
        <v>228</v>
      </c>
      <c r="E2514" t="s">
        <v>665</v>
      </c>
      <c r="F2514" s="705">
        <v>2</v>
      </c>
      <c r="G2514" s="705">
        <v>170</v>
      </c>
      <c r="H2514" s="705">
        <v>838</v>
      </c>
      <c r="I2514" s="705">
        <v>42753</v>
      </c>
      <c r="J2514" s="705">
        <v>15834</v>
      </c>
      <c r="K2514" s="705">
        <v>100</v>
      </c>
      <c r="L2514" s="705">
        <v>8050</v>
      </c>
      <c r="M2514" s="705">
        <v>5017</v>
      </c>
      <c r="N2514" s="705">
        <v>3941</v>
      </c>
      <c r="O2514" s="705">
        <v>1459</v>
      </c>
      <c r="P2514" s="705">
        <v>203</v>
      </c>
      <c r="Q2514" s="705">
        <v>75</v>
      </c>
      <c r="R2514" s="705">
        <v>11122</v>
      </c>
      <c r="S2514" s="705">
        <v>10111</v>
      </c>
      <c r="T2514" s="705">
        <v>4904</v>
      </c>
      <c r="U2514" s="705">
        <v>1816</v>
      </c>
      <c r="V2514" s="705">
        <v>34313</v>
      </c>
      <c r="W2514" s="705">
        <f t="shared" si="98"/>
        <v>34312</v>
      </c>
      <c r="X2514" s="705">
        <f t="shared" si="99"/>
        <v>70973</v>
      </c>
    </row>
    <row r="2515" spans="2:24">
      <c r="B2515" t="s">
        <v>556</v>
      </c>
      <c r="C2515" t="s">
        <v>122</v>
      </c>
      <c r="D2515" t="s">
        <v>583</v>
      </c>
      <c r="E2515" t="s">
        <v>228</v>
      </c>
      <c r="F2515" s="705">
        <v>2</v>
      </c>
      <c r="G2515" s="705">
        <v>148</v>
      </c>
      <c r="H2515" s="705">
        <v>860</v>
      </c>
      <c r="I2515" s="705">
        <v>42024</v>
      </c>
      <c r="J2515" s="705">
        <v>38204</v>
      </c>
      <c r="K2515" s="705">
        <v>85</v>
      </c>
      <c r="L2515" s="705">
        <v>5722</v>
      </c>
      <c r="M2515" s="705">
        <v>5202</v>
      </c>
      <c r="N2515" s="705">
        <v>3482</v>
      </c>
      <c r="O2515" s="705">
        <v>1290</v>
      </c>
      <c r="P2515" s="705">
        <v>1242</v>
      </c>
      <c r="Q2515" s="705">
        <v>460</v>
      </c>
      <c r="R2515" s="705">
        <v>11284</v>
      </c>
      <c r="S2515" s="705">
        <v>4179</v>
      </c>
      <c r="T2515" s="705">
        <v>0</v>
      </c>
      <c r="U2515" s="705">
        <v>0</v>
      </c>
      <c r="V2515" s="705">
        <v>49335</v>
      </c>
      <c r="W2515" s="705">
        <f t="shared" si="98"/>
        <v>49335</v>
      </c>
      <c r="X2515" s="705">
        <f t="shared" si="99"/>
        <v>63754</v>
      </c>
    </row>
    <row r="2516" spans="2:24">
      <c r="B2516" t="s">
        <v>556</v>
      </c>
      <c r="C2516" t="s">
        <v>122</v>
      </c>
      <c r="D2516" t="s">
        <v>583</v>
      </c>
      <c r="E2516" t="s">
        <v>583</v>
      </c>
      <c r="F2516" s="705">
        <v>135</v>
      </c>
      <c r="G2516" s="705">
        <v>13277</v>
      </c>
      <c r="H2516" s="705">
        <v>55711</v>
      </c>
      <c r="I2516" s="705">
        <v>3534554</v>
      </c>
      <c r="J2516" s="705">
        <v>3213231</v>
      </c>
      <c r="K2516" s="705">
        <v>78</v>
      </c>
      <c r="L2516" s="705">
        <v>799547</v>
      </c>
      <c r="M2516" s="705">
        <v>672950</v>
      </c>
      <c r="N2516" s="705">
        <v>284050</v>
      </c>
      <c r="O2516" s="705">
        <v>105204</v>
      </c>
      <c r="P2516" s="705">
        <v>86994</v>
      </c>
      <c r="Q2516" s="705">
        <v>32220</v>
      </c>
      <c r="R2516" s="705">
        <v>675442</v>
      </c>
      <c r="S2516" s="705">
        <v>614038</v>
      </c>
      <c r="T2516" s="705">
        <v>206161</v>
      </c>
      <c r="U2516" s="705">
        <v>76356</v>
      </c>
      <c r="V2516" s="705">
        <v>4713999</v>
      </c>
      <c r="W2516" s="705">
        <f t="shared" si="98"/>
        <v>4713999</v>
      </c>
      <c r="X2516" s="705">
        <f t="shared" si="99"/>
        <v>5586748</v>
      </c>
    </row>
    <row r="2517" spans="2:24">
      <c r="B2517" t="s">
        <v>556</v>
      </c>
      <c r="C2517" t="s">
        <v>122</v>
      </c>
      <c r="D2517" t="s">
        <v>666</v>
      </c>
      <c r="E2517" t="s">
        <v>228</v>
      </c>
      <c r="F2517" s="705">
        <v>1</v>
      </c>
      <c r="G2517" s="705">
        <v>78</v>
      </c>
      <c r="H2517" s="705">
        <v>433</v>
      </c>
      <c r="I2517" s="705">
        <v>20567</v>
      </c>
      <c r="J2517" s="705">
        <v>18697</v>
      </c>
      <c r="K2517" s="705">
        <v>60</v>
      </c>
      <c r="L2517" s="705">
        <v>3365</v>
      </c>
      <c r="M2517" s="705">
        <v>1246</v>
      </c>
      <c r="N2517" s="705">
        <v>1804</v>
      </c>
      <c r="O2517" s="705">
        <v>668</v>
      </c>
      <c r="P2517" s="705">
        <v>0</v>
      </c>
      <c r="Q2517" s="705">
        <v>0</v>
      </c>
      <c r="R2517" s="705">
        <v>7812</v>
      </c>
      <c r="S2517" s="705">
        <v>2893</v>
      </c>
      <c r="T2517" s="705">
        <v>0</v>
      </c>
      <c r="U2517" s="705">
        <v>0</v>
      </c>
      <c r="V2517" s="705">
        <v>23505</v>
      </c>
      <c r="W2517" s="705">
        <f t="shared" si="98"/>
        <v>23504</v>
      </c>
      <c r="X2517" s="705">
        <f t="shared" si="99"/>
        <v>33548</v>
      </c>
    </row>
    <row r="2518" spans="2:24">
      <c r="B2518" t="s">
        <v>556</v>
      </c>
      <c r="C2518" t="s">
        <v>122</v>
      </c>
      <c r="D2518" t="s">
        <v>666</v>
      </c>
      <c r="E2518" t="s">
        <v>666</v>
      </c>
      <c r="F2518" s="705">
        <v>13</v>
      </c>
      <c r="G2518" s="705">
        <v>823</v>
      </c>
      <c r="H2518" s="705">
        <v>5206</v>
      </c>
      <c r="I2518" s="705">
        <v>184330</v>
      </c>
      <c r="J2518" s="705">
        <v>167573</v>
      </c>
      <c r="K2518" s="705">
        <v>55</v>
      </c>
      <c r="L2518" s="705">
        <v>23820</v>
      </c>
      <c r="M2518" s="705">
        <v>18232</v>
      </c>
      <c r="N2518" s="705">
        <v>16393</v>
      </c>
      <c r="O2518" s="705">
        <v>6071</v>
      </c>
      <c r="P2518" s="705">
        <v>4212</v>
      </c>
      <c r="Q2518" s="705">
        <v>1560</v>
      </c>
      <c r="R2518" s="705">
        <v>71474</v>
      </c>
      <c r="S2518" s="705">
        <v>64976</v>
      </c>
      <c r="T2518" s="705">
        <v>30004</v>
      </c>
      <c r="U2518" s="705">
        <v>11113</v>
      </c>
      <c r="V2518" s="705">
        <v>269525</v>
      </c>
      <c r="W2518" s="705">
        <f t="shared" si="98"/>
        <v>269525</v>
      </c>
      <c r="X2518" s="705">
        <f t="shared" si="99"/>
        <v>330233</v>
      </c>
    </row>
    <row r="2519" spans="2:24">
      <c r="B2519" t="s">
        <v>556</v>
      </c>
      <c r="C2519" t="s">
        <v>122</v>
      </c>
      <c r="D2519" t="s">
        <v>584</v>
      </c>
      <c r="E2519" t="s">
        <v>228</v>
      </c>
      <c r="F2519" s="705">
        <v>4</v>
      </c>
      <c r="G2519" s="705">
        <v>263</v>
      </c>
      <c r="H2519" s="705">
        <v>1600</v>
      </c>
      <c r="I2519" s="705">
        <v>66622</v>
      </c>
      <c r="J2519" s="705">
        <v>60565</v>
      </c>
      <c r="K2519" s="705">
        <v>82</v>
      </c>
      <c r="L2519" s="705">
        <v>13375</v>
      </c>
      <c r="M2519" s="705">
        <v>11551</v>
      </c>
      <c r="N2519" s="705">
        <v>5571</v>
      </c>
      <c r="O2519" s="705">
        <v>2063</v>
      </c>
      <c r="P2519" s="705">
        <v>1890</v>
      </c>
      <c r="Q2519" s="705">
        <v>700</v>
      </c>
      <c r="R2519" s="705">
        <v>17881</v>
      </c>
      <c r="S2519" s="705">
        <v>6622</v>
      </c>
      <c r="T2519" s="705">
        <v>0</v>
      </c>
      <c r="U2519" s="705">
        <v>0</v>
      </c>
      <c r="V2519" s="705">
        <v>81503</v>
      </c>
      <c r="W2519" s="705">
        <f t="shared" si="98"/>
        <v>81501</v>
      </c>
      <c r="X2519" s="705">
        <f t="shared" si="99"/>
        <v>105339</v>
      </c>
    </row>
    <row r="2520" spans="2:24">
      <c r="B2520" t="s">
        <v>556</v>
      </c>
      <c r="C2520" t="s">
        <v>122</v>
      </c>
      <c r="D2520" t="s">
        <v>584</v>
      </c>
      <c r="E2520" t="s">
        <v>584</v>
      </c>
      <c r="F2520" s="705">
        <v>132</v>
      </c>
      <c r="G2520" s="705">
        <v>10286</v>
      </c>
      <c r="H2520" s="705">
        <v>54533</v>
      </c>
      <c r="I2520" s="705">
        <v>2697106</v>
      </c>
      <c r="J2520" s="705">
        <v>2451914</v>
      </c>
      <c r="K2520" s="705">
        <v>78</v>
      </c>
      <c r="L2520" s="705">
        <v>636494</v>
      </c>
      <c r="M2520" s="705">
        <v>557812</v>
      </c>
      <c r="N2520" s="705">
        <v>222307</v>
      </c>
      <c r="O2520" s="705">
        <v>82336</v>
      </c>
      <c r="P2520" s="705">
        <v>62478</v>
      </c>
      <c r="Q2520" s="705">
        <v>23140</v>
      </c>
      <c r="R2520" s="705">
        <v>544626</v>
      </c>
      <c r="S2520" s="705">
        <v>495114</v>
      </c>
      <c r="T2520" s="705">
        <v>170610</v>
      </c>
      <c r="U2520" s="705">
        <v>63189</v>
      </c>
      <c r="V2520" s="705">
        <v>3673505</v>
      </c>
      <c r="W2520" s="705">
        <f t="shared" si="98"/>
        <v>3673505</v>
      </c>
      <c r="X2520" s="705">
        <f t="shared" si="99"/>
        <v>4333621</v>
      </c>
    </row>
    <row r="2521" spans="2:24">
      <c r="B2521" t="s">
        <v>556</v>
      </c>
      <c r="C2521" t="s">
        <v>122</v>
      </c>
      <c r="D2521" t="s">
        <v>669</v>
      </c>
      <c r="E2521" t="s">
        <v>228</v>
      </c>
      <c r="F2521" s="705">
        <v>1</v>
      </c>
      <c r="G2521" s="705">
        <v>71</v>
      </c>
      <c r="H2521" s="705">
        <v>415</v>
      </c>
      <c r="I2521" s="705">
        <v>16307</v>
      </c>
      <c r="J2521" s="705">
        <v>13589</v>
      </c>
      <c r="K2521" s="705">
        <v>30</v>
      </c>
      <c r="L2521" s="705">
        <v>1162</v>
      </c>
      <c r="M2521" s="705">
        <v>430</v>
      </c>
      <c r="N2521" s="705">
        <v>1507</v>
      </c>
      <c r="O2521" s="705">
        <v>558</v>
      </c>
      <c r="P2521" s="705">
        <v>473</v>
      </c>
      <c r="Q2521" s="705">
        <v>175</v>
      </c>
      <c r="R2521" s="705">
        <v>9877</v>
      </c>
      <c r="S2521" s="705">
        <v>3658</v>
      </c>
      <c r="T2521" s="705">
        <v>0</v>
      </c>
      <c r="U2521" s="705">
        <v>0</v>
      </c>
      <c r="V2521" s="705">
        <v>18410</v>
      </c>
      <c r="W2521" s="705">
        <f t="shared" si="98"/>
        <v>18410</v>
      </c>
      <c r="X2521" s="705">
        <f t="shared" si="99"/>
        <v>29326</v>
      </c>
    </row>
    <row r="2522" spans="2:24">
      <c r="B2522" t="s">
        <v>556</v>
      </c>
      <c r="C2522" t="s">
        <v>122</v>
      </c>
      <c r="D2522" t="s">
        <v>669</v>
      </c>
      <c r="E2522" t="s">
        <v>669</v>
      </c>
      <c r="F2522" s="705">
        <v>14</v>
      </c>
      <c r="G2522" s="705">
        <v>1136</v>
      </c>
      <c r="H2522" s="705">
        <v>5678</v>
      </c>
      <c r="I2522" s="705">
        <v>286376</v>
      </c>
      <c r="J2522" s="705">
        <v>238647</v>
      </c>
      <c r="K2522" s="705">
        <v>54</v>
      </c>
      <c r="L2522" s="705">
        <v>36240</v>
      </c>
      <c r="M2522" s="705">
        <v>28834</v>
      </c>
      <c r="N2522" s="705">
        <v>22094</v>
      </c>
      <c r="O2522" s="705">
        <v>8183</v>
      </c>
      <c r="P2522" s="705">
        <v>5184</v>
      </c>
      <c r="Q2522" s="705">
        <v>1920</v>
      </c>
      <c r="R2522" s="705">
        <v>79834</v>
      </c>
      <c r="S2522" s="705">
        <v>66528</v>
      </c>
      <c r="T2522" s="705">
        <v>29529</v>
      </c>
      <c r="U2522" s="705">
        <v>10937</v>
      </c>
      <c r="V2522" s="705">
        <v>355048</v>
      </c>
      <c r="W2522" s="705">
        <f t="shared" si="98"/>
        <v>355049</v>
      </c>
      <c r="X2522" s="705">
        <f t="shared" si="99"/>
        <v>459257</v>
      </c>
    </row>
    <row r="2523" spans="2:24">
      <c r="B2523" t="s">
        <v>556</v>
      </c>
      <c r="C2523" t="s">
        <v>122</v>
      </c>
      <c r="D2523" t="s">
        <v>665</v>
      </c>
      <c r="E2523" t="s">
        <v>228</v>
      </c>
      <c r="F2523" s="705">
        <v>2</v>
      </c>
      <c r="G2523" s="705">
        <v>113</v>
      </c>
      <c r="H2523" s="705">
        <v>830</v>
      </c>
      <c r="I2523" s="705">
        <v>26904</v>
      </c>
      <c r="J2523" s="705">
        <v>24458</v>
      </c>
      <c r="K2523" s="705">
        <v>55</v>
      </c>
      <c r="L2523" s="705">
        <v>0</v>
      </c>
      <c r="M2523" s="705">
        <v>2722</v>
      </c>
      <c r="N2523" s="705">
        <v>2552</v>
      </c>
      <c r="O2523" s="705">
        <v>945</v>
      </c>
      <c r="P2523" s="705">
        <v>702</v>
      </c>
      <c r="Q2523" s="705">
        <v>260</v>
      </c>
      <c r="R2523" s="705">
        <v>16380</v>
      </c>
      <c r="S2523" s="705">
        <v>6067</v>
      </c>
      <c r="T2523" s="705">
        <v>0</v>
      </c>
      <c r="U2523" s="705">
        <v>0</v>
      </c>
      <c r="V2523" s="705">
        <v>34452</v>
      </c>
      <c r="W2523" s="705">
        <f t="shared" si="98"/>
        <v>34452</v>
      </c>
      <c r="X2523" s="705">
        <f t="shared" si="99"/>
        <v>46538</v>
      </c>
    </row>
    <row r="2524" spans="2:24">
      <c r="B2524" t="s">
        <v>556</v>
      </c>
      <c r="C2524" t="s">
        <v>122</v>
      </c>
      <c r="D2524" t="s">
        <v>665</v>
      </c>
      <c r="E2524" t="s">
        <v>665</v>
      </c>
      <c r="F2524" s="705">
        <v>80</v>
      </c>
      <c r="G2524" s="705">
        <v>4583</v>
      </c>
      <c r="H2524" s="705">
        <v>32498</v>
      </c>
      <c r="I2524" s="705">
        <v>1108585</v>
      </c>
      <c r="J2524" s="705">
        <v>1007804</v>
      </c>
      <c r="K2524" s="705">
        <v>55</v>
      </c>
      <c r="L2524" s="705">
        <v>83344</v>
      </c>
      <c r="M2524" s="705">
        <v>44058</v>
      </c>
      <c r="N2524" s="705">
        <v>96631</v>
      </c>
      <c r="O2524" s="705">
        <v>35789</v>
      </c>
      <c r="P2524" s="705">
        <v>28539</v>
      </c>
      <c r="Q2524" s="705">
        <v>10570</v>
      </c>
      <c r="R2524" s="705">
        <v>396784</v>
      </c>
      <c r="S2524" s="705">
        <v>360712</v>
      </c>
      <c r="T2524" s="705">
        <v>147906</v>
      </c>
      <c r="U2524" s="705">
        <v>54780</v>
      </c>
      <c r="V2524" s="705">
        <v>1513714</v>
      </c>
      <c r="W2524" s="705">
        <f t="shared" si="98"/>
        <v>1513713</v>
      </c>
      <c r="X2524" s="705">
        <f t="shared" si="99"/>
        <v>1861789</v>
      </c>
    </row>
    <row r="2525" spans="2:24">
      <c r="B2525" t="s">
        <v>556</v>
      </c>
      <c r="C2525" t="s">
        <v>124</v>
      </c>
      <c r="F2525" s="705">
        <v>2</v>
      </c>
      <c r="G2525" s="705">
        <v>65</v>
      </c>
      <c r="H2525" s="705">
        <v>1009</v>
      </c>
      <c r="I2525" s="705"/>
      <c r="J2525" s="705">
        <v>0</v>
      </c>
      <c r="K2525" s="705"/>
      <c r="L2525" s="705"/>
      <c r="M2525" s="705">
        <v>0</v>
      </c>
      <c r="N2525" s="705">
        <v>1168</v>
      </c>
      <c r="O2525" s="705">
        <v>433</v>
      </c>
      <c r="P2525" s="705">
        <v>0</v>
      </c>
      <c r="Q2525" s="705">
        <v>0</v>
      </c>
      <c r="R2525" s="705"/>
      <c r="S2525" s="705">
        <v>0</v>
      </c>
      <c r="T2525" s="705">
        <v>4749</v>
      </c>
      <c r="U2525" s="705">
        <v>1759</v>
      </c>
      <c r="V2525" s="705">
        <v>2192</v>
      </c>
      <c r="W2525" s="705">
        <f t="shared" si="98"/>
        <v>2192</v>
      </c>
      <c r="X2525" s="705">
        <f t="shared" si="99"/>
        <v>5917</v>
      </c>
    </row>
    <row r="2526" spans="2:24">
      <c r="B2526" t="s">
        <v>556</v>
      </c>
      <c r="C2526" t="s">
        <v>124</v>
      </c>
      <c r="D2526" t="s">
        <v>664</v>
      </c>
      <c r="E2526" t="s">
        <v>664</v>
      </c>
      <c r="F2526" s="705">
        <v>2</v>
      </c>
      <c r="G2526" s="705">
        <v>204</v>
      </c>
      <c r="H2526" s="705">
        <v>981</v>
      </c>
      <c r="I2526" s="705">
        <v>65928</v>
      </c>
      <c r="J2526" s="705">
        <v>59934</v>
      </c>
      <c r="K2526" s="705">
        <v>65</v>
      </c>
      <c r="L2526" s="705">
        <v>12173</v>
      </c>
      <c r="M2526" s="705">
        <v>11067</v>
      </c>
      <c r="N2526" s="705">
        <v>3583</v>
      </c>
      <c r="O2526" s="705">
        <v>1327</v>
      </c>
      <c r="P2526" s="705">
        <v>824</v>
      </c>
      <c r="Q2526" s="705">
        <v>305</v>
      </c>
      <c r="R2526" s="705">
        <v>12607</v>
      </c>
      <c r="S2526" s="705">
        <v>11461</v>
      </c>
      <c r="T2526" s="705">
        <v>3304</v>
      </c>
      <c r="U2526" s="705">
        <v>1224</v>
      </c>
      <c r="V2526" s="705">
        <v>85318</v>
      </c>
      <c r="W2526" s="705">
        <f t="shared" si="98"/>
        <v>85318</v>
      </c>
      <c r="X2526" s="705">
        <f t="shared" si="99"/>
        <v>98419</v>
      </c>
    </row>
    <row r="2527" spans="2:24">
      <c r="B2527" t="s">
        <v>556</v>
      </c>
      <c r="C2527" t="s">
        <v>124</v>
      </c>
      <c r="D2527" t="s">
        <v>582</v>
      </c>
      <c r="E2527" t="s">
        <v>582</v>
      </c>
      <c r="F2527" s="705">
        <v>1</v>
      </c>
      <c r="G2527" s="705">
        <v>83</v>
      </c>
      <c r="H2527" s="705">
        <v>480</v>
      </c>
      <c r="I2527" s="705">
        <v>27497</v>
      </c>
      <c r="J2527" s="705">
        <v>24997</v>
      </c>
      <c r="K2527" s="705">
        <v>65</v>
      </c>
      <c r="L2527" s="705">
        <v>6294</v>
      </c>
      <c r="M2527" s="705">
        <v>5722</v>
      </c>
      <c r="N2527" s="705">
        <v>1884</v>
      </c>
      <c r="O2527" s="705">
        <v>698</v>
      </c>
      <c r="P2527" s="705">
        <v>473</v>
      </c>
      <c r="Q2527" s="705">
        <v>175</v>
      </c>
      <c r="R2527" s="705">
        <v>3512</v>
      </c>
      <c r="S2527" s="705">
        <v>3193</v>
      </c>
      <c r="T2527" s="705">
        <v>0</v>
      </c>
      <c r="U2527" s="705">
        <v>0</v>
      </c>
      <c r="V2527" s="705">
        <v>34784</v>
      </c>
      <c r="W2527" s="705">
        <f t="shared" si="98"/>
        <v>34785</v>
      </c>
      <c r="X2527" s="705">
        <f t="shared" si="99"/>
        <v>39660</v>
      </c>
    </row>
    <row r="2528" spans="2:24">
      <c r="B2528" t="s">
        <v>556</v>
      </c>
      <c r="C2528" t="s">
        <v>124</v>
      </c>
      <c r="D2528" t="s">
        <v>228</v>
      </c>
      <c r="E2528" t="s">
        <v>664</v>
      </c>
      <c r="F2528" s="705">
        <v>1</v>
      </c>
      <c r="G2528" s="705">
        <v>133</v>
      </c>
      <c r="H2528" s="705">
        <v>608</v>
      </c>
      <c r="I2528" s="705">
        <v>70105</v>
      </c>
      <c r="J2528" s="705">
        <v>25965</v>
      </c>
      <c r="K2528" s="705">
        <v>100</v>
      </c>
      <c r="L2528" s="705">
        <v>5289</v>
      </c>
      <c r="M2528" s="705">
        <v>4808</v>
      </c>
      <c r="N2528" s="705">
        <v>2594</v>
      </c>
      <c r="O2528" s="705">
        <v>961</v>
      </c>
      <c r="P2528" s="705">
        <v>0</v>
      </c>
      <c r="Q2528" s="705">
        <v>0</v>
      </c>
      <c r="R2528" s="705">
        <v>2942</v>
      </c>
      <c r="S2528" s="705">
        <v>2675</v>
      </c>
      <c r="T2528" s="705">
        <v>0</v>
      </c>
      <c r="U2528" s="705">
        <v>0</v>
      </c>
      <c r="V2528" s="705">
        <v>34409</v>
      </c>
      <c r="W2528" s="705">
        <f t="shared" si="98"/>
        <v>34409</v>
      </c>
      <c r="X2528" s="705">
        <f t="shared" si="99"/>
        <v>80930</v>
      </c>
    </row>
    <row r="2529" spans="2:24">
      <c r="B2529" t="s">
        <v>556</v>
      </c>
      <c r="C2529" t="s">
        <v>124</v>
      </c>
      <c r="D2529" t="s">
        <v>228</v>
      </c>
      <c r="E2529" t="s">
        <v>228</v>
      </c>
      <c r="F2529" s="705">
        <v>211</v>
      </c>
      <c r="G2529" s="705">
        <v>16910</v>
      </c>
      <c r="H2529" s="705">
        <v>131693</v>
      </c>
      <c r="I2529" s="705">
        <v>7312475</v>
      </c>
      <c r="J2529" s="705">
        <v>2708324</v>
      </c>
      <c r="K2529" s="705">
        <v>100</v>
      </c>
      <c r="L2529" s="705">
        <v>1365687</v>
      </c>
      <c r="M2529" s="705">
        <v>1056178</v>
      </c>
      <c r="N2529" s="705">
        <v>371973</v>
      </c>
      <c r="O2529" s="705">
        <v>137768</v>
      </c>
      <c r="P2529" s="705">
        <v>1626</v>
      </c>
      <c r="Q2529" s="705">
        <v>602</v>
      </c>
      <c r="R2529" s="705">
        <v>1443284</v>
      </c>
      <c r="S2529" s="705">
        <v>534550</v>
      </c>
      <c r="T2529" s="705">
        <v>9651</v>
      </c>
      <c r="U2529" s="705">
        <v>3574</v>
      </c>
      <c r="V2529" s="705">
        <v>4440996</v>
      </c>
      <c r="W2529" s="705">
        <f t="shared" si="98"/>
        <v>4440996</v>
      </c>
      <c r="X2529" s="705">
        <f t="shared" si="99"/>
        <v>10504696</v>
      </c>
    </row>
    <row r="2530" spans="2:24">
      <c r="B2530" t="s">
        <v>556</v>
      </c>
      <c r="C2530" t="s">
        <v>124</v>
      </c>
      <c r="D2530" t="s">
        <v>228</v>
      </c>
      <c r="E2530" t="s">
        <v>666</v>
      </c>
      <c r="F2530" s="705">
        <v>3</v>
      </c>
      <c r="G2530" s="705">
        <v>224</v>
      </c>
      <c r="H2530" s="705">
        <v>2180</v>
      </c>
      <c r="I2530" s="705">
        <v>118236</v>
      </c>
      <c r="J2530" s="705">
        <v>43791</v>
      </c>
      <c r="K2530" s="705">
        <v>100</v>
      </c>
      <c r="L2530" s="705">
        <v>13955</v>
      </c>
      <c r="M2530" s="705">
        <v>12686</v>
      </c>
      <c r="N2530" s="705">
        <v>5174</v>
      </c>
      <c r="O2530" s="705">
        <v>1916</v>
      </c>
      <c r="P2530" s="705">
        <v>351</v>
      </c>
      <c r="Q2530" s="705">
        <v>130</v>
      </c>
      <c r="R2530" s="705">
        <v>17065</v>
      </c>
      <c r="S2530" s="705">
        <v>15514</v>
      </c>
      <c r="T2530" s="705">
        <v>8318</v>
      </c>
      <c r="U2530" s="705">
        <v>3081</v>
      </c>
      <c r="V2530" s="705">
        <v>77118</v>
      </c>
      <c r="W2530" s="705">
        <f t="shared" ref="W2530:W2593" si="100">SUM(ABS(J2530),ABS(M2530),ABS(O2530),ABS(Q2530),ABS(S2530),ABS(U2530))</f>
        <v>77118</v>
      </c>
      <c r="X2530" s="705">
        <f t="shared" ref="X2530:X2593" si="101">SUM(ABS(I2530),ABS(N2530),ABS(P2530),ABS(R2530),ABS(T2530),ABS(L2530))</f>
        <v>163099</v>
      </c>
    </row>
    <row r="2531" spans="2:24">
      <c r="B2531" t="s">
        <v>556</v>
      </c>
      <c r="C2531" t="s">
        <v>124</v>
      </c>
      <c r="D2531" t="s">
        <v>228</v>
      </c>
      <c r="E2531" t="s">
        <v>669</v>
      </c>
      <c r="F2531" s="705">
        <v>3</v>
      </c>
      <c r="G2531" s="705">
        <v>220</v>
      </c>
      <c r="H2531" s="705">
        <v>1683</v>
      </c>
      <c r="I2531" s="705">
        <v>78303</v>
      </c>
      <c r="J2531" s="705">
        <v>29001</v>
      </c>
      <c r="K2531" s="705">
        <v>100</v>
      </c>
      <c r="L2531" s="705">
        <v>15429</v>
      </c>
      <c r="M2531" s="705">
        <v>12857</v>
      </c>
      <c r="N2531" s="705">
        <v>4881</v>
      </c>
      <c r="O2531" s="705">
        <v>1808</v>
      </c>
      <c r="P2531" s="705">
        <v>351</v>
      </c>
      <c r="Q2531" s="705">
        <v>130</v>
      </c>
      <c r="R2531" s="705">
        <v>18738</v>
      </c>
      <c r="S2531" s="705">
        <v>15615</v>
      </c>
      <c r="T2531" s="705">
        <v>4574</v>
      </c>
      <c r="U2531" s="705">
        <v>1694</v>
      </c>
      <c r="V2531" s="705">
        <v>61105</v>
      </c>
      <c r="W2531" s="705">
        <f t="shared" si="100"/>
        <v>61105</v>
      </c>
      <c r="X2531" s="705">
        <f t="shared" si="101"/>
        <v>122276</v>
      </c>
    </row>
    <row r="2532" spans="2:24">
      <c r="B2532" t="s">
        <v>556</v>
      </c>
      <c r="C2532" t="s">
        <v>124</v>
      </c>
      <c r="D2532" t="s">
        <v>228</v>
      </c>
      <c r="E2532" t="s">
        <v>665</v>
      </c>
      <c r="F2532" s="705">
        <v>7</v>
      </c>
      <c r="G2532" s="705">
        <v>500</v>
      </c>
      <c r="H2532" s="705">
        <v>4701</v>
      </c>
      <c r="I2532" s="705">
        <v>234512</v>
      </c>
      <c r="J2532" s="705">
        <v>86856</v>
      </c>
      <c r="K2532" s="705">
        <v>100</v>
      </c>
      <c r="L2532" s="705">
        <v>34333</v>
      </c>
      <c r="M2532" s="705">
        <v>31211</v>
      </c>
      <c r="N2532" s="705">
        <v>11170</v>
      </c>
      <c r="O2532" s="705">
        <v>4137</v>
      </c>
      <c r="P2532" s="705">
        <v>702</v>
      </c>
      <c r="Q2532" s="705">
        <v>260</v>
      </c>
      <c r="R2532" s="705">
        <v>38467</v>
      </c>
      <c r="S2532" s="705">
        <v>34970</v>
      </c>
      <c r="T2532" s="705">
        <v>13522</v>
      </c>
      <c r="U2532" s="705">
        <v>5008</v>
      </c>
      <c r="V2532" s="705">
        <v>162443</v>
      </c>
      <c r="W2532" s="705">
        <f t="shared" si="100"/>
        <v>162442</v>
      </c>
      <c r="X2532" s="705">
        <f t="shared" si="101"/>
        <v>332706</v>
      </c>
    </row>
    <row r="2533" spans="2:24">
      <c r="B2533" t="s">
        <v>556</v>
      </c>
      <c r="C2533" t="s">
        <v>124</v>
      </c>
      <c r="D2533" t="s">
        <v>583</v>
      </c>
      <c r="E2533" t="s">
        <v>228</v>
      </c>
      <c r="F2533" s="705">
        <v>5</v>
      </c>
      <c r="G2533" s="705">
        <v>575</v>
      </c>
      <c r="H2533" s="705">
        <v>3133</v>
      </c>
      <c r="I2533" s="705">
        <v>249705</v>
      </c>
      <c r="J2533" s="705">
        <v>227004</v>
      </c>
      <c r="K2533" s="705">
        <v>58</v>
      </c>
      <c r="L2533" s="705">
        <v>48662</v>
      </c>
      <c r="M2533" s="705">
        <v>40180</v>
      </c>
      <c r="N2533" s="705">
        <v>12216</v>
      </c>
      <c r="O2533" s="705">
        <v>4524</v>
      </c>
      <c r="P2533" s="705">
        <v>2484</v>
      </c>
      <c r="Q2533" s="705">
        <v>920</v>
      </c>
      <c r="R2533" s="705">
        <v>56975</v>
      </c>
      <c r="S2533" s="705">
        <v>21102</v>
      </c>
      <c r="T2533" s="705">
        <v>0</v>
      </c>
      <c r="U2533" s="705">
        <v>0</v>
      </c>
      <c r="V2533" s="705">
        <v>293730</v>
      </c>
      <c r="W2533" s="705">
        <f t="shared" si="100"/>
        <v>293730</v>
      </c>
      <c r="X2533" s="705">
        <f t="shared" si="101"/>
        <v>370042</v>
      </c>
    </row>
    <row r="2534" spans="2:24">
      <c r="B2534" t="s">
        <v>556</v>
      </c>
      <c r="C2534" t="s">
        <v>124</v>
      </c>
      <c r="D2534" t="s">
        <v>583</v>
      </c>
      <c r="E2534" t="s">
        <v>583</v>
      </c>
      <c r="F2534" s="705">
        <v>110</v>
      </c>
      <c r="G2534" s="705">
        <v>9592</v>
      </c>
      <c r="H2534" s="705">
        <v>58896</v>
      </c>
      <c r="I2534" s="705">
        <v>3424013</v>
      </c>
      <c r="J2534" s="705">
        <v>3112739</v>
      </c>
      <c r="K2534" s="705">
        <v>74</v>
      </c>
      <c r="L2534" s="705">
        <v>757388</v>
      </c>
      <c r="M2534" s="705">
        <v>657118</v>
      </c>
      <c r="N2534" s="705">
        <v>209854</v>
      </c>
      <c r="O2534" s="705">
        <v>77724</v>
      </c>
      <c r="P2534" s="705">
        <v>69868</v>
      </c>
      <c r="Q2534" s="705">
        <v>25877</v>
      </c>
      <c r="R2534" s="705">
        <v>505304</v>
      </c>
      <c r="S2534" s="705">
        <v>459368</v>
      </c>
      <c r="T2534" s="705">
        <v>200023</v>
      </c>
      <c r="U2534" s="705">
        <v>74083</v>
      </c>
      <c r="V2534" s="705">
        <v>4406908</v>
      </c>
      <c r="W2534" s="705">
        <f t="shared" si="100"/>
        <v>4406909</v>
      </c>
      <c r="X2534" s="705">
        <f t="shared" si="101"/>
        <v>5166450</v>
      </c>
    </row>
    <row r="2535" spans="2:24">
      <c r="B2535" t="s">
        <v>556</v>
      </c>
      <c r="C2535" t="s">
        <v>124</v>
      </c>
      <c r="D2535" t="s">
        <v>583</v>
      </c>
      <c r="E2535" t="s">
        <v>669</v>
      </c>
      <c r="F2535" s="705">
        <v>1</v>
      </c>
      <c r="G2535" s="705">
        <v>86</v>
      </c>
      <c r="H2535" s="705">
        <v>469</v>
      </c>
      <c r="I2535" s="705">
        <v>25188</v>
      </c>
      <c r="J2535" s="705">
        <v>22898</v>
      </c>
      <c r="K2535" s="705">
        <v>65</v>
      </c>
      <c r="L2535" s="705">
        <v>6289</v>
      </c>
      <c r="M2535" s="705">
        <v>5241</v>
      </c>
      <c r="N2535" s="705">
        <v>2091</v>
      </c>
      <c r="O2535" s="705">
        <v>774</v>
      </c>
      <c r="P2535" s="705">
        <v>621</v>
      </c>
      <c r="Q2535" s="705">
        <v>230</v>
      </c>
      <c r="R2535" s="705">
        <v>4216</v>
      </c>
      <c r="S2535" s="705">
        <v>3513</v>
      </c>
      <c r="T2535" s="705">
        <v>1798</v>
      </c>
      <c r="U2535" s="705">
        <v>666</v>
      </c>
      <c r="V2535" s="705">
        <v>33322</v>
      </c>
      <c r="W2535" s="705">
        <f t="shared" si="100"/>
        <v>33322</v>
      </c>
      <c r="X2535" s="705">
        <f t="shared" si="101"/>
        <v>40203</v>
      </c>
    </row>
    <row r="2536" spans="2:24">
      <c r="B2536" t="s">
        <v>556</v>
      </c>
      <c r="C2536" t="s">
        <v>124</v>
      </c>
      <c r="D2536" t="s">
        <v>666</v>
      </c>
      <c r="E2536" t="s">
        <v>228</v>
      </c>
      <c r="F2536" s="705">
        <v>8</v>
      </c>
      <c r="G2536" s="705">
        <v>700</v>
      </c>
      <c r="H2536" s="705">
        <v>7633</v>
      </c>
      <c r="I2536" s="705">
        <v>532603</v>
      </c>
      <c r="J2536" s="705">
        <v>484184</v>
      </c>
      <c r="K2536" s="705">
        <v>47</v>
      </c>
      <c r="L2536" s="705">
        <v>69108</v>
      </c>
      <c r="M2536" s="705">
        <v>38990</v>
      </c>
      <c r="N2536" s="705">
        <v>16517</v>
      </c>
      <c r="O2536" s="705">
        <v>6118</v>
      </c>
      <c r="P2536" s="705">
        <v>702</v>
      </c>
      <c r="Q2536" s="705">
        <v>260</v>
      </c>
      <c r="R2536" s="705">
        <v>66154</v>
      </c>
      <c r="S2536" s="705">
        <v>24502</v>
      </c>
      <c r="T2536" s="705">
        <v>0</v>
      </c>
      <c r="U2536" s="705">
        <v>0</v>
      </c>
      <c r="V2536" s="705">
        <v>554054</v>
      </c>
      <c r="W2536" s="705">
        <f t="shared" si="100"/>
        <v>554054</v>
      </c>
      <c r="X2536" s="705">
        <f t="shared" si="101"/>
        <v>685084</v>
      </c>
    </row>
    <row r="2537" spans="2:24">
      <c r="B2537" t="s">
        <v>556</v>
      </c>
      <c r="C2537" t="s">
        <v>124</v>
      </c>
      <c r="D2537" t="s">
        <v>666</v>
      </c>
      <c r="E2537" t="s">
        <v>666</v>
      </c>
      <c r="F2537" s="705">
        <v>21</v>
      </c>
      <c r="G2537" s="705">
        <v>1602</v>
      </c>
      <c r="H2537" s="705">
        <v>12516</v>
      </c>
      <c r="I2537" s="705">
        <v>632105</v>
      </c>
      <c r="J2537" s="705">
        <v>574641</v>
      </c>
      <c r="K2537" s="705">
        <v>54</v>
      </c>
      <c r="L2537" s="705">
        <v>75588</v>
      </c>
      <c r="M2537" s="705">
        <v>53607</v>
      </c>
      <c r="N2537" s="705">
        <v>31305</v>
      </c>
      <c r="O2537" s="705">
        <v>11594</v>
      </c>
      <c r="P2537" s="705">
        <v>6939</v>
      </c>
      <c r="Q2537" s="705">
        <v>2570</v>
      </c>
      <c r="R2537" s="705">
        <v>131709</v>
      </c>
      <c r="S2537" s="705">
        <v>119735</v>
      </c>
      <c r="T2537" s="705">
        <v>39390</v>
      </c>
      <c r="U2537" s="705">
        <v>14589</v>
      </c>
      <c r="V2537" s="705">
        <v>776736</v>
      </c>
      <c r="W2537" s="705">
        <f t="shared" si="100"/>
        <v>776736</v>
      </c>
      <c r="X2537" s="705">
        <f t="shared" si="101"/>
        <v>917036</v>
      </c>
    </row>
    <row r="2538" spans="2:24">
      <c r="B2538" t="s">
        <v>556</v>
      </c>
      <c r="C2538" t="s">
        <v>124</v>
      </c>
      <c r="D2538" t="s">
        <v>584</v>
      </c>
      <c r="E2538" t="s">
        <v>228</v>
      </c>
      <c r="F2538" s="705">
        <v>6</v>
      </c>
      <c r="G2538" s="705">
        <v>366</v>
      </c>
      <c r="H2538" s="705">
        <v>3463</v>
      </c>
      <c r="I2538" s="705">
        <v>135379</v>
      </c>
      <c r="J2538" s="705">
        <v>123072</v>
      </c>
      <c r="K2538" s="705">
        <v>72</v>
      </c>
      <c r="L2538" s="705">
        <v>25567</v>
      </c>
      <c r="M2538" s="705">
        <v>21139</v>
      </c>
      <c r="N2538" s="705">
        <v>8543</v>
      </c>
      <c r="O2538" s="705">
        <v>3164</v>
      </c>
      <c r="P2538" s="705">
        <v>2241</v>
      </c>
      <c r="Q2538" s="705">
        <v>830</v>
      </c>
      <c r="R2538" s="705">
        <v>31698</v>
      </c>
      <c r="S2538" s="705">
        <v>11740</v>
      </c>
      <c r="T2538" s="705">
        <v>0</v>
      </c>
      <c r="U2538" s="705">
        <v>0</v>
      </c>
      <c r="V2538" s="705">
        <v>159945</v>
      </c>
      <c r="W2538" s="705">
        <f t="shared" si="100"/>
        <v>159945</v>
      </c>
      <c r="X2538" s="705">
        <f t="shared" si="101"/>
        <v>203428</v>
      </c>
    </row>
    <row r="2539" spans="2:24">
      <c r="B2539" t="s">
        <v>556</v>
      </c>
      <c r="C2539" t="s">
        <v>124</v>
      </c>
      <c r="D2539" t="s">
        <v>584</v>
      </c>
      <c r="E2539" t="s">
        <v>584</v>
      </c>
      <c r="F2539" s="705">
        <v>92</v>
      </c>
      <c r="G2539" s="705">
        <v>6076</v>
      </c>
      <c r="H2539" s="705">
        <v>47478</v>
      </c>
      <c r="I2539" s="705">
        <v>1979040</v>
      </c>
      <c r="J2539" s="705">
        <v>1799127</v>
      </c>
      <c r="K2539" s="705">
        <v>72</v>
      </c>
      <c r="L2539" s="705">
        <v>451629</v>
      </c>
      <c r="M2539" s="705">
        <v>381924</v>
      </c>
      <c r="N2539" s="705">
        <v>132972</v>
      </c>
      <c r="O2539" s="705">
        <v>49249</v>
      </c>
      <c r="P2539" s="705">
        <v>44145</v>
      </c>
      <c r="Q2539" s="705">
        <v>16350</v>
      </c>
      <c r="R2539" s="705">
        <v>419670</v>
      </c>
      <c r="S2539" s="705">
        <v>381518</v>
      </c>
      <c r="T2539" s="705">
        <v>131694</v>
      </c>
      <c r="U2539" s="705">
        <v>48776</v>
      </c>
      <c r="V2539" s="705">
        <v>2676943</v>
      </c>
      <c r="W2539" s="705">
        <f t="shared" si="100"/>
        <v>2676944</v>
      </c>
      <c r="X2539" s="705">
        <f t="shared" si="101"/>
        <v>3159150</v>
      </c>
    </row>
    <row r="2540" spans="2:24">
      <c r="B2540" t="s">
        <v>556</v>
      </c>
      <c r="C2540" t="s">
        <v>124</v>
      </c>
      <c r="D2540" t="s">
        <v>669</v>
      </c>
      <c r="E2540" t="s">
        <v>228</v>
      </c>
      <c r="F2540" s="705">
        <v>22</v>
      </c>
      <c r="G2540" s="705">
        <v>1560</v>
      </c>
      <c r="H2540" s="705">
        <v>19704</v>
      </c>
      <c r="I2540" s="705">
        <v>1129901</v>
      </c>
      <c r="J2540" s="705">
        <v>941585</v>
      </c>
      <c r="K2540" s="705">
        <v>34</v>
      </c>
      <c r="L2540" s="705">
        <v>59337</v>
      </c>
      <c r="M2540" s="705">
        <v>25081</v>
      </c>
      <c r="N2540" s="705">
        <v>34802</v>
      </c>
      <c r="O2540" s="705">
        <v>12890</v>
      </c>
      <c r="P2540" s="705">
        <v>0</v>
      </c>
      <c r="Q2540" s="705">
        <v>0</v>
      </c>
      <c r="R2540" s="705">
        <v>130676</v>
      </c>
      <c r="S2540" s="705">
        <v>48399</v>
      </c>
      <c r="T2540" s="705">
        <v>0</v>
      </c>
      <c r="U2540" s="705">
        <v>0</v>
      </c>
      <c r="V2540" s="705">
        <v>1027954</v>
      </c>
      <c r="W2540" s="705">
        <f t="shared" si="100"/>
        <v>1027955</v>
      </c>
      <c r="X2540" s="705">
        <f t="shared" si="101"/>
        <v>1354716</v>
      </c>
    </row>
    <row r="2541" spans="2:24">
      <c r="B2541" t="s">
        <v>556</v>
      </c>
      <c r="C2541" t="s">
        <v>124</v>
      </c>
      <c r="D2541" t="s">
        <v>669</v>
      </c>
      <c r="E2541" t="s">
        <v>669</v>
      </c>
      <c r="F2541" s="705">
        <v>30</v>
      </c>
      <c r="G2541" s="705">
        <v>2032</v>
      </c>
      <c r="H2541" s="705">
        <v>20043</v>
      </c>
      <c r="I2541" s="705">
        <v>991794</v>
      </c>
      <c r="J2541" s="705">
        <v>826495</v>
      </c>
      <c r="K2541" s="705">
        <v>53</v>
      </c>
      <c r="L2541" s="705">
        <v>101895</v>
      </c>
      <c r="M2541" s="705">
        <v>65049</v>
      </c>
      <c r="N2541" s="705">
        <v>40357</v>
      </c>
      <c r="O2541" s="705">
        <v>14947</v>
      </c>
      <c r="P2541" s="705">
        <v>7371</v>
      </c>
      <c r="Q2541" s="705">
        <v>2730</v>
      </c>
      <c r="R2541" s="705">
        <v>167455</v>
      </c>
      <c r="S2541" s="705">
        <v>139546</v>
      </c>
      <c r="T2541" s="705">
        <v>54964</v>
      </c>
      <c r="U2541" s="705">
        <v>20357</v>
      </c>
      <c r="V2541" s="705">
        <v>1069124</v>
      </c>
      <c r="W2541" s="705">
        <f t="shared" si="100"/>
        <v>1069124</v>
      </c>
      <c r="X2541" s="705">
        <f t="shared" si="101"/>
        <v>1363836</v>
      </c>
    </row>
    <row r="2542" spans="2:24">
      <c r="B2542" t="s">
        <v>556</v>
      </c>
      <c r="C2542" t="s">
        <v>124</v>
      </c>
      <c r="D2542" t="s">
        <v>669</v>
      </c>
      <c r="E2542" t="s">
        <v>665</v>
      </c>
      <c r="F2542" s="705">
        <v>1</v>
      </c>
      <c r="G2542" s="705">
        <v>76</v>
      </c>
      <c r="H2542" s="705">
        <v>616</v>
      </c>
      <c r="I2542" s="705">
        <v>33411</v>
      </c>
      <c r="J2542" s="705">
        <v>27843</v>
      </c>
      <c r="K2542" s="705">
        <v>55</v>
      </c>
      <c r="L2542" s="705">
        <v>4594</v>
      </c>
      <c r="M2542" s="705">
        <v>1702</v>
      </c>
      <c r="N2542" s="705">
        <v>1488</v>
      </c>
      <c r="O2542" s="705">
        <v>551</v>
      </c>
      <c r="P2542" s="705">
        <v>351</v>
      </c>
      <c r="Q2542" s="705">
        <v>130</v>
      </c>
      <c r="R2542" s="705">
        <v>4951</v>
      </c>
      <c r="S2542" s="705">
        <v>4501</v>
      </c>
      <c r="T2542" s="705">
        <v>2205</v>
      </c>
      <c r="U2542" s="705">
        <v>817</v>
      </c>
      <c r="V2542" s="705">
        <v>35543</v>
      </c>
      <c r="W2542" s="705">
        <f t="shared" si="100"/>
        <v>35544</v>
      </c>
      <c r="X2542" s="705">
        <f t="shared" si="101"/>
        <v>47000</v>
      </c>
    </row>
    <row r="2543" spans="2:24">
      <c r="B2543" t="s">
        <v>556</v>
      </c>
      <c r="C2543" t="s">
        <v>124</v>
      </c>
      <c r="D2543" t="s">
        <v>665</v>
      </c>
      <c r="E2543" t="s">
        <v>228</v>
      </c>
      <c r="F2543" s="705">
        <v>19</v>
      </c>
      <c r="G2543" s="705">
        <v>2071</v>
      </c>
      <c r="H2543" s="705">
        <v>16496</v>
      </c>
      <c r="I2543" s="705">
        <v>1471769</v>
      </c>
      <c r="J2543" s="705">
        <v>1337972</v>
      </c>
      <c r="K2543" s="705">
        <v>36</v>
      </c>
      <c r="L2543" s="705">
        <v>88742</v>
      </c>
      <c r="M2543" s="705">
        <v>51669</v>
      </c>
      <c r="N2543" s="705">
        <v>48590</v>
      </c>
      <c r="O2543" s="705">
        <v>17996</v>
      </c>
      <c r="P2543" s="705">
        <v>0</v>
      </c>
      <c r="Q2543" s="705">
        <v>0</v>
      </c>
      <c r="R2543" s="705">
        <v>124388</v>
      </c>
      <c r="S2543" s="705">
        <v>46069</v>
      </c>
      <c r="T2543" s="705">
        <v>5323</v>
      </c>
      <c r="U2543" s="705">
        <v>1972</v>
      </c>
      <c r="V2543" s="705">
        <v>1455678</v>
      </c>
      <c r="W2543" s="705">
        <f t="shared" si="100"/>
        <v>1455678</v>
      </c>
      <c r="X2543" s="705">
        <f t="shared" si="101"/>
        <v>1738812</v>
      </c>
    </row>
    <row r="2544" spans="2:24">
      <c r="B2544" t="s">
        <v>556</v>
      </c>
      <c r="C2544" t="s">
        <v>124</v>
      </c>
      <c r="D2544" t="s">
        <v>665</v>
      </c>
      <c r="E2544" t="s">
        <v>665</v>
      </c>
      <c r="F2544" s="705">
        <v>46</v>
      </c>
      <c r="G2544" s="705">
        <v>3333</v>
      </c>
      <c r="H2544" s="705">
        <v>27861</v>
      </c>
      <c r="I2544" s="705">
        <v>1414848</v>
      </c>
      <c r="J2544" s="705">
        <v>1286225</v>
      </c>
      <c r="K2544" s="705">
        <v>55</v>
      </c>
      <c r="L2544" s="705">
        <v>183491</v>
      </c>
      <c r="M2544" s="705">
        <v>125674</v>
      </c>
      <c r="N2544" s="705">
        <v>73179</v>
      </c>
      <c r="O2544" s="705">
        <v>27104</v>
      </c>
      <c r="P2544" s="705">
        <v>13689</v>
      </c>
      <c r="Q2544" s="705">
        <v>5070</v>
      </c>
      <c r="R2544" s="705">
        <v>245574</v>
      </c>
      <c r="S2544" s="705">
        <v>223249</v>
      </c>
      <c r="T2544" s="705">
        <v>89115</v>
      </c>
      <c r="U2544" s="705">
        <v>33005</v>
      </c>
      <c r="V2544" s="705">
        <v>1700327</v>
      </c>
      <c r="W2544" s="705">
        <f t="shared" si="100"/>
        <v>1700327</v>
      </c>
      <c r="X2544" s="705">
        <f t="shared" si="101"/>
        <v>2019896</v>
      </c>
    </row>
    <row r="2545" spans="2:24">
      <c r="B2545" t="s">
        <v>556</v>
      </c>
      <c r="C2545" t="s">
        <v>124</v>
      </c>
      <c r="D2545" t="s">
        <v>722</v>
      </c>
      <c r="E2545" t="s">
        <v>665</v>
      </c>
      <c r="F2545" s="705">
        <v>1</v>
      </c>
      <c r="G2545" s="705">
        <v>85</v>
      </c>
      <c r="H2545" s="705">
        <v>499</v>
      </c>
      <c r="I2545" s="705">
        <v>27803</v>
      </c>
      <c r="J2545" s="705">
        <v>25275</v>
      </c>
      <c r="K2545" s="705">
        <v>55</v>
      </c>
      <c r="L2545" s="705">
        <v>4170</v>
      </c>
      <c r="M2545" s="705">
        <v>1545</v>
      </c>
      <c r="N2545" s="705">
        <v>1814</v>
      </c>
      <c r="O2545" s="705">
        <v>672</v>
      </c>
      <c r="P2545" s="705">
        <v>351</v>
      </c>
      <c r="Q2545" s="705">
        <v>130</v>
      </c>
      <c r="R2545" s="705">
        <v>5664</v>
      </c>
      <c r="S2545" s="705">
        <v>5149</v>
      </c>
      <c r="T2545" s="705">
        <v>2679</v>
      </c>
      <c r="U2545" s="705">
        <v>992</v>
      </c>
      <c r="V2545" s="705">
        <v>33763</v>
      </c>
      <c r="W2545" s="705">
        <f t="shared" si="100"/>
        <v>33763</v>
      </c>
      <c r="X2545" s="705">
        <f t="shared" si="101"/>
        <v>42481</v>
      </c>
    </row>
    <row r="2546" spans="2:24">
      <c r="B2546" t="s">
        <v>557</v>
      </c>
      <c r="C2546" t="s">
        <v>108</v>
      </c>
      <c r="D2546" t="s">
        <v>228</v>
      </c>
      <c r="E2546" t="s">
        <v>228</v>
      </c>
      <c r="F2546" s="705">
        <v>27</v>
      </c>
      <c r="G2546" s="705">
        <v>3424</v>
      </c>
      <c r="H2546" s="705">
        <v>1513</v>
      </c>
      <c r="I2546" s="705">
        <v>5076</v>
      </c>
      <c r="J2546" s="705">
        <v>1880</v>
      </c>
      <c r="K2546" s="705">
        <v>524</v>
      </c>
      <c r="L2546" s="705">
        <v>1043</v>
      </c>
      <c r="M2546" s="705">
        <v>-288</v>
      </c>
      <c r="N2546" s="705">
        <v>43750</v>
      </c>
      <c r="O2546" s="705">
        <v>16204</v>
      </c>
      <c r="P2546" s="705">
        <v>23881</v>
      </c>
      <c r="Q2546" s="705">
        <v>8845</v>
      </c>
      <c r="R2546" s="705">
        <v>117649</v>
      </c>
      <c r="S2546" s="705">
        <v>43574</v>
      </c>
      <c r="T2546" s="705">
        <v>0</v>
      </c>
      <c r="U2546" s="705">
        <v>0</v>
      </c>
      <c r="V2546" s="705">
        <v>70214</v>
      </c>
      <c r="W2546" s="705">
        <f t="shared" si="100"/>
        <v>70791</v>
      </c>
      <c r="X2546" s="705">
        <f t="shared" si="101"/>
        <v>191399</v>
      </c>
    </row>
    <row r="2547" spans="2:24">
      <c r="B2547" t="s">
        <v>557</v>
      </c>
      <c r="C2547" t="s">
        <v>108</v>
      </c>
      <c r="D2547" t="s">
        <v>583</v>
      </c>
      <c r="E2547" t="s">
        <v>583</v>
      </c>
      <c r="F2547" s="705">
        <v>8</v>
      </c>
      <c r="G2547" s="705">
        <v>952</v>
      </c>
      <c r="H2547" s="705">
        <v>547</v>
      </c>
      <c r="I2547" s="705">
        <v>6397</v>
      </c>
      <c r="J2547" s="705">
        <v>5815</v>
      </c>
      <c r="K2547" s="705">
        <v>95</v>
      </c>
      <c r="L2547" s="705">
        <v>905</v>
      </c>
      <c r="M2547" s="705">
        <v>823</v>
      </c>
      <c r="N2547" s="705">
        <v>18431</v>
      </c>
      <c r="O2547" s="705">
        <v>6826</v>
      </c>
      <c r="P2547" s="705">
        <v>4968</v>
      </c>
      <c r="Q2547" s="705">
        <v>1840</v>
      </c>
      <c r="R2547" s="705">
        <v>34373</v>
      </c>
      <c r="S2547" s="705">
        <v>31248</v>
      </c>
      <c r="T2547" s="705">
        <v>0</v>
      </c>
      <c r="U2547" s="705">
        <v>0</v>
      </c>
      <c r="V2547" s="705">
        <v>46553</v>
      </c>
      <c r="W2547" s="705">
        <f t="shared" si="100"/>
        <v>46552</v>
      </c>
      <c r="X2547" s="705">
        <f t="shared" si="101"/>
        <v>65074</v>
      </c>
    </row>
    <row r="2548" spans="2:24">
      <c r="B2548" t="s">
        <v>557</v>
      </c>
      <c r="C2548" t="s">
        <v>108</v>
      </c>
      <c r="D2548" t="s">
        <v>584</v>
      </c>
      <c r="E2548" t="s">
        <v>584</v>
      </c>
      <c r="F2548" s="705">
        <v>30</v>
      </c>
      <c r="G2548" s="705">
        <v>3455</v>
      </c>
      <c r="H2548" s="705">
        <v>1652</v>
      </c>
      <c r="I2548" s="705">
        <v>21948</v>
      </c>
      <c r="J2548" s="705">
        <v>19953</v>
      </c>
      <c r="K2548" s="705">
        <v>91</v>
      </c>
      <c r="L2548" s="705">
        <v>1380</v>
      </c>
      <c r="M2548" s="705">
        <v>1254</v>
      </c>
      <c r="N2548" s="705">
        <v>42096</v>
      </c>
      <c r="O2548" s="705">
        <v>15591</v>
      </c>
      <c r="P2548" s="705">
        <v>14175</v>
      </c>
      <c r="Q2548" s="705">
        <v>5250</v>
      </c>
      <c r="R2548" s="705">
        <v>110541</v>
      </c>
      <c r="S2548" s="705">
        <v>100491</v>
      </c>
      <c r="T2548" s="705">
        <v>0</v>
      </c>
      <c r="U2548" s="705">
        <v>0</v>
      </c>
      <c r="V2548" s="705">
        <v>142540</v>
      </c>
      <c r="W2548" s="705">
        <f t="shared" si="100"/>
        <v>142539</v>
      </c>
      <c r="X2548" s="705">
        <f t="shared" si="101"/>
        <v>190140</v>
      </c>
    </row>
    <row r="2549" spans="2:24">
      <c r="B2549" t="s">
        <v>557</v>
      </c>
      <c r="C2549" t="s">
        <v>110</v>
      </c>
      <c r="D2549" t="s">
        <v>582</v>
      </c>
      <c r="E2549" t="s">
        <v>582</v>
      </c>
      <c r="F2549" s="705">
        <v>1</v>
      </c>
      <c r="G2549" s="705">
        <v>242</v>
      </c>
      <c r="H2549" s="705">
        <v>98</v>
      </c>
      <c r="I2549" s="705">
        <v>12161</v>
      </c>
      <c r="J2549" s="705">
        <v>11055</v>
      </c>
      <c r="K2549" s="705">
        <v>91</v>
      </c>
      <c r="L2549" s="705">
        <v>1712</v>
      </c>
      <c r="M2549" s="705">
        <v>1556</v>
      </c>
      <c r="N2549" s="705">
        <v>3535</v>
      </c>
      <c r="O2549" s="705">
        <v>1309</v>
      </c>
      <c r="P2549" s="705">
        <v>473</v>
      </c>
      <c r="Q2549" s="705">
        <v>175</v>
      </c>
      <c r="R2549" s="705">
        <v>5862</v>
      </c>
      <c r="S2549" s="705">
        <v>5329</v>
      </c>
      <c r="T2549" s="705">
        <v>0</v>
      </c>
      <c r="U2549" s="705">
        <v>0</v>
      </c>
      <c r="V2549" s="705">
        <v>19424</v>
      </c>
      <c r="W2549" s="705">
        <f t="shared" si="100"/>
        <v>19424</v>
      </c>
      <c r="X2549" s="705">
        <f t="shared" si="101"/>
        <v>23743</v>
      </c>
    </row>
    <row r="2550" spans="2:24">
      <c r="B2550" t="s">
        <v>557</v>
      </c>
      <c r="C2550" t="s">
        <v>110</v>
      </c>
      <c r="D2550" t="s">
        <v>228</v>
      </c>
      <c r="E2550" t="s">
        <v>228</v>
      </c>
      <c r="F2550" s="705">
        <v>3</v>
      </c>
      <c r="G2550" s="705">
        <v>316</v>
      </c>
      <c r="H2550" s="705">
        <v>259</v>
      </c>
      <c r="I2550" s="705">
        <v>6291</v>
      </c>
      <c r="J2550" s="705">
        <v>2330</v>
      </c>
      <c r="K2550" s="705">
        <v>378</v>
      </c>
      <c r="L2550" s="705">
        <v>1949</v>
      </c>
      <c r="M2550" s="705">
        <v>1653</v>
      </c>
      <c r="N2550" s="705">
        <v>4628</v>
      </c>
      <c r="O2550" s="705">
        <v>1714</v>
      </c>
      <c r="P2550" s="705">
        <v>1053</v>
      </c>
      <c r="Q2550" s="705">
        <v>390</v>
      </c>
      <c r="R2550" s="705">
        <v>12955</v>
      </c>
      <c r="S2550" s="705">
        <v>4798</v>
      </c>
      <c r="T2550" s="705">
        <v>0</v>
      </c>
      <c r="U2550" s="705">
        <v>0</v>
      </c>
      <c r="V2550" s="705">
        <v>10885</v>
      </c>
      <c r="W2550" s="705">
        <f t="shared" si="100"/>
        <v>10885</v>
      </c>
      <c r="X2550" s="705">
        <f t="shared" si="101"/>
        <v>26876</v>
      </c>
    </row>
    <row r="2551" spans="2:24">
      <c r="B2551" t="s">
        <v>557</v>
      </c>
      <c r="C2551" t="s">
        <v>110</v>
      </c>
      <c r="D2551" t="s">
        <v>583</v>
      </c>
      <c r="E2551" t="s">
        <v>583</v>
      </c>
      <c r="F2551" s="705">
        <v>7</v>
      </c>
      <c r="G2551" s="705">
        <v>818</v>
      </c>
      <c r="H2551" s="705">
        <v>643</v>
      </c>
      <c r="I2551" s="705">
        <v>30883</v>
      </c>
      <c r="J2551" s="705">
        <v>28075</v>
      </c>
      <c r="K2551" s="705">
        <v>95</v>
      </c>
      <c r="L2551" s="705">
        <v>4604</v>
      </c>
      <c r="M2551" s="705">
        <v>4051</v>
      </c>
      <c r="N2551" s="705">
        <v>12138</v>
      </c>
      <c r="O2551" s="705">
        <v>4495</v>
      </c>
      <c r="P2551" s="705">
        <v>4347</v>
      </c>
      <c r="Q2551" s="705">
        <v>1610</v>
      </c>
      <c r="R2551" s="705">
        <v>22475</v>
      </c>
      <c r="S2551" s="705">
        <v>20432</v>
      </c>
      <c r="T2551" s="705">
        <v>0</v>
      </c>
      <c r="U2551" s="705">
        <v>0</v>
      </c>
      <c r="V2551" s="705">
        <v>58663</v>
      </c>
      <c r="W2551" s="705">
        <f t="shared" si="100"/>
        <v>58663</v>
      </c>
      <c r="X2551" s="705">
        <f t="shared" si="101"/>
        <v>74447</v>
      </c>
    </row>
    <row r="2552" spans="2:24">
      <c r="B2552" t="s">
        <v>557</v>
      </c>
      <c r="C2552" t="s">
        <v>110</v>
      </c>
      <c r="D2552" t="s">
        <v>584</v>
      </c>
      <c r="E2552" t="s">
        <v>584</v>
      </c>
      <c r="F2552" s="705">
        <v>6</v>
      </c>
      <c r="G2552" s="705">
        <v>843</v>
      </c>
      <c r="H2552" s="705">
        <v>581</v>
      </c>
      <c r="I2552" s="705">
        <v>51638</v>
      </c>
      <c r="J2552" s="705">
        <v>46944</v>
      </c>
      <c r="K2552" s="705">
        <v>92</v>
      </c>
      <c r="L2552" s="705">
        <v>4155</v>
      </c>
      <c r="M2552" s="705">
        <v>3777</v>
      </c>
      <c r="N2552" s="705">
        <v>10452</v>
      </c>
      <c r="O2552" s="705">
        <v>3871</v>
      </c>
      <c r="P2552" s="705">
        <v>3186</v>
      </c>
      <c r="Q2552" s="705">
        <v>1180</v>
      </c>
      <c r="R2552" s="705">
        <v>12150</v>
      </c>
      <c r="S2552" s="705">
        <v>11045</v>
      </c>
      <c r="T2552" s="705">
        <v>0</v>
      </c>
      <c r="U2552" s="705">
        <v>0</v>
      </c>
      <c r="V2552" s="705">
        <v>66817</v>
      </c>
      <c r="W2552" s="705">
        <f t="shared" si="100"/>
        <v>66817</v>
      </c>
      <c r="X2552" s="705">
        <f t="shared" si="101"/>
        <v>81581</v>
      </c>
    </row>
    <row r="2553" spans="2:24">
      <c r="B2553" t="s">
        <v>557</v>
      </c>
      <c r="C2553" t="s">
        <v>112</v>
      </c>
      <c r="D2553" t="s">
        <v>582</v>
      </c>
      <c r="E2553" t="s">
        <v>582</v>
      </c>
      <c r="F2553" s="705">
        <v>9</v>
      </c>
      <c r="G2553" s="705">
        <v>1005</v>
      </c>
      <c r="H2553" s="705">
        <v>1102</v>
      </c>
      <c r="I2553" s="705">
        <v>59130</v>
      </c>
      <c r="J2553" s="705">
        <v>53755</v>
      </c>
      <c r="K2553" s="705">
        <v>89</v>
      </c>
      <c r="L2553" s="705">
        <v>10463</v>
      </c>
      <c r="M2553" s="705">
        <v>9512</v>
      </c>
      <c r="N2553" s="705">
        <v>15229</v>
      </c>
      <c r="O2553" s="705">
        <v>5640</v>
      </c>
      <c r="P2553" s="705">
        <v>8114</v>
      </c>
      <c r="Q2553" s="705">
        <v>3005</v>
      </c>
      <c r="R2553" s="705">
        <v>40263</v>
      </c>
      <c r="S2553" s="705">
        <v>36603</v>
      </c>
      <c r="T2553" s="705">
        <v>0</v>
      </c>
      <c r="U2553" s="705">
        <v>0</v>
      </c>
      <c r="V2553" s="705">
        <v>108515</v>
      </c>
      <c r="W2553" s="705">
        <f t="shared" si="100"/>
        <v>108515</v>
      </c>
      <c r="X2553" s="705">
        <f t="shared" si="101"/>
        <v>133199</v>
      </c>
    </row>
    <row r="2554" spans="2:24">
      <c r="B2554" t="s">
        <v>557</v>
      </c>
      <c r="C2554" t="s">
        <v>112</v>
      </c>
      <c r="D2554" t="s">
        <v>228</v>
      </c>
      <c r="E2554" t="s">
        <v>228</v>
      </c>
      <c r="F2554" s="705">
        <v>3</v>
      </c>
      <c r="G2554" s="705">
        <v>322</v>
      </c>
      <c r="H2554" s="705">
        <v>356</v>
      </c>
      <c r="I2554" s="705">
        <v>19437</v>
      </c>
      <c r="J2554" s="705">
        <v>7199</v>
      </c>
      <c r="K2554" s="705">
        <v>284</v>
      </c>
      <c r="L2554" s="705">
        <v>3191</v>
      </c>
      <c r="M2554" s="705">
        <v>2836</v>
      </c>
      <c r="N2554" s="705">
        <v>4360</v>
      </c>
      <c r="O2554" s="705">
        <v>1615</v>
      </c>
      <c r="P2554" s="705">
        <v>3337</v>
      </c>
      <c r="Q2554" s="705">
        <v>1236</v>
      </c>
      <c r="R2554" s="705">
        <v>11771</v>
      </c>
      <c r="S2554" s="705">
        <v>4360</v>
      </c>
      <c r="T2554" s="705">
        <v>0</v>
      </c>
      <c r="U2554" s="705">
        <v>0</v>
      </c>
      <c r="V2554" s="705">
        <v>17245</v>
      </c>
      <c r="W2554" s="705">
        <f t="shared" si="100"/>
        <v>17246</v>
      </c>
      <c r="X2554" s="705">
        <f t="shared" si="101"/>
        <v>42096</v>
      </c>
    </row>
    <row r="2555" spans="2:24">
      <c r="B2555" t="s">
        <v>557</v>
      </c>
      <c r="C2555" t="s">
        <v>112</v>
      </c>
      <c r="D2555" t="s">
        <v>583</v>
      </c>
      <c r="E2555" t="s">
        <v>583</v>
      </c>
      <c r="F2555" s="705">
        <v>63</v>
      </c>
      <c r="G2555" s="705">
        <v>7364</v>
      </c>
      <c r="H2555" s="705">
        <v>7379</v>
      </c>
      <c r="I2555" s="705">
        <v>391277</v>
      </c>
      <c r="J2555" s="705">
        <v>355707</v>
      </c>
      <c r="K2555" s="705">
        <v>92</v>
      </c>
      <c r="L2555" s="705">
        <v>77633</v>
      </c>
      <c r="M2555" s="705">
        <v>69676</v>
      </c>
      <c r="N2555" s="705">
        <v>129201</v>
      </c>
      <c r="O2555" s="705">
        <v>47852</v>
      </c>
      <c r="P2555" s="705">
        <v>41045</v>
      </c>
      <c r="Q2555" s="705">
        <v>15202</v>
      </c>
      <c r="R2555" s="705">
        <v>237842</v>
      </c>
      <c r="S2555" s="705">
        <v>216220</v>
      </c>
      <c r="T2555" s="705">
        <v>0</v>
      </c>
      <c r="U2555" s="705">
        <v>0</v>
      </c>
      <c r="V2555" s="705">
        <v>704656</v>
      </c>
      <c r="W2555" s="705">
        <f t="shared" si="100"/>
        <v>704657</v>
      </c>
      <c r="X2555" s="705">
        <f t="shared" si="101"/>
        <v>876998</v>
      </c>
    </row>
    <row r="2556" spans="2:24">
      <c r="B2556" t="s">
        <v>557</v>
      </c>
      <c r="C2556" t="s">
        <v>112</v>
      </c>
      <c r="D2556" t="s">
        <v>584</v>
      </c>
      <c r="E2556" t="s">
        <v>584</v>
      </c>
      <c r="F2556" s="705">
        <v>50</v>
      </c>
      <c r="G2556" s="705">
        <v>6219</v>
      </c>
      <c r="H2556" s="705">
        <v>5773</v>
      </c>
      <c r="I2556" s="705">
        <v>314756</v>
      </c>
      <c r="J2556" s="705">
        <v>286142</v>
      </c>
      <c r="K2556" s="705">
        <v>89</v>
      </c>
      <c r="L2556" s="705">
        <v>84564</v>
      </c>
      <c r="M2556" s="705">
        <v>67636</v>
      </c>
      <c r="N2556" s="705">
        <v>100132</v>
      </c>
      <c r="O2556" s="705">
        <v>37086</v>
      </c>
      <c r="P2556" s="705">
        <v>26082</v>
      </c>
      <c r="Q2556" s="705">
        <v>9660</v>
      </c>
      <c r="R2556" s="705">
        <v>200298</v>
      </c>
      <c r="S2556" s="705">
        <v>182089</v>
      </c>
      <c r="T2556" s="705">
        <v>3267</v>
      </c>
      <c r="U2556" s="705">
        <v>1210</v>
      </c>
      <c r="V2556" s="705">
        <v>583823</v>
      </c>
      <c r="W2556" s="705">
        <f t="shared" si="100"/>
        <v>583823</v>
      </c>
      <c r="X2556" s="705">
        <f t="shared" si="101"/>
        <v>729099</v>
      </c>
    </row>
    <row r="2557" spans="2:24">
      <c r="B2557" t="s">
        <v>557</v>
      </c>
      <c r="C2557" t="s">
        <v>114</v>
      </c>
      <c r="D2557" t="s">
        <v>582</v>
      </c>
      <c r="E2557" t="s">
        <v>582</v>
      </c>
      <c r="F2557" s="705">
        <v>42</v>
      </c>
      <c r="G2557" s="705">
        <v>4689</v>
      </c>
      <c r="H2557" s="705">
        <v>6059</v>
      </c>
      <c r="I2557" s="705">
        <v>321416</v>
      </c>
      <c r="J2557" s="705">
        <v>292197</v>
      </c>
      <c r="K2557" s="705">
        <v>84</v>
      </c>
      <c r="L2557" s="705">
        <v>71775</v>
      </c>
      <c r="M2557" s="705">
        <v>62620</v>
      </c>
      <c r="N2557" s="705">
        <v>77836</v>
      </c>
      <c r="O2557" s="705">
        <v>28828</v>
      </c>
      <c r="P2557" s="705">
        <v>20898</v>
      </c>
      <c r="Q2557" s="705">
        <v>7740</v>
      </c>
      <c r="R2557" s="705">
        <v>196847</v>
      </c>
      <c r="S2557" s="705">
        <v>178952</v>
      </c>
      <c r="T2557" s="705">
        <v>8720</v>
      </c>
      <c r="U2557" s="705">
        <v>3230</v>
      </c>
      <c r="V2557" s="705">
        <v>573567</v>
      </c>
      <c r="W2557" s="705">
        <f t="shared" si="100"/>
        <v>573567</v>
      </c>
      <c r="X2557" s="705">
        <f t="shared" si="101"/>
        <v>697492</v>
      </c>
    </row>
    <row r="2558" spans="2:24">
      <c r="B2558" t="s">
        <v>557</v>
      </c>
      <c r="C2558" t="s">
        <v>114</v>
      </c>
      <c r="D2558" t="s">
        <v>228</v>
      </c>
      <c r="E2558" t="s">
        <v>228</v>
      </c>
      <c r="F2558" s="705">
        <v>9</v>
      </c>
      <c r="G2558" s="705">
        <v>1177</v>
      </c>
      <c r="H2558" s="705">
        <v>1252</v>
      </c>
      <c r="I2558" s="705">
        <v>60942</v>
      </c>
      <c r="J2558" s="705">
        <v>22571</v>
      </c>
      <c r="K2558" s="705">
        <v>262</v>
      </c>
      <c r="L2558" s="705">
        <v>13874</v>
      </c>
      <c r="M2558" s="705">
        <v>12613</v>
      </c>
      <c r="N2558" s="705">
        <v>20796</v>
      </c>
      <c r="O2558" s="705">
        <v>7702</v>
      </c>
      <c r="P2558" s="705">
        <v>15624</v>
      </c>
      <c r="Q2558" s="705">
        <v>5787</v>
      </c>
      <c r="R2558" s="705">
        <v>58492</v>
      </c>
      <c r="S2558" s="705">
        <v>21664</v>
      </c>
      <c r="T2558" s="705">
        <v>0</v>
      </c>
      <c r="U2558" s="705">
        <v>0</v>
      </c>
      <c r="V2558" s="705">
        <v>70336</v>
      </c>
      <c r="W2558" s="705">
        <f t="shared" si="100"/>
        <v>70337</v>
      </c>
      <c r="X2558" s="705">
        <f t="shared" si="101"/>
        <v>169728</v>
      </c>
    </row>
    <row r="2559" spans="2:24">
      <c r="B2559" t="s">
        <v>557</v>
      </c>
      <c r="C2559" t="s">
        <v>114</v>
      </c>
      <c r="D2559" t="s">
        <v>583</v>
      </c>
      <c r="E2559" t="s">
        <v>583</v>
      </c>
      <c r="F2559" s="705">
        <v>268</v>
      </c>
      <c r="G2559" s="705">
        <v>29168</v>
      </c>
      <c r="H2559" s="705">
        <v>38114</v>
      </c>
      <c r="I2559" s="705">
        <v>1884423</v>
      </c>
      <c r="J2559" s="705">
        <v>1713112</v>
      </c>
      <c r="K2559" s="705">
        <v>91</v>
      </c>
      <c r="L2559" s="705">
        <v>476788</v>
      </c>
      <c r="M2559" s="705">
        <v>420930</v>
      </c>
      <c r="N2559" s="705">
        <v>512440</v>
      </c>
      <c r="O2559" s="705">
        <v>189792</v>
      </c>
      <c r="P2559" s="705">
        <v>166999</v>
      </c>
      <c r="Q2559" s="705">
        <v>61852</v>
      </c>
      <c r="R2559" s="705">
        <v>1109074</v>
      </c>
      <c r="S2559" s="705">
        <v>1008249</v>
      </c>
      <c r="T2559" s="705">
        <v>30062</v>
      </c>
      <c r="U2559" s="705">
        <v>11134</v>
      </c>
      <c r="V2559" s="705">
        <v>3405069</v>
      </c>
      <c r="W2559" s="705">
        <f t="shared" si="100"/>
        <v>3405069</v>
      </c>
      <c r="X2559" s="705">
        <f t="shared" si="101"/>
        <v>4179786</v>
      </c>
    </row>
    <row r="2560" spans="2:24">
      <c r="B2560" t="s">
        <v>557</v>
      </c>
      <c r="C2560" t="s">
        <v>114</v>
      </c>
      <c r="D2560" t="s">
        <v>584</v>
      </c>
      <c r="E2560" t="s">
        <v>584</v>
      </c>
      <c r="F2560" s="705">
        <v>232</v>
      </c>
      <c r="G2560" s="705">
        <v>25840</v>
      </c>
      <c r="H2560" s="705">
        <v>32620</v>
      </c>
      <c r="I2560" s="705">
        <v>1601495</v>
      </c>
      <c r="J2560" s="705">
        <v>1455905</v>
      </c>
      <c r="K2560" s="705">
        <v>86</v>
      </c>
      <c r="L2560" s="705">
        <v>429045</v>
      </c>
      <c r="M2560" s="705">
        <v>361130</v>
      </c>
      <c r="N2560" s="705">
        <v>463452</v>
      </c>
      <c r="O2560" s="705">
        <v>171649</v>
      </c>
      <c r="P2560" s="705">
        <v>112229</v>
      </c>
      <c r="Q2560" s="705">
        <v>41566</v>
      </c>
      <c r="R2560" s="705">
        <v>1022790</v>
      </c>
      <c r="S2560" s="705">
        <v>929809</v>
      </c>
      <c r="T2560" s="705">
        <v>45719</v>
      </c>
      <c r="U2560" s="705">
        <v>16933</v>
      </c>
      <c r="V2560" s="705">
        <v>2976993</v>
      </c>
      <c r="W2560" s="705">
        <f t="shared" si="100"/>
        <v>2976992</v>
      </c>
      <c r="X2560" s="705">
        <f t="shared" si="101"/>
        <v>3674730</v>
      </c>
    </row>
    <row r="2561" spans="2:24">
      <c r="B2561" t="s">
        <v>557</v>
      </c>
      <c r="C2561" t="s">
        <v>114</v>
      </c>
      <c r="D2561" t="s">
        <v>665</v>
      </c>
      <c r="E2561" t="s">
        <v>665</v>
      </c>
      <c r="F2561" s="705">
        <v>2</v>
      </c>
      <c r="G2561" s="705">
        <v>169</v>
      </c>
      <c r="H2561" s="705">
        <v>280</v>
      </c>
      <c r="I2561" s="705">
        <v>12969</v>
      </c>
      <c r="J2561" s="705">
        <v>11790</v>
      </c>
      <c r="K2561" s="705">
        <v>78</v>
      </c>
      <c r="L2561" s="705">
        <v>0</v>
      </c>
      <c r="M2561" s="705">
        <v>0</v>
      </c>
      <c r="N2561" s="705">
        <v>2060</v>
      </c>
      <c r="O2561" s="705">
        <v>763</v>
      </c>
      <c r="P2561" s="705">
        <v>702</v>
      </c>
      <c r="Q2561" s="705">
        <v>260</v>
      </c>
      <c r="R2561" s="705">
        <v>5097</v>
      </c>
      <c r="S2561" s="705">
        <v>4633</v>
      </c>
      <c r="T2561" s="705">
        <v>2842</v>
      </c>
      <c r="U2561" s="705">
        <v>1053</v>
      </c>
      <c r="V2561" s="705">
        <v>18499</v>
      </c>
      <c r="W2561" s="705">
        <f t="shared" si="100"/>
        <v>18499</v>
      </c>
      <c r="X2561" s="705">
        <f t="shared" si="101"/>
        <v>23670</v>
      </c>
    </row>
    <row r="2562" spans="2:24">
      <c r="B2562" t="s">
        <v>557</v>
      </c>
      <c r="C2562" t="s">
        <v>114</v>
      </c>
      <c r="D2562" t="s">
        <v>585</v>
      </c>
      <c r="E2562" t="s">
        <v>585</v>
      </c>
      <c r="F2562" s="705">
        <v>1</v>
      </c>
      <c r="G2562" s="705">
        <v>189</v>
      </c>
      <c r="H2562" s="705">
        <v>129</v>
      </c>
      <c r="I2562" s="705">
        <v>15062</v>
      </c>
      <c r="J2562" s="705">
        <v>13693</v>
      </c>
      <c r="K2562" s="705">
        <v>79</v>
      </c>
      <c r="L2562" s="705">
        <v>0</v>
      </c>
      <c r="M2562" s="705">
        <v>0</v>
      </c>
      <c r="N2562" s="705">
        <v>2307</v>
      </c>
      <c r="O2562" s="705">
        <v>855</v>
      </c>
      <c r="P2562" s="705">
        <v>351</v>
      </c>
      <c r="Q2562" s="705">
        <v>130</v>
      </c>
      <c r="R2562" s="705">
        <v>6643</v>
      </c>
      <c r="S2562" s="705">
        <v>6039</v>
      </c>
      <c r="T2562" s="705">
        <v>0</v>
      </c>
      <c r="U2562" s="705">
        <v>0</v>
      </c>
      <c r="V2562" s="705">
        <v>20717</v>
      </c>
      <c r="W2562" s="705">
        <f t="shared" si="100"/>
        <v>20717</v>
      </c>
      <c r="X2562" s="705">
        <f t="shared" si="101"/>
        <v>24363</v>
      </c>
    </row>
    <row r="2563" spans="2:24">
      <c r="B2563" t="s">
        <v>557</v>
      </c>
      <c r="C2563" t="s">
        <v>116</v>
      </c>
      <c r="F2563" s="705">
        <v>3</v>
      </c>
      <c r="G2563" s="705">
        <v>261</v>
      </c>
      <c r="H2563" s="705">
        <v>527</v>
      </c>
      <c r="I2563" s="705"/>
      <c r="J2563" s="705">
        <v>0</v>
      </c>
      <c r="K2563" s="705"/>
      <c r="L2563" s="705"/>
      <c r="M2563" s="705">
        <v>0</v>
      </c>
      <c r="N2563" s="705">
        <v>6017</v>
      </c>
      <c r="O2563" s="705">
        <v>2228</v>
      </c>
      <c r="P2563" s="705">
        <v>621</v>
      </c>
      <c r="Q2563" s="705">
        <v>230</v>
      </c>
      <c r="R2563" s="705"/>
      <c r="S2563" s="705">
        <v>0</v>
      </c>
      <c r="T2563" s="705">
        <v>0</v>
      </c>
      <c r="U2563" s="705">
        <v>0</v>
      </c>
      <c r="V2563" s="705">
        <v>2458</v>
      </c>
      <c r="W2563" s="705">
        <f t="shared" si="100"/>
        <v>2458</v>
      </c>
      <c r="X2563" s="705">
        <f t="shared" si="101"/>
        <v>6638</v>
      </c>
    </row>
    <row r="2564" spans="2:24">
      <c r="B2564" t="s">
        <v>557</v>
      </c>
      <c r="C2564" t="s">
        <v>116</v>
      </c>
      <c r="D2564" t="s">
        <v>664</v>
      </c>
      <c r="E2564" t="s">
        <v>664</v>
      </c>
      <c r="F2564" s="705">
        <v>4</v>
      </c>
      <c r="G2564" s="705">
        <v>430</v>
      </c>
      <c r="H2564" s="705">
        <v>697</v>
      </c>
      <c r="I2564" s="705">
        <v>32874</v>
      </c>
      <c r="J2564" s="705">
        <v>29885</v>
      </c>
      <c r="K2564" s="705">
        <v>86</v>
      </c>
      <c r="L2564" s="705">
        <v>9217</v>
      </c>
      <c r="M2564" s="705">
        <v>8379</v>
      </c>
      <c r="N2564" s="705">
        <v>8335</v>
      </c>
      <c r="O2564" s="705">
        <v>3087</v>
      </c>
      <c r="P2564" s="705">
        <v>1890</v>
      </c>
      <c r="Q2564" s="705">
        <v>700</v>
      </c>
      <c r="R2564" s="705">
        <v>17969</v>
      </c>
      <c r="S2564" s="705">
        <v>16335</v>
      </c>
      <c r="T2564" s="705">
        <v>2932</v>
      </c>
      <c r="U2564" s="705">
        <v>1086</v>
      </c>
      <c r="V2564" s="705">
        <v>59473</v>
      </c>
      <c r="W2564" s="705">
        <f t="shared" si="100"/>
        <v>59472</v>
      </c>
      <c r="X2564" s="705">
        <f t="shared" si="101"/>
        <v>73217</v>
      </c>
    </row>
    <row r="2565" spans="2:24">
      <c r="B2565" t="s">
        <v>557</v>
      </c>
      <c r="C2565" t="s">
        <v>116</v>
      </c>
      <c r="D2565" t="s">
        <v>664</v>
      </c>
      <c r="E2565" t="s">
        <v>582</v>
      </c>
      <c r="F2565" s="705">
        <v>1</v>
      </c>
      <c r="G2565" s="705">
        <v>99</v>
      </c>
      <c r="H2565" s="705">
        <v>205</v>
      </c>
      <c r="I2565" s="705">
        <v>8638</v>
      </c>
      <c r="J2565" s="705">
        <v>7852</v>
      </c>
      <c r="K2565" s="705">
        <v>73</v>
      </c>
      <c r="L2565" s="705">
        <v>2220</v>
      </c>
      <c r="M2565" s="705">
        <v>2018</v>
      </c>
      <c r="N2565" s="705">
        <v>2405</v>
      </c>
      <c r="O2565" s="705">
        <v>891</v>
      </c>
      <c r="P2565" s="705">
        <v>473</v>
      </c>
      <c r="Q2565" s="705">
        <v>175</v>
      </c>
      <c r="R2565" s="705">
        <v>6465</v>
      </c>
      <c r="S2565" s="705">
        <v>5877</v>
      </c>
      <c r="T2565" s="705">
        <v>0</v>
      </c>
      <c r="U2565" s="705">
        <v>0</v>
      </c>
      <c r="V2565" s="705">
        <v>16813</v>
      </c>
      <c r="W2565" s="705">
        <f t="shared" si="100"/>
        <v>16813</v>
      </c>
      <c r="X2565" s="705">
        <f t="shared" si="101"/>
        <v>20201</v>
      </c>
    </row>
    <row r="2566" spans="2:24">
      <c r="B2566" t="s">
        <v>557</v>
      </c>
      <c r="C2566" t="s">
        <v>116</v>
      </c>
      <c r="D2566" t="s">
        <v>664</v>
      </c>
      <c r="E2566" t="s">
        <v>583</v>
      </c>
      <c r="F2566" s="705">
        <v>1</v>
      </c>
      <c r="G2566" s="705">
        <v>99</v>
      </c>
      <c r="H2566" s="705">
        <v>196</v>
      </c>
      <c r="I2566" s="705">
        <v>8523</v>
      </c>
      <c r="J2566" s="705">
        <v>7748</v>
      </c>
      <c r="K2566" s="705">
        <v>86</v>
      </c>
      <c r="L2566" s="705">
        <v>2563</v>
      </c>
      <c r="M2566" s="705">
        <v>2330</v>
      </c>
      <c r="N2566" s="705">
        <v>2420</v>
      </c>
      <c r="O2566" s="705">
        <v>896</v>
      </c>
      <c r="P2566" s="705">
        <v>621</v>
      </c>
      <c r="Q2566" s="705">
        <v>230</v>
      </c>
      <c r="R2566" s="705">
        <v>5328</v>
      </c>
      <c r="S2566" s="705">
        <v>4844</v>
      </c>
      <c r="T2566" s="705">
        <v>0</v>
      </c>
      <c r="U2566" s="705">
        <v>0</v>
      </c>
      <c r="V2566" s="705">
        <v>16049</v>
      </c>
      <c r="W2566" s="705">
        <f t="shared" si="100"/>
        <v>16048</v>
      </c>
      <c r="X2566" s="705">
        <f t="shared" si="101"/>
        <v>19455</v>
      </c>
    </row>
    <row r="2567" spans="2:24">
      <c r="B2567" t="s">
        <v>557</v>
      </c>
      <c r="C2567" t="s">
        <v>116</v>
      </c>
      <c r="D2567" t="s">
        <v>582</v>
      </c>
      <c r="E2567" t="s">
        <v>664</v>
      </c>
      <c r="F2567" s="705">
        <v>2</v>
      </c>
      <c r="G2567" s="705">
        <v>211</v>
      </c>
      <c r="H2567" s="705">
        <v>364</v>
      </c>
      <c r="I2567" s="705">
        <v>16045</v>
      </c>
      <c r="J2567" s="705">
        <v>14587</v>
      </c>
      <c r="K2567" s="705">
        <v>78</v>
      </c>
      <c r="L2567" s="705">
        <v>2835</v>
      </c>
      <c r="M2567" s="705">
        <v>2578</v>
      </c>
      <c r="N2567" s="705">
        <v>3201</v>
      </c>
      <c r="O2567" s="705">
        <v>1186</v>
      </c>
      <c r="P2567" s="705">
        <v>945</v>
      </c>
      <c r="Q2567" s="705">
        <v>350</v>
      </c>
      <c r="R2567" s="705">
        <v>10492</v>
      </c>
      <c r="S2567" s="705">
        <v>9539</v>
      </c>
      <c r="T2567" s="705">
        <v>3204</v>
      </c>
      <c r="U2567" s="705">
        <v>1187</v>
      </c>
      <c r="V2567" s="705">
        <v>29425</v>
      </c>
      <c r="W2567" s="705">
        <f t="shared" si="100"/>
        <v>29427</v>
      </c>
      <c r="X2567" s="705">
        <f t="shared" si="101"/>
        <v>36722</v>
      </c>
    </row>
    <row r="2568" spans="2:24">
      <c r="B2568" t="s">
        <v>557</v>
      </c>
      <c r="C2568" t="s">
        <v>116</v>
      </c>
      <c r="D2568" t="s">
        <v>582</v>
      </c>
      <c r="E2568" t="s">
        <v>582</v>
      </c>
      <c r="F2568" s="705">
        <v>184</v>
      </c>
      <c r="G2568" s="705">
        <v>20326</v>
      </c>
      <c r="H2568" s="705">
        <v>34409</v>
      </c>
      <c r="I2568" s="705">
        <v>1821933</v>
      </c>
      <c r="J2568" s="705">
        <v>1656302</v>
      </c>
      <c r="K2568" s="705">
        <v>80</v>
      </c>
      <c r="L2568" s="705">
        <v>475446</v>
      </c>
      <c r="M2568" s="705">
        <v>652749</v>
      </c>
      <c r="N2568" s="705">
        <v>387639</v>
      </c>
      <c r="O2568" s="705">
        <v>143570</v>
      </c>
      <c r="P2568" s="705">
        <v>88506</v>
      </c>
      <c r="Q2568" s="705">
        <v>32780</v>
      </c>
      <c r="R2568" s="705">
        <v>901864</v>
      </c>
      <c r="S2568" s="705">
        <v>819876</v>
      </c>
      <c r="T2568" s="705">
        <v>159921</v>
      </c>
      <c r="U2568" s="705">
        <v>59230</v>
      </c>
      <c r="V2568" s="705">
        <v>3364508</v>
      </c>
      <c r="W2568" s="705">
        <f t="shared" si="100"/>
        <v>3364507</v>
      </c>
      <c r="X2568" s="705">
        <f t="shared" si="101"/>
        <v>3835309</v>
      </c>
    </row>
    <row r="2569" spans="2:24">
      <c r="B2569" t="s">
        <v>557</v>
      </c>
      <c r="C2569" t="s">
        <v>116</v>
      </c>
      <c r="D2569" t="s">
        <v>582</v>
      </c>
      <c r="E2569" t="s">
        <v>584</v>
      </c>
      <c r="F2569" s="705">
        <v>1</v>
      </c>
      <c r="G2569" s="705">
        <v>91</v>
      </c>
      <c r="H2569" s="705">
        <v>186</v>
      </c>
      <c r="I2569" s="705">
        <v>7509</v>
      </c>
      <c r="J2569" s="705">
        <v>6827</v>
      </c>
      <c r="K2569" s="705">
        <v>78</v>
      </c>
      <c r="L2569" s="705">
        <v>1035</v>
      </c>
      <c r="M2569" s="705">
        <v>941</v>
      </c>
      <c r="N2569" s="705">
        <v>2090</v>
      </c>
      <c r="O2569" s="705">
        <v>774</v>
      </c>
      <c r="P2569" s="705">
        <v>473</v>
      </c>
      <c r="Q2569" s="705">
        <v>175</v>
      </c>
      <c r="R2569" s="705">
        <v>3320</v>
      </c>
      <c r="S2569" s="705">
        <v>3018</v>
      </c>
      <c r="T2569" s="705">
        <v>2442</v>
      </c>
      <c r="U2569" s="705">
        <v>904</v>
      </c>
      <c r="V2569" s="705">
        <v>12638</v>
      </c>
      <c r="W2569" s="705">
        <f t="shared" si="100"/>
        <v>12639</v>
      </c>
      <c r="X2569" s="705">
        <f t="shared" si="101"/>
        <v>16869</v>
      </c>
    </row>
    <row r="2570" spans="2:24">
      <c r="B2570" t="s">
        <v>557</v>
      </c>
      <c r="C2570" t="s">
        <v>116</v>
      </c>
      <c r="D2570" t="s">
        <v>228</v>
      </c>
      <c r="E2570" t="s">
        <v>228</v>
      </c>
      <c r="F2570" s="705">
        <v>42</v>
      </c>
      <c r="G2570" s="705">
        <v>4436</v>
      </c>
      <c r="H2570" s="705">
        <v>7856</v>
      </c>
      <c r="I2570" s="705">
        <v>357830</v>
      </c>
      <c r="J2570" s="705">
        <v>132530</v>
      </c>
      <c r="K2570" s="705">
        <v>168</v>
      </c>
      <c r="L2570" s="705">
        <v>67181</v>
      </c>
      <c r="M2570" s="705">
        <v>45581</v>
      </c>
      <c r="N2570" s="705">
        <v>87013</v>
      </c>
      <c r="O2570" s="705">
        <v>32227</v>
      </c>
      <c r="P2570" s="705">
        <v>17042</v>
      </c>
      <c r="Q2570" s="705">
        <v>6312</v>
      </c>
      <c r="R2570" s="705">
        <v>289640</v>
      </c>
      <c r="S2570" s="705">
        <v>107274</v>
      </c>
      <c r="T2570" s="705">
        <v>0</v>
      </c>
      <c r="U2570" s="705">
        <v>0</v>
      </c>
      <c r="V2570" s="705">
        <v>323924</v>
      </c>
      <c r="W2570" s="705">
        <f t="shared" si="100"/>
        <v>323924</v>
      </c>
      <c r="X2570" s="705">
        <f t="shared" si="101"/>
        <v>818706</v>
      </c>
    </row>
    <row r="2571" spans="2:24">
      <c r="B2571" t="s">
        <v>557</v>
      </c>
      <c r="C2571" t="s">
        <v>116</v>
      </c>
      <c r="D2571" t="s">
        <v>583</v>
      </c>
      <c r="E2571" t="s">
        <v>664</v>
      </c>
      <c r="F2571" s="705">
        <v>1</v>
      </c>
      <c r="G2571" s="705">
        <v>106</v>
      </c>
      <c r="H2571" s="705">
        <v>194</v>
      </c>
      <c r="I2571" s="705">
        <v>10122</v>
      </c>
      <c r="J2571" s="705">
        <v>9201</v>
      </c>
      <c r="K2571" s="705">
        <v>85</v>
      </c>
      <c r="L2571" s="705">
        <v>3186</v>
      </c>
      <c r="M2571" s="705">
        <v>2897</v>
      </c>
      <c r="N2571" s="705">
        <v>2589</v>
      </c>
      <c r="O2571" s="705">
        <v>959</v>
      </c>
      <c r="P2571" s="705">
        <v>621</v>
      </c>
      <c r="Q2571" s="705">
        <v>230</v>
      </c>
      <c r="R2571" s="705">
        <v>4106</v>
      </c>
      <c r="S2571" s="705">
        <v>3733</v>
      </c>
      <c r="T2571" s="705">
        <v>0</v>
      </c>
      <c r="U2571" s="705">
        <v>0</v>
      </c>
      <c r="V2571" s="705">
        <v>17020</v>
      </c>
      <c r="W2571" s="705">
        <f t="shared" si="100"/>
        <v>17020</v>
      </c>
      <c r="X2571" s="705">
        <f t="shared" si="101"/>
        <v>20624</v>
      </c>
    </row>
    <row r="2572" spans="2:24">
      <c r="B2572" t="s">
        <v>557</v>
      </c>
      <c r="C2572" t="s">
        <v>116</v>
      </c>
      <c r="D2572" t="s">
        <v>583</v>
      </c>
      <c r="E2572" t="s">
        <v>228</v>
      </c>
      <c r="F2572" s="705">
        <v>2</v>
      </c>
      <c r="G2572" s="705">
        <v>191</v>
      </c>
      <c r="H2572" s="705">
        <v>414</v>
      </c>
      <c r="I2572" s="705">
        <v>23111</v>
      </c>
      <c r="J2572" s="705">
        <v>21010</v>
      </c>
      <c r="K2572" s="705">
        <v>90</v>
      </c>
      <c r="L2572" s="705">
        <v>3688</v>
      </c>
      <c r="M2572" s="705">
        <v>3262</v>
      </c>
      <c r="N2572" s="705">
        <v>2923</v>
      </c>
      <c r="O2572" s="705">
        <v>1082</v>
      </c>
      <c r="P2572" s="705">
        <v>1242</v>
      </c>
      <c r="Q2572" s="705">
        <v>460</v>
      </c>
      <c r="R2572" s="705">
        <v>8657</v>
      </c>
      <c r="S2572" s="705">
        <v>3206</v>
      </c>
      <c r="T2572" s="705">
        <v>0</v>
      </c>
      <c r="U2572" s="705">
        <v>0</v>
      </c>
      <c r="V2572" s="705">
        <v>29020</v>
      </c>
      <c r="W2572" s="705">
        <f t="shared" si="100"/>
        <v>29020</v>
      </c>
      <c r="X2572" s="705">
        <f t="shared" si="101"/>
        <v>39621</v>
      </c>
    </row>
    <row r="2573" spans="2:24">
      <c r="B2573" t="s">
        <v>557</v>
      </c>
      <c r="C2573" t="s">
        <v>116</v>
      </c>
      <c r="D2573" t="s">
        <v>583</v>
      </c>
      <c r="E2573" t="s">
        <v>583</v>
      </c>
      <c r="F2573" s="705">
        <v>1627</v>
      </c>
      <c r="G2573" s="705">
        <v>180385</v>
      </c>
      <c r="H2573" s="705">
        <v>315194</v>
      </c>
      <c r="I2573" s="705">
        <v>16987751</v>
      </c>
      <c r="J2573" s="705">
        <v>15443410</v>
      </c>
      <c r="K2573" s="705">
        <v>85</v>
      </c>
      <c r="L2573" s="705">
        <v>4249713</v>
      </c>
      <c r="M2573" s="705">
        <v>3694154</v>
      </c>
      <c r="N2573" s="705">
        <v>3414245</v>
      </c>
      <c r="O2573" s="705">
        <v>1264535</v>
      </c>
      <c r="P2573" s="705">
        <v>1041126</v>
      </c>
      <c r="Q2573" s="705">
        <v>385602</v>
      </c>
      <c r="R2573" s="705">
        <v>7692269</v>
      </c>
      <c r="S2573" s="705">
        <v>6992971</v>
      </c>
      <c r="T2573" s="705">
        <v>1686309</v>
      </c>
      <c r="U2573" s="705">
        <v>624559</v>
      </c>
      <c r="V2573" s="705">
        <v>28405232</v>
      </c>
      <c r="W2573" s="705">
        <f t="shared" si="100"/>
        <v>28405231</v>
      </c>
      <c r="X2573" s="705">
        <f t="shared" si="101"/>
        <v>35071413</v>
      </c>
    </row>
    <row r="2574" spans="2:24">
      <c r="B2574" t="s">
        <v>557</v>
      </c>
      <c r="C2574" t="s">
        <v>116</v>
      </c>
      <c r="D2574" t="s">
        <v>583</v>
      </c>
      <c r="E2574" t="s">
        <v>666</v>
      </c>
      <c r="F2574" s="705">
        <v>1</v>
      </c>
      <c r="G2574" s="705">
        <v>115</v>
      </c>
      <c r="H2574" s="705">
        <v>184</v>
      </c>
      <c r="I2574" s="705">
        <v>8591</v>
      </c>
      <c r="J2574" s="705">
        <v>7810</v>
      </c>
      <c r="K2574" s="705">
        <v>94</v>
      </c>
      <c r="L2574" s="705">
        <v>3089</v>
      </c>
      <c r="M2574" s="705">
        <v>2574</v>
      </c>
      <c r="N2574" s="705">
        <v>1976</v>
      </c>
      <c r="O2574" s="705">
        <v>732</v>
      </c>
      <c r="P2574" s="705">
        <v>621</v>
      </c>
      <c r="Q2574" s="705">
        <v>230</v>
      </c>
      <c r="R2574" s="705">
        <v>3854</v>
      </c>
      <c r="S2574" s="705">
        <v>3503</v>
      </c>
      <c r="T2574" s="705">
        <v>3060</v>
      </c>
      <c r="U2574" s="705">
        <v>1133</v>
      </c>
      <c r="V2574" s="705">
        <v>15983</v>
      </c>
      <c r="W2574" s="705">
        <f t="shared" si="100"/>
        <v>15982</v>
      </c>
      <c r="X2574" s="705">
        <f t="shared" si="101"/>
        <v>21191</v>
      </c>
    </row>
    <row r="2575" spans="2:24">
      <c r="B2575" t="s">
        <v>557</v>
      </c>
      <c r="C2575" t="s">
        <v>116</v>
      </c>
      <c r="D2575" t="s">
        <v>583</v>
      </c>
      <c r="E2575" t="s">
        <v>584</v>
      </c>
      <c r="F2575" s="705">
        <v>1</v>
      </c>
      <c r="G2575" s="705">
        <v>131</v>
      </c>
      <c r="H2575" s="705">
        <v>193</v>
      </c>
      <c r="I2575" s="705">
        <v>12466</v>
      </c>
      <c r="J2575" s="705">
        <v>11333</v>
      </c>
      <c r="K2575" s="705">
        <v>79</v>
      </c>
      <c r="L2575" s="705">
        <v>3647</v>
      </c>
      <c r="M2575" s="705">
        <v>3316</v>
      </c>
      <c r="N2575" s="705">
        <v>1919</v>
      </c>
      <c r="O2575" s="705">
        <v>711</v>
      </c>
      <c r="P2575" s="705">
        <v>621</v>
      </c>
      <c r="Q2575" s="705">
        <v>230</v>
      </c>
      <c r="R2575" s="705">
        <v>3696</v>
      </c>
      <c r="S2575" s="705">
        <v>3360</v>
      </c>
      <c r="T2575" s="705">
        <v>2987</v>
      </c>
      <c r="U2575" s="705">
        <v>1106</v>
      </c>
      <c r="V2575" s="705">
        <v>20056</v>
      </c>
      <c r="W2575" s="705">
        <f t="shared" si="100"/>
        <v>20056</v>
      </c>
      <c r="X2575" s="705">
        <f t="shared" si="101"/>
        <v>25336</v>
      </c>
    </row>
    <row r="2576" spans="2:24">
      <c r="B2576" t="s">
        <v>557</v>
      </c>
      <c r="C2576" t="s">
        <v>116</v>
      </c>
      <c r="D2576" t="s">
        <v>583</v>
      </c>
      <c r="E2576" t="s">
        <v>665</v>
      </c>
      <c r="F2576" s="705">
        <v>1</v>
      </c>
      <c r="G2576" s="705">
        <v>160</v>
      </c>
      <c r="H2576" s="705">
        <v>183</v>
      </c>
      <c r="I2576" s="705">
        <v>14762</v>
      </c>
      <c r="J2576" s="705">
        <v>13420</v>
      </c>
      <c r="K2576" s="705">
        <v>83</v>
      </c>
      <c r="L2576" s="705">
        <v>4319</v>
      </c>
      <c r="M2576" s="705">
        <v>3927</v>
      </c>
      <c r="N2576" s="705">
        <v>2924</v>
      </c>
      <c r="O2576" s="705">
        <v>1083</v>
      </c>
      <c r="P2576" s="705">
        <v>621</v>
      </c>
      <c r="Q2576" s="705">
        <v>230</v>
      </c>
      <c r="R2576" s="705">
        <v>6583</v>
      </c>
      <c r="S2576" s="705">
        <v>5984</v>
      </c>
      <c r="T2576" s="705">
        <v>0</v>
      </c>
      <c r="U2576" s="705">
        <v>0</v>
      </c>
      <c r="V2576" s="705">
        <v>24644</v>
      </c>
      <c r="W2576" s="705">
        <f t="shared" si="100"/>
        <v>24644</v>
      </c>
      <c r="X2576" s="705">
        <f t="shared" si="101"/>
        <v>29209</v>
      </c>
    </row>
    <row r="2577" spans="2:24">
      <c r="B2577" t="s">
        <v>557</v>
      </c>
      <c r="C2577" t="s">
        <v>116</v>
      </c>
      <c r="D2577" t="s">
        <v>583</v>
      </c>
      <c r="E2577" t="s">
        <v>668</v>
      </c>
      <c r="F2577" s="705">
        <v>1</v>
      </c>
      <c r="G2577" s="705">
        <v>96</v>
      </c>
      <c r="H2577" s="705">
        <v>162</v>
      </c>
      <c r="I2577" s="705">
        <v>7262</v>
      </c>
      <c r="J2577" s="705">
        <v>6602</v>
      </c>
      <c r="K2577" s="705">
        <v>85</v>
      </c>
      <c r="L2577" s="705">
        <v>1085</v>
      </c>
      <c r="M2577" s="705">
        <v>987</v>
      </c>
      <c r="N2577" s="705">
        <v>1290</v>
      </c>
      <c r="O2577" s="705">
        <v>478</v>
      </c>
      <c r="P2577" s="705">
        <v>621</v>
      </c>
      <c r="Q2577" s="705">
        <v>230</v>
      </c>
      <c r="R2577" s="705">
        <v>5300</v>
      </c>
      <c r="S2577" s="705">
        <v>4818</v>
      </c>
      <c r="T2577" s="705">
        <v>0</v>
      </c>
      <c r="U2577" s="705">
        <v>0</v>
      </c>
      <c r="V2577" s="705">
        <v>13115</v>
      </c>
      <c r="W2577" s="705">
        <f t="shared" si="100"/>
        <v>13115</v>
      </c>
      <c r="X2577" s="705">
        <f t="shared" si="101"/>
        <v>15558</v>
      </c>
    </row>
    <row r="2578" spans="2:24">
      <c r="B2578" t="s">
        <v>557</v>
      </c>
      <c r="C2578" t="s">
        <v>116</v>
      </c>
      <c r="D2578" t="s">
        <v>666</v>
      </c>
      <c r="E2578" t="s">
        <v>666</v>
      </c>
      <c r="F2578" s="705">
        <v>1</v>
      </c>
      <c r="G2578" s="705">
        <v>84</v>
      </c>
      <c r="H2578" s="705">
        <v>215</v>
      </c>
      <c r="I2578" s="705">
        <v>9201</v>
      </c>
      <c r="J2578" s="705">
        <v>8365</v>
      </c>
      <c r="K2578" s="705">
        <v>79</v>
      </c>
      <c r="L2578" s="705">
        <v>1394</v>
      </c>
      <c r="M2578" s="705">
        <v>1267</v>
      </c>
      <c r="N2578" s="705">
        <v>2037</v>
      </c>
      <c r="O2578" s="705">
        <v>754</v>
      </c>
      <c r="P2578" s="705">
        <v>621</v>
      </c>
      <c r="Q2578" s="705">
        <v>230</v>
      </c>
      <c r="R2578" s="705">
        <v>4756</v>
      </c>
      <c r="S2578" s="705">
        <v>4323</v>
      </c>
      <c r="T2578" s="705">
        <v>0</v>
      </c>
      <c r="U2578" s="705">
        <v>0</v>
      </c>
      <c r="V2578" s="705">
        <v>14940</v>
      </c>
      <c r="W2578" s="705">
        <f t="shared" si="100"/>
        <v>14939</v>
      </c>
      <c r="X2578" s="705">
        <f t="shared" si="101"/>
        <v>18009</v>
      </c>
    </row>
    <row r="2579" spans="2:24">
      <c r="B2579" t="s">
        <v>557</v>
      </c>
      <c r="C2579" t="s">
        <v>116</v>
      </c>
      <c r="D2579" t="s">
        <v>584</v>
      </c>
      <c r="E2579" t="s">
        <v>228</v>
      </c>
      <c r="F2579" s="705">
        <v>2</v>
      </c>
      <c r="G2579" s="705">
        <v>266</v>
      </c>
      <c r="H2579" s="705">
        <v>317</v>
      </c>
      <c r="I2579" s="705">
        <v>21351</v>
      </c>
      <c r="J2579" s="705">
        <v>19410</v>
      </c>
      <c r="K2579" s="705">
        <v>164</v>
      </c>
      <c r="L2579" s="705">
        <v>4582</v>
      </c>
      <c r="M2579" s="705">
        <v>4166</v>
      </c>
      <c r="N2579" s="705">
        <v>5542</v>
      </c>
      <c r="O2579" s="705">
        <v>2052</v>
      </c>
      <c r="P2579" s="705">
        <v>824</v>
      </c>
      <c r="Q2579" s="705">
        <v>305</v>
      </c>
      <c r="R2579" s="705">
        <v>10194</v>
      </c>
      <c r="S2579" s="705">
        <v>3776</v>
      </c>
      <c r="T2579" s="705">
        <v>0</v>
      </c>
      <c r="U2579" s="705">
        <v>0</v>
      </c>
      <c r="V2579" s="705">
        <v>29709</v>
      </c>
      <c r="W2579" s="705">
        <f t="shared" si="100"/>
        <v>29709</v>
      </c>
      <c r="X2579" s="705">
        <f t="shared" si="101"/>
        <v>42493</v>
      </c>
    </row>
    <row r="2580" spans="2:24">
      <c r="B2580" t="s">
        <v>557</v>
      </c>
      <c r="C2580" t="s">
        <v>116</v>
      </c>
      <c r="D2580" t="s">
        <v>584</v>
      </c>
      <c r="E2580" t="s">
        <v>583</v>
      </c>
      <c r="F2580" s="705">
        <v>3</v>
      </c>
      <c r="G2580" s="705">
        <v>331</v>
      </c>
      <c r="H2580" s="705">
        <v>599</v>
      </c>
      <c r="I2580" s="705">
        <v>32268</v>
      </c>
      <c r="J2580" s="705">
        <v>29335</v>
      </c>
      <c r="K2580" s="705">
        <v>75</v>
      </c>
      <c r="L2580" s="705">
        <v>5863</v>
      </c>
      <c r="M2580" s="705">
        <v>5200</v>
      </c>
      <c r="N2580" s="705">
        <v>6651</v>
      </c>
      <c r="O2580" s="705">
        <v>2463</v>
      </c>
      <c r="P2580" s="705">
        <v>1769</v>
      </c>
      <c r="Q2580" s="705">
        <v>655</v>
      </c>
      <c r="R2580" s="705">
        <v>16712</v>
      </c>
      <c r="S2580" s="705">
        <v>15193</v>
      </c>
      <c r="T2580" s="705">
        <v>2651</v>
      </c>
      <c r="U2580" s="705">
        <v>982</v>
      </c>
      <c r="V2580" s="705">
        <v>53827</v>
      </c>
      <c r="W2580" s="705">
        <f t="shared" si="100"/>
        <v>53828</v>
      </c>
      <c r="X2580" s="705">
        <f t="shared" si="101"/>
        <v>65914</v>
      </c>
    </row>
    <row r="2581" spans="2:24">
      <c r="B2581" t="s">
        <v>557</v>
      </c>
      <c r="C2581" t="s">
        <v>116</v>
      </c>
      <c r="D2581" t="s">
        <v>584</v>
      </c>
      <c r="E2581" t="s">
        <v>584</v>
      </c>
      <c r="F2581" s="705">
        <v>1020</v>
      </c>
      <c r="G2581" s="705">
        <v>110086</v>
      </c>
      <c r="H2581" s="705">
        <v>192588</v>
      </c>
      <c r="I2581" s="705">
        <v>9737613</v>
      </c>
      <c r="J2581" s="705">
        <v>8852375</v>
      </c>
      <c r="K2581" s="705">
        <v>80</v>
      </c>
      <c r="L2581" s="705">
        <v>2626077</v>
      </c>
      <c r="M2581" s="705">
        <v>2286041</v>
      </c>
      <c r="N2581" s="705">
        <v>2170862</v>
      </c>
      <c r="O2581" s="705">
        <v>804023</v>
      </c>
      <c r="P2581" s="705">
        <v>487013</v>
      </c>
      <c r="Q2581" s="705">
        <v>180375</v>
      </c>
      <c r="R2581" s="705">
        <v>5141766</v>
      </c>
      <c r="S2581" s="705">
        <v>4674333</v>
      </c>
      <c r="T2581" s="705">
        <v>697039</v>
      </c>
      <c r="U2581" s="705">
        <v>258163</v>
      </c>
      <c r="V2581" s="705">
        <v>17055310</v>
      </c>
      <c r="W2581" s="705">
        <f t="shared" si="100"/>
        <v>17055310</v>
      </c>
      <c r="X2581" s="705">
        <f t="shared" si="101"/>
        <v>20860370</v>
      </c>
    </row>
    <row r="2582" spans="2:24">
      <c r="B2582" t="s">
        <v>557</v>
      </c>
      <c r="C2582" t="s">
        <v>116</v>
      </c>
      <c r="D2582" t="s">
        <v>669</v>
      </c>
      <c r="E2582" t="s">
        <v>669</v>
      </c>
      <c r="F2582" s="705">
        <v>4</v>
      </c>
      <c r="G2582" s="705">
        <v>355</v>
      </c>
      <c r="H2582" s="705">
        <v>887</v>
      </c>
      <c r="I2582" s="705">
        <v>35424</v>
      </c>
      <c r="J2582" s="705">
        <v>29520</v>
      </c>
      <c r="K2582" s="705">
        <v>65</v>
      </c>
      <c r="L2582" s="705">
        <v>8528</v>
      </c>
      <c r="M2582" s="705">
        <v>7107</v>
      </c>
      <c r="N2582" s="705">
        <v>5431</v>
      </c>
      <c r="O2582" s="705">
        <v>2012</v>
      </c>
      <c r="P2582" s="705">
        <v>1404</v>
      </c>
      <c r="Q2582" s="705">
        <v>520</v>
      </c>
      <c r="R2582" s="705">
        <v>27931</v>
      </c>
      <c r="S2582" s="705">
        <v>23276</v>
      </c>
      <c r="T2582" s="705">
        <v>0</v>
      </c>
      <c r="U2582" s="705">
        <v>0</v>
      </c>
      <c r="V2582" s="705">
        <v>62434</v>
      </c>
      <c r="W2582" s="705">
        <f t="shared" si="100"/>
        <v>62435</v>
      </c>
      <c r="X2582" s="705">
        <f t="shared" si="101"/>
        <v>78718</v>
      </c>
    </row>
    <row r="2583" spans="2:24">
      <c r="B2583" t="s">
        <v>557</v>
      </c>
      <c r="C2583" t="s">
        <v>116</v>
      </c>
      <c r="D2583" t="s">
        <v>671</v>
      </c>
      <c r="E2583" t="s">
        <v>671</v>
      </c>
      <c r="F2583" s="705">
        <v>1</v>
      </c>
      <c r="G2583" s="705">
        <v>82</v>
      </c>
      <c r="H2583" s="705">
        <v>218</v>
      </c>
      <c r="I2583" s="705">
        <v>7939</v>
      </c>
      <c r="J2583" s="705">
        <v>7217</v>
      </c>
      <c r="K2583" s="705">
        <v>65</v>
      </c>
      <c r="L2583" s="705">
        <v>1911</v>
      </c>
      <c r="M2583" s="705">
        <v>1737</v>
      </c>
      <c r="N2583" s="705">
        <v>1500</v>
      </c>
      <c r="O2583" s="705">
        <v>556</v>
      </c>
      <c r="P2583" s="705">
        <v>351</v>
      </c>
      <c r="Q2583" s="705">
        <v>130</v>
      </c>
      <c r="R2583" s="705">
        <v>6231</v>
      </c>
      <c r="S2583" s="705">
        <v>5665</v>
      </c>
      <c r="T2583" s="705">
        <v>0</v>
      </c>
      <c r="U2583" s="705">
        <v>0</v>
      </c>
      <c r="V2583" s="705">
        <v>15305</v>
      </c>
      <c r="W2583" s="705">
        <f t="shared" si="100"/>
        <v>15305</v>
      </c>
      <c r="X2583" s="705">
        <f t="shared" si="101"/>
        <v>17932</v>
      </c>
    </row>
    <row r="2584" spans="2:24">
      <c r="B2584" t="s">
        <v>557</v>
      </c>
      <c r="C2584" t="s">
        <v>116</v>
      </c>
      <c r="D2584" t="s">
        <v>665</v>
      </c>
      <c r="E2584" t="s">
        <v>665</v>
      </c>
      <c r="F2584" s="705">
        <v>17</v>
      </c>
      <c r="G2584" s="705">
        <v>1819</v>
      </c>
      <c r="H2584" s="705">
        <v>3570</v>
      </c>
      <c r="I2584" s="705">
        <v>213929</v>
      </c>
      <c r="J2584" s="705">
        <v>194481</v>
      </c>
      <c r="K2584" s="705">
        <v>64</v>
      </c>
      <c r="L2584" s="705">
        <v>13572</v>
      </c>
      <c r="M2584" s="705">
        <v>11558</v>
      </c>
      <c r="N2584" s="705">
        <v>35046</v>
      </c>
      <c r="O2584" s="705">
        <v>12980</v>
      </c>
      <c r="P2584" s="705">
        <v>6696</v>
      </c>
      <c r="Q2584" s="705">
        <v>2480</v>
      </c>
      <c r="R2584" s="705">
        <v>86405</v>
      </c>
      <c r="S2584" s="705">
        <v>78550</v>
      </c>
      <c r="T2584" s="705">
        <v>27429</v>
      </c>
      <c r="U2584" s="705">
        <v>10159</v>
      </c>
      <c r="V2584" s="705">
        <v>310208</v>
      </c>
      <c r="W2584" s="705">
        <f t="shared" si="100"/>
        <v>310208</v>
      </c>
      <c r="X2584" s="705">
        <f t="shared" si="101"/>
        <v>383077</v>
      </c>
    </row>
    <row r="2585" spans="2:24">
      <c r="B2585" t="s">
        <v>557</v>
      </c>
      <c r="C2585" t="s">
        <v>116</v>
      </c>
      <c r="D2585" t="s">
        <v>673</v>
      </c>
      <c r="E2585" t="s">
        <v>673</v>
      </c>
      <c r="F2585" s="705">
        <v>1</v>
      </c>
      <c r="G2585" s="705">
        <v>101</v>
      </c>
      <c r="H2585" s="705">
        <v>224</v>
      </c>
      <c r="I2585" s="705">
        <v>13252</v>
      </c>
      <c r="J2585" s="705">
        <v>12048</v>
      </c>
      <c r="K2585" s="705">
        <v>65</v>
      </c>
      <c r="L2585" s="705">
        <v>0</v>
      </c>
      <c r="M2585" s="705">
        <v>0</v>
      </c>
      <c r="N2585" s="705">
        <v>2090</v>
      </c>
      <c r="O2585" s="705">
        <v>774</v>
      </c>
      <c r="P2585" s="705">
        <v>351</v>
      </c>
      <c r="Q2585" s="705">
        <v>130</v>
      </c>
      <c r="R2585" s="705">
        <v>4487</v>
      </c>
      <c r="S2585" s="705">
        <v>4079</v>
      </c>
      <c r="T2585" s="705">
        <v>2439</v>
      </c>
      <c r="U2585" s="705">
        <v>903</v>
      </c>
      <c r="V2585" s="705">
        <v>17934</v>
      </c>
      <c r="W2585" s="705">
        <f t="shared" si="100"/>
        <v>17934</v>
      </c>
      <c r="X2585" s="705">
        <f t="shared" si="101"/>
        <v>22619</v>
      </c>
    </row>
    <row r="2586" spans="2:24">
      <c r="B2586" t="s">
        <v>557</v>
      </c>
      <c r="C2586" t="s">
        <v>116</v>
      </c>
      <c r="D2586" t="s">
        <v>585</v>
      </c>
      <c r="E2586" t="s">
        <v>585</v>
      </c>
      <c r="F2586" s="705">
        <v>3</v>
      </c>
      <c r="G2586" s="705">
        <v>361</v>
      </c>
      <c r="H2586" s="705">
        <v>563</v>
      </c>
      <c r="I2586" s="705">
        <v>39387</v>
      </c>
      <c r="J2586" s="705">
        <v>35807</v>
      </c>
      <c r="K2586" s="705">
        <v>87</v>
      </c>
      <c r="L2586" s="705">
        <v>3890</v>
      </c>
      <c r="M2586" s="705">
        <v>3242</v>
      </c>
      <c r="N2586" s="705">
        <v>6823</v>
      </c>
      <c r="O2586" s="705">
        <v>2527</v>
      </c>
      <c r="P2586" s="705">
        <v>1053</v>
      </c>
      <c r="Q2586" s="705">
        <v>390</v>
      </c>
      <c r="R2586" s="705">
        <v>12458</v>
      </c>
      <c r="S2586" s="705">
        <v>11325</v>
      </c>
      <c r="T2586" s="705">
        <v>2168</v>
      </c>
      <c r="U2586" s="705">
        <v>803</v>
      </c>
      <c r="V2586" s="705">
        <v>54094</v>
      </c>
      <c r="W2586" s="705">
        <f t="shared" si="100"/>
        <v>54094</v>
      </c>
      <c r="X2586" s="705">
        <f t="shared" si="101"/>
        <v>65779</v>
      </c>
    </row>
    <row r="2587" spans="2:24">
      <c r="B2587" t="s">
        <v>557</v>
      </c>
      <c r="C2587" t="s">
        <v>116</v>
      </c>
      <c r="D2587" t="s">
        <v>668</v>
      </c>
      <c r="E2587" t="s">
        <v>668</v>
      </c>
      <c r="F2587" s="705">
        <v>6</v>
      </c>
      <c r="G2587" s="705">
        <v>548</v>
      </c>
      <c r="H2587" s="705">
        <v>1075</v>
      </c>
      <c r="I2587" s="705">
        <v>45073</v>
      </c>
      <c r="J2587" s="705">
        <v>40975</v>
      </c>
      <c r="K2587" s="705">
        <v>81</v>
      </c>
      <c r="L2587" s="705">
        <v>6767</v>
      </c>
      <c r="M2587" s="705">
        <v>6151</v>
      </c>
      <c r="N2587" s="705">
        <v>11446</v>
      </c>
      <c r="O2587" s="705">
        <v>4239</v>
      </c>
      <c r="P2587" s="705">
        <v>2457</v>
      </c>
      <c r="Q2587" s="705">
        <v>910</v>
      </c>
      <c r="R2587" s="705">
        <v>25163</v>
      </c>
      <c r="S2587" s="705">
        <v>22875</v>
      </c>
      <c r="T2587" s="705">
        <v>7958</v>
      </c>
      <c r="U2587" s="705">
        <v>2947</v>
      </c>
      <c r="V2587" s="705">
        <v>78099</v>
      </c>
      <c r="W2587" s="705">
        <f t="shared" si="100"/>
        <v>78097</v>
      </c>
      <c r="X2587" s="705">
        <f t="shared" si="101"/>
        <v>98864</v>
      </c>
    </row>
    <row r="2588" spans="2:24">
      <c r="B2588" t="s">
        <v>557</v>
      </c>
      <c r="C2588" t="s">
        <v>118</v>
      </c>
      <c r="F2588" s="705">
        <v>1</v>
      </c>
      <c r="G2588" s="705">
        <v>97</v>
      </c>
      <c r="H2588" s="705">
        <v>289</v>
      </c>
      <c r="I2588" s="705"/>
      <c r="J2588" s="705">
        <v>0</v>
      </c>
      <c r="K2588" s="705"/>
      <c r="L2588" s="705"/>
      <c r="M2588" s="705">
        <v>0</v>
      </c>
      <c r="N2588" s="705">
        <v>2272</v>
      </c>
      <c r="O2588" s="705">
        <v>841</v>
      </c>
      <c r="P2588" s="705">
        <v>621</v>
      </c>
      <c r="Q2588" s="705">
        <v>230</v>
      </c>
      <c r="R2588" s="705"/>
      <c r="S2588" s="705">
        <v>0</v>
      </c>
      <c r="T2588" s="705">
        <v>0</v>
      </c>
      <c r="U2588" s="705">
        <v>0</v>
      </c>
      <c r="V2588" s="705">
        <v>1071</v>
      </c>
      <c r="W2588" s="705">
        <f t="shared" si="100"/>
        <v>1071</v>
      </c>
      <c r="X2588" s="705">
        <f t="shared" si="101"/>
        <v>2893</v>
      </c>
    </row>
    <row r="2589" spans="2:24">
      <c r="B2589" t="s">
        <v>557</v>
      </c>
      <c r="C2589" t="s">
        <v>118</v>
      </c>
      <c r="D2589" t="s">
        <v>664</v>
      </c>
      <c r="E2589" t="s">
        <v>664</v>
      </c>
      <c r="F2589" s="705">
        <v>2</v>
      </c>
      <c r="G2589" s="705">
        <v>163</v>
      </c>
      <c r="H2589" s="705">
        <v>494</v>
      </c>
      <c r="I2589" s="705">
        <v>20796</v>
      </c>
      <c r="J2589" s="705">
        <v>18905</v>
      </c>
      <c r="K2589" s="705">
        <v>76</v>
      </c>
      <c r="L2589" s="705">
        <v>4375</v>
      </c>
      <c r="M2589" s="705">
        <v>3977</v>
      </c>
      <c r="N2589" s="705">
        <v>3092</v>
      </c>
      <c r="O2589" s="705">
        <v>1145</v>
      </c>
      <c r="P2589" s="705">
        <v>824</v>
      </c>
      <c r="Q2589" s="705">
        <v>305</v>
      </c>
      <c r="R2589" s="705">
        <v>10952</v>
      </c>
      <c r="S2589" s="705">
        <v>9957</v>
      </c>
      <c r="T2589" s="705">
        <v>0</v>
      </c>
      <c r="U2589" s="705">
        <v>0</v>
      </c>
      <c r="V2589" s="705">
        <v>34290</v>
      </c>
      <c r="W2589" s="705">
        <f t="shared" si="100"/>
        <v>34289</v>
      </c>
      <c r="X2589" s="705">
        <f t="shared" si="101"/>
        <v>40039</v>
      </c>
    </row>
    <row r="2590" spans="2:24">
      <c r="B2590" t="s">
        <v>557</v>
      </c>
      <c r="C2590" t="s">
        <v>118</v>
      </c>
      <c r="D2590" t="s">
        <v>582</v>
      </c>
      <c r="E2590" t="s">
        <v>582</v>
      </c>
      <c r="F2590" s="705">
        <v>22</v>
      </c>
      <c r="G2590" s="705">
        <v>2425</v>
      </c>
      <c r="H2590" s="705">
        <v>5408</v>
      </c>
      <c r="I2590" s="705">
        <v>305122</v>
      </c>
      <c r="J2590" s="705">
        <v>277383</v>
      </c>
      <c r="K2590" s="705">
        <v>76</v>
      </c>
      <c r="L2590" s="705">
        <v>83093</v>
      </c>
      <c r="M2590" s="705">
        <v>74112</v>
      </c>
      <c r="N2590" s="705">
        <v>52997</v>
      </c>
      <c r="O2590" s="705">
        <v>19628</v>
      </c>
      <c r="P2590" s="705">
        <v>10274</v>
      </c>
      <c r="Q2590" s="705">
        <v>3805</v>
      </c>
      <c r="R2590" s="705">
        <v>106357</v>
      </c>
      <c r="S2590" s="705">
        <v>96688</v>
      </c>
      <c r="T2590" s="705">
        <v>43206</v>
      </c>
      <c r="U2590" s="705">
        <v>16002</v>
      </c>
      <c r="V2590" s="705">
        <v>487618</v>
      </c>
      <c r="W2590" s="705">
        <f t="shared" si="100"/>
        <v>487618</v>
      </c>
      <c r="X2590" s="705">
        <f t="shared" si="101"/>
        <v>601049</v>
      </c>
    </row>
    <row r="2591" spans="2:24">
      <c r="B2591" t="s">
        <v>557</v>
      </c>
      <c r="C2591" t="s">
        <v>118</v>
      </c>
      <c r="D2591" t="s">
        <v>228</v>
      </c>
      <c r="E2591" t="s">
        <v>228</v>
      </c>
      <c r="F2591" s="705">
        <v>75</v>
      </c>
      <c r="G2591" s="705">
        <v>6514</v>
      </c>
      <c r="H2591" s="705">
        <v>19845</v>
      </c>
      <c r="I2591" s="705">
        <v>970829</v>
      </c>
      <c r="J2591" s="705">
        <v>359566</v>
      </c>
      <c r="K2591" s="705">
        <v>100</v>
      </c>
      <c r="L2591" s="705">
        <v>132193</v>
      </c>
      <c r="M2591" s="705">
        <v>92021</v>
      </c>
      <c r="N2591" s="705">
        <v>132359</v>
      </c>
      <c r="O2591" s="705">
        <v>49022</v>
      </c>
      <c r="P2591" s="705">
        <v>2215</v>
      </c>
      <c r="Q2591" s="705">
        <v>820</v>
      </c>
      <c r="R2591" s="705">
        <v>529468</v>
      </c>
      <c r="S2591" s="705">
        <v>196099</v>
      </c>
      <c r="T2591" s="705">
        <v>0</v>
      </c>
      <c r="U2591" s="705">
        <v>0</v>
      </c>
      <c r="V2591" s="705">
        <v>697529</v>
      </c>
      <c r="W2591" s="705">
        <f t="shared" si="100"/>
        <v>697528</v>
      </c>
      <c r="X2591" s="705">
        <f t="shared" si="101"/>
        <v>1767064</v>
      </c>
    </row>
    <row r="2592" spans="2:24">
      <c r="B2592" t="s">
        <v>557</v>
      </c>
      <c r="C2592" t="s">
        <v>118</v>
      </c>
      <c r="D2592" t="s">
        <v>228</v>
      </c>
      <c r="E2592" t="s">
        <v>665</v>
      </c>
      <c r="F2592" s="705">
        <v>1</v>
      </c>
      <c r="G2592" s="705">
        <v>78</v>
      </c>
      <c r="H2592" s="705">
        <v>280</v>
      </c>
      <c r="I2592" s="705">
        <v>12489</v>
      </c>
      <c r="J2592" s="705">
        <v>4625</v>
      </c>
      <c r="K2592" s="705">
        <v>100</v>
      </c>
      <c r="L2592" s="705">
        <v>870</v>
      </c>
      <c r="M2592" s="705">
        <v>791</v>
      </c>
      <c r="N2592" s="705">
        <v>1896</v>
      </c>
      <c r="O2592" s="705">
        <v>702</v>
      </c>
      <c r="P2592" s="705">
        <v>0</v>
      </c>
      <c r="Q2592" s="705">
        <v>0</v>
      </c>
      <c r="R2592" s="705">
        <v>4272</v>
      </c>
      <c r="S2592" s="705">
        <v>3883</v>
      </c>
      <c r="T2592" s="705">
        <v>2270</v>
      </c>
      <c r="U2592" s="705">
        <v>841</v>
      </c>
      <c r="V2592" s="705">
        <v>10842</v>
      </c>
      <c r="W2592" s="705">
        <f t="shared" si="100"/>
        <v>10842</v>
      </c>
      <c r="X2592" s="705">
        <f t="shared" si="101"/>
        <v>21797</v>
      </c>
    </row>
    <row r="2593" spans="2:24">
      <c r="B2593" t="s">
        <v>557</v>
      </c>
      <c r="C2593" t="s">
        <v>118</v>
      </c>
      <c r="D2593" t="s">
        <v>583</v>
      </c>
      <c r="E2593" t="s">
        <v>228</v>
      </c>
      <c r="F2593" s="705">
        <v>1</v>
      </c>
      <c r="G2593" s="705">
        <v>85</v>
      </c>
      <c r="H2593" s="705">
        <v>231</v>
      </c>
      <c r="I2593" s="705">
        <v>9513</v>
      </c>
      <c r="J2593" s="705">
        <v>8648</v>
      </c>
      <c r="K2593" s="705">
        <v>85</v>
      </c>
      <c r="L2593" s="705">
        <v>2854</v>
      </c>
      <c r="M2593" s="705">
        <v>2594</v>
      </c>
      <c r="N2593" s="705">
        <v>2077</v>
      </c>
      <c r="O2593" s="705">
        <v>769</v>
      </c>
      <c r="P2593" s="705">
        <v>621</v>
      </c>
      <c r="Q2593" s="705">
        <v>230</v>
      </c>
      <c r="R2593" s="705">
        <v>4611</v>
      </c>
      <c r="S2593" s="705">
        <v>1708</v>
      </c>
      <c r="T2593" s="705">
        <v>0</v>
      </c>
      <c r="U2593" s="705">
        <v>0</v>
      </c>
      <c r="V2593" s="705">
        <v>13950</v>
      </c>
      <c r="W2593" s="705">
        <f t="shared" si="100"/>
        <v>13949</v>
      </c>
      <c r="X2593" s="705">
        <f t="shared" si="101"/>
        <v>19676</v>
      </c>
    </row>
    <row r="2594" spans="2:24">
      <c r="B2594" t="s">
        <v>557</v>
      </c>
      <c r="C2594" t="s">
        <v>118</v>
      </c>
      <c r="D2594" t="s">
        <v>583</v>
      </c>
      <c r="E2594" t="s">
        <v>583</v>
      </c>
      <c r="F2594" s="705">
        <v>1026</v>
      </c>
      <c r="G2594" s="705">
        <v>101365</v>
      </c>
      <c r="H2594" s="705">
        <v>264308</v>
      </c>
      <c r="I2594" s="705">
        <v>13602554</v>
      </c>
      <c r="J2594" s="705">
        <v>12365958</v>
      </c>
      <c r="K2594" s="705">
        <v>81</v>
      </c>
      <c r="L2594" s="705">
        <v>3300545</v>
      </c>
      <c r="M2594" s="705">
        <v>2838025</v>
      </c>
      <c r="N2594" s="705">
        <v>2006906</v>
      </c>
      <c r="O2594" s="705">
        <v>743299</v>
      </c>
      <c r="P2594" s="705">
        <v>654155</v>
      </c>
      <c r="Q2594" s="705">
        <v>242279</v>
      </c>
      <c r="R2594" s="705">
        <v>4896169</v>
      </c>
      <c r="S2594" s="705">
        <v>4451063</v>
      </c>
      <c r="T2594" s="705">
        <v>1727026</v>
      </c>
      <c r="U2594" s="705">
        <v>639639</v>
      </c>
      <c r="V2594" s="705">
        <v>21280263</v>
      </c>
      <c r="W2594" s="705">
        <f t="shared" ref="W2594:W2657" si="102">SUM(ABS(J2594),ABS(M2594),ABS(O2594),ABS(Q2594),ABS(S2594),ABS(U2594))</f>
        <v>21280263</v>
      </c>
      <c r="X2594" s="705">
        <f t="shared" ref="X2594:X2657" si="103">SUM(ABS(I2594),ABS(N2594),ABS(P2594),ABS(R2594),ABS(T2594),ABS(L2594))</f>
        <v>26187355</v>
      </c>
    </row>
    <row r="2595" spans="2:24">
      <c r="B2595" t="s">
        <v>557</v>
      </c>
      <c r="C2595" t="s">
        <v>118</v>
      </c>
      <c r="D2595" t="s">
        <v>583</v>
      </c>
      <c r="E2595" t="s">
        <v>666</v>
      </c>
      <c r="F2595" s="705">
        <v>2</v>
      </c>
      <c r="G2595" s="705">
        <v>181</v>
      </c>
      <c r="H2595" s="705">
        <v>566</v>
      </c>
      <c r="I2595" s="705">
        <v>25449</v>
      </c>
      <c r="J2595" s="705">
        <v>23136</v>
      </c>
      <c r="K2595" s="705">
        <v>70</v>
      </c>
      <c r="L2595" s="705">
        <v>6395</v>
      </c>
      <c r="M2595" s="705">
        <v>5813</v>
      </c>
      <c r="N2595" s="705">
        <v>3430</v>
      </c>
      <c r="O2595" s="705">
        <v>1270</v>
      </c>
      <c r="P2595" s="705">
        <v>1242</v>
      </c>
      <c r="Q2595" s="705">
        <v>460</v>
      </c>
      <c r="R2595" s="705">
        <v>9437</v>
      </c>
      <c r="S2595" s="705">
        <v>8579</v>
      </c>
      <c r="T2595" s="705">
        <v>5588</v>
      </c>
      <c r="U2595" s="705">
        <v>2070</v>
      </c>
      <c r="V2595" s="705">
        <v>41328</v>
      </c>
      <c r="W2595" s="705">
        <f t="shared" si="102"/>
        <v>41328</v>
      </c>
      <c r="X2595" s="705">
        <f t="shared" si="103"/>
        <v>51541</v>
      </c>
    </row>
    <row r="2596" spans="2:24">
      <c r="B2596" t="s">
        <v>557</v>
      </c>
      <c r="C2596" t="s">
        <v>118</v>
      </c>
      <c r="D2596" t="s">
        <v>583</v>
      </c>
      <c r="E2596" t="s">
        <v>669</v>
      </c>
      <c r="F2596" s="705">
        <v>1</v>
      </c>
      <c r="G2596" s="705">
        <v>97</v>
      </c>
      <c r="H2596" s="705">
        <v>248</v>
      </c>
      <c r="I2596" s="705">
        <v>12694</v>
      </c>
      <c r="J2596" s="705">
        <v>11540</v>
      </c>
      <c r="K2596" s="705">
        <v>65</v>
      </c>
      <c r="L2596" s="705">
        <v>1463</v>
      </c>
      <c r="M2596" s="705">
        <v>1219</v>
      </c>
      <c r="N2596" s="705">
        <v>1601</v>
      </c>
      <c r="O2596" s="705">
        <v>593</v>
      </c>
      <c r="P2596" s="705">
        <v>972</v>
      </c>
      <c r="Q2596" s="705">
        <v>360</v>
      </c>
      <c r="R2596" s="705">
        <v>4819</v>
      </c>
      <c r="S2596" s="705">
        <v>4016</v>
      </c>
      <c r="T2596" s="705">
        <v>2384</v>
      </c>
      <c r="U2596" s="705">
        <v>883</v>
      </c>
      <c r="V2596" s="705">
        <v>18610</v>
      </c>
      <c r="W2596" s="705">
        <f t="shared" si="102"/>
        <v>18611</v>
      </c>
      <c r="X2596" s="705">
        <f t="shared" si="103"/>
        <v>23933</v>
      </c>
    </row>
    <row r="2597" spans="2:24">
      <c r="B2597" t="s">
        <v>557</v>
      </c>
      <c r="C2597" t="s">
        <v>118</v>
      </c>
      <c r="D2597" t="s">
        <v>583</v>
      </c>
      <c r="E2597" t="s">
        <v>667</v>
      </c>
      <c r="F2597" s="705">
        <v>1</v>
      </c>
      <c r="G2597" s="705">
        <v>87</v>
      </c>
      <c r="H2597" s="705">
        <v>248</v>
      </c>
      <c r="I2597" s="705">
        <v>9834</v>
      </c>
      <c r="J2597" s="705">
        <v>8940</v>
      </c>
      <c r="K2597" s="705">
        <v>85</v>
      </c>
      <c r="L2597" s="705">
        <v>2939</v>
      </c>
      <c r="M2597" s="705">
        <v>2672</v>
      </c>
      <c r="N2597" s="705">
        <v>1542</v>
      </c>
      <c r="O2597" s="705">
        <v>571</v>
      </c>
      <c r="P2597" s="705">
        <v>621</v>
      </c>
      <c r="Q2597" s="705">
        <v>230</v>
      </c>
      <c r="R2597" s="705">
        <v>3880</v>
      </c>
      <c r="S2597" s="705">
        <v>3527</v>
      </c>
      <c r="T2597" s="705">
        <v>2700</v>
      </c>
      <c r="U2597" s="705">
        <v>1000</v>
      </c>
      <c r="V2597" s="705">
        <v>16940</v>
      </c>
      <c r="W2597" s="705">
        <f t="shared" si="102"/>
        <v>16940</v>
      </c>
      <c r="X2597" s="705">
        <f t="shared" si="103"/>
        <v>21516</v>
      </c>
    </row>
    <row r="2598" spans="2:24">
      <c r="B2598" t="s">
        <v>557</v>
      </c>
      <c r="C2598" t="s">
        <v>118</v>
      </c>
      <c r="D2598" t="s">
        <v>666</v>
      </c>
      <c r="E2598" t="s">
        <v>666</v>
      </c>
      <c r="F2598" s="705">
        <v>8</v>
      </c>
      <c r="G2598" s="705">
        <v>813</v>
      </c>
      <c r="H2598" s="705">
        <v>2150</v>
      </c>
      <c r="I2598" s="705">
        <v>121642</v>
      </c>
      <c r="J2598" s="705">
        <v>110584</v>
      </c>
      <c r="K2598" s="705">
        <v>55</v>
      </c>
      <c r="L2598" s="705">
        <v>22832</v>
      </c>
      <c r="M2598" s="705">
        <v>20757</v>
      </c>
      <c r="N2598" s="705">
        <v>13873</v>
      </c>
      <c r="O2598" s="705">
        <v>5138</v>
      </c>
      <c r="P2598" s="705">
        <v>2808</v>
      </c>
      <c r="Q2598" s="705">
        <v>1040</v>
      </c>
      <c r="R2598" s="705">
        <v>36606</v>
      </c>
      <c r="S2598" s="705">
        <v>33278</v>
      </c>
      <c r="T2598" s="705">
        <v>19966</v>
      </c>
      <c r="U2598" s="705">
        <v>7395</v>
      </c>
      <c r="V2598" s="705">
        <v>178191</v>
      </c>
      <c r="W2598" s="705">
        <f t="shared" si="102"/>
        <v>178192</v>
      </c>
      <c r="X2598" s="705">
        <f t="shared" si="103"/>
        <v>217727</v>
      </c>
    </row>
    <row r="2599" spans="2:24">
      <c r="B2599" t="s">
        <v>557</v>
      </c>
      <c r="C2599" t="s">
        <v>118</v>
      </c>
      <c r="D2599" t="s">
        <v>584</v>
      </c>
      <c r="E2599" t="s">
        <v>228</v>
      </c>
      <c r="F2599" s="705">
        <v>1</v>
      </c>
      <c r="G2599" s="705">
        <v>85</v>
      </c>
      <c r="H2599" s="705">
        <v>234</v>
      </c>
      <c r="I2599" s="705">
        <v>5199</v>
      </c>
      <c r="J2599" s="705">
        <v>4726</v>
      </c>
      <c r="K2599" s="705">
        <v>80</v>
      </c>
      <c r="L2599" s="705">
        <v>1533</v>
      </c>
      <c r="M2599" s="705">
        <v>1393</v>
      </c>
      <c r="N2599" s="705">
        <v>1726</v>
      </c>
      <c r="O2599" s="705">
        <v>639</v>
      </c>
      <c r="P2599" s="705">
        <v>351</v>
      </c>
      <c r="Q2599" s="705">
        <v>130</v>
      </c>
      <c r="R2599" s="705">
        <v>11070</v>
      </c>
      <c r="S2599" s="705">
        <v>4100</v>
      </c>
      <c r="T2599" s="705">
        <v>0</v>
      </c>
      <c r="U2599" s="705">
        <v>0</v>
      </c>
      <c r="V2599" s="705">
        <v>10989</v>
      </c>
      <c r="W2599" s="705">
        <f t="shared" si="102"/>
        <v>10988</v>
      </c>
      <c r="X2599" s="705">
        <f t="shared" si="103"/>
        <v>19879</v>
      </c>
    </row>
    <row r="2600" spans="2:24">
      <c r="B2600" t="s">
        <v>557</v>
      </c>
      <c r="C2600" t="s">
        <v>118</v>
      </c>
      <c r="D2600" t="s">
        <v>584</v>
      </c>
      <c r="E2600" t="s">
        <v>584</v>
      </c>
      <c r="F2600" s="705">
        <v>134</v>
      </c>
      <c r="G2600" s="705">
        <v>13721</v>
      </c>
      <c r="H2600" s="705">
        <v>32394</v>
      </c>
      <c r="I2600" s="705">
        <v>1665280</v>
      </c>
      <c r="J2600" s="705">
        <v>1513891</v>
      </c>
      <c r="K2600" s="705">
        <v>77</v>
      </c>
      <c r="L2600" s="705">
        <v>492253</v>
      </c>
      <c r="M2600" s="705">
        <v>423840</v>
      </c>
      <c r="N2600" s="705">
        <v>286984</v>
      </c>
      <c r="O2600" s="705">
        <v>106290</v>
      </c>
      <c r="P2600" s="705">
        <v>62613</v>
      </c>
      <c r="Q2600" s="705">
        <v>23190</v>
      </c>
      <c r="R2600" s="705">
        <v>653104</v>
      </c>
      <c r="S2600" s="705">
        <v>593731</v>
      </c>
      <c r="T2600" s="705">
        <v>161987</v>
      </c>
      <c r="U2600" s="705">
        <v>59995</v>
      </c>
      <c r="V2600" s="705">
        <v>2720938</v>
      </c>
      <c r="W2600" s="705">
        <f t="shared" si="102"/>
        <v>2720937</v>
      </c>
      <c r="X2600" s="705">
        <f t="shared" si="103"/>
        <v>3322221</v>
      </c>
    </row>
    <row r="2601" spans="2:24">
      <c r="B2601" t="s">
        <v>557</v>
      </c>
      <c r="C2601" t="s">
        <v>118</v>
      </c>
      <c r="D2601" t="s">
        <v>669</v>
      </c>
      <c r="E2601" t="s">
        <v>669</v>
      </c>
      <c r="F2601" s="705">
        <v>53</v>
      </c>
      <c r="G2601" s="705">
        <v>4504</v>
      </c>
      <c r="H2601" s="705">
        <v>14502</v>
      </c>
      <c r="I2601" s="705">
        <v>665396</v>
      </c>
      <c r="J2601" s="705">
        <v>554497</v>
      </c>
      <c r="K2601" s="705">
        <v>62</v>
      </c>
      <c r="L2601" s="705">
        <v>75972</v>
      </c>
      <c r="M2601" s="705">
        <v>62446</v>
      </c>
      <c r="N2601" s="705">
        <v>79028</v>
      </c>
      <c r="O2601" s="705">
        <v>29270</v>
      </c>
      <c r="P2601" s="705">
        <v>20034</v>
      </c>
      <c r="Q2601" s="705">
        <v>7420</v>
      </c>
      <c r="R2601" s="705">
        <v>288411</v>
      </c>
      <c r="S2601" s="705">
        <v>240342</v>
      </c>
      <c r="T2601" s="705">
        <v>100346</v>
      </c>
      <c r="U2601" s="705">
        <v>37165</v>
      </c>
      <c r="V2601" s="705">
        <v>931140</v>
      </c>
      <c r="W2601" s="705">
        <f t="shared" si="102"/>
        <v>931140</v>
      </c>
      <c r="X2601" s="705">
        <f t="shared" si="103"/>
        <v>1229187</v>
      </c>
    </row>
    <row r="2602" spans="2:24">
      <c r="B2602" t="s">
        <v>557</v>
      </c>
      <c r="C2602" t="s">
        <v>118</v>
      </c>
      <c r="D2602" t="s">
        <v>667</v>
      </c>
      <c r="E2602" t="s">
        <v>667</v>
      </c>
      <c r="F2602" s="705">
        <v>9</v>
      </c>
      <c r="G2602" s="705">
        <v>649</v>
      </c>
      <c r="H2602" s="705">
        <v>2486</v>
      </c>
      <c r="I2602" s="705">
        <v>93963</v>
      </c>
      <c r="J2602" s="705">
        <v>85421</v>
      </c>
      <c r="K2602" s="705">
        <v>63</v>
      </c>
      <c r="L2602" s="705">
        <v>16031</v>
      </c>
      <c r="M2602" s="705">
        <v>13426</v>
      </c>
      <c r="N2602" s="705">
        <v>8583</v>
      </c>
      <c r="O2602" s="705">
        <v>3179</v>
      </c>
      <c r="P2602" s="705">
        <v>3159</v>
      </c>
      <c r="Q2602" s="705">
        <v>1170</v>
      </c>
      <c r="R2602" s="705">
        <v>47937</v>
      </c>
      <c r="S2602" s="705">
        <v>43579</v>
      </c>
      <c r="T2602" s="705">
        <v>9033</v>
      </c>
      <c r="U2602" s="705">
        <v>3346</v>
      </c>
      <c r="V2602" s="705">
        <v>150121</v>
      </c>
      <c r="W2602" s="705">
        <f t="shared" si="102"/>
        <v>150121</v>
      </c>
      <c r="X2602" s="705">
        <f t="shared" si="103"/>
        <v>178706</v>
      </c>
    </row>
    <row r="2603" spans="2:24">
      <c r="B2603" t="s">
        <v>557</v>
      </c>
      <c r="C2603" t="s">
        <v>118</v>
      </c>
      <c r="D2603" t="s">
        <v>671</v>
      </c>
      <c r="E2603" t="s">
        <v>671</v>
      </c>
      <c r="F2603" s="705">
        <v>34</v>
      </c>
      <c r="G2603" s="705">
        <v>2578</v>
      </c>
      <c r="H2603" s="705">
        <v>9298</v>
      </c>
      <c r="I2603" s="705">
        <v>350485</v>
      </c>
      <c r="J2603" s="705">
        <v>318622</v>
      </c>
      <c r="K2603" s="705">
        <v>59</v>
      </c>
      <c r="L2603" s="705">
        <v>75682</v>
      </c>
      <c r="M2603" s="705">
        <v>68802</v>
      </c>
      <c r="N2603" s="705">
        <v>34026</v>
      </c>
      <c r="O2603" s="705">
        <v>12602</v>
      </c>
      <c r="P2603" s="705">
        <v>12204</v>
      </c>
      <c r="Q2603" s="705">
        <v>4520</v>
      </c>
      <c r="R2603" s="705">
        <v>224375</v>
      </c>
      <c r="S2603" s="705">
        <v>203977</v>
      </c>
      <c r="T2603" s="705">
        <v>8191</v>
      </c>
      <c r="U2603" s="705">
        <v>3034</v>
      </c>
      <c r="V2603" s="705">
        <v>611557</v>
      </c>
      <c r="W2603" s="705">
        <f t="shared" si="102"/>
        <v>611557</v>
      </c>
      <c r="X2603" s="705">
        <f t="shared" si="103"/>
        <v>704963</v>
      </c>
    </row>
    <row r="2604" spans="2:24">
      <c r="B2604" t="s">
        <v>557</v>
      </c>
      <c r="C2604" t="s">
        <v>118</v>
      </c>
      <c r="D2604" t="s">
        <v>665</v>
      </c>
      <c r="E2604" t="s">
        <v>665</v>
      </c>
      <c r="F2604" s="705">
        <v>261</v>
      </c>
      <c r="G2604" s="705">
        <v>21814</v>
      </c>
      <c r="H2604" s="705">
        <v>67617</v>
      </c>
      <c r="I2604" s="705">
        <v>2847699</v>
      </c>
      <c r="J2604" s="705">
        <v>2588817</v>
      </c>
      <c r="K2604" s="705">
        <v>63</v>
      </c>
      <c r="L2604" s="705">
        <v>510502</v>
      </c>
      <c r="M2604" s="705">
        <v>503634</v>
      </c>
      <c r="N2604" s="705">
        <v>489065</v>
      </c>
      <c r="O2604" s="705">
        <v>181135</v>
      </c>
      <c r="P2604" s="705">
        <v>97214</v>
      </c>
      <c r="Q2604" s="705">
        <v>36005</v>
      </c>
      <c r="R2604" s="705">
        <v>1156396</v>
      </c>
      <c r="S2604" s="705">
        <v>1051269</v>
      </c>
      <c r="T2604" s="705">
        <v>560687</v>
      </c>
      <c r="U2604" s="705">
        <v>207662</v>
      </c>
      <c r="V2604" s="705">
        <v>4568523</v>
      </c>
      <c r="W2604" s="705">
        <f t="shared" si="102"/>
        <v>4568522</v>
      </c>
      <c r="X2604" s="705">
        <f t="shared" si="103"/>
        <v>5661563</v>
      </c>
    </row>
    <row r="2605" spans="2:24">
      <c r="B2605" t="s">
        <v>557</v>
      </c>
      <c r="C2605" t="s">
        <v>118</v>
      </c>
      <c r="D2605" t="s">
        <v>673</v>
      </c>
      <c r="E2605" t="s">
        <v>673</v>
      </c>
      <c r="F2605" s="705">
        <v>2</v>
      </c>
      <c r="G2605" s="705">
        <v>124</v>
      </c>
      <c r="H2605" s="705">
        <v>513</v>
      </c>
      <c r="I2605" s="705">
        <v>16516</v>
      </c>
      <c r="J2605" s="705">
        <v>15015</v>
      </c>
      <c r="K2605" s="705">
        <v>65</v>
      </c>
      <c r="L2605" s="705">
        <v>914</v>
      </c>
      <c r="M2605" s="705">
        <v>831</v>
      </c>
      <c r="N2605" s="705">
        <v>1910</v>
      </c>
      <c r="O2605" s="705">
        <v>707</v>
      </c>
      <c r="P2605" s="705">
        <v>702</v>
      </c>
      <c r="Q2605" s="705">
        <v>260</v>
      </c>
      <c r="R2605" s="705">
        <v>9734</v>
      </c>
      <c r="S2605" s="705">
        <v>8849</v>
      </c>
      <c r="T2605" s="705">
        <v>2016</v>
      </c>
      <c r="U2605" s="705">
        <v>747</v>
      </c>
      <c r="V2605" s="705">
        <v>26409</v>
      </c>
      <c r="W2605" s="705">
        <f t="shared" si="102"/>
        <v>26409</v>
      </c>
      <c r="X2605" s="705">
        <f t="shared" si="103"/>
        <v>31792</v>
      </c>
    </row>
    <row r="2606" spans="2:24">
      <c r="B2606" t="s">
        <v>557</v>
      </c>
      <c r="C2606" t="s">
        <v>118</v>
      </c>
      <c r="D2606" t="s">
        <v>585</v>
      </c>
      <c r="E2606" t="s">
        <v>585</v>
      </c>
      <c r="F2606" s="705">
        <v>3</v>
      </c>
      <c r="G2606" s="705">
        <v>314</v>
      </c>
      <c r="H2606" s="705">
        <v>782</v>
      </c>
      <c r="I2606" s="705">
        <v>46630</v>
      </c>
      <c r="J2606" s="705">
        <v>42391</v>
      </c>
      <c r="K2606" s="705">
        <v>65</v>
      </c>
      <c r="L2606" s="705">
        <v>11522</v>
      </c>
      <c r="M2606" s="705">
        <v>10205</v>
      </c>
      <c r="N2606" s="705">
        <v>5119</v>
      </c>
      <c r="O2606" s="705">
        <v>1896</v>
      </c>
      <c r="P2606" s="705">
        <v>1053</v>
      </c>
      <c r="Q2606" s="705">
        <v>390</v>
      </c>
      <c r="R2606" s="705">
        <v>13942</v>
      </c>
      <c r="S2606" s="705">
        <v>12675</v>
      </c>
      <c r="T2606" s="705">
        <v>2555</v>
      </c>
      <c r="U2606" s="705">
        <v>946</v>
      </c>
      <c r="V2606" s="705">
        <v>68503</v>
      </c>
      <c r="W2606" s="705">
        <f t="shared" si="102"/>
        <v>68503</v>
      </c>
      <c r="X2606" s="705">
        <f t="shared" si="103"/>
        <v>80821</v>
      </c>
    </row>
    <row r="2607" spans="2:24">
      <c r="B2607" t="s">
        <v>557</v>
      </c>
      <c r="C2607" t="s">
        <v>120</v>
      </c>
      <c r="D2607" t="s">
        <v>582</v>
      </c>
      <c r="E2607" t="s">
        <v>582</v>
      </c>
      <c r="F2607" s="705">
        <v>1</v>
      </c>
      <c r="G2607" s="705">
        <v>86</v>
      </c>
      <c r="H2607" s="705">
        <v>332</v>
      </c>
      <c r="I2607" s="705">
        <v>15166</v>
      </c>
      <c r="J2607" s="705">
        <v>13787</v>
      </c>
      <c r="K2607" s="705">
        <v>68</v>
      </c>
      <c r="L2607" s="705">
        <v>3628</v>
      </c>
      <c r="M2607" s="705">
        <v>3299</v>
      </c>
      <c r="N2607" s="705">
        <v>2093</v>
      </c>
      <c r="O2607" s="705">
        <v>775</v>
      </c>
      <c r="P2607" s="705">
        <v>473</v>
      </c>
      <c r="Q2607" s="705">
        <v>175</v>
      </c>
      <c r="R2607" s="705">
        <v>4608</v>
      </c>
      <c r="S2607" s="705">
        <v>4189</v>
      </c>
      <c r="T2607" s="705">
        <v>2512</v>
      </c>
      <c r="U2607" s="705">
        <v>930</v>
      </c>
      <c r="V2607" s="705">
        <v>23155</v>
      </c>
      <c r="W2607" s="705">
        <f t="shared" si="102"/>
        <v>23155</v>
      </c>
      <c r="X2607" s="705">
        <f t="shared" si="103"/>
        <v>28480</v>
      </c>
    </row>
    <row r="2608" spans="2:24">
      <c r="B2608" t="s">
        <v>557</v>
      </c>
      <c r="C2608" t="s">
        <v>120</v>
      </c>
      <c r="D2608" t="s">
        <v>228</v>
      </c>
      <c r="E2608" t="s">
        <v>228</v>
      </c>
      <c r="F2608" s="705">
        <v>42</v>
      </c>
      <c r="G2608" s="705">
        <v>3141</v>
      </c>
      <c r="H2608" s="705">
        <v>14348</v>
      </c>
      <c r="I2608" s="705">
        <v>617393</v>
      </c>
      <c r="J2608" s="705">
        <v>228664</v>
      </c>
      <c r="K2608" s="705">
        <v>104</v>
      </c>
      <c r="L2608" s="705">
        <v>100310</v>
      </c>
      <c r="M2608" s="705">
        <v>67764</v>
      </c>
      <c r="N2608" s="705">
        <v>64423</v>
      </c>
      <c r="O2608" s="705">
        <v>23860</v>
      </c>
      <c r="P2608" s="705">
        <v>1755</v>
      </c>
      <c r="Q2608" s="705">
        <v>650</v>
      </c>
      <c r="R2608" s="705">
        <v>284621</v>
      </c>
      <c r="S2608" s="705">
        <v>105415</v>
      </c>
      <c r="T2608" s="705">
        <v>0</v>
      </c>
      <c r="U2608" s="705">
        <v>0</v>
      </c>
      <c r="V2608" s="705">
        <v>426353</v>
      </c>
      <c r="W2608" s="705">
        <f t="shared" si="102"/>
        <v>426353</v>
      </c>
      <c r="X2608" s="705">
        <f t="shared" si="103"/>
        <v>1068502</v>
      </c>
    </row>
    <row r="2609" spans="2:24">
      <c r="B2609" t="s">
        <v>557</v>
      </c>
      <c r="C2609" t="s">
        <v>120</v>
      </c>
      <c r="D2609" t="s">
        <v>228</v>
      </c>
      <c r="E2609" t="s">
        <v>669</v>
      </c>
      <c r="F2609" s="705">
        <v>1</v>
      </c>
      <c r="G2609" s="705">
        <v>80</v>
      </c>
      <c r="H2609" s="705">
        <v>329</v>
      </c>
      <c r="I2609" s="705">
        <v>12952</v>
      </c>
      <c r="J2609" s="705">
        <v>4797</v>
      </c>
      <c r="K2609" s="705">
        <v>100</v>
      </c>
      <c r="L2609" s="705">
        <v>2132</v>
      </c>
      <c r="M2609" s="705">
        <v>1777</v>
      </c>
      <c r="N2609" s="705">
        <v>1817</v>
      </c>
      <c r="O2609" s="705">
        <v>673</v>
      </c>
      <c r="P2609" s="705">
        <v>0</v>
      </c>
      <c r="Q2609" s="705">
        <v>0</v>
      </c>
      <c r="R2609" s="705">
        <v>7064</v>
      </c>
      <c r="S2609" s="705">
        <v>5887</v>
      </c>
      <c r="T2609" s="705">
        <v>2436</v>
      </c>
      <c r="U2609" s="705">
        <v>902</v>
      </c>
      <c r="V2609" s="705">
        <v>14036</v>
      </c>
      <c r="W2609" s="705">
        <f t="shared" si="102"/>
        <v>14036</v>
      </c>
      <c r="X2609" s="705">
        <f t="shared" si="103"/>
        <v>26401</v>
      </c>
    </row>
    <row r="2610" spans="2:24">
      <c r="B2610" t="s">
        <v>557</v>
      </c>
      <c r="C2610" t="s">
        <v>120</v>
      </c>
      <c r="D2610" t="s">
        <v>228</v>
      </c>
      <c r="E2610" t="s">
        <v>665</v>
      </c>
      <c r="F2610" s="705">
        <v>4</v>
      </c>
      <c r="G2610" s="705">
        <v>335</v>
      </c>
      <c r="H2610" s="705">
        <v>1360</v>
      </c>
      <c r="I2610" s="705">
        <v>63729</v>
      </c>
      <c r="J2610" s="705">
        <v>23603</v>
      </c>
      <c r="K2610" s="705">
        <v>100</v>
      </c>
      <c r="L2610" s="705">
        <v>12017</v>
      </c>
      <c r="M2610" s="705">
        <v>10925</v>
      </c>
      <c r="N2610" s="705">
        <v>6211</v>
      </c>
      <c r="O2610" s="705">
        <v>2300</v>
      </c>
      <c r="P2610" s="705">
        <v>351</v>
      </c>
      <c r="Q2610" s="705">
        <v>130</v>
      </c>
      <c r="R2610" s="705">
        <v>25385</v>
      </c>
      <c r="S2610" s="705">
        <v>23077</v>
      </c>
      <c r="T2610" s="705">
        <v>6644</v>
      </c>
      <c r="U2610" s="705">
        <v>2461</v>
      </c>
      <c r="V2610" s="705">
        <v>62496</v>
      </c>
      <c r="W2610" s="705">
        <f t="shared" si="102"/>
        <v>62496</v>
      </c>
      <c r="X2610" s="705">
        <f t="shared" si="103"/>
        <v>114337</v>
      </c>
    </row>
    <row r="2611" spans="2:24">
      <c r="B2611" t="s">
        <v>557</v>
      </c>
      <c r="C2611" t="s">
        <v>120</v>
      </c>
      <c r="D2611" t="s">
        <v>583</v>
      </c>
      <c r="E2611" t="s">
        <v>228</v>
      </c>
      <c r="F2611" s="705">
        <v>1</v>
      </c>
      <c r="G2611" s="705">
        <v>57</v>
      </c>
      <c r="H2611" s="705">
        <v>340</v>
      </c>
      <c r="I2611" s="705">
        <v>11834</v>
      </c>
      <c r="J2611" s="705">
        <v>10758</v>
      </c>
      <c r="K2611" s="705">
        <v>95</v>
      </c>
      <c r="L2611" s="705">
        <v>2082</v>
      </c>
      <c r="M2611" s="705">
        <v>1893</v>
      </c>
      <c r="N2611" s="705">
        <v>698</v>
      </c>
      <c r="O2611" s="705">
        <v>259</v>
      </c>
      <c r="P2611" s="705">
        <v>621</v>
      </c>
      <c r="Q2611" s="705">
        <v>230</v>
      </c>
      <c r="R2611" s="705">
        <v>4261</v>
      </c>
      <c r="S2611" s="705">
        <v>1578</v>
      </c>
      <c r="T2611" s="705">
        <v>0</v>
      </c>
      <c r="U2611" s="705">
        <v>0</v>
      </c>
      <c r="V2611" s="705">
        <v>14717</v>
      </c>
      <c r="W2611" s="705">
        <f t="shared" si="102"/>
        <v>14718</v>
      </c>
      <c r="X2611" s="705">
        <f t="shared" si="103"/>
        <v>19496</v>
      </c>
    </row>
    <row r="2612" spans="2:24">
      <c r="B2612" t="s">
        <v>557</v>
      </c>
      <c r="C2612" t="s">
        <v>120</v>
      </c>
      <c r="D2612" t="s">
        <v>583</v>
      </c>
      <c r="E2612" t="s">
        <v>583</v>
      </c>
      <c r="F2612" s="705">
        <v>368</v>
      </c>
      <c r="G2612" s="705">
        <v>37355</v>
      </c>
      <c r="H2612" s="705">
        <v>125449</v>
      </c>
      <c r="I2612" s="705">
        <v>7623422</v>
      </c>
      <c r="J2612" s="705">
        <v>6930383</v>
      </c>
      <c r="K2612" s="705">
        <v>77</v>
      </c>
      <c r="L2612" s="705">
        <v>1648457</v>
      </c>
      <c r="M2612" s="705">
        <v>1399448</v>
      </c>
      <c r="N2612" s="705">
        <v>757514</v>
      </c>
      <c r="O2612" s="705">
        <v>280561</v>
      </c>
      <c r="P2612" s="705">
        <v>235589</v>
      </c>
      <c r="Q2612" s="705">
        <v>87255</v>
      </c>
      <c r="R2612" s="705">
        <v>1787560</v>
      </c>
      <c r="S2612" s="705">
        <v>1625054</v>
      </c>
      <c r="T2612" s="705">
        <v>744155</v>
      </c>
      <c r="U2612" s="705">
        <v>275613</v>
      </c>
      <c r="V2612" s="705">
        <v>10598314</v>
      </c>
      <c r="W2612" s="705">
        <f t="shared" si="102"/>
        <v>10598314</v>
      </c>
      <c r="X2612" s="705">
        <f t="shared" si="103"/>
        <v>12796697</v>
      </c>
    </row>
    <row r="2613" spans="2:24">
      <c r="B2613" t="s">
        <v>557</v>
      </c>
      <c r="C2613" t="s">
        <v>120</v>
      </c>
      <c r="D2613" t="s">
        <v>666</v>
      </c>
      <c r="E2613" t="s">
        <v>666</v>
      </c>
      <c r="F2613" s="705">
        <v>8</v>
      </c>
      <c r="G2613" s="705">
        <v>743</v>
      </c>
      <c r="H2613" s="705">
        <v>2615</v>
      </c>
      <c r="I2613" s="705">
        <v>148599</v>
      </c>
      <c r="J2613" s="705">
        <v>135090</v>
      </c>
      <c r="K2613" s="705">
        <v>49</v>
      </c>
      <c r="L2613" s="705">
        <v>18346</v>
      </c>
      <c r="M2613" s="705">
        <v>18899</v>
      </c>
      <c r="N2613" s="705">
        <v>13474</v>
      </c>
      <c r="O2613" s="705">
        <v>4990</v>
      </c>
      <c r="P2613" s="705">
        <v>3078</v>
      </c>
      <c r="Q2613" s="705">
        <v>1140</v>
      </c>
      <c r="R2613" s="705">
        <v>45368</v>
      </c>
      <c r="S2613" s="705">
        <v>41243</v>
      </c>
      <c r="T2613" s="705">
        <v>13029</v>
      </c>
      <c r="U2613" s="705">
        <v>4825</v>
      </c>
      <c r="V2613" s="705">
        <v>206188</v>
      </c>
      <c r="W2613" s="705">
        <f t="shared" si="102"/>
        <v>206187</v>
      </c>
      <c r="X2613" s="705">
        <f t="shared" si="103"/>
        <v>241894</v>
      </c>
    </row>
    <row r="2614" spans="2:24">
      <c r="B2614" t="s">
        <v>557</v>
      </c>
      <c r="C2614" t="s">
        <v>120</v>
      </c>
      <c r="D2614" t="s">
        <v>584</v>
      </c>
      <c r="E2614" t="s">
        <v>584</v>
      </c>
      <c r="F2614" s="705">
        <v>3</v>
      </c>
      <c r="G2614" s="705">
        <v>231</v>
      </c>
      <c r="H2614" s="705">
        <v>1032</v>
      </c>
      <c r="I2614" s="705">
        <v>49502</v>
      </c>
      <c r="J2614" s="705">
        <v>45002</v>
      </c>
      <c r="K2614" s="705">
        <v>79</v>
      </c>
      <c r="L2614" s="705">
        <v>11113</v>
      </c>
      <c r="M2614" s="705">
        <v>9789</v>
      </c>
      <c r="N2614" s="705">
        <v>3954</v>
      </c>
      <c r="O2614" s="705">
        <v>1465</v>
      </c>
      <c r="P2614" s="705">
        <v>1418</v>
      </c>
      <c r="Q2614" s="705">
        <v>525</v>
      </c>
      <c r="R2614" s="705">
        <v>12129</v>
      </c>
      <c r="S2614" s="705">
        <v>11027</v>
      </c>
      <c r="T2614" s="705">
        <v>2283</v>
      </c>
      <c r="U2614" s="705">
        <v>846</v>
      </c>
      <c r="V2614" s="705">
        <v>68653</v>
      </c>
      <c r="W2614" s="705">
        <f t="shared" si="102"/>
        <v>68654</v>
      </c>
      <c r="X2614" s="705">
        <f t="shared" si="103"/>
        <v>80399</v>
      </c>
    </row>
    <row r="2615" spans="2:24">
      <c r="B2615" t="s">
        <v>557</v>
      </c>
      <c r="C2615" t="s">
        <v>120</v>
      </c>
      <c r="D2615" t="s">
        <v>669</v>
      </c>
      <c r="E2615" t="s">
        <v>228</v>
      </c>
      <c r="F2615" s="705">
        <v>1</v>
      </c>
      <c r="G2615" s="705">
        <v>93</v>
      </c>
      <c r="H2615" s="705">
        <v>314</v>
      </c>
      <c r="I2615" s="705">
        <v>21942</v>
      </c>
      <c r="J2615" s="705">
        <v>18285</v>
      </c>
      <c r="K2615" s="705">
        <v>55</v>
      </c>
      <c r="L2615" s="705">
        <v>0</v>
      </c>
      <c r="M2615" s="705">
        <v>0</v>
      </c>
      <c r="N2615" s="705">
        <v>2129</v>
      </c>
      <c r="O2615" s="705">
        <v>789</v>
      </c>
      <c r="P2615" s="705">
        <v>351</v>
      </c>
      <c r="Q2615" s="705">
        <v>130</v>
      </c>
      <c r="R2615" s="705">
        <v>4889</v>
      </c>
      <c r="S2615" s="705">
        <v>1811</v>
      </c>
      <c r="T2615" s="705">
        <v>0</v>
      </c>
      <c r="U2615" s="705">
        <v>0</v>
      </c>
      <c r="V2615" s="705">
        <v>21015</v>
      </c>
      <c r="W2615" s="705">
        <f t="shared" si="102"/>
        <v>21015</v>
      </c>
      <c r="X2615" s="705">
        <f t="shared" si="103"/>
        <v>29311</v>
      </c>
    </row>
    <row r="2616" spans="2:24">
      <c r="B2616" t="s">
        <v>557</v>
      </c>
      <c r="C2616" t="s">
        <v>120</v>
      </c>
      <c r="D2616" t="s">
        <v>669</v>
      </c>
      <c r="E2616" t="s">
        <v>669</v>
      </c>
      <c r="F2616" s="705">
        <v>195</v>
      </c>
      <c r="G2616" s="705">
        <v>16236</v>
      </c>
      <c r="H2616" s="705">
        <v>66860</v>
      </c>
      <c r="I2616" s="705">
        <v>3119826</v>
      </c>
      <c r="J2616" s="705">
        <v>2599855</v>
      </c>
      <c r="K2616" s="705">
        <v>50</v>
      </c>
      <c r="L2616" s="705">
        <v>399439</v>
      </c>
      <c r="M2616" s="705">
        <v>324092</v>
      </c>
      <c r="N2616" s="705">
        <v>304148</v>
      </c>
      <c r="O2616" s="705">
        <v>112647</v>
      </c>
      <c r="P2616" s="705">
        <v>72198</v>
      </c>
      <c r="Q2616" s="705">
        <v>26740</v>
      </c>
      <c r="R2616" s="705">
        <v>1355564</v>
      </c>
      <c r="S2616" s="705">
        <v>1129637</v>
      </c>
      <c r="T2616" s="705">
        <v>326323</v>
      </c>
      <c r="U2616" s="705">
        <v>120860</v>
      </c>
      <c r="V2616" s="705">
        <v>4313832</v>
      </c>
      <c r="W2616" s="705">
        <f t="shared" si="102"/>
        <v>4313831</v>
      </c>
      <c r="X2616" s="705">
        <f t="shared" si="103"/>
        <v>5577498</v>
      </c>
    </row>
    <row r="2617" spans="2:24">
      <c r="B2617" t="s">
        <v>557</v>
      </c>
      <c r="C2617" t="s">
        <v>120</v>
      </c>
      <c r="D2617" t="s">
        <v>667</v>
      </c>
      <c r="E2617" t="s">
        <v>667</v>
      </c>
      <c r="F2617" s="705">
        <v>3</v>
      </c>
      <c r="G2617" s="705">
        <v>228</v>
      </c>
      <c r="H2617" s="705">
        <v>1071</v>
      </c>
      <c r="I2617" s="705">
        <v>45670</v>
      </c>
      <c r="J2617" s="705">
        <v>41518</v>
      </c>
      <c r="K2617" s="705">
        <v>52</v>
      </c>
      <c r="L2617" s="705">
        <v>8209</v>
      </c>
      <c r="M2617" s="705">
        <v>7099</v>
      </c>
      <c r="N2617" s="705">
        <v>4973</v>
      </c>
      <c r="O2617" s="705">
        <v>1842</v>
      </c>
      <c r="P2617" s="705">
        <v>1053</v>
      </c>
      <c r="Q2617" s="705">
        <v>390</v>
      </c>
      <c r="R2617" s="705">
        <v>17087</v>
      </c>
      <c r="S2617" s="705">
        <v>15534</v>
      </c>
      <c r="T2617" s="705">
        <v>4405</v>
      </c>
      <c r="U2617" s="705">
        <v>1631</v>
      </c>
      <c r="V2617" s="705">
        <v>68014</v>
      </c>
      <c r="W2617" s="705">
        <f t="shared" si="102"/>
        <v>68014</v>
      </c>
      <c r="X2617" s="705">
        <f t="shared" si="103"/>
        <v>81397</v>
      </c>
    </row>
    <row r="2618" spans="2:24">
      <c r="B2618" t="s">
        <v>557</v>
      </c>
      <c r="C2618" t="s">
        <v>120</v>
      </c>
      <c r="D2618" t="s">
        <v>671</v>
      </c>
      <c r="E2618" t="s">
        <v>671</v>
      </c>
      <c r="F2618" s="705">
        <v>21</v>
      </c>
      <c r="G2618" s="705">
        <v>1587</v>
      </c>
      <c r="H2618" s="705">
        <v>6974</v>
      </c>
      <c r="I2618" s="705">
        <v>300034</v>
      </c>
      <c r="J2618" s="705">
        <v>272758</v>
      </c>
      <c r="K2618" s="705">
        <v>54</v>
      </c>
      <c r="L2618" s="705">
        <v>40683</v>
      </c>
      <c r="M2618" s="705">
        <v>33200</v>
      </c>
      <c r="N2618" s="705">
        <v>24838</v>
      </c>
      <c r="O2618" s="705">
        <v>9199</v>
      </c>
      <c r="P2618" s="705">
        <v>7371</v>
      </c>
      <c r="Q2618" s="705">
        <v>2730</v>
      </c>
      <c r="R2618" s="705">
        <v>142727</v>
      </c>
      <c r="S2618" s="705">
        <v>129752</v>
      </c>
      <c r="T2618" s="705">
        <v>11875</v>
      </c>
      <c r="U2618" s="705">
        <v>4398</v>
      </c>
      <c r="V2618" s="705">
        <v>452038</v>
      </c>
      <c r="W2618" s="705">
        <f t="shared" si="102"/>
        <v>452037</v>
      </c>
      <c r="X2618" s="705">
        <f t="shared" si="103"/>
        <v>527528</v>
      </c>
    </row>
    <row r="2619" spans="2:24">
      <c r="B2619" t="s">
        <v>557</v>
      </c>
      <c r="C2619" t="s">
        <v>120</v>
      </c>
      <c r="D2619" t="s">
        <v>665</v>
      </c>
      <c r="E2619" t="s">
        <v>228</v>
      </c>
      <c r="F2619" s="705">
        <v>1</v>
      </c>
      <c r="G2619" s="705">
        <v>87</v>
      </c>
      <c r="H2619" s="705">
        <v>368</v>
      </c>
      <c r="I2619" s="705">
        <v>13107</v>
      </c>
      <c r="J2619" s="705">
        <v>11915</v>
      </c>
      <c r="K2619" s="705">
        <v>45</v>
      </c>
      <c r="L2619" s="705">
        <v>2185</v>
      </c>
      <c r="M2619" s="705">
        <v>1986</v>
      </c>
      <c r="N2619" s="705">
        <v>1641</v>
      </c>
      <c r="O2619" s="705">
        <v>608</v>
      </c>
      <c r="P2619" s="705">
        <v>0</v>
      </c>
      <c r="Q2619" s="705">
        <v>0</v>
      </c>
      <c r="R2619" s="705">
        <v>15254</v>
      </c>
      <c r="S2619" s="705">
        <v>5650</v>
      </c>
      <c r="T2619" s="705">
        <v>0</v>
      </c>
      <c r="U2619" s="705">
        <v>0</v>
      </c>
      <c r="V2619" s="705">
        <v>20159</v>
      </c>
      <c r="W2619" s="705">
        <f t="shared" si="102"/>
        <v>20159</v>
      </c>
      <c r="X2619" s="705">
        <f t="shared" si="103"/>
        <v>32187</v>
      </c>
    </row>
    <row r="2620" spans="2:24">
      <c r="B2620" t="s">
        <v>557</v>
      </c>
      <c r="C2620" t="s">
        <v>120</v>
      </c>
      <c r="D2620" t="s">
        <v>665</v>
      </c>
      <c r="E2620" t="s">
        <v>665</v>
      </c>
      <c r="F2620" s="705">
        <v>155</v>
      </c>
      <c r="G2620" s="705">
        <v>12566</v>
      </c>
      <c r="H2620" s="705">
        <v>52313</v>
      </c>
      <c r="I2620" s="705">
        <v>2423747</v>
      </c>
      <c r="J2620" s="705">
        <v>2203406</v>
      </c>
      <c r="K2620" s="705">
        <v>50</v>
      </c>
      <c r="L2620" s="705">
        <v>340289</v>
      </c>
      <c r="M2620" s="705">
        <v>301583</v>
      </c>
      <c r="N2620" s="705">
        <v>266638</v>
      </c>
      <c r="O2620" s="705">
        <v>98755</v>
      </c>
      <c r="P2620" s="705">
        <v>55944</v>
      </c>
      <c r="Q2620" s="705">
        <v>20720</v>
      </c>
      <c r="R2620" s="705">
        <v>881926</v>
      </c>
      <c r="S2620" s="705">
        <v>801751</v>
      </c>
      <c r="T2620" s="705">
        <v>326213</v>
      </c>
      <c r="U2620" s="705">
        <v>120820</v>
      </c>
      <c r="V2620" s="705">
        <v>3547035</v>
      </c>
      <c r="W2620" s="705">
        <f t="shared" si="102"/>
        <v>3547035</v>
      </c>
      <c r="X2620" s="705">
        <f t="shared" si="103"/>
        <v>4294757</v>
      </c>
    </row>
    <row r="2621" spans="2:24">
      <c r="B2621" t="s">
        <v>557</v>
      </c>
      <c r="C2621" t="s">
        <v>120</v>
      </c>
      <c r="D2621" t="s">
        <v>585</v>
      </c>
      <c r="E2621" t="s">
        <v>585</v>
      </c>
      <c r="F2621" s="705">
        <v>4</v>
      </c>
      <c r="G2621" s="705">
        <v>336</v>
      </c>
      <c r="H2621" s="705">
        <v>1429</v>
      </c>
      <c r="I2621" s="705">
        <v>79768</v>
      </c>
      <c r="J2621" s="705">
        <v>72517</v>
      </c>
      <c r="K2621" s="705">
        <v>70</v>
      </c>
      <c r="L2621" s="705">
        <v>8901</v>
      </c>
      <c r="M2621" s="705">
        <v>8092</v>
      </c>
      <c r="N2621" s="705">
        <v>7012</v>
      </c>
      <c r="O2621" s="705">
        <v>2597</v>
      </c>
      <c r="P2621" s="705">
        <v>1404</v>
      </c>
      <c r="Q2621" s="705">
        <v>520</v>
      </c>
      <c r="R2621" s="705">
        <v>18637</v>
      </c>
      <c r="S2621" s="705">
        <v>16943</v>
      </c>
      <c r="T2621" s="705">
        <v>4639</v>
      </c>
      <c r="U2621" s="705">
        <v>1718</v>
      </c>
      <c r="V2621" s="705">
        <v>102387</v>
      </c>
      <c r="W2621" s="705">
        <f t="shared" si="102"/>
        <v>102387</v>
      </c>
      <c r="X2621" s="705">
        <f t="shared" si="103"/>
        <v>120361</v>
      </c>
    </row>
    <row r="2622" spans="2:24">
      <c r="B2622" t="s">
        <v>557</v>
      </c>
      <c r="C2622" t="s">
        <v>122</v>
      </c>
      <c r="D2622" t="s">
        <v>228</v>
      </c>
      <c r="E2622" t="s">
        <v>228</v>
      </c>
      <c r="F2622" s="705">
        <v>22</v>
      </c>
      <c r="G2622" s="705">
        <v>1703</v>
      </c>
      <c r="H2622" s="705">
        <v>9267</v>
      </c>
      <c r="I2622" s="705">
        <v>482970</v>
      </c>
      <c r="J2622" s="705">
        <v>178878</v>
      </c>
      <c r="K2622" s="705">
        <v>100</v>
      </c>
      <c r="L2622" s="705">
        <v>55791</v>
      </c>
      <c r="M2622" s="705">
        <v>39210</v>
      </c>
      <c r="N2622" s="705">
        <v>37632</v>
      </c>
      <c r="O2622" s="705">
        <v>13938</v>
      </c>
      <c r="P2622" s="705">
        <v>1451</v>
      </c>
      <c r="Q2622" s="705">
        <v>537</v>
      </c>
      <c r="R2622" s="705">
        <v>152053</v>
      </c>
      <c r="S2622" s="705">
        <v>56316</v>
      </c>
      <c r="T2622" s="705">
        <v>0</v>
      </c>
      <c r="U2622" s="705">
        <v>0</v>
      </c>
      <c r="V2622" s="705">
        <v>288878</v>
      </c>
      <c r="W2622" s="705">
        <f t="shared" si="102"/>
        <v>288879</v>
      </c>
      <c r="X2622" s="705">
        <f t="shared" si="103"/>
        <v>729897</v>
      </c>
    </row>
    <row r="2623" spans="2:24">
      <c r="B2623" t="s">
        <v>557</v>
      </c>
      <c r="C2623" t="s">
        <v>122</v>
      </c>
      <c r="D2623" t="s">
        <v>228</v>
      </c>
      <c r="E2623" t="s">
        <v>669</v>
      </c>
      <c r="F2623" s="705">
        <v>2</v>
      </c>
      <c r="G2623" s="705">
        <v>201</v>
      </c>
      <c r="H2623" s="705">
        <v>869</v>
      </c>
      <c r="I2623" s="705">
        <v>60819</v>
      </c>
      <c r="J2623" s="705">
        <v>22526</v>
      </c>
      <c r="K2623" s="705">
        <v>100</v>
      </c>
      <c r="L2623" s="705">
        <v>4839</v>
      </c>
      <c r="M2623" s="705">
        <v>4033</v>
      </c>
      <c r="N2623" s="705">
        <v>3717</v>
      </c>
      <c r="O2623" s="705">
        <v>1377</v>
      </c>
      <c r="P2623" s="705">
        <v>0</v>
      </c>
      <c r="Q2623" s="705">
        <v>0</v>
      </c>
      <c r="R2623" s="705">
        <v>15003</v>
      </c>
      <c r="S2623" s="705">
        <v>12503</v>
      </c>
      <c r="T2623" s="705">
        <v>2963</v>
      </c>
      <c r="U2623" s="705">
        <v>1097</v>
      </c>
      <c r="V2623" s="705">
        <v>41535</v>
      </c>
      <c r="W2623" s="705">
        <f t="shared" si="102"/>
        <v>41536</v>
      </c>
      <c r="X2623" s="705">
        <f t="shared" si="103"/>
        <v>87341</v>
      </c>
    </row>
    <row r="2624" spans="2:24">
      <c r="B2624" t="s">
        <v>557</v>
      </c>
      <c r="C2624" t="s">
        <v>122</v>
      </c>
      <c r="D2624" t="s">
        <v>228</v>
      </c>
      <c r="E2624" t="s">
        <v>665</v>
      </c>
      <c r="F2624" s="705">
        <v>1</v>
      </c>
      <c r="G2624" s="705">
        <v>82</v>
      </c>
      <c r="H2624" s="705">
        <v>441</v>
      </c>
      <c r="I2624" s="705">
        <v>21578</v>
      </c>
      <c r="J2624" s="705">
        <v>7992</v>
      </c>
      <c r="K2624" s="705">
        <v>100</v>
      </c>
      <c r="L2624" s="705">
        <v>2171</v>
      </c>
      <c r="M2624" s="705">
        <v>1973</v>
      </c>
      <c r="N2624" s="705">
        <v>1988</v>
      </c>
      <c r="O2624" s="705">
        <v>736</v>
      </c>
      <c r="P2624" s="705">
        <v>0</v>
      </c>
      <c r="Q2624" s="705">
        <v>0</v>
      </c>
      <c r="R2624" s="705">
        <v>7329</v>
      </c>
      <c r="S2624" s="705">
        <v>6663</v>
      </c>
      <c r="T2624" s="705">
        <v>2900</v>
      </c>
      <c r="U2624" s="705">
        <v>1074</v>
      </c>
      <c r="V2624" s="705">
        <v>18438</v>
      </c>
      <c r="W2624" s="705">
        <f t="shared" si="102"/>
        <v>18438</v>
      </c>
      <c r="X2624" s="705">
        <f t="shared" si="103"/>
        <v>35966</v>
      </c>
    </row>
    <row r="2625" spans="2:24">
      <c r="B2625" t="s">
        <v>557</v>
      </c>
      <c r="C2625" t="s">
        <v>122</v>
      </c>
      <c r="D2625" t="s">
        <v>583</v>
      </c>
      <c r="E2625" t="s">
        <v>582</v>
      </c>
      <c r="F2625" s="705">
        <v>1</v>
      </c>
      <c r="G2625" s="705">
        <v>142</v>
      </c>
      <c r="H2625" s="705">
        <v>406</v>
      </c>
      <c r="I2625" s="705">
        <v>41998</v>
      </c>
      <c r="J2625" s="705">
        <v>38180</v>
      </c>
      <c r="K2625" s="705">
        <v>75</v>
      </c>
      <c r="L2625" s="705">
        <v>5545</v>
      </c>
      <c r="M2625" s="705">
        <v>5041</v>
      </c>
      <c r="N2625" s="705">
        <v>2676</v>
      </c>
      <c r="O2625" s="705">
        <v>991</v>
      </c>
      <c r="P2625" s="705">
        <v>621</v>
      </c>
      <c r="Q2625" s="705">
        <v>230</v>
      </c>
      <c r="R2625" s="705">
        <v>6690</v>
      </c>
      <c r="S2625" s="705">
        <v>6082</v>
      </c>
      <c r="T2625" s="705">
        <v>0</v>
      </c>
      <c r="U2625" s="705">
        <v>0</v>
      </c>
      <c r="V2625" s="705">
        <v>50525</v>
      </c>
      <c r="W2625" s="705">
        <f t="shared" si="102"/>
        <v>50524</v>
      </c>
      <c r="X2625" s="705">
        <f t="shared" si="103"/>
        <v>57530</v>
      </c>
    </row>
    <row r="2626" spans="2:24">
      <c r="B2626" t="s">
        <v>557</v>
      </c>
      <c r="C2626" t="s">
        <v>122</v>
      </c>
      <c r="D2626" t="s">
        <v>583</v>
      </c>
      <c r="E2626" t="s">
        <v>228</v>
      </c>
      <c r="F2626" s="705">
        <v>3</v>
      </c>
      <c r="G2626" s="705">
        <v>226</v>
      </c>
      <c r="H2626" s="705">
        <v>1207</v>
      </c>
      <c r="I2626" s="705">
        <v>61989</v>
      </c>
      <c r="J2626" s="705">
        <v>56354</v>
      </c>
      <c r="K2626" s="705">
        <v>72</v>
      </c>
      <c r="L2626" s="705">
        <v>6942</v>
      </c>
      <c r="M2626" s="705">
        <v>5785</v>
      </c>
      <c r="N2626" s="705">
        <v>5218</v>
      </c>
      <c r="O2626" s="705">
        <v>1933</v>
      </c>
      <c r="P2626" s="705">
        <v>1863</v>
      </c>
      <c r="Q2626" s="705">
        <v>690</v>
      </c>
      <c r="R2626" s="705">
        <v>14238</v>
      </c>
      <c r="S2626" s="705">
        <v>5273</v>
      </c>
      <c r="T2626" s="705">
        <v>0</v>
      </c>
      <c r="U2626" s="705">
        <v>0</v>
      </c>
      <c r="V2626" s="705">
        <v>70035</v>
      </c>
      <c r="W2626" s="705">
        <f t="shared" si="102"/>
        <v>70035</v>
      </c>
      <c r="X2626" s="705">
        <f t="shared" si="103"/>
        <v>90250</v>
      </c>
    </row>
    <row r="2627" spans="2:24">
      <c r="B2627" t="s">
        <v>557</v>
      </c>
      <c r="C2627" t="s">
        <v>122</v>
      </c>
      <c r="D2627" t="s">
        <v>583</v>
      </c>
      <c r="E2627" t="s">
        <v>583</v>
      </c>
      <c r="F2627" s="705">
        <v>163</v>
      </c>
      <c r="G2627" s="705">
        <v>15582</v>
      </c>
      <c r="H2627" s="705">
        <v>67530</v>
      </c>
      <c r="I2627" s="705">
        <v>4072826</v>
      </c>
      <c r="J2627" s="705">
        <v>3702569</v>
      </c>
      <c r="K2627" s="705">
        <v>74</v>
      </c>
      <c r="L2627" s="705">
        <v>859486</v>
      </c>
      <c r="M2627" s="705">
        <v>746572</v>
      </c>
      <c r="N2627" s="705">
        <v>324139</v>
      </c>
      <c r="O2627" s="705">
        <v>120052</v>
      </c>
      <c r="P2627" s="705">
        <v>104733</v>
      </c>
      <c r="Q2627" s="705">
        <v>38790</v>
      </c>
      <c r="R2627" s="705">
        <v>825125</v>
      </c>
      <c r="S2627" s="705">
        <v>750114</v>
      </c>
      <c r="T2627" s="705">
        <v>309960</v>
      </c>
      <c r="U2627" s="705">
        <v>114800</v>
      </c>
      <c r="V2627" s="705">
        <v>5472897</v>
      </c>
      <c r="W2627" s="705">
        <f t="shared" si="102"/>
        <v>5472897</v>
      </c>
      <c r="X2627" s="705">
        <f t="shared" si="103"/>
        <v>6496269</v>
      </c>
    </row>
    <row r="2628" spans="2:24">
      <c r="B2628" t="s">
        <v>557</v>
      </c>
      <c r="C2628" t="s">
        <v>122</v>
      </c>
      <c r="D2628" t="s">
        <v>583</v>
      </c>
      <c r="E2628" t="s">
        <v>665</v>
      </c>
      <c r="F2628" s="705">
        <v>1</v>
      </c>
      <c r="G2628" s="705">
        <v>107</v>
      </c>
      <c r="H2628" s="705">
        <v>395</v>
      </c>
      <c r="I2628" s="705">
        <v>27887</v>
      </c>
      <c r="J2628" s="705">
        <v>25351</v>
      </c>
      <c r="K2628" s="705">
        <v>65</v>
      </c>
      <c r="L2628" s="705">
        <v>3482</v>
      </c>
      <c r="M2628" s="705">
        <v>2901</v>
      </c>
      <c r="N2628" s="705">
        <v>2323</v>
      </c>
      <c r="O2628" s="705">
        <v>860</v>
      </c>
      <c r="P2628" s="705">
        <v>621</v>
      </c>
      <c r="Q2628" s="705">
        <v>230</v>
      </c>
      <c r="R2628" s="705">
        <v>5056</v>
      </c>
      <c r="S2628" s="705">
        <v>4597</v>
      </c>
      <c r="T2628" s="705">
        <v>2688</v>
      </c>
      <c r="U2628" s="705">
        <v>995</v>
      </c>
      <c r="V2628" s="705">
        <v>34935</v>
      </c>
      <c r="W2628" s="705">
        <f t="shared" si="102"/>
        <v>34934</v>
      </c>
      <c r="X2628" s="705">
        <f t="shared" si="103"/>
        <v>42057</v>
      </c>
    </row>
    <row r="2629" spans="2:24">
      <c r="B2629" t="s">
        <v>557</v>
      </c>
      <c r="C2629" t="s">
        <v>122</v>
      </c>
      <c r="D2629" t="s">
        <v>666</v>
      </c>
      <c r="E2629" t="s">
        <v>583</v>
      </c>
      <c r="F2629" s="705">
        <v>1</v>
      </c>
      <c r="G2629" s="705">
        <v>69</v>
      </c>
      <c r="H2629" s="705">
        <v>398</v>
      </c>
      <c r="I2629" s="705">
        <v>14827</v>
      </c>
      <c r="J2629" s="705">
        <v>13479</v>
      </c>
      <c r="K2629" s="705">
        <v>55</v>
      </c>
      <c r="L2629" s="705">
        <v>3020</v>
      </c>
      <c r="M2629" s="705">
        <v>2746</v>
      </c>
      <c r="N2629" s="705">
        <v>1171</v>
      </c>
      <c r="O2629" s="705">
        <v>434</v>
      </c>
      <c r="P2629" s="705">
        <v>351</v>
      </c>
      <c r="Q2629" s="705">
        <v>130</v>
      </c>
      <c r="R2629" s="705">
        <v>7954</v>
      </c>
      <c r="S2629" s="705">
        <v>7231</v>
      </c>
      <c r="T2629" s="705">
        <v>0</v>
      </c>
      <c r="U2629" s="705">
        <v>0</v>
      </c>
      <c r="V2629" s="705">
        <v>24020</v>
      </c>
      <c r="W2629" s="705">
        <f t="shared" si="102"/>
        <v>24020</v>
      </c>
      <c r="X2629" s="705">
        <f t="shared" si="103"/>
        <v>27323</v>
      </c>
    </row>
    <row r="2630" spans="2:24">
      <c r="B2630" t="s">
        <v>557</v>
      </c>
      <c r="C2630" t="s">
        <v>122</v>
      </c>
      <c r="D2630" t="s">
        <v>584</v>
      </c>
      <c r="E2630" t="s">
        <v>584</v>
      </c>
      <c r="F2630" s="705">
        <v>1</v>
      </c>
      <c r="G2630" s="705">
        <v>94</v>
      </c>
      <c r="H2630" s="705">
        <v>416</v>
      </c>
      <c r="I2630" s="705">
        <v>33663</v>
      </c>
      <c r="J2630" s="705">
        <v>30602</v>
      </c>
      <c r="K2630" s="705">
        <v>79</v>
      </c>
      <c r="L2630" s="705">
        <v>0</v>
      </c>
      <c r="M2630" s="705">
        <v>0</v>
      </c>
      <c r="N2630" s="705">
        <v>1954</v>
      </c>
      <c r="O2630" s="705">
        <v>724</v>
      </c>
      <c r="P2630" s="705">
        <v>473</v>
      </c>
      <c r="Q2630" s="705">
        <v>175</v>
      </c>
      <c r="R2630" s="705">
        <v>3157</v>
      </c>
      <c r="S2630" s="705">
        <v>2870</v>
      </c>
      <c r="T2630" s="705">
        <v>0</v>
      </c>
      <c r="U2630" s="705">
        <v>0</v>
      </c>
      <c r="V2630" s="705">
        <v>34371</v>
      </c>
      <c r="W2630" s="705">
        <f t="shared" si="102"/>
        <v>34371</v>
      </c>
      <c r="X2630" s="705">
        <f t="shared" si="103"/>
        <v>39247</v>
      </c>
    </row>
    <row r="2631" spans="2:24">
      <c r="B2631" t="s">
        <v>557</v>
      </c>
      <c r="C2631" t="s">
        <v>122</v>
      </c>
      <c r="D2631" t="s">
        <v>669</v>
      </c>
      <c r="E2631" t="s">
        <v>669</v>
      </c>
      <c r="F2631" s="705">
        <v>83</v>
      </c>
      <c r="G2631" s="705">
        <v>6540</v>
      </c>
      <c r="H2631" s="705">
        <v>33952</v>
      </c>
      <c r="I2631" s="705">
        <v>1565255</v>
      </c>
      <c r="J2631" s="705">
        <v>1304379</v>
      </c>
      <c r="K2631" s="705">
        <v>49</v>
      </c>
      <c r="L2631" s="705">
        <v>230588</v>
      </c>
      <c r="M2631" s="705">
        <v>180527</v>
      </c>
      <c r="N2631" s="705">
        <v>121517</v>
      </c>
      <c r="O2631" s="705">
        <v>45006</v>
      </c>
      <c r="P2631" s="705">
        <v>29403</v>
      </c>
      <c r="Q2631" s="705">
        <v>10890</v>
      </c>
      <c r="R2631" s="705">
        <v>634198</v>
      </c>
      <c r="S2631" s="705">
        <v>528498</v>
      </c>
      <c r="T2631" s="705">
        <v>96856</v>
      </c>
      <c r="U2631" s="705">
        <v>35872</v>
      </c>
      <c r="V2631" s="705">
        <v>2105173</v>
      </c>
      <c r="W2631" s="705">
        <f t="shared" si="102"/>
        <v>2105172</v>
      </c>
      <c r="X2631" s="705">
        <f t="shared" si="103"/>
        <v>2677817</v>
      </c>
    </row>
    <row r="2632" spans="2:24">
      <c r="B2632" t="s">
        <v>557</v>
      </c>
      <c r="C2632" t="s">
        <v>122</v>
      </c>
      <c r="D2632" t="s">
        <v>667</v>
      </c>
      <c r="E2632" t="s">
        <v>667</v>
      </c>
      <c r="F2632" s="705">
        <v>4</v>
      </c>
      <c r="G2632" s="705">
        <v>286</v>
      </c>
      <c r="H2632" s="705">
        <v>1727</v>
      </c>
      <c r="I2632" s="705">
        <v>76579</v>
      </c>
      <c r="J2632" s="705">
        <v>69617</v>
      </c>
      <c r="K2632" s="705">
        <v>41</v>
      </c>
      <c r="L2632" s="705">
        <v>7288</v>
      </c>
      <c r="M2632" s="705">
        <v>6626</v>
      </c>
      <c r="N2632" s="705">
        <v>6268</v>
      </c>
      <c r="O2632" s="705">
        <v>2321</v>
      </c>
      <c r="P2632" s="705">
        <v>1323</v>
      </c>
      <c r="Q2632" s="705">
        <v>490</v>
      </c>
      <c r="R2632" s="705">
        <v>23715</v>
      </c>
      <c r="S2632" s="705">
        <v>21559</v>
      </c>
      <c r="T2632" s="705">
        <v>8553</v>
      </c>
      <c r="U2632" s="705">
        <v>3168</v>
      </c>
      <c r="V2632" s="705">
        <v>103781</v>
      </c>
      <c r="W2632" s="705">
        <f t="shared" si="102"/>
        <v>103781</v>
      </c>
      <c r="X2632" s="705">
        <f t="shared" si="103"/>
        <v>123726</v>
      </c>
    </row>
    <row r="2633" spans="2:24">
      <c r="B2633" t="s">
        <v>557</v>
      </c>
      <c r="C2633" t="s">
        <v>122</v>
      </c>
      <c r="D2633" t="s">
        <v>671</v>
      </c>
      <c r="E2633" t="s">
        <v>671</v>
      </c>
      <c r="F2633" s="705">
        <v>7</v>
      </c>
      <c r="G2633" s="705">
        <v>523</v>
      </c>
      <c r="H2633" s="705">
        <v>2829</v>
      </c>
      <c r="I2633" s="705">
        <v>130507</v>
      </c>
      <c r="J2633" s="705">
        <v>118643</v>
      </c>
      <c r="K2633" s="705">
        <v>52</v>
      </c>
      <c r="L2633" s="705">
        <v>20623</v>
      </c>
      <c r="M2633" s="705">
        <v>17194</v>
      </c>
      <c r="N2633" s="705">
        <v>11439</v>
      </c>
      <c r="O2633" s="705">
        <v>4237</v>
      </c>
      <c r="P2633" s="705">
        <v>2025</v>
      </c>
      <c r="Q2633" s="705">
        <v>750</v>
      </c>
      <c r="R2633" s="705">
        <v>46982</v>
      </c>
      <c r="S2633" s="705">
        <v>42711</v>
      </c>
      <c r="T2633" s="705">
        <v>10689</v>
      </c>
      <c r="U2633" s="705">
        <v>3959</v>
      </c>
      <c r="V2633" s="705">
        <v>187493</v>
      </c>
      <c r="W2633" s="705">
        <f t="shared" si="102"/>
        <v>187494</v>
      </c>
      <c r="X2633" s="705">
        <f t="shared" si="103"/>
        <v>222265</v>
      </c>
    </row>
    <row r="2634" spans="2:24">
      <c r="B2634" t="s">
        <v>557</v>
      </c>
      <c r="C2634" t="s">
        <v>122</v>
      </c>
      <c r="D2634" t="s">
        <v>665</v>
      </c>
      <c r="E2634" t="s">
        <v>665</v>
      </c>
      <c r="F2634" s="705">
        <v>67</v>
      </c>
      <c r="G2634" s="705">
        <v>4460</v>
      </c>
      <c r="H2634" s="705">
        <v>27842</v>
      </c>
      <c r="I2634" s="705">
        <v>1092794</v>
      </c>
      <c r="J2634" s="705">
        <v>993449</v>
      </c>
      <c r="K2634" s="705">
        <v>51</v>
      </c>
      <c r="L2634" s="705">
        <v>125944</v>
      </c>
      <c r="M2634" s="705">
        <v>99599</v>
      </c>
      <c r="N2634" s="705">
        <v>90749</v>
      </c>
      <c r="O2634" s="705">
        <v>33611</v>
      </c>
      <c r="P2634" s="705">
        <v>23004</v>
      </c>
      <c r="Q2634" s="705">
        <v>8520</v>
      </c>
      <c r="R2634" s="705">
        <v>395026</v>
      </c>
      <c r="S2634" s="705">
        <v>359115</v>
      </c>
      <c r="T2634" s="705">
        <v>133384</v>
      </c>
      <c r="U2634" s="705">
        <v>49401</v>
      </c>
      <c r="V2634" s="705">
        <v>1543695</v>
      </c>
      <c r="W2634" s="705">
        <f t="shared" si="102"/>
        <v>1543695</v>
      </c>
      <c r="X2634" s="705">
        <f t="shared" si="103"/>
        <v>1860901</v>
      </c>
    </row>
    <row r="2635" spans="2:24">
      <c r="B2635" t="s">
        <v>557</v>
      </c>
      <c r="C2635" t="s">
        <v>122</v>
      </c>
      <c r="D2635" t="s">
        <v>585</v>
      </c>
      <c r="E2635" t="s">
        <v>585</v>
      </c>
      <c r="F2635" s="705">
        <v>9</v>
      </c>
      <c r="G2635" s="705">
        <v>845</v>
      </c>
      <c r="H2635" s="705">
        <v>3740</v>
      </c>
      <c r="I2635" s="705">
        <v>222559</v>
      </c>
      <c r="J2635" s="705">
        <v>202326</v>
      </c>
      <c r="K2635" s="705">
        <v>80</v>
      </c>
      <c r="L2635" s="705">
        <v>61105</v>
      </c>
      <c r="M2635" s="705">
        <v>55138</v>
      </c>
      <c r="N2635" s="705">
        <v>15338</v>
      </c>
      <c r="O2635" s="705">
        <v>5681</v>
      </c>
      <c r="P2635" s="705">
        <v>3159</v>
      </c>
      <c r="Q2635" s="705">
        <v>1170</v>
      </c>
      <c r="R2635" s="705">
        <v>47696</v>
      </c>
      <c r="S2635" s="705">
        <v>43360</v>
      </c>
      <c r="T2635" s="705">
        <v>0</v>
      </c>
      <c r="U2635" s="705">
        <v>0</v>
      </c>
      <c r="V2635" s="705">
        <v>307675</v>
      </c>
      <c r="W2635" s="705">
        <f t="shared" si="102"/>
        <v>307675</v>
      </c>
      <c r="X2635" s="705">
        <f t="shared" si="103"/>
        <v>349857</v>
      </c>
    </row>
    <row r="2636" spans="2:24">
      <c r="B2636" t="s">
        <v>557</v>
      </c>
      <c r="C2636" t="s">
        <v>124</v>
      </c>
      <c r="F2636" s="705">
        <v>1</v>
      </c>
      <c r="G2636" s="705">
        <v>81</v>
      </c>
      <c r="H2636" s="705">
        <v>495</v>
      </c>
      <c r="I2636" s="705"/>
      <c r="J2636" s="705">
        <v>0</v>
      </c>
      <c r="K2636" s="705"/>
      <c r="L2636" s="705"/>
      <c r="M2636" s="705">
        <v>0</v>
      </c>
      <c r="N2636" s="705">
        <v>1845</v>
      </c>
      <c r="O2636" s="705">
        <v>683</v>
      </c>
      <c r="P2636" s="705">
        <v>0</v>
      </c>
      <c r="Q2636" s="705">
        <v>0</v>
      </c>
      <c r="R2636" s="705"/>
      <c r="S2636" s="705">
        <v>0</v>
      </c>
      <c r="T2636" s="705">
        <v>0</v>
      </c>
      <c r="U2636" s="705">
        <v>0</v>
      </c>
      <c r="V2636" s="705">
        <v>683</v>
      </c>
      <c r="W2636" s="705">
        <f t="shared" si="102"/>
        <v>683</v>
      </c>
      <c r="X2636" s="705">
        <f t="shared" si="103"/>
        <v>1845</v>
      </c>
    </row>
    <row r="2637" spans="2:24">
      <c r="B2637" t="s">
        <v>557</v>
      </c>
      <c r="C2637" t="s">
        <v>124</v>
      </c>
      <c r="D2637" t="s">
        <v>664</v>
      </c>
      <c r="E2637" t="s">
        <v>664</v>
      </c>
      <c r="F2637" s="705">
        <v>1</v>
      </c>
      <c r="G2637" s="705">
        <v>83</v>
      </c>
      <c r="H2637" s="705">
        <v>549</v>
      </c>
      <c r="I2637" s="705">
        <v>30233</v>
      </c>
      <c r="J2637" s="705">
        <v>27485</v>
      </c>
      <c r="K2637" s="705">
        <v>65</v>
      </c>
      <c r="L2637" s="705">
        <v>7549</v>
      </c>
      <c r="M2637" s="705">
        <v>6291</v>
      </c>
      <c r="N2637" s="705">
        <v>1823</v>
      </c>
      <c r="O2637" s="705">
        <v>675</v>
      </c>
      <c r="P2637" s="705">
        <v>473</v>
      </c>
      <c r="Q2637" s="705">
        <v>175</v>
      </c>
      <c r="R2637" s="705">
        <v>3817</v>
      </c>
      <c r="S2637" s="705">
        <v>3470</v>
      </c>
      <c r="T2637" s="705">
        <v>1763</v>
      </c>
      <c r="U2637" s="705">
        <v>653</v>
      </c>
      <c r="V2637" s="705">
        <v>38749</v>
      </c>
      <c r="W2637" s="705">
        <f t="shared" si="102"/>
        <v>38749</v>
      </c>
      <c r="X2637" s="705">
        <f t="shared" si="103"/>
        <v>45658</v>
      </c>
    </row>
    <row r="2638" spans="2:24">
      <c r="B2638" t="s">
        <v>557</v>
      </c>
      <c r="C2638" t="s">
        <v>124</v>
      </c>
      <c r="D2638" t="s">
        <v>228</v>
      </c>
      <c r="E2638" t="s">
        <v>228</v>
      </c>
      <c r="F2638" s="705">
        <v>72</v>
      </c>
      <c r="G2638" s="705">
        <v>5861</v>
      </c>
      <c r="H2638" s="705">
        <v>47459</v>
      </c>
      <c r="I2638" s="705">
        <v>2733144</v>
      </c>
      <c r="J2638" s="705">
        <v>1012275</v>
      </c>
      <c r="K2638" s="705">
        <v>100</v>
      </c>
      <c r="L2638" s="705">
        <v>421781</v>
      </c>
      <c r="M2638" s="705">
        <v>331216</v>
      </c>
      <c r="N2638" s="705">
        <v>131694</v>
      </c>
      <c r="O2638" s="705">
        <v>48775</v>
      </c>
      <c r="P2638" s="705">
        <v>1323</v>
      </c>
      <c r="Q2638" s="705">
        <v>490</v>
      </c>
      <c r="R2638" s="705">
        <v>496756</v>
      </c>
      <c r="S2638" s="705">
        <v>183984</v>
      </c>
      <c r="T2638" s="705">
        <v>7694</v>
      </c>
      <c r="U2638" s="705">
        <v>2850</v>
      </c>
      <c r="V2638" s="705">
        <v>1579590</v>
      </c>
      <c r="W2638" s="705">
        <f t="shared" si="102"/>
        <v>1579590</v>
      </c>
      <c r="X2638" s="705">
        <f t="shared" si="103"/>
        <v>3792392</v>
      </c>
    </row>
    <row r="2639" spans="2:24">
      <c r="B2639" t="s">
        <v>557</v>
      </c>
      <c r="C2639" t="s">
        <v>124</v>
      </c>
      <c r="D2639" t="s">
        <v>228</v>
      </c>
      <c r="E2639" t="s">
        <v>669</v>
      </c>
      <c r="F2639" s="705">
        <v>4</v>
      </c>
      <c r="G2639" s="705">
        <v>341</v>
      </c>
      <c r="H2639" s="705">
        <v>2369</v>
      </c>
      <c r="I2639" s="705">
        <v>146661</v>
      </c>
      <c r="J2639" s="705">
        <v>54319</v>
      </c>
      <c r="K2639" s="705">
        <v>100</v>
      </c>
      <c r="L2639" s="705">
        <v>19426</v>
      </c>
      <c r="M2639" s="705">
        <v>16188</v>
      </c>
      <c r="N2639" s="705">
        <v>8098</v>
      </c>
      <c r="O2639" s="705">
        <v>2999</v>
      </c>
      <c r="P2639" s="705">
        <v>972</v>
      </c>
      <c r="Q2639" s="705">
        <v>360</v>
      </c>
      <c r="R2639" s="705">
        <v>24496</v>
      </c>
      <c r="S2639" s="705">
        <v>20413</v>
      </c>
      <c r="T2639" s="705">
        <v>5399</v>
      </c>
      <c r="U2639" s="705">
        <v>1999</v>
      </c>
      <c r="V2639" s="705">
        <v>96279</v>
      </c>
      <c r="W2639" s="705">
        <f t="shared" si="102"/>
        <v>96278</v>
      </c>
      <c r="X2639" s="705">
        <f t="shared" si="103"/>
        <v>205052</v>
      </c>
    </row>
    <row r="2640" spans="2:24">
      <c r="B2640" t="s">
        <v>557</v>
      </c>
      <c r="C2640" t="s">
        <v>124</v>
      </c>
      <c r="D2640" t="s">
        <v>228</v>
      </c>
      <c r="E2640" t="s">
        <v>665</v>
      </c>
      <c r="F2640" s="705">
        <v>8</v>
      </c>
      <c r="G2640" s="705">
        <v>450</v>
      </c>
      <c r="H2640" s="705">
        <v>4712</v>
      </c>
      <c r="I2640" s="705">
        <v>177788</v>
      </c>
      <c r="J2640" s="705">
        <v>65848</v>
      </c>
      <c r="K2640" s="705">
        <v>100</v>
      </c>
      <c r="L2640" s="705">
        <v>17905</v>
      </c>
      <c r="M2640" s="705">
        <v>16277</v>
      </c>
      <c r="N2640" s="705">
        <v>9189</v>
      </c>
      <c r="O2640" s="705">
        <v>3403</v>
      </c>
      <c r="P2640" s="705">
        <v>0</v>
      </c>
      <c r="Q2640" s="705">
        <v>0</v>
      </c>
      <c r="R2640" s="705">
        <v>44064</v>
      </c>
      <c r="S2640" s="705">
        <v>40059</v>
      </c>
      <c r="T2640" s="705">
        <v>12509</v>
      </c>
      <c r="U2640" s="705">
        <v>4633</v>
      </c>
      <c r="V2640" s="705">
        <v>130219</v>
      </c>
      <c r="W2640" s="705">
        <f t="shared" si="102"/>
        <v>130220</v>
      </c>
      <c r="X2640" s="705">
        <f t="shared" si="103"/>
        <v>261455</v>
      </c>
    </row>
    <row r="2641" spans="2:24">
      <c r="B2641" t="s">
        <v>557</v>
      </c>
      <c r="C2641" t="s">
        <v>124</v>
      </c>
      <c r="D2641" t="s">
        <v>583</v>
      </c>
      <c r="E2641" t="s">
        <v>228</v>
      </c>
      <c r="F2641" s="705">
        <v>5</v>
      </c>
      <c r="G2641" s="705">
        <v>314</v>
      </c>
      <c r="H2641" s="705">
        <v>2776</v>
      </c>
      <c r="I2641" s="705">
        <v>113158</v>
      </c>
      <c r="J2641" s="705">
        <v>102871</v>
      </c>
      <c r="K2641" s="705">
        <v>70</v>
      </c>
      <c r="L2641" s="705">
        <v>23379</v>
      </c>
      <c r="M2641" s="705">
        <v>20408</v>
      </c>
      <c r="N2641" s="705">
        <v>7082</v>
      </c>
      <c r="O2641" s="705">
        <v>2623</v>
      </c>
      <c r="P2641" s="705">
        <v>3105</v>
      </c>
      <c r="Q2641" s="705">
        <v>1150</v>
      </c>
      <c r="R2641" s="705">
        <v>26533</v>
      </c>
      <c r="S2641" s="705">
        <v>9827</v>
      </c>
      <c r="T2641" s="705">
        <v>0</v>
      </c>
      <c r="U2641" s="705">
        <v>0</v>
      </c>
      <c r="V2641" s="705">
        <v>136879</v>
      </c>
      <c r="W2641" s="705">
        <f t="shared" si="102"/>
        <v>136879</v>
      </c>
      <c r="X2641" s="705">
        <f t="shared" si="103"/>
        <v>173257</v>
      </c>
    </row>
    <row r="2642" spans="2:24">
      <c r="B2642" t="s">
        <v>557</v>
      </c>
      <c r="C2642" t="s">
        <v>124</v>
      </c>
      <c r="D2642" t="s">
        <v>583</v>
      </c>
      <c r="E2642" t="s">
        <v>583</v>
      </c>
      <c r="F2642" s="705">
        <v>110</v>
      </c>
      <c r="G2642" s="705">
        <v>10050</v>
      </c>
      <c r="H2642" s="705">
        <v>58052</v>
      </c>
      <c r="I2642" s="705">
        <v>3545487</v>
      </c>
      <c r="J2642" s="705">
        <v>3223170</v>
      </c>
      <c r="K2642" s="705">
        <v>69</v>
      </c>
      <c r="L2642" s="705">
        <v>732021</v>
      </c>
      <c r="M2642" s="705">
        <v>619719</v>
      </c>
      <c r="N2642" s="705">
        <v>221885</v>
      </c>
      <c r="O2642" s="705">
        <v>82179</v>
      </c>
      <c r="P2642" s="705">
        <v>70416</v>
      </c>
      <c r="Q2642" s="705">
        <v>26080</v>
      </c>
      <c r="R2642" s="705">
        <v>579958</v>
      </c>
      <c r="S2642" s="705">
        <v>527234</v>
      </c>
      <c r="T2642" s="705">
        <v>205711</v>
      </c>
      <c r="U2642" s="705">
        <v>76189</v>
      </c>
      <c r="V2642" s="705">
        <v>4554572</v>
      </c>
      <c r="W2642" s="705">
        <f t="shared" si="102"/>
        <v>4554571</v>
      </c>
      <c r="X2642" s="705">
        <f t="shared" si="103"/>
        <v>5355478</v>
      </c>
    </row>
    <row r="2643" spans="2:24">
      <c r="B2643" t="s">
        <v>557</v>
      </c>
      <c r="C2643" t="s">
        <v>124</v>
      </c>
      <c r="D2643" t="s">
        <v>666</v>
      </c>
      <c r="E2643" t="s">
        <v>666</v>
      </c>
      <c r="F2643" s="705">
        <v>1</v>
      </c>
      <c r="G2643" s="705">
        <v>75</v>
      </c>
      <c r="H2643" s="705">
        <v>579</v>
      </c>
      <c r="I2643" s="705">
        <v>34314</v>
      </c>
      <c r="J2643" s="705">
        <v>31195</v>
      </c>
      <c r="K2643" s="705">
        <v>55</v>
      </c>
      <c r="L2643" s="705">
        <v>0</v>
      </c>
      <c r="M2643" s="705">
        <v>0</v>
      </c>
      <c r="N2643" s="705">
        <v>1524</v>
      </c>
      <c r="O2643" s="705">
        <v>564</v>
      </c>
      <c r="P2643" s="705">
        <v>351</v>
      </c>
      <c r="Q2643" s="705">
        <v>130</v>
      </c>
      <c r="R2643" s="705">
        <v>7146</v>
      </c>
      <c r="S2643" s="705">
        <v>6496</v>
      </c>
      <c r="T2643" s="705">
        <v>0</v>
      </c>
      <c r="U2643" s="705">
        <v>0</v>
      </c>
      <c r="V2643" s="705">
        <v>38385</v>
      </c>
      <c r="W2643" s="705">
        <f t="shared" si="102"/>
        <v>38385</v>
      </c>
      <c r="X2643" s="705">
        <f t="shared" si="103"/>
        <v>43335</v>
      </c>
    </row>
    <row r="2644" spans="2:24">
      <c r="B2644" t="s">
        <v>557</v>
      </c>
      <c r="C2644" t="s">
        <v>124</v>
      </c>
      <c r="D2644" t="s">
        <v>584</v>
      </c>
      <c r="E2644" t="s">
        <v>584</v>
      </c>
      <c r="F2644" s="705">
        <v>1</v>
      </c>
      <c r="G2644" s="705">
        <v>96</v>
      </c>
      <c r="H2644" s="705">
        <v>480</v>
      </c>
      <c r="I2644" s="705">
        <v>28393</v>
      </c>
      <c r="J2644" s="705">
        <v>25811</v>
      </c>
      <c r="K2644" s="705">
        <v>65</v>
      </c>
      <c r="L2644" s="705">
        <v>7090</v>
      </c>
      <c r="M2644" s="705">
        <v>5908</v>
      </c>
      <c r="N2644" s="705">
        <v>1282</v>
      </c>
      <c r="O2644" s="705">
        <v>475</v>
      </c>
      <c r="P2644" s="705">
        <v>473</v>
      </c>
      <c r="Q2644" s="705">
        <v>175</v>
      </c>
      <c r="R2644" s="705">
        <v>5588</v>
      </c>
      <c r="S2644" s="705">
        <v>5080</v>
      </c>
      <c r="T2644" s="705">
        <v>3085</v>
      </c>
      <c r="U2644" s="705">
        <v>1142</v>
      </c>
      <c r="V2644" s="705">
        <v>38592</v>
      </c>
      <c r="W2644" s="705">
        <f t="shared" si="102"/>
        <v>38591</v>
      </c>
      <c r="X2644" s="705">
        <f t="shared" si="103"/>
        <v>45911</v>
      </c>
    </row>
    <row r="2645" spans="2:24">
      <c r="B2645" t="s">
        <v>557</v>
      </c>
      <c r="C2645" t="s">
        <v>124</v>
      </c>
      <c r="D2645" t="s">
        <v>669</v>
      </c>
      <c r="E2645" t="s">
        <v>228</v>
      </c>
      <c r="F2645" s="705">
        <v>13</v>
      </c>
      <c r="G2645" s="705">
        <v>832</v>
      </c>
      <c r="H2645" s="705">
        <v>11348</v>
      </c>
      <c r="I2645" s="705">
        <v>601042</v>
      </c>
      <c r="J2645" s="705">
        <v>500868</v>
      </c>
      <c r="K2645" s="705">
        <v>40</v>
      </c>
      <c r="L2645" s="705">
        <v>56288</v>
      </c>
      <c r="M2645" s="705">
        <v>34995</v>
      </c>
      <c r="N2645" s="705">
        <v>18985</v>
      </c>
      <c r="O2645" s="705">
        <v>7032</v>
      </c>
      <c r="P2645" s="705">
        <v>0</v>
      </c>
      <c r="Q2645" s="705">
        <v>0</v>
      </c>
      <c r="R2645" s="705">
        <v>60420</v>
      </c>
      <c r="S2645" s="705">
        <v>22378</v>
      </c>
      <c r="T2645" s="705">
        <v>0</v>
      </c>
      <c r="U2645" s="705">
        <v>0</v>
      </c>
      <c r="V2645" s="705">
        <v>565273</v>
      </c>
      <c r="W2645" s="705">
        <f t="shared" si="102"/>
        <v>565273</v>
      </c>
      <c r="X2645" s="705">
        <f t="shared" si="103"/>
        <v>736735</v>
      </c>
    </row>
    <row r="2646" spans="2:24">
      <c r="B2646" t="s">
        <v>557</v>
      </c>
      <c r="C2646" t="s">
        <v>124</v>
      </c>
      <c r="D2646" t="s">
        <v>669</v>
      </c>
      <c r="E2646" t="s">
        <v>669</v>
      </c>
      <c r="F2646" s="705">
        <v>88</v>
      </c>
      <c r="G2646" s="705">
        <v>6787</v>
      </c>
      <c r="H2646" s="705">
        <v>52502</v>
      </c>
      <c r="I2646" s="705">
        <v>2927752</v>
      </c>
      <c r="J2646" s="705">
        <v>2439793</v>
      </c>
      <c r="K2646" s="705">
        <v>53</v>
      </c>
      <c r="L2646" s="705">
        <v>324352</v>
      </c>
      <c r="M2646" s="705">
        <v>259778</v>
      </c>
      <c r="N2646" s="705">
        <v>140940</v>
      </c>
      <c r="O2646" s="705">
        <v>52200</v>
      </c>
      <c r="P2646" s="705">
        <v>29862</v>
      </c>
      <c r="Q2646" s="705">
        <v>11060</v>
      </c>
      <c r="R2646" s="705">
        <v>516446</v>
      </c>
      <c r="S2646" s="705">
        <v>430372</v>
      </c>
      <c r="T2646" s="705">
        <v>179171</v>
      </c>
      <c r="U2646" s="705">
        <v>66360</v>
      </c>
      <c r="V2646" s="705">
        <v>3259562</v>
      </c>
      <c r="W2646" s="705">
        <f t="shared" si="102"/>
        <v>3259563</v>
      </c>
      <c r="X2646" s="705">
        <f t="shared" si="103"/>
        <v>4118523</v>
      </c>
    </row>
    <row r="2647" spans="2:24">
      <c r="B2647" t="s">
        <v>557</v>
      </c>
      <c r="C2647" t="s">
        <v>124</v>
      </c>
      <c r="D2647" t="s">
        <v>667</v>
      </c>
      <c r="E2647" t="s">
        <v>228</v>
      </c>
      <c r="F2647" s="705">
        <v>1</v>
      </c>
      <c r="G2647" s="705">
        <v>87</v>
      </c>
      <c r="H2647" s="705">
        <v>753</v>
      </c>
      <c r="I2647" s="705">
        <v>51623</v>
      </c>
      <c r="J2647" s="705">
        <v>46930</v>
      </c>
      <c r="K2647" s="705">
        <v>30</v>
      </c>
      <c r="L2647" s="705">
        <v>0</v>
      </c>
      <c r="M2647" s="705">
        <v>0</v>
      </c>
      <c r="N2647" s="705">
        <v>1917</v>
      </c>
      <c r="O2647" s="705">
        <v>710</v>
      </c>
      <c r="P2647" s="705">
        <v>0</v>
      </c>
      <c r="Q2647" s="705">
        <v>0</v>
      </c>
      <c r="R2647" s="705">
        <v>12317</v>
      </c>
      <c r="S2647" s="705">
        <v>4562</v>
      </c>
      <c r="T2647" s="705">
        <v>0</v>
      </c>
      <c r="U2647" s="705">
        <v>0</v>
      </c>
      <c r="V2647" s="705">
        <v>52201</v>
      </c>
      <c r="W2647" s="705">
        <f t="shared" si="102"/>
        <v>52202</v>
      </c>
      <c r="X2647" s="705">
        <f t="shared" si="103"/>
        <v>65857</v>
      </c>
    </row>
    <row r="2648" spans="2:24">
      <c r="B2648" t="s">
        <v>557</v>
      </c>
      <c r="C2648" t="s">
        <v>124</v>
      </c>
      <c r="D2648" t="s">
        <v>667</v>
      </c>
      <c r="E2648" t="s">
        <v>667</v>
      </c>
      <c r="F2648" s="705">
        <v>11</v>
      </c>
      <c r="G2648" s="705">
        <v>869</v>
      </c>
      <c r="H2648" s="705">
        <v>6449</v>
      </c>
      <c r="I2648" s="705">
        <v>352493</v>
      </c>
      <c r="J2648" s="705">
        <v>320448</v>
      </c>
      <c r="K2648" s="705">
        <v>49</v>
      </c>
      <c r="L2648" s="705">
        <v>39304</v>
      </c>
      <c r="M2648" s="705">
        <v>33841</v>
      </c>
      <c r="N2648" s="705">
        <v>19323</v>
      </c>
      <c r="O2648" s="705">
        <v>7157</v>
      </c>
      <c r="P2648" s="705">
        <v>2808</v>
      </c>
      <c r="Q2648" s="705">
        <v>1040</v>
      </c>
      <c r="R2648" s="705">
        <v>74365</v>
      </c>
      <c r="S2648" s="705">
        <v>67604</v>
      </c>
      <c r="T2648" s="705">
        <v>17725</v>
      </c>
      <c r="U2648" s="705">
        <v>6565</v>
      </c>
      <c r="V2648" s="705">
        <v>436655</v>
      </c>
      <c r="W2648" s="705">
        <f t="shared" si="102"/>
        <v>436655</v>
      </c>
      <c r="X2648" s="705">
        <f t="shared" si="103"/>
        <v>506018</v>
      </c>
    </row>
    <row r="2649" spans="2:24">
      <c r="B2649" t="s">
        <v>557</v>
      </c>
      <c r="C2649" t="s">
        <v>124</v>
      </c>
      <c r="D2649" t="s">
        <v>671</v>
      </c>
      <c r="E2649" t="s">
        <v>228</v>
      </c>
      <c r="F2649" s="705">
        <v>1</v>
      </c>
      <c r="G2649" s="705">
        <v>65</v>
      </c>
      <c r="H2649" s="705">
        <v>522</v>
      </c>
      <c r="I2649" s="705">
        <v>24019</v>
      </c>
      <c r="J2649" s="705">
        <v>21835</v>
      </c>
      <c r="K2649" s="705">
        <v>65</v>
      </c>
      <c r="L2649" s="705">
        <v>4258</v>
      </c>
      <c r="M2649" s="705">
        <v>1577</v>
      </c>
      <c r="N2649" s="705">
        <v>1574</v>
      </c>
      <c r="O2649" s="705">
        <v>583</v>
      </c>
      <c r="P2649" s="705">
        <v>0</v>
      </c>
      <c r="Q2649" s="705">
        <v>0</v>
      </c>
      <c r="R2649" s="705">
        <v>3888</v>
      </c>
      <c r="S2649" s="705">
        <v>1440</v>
      </c>
      <c r="T2649" s="705">
        <v>0</v>
      </c>
      <c r="U2649" s="705">
        <v>0</v>
      </c>
      <c r="V2649" s="705">
        <v>25435</v>
      </c>
      <c r="W2649" s="705">
        <f t="shared" si="102"/>
        <v>25435</v>
      </c>
      <c r="X2649" s="705">
        <f t="shared" si="103"/>
        <v>33739</v>
      </c>
    </row>
    <row r="2650" spans="2:24">
      <c r="B2650" t="s">
        <v>557</v>
      </c>
      <c r="C2650" t="s">
        <v>124</v>
      </c>
      <c r="D2650" t="s">
        <v>671</v>
      </c>
      <c r="E2650" t="s">
        <v>667</v>
      </c>
      <c r="F2650" s="705">
        <v>1</v>
      </c>
      <c r="G2650" s="705">
        <v>92</v>
      </c>
      <c r="H2650" s="705">
        <v>549</v>
      </c>
      <c r="I2650" s="705">
        <v>33879</v>
      </c>
      <c r="J2650" s="705">
        <v>30799</v>
      </c>
      <c r="K2650" s="705">
        <v>45</v>
      </c>
      <c r="L2650" s="705">
        <v>5647</v>
      </c>
      <c r="M2650" s="705">
        <v>5133</v>
      </c>
      <c r="N2650" s="705">
        <v>1995</v>
      </c>
      <c r="O2650" s="705">
        <v>739</v>
      </c>
      <c r="P2650" s="705">
        <v>351</v>
      </c>
      <c r="Q2650" s="705">
        <v>130</v>
      </c>
      <c r="R2650" s="705">
        <v>6271</v>
      </c>
      <c r="S2650" s="705">
        <v>5701</v>
      </c>
      <c r="T2650" s="705">
        <v>2324</v>
      </c>
      <c r="U2650" s="705">
        <v>861</v>
      </c>
      <c r="V2650" s="705">
        <v>43363</v>
      </c>
      <c r="W2650" s="705">
        <f t="shared" si="102"/>
        <v>43363</v>
      </c>
      <c r="X2650" s="705">
        <f t="shared" si="103"/>
        <v>50467</v>
      </c>
    </row>
    <row r="2651" spans="2:24">
      <c r="B2651" t="s">
        <v>557</v>
      </c>
      <c r="C2651" t="s">
        <v>124</v>
      </c>
      <c r="D2651" t="s">
        <v>671</v>
      </c>
      <c r="E2651" t="s">
        <v>671</v>
      </c>
      <c r="F2651" s="705">
        <v>9</v>
      </c>
      <c r="G2651" s="705">
        <v>660</v>
      </c>
      <c r="H2651" s="705">
        <v>5850</v>
      </c>
      <c r="I2651" s="705">
        <v>295809</v>
      </c>
      <c r="J2651" s="705">
        <v>268917</v>
      </c>
      <c r="K2651" s="705">
        <v>47</v>
      </c>
      <c r="L2651" s="705">
        <v>49115</v>
      </c>
      <c r="M2651" s="705">
        <v>44650</v>
      </c>
      <c r="N2651" s="705">
        <v>14445</v>
      </c>
      <c r="O2651" s="705">
        <v>5350</v>
      </c>
      <c r="P2651" s="705">
        <v>3159</v>
      </c>
      <c r="Q2651" s="705">
        <v>1170</v>
      </c>
      <c r="R2651" s="705">
        <v>65183</v>
      </c>
      <c r="S2651" s="705">
        <v>59257</v>
      </c>
      <c r="T2651" s="705">
        <v>8563</v>
      </c>
      <c r="U2651" s="705">
        <v>3172</v>
      </c>
      <c r="V2651" s="705">
        <v>382516</v>
      </c>
      <c r="W2651" s="705">
        <f t="shared" si="102"/>
        <v>382516</v>
      </c>
      <c r="X2651" s="705">
        <f t="shared" si="103"/>
        <v>436274</v>
      </c>
    </row>
    <row r="2652" spans="2:24">
      <c r="B2652" t="s">
        <v>557</v>
      </c>
      <c r="C2652" t="s">
        <v>124</v>
      </c>
      <c r="D2652" t="s">
        <v>665</v>
      </c>
      <c r="E2652" t="s">
        <v>228</v>
      </c>
      <c r="F2652" s="705">
        <v>11</v>
      </c>
      <c r="G2652" s="705">
        <v>791</v>
      </c>
      <c r="H2652" s="705">
        <v>10106</v>
      </c>
      <c r="I2652" s="705">
        <v>600271</v>
      </c>
      <c r="J2652" s="705">
        <v>545701</v>
      </c>
      <c r="K2652" s="705">
        <v>46</v>
      </c>
      <c r="L2652" s="705">
        <v>77391</v>
      </c>
      <c r="M2652" s="705">
        <v>57130</v>
      </c>
      <c r="N2652" s="705">
        <v>17082</v>
      </c>
      <c r="O2652" s="705">
        <v>6327</v>
      </c>
      <c r="P2652" s="705">
        <v>702</v>
      </c>
      <c r="Q2652" s="705">
        <v>260</v>
      </c>
      <c r="R2652" s="705">
        <v>51717</v>
      </c>
      <c r="S2652" s="705">
        <v>19154</v>
      </c>
      <c r="T2652" s="705">
        <v>0</v>
      </c>
      <c r="U2652" s="705">
        <v>0</v>
      </c>
      <c r="V2652" s="705">
        <v>628572</v>
      </c>
      <c r="W2652" s="705">
        <f t="shared" si="102"/>
        <v>628572</v>
      </c>
      <c r="X2652" s="705">
        <f t="shared" si="103"/>
        <v>747163</v>
      </c>
    </row>
    <row r="2653" spans="2:24">
      <c r="B2653" t="s">
        <v>557</v>
      </c>
      <c r="C2653" t="s">
        <v>124</v>
      </c>
      <c r="D2653" t="s">
        <v>665</v>
      </c>
      <c r="E2653" t="s">
        <v>665</v>
      </c>
      <c r="F2653" s="705">
        <v>171</v>
      </c>
      <c r="G2653" s="705">
        <v>9098</v>
      </c>
      <c r="H2653" s="705">
        <v>97151</v>
      </c>
      <c r="I2653" s="705">
        <v>3511920</v>
      </c>
      <c r="J2653" s="705">
        <v>3192654</v>
      </c>
      <c r="K2653" s="705">
        <v>47</v>
      </c>
      <c r="L2653" s="705">
        <v>294032</v>
      </c>
      <c r="M2653" s="705">
        <v>229087</v>
      </c>
      <c r="N2653" s="705">
        <v>189499</v>
      </c>
      <c r="O2653" s="705">
        <v>70185</v>
      </c>
      <c r="P2653" s="705">
        <v>59009</v>
      </c>
      <c r="Q2653" s="705">
        <v>21855</v>
      </c>
      <c r="R2653" s="705">
        <v>941413</v>
      </c>
      <c r="S2653" s="705">
        <v>855830</v>
      </c>
      <c r="T2653" s="705">
        <v>288374</v>
      </c>
      <c r="U2653" s="705">
        <v>106805</v>
      </c>
      <c r="V2653" s="705">
        <v>4476416</v>
      </c>
      <c r="W2653" s="705">
        <f t="shared" si="102"/>
        <v>4476416</v>
      </c>
      <c r="X2653" s="705">
        <f t="shared" si="103"/>
        <v>5284247</v>
      </c>
    </row>
    <row r="2654" spans="2:24">
      <c r="B2654" t="s">
        <v>557</v>
      </c>
      <c r="C2654" t="s">
        <v>124</v>
      </c>
      <c r="D2654" t="s">
        <v>673</v>
      </c>
      <c r="E2654" t="s">
        <v>673</v>
      </c>
      <c r="F2654" s="705">
        <v>2</v>
      </c>
      <c r="G2654" s="705">
        <v>73</v>
      </c>
      <c r="H2654" s="705">
        <v>930</v>
      </c>
      <c r="I2654" s="705">
        <v>20221</v>
      </c>
      <c r="J2654" s="705">
        <v>18383</v>
      </c>
      <c r="K2654" s="705">
        <v>55</v>
      </c>
      <c r="L2654" s="705">
        <v>0</v>
      </c>
      <c r="M2654" s="705">
        <v>0</v>
      </c>
      <c r="N2654" s="705">
        <v>1786</v>
      </c>
      <c r="O2654" s="705">
        <v>662</v>
      </c>
      <c r="P2654" s="705">
        <v>702</v>
      </c>
      <c r="Q2654" s="705">
        <v>260</v>
      </c>
      <c r="R2654" s="705">
        <v>8133</v>
      </c>
      <c r="S2654" s="705">
        <v>7393</v>
      </c>
      <c r="T2654" s="705">
        <v>3234</v>
      </c>
      <c r="U2654" s="705">
        <v>1198</v>
      </c>
      <c r="V2654" s="705">
        <v>27896</v>
      </c>
      <c r="W2654" s="705">
        <f t="shared" si="102"/>
        <v>27896</v>
      </c>
      <c r="X2654" s="705">
        <f t="shared" si="103"/>
        <v>34076</v>
      </c>
    </row>
    <row r="2655" spans="2:24">
      <c r="B2655" t="s">
        <v>558</v>
      </c>
      <c r="C2655" t="s">
        <v>108</v>
      </c>
      <c r="D2655" t="s">
        <v>228</v>
      </c>
      <c r="E2655" t="s">
        <v>228</v>
      </c>
      <c r="F2655" s="705">
        <v>305</v>
      </c>
      <c r="G2655" s="705">
        <v>32565</v>
      </c>
      <c r="H2655" s="705">
        <v>14799</v>
      </c>
      <c r="I2655" s="705">
        <v>-176028</v>
      </c>
      <c r="J2655" s="705">
        <v>-65196</v>
      </c>
      <c r="K2655" s="705">
        <v>470</v>
      </c>
      <c r="L2655" s="705">
        <v>7683</v>
      </c>
      <c r="M2655" s="705">
        <v>6131</v>
      </c>
      <c r="N2655" s="705">
        <v>402191</v>
      </c>
      <c r="O2655" s="705">
        <v>148960</v>
      </c>
      <c r="P2655" s="705">
        <v>178253</v>
      </c>
      <c r="Q2655" s="705">
        <v>66020</v>
      </c>
      <c r="R2655" s="705">
        <v>1180059</v>
      </c>
      <c r="S2655" s="705">
        <v>437059</v>
      </c>
      <c r="T2655" s="705">
        <v>0</v>
      </c>
      <c r="U2655" s="705">
        <v>0</v>
      </c>
      <c r="V2655" s="705">
        <v>592974</v>
      </c>
      <c r="W2655" s="705">
        <f t="shared" si="102"/>
        <v>723366</v>
      </c>
      <c r="X2655" s="705">
        <f t="shared" si="103"/>
        <v>1944214</v>
      </c>
    </row>
    <row r="2656" spans="2:24">
      <c r="B2656" t="s">
        <v>558</v>
      </c>
      <c r="C2656" t="s">
        <v>108</v>
      </c>
      <c r="D2656" t="s">
        <v>583</v>
      </c>
      <c r="E2656" t="s">
        <v>583</v>
      </c>
      <c r="F2656" s="705">
        <v>262</v>
      </c>
      <c r="G2656" s="705">
        <v>28095</v>
      </c>
      <c r="H2656" s="705">
        <v>13285</v>
      </c>
      <c r="I2656" s="705">
        <v>58564</v>
      </c>
      <c r="J2656" s="705">
        <v>53240</v>
      </c>
      <c r="K2656" s="705">
        <v>95</v>
      </c>
      <c r="L2656" s="705">
        <v>20299</v>
      </c>
      <c r="M2656" s="705">
        <v>18439</v>
      </c>
      <c r="N2656" s="705">
        <v>343896</v>
      </c>
      <c r="O2656" s="705">
        <v>127369</v>
      </c>
      <c r="P2656" s="705">
        <v>164705</v>
      </c>
      <c r="Q2656" s="705">
        <v>61002</v>
      </c>
      <c r="R2656" s="705">
        <v>820065</v>
      </c>
      <c r="S2656" s="705">
        <v>745513</v>
      </c>
      <c r="T2656" s="705">
        <v>0</v>
      </c>
      <c r="U2656" s="705">
        <v>0</v>
      </c>
      <c r="V2656" s="705">
        <v>1005563</v>
      </c>
      <c r="W2656" s="705">
        <f t="shared" si="102"/>
        <v>1005563</v>
      </c>
      <c r="X2656" s="705">
        <f t="shared" si="103"/>
        <v>1407529</v>
      </c>
    </row>
    <row r="2657" spans="2:24">
      <c r="B2657" t="s">
        <v>558</v>
      </c>
      <c r="C2657" t="s">
        <v>108</v>
      </c>
      <c r="D2657" t="s">
        <v>584</v>
      </c>
      <c r="E2657" t="s">
        <v>584</v>
      </c>
      <c r="F2657" s="705">
        <v>3</v>
      </c>
      <c r="G2657" s="705">
        <v>343</v>
      </c>
      <c r="H2657" s="705">
        <v>175</v>
      </c>
      <c r="I2657" s="705">
        <v>2082</v>
      </c>
      <c r="J2657" s="705">
        <v>1892</v>
      </c>
      <c r="K2657" s="705">
        <v>91</v>
      </c>
      <c r="L2657" s="705">
        <v>261</v>
      </c>
      <c r="M2657" s="705">
        <v>237</v>
      </c>
      <c r="N2657" s="705">
        <v>4176</v>
      </c>
      <c r="O2657" s="705">
        <v>1547</v>
      </c>
      <c r="P2657" s="705">
        <v>1418</v>
      </c>
      <c r="Q2657" s="705">
        <v>525</v>
      </c>
      <c r="R2657" s="705">
        <v>12106</v>
      </c>
      <c r="S2657" s="705">
        <v>11005</v>
      </c>
      <c r="T2657" s="705">
        <v>0</v>
      </c>
      <c r="U2657" s="705">
        <v>0</v>
      </c>
      <c r="V2657" s="705">
        <v>15206</v>
      </c>
      <c r="W2657" s="705">
        <f t="shared" si="102"/>
        <v>15206</v>
      </c>
      <c r="X2657" s="705">
        <f t="shared" si="103"/>
        <v>20043</v>
      </c>
    </row>
    <row r="2658" spans="2:24">
      <c r="B2658" t="s">
        <v>558</v>
      </c>
      <c r="C2658" t="s">
        <v>110</v>
      </c>
      <c r="D2658" t="s">
        <v>228</v>
      </c>
      <c r="E2658" t="s">
        <v>228</v>
      </c>
      <c r="F2658" s="705">
        <v>49</v>
      </c>
      <c r="G2658" s="705">
        <v>4469</v>
      </c>
      <c r="H2658" s="705">
        <v>4294</v>
      </c>
      <c r="I2658" s="705">
        <v>149751</v>
      </c>
      <c r="J2658" s="705">
        <v>55463</v>
      </c>
      <c r="K2658" s="705">
        <v>400</v>
      </c>
      <c r="L2658" s="705">
        <v>35327</v>
      </c>
      <c r="M2658" s="705">
        <v>29932</v>
      </c>
      <c r="N2658" s="705">
        <v>67410</v>
      </c>
      <c r="O2658" s="705">
        <v>24967</v>
      </c>
      <c r="P2658" s="705">
        <v>17199</v>
      </c>
      <c r="Q2658" s="705">
        <v>6370</v>
      </c>
      <c r="R2658" s="705">
        <v>122404</v>
      </c>
      <c r="S2658" s="705">
        <v>45335</v>
      </c>
      <c r="T2658" s="705">
        <v>0</v>
      </c>
      <c r="U2658" s="705">
        <v>0</v>
      </c>
      <c r="V2658" s="705">
        <v>162067</v>
      </c>
      <c r="W2658" s="705">
        <f t="shared" ref="W2658:W2721" si="104">SUM(ABS(J2658),ABS(M2658),ABS(O2658),ABS(Q2658),ABS(S2658),ABS(U2658))</f>
        <v>162067</v>
      </c>
      <c r="X2658" s="705">
        <f t="shared" ref="X2658:X2721" si="105">SUM(ABS(I2658),ABS(N2658),ABS(P2658),ABS(R2658),ABS(T2658),ABS(L2658))</f>
        <v>392091</v>
      </c>
    </row>
    <row r="2659" spans="2:24">
      <c r="B2659" t="s">
        <v>558</v>
      </c>
      <c r="C2659" t="s">
        <v>110</v>
      </c>
      <c r="D2659" t="s">
        <v>583</v>
      </c>
      <c r="E2659" t="s">
        <v>583</v>
      </c>
      <c r="F2659" s="705">
        <v>36</v>
      </c>
      <c r="G2659" s="705">
        <v>3756</v>
      </c>
      <c r="H2659" s="705">
        <v>3170</v>
      </c>
      <c r="I2659" s="705">
        <v>147698</v>
      </c>
      <c r="J2659" s="705">
        <v>134270</v>
      </c>
      <c r="K2659" s="705">
        <v>94</v>
      </c>
      <c r="L2659" s="705">
        <v>13971</v>
      </c>
      <c r="M2659" s="705">
        <v>12701</v>
      </c>
      <c r="N2659" s="705">
        <v>46845</v>
      </c>
      <c r="O2659" s="705">
        <v>17350</v>
      </c>
      <c r="P2659" s="705">
        <v>25101</v>
      </c>
      <c r="Q2659" s="705">
        <v>9297</v>
      </c>
      <c r="R2659" s="705">
        <v>97041</v>
      </c>
      <c r="S2659" s="705">
        <v>88219</v>
      </c>
      <c r="T2659" s="705">
        <v>0</v>
      </c>
      <c r="U2659" s="705">
        <v>0</v>
      </c>
      <c r="V2659" s="705">
        <v>261837</v>
      </c>
      <c r="W2659" s="705">
        <f t="shared" si="104"/>
        <v>261837</v>
      </c>
      <c r="X2659" s="705">
        <f t="shared" si="105"/>
        <v>330656</v>
      </c>
    </row>
    <row r="2660" spans="2:24">
      <c r="B2660" t="s">
        <v>558</v>
      </c>
      <c r="C2660" t="s">
        <v>110</v>
      </c>
      <c r="D2660" t="s">
        <v>665</v>
      </c>
      <c r="E2660" t="s">
        <v>665</v>
      </c>
      <c r="F2660" s="705">
        <v>1</v>
      </c>
      <c r="G2660" s="705">
        <v>71</v>
      </c>
      <c r="H2660" s="705">
        <v>84</v>
      </c>
      <c r="I2660" s="705">
        <v>1357</v>
      </c>
      <c r="J2660" s="705">
        <v>1234</v>
      </c>
      <c r="K2660" s="705">
        <v>361</v>
      </c>
      <c r="L2660" s="705">
        <v>1979</v>
      </c>
      <c r="M2660" s="705">
        <v>1649</v>
      </c>
      <c r="N2660" s="705">
        <v>1057</v>
      </c>
      <c r="O2660" s="705">
        <v>391</v>
      </c>
      <c r="P2660" s="705">
        <v>351</v>
      </c>
      <c r="Q2660" s="705">
        <v>130</v>
      </c>
      <c r="R2660" s="705">
        <v>1220</v>
      </c>
      <c r="S2660" s="705">
        <v>1109</v>
      </c>
      <c r="T2660" s="705">
        <v>0</v>
      </c>
      <c r="U2660" s="705">
        <v>0</v>
      </c>
      <c r="V2660" s="705">
        <v>4513</v>
      </c>
      <c r="W2660" s="705">
        <f t="shared" si="104"/>
        <v>4513</v>
      </c>
      <c r="X2660" s="705">
        <f t="shared" si="105"/>
        <v>5964</v>
      </c>
    </row>
    <row r="2661" spans="2:24">
      <c r="B2661" t="s">
        <v>558</v>
      </c>
      <c r="C2661" t="s">
        <v>112</v>
      </c>
      <c r="F2661" s="705">
        <v>3</v>
      </c>
      <c r="G2661" s="705">
        <v>222</v>
      </c>
      <c r="H2661" s="705">
        <v>357</v>
      </c>
      <c r="I2661" s="705"/>
      <c r="J2661" s="705">
        <v>0</v>
      </c>
      <c r="K2661" s="705"/>
      <c r="L2661" s="705"/>
      <c r="M2661" s="705">
        <v>0</v>
      </c>
      <c r="N2661" s="705">
        <v>4066</v>
      </c>
      <c r="O2661" s="705">
        <v>1506</v>
      </c>
      <c r="P2661" s="705">
        <v>1053</v>
      </c>
      <c r="Q2661" s="705">
        <v>390</v>
      </c>
      <c r="R2661" s="705"/>
      <c r="S2661" s="705">
        <v>0</v>
      </c>
      <c r="T2661" s="705">
        <v>5993</v>
      </c>
      <c r="U2661" s="705">
        <v>2219</v>
      </c>
      <c r="V2661" s="705">
        <v>4115</v>
      </c>
      <c r="W2661" s="705">
        <f t="shared" si="104"/>
        <v>4115</v>
      </c>
      <c r="X2661" s="705">
        <f t="shared" si="105"/>
        <v>11112</v>
      </c>
    </row>
    <row r="2662" spans="2:24">
      <c r="B2662" t="s">
        <v>558</v>
      </c>
      <c r="C2662" t="s">
        <v>112</v>
      </c>
      <c r="D2662" t="s">
        <v>664</v>
      </c>
      <c r="E2662" t="s">
        <v>664</v>
      </c>
      <c r="F2662" s="705">
        <v>1</v>
      </c>
      <c r="G2662" s="705">
        <v>66</v>
      </c>
      <c r="H2662" s="705">
        <v>123</v>
      </c>
      <c r="I2662" s="705">
        <v>8576</v>
      </c>
      <c r="J2662" s="705">
        <v>7796</v>
      </c>
      <c r="K2662" s="705">
        <v>95</v>
      </c>
      <c r="L2662" s="705">
        <v>0</v>
      </c>
      <c r="M2662" s="705">
        <v>2743</v>
      </c>
      <c r="N2662" s="705">
        <v>2327</v>
      </c>
      <c r="O2662" s="705">
        <v>862</v>
      </c>
      <c r="P2662" s="705">
        <v>1452</v>
      </c>
      <c r="Q2662" s="705">
        <v>538</v>
      </c>
      <c r="R2662" s="705">
        <v>3330</v>
      </c>
      <c r="S2662" s="705">
        <v>3027</v>
      </c>
      <c r="T2662" s="705">
        <v>0</v>
      </c>
      <c r="U2662" s="705">
        <v>0</v>
      </c>
      <c r="V2662" s="705">
        <v>14966</v>
      </c>
      <c r="W2662" s="705">
        <f t="shared" si="104"/>
        <v>14966</v>
      </c>
      <c r="X2662" s="705">
        <f t="shared" si="105"/>
        <v>15685</v>
      </c>
    </row>
    <row r="2663" spans="2:24">
      <c r="B2663" t="s">
        <v>558</v>
      </c>
      <c r="C2663" t="s">
        <v>112</v>
      </c>
      <c r="D2663" t="s">
        <v>228</v>
      </c>
      <c r="E2663" t="s">
        <v>228</v>
      </c>
      <c r="F2663" s="705">
        <v>13</v>
      </c>
      <c r="G2663" s="705">
        <v>1083</v>
      </c>
      <c r="H2663" s="705">
        <v>1500</v>
      </c>
      <c r="I2663" s="705">
        <v>42417</v>
      </c>
      <c r="J2663" s="705">
        <v>15710</v>
      </c>
      <c r="K2663" s="705">
        <v>378</v>
      </c>
      <c r="L2663" s="705">
        <v>11191</v>
      </c>
      <c r="M2663" s="705">
        <v>9505</v>
      </c>
      <c r="N2663" s="705">
        <v>18286</v>
      </c>
      <c r="O2663" s="705">
        <v>6773</v>
      </c>
      <c r="P2663" s="705">
        <v>4914</v>
      </c>
      <c r="Q2663" s="705">
        <v>1820</v>
      </c>
      <c r="R2663" s="705">
        <v>47932</v>
      </c>
      <c r="S2663" s="705">
        <v>17753</v>
      </c>
      <c r="T2663" s="705">
        <v>0</v>
      </c>
      <c r="U2663" s="705">
        <v>0</v>
      </c>
      <c r="V2663" s="705">
        <v>51560</v>
      </c>
      <c r="W2663" s="705">
        <f t="shared" si="104"/>
        <v>51561</v>
      </c>
      <c r="X2663" s="705">
        <f t="shared" si="105"/>
        <v>124740</v>
      </c>
    </row>
    <row r="2664" spans="2:24">
      <c r="B2664" t="s">
        <v>558</v>
      </c>
      <c r="C2664" t="s">
        <v>112</v>
      </c>
      <c r="D2664" t="s">
        <v>583</v>
      </c>
      <c r="E2664" t="s">
        <v>228</v>
      </c>
      <c r="F2664" s="705">
        <v>1</v>
      </c>
      <c r="G2664" s="705">
        <v>132</v>
      </c>
      <c r="H2664" s="705">
        <v>109</v>
      </c>
      <c r="I2664" s="705">
        <v>5896</v>
      </c>
      <c r="J2664" s="705">
        <v>5360</v>
      </c>
      <c r="K2664" s="705">
        <v>96</v>
      </c>
      <c r="L2664" s="705">
        <v>2094</v>
      </c>
      <c r="M2664" s="705">
        <v>1904</v>
      </c>
      <c r="N2664" s="705">
        <v>2285</v>
      </c>
      <c r="O2664" s="705">
        <v>846</v>
      </c>
      <c r="P2664" s="705">
        <v>621</v>
      </c>
      <c r="Q2664" s="705">
        <v>230</v>
      </c>
      <c r="R2664" s="705">
        <v>3508</v>
      </c>
      <c r="S2664" s="705">
        <v>1299</v>
      </c>
      <c r="T2664" s="705">
        <v>0</v>
      </c>
      <c r="U2664" s="705">
        <v>0</v>
      </c>
      <c r="V2664" s="705">
        <v>9640</v>
      </c>
      <c r="W2664" s="705">
        <f t="shared" si="104"/>
        <v>9639</v>
      </c>
      <c r="X2664" s="705">
        <f t="shared" si="105"/>
        <v>14404</v>
      </c>
    </row>
    <row r="2665" spans="2:24">
      <c r="B2665" t="s">
        <v>558</v>
      </c>
      <c r="C2665" t="s">
        <v>112</v>
      </c>
      <c r="D2665" t="s">
        <v>583</v>
      </c>
      <c r="E2665" t="s">
        <v>583</v>
      </c>
      <c r="F2665" s="705">
        <v>75</v>
      </c>
      <c r="G2665" s="705">
        <v>8438</v>
      </c>
      <c r="H2665" s="705">
        <v>8832</v>
      </c>
      <c r="I2665" s="705">
        <v>444560</v>
      </c>
      <c r="J2665" s="705">
        <v>404145</v>
      </c>
      <c r="K2665" s="705">
        <v>93</v>
      </c>
      <c r="L2665" s="705">
        <v>83072</v>
      </c>
      <c r="M2665" s="705">
        <v>73915</v>
      </c>
      <c r="N2665" s="705">
        <v>123901</v>
      </c>
      <c r="O2665" s="705">
        <v>45889</v>
      </c>
      <c r="P2665" s="705">
        <v>47277</v>
      </c>
      <c r="Q2665" s="705">
        <v>17510</v>
      </c>
      <c r="R2665" s="705">
        <v>283020</v>
      </c>
      <c r="S2665" s="705">
        <v>257291</v>
      </c>
      <c r="T2665" s="705">
        <v>16661</v>
      </c>
      <c r="U2665" s="705">
        <v>6171</v>
      </c>
      <c r="V2665" s="705">
        <v>804921</v>
      </c>
      <c r="W2665" s="705">
        <f t="shared" si="104"/>
        <v>804921</v>
      </c>
      <c r="X2665" s="705">
        <f t="shared" si="105"/>
        <v>998491</v>
      </c>
    </row>
    <row r="2666" spans="2:24">
      <c r="B2666" t="s">
        <v>558</v>
      </c>
      <c r="C2666" t="s">
        <v>114</v>
      </c>
      <c r="F2666" s="705">
        <v>2</v>
      </c>
      <c r="G2666" s="705">
        <v>124</v>
      </c>
      <c r="H2666" s="705">
        <v>298</v>
      </c>
      <c r="I2666" s="705"/>
      <c r="J2666" s="705">
        <v>0</v>
      </c>
      <c r="K2666" s="705"/>
      <c r="L2666" s="705"/>
      <c r="M2666" s="705">
        <v>0</v>
      </c>
      <c r="N2666" s="705">
        <v>2045</v>
      </c>
      <c r="O2666" s="705">
        <v>757</v>
      </c>
      <c r="P2666" s="705">
        <v>702</v>
      </c>
      <c r="Q2666" s="705">
        <v>260</v>
      </c>
      <c r="R2666" s="705"/>
      <c r="S2666" s="705">
        <v>0</v>
      </c>
      <c r="T2666" s="705">
        <v>0</v>
      </c>
      <c r="U2666" s="705">
        <v>0</v>
      </c>
      <c r="V2666" s="705">
        <v>1017</v>
      </c>
      <c r="W2666" s="705">
        <f t="shared" si="104"/>
        <v>1017</v>
      </c>
      <c r="X2666" s="705">
        <f t="shared" si="105"/>
        <v>2747</v>
      </c>
    </row>
    <row r="2667" spans="2:24">
      <c r="B2667" t="s">
        <v>558</v>
      </c>
      <c r="C2667" t="s">
        <v>114</v>
      </c>
      <c r="D2667" t="s">
        <v>664</v>
      </c>
      <c r="E2667" t="s">
        <v>664</v>
      </c>
      <c r="F2667" s="705">
        <v>1</v>
      </c>
      <c r="G2667" s="705">
        <v>87</v>
      </c>
      <c r="H2667" s="705">
        <v>137</v>
      </c>
      <c r="I2667" s="705">
        <v>4613</v>
      </c>
      <c r="J2667" s="705">
        <v>4194</v>
      </c>
      <c r="K2667" s="705">
        <v>90</v>
      </c>
      <c r="L2667" s="705">
        <v>1538</v>
      </c>
      <c r="M2667" s="705">
        <v>1398</v>
      </c>
      <c r="N2667" s="705">
        <v>1055</v>
      </c>
      <c r="O2667" s="705">
        <v>391</v>
      </c>
      <c r="P2667" s="705">
        <v>1175</v>
      </c>
      <c r="Q2667" s="705">
        <v>435</v>
      </c>
      <c r="R2667" s="705">
        <v>3471</v>
      </c>
      <c r="S2667" s="705">
        <v>3155</v>
      </c>
      <c r="T2667" s="705">
        <v>0</v>
      </c>
      <c r="U2667" s="705">
        <v>0</v>
      </c>
      <c r="V2667" s="705">
        <v>9573</v>
      </c>
      <c r="W2667" s="705">
        <f t="shared" si="104"/>
        <v>9573</v>
      </c>
      <c r="X2667" s="705">
        <f t="shared" si="105"/>
        <v>11852</v>
      </c>
    </row>
    <row r="2668" spans="2:24">
      <c r="B2668" t="s">
        <v>558</v>
      </c>
      <c r="C2668" t="s">
        <v>114</v>
      </c>
      <c r="D2668" t="s">
        <v>582</v>
      </c>
      <c r="E2668" t="s">
        <v>582</v>
      </c>
      <c r="F2668" s="705">
        <v>22</v>
      </c>
      <c r="G2668" s="705">
        <v>2641</v>
      </c>
      <c r="H2668" s="705">
        <v>3132</v>
      </c>
      <c r="I2668" s="705">
        <v>168075</v>
      </c>
      <c r="J2668" s="705">
        <v>152796</v>
      </c>
      <c r="K2668" s="705">
        <v>86</v>
      </c>
      <c r="L2668" s="705">
        <v>33198</v>
      </c>
      <c r="M2668" s="705">
        <v>29965</v>
      </c>
      <c r="N2668" s="705">
        <v>51435</v>
      </c>
      <c r="O2668" s="705">
        <v>19050</v>
      </c>
      <c r="P2668" s="705">
        <v>9923</v>
      </c>
      <c r="Q2668" s="705">
        <v>3675</v>
      </c>
      <c r="R2668" s="705">
        <v>112669</v>
      </c>
      <c r="S2668" s="705">
        <v>102426</v>
      </c>
      <c r="T2668" s="705">
        <v>3019</v>
      </c>
      <c r="U2668" s="705">
        <v>1118</v>
      </c>
      <c r="V2668" s="705">
        <v>309030</v>
      </c>
      <c r="W2668" s="705">
        <f t="shared" si="104"/>
        <v>309030</v>
      </c>
      <c r="X2668" s="705">
        <f t="shared" si="105"/>
        <v>378319</v>
      </c>
    </row>
    <row r="2669" spans="2:24">
      <c r="B2669" t="s">
        <v>558</v>
      </c>
      <c r="C2669" t="s">
        <v>114</v>
      </c>
      <c r="D2669" t="s">
        <v>228</v>
      </c>
      <c r="E2669" t="s">
        <v>228</v>
      </c>
      <c r="F2669" s="705">
        <v>42</v>
      </c>
      <c r="G2669" s="705">
        <v>3249</v>
      </c>
      <c r="H2669" s="705">
        <v>6079</v>
      </c>
      <c r="I2669" s="705">
        <v>250759</v>
      </c>
      <c r="J2669" s="705">
        <v>92874</v>
      </c>
      <c r="K2669" s="705">
        <v>326</v>
      </c>
      <c r="L2669" s="705">
        <v>10386</v>
      </c>
      <c r="M2669" s="705">
        <v>7867</v>
      </c>
      <c r="N2669" s="705">
        <v>74709</v>
      </c>
      <c r="O2669" s="705">
        <v>27670</v>
      </c>
      <c r="P2669" s="705">
        <v>37048</v>
      </c>
      <c r="Q2669" s="705">
        <v>13722</v>
      </c>
      <c r="R2669" s="705">
        <v>95411</v>
      </c>
      <c r="S2669" s="705">
        <v>35337</v>
      </c>
      <c r="T2669" s="705">
        <v>0</v>
      </c>
      <c r="U2669" s="705">
        <v>0</v>
      </c>
      <c r="V2669" s="705">
        <v>177470</v>
      </c>
      <c r="W2669" s="705">
        <f t="shared" si="104"/>
        <v>177470</v>
      </c>
      <c r="X2669" s="705">
        <f t="shared" si="105"/>
        <v>468313</v>
      </c>
    </row>
    <row r="2670" spans="2:24">
      <c r="B2670" t="s">
        <v>558</v>
      </c>
      <c r="C2670" t="s">
        <v>114</v>
      </c>
      <c r="D2670" t="s">
        <v>583</v>
      </c>
      <c r="E2670" t="s">
        <v>583</v>
      </c>
      <c r="F2670" s="705">
        <v>278</v>
      </c>
      <c r="G2670" s="705">
        <v>28513</v>
      </c>
      <c r="H2670" s="705">
        <v>39203</v>
      </c>
      <c r="I2670" s="705">
        <v>1794864</v>
      </c>
      <c r="J2670" s="705">
        <v>1631695</v>
      </c>
      <c r="K2670" s="705">
        <v>90</v>
      </c>
      <c r="L2670" s="705">
        <v>399806</v>
      </c>
      <c r="M2670" s="705">
        <v>358995</v>
      </c>
      <c r="N2670" s="705">
        <v>506366</v>
      </c>
      <c r="O2670" s="705">
        <v>187543</v>
      </c>
      <c r="P2670" s="705">
        <v>177240</v>
      </c>
      <c r="Q2670" s="705">
        <v>65644</v>
      </c>
      <c r="R2670" s="705">
        <v>1105861</v>
      </c>
      <c r="S2670" s="705">
        <v>1005328</v>
      </c>
      <c r="T2670" s="705">
        <v>97589</v>
      </c>
      <c r="U2670" s="705">
        <v>36144</v>
      </c>
      <c r="V2670" s="705">
        <v>3285349</v>
      </c>
      <c r="W2670" s="705">
        <f t="shared" si="104"/>
        <v>3285349</v>
      </c>
      <c r="X2670" s="705">
        <f t="shared" si="105"/>
        <v>4081726</v>
      </c>
    </row>
    <row r="2671" spans="2:24">
      <c r="B2671" t="s">
        <v>558</v>
      </c>
      <c r="C2671" t="s">
        <v>114</v>
      </c>
      <c r="D2671" t="s">
        <v>584</v>
      </c>
      <c r="E2671" t="s">
        <v>584</v>
      </c>
      <c r="F2671" s="705">
        <v>7</v>
      </c>
      <c r="G2671" s="705">
        <v>859</v>
      </c>
      <c r="H2671" s="705">
        <v>998</v>
      </c>
      <c r="I2671" s="705">
        <v>58027</v>
      </c>
      <c r="J2671" s="705">
        <v>52752</v>
      </c>
      <c r="K2671" s="705">
        <v>85</v>
      </c>
      <c r="L2671" s="705">
        <v>4461</v>
      </c>
      <c r="M2671" s="705">
        <v>4055</v>
      </c>
      <c r="N2671" s="705">
        <v>16878</v>
      </c>
      <c r="O2671" s="705">
        <v>6251</v>
      </c>
      <c r="P2671" s="705">
        <v>3308</v>
      </c>
      <c r="Q2671" s="705">
        <v>1225</v>
      </c>
      <c r="R2671" s="705">
        <v>36921</v>
      </c>
      <c r="S2671" s="705">
        <v>33564</v>
      </c>
      <c r="T2671" s="705">
        <v>2772</v>
      </c>
      <c r="U2671" s="705">
        <v>1027</v>
      </c>
      <c r="V2671" s="705">
        <v>98875</v>
      </c>
      <c r="W2671" s="705">
        <f t="shared" si="104"/>
        <v>98874</v>
      </c>
      <c r="X2671" s="705">
        <f t="shared" si="105"/>
        <v>122367</v>
      </c>
    </row>
    <row r="2672" spans="2:24">
      <c r="B2672" t="s">
        <v>558</v>
      </c>
      <c r="C2672" t="s">
        <v>116</v>
      </c>
      <c r="F2672" s="705">
        <v>8</v>
      </c>
      <c r="G2672" s="705">
        <v>296</v>
      </c>
      <c r="H2672" s="705">
        <v>1371</v>
      </c>
      <c r="I2672" s="705"/>
      <c r="J2672" s="705">
        <v>0</v>
      </c>
      <c r="K2672" s="705"/>
      <c r="L2672" s="705"/>
      <c r="M2672" s="705">
        <v>0</v>
      </c>
      <c r="N2672" s="705">
        <v>6921</v>
      </c>
      <c r="O2672" s="705">
        <v>2563</v>
      </c>
      <c r="P2672" s="705">
        <v>0</v>
      </c>
      <c r="Q2672" s="705">
        <v>0</v>
      </c>
      <c r="R2672" s="705"/>
      <c r="S2672" s="705">
        <v>0</v>
      </c>
      <c r="T2672" s="705">
        <v>0</v>
      </c>
      <c r="U2672" s="705">
        <v>0</v>
      </c>
      <c r="V2672" s="705">
        <v>2563</v>
      </c>
      <c r="W2672" s="705">
        <f t="shared" si="104"/>
        <v>2563</v>
      </c>
      <c r="X2672" s="705">
        <f t="shared" si="105"/>
        <v>6921</v>
      </c>
    </row>
    <row r="2673" spans="2:24">
      <c r="B2673" t="s">
        <v>558</v>
      </c>
      <c r="C2673" t="s">
        <v>116</v>
      </c>
      <c r="D2673" t="s">
        <v>664</v>
      </c>
      <c r="E2673" t="s">
        <v>664</v>
      </c>
      <c r="F2673" s="705">
        <v>8</v>
      </c>
      <c r="G2673" s="705">
        <v>867</v>
      </c>
      <c r="H2673" s="705">
        <v>1512</v>
      </c>
      <c r="I2673" s="705">
        <v>80469</v>
      </c>
      <c r="J2673" s="705">
        <v>73154</v>
      </c>
      <c r="K2673" s="705">
        <v>82</v>
      </c>
      <c r="L2673" s="705">
        <v>21447</v>
      </c>
      <c r="M2673" s="705">
        <v>17967</v>
      </c>
      <c r="N2673" s="705">
        <v>15211</v>
      </c>
      <c r="O2673" s="705">
        <v>5634</v>
      </c>
      <c r="P2673" s="705">
        <v>3659</v>
      </c>
      <c r="Q2673" s="705">
        <v>1355</v>
      </c>
      <c r="R2673" s="705">
        <v>37468</v>
      </c>
      <c r="S2673" s="705">
        <v>34061</v>
      </c>
      <c r="T2673" s="705">
        <v>5165</v>
      </c>
      <c r="U2673" s="705">
        <v>1913</v>
      </c>
      <c r="V2673" s="705">
        <v>134084</v>
      </c>
      <c r="W2673" s="705">
        <f t="shared" si="104"/>
        <v>134084</v>
      </c>
      <c r="X2673" s="705">
        <f t="shared" si="105"/>
        <v>163419</v>
      </c>
    </row>
    <row r="2674" spans="2:24">
      <c r="B2674" t="s">
        <v>558</v>
      </c>
      <c r="C2674" t="s">
        <v>116</v>
      </c>
      <c r="D2674" t="s">
        <v>664</v>
      </c>
      <c r="E2674" t="s">
        <v>583</v>
      </c>
      <c r="F2674" s="705">
        <v>2</v>
      </c>
      <c r="G2674" s="705">
        <v>194</v>
      </c>
      <c r="H2674" s="705">
        <v>342</v>
      </c>
      <c r="I2674" s="705">
        <v>12807</v>
      </c>
      <c r="J2674" s="705">
        <v>11643</v>
      </c>
      <c r="K2674" s="705">
        <v>85</v>
      </c>
      <c r="L2674" s="705">
        <v>3846</v>
      </c>
      <c r="M2674" s="705">
        <v>3497</v>
      </c>
      <c r="N2674" s="705">
        <v>3888</v>
      </c>
      <c r="O2674" s="705">
        <v>1440</v>
      </c>
      <c r="P2674" s="705">
        <v>1242</v>
      </c>
      <c r="Q2674" s="705">
        <v>460</v>
      </c>
      <c r="R2674" s="705">
        <v>9060</v>
      </c>
      <c r="S2674" s="705">
        <v>8237</v>
      </c>
      <c r="T2674" s="705">
        <v>2351</v>
      </c>
      <c r="U2674" s="705">
        <v>871</v>
      </c>
      <c r="V2674" s="705">
        <v>26147</v>
      </c>
      <c r="W2674" s="705">
        <f t="shared" si="104"/>
        <v>26148</v>
      </c>
      <c r="X2674" s="705">
        <f t="shared" si="105"/>
        <v>33194</v>
      </c>
    </row>
    <row r="2675" spans="2:24">
      <c r="B2675" t="s">
        <v>558</v>
      </c>
      <c r="C2675" t="s">
        <v>116</v>
      </c>
      <c r="D2675" t="s">
        <v>582</v>
      </c>
      <c r="E2675" t="s">
        <v>582</v>
      </c>
      <c r="F2675" s="705">
        <v>79</v>
      </c>
      <c r="G2675" s="705">
        <v>7848</v>
      </c>
      <c r="H2675" s="705">
        <v>14785</v>
      </c>
      <c r="I2675" s="705">
        <v>738873</v>
      </c>
      <c r="J2675" s="705">
        <v>671703</v>
      </c>
      <c r="K2675" s="705">
        <v>82</v>
      </c>
      <c r="L2675" s="705">
        <v>177424</v>
      </c>
      <c r="M2675" s="705">
        <v>153039</v>
      </c>
      <c r="N2675" s="705">
        <v>144379</v>
      </c>
      <c r="O2675" s="705">
        <v>53474</v>
      </c>
      <c r="P2675" s="705">
        <v>35789</v>
      </c>
      <c r="Q2675" s="705">
        <v>13255</v>
      </c>
      <c r="R2675" s="705">
        <v>344549</v>
      </c>
      <c r="S2675" s="705">
        <v>313226</v>
      </c>
      <c r="T2675" s="705">
        <v>34484</v>
      </c>
      <c r="U2675" s="705">
        <v>12772</v>
      </c>
      <c r="V2675" s="705">
        <v>1217468</v>
      </c>
      <c r="W2675" s="705">
        <f t="shared" si="104"/>
        <v>1217469</v>
      </c>
      <c r="X2675" s="705">
        <f t="shared" si="105"/>
        <v>1475498</v>
      </c>
    </row>
    <row r="2676" spans="2:24">
      <c r="B2676" t="s">
        <v>558</v>
      </c>
      <c r="C2676" t="s">
        <v>116</v>
      </c>
      <c r="D2676" t="s">
        <v>582</v>
      </c>
      <c r="E2676" t="s">
        <v>584</v>
      </c>
      <c r="F2676" s="705">
        <v>1</v>
      </c>
      <c r="G2676" s="705">
        <v>145</v>
      </c>
      <c r="H2676" s="705">
        <v>184</v>
      </c>
      <c r="I2676" s="705">
        <v>12235</v>
      </c>
      <c r="J2676" s="705">
        <v>11123</v>
      </c>
      <c r="K2676" s="705">
        <v>73</v>
      </c>
      <c r="L2676" s="705">
        <v>3145</v>
      </c>
      <c r="M2676" s="705">
        <v>2859</v>
      </c>
      <c r="N2676" s="705">
        <v>3286</v>
      </c>
      <c r="O2676" s="705">
        <v>1217</v>
      </c>
      <c r="P2676" s="705">
        <v>473</v>
      </c>
      <c r="Q2676" s="705">
        <v>175</v>
      </c>
      <c r="R2676" s="705">
        <v>7514</v>
      </c>
      <c r="S2676" s="705">
        <v>6831</v>
      </c>
      <c r="T2676" s="705">
        <v>0</v>
      </c>
      <c r="U2676" s="705">
        <v>0</v>
      </c>
      <c r="V2676" s="705">
        <v>22205</v>
      </c>
      <c r="W2676" s="705">
        <f t="shared" si="104"/>
        <v>22205</v>
      </c>
      <c r="X2676" s="705">
        <f t="shared" si="105"/>
        <v>26653</v>
      </c>
    </row>
    <row r="2677" spans="2:24">
      <c r="B2677" t="s">
        <v>558</v>
      </c>
      <c r="C2677" t="s">
        <v>116</v>
      </c>
      <c r="D2677" t="s">
        <v>228</v>
      </c>
      <c r="E2677" t="s">
        <v>228</v>
      </c>
      <c r="F2677" s="705">
        <v>77</v>
      </c>
      <c r="G2677" s="705">
        <v>7132</v>
      </c>
      <c r="H2677" s="705">
        <v>15638</v>
      </c>
      <c r="I2677" s="705">
        <v>703309</v>
      </c>
      <c r="J2677" s="705">
        <v>260485</v>
      </c>
      <c r="K2677" s="705">
        <v>129</v>
      </c>
      <c r="L2677" s="705">
        <v>97002</v>
      </c>
      <c r="M2677" s="705">
        <v>58745</v>
      </c>
      <c r="N2677" s="705">
        <v>134632</v>
      </c>
      <c r="O2677" s="705">
        <v>49864</v>
      </c>
      <c r="P2677" s="705">
        <v>9011</v>
      </c>
      <c r="Q2677" s="705">
        <v>3337</v>
      </c>
      <c r="R2677" s="705">
        <v>524572</v>
      </c>
      <c r="S2677" s="705">
        <v>194286</v>
      </c>
      <c r="T2677" s="705">
        <v>0</v>
      </c>
      <c r="U2677" s="705">
        <v>0</v>
      </c>
      <c r="V2677" s="705">
        <v>566716</v>
      </c>
      <c r="W2677" s="705">
        <f t="shared" si="104"/>
        <v>566717</v>
      </c>
      <c r="X2677" s="705">
        <f t="shared" si="105"/>
        <v>1468526</v>
      </c>
    </row>
    <row r="2678" spans="2:24">
      <c r="B2678" t="s">
        <v>558</v>
      </c>
      <c r="C2678" t="s">
        <v>116</v>
      </c>
      <c r="D2678" t="s">
        <v>583</v>
      </c>
      <c r="E2678" t="s">
        <v>664</v>
      </c>
      <c r="F2678" s="705">
        <v>3</v>
      </c>
      <c r="G2678" s="705">
        <v>221</v>
      </c>
      <c r="H2678" s="705">
        <v>613</v>
      </c>
      <c r="I2678" s="705">
        <v>21233</v>
      </c>
      <c r="J2678" s="705">
        <v>19303</v>
      </c>
      <c r="K2678" s="705">
        <v>92</v>
      </c>
      <c r="L2678" s="705">
        <v>3769</v>
      </c>
      <c r="M2678" s="705">
        <v>3427</v>
      </c>
      <c r="N2678" s="705">
        <v>5154</v>
      </c>
      <c r="O2678" s="705">
        <v>1909</v>
      </c>
      <c r="P2678" s="705">
        <v>1863</v>
      </c>
      <c r="Q2678" s="705">
        <v>690</v>
      </c>
      <c r="R2678" s="705">
        <v>10092</v>
      </c>
      <c r="S2678" s="705">
        <v>9175</v>
      </c>
      <c r="T2678" s="705">
        <v>2337</v>
      </c>
      <c r="U2678" s="705">
        <v>866</v>
      </c>
      <c r="V2678" s="705">
        <v>35369</v>
      </c>
      <c r="W2678" s="705">
        <f t="shared" si="104"/>
        <v>35370</v>
      </c>
      <c r="X2678" s="705">
        <f t="shared" si="105"/>
        <v>44448</v>
      </c>
    </row>
    <row r="2679" spans="2:24">
      <c r="B2679" t="s">
        <v>558</v>
      </c>
      <c r="C2679" t="s">
        <v>116</v>
      </c>
      <c r="D2679" t="s">
        <v>583</v>
      </c>
      <c r="E2679" t="s">
        <v>228</v>
      </c>
      <c r="F2679" s="705">
        <v>3</v>
      </c>
      <c r="G2679" s="705">
        <v>256</v>
      </c>
      <c r="H2679" s="705">
        <v>589</v>
      </c>
      <c r="I2679" s="705">
        <v>24727</v>
      </c>
      <c r="J2679" s="705">
        <v>22479</v>
      </c>
      <c r="K2679" s="705">
        <v>86</v>
      </c>
      <c r="L2679" s="705">
        <v>3494</v>
      </c>
      <c r="M2679" s="705">
        <v>3176</v>
      </c>
      <c r="N2679" s="705">
        <v>4602</v>
      </c>
      <c r="O2679" s="705">
        <v>1705</v>
      </c>
      <c r="P2679" s="705">
        <v>1863</v>
      </c>
      <c r="Q2679" s="705">
        <v>690</v>
      </c>
      <c r="R2679" s="705">
        <v>17294</v>
      </c>
      <c r="S2679" s="705">
        <v>6405</v>
      </c>
      <c r="T2679" s="705">
        <v>0</v>
      </c>
      <c r="U2679" s="705">
        <v>0</v>
      </c>
      <c r="V2679" s="705">
        <v>34455</v>
      </c>
      <c r="W2679" s="705">
        <f t="shared" si="104"/>
        <v>34455</v>
      </c>
      <c r="X2679" s="705">
        <f t="shared" si="105"/>
        <v>51980</v>
      </c>
    </row>
    <row r="2680" spans="2:24">
      <c r="B2680" t="s">
        <v>558</v>
      </c>
      <c r="C2680" t="s">
        <v>116</v>
      </c>
      <c r="D2680" t="s">
        <v>583</v>
      </c>
      <c r="E2680" t="s">
        <v>583</v>
      </c>
      <c r="F2680" s="705">
        <v>3905</v>
      </c>
      <c r="G2680" s="705">
        <v>383938</v>
      </c>
      <c r="H2680" s="705">
        <v>751413</v>
      </c>
      <c r="I2680" s="705">
        <v>33927967</v>
      </c>
      <c r="J2680" s="705">
        <v>30843606</v>
      </c>
      <c r="K2680" s="705">
        <v>85</v>
      </c>
      <c r="L2680" s="705">
        <v>8448782</v>
      </c>
      <c r="M2680" s="705">
        <v>8082311</v>
      </c>
      <c r="N2680" s="705">
        <v>7464907</v>
      </c>
      <c r="O2680" s="705">
        <v>2764780</v>
      </c>
      <c r="P2680" s="705">
        <v>2485661</v>
      </c>
      <c r="Q2680" s="705">
        <v>920615</v>
      </c>
      <c r="R2680" s="705">
        <v>16291399</v>
      </c>
      <c r="S2680" s="705">
        <v>14810362</v>
      </c>
      <c r="T2680" s="705">
        <v>5730896</v>
      </c>
      <c r="U2680" s="705">
        <v>2122554</v>
      </c>
      <c r="V2680" s="705">
        <v>59544229</v>
      </c>
      <c r="W2680" s="705">
        <f t="shared" si="104"/>
        <v>59544228</v>
      </c>
      <c r="X2680" s="705">
        <f t="shared" si="105"/>
        <v>74349612</v>
      </c>
    </row>
    <row r="2681" spans="2:24">
      <c r="B2681" t="s">
        <v>558</v>
      </c>
      <c r="C2681" t="s">
        <v>116</v>
      </c>
      <c r="D2681" t="s">
        <v>583</v>
      </c>
      <c r="E2681" t="s">
        <v>666</v>
      </c>
      <c r="F2681" s="705">
        <v>4</v>
      </c>
      <c r="G2681" s="705">
        <v>457</v>
      </c>
      <c r="H2681" s="705">
        <v>703</v>
      </c>
      <c r="I2681" s="705">
        <v>37211</v>
      </c>
      <c r="J2681" s="705">
        <v>33828</v>
      </c>
      <c r="K2681" s="705">
        <v>88</v>
      </c>
      <c r="L2681" s="705">
        <v>6375</v>
      </c>
      <c r="M2681" s="705">
        <v>5796</v>
      </c>
      <c r="N2681" s="705">
        <v>9194</v>
      </c>
      <c r="O2681" s="705">
        <v>3405</v>
      </c>
      <c r="P2681" s="705">
        <v>2835</v>
      </c>
      <c r="Q2681" s="705">
        <v>1050</v>
      </c>
      <c r="R2681" s="705">
        <v>20153</v>
      </c>
      <c r="S2681" s="705">
        <v>18321</v>
      </c>
      <c r="T2681" s="705">
        <v>4730</v>
      </c>
      <c r="U2681" s="705">
        <v>1752</v>
      </c>
      <c r="V2681" s="705">
        <v>64151</v>
      </c>
      <c r="W2681" s="705">
        <f t="shared" si="104"/>
        <v>64152</v>
      </c>
      <c r="X2681" s="705">
        <f t="shared" si="105"/>
        <v>80498</v>
      </c>
    </row>
    <row r="2682" spans="2:24">
      <c r="B2682" t="s">
        <v>558</v>
      </c>
      <c r="C2682" t="s">
        <v>116</v>
      </c>
      <c r="D2682" t="s">
        <v>583</v>
      </c>
      <c r="E2682" t="s">
        <v>669</v>
      </c>
      <c r="F2682" s="705">
        <v>2</v>
      </c>
      <c r="G2682" s="705">
        <v>192</v>
      </c>
      <c r="H2682" s="705">
        <v>420</v>
      </c>
      <c r="I2682" s="705">
        <v>19127</v>
      </c>
      <c r="J2682" s="705">
        <v>17389</v>
      </c>
      <c r="K2682" s="705">
        <v>85</v>
      </c>
      <c r="L2682" s="705">
        <v>5738</v>
      </c>
      <c r="M2682" s="705">
        <v>5217</v>
      </c>
      <c r="N2682" s="705">
        <v>3376</v>
      </c>
      <c r="O2682" s="705">
        <v>1250</v>
      </c>
      <c r="P2682" s="705">
        <v>1242</v>
      </c>
      <c r="Q2682" s="705">
        <v>460</v>
      </c>
      <c r="R2682" s="705">
        <v>6307</v>
      </c>
      <c r="S2682" s="705">
        <v>5256</v>
      </c>
      <c r="T2682" s="705">
        <v>4577</v>
      </c>
      <c r="U2682" s="705">
        <v>1695</v>
      </c>
      <c r="V2682" s="705">
        <v>31267</v>
      </c>
      <c r="W2682" s="705">
        <f t="shared" si="104"/>
        <v>31267</v>
      </c>
      <c r="X2682" s="705">
        <f t="shared" si="105"/>
        <v>40367</v>
      </c>
    </row>
    <row r="2683" spans="2:24">
      <c r="B2683" t="s">
        <v>558</v>
      </c>
      <c r="C2683" t="s">
        <v>116</v>
      </c>
      <c r="D2683" t="s">
        <v>666</v>
      </c>
      <c r="E2683" t="s">
        <v>583</v>
      </c>
      <c r="F2683" s="705">
        <v>1</v>
      </c>
      <c r="G2683" s="705">
        <v>72</v>
      </c>
      <c r="H2683" s="705">
        <v>196</v>
      </c>
      <c r="I2683" s="705">
        <v>5230</v>
      </c>
      <c r="J2683" s="705">
        <v>4755</v>
      </c>
      <c r="K2683" s="705">
        <v>93</v>
      </c>
      <c r="L2683" s="705">
        <v>1017</v>
      </c>
      <c r="M2683" s="705">
        <v>847</v>
      </c>
      <c r="N2683" s="705">
        <v>1483</v>
      </c>
      <c r="O2683" s="705">
        <v>549</v>
      </c>
      <c r="P2683" s="705">
        <v>621</v>
      </c>
      <c r="Q2683" s="705">
        <v>230</v>
      </c>
      <c r="R2683" s="705">
        <v>3279</v>
      </c>
      <c r="S2683" s="705">
        <v>2981</v>
      </c>
      <c r="T2683" s="705">
        <v>2408</v>
      </c>
      <c r="U2683" s="705">
        <v>892</v>
      </c>
      <c r="V2683" s="705">
        <v>10254</v>
      </c>
      <c r="W2683" s="705">
        <f t="shared" si="104"/>
        <v>10254</v>
      </c>
      <c r="X2683" s="705">
        <f t="shared" si="105"/>
        <v>14038</v>
      </c>
    </row>
    <row r="2684" spans="2:24">
      <c r="B2684" t="s">
        <v>558</v>
      </c>
      <c r="C2684" t="s">
        <v>116</v>
      </c>
      <c r="D2684" t="s">
        <v>666</v>
      </c>
      <c r="E2684" t="s">
        <v>666</v>
      </c>
      <c r="F2684" s="705">
        <v>1</v>
      </c>
      <c r="G2684" s="705">
        <v>134</v>
      </c>
      <c r="H2684" s="705">
        <v>196</v>
      </c>
      <c r="I2684" s="705">
        <v>13310</v>
      </c>
      <c r="J2684" s="705">
        <v>12100</v>
      </c>
      <c r="K2684" s="705">
        <v>65</v>
      </c>
      <c r="L2684" s="705">
        <v>1748</v>
      </c>
      <c r="M2684" s="705">
        <v>1589</v>
      </c>
      <c r="N2684" s="705">
        <v>3026</v>
      </c>
      <c r="O2684" s="705">
        <v>1121</v>
      </c>
      <c r="P2684" s="705">
        <v>351</v>
      </c>
      <c r="Q2684" s="705">
        <v>130</v>
      </c>
      <c r="R2684" s="705">
        <v>5001</v>
      </c>
      <c r="S2684" s="705">
        <v>4547</v>
      </c>
      <c r="T2684" s="705">
        <v>2843</v>
      </c>
      <c r="U2684" s="705">
        <v>1053</v>
      </c>
      <c r="V2684" s="705">
        <v>20539</v>
      </c>
      <c r="W2684" s="705">
        <f t="shared" si="104"/>
        <v>20540</v>
      </c>
      <c r="X2684" s="705">
        <f t="shared" si="105"/>
        <v>26279</v>
      </c>
    </row>
    <row r="2685" spans="2:24">
      <c r="B2685" t="s">
        <v>558</v>
      </c>
      <c r="C2685" t="s">
        <v>116</v>
      </c>
      <c r="D2685" t="s">
        <v>584</v>
      </c>
      <c r="E2685" t="s">
        <v>228</v>
      </c>
      <c r="F2685" s="705">
        <v>2</v>
      </c>
      <c r="G2685" s="705">
        <v>215</v>
      </c>
      <c r="H2685" s="705">
        <v>375</v>
      </c>
      <c r="I2685" s="705">
        <v>21137</v>
      </c>
      <c r="J2685" s="705">
        <v>19216</v>
      </c>
      <c r="K2685" s="705">
        <v>76</v>
      </c>
      <c r="L2685" s="705">
        <v>2290</v>
      </c>
      <c r="M2685" s="705">
        <v>848</v>
      </c>
      <c r="N2685" s="705">
        <v>3777</v>
      </c>
      <c r="O2685" s="705">
        <v>1399</v>
      </c>
      <c r="P2685" s="705">
        <v>945</v>
      </c>
      <c r="Q2685" s="705">
        <v>350</v>
      </c>
      <c r="R2685" s="705">
        <v>11863</v>
      </c>
      <c r="S2685" s="705">
        <v>4394</v>
      </c>
      <c r="T2685" s="705">
        <v>0</v>
      </c>
      <c r="U2685" s="705">
        <v>0</v>
      </c>
      <c r="V2685" s="705">
        <v>26206</v>
      </c>
      <c r="W2685" s="705">
        <f t="shared" si="104"/>
        <v>26207</v>
      </c>
      <c r="X2685" s="705">
        <f t="shared" si="105"/>
        <v>40012</v>
      </c>
    </row>
    <row r="2686" spans="2:24">
      <c r="B2686" t="s">
        <v>558</v>
      </c>
      <c r="C2686" t="s">
        <v>116</v>
      </c>
      <c r="D2686" t="s">
        <v>584</v>
      </c>
      <c r="E2686" t="s">
        <v>584</v>
      </c>
      <c r="F2686" s="705">
        <v>64</v>
      </c>
      <c r="G2686" s="705">
        <v>6513</v>
      </c>
      <c r="H2686" s="705">
        <v>11973</v>
      </c>
      <c r="I2686" s="705">
        <v>576357</v>
      </c>
      <c r="J2686" s="705">
        <v>523961</v>
      </c>
      <c r="K2686" s="705">
        <v>80</v>
      </c>
      <c r="L2686" s="705">
        <v>137062</v>
      </c>
      <c r="M2686" s="705">
        <v>124002</v>
      </c>
      <c r="N2686" s="705">
        <v>126718</v>
      </c>
      <c r="O2686" s="705">
        <v>46932</v>
      </c>
      <c r="P2686" s="705">
        <v>33507</v>
      </c>
      <c r="Q2686" s="705">
        <v>12410</v>
      </c>
      <c r="R2686" s="705">
        <v>294529</v>
      </c>
      <c r="S2686" s="705">
        <v>267753</v>
      </c>
      <c r="T2686" s="705">
        <v>48231</v>
      </c>
      <c r="U2686" s="705">
        <v>17864</v>
      </c>
      <c r="V2686" s="705">
        <v>992923</v>
      </c>
      <c r="W2686" s="705">
        <f t="shared" si="104"/>
        <v>992922</v>
      </c>
      <c r="X2686" s="705">
        <f t="shared" si="105"/>
        <v>1216404</v>
      </c>
    </row>
    <row r="2687" spans="2:24">
      <c r="B2687" t="s">
        <v>558</v>
      </c>
      <c r="C2687" t="s">
        <v>116</v>
      </c>
      <c r="D2687" t="s">
        <v>665</v>
      </c>
      <c r="E2687" t="s">
        <v>665</v>
      </c>
      <c r="F2687" s="705">
        <v>28</v>
      </c>
      <c r="G2687" s="705">
        <v>2522</v>
      </c>
      <c r="H2687" s="705">
        <v>5841</v>
      </c>
      <c r="I2687" s="705">
        <v>296493</v>
      </c>
      <c r="J2687" s="705">
        <v>269539</v>
      </c>
      <c r="K2687" s="705">
        <v>68</v>
      </c>
      <c r="L2687" s="705">
        <v>17361</v>
      </c>
      <c r="M2687" s="705">
        <v>11542</v>
      </c>
      <c r="N2687" s="705">
        <v>40606</v>
      </c>
      <c r="O2687" s="705">
        <v>15039</v>
      </c>
      <c r="P2687" s="705">
        <v>10368</v>
      </c>
      <c r="Q2687" s="705">
        <v>3840</v>
      </c>
      <c r="R2687" s="705">
        <v>108624</v>
      </c>
      <c r="S2687" s="705">
        <v>98749</v>
      </c>
      <c r="T2687" s="705">
        <v>52829</v>
      </c>
      <c r="U2687" s="705">
        <v>19566</v>
      </c>
      <c r="V2687" s="705">
        <v>418276</v>
      </c>
      <c r="W2687" s="705">
        <f t="shared" si="104"/>
        <v>418275</v>
      </c>
      <c r="X2687" s="705">
        <f t="shared" si="105"/>
        <v>526281</v>
      </c>
    </row>
    <row r="2688" spans="2:24">
      <c r="B2688" t="s">
        <v>558</v>
      </c>
      <c r="C2688" t="s">
        <v>116</v>
      </c>
      <c r="D2688" t="s">
        <v>585</v>
      </c>
      <c r="E2688" t="s">
        <v>585</v>
      </c>
      <c r="F2688" s="705">
        <v>3</v>
      </c>
      <c r="G2688" s="705">
        <v>282</v>
      </c>
      <c r="H2688" s="705">
        <v>550</v>
      </c>
      <c r="I2688" s="705">
        <v>27387</v>
      </c>
      <c r="J2688" s="705">
        <v>24897</v>
      </c>
      <c r="K2688" s="705">
        <v>92</v>
      </c>
      <c r="L2688" s="705">
        <v>9312</v>
      </c>
      <c r="M2688" s="705">
        <v>8465</v>
      </c>
      <c r="N2688" s="705">
        <v>4583</v>
      </c>
      <c r="O2688" s="705">
        <v>1697</v>
      </c>
      <c r="P2688" s="705">
        <v>1053</v>
      </c>
      <c r="Q2688" s="705">
        <v>390</v>
      </c>
      <c r="R2688" s="705">
        <v>5952</v>
      </c>
      <c r="S2688" s="705">
        <v>5411</v>
      </c>
      <c r="T2688" s="705">
        <v>3001</v>
      </c>
      <c r="U2688" s="705">
        <v>1111</v>
      </c>
      <c r="V2688" s="705">
        <v>41972</v>
      </c>
      <c r="W2688" s="705">
        <f t="shared" si="104"/>
        <v>41971</v>
      </c>
      <c r="X2688" s="705">
        <f t="shared" si="105"/>
        <v>51288</v>
      </c>
    </row>
    <row r="2689" spans="2:24">
      <c r="B2689" t="s">
        <v>558</v>
      </c>
      <c r="C2689" t="s">
        <v>118</v>
      </c>
      <c r="F2689" s="705">
        <v>4</v>
      </c>
      <c r="G2689" s="705">
        <v>415</v>
      </c>
      <c r="H2689" s="705">
        <v>1094</v>
      </c>
      <c r="I2689" s="705"/>
      <c r="J2689" s="705">
        <v>0</v>
      </c>
      <c r="K2689" s="705"/>
      <c r="L2689" s="705"/>
      <c r="M2689" s="705">
        <v>0</v>
      </c>
      <c r="N2689" s="705">
        <v>9565</v>
      </c>
      <c r="O2689" s="705">
        <v>3543</v>
      </c>
      <c r="P2689" s="705">
        <v>1323</v>
      </c>
      <c r="Q2689" s="705">
        <v>490</v>
      </c>
      <c r="R2689" s="705"/>
      <c r="S2689" s="705">
        <v>0</v>
      </c>
      <c r="T2689" s="705">
        <v>0</v>
      </c>
      <c r="U2689" s="705">
        <v>0</v>
      </c>
      <c r="V2689" s="705">
        <v>4033</v>
      </c>
      <c r="W2689" s="705">
        <f t="shared" si="104"/>
        <v>4033</v>
      </c>
      <c r="X2689" s="705">
        <f t="shared" si="105"/>
        <v>10888</v>
      </c>
    </row>
    <row r="2690" spans="2:24">
      <c r="B2690" t="s">
        <v>558</v>
      </c>
      <c r="C2690" t="s">
        <v>118</v>
      </c>
      <c r="D2690" t="s">
        <v>664</v>
      </c>
      <c r="E2690" t="s">
        <v>664</v>
      </c>
      <c r="F2690" s="705">
        <v>3</v>
      </c>
      <c r="G2690" s="705">
        <v>251</v>
      </c>
      <c r="H2690" s="705">
        <v>766</v>
      </c>
      <c r="I2690" s="705">
        <v>39424</v>
      </c>
      <c r="J2690" s="705">
        <v>35840</v>
      </c>
      <c r="K2690" s="705">
        <v>88</v>
      </c>
      <c r="L2690" s="705">
        <v>8877</v>
      </c>
      <c r="M2690" s="705">
        <v>7535</v>
      </c>
      <c r="N2690" s="705">
        <v>3808</v>
      </c>
      <c r="O2690" s="705">
        <v>1410</v>
      </c>
      <c r="P2690" s="705">
        <v>1418</v>
      </c>
      <c r="Q2690" s="705">
        <v>525</v>
      </c>
      <c r="R2690" s="705">
        <v>8472</v>
      </c>
      <c r="S2690" s="705">
        <v>7702</v>
      </c>
      <c r="T2690" s="705">
        <v>2249</v>
      </c>
      <c r="U2690" s="705">
        <v>833</v>
      </c>
      <c r="V2690" s="705">
        <v>53845</v>
      </c>
      <c r="W2690" s="705">
        <f t="shared" si="104"/>
        <v>53845</v>
      </c>
      <c r="X2690" s="705">
        <f t="shared" si="105"/>
        <v>64248</v>
      </c>
    </row>
    <row r="2691" spans="2:24">
      <c r="B2691" t="s">
        <v>558</v>
      </c>
      <c r="C2691" t="s">
        <v>118</v>
      </c>
      <c r="D2691" t="s">
        <v>582</v>
      </c>
      <c r="E2691" t="s">
        <v>582</v>
      </c>
      <c r="F2691" s="705">
        <v>21</v>
      </c>
      <c r="G2691" s="705">
        <v>1838</v>
      </c>
      <c r="H2691" s="705">
        <v>5374</v>
      </c>
      <c r="I2691" s="705">
        <v>228274</v>
      </c>
      <c r="J2691" s="705">
        <v>207522</v>
      </c>
      <c r="K2691" s="705">
        <v>76</v>
      </c>
      <c r="L2691" s="705">
        <v>51774</v>
      </c>
      <c r="M2691" s="705">
        <v>44390</v>
      </c>
      <c r="N2691" s="705">
        <v>37500</v>
      </c>
      <c r="O2691" s="705">
        <v>13889</v>
      </c>
      <c r="P2691" s="705">
        <v>9437</v>
      </c>
      <c r="Q2691" s="705">
        <v>3495</v>
      </c>
      <c r="R2691" s="705">
        <v>109334</v>
      </c>
      <c r="S2691" s="705">
        <v>99395</v>
      </c>
      <c r="T2691" s="705">
        <v>33668</v>
      </c>
      <c r="U2691" s="705">
        <v>12470</v>
      </c>
      <c r="V2691" s="705">
        <v>381161</v>
      </c>
      <c r="W2691" s="705">
        <f t="shared" si="104"/>
        <v>381161</v>
      </c>
      <c r="X2691" s="705">
        <f t="shared" si="105"/>
        <v>469987</v>
      </c>
    </row>
    <row r="2692" spans="2:24">
      <c r="B2692" t="s">
        <v>558</v>
      </c>
      <c r="C2692" t="s">
        <v>118</v>
      </c>
      <c r="D2692" t="s">
        <v>582</v>
      </c>
      <c r="E2692" t="s">
        <v>228</v>
      </c>
      <c r="F2692" s="705">
        <v>1</v>
      </c>
      <c r="G2692" s="705">
        <v>97</v>
      </c>
      <c r="H2692" s="705">
        <v>269</v>
      </c>
      <c r="I2692" s="705">
        <v>13559</v>
      </c>
      <c r="J2692" s="705">
        <v>12326</v>
      </c>
      <c r="K2692" s="705">
        <v>80</v>
      </c>
      <c r="L2692" s="705">
        <v>1916</v>
      </c>
      <c r="M2692" s="705">
        <v>1742</v>
      </c>
      <c r="N2692" s="705">
        <v>1545</v>
      </c>
      <c r="O2692" s="705">
        <v>572</v>
      </c>
      <c r="P2692" s="705">
        <v>473</v>
      </c>
      <c r="Q2692" s="705">
        <v>175</v>
      </c>
      <c r="R2692" s="705">
        <v>8598</v>
      </c>
      <c r="S2692" s="705">
        <v>3184</v>
      </c>
      <c r="T2692" s="705">
        <v>0</v>
      </c>
      <c r="U2692" s="705">
        <v>0</v>
      </c>
      <c r="V2692" s="705">
        <v>18000</v>
      </c>
      <c r="W2692" s="705">
        <f t="shared" si="104"/>
        <v>17999</v>
      </c>
      <c r="X2692" s="705">
        <f t="shared" si="105"/>
        <v>26091</v>
      </c>
    </row>
    <row r="2693" spans="2:24">
      <c r="B2693" t="s">
        <v>558</v>
      </c>
      <c r="C2693" t="s">
        <v>118</v>
      </c>
      <c r="D2693" t="s">
        <v>228</v>
      </c>
      <c r="E2693" t="s">
        <v>664</v>
      </c>
      <c r="F2693" s="705">
        <v>1</v>
      </c>
      <c r="G2693" s="705">
        <v>112</v>
      </c>
      <c r="H2693" s="705">
        <v>252</v>
      </c>
      <c r="I2693" s="705">
        <v>14562</v>
      </c>
      <c r="J2693" s="705">
        <v>5393</v>
      </c>
      <c r="K2693" s="705">
        <v>100</v>
      </c>
      <c r="L2693" s="705">
        <v>4944</v>
      </c>
      <c r="M2693" s="705">
        <v>4494</v>
      </c>
      <c r="N2693" s="705">
        <v>2425</v>
      </c>
      <c r="O2693" s="705">
        <v>898</v>
      </c>
      <c r="P2693" s="705">
        <v>0</v>
      </c>
      <c r="Q2693" s="705">
        <v>0</v>
      </c>
      <c r="R2693" s="705">
        <v>4094</v>
      </c>
      <c r="S2693" s="705">
        <v>3722</v>
      </c>
      <c r="T2693" s="705">
        <v>2130</v>
      </c>
      <c r="U2693" s="705">
        <v>789</v>
      </c>
      <c r="V2693" s="705">
        <v>15297</v>
      </c>
      <c r="W2693" s="705">
        <f t="shared" si="104"/>
        <v>15296</v>
      </c>
      <c r="X2693" s="705">
        <f t="shared" si="105"/>
        <v>28155</v>
      </c>
    </row>
    <row r="2694" spans="2:24">
      <c r="B2694" t="s">
        <v>558</v>
      </c>
      <c r="C2694" t="s">
        <v>118</v>
      </c>
      <c r="D2694" t="s">
        <v>228</v>
      </c>
      <c r="E2694" t="s">
        <v>582</v>
      </c>
      <c r="F2694" s="705">
        <v>1</v>
      </c>
      <c r="G2694" s="705">
        <v>35</v>
      </c>
      <c r="H2694" s="705">
        <v>258</v>
      </c>
      <c r="I2694" s="705">
        <v>6205</v>
      </c>
      <c r="J2694" s="705">
        <v>2298</v>
      </c>
      <c r="K2694" s="705">
        <v>100</v>
      </c>
      <c r="L2694" s="705">
        <v>0</v>
      </c>
      <c r="M2694" s="705">
        <v>0</v>
      </c>
      <c r="N2694" s="705">
        <v>423</v>
      </c>
      <c r="O2694" s="705">
        <v>157</v>
      </c>
      <c r="P2694" s="705">
        <v>122</v>
      </c>
      <c r="Q2694" s="705">
        <v>45</v>
      </c>
      <c r="R2694" s="705">
        <v>2194</v>
      </c>
      <c r="S2694" s="705">
        <v>1995</v>
      </c>
      <c r="T2694" s="705">
        <v>0</v>
      </c>
      <c r="U2694" s="705">
        <v>0</v>
      </c>
      <c r="V2694" s="705">
        <v>4495</v>
      </c>
      <c r="W2694" s="705">
        <f t="shared" si="104"/>
        <v>4495</v>
      </c>
      <c r="X2694" s="705">
        <f t="shared" si="105"/>
        <v>8944</v>
      </c>
    </row>
    <row r="2695" spans="2:24">
      <c r="B2695" t="s">
        <v>558</v>
      </c>
      <c r="C2695" t="s">
        <v>118</v>
      </c>
      <c r="D2695" t="s">
        <v>228</v>
      </c>
      <c r="E2695" t="s">
        <v>228</v>
      </c>
      <c r="F2695" s="705">
        <v>369</v>
      </c>
      <c r="G2695" s="705">
        <v>33379</v>
      </c>
      <c r="H2695" s="705">
        <v>98100</v>
      </c>
      <c r="I2695" s="705">
        <v>4856709</v>
      </c>
      <c r="J2695" s="705">
        <v>1798781</v>
      </c>
      <c r="K2695" s="705">
        <v>102</v>
      </c>
      <c r="L2695" s="705">
        <v>778413</v>
      </c>
      <c r="M2695" s="705">
        <v>546128</v>
      </c>
      <c r="N2695" s="705">
        <v>667360</v>
      </c>
      <c r="O2695" s="705">
        <v>247170</v>
      </c>
      <c r="P2695" s="705">
        <v>7277</v>
      </c>
      <c r="Q2695" s="705">
        <v>2695</v>
      </c>
      <c r="R2695" s="705">
        <v>2716720</v>
      </c>
      <c r="S2695" s="705">
        <v>1006192</v>
      </c>
      <c r="T2695" s="705">
        <v>4168</v>
      </c>
      <c r="U2695" s="705">
        <v>1544</v>
      </c>
      <c r="V2695" s="705">
        <v>3602511</v>
      </c>
      <c r="W2695" s="705">
        <f t="shared" si="104"/>
        <v>3602510</v>
      </c>
      <c r="X2695" s="705">
        <f t="shared" si="105"/>
        <v>9030647</v>
      </c>
    </row>
    <row r="2696" spans="2:24">
      <c r="B2696" t="s">
        <v>558</v>
      </c>
      <c r="C2696" t="s">
        <v>118</v>
      </c>
      <c r="D2696" t="s">
        <v>228</v>
      </c>
      <c r="E2696" t="s">
        <v>666</v>
      </c>
      <c r="F2696" s="705">
        <v>1</v>
      </c>
      <c r="G2696" s="705">
        <v>66</v>
      </c>
      <c r="H2696" s="705">
        <v>290</v>
      </c>
      <c r="I2696" s="705">
        <v>11735</v>
      </c>
      <c r="J2696" s="705">
        <v>4346</v>
      </c>
      <c r="K2696" s="705">
        <v>100</v>
      </c>
      <c r="L2696" s="705">
        <v>966</v>
      </c>
      <c r="M2696" s="705">
        <v>878</v>
      </c>
      <c r="N2696" s="705">
        <v>1255</v>
      </c>
      <c r="O2696" s="705">
        <v>465</v>
      </c>
      <c r="P2696" s="705">
        <v>0</v>
      </c>
      <c r="Q2696" s="705">
        <v>0</v>
      </c>
      <c r="R2696" s="705">
        <v>2906</v>
      </c>
      <c r="S2696" s="705">
        <v>2642</v>
      </c>
      <c r="T2696" s="705">
        <v>2426</v>
      </c>
      <c r="U2696" s="705">
        <v>899</v>
      </c>
      <c r="V2696" s="705">
        <v>9229</v>
      </c>
      <c r="W2696" s="705">
        <f t="shared" si="104"/>
        <v>9230</v>
      </c>
      <c r="X2696" s="705">
        <f t="shared" si="105"/>
        <v>19288</v>
      </c>
    </row>
    <row r="2697" spans="2:24">
      <c r="B2697" t="s">
        <v>558</v>
      </c>
      <c r="C2697" t="s">
        <v>118</v>
      </c>
      <c r="D2697" t="s">
        <v>228</v>
      </c>
      <c r="E2697" t="s">
        <v>669</v>
      </c>
      <c r="F2697" s="705">
        <v>2</v>
      </c>
      <c r="G2697" s="705">
        <v>166</v>
      </c>
      <c r="H2697" s="705">
        <v>506</v>
      </c>
      <c r="I2697" s="705">
        <v>18094</v>
      </c>
      <c r="J2697" s="705">
        <v>6701</v>
      </c>
      <c r="K2697" s="705">
        <v>100</v>
      </c>
      <c r="L2697" s="705">
        <v>8414</v>
      </c>
      <c r="M2697" s="705">
        <v>3531</v>
      </c>
      <c r="N2697" s="705">
        <v>4056</v>
      </c>
      <c r="O2697" s="705">
        <v>1502</v>
      </c>
      <c r="P2697" s="705">
        <v>0</v>
      </c>
      <c r="Q2697" s="705">
        <v>0</v>
      </c>
      <c r="R2697" s="705">
        <v>9146</v>
      </c>
      <c r="S2697" s="705">
        <v>7622</v>
      </c>
      <c r="T2697" s="705">
        <v>2306</v>
      </c>
      <c r="U2697" s="705">
        <v>854</v>
      </c>
      <c r="V2697" s="705">
        <v>20211</v>
      </c>
      <c r="W2697" s="705">
        <f t="shared" si="104"/>
        <v>20210</v>
      </c>
      <c r="X2697" s="705">
        <f t="shared" si="105"/>
        <v>42016</v>
      </c>
    </row>
    <row r="2698" spans="2:24">
      <c r="B2698" t="s">
        <v>558</v>
      </c>
      <c r="C2698" t="s">
        <v>118</v>
      </c>
      <c r="D2698" t="s">
        <v>228</v>
      </c>
      <c r="E2698" t="s">
        <v>665</v>
      </c>
      <c r="F2698" s="705">
        <v>1</v>
      </c>
      <c r="G2698" s="705">
        <v>80</v>
      </c>
      <c r="H2698" s="705">
        <v>299</v>
      </c>
      <c r="I2698" s="705">
        <v>12477</v>
      </c>
      <c r="J2698" s="705">
        <v>4621</v>
      </c>
      <c r="K2698" s="705">
        <v>100</v>
      </c>
      <c r="L2698" s="705">
        <v>2542</v>
      </c>
      <c r="M2698" s="705">
        <v>2311</v>
      </c>
      <c r="N2698" s="705">
        <v>973</v>
      </c>
      <c r="O2698" s="705">
        <v>360</v>
      </c>
      <c r="P2698" s="705">
        <v>351</v>
      </c>
      <c r="Q2698" s="705">
        <v>130</v>
      </c>
      <c r="R2698" s="705">
        <v>5378</v>
      </c>
      <c r="S2698" s="705">
        <v>4889</v>
      </c>
      <c r="T2698" s="705">
        <v>2164</v>
      </c>
      <c r="U2698" s="705">
        <v>802</v>
      </c>
      <c r="V2698" s="705">
        <v>13113</v>
      </c>
      <c r="W2698" s="705">
        <f t="shared" si="104"/>
        <v>13113</v>
      </c>
      <c r="X2698" s="705">
        <f t="shared" si="105"/>
        <v>23885</v>
      </c>
    </row>
    <row r="2699" spans="2:24">
      <c r="B2699" t="s">
        <v>558</v>
      </c>
      <c r="C2699" t="s">
        <v>118</v>
      </c>
      <c r="D2699" t="s">
        <v>583</v>
      </c>
      <c r="E2699" t="s">
        <v>664</v>
      </c>
      <c r="F2699" s="705">
        <v>2</v>
      </c>
      <c r="G2699" s="705">
        <v>121</v>
      </c>
      <c r="H2699" s="705">
        <v>532</v>
      </c>
      <c r="I2699" s="705">
        <v>15358</v>
      </c>
      <c r="J2699" s="705">
        <v>13962</v>
      </c>
      <c r="K2699" s="705">
        <v>80</v>
      </c>
      <c r="L2699" s="705">
        <v>4263</v>
      </c>
      <c r="M2699" s="705">
        <v>3875</v>
      </c>
      <c r="N2699" s="705">
        <v>2252</v>
      </c>
      <c r="O2699" s="705">
        <v>834</v>
      </c>
      <c r="P2699" s="705">
        <v>1242</v>
      </c>
      <c r="Q2699" s="705">
        <v>460</v>
      </c>
      <c r="R2699" s="705">
        <v>9161</v>
      </c>
      <c r="S2699" s="705">
        <v>8328</v>
      </c>
      <c r="T2699" s="705">
        <v>0</v>
      </c>
      <c r="U2699" s="705">
        <v>0</v>
      </c>
      <c r="V2699" s="705">
        <v>27460</v>
      </c>
      <c r="W2699" s="705">
        <f t="shared" si="104"/>
        <v>27459</v>
      </c>
      <c r="X2699" s="705">
        <f t="shared" si="105"/>
        <v>32276</v>
      </c>
    </row>
    <row r="2700" spans="2:24">
      <c r="B2700" t="s">
        <v>558</v>
      </c>
      <c r="C2700" t="s">
        <v>118</v>
      </c>
      <c r="D2700" t="s">
        <v>583</v>
      </c>
      <c r="E2700" t="s">
        <v>228</v>
      </c>
      <c r="F2700" s="705">
        <v>1</v>
      </c>
      <c r="G2700" s="705">
        <v>41</v>
      </c>
      <c r="H2700" s="705">
        <v>262</v>
      </c>
      <c r="I2700" s="705">
        <v>5283</v>
      </c>
      <c r="J2700" s="705">
        <v>4803</v>
      </c>
      <c r="K2700" s="705">
        <v>86</v>
      </c>
      <c r="L2700" s="705">
        <v>796</v>
      </c>
      <c r="M2700" s="705">
        <v>724</v>
      </c>
      <c r="N2700" s="705">
        <v>775</v>
      </c>
      <c r="O2700" s="705">
        <v>287</v>
      </c>
      <c r="P2700" s="705">
        <v>621</v>
      </c>
      <c r="Q2700" s="705">
        <v>230</v>
      </c>
      <c r="R2700" s="705">
        <v>3151</v>
      </c>
      <c r="S2700" s="705">
        <v>1167</v>
      </c>
      <c r="T2700" s="705">
        <v>0</v>
      </c>
      <c r="U2700" s="705">
        <v>0</v>
      </c>
      <c r="V2700" s="705">
        <v>7211</v>
      </c>
      <c r="W2700" s="705">
        <f t="shared" si="104"/>
        <v>7211</v>
      </c>
      <c r="X2700" s="705">
        <f t="shared" si="105"/>
        <v>10626</v>
      </c>
    </row>
    <row r="2701" spans="2:24">
      <c r="B2701" t="s">
        <v>558</v>
      </c>
      <c r="C2701" t="s">
        <v>118</v>
      </c>
      <c r="D2701" t="s">
        <v>583</v>
      </c>
      <c r="E2701" t="s">
        <v>583</v>
      </c>
      <c r="F2701" s="705">
        <v>1758</v>
      </c>
      <c r="G2701" s="705">
        <v>155910</v>
      </c>
      <c r="H2701" s="705">
        <v>447874</v>
      </c>
      <c r="I2701" s="705">
        <v>20377466</v>
      </c>
      <c r="J2701" s="705">
        <v>18524969</v>
      </c>
      <c r="K2701" s="705">
        <v>82</v>
      </c>
      <c r="L2701" s="705">
        <v>4844039</v>
      </c>
      <c r="M2701" s="705">
        <v>4219756</v>
      </c>
      <c r="N2701" s="705">
        <v>3155906</v>
      </c>
      <c r="O2701" s="705">
        <v>1168854</v>
      </c>
      <c r="P2701" s="705">
        <v>1123064</v>
      </c>
      <c r="Q2701" s="705">
        <v>415950</v>
      </c>
      <c r="R2701" s="705">
        <v>7454939</v>
      </c>
      <c r="S2701" s="705">
        <v>6777217</v>
      </c>
      <c r="T2701" s="705">
        <v>3093644</v>
      </c>
      <c r="U2701" s="705">
        <v>1145794</v>
      </c>
      <c r="V2701" s="705">
        <v>32252540</v>
      </c>
      <c r="W2701" s="705">
        <f t="shared" si="104"/>
        <v>32252540</v>
      </c>
      <c r="X2701" s="705">
        <f t="shared" si="105"/>
        <v>40049058</v>
      </c>
    </row>
    <row r="2702" spans="2:24">
      <c r="B2702" t="s">
        <v>558</v>
      </c>
      <c r="C2702" t="s">
        <v>118</v>
      </c>
      <c r="D2702" t="s">
        <v>583</v>
      </c>
      <c r="E2702" t="s">
        <v>666</v>
      </c>
      <c r="F2702" s="705">
        <v>2</v>
      </c>
      <c r="G2702" s="705">
        <v>197</v>
      </c>
      <c r="H2702" s="705">
        <v>506</v>
      </c>
      <c r="I2702" s="705">
        <v>23947</v>
      </c>
      <c r="J2702" s="705">
        <v>21770</v>
      </c>
      <c r="K2702" s="705">
        <v>78</v>
      </c>
      <c r="L2702" s="705">
        <v>6946</v>
      </c>
      <c r="M2702" s="705">
        <v>6152</v>
      </c>
      <c r="N2702" s="705">
        <v>3973</v>
      </c>
      <c r="O2702" s="705">
        <v>1471</v>
      </c>
      <c r="P2702" s="705">
        <v>1242</v>
      </c>
      <c r="Q2702" s="705">
        <v>460</v>
      </c>
      <c r="R2702" s="705">
        <v>8697</v>
      </c>
      <c r="S2702" s="705">
        <v>7907</v>
      </c>
      <c r="T2702" s="705">
        <v>5526</v>
      </c>
      <c r="U2702" s="705">
        <v>2047</v>
      </c>
      <c r="V2702" s="705">
        <v>39806</v>
      </c>
      <c r="W2702" s="705">
        <f t="shared" si="104"/>
        <v>39807</v>
      </c>
      <c r="X2702" s="705">
        <f t="shared" si="105"/>
        <v>50331</v>
      </c>
    </row>
    <row r="2703" spans="2:24">
      <c r="B2703" t="s">
        <v>558</v>
      </c>
      <c r="C2703" t="s">
        <v>118</v>
      </c>
      <c r="D2703" t="s">
        <v>583</v>
      </c>
      <c r="E2703" t="s">
        <v>669</v>
      </c>
      <c r="F2703" s="705">
        <v>2</v>
      </c>
      <c r="G2703" s="705">
        <v>178</v>
      </c>
      <c r="H2703" s="705">
        <v>502</v>
      </c>
      <c r="I2703" s="705">
        <v>24317</v>
      </c>
      <c r="J2703" s="705">
        <v>22107</v>
      </c>
      <c r="K2703" s="705">
        <v>86</v>
      </c>
      <c r="L2703" s="705">
        <v>3911</v>
      </c>
      <c r="M2703" s="705">
        <v>3324</v>
      </c>
      <c r="N2703" s="705">
        <v>4330</v>
      </c>
      <c r="O2703" s="705">
        <v>1604</v>
      </c>
      <c r="P2703" s="705">
        <v>1242</v>
      </c>
      <c r="Q2703" s="705">
        <v>460</v>
      </c>
      <c r="R2703" s="705">
        <v>7456</v>
      </c>
      <c r="S2703" s="705">
        <v>6213</v>
      </c>
      <c r="T2703" s="705">
        <v>4537</v>
      </c>
      <c r="U2703" s="705">
        <v>1681</v>
      </c>
      <c r="V2703" s="705">
        <v>35388</v>
      </c>
      <c r="W2703" s="705">
        <f t="shared" si="104"/>
        <v>35389</v>
      </c>
      <c r="X2703" s="705">
        <f t="shared" si="105"/>
        <v>45793</v>
      </c>
    </row>
    <row r="2704" spans="2:24">
      <c r="B2704" t="s">
        <v>558</v>
      </c>
      <c r="C2704" t="s">
        <v>118</v>
      </c>
      <c r="D2704" t="s">
        <v>666</v>
      </c>
      <c r="E2704" t="s">
        <v>228</v>
      </c>
      <c r="F2704" s="705">
        <v>1</v>
      </c>
      <c r="G2704" s="705">
        <v>84</v>
      </c>
      <c r="H2704" s="705">
        <v>257</v>
      </c>
      <c r="I2704" s="705">
        <v>10642</v>
      </c>
      <c r="J2704" s="705">
        <v>9674</v>
      </c>
      <c r="K2704" s="705">
        <v>60</v>
      </c>
      <c r="L2704" s="705">
        <v>1741</v>
      </c>
      <c r="M2704" s="705">
        <v>645</v>
      </c>
      <c r="N2704" s="705">
        <v>2037</v>
      </c>
      <c r="O2704" s="705">
        <v>754</v>
      </c>
      <c r="P2704" s="705">
        <v>351</v>
      </c>
      <c r="Q2704" s="705">
        <v>130</v>
      </c>
      <c r="R2704" s="705">
        <v>6709</v>
      </c>
      <c r="S2704" s="705">
        <v>2485</v>
      </c>
      <c r="T2704" s="705">
        <v>0</v>
      </c>
      <c r="U2704" s="705">
        <v>0</v>
      </c>
      <c r="V2704" s="705">
        <v>13689</v>
      </c>
      <c r="W2704" s="705">
        <f t="shared" si="104"/>
        <v>13688</v>
      </c>
      <c r="X2704" s="705">
        <f t="shared" si="105"/>
        <v>21480</v>
      </c>
    </row>
    <row r="2705" spans="2:24">
      <c r="B2705" t="s">
        <v>558</v>
      </c>
      <c r="C2705" t="s">
        <v>118</v>
      </c>
      <c r="D2705" t="s">
        <v>666</v>
      </c>
      <c r="E2705" t="s">
        <v>666</v>
      </c>
      <c r="F2705" s="705">
        <v>27</v>
      </c>
      <c r="G2705" s="705">
        <v>2356</v>
      </c>
      <c r="H2705" s="705">
        <v>7414</v>
      </c>
      <c r="I2705" s="705">
        <v>371475</v>
      </c>
      <c r="J2705" s="705">
        <v>337704</v>
      </c>
      <c r="K2705" s="705">
        <v>56</v>
      </c>
      <c r="L2705" s="705">
        <v>21728</v>
      </c>
      <c r="M2705" s="705">
        <v>15874</v>
      </c>
      <c r="N2705" s="705">
        <v>43853</v>
      </c>
      <c r="O2705" s="705">
        <v>16242</v>
      </c>
      <c r="P2705" s="705">
        <v>9747</v>
      </c>
      <c r="Q2705" s="705">
        <v>3610</v>
      </c>
      <c r="R2705" s="705">
        <v>147557</v>
      </c>
      <c r="S2705" s="705">
        <v>134143</v>
      </c>
      <c r="T2705" s="705">
        <v>56458</v>
      </c>
      <c r="U2705" s="705">
        <v>20910</v>
      </c>
      <c r="V2705" s="705">
        <v>528483</v>
      </c>
      <c r="W2705" s="705">
        <f t="shared" si="104"/>
        <v>528483</v>
      </c>
      <c r="X2705" s="705">
        <f t="shared" si="105"/>
        <v>650818</v>
      </c>
    </row>
    <row r="2706" spans="2:24">
      <c r="B2706" t="s">
        <v>558</v>
      </c>
      <c r="C2706" t="s">
        <v>118</v>
      </c>
      <c r="D2706" t="s">
        <v>666</v>
      </c>
      <c r="E2706" t="s">
        <v>671</v>
      </c>
      <c r="F2706" s="705">
        <v>1</v>
      </c>
      <c r="G2706" s="705">
        <v>95</v>
      </c>
      <c r="H2706" s="705">
        <v>258</v>
      </c>
      <c r="I2706" s="705">
        <v>13821</v>
      </c>
      <c r="J2706" s="705">
        <v>12565</v>
      </c>
      <c r="K2706" s="705">
        <v>65</v>
      </c>
      <c r="L2706" s="705">
        <v>1664</v>
      </c>
      <c r="M2706" s="705">
        <v>1512</v>
      </c>
      <c r="N2706" s="705">
        <v>2029</v>
      </c>
      <c r="O2706" s="705">
        <v>751</v>
      </c>
      <c r="P2706" s="705">
        <v>351</v>
      </c>
      <c r="Q2706" s="705">
        <v>130</v>
      </c>
      <c r="R2706" s="705">
        <v>6544</v>
      </c>
      <c r="S2706" s="705">
        <v>5949</v>
      </c>
      <c r="T2706" s="705">
        <v>0</v>
      </c>
      <c r="U2706" s="705">
        <v>0</v>
      </c>
      <c r="V2706" s="705">
        <v>20908</v>
      </c>
      <c r="W2706" s="705">
        <f t="shared" si="104"/>
        <v>20907</v>
      </c>
      <c r="X2706" s="705">
        <f t="shared" si="105"/>
        <v>24409</v>
      </c>
    </row>
    <row r="2707" spans="2:24">
      <c r="B2707" t="s">
        <v>558</v>
      </c>
      <c r="C2707" t="s">
        <v>118</v>
      </c>
      <c r="D2707" t="s">
        <v>584</v>
      </c>
      <c r="E2707" t="s">
        <v>584</v>
      </c>
      <c r="F2707" s="705">
        <v>15</v>
      </c>
      <c r="G2707" s="705">
        <v>1164</v>
      </c>
      <c r="H2707" s="705">
        <v>3776</v>
      </c>
      <c r="I2707" s="705">
        <v>143490</v>
      </c>
      <c r="J2707" s="705">
        <v>130445</v>
      </c>
      <c r="K2707" s="705">
        <v>78</v>
      </c>
      <c r="L2707" s="705">
        <v>31460</v>
      </c>
      <c r="M2707" s="705">
        <v>27563</v>
      </c>
      <c r="N2707" s="705">
        <v>25659</v>
      </c>
      <c r="O2707" s="705">
        <v>9503</v>
      </c>
      <c r="P2707" s="705">
        <v>7088</v>
      </c>
      <c r="Q2707" s="705">
        <v>2625</v>
      </c>
      <c r="R2707" s="705">
        <v>67439</v>
      </c>
      <c r="S2707" s="705">
        <v>61308</v>
      </c>
      <c r="T2707" s="705">
        <v>27488</v>
      </c>
      <c r="U2707" s="705">
        <v>10181</v>
      </c>
      <c r="V2707" s="705">
        <v>241624</v>
      </c>
      <c r="W2707" s="705">
        <f t="shared" si="104"/>
        <v>241625</v>
      </c>
      <c r="X2707" s="705">
        <f t="shared" si="105"/>
        <v>302624</v>
      </c>
    </row>
    <row r="2708" spans="2:24">
      <c r="B2708" t="s">
        <v>558</v>
      </c>
      <c r="C2708" t="s">
        <v>118</v>
      </c>
      <c r="D2708" t="s">
        <v>669</v>
      </c>
      <c r="E2708" t="s">
        <v>228</v>
      </c>
      <c r="F2708" s="705">
        <v>1</v>
      </c>
      <c r="G2708" s="705">
        <v>94</v>
      </c>
      <c r="H2708" s="705">
        <v>251</v>
      </c>
      <c r="I2708" s="705">
        <v>13937</v>
      </c>
      <c r="J2708" s="705">
        <v>11614</v>
      </c>
      <c r="K2708" s="705">
        <v>65</v>
      </c>
      <c r="L2708" s="705">
        <v>0</v>
      </c>
      <c r="M2708" s="705">
        <v>0</v>
      </c>
      <c r="N2708" s="705">
        <v>1859</v>
      </c>
      <c r="O2708" s="705">
        <v>689</v>
      </c>
      <c r="P2708" s="705">
        <v>351</v>
      </c>
      <c r="Q2708" s="705">
        <v>130</v>
      </c>
      <c r="R2708" s="705">
        <v>7536</v>
      </c>
      <c r="S2708" s="705">
        <v>2791</v>
      </c>
      <c r="T2708" s="705">
        <v>0</v>
      </c>
      <c r="U2708" s="705">
        <v>0</v>
      </c>
      <c r="V2708" s="705">
        <v>15224</v>
      </c>
      <c r="W2708" s="705">
        <f t="shared" si="104"/>
        <v>15224</v>
      </c>
      <c r="X2708" s="705">
        <f t="shared" si="105"/>
        <v>23683</v>
      </c>
    </row>
    <row r="2709" spans="2:24">
      <c r="B2709" t="s">
        <v>558</v>
      </c>
      <c r="C2709" t="s">
        <v>118</v>
      </c>
      <c r="D2709" t="s">
        <v>669</v>
      </c>
      <c r="E2709" t="s">
        <v>669</v>
      </c>
      <c r="F2709" s="705">
        <v>114</v>
      </c>
      <c r="G2709" s="705">
        <v>9518</v>
      </c>
      <c r="H2709" s="705">
        <v>31693</v>
      </c>
      <c r="I2709" s="705">
        <v>1391512</v>
      </c>
      <c r="J2709" s="705">
        <v>1159594</v>
      </c>
      <c r="K2709" s="705">
        <v>57</v>
      </c>
      <c r="L2709" s="705">
        <v>110778</v>
      </c>
      <c r="M2709" s="705">
        <v>69621</v>
      </c>
      <c r="N2709" s="705">
        <v>192318</v>
      </c>
      <c r="O2709" s="705">
        <v>71229</v>
      </c>
      <c r="P2709" s="705">
        <v>39932</v>
      </c>
      <c r="Q2709" s="705">
        <v>14790</v>
      </c>
      <c r="R2709" s="705">
        <v>646669</v>
      </c>
      <c r="S2709" s="705">
        <v>538891</v>
      </c>
      <c r="T2709" s="705">
        <v>273651</v>
      </c>
      <c r="U2709" s="705">
        <v>101352</v>
      </c>
      <c r="V2709" s="705">
        <v>1955477</v>
      </c>
      <c r="W2709" s="705">
        <f t="shared" si="104"/>
        <v>1955477</v>
      </c>
      <c r="X2709" s="705">
        <f t="shared" si="105"/>
        <v>2654860</v>
      </c>
    </row>
    <row r="2710" spans="2:24">
      <c r="B2710" t="s">
        <v>558</v>
      </c>
      <c r="C2710" t="s">
        <v>118</v>
      </c>
      <c r="D2710" t="s">
        <v>667</v>
      </c>
      <c r="E2710" t="s">
        <v>667</v>
      </c>
      <c r="F2710" s="705">
        <v>2</v>
      </c>
      <c r="G2710" s="705">
        <v>162</v>
      </c>
      <c r="H2710" s="705">
        <v>524</v>
      </c>
      <c r="I2710" s="705">
        <v>21460</v>
      </c>
      <c r="J2710" s="705">
        <v>19509</v>
      </c>
      <c r="K2710" s="705">
        <v>60</v>
      </c>
      <c r="L2710" s="705">
        <v>3512</v>
      </c>
      <c r="M2710" s="705">
        <v>3193</v>
      </c>
      <c r="N2710" s="705">
        <v>3232</v>
      </c>
      <c r="O2710" s="705">
        <v>1197</v>
      </c>
      <c r="P2710" s="705">
        <v>702</v>
      </c>
      <c r="Q2710" s="705">
        <v>260</v>
      </c>
      <c r="R2710" s="705">
        <v>9061</v>
      </c>
      <c r="S2710" s="705">
        <v>8237</v>
      </c>
      <c r="T2710" s="705">
        <v>4360</v>
      </c>
      <c r="U2710" s="705">
        <v>1615</v>
      </c>
      <c r="V2710" s="705">
        <v>34011</v>
      </c>
      <c r="W2710" s="705">
        <f t="shared" si="104"/>
        <v>34011</v>
      </c>
      <c r="X2710" s="705">
        <f t="shared" si="105"/>
        <v>42327</v>
      </c>
    </row>
    <row r="2711" spans="2:24">
      <c r="B2711" t="s">
        <v>558</v>
      </c>
      <c r="C2711" t="s">
        <v>118</v>
      </c>
      <c r="D2711" t="s">
        <v>665</v>
      </c>
      <c r="E2711" t="s">
        <v>228</v>
      </c>
      <c r="F2711" s="705">
        <v>2</v>
      </c>
      <c r="G2711" s="705">
        <v>167</v>
      </c>
      <c r="H2711" s="705">
        <v>562</v>
      </c>
      <c r="I2711" s="705">
        <v>23405</v>
      </c>
      <c r="J2711" s="705">
        <v>21278</v>
      </c>
      <c r="K2711" s="705">
        <v>60</v>
      </c>
      <c r="L2711" s="705">
        <v>0</v>
      </c>
      <c r="M2711" s="705">
        <v>0</v>
      </c>
      <c r="N2711" s="705">
        <v>3721</v>
      </c>
      <c r="O2711" s="705">
        <v>1378</v>
      </c>
      <c r="P2711" s="705">
        <v>702</v>
      </c>
      <c r="Q2711" s="705">
        <v>260</v>
      </c>
      <c r="R2711" s="705">
        <v>16914</v>
      </c>
      <c r="S2711" s="705">
        <v>6264</v>
      </c>
      <c r="T2711" s="705">
        <v>2257</v>
      </c>
      <c r="U2711" s="705">
        <v>836</v>
      </c>
      <c r="V2711" s="705">
        <v>30016</v>
      </c>
      <c r="W2711" s="705">
        <f t="shared" si="104"/>
        <v>30016</v>
      </c>
      <c r="X2711" s="705">
        <f t="shared" si="105"/>
        <v>46999</v>
      </c>
    </row>
    <row r="2712" spans="2:24">
      <c r="B2712" t="s">
        <v>558</v>
      </c>
      <c r="C2712" t="s">
        <v>118</v>
      </c>
      <c r="D2712" t="s">
        <v>665</v>
      </c>
      <c r="E2712" t="s">
        <v>665</v>
      </c>
      <c r="F2712" s="705">
        <v>695</v>
      </c>
      <c r="G2712" s="705">
        <v>57437</v>
      </c>
      <c r="H2712" s="705">
        <v>187520</v>
      </c>
      <c r="I2712" s="705">
        <v>8591666</v>
      </c>
      <c r="J2712" s="705">
        <v>7810606</v>
      </c>
      <c r="K2712" s="705">
        <v>56</v>
      </c>
      <c r="L2712" s="705">
        <v>552961</v>
      </c>
      <c r="M2712" s="705">
        <v>313134</v>
      </c>
      <c r="N2712" s="705">
        <v>1115178</v>
      </c>
      <c r="O2712" s="705">
        <v>413029</v>
      </c>
      <c r="P2712" s="705">
        <v>244458</v>
      </c>
      <c r="Q2712" s="705">
        <v>90540</v>
      </c>
      <c r="R2712" s="705">
        <v>3492072</v>
      </c>
      <c r="S2712" s="705">
        <v>3174611</v>
      </c>
      <c r="T2712" s="705">
        <v>1515939</v>
      </c>
      <c r="U2712" s="705">
        <v>561459</v>
      </c>
      <c r="V2712" s="705">
        <v>12363378</v>
      </c>
      <c r="W2712" s="705">
        <f t="shared" si="104"/>
        <v>12363379</v>
      </c>
      <c r="X2712" s="705">
        <f t="shared" si="105"/>
        <v>15512274</v>
      </c>
    </row>
    <row r="2713" spans="2:24">
      <c r="B2713" t="s">
        <v>558</v>
      </c>
      <c r="C2713" t="s">
        <v>118</v>
      </c>
      <c r="D2713" t="s">
        <v>665</v>
      </c>
      <c r="E2713" t="s">
        <v>722</v>
      </c>
      <c r="F2713" s="705">
        <v>1</v>
      </c>
      <c r="G2713" s="705">
        <v>83</v>
      </c>
      <c r="H2713" s="705">
        <v>231</v>
      </c>
      <c r="I2713" s="705">
        <v>10022</v>
      </c>
      <c r="J2713" s="705">
        <v>9110</v>
      </c>
      <c r="K2713" s="705">
        <v>73</v>
      </c>
      <c r="L2713" s="705">
        <v>2724</v>
      </c>
      <c r="M2713" s="705">
        <v>2477</v>
      </c>
      <c r="N2713" s="705">
        <v>1017</v>
      </c>
      <c r="O2713" s="705">
        <v>377</v>
      </c>
      <c r="P2713" s="705">
        <v>351</v>
      </c>
      <c r="Q2713" s="705">
        <v>130</v>
      </c>
      <c r="R2713" s="705">
        <v>3005</v>
      </c>
      <c r="S2713" s="705">
        <v>2732</v>
      </c>
      <c r="T2713" s="705">
        <v>2123</v>
      </c>
      <c r="U2713" s="705">
        <v>786</v>
      </c>
      <c r="V2713" s="705">
        <v>15612</v>
      </c>
      <c r="W2713" s="705">
        <f t="shared" si="104"/>
        <v>15612</v>
      </c>
      <c r="X2713" s="705">
        <f t="shared" si="105"/>
        <v>19242</v>
      </c>
    </row>
    <row r="2714" spans="2:24">
      <c r="B2714" t="s">
        <v>558</v>
      </c>
      <c r="C2714" t="s">
        <v>118</v>
      </c>
      <c r="D2714" t="s">
        <v>673</v>
      </c>
      <c r="E2714" t="s">
        <v>673</v>
      </c>
      <c r="F2714" s="705">
        <v>1</v>
      </c>
      <c r="G2714" s="705">
        <v>107</v>
      </c>
      <c r="H2714" s="705">
        <v>265</v>
      </c>
      <c r="I2714" s="705">
        <v>15377</v>
      </c>
      <c r="J2714" s="705">
        <v>13979</v>
      </c>
      <c r="K2714" s="705">
        <v>65</v>
      </c>
      <c r="L2714" s="705">
        <v>3702</v>
      </c>
      <c r="M2714" s="705">
        <v>3365</v>
      </c>
      <c r="N2714" s="705">
        <v>2442</v>
      </c>
      <c r="O2714" s="705">
        <v>904</v>
      </c>
      <c r="P2714" s="705">
        <v>351</v>
      </c>
      <c r="Q2714" s="705">
        <v>130</v>
      </c>
      <c r="R2714" s="705">
        <v>3887</v>
      </c>
      <c r="S2714" s="705">
        <v>3534</v>
      </c>
      <c r="T2714" s="705">
        <v>2511</v>
      </c>
      <c r="U2714" s="705">
        <v>930</v>
      </c>
      <c r="V2714" s="705">
        <v>22842</v>
      </c>
      <c r="W2714" s="705">
        <f t="shared" si="104"/>
        <v>22842</v>
      </c>
      <c r="X2714" s="705">
        <f t="shared" si="105"/>
        <v>28270</v>
      </c>
    </row>
    <row r="2715" spans="2:24">
      <c r="B2715" t="s">
        <v>558</v>
      </c>
      <c r="C2715" t="s">
        <v>118</v>
      </c>
      <c r="D2715" t="s">
        <v>585</v>
      </c>
      <c r="E2715" t="s">
        <v>585</v>
      </c>
      <c r="F2715" s="705">
        <v>2</v>
      </c>
      <c r="G2715" s="705">
        <v>172</v>
      </c>
      <c r="H2715" s="705">
        <v>486</v>
      </c>
      <c r="I2715" s="705">
        <v>24691</v>
      </c>
      <c r="J2715" s="705">
        <v>22446</v>
      </c>
      <c r="K2715" s="705">
        <v>65</v>
      </c>
      <c r="L2715" s="705">
        <v>0</v>
      </c>
      <c r="M2715" s="705">
        <v>0</v>
      </c>
      <c r="N2715" s="705">
        <v>3384</v>
      </c>
      <c r="O2715" s="705">
        <v>1253</v>
      </c>
      <c r="P2715" s="705">
        <v>702</v>
      </c>
      <c r="Q2715" s="705">
        <v>260</v>
      </c>
      <c r="R2715" s="705">
        <v>8482</v>
      </c>
      <c r="S2715" s="705">
        <v>7711</v>
      </c>
      <c r="T2715" s="705">
        <v>4492</v>
      </c>
      <c r="U2715" s="705">
        <v>1664</v>
      </c>
      <c r="V2715" s="705">
        <v>33334</v>
      </c>
      <c r="W2715" s="705">
        <f t="shared" si="104"/>
        <v>33334</v>
      </c>
      <c r="X2715" s="705">
        <f t="shared" si="105"/>
        <v>41751</v>
      </c>
    </row>
    <row r="2716" spans="2:24">
      <c r="B2716" t="s">
        <v>558</v>
      </c>
      <c r="C2716" t="s">
        <v>120</v>
      </c>
      <c r="F2716" s="705">
        <v>2</v>
      </c>
      <c r="G2716" s="705">
        <v>142</v>
      </c>
      <c r="H2716" s="705">
        <v>750</v>
      </c>
      <c r="I2716" s="705"/>
      <c r="J2716" s="705">
        <v>0</v>
      </c>
      <c r="K2716" s="705"/>
      <c r="L2716" s="705"/>
      <c r="M2716" s="705">
        <v>0</v>
      </c>
      <c r="N2716" s="705">
        <v>2471</v>
      </c>
      <c r="O2716" s="705">
        <v>915</v>
      </c>
      <c r="P2716" s="705">
        <v>1242</v>
      </c>
      <c r="Q2716" s="705">
        <v>460</v>
      </c>
      <c r="R2716" s="705"/>
      <c r="S2716" s="705">
        <v>0</v>
      </c>
      <c r="T2716" s="705">
        <v>2216</v>
      </c>
      <c r="U2716" s="705">
        <v>821</v>
      </c>
      <c r="V2716" s="705">
        <v>2196</v>
      </c>
      <c r="W2716" s="705">
        <f t="shared" si="104"/>
        <v>2196</v>
      </c>
      <c r="X2716" s="705">
        <f t="shared" si="105"/>
        <v>5929</v>
      </c>
    </row>
    <row r="2717" spans="2:24">
      <c r="B2717" t="s">
        <v>558</v>
      </c>
      <c r="C2717" t="s">
        <v>120</v>
      </c>
      <c r="D2717" t="s">
        <v>664</v>
      </c>
      <c r="E2717" t="s">
        <v>664</v>
      </c>
      <c r="F2717" s="705">
        <v>1</v>
      </c>
      <c r="G2717" s="705">
        <v>80</v>
      </c>
      <c r="H2717" s="705">
        <v>338</v>
      </c>
      <c r="I2717" s="705">
        <v>17036</v>
      </c>
      <c r="J2717" s="705">
        <v>15487</v>
      </c>
      <c r="K2717" s="705">
        <v>91</v>
      </c>
      <c r="L2717" s="705">
        <v>5920</v>
      </c>
      <c r="M2717" s="705">
        <v>4933</v>
      </c>
      <c r="N2717" s="705">
        <v>1088</v>
      </c>
      <c r="O2717" s="705">
        <v>403</v>
      </c>
      <c r="P2717" s="705">
        <v>473</v>
      </c>
      <c r="Q2717" s="705">
        <v>175</v>
      </c>
      <c r="R2717" s="705">
        <v>2465</v>
      </c>
      <c r="S2717" s="705">
        <v>2241</v>
      </c>
      <c r="T2717" s="705">
        <v>0</v>
      </c>
      <c r="U2717" s="705">
        <v>0</v>
      </c>
      <c r="V2717" s="705">
        <v>23239</v>
      </c>
      <c r="W2717" s="705">
        <f t="shared" si="104"/>
        <v>23239</v>
      </c>
      <c r="X2717" s="705">
        <f t="shared" si="105"/>
        <v>26982</v>
      </c>
    </row>
    <row r="2718" spans="2:24">
      <c r="B2718" t="s">
        <v>558</v>
      </c>
      <c r="C2718" t="s">
        <v>120</v>
      </c>
      <c r="D2718" t="s">
        <v>582</v>
      </c>
      <c r="E2718" t="s">
        <v>582</v>
      </c>
      <c r="F2718" s="705">
        <v>2</v>
      </c>
      <c r="G2718" s="705">
        <v>210</v>
      </c>
      <c r="H2718" s="705">
        <v>622</v>
      </c>
      <c r="I2718" s="705">
        <v>41339</v>
      </c>
      <c r="J2718" s="705">
        <v>37581</v>
      </c>
      <c r="K2718" s="705">
        <v>78</v>
      </c>
      <c r="L2718" s="705">
        <v>7640</v>
      </c>
      <c r="M2718" s="705">
        <v>6730</v>
      </c>
      <c r="N2718" s="705">
        <v>3697</v>
      </c>
      <c r="O2718" s="705">
        <v>1369</v>
      </c>
      <c r="P2718" s="705">
        <v>945</v>
      </c>
      <c r="Q2718" s="705">
        <v>350</v>
      </c>
      <c r="R2718" s="705">
        <v>8653</v>
      </c>
      <c r="S2718" s="705">
        <v>7866</v>
      </c>
      <c r="T2718" s="705">
        <v>2868</v>
      </c>
      <c r="U2718" s="705">
        <v>1062</v>
      </c>
      <c r="V2718" s="705">
        <v>54959</v>
      </c>
      <c r="W2718" s="705">
        <f t="shared" si="104"/>
        <v>54958</v>
      </c>
      <c r="X2718" s="705">
        <f t="shared" si="105"/>
        <v>65142</v>
      </c>
    </row>
    <row r="2719" spans="2:24">
      <c r="B2719" t="s">
        <v>558</v>
      </c>
      <c r="C2719" t="s">
        <v>120</v>
      </c>
      <c r="D2719" t="s">
        <v>228</v>
      </c>
      <c r="E2719" t="s">
        <v>228</v>
      </c>
      <c r="F2719" s="705">
        <v>250</v>
      </c>
      <c r="G2719" s="705">
        <v>21475</v>
      </c>
      <c r="H2719" s="705">
        <v>83491</v>
      </c>
      <c r="I2719" s="705">
        <v>4350231</v>
      </c>
      <c r="J2719" s="705">
        <v>1611197</v>
      </c>
      <c r="K2719" s="705">
        <v>101</v>
      </c>
      <c r="L2719" s="705">
        <v>680488</v>
      </c>
      <c r="M2719" s="705">
        <v>496729</v>
      </c>
      <c r="N2719" s="705">
        <v>450754</v>
      </c>
      <c r="O2719" s="705">
        <v>166946</v>
      </c>
      <c r="P2719" s="705">
        <v>4558</v>
      </c>
      <c r="Q2719" s="705">
        <v>1688</v>
      </c>
      <c r="R2719" s="705">
        <v>1803569</v>
      </c>
      <c r="S2719" s="705">
        <v>667988</v>
      </c>
      <c r="T2719" s="705">
        <v>4188</v>
      </c>
      <c r="U2719" s="705">
        <v>1551</v>
      </c>
      <c r="V2719" s="705">
        <v>2946099</v>
      </c>
      <c r="W2719" s="705">
        <f t="shared" si="104"/>
        <v>2946099</v>
      </c>
      <c r="X2719" s="705">
        <f t="shared" si="105"/>
        <v>7293788</v>
      </c>
    </row>
    <row r="2720" spans="2:24">
      <c r="B2720" t="s">
        <v>558</v>
      </c>
      <c r="C2720" t="s">
        <v>120</v>
      </c>
      <c r="D2720" t="s">
        <v>228</v>
      </c>
      <c r="E2720" t="s">
        <v>666</v>
      </c>
      <c r="F2720" s="705">
        <v>1</v>
      </c>
      <c r="G2720" s="705">
        <v>112</v>
      </c>
      <c r="H2720" s="705">
        <v>361</v>
      </c>
      <c r="I2720" s="705">
        <v>26093</v>
      </c>
      <c r="J2720" s="705">
        <v>9664</v>
      </c>
      <c r="K2720" s="705">
        <v>100</v>
      </c>
      <c r="L2720" s="705">
        <v>2362</v>
      </c>
      <c r="M2720" s="705">
        <v>2148</v>
      </c>
      <c r="N2720" s="705">
        <v>2415</v>
      </c>
      <c r="O2720" s="705">
        <v>895</v>
      </c>
      <c r="P2720" s="705">
        <v>0</v>
      </c>
      <c r="Q2720" s="705">
        <v>0</v>
      </c>
      <c r="R2720" s="705">
        <v>6652</v>
      </c>
      <c r="S2720" s="705">
        <v>6047</v>
      </c>
      <c r="T2720" s="705">
        <v>2934</v>
      </c>
      <c r="U2720" s="705">
        <v>1087</v>
      </c>
      <c r="V2720" s="705">
        <v>19840</v>
      </c>
      <c r="W2720" s="705">
        <f t="shared" si="104"/>
        <v>19841</v>
      </c>
      <c r="X2720" s="705">
        <f t="shared" si="105"/>
        <v>40456</v>
      </c>
    </row>
    <row r="2721" spans="2:24">
      <c r="B2721" t="s">
        <v>558</v>
      </c>
      <c r="C2721" t="s">
        <v>120</v>
      </c>
      <c r="D2721" t="s">
        <v>228</v>
      </c>
      <c r="E2721" t="s">
        <v>669</v>
      </c>
      <c r="F2721" s="705">
        <v>4</v>
      </c>
      <c r="G2721" s="705">
        <v>323</v>
      </c>
      <c r="H2721" s="705">
        <v>1348</v>
      </c>
      <c r="I2721" s="705">
        <v>61842</v>
      </c>
      <c r="J2721" s="705">
        <v>22905</v>
      </c>
      <c r="K2721" s="705">
        <v>100</v>
      </c>
      <c r="L2721" s="705">
        <v>8746</v>
      </c>
      <c r="M2721" s="705">
        <v>7288</v>
      </c>
      <c r="N2721" s="705">
        <v>7165</v>
      </c>
      <c r="O2721" s="705">
        <v>2654</v>
      </c>
      <c r="P2721" s="705">
        <v>351</v>
      </c>
      <c r="Q2721" s="705">
        <v>130</v>
      </c>
      <c r="R2721" s="705">
        <v>24821</v>
      </c>
      <c r="S2721" s="705">
        <v>20684</v>
      </c>
      <c r="T2721" s="705">
        <v>5773</v>
      </c>
      <c r="U2721" s="705">
        <v>2138</v>
      </c>
      <c r="V2721" s="705">
        <v>55798</v>
      </c>
      <c r="W2721" s="705">
        <f t="shared" si="104"/>
        <v>55799</v>
      </c>
      <c r="X2721" s="705">
        <f t="shared" si="105"/>
        <v>108698</v>
      </c>
    </row>
    <row r="2722" spans="2:24">
      <c r="B2722" t="s">
        <v>558</v>
      </c>
      <c r="C2722" t="s">
        <v>120</v>
      </c>
      <c r="D2722" t="s">
        <v>228</v>
      </c>
      <c r="E2722" t="s">
        <v>665</v>
      </c>
      <c r="F2722" s="705">
        <v>6</v>
      </c>
      <c r="G2722" s="705">
        <v>497</v>
      </c>
      <c r="H2722" s="705">
        <v>2067</v>
      </c>
      <c r="I2722" s="705">
        <v>102917</v>
      </c>
      <c r="J2722" s="705">
        <v>38117</v>
      </c>
      <c r="K2722" s="705">
        <v>100</v>
      </c>
      <c r="L2722" s="705">
        <v>11028</v>
      </c>
      <c r="M2722" s="705">
        <v>10026</v>
      </c>
      <c r="N2722" s="705">
        <v>9129</v>
      </c>
      <c r="O2722" s="705">
        <v>3381</v>
      </c>
      <c r="P2722" s="705">
        <v>702</v>
      </c>
      <c r="Q2722" s="705">
        <v>260</v>
      </c>
      <c r="R2722" s="705">
        <v>32702</v>
      </c>
      <c r="S2722" s="705">
        <v>29729</v>
      </c>
      <c r="T2722" s="705">
        <v>13959</v>
      </c>
      <c r="U2722" s="705">
        <v>5170</v>
      </c>
      <c r="V2722" s="705">
        <v>86683</v>
      </c>
      <c r="W2722" s="705">
        <f t="shared" ref="W2722:W2785" si="106">SUM(ABS(J2722),ABS(M2722),ABS(O2722),ABS(Q2722),ABS(S2722),ABS(U2722))</f>
        <v>86683</v>
      </c>
      <c r="X2722" s="705">
        <f t="shared" ref="X2722:X2785" si="107">SUM(ABS(I2722),ABS(N2722),ABS(P2722),ABS(R2722),ABS(T2722),ABS(L2722))</f>
        <v>170437</v>
      </c>
    </row>
    <row r="2723" spans="2:24">
      <c r="B2723" t="s">
        <v>558</v>
      </c>
      <c r="C2723" t="s">
        <v>120</v>
      </c>
      <c r="D2723" t="s">
        <v>583</v>
      </c>
      <c r="E2723" t="s">
        <v>664</v>
      </c>
      <c r="F2723" s="705">
        <v>1</v>
      </c>
      <c r="G2723" s="705">
        <v>78</v>
      </c>
      <c r="H2723" s="705">
        <v>350</v>
      </c>
      <c r="I2723" s="705">
        <v>11980</v>
      </c>
      <c r="J2723" s="705">
        <v>10890</v>
      </c>
      <c r="K2723" s="705">
        <v>86</v>
      </c>
      <c r="L2723" s="705">
        <v>3612</v>
      </c>
      <c r="M2723" s="705">
        <v>3283</v>
      </c>
      <c r="N2723" s="705">
        <v>1889</v>
      </c>
      <c r="O2723" s="705">
        <v>700</v>
      </c>
      <c r="P2723" s="705">
        <v>351</v>
      </c>
      <c r="Q2723" s="705">
        <v>130</v>
      </c>
      <c r="R2723" s="705">
        <v>4982</v>
      </c>
      <c r="S2723" s="705">
        <v>4529</v>
      </c>
      <c r="T2723" s="705">
        <v>4360</v>
      </c>
      <c r="U2723" s="705">
        <v>1615</v>
      </c>
      <c r="V2723" s="705">
        <v>21147</v>
      </c>
      <c r="W2723" s="705">
        <f t="shared" si="106"/>
        <v>21147</v>
      </c>
      <c r="X2723" s="705">
        <f t="shared" si="107"/>
        <v>27174</v>
      </c>
    </row>
    <row r="2724" spans="2:24">
      <c r="B2724" t="s">
        <v>558</v>
      </c>
      <c r="C2724" t="s">
        <v>120</v>
      </c>
      <c r="D2724" t="s">
        <v>583</v>
      </c>
      <c r="E2724" t="s">
        <v>228</v>
      </c>
      <c r="F2724" s="705">
        <v>11</v>
      </c>
      <c r="G2724" s="705">
        <v>1109</v>
      </c>
      <c r="H2724" s="705">
        <v>3730</v>
      </c>
      <c r="I2724" s="705">
        <v>229577</v>
      </c>
      <c r="J2724" s="705">
        <v>208707</v>
      </c>
      <c r="K2724" s="705">
        <v>84</v>
      </c>
      <c r="L2724" s="705">
        <v>52161</v>
      </c>
      <c r="M2724" s="705">
        <v>44952</v>
      </c>
      <c r="N2724" s="705">
        <v>25377</v>
      </c>
      <c r="O2724" s="705">
        <v>9399</v>
      </c>
      <c r="P2724" s="705">
        <v>6561</v>
      </c>
      <c r="Q2724" s="705">
        <v>2430</v>
      </c>
      <c r="R2724" s="705">
        <v>78031</v>
      </c>
      <c r="S2724" s="705">
        <v>28900</v>
      </c>
      <c r="T2724" s="705">
        <v>0</v>
      </c>
      <c r="U2724" s="705">
        <v>0</v>
      </c>
      <c r="V2724" s="705">
        <v>294388</v>
      </c>
      <c r="W2724" s="705">
        <f t="shared" si="106"/>
        <v>294388</v>
      </c>
      <c r="X2724" s="705">
        <f t="shared" si="107"/>
        <v>391707</v>
      </c>
    </row>
    <row r="2725" spans="2:24">
      <c r="B2725" t="s">
        <v>558</v>
      </c>
      <c r="C2725" t="s">
        <v>120</v>
      </c>
      <c r="D2725" t="s">
        <v>583</v>
      </c>
      <c r="E2725" t="s">
        <v>583</v>
      </c>
      <c r="F2725" s="705">
        <v>458</v>
      </c>
      <c r="G2725" s="705">
        <v>39181</v>
      </c>
      <c r="H2725" s="705">
        <v>153984</v>
      </c>
      <c r="I2725" s="705">
        <v>7830199</v>
      </c>
      <c r="J2725" s="705">
        <v>7118363</v>
      </c>
      <c r="K2725" s="705">
        <v>81</v>
      </c>
      <c r="L2725" s="705">
        <v>1609500</v>
      </c>
      <c r="M2725" s="705">
        <v>1367832</v>
      </c>
      <c r="N2725" s="705">
        <v>811424</v>
      </c>
      <c r="O2725" s="705">
        <v>300527</v>
      </c>
      <c r="P2725" s="705">
        <v>301604</v>
      </c>
      <c r="Q2725" s="705">
        <v>111705</v>
      </c>
      <c r="R2725" s="705">
        <v>1948815</v>
      </c>
      <c r="S2725" s="705">
        <v>1771650</v>
      </c>
      <c r="T2725" s="705">
        <v>769752</v>
      </c>
      <c r="U2725" s="705">
        <v>285093</v>
      </c>
      <c r="V2725" s="705">
        <v>10955171</v>
      </c>
      <c r="W2725" s="705">
        <f t="shared" si="106"/>
        <v>10955170</v>
      </c>
      <c r="X2725" s="705">
        <f t="shared" si="107"/>
        <v>13271294</v>
      </c>
    </row>
    <row r="2726" spans="2:24">
      <c r="B2726" t="s">
        <v>558</v>
      </c>
      <c r="C2726" t="s">
        <v>120</v>
      </c>
      <c r="D2726" t="s">
        <v>666</v>
      </c>
      <c r="E2726" t="s">
        <v>228</v>
      </c>
      <c r="F2726" s="705">
        <v>3</v>
      </c>
      <c r="G2726" s="705">
        <v>245</v>
      </c>
      <c r="H2726" s="705">
        <v>993</v>
      </c>
      <c r="I2726" s="705">
        <v>37414</v>
      </c>
      <c r="J2726" s="705">
        <v>34013</v>
      </c>
      <c r="K2726" s="705">
        <v>55</v>
      </c>
      <c r="L2726" s="705">
        <v>5612</v>
      </c>
      <c r="M2726" s="705">
        <v>2079</v>
      </c>
      <c r="N2726" s="705">
        <v>5661</v>
      </c>
      <c r="O2726" s="705">
        <v>2097</v>
      </c>
      <c r="P2726" s="705">
        <v>1053</v>
      </c>
      <c r="Q2726" s="705">
        <v>390</v>
      </c>
      <c r="R2726" s="705">
        <v>30948</v>
      </c>
      <c r="S2726" s="705">
        <v>11462</v>
      </c>
      <c r="T2726" s="705">
        <v>0</v>
      </c>
      <c r="U2726" s="705">
        <v>0</v>
      </c>
      <c r="V2726" s="705">
        <v>50040</v>
      </c>
      <c r="W2726" s="705">
        <f t="shared" si="106"/>
        <v>50041</v>
      </c>
      <c r="X2726" s="705">
        <f t="shared" si="107"/>
        <v>80688</v>
      </c>
    </row>
    <row r="2727" spans="2:24">
      <c r="B2727" t="s">
        <v>558</v>
      </c>
      <c r="C2727" t="s">
        <v>120</v>
      </c>
      <c r="D2727" t="s">
        <v>666</v>
      </c>
      <c r="E2727" t="s">
        <v>666</v>
      </c>
      <c r="F2727" s="705">
        <v>56</v>
      </c>
      <c r="G2727" s="705">
        <v>4633</v>
      </c>
      <c r="H2727" s="705">
        <v>18360</v>
      </c>
      <c r="I2727" s="705">
        <v>860143</v>
      </c>
      <c r="J2727" s="705">
        <v>781948</v>
      </c>
      <c r="K2727" s="705">
        <v>55</v>
      </c>
      <c r="L2727" s="705">
        <v>115951</v>
      </c>
      <c r="M2727" s="705">
        <v>101020</v>
      </c>
      <c r="N2727" s="705">
        <v>96023</v>
      </c>
      <c r="O2727" s="705">
        <v>35564</v>
      </c>
      <c r="P2727" s="705">
        <v>19656</v>
      </c>
      <c r="Q2727" s="705">
        <v>7280</v>
      </c>
      <c r="R2727" s="705">
        <v>287997</v>
      </c>
      <c r="S2727" s="705">
        <v>261815</v>
      </c>
      <c r="T2727" s="705">
        <v>130527</v>
      </c>
      <c r="U2727" s="705">
        <v>48343</v>
      </c>
      <c r="V2727" s="705">
        <v>1235971</v>
      </c>
      <c r="W2727" s="705">
        <f t="shared" si="106"/>
        <v>1235970</v>
      </c>
      <c r="X2727" s="705">
        <f t="shared" si="107"/>
        <v>1510297</v>
      </c>
    </row>
    <row r="2728" spans="2:24">
      <c r="B2728" t="s">
        <v>558</v>
      </c>
      <c r="C2728" t="s">
        <v>120</v>
      </c>
      <c r="D2728" t="s">
        <v>584</v>
      </c>
      <c r="E2728" t="s">
        <v>584</v>
      </c>
      <c r="F2728" s="705">
        <v>1</v>
      </c>
      <c r="G2728" s="705">
        <v>67</v>
      </c>
      <c r="H2728" s="705">
        <v>317</v>
      </c>
      <c r="I2728" s="705">
        <v>11703</v>
      </c>
      <c r="J2728" s="705">
        <v>10639</v>
      </c>
      <c r="K2728" s="705">
        <v>79</v>
      </c>
      <c r="L2728" s="705">
        <v>3551</v>
      </c>
      <c r="M2728" s="705">
        <v>2959</v>
      </c>
      <c r="N2728" s="705">
        <v>1285</v>
      </c>
      <c r="O2728" s="705">
        <v>476</v>
      </c>
      <c r="P2728" s="705">
        <v>351</v>
      </c>
      <c r="Q2728" s="705">
        <v>130</v>
      </c>
      <c r="R2728" s="705">
        <v>2898</v>
      </c>
      <c r="S2728" s="705">
        <v>2634</v>
      </c>
      <c r="T2728" s="705">
        <v>1545</v>
      </c>
      <c r="U2728" s="705">
        <v>572</v>
      </c>
      <c r="V2728" s="705">
        <v>17411</v>
      </c>
      <c r="W2728" s="705">
        <f t="shared" si="106"/>
        <v>17410</v>
      </c>
      <c r="X2728" s="705">
        <f t="shared" si="107"/>
        <v>21333</v>
      </c>
    </row>
    <row r="2729" spans="2:24">
      <c r="B2729" t="s">
        <v>558</v>
      </c>
      <c r="C2729" t="s">
        <v>120</v>
      </c>
      <c r="D2729" t="s">
        <v>669</v>
      </c>
      <c r="E2729" t="s">
        <v>228</v>
      </c>
      <c r="F2729" s="705">
        <v>12</v>
      </c>
      <c r="G2729" s="705">
        <v>929</v>
      </c>
      <c r="H2729" s="705">
        <v>4024</v>
      </c>
      <c r="I2729" s="705">
        <v>127688</v>
      </c>
      <c r="J2729" s="705">
        <v>106407</v>
      </c>
      <c r="K2729" s="705">
        <v>66</v>
      </c>
      <c r="L2729" s="705">
        <v>0</v>
      </c>
      <c r="M2729" s="705">
        <v>0</v>
      </c>
      <c r="N2729" s="705">
        <v>18958</v>
      </c>
      <c r="O2729" s="705">
        <v>7021</v>
      </c>
      <c r="P2729" s="705">
        <v>4212</v>
      </c>
      <c r="Q2729" s="705">
        <v>1560</v>
      </c>
      <c r="R2729" s="705">
        <v>131380</v>
      </c>
      <c r="S2729" s="705">
        <v>48659</v>
      </c>
      <c r="T2729" s="705">
        <v>29180</v>
      </c>
      <c r="U2729" s="705">
        <v>10807</v>
      </c>
      <c r="V2729" s="705">
        <v>174455</v>
      </c>
      <c r="W2729" s="705">
        <f t="shared" si="106"/>
        <v>174454</v>
      </c>
      <c r="X2729" s="705">
        <f t="shared" si="107"/>
        <v>311418</v>
      </c>
    </row>
    <row r="2730" spans="2:24">
      <c r="B2730" t="s">
        <v>558</v>
      </c>
      <c r="C2730" t="s">
        <v>120</v>
      </c>
      <c r="D2730" t="s">
        <v>669</v>
      </c>
      <c r="E2730" t="s">
        <v>669</v>
      </c>
      <c r="F2730" s="705">
        <v>71</v>
      </c>
      <c r="G2730" s="705">
        <v>6007</v>
      </c>
      <c r="H2730" s="705">
        <v>22996</v>
      </c>
      <c r="I2730" s="705">
        <v>1115742</v>
      </c>
      <c r="J2730" s="705">
        <v>929785</v>
      </c>
      <c r="K2730" s="705">
        <v>56</v>
      </c>
      <c r="L2730" s="705">
        <v>101708</v>
      </c>
      <c r="M2730" s="705">
        <v>80411</v>
      </c>
      <c r="N2730" s="705">
        <v>122021</v>
      </c>
      <c r="O2730" s="705">
        <v>45193</v>
      </c>
      <c r="P2730" s="705">
        <v>24138</v>
      </c>
      <c r="Q2730" s="705">
        <v>8940</v>
      </c>
      <c r="R2730" s="705">
        <v>410045</v>
      </c>
      <c r="S2730" s="705">
        <v>341704</v>
      </c>
      <c r="T2730" s="705">
        <v>165102</v>
      </c>
      <c r="U2730" s="705">
        <v>61149</v>
      </c>
      <c r="V2730" s="705">
        <v>1467181</v>
      </c>
      <c r="W2730" s="705">
        <f t="shared" si="106"/>
        <v>1467182</v>
      </c>
      <c r="X2730" s="705">
        <f t="shared" si="107"/>
        <v>1938756</v>
      </c>
    </row>
    <row r="2731" spans="2:24">
      <c r="B2731" t="s">
        <v>558</v>
      </c>
      <c r="C2731" t="s">
        <v>120</v>
      </c>
      <c r="D2731" t="s">
        <v>667</v>
      </c>
      <c r="E2731" t="s">
        <v>667</v>
      </c>
      <c r="F2731" s="705">
        <v>1</v>
      </c>
      <c r="G2731" s="705">
        <v>82</v>
      </c>
      <c r="H2731" s="705">
        <v>338</v>
      </c>
      <c r="I2731" s="705">
        <v>15280</v>
      </c>
      <c r="J2731" s="705">
        <v>13891</v>
      </c>
      <c r="K2731" s="705">
        <v>55</v>
      </c>
      <c r="L2731" s="705">
        <v>3113</v>
      </c>
      <c r="M2731" s="705">
        <v>2830</v>
      </c>
      <c r="N2731" s="705">
        <v>1763</v>
      </c>
      <c r="O2731" s="705">
        <v>653</v>
      </c>
      <c r="P2731" s="705">
        <v>351</v>
      </c>
      <c r="Q2731" s="705">
        <v>130</v>
      </c>
      <c r="R2731" s="705">
        <v>4928</v>
      </c>
      <c r="S2731" s="705">
        <v>4480</v>
      </c>
      <c r="T2731" s="705">
        <v>2190</v>
      </c>
      <c r="U2731" s="705">
        <v>811</v>
      </c>
      <c r="V2731" s="705">
        <v>22795</v>
      </c>
      <c r="W2731" s="705">
        <f t="shared" si="106"/>
        <v>22795</v>
      </c>
      <c r="X2731" s="705">
        <f t="shared" si="107"/>
        <v>27625</v>
      </c>
    </row>
    <row r="2732" spans="2:24">
      <c r="B2732" t="s">
        <v>558</v>
      </c>
      <c r="C2732" t="s">
        <v>120</v>
      </c>
      <c r="D2732" t="s">
        <v>665</v>
      </c>
      <c r="E2732" t="s">
        <v>228</v>
      </c>
      <c r="F2732" s="705">
        <v>12</v>
      </c>
      <c r="G2732" s="705">
        <v>924</v>
      </c>
      <c r="H2732" s="705">
        <v>3999</v>
      </c>
      <c r="I2732" s="705">
        <v>159364</v>
      </c>
      <c r="J2732" s="705">
        <v>144876</v>
      </c>
      <c r="K2732" s="705">
        <v>51</v>
      </c>
      <c r="L2732" s="705">
        <v>19519</v>
      </c>
      <c r="M2732" s="705">
        <v>7229</v>
      </c>
      <c r="N2732" s="705">
        <v>19277</v>
      </c>
      <c r="O2732" s="705">
        <v>7140</v>
      </c>
      <c r="P2732" s="705">
        <v>1053</v>
      </c>
      <c r="Q2732" s="705">
        <v>390</v>
      </c>
      <c r="R2732" s="705">
        <v>104213</v>
      </c>
      <c r="S2732" s="705">
        <v>38597</v>
      </c>
      <c r="T2732" s="705">
        <v>2879</v>
      </c>
      <c r="U2732" s="705">
        <v>1066</v>
      </c>
      <c r="V2732" s="705">
        <v>199299</v>
      </c>
      <c r="W2732" s="705">
        <f t="shared" si="106"/>
        <v>199298</v>
      </c>
      <c r="X2732" s="705">
        <f t="shared" si="107"/>
        <v>306305</v>
      </c>
    </row>
    <row r="2733" spans="2:24">
      <c r="B2733" t="s">
        <v>558</v>
      </c>
      <c r="C2733" t="s">
        <v>120</v>
      </c>
      <c r="D2733" t="s">
        <v>665</v>
      </c>
      <c r="E2733" t="s">
        <v>665</v>
      </c>
      <c r="F2733" s="705">
        <v>431</v>
      </c>
      <c r="G2733" s="705">
        <v>31841</v>
      </c>
      <c r="H2733" s="705">
        <v>144363</v>
      </c>
      <c r="I2733" s="705">
        <v>6268456</v>
      </c>
      <c r="J2733" s="705">
        <v>5698596</v>
      </c>
      <c r="K2733" s="705">
        <v>55</v>
      </c>
      <c r="L2733" s="705">
        <v>585024</v>
      </c>
      <c r="M2733" s="705">
        <v>310182</v>
      </c>
      <c r="N2733" s="705">
        <v>603481</v>
      </c>
      <c r="O2733" s="705">
        <v>223511</v>
      </c>
      <c r="P2733" s="705">
        <v>153131</v>
      </c>
      <c r="Q2733" s="705">
        <v>56715</v>
      </c>
      <c r="R2733" s="705">
        <v>2214645</v>
      </c>
      <c r="S2733" s="705">
        <v>2013313</v>
      </c>
      <c r="T2733" s="705">
        <v>803716</v>
      </c>
      <c r="U2733" s="705">
        <v>297673</v>
      </c>
      <c r="V2733" s="705">
        <v>8599990</v>
      </c>
      <c r="W2733" s="705">
        <f t="shared" si="106"/>
        <v>8599990</v>
      </c>
      <c r="X2733" s="705">
        <f t="shared" si="107"/>
        <v>10628453</v>
      </c>
    </row>
    <row r="2734" spans="2:24">
      <c r="B2734" t="s">
        <v>558</v>
      </c>
      <c r="C2734" t="s">
        <v>120</v>
      </c>
      <c r="D2734" t="s">
        <v>673</v>
      </c>
      <c r="E2734" t="s">
        <v>673</v>
      </c>
      <c r="F2734" s="705">
        <v>3</v>
      </c>
      <c r="G2734" s="705">
        <v>221</v>
      </c>
      <c r="H2734" s="705">
        <v>989</v>
      </c>
      <c r="I2734" s="705">
        <v>43134</v>
      </c>
      <c r="J2734" s="705">
        <v>39213</v>
      </c>
      <c r="K2734" s="705">
        <v>55</v>
      </c>
      <c r="L2734" s="705">
        <v>4592</v>
      </c>
      <c r="M2734" s="705">
        <v>3269</v>
      </c>
      <c r="N2734" s="705">
        <v>3778</v>
      </c>
      <c r="O2734" s="705">
        <v>1399</v>
      </c>
      <c r="P2734" s="705">
        <v>1053</v>
      </c>
      <c r="Q2734" s="705">
        <v>390</v>
      </c>
      <c r="R2734" s="705">
        <v>15416</v>
      </c>
      <c r="S2734" s="705">
        <v>14014</v>
      </c>
      <c r="T2734" s="705">
        <v>5160</v>
      </c>
      <c r="U2734" s="705">
        <v>1911</v>
      </c>
      <c r="V2734" s="705">
        <v>60197</v>
      </c>
      <c r="W2734" s="705">
        <f t="shared" si="106"/>
        <v>60196</v>
      </c>
      <c r="X2734" s="705">
        <f t="shared" si="107"/>
        <v>73133</v>
      </c>
    </row>
    <row r="2735" spans="2:24">
      <c r="B2735" t="s">
        <v>558</v>
      </c>
      <c r="C2735" t="s">
        <v>122</v>
      </c>
      <c r="D2735" t="s">
        <v>664</v>
      </c>
      <c r="E2735" t="s">
        <v>664</v>
      </c>
      <c r="F2735" s="705">
        <v>1</v>
      </c>
      <c r="G2735" s="705">
        <v>157</v>
      </c>
      <c r="H2735" s="705">
        <v>398</v>
      </c>
      <c r="I2735" s="705">
        <v>46165</v>
      </c>
      <c r="J2735" s="705">
        <v>41968</v>
      </c>
      <c r="K2735" s="705">
        <v>63</v>
      </c>
      <c r="L2735" s="705">
        <v>7932</v>
      </c>
      <c r="M2735" s="705">
        <v>2938</v>
      </c>
      <c r="N2735" s="705">
        <v>3426</v>
      </c>
      <c r="O2735" s="705">
        <v>1269</v>
      </c>
      <c r="P2735" s="705">
        <v>0</v>
      </c>
      <c r="Q2735" s="705">
        <v>0</v>
      </c>
      <c r="R2735" s="705">
        <v>5036</v>
      </c>
      <c r="S2735" s="705">
        <v>4578</v>
      </c>
      <c r="T2735" s="705">
        <v>0</v>
      </c>
      <c r="U2735" s="705">
        <v>0</v>
      </c>
      <c r="V2735" s="705">
        <v>50753</v>
      </c>
      <c r="W2735" s="705">
        <f t="shared" si="106"/>
        <v>50753</v>
      </c>
      <c r="X2735" s="705">
        <f t="shared" si="107"/>
        <v>62559</v>
      </c>
    </row>
    <row r="2736" spans="2:24">
      <c r="B2736" t="s">
        <v>558</v>
      </c>
      <c r="C2736" t="s">
        <v>122</v>
      </c>
      <c r="D2736" t="s">
        <v>582</v>
      </c>
      <c r="E2736" t="s">
        <v>582</v>
      </c>
      <c r="F2736" s="705">
        <v>1</v>
      </c>
      <c r="G2736" s="705">
        <v>58</v>
      </c>
      <c r="H2736" s="705">
        <v>381</v>
      </c>
      <c r="I2736" s="705">
        <v>18566</v>
      </c>
      <c r="J2736" s="705">
        <v>16878</v>
      </c>
      <c r="K2736" s="705">
        <v>90</v>
      </c>
      <c r="L2736" s="705">
        <v>0</v>
      </c>
      <c r="M2736" s="705">
        <v>0</v>
      </c>
      <c r="N2736" s="705">
        <v>997</v>
      </c>
      <c r="O2736" s="705">
        <v>369</v>
      </c>
      <c r="P2736" s="705">
        <v>473</v>
      </c>
      <c r="Q2736" s="705">
        <v>175</v>
      </c>
      <c r="R2736" s="705">
        <v>1931</v>
      </c>
      <c r="S2736" s="705">
        <v>1755</v>
      </c>
      <c r="T2736" s="705">
        <v>0</v>
      </c>
      <c r="U2736" s="705">
        <v>0</v>
      </c>
      <c r="V2736" s="705">
        <v>19178</v>
      </c>
      <c r="W2736" s="705">
        <f t="shared" si="106"/>
        <v>19177</v>
      </c>
      <c r="X2736" s="705">
        <f t="shared" si="107"/>
        <v>21967</v>
      </c>
    </row>
    <row r="2737" spans="2:24">
      <c r="B2737" t="s">
        <v>558</v>
      </c>
      <c r="C2737" t="s">
        <v>122</v>
      </c>
      <c r="D2737" t="s">
        <v>228</v>
      </c>
      <c r="E2737" t="s">
        <v>228</v>
      </c>
      <c r="F2737" s="705">
        <v>130</v>
      </c>
      <c r="G2737" s="705">
        <v>10699</v>
      </c>
      <c r="H2737" s="705">
        <v>53599</v>
      </c>
      <c r="I2737" s="705">
        <v>2832002</v>
      </c>
      <c r="J2737" s="705">
        <v>1048890</v>
      </c>
      <c r="K2737" s="705">
        <v>100</v>
      </c>
      <c r="L2737" s="705">
        <v>493371</v>
      </c>
      <c r="M2737" s="705">
        <v>393871</v>
      </c>
      <c r="N2737" s="705">
        <v>231451</v>
      </c>
      <c r="O2737" s="705">
        <v>85723</v>
      </c>
      <c r="P2737" s="705">
        <v>2106</v>
      </c>
      <c r="Q2737" s="705">
        <v>780</v>
      </c>
      <c r="R2737" s="705">
        <v>895051</v>
      </c>
      <c r="S2737" s="705">
        <v>331500</v>
      </c>
      <c r="T2737" s="705">
        <v>6482</v>
      </c>
      <c r="U2737" s="705">
        <v>2401</v>
      </c>
      <c r="V2737" s="705">
        <v>1863164</v>
      </c>
      <c r="W2737" s="705">
        <f t="shared" si="106"/>
        <v>1863165</v>
      </c>
      <c r="X2737" s="705">
        <f t="shared" si="107"/>
        <v>4460463</v>
      </c>
    </row>
    <row r="2738" spans="2:24">
      <c r="B2738" t="s">
        <v>558</v>
      </c>
      <c r="C2738" t="s">
        <v>122</v>
      </c>
      <c r="D2738" t="s">
        <v>228</v>
      </c>
      <c r="E2738" t="s">
        <v>583</v>
      </c>
      <c r="F2738" s="705">
        <v>1</v>
      </c>
      <c r="G2738" s="705">
        <v>98</v>
      </c>
      <c r="H2738" s="705">
        <v>429</v>
      </c>
      <c r="I2738" s="705">
        <v>32047</v>
      </c>
      <c r="J2738" s="705">
        <v>11869</v>
      </c>
      <c r="K2738" s="705">
        <v>100</v>
      </c>
      <c r="L2738" s="705">
        <v>2232</v>
      </c>
      <c r="M2738" s="705">
        <v>2029</v>
      </c>
      <c r="N2738" s="705">
        <v>2390</v>
      </c>
      <c r="O2738" s="705">
        <v>885</v>
      </c>
      <c r="P2738" s="705">
        <v>0</v>
      </c>
      <c r="Q2738" s="705">
        <v>0</v>
      </c>
      <c r="R2738" s="705">
        <v>5428</v>
      </c>
      <c r="S2738" s="705">
        <v>4935</v>
      </c>
      <c r="T2738" s="705">
        <v>0</v>
      </c>
      <c r="U2738" s="705">
        <v>0</v>
      </c>
      <c r="V2738" s="705">
        <v>19718</v>
      </c>
      <c r="W2738" s="705">
        <f t="shared" si="106"/>
        <v>19718</v>
      </c>
      <c r="X2738" s="705">
        <f t="shared" si="107"/>
        <v>42097</v>
      </c>
    </row>
    <row r="2739" spans="2:24">
      <c r="B2739" t="s">
        <v>558</v>
      </c>
      <c r="C2739" t="s">
        <v>122</v>
      </c>
      <c r="D2739" t="s">
        <v>228</v>
      </c>
      <c r="E2739" t="s">
        <v>666</v>
      </c>
      <c r="F2739" s="705">
        <v>1</v>
      </c>
      <c r="G2739" s="705">
        <v>66</v>
      </c>
      <c r="H2739" s="705">
        <v>448</v>
      </c>
      <c r="I2739" s="705">
        <v>18110</v>
      </c>
      <c r="J2739" s="705">
        <v>6707</v>
      </c>
      <c r="K2739" s="705">
        <v>100</v>
      </c>
      <c r="L2739" s="705">
        <v>1491</v>
      </c>
      <c r="M2739" s="705">
        <v>1355</v>
      </c>
      <c r="N2739" s="705">
        <v>1608</v>
      </c>
      <c r="O2739" s="705">
        <v>596</v>
      </c>
      <c r="P2739" s="705">
        <v>351</v>
      </c>
      <c r="Q2739" s="705">
        <v>130</v>
      </c>
      <c r="R2739" s="705">
        <v>5126</v>
      </c>
      <c r="S2739" s="705">
        <v>4660</v>
      </c>
      <c r="T2739" s="705">
        <v>2865</v>
      </c>
      <c r="U2739" s="705">
        <v>1061</v>
      </c>
      <c r="V2739" s="705">
        <v>14510</v>
      </c>
      <c r="W2739" s="705">
        <f t="shared" si="106"/>
        <v>14509</v>
      </c>
      <c r="X2739" s="705">
        <f t="shared" si="107"/>
        <v>29551</v>
      </c>
    </row>
    <row r="2740" spans="2:24">
      <c r="B2740" t="s">
        <v>558</v>
      </c>
      <c r="C2740" t="s">
        <v>122</v>
      </c>
      <c r="D2740" t="s">
        <v>228</v>
      </c>
      <c r="E2740" t="s">
        <v>669</v>
      </c>
      <c r="F2740" s="705">
        <v>2</v>
      </c>
      <c r="G2740" s="705">
        <v>154</v>
      </c>
      <c r="H2740" s="705">
        <v>824</v>
      </c>
      <c r="I2740" s="705">
        <v>36605</v>
      </c>
      <c r="J2740" s="705">
        <v>13557</v>
      </c>
      <c r="K2740" s="705">
        <v>100</v>
      </c>
      <c r="L2740" s="705">
        <v>6768</v>
      </c>
      <c r="M2740" s="705">
        <v>5640</v>
      </c>
      <c r="N2740" s="705">
        <v>3360</v>
      </c>
      <c r="O2740" s="705">
        <v>1244</v>
      </c>
      <c r="P2740" s="705">
        <v>351</v>
      </c>
      <c r="Q2740" s="705">
        <v>130</v>
      </c>
      <c r="R2740" s="705">
        <v>11883</v>
      </c>
      <c r="S2740" s="705">
        <v>9902</v>
      </c>
      <c r="T2740" s="705">
        <v>4703</v>
      </c>
      <c r="U2740" s="705">
        <v>1742</v>
      </c>
      <c r="V2740" s="705">
        <v>32216</v>
      </c>
      <c r="W2740" s="705">
        <f t="shared" si="106"/>
        <v>32215</v>
      </c>
      <c r="X2740" s="705">
        <f t="shared" si="107"/>
        <v>63670</v>
      </c>
    </row>
    <row r="2741" spans="2:24">
      <c r="B2741" t="s">
        <v>558</v>
      </c>
      <c r="C2741" t="s">
        <v>122</v>
      </c>
      <c r="D2741" t="s">
        <v>228</v>
      </c>
      <c r="E2741" t="s">
        <v>665</v>
      </c>
      <c r="F2741" s="705">
        <v>2</v>
      </c>
      <c r="G2741" s="705">
        <v>152</v>
      </c>
      <c r="H2741" s="705">
        <v>806</v>
      </c>
      <c r="I2741" s="705">
        <v>37895</v>
      </c>
      <c r="J2741" s="705">
        <v>14035</v>
      </c>
      <c r="K2741" s="705">
        <v>100</v>
      </c>
      <c r="L2741" s="705">
        <v>4995</v>
      </c>
      <c r="M2741" s="705">
        <v>4541</v>
      </c>
      <c r="N2741" s="705">
        <v>2810</v>
      </c>
      <c r="O2741" s="705">
        <v>1041</v>
      </c>
      <c r="P2741" s="705">
        <v>0</v>
      </c>
      <c r="Q2741" s="705">
        <v>0</v>
      </c>
      <c r="R2741" s="705">
        <v>11266</v>
      </c>
      <c r="S2741" s="705">
        <v>10241</v>
      </c>
      <c r="T2741" s="705">
        <v>4106</v>
      </c>
      <c r="U2741" s="705">
        <v>1521</v>
      </c>
      <c r="V2741" s="705">
        <v>31379</v>
      </c>
      <c r="W2741" s="705">
        <f t="shared" si="106"/>
        <v>31379</v>
      </c>
      <c r="X2741" s="705">
        <f t="shared" si="107"/>
        <v>61072</v>
      </c>
    </row>
    <row r="2742" spans="2:24">
      <c r="B2742" t="s">
        <v>558</v>
      </c>
      <c r="C2742" t="s">
        <v>122</v>
      </c>
      <c r="D2742" t="s">
        <v>583</v>
      </c>
      <c r="E2742" t="s">
        <v>228</v>
      </c>
      <c r="F2742" s="705">
        <v>8</v>
      </c>
      <c r="G2742" s="705">
        <v>582</v>
      </c>
      <c r="H2742" s="705">
        <v>3317</v>
      </c>
      <c r="I2742" s="705">
        <v>150563</v>
      </c>
      <c r="J2742" s="705">
        <v>136875</v>
      </c>
      <c r="K2742" s="705">
        <v>84</v>
      </c>
      <c r="L2742" s="705">
        <v>34414</v>
      </c>
      <c r="M2742" s="705">
        <v>30586</v>
      </c>
      <c r="N2742" s="705">
        <v>11513</v>
      </c>
      <c r="O2742" s="705">
        <v>4264</v>
      </c>
      <c r="P2742" s="705">
        <v>4968</v>
      </c>
      <c r="Q2742" s="705">
        <v>1840</v>
      </c>
      <c r="R2742" s="705">
        <v>39764</v>
      </c>
      <c r="S2742" s="705">
        <v>14727</v>
      </c>
      <c r="T2742" s="705">
        <v>0</v>
      </c>
      <c r="U2742" s="705">
        <v>0</v>
      </c>
      <c r="V2742" s="705">
        <v>188293</v>
      </c>
      <c r="W2742" s="705">
        <f t="shared" si="106"/>
        <v>188292</v>
      </c>
      <c r="X2742" s="705">
        <f t="shared" si="107"/>
        <v>241222</v>
      </c>
    </row>
    <row r="2743" spans="2:24">
      <c r="B2743" t="s">
        <v>558</v>
      </c>
      <c r="C2743" t="s">
        <v>122</v>
      </c>
      <c r="D2743" t="s">
        <v>583</v>
      </c>
      <c r="E2743" t="s">
        <v>583</v>
      </c>
      <c r="F2743" s="705">
        <v>194</v>
      </c>
      <c r="G2743" s="705">
        <v>16579</v>
      </c>
      <c r="H2743" s="705">
        <v>80139</v>
      </c>
      <c r="I2743" s="705">
        <v>4372861</v>
      </c>
      <c r="J2743" s="705">
        <v>3975328</v>
      </c>
      <c r="K2743" s="705">
        <v>78</v>
      </c>
      <c r="L2743" s="705">
        <v>850830</v>
      </c>
      <c r="M2743" s="705">
        <v>738842</v>
      </c>
      <c r="N2743" s="705">
        <v>356962</v>
      </c>
      <c r="O2743" s="705">
        <v>132208</v>
      </c>
      <c r="P2743" s="705">
        <v>123093</v>
      </c>
      <c r="Q2743" s="705">
        <v>45590</v>
      </c>
      <c r="R2743" s="705">
        <v>851113</v>
      </c>
      <c r="S2743" s="705">
        <v>773739</v>
      </c>
      <c r="T2743" s="705">
        <v>370468</v>
      </c>
      <c r="U2743" s="705">
        <v>137210</v>
      </c>
      <c r="V2743" s="705">
        <v>5802918</v>
      </c>
      <c r="W2743" s="705">
        <f t="shared" si="106"/>
        <v>5802917</v>
      </c>
      <c r="X2743" s="705">
        <f t="shared" si="107"/>
        <v>6925327</v>
      </c>
    </row>
    <row r="2744" spans="2:24">
      <c r="B2744" t="s">
        <v>558</v>
      </c>
      <c r="C2744" t="s">
        <v>122</v>
      </c>
      <c r="D2744" t="s">
        <v>583</v>
      </c>
      <c r="E2744" t="s">
        <v>665</v>
      </c>
      <c r="F2744" s="705">
        <v>1</v>
      </c>
      <c r="G2744" s="705">
        <v>68</v>
      </c>
      <c r="H2744" s="705">
        <v>410</v>
      </c>
      <c r="I2744" s="705">
        <v>16707</v>
      </c>
      <c r="J2744" s="705">
        <v>15188</v>
      </c>
      <c r="K2744" s="705">
        <v>79</v>
      </c>
      <c r="L2744" s="705">
        <v>4641</v>
      </c>
      <c r="M2744" s="705">
        <v>4219</v>
      </c>
      <c r="N2744" s="705">
        <v>1666</v>
      </c>
      <c r="O2744" s="705">
        <v>617</v>
      </c>
      <c r="P2744" s="705">
        <v>621</v>
      </c>
      <c r="Q2744" s="705">
        <v>230</v>
      </c>
      <c r="R2744" s="705">
        <v>4357</v>
      </c>
      <c r="S2744" s="705">
        <v>3961</v>
      </c>
      <c r="T2744" s="705">
        <v>0</v>
      </c>
      <c r="U2744" s="705">
        <v>0</v>
      </c>
      <c r="V2744" s="705">
        <v>24215</v>
      </c>
      <c r="W2744" s="705">
        <f t="shared" si="106"/>
        <v>24215</v>
      </c>
      <c r="X2744" s="705">
        <f t="shared" si="107"/>
        <v>27992</v>
      </c>
    </row>
    <row r="2745" spans="2:24">
      <c r="B2745" t="s">
        <v>558</v>
      </c>
      <c r="C2745" t="s">
        <v>122</v>
      </c>
      <c r="D2745" t="s">
        <v>666</v>
      </c>
      <c r="E2745" t="s">
        <v>228</v>
      </c>
      <c r="F2745" s="705">
        <v>2</v>
      </c>
      <c r="G2745" s="705">
        <v>158</v>
      </c>
      <c r="H2745" s="705">
        <v>775</v>
      </c>
      <c r="I2745" s="705">
        <v>28617</v>
      </c>
      <c r="J2745" s="705">
        <v>26015</v>
      </c>
      <c r="K2745" s="705">
        <v>60</v>
      </c>
      <c r="L2745" s="705">
        <v>4653</v>
      </c>
      <c r="M2745" s="705">
        <v>1723</v>
      </c>
      <c r="N2745" s="705">
        <v>3564</v>
      </c>
      <c r="O2745" s="705">
        <v>1320</v>
      </c>
      <c r="P2745" s="705">
        <v>702</v>
      </c>
      <c r="Q2745" s="705">
        <v>260</v>
      </c>
      <c r="R2745" s="705">
        <v>23595</v>
      </c>
      <c r="S2745" s="705">
        <v>8739</v>
      </c>
      <c r="T2745" s="705">
        <v>0</v>
      </c>
      <c r="U2745" s="705">
        <v>0</v>
      </c>
      <c r="V2745" s="705">
        <v>38057</v>
      </c>
      <c r="W2745" s="705">
        <f t="shared" si="106"/>
        <v>38057</v>
      </c>
      <c r="X2745" s="705">
        <f t="shared" si="107"/>
        <v>61131</v>
      </c>
    </row>
    <row r="2746" spans="2:24">
      <c r="B2746" t="s">
        <v>558</v>
      </c>
      <c r="C2746" t="s">
        <v>122</v>
      </c>
      <c r="D2746" t="s">
        <v>666</v>
      </c>
      <c r="E2746" t="s">
        <v>666</v>
      </c>
      <c r="F2746" s="705">
        <v>14</v>
      </c>
      <c r="G2746" s="705">
        <v>1078</v>
      </c>
      <c r="H2746" s="705">
        <v>5804</v>
      </c>
      <c r="I2746" s="705">
        <v>280449</v>
      </c>
      <c r="J2746" s="705">
        <v>254954</v>
      </c>
      <c r="K2746" s="705">
        <v>56</v>
      </c>
      <c r="L2746" s="705">
        <v>32786</v>
      </c>
      <c r="M2746" s="705">
        <v>28643</v>
      </c>
      <c r="N2746" s="705">
        <v>22595</v>
      </c>
      <c r="O2746" s="705">
        <v>8369</v>
      </c>
      <c r="P2746" s="705">
        <v>4914</v>
      </c>
      <c r="Q2746" s="705">
        <v>1820</v>
      </c>
      <c r="R2746" s="705">
        <v>72518</v>
      </c>
      <c r="S2746" s="705">
        <v>65926</v>
      </c>
      <c r="T2746" s="705">
        <v>32631</v>
      </c>
      <c r="U2746" s="705">
        <v>12086</v>
      </c>
      <c r="V2746" s="705">
        <v>371796</v>
      </c>
      <c r="W2746" s="705">
        <f t="shared" si="106"/>
        <v>371798</v>
      </c>
      <c r="X2746" s="705">
        <f t="shared" si="107"/>
        <v>445893</v>
      </c>
    </row>
    <row r="2747" spans="2:24">
      <c r="B2747" t="s">
        <v>558</v>
      </c>
      <c r="C2747" t="s">
        <v>122</v>
      </c>
      <c r="D2747" t="s">
        <v>669</v>
      </c>
      <c r="E2747" t="s">
        <v>228</v>
      </c>
      <c r="F2747" s="705">
        <v>2</v>
      </c>
      <c r="G2747" s="705">
        <v>106</v>
      </c>
      <c r="H2747" s="705">
        <v>766</v>
      </c>
      <c r="I2747" s="705">
        <v>15739</v>
      </c>
      <c r="J2747" s="705">
        <v>13116</v>
      </c>
      <c r="K2747" s="705">
        <v>65</v>
      </c>
      <c r="L2747" s="705">
        <v>0</v>
      </c>
      <c r="M2747" s="705">
        <v>0</v>
      </c>
      <c r="N2747" s="705">
        <v>2583</v>
      </c>
      <c r="O2747" s="705">
        <v>957</v>
      </c>
      <c r="P2747" s="705">
        <v>702</v>
      </c>
      <c r="Q2747" s="705">
        <v>260</v>
      </c>
      <c r="R2747" s="705">
        <v>17973</v>
      </c>
      <c r="S2747" s="705">
        <v>6657</v>
      </c>
      <c r="T2747" s="705">
        <v>3580</v>
      </c>
      <c r="U2747" s="705">
        <v>1326</v>
      </c>
      <c r="V2747" s="705">
        <v>22315</v>
      </c>
      <c r="W2747" s="705">
        <f t="shared" si="106"/>
        <v>22316</v>
      </c>
      <c r="X2747" s="705">
        <f t="shared" si="107"/>
        <v>40577</v>
      </c>
    </row>
    <row r="2748" spans="2:24">
      <c r="B2748" t="s">
        <v>558</v>
      </c>
      <c r="C2748" t="s">
        <v>122</v>
      </c>
      <c r="D2748" t="s">
        <v>669</v>
      </c>
      <c r="E2748" t="s">
        <v>669</v>
      </c>
      <c r="F2748" s="705">
        <v>35</v>
      </c>
      <c r="G2748" s="705">
        <v>2546</v>
      </c>
      <c r="H2748" s="705">
        <v>14371</v>
      </c>
      <c r="I2748" s="705">
        <v>701562</v>
      </c>
      <c r="J2748" s="705">
        <v>584635</v>
      </c>
      <c r="K2748" s="705">
        <v>55</v>
      </c>
      <c r="L2748" s="705">
        <v>31671</v>
      </c>
      <c r="M2748" s="705">
        <v>14412</v>
      </c>
      <c r="N2748" s="705">
        <v>51030</v>
      </c>
      <c r="O2748" s="705">
        <v>18900</v>
      </c>
      <c r="P2748" s="705">
        <v>12204</v>
      </c>
      <c r="Q2748" s="705">
        <v>4520</v>
      </c>
      <c r="R2748" s="705">
        <v>189886</v>
      </c>
      <c r="S2748" s="705">
        <v>158239</v>
      </c>
      <c r="T2748" s="705">
        <v>67345</v>
      </c>
      <c r="U2748" s="705">
        <v>24942</v>
      </c>
      <c r="V2748" s="705">
        <v>805648</v>
      </c>
      <c r="W2748" s="705">
        <f t="shared" si="106"/>
        <v>805648</v>
      </c>
      <c r="X2748" s="705">
        <f t="shared" si="107"/>
        <v>1053698</v>
      </c>
    </row>
    <row r="2749" spans="2:24">
      <c r="B2749" t="s">
        <v>558</v>
      </c>
      <c r="C2749" t="s">
        <v>122</v>
      </c>
      <c r="D2749" t="s">
        <v>665</v>
      </c>
      <c r="E2749" t="s">
        <v>228</v>
      </c>
      <c r="F2749" s="705">
        <v>5</v>
      </c>
      <c r="G2749" s="705">
        <v>344</v>
      </c>
      <c r="H2749" s="705">
        <v>2117</v>
      </c>
      <c r="I2749" s="705">
        <v>83635</v>
      </c>
      <c r="J2749" s="705">
        <v>76032</v>
      </c>
      <c r="K2749" s="705">
        <v>50</v>
      </c>
      <c r="L2749" s="705">
        <v>3191</v>
      </c>
      <c r="M2749" s="705">
        <v>3701</v>
      </c>
      <c r="N2749" s="705">
        <v>7046</v>
      </c>
      <c r="O2749" s="705">
        <v>2610</v>
      </c>
      <c r="P2749" s="705">
        <v>702</v>
      </c>
      <c r="Q2749" s="705">
        <v>260</v>
      </c>
      <c r="R2749" s="705">
        <v>45687</v>
      </c>
      <c r="S2749" s="705">
        <v>16921</v>
      </c>
      <c r="T2749" s="705">
        <v>4582</v>
      </c>
      <c r="U2749" s="705">
        <v>1697</v>
      </c>
      <c r="V2749" s="705">
        <v>101221</v>
      </c>
      <c r="W2749" s="705">
        <f t="shared" si="106"/>
        <v>101221</v>
      </c>
      <c r="X2749" s="705">
        <f t="shared" si="107"/>
        <v>144843</v>
      </c>
    </row>
    <row r="2750" spans="2:24">
      <c r="B2750" t="s">
        <v>558</v>
      </c>
      <c r="C2750" t="s">
        <v>122</v>
      </c>
      <c r="D2750" t="s">
        <v>665</v>
      </c>
      <c r="E2750" t="s">
        <v>665</v>
      </c>
      <c r="F2750" s="705">
        <v>141</v>
      </c>
      <c r="G2750" s="705">
        <v>8673</v>
      </c>
      <c r="H2750" s="705">
        <v>57870</v>
      </c>
      <c r="I2750" s="705">
        <v>2162166</v>
      </c>
      <c r="J2750" s="705">
        <v>1965606</v>
      </c>
      <c r="K2750" s="705">
        <v>55</v>
      </c>
      <c r="L2750" s="705">
        <v>206732</v>
      </c>
      <c r="M2750" s="705">
        <v>110768</v>
      </c>
      <c r="N2750" s="705">
        <v>169087</v>
      </c>
      <c r="O2750" s="705">
        <v>62625</v>
      </c>
      <c r="P2750" s="705">
        <v>50409</v>
      </c>
      <c r="Q2750" s="705">
        <v>18670</v>
      </c>
      <c r="R2750" s="705">
        <v>714427</v>
      </c>
      <c r="S2750" s="705">
        <v>649479</v>
      </c>
      <c r="T2750" s="705">
        <v>262355</v>
      </c>
      <c r="U2750" s="705">
        <v>97169</v>
      </c>
      <c r="V2750" s="705">
        <v>2904317</v>
      </c>
      <c r="W2750" s="705">
        <f t="shared" si="106"/>
        <v>2904317</v>
      </c>
      <c r="X2750" s="705">
        <f t="shared" si="107"/>
        <v>3565176</v>
      </c>
    </row>
    <row r="2751" spans="2:24">
      <c r="B2751" t="s">
        <v>558</v>
      </c>
      <c r="C2751" t="s">
        <v>122</v>
      </c>
      <c r="D2751" t="s">
        <v>585</v>
      </c>
      <c r="E2751" t="s">
        <v>585</v>
      </c>
      <c r="F2751" s="705">
        <v>1</v>
      </c>
      <c r="G2751" s="705">
        <v>76</v>
      </c>
      <c r="H2751" s="705">
        <v>400</v>
      </c>
      <c r="I2751" s="705">
        <v>20121</v>
      </c>
      <c r="J2751" s="705">
        <v>18292</v>
      </c>
      <c r="K2751" s="705">
        <v>65</v>
      </c>
      <c r="L2751" s="705">
        <v>3567</v>
      </c>
      <c r="M2751" s="705">
        <v>1321</v>
      </c>
      <c r="N2751" s="705">
        <v>1852</v>
      </c>
      <c r="O2751" s="705">
        <v>686</v>
      </c>
      <c r="P2751" s="705">
        <v>351</v>
      </c>
      <c r="Q2751" s="705">
        <v>130</v>
      </c>
      <c r="R2751" s="705">
        <v>2812</v>
      </c>
      <c r="S2751" s="705">
        <v>2556</v>
      </c>
      <c r="T2751" s="705">
        <v>1666</v>
      </c>
      <c r="U2751" s="705">
        <v>617</v>
      </c>
      <c r="V2751" s="705">
        <v>23602</v>
      </c>
      <c r="W2751" s="705">
        <f t="shared" si="106"/>
        <v>23602</v>
      </c>
      <c r="X2751" s="705">
        <f t="shared" si="107"/>
        <v>30369</v>
      </c>
    </row>
    <row r="2752" spans="2:24">
      <c r="B2752" t="s">
        <v>558</v>
      </c>
      <c r="C2752" t="s">
        <v>124</v>
      </c>
      <c r="F2752" s="705">
        <v>2</v>
      </c>
      <c r="G2752" s="705">
        <v>184</v>
      </c>
      <c r="H2752" s="705">
        <v>1089</v>
      </c>
      <c r="I2752" s="705"/>
      <c r="J2752" s="705">
        <v>0</v>
      </c>
      <c r="K2752" s="705"/>
      <c r="L2752" s="705"/>
      <c r="M2752" s="705">
        <v>0</v>
      </c>
      <c r="N2752" s="705">
        <v>3791</v>
      </c>
      <c r="O2752" s="705">
        <v>1404</v>
      </c>
      <c r="P2752" s="705">
        <v>621</v>
      </c>
      <c r="Q2752" s="705">
        <v>230</v>
      </c>
      <c r="R2752" s="705"/>
      <c r="S2752" s="705">
        <v>0</v>
      </c>
      <c r="T2752" s="705">
        <v>2807</v>
      </c>
      <c r="U2752" s="705">
        <v>1040</v>
      </c>
      <c r="V2752" s="705">
        <v>2674</v>
      </c>
      <c r="W2752" s="705">
        <f t="shared" si="106"/>
        <v>2674</v>
      </c>
      <c r="X2752" s="705">
        <f t="shared" si="107"/>
        <v>7219</v>
      </c>
    </row>
    <row r="2753" spans="2:24">
      <c r="B2753" t="s">
        <v>558</v>
      </c>
      <c r="C2753" t="s">
        <v>124</v>
      </c>
      <c r="D2753" t="s">
        <v>664</v>
      </c>
      <c r="E2753" t="s">
        <v>228</v>
      </c>
      <c r="F2753" s="705">
        <v>1</v>
      </c>
      <c r="G2753" s="705">
        <v>78</v>
      </c>
      <c r="H2753" s="705">
        <v>690</v>
      </c>
      <c r="I2753" s="705">
        <v>24679</v>
      </c>
      <c r="J2753" s="705">
        <v>22435</v>
      </c>
      <c r="K2753" s="705">
        <v>50</v>
      </c>
      <c r="L2753" s="705">
        <v>2176</v>
      </c>
      <c r="M2753" s="705">
        <v>1978</v>
      </c>
      <c r="N2753" s="705">
        <v>1897</v>
      </c>
      <c r="O2753" s="705">
        <v>702</v>
      </c>
      <c r="P2753" s="705">
        <v>0</v>
      </c>
      <c r="Q2753" s="705">
        <v>0</v>
      </c>
      <c r="R2753" s="705">
        <v>24911</v>
      </c>
      <c r="S2753" s="705">
        <v>9226</v>
      </c>
      <c r="T2753" s="705">
        <v>0</v>
      </c>
      <c r="U2753" s="705">
        <v>0</v>
      </c>
      <c r="V2753" s="705">
        <v>34343</v>
      </c>
      <c r="W2753" s="705">
        <f t="shared" si="106"/>
        <v>34341</v>
      </c>
      <c r="X2753" s="705">
        <f t="shared" si="107"/>
        <v>53663</v>
      </c>
    </row>
    <row r="2754" spans="2:24">
      <c r="B2754" t="s">
        <v>558</v>
      </c>
      <c r="C2754" t="s">
        <v>124</v>
      </c>
      <c r="D2754" t="s">
        <v>582</v>
      </c>
      <c r="E2754" t="s">
        <v>582</v>
      </c>
      <c r="F2754" s="705">
        <v>1</v>
      </c>
      <c r="G2754" s="705">
        <v>248</v>
      </c>
      <c r="H2754" s="705">
        <v>465</v>
      </c>
      <c r="I2754" s="705">
        <v>115885</v>
      </c>
      <c r="J2754" s="705">
        <v>105350</v>
      </c>
      <c r="K2754" s="705">
        <v>68</v>
      </c>
      <c r="L2754" s="705">
        <v>30247</v>
      </c>
      <c r="M2754" s="705">
        <v>25206</v>
      </c>
      <c r="N2754" s="705">
        <v>8128</v>
      </c>
      <c r="O2754" s="705">
        <v>3010</v>
      </c>
      <c r="P2754" s="705">
        <v>1053</v>
      </c>
      <c r="Q2754" s="705">
        <v>390</v>
      </c>
      <c r="R2754" s="705">
        <v>10460</v>
      </c>
      <c r="S2754" s="705">
        <v>9509</v>
      </c>
      <c r="T2754" s="705">
        <v>0</v>
      </c>
      <c r="U2754" s="705">
        <v>0</v>
      </c>
      <c r="V2754" s="705">
        <v>143465</v>
      </c>
      <c r="W2754" s="705">
        <f t="shared" si="106"/>
        <v>143465</v>
      </c>
      <c r="X2754" s="705">
        <f t="shared" si="107"/>
        <v>165773</v>
      </c>
    </row>
    <row r="2755" spans="2:24">
      <c r="B2755" t="s">
        <v>558</v>
      </c>
      <c r="C2755" t="s">
        <v>124</v>
      </c>
      <c r="D2755" t="s">
        <v>228</v>
      </c>
      <c r="E2755" t="s">
        <v>228</v>
      </c>
      <c r="F2755" s="705">
        <v>255</v>
      </c>
      <c r="G2755" s="705">
        <v>21205</v>
      </c>
      <c r="H2755" s="705">
        <v>162046</v>
      </c>
      <c r="I2755" s="705">
        <v>9384788</v>
      </c>
      <c r="J2755" s="705">
        <v>3475847</v>
      </c>
      <c r="K2755" s="705">
        <v>100</v>
      </c>
      <c r="L2755" s="705">
        <v>1716107</v>
      </c>
      <c r="M2755" s="705">
        <v>1403786</v>
      </c>
      <c r="N2755" s="705">
        <v>473113</v>
      </c>
      <c r="O2755" s="705">
        <v>175227</v>
      </c>
      <c r="P2755" s="705">
        <v>3551</v>
      </c>
      <c r="Q2755" s="705">
        <v>1315</v>
      </c>
      <c r="R2755" s="705">
        <v>1814837</v>
      </c>
      <c r="S2755" s="705">
        <v>672162</v>
      </c>
      <c r="T2755" s="705">
        <v>7099</v>
      </c>
      <c r="U2755" s="705">
        <v>2629</v>
      </c>
      <c r="V2755" s="705">
        <v>5730966</v>
      </c>
      <c r="W2755" s="705">
        <f t="shared" si="106"/>
        <v>5730966</v>
      </c>
      <c r="X2755" s="705">
        <f t="shared" si="107"/>
        <v>13399495</v>
      </c>
    </row>
    <row r="2756" spans="2:24">
      <c r="B2756" t="s">
        <v>558</v>
      </c>
      <c r="C2756" t="s">
        <v>124</v>
      </c>
      <c r="D2756" t="s">
        <v>228</v>
      </c>
      <c r="E2756" t="s">
        <v>666</v>
      </c>
      <c r="F2756" s="705">
        <v>1</v>
      </c>
      <c r="G2756" s="705">
        <v>105</v>
      </c>
      <c r="H2756" s="705">
        <v>702</v>
      </c>
      <c r="I2756" s="705">
        <v>58662</v>
      </c>
      <c r="J2756" s="705">
        <v>21727</v>
      </c>
      <c r="K2756" s="705">
        <v>100</v>
      </c>
      <c r="L2756" s="705">
        <v>5311</v>
      </c>
      <c r="M2756" s="705">
        <v>4828</v>
      </c>
      <c r="N2756" s="705">
        <v>2231</v>
      </c>
      <c r="O2756" s="705">
        <v>826</v>
      </c>
      <c r="P2756" s="705">
        <v>0</v>
      </c>
      <c r="Q2756" s="705">
        <v>0</v>
      </c>
      <c r="R2756" s="705">
        <v>5174</v>
      </c>
      <c r="S2756" s="705">
        <v>4704</v>
      </c>
      <c r="T2756" s="705">
        <v>2041</v>
      </c>
      <c r="U2756" s="705">
        <v>756</v>
      </c>
      <c r="V2756" s="705">
        <v>32841</v>
      </c>
      <c r="W2756" s="705">
        <f t="shared" si="106"/>
        <v>32841</v>
      </c>
      <c r="X2756" s="705">
        <f t="shared" si="107"/>
        <v>73419</v>
      </c>
    </row>
    <row r="2757" spans="2:24">
      <c r="B2757" t="s">
        <v>558</v>
      </c>
      <c r="C2757" t="s">
        <v>124</v>
      </c>
      <c r="D2757" t="s">
        <v>228</v>
      </c>
      <c r="E2757" t="s">
        <v>669</v>
      </c>
      <c r="F2757" s="705">
        <v>5</v>
      </c>
      <c r="G2757" s="705">
        <v>347</v>
      </c>
      <c r="H2757" s="705">
        <v>3006</v>
      </c>
      <c r="I2757" s="705">
        <v>138207</v>
      </c>
      <c r="J2757" s="705">
        <v>51188</v>
      </c>
      <c r="K2757" s="705">
        <v>100</v>
      </c>
      <c r="L2757" s="705">
        <v>18555</v>
      </c>
      <c r="M2757" s="705">
        <v>15462</v>
      </c>
      <c r="N2757" s="705">
        <v>7179</v>
      </c>
      <c r="O2757" s="705">
        <v>2659</v>
      </c>
      <c r="P2757" s="705">
        <v>1053</v>
      </c>
      <c r="Q2757" s="705">
        <v>390</v>
      </c>
      <c r="R2757" s="705">
        <v>35018</v>
      </c>
      <c r="S2757" s="705">
        <v>29182</v>
      </c>
      <c r="T2757" s="705">
        <v>10552</v>
      </c>
      <c r="U2757" s="705">
        <v>3908</v>
      </c>
      <c r="V2757" s="705">
        <v>102789</v>
      </c>
      <c r="W2757" s="705">
        <f t="shared" si="106"/>
        <v>102789</v>
      </c>
      <c r="X2757" s="705">
        <f t="shared" si="107"/>
        <v>210564</v>
      </c>
    </row>
    <row r="2758" spans="2:24">
      <c r="B2758" t="s">
        <v>558</v>
      </c>
      <c r="C2758" t="s">
        <v>124</v>
      </c>
      <c r="D2758" t="s">
        <v>228</v>
      </c>
      <c r="E2758" t="s">
        <v>665</v>
      </c>
      <c r="F2758" s="705">
        <v>10</v>
      </c>
      <c r="G2758" s="705">
        <v>836</v>
      </c>
      <c r="H2758" s="705">
        <v>6547</v>
      </c>
      <c r="I2758" s="705">
        <v>383738</v>
      </c>
      <c r="J2758" s="705">
        <v>142125</v>
      </c>
      <c r="K2758" s="705">
        <v>100</v>
      </c>
      <c r="L2758" s="705">
        <v>63890</v>
      </c>
      <c r="M2758" s="705">
        <v>55387</v>
      </c>
      <c r="N2758" s="705">
        <v>19367</v>
      </c>
      <c r="O2758" s="705">
        <v>7173</v>
      </c>
      <c r="P2758" s="705">
        <v>1053</v>
      </c>
      <c r="Q2758" s="705">
        <v>390</v>
      </c>
      <c r="R2758" s="705">
        <v>55426</v>
      </c>
      <c r="S2758" s="705">
        <v>50387</v>
      </c>
      <c r="T2758" s="705">
        <v>27007</v>
      </c>
      <c r="U2758" s="705">
        <v>10003</v>
      </c>
      <c r="V2758" s="705">
        <v>265465</v>
      </c>
      <c r="W2758" s="705">
        <f t="shared" si="106"/>
        <v>265465</v>
      </c>
      <c r="X2758" s="705">
        <f t="shared" si="107"/>
        <v>550481</v>
      </c>
    </row>
    <row r="2759" spans="2:24">
      <c r="B2759" t="s">
        <v>558</v>
      </c>
      <c r="C2759" t="s">
        <v>124</v>
      </c>
      <c r="D2759" t="s">
        <v>583</v>
      </c>
      <c r="E2759" t="s">
        <v>228</v>
      </c>
      <c r="F2759" s="705">
        <v>9</v>
      </c>
      <c r="G2759" s="705">
        <v>672</v>
      </c>
      <c r="H2759" s="705">
        <v>4907</v>
      </c>
      <c r="I2759" s="705">
        <v>251763</v>
      </c>
      <c r="J2759" s="705">
        <v>228875</v>
      </c>
      <c r="K2759" s="705">
        <v>70</v>
      </c>
      <c r="L2759" s="705">
        <v>47962</v>
      </c>
      <c r="M2759" s="705">
        <v>43602</v>
      </c>
      <c r="N2759" s="705">
        <v>15189</v>
      </c>
      <c r="O2759" s="705">
        <v>5626</v>
      </c>
      <c r="P2759" s="705">
        <v>5589</v>
      </c>
      <c r="Q2759" s="705">
        <v>2070</v>
      </c>
      <c r="R2759" s="705">
        <v>41541</v>
      </c>
      <c r="S2759" s="705">
        <v>15385</v>
      </c>
      <c r="T2759" s="705">
        <v>0</v>
      </c>
      <c r="U2759" s="705">
        <v>0</v>
      </c>
      <c r="V2759" s="705">
        <v>295559</v>
      </c>
      <c r="W2759" s="705">
        <f t="shared" si="106"/>
        <v>295558</v>
      </c>
      <c r="X2759" s="705">
        <f t="shared" si="107"/>
        <v>362044</v>
      </c>
    </row>
    <row r="2760" spans="2:24">
      <c r="B2760" t="s">
        <v>558</v>
      </c>
      <c r="C2760" t="s">
        <v>124</v>
      </c>
      <c r="D2760" t="s">
        <v>583</v>
      </c>
      <c r="E2760" t="s">
        <v>583</v>
      </c>
      <c r="F2760" s="705">
        <v>118</v>
      </c>
      <c r="G2760" s="705">
        <v>10366</v>
      </c>
      <c r="H2760" s="705">
        <v>66359</v>
      </c>
      <c r="I2760" s="705">
        <v>3750652</v>
      </c>
      <c r="J2760" s="705">
        <v>3409684</v>
      </c>
      <c r="K2760" s="705">
        <v>72</v>
      </c>
      <c r="L2760" s="705">
        <v>1073145</v>
      </c>
      <c r="M2760" s="705">
        <v>953261</v>
      </c>
      <c r="N2760" s="705">
        <v>233352</v>
      </c>
      <c r="O2760" s="705">
        <v>86427</v>
      </c>
      <c r="P2760" s="705">
        <v>75627</v>
      </c>
      <c r="Q2760" s="705">
        <v>28010</v>
      </c>
      <c r="R2760" s="705">
        <v>571773</v>
      </c>
      <c r="S2760" s="705">
        <v>519794</v>
      </c>
      <c r="T2760" s="705">
        <v>233790</v>
      </c>
      <c r="U2760" s="705">
        <v>86589</v>
      </c>
      <c r="V2760" s="705">
        <v>5083764</v>
      </c>
      <c r="W2760" s="705">
        <f t="shared" si="106"/>
        <v>5083765</v>
      </c>
      <c r="X2760" s="705">
        <f t="shared" si="107"/>
        <v>5938339</v>
      </c>
    </row>
    <row r="2761" spans="2:24">
      <c r="B2761" t="s">
        <v>558</v>
      </c>
      <c r="C2761" t="s">
        <v>124</v>
      </c>
      <c r="D2761" t="s">
        <v>583</v>
      </c>
      <c r="E2761" t="s">
        <v>665</v>
      </c>
      <c r="F2761" s="705">
        <v>1</v>
      </c>
      <c r="G2761" s="705">
        <v>46</v>
      </c>
      <c r="H2761" s="705">
        <v>648</v>
      </c>
      <c r="I2761" s="705">
        <v>19001</v>
      </c>
      <c r="J2761" s="705">
        <v>17274</v>
      </c>
      <c r="K2761" s="705">
        <v>70</v>
      </c>
      <c r="L2761" s="705">
        <v>3446</v>
      </c>
      <c r="M2761" s="705">
        <v>1276</v>
      </c>
      <c r="N2761" s="705">
        <v>1114</v>
      </c>
      <c r="O2761" s="705">
        <v>413</v>
      </c>
      <c r="P2761" s="705">
        <v>621</v>
      </c>
      <c r="Q2761" s="705">
        <v>230</v>
      </c>
      <c r="R2761" s="705">
        <v>3613</v>
      </c>
      <c r="S2761" s="705">
        <v>3285</v>
      </c>
      <c r="T2761" s="705">
        <v>1818</v>
      </c>
      <c r="U2761" s="705">
        <v>673</v>
      </c>
      <c r="V2761" s="705">
        <v>23150</v>
      </c>
      <c r="W2761" s="705">
        <f t="shared" si="106"/>
        <v>23151</v>
      </c>
      <c r="X2761" s="705">
        <f t="shared" si="107"/>
        <v>29613</v>
      </c>
    </row>
    <row r="2762" spans="2:24">
      <c r="B2762" t="s">
        <v>558</v>
      </c>
      <c r="C2762" t="s">
        <v>124</v>
      </c>
      <c r="D2762" t="s">
        <v>666</v>
      </c>
      <c r="E2762" t="s">
        <v>228</v>
      </c>
      <c r="F2762" s="705">
        <v>9</v>
      </c>
      <c r="G2762" s="705">
        <v>561</v>
      </c>
      <c r="H2762" s="705">
        <v>9963</v>
      </c>
      <c r="I2762" s="705">
        <v>533317</v>
      </c>
      <c r="J2762" s="705">
        <v>484834</v>
      </c>
      <c r="K2762" s="705">
        <v>36</v>
      </c>
      <c r="L2762" s="705">
        <v>43928</v>
      </c>
      <c r="M2762" s="705">
        <v>19852</v>
      </c>
      <c r="N2762" s="705">
        <v>13616</v>
      </c>
      <c r="O2762" s="705">
        <v>5043</v>
      </c>
      <c r="P2762" s="705">
        <v>702</v>
      </c>
      <c r="Q2762" s="705">
        <v>260</v>
      </c>
      <c r="R2762" s="705">
        <v>57844</v>
      </c>
      <c r="S2762" s="705">
        <v>21424</v>
      </c>
      <c r="T2762" s="705">
        <v>0</v>
      </c>
      <c r="U2762" s="705">
        <v>0</v>
      </c>
      <c r="V2762" s="705">
        <v>531412</v>
      </c>
      <c r="W2762" s="705">
        <f t="shared" si="106"/>
        <v>531413</v>
      </c>
      <c r="X2762" s="705">
        <f t="shared" si="107"/>
        <v>649407</v>
      </c>
    </row>
    <row r="2763" spans="2:24">
      <c r="B2763" t="s">
        <v>558</v>
      </c>
      <c r="C2763" t="s">
        <v>124</v>
      </c>
      <c r="D2763" t="s">
        <v>666</v>
      </c>
      <c r="E2763" t="s">
        <v>666</v>
      </c>
      <c r="F2763" s="705">
        <v>19</v>
      </c>
      <c r="G2763" s="705">
        <v>1408</v>
      </c>
      <c r="H2763" s="705">
        <v>10745</v>
      </c>
      <c r="I2763" s="705">
        <v>536645</v>
      </c>
      <c r="J2763" s="705">
        <v>487859</v>
      </c>
      <c r="K2763" s="705">
        <v>55</v>
      </c>
      <c r="L2763" s="705">
        <v>72310</v>
      </c>
      <c r="M2763" s="705">
        <v>65807</v>
      </c>
      <c r="N2763" s="705">
        <v>32234</v>
      </c>
      <c r="O2763" s="705">
        <v>11939</v>
      </c>
      <c r="P2763" s="705">
        <v>6318</v>
      </c>
      <c r="Q2763" s="705">
        <v>2340</v>
      </c>
      <c r="R2763" s="705">
        <v>102862</v>
      </c>
      <c r="S2763" s="705">
        <v>93511</v>
      </c>
      <c r="T2763" s="705">
        <v>47118</v>
      </c>
      <c r="U2763" s="705">
        <v>17451</v>
      </c>
      <c r="V2763" s="705">
        <v>678907</v>
      </c>
      <c r="W2763" s="705">
        <f t="shared" si="106"/>
        <v>678907</v>
      </c>
      <c r="X2763" s="705">
        <f t="shared" si="107"/>
        <v>797487</v>
      </c>
    </row>
    <row r="2764" spans="2:24">
      <c r="B2764" t="s">
        <v>558</v>
      </c>
      <c r="C2764" t="s">
        <v>124</v>
      </c>
      <c r="D2764" t="s">
        <v>584</v>
      </c>
      <c r="E2764" t="s">
        <v>584</v>
      </c>
      <c r="F2764" s="705">
        <v>1</v>
      </c>
      <c r="G2764" s="705">
        <v>68</v>
      </c>
      <c r="H2764" s="705">
        <v>484</v>
      </c>
      <c r="I2764" s="705">
        <v>22369</v>
      </c>
      <c r="J2764" s="705">
        <v>20335</v>
      </c>
      <c r="K2764" s="705">
        <v>73</v>
      </c>
      <c r="L2764" s="705">
        <v>5750</v>
      </c>
      <c r="M2764" s="705">
        <v>5227</v>
      </c>
      <c r="N2764" s="705">
        <v>1470</v>
      </c>
      <c r="O2764" s="705">
        <v>545</v>
      </c>
      <c r="P2764" s="705">
        <v>473</v>
      </c>
      <c r="Q2764" s="705">
        <v>175</v>
      </c>
      <c r="R2764" s="705">
        <v>2766</v>
      </c>
      <c r="S2764" s="705">
        <v>2515</v>
      </c>
      <c r="T2764" s="705">
        <v>0</v>
      </c>
      <c r="U2764" s="705">
        <v>0</v>
      </c>
      <c r="V2764" s="705">
        <v>28796</v>
      </c>
      <c r="W2764" s="705">
        <f t="shared" si="106"/>
        <v>28797</v>
      </c>
      <c r="X2764" s="705">
        <f t="shared" si="107"/>
        <v>32828</v>
      </c>
    </row>
    <row r="2765" spans="2:24">
      <c r="B2765" t="s">
        <v>558</v>
      </c>
      <c r="C2765" t="s">
        <v>124</v>
      </c>
      <c r="D2765" t="s">
        <v>669</v>
      </c>
      <c r="E2765" t="s">
        <v>228</v>
      </c>
      <c r="F2765" s="705">
        <v>13</v>
      </c>
      <c r="G2765" s="705">
        <v>999</v>
      </c>
      <c r="H2765" s="705">
        <v>14093</v>
      </c>
      <c r="I2765" s="705">
        <v>934954</v>
      </c>
      <c r="J2765" s="705">
        <v>779128</v>
      </c>
      <c r="K2765" s="705">
        <v>33</v>
      </c>
      <c r="L2765" s="705">
        <v>49926</v>
      </c>
      <c r="M2765" s="705">
        <v>21394</v>
      </c>
      <c r="N2765" s="705">
        <v>22221</v>
      </c>
      <c r="O2765" s="705">
        <v>8230</v>
      </c>
      <c r="P2765" s="705">
        <v>0</v>
      </c>
      <c r="Q2765" s="705">
        <v>0</v>
      </c>
      <c r="R2765" s="705">
        <v>82415</v>
      </c>
      <c r="S2765" s="705">
        <v>30524</v>
      </c>
      <c r="T2765" s="705">
        <v>0</v>
      </c>
      <c r="U2765" s="705">
        <v>0</v>
      </c>
      <c r="V2765" s="705">
        <v>839276</v>
      </c>
      <c r="W2765" s="705">
        <f t="shared" si="106"/>
        <v>839276</v>
      </c>
      <c r="X2765" s="705">
        <f t="shared" si="107"/>
        <v>1089516</v>
      </c>
    </row>
    <row r="2766" spans="2:24">
      <c r="B2766" t="s">
        <v>558</v>
      </c>
      <c r="C2766" t="s">
        <v>124</v>
      </c>
      <c r="D2766" t="s">
        <v>669</v>
      </c>
      <c r="E2766" t="s">
        <v>669</v>
      </c>
      <c r="F2766" s="705">
        <v>49</v>
      </c>
      <c r="G2766" s="705">
        <v>3779</v>
      </c>
      <c r="H2766" s="705">
        <v>29021</v>
      </c>
      <c r="I2766" s="705">
        <v>1657532</v>
      </c>
      <c r="J2766" s="705">
        <v>1381277</v>
      </c>
      <c r="K2766" s="705">
        <v>56</v>
      </c>
      <c r="L2766" s="705">
        <v>125688</v>
      </c>
      <c r="M2766" s="705">
        <v>75860</v>
      </c>
      <c r="N2766" s="705">
        <v>80472</v>
      </c>
      <c r="O2766" s="705">
        <v>29804</v>
      </c>
      <c r="P2766" s="705">
        <v>15714</v>
      </c>
      <c r="Q2766" s="705">
        <v>5820</v>
      </c>
      <c r="R2766" s="705">
        <v>253348</v>
      </c>
      <c r="S2766" s="705">
        <v>211123</v>
      </c>
      <c r="T2766" s="705">
        <v>100267</v>
      </c>
      <c r="U2766" s="705">
        <v>37136</v>
      </c>
      <c r="V2766" s="705">
        <v>1741020</v>
      </c>
      <c r="W2766" s="705">
        <f t="shared" si="106"/>
        <v>1741020</v>
      </c>
      <c r="X2766" s="705">
        <f t="shared" si="107"/>
        <v>2233021</v>
      </c>
    </row>
    <row r="2767" spans="2:24">
      <c r="B2767" t="s">
        <v>558</v>
      </c>
      <c r="C2767" t="s">
        <v>124</v>
      </c>
      <c r="D2767" t="s">
        <v>665</v>
      </c>
      <c r="E2767" t="s">
        <v>228</v>
      </c>
      <c r="F2767" s="705">
        <v>43</v>
      </c>
      <c r="G2767" s="705">
        <v>3754</v>
      </c>
      <c r="H2767" s="705">
        <v>37564</v>
      </c>
      <c r="I2767" s="705">
        <v>2562641</v>
      </c>
      <c r="J2767" s="705">
        <v>2329674</v>
      </c>
      <c r="K2767" s="705">
        <v>37</v>
      </c>
      <c r="L2767" s="705">
        <v>221270</v>
      </c>
      <c r="M2767" s="705">
        <v>98689</v>
      </c>
      <c r="N2767" s="705">
        <v>85427</v>
      </c>
      <c r="O2767" s="705">
        <v>31640</v>
      </c>
      <c r="P2767" s="705">
        <v>3078</v>
      </c>
      <c r="Q2767" s="705">
        <v>1140</v>
      </c>
      <c r="R2767" s="705">
        <v>324783</v>
      </c>
      <c r="S2767" s="705">
        <v>120290</v>
      </c>
      <c r="T2767" s="705">
        <v>0</v>
      </c>
      <c r="U2767" s="705">
        <v>0</v>
      </c>
      <c r="V2767" s="705">
        <v>2581433</v>
      </c>
      <c r="W2767" s="705">
        <f t="shared" si="106"/>
        <v>2581433</v>
      </c>
      <c r="X2767" s="705">
        <f t="shared" si="107"/>
        <v>3197199</v>
      </c>
    </row>
    <row r="2768" spans="2:24">
      <c r="B2768" t="s">
        <v>558</v>
      </c>
      <c r="C2768" t="s">
        <v>124</v>
      </c>
      <c r="D2768" t="s">
        <v>665</v>
      </c>
      <c r="E2768" t="s">
        <v>665</v>
      </c>
      <c r="F2768" s="705">
        <v>104</v>
      </c>
      <c r="G2768" s="705">
        <v>8535</v>
      </c>
      <c r="H2768" s="705">
        <v>60471</v>
      </c>
      <c r="I2768" s="705">
        <v>3448986</v>
      </c>
      <c r="J2768" s="705">
        <v>3135442</v>
      </c>
      <c r="K2768" s="705">
        <v>56</v>
      </c>
      <c r="L2768" s="705">
        <v>489084</v>
      </c>
      <c r="M2768" s="705">
        <v>325432</v>
      </c>
      <c r="N2768" s="705">
        <v>179864</v>
      </c>
      <c r="O2768" s="705">
        <v>66616</v>
      </c>
      <c r="P2768" s="705">
        <v>34668</v>
      </c>
      <c r="Q2768" s="705">
        <v>12840</v>
      </c>
      <c r="R2768" s="705">
        <v>608632</v>
      </c>
      <c r="S2768" s="705">
        <v>553302</v>
      </c>
      <c r="T2768" s="705">
        <v>238885</v>
      </c>
      <c r="U2768" s="705">
        <v>88476</v>
      </c>
      <c r="V2768" s="705">
        <v>4182108</v>
      </c>
      <c r="W2768" s="705">
        <f t="shared" si="106"/>
        <v>4182108</v>
      </c>
      <c r="X2768" s="705">
        <f t="shared" si="107"/>
        <v>5000119</v>
      </c>
    </row>
    <row r="2769" spans="2:24">
      <c r="B2769" t="s">
        <v>558</v>
      </c>
      <c r="C2769" t="s">
        <v>124</v>
      </c>
      <c r="D2769" t="s">
        <v>673</v>
      </c>
      <c r="E2769" t="s">
        <v>673</v>
      </c>
      <c r="F2769" s="705">
        <v>1</v>
      </c>
      <c r="G2769" s="705">
        <v>94</v>
      </c>
      <c r="H2769" s="705">
        <v>619</v>
      </c>
      <c r="I2769" s="705">
        <v>38765</v>
      </c>
      <c r="J2769" s="705">
        <v>35241</v>
      </c>
      <c r="K2769" s="705">
        <v>65</v>
      </c>
      <c r="L2769" s="705">
        <v>9332</v>
      </c>
      <c r="M2769" s="705">
        <v>8484</v>
      </c>
      <c r="N2769" s="705">
        <v>2299</v>
      </c>
      <c r="O2769" s="705">
        <v>852</v>
      </c>
      <c r="P2769" s="705">
        <v>351</v>
      </c>
      <c r="Q2769" s="705">
        <v>130</v>
      </c>
      <c r="R2769" s="705">
        <v>4596</v>
      </c>
      <c r="S2769" s="705">
        <v>4178</v>
      </c>
      <c r="T2769" s="705">
        <v>3068</v>
      </c>
      <c r="U2769" s="705">
        <v>1136</v>
      </c>
      <c r="V2769" s="705">
        <v>50021</v>
      </c>
      <c r="W2769" s="705">
        <f t="shared" si="106"/>
        <v>50021</v>
      </c>
      <c r="X2769" s="705">
        <f t="shared" si="107"/>
        <v>58411</v>
      </c>
    </row>
    <row r="2770" spans="2:24">
      <c r="B2770" t="s">
        <v>559</v>
      </c>
      <c r="C2770" t="s">
        <v>108</v>
      </c>
      <c r="D2770" t="s">
        <v>582</v>
      </c>
      <c r="E2770" t="s">
        <v>582</v>
      </c>
      <c r="F2770" s="705">
        <v>3</v>
      </c>
      <c r="G2770" s="705">
        <v>337</v>
      </c>
      <c r="H2770" s="705">
        <v>191</v>
      </c>
      <c r="I2770" s="705">
        <v>3845</v>
      </c>
      <c r="J2770" s="705">
        <v>3496</v>
      </c>
      <c r="K2770" s="705">
        <v>92</v>
      </c>
      <c r="L2770" s="705">
        <v>427</v>
      </c>
      <c r="M2770" s="705">
        <v>388</v>
      </c>
      <c r="N2770" s="705">
        <v>4111</v>
      </c>
      <c r="O2770" s="705">
        <v>1523</v>
      </c>
      <c r="P2770" s="705">
        <v>1418</v>
      </c>
      <c r="Q2770" s="705">
        <v>525</v>
      </c>
      <c r="R2770" s="705">
        <v>11691</v>
      </c>
      <c r="S2770" s="705">
        <v>10628</v>
      </c>
      <c r="T2770" s="705">
        <v>0</v>
      </c>
      <c r="U2770" s="705">
        <v>0</v>
      </c>
      <c r="V2770" s="705">
        <v>16560</v>
      </c>
      <c r="W2770" s="705">
        <f t="shared" si="106"/>
        <v>16560</v>
      </c>
      <c r="X2770" s="705">
        <f t="shared" si="107"/>
        <v>21492</v>
      </c>
    </row>
    <row r="2771" spans="2:24">
      <c r="B2771" t="s">
        <v>559</v>
      </c>
      <c r="C2771" t="s">
        <v>108</v>
      </c>
      <c r="D2771" t="s">
        <v>228</v>
      </c>
      <c r="E2771" t="s">
        <v>228</v>
      </c>
      <c r="F2771" s="705">
        <v>919</v>
      </c>
      <c r="G2771" s="705">
        <v>110316</v>
      </c>
      <c r="H2771" s="705">
        <v>48039</v>
      </c>
      <c r="I2771" s="705">
        <v>-84581</v>
      </c>
      <c r="J2771" s="705">
        <v>-31326</v>
      </c>
      <c r="K2771" s="705">
        <v>462</v>
      </c>
      <c r="L2771" s="705">
        <v>41488</v>
      </c>
      <c r="M2771" s="705">
        <v>21207</v>
      </c>
      <c r="N2771" s="705">
        <v>1362068</v>
      </c>
      <c r="O2771" s="705">
        <v>504470</v>
      </c>
      <c r="P2771" s="705">
        <v>813473</v>
      </c>
      <c r="Q2771" s="705">
        <v>301286</v>
      </c>
      <c r="R2771" s="705">
        <v>3554181</v>
      </c>
      <c r="S2771" s="705">
        <v>1316363</v>
      </c>
      <c r="T2771" s="705">
        <v>0</v>
      </c>
      <c r="U2771" s="705">
        <v>0</v>
      </c>
      <c r="V2771" s="705">
        <v>2112000</v>
      </c>
      <c r="W2771" s="705">
        <f t="shared" si="106"/>
        <v>2174652</v>
      </c>
      <c r="X2771" s="705">
        <f t="shared" si="107"/>
        <v>5855791</v>
      </c>
    </row>
    <row r="2772" spans="2:24">
      <c r="B2772" t="s">
        <v>559</v>
      </c>
      <c r="C2772" t="s">
        <v>108</v>
      </c>
      <c r="D2772" t="s">
        <v>583</v>
      </c>
      <c r="E2772" t="s">
        <v>583</v>
      </c>
      <c r="F2772" s="705">
        <v>2</v>
      </c>
      <c r="G2772" s="705">
        <v>303</v>
      </c>
      <c r="H2772" s="705">
        <v>89</v>
      </c>
      <c r="I2772" s="705">
        <v>990</v>
      </c>
      <c r="J2772" s="705">
        <v>900</v>
      </c>
      <c r="K2772" s="705">
        <v>95</v>
      </c>
      <c r="L2772" s="705">
        <v>1</v>
      </c>
      <c r="M2772" s="705">
        <v>1</v>
      </c>
      <c r="N2772" s="705">
        <v>3696</v>
      </c>
      <c r="O2772" s="705">
        <v>1369</v>
      </c>
      <c r="P2772" s="705">
        <v>1242</v>
      </c>
      <c r="Q2772" s="705">
        <v>460</v>
      </c>
      <c r="R2772" s="705">
        <v>7588</v>
      </c>
      <c r="S2772" s="705">
        <v>6898</v>
      </c>
      <c r="T2772" s="705">
        <v>0</v>
      </c>
      <c r="U2772" s="705">
        <v>0</v>
      </c>
      <c r="V2772" s="705">
        <v>9627</v>
      </c>
      <c r="W2772" s="705">
        <f t="shared" si="106"/>
        <v>9628</v>
      </c>
      <c r="X2772" s="705">
        <f t="shared" si="107"/>
        <v>13517</v>
      </c>
    </row>
    <row r="2773" spans="2:24">
      <c r="B2773" t="s">
        <v>559</v>
      </c>
      <c r="C2773" t="s">
        <v>108</v>
      </c>
      <c r="D2773" t="s">
        <v>584</v>
      </c>
      <c r="E2773" t="s">
        <v>228</v>
      </c>
      <c r="F2773" s="705">
        <v>17</v>
      </c>
      <c r="G2773" s="705">
        <v>2035</v>
      </c>
      <c r="H2773" s="705">
        <v>826</v>
      </c>
      <c r="I2773" s="705">
        <v>9378</v>
      </c>
      <c r="J2773" s="705">
        <v>8525</v>
      </c>
      <c r="K2773" s="705">
        <v>91</v>
      </c>
      <c r="L2773" s="705">
        <v>0</v>
      </c>
      <c r="M2773" s="705">
        <v>0</v>
      </c>
      <c r="N2773" s="705">
        <v>26885</v>
      </c>
      <c r="O2773" s="705">
        <v>9958</v>
      </c>
      <c r="P2773" s="705">
        <v>8033</v>
      </c>
      <c r="Q2773" s="705">
        <v>2975</v>
      </c>
      <c r="R2773" s="705">
        <v>54585</v>
      </c>
      <c r="S2773" s="705">
        <v>20217</v>
      </c>
      <c r="T2773" s="705">
        <v>0</v>
      </c>
      <c r="U2773" s="705">
        <v>0</v>
      </c>
      <c r="V2773" s="705">
        <v>41674</v>
      </c>
      <c r="W2773" s="705">
        <f t="shared" si="106"/>
        <v>41675</v>
      </c>
      <c r="X2773" s="705">
        <f t="shared" si="107"/>
        <v>98881</v>
      </c>
    </row>
    <row r="2774" spans="2:24">
      <c r="B2774" t="s">
        <v>559</v>
      </c>
      <c r="C2774" t="s">
        <v>108</v>
      </c>
      <c r="D2774" t="s">
        <v>584</v>
      </c>
      <c r="E2774" t="s">
        <v>584</v>
      </c>
      <c r="F2774" s="705">
        <v>763</v>
      </c>
      <c r="G2774" s="705">
        <v>88830</v>
      </c>
      <c r="H2774" s="705">
        <v>42634</v>
      </c>
      <c r="I2774" s="705">
        <v>1030941</v>
      </c>
      <c r="J2774" s="705">
        <v>937219</v>
      </c>
      <c r="K2774" s="705">
        <v>91</v>
      </c>
      <c r="L2774" s="705">
        <v>34285</v>
      </c>
      <c r="M2774" s="705">
        <v>28253</v>
      </c>
      <c r="N2774" s="705">
        <v>1099855</v>
      </c>
      <c r="O2774" s="705">
        <v>407354</v>
      </c>
      <c r="P2774" s="705">
        <v>640417</v>
      </c>
      <c r="Q2774" s="705">
        <v>237191</v>
      </c>
      <c r="R2774" s="705">
        <v>2131618</v>
      </c>
      <c r="S2774" s="705">
        <v>1937834</v>
      </c>
      <c r="T2774" s="705">
        <v>0</v>
      </c>
      <c r="U2774" s="705">
        <v>0</v>
      </c>
      <c r="V2774" s="705">
        <v>3547852</v>
      </c>
      <c r="W2774" s="705">
        <f t="shared" si="106"/>
        <v>3547851</v>
      </c>
      <c r="X2774" s="705">
        <f t="shared" si="107"/>
        <v>4937116</v>
      </c>
    </row>
    <row r="2775" spans="2:24">
      <c r="B2775" t="s">
        <v>559</v>
      </c>
      <c r="C2775" t="s">
        <v>110</v>
      </c>
      <c r="D2775" t="s">
        <v>228</v>
      </c>
      <c r="E2775" t="s">
        <v>228</v>
      </c>
      <c r="F2775" s="705">
        <v>6</v>
      </c>
      <c r="G2775" s="705">
        <v>608</v>
      </c>
      <c r="H2775" s="705">
        <v>530</v>
      </c>
      <c r="I2775" s="705">
        <v>20118</v>
      </c>
      <c r="J2775" s="705">
        <v>7451</v>
      </c>
      <c r="K2775" s="705">
        <v>341</v>
      </c>
      <c r="L2775" s="705">
        <v>4763</v>
      </c>
      <c r="M2775" s="705">
        <v>4330</v>
      </c>
      <c r="N2775" s="705">
        <v>11164</v>
      </c>
      <c r="O2775" s="705">
        <v>4135</v>
      </c>
      <c r="P2775" s="705">
        <v>2106</v>
      </c>
      <c r="Q2775" s="705">
        <v>780</v>
      </c>
      <c r="R2775" s="705">
        <v>16326</v>
      </c>
      <c r="S2775" s="705">
        <v>6047</v>
      </c>
      <c r="T2775" s="705">
        <v>0</v>
      </c>
      <c r="U2775" s="705">
        <v>0</v>
      </c>
      <c r="V2775" s="705">
        <v>22743</v>
      </c>
      <c r="W2775" s="705">
        <f t="shared" si="106"/>
        <v>22743</v>
      </c>
      <c r="X2775" s="705">
        <f t="shared" si="107"/>
        <v>54477</v>
      </c>
    </row>
    <row r="2776" spans="2:24">
      <c r="B2776" t="s">
        <v>559</v>
      </c>
      <c r="C2776" t="s">
        <v>110</v>
      </c>
      <c r="D2776" t="s">
        <v>583</v>
      </c>
      <c r="E2776" t="s">
        <v>583</v>
      </c>
      <c r="F2776" s="705">
        <v>17</v>
      </c>
      <c r="G2776" s="705">
        <v>1994</v>
      </c>
      <c r="H2776" s="705">
        <v>1515</v>
      </c>
      <c r="I2776" s="705">
        <v>75988</v>
      </c>
      <c r="J2776" s="705">
        <v>69080</v>
      </c>
      <c r="K2776" s="705">
        <v>93</v>
      </c>
      <c r="L2776" s="705">
        <v>7056</v>
      </c>
      <c r="M2776" s="705">
        <v>6414</v>
      </c>
      <c r="N2776" s="705">
        <v>30334</v>
      </c>
      <c r="O2776" s="705">
        <v>11235</v>
      </c>
      <c r="P2776" s="705">
        <v>10557</v>
      </c>
      <c r="Q2776" s="705">
        <v>3910</v>
      </c>
      <c r="R2776" s="705">
        <v>46044</v>
      </c>
      <c r="S2776" s="705">
        <v>41859</v>
      </c>
      <c r="T2776" s="705">
        <v>7538</v>
      </c>
      <c r="U2776" s="705">
        <v>2792</v>
      </c>
      <c r="V2776" s="705">
        <v>135290</v>
      </c>
      <c r="W2776" s="705">
        <f t="shared" si="106"/>
        <v>135290</v>
      </c>
      <c r="X2776" s="705">
        <f t="shared" si="107"/>
        <v>177517</v>
      </c>
    </row>
    <row r="2777" spans="2:24">
      <c r="B2777" t="s">
        <v>559</v>
      </c>
      <c r="C2777" t="s">
        <v>110</v>
      </c>
      <c r="D2777" t="s">
        <v>584</v>
      </c>
      <c r="E2777" t="s">
        <v>584</v>
      </c>
      <c r="F2777" s="705">
        <v>86</v>
      </c>
      <c r="G2777" s="705">
        <v>10391</v>
      </c>
      <c r="H2777" s="705">
        <v>7530</v>
      </c>
      <c r="I2777" s="705">
        <v>420880</v>
      </c>
      <c r="J2777" s="705">
        <v>382618</v>
      </c>
      <c r="K2777" s="705">
        <v>91</v>
      </c>
      <c r="L2777" s="705">
        <v>66620</v>
      </c>
      <c r="M2777" s="705">
        <v>60476</v>
      </c>
      <c r="N2777" s="705">
        <v>154787</v>
      </c>
      <c r="O2777" s="705">
        <v>57328</v>
      </c>
      <c r="P2777" s="705">
        <v>47479</v>
      </c>
      <c r="Q2777" s="705">
        <v>17585</v>
      </c>
      <c r="R2777" s="705">
        <v>231000</v>
      </c>
      <c r="S2777" s="705">
        <v>210000</v>
      </c>
      <c r="T2777" s="705">
        <v>0</v>
      </c>
      <c r="U2777" s="705">
        <v>0</v>
      </c>
      <c r="V2777" s="705">
        <v>728007</v>
      </c>
      <c r="W2777" s="705">
        <f t="shared" si="106"/>
        <v>728007</v>
      </c>
      <c r="X2777" s="705">
        <f t="shared" si="107"/>
        <v>920766</v>
      </c>
    </row>
    <row r="2778" spans="2:24">
      <c r="B2778" t="s">
        <v>559</v>
      </c>
      <c r="C2778" t="s">
        <v>112</v>
      </c>
      <c r="D2778" t="s">
        <v>582</v>
      </c>
      <c r="E2778" t="s">
        <v>582</v>
      </c>
      <c r="F2778" s="705">
        <v>1</v>
      </c>
      <c r="G2778" s="705">
        <v>140</v>
      </c>
      <c r="H2778" s="705">
        <v>124</v>
      </c>
      <c r="I2778" s="705">
        <v>8635</v>
      </c>
      <c r="J2778" s="705">
        <v>7850</v>
      </c>
      <c r="K2778" s="705">
        <v>90</v>
      </c>
      <c r="L2778" s="705">
        <v>1446</v>
      </c>
      <c r="M2778" s="705">
        <v>1314</v>
      </c>
      <c r="N2778" s="705">
        <v>3319</v>
      </c>
      <c r="O2778" s="705">
        <v>1229</v>
      </c>
      <c r="P2778" s="705">
        <v>473</v>
      </c>
      <c r="Q2778" s="705">
        <v>175</v>
      </c>
      <c r="R2778" s="705">
        <v>3501</v>
      </c>
      <c r="S2778" s="705">
        <v>3183</v>
      </c>
      <c r="T2778" s="705">
        <v>0</v>
      </c>
      <c r="U2778" s="705">
        <v>0</v>
      </c>
      <c r="V2778" s="705">
        <v>13752</v>
      </c>
      <c r="W2778" s="705">
        <f t="shared" si="106"/>
        <v>13751</v>
      </c>
      <c r="X2778" s="705">
        <f t="shared" si="107"/>
        <v>17374</v>
      </c>
    </row>
    <row r="2779" spans="2:24">
      <c r="B2779" t="s">
        <v>559</v>
      </c>
      <c r="C2779" t="s">
        <v>112</v>
      </c>
      <c r="D2779" t="s">
        <v>228</v>
      </c>
      <c r="E2779" t="s">
        <v>228</v>
      </c>
      <c r="F2779" s="705">
        <v>5</v>
      </c>
      <c r="G2779" s="705">
        <v>582</v>
      </c>
      <c r="H2779" s="705">
        <v>586</v>
      </c>
      <c r="I2779" s="705">
        <v>19039</v>
      </c>
      <c r="J2779" s="705">
        <v>7052</v>
      </c>
      <c r="K2779" s="705">
        <v>309</v>
      </c>
      <c r="L2779" s="705">
        <v>3342</v>
      </c>
      <c r="M2779" s="705">
        <v>1815</v>
      </c>
      <c r="N2779" s="705">
        <v>11311</v>
      </c>
      <c r="O2779" s="705">
        <v>4189</v>
      </c>
      <c r="P2779" s="705">
        <v>6558</v>
      </c>
      <c r="Q2779" s="705">
        <v>2429</v>
      </c>
      <c r="R2779" s="705">
        <v>26973</v>
      </c>
      <c r="S2779" s="705">
        <v>9990</v>
      </c>
      <c r="T2779" s="705">
        <v>0</v>
      </c>
      <c r="U2779" s="705">
        <v>0</v>
      </c>
      <c r="V2779" s="705">
        <v>25475</v>
      </c>
      <c r="W2779" s="705">
        <f t="shared" si="106"/>
        <v>25475</v>
      </c>
      <c r="X2779" s="705">
        <f t="shared" si="107"/>
        <v>67223</v>
      </c>
    </row>
    <row r="2780" spans="2:24">
      <c r="B2780" t="s">
        <v>559</v>
      </c>
      <c r="C2780" t="s">
        <v>112</v>
      </c>
      <c r="D2780" t="s">
        <v>583</v>
      </c>
      <c r="E2780" t="s">
        <v>583</v>
      </c>
      <c r="F2780" s="705">
        <v>36</v>
      </c>
      <c r="G2780" s="705">
        <v>4421</v>
      </c>
      <c r="H2780" s="705">
        <v>4216</v>
      </c>
      <c r="I2780" s="705">
        <v>248078</v>
      </c>
      <c r="J2780" s="705">
        <v>225525</v>
      </c>
      <c r="K2780" s="705">
        <v>93</v>
      </c>
      <c r="L2780" s="705">
        <v>52277</v>
      </c>
      <c r="M2780" s="705">
        <v>48777</v>
      </c>
      <c r="N2780" s="705">
        <v>68507</v>
      </c>
      <c r="O2780" s="705">
        <v>25373</v>
      </c>
      <c r="P2780" s="705">
        <v>24898</v>
      </c>
      <c r="Q2780" s="705">
        <v>9222</v>
      </c>
      <c r="R2780" s="705">
        <v>135283</v>
      </c>
      <c r="S2780" s="705">
        <v>122985</v>
      </c>
      <c r="T2780" s="705">
        <v>6321</v>
      </c>
      <c r="U2780" s="705">
        <v>2341</v>
      </c>
      <c r="V2780" s="705">
        <v>434223</v>
      </c>
      <c r="W2780" s="705">
        <f t="shared" si="106"/>
        <v>434223</v>
      </c>
      <c r="X2780" s="705">
        <f t="shared" si="107"/>
        <v>535364</v>
      </c>
    </row>
    <row r="2781" spans="2:24">
      <c r="B2781" t="s">
        <v>559</v>
      </c>
      <c r="C2781" t="s">
        <v>112</v>
      </c>
      <c r="D2781" t="s">
        <v>584</v>
      </c>
      <c r="E2781" t="s">
        <v>584</v>
      </c>
      <c r="F2781" s="705">
        <v>135</v>
      </c>
      <c r="G2781" s="705">
        <v>16306</v>
      </c>
      <c r="H2781" s="705">
        <v>15613</v>
      </c>
      <c r="I2781" s="705">
        <v>894871</v>
      </c>
      <c r="J2781" s="705">
        <v>813519</v>
      </c>
      <c r="K2781" s="705">
        <v>90</v>
      </c>
      <c r="L2781" s="705">
        <v>110826</v>
      </c>
      <c r="M2781" s="705">
        <v>99812</v>
      </c>
      <c r="N2781" s="705">
        <v>301536</v>
      </c>
      <c r="O2781" s="705">
        <v>111680</v>
      </c>
      <c r="P2781" s="705">
        <v>85169</v>
      </c>
      <c r="Q2781" s="705">
        <v>31544</v>
      </c>
      <c r="R2781" s="705">
        <v>532858</v>
      </c>
      <c r="S2781" s="705">
        <v>484416</v>
      </c>
      <c r="T2781" s="705">
        <v>1592</v>
      </c>
      <c r="U2781" s="705">
        <v>590</v>
      </c>
      <c r="V2781" s="705">
        <v>1541561</v>
      </c>
      <c r="W2781" s="705">
        <f t="shared" si="106"/>
        <v>1541561</v>
      </c>
      <c r="X2781" s="705">
        <f t="shared" si="107"/>
        <v>1926852</v>
      </c>
    </row>
    <row r="2782" spans="2:24">
      <c r="B2782" t="s">
        <v>559</v>
      </c>
      <c r="C2782" t="s">
        <v>112</v>
      </c>
      <c r="D2782" t="s">
        <v>665</v>
      </c>
      <c r="E2782" t="s">
        <v>665</v>
      </c>
      <c r="F2782" s="705">
        <v>1</v>
      </c>
      <c r="G2782" s="705">
        <v>132</v>
      </c>
      <c r="H2782" s="705">
        <v>106</v>
      </c>
      <c r="I2782" s="705">
        <v>6014</v>
      </c>
      <c r="J2782" s="705">
        <v>5467</v>
      </c>
      <c r="K2782" s="705">
        <v>78</v>
      </c>
      <c r="L2782" s="705">
        <v>802</v>
      </c>
      <c r="M2782" s="705">
        <v>729</v>
      </c>
      <c r="N2782" s="705">
        <v>1603</v>
      </c>
      <c r="O2782" s="705">
        <v>594</v>
      </c>
      <c r="P2782" s="705">
        <v>351</v>
      </c>
      <c r="Q2782" s="705">
        <v>130</v>
      </c>
      <c r="R2782" s="705">
        <v>5169</v>
      </c>
      <c r="S2782" s="705">
        <v>4699</v>
      </c>
      <c r="T2782" s="705">
        <v>0</v>
      </c>
      <c r="U2782" s="705">
        <v>0</v>
      </c>
      <c r="V2782" s="705">
        <v>11619</v>
      </c>
      <c r="W2782" s="705">
        <f t="shared" si="106"/>
        <v>11619</v>
      </c>
      <c r="X2782" s="705">
        <f t="shared" si="107"/>
        <v>13939</v>
      </c>
    </row>
    <row r="2783" spans="2:24">
      <c r="B2783" t="s">
        <v>559</v>
      </c>
      <c r="C2783" t="s">
        <v>114</v>
      </c>
      <c r="D2783" t="s">
        <v>664</v>
      </c>
      <c r="E2783" t="s">
        <v>664</v>
      </c>
      <c r="F2783" s="705">
        <v>4</v>
      </c>
      <c r="G2783" s="705">
        <v>181</v>
      </c>
      <c r="H2783" s="705">
        <v>581</v>
      </c>
      <c r="I2783" s="705">
        <v>32795</v>
      </c>
      <c r="J2783" s="705">
        <v>29813</v>
      </c>
      <c r="K2783" s="705">
        <v>92</v>
      </c>
      <c r="L2783" s="705">
        <v>0</v>
      </c>
      <c r="M2783" s="705">
        <v>0</v>
      </c>
      <c r="N2783" s="705">
        <v>7848</v>
      </c>
      <c r="O2783" s="705">
        <v>2907</v>
      </c>
      <c r="P2783" s="705">
        <v>1890</v>
      </c>
      <c r="Q2783" s="705">
        <v>700</v>
      </c>
      <c r="R2783" s="705">
        <v>9999</v>
      </c>
      <c r="S2783" s="705">
        <v>9090</v>
      </c>
      <c r="T2783" s="705">
        <v>0</v>
      </c>
      <c r="U2783" s="705">
        <v>0</v>
      </c>
      <c r="V2783" s="705">
        <v>42510</v>
      </c>
      <c r="W2783" s="705">
        <f t="shared" si="106"/>
        <v>42510</v>
      </c>
      <c r="X2783" s="705">
        <f t="shared" si="107"/>
        <v>52532</v>
      </c>
    </row>
    <row r="2784" spans="2:24">
      <c r="B2784" t="s">
        <v>559</v>
      </c>
      <c r="C2784" t="s">
        <v>114</v>
      </c>
      <c r="D2784" t="s">
        <v>582</v>
      </c>
      <c r="E2784" t="s">
        <v>582</v>
      </c>
      <c r="F2784" s="705">
        <v>5</v>
      </c>
      <c r="G2784" s="705">
        <v>452</v>
      </c>
      <c r="H2784" s="705">
        <v>696</v>
      </c>
      <c r="I2784" s="705">
        <v>29470</v>
      </c>
      <c r="J2784" s="705">
        <v>26791</v>
      </c>
      <c r="K2784" s="705">
        <v>92</v>
      </c>
      <c r="L2784" s="705">
        <v>1368</v>
      </c>
      <c r="M2784" s="705">
        <v>1243</v>
      </c>
      <c r="N2784" s="705">
        <v>5506</v>
      </c>
      <c r="O2784" s="705">
        <v>2039</v>
      </c>
      <c r="P2784" s="705">
        <v>3105</v>
      </c>
      <c r="Q2784" s="705">
        <v>1150</v>
      </c>
      <c r="R2784" s="705">
        <v>12410</v>
      </c>
      <c r="S2784" s="705">
        <v>11282</v>
      </c>
      <c r="T2784" s="705">
        <v>11071</v>
      </c>
      <c r="U2784" s="705">
        <v>4100</v>
      </c>
      <c r="V2784" s="705">
        <v>46606</v>
      </c>
      <c r="W2784" s="705">
        <f t="shared" si="106"/>
        <v>46605</v>
      </c>
      <c r="X2784" s="705">
        <f t="shared" si="107"/>
        <v>62930</v>
      </c>
    </row>
    <row r="2785" spans="2:24">
      <c r="B2785" t="s">
        <v>559</v>
      </c>
      <c r="C2785" t="s">
        <v>114</v>
      </c>
      <c r="D2785" t="s">
        <v>228</v>
      </c>
      <c r="E2785" t="s">
        <v>228</v>
      </c>
      <c r="F2785" s="705">
        <v>3</v>
      </c>
      <c r="G2785" s="705">
        <v>458</v>
      </c>
      <c r="H2785" s="705">
        <v>419</v>
      </c>
      <c r="I2785" s="705">
        <v>27506</v>
      </c>
      <c r="J2785" s="705">
        <v>10187</v>
      </c>
      <c r="K2785" s="705">
        <v>250</v>
      </c>
      <c r="L2785" s="705">
        <v>5005</v>
      </c>
      <c r="M2785" s="705">
        <v>3168</v>
      </c>
      <c r="N2785" s="705">
        <v>8409</v>
      </c>
      <c r="O2785" s="705">
        <v>3114</v>
      </c>
      <c r="P2785" s="705">
        <v>4321</v>
      </c>
      <c r="Q2785" s="705">
        <v>1600</v>
      </c>
      <c r="R2785" s="705">
        <v>19700</v>
      </c>
      <c r="S2785" s="705">
        <v>7296</v>
      </c>
      <c r="T2785" s="705">
        <v>0</v>
      </c>
      <c r="U2785" s="705">
        <v>0</v>
      </c>
      <c r="V2785" s="705">
        <v>25366</v>
      </c>
      <c r="W2785" s="705">
        <f t="shared" si="106"/>
        <v>25365</v>
      </c>
      <c r="X2785" s="705">
        <f t="shared" si="107"/>
        <v>64941</v>
      </c>
    </row>
    <row r="2786" spans="2:24">
      <c r="B2786" t="s">
        <v>559</v>
      </c>
      <c r="C2786" t="s">
        <v>114</v>
      </c>
      <c r="D2786" t="s">
        <v>583</v>
      </c>
      <c r="E2786" t="s">
        <v>583</v>
      </c>
      <c r="F2786" s="705">
        <v>103</v>
      </c>
      <c r="G2786" s="705">
        <v>10728</v>
      </c>
      <c r="H2786" s="705">
        <v>14318</v>
      </c>
      <c r="I2786" s="705">
        <v>710774</v>
      </c>
      <c r="J2786" s="705">
        <v>646158</v>
      </c>
      <c r="K2786" s="705">
        <v>92</v>
      </c>
      <c r="L2786" s="705">
        <v>163502</v>
      </c>
      <c r="M2786" s="705">
        <v>143143</v>
      </c>
      <c r="N2786" s="705">
        <v>180046</v>
      </c>
      <c r="O2786" s="705">
        <v>66684</v>
      </c>
      <c r="P2786" s="705">
        <v>63666</v>
      </c>
      <c r="Q2786" s="705">
        <v>23580</v>
      </c>
      <c r="R2786" s="705">
        <v>406867</v>
      </c>
      <c r="S2786" s="705">
        <v>369879</v>
      </c>
      <c r="T2786" s="705">
        <v>29371</v>
      </c>
      <c r="U2786" s="705">
        <v>10878</v>
      </c>
      <c r="V2786" s="705">
        <v>1260321</v>
      </c>
      <c r="W2786" s="705">
        <f t="shared" ref="W2786:W2849" si="108">SUM(ABS(J2786),ABS(M2786),ABS(O2786),ABS(Q2786),ABS(S2786),ABS(U2786))</f>
        <v>1260322</v>
      </c>
      <c r="X2786" s="705">
        <f t="shared" ref="X2786:X2849" si="109">SUM(ABS(I2786),ABS(N2786),ABS(P2786),ABS(R2786),ABS(T2786),ABS(L2786))</f>
        <v>1554226</v>
      </c>
    </row>
    <row r="2787" spans="2:24">
      <c r="B2787" t="s">
        <v>559</v>
      </c>
      <c r="C2787" t="s">
        <v>114</v>
      </c>
      <c r="D2787" t="s">
        <v>584</v>
      </c>
      <c r="E2787" t="s">
        <v>581</v>
      </c>
      <c r="F2787" s="705">
        <v>1</v>
      </c>
      <c r="G2787" s="705">
        <v>117</v>
      </c>
      <c r="H2787" s="705">
        <v>129</v>
      </c>
      <c r="I2787" s="705">
        <v>3601</v>
      </c>
      <c r="J2787" s="705">
        <v>3274</v>
      </c>
      <c r="K2787" s="705">
        <v>91</v>
      </c>
      <c r="L2787" s="705">
        <v>0</v>
      </c>
      <c r="M2787" s="705">
        <v>1049</v>
      </c>
      <c r="N2787" s="705">
        <v>2133</v>
      </c>
      <c r="O2787" s="705">
        <v>790</v>
      </c>
      <c r="P2787" s="705">
        <v>473</v>
      </c>
      <c r="Q2787" s="705">
        <v>175</v>
      </c>
      <c r="R2787" s="705">
        <v>8832</v>
      </c>
      <c r="S2787" s="705">
        <v>3271</v>
      </c>
      <c r="T2787" s="705">
        <v>0</v>
      </c>
      <c r="U2787" s="705">
        <v>0</v>
      </c>
      <c r="V2787" s="705">
        <v>8559</v>
      </c>
      <c r="W2787" s="705">
        <f t="shared" si="108"/>
        <v>8559</v>
      </c>
      <c r="X2787" s="705">
        <f t="shared" si="109"/>
        <v>15039</v>
      </c>
    </row>
    <row r="2788" spans="2:24">
      <c r="B2788" t="s">
        <v>559</v>
      </c>
      <c r="C2788" t="s">
        <v>114</v>
      </c>
      <c r="D2788" t="s">
        <v>584</v>
      </c>
      <c r="E2788" t="s">
        <v>228</v>
      </c>
      <c r="F2788" s="705">
        <v>2</v>
      </c>
      <c r="G2788" s="705">
        <v>341</v>
      </c>
      <c r="H2788" s="705">
        <v>268</v>
      </c>
      <c r="I2788" s="705">
        <v>27869</v>
      </c>
      <c r="J2788" s="705">
        <v>25335</v>
      </c>
      <c r="K2788" s="705">
        <v>90</v>
      </c>
      <c r="L2788" s="705">
        <v>5090</v>
      </c>
      <c r="M2788" s="705">
        <v>4242</v>
      </c>
      <c r="N2788" s="705">
        <v>4674</v>
      </c>
      <c r="O2788" s="705">
        <v>1731</v>
      </c>
      <c r="P2788" s="705">
        <v>945</v>
      </c>
      <c r="Q2788" s="705">
        <v>350</v>
      </c>
      <c r="R2788" s="705">
        <v>6976</v>
      </c>
      <c r="S2788" s="705">
        <v>2584</v>
      </c>
      <c r="T2788" s="705">
        <v>0</v>
      </c>
      <c r="U2788" s="705">
        <v>0</v>
      </c>
      <c r="V2788" s="705">
        <v>34242</v>
      </c>
      <c r="W2788" s="705">
        <f t="shared" si="108"/>
        <v>34242</v>
      </c>
      <c r="X2788" s="705">
        <f t="shared" si="109"/>
        <v>45554</v>
      </c>
    </row>
    <row r="2789" spans="2:24">
      <c r="B2789" t="s">
        <v>559</v>
      </c>
      <c r="C2789" t="s">
        <v>114</v>
      </c>
      <c r="D2789" t="s">
        <v>584</v>
      </c>
      <c r="E2789" t="s">
        <v>583</v>
      </c>
      <c r="F2789" s="705">
        <v>1</v>
      </c>
      <c r="G2789" s="705">
        <v>160</v>
      </c>
      <c r="H2789" s="705">
        <v>129</v>
      </c>
      <c r="I2789" s="705">
        <v>10761</v>
      </c>
      <c r="J2789" s="705">
        <v>9782</v>
      </c>
      <c r="K2789" s="705">
        <v>93</v>
      </c>
      <c r="L2789" s="705">
        <v>1676</v>
      </c>
      <c r="M2789" s="705">
        <v>1396</v>
      </c>
      <c r="N2789" s="705">
        <v>2829</v>
      </c>
      <c r="O2789" s="705">
        <v>1048</v>
      </c>
      <c r="P2789" s="705">
        <v>473</v>
      </c>
      <c r="Q2789" s="705">
        <v>175</v>
      </c>
      <c r="R2789" s="705">
        <v>4901</v>
      </c>
      <c r="S2789" s="705">
        <v>4456</v>
      </c>
      <c r="T2789" s="705">
        <v>0</v>
      </c>
      <c r="U2789" s="705">
        <v>0</v>
      </c>
      <c r="V2789" s="705">
        <v>16857</v>
      </c>
      <c r="W2789" s="705">
        <f t="shared" si="108"/>
        <v>16857</v>
      </c>
      <c r="X2789" s="705">
        <f t="shared" si="109"/>
        <v>20640</v>
      </c>
    </row>
    <row r="2790" spans="2:24">
      <c r="B2790" t="s">
        <v>559</v>
      </c>
      <c r="C2790" t="s">
        <v>114</v>
      </c>
      <c r="D2790" t="s">
        <v>584</v>
      </c>
      <c r="E2790" t="s">
        <v>584</v>
      </c>
      <c r="F2790" s="705">
        <v>605</v>
      </c>
      <c r="G2790" s="705">
        <v>60941</v>
      </c>
      <c r="H2790" s="705">
        <v>85157</v>
      </c>
      <c r="I2790" s="705">
        <v>4030775</v>
      </c>
      <c r="J2790" s="705">
        <v>3664341</v>
      </c>
      <c r="K2790" s="705">
        <v>87</v>
      </c>
      <c r="L2790" s="705">
        <v>811949</v>
      </c>
      <c r="M2790" s="705">
        <v>722405</v>
      </c>
      <c r="N2790" s="705">
        <v>1128220</v>
      </c>
      <c r="O2790" s="705">
        <v>417859</v>
      </c>
      <c r="P2790" s="705">
        <v>294747</v>
      </c>
      <c r="Q2790" s="705">
        <v>109165</v>
      </c>
      <c r="R2790" s="705">
        <v>2463311</v>
      </c>
      <c r="S2790" s="705">
        <v>2239374</v>
      </c>
      <c r="T2790" s="705">
        <v>135009</v>
      </c>
      <c r="U2790" s="705">
        <v>50003</v>
      </c>
      <c r="V2790" s="705">
        <v>7203148</v>
      </c>
      <c r="W2790" s="705">
        <f t="shared" si="108"/>
        <v>7203147</v>
      </c>
      <c r="X2790" s="705">
        <f t="shared" si="109"/>
        <v>8864011</v>
      </c>
    </row>
    <row r="2791" spans="2:24">
      <c r="B2791" t="s">
        <v>559</v>
      </c>
      <c r="C2791" t="s">
        <v>116</v>
      </c>
      <c r="D2791" t="s">
        <v>664</v>
      </c>
      <c r="E2791" t="s">
        <v>664</v>
      </c>
      <c r="F2791" s="705">
        <v>3</v>
      </c>
      <c r="G2791" s="705">
        <v>136</v>
      </c>
      <c r="H2791" s="705">
        <v>510</v>
      </c>
      <c r="I2791" s="705">
        <v>30430</v>
      </c>
      <c r="J2791" s="705">
        <v>27663</v>
      </c>
      <c r="K2791" s="705">
        <v>86</v>
      </c>
      <c r="L2791" s="705">
        <v>0</v>
      </c>
      <c r="M2791" s="705">
        <v>0</v>
      </c>
      <c r="N2791" s="705">
        <v>6142</v>
      </c>
      <c r="O2791" s="705">
        <v>2275</v>
      </c>
      <c r="P2791" s="705">
        <v>1418</v>
      </c>
      <c r="Q2791" s="705">
        <v>525</v>
      </c>
      <c r="R2791" s="705">
        <v>8061</v>
      </c>
      <c r="S2791" s="705">
        <v>7329</v>
      </c>
      <c r="T2791" s="705">
        <v>0</v>
      </c>
      <c r="U2791" s="705">
        <v>0</v>
      </c>
      <c r="V2791" s="705">
        <v>37792</v>
      </c>
      <c r="W2791" s="705">
        <f t="shared" si="108"/>
        <v>37792</v>
      </c>
      <c r="X2791" s="705">
        <f t="shared" si="109"/>
        <v>46051</v>
      </c>
    </row>
    <row r="2792" spans="2:24">
      <c r="B2792" t="s">
        <v>559</v>
      </c>
      <c r="C2792" t="s">
        <v>116</v>
      </c>
      <c r="D2792" t="s">
        <v>664</v>
      </c>
      <c r="E2792" t="s">
        <v>583</v>
      </c>
      <c r="F2792" s="705">
        <v>1</v>
      </c>
      <c r="G2792" s="705">
        <v>98</v>
      </c>
      <c r="H2792" s="705">
        <v>192</v>
      </c>
      <c r="I2792" s="705">
        <v>8450</v>
      </c>
      <c r="J2792" s="705">
        <v>7682</v>
      </c>
      <c r="K2792" s="705">
        <v>85</v>
      </c>
      <c r="L2792" s="705">
        <v>2526</v>
      </c>
      <c r="M2792" s="705">
        <v>2296</v>
      </c>
      <c r="N2792" s="705">
        <v>2049</v>
      </c>
      <c r="O2792" s="705">
        <v>759</v>
      </c>
      <c r="P2792" s="705">
        <v>621</v>
      </c>
      <c r="Q2792" s="705">
        <v>230</v>
      </c>
      <c r="R2792" s="705">
        <v>5273</v>
      </c>
      <c r="S2792" s="705">
        <v>4794</v>
      </c>
      <c r="T2792" s="705">
        <v>0</v>
      </c>
      <c r="U2792" s="705">
        <v>0</v>
      </c>
      <c r="V2792" s="705">
        <v>15760</v>
      </c>
      <c r="W2792" s="705">
        <f t="shared" si="108"/>
        <v>15761</v>
      </c>
      <c r="X2792" s="705">
        <f t="shared" si="109"/>
        <v>18919</v>
      </c>
    </row>
    <row r="2793" spans="2:24">
      <c r="B2793" t="s">
        <v>559</v>
      </c>
      <c r="C2793" t="s">
        <v>116</v>
      </c>
      <c r="D2793" t="s">
        <v>582</v>
      </c>
      <c r="E2793" t="s">
        <v>582</v>
      </c>
      <c r="F2793" s="705">
        <v>15</v>
      </c>
      <c r="G2793" s="705">
        <v>1717</v>
      </c>
      <c r="H2793" s="705">
        <v>2607</v>
      </c>
      <c r="I2793" s="705">
        <v>155510</v>
      </c>
      <c r="J2793" s="705">
        <v>141373</v>
      </c>
      <c r="K2793" s="705">
        <v>88</v>
      </c>
      <c r="L2793" s="705">
        <v>38337</v>
      </c>
      <c r="M2793" s="705">
        <v>33751</v>
      </c>
      <c r="N2793" s="705">
        <v>37377</v>
      </c>
      <c r="O2793" s="705">
        <v>13843</v>
      </c>
      <c r="P2793" s="705">
        <v>7385</v>
      </c>
      <c r="Q2793" s="705">
        <v>2735</v>
      </c>
      <c r="R2793" s="705">
        <v>61966</v>
      </c>
      <c r="S2793" s="705">
        <v>56333</v>
      </c>
      <c r="T2793" s="705">
        <v>7978</v>
      </c>
      <c r="U2793" s="705">
        <v>2955</v>
      </c>
      <c r="V2793" s="705">
        <v>250991</v>
      </c>
      <c r="W2793" s="705">
        <f t="shared" si="108"/>
        <v>250990</v>
      </c>
      <c r="X2793" s="705">
        <f t="shared" si="109"/>
        <v>308553</v>
      </c>
    </row>
    <row r="2794" spans="2:24">
      <c r="B2794" t="s">
        <v>559</v>
      </c>
      <c r="C2794" t="s">
        <v>116</v>
      </c>
      <c r="D2794" t="s">
        <v>228</v>
      </c>
      <c r="E2794" t="s">
        <v>228</v>
      </c>
      <c r="F2794" s="705">
        <v>38</v>
      </c>
      <c r="G2794" s="705">
        <v>2843</v>
      </c>
      <c r="H2794" s="705">
        <v>7879</v>
      </c>
      <c r="I2794" s="705">
        <v>271125</v>
      </c>
      <c r="J2794" s="705">
        <v>100417</v>
      </c>
      <c r="K2794" s="705">
        <v>161</v>
      </c>
      <c r="L2794" s="705">
        <v>50530</v>
      </c>
      <c r="M2794" s="705">
        <v>33476</v>
      </c>
      <c r="N2794" s="705">
        <v>60079</v>
      </c>
      <c r="O2794" s="705">
        <v>22252</v>
      </c>
      <c r="P2794" s="705">
        <v>351</v>
      </c>
      <c r="Q2794" s="705">
        <v>130</v>
      </c>
      <c r="R2794" s="705">
        <v>229994</v>
      </c>
      <c r="S2794" s="705">
        <v>85183</v>
      </c>
      <c r="T2794" s="705">
        <v>0</v>
      </c>
      <c r="U2794" s="705">
        <v>0</v>
      </c>
      <c r="V2794" s="705">
        <v>241457</v>
      </c>
      <c r="W2794" s="705">
        <f t="shared" si="108"/>
        <v>241458</v>
      </c>
      <c r="X2794" s="705">
        <f t="shared" si="109"/>
        <v>612079</v>
      </c>
    </row>
    <row r="2795" spans="2:24">
      <c r="B2795" t="s">
        <v>559</v>
      </c>
      <c r="C2795" t="s">
        <v>116</v>
      </c>
      <c r="D2795" t="s">
        <v>583</v>
      </c>
      <c r="E2795" t="s">
        <v>664</v>
      </c>
      <c r="F2795" s="705">
        <v>1</v>
      </c>
      <c r="G2795" s="705">
        <v>79</v>
      </c>
      <c r="H2795" s="705">
        <v>208</v>
      </c>
      <c r="I2795" s="705">
        <v>7138</v>
      </c>
      <c r="J2795" s="705">
        <v>6489</v>
      </c>
      <c r="K2795" s="705">
        <v>93</v>
      </c>
      <c r="L2795" s="705">
        <v>2544</v>
      </c>
      <c r="M2795" s="705">
        <v>2120</v>
      </c>
      <c r="N2795" s="705">
        <v>1511</v>
      </c>
      <c r="O2795" s="705">
        <v>560</v>
      </c>
      <c r="P2795" s="705">
        <v>621</v>
      </c>
      <c r="Q2795" s="705">
        <v>230</v>
      </c>
      <c r="R2795" s="705">
        <v>4733</v>
      </c>
      <c r="S2795" s="705">
        <v>4303</v>
      </c>
      <c r="T2795" s="705">
        <v>0</v>
      </c>
      <c r="U2795" s="705">
        <v>0</v>
      </c>
      <c r="V2795" s="705">
        <v>13702</v>
      </c>
      <c r="W2795" s="705">
        <f t="shared" si="108"/>
        <v>13702</v>
      </c>
      <c r="X2795" s="705">
        <f t="shared" si="109"/>
        <v>16547</v>
      </c>
    </row>
    <row r="2796" spans="2:24">
      <c r="B2796" t="s">
        <v>559</v>
      </c>
      <c r="C2796" t="s">
        <v>116</v>
      </c>
      <c r="D2796" t="s">
        <v>583</v>
      </c>
      <c r="E2796" t="s">
        <v>228</v>
      </c>
      <c r="F2796" s="705">
        <v>6</v>
      </c>
      <c r="G2796" s="705">
        <v>619</v>
      </c>
      <c r="H2796" s="705">
        <v>1142</v>
      </c>
      <c r="I2796" s="705">
        <v>63672</v>
      </c>
      <c r="J2796" s="705">
        <v>57884</v>
      </c>
      <c r="K2796" s="705">
        <v>89</v>
      </c>
      <c r="L2796" s="705">
        <v>7558</v>
      </c>
      <c r="M2796" s="705">
        <v>7233</v>
      </c>
      <c r="N2796" s="705">
        <v>11469</v>
      </c>
      <c r="O2796" s="705">
        <v>4248</v>
      </c>
      <c r="P2796" s="705">
        <v>3726</v>
      </c>
      <c r="Q2796" s="705">
        <v>1380</v>
      </c>
      <c r="R2796" s="705">
        <v>37149</v>
      </c>
      <c r="S2796" s="705">
        <v>13759</v>
      </c>
      <c r="T2796" s="705">
        <v>0</v>
      </c>
      <c r="U2796" s="705">
        <v>0</v>
      </c>
      <c r="V2796" s="705">
        <v>84504</v>
      </c>
      <c r="W2796" s="705">
        <f t="shared" si="108"/>
        <v>84504</v>
      </c>
      <c r="X2796" s="705">
        <f t="shared" si="109"/>
        <v>123574</v>
      </c>
    </row>
    <row r="2797" spans="2:24">
      <c r="B2797" t="s">
        <v>559</v>
      </c>
      <c r="C2797" t="s">
        <v>116</v>
      </c>
      <c r="D2797" t="s">
        <v>583</v>
      </c>
      <c r="E2797" t="s">
        <v>583</v>
      </c>
      <c r="F2797" s="705">
        <v>1300</v>
      </c>
      <c r="G2797" s="705">
        <v>124861</v>
      </c>
      <c r="H2797" s="705">
        <v>250780</v>
      </c>
      <c r="I2797" s="705">
        <v>11549218</v>
      </c>
      <c r="J2797" s="705">
        <v>10499289</v>
      </c>
      <c r="K2797" s="705">
        <v>86</v>
      </c>
      <c r="L2797" s="705">
        <v>2658760</v>
      </c>
      <c r="M2797" s="705">
        <v>2273810</v>
      </c>
      <c r="N2797" s="705">
        <v>2418112</v>
      </c>
      <c r="O2797" s="705">
        <v>895597</v>
      </c>
      <c r="P2797" s="705">
        <v>820871</v>
      </c>
      <c r="Q2797" s="705">
        <v>304026</v>
      </c>
      <c r="R2797" s="705">
        <v>5413665</v>
      </c>
      <c r="S2797" s="705">
        <v>4921514</v>
      </c>
      <c r="T2797" s="705">
        <v>1388302</v>
      </c>
      <c r="U2797" s="705">
        <v>514186</v>
      </c>
      <c r="V2797" s="705">
        <v>19408422</v>
      </c>
      <c r="W2797" s="705">
        <f t="shared" si="108"/>
        <v>19408422</v>
      </c>
      <c r="X2797" s="705">
        <f t="shared" si="109"/>
        <v>24248928</v>
      </c>
    </row>
    <row r="2798" spans="2:24">
      <c r="B2798" t="s">
        <v>559</v>
      </c>
      <c r="C2798" t="s">
        <v>116</v>
      </c>
      <c r="D2798" t="s">
        <v>583</v>
      </c>
      <c r="E2798" t="s">
        <v>666</v>
      </c>
      <c r="F2798" s="705">
        <v>1</v>
      </c>
      <c r="G2798" s="705">
        <v>49</v>
      </c>
      <c r="H2798" s="705">
        <v>219</v>
      </c>
      <c r="I2798" s="705">
        <v>4823</v>
      </c>
      <c r="J2798" s="705">
        <v>4384</v>
      </c>
      <c r="K2798" s="705">
        <v>85</v>
      </c>
      <c r="L2798" s="705">
        <v>665</v>
      </c>
      <c r="M2798" s="705">
        <v>605</v>
      </c>
      <c r="N2798" s="705">
        <v>1201</v>
      </c>
      <c r="O2798" s="705">
        <v>445</v>
      </c>
      <c r="P2798" s="705">
        <v>621</v>
      </c>
      <c r="Q2798" s="705">
        <v>230</v>
      </c>
      <c r="R2798" s="705">
        <v>3486</v>
      </c>
      <c r="S2798" s="705">
        <v>3169</v>
      </c>
      <c r="T2798" s="705">
        <v>0</v>
      </c>
      <c r="U2798" s="705">
        <v>0</v>
      </c>
      <c r="V2798" s="705">
        <v>8832</v>
      </c>
      <c r="W2798" s="705">
        <f t="shared" si="108"/>
        <v>8833</v>
      </c>
      <c r="X2798" s="705">
        <f t="shared" si="109"/>
        <v>10796</v>
      </c>
    </row>
    <row r="2799" spans="2:24">
      <c r="B2799" t="s">
        <v>559</v>
      </c>
      <c r="C2799" t="s">
        <v>116</v>
      </c>
      <c r="D2799" t="s">
        <v>583</v>
      </c>
      <c r="E2799" t="s">
        <v>671</v>
      </c>
      <c r="F2799" s="705">
        <v>1</v>
      </c>
      <c r="G2799" s="705">
        <v>80</v>
      </c>
      <c r="H2799" s="705">
        <v>179</v>
      </c>
      <c r="I2799" s="705">
        <v>5373</v>
      </c>
      <c r="J2799" s="705">
        <v>4884</v>
      </c>
      <c r="K2799" s="705">
        <v>92</v>
      </c>
      <c r="L2799" s="705">
        <v>1835</v>
      </c>
      <c r="M2799" s="705">
        <v>1668</v>
      </c>
      <c r="N2799" s="705">
        <v>1290</v>
      </c>
      <c r="O2799" s="705">
        <v>478</v>
      </c>
      <c r="P2799" s="705">
        <v>621</v>
      </c>
      <c r="Q2799" s="705">
        <v>230</v>
      </c>
      <c r="R2799" s="705">
        <v>5106</v>
      </c>
      <c r="S2799" s="705">
        <v>4642</v>
      </c>
      <c r="T2799" s="705">
        <v>0</v>
      </c>
      <c r="U2799" s="705">
        <v>0</v>
      </c>
      <c r="V2799" s="705">
        <v>11902</v>
      </c>
      <c r="W2799" s="705">
        <f t="shared" si="108"/>
        <v>11902</v>
      </c>
      <c r="X2799" s="705">
        <f t="shared" si="109"/>
        <v>14225</v>
      </c>
    </row>
    <row r="2800" spans="2:24">
      <c r="B2800" t="s">
        <v>559</v>
      </c>
      <c r="C2800" t="s">
        <v>116</v>
      </c>
      <c r="D2800" t="s">
        <v>583</v>
      </c>
      <c r="E2800" t="s">
        <v>665</v>
      </c>
      <c r="F2800" s="705">
        <v>1</v>
      </c>
      <c r="G2800" s="705">
        <v>105</v>
      </c>
      <c r="H2800" s="705">
        <v>181</v>
      </c>
      <c r="I2800" s="705">
        <v>8307</v>
      </c>
      <c r="J2800" s="705">
        <v>7551</v>
      </c>
      <c r="K2800" s="705">
        <v>85</v>
      </c>
      <c r="L2800" s="705">
        <v>2252</v>
      </c>
      <c r="M2800" s="705">
        <v>2047</v>
      </c>
      <c r="N2800" s="705">
        <v>1283</v>
      </c>
      <c r="O2800" s="705">
        <v>475</v>
      </c>
      <c r="P2800" s="705">
        <v>621</v>
      </c>
      <c r="Q2800" s="705">
        <v>230</v>
      </c>
      <c r="R2800" s="705">
        <v>3417</v>
      </c>
      <c r="S2800" s="705">
        <v>3107</v>
      </c>
      <c r="T2800" s="705">
        <v>3208</v>
      </c>
      <c r="U2800" s="705">
        <v>1188</v>
      </c>
      <c r="V2800" s="705">
        <v>14599</v>
      </c>
      <c r="W2800" s="705">
        <f t="shared" si="108"/>
        <v>14598</v>
      </c>
      <c r="X2800" s="705">
        <f t="shared" si="109"/>
        <v>19088</v>
      </c>
    </row>
    <row r="2801" spans="2:24">
      <c r="B2801" t="s">
        <v>559</v>
      </c>
      <c r="C2801" t="s">
        <v>116</v>
      </c>
      <c r="D2801" t="s">
        <v>666</v>
      </c>
      <c r="E2801" t="s">
        <v>666</v>
      </c>
      <c r="F2801" s="705">
        <v>1</v>
      </c>
      <c r="G2801" s="705">
        <v>82</v>
      </c>
      <c r="H2801" s="705">
        <v>216</v>
      </c>
      <c r="I2801" s="705">
        <v>10308</v>
      </c>
      <c r="J2801" s="705">
        <v>9371</v>
      </c>
      <c r="K2801" s="705">
        <v>65</v>
      </c>
      <c r="L2801" s="705">
        <v>0</v>
      </c>
      <c r="M2801" s="705">
        <v>0</v>
      </c>
      <c r="N2801" s="705">
        <v>1399</v>
      </c>
      <c r="O2801" s="705">
        <v>518</v>
      </c>
      <c r="P2801" s="705">
        <v>351</v>
      </c>
      <c r="Q2801" s="705">
        <v>130</v>
      </c>
      <c r="R2801" s="705">
        <v>3482</v>
      </c>
      <c r="S2801" s="705">
        <v>3165</v>
      </c>
      <c r="T2801" s="705">
        <v>2193</v>
      </c>
      <c r="U2801" s="705">
        <v>812</v>
      </c>
      <c r="V2801" s="705">
        <v>13997</v>
      </c>
      <c r="W2801" s="705">
        <f t="shared" si="108"/>
        <v>13996</v>
      </c>
      <c r="X2801" s="705">
        <f t="shared" si="109"/>
        <v>17733</v>
      </c>
    </row>
    <row r="2802" spans="2:24">
      <c r="B2802" t="s">
        <v>559</v>
      </c>
      <c r="C2802" t="s">
        <v>116</v>
      </c>
      <c r="D2802" t="s">
        <v>584</v>
      </c>
      <c r="E2802" t="s">
        <v>582</v>
      </c>
      <c r="F2802" s="705">
        <v>1</v>
      </c>
      <c r="G2802" s="705">
        <v>86</v>
      </c>
      <c r="H2802" s="705">
        <v>168</v>
      </c>
      <c r="I2802" s="705">
        <v>7746</v>
      </c>
      <c r="J2802" s="705">
        <v>7042</v>
      </c>
      <c r="K2802" s="705">
        <v>90</v>
      </c>
      <c r="L2802" s="705">
        <v>1229</v>
      </c>
      <c r="M2802" s="705">
        <v>1118</v>
      </c>
      <c r="N2802" s="705">
        <v>1042</v>
      </c>
      <c r="O2802" s="705">
        <v>386</v>
      </c>
      <c r="P2802" s="705">
        <v>473</v>
      </c>
      <c r="Q2802" s="705">
        <v>175</v>
      </c>
      <c r="R2802" s="705">
        <v>3881</v>
      </c>
      <c r="S2802" s="705">
        <v>3529</v>
      </c>
      <c r="T2802" s="705">
        <v>0</v>
      </c>
      <c r="U2802" s="705">
        <v>0</v>
      </c>
      <c r="V2802" s="705">
        <v>12249</v>
      </c>
      <c r="W2802" s="705">
        <f t="shared" si="108"/>
        <v>12250</v>
      </c>
      <c r="X2802" s="705">
        <f t="shared" si="109"/>
        <v>14371</v>
      </c>
    </row>
    <row r="2803" spans="2:24">
      <c r="B2803" t="s">
        <v>559</v>
      </c>
      <c r="C2803" t="s">
        <v>116</v>
      </c>
      <c r="D2803" t="s">
        <v>584</v>
      </c>
      <c r="E2803" t="s">
        <v>228</v>
      </c>
      <c r="F2803" s="705">
        <v>3</v>
      </c>
      <c r="G2803" s="705">
        <v>483</v>
      </c>
      <c r="H2803" s="705">
        <v>571</v>
      </c>
      <c r="I2803" s="705">
        <v>56297</v>
      </c>
      <c r="J2803" s="705">
        <v>51179</v>
      </c>
      <c r="K2803" s="705">
        <v>87</v>
      </c>
      <c r="L2803" s="705">
        <v>8514</v>
      </c>
      <c r="M2803" s="705">
        <v>6249</v>
      </c>
      <c r="N2803" s="705">
        <v>6247</v>
      </c>
      <c r="O2803" s="705">
        <v>2314</v>
      </c>
      <c r="P2803" s="705">
        <v>1418</v>
      </c>
      <c r="Q2803" s="705">
        <v>525</v>
      </c>
      <c r="R2803" s="705">
        <v>21029</v>
      </c>
      <c r="S2803" s="705">
        <v>7789</v>
      </c>
      <c r="T2803" s="705">
        <v>0</v>
      </c>
      <c r="U2803" s="705">
        <v>0</v>
      </c>
      <c r="V2803" s="705">
        <v>68055</v>
      </c>
      <c r="W2803" s="705">
        <f t="shared" si="108"/>
        <v>68056</v>
      </c>
      <c r="X2803" s="705">
        <f t="shared" si="109"/>
        <v>93505</v>
      </c>
    </row>
    <row r="2804" spans="2:24">
      <c r="B2804" t="s">
        <v>559</v>
      </c>
      <c r="C2804" t="s">
        <v>116</v>
      </c>
      <c r="D2804" t="s">
        <v>584</v>
      </c>
      <c r="E2804" t="s">
        <v>583</v>
      </c>
      <c r="F2804" s="705">
        <v>1</v>
      </c>
      <c r="G2804" s="705">
        <v>80</v>
      </c>
      <c r="H2804" s="705">
        <v>185</v>
      </c>
      <c r="I2804" s="705">
        <v>6892</v>
      </c>
      <c r="J2804" s="705">
        <v>6265</v>
      </c>
      <c r="K2804" s="705">
        <v>90</v>
      </c>
      <c r="L2804" s="705">
        <v>1305</v>
      </c>
      <c r="M2804" s="705">
        <v>1087</v>
      </c>
      <c r="N2804" s="705">
        <v>973</v>
      </c>
      <c r="O2804" s="705">
        <v>360</v>
      </c>
      <c r="P2804" s="705">
        <v>473</v>
      </c>
      <c r="Q2804" s="705">
        <v>175</v>
      </c>
      <c r="R2804" s="705">
        <v>3045</v>
      </c>
      <c r="S2804" s="705">
        <v>2768</v>
      </c>
      <c r="T2804" s="705">
        <v>2075</v>
      </c>
      <c r="U2804" s="705">
        <v>768</v>
      </c>
      <c r="V2804" s="705">
        <v>11424</v>
      </c>
      <c r="W2804" s="705">
        <f t="shared" si="108"/>
        <v>11423</v>
      </c>
      <c r="X2804" s="705">
        <f t="shared" si="109"/>
        <v>14763</v>
      </c>
    </row>
    <row r="2805" spans="2:24">
      <c r="B2805" t="s">
        <v>559</v>
      </c>
      <c r="C2805" t="s">
        <v>116</v>
      </c>
      <c r="D2805" t="s">
        <v>584</v>
      </c>
      <c r="E2805" t="s">
        <v>584</v>
      </c>
      <c r="F2805" s="705">
        <v>3202</v>
      </c>
      <c r="G2805" s="705">
        <v>307565</v>
      </c>
      <c r="H2805" s="705">
        <v>599710</v>
      </c>
      <c r="I2805" s="705">
        <v>27496958</v>
      </c>
      <c r="J2805" s="705">
        <v>24997234</v>
      </c>
      <c r="K2805" s="705">
        <v>83</v>
      </c>
      <c r="L2805" s="705">
        <v>7064844</v>
      </c>
      <c r="M2805" s="705">
        <v>6106682</v>
      </c>
      <c r="N2805" s="705">
        <v>6055958</v>
      </c>
      <c r="O2805" s="705">
        <v>2242947</v>
      </c>
      <c r="P2805" s="705">
        <v>1528584</v>
      </c>
      <c r="Q2805" s="705">
        <v>566142</v>
      </c>
      <c r="R2805" s="705">
        <v>14206096</v>
      </c>
      <c r="S2805" s="705">
        <v>12914633</v>
      </c>
      <c r="T2805" s="705">
        <v>2232564</v>
      </c>
      <c r="U2805" s="705">
        <v>826876</v>
      </c>
      <c r="V2805" s="705">
        <v>47654514</v>
      </c>
      <c r="W2805" s="705">
        <f t="shared" si="108"/>
        <v>47654514</v>
      </c>
      <c r="X2805" s="705">
        <f t="shared" si="109"/>
        <v>58585004</v>
      </c>
    </row>
    <row r="2806" spans="2:24">
      <c r="B2806" t="s">
        <v>559</v>
      </c>
      <c r="C2806" t="s">
        <v>116</v>
      </c>
      <c r="D2806" t="s">
        <v>584</v>
      </c>
      <c r="E2806" t="s">
        <v>669</v>
      </c>
      <c r="F2806" s="705">
        <v>3</v>
      </c>
      <c r="G2806" s="705">
        <v>248</v>
      </c>
      <c r="H2806" s="705">
        <v>603</v>
      </c>
      <c r="I2806" s="705">
        <v>19610</v>
      </c>
      <c r="J2806" s="705">
        <v>17827</v>
      </c>
      <c r="K2806" s="705">
        <v>83</v>
      </c>
      <c r="L2806" s="705">
        <v>6012</v>
      </c>
      <c r="M2806" s="705">
        <v>5267</v>
      </c>
      <c r="N2806" s="705">
        <v>4817</v>
      </c>
      <c r="O2806" s="705">
        <v>1784</v>
      </c>
      <c r="P2806" s="705">
        <v>1418</v>
      </c>
      <c r="Q2806" s="705">
        <v>525</v>
      </c>
      <c r="R2806" s="705">
        <v>15070</v>
      </c>
      <c r="S2806" s="705">
        <v>12558</v>
      </c>
      <c r="T2806" s="705">
        <v>2799</v>
      </c>
      <c r="U2806" s="705">
        <v>1037</v>
      </c>
      <c r="V2806" s="705">
        <v>38998</v>
      </c>
      <c r="W2806" s="705">
        <f t="shared" si="108"/>
        <v>38998</v>
      </c>
      <c r="X2806" s="705">
        <f t="shared" si="109"/>
        <v>49726</v>
      </c>
    </row>
    <row r="2807" spans="2:24">
      <c r="B2807" t="s">
        <v>559</v>
      </c>
      <c r="C2807" t="s">
        <v>116</v>
      </c>
      <c r="D2807" t="s">
        <v>584</v>
      </c>
      <c r="E2807" t="s">
        <v>665</v>
      </c>
      <c r="F2807" s="705">
        <v>1</v>
      </c>
      <c r="G2807" s="705">
        <v>104</v>
      </c>
      <c r="H2807" s="705">
        <v>185</v>
      </c>
      <c r="I2807" s="705">
        <v>11816</v>
      </c>
      <c r="J2807" s="705">
        <v>10742</v>
      </c>
      <c r="K2807" s="705">
        <v>91</v>
      </c>
      <c r="L2807" s="705">
        <v>2035</v>
      </c>
      <c r="M2807" s="705">
        <v>1850</v>
      </c>
      <c r="N2807" s="705">
        <v>1521</v>
      </c>
      <c r="O2807" s="705">
        <v>563</v>
      </c>
      <c r="P2807" s="705">
        <v>473</v>
      </c>
      <c r="Q2807" s="705">
        <v>175</v>
      </c>
      <c r="R2807" s="705">
        <v>3419</v>
      </c>
      <c r="S2807" s="705">
        <v>3108</v>
      </c>
      <c r="T2807" s="705">
        <v>0</v>
      </c>
      <c r="U2807" s="705">
        <v>0</v>
      </c>
      <c r="V2807" s="705">
        <v>16438</v>
      </c>
      <c r="W2807" s="705">
        <f t="shared" si="108"/>
        <v>16438</v>
      </c>
      <c r="X2807" s="705">
        <f t="shared" si="109"/>
        <v>19264</v>
      </c>
    </row>
    <row r="2808" spans="2:24">
      <c r="B2808" t="s">
        <v>559</v>
      </c>
      <c r="C2808" t="s">
        <v>116</v>
      </c>
      <c r="D2808" t="s">
        <v>669</v>
      </c>
      <c r="E2808" t="s">
        <v>669</v>
      </c>
      <c r="F2808" s="705">
        <v>1</v>
      </c>
      <c r="G2808" s="705">
        <v>80</v>
      </c>
      <c r="H2808" s="705">
        <v>206</v>
      </c>
      <c r="I2808" s="705">
        <v>6648</v>
      </c>
      <c r="J2808" s="705">
        <v>5540</v>
      </c>
      <c r="K2808" s="705">
        <v>65</v>
      </c>
      <c r="L2808" s="705">
        <v>1080</v>
      </c>
      <c r="M2808" s="705">
        <v>400</v>
      </c>
      <c r="N2808" s="705">
        <v>1778</v>
      </c>
      <c r="O2808" s="705">
        <v>658</v>
      </c>
      <c r="P2808" s="705">
        <v>351</v>
      </c>
      <c r="Q2808" s="705">
        <v>130</v>
      </c>
      <c r="R2808" s="705">
        <v>4519</v>
      </c>
      <c r="S2808" s="705">
        <v>3766</v>
      </c>
      <c r="T2808" s="705">
        <v>2168</v>
      </c>
      <c r="U2808" s="705">
        <v>803</v>
      </c>
      <c r="V2808" s="705">
        <v>11297</v>
      </c>
      <c r="W2808" s="705">
        <f t="shared" si="108"/>
        <v>11297</v>
      </c>
      <c r="X2808" s="705">
        <f t="shared" si="109"/>
        <v>16544</v>
      </c>
    </row>
    <row r="2809" spans="2:24">
      <c r="B2809" t="s">
        <v>559</v>
      </c>
      <c r="C2809" t="s">
        <v>116</v>
      </c>
      <c r="D2809" t="s">
        <v>665</v>
      </c>
      <c r="E2809" t="s">
        <v>665</v>
      </c>
      <c r="F2809" s="705">
        <v>5</v>
      </c>
      <c r="G2809" s="705">
        <v>492</v>
      </c>
      <c r="H2809" s="705">
        <v>1047</v>
      </c>
      <c r="I2809" s="705">
        <v>54644</v>
      </c>
      <c r="J2809" s="705">
        <v>49677</v>
      </c>
      <c r="K2809" s="705">
        <v>64</v>
      </c>
      <c r="L2809" s="705">
        <v>4733</v>
      </c>
      <c r="M2809" s="705">
        <v>1753</v>
      </c>
      <c r="N2809" s="705">
        <v>8997</v>
      </c>
      <c r="O2809" s="705">
        <v>3332</v>
      </c>
      <c r="P2809" s="705">
        <v>1755</v>
      </c>
      <c r="Q2809" s="705">
        <v>650</v>
      </c>
      <c r="R2809" s="705">
        <v>25168</v>
      </c>
      <c r="S2809" s="705">
        <v>22880</v>
      </c>
      <c r="T2809" s="705">
        <v>7191</v>
      </c>
      <c r="U2809" s="705">
        <v>2663</v>
      </c>
      <c r="V2809" s="705">
        <v>80955</v>
      </c>
      <c r="W2809" s="705">
        <f t="shared" si="108"/>
        <v>80955</v>
      </c>
      <c r="X2809" s="705">
        <f t="shared" si="109"/>
        <v>102488</v>
      </c>
    </row>
    <row r="2810" spans="2:24">
      <c r="B2810" t="s">
        <v>559</v>
      </c>
      <c r="C2810" t="s">
        <v>116</v>
      </c>
      <c r="D2810" t="s">
        <v>585</v>
      </c>
      <c r="E2810" t="s">
        <v>585</v>
      </c>
      <c r="F2810" s="705">
        <v>1</v>
      </c>
      <c r="G2810" s="705">
        <v>182</v>
      </c>
      <c r="H2810" s="705">
        <v>177</v>
      </c>
      <c r="I2810" s="705">
        <v>21578</v>
      </c>
      <c r="J2810" s="705">
        <v>19617</v>
      </c>
      <c r="K2810" s="705">
        <v>89</v>
      </c>
      <c r="L2810" s="705">
        <v>3568</v>
      </c>
      <c r="M2810" s="705">
        <v>3244</v>
      </c>
      <c r="N2810" s="705">
        <v>2572</v>
      </c>
      <c r="O2810" s="705">
        <v>953</v>
      </c>
      <c r="P2810" s="705">
        <v>351</v>
      </c>
      <c r="Q2810" s="705">
        <v>130</v>
      </c>
      <c r="R2810" s="705">
        <v>4154</v>
      </c>
      <c r="S2810" s="705">
        <v>3776</v>
      </c>
      <c r="T2810" s="705">
        <v>0</v>
      </c>
      <c r="U2810" s="705">
        <v>0</v>
      </c>
      <c r="V2810" s="705">
        <v>27720</v>
      </c>
      <c r="W2810" s="705">
        <f t="shared" si="108"/>
        <v>27720</v>
      </c>
      <c r="X2810" s="705">
        <f t="shared" si="109"/>
        <v>32223</v>
      </c>
    </row>
    <row r="2811" spans="2:24">
      <c r="B2811" t="s">
        <v>559</v>
      </c>
      <c r="C2811" t="s">
        <v>116</v>
      </c>
      <c r="D2811" t="s">
        <v>668</v>
      </c>
      <c r="E2811" t="s">
        <v>668</v>
      </c>
      <c r="F2811" s="705">
        <v>10</v>
      </c>
      <c r="G2811" s="705">
        <v>891</v>
      </c>
      <c r="H2811" s="705">
        <v>1817</v>
      </c>
      <c r="I2811" s="705">
        <v>100277</v>
      </c>
      <c r="J2811" s="705">
        <v>91161</v>
      </c>
      <c r="K2811" s="705">
        <v>65</v>
      </c>
      <c r="L2811" s="705">
        <v>0</v>
      </c>
      <c r="M2811" s="705">
        <v>0</v>
      </c>
      <c r="N2811" s="705">
        <v>17681</v>
      </c>
      <c r="O2811" s="705">
        <v>6549</v>
      </c>
      <c r="P2811" s="705">
        <v>10740</v>
      </c>
      <c r="Q2811" s="705">
        <v>3978</v>
      </c>
      <c r="R2811" s="705">
        <v>33249</v>
      </c>
      <c r="S2811" s="705">
        <v>30226</v>
      </c>
      <c r="T2811" s="705">
        <v>0</v>
      </c>
      <c r="U2811" s="705">
        <v>0</v>
      </c>
      <c r="V2811" s="705">
        <v>131913</v>
      </c>
      <c r="W2811" s="705">
        <f t="shared" si="108"/>
        <v>131914</v>
      </c>
      <c r="X2811" s="705">
        <f t="shared" si="109"/>
        <v>161947</v>
      </c>
    </row>
    <row r="2812" spans="2:24">
      <c r="B2812" t="s">
        <v>559</v>
      </c>
      <c r="C2812" t="s">
        <v>118</v>
      </c>
      <c r="F2812" s="705">
        <v>3</v>
      </c>
      <c r="G2812" s="705">
        <v>208</v>
      </c>
      <c r="H2812" s="705">
        <v>852</v>
      </c>
      <c r="I2812" s="705"/>
      <c r="J2812" s="705">
        <v>0</v>
      </c>
      <c r="K2812" s="705"/>
      <c r="L2812" s="705"/>
      <c r="M2812" s="705">
        <v>0</v>
      </c>
      <c r="N2812" s="705">
        <v>4308</v>
      </c>
      <c r="O2812" s="705">
        <v>1595</v>
      </c>
      <c r="P2812" s="705">
        <v>1863</v>
      </c>
      <c r="Q2812" s="705">
        <v>690</v>
      </c>
      <c r="R2812" s="705"/>
      <c r="S2812" s="705">
        <v>0</v>
      </c>
      <c r="T2812" s="705">
        <v>0</v>
      </c>
      <c r="U2812" s="705">
        <v>0</v>
      </c>
      <c r="V2812" s="705">
        <v>2285</v>
      </c>
      <c r="W2812" s="705">
        <f t="shared" si="108"/>
        <v>2285</v>
      </c>
      <c r="X2812" s="705">
        <f t="shared" si="109"/>
        <v>6171</v>
      </c>
    </row>
    <row r="2813" spans="2:24">
      <c r="B2813" t="s">
        <v>559</v>
      </c>
      <c r="C2813" t="s">
        <v>118</v>
      </c>
      <c r="D2813" t="s">
        <v>664</v>
      </c>
      <c r="E2813" t="s">
        <v>664</v>
      </c>
      <c r="F2813" s="705">
        <v>6</v>
      </c>
      <c r="G2813" s="705">
        <v>542</v>
      </c>
      <c r="H2813" s="705">
        <v>1577</v>
      </c>
      <c r="I2813" s="705">
        <v>88555</v>
      </c>
      <c r="J2813" s="705">
        <v>80505</v>
      </c>
      <c r="K2813" s="705">
        <v>85</v>
      </c>
      <c r="L2813" s="705">
        <v>14087</v>
      </c>
      <c r="M2813" s="705">
        <v>12511</v>
      </c>
      <c r="N2813" s="705">
        <v>9713</v>
      </c>
      <c r="O2813" s="705">
        <v>3598</v>
      </c>
      <c r="P2813" s="705">
        <v>2835</v>
      </c>
      <c r="Q2813" s="705">
        <v>1050</v>
      </c>
      <c r="R2813" s="705">
        <v>19055</v>
      </c>
      <c r="S2813" s="705">
        <v>17322</v>
      </c>
      <c r="T2813" s="705">
        <v>7301</v>
      </c>
      <c r="U2813" s="705">
        <v>2704</v>
      </c>
      <c r="V2813" s="705">
        <v>117690</v>
      </c>
      <c r="W2813" s="705">
        <f t="shared" si="108"/>
        <v>117690</v>
      </c>
      <c r="X2813" s="705">
        <f t="shared" si="109"/>
        <v>141546</v>
      </c>
    </row>
    <row r="2814" spans="2:24">
      <c r="B2814" t="s">
        <v>559</v>
      </c>
      <c r="C2814" t="s">
        <v>118</v>
      </c>
      <c r="D2814" t="s">
        <v>664</v>
      </c>
      <c r="E2814" t="s">
        <v>583</v>
      </c>
      <c r="F2814" s="705">
        <v>1</v>
      </c>
      <c r="G2814" s="705">
        <v>98</v>
      </c>
      <c r="H2814" s="705">
        <v>242</v>
      </c>
      <c r="I2814" s="705">
        <v>12214</v>
      </c>
      <c r="J2814" s="705">
        <v>11104</v>
      </c>
      <c r="K2814" s="705">
        <v>70</v>
      </c>
      <c r="L2814" s="705">
        <v>2215</v>
      </c>
      <c r="M2814" s="705">
        <v>820</v>
      </c>
      <c r="N2814" s="705">
        <v>2016</v>
      </c>
      <c r="O2814" s="705">
        <v>747</v>
      </c>
      <c r="P2814" s="705">
        <v>621</v>
      </c>
      <c r="Q2814" s="705">
        <v>230</v>
      </c>
      <c r="R2814" s="705">
        <v>6737</v>
      </c>
      <c r="S2814" s="705">
        <v>6125</v>
      </c>
      <c r="T2814" s="705">
        <v>0</v>
      </c>
      <c r="U2814" s="705">
        <v>0</v>
      </c>
      <c r="V2814" s="705">
        <v>19026</v>
      </c>
      <c r="W2814" s="705">
        <f t="shared" si="108"/>
        <v>19026</v>
      </c>
      <c r="X2814" s="705">
        <f t="shared" si="109"/>
        <v>23803</v>
      </c>
    </row>
    <row r="2815" spans="2:24">
      <c r="B2815" t="s">
        <v>559</v>
      </c>
      <c r="C2815" t="s">
        <v>118</v>
      </c>
      <c r="D2815" t="s">
        <v>664</v>
      </c>
      <c r="E2815" t="s">
        <v>584</v>
      </c>
      <c r="F2815" s="705">
        <v>1</v>
      </c>
      <c r="G2815" s="705">
        <v>83</v>
      </c>
      <c r="H2815" s="705">
        <v>272</v>
      </c>
      <c r="I2815" s="705">
        <v>12785</v>
      </c>
      <c r="J2815" s="705">
        <v>11623</v>
      </c>
      <c r="K2815" s="705">
        <v>78</v>
      </c>
      <c r="L2815" s="705">
        <v>1914</v>
      </c>
      <c r="M2815" s="705">
        <v>1740</v>
      </c>
      <c r="N2815" s="705">
        <v>1778</v>
      </c>
      <c r="O2815" s="705">
        <v>659</v>
      </c>
      <c r="P2815" s="705">
        <v>473</v>
      </c>
      <c r="Q2815" s="705">
        <v>175</v>
      </c>
      <c r="R2815" s="705">
        <v>5718</v>
      </c>
      <c r="S2815" s="705">
        <v>5198</v>
      </c>
      <c r="T2815" s="705">
        <v>0</v>
      </c>
      <c r="U2815" s="705">
        <v>0</v>
      </c>
      <c r="V2815" s="705">
        <v>19394</v>
      </c>
      <c r="W2815" s="705">
        <f t="shared" si="108"/>
        <v>19395</v>
      </c>
      <c r="X2815" s="705">
        <f t="shared" si="109"/>
        <v>22668</v>
      </c>
    </row>
    <row r="2816" spans="2:24">
      <c r="B2816" t="s">
        <v>559</v>
      </c>
      <c r="C2816" t="s">
        <v>118</v>
      </c>
      <c r="D2816" t="s">
        <v>582</v>
      </c>
      <c r="E2816" t="s">
        <v>582</v>
      </c>
      <c r="F2816" s="705">
        <v>6</v>
      </c>
      <c r="G2816" s="705">
        <v>556</v>
      </c>
      <c r="H2816" s="705">
        <v>1509</v>
      </c>
      <c r="I2816" s="705">
        <v>75981</v>
      </c>
      <c r="J2816" s="705">
        <v>69074</v>
      </c>
      <c r="K2816" s="705">
        <v>83</v>
      </c>
      <c r="L2816" s="705">
        <v>20018</v>
      </c>
      <c r="M2816" s="705">
        <v>16670</v>
      </c>
      <c r="N2816" s="705">
        <v>10671</v>
      </c>
      <c r="O2816" s="705">
        <v>3952</v>
      </c>
      <c r="P2816" s="705">
        <v>2714</v>
      </c>
      <c r="Q2816" s="705">
        <v>1005</v>
      </c>
      <c r="R2816" s="705">
        <v>27166</v>
      </c>
      <c r="S2816" s="705">
        <v>24697</v>
      </c>
      <c r="T2816" s="705">
        <v>4515</v>
      </c>
      <c r="U2816" s="705">
        <v>1672</v>
      </c>
      <c r="V2816" s="705">
        <v>117070</v>
      </c>
      <c r="W2816" s="705">
        <f t="shared" si="108"/>
        <v>117070</v>
      </c>
      <c r="X2816" s="705">
        <f t="shared" si="109"/>
        <v>141065</v>
      </c>
    </row>
    <row r="2817" spans="2:24">
      <c r="B2817" t="s">
        <v>559</v>
      </c>
      <c r="C2817" t="s">
        <v>118</v>
      </c>
      <c r="D2817" t="s">
        <v>228</v>
      </c>
      <c r="E2817" t="s">
        <v>228</v>
      </c>
      <c r="F2817" s="705">
        <v>144</v>
      </c>
      <c r="G2817" s="705">
        <v>11944</v>
      </c>
      <c r="H2817" s="705">
        <v>38521</v>
      </c>
      <c r="I2817" s="705">
        <v>1788132</v>
      </c>
      <c r="J2817" s="705">
        <v>662271</v>
      </c>
      <c r="K2817" s="705">
        <v>109</v>
      </c>
      <c r="L2817" s="705">
        <v>245714</v>
      </c>
      <c r="M2817" s="705">
        <v>173405</v>
      </c>
      <c r="N2817" s="705">
        <v>255306</v>
      </c>
      <c r="O2817" s="705">
        <v>94558</v>
      </c>
      <c r="P2817" s="705">
        <v>1094</v>
      </c>
      <c r="Q2817" s="705">
        <v>405</v>
      </c>
      <c r="R2817" s="705">
        <v>997465</v>
      </c>
      <c r="S2817" s="705">
        <v>369432</v>
      </c>
      <c r="T2817" s="705">
        <v>5207</v>
      </c>
      <c r="U2817" s="705">
        <v>1928</v>
      </c>
      <c r="V2817" s="705">
        <v>1301999</v>
      </c>
      <c r="W2817" s="705">
        <f t="shared" si="108"/>
        <v>1301999</v>
      </c>
      <c r="X2817" s="705">
        <f t="shared" si="109"/>
        <v>3292918</v>
      </c>
    </row>
    <row r="2818" spans="2:24">
      <c r="B2818" t="s">
        <v>559</v>
      </c>
      <c r="C2818" t="s">
        <v>118</v>
      </c>
      <c r="D2818" t="s">
        <v>228</v>
      </c>
      <c r="E2818" t="s">
        <v>665</v>
      </c>
      <c r="F2818" s="705">
        <v>3</v>
      </c>
      <c r="G2818" s="705">
        <v>240</v>
      </c>
      <c r="H2818" s="705">
        <v>793</v>
      </c>
      <c r="I2818" s="705">
        <v>34778</v>
      </c>
      <c r="J2818" s="705">
        <v>12881</v>
      </c>
      <c r="K2818" s="705">
        <v>100</v>
      </c>
      <c r="L2818" s="705">
        <v>2834</v>
      </c>
      <c r="M2818" s="705">
        <v>2576</v>
      </c>
      <c r="N2818" s="705">
        <v>5538</v>
      </c>
      <c r="O2818" s="705">
        <v>2051</v>
      </c>
      <c r="P2818" s="705">
        <v>0</v>
      </c>
      <c r="Q2818" s="705">
        <v>0</v>
      </c>
      <c r="R2818" s="705">
        <v>14346</v>
      </c>
      <c r="S2818" s="705">
        <v>13042</v>
      </c>
      <c r="T2818" s="705">
        <v>6059</v>
      </c>
      <c r="U2818" s="705">
        <v>2244</v>
      </c>
      <c r="V2818" s="705">
        <v>32794</v>
      </c>
      <c r="W2818" s="705">
        <f t="shared" si="108"/>
        <v>32794</v>
      </c>
      <c r="X2818" s="705">
        <f t="shared" si="109"/>
        <v>63555</v>
      </c>
    </row>
    <row r="2819" spans="2:24">
      <c r="B2819" t="s">
        <v>559</v>
      </c>
      <c r="C2819" t="s">
        <v>118</v>
      </c>
      <c r="D2819" t="s">
        <v>583</v>
      </c>
      <c r="E2819" t="s">
        <v>582</v>
      </c>
      <c r="F2819" s="705">
        <v>1</v>
      </c>
      <c r="G2819" s="705">
        <v>216</v>
      </c>
      <c r="H2819" s="705">
        <v>242</v>
      </c>
      <c r="I2819" s="705">
        <v>39680</v>
      </c>
      <c r="J2819" s="705">
        <v>36073</v>
      </c>
      <c r="K2819" s="705">
        <v>79</v>
      </c>
      <c r="L2819" s="705">
        <v>859</v>
      </c>
      <c r="M2819" s="705">
        <v>781</v>
      </c>
      <c r="N2819" s="705">
        <v>4076</v>
      </c>
      <c r="O2819" s="705">
        <v>1509</v>
      </c>
      <c r="P2819" s="705">
        <v>621</v>
      </c>
      <c r="Q2819" s="705">
        <v>230</v>
      </c>
      <c r="R2819" s="705">
        <v>6903</v>
      </c>
      <c r="S2819" s="705">
        <v>6276</v>
      </c>
      <c r="T2819" s="705">
        <v>0</v>
      </c>
      <c r="U2819" s="705">
        <v>0</v>
      </c>
      <c r="V2819" s="705">
        <v>44868</v>
      </c>
      <c r="W2819" s="705">
        <f t="shared" si="108"/>
        <v>44869</v>
      </c>
      <c r="X2819" s="705">
        <f t="shared" si="109"/>
        <v>52139</v>
      </c>
    </row>
    <row r="2820" spans="2:24">
      <c r="B2820" t="s">
        <v>559</v>
      </c>
      <c r="C2820" t="s">
        <v>118</v>
      </c>
      <c r="D2820" t="s">
        <v>583</v>
      </c>
      <c r="E2820" t="s">
        <v>228</v>
      </c>
      <c r="F2820" s="705">
        <v>4</v>
      </c>
      <c r="G2820" s="705">
        <v>210</v>
      </c>
      <c r="H2820" s="705">
        <v>965</v>
      </c>
      <c r="I2820" s="705">
        <v>22995</v>
      </c>
      <c r="J2820" s="705">
        <v>20904</v>
      </c>
      <c r="K2820" s="705">
        <v>89</v>
      </c>
      <c r="L2820" s="705">
        <v>4328</v>
      </c>
      <c r="M2820" s="705">
        <v>3741</v>
      </c>
      <c r="N2820" s="705">
        <v>2826</v>
      </c>
      <c r="O2820" s="705">
        <v>1047</v>
      </c>
      <c r="P2820" s="705">
        <v>2484</v>
      </c>
      <c r="Q2820" s="705">
        <v>920</v>
      </c>
      <c r="R2820" s="705">
        <v>18433</v>
      </c>
      <c r="S2820" s="705">
        <v>6827</v>
      </c>
      <c r="T2820" s="705">
        <v>0</v>
      </c>
      <c r="U2820" s="705">
        <v>0</v>
      </c>
      <c r="V2820" s="705">
        <v>33439</v>
      </c>
      <c r="W2820" s="705">
        <f t="shared" si="108"/>
        <v>33439</v>
      </c>
      <c r="X2820" s="705">
        <f t="shared" si="109"/>
        <v>51066</v>
      </c>
    </row>
    <row r="2821" spans="2:24">
      <c r="B2821" t="s">
        <v>559</v>
      </c>
      <c r="C2821" t="s">
        <v>118</v>
      </c>
      <c r="D2821" t="s">
        <v>583</v>
      </c>
      <c r="E2821" t="s">
        <v>583</v>
      </c>
      <c r="F2821" s="705">
        <v>1059</v>
      </c>
      <c r="G2821" s="705">
        <v>96014</v>
      </c>
      <c r="H2821" s="705">
        <v>275901</v>
      </c>
      <c r="I2821" s="705">
        <v>13417398</v>
      </c>
      <c r="J2821" s="705">
        <v>12197634</v>
      </c>
      <c r="K2821" s="705">
        <v>82</v>
      </c>
      <c r="L2821" s="705">
        <v>2951805</v>
      </c>
      <c r="M2821" s="705">
        <v>2507218</v>
      </c>
      <c r="N2821" s="705">
        <v>1954047</v>
      </c>
      <c r="O2821" s="705">
        <v>723721</v>
      </c>
      <c r="P2821" s="705">
        <v>679420</v>
      </c>
      <c r="Q2821" s="705">
        <v>251637</v>
      </c>
      <c r="R2821" s="705">
        <v>4574356</v>
      </c>
      <c r="S2821" s="705">
        <v>4158505</v>
      </c>
      <c r="T2821" s="705">
        <v>1643647</v>
      </c>
      <c r="U2821" s="705">
        <v>608758</v>
      </c>
      <c r="V2821" s="705">
        <v>20447474</v>
      </c>
      <c r="W2821" s="705">
        <f t="shared" si="108"/>
        <v>20447473</v>
      </c>
      <c r="X2821" s="705">
        <f t="shared" si="109"/>
        <v>25220673</v>
      </c>
    </row>
    <row r="2822" spans="2:24">
      <c r="B2822" t="s">
        <v>559</v>
      </c>
      <c r="C2822" t="s">
        <v>118</v>
      </c>
      <c r="D2822" t="s">
        <v>583</v>
      </c>
      <c r="E2822" t="s">
        <v>666</v>
      </c>
      <c r="F2822" s="705">
        <v>1</v>
      </c>
      <c r="G2822" s="705">
        <v>73</v>
      </c>
      <c r="H2822" s="705">
        <v>283</v>
      </c>
      <c r="I2822" s="705">
        <v>11084</v>
      </c>
      <c r="J2822" s="705">
        <v>10076</v>
      </c>
      <c r="K2822" s="705">
        <v>85</v>
      </c>
      <c r="L2822" s="705">
        <v>1988</v>
      </c>
      <c r="M2822" s="705">
        <v>1807</v>
      </c>
      <c r="N2822" s="705">
        <v>1539</v>
      </c>
      <c r="O2822" s="705">
        <v>570</v>
      </c>
      <c r="P2822" s="705">
        <v>621</v>
      </c>
      <c r="Q2822" s="705">
        <v>230</v>
      </c>
      <c r="R2822" s="705">
        <v>3229</v>
      </c>
      <c r="S2822" s="705">
        <v>2936</v>
      </c>
      <c r="T2822" s="705">
        <v>2065</v>
      </c>
      <c r="U2822" s="705">
        <v>765</v>
      </c>
      <c r="V2822" s="705">
        <v>16384</v>
      </c>
      <c r="W2822" s="705">
        <f t="shared" si="108"/>
        <v>16384</v>
      </c>
      <c r="X2822" s="705">
        <f t="shared" si="109"/>
        <v>20526</v>
      </c>
    </row>
    <row r="2823" spans="2:24">
      <c r="B2823" t="s">
        <v>559</v>
      </c>
      <c r="C2823" t="s">
        <v>118</v>
      </c>
      <c r="D2823" t="s">
        <v>583</v>
      </c>
      <c r="E2823" t="s">
        <v>584</v>
      </c>
      <c r="F2823" s="705">
        <v>1</v>
      </c>
      <c r="G2823" s="705">
        <v>80</v>
      </c>
      <c r="H2823" s="705">
        <v>281</v>
      </c>
      <c r="I2823" s="705">
        <v>10507</v>
      </c>
      <c r="J2823" s="705">
        <v>9552</v>
      </c>
      <c r="K2823" s="705">
        <v>79</v>
      </c>
      <c r="L2823" s="705">
        <v>2919</v>
      </c>
      <c r="M2823" s="705">
        <v>2653</v>
      </c>
      <c r="N2823" s="705">
        <v>1956</v>
      </c>
      <c r="O2823" s="705">
        <v>724</v>
      </c>
      <c r="P2823" s="705">
        <v>621</v>
      </c>
      <c r="Q2823" s="705">
        <v>230</v>
      </c>
      <c r="R2823" s="705">
        <v>6530</v>
      </c>
      <c r="S2823" s="705">
        <v>5936</v>
      </c>
      <c r="T2823" s="705">
        <v>0</v>
      </c>
      <c r="U2823" s="705">
        <v>0</v>
      </c>
      <c r="V2823" s="705">
        <v>19096</v>
      </c>
      <c r="W2823" s="705">
        <f t="shared" si="108"/>
        <v>19095</v>
      </c>
      <c r="X2823" s="705">
        <f t="shared" si="109"/>
        <v>22533</v>
      </c>
    </row>
    <row r="2824" spans="2:24">
      <c r="B2824" t="s">
        <v>559</v>
      </c>
      <c r="C2824" t="s">
        <v>118</v>
      </c>
      <c r="D2824" t="s">
        <v>666</v>
      </c>
      <c r="E2824" t="s">
        <v>583</v>
      </c>
      <c r="F2824" s="705">
        <v>1</v>
      </c>
      <c r="G2824" s="705">
        <v>84</v>
      </c>
      <c r="H2824" s="705">
        <v>246</v>
      </c>
      <c r="I2824" s="705">
        <v>8971</v>
      </c>
      <c r="J2824" s="705">
        <v>8155</v>
      </c>
      <c r="K2824" s="705">
        <v>70</v>
      </c>
      <c r="L2824" s="705">
        <v>1205</v>
      </c>
      <c r="M2824" s="705">
        <v>1004</v>
      </c>
      <c r="N2824" s="705">
        <v>1824</v>
      </c>
      <c r="O2824" s="705">
        <v>676</v>
      </c>
      <c r="P2824" s="705">
        <v>621</v>
      </c>
      <c r="Q2824" s="705">
        <v>230</v>
      </c>
      <c r="R2824" s="705">
        <v>4994</v>
      </c>
      <c r="S2824" s="705">
        <v>4540</v>
      </c>
      <c r="T2824" s="705">
        <v>2928</v>
      </c>
      <c r="U2824" s="705">
        <v>1084</v>
      </c>
      <c r="V2824" s="705">
        <v>15689</v>
      </c>
      <c r="W2824" s="705">
        <f t="shared" si="108"/>
        <v>15689</v>
      </c>
      <c r="X2824" s="705">
        <f t="shared" si="109"/>
        <v>20543</v>
      </c>
    </row>
    <row r="2825" spans="2:24">
      <c r="B2825" t="s">
        <v>559</v>
      </c>
      <c r="C2825" t="s">
        <v>118</v>
      </c>
      <c r="D2825" t="s">
        <v>666</v>
      </c>
      <c r="E2825" t="s">
        <v>666</v>
      </c>
      <c r="F2825" s="705">
        <v>15</v>
      </c>
      <c r="G2825" s="705">
        <v>1281</v>
      </c>
      <c r="H2825" s="705">
        <v>3935</v>
      </c>
      <c r="I2825" s="705">
        <v>198623</v>
      </c>
      <c r="J2825" s="705">
        <v>180566</v>
      </c>
      <c r="K2825" s="705">
        <v>56</v>
      </c>
      <c r="L2825" s="705">
        <v>10477</v>
      </c>
      <c r="M2825" s="705">
        <v>9524</v>
      </c>
      <c r="N2825" s="705">
        <v>25144</v>
      </c>
      <c r="O2825" s="705">
        <v>9313</v>
      </c>
      <c r="P2825" s="705">
        <v>5265</v>
      </c>
      <c r="Q2825" s="705">
        <v>1950</v>
      </c>
      <c r="R2825" s="705">
        <v>76191</v>
      </c>
      <c r="S2825" s="705">
        <v>69264</v>
      </c>
      <c r="T2825" s="705">
        <v>26387</v>
      </c>
      <c r="U2825" s="705">
        <v>9773</v>
      </c>
      <c r="V2825" s="705">
        <v>280390</v>
      </c>
      <c r="W2825" s="705">
        <f t="shared" si="108"/>
        <v>280390</v>
      </c>
      <c r="X2825" s="705">
        <f t="shared" si="109"/>
        <v>342087</v>
      </c>
    </row>
    <row r="2826" spans="2:24">
      <c r="B2826" t="s">
        <v>559</v>
      </c>
      <c r="C2826" t="s">
        <v>118</v>
      </c>
      <c r="D2826" t="s">
        <v>584</v>
      </c>
      <c r="E2826" t="s">
        <v>582</v>
      </c>
      <c r="F2826" s="705">
        <v>2</v>
      </c>
      <c r="G2826" s="705">
        <v>176</v>
      </c>
      <c r="H2826" s="705">
        <v>534</v>
      </c>
      <c r="I2826" s="705">
        <v>22855</v>
      </c>
      <c r="J2826" s="705">
        <v>20778</v>
      </c>
      <c r="K2826" s="705">
        <v>68</v>
      </c>
      <c r="L2826" s="705">
        <v>6711</v>
      </c>
      <c r="M2826" s="705">
        <v>4412</v>
      </c>
      <c r="N2826" s="705">
        <v>3209</v>
      </c>
      <c r="O2826" s="705">
        <v>1189</v>
      </c>
      <c r="P2826" s="705">
        <v>945</v>
      </c>
      <c r="Q2826" s="705">
        <v>350</v>
      </c>
      <c r="R2826" s="705">
        <v>13679</v>
      </c>
      <c r="S2826" s="705">
        <v>12435</v>
      </c>
      <c r="T2826" s="705">
        <v>0</v>
      </c>
      <c r="U2826" s="705">
        <v>0</v>
      </c>
      <c r="V2826" s="705">
        <v>39164</v>
      </c>
      <c r="W2826" s="705">
        <f t="shared" si="108"/>
        <v>39164</v>
      </c>
      <c r="X2826" s="705">
        <f t="shared" si="109"/>
        <v>47399</v>
      </c>
    </row>
    <row r="2827" spans="2:24">
      <c r="B2827" t="s">
        <v>559</v>
      </c>
      <c r="C2827" t="s">
        <v>118</v>
      </c>
      <c r="D2827" t="s">
        <v>584</v>
      </c>
      <c r="E2827" t="s">
        <v>584</v>
      </c>
      <c r="F2827" s="705">
        <v>1377</v>
      </c>
      <c r="G2827" s="705">
        <v>126782</v>
      </c>
      <c r="H2827" s="705">
        <v>356443</v>
      </c>
      <c r="I2827" s="705">
        <v>17121090</v>
      </c>
      <c r="J2827" s="705">
        <v>15564628</v>
      </c>
      <c r="K2827" s="705">
        <v>79</v>
      </c>
      <c r="L2827" s="705">
        <v>4738395</v>
      </c>
      <c r="M2827" s="705">
        <v>4091841</v>
      </c>
      <c r="N2827" s="705">
        <v>2598765</v>
      </c>
      <c r="O2827" s="705">
        <v>962506</v>
      </c>
      <c r="P2827" s="705">
        <v>651036</v>
      </c>
      <c r="Q2827" s="705">
        <v>241124</v>
      </c>
      <c r="R2827" s="705">
        <v>6423786</v>
      </c>
      <c r="S2827" s="705">
        <v>5839806</v>
      </c>
      <c r="T2827" s="705">
        <v>1719302</v>
      </c>
      <c r="U2827" s="705">
        <v>636778</v>
      </c>
      <c r="V2827" s="705">
        <v>27336683</v>
      </c>
      <c r="W2827" s="705">
        <f t="shared" si="108"/>
        <v>27336683</v>
      </c>
      <c r="X2827" s="705">
        <f t="shared" si="109"/>
        <v>33252374</v>
      </c>
    </row>
    <row r="2828" spans="2:24">
      <c r="B2828" t="s">
        <v>559</v>
      </c>
      <c r="C2828" t="s">
        <v>118</v>
      </c>
      <c r="D2828" t="s">
        <v>584</v>
      </c>
      <c r="E2828" t="s">
        <v>665</v>
      </c>
      <c r="F2828" s="705">
        <v>1</v>
      </c>
      <c r="G2828" s="705">
        <v>96</v>
      </c>
      <c r="H2828" s="705">
        <v>297</v>
      </c>
      <c r="I2828" s="705">
        <v>15203</v>
      </c>
      <c r="J2828" s="705">
        <v>13821</v>
      </c>
      <c r="K2828" s="705">
        <v>73</v>
      </c>
      <c r="L2828" s="705">
        <v>3908</v>
      </c>
      <c r="M2828" s="705">
        <v>3552</v>
      </c>
      <c r="N2828" s="705">
        <v>1532</v>
      </c>
      <c r="O2828" s="705">
        <v>567</v>
      </c>
      <c r="P2828" s="705">
        <v>473</v>
      </c>
      <c r="Q2828" s="705">
        <v>175</v>
      </c>
      <c r="R2828" s="705">
        <v>7434</v>
      </c>
      <c r="S2828" s="705">
        <v>6758</v>
      </c>
      <c r="T2828" s="705">
        <v>0</v>
      </c>
      <c r="U2828" s="705">
        <v>0</v>
      </c>
      <c r="V2828" s="705">
        <v>24874</v>
      </c>
      <c r="W2828" s="705">
        <f t="shared" si="108"/>
        <v>24873</v>
      </c>
      <c r="X2828" s="705">
        <f t="shared" si="109"/>
        <v>28550</v>
      </c>
    </row>
    <row r="2829" spans="2:24">
      <c r="B2829" t="s">
        <v>559</v>
      </c>
      <c r="C2829" t="s">
        <v>118</v>
      </c>
      <c r="D2829" t="s">
        <v>669</v>
      </c>
      <c r="E2829" t="s">
        <v>228</v>
      </c>
      <c r="F2829" s="705">
        <v>22</v>
      </c>
      <c r="G2829" s="705">
        <v>1861</v>
      </c>
      <c r="H2829" s="705">
        <v>6126</v>
      </c>
      <c r="I2829" s="705">
        <v>272986</v>
      </c>
      <c r="J2829" s="705">
        <v>227489</v>
      </c>
      <c r="K2829" s="705">
        <v>57</v>
      </c>
      <c r="L2829" s="705">
        <v>42048</v>
      </c>
      <c r="M2829" s="705">
        <v>25337</v>
      </c>
      <c r="N2829" s="705">
        <v>39380</v>
      </c>
      <c r="O2829" s="705">
        <v>14585</v>
      </c>
      <c r="P2829" s="705">
        <v>7020</v>
      </c>
      <c r="Q2829" s="705">
        <v>2600</v>
      </c>
      <c r="R2829" s="705">
        <v>154693</v>
      </c>
      <c r="S2829" s="705">
        <v>57294</v>
      </c>
      <c r="T2829" s="705">
        <v>0</v>
      </c>
      <c r="U2829" s="705">
        <v>0</v>
      </c>
      <c r="V2829" s="705">
        <v>327304</v>
      </c>
      <c r="W2829" s="705">
        <f t="shared" si="108"/>
        <v>327305</v>
      </c>
      <c r="X2829" s="705">
        <f t="shared" si="109"/>
        <v>516127</v>
      </c>
    </row>
    <row r="2830" spans="2:24">
      <c r="B2830" t="s">
        <v>559</v>
      </c>
      <c r="C2830" t="s">
        <v>118</v>
      </c>
      <c r="D2830" t="s">
        <v>669</v>
      </c>
      <c r="E2830" t="s">
        <v>584</v>
      </c>
      <c r="F2830" s="705">
        <v>1</v>
      </c>
      <c r="G2830" s="705">
        <v>83</v>
      </c>
      <c r="H2830" s="705">
        <v>299</v>
      </c>
      <c r="I2830" s="705">
        <v>13702</v>
      </c>
      <c r="J2830" s="705">
        <v>11418</v>
      </c>
      <c r="K2830" s="705">
        <v>55</v>
      </c>
      <c r="L2830" s="705">
        <v>1884</v>
      </c>
      <c r="M2830" s="705">
        <v>698</v>
      </c>
      <c r="N2830" s="705">
        <v>1008</v>
      </c>
      <c r="O2830" s="705">
        <v>373</v>
      </c>
      <c r="P2830" s="705">
        <v>351</v>
      </c>
      <c r="Q2830" s="705">
        <v>130</v>
      </c>
      <c r="R2830" s="705">
        <v>5349</v>
      </c>
      <c r="S2830" s="705">
        <v>4863</v>
      </c>
      <c r="T2830" s="705">
        <v>2470</v>
      </c>
      <c r="U2830" s="705">
        <v>915</v>
      </c>
      <c r="V2830" s="705">
        <v>18397</v>
      </c>
      <c r="W2830" s="705">
        <f t="shared" si="108"/>
        <v>18397</v>
      </c>
      <c r="X2830" s="705">
        <f t="shared" si="109"/>
        <v>24764</v>
      </c>
    </row>
    <row r="2831" spans="2:24">
      <c r="B2831" t="s">
        <v>559</v>
      </c>
      <c r="C2831" t="s">
        <v>118</v>
      </c>
      <c r="D2831" t="s">
        <v>669</v>
      </c>
      <c r="E2831" t="s">
        <v>669</v>
      </c>
      <c r="F2831" s="705">
        <v>27</v>
      </c>
      <c r="G2831" s="705">
        <v>2446</v>
      </c>
      <c r="H2831" s="705">
        <v>7555</v>
      </c>
      <c r="I2831" s="705">
        <v>385918</v>
      </c>
      <c r="J2831" s="705">
        <v>321599</v>
      </c>
      <c r="K2831" s="705">
        <v>56</v>
      </c>
      <c r="L2831" s="705">
        <v>46688</v>
      </c>
      <c r="M2831" s="705">
        <v>24455</v>
      </c>
      <c r="N2831" s="705">
        <v>42858</v>
      </c>
      <c r="O2831" s="705">
        <v>15873</v>
      </c>
      <c r="P2831" s="705">
        <v>9045</v>
      </c>
      <c r="Q2831" s="705">
        <v>3350</v>
      </c>
      <c r="R2831" s="705">
        <v>150495</v>
      </c>
      <c r="S2831" s="705">
        <v>125412</v>
      </c>
      <c r="T2831" s="705">
        <v>55133</v>
      </c>
      <c r="U2831" s="705">
        <v>20420</v>
      </c>
      <c r="V2831" s="705">
        <v>511109</v>
      </c>
      <c r="W2831" s="705">
        <f t="shared" si="108"/>
        <v>511109</v>
      </c>
      <c r="X2831" s="705">
        <f t="shared" si="109"/>
        <v>690137</v>
      </c>
    </row>
    <row r="2832" spans="2:24">
      <c r="B2832" t="s">
        <v>559</v>
      </c>
      <c r="C2832" t="s">
        <v>118</v>
      </c>
      <c r="D2832" t="s">
        <v>665</v>
      </c>
      <c r="E2832" t="s">
        <v>228</v>
      </c>
      <c r="F2832" s="705">
        <v>1</v>
      </c>
      <c r="G2832" s="705">
        <v>59</v>
      </c>
      <c r="H2832" s="705">
        <v>290</v>
      </c>
      <c r="I2832" s="705">
        <v>5357</v>
      </c>
      <c r="J2832" s="705">
        <v>4870</v>
      </c>
      <c r="K2832" s="705">
        <v>60</v>
      </c>
      <c r="L2832" s="705">
        <v>1392</v>
      </c>
      <c r="M2832" s="705">
        <v>516</v>
      </c>
      <c r="N2832" s="705">
        <v>1286</v>
      </c>
      <c r="O2832" s="705">
        <v>476</v>
      </c>
      <c r="P2832" s="705">
        <v>0</v>
      </c>
      <c r="Q2832" s="705">
        <v>0</v>
      </c>
      <c r="R2832" s="705">
        <v>8964</v>
      </c>
      <c r="S2832" s="705">
        <v>3320</v>
      </c>
      <c r="T2832" s="705">
        <v>0</v>
      </c>
      <c r="U2832" s="705">
        <v>0</v>
      </c>
      <c r="V2832" s="705">
        <v>9182</v>
      </c>
      <c r="W2832" s="705">
        <f t="shared" si="108"/>
        <v>9182</v>
      </c>
      <c r="X2832" s="705">
        <f t="shared" si="109"/>
        <v>16999</v>
      </c>
    </row>
    <row r="2833" spans="2:24">
      <c r="B2833" t="s">
        <v>559</v>
      </c>
      <c r="C2833" t="s">
        <v>118</v>
      </c>
      <c r="D2833" t="s">
        <v>665</v>
      </c>
      <c r="E2833" t="s">
        <v>665</v>
      </c>
      <c r="F2833" s="705">
        <v>121</v>
      </c>
      <c r="G2833" s="705">
        <v>10521</v>
      </c>
      <c r="H2833" s="705">
        <v>32826</v>
      </c>
      <c r="I2833" s="705">
        <v>1676229</v>
      </c>
      <c r="J2833" s="705">
        <v>1523845</v>
      </c>
      <c r="K2833" s="705">
        <v>57</v>
      </c>
      <c r="L2833" s="705">
        <v>86012</v>
      </c>
      <c r="M2833" s="705">
        <v>60370</v>
      </c>
      <c r="N2833" s="705">
        <v>201102</v>
      </c>
      <c r="O2833" s="705">
        <v>74482</v>
      </c>
      <c r="P2833" s="705">
        <v>42498</v>
      </c>
      <c r="Q2833" s="705">
        <v>15740</v>
      </c>
      <c r="R2833" s="705">
        <v>591923</v>
      </c>
      <c r="S2833" s="705">
        <v>538112</v>
      </c>
      <c r="T2833" s="705">
        <v>274059</v>
      </c>
      <c r="U2833" s="705">
        <v>101503</v>
      </c>
      <c r="V2833" s="705">
        <v>2314052</v>
      </c>
      <c r="W2833" s="705">
        <f t="shared" si="108"/>
        <v>2314052</v>
      </c>
      <c r="X2833" s="705">
        <f t="shared" si="109"/>
        <v>2871823</v>
      </c>
    </row>
    <row r="2834" spans="2:24">
      <c r="B2834" t="s">
        <v>559</v>
      </c>
      <c r="C2834" t="s">
        <v>118</v>
      </c>
      <c r="D2834" t="s">
        <v>673</v>
      </c>
      <c r="E2834" t="s">
        <v>673</v>
      </c>
      <c r="F2834" s="705">
        <v>1</v>
      </c>
      <c r="G2834" s="705">
        <v>75</v>
      </c>
      <c r="H2834" s="705">
        <v>267</v>
      </c>
      <c r="I2834" s="705">
        <v>13298</v>
      </c>
      <c r="J2834" s="705">
        <v>12089</v>
      </c>
      <c r="K2834" s="705">
        <v>65</v>
      </c>
      <c r="L2834" s="705">
        <v>0</v>
      </c>
      <c r="M2834" s="705">
        <v>0</v>
      </c>
      <c r="N2834" s="705">
        <v>914</v>
      </c>
      <c r="O2834" s="705">
        <v>339</v>
      </c>
      <c r="P2834" s="705">
        <v>621</v>
      </c>
      <c r="Q2834" s="705">
        <v>230</v>
      </c>
      <c r="R2834" s="705">
        <v>2990</v>
      </c>
      <c r="S2834" s="705">
        <v>2718</v>
      </c>
      <c r="T2834" s="705">
        <v>2232</v>
      </c>
      <c r="U2834" s="705">
        <v>827</v>
      </c>
      <c r="V2834" s="705">
        <v>16202</v>
      </c>
      <c r="W2834" s="705">
        <f t="shared" si="108"/>
        <v>16203</v>
      </c>
      <c r="X2834" s="705">
        <f t="shared" si="109"/>
        <v>20055</v>
      </c>
    </row>
    <row r="2835" spans="2:24">
      <c r="B2835" t="s">
        <v>559</v>
      </c>
      <c r="C2835" t="s">
        <v>118</v>
      </c>
      <c r="D2835" t="s">
        <v>585</v>
      </c>
      <c r="E2835" t="s">
        <v>585</v>
      </c>
      <c r="F2835" s="705">
        <v>1</v>
      </c>
      <c r="G2835" s="705">
        <v>63</v>
      </c>
      <c r="H2835" s="705">
        <v>264</v>
      </c>
      <c r="I2835" s="705">
        <v>9984</v>
      </c>
      <c r="J2835" s="705">
        <v>9076</v>
      </c>
      <c r="K2835" s="705">
        <v>91</v>
      </c>
      <c r="L2835" s="705">
        <v>0</v>
      </c>
      <c r="M2835" s="705">
        <v>0</v>
      </c>
      <c r="N2835" s="705">
        <v>1524</v>
      </c>
      <c r="O2835" s="705">
        <v>564</v>
      </c>
      <c r="P2835" s="705">
        <v>351</v>
      </c>
      <c r="Q2835" s="705">
        <v>130</v>
      </c>
      <c r="R2835" s="705">
        <v>2733</v>
      </c>
      <c r="S2835" s="705">
        <v>2484</v>
      </c>
      <c r="T2835" s="705">
        <v>1926</v>
      </c>
      <c r="U2835" s="705">
        <v>713</v>
      </c>
      <c r="V2835" s="705">
        <v>12968</v>
      </c>
      <c r="W2835" s="705">
        <f t="shared" si="108"/>
        <v>12967</v>
      </c>
      <c r="X2835" s="705">
        <f t="shared" si="109"/>
        <v>16518</v>
      </c>
    </row>
    <row r="2836" spans="2:24">
      <c r="B2836" t="s">
        <v>559</v>
      </c>
      <c r="C2836" t="s">
        <v>118</v>
      </c>
      <c r="D2836" t="s">
        <v>668</v>
      </c>
      <c r="E2836" t="s">
        <v>668</v>
      </c>
      <c r="F2836" s="705">
        <v>1</v>
      </c>
      <c r="G2836" s="705">
        <v>100</v>
      </c>
      <c r="H2836" s="705">
        <v>269</v>
      </c>
      <c r="I2836" s="705">
        <v>17035</v>
      </c>
      <c r="J2836" s="705">
        <v>15486</v>
      </c>
      <c r="K2836" s="705">
        <v>65</v>
      </c>
      <c r="L2836" s="705">
        <v>2237</v>
      </c>
      <c r="M2836" s="705">
        <v>1864</v>
      </c>
      <c r="N2836" s="705">
        <v>1217</v>
      </c>
      <c r="O2836" s="705">
        <v>451</v>
      </c>
      <c r="P2836" s="705">
        <v>351</v>
      </c>
      <c r="Q2836" s="705">
        <v>130</v>
      </c>
      <c r="R2836" s="705">
        <v>6020</v>
      </c>
      <c r="S2836" s="705">
        <v>5473</v>
      </c>
      <c r="T2836" s="705">
        <v>0</v>
      </c>
      <c r="U2836" s="705">
        <v>0</v>
      </c>
      <c r="V2836" s="705">
        <v>23404</v>
      </c>
      <c r="W2836" s="705">
        <f t="shared" si="108"/>
        <v>23404</v>
      </c>
      <c r="X2836" s="705">
        <f t="shared" si="109"/>
        <v>26860</v>
      </c>
    </row>
    <row r="2837" spans="2:24">
      <c r="B2837" t="s">
        <v>559</v>
      </c>
      <c r="C2837" t="s">
        <v>120</v>
      </c>
      <c r="F2837" s="705">
        <v>2</v>
      </c>
      <c r="G2837" s="705">
        <v>132</v>
      </c>
      <c r="H2837" s="705">
        <v>668</v>
      </c>
      <c r="I2837" s="705"/>
      <c r="J2837" s="705">
        <v>0</v>
      </c>
      <c r="K2837" s="705"/>
      <c r="L2837" s="705"/>
      <c r="M2837" s="705">
        <v>0</v>
      </c>
      <c r="N2837" s="705">
        <v>2760</v>
      </c>
      <c r="O2837" s="705">
        <v>1022</v>
      </c>
      <c r="P2837" s="705">
        <v>621</v>
      </c>
      <c r="Q2837" s="705">
        <v>230</v>
      </c>
      <c r="R2837" s="705"/>
      <c r="S2837" s="705">
        <v>0</v>
      </c>
      <c r="T2837" s="705">
        <v>0</v>
      </c>
      <c r="U2837" s="705">
        <v>0</v>
      </c>
      <c r="V2837" s="705">
        <v>1252</v>
      </c>
      <c r="W2837" s="705">
        <f t="shared" si="108"/>
        <v>1252</v>
      </c>
      <c r="X2837" s="705">
        <f t="shared" si="109"/>
        <v>3381</v>
      </c>
    </row>
    <row r="2838" spans="2:24">
      <c r="B2838" t="s">
        <v>559</v>
      </c>
      <c r="C2838" t="s">
        <v>120</v>
      </c>
      <c r="D2838" t="s">
        <v>674</v>
      </c>
      <c r="E2838" t="s">
        <v>674</v>
      </c>
      <c r="F2838" s="705">
        <v>2</v>
      </c>
      <c r="G2838" s="705">
        <v>177</v>
      </c>
      <c r="H2838" s="705">
        <v>755</v>
      </c>
      <c r="I2838" s="705">
        <v>39326</v>
      </c>
      <c r="J2838" s="705">
        <v>35751</v>
      </c>
      <c r="K2838" s="705">
        <v>58</v>
      </c>
      <c r="L2838" s="705">
        <v>4924</v>
      </c>
      <c r="M2838" s="705">
        <v>3030</v>
      </c>
      <c r="N2838" s="705">
        <v>4185</v>
      </c>
      <c r="O2838" s="705">
        <v>1550</v>
      </c>
      <c r="P2838" s="705">
        <v>702</v>
      </c>
      <c r="Q2838" s="705">
        <v>260</v>
      </c>
      <c r="R2838" s="705">
        <v>15253</v>
      </c>
      <c r="S2838" s="705">
        <v>13866</v>
      </c>
      <c r="T2838" s="705">
        <v>2335</v>
      </c>
      <c r="U2838" s="705">
        <v>865</v>
      </c>
      <c r="V2838" s="705">
        <v>55322</v>
      </c>
      <c r="W2838" s="705">
        <f t="shared" si="108"/>
        <v>55322</v>
      </c>
      <c r="X2838" s="705">
        <f t="shared" si="109"/>
        <v>66725</v>
      </c>
    </row>
    <row r="2839" spans="2:24">
      <c r="B2839" t="s">
        <v>559</v>
      </c>
      <c r="C2839" t="s">
        <v>120</v>
      </c>
      <c r="D2839" t="s">
        <v>664</v>
      </c>
      <c r="E2839" t="s">
        <v>664</v>
      </c>
      <c r="F2839" s="705">
        <v>4</v>
      </c>
      <c r="G2839" s="705">
        <v>306</v>
      </c>
      <c r="H2839" s="705">
        <v>1370</v>
      </c>
      <c r="I2839" s="705">
        <v>61937</v>
      </c>
      <c r="J2839" s="705">
        <v>56306</v>
      </c>
      <c r="K2839" s="705">
        <v>81</v>
      </c>
      <c r="L2839" s="705">
        <v>16386</v>
      </c>
      <c r="M2839" s="705">
        <v>14095</v>
      </c>
      <c r="N2839" s="705">
        <v>6253</v>
      </c>
      <c r="O2839" s="705">
        <v>2316</v>
      </c>
      <c r="P2839" s="705">
        <v>2241</v>
      </c>
      <c r="Q2839" s="705">
        <v>830</v>
      </c>
      <c r="R2839" s="705">
        <v>13655</v>
      </c>
      <c r="S2839" s="705">
        <v>12414</v>
      </c>
      <c r="T2839" s="705">
        <v>4608</v>
      </c>
      <c r="U2839" s="705">
        <v>1707</v>
      </c>
      <c r="V2839" s="705">
        <v>87668</v>
      </c>
      <c r="W2839" s="705">
        <f t="shared" si="108"/>
        <v>87668</v>
      </c>
      <c r="X2839" s="705">
        <f t="shared" si="109"/>
        <v>105080</v>
      </c>
    </row>
    <row r="2840" spans="2:24">
      <c r="B2840" t="s">
        <v>559</v>
      </c>
      <c r="C2840" t="s">
        <v>120</v>
      </c>
      <c r="D2840" t="s">
        <v>582</v>
      </c>
      <c r="E2840" t="s">
        <v>582</v>
      </c>
      <c r="F2840" s="705">
        <v>2</v>
      </c>
      <c r="G2840" s="705">
        <v>248</v>
      </c>
      <c r="H2840" s="705">
        <v>618</v>
      </c>
      <c r="I2840" s="705">
        <v>42659</v>
      </c>
      <c r="J2840" s="705">
        <v>38781</v>
      </c>
      <c r="K2840" s="705">
        <v>91</v>
      </c>
      <c r="L2840" s="705">
        <v>15602</v>
      </c>
      <c r="M2840" s="705">
        <v>11632</v>
      </c>
      <c r="N2840" s="705">
        <v>5684</v>
      </c>
      <c r="O2840" s="705">
        <v>2105</v>
      </c>
      <c r="P2840" s="705">
        <v>945</v>
      </c>
      <c r="Q2840" s="705">
        <v>350</v>
      </c>
      <c r="R2840" s="705">
        <v>9266</v>
      </c>
      <c r="S2840" s="705">
        <v>8424</v>
      </c>
      <c r="T2840" s="705">
        <v>2501</v>
      </c>
      <c r="U2840" s="705">
        <v>926</v>
      </c>
      <c r="V2840" s="705">
        <v>62218</v>
      </c>
      <c r="W2840" s="705">
        <f t="shared" si="108"/>
        <v>62218</v>
      </c>
      <c r="X2840" s="705">
        <f t="shared" si="109"/>
        <v>76657</v>
      </c>
    </row>
    <row r="2841" spans="2:24">
      <c r="B2841" t="s">
        <v>559</v>
      </c>
      <c r="C2841" t="s">
        <v>120</v>
      </c>
      <c r="D2841" t="s">
        <v>228</v>
      </c>
      <c r="E2841" t="s">
        <v>228</v>
      </c>
      <c r="F2841" s="705">
        <v>134</v>
      </c>
      <c r="G2841" s="705">
        <v>9832</v>
      </c>
      <c r="H2841" s="705">
        <v>46832</v>
      </c>
      <c r="I2841" s="705">
        <v>2121101</v>
      </c>
      <c r="J2841" s="705">
        <v>785593</v>
      </c>
      <c r="K2841" s="705">
        <v>100</v>
      </c>
      <c r="L2841" s="705">
        <v>299987</v>
      </c>
      <c r="M2841" s="705">
        <v>211132</v>
      </c>
      <c r="N2841" s="705">
        <v>216851</v>
      </c>
      <c r="O2841" s="705">
        <v>80315</v>
      </c>
      <c r="P2841" s="705">
        <v>1053</v>
      </c>
      <c r="Q2841" s="705">
        <v>390</v>
      </c>
      <c r="R2841" s="705">
        <v>906394</v>
      </c>
      <c r="S2841" s="705">
        <v>335701</v>
      </c>
      <c r="T2841" s="705">
        <v>2323</v>
      </c>
      <c r="U2841" s="705">
        <v>860</v>
      </c>
      <c r="V2841" s="705">
        <v>1413992</v>
      </c>
      <c r="W2841" s="705">
        <f t="shared" si="108"/>
        <v>1413991</v>
      </c>
      <c r="X2841" s="705">
        <f t="shared" si="109"/>
        <v>3547709</v>
      </c>
    </row>
    <row r="2842" spans="2:24">
      <c r="B2842" t="s">
        <v>559</v>
      </c>
      <c r="C2842" t="s">
        <v>120</v>
      </c>
      <c r="D2842" t="s">
        <v>228</v>
      </c>
      <c r="E2842" t="s">
        <v>666</v>
      </c>
      <c r="F2842" s="705">
        <v>2</v>
      </c>
      <c r="G2842" s="705">
        <v>171</v>
      </c>
      <c r="H2842" s="705">
        <v>663</v>
      </c>
      <c r="I2842" s="705">
        <v>33865</v>
      </c>
      <c r="J2842" s="705">
        <v>12542</v>
      </c>
      <c r="K2842" s="705">
        <v>100</v>
      </c>
      <c r="L2842" s="705">
        <v>3066</v>
      </c>
      <c r="M2842" s="705">
        <v>2787</v>
      </c>
      <c r="N2842" s="705">
        <v>2945</v>
      </c>
      <c r="O2842" s="705">
        <v>1091</v>
      </c>
      <c r="P2842" s="705">
        <v>0</v>
      </c>
      <c r="Q2842" s="705">
        <v>0</v>
      </c>
      <c r="R2842" s="705">
        <v>14593</v>
      </c>
      <c r="S2842" s="705">
        <v>13266</v>
      </c>
      <c r="T2842" s="705">
        <v>2244</v>
      </c>
      <c r="U2842" s="705">
        <v>831</v>
      </c>
      <c r="V2842" s="705">
        <v>30518</v>
      </c>
      <c r="W2842" s="705">
        <f t="shared" si="108"/>
        <v>30517</v>
      </c>
      <c r="X2842" s="705">
        <f t="shared" si="109"/>
        <v>56713</v>
      </c>
    </row>
    <row r="2843" spans="2:24">
      <c r="B2843" t="s">
        <v>559</v>
      </c>
      <c r="C2843" t="s">
        <v>120</v>
      </c>
      <c r="D2843" t="s">
        <v>228</v>
      </c>
      <c r="E2843" t="s">
        <v>669</v>
      </c>
      <c r="F2843" s="705">
        <v>2</v>
      </c>
      <c r="G2843" s="705">
        <v>167</v>
      </c>
      <c r="H2843" s="705">
        <v>712</v>
      </c>
      <c r="I2843" s="705">
        <v>35489</v>
      </c>
      <c r="J2843" s="705">
        <v>13144</v>
      </c>
      <c r="K2843" s="705">
        <v>100</v>
      </c>
      <c r="L2843" s="705">
        <v>4656</v>
      </c>
      <c r="M2843" s="705">
        <v>3880</v>
      </c>
      <c r="N2843" s="705">
        <v>2843</v>
      </c>
      <c r="O2843" s="705">
        <v>1053</v>
      </c>
      <c r="P2843" s="705">
        <v>0</v>
      </c>
      <c r="Q2843" s="705">
        <v>0</v>
      </c>
      <c r="R2843" s="705">
        <v>11902</v>
      </c>
      <c r="S2843" s="705">
        <v>9918</v>
      </c>
      <c r="T2843" s="705">
        <v>4421</v>
      </c>
      <c r="U2843" s="705">
        <v>1637</v>
      </c>
      <c r="V2843" s="705">
        <v>29633</v>
      </c>
      <c r="W2843" s="705">
        <f t="shared" si="108"/>
        <v>29632</v>
      </c>
      <c r="X2843" s="705">
        <f t="shared" si="109"/>
        <v>59311</v>
      </c>
    </row>
    <row r="2844" spans="2:24">
      <c r="B2844" t="s">
        <v>559</v>
      </c>
      <c r="C2844" t="s">
        <v>120</v>
      </c>
      <c r="D2844" t="s">
        <v>228</v>
      </c>
      <c r="E2844" t="s">
        <v>665</v>
      </c>
      <c r="F2844" s="705">
        <v>4</v>
      </c>
      <c r="G2844" s="705">
        <v>273</v>
      </c>
      <c r="H2844" s="705">
        <v>1257</v>
      </c>
      <c r="I2844" s="705">
        <v>46459</v>
      </c>
      <c r="J2844" s="705">
        <v>17207</v>
      </c>
      <c r="K2844" s="705">
        <v>100</v>
      </c>
      <c r="L2844" s="705">
        <v>4206</v>
      </c>
      <c r="M2844" s="705">
        <v>3824</v>
      </c>
      <c r="N2844" s="705">
        <v>4563</v>
      </c>
      <c r="O2844" s="705">
        <v>1690</v>
      </c>
      <c r="P2844" s="705">
        <v>702</v>
      </c>
      <c r="Q2844" s="705">
        <v>260</v>
      </c>
      <c r="R2844" s="705">
        <v>25902</v>
      </c>
      <c r="S2844" s="705">
        <v>23548</v>
      </c>
      <c r="T2844" s="705">
        <v>3887</v>
      </c>
      <c r="U2844" s="705">
        <v>1440</v>
      </c>
      <c r="V2844" s="705">
        <v>47968</v>
      </c>
      <c r="W2844" s="705">
        <f t="shared" si="108"/>
        <v>47969</v>
      </c>
      <c r="X2844" s="705">
        <f t="shared" si="109"/>
        <v>85719</v>
      </c>
    </row>
    <row r="2845" spans="2:24">
      <c r="B2845" t="s">
        <v>559</v>
      </c>
      <c r="C2845" t="s">
        <v>120</v>
      </c>
      <c r="D2845" t="s">
        <v>583</v>
      </c>
      <c r="E2845" t="s">
        <v>664</v>
      </c>
      <c r="F2845" s="705">
        <v>1</v>
      </c>
      <c r="G2845" s="705">
        <v>85</v>
      </c>
      <c r="H2845" s="705">
        <v>350</v>
      </c>
      <c r="I2845" s="705">
        <v>15166</v>
      </c>
      <c r="J2845" s="705">
        <v>13787</v>
      </c>
      <c r="K2845" s="705">
        <v>65</v>
      </c>
      <c r="L2845" s="705">
        <v>3983</v>
      </c>
      <c r="M2845" s="705">
        <v>3319</v>
      </c>
      <c r="N2845" s="705">
        <v>2025</v>
      </c>
      <c r="O2845" s="705">
        <v>750</v>
      </c>
      <c r="P2845" s="705">
        <v>621</v>
      </c>
      <c r="Q2845" s="705">
        <v>230</v>
      </c>
      <c r="R2845" s="705">
        <v>5136</v>
      </c>
      <c r="S2845" s="705">
        <v>4669</v>
      </c>
      <c r="T2845" s="705">
        <v>2949</v>
      </c>
      <c r="U2845" s="705">
        <v>1092</v>
      </c>
      <c r="V2845" s="705">
        <v>23848</v>
      </c>
      <c r="W2845" s="705">
        <f t="shared" si="108"/>
        <v>23847</v>
      </c>
      <c r="X2845" s="705">
        <f t="shared" si="109"/>
        <v>29880</v>
      </c>
    </row>
    <row r="2846" spans="2:24">
      <c r="B2846" t="s">
        <v>559</v>
      </c>
      <c r="C2846" t="s">
        <v>120</v>
      </c>
      <c r="D2846" t="s">
        <v>583</v>
      </c>
      <c r="E2846" t="s">
        <v>228</v>
      </c>
      <c r="F2846" s="705">
        <v>7</v>
      </c>
      <c r="G2846" s="705">
        <v>529</v>
      </c>
      <c r="H2846" s="705">
        <v>2505</v>
      </c>
      <c r="I2846" s="705">
        <v>111179</v>
      </c>
      <c r="J2846" s="705">
        <v>101072</v>
      </c>
      <c r="K2846" s="705">
        <v>83</v>
      </c>
      <c r="L2846" s="705">
        <v>26091</v>
      </c>
      <c r="M2846" s="705">
        <v>22773</v>
      </c>
      <c r="N2846" s="705">
        <v>9453</v>
      </c>
      <c r="O2846" s="705">
        <v>3501</v>
      </c>
      <c r="P2846" s="705">
        <v>4347</v>
      </c>
      <c r="Q2846" s="705">
        <v>1610</v>
      </c>
      <c r="R2846" s="705">
        <v>44146</v>
      </c>
      <c r="S2846" s="705">
        <v>16350</v>
      </c>
      <c r="T2846" s="705">
        <v>0</v>
      </c>
      <c r="U2846" s="705">
        <v>0</v>
      </c>
      <c r="V2846" s="705">
        <v>145307</v>
      </c>
      <c r="W2846" s="705">
        <f t="shared" si="108"/>
        <v>145306</v>
      </c>
      <c r="X2846" s="705">
        <f t="shared" si="109"/>
        <v>195216</v>
      </c>
    </row>
    <row r="2847" spans="2:24">
      <c r="B2847" t="s">
        <v>559</v>
      </c>
      <c r="C2847" t="s">
        <v>120</v>
      </c>
      <c r="D2847" t="s">
        <v>583</v>
      </c>
      <c r="E2847" t="s">
        <v>583</v>
      </c>
      <c r="F2847" s="705">
        <v>605</v>
      </c>
      <c r="G2847" s="705">
        <v>55623</v>
      </c>
      <c r="H2847" s="705">
        <v>203922</v>
      </c>
      <c r="I2847" s="705">
        <v>11068785</v>
      </c>
      <c r="J2847" s="705">
        <v>10062532</v>
      </c>
      <c r="K2847" s="705">
        <v>80</v>
      </c>
      <c r="L2847" s="705">
        <v>2527154</v>
      </c>
      <c r="M2847" s="705">
        <v>2138939</v>
      </c>
      <c r="N2847" s="705">
        <v>1156740</v>
      </c>
      <c r="O2847" s="705">
        <v>428422</v>
      </c>
      <c r="P2847" s="705">
        <v>381888</v>
      </c>
      <c r="Q2847" s="705">
        <v>141440</v>
      </c>
      <c r="R2847" s="705">
        <v>2673134</v>
      </c>
      <c r="S2847" s="705">
        <v>2430122</v>
      </c>
      <c r="T2847" s="705">
        <v>1161877</v>
      </c>
      <c r="U2847" s="705">
        <v>430325</v>
      </c>
      <c r="V2847" s="705">
        <v>15631780</v>
      </c>
      <c r="W2847" s="705">
        <f t="shared" si="108"/>
        <v>15631780</v>
      </c>
      <c r="X2847" s="705">
        <f t="shared" si="109"/>
        <v>18969578</v>
      </c>
    </row>
    <row r="2848" spans="2:24">
      <c r="B2848" t="s">
        <v>559</v>
      </c>
      <c r="C2848" t="s">
        <v>120</v>
      </c>
      <c r="D2848" t="s">
        <v>583</v>
      </c>
      <c r="E2848" t="s">
        <v>666</v>
      </c>
      <c r="F2848" s="705">
        <v>2</v>
      </c>
      <c r="G2848" s="705">
        <v>179</v>
      </c>
      <c r="H2848" s="705">
        <v>671</v>
      </c>
      <c r="I2848" s="705">
        <v>30012</v>
      </c>
      <c r="J2848" s="705">
        <v>27283</v>
      </c>
      <c r="K2848" s="705">
        <v>70</v>
      </c>
      <c r="L2848" s="705">
        <v>5830</v>
      </c>
      <c r="M2848" s="705">
        <v>5300</v>
      </c>
      <c r="N2848" s="705">
        <v>4030</v>
      </c>
      <c r="O2848" s="705">
        <v>1492</v>
      </c>
      <c r="P2848" s="705">
        <v>972</v>
      </c>
      <c r="Q2848" s="705">
        <v>360</v>
      </c>
      <c r="R2848" s="705">
        <v>11630</v>
      </c>
      <c r="S2848" s="705">
        <v>10573</v>
      </c>
      <c r="T2848" s="705">
        <v>7244</v>
      </c>
      <c r="U2848" s="705">
        <v>2683</v>
      </c>
      <c r="V2848" s="705">
        <v>47691</v>
      </c>
      <c r="W2848" s="705">
        <f t="shared" si="108"/>
        <v>47691</v>
      </c>
      <c r="X2848" s="705">
        <f t="shared" si="109"/>
        <v>59718</v>
      </c>
    </row>
    <row r="2849" spans="2:24">
      <c r="B2849" t="s">
        <v>559</v>
      </c>
      <c r="C2849" t="s">
        <v>120</v>
      </c>
      <c r="D2849" t="s">
        <v>583</v>
      </c>
      <c r="E2849" t="s">
        <v>584</v>
      </c>
      <c r="F2849" s="705">
        <v>1</v>
      </c>
      <c r="G2849" s="705">
        <v>62</v>
      </c>
      <c r="H2849" s="705">
        <v>303</v>
      </c>
      <c r="I2849" s="705">
        <v>9121</v>
      </c>
      <c r="J2849" s="705">
        <v>8292</v>
      </c>
      <c r="K2849" s="705">
        <v>65</v>
      </c>
      <c r="L2849" s="705">
        <v>1253</v>
      </c>
      <c r="M2849" s="705">
        <v>1139</v>
      </c>
      <c r="N2849" s="705">
        <v>1512</v>
      </c>
      <c r="O2849" s="705">
        <v>560</v>
      </c>
      <c r="P2849" s="705">
        <v>621</v>
      </c>
      <c r="Q2849" s="705">
        <v>230</v>
      </c>
      <c r="R2849" s="705">
        <v>6277</v>
      </c>
      <c r="S2849" s="705">
        <v>5706</v>
      </c>
      <c r="T2849" s="705">
        <v>0</v>
      </c>
      <c r="U2849" s="705">
        <v>0</v>
      </c>
      <c r="V2849" s="705">
        <v>15927</v>
      </c>
      <c r="W2849" s="705">
        <f t="shared" si="108"/>
        <v>15927</v>
      </c>
      <c r="X2849" s="705">
        <f t="shared" si="109"/>
        <v>18784</v>
      </c>
    </row>
    <row r="2850" spans="2:24">
      <c r="B2850" t="s">
        <v>559</v>
      </c>
      <c r="C2850" t="s">
        <v>120</v>
      </c>
      <c r="D2850" t="s">
        <v>666</v>
      </c>
      <c r="E2850" t="s">
        <v>666</v>
      </c>
      <c r="F2850" s="705">
        <v>20</v>
      </c>
      <c r="G2850" s="705">
        <v>1672</v>
      </c>
      <c r="H2850" s="705">
        <v>6767</v>
      </c>
      <c r="I2850" s="705">
        <v>338684</v>
      </c>
      <c r="J2850" s="705">
        <v>307894</v>
      </c>
      <c r="K2850" s="705">
        <v>57</v>
      </c>
      <c r="L2850" s="705">
        <v>41708</v>
      </c>
      <c r="M2850" s="705">
        <v>32427</v>
      </c>
      <c r="N2850" s="705">
        <v>30880</v>
      </c>
      <c r="O2850" s="705">
        <v>11437</v>
      </c>
      <c r="P2850" s="705">
        <v>7412</v>
      </c>
      <c r="Q2850" s="705">
        <v>2745</v>
      </c>
      <c r="R2850" s="705">
        <v>100745</v>
      </c>
      <c r="S2850" s="705">
        <v>91586</v>
      </c>
      <c r="T2850" s="705">
        <v>43017</v>
      </c>
      <c r="U2850" s="705">
        <v>15932</v>
      </c>
      <c r="V2850" s="705">
        <v>462021</v>
      </c>
      <c r="W2850" s="705">
        <f t="shared" ref="W2850:W2903" si="110">SUM(ABS(J2850),ABS(M2850),ABS(O2850),ABS(Q2850),ABS(S2850),ABS(U2850))</f>
        <v>462021</v>
      </c>
      <c r="X2850" s="705">
        <f t="shared" ref="X2850:X2903" si="111">SUM(ABS(I2850),ABS(N2850),ABS(P2850),ABS(R2850),ABS(T2850),ABS(L2850))</f>
        <v>562446</v>
      </c>
    </row>
    <row r="2851" spans="2:24">
      <c r="B2851" t="s">
        <v>559</v>
      </c>
      <c r="C2851" t="s">
        <v>120</v>
      </c>
      <c r="D2851" t="s">
        <v>584</v>
      </c>
      <c r="E2851" t="s">
        <v>228</v>
      </c>
      <c r="F2851" s="705">
        <v>4</v>
      </c>
      <c r="G2851" s="705">
        <v>539</v>
      </c>
      <c r="H2851" s="705">
        <v>1486</v>
      </c>
      <c r="I2851" s="705">
        <v>126732</v>
      </c>
      <c r="J2851" s="705">
        <v>115211</v>
      </c>
      <c r="K2851" s="705">
        <v>81</v>
      </c>
      <c r="L2851" s="705">
        <v>36731</v>
      </c>
      <c r="M2851" s="705">
        <v>28467</v>
      </c>
      <c r="N2851" s="705">
        <v>11835</v>
      </c>
      <c r="O2851" s="705">
        <v>4383</v>
      </c>
      <c r="P2851" s="705">
        <v>1890</v>
      </c>
      <c r="Q2851" s="705">
        <v>700</v>
      </c>
      <c r="R2851" s="705">
        <v>23016</v>
      </c>
      <c r="S2851" s="705">
        <v>8524</v>
      </c>
      <c r="T2851" s="705">
        <v>0</v>
      </c>
      <c r="U2851" s="705">
        <v>0</v>
      </c>
      <c r="V2851" s="705">
        <v>157285</v>
      </c>
      <c r="W2851" s="705">
        <f t="shared" si="110"/>
        <v>157285</v>
      </c>
      <c r="X2851" s="705">
        <f t="shared" si="111"/>
        <v>200204</v>
      </c>
    </row>
    <row r="2852" spans="2:24">
      <c r="B2852" t="s">
        <v>559</v>
      </c>
      <c r="C2852" t="s">
        <v>120</v>
      </c>
      <c r="D2852" t="s">
        <v>584</v>
      </c>
      <c r="E2852" t="s">
        <v>584</v>
      </c>
      <c r="F2852" s="705">
        <v>539</v>
      </c>
      <c r="G2852" s="705">
        <v>49450</v>
      </c>
      <c r="H2852" s="705">
        <v>182087</v>
      </c>
      <c r="I2852" s="705">
        <v>9776037</v>
      </c>
      <c r="J2852" s="705">
        <v>8887307</v>
      </c>
      <c r="K2852" s="705">
        <v>77</v>
      </c>
      <c r="L2852" s="705">
        <v>2468744</v>
      </c>
      <c r="M2852" s="705">
        <v>2135463</v>
      </c>
      <c r="N2852" s="705">
        <v>1043098</v>
      </c>
      <c r="O2852" s="705">
        <v>386333</v>
      </c>
      <c r="P2852" s="705">
        <v>256689</v>
      </c>
      <c r="Q2852" s="705">
        <v>95070</v>
      </c>
      <c r="R2852" s="705">
        <v>2583079</v>
      </c>
      <c r="S2852" s="705">
        <v>2348254</v>
      </c>
      <c r="T2852" s="705">
        <v>846486</v>
      </c>
      <c r="U2852" s="705">
        <v>313513</v>
      </c>
      <c r="V2852" s="705">
        <v>14165940</v>
      </c>
      <c r="W2852" s="705">
        <f t="shared" si="110"/>
        <v>14165940</v>
      </c>
      <c r="X2852" s="705">
        <f t="shared" si="111"/>
        <v>16974133</v>
      </c>
    </row>
    <row r="2853" spans="2:24">
      <c r="B2853" t="s">
        <v>559</v>
      </c>
      <c r="C2853" t="s">
        <v>120</v>
      </c>
      <c r="D2853" t="s">
        <v>669</v>
      </c>
      <c r="E2853" t="s">
        <v>228</v>
      </c>
      <c r="F2853" s="705">
        <v>35</v>
      </c>
      <c r="G2853" s="705">
        <v>2779</v>
      </c>
      <c r="H2853" s="705">
        <v>11320</v>
      </c>
      <c r="I2853" s="705">
        <v>470031</v>
      </c>
      <c r="J2853" s="705">
        <v>391693</v>
      </c>
      <c r="K2853" s="705">
        <v>55</v>
      </c>
      <c r="L2853" s="705">
        <v>86649</v>
      </c>
      <c r="M2853" s="705">
        <v>66386</v>
      </c>
      <c r="N2853" s="705">
        <v>60547</v>
      </c>
      <c r="O2853" s="705">
        <v>22425</v>
      </c>
      <c r="P2853" s="705">
        <v>12555</v>
      </c>
      <c r="Q2853" s="705">
        <v>4650</v>
      </c>
      <c r="R2853" s="705">
        <v>267564</v>
      </c>
      <c r="S2853" s="705">
        <v>99098</v>
      </c>
      <c r="T2853" s="705">
        <v>0</v>
      </c>
      <c r="U2853" s="705">
        <v>0</v>
      </c>
      <c r="V2853" s="705">
        <v>584251</v>
      </c>
      <c r="W2853" s="705">
        <f t="shared" si="110"/>
        <v>584252</v>
      </c>
      <c r="X2853" s="705">
        <f t="shared" si="111"/>
        <v>897346</v>
      </c>
    </row>
    <row r="2854" spans="2:24">
      <c r="B2854" t="s">
        <v>559</v>
      </c>
      <c r="C2854" t="s">
        <v>120</v>
      </c>
      <c r="D2854" t="s">
        <v>669</v>
      </c>
      <c r="E2854" t="s">
        <v>584</v>
      </c>
      <c r="F2854" s="705">
        <v>1</v>
      </c>
      <c r="G2854" s="705">
        <v>85</v>
      </c>
      <c r="H2854" s="705">
        <v>315</v>
      </c>
      <c r="I2854" s="705">
        <v>15267</v>
      </c>
      <c r="J2854" s="705">
        <v>12723</v>
      </c>
      <c r="K2854" s="705">
        <v>55</v>
      </c>
      <c r="L2854" s="705">
        <v>2099</v>
      </c>
      <c r="M2854" s="705">
        <v>777</v>
      </c>
      <c r="N2854" s="705">
        <v>1030</v>
      </c>
      <c r="O2854" s="705">
        <v>381</v>
      </c>
      <c r="P2854" s="705">
        <v>351</v>
      </c>
      <c r="Q2854" s="705">
        <v>130</v>
      </c>
      <c r="R2854" s="705">
        <v>5385</v>
      </c>
      <c r="S2854" s="705">
        <v>4895</v>
      </c>
      <c r="T2854" s="705">
        <v>2494</v>
      </c>
      <c r="U2854" s="705">
        <v>924</v>
      </c>
      <c r="V2854" s="705">
        <v>19830</v>
      </c>
      <c r="W2854" s="705">
        <f t="shared" si="110"/>
        <v>19830</v>
      </c>
      <c r="X2854" s="705">
        <f t="shared" si="111"/>
        <v>26626</v>
      </c>
    </row>
    <row r="2855" spans="2:24">
      <c r="B2855" t="s">
        <v>559</v>
      </c>
      <c r="C2855" t="s">
        <v>120</v>
      </c>
      <c r="D2855" t="s">
        <v>669</v>
      </c>
      <c r="E2855" t="s">
        <v>669</v>
      </c>
      <c r="F2855" s="705">
        <v>34</v>
      </c>
      <c r="G2855" s="705">
        <v>2730</v>
      </c>
      <c r="H2855" s="705">
        <v>11493</v>
      </c>
      <c r="I2855" s="705">
        <v>557408</v>
      </c>
      <c r="J2855" s="705">
        <v>464507</v>
      </c>
      <c r="K2855" s="705">
        <v>56</v>
      </c>
      <c r="L2855" s="705">
        <v>60714</v>
      </c>
      <c r="M2855" s="705">
        <v>36199</v>
      </c>
      <c r="N2855" s="705">
        <v>47499</v>
      </c>
      <c r="O2855" s="705">
        <v>17592</v>
      </c>
      <c r="P2855" s="705">
        <v>12839</v>
      </c>
      <c r="Q2855" s="705">
        <v>4755</v>
      </c>
      <c r="R2855" s="705">
        <v>184141</v>
      </c>
      <c r="S2855" s="705">
        <v>153451</v>
      </c>
      <c r="T2855" s="705">
        <v>78144</v>
      </c>
      <c r="U2855" s="705">
        <v>28942</v>
      </c>
      <c r="V2855" s="705">
        <v>705446</v>
      </c>
      <c r="W2855" s="705">
        <f t="shared" si="110"/>
        <v>705446</v>
      </c>
      <c r="X2855" s="705">
        <f t="shared" si="111"/>
        <v>940745</v>
      </c>
    </row>
    <row r="2856" spans="2:24">
      <c r="B2856" t="s">
        <v>559</v>
      </c>
      <c r="C2856" t="s">
        <v>120</v>
      </c>
      <c r="D2856" t="s">
        <v>665</v>
      </c>
      <c r="E2856" t="s">
        <v>228</v>
      </c>
      <c r="F2856" s="705">
        <v>1</v>
      </c>
      <c r="G2856" s="705">
        <v>45</v>
      </c>
      <c r="H2856" s="705">
        <v>338</v>
      </c>
      <c r="I2856" s="705">
        <v>9509</v>
      </c>
      <c r="J2856" s="705">
        <v>8645</v>
      </c>
      <c r="K2856" s="705">
        <v>60</v>
      </c>
      <c r="L2856" s="705">
        <v>1556</v>
      </c>
      <c r="M2856" s="705">
        <v>576</v>
      </c>
      <c r="N2856" s="705">
        <v>989</v>
      </c>
      <c r="O2856" s="705">
        <v>366</v>
      </c>
      <c r="P2856" s="705">
        <v>0</v>
      </c>
      <c r="Q2856" s="705">
        <v>0</v>
      </c>
      <c r="R2856" s="705">
        <v>3167</v>
      </c>
      <c r="S2856" s="705">
        <v>1173</v>
      </c>
      <c r="T2856" s="705">
        <v>0</v>
      </c>
      <c r="U2856" s="705">
        <v>0</v>
      </c>
      <c r="V2856" s="705">
        <v>10761</v>
      </c>
      <c r="W2856" s="705">
        <f t="shared" si="110"/>
        <v>10760</v>
      </c>
      <c r="X2856" s="705">
        <f t="shared" si="111"/>
        <v>15221</v>
      </c>
    </row>
    <row r="2857" spans="2:24">
      <c r="B2857" t="s">
        <v>559</v>
      </c>
      <c r="C2857" t="s">
        <v>120</v>
      </c>
      <c r="D2857" t="s">
        <v>665</v>
      </c>
      <c r="E2857" t="s">
        <v>583</v>
      </c>
      <c r="F2857" s="705">
        <v>1</v>
      </c>
      <c r="G2857" s="705">
        <v>86</v>
      </c>
      <c r="H2857" s="705">
        <v>370</v>
      </c>
      <c r="I2857" s="705">
        <v>20226</v>
      </c>
      <c r="J2857" s="705">
        <v>18387</v>
      </c>
      <c r="K2857" s="705">
        <v>65</v>
      </c>
      <c r="L2857" s="705">
        <v>1712</v>
      </c>
      <c r="M2857" s="705">
        <v>1557</v>
      </c>
      <c r="N2857" s="705">
        <v>2093</v>
      </c>
      <c r="O2857" s="705">
        <v>775</v>
      </c>
      <c r="P2857" s="705">
        <v>621</v>
      </c>
      <c r="Q2857" s="705">
        <v>230</v>
      </c>
      <c r="R2857" s="705">
        <v>4580</v>
      </c>
      <c r="S2857" s="705">
        <v>4163</v>
      </c>
      <c r="T2857" s="705">
        <v>2512</v>
      </c>
      <c r="U2857" s="705">
        <v>930</v>
      </c>
      <c r="V2857" s="705">
        <v>26043</v>
      </c>
      <c r="W2857" s="705">
        <f t="shared" si="110"/>
        <v>26042</v>
      </c>
      <c r="X2857" s="705">
        <f t="shared" si="111"/>
        <v>31744</v>
      </c>
    </row>
    <row r="2858" spans="2:24">
      <c r="B2858" t="s">
        <v>559</v>
      </c>
      <c r="C2858" t="s">
        <v>120</v>
      </c>
      <c r="D2858" t="s">
        <v>665</v>
      </c>
      <c r="E2858" t="s">
        <v>665</v>
      </c>
      <c r="F2858" s="705">
        <v>102</v>
      </c>
      <c r="G2858" s="705">
        <v>7537</v>
      </c>
      <c r="H2858" s="705">
        <v>34387</v>
      </c>
      <c r="I2858" s="705">
        <v>1529319</v>
      </c>
      <c r="J2858" s="705">
        <v>1390290</v>
      </c>
      <c r="K2858" s="705">
        <v>56</v>
      </c>
      <c r="L2858" s="705">
        <v>105197</v>
      </c>
      <c r="M2858" s="705">
        <v>86370</v>
      </c>
      <c r="N2858" s="705">
        <v>148664</v>
      </c>
      <c r="O2858" s="705">
        <v>55061</v>
      </c>
      <c r="P2858" s="705">
        <v>39231</v>
      </c>
      <c r="Q2858" s="705">
        <v>14530</v>
      </c>
      <c r="R2858" s="705">
        <v>491793</v>
      </c>
      <c r="S2858" s="705">
        <v>447085</v>
      </c>
      <c r="T2858" s="705">
        <v>225837</v>
      </c>
      <c r="U2858" s="705">
        <v>83643</v>
      </c>
      <c r="V2858" s="705">
        <v>2076979</v>
      </c>
      <c r="W2858" s="705">
        <f t="shared" si="110"/>
        <v>2076979</v>
      </c>
      <c r="X2858" s="705">
        <f t="shared" si="111"/>
        <v>2540041</v>
      </c>
    </row>
    <row r="2859" spans="2:24">
      <c r="B2859" t="s">
        <v>559</v>
      </c>
      <c r="C2859" t="s">
        <v>120</v>
      </c>
      <c r="D2859" t="s">
        <v>585</v>
      </c>
      <c r="E2859" t="s">
        <v>585</v>
      </c>
      <c r="F2859" s="705">
        <v>1</v>
      </c>
      <c r="G2859" s="705">
        <v>49</v>
      </c>
      <c r="H2859" s="705">
        <v>356</v>
      </c>
      <c r="I2859" s="705">
        <v>9161</v>
      </c>
      <c r="J2859" s="705">
        <v>8328</v>
      </c>
      <c r="K2859" s="705">
        <v>65</v>
      </c>
      <c r="L2859" s="705">
        <v>1018</v>
      </c>
      <c r="M2859" s="705">
        <v>925</v>
      </c>
      <c r="N2859" s="705">
        <v>1188</v>
      </c>
      <c r="O2859" s="705">
        <v>440</v>
      </c>
      <c r="P2859" s="705">
        <v>351</v>
      </c>
      <c r="Q2859" s="705">
        <v>130</v>
      </c>
      <c r="R2859" s="705">
        <v>3753</v>
      </c>
      <c r="S2859" s="705">
        <v>3412</v>
      </c>
      <c r="T2859" s="705">
        <v>1862</v>
      </c>
      <c r="U2859" s="705">
        <v>690</v>
      </c>
      <c r="V2859" s="705">
        <v>13925</v>
      </c>
      <c r="W2859" s="705">
        <f t="shared" si="110"/>
        <v>13925</v>
      </c>
      <c r="X2859" s="705">
        <f t="shared" si="111"/>
        <v>17333</v>
      </c>
    </row>
    <row r="2860" spans="2:24">
      <c r="B2860" t="s">
        <v>559</v>
      </c>
      <c r="C2860" t="s">
        <v>122</v>
      </c>
      <c r="F2860" s="705">
        <v>1</v>
      </c>
      <c r="G2860" s="705">
        <v>59</v>
      </c>
      <c r="H2860" s="705">
        <v>427</v>
      </c>
      <c r="I2860" s="705"/>
      <c r="J2860" s="705">
        <v>0</v>
      </c>
      <c r="K2860" s="705"/>
      <c r="L2860" s="705"/>
      <c r="M2860" s="705">
        <v>0</v>
      </c>
      <c r="N2860" s="705">
        <v>1427</v>
      </c>
      <c r="O2860" s="705">
        <v>528</v>
      </c>
      <c r="P2860" s="705">
        <v>621</v>
      </c>
      <c r="Q2860" s="705">
        <v>230</v>
      </c>
      <c r="R2860" s="705"/>
      <c r="S2860" s="705">
        <v>0</v>
      </c>
      <c r="T2860" s="705">
        <v>0</v>
      </c>
      <c r="U2860" s="705">
        <v>0</v>
      </c>
      <c r="V2860" s="705">
        <v>758</v>
      </c>
      <c r="W2860" s="705">
        <f t="shared" si="110"/>
        <v>758</v>
      </c>
      <c r="X2860" s="705">
        <f t="shared" si="111"/>
        <v>2048</v>
      </c>
    </row>
    <row r="2861" spans="2:24">
      <c r="B2861" t="s">
        <v>559</v>
      </c>
      <c r="C2861" t="s">
        <v>122</v>
      </c>
      <c r="D2861" t="s">
        <v>664</v>
      </c>
      <c r="E2861" t="s">
        <v>664</v>
      </c>
      <c r="F2861" s="705">
        <v>1</v>
      </c>
      <c r="G2861" s="705">
        <v>75</v>
      </c>
      <c r="H2861" s="705">
        <v>407</v>
      </c>
      <c r="I2861" s="705">
        <v>19633</v>
      </c>
      <c r="J2861" s="705">
        <v>17848</v>
      </c>
      <c r="K2861" s="705">
        <v>65</v>
      </c>
      <c r="L2861" s="705">
        <v>2247</v>
      </c>
      <c r="M2861" s="705">
        <v>2043</v>
      </c>
      <c r="N2861" s="705">
        <v>1413</v>
      </c>
      <c r="O2861" s="705">
        <v>523</v>
      </c>
      <c r="P2861" s="705">
        <v>473</v>
      </c>
      <c r="Q2861" s="705">
        <v>175</v>
      </c>
      <c r="R2861" s="705">
        <v>4442</v>
      </c>
      <c r="S2861" s="705">
        <v>4038</v>
      </c>
      <c r="T2861" s="705">
        <v>2229</v>
      </c>
      <c r="U2861" s="705">
        <v>826</v>
      </c>
      <c r="V2861" s="705">
        <v>25453</v>
      </c>
      <c r="W2861" s="705">
        <f t="shared" si="110"/>
        <v>25453</v>
      </c>
      <c r="X2861" s="705">
        <f t="shared" si="111"/>
        <v>30437</v>
      </c>
    </row>
    <row r="2862" spans="2:24">
      <c r="B2862" t="s">
        <v>559</v>
      </c>
      <c r="C2862" t="s">
        <v>122</v>
      </c>
      <c r="D2862" t="s">
        <v>228</v>
      </c>
      <c r="E2862" t="s">
        <v>228</v>
      </c>
      <c r="F2862" s="705">
        <v>85</v>
      </c>
      <c r="G2862" s="705">
        <v>6237</v>
      </c>
      <c r="H2862" s="705">
        <v>34794</v>
      </c>
      <c r="I2862" s="705">
        <v>1558017</v>
      </c>
      <c r="J2862" s="705">
        <v>577043</v>
      </c>
      <c r="K2862" s="705">
        <v>100</v>
      </c>
      <c r="L2862" s="705">
        <v>248626</v>
      </c>
      <c r="M2862" s="705">
        <v>162371</v>
      </c>
      <c r="N2862" s="705">
        <v>135355</v>
      </c>
      <c r="O2862" s="705">
        <v>50131</v>
      </c>
      <c r="P2862" s="705">
        <v>351</v>
      </c>
      <c r="Q2862" s="705">
        <v>130</v>
      </c>
      <c r="R2862" s="705">
        <v>617536</v>
      </c>
      <c r="S2862" s="705">
        <v>228717</v>
      </c>
      <c r="T2862" s="705">
        <v>1951</v>
      </c>
      <c r="U2862" s="705">
        <v>723</v>
      </c>
      <c r="V2862" s="705">
        <v>1019115</v>
      </c>
      <c r="W2862" s="705">
        <f t="shared" si="110"/>
        <v>1019115</v>
      </c>
      <c r="X2862" s="705">
        <f t="shared" si="111"/>
        <v>2561836</v>
      </c>
    </row>
    <row r="2863" spans="2:24">
      <c r="B2863" t="s">
        <v>559</v>
      </c>
      <c r="C2863" t="s">
        <v>122</v>
      </c>
      <c r="D2863" t="s">
        <v>228</v>
      </c>
      <c r="E2863" t="s">
        <v>666</v>
      </c>
      <c r="F2863" s="705">
        <v>2</v>
      </c>
      <c r="G2863" s="705">
        <v>166</v>
      </c>
      <c r="H2863" s="705">
        <v>808</v>
      </c>
      <c r="I2863" s="705">
        <v>32764</v>
      </c>
      <c r="J2863" s="705">
        <v>12135</v>
      </c>
      <c r="K2863" s="705">
        <v>100</v>
      </c>
      <c r="L2863" s="705">
        <v>2966</v>
      </c>
      <c r="M2863" s="705">
        <v>2697</v>
      </c>
      <c r="N2863" s="705">
        <v>4039</v>
      </c>
      <c r="O2863" s="705">
        <v>1496</v>
      </c>
      <c r="P2863" s="705">
        <v>0</v>
      </c>
      <c r="Q2863" s="705">
        <v>0</v>
      </c>
      <c r="R2863" s="705">
        <v>18260</v>
      </c>
      <c r="S2863" s="705">
        <v>16600</v>
      </c>
      <c r="T2863" s="705">
        <v>8864</v>
      </c>
      <c r="U2863" s="705">
        <v>3283</v>
      </c>
      <c r="V2863" s="705">
        <v>36210</v>
      </c>
      <c r="W2863" s="705">
        <f t="shared" si="110"/>
        <v>36211</v>
      </c>
      <c r="X2863" s="705">
        <f t="shared" si="111"/>
        <v>66893</v>
      </c>
    </row>
    <row r="2864" spans="2:24">
      <c r="B2864" t="s">
        <v>559</v>
      </c>
      <c r="C2864" t="s">
        <v>122</v>
      </c>
      <c r="D2864" t="s">
        <v>228</v>
      </c>
      <c r="E2864" t="s">
        <v>584</v>
      </c>
      <c r="F2864" s="705">
        <v>2</v>
      </c>
      <c r="G2864" s="705">
        <v>405</v>
      </c>
      <c r="H2864" s="705">
        <v>822</v>
      </c>
      <c r="I2864" s="705">
        <v>138233</v>
      </c>
      <c r="J2864" s="705">
        <v>51197</v>
      </c>
      <c r="K2864" s="705">
        <v>100</v>
      </c>
      <c r="L2864" s="705">
        <v>18890</v>
      </c>
      <c r="M2864" s="705">
        <v>17173</v>
      </c>
      <c r="N2864" s="705">
        <v>8371</v>
      </c>
      <c r="O2864" s="705">
        <v>3100</v>
      </c>
      <c r="P2864" s="705">
        <v>473</v>
      </c>
      <c r="Q2864" s="705">
        <v>175</v>
      </c>
      <c r="R2864" s="705">
        <v>11042</v>
      </c>
      <c r="S2864" s="705">
        <v>10038</v>
      </c>
      <c r="T2864" s="705">
        <v>3870</v>
      </c>
      <c r="U2864" s="705">
        <v>1433</v>
      </c>
      <c r="V2864" s="705">
        <v>83117</v>
      </c>
      <c r="W2864" s="705">
        <f t="shared" si="110"/>
        <v>83116</v>
      </c>
      <c r="X2864" s="705">
        <f t="shared" si="111"/>
        <v>180879</v>
      </c>
    </row>
    <row r="2865" spans="2:24">
      <c r="B2865" t="s">
        <v>559</v>
      </c>
      <c r="C2865" t="s">
        <v>122</v>
      </c>
      <c r="D2865" t="s">
        <v>228</v>
      </c>
      <c r="E2865" t="s">
        <v>665</v>
      </c>
      <c r="F2865" s="705">
        <v>3</v>
      </c>
      <c r="G2865" s="705">
        <v>227</v>
      </c>
      <c r="H2865" s="705">
        <v>1219</v>
      </c>
      <c r="I2865" s="705">
        <v>60727</v>
      </c>
      <c r="J2865" s="705">
        <v>22491</v>
      </c>
      <c r="K2865" s="705">
        <v>100</v>
      </c>
      <c r="L2865" s="705">
        <v>5498</v>
      </c>
      <c r="M2865" s="705">
        <v>4998</v>
      </c>
      <c r="N2865" s="705">
        <v>4969</v>
      </c>
      <c r="O2865" s="705">
        <v>1840</v>
      </c>
      <c r="P2865" s="705">
        <v>702</v>
      </c>
      <c r="Q2865" s="705">
        <v>260</v>
      </c>
      <c r="R2865" s="705">
        <v>16720</v>
      </c>
      <c r="S2865" s="705">
        <v>15200</v>
      </c>
      <c r="T2865" s="705">
        <v>3849</v>
      </c>
      <c r="U2865" s="705">
        <v>1425</v>
      </c>
      <c r="V2865" s="705">
        <v>46216</v>
      </c>
      <c r="W2865" s="705">
        <f t="shared" si="110"/>
        <v>46214</v>
      </c>
      <c r="X2865" s="705">
        <f t="shared" si="111"/>
        <v>92465</v>
      </c>
    </row>
    <row r="2866" spans="2:24">
      <c r="B2866" t="s">
        <v>559</v>
      </c>
      <c r="C2866" t="s">
        <v>122</v>
      </c>
      <c r="D2866" t="s">
        <v>583</v>
      </c>
      <c r="E2866" t="s">
        <v>228</v>
      </c>
      <c r="F2866" s="705">
        <v>5</v>
      </c>
      <c r="G2866" s="705">
        <v>929</v>
      </c>
      <c r="H2866" s="705">
        <v>2067</v>
      </c>
      <c r="I2866" s="705">
        <v>252534</v>
      </c>
      <c r="J2866" s="705">
        <v>229576</v>
      </c>
      <c r="K2866" s="705">
        <v>76</v>
      </c>
      <c r="L2866" s="705">
        <v>60672</v>
      </c>
      <c r="M2866" s="705">
        <v>53725</v>
      </c>
      <c r="N2866" s="705">
        <v>20033</v>
      </c>
      <c r="O2866" s="705">
        <v>7420</v>
      </c>
      <c r="P2866" s="705">
        <v>3105</v>
      </c>
      <c r="Q2866" s="705">
        <v>1150</v>
      </c>
      <c r="R2866" s="705">
        <v>36092</v>
      </c>
      <c r="S2866" s="705">
        <v>13368</v>
      </c>
      <c r="T2866" s="705">
        <v>0</v>
      </c>
      <c r="U2866" s="705">
        <v>0</v>
      </c>
      <c r="V2866" s="705">
        <v>305238</v>
      </c>
      <c r="W2866" s="705">
        <f t="shared" si="110"/>
        <v>305239</v>
      </c>
      <c r="X2866" s="705">
        <f t="shared" si="111"/>
        <v>372436</v>
      </c>
    </row>
    <row r="2867" spans="2:24">
      <c r="B2867" t="s">
        <v>559</v>
      </c>
      <c r="C2867" t="s">
        <v>122</v>
      </c>
      <c r="D2867" t="s">
        <v>583</v>
      </c>
      <c r="E2867" t="s">
        <v>583</v>
      </c>
      <c r="F2867" s="705">
        <v>230</v>
      </c>
      <c r="G2867" s="705">
        <v>20939</v>
      </c>
      <c r="H2867" s="705">
        <v>95170</v>
      </c>
      <c r="I2867" s="705">
        <v>5409014</v>
      </c>
      <c r="J2867" s="705">
        <v>4917285</v>
      </c>
      <c r="K2867" s="705">
        <v>78</v>
      </c>
      <c r="L2867" s="705">
        <v>1204509</v>
      </c>
      <c r="M2867" s="705">
        <v>1031980</v>
      </c>
      <c r="N2867" s="705">
        <v>452989</v>
      </c>
      <c r="O2867" s="705">
        <v>167774</v>
      </c>
      <c r="P2867" s="705">
        <v>144936</v>
      </c>
      <c r="Q2867" s="705">
        <v>53680</v>
      </c>
      <c r="R2867" s="705">
        <v>1063688</v>
      </c>
      <c r="S2867" s="705">
        <v>966989</v>
      </c>
      <c r="T2867" s="705">
        <v>456482</v>
      </c>
      <c r="U2867" s="705">
        <v>169067</v>
      </c>
      <c r="V2867" s="705">
        <v>7306775</v>
      </c>
      <c r="W2867" s="705">
        <f t="shared" si="110"/>
        <v>7306775</v>
      </c>
      <c r="X2867" s="705">
        <f t="shared" si="111"/>
        <v>8731618</v>
      </c>
    </row>
    <row r="2868" spans="2:24">
      <c r="B2868" t="s">
        <v>559</v>
      </c>
      <c r="C2868" t="s">
        <v>122</v>
      </c>
      <c r="D2868" t="s">
        <v>666</v>
      </c>
      <c r="E2868" t="s">
        <v>666</v>
      </c>
      <c r="F2868" s="705">
        <v>9</v>
      </c>
      <c r="G2868" s="705">
        <v>518</v>
      </c>
      <c r="H2868" s="705">
        <v>3746</v>
      </c>
      <c r="I2868" s="705">
        <v>131912</v>
      </c>
      <c r="J2868" s="705">
        <v>119920</v>
      </c>
      <c r="K2868" s="705">
        <v>55</v>
      </c>
      <c r="L2868" s="705">
        <v>13947</v>
      </c>
      <c r="M2868" s="705">
        <v>11518</v>
      </c>
      <c r="N2868" s="705">
        <v>10168</v>
      </c>
      <c r="O2868" s="705">
        <v>3766</v>
      </c>
      <c r="P2868" s="705">
        <v>3429</v>
      </c>
      <c r="Q2868" s="705">
        <v>1270</v>
      </c>
      <c r="R2868" s="705">
        <v>38849</v>
      </c>
      <c r="S2868" s="705">
        <v>35317</v>
      </c>
      <c r="T2868" s="705">
        <v>16972</v>
      </c>
      <c r="U2868" s="705">
        <v>6286</v>
      </c>
      <c r="V2868" s="705">
        <v>178077</v>
      </c>
      <c r="W2868" s="705">
        <f t="shared" si="110"/>
        <v>178077</v>
      </c>
      <c r="X2868" s="705">
        <f t="shared" si="111"/>
        <v>215277</v>
      </c>
    </row>
    <row r="2869" spans="2:24">
      <c r="B2869" t="s">
        <v>559</v>
      </c>
      <c r="C2869" t="s">
        <v>122</v>
      </c>
      <c r="D2869" t="s">
        <v>584</v>
      </c>
      <c r="E2869" t="s">
        <v>228</v>
      </c>
      <c r="F2869" s="705">
        <v>1</v>
      </c>
      <c r="G2869" s="705">
        <v>94</v>
      </c>
      <c r="H2869" s="705">
        <v>397</v>
      </c>
      <c r="I2869" s="705">
        <v>18808</v>
      </c>
      <c r="J2869" s="705">
        <v>17098</v>
      </c>
      <c r="K2869" s="705">
        <v>78</v>
      </c>
      <c r="L2869" s="705">
        <v>2461</v>
      </c>
      <c r="M2869" s="705">
        <v>2238</v>
      </c>
      <c r="N2869" s="705">
        <v>2284</v>
      </c>
      <c r="O2869" s="705">
        <v>846</v>
      </c>
      <c r="P2869" s="705">
        <v>473</v>
      </c>
      <c r="Q2869" s="705">
        <v>175</v>
      </c>
      <c r="R2869" s="705">
        <v>13228</v>
      </c>
      <c r="S2869" s="705">
        <v>4899</v>
      </c>
      <c r="T2869" s="705">
        <v>0</v>
      </c>
      <c r="U2869" s="705">
        <v>0</v>
      </c>
      <c r="V2869" s="705">
        <v>25256</v>
      </c>
      <c r="W2869" s="705">
        <f t="shared" si="110"/>
        <v>25256</v>
      </c>
      <c r="X2869" s="705">
        <f t="shared" si="111"/>
        <v>37254</v>
      </c>
    </row>
    <row r="2870" spans="2:24">
      <c r="B2870" t="s">
        <v>559</v>
      </c>
      <c r="C2870" t="s">
        <v>122</v>
      </c>
      <c r="D2870" t="s">
        <v>584</v>
      </c>
      <c r="E2870" t="s">
        <v>584</v>
      </c>
      <c r="F2870" s="705">
        <v>175</v>
      </c>
      <c r="G2870" s="705">
        <v>15858</v>
      </c>
      <c r="H2870" s="705">
        <v>72207</v>
      </c>
      <c r="I2870" s="705">
        <v>3970230</v>
      </c>
      <c r="J2870" s="705">
        <v>3609300</v>
      </c>
      <c r="K2870" s="705">
        <v>76</v>
      </c>
      <c r="L2870" s="705">
        <v>1076850</v>
      </c>
      <c r="M2870" s="705">
        <v>930603</v>
      </c>
      <c r="N2870" s="705">
        <v>337551</v>
      </c>
      <c r="O2870" s="705">
        <v>125019</v>
      </c>
      <c r="P2870" s="705">
        <v>82188</v>
      </c>
      <c r="Q2870" s="705">
        <v>30440</v>
      </c>
      <c r="R2870" s="705">
        <v>831871</v>
      </c>
      <c r="S2870" s="705">
        <v>756246</v>
      </c>
      <c r="T2870" s="705">
        <v>318353</v>
      </c>
      <c r="U2870" s="705">
        <v>117909</v>
      </c>
      <c r="V2870" s="705">
        <v>5569517</v>
      </c>
      <c r="W2870" s="705">
        <f t="shared" si="110"/>
        <v>5569517</v>
      </c>
      <c r="X2870" s="705">
        <f t="shared" si="111"/>
        <v>6617043</v>
      </c>
    </row>
    <row r="2871" spans="2:24">
      <c r="B2871" t="s">
        <v>559</v>
      </c>
      <c r="C2871" t="s">
        <v>122</v>
      </c>
      <c r="D2871" t="s">
        <v>669</v>
      </c>
      <c r="E2871" t="s">
        <v>228</v>
      </c>
      <c r="F2871" s="705">
        <v>5</v>
      </c>
      <c r="G2871" s="705">
        <v>318</v>
      </c>
      <c r="H2871" s="705">
        <v>2067</v>
      </c>
      <c r="I2871" s="705">
        <v>67432</v>
      </c>
      <c r="J2871" s="705">
        <v>56193</v>
      </c>
      <c r="K2871" s="705">
        <v>58</v>
      </c>
      <c r="L2871" s="705">
        <v>14422</v>
      </c>
      <c r="M2871" s="705">
        <v>6981</v>
      </c>
      <c r="N2871" s="705">
        <v>7150</v>
      </c>
      <c r="O2871" s="705">
        <v>2648</v>
      </c>
      <c r="P2871" s="705">
        <v>1404</v>
      </c>
      <c r="Q2871" s="705">
        <v>520</v>
      </c>
      <c r="R2871" s="705">
        <v>39482</v>
      </c>
      <c r="S2871" s="705">
        <v>14623</v>
      </c>
      <c r="T2871" s="705">
        <v>0</v>
      </c>
      <c r="U2871" s="705">
        <v>0</v>
      </c>
      <c r="V2871" s="705">
        <v>80966</v>
      </c>
      <c r="W2871" s="705">
        <f t="shared" si="110"/>
        <v>80965</v>
      </c>
      <c r="X2871" s="705">
        <f t="shared" si="111"/>
        <v>129890</v>
      </c>
    </row>
    <row r="2872" spans="2:24">
      <c r="B2872" t="s">
        <v>559</v>
      </c>
      <c r="C2872" t="s">
        <v>122</v>
      </c>
      <c r="D2872" t="s">
        <v>669</v>
      </c>
      <c r="E2872" t="s">
        <v>669</v>
      </c>
      <c r="F2872" s="705">
        <v>20</v>
      </c>
      <c r="G2872" s="705">
        <v>1449</v>
      </c>
      <c r="H2872" s="705">
        <v>8252</v>
      </c>
      <c r="I2872" s="705">
        <v>376661</v>
      </c>
      <c r="J2872" s="705">
        <v>313884</v>
      </c>
      <c r="K2872" s="705">
        <v>55</v>
      </c>
      <c r="L2872" s="705">
        <v>51858</v>
      </c>
      <c r="M2872" s="705">
        <v>36368</v>
      </c>
      <c r="N2872" s="705">
        <v>29492</v>
      </c>
      <c r="O2872" s="705">
        <v>10923</v>
      </c>
      <c r="P2872" s="705">
        <v>6669</v>
      </c>
      <c r="Q2872" s="705">
        <v>2470</v>
      </c>
      <c r="R2872" s="705">
        <v>106273</v>
      </c>
      <c r="S2872" s="705">
        <v>88561</v>
      </c>
      <c r="T2872" s="705">
        <v>42927</v>
      </c>
      <c r="U2872" s="705">
        <v>15899</v>
      </c>
      <c r="V2872" s="705">
        <v>468105</v>
      </c>
      <c r="W2872" s="705">
        <f t="shared" si="110"/>
        <v>468105</v>
      </c>
      <c r="X2872" s="705">
        <f t="shared" si="111"/>
        <v>613880</v>
      </c>
    </row>
    <row r="2873" spans="2:24">
      <c r="B2873" t="s">
        <v>559</v>
      </c>
      <c r="C2873" t="s">
        <v>122</v>
      </c>
      <c r="D2873" t="s">
        <v>665</v>
      </c>
      <c r="E2873" t="s">
        <v>228</v>
      </c>
      <c r="F2873" s="705">
        <v>2</v>
      </c>
      <c r="G2873" s="705">
        <v>125</v>
      </c>
      <c r="H2873" s="705">
        <v>866</v>
      </c>
      <c r="I2873" s="705">
        <v>35096</v>
      </c>
      <c r="J2873" s="705">
        <v>31905</v>
      </c>
      <c r="K2873" s="705">
        <v>63</v>
      </c>
      <c r="L2873" s="705">
        <v>785</v>
      </c>
      <c r="M2873" s="705">
        <v>713</v>
      </c>
      <c r="N2873" s="705">
        <v>3044</v>
      </c>
      <c r="O2873" s="705">
        <v>1128</v>
      </c>
      <c r="P2873" s="705">
        <v>351</v>
      </c>
      <c r="Q2873" s="705">
        <v>130</v>
      </c>
      <c r="R2873" s="705">
        <v>14187</v>
      </c>
      <c r="S2873" s="705">
        <v>5254</v>
      </c>
      <c r="T2873" s="705">
        <v>0</v>
      </c>
      <c r="U2873" s="705">
        <v>0</v>
      </c>
      <c r="V2873" s="705">
        <v>39131</v>
      </c>
      <c r="W2873" s="705">
        <f t="shared" si="110"/>
        <v>39130</v>
      </c>
      <c r="X2873" s="705">
        <f t="shared" si="111"/>
        <v>53463</v>
      </c>
    </row>
    <row r="2874" spans="2:24">
      <c r="B2874" t="s">
        <v>559</v>
      </c>
      <c r="C2874" t="s">
        <v>122</v>
      </c>
      <c r="D2874" t="s">
        <v>665</v>
      </c>
      <c r="E2874" t="s">
        <v>665</v>
      </c>
      <c r="F2874" s="705">
        <v>61</v>
      </c>
      <c r="G2874" s="705">
        <v>4140</v>
      </c>
      <c r="H2874" s="705">
        <v>25105</v>
      </c>
      <c r="I2874" s="705">
        <v>1044479</v>
      </c>
      <c r="J2874" s="705">
        <v>949526</v>
      </c>
      <c r="K2874" s="705">
        <v>56</v>
      </c>
      <c r="L2874" s="705">
        <v>83784</v>
      </c>
      <c r="M2874" s="705">
        <v>71436</v>
      </c>
      <c r="N2874" s="705">
        <v>83593</v>
      </c>
      <c r="O2874" s="705">
        <v>30960</v>
      </c>
      <c r="P2874" s="705">
        <v>20709</v>
      </c>
      <c r="Q2874" s="705">
        <v>7670</v>
      </c>
      <c r="R2874" s="705">
        <v>325636</v>
      </c>
      <c r="S2874" s="705">
        <v>296032</v>
      </c>
      <c r="T2874" s="705">
        <v>154205</v>
      </c>
      <c r="U2874" s="705">
        <v>57113</v>
      </c>
      <c r="V2874" s="705">
        <v>1412738</v>
      </c>
      <c r="W2874" s="705">
        <f t="shared" si="110"/>
        <v>1412737</v>
      </c>
      <c r="X2874" s="705">
        <f t="shared" si="111"/>
        <v>1712406</v>
      </c>
    </row>
    <row r="2875" spans="2:24">
      <c r="B2875" t="s">
        <v>559</v>
      </c>
      <c r="C2875" t="s">
        <v>122</v>
      </c>
      <c r="D2875" t="s">
        <v>673</v>
      </c>
      <c r="E2875" t="s">
        <v>673</v>
      </c>
      <c r="F2875" s="705">
        <v>2</v>
      </c>
      <c r="G2875" s="705">
        <v>183</v>
      </c>
      <c r="H2875" s="705">
        <v>832</v>
      </c>
      <c r="I2875" s="705">
        <v>54415</v>
      </c>
      <c r="J2875" s="705">
        <v>49468</v>
      </c>
      <c r="K2875" s="705">
        <v>55</v>
      </c>
      <c r="L2875" s="705">
        <v>3861</v>
      </c>
      <c r="M2875" s="705">
        <v>3510</v>
      </c>
      <c r="N2875" s="705">
        <v>3725</v>
      </c>
      <c r="O2875" s="705">
        <v>1380</v>
      </c>
      <c r="P2875" s="705">
        <v>702</v>
      </c>
      <c r="Q2875" s="705">
        <v>260</v>
      </c>
      <c r="R2875" s="705">
        <v>11418</v>
      </c>
      <c r="S2875" s="705">
        <v>10380</v>
      </c>
      <c r="T2875" s="705">
        <v>2459</v>
      </c>
      <c r="U2875" s="705">
        <v>911</v>
      </c>
      <c r="V2875" s="705">
        <v>65909</v>
      </c>
      <c r="W2875" s="705">
        <f t="shared" si="110"/>
        <v>65909</v>
      </c>
      <c r="X2875" s="705">
        <f t="shared" si="111"/>
        <v>76580</v>
      </c>
    </row>
    <row r="2876" spans="2:24">
      <c r="B2876" t="s">
        <v>559</v>
      </c>
      <c r="C2876" t="s">
        <v>122</v>
      </c>
      <c r="D2876" t="s">
        <v>585</v>
      </c>
      <c r="E2876" t="s">
        <v>585</v>
      </c>
      <c r="F2876" s="705">
        <v>2</v>
      </c>
      <c r="G2876" s="705">
        <v>212</v>
      </c>
      <c r="H2876" s="705">
        <v>791</v>
      </c>
      <c r="I2876" s="705">
        <v>55263</v>
      </c>
      <c r="J2876" s="705">
        <v>50239</v>
      </c>
      <c r="K2876" s="705">
        <v>65</v>
      </c>
      <c r="L2876" s="705">
        <v>9665</v>
      </c>
      <c r="M2876" s="705">
        <v>8365</v>
      </c>
      <c r="N2876" s="705">
        <v>3593</v>
      </c>
      <c r="O2876" s="705">
        <v>1331</v>
      </c>
      <c r="P2876" s="705">
        <v>702</v>
      </c>
      <c r="Q2876" s="705">
        <v>260</v>
      </c>
      <c r="R2876" s="705">
        <v>9290</v>
      </c>
      <c r="S2876" s="705">
        <v>8445</v>
      </c>
      <c r="T2876" s="705">
        <v>5126</v>
      </c>
      <c r="U2876" s="705">
        <v>1899</v>
      </c>
      <c r="V2876" s="705">
        <v>70538</v>
      </c>
      <c r="W2876" s="705">
        <f t="shared" si="110"/>
        <v>70539</v>
      </c>
      <c r="X2876" s="705">
        <f t="shared" si="111"/>
        <v>83639</v>
      </c>
    </row>
    <row r="2877" spans="2:24">
      <c r="B2877" t="s">
        <v>559</v>
      </c>
      <c r="C2877" t="s">
        <v>124</v>
      </c>
      <c r="F2877" s="705">
        <v>4</v>
      </c>
      <c r="G2877" s="705">
        <v>151</v>
      </c>
      <c r="H2877" s="705">
        <v>1982</v>
      </c>
      <c r="I2877" s="705"/>
      <c r="J2877" s="705">
        <v>0</v>
      </c>
      <c r="K2877" s="705"/>
      <c r="L2877" s="705"/>
      <c r="M2877" s="705">
        <v>0</v>
      </c>
      <c r="N2877" s="705">
        <v>2728</v>
      </c>
      <c r="O2877" s="705">
        <v>1010</v>
      </c>
      <c r="P2877" s="705">
        <v>1566</v>
      </c>
      <c r="Q2877" s="705">
        <v>580</v>
      </c>
      <c r="R2877" s="705"/>
      <c r="S2877" s="705">
        <v>0</v>
      </c>
      <c r="T2877" s="705">
        <v>0</v>
      </c>
      <c r="U2877" s="705">
        <v>0</v>
      </c>
      <c r="V2877" s="705">
        <v>1590</v>
      </c>
      <c r="W2877" s="705">
        <f t="shared" si="110"/>
        <v>1590</v>
      </c>
      <c r="X2877" s="705">
        <f t="shared" si="111"/>
        <v>4294</v>
      </c>
    </row>
    <row r="2878" spans="2:24">
      <c r="B2878" t="s">
        <v>559</v>
      </c>
      <c r="C2878" t="s">
        <v>124</v>
      </c>
      <c r="D2878" t="s">
        <v>582</v>
      </c>
      <c r="E2878" t="s">
        <v>582</v>
      </c>
      <c r="F2878" s="705">
        <v>1</v>
      </c>
      <c r="G2878" s="705">
        <v>93</v>
      </c>
      <c r="H2878" s="705">
        <v>461</v>
      </c>
      <c r="I2878" s="705">
        <v>26426</v>
      </c>
      <c r="J2878" s="705">
        <v>24023</v>
      </c>
      <c r="K2878" s="705">
        <v>93</v>
      </c>
      <c r="L2878" s="705">
        <v>8613</v>
      </c>
      <c r="M2878" s="705">
        <v>7830</v>
      </c>
      <c r="N2878" s="705">
        <v>2257</v>
      </c>
      <c r="O2878" s="705">
        <v>836</v>
      </c>
      <c r="P2878" s="705">
        <v>621</v>
      </c>
      <c r="Q2878" s="705">
        <v>230</v>
      </c>
      <c r="R2878" s="705">
        <v>2480</v>
      </c>
      <c r="S2878" s="705">
        <v>2255</v>
      </c>
      <c r="T2878" s="705">
        <v>2317</v>
      </c>
      <c r="U2878" s="705">
        <v>858</v>
      </c>
      <c r="V2878" s="705">
        <v>36032</v>
      </c>
      <c r="W2878" s="705">
        <f t="shared" si="110"/>
        <v>36032</v>
      </c>
      <c r="X2878" s="705">
        <f t="shared" si="111"/>
        <v>42714</v>
      </c>
    </row>
    <row r="2879" spans="2:24">
      <c r="B2879" t="s">
        <v>559</v>
      </c>
      <c r="C2879" t="s">
        <v>124</v>
      </c>
      <c r="D2879" t="s">
        <v>228</v>
      </c>
      <c r="E2879" t="s">
        <v>582</v>
      </c>
      <c r="F2879" s="705">
        <v>1</v>
      </c>
      <c r="G2879" s="705">
        <v>63</v>
      </c>
      <c r="H2879" s="705">
        <v>623</v>
      </c>
      <c r="I2879" s="705">
        <v>30494</v>
      </c>
      <c r="J2879" s="705">
        <v>11294</v>
      </c>
      <c r="K2879" s="705">
        <v>100</v>
      </c>
      <c r="L2879" s="705">
        <v>4601</v>
      </c>
      <c r="M2879" s="705">
        <v>4183</v>
      </c>
      <c r="N2879" s="705">
        <v>1525</v>
      </c>
      <c r="O2879" s="705">
        <v>565</v>
      </c>
      <c r="P2879" s="705">
        <v>0</v>
      </c>
      <c r="Q2879" s="705">
        <v>0</v>
      </c>
      <c r="R2879" s="705">
        <v>2391</v>
      </c>
      <c r="S2879" s="705">
        <v>2173</v>
      </c>
      <c r="T2879" s="705">
        <v>0</v>
      </c>
      <c r="U2879" s="705">
        <v>0</v>
      </c>
      <c r="V2879" s="705">
        <v>18215</v>
      </c>
      <c r="W2879" s="705">
        <f t="shared" si="110"/>
        <v>18215</v>
      </c>
      <c r="X2879" s="705">
        <f t="shared" si="111"/>
        <v>39011</v>
      </c>
    </row>
    <row r="2880" spans="2:24">
      <c r="B2880" t="s">
        <v>559</v>
      </c>
      <c r="C2880" t="s">
        <v>124</v>
      </c>
      <c r="D2880" t="s">
        <v>228</v>
      </c>
      <c r="E2880" t="s">
        <v>228</v>
      </c>
      <c r="F2880" s="705">
        <v>146</v>
      </c>
      <c r="G2880" s="705">
        <v>11247</v>
      </c>
      <c r="H2880" s="705">
        <v>94903</v>
      </c>
      <c r="I2880" s="705">
        <v>5284605</v>
      </c>
      <c r="J2880" s="705">
        <v>1957261</v>
      </c>
      <c r="K2880" s="705">
        <v>100</v>
      </c>
      <c r="L2880" s="705">
        <v>866514</v>
      </c>
      <c r="M2880" s="705">
        <v>717323</v>
      </c>
      <c r="N2880" s="705">
        <v>252906</v>
      </c>
      <c r="O2880" s="705">
        <v>93669</v>
      </c>
      <c r="P2880" s="705">
        <v>3888</v>
      </c>
      <c r="Q2880" s="705">
        <v>1440</v>
      </c>
      <c r="R2880" s="705">
        <v>1017422</v>
      </c>
      <c r="S2880" s="705">
        <v>376823</v>
      </c>
      <c r="T2880" s="705">
        <v>12135</v>
      </c>
      <c r="U2880" s="705">
        <v>4494</v>
      </c>
      <c r="V2880" s="705">
        <v>3151010</v>
      </c>
      <c r="W2880" s="705">
        <f t="shared" si="110"/>
        <v>3151010</v>
      </c>
      <c r="X2880" s="705">
        <f t="shared" si="111"/>
        <v>7437470</v>
      </c>
    </row>
    <row r="2881" spans="2:24">
      <c r="B2881" t="s">
        <v>559</v>
      </c>
      <c r="C2881" t="s">
        <v>124</v>
      </c>
      <c r="D2881" t="s">
        <v>228</v>
      </c>
      <c r="E2881" t="s">
        <v>666</v>
      </c>
      <c r="F2881" s="705">
        <v>4</v>
      </c>
      <c r="G2881" s="705">
        <v>312</v>
      </c>
      <c r="H2881" s="705">
        <v>2149</v>
      </c>
      <c r="I2881" s="705">
        <v>105865</v>
      </c>
      <c r="J2881" s="705">
        <v>39209</v>
      </c>
      <c r="K2881" s="705">
        <v>100</v>
      </c>
      <c r="L2881" s="705">
        <v>11598</v>
      </c>
      <c r="M2881" s="705">
        <v>8467</v>
      </c>
      <c r="N2881" s="705">
        <v>7055</v>
      </c>
      <c r="O2881" s="705">
        <v>2613</v>
      </c>
      <c r="P2881" s="705">
        <v>351</v>
      </c>
      <c r="Q2881" s="705">
        <v>130</v>
      </c>
      <c r="R2881" s="705">
        <v>34066</v>
      </c>
      <c r="S2881" s="705">
        <v>30969</v>
      </c>
      <c r="T2881" s="705">
        <v>6137</v>
      </c>
      <c r="U2881" s="705">
        <v>2273</v>
      </c>
      <c r="V2881" s="705">
        <v>83662</v>
      </c>
      <c r="W2881" s="705">
        <f t="shared" si="110"/>
        <v>83661</v>
      </c>
      <c r="X2881" s="705">
        <f t="shared" si="111"/>
        <v>165072</v>
      </c>
    </row>
    <row r="2882" spans="2:24">
      <c r="B2882" t="s">
        <v>559</v>
      </c>
      <c r="C2882" t="s">
        <v>124</v>
      </c>
      <c r="D2882" t="s">
        <v>228</v>
      </c>
      <c r="E2882" t="s">
        <v>584</v>
      </c>
      <c r="F2882" s="705">
        <v>2</v>
      </c>
      <c r="G2882" s="705">
        <v>199</v>
      </c>
      <c r="H2882" s="705">
        <v>1444</v>
      </c>
      <c r="I2882" s="705">
        <v>109612</v>
      </c>
      <c r="J2882" s="705">
        <v>40597</v>
      </c>
      <c r="K2882" s="705">
        <v>100</v>
      </c>
      <c r="L2882" s="705">
        <v>17427</v>
      </c>
      <c r="M2882" s="705">
        <v>15036</v>
      </c>
      <c r="N2882" s="705">
        <v>4368</v>
      </c>
      <c r="O2882" s="705">
        <v>1618</v>
      </c>
      <c r="P2882" s="705">
        <v>122</v>
      </c>
      <c r="Q2882" s="705">
        <v>45</v>
      </c>
      <c r="R2882" s="705">
        <v>9516</v>
      </c>
      <c r="S2882" s="705">
        <v>8651</v>
      </c>
      <c r="T2882" s="705">
        <v>0</v>
      </c>
      <c r="U2882" s="705">
        <v>0</v>
      </c>
      <c r="V2882" s="705">
        <v>65947</v>
      </c>
      <c r="W2882" s="705">
        <f t="shared" si="110"/>
        <v>65947</v>
      </c>
      <c r="X2882" s="705">
        <f t="shared" si="111"/>
        <v>141045</v>
      </c>
    </row>
    <row r="2883" spans="2:24">
      <c r="B2883" t="s">
        <v>559</v>
      </c>
      <c r="C2883" t="s">
        <v>124</v>
      </c>
      <c r="D2883" t="s">
        <v>228</v>
      </c>
      <c r="E2883" t="s">
        <v>669</v>
      </c>
      <c r="F2883" s="705">
        <v>4</v>
      </c>
      <c r="G2883" s="705">
        <v>344</v>
      </c>
      <c r="H2883" s="705">
        <v>2327</v>
      </c>
      <c r="I2883" s="705">
        <v>139928</v>
      </c>
      <c r="J2883" s="705">
        <v>51825</v>
      </c>
      <c r="K2883" s="705">
        <v>100</v>
      </c>
      <c r="L2883" s="705">
        <v>18547</v>
      </c>
      <c r="M2883" s="705">
        <v>15456</v>
      </c>
      <c r="N2883" s="705">
        <v>7812</v>
      </c>
      <c r="O2883" s="705">
        <v>2893</v>
      </c>
      <c r="P2883" s="705">
        <v>351</v>
      </c>
      <c r="Q2883" s="705">
        <v>130</v>
      </c>
      <c r="R2883" s="705">
        <v>22247</v>
      </c>
      <c r="S2883" s="705">
        <v>18539</v>
      </c>
      <c r="T2883" s="705">
        <v>9033</v>
      </c>
      <c r="U2883" s="705">
        <v>3346</v>
      </c>
      <c r="V2883" s="705">
        <v>92190</v>
      </c>
      <c r="W2883" s="705">
        <f t="shared" si="110"/>
        <v>92189</v>
      </c>
      <c r="X2883" s="705">
        <f t="shared" si="111"/>
        <v>197918</v>
      </c>
    </row>
    <row r="2884" spans="2:24">
      <c r="B2884" t="s">
        <v>559</v>
      </c>
      <c r="C2884" t="s">
        <v>124</v>
      </c>
      <c r="D2884" t="s">
        <v>228</v>
      </c>
      <c r="E2884" t="s">
        <v>665</v>
      </c>
      <c r="F2884" s="705">
        <v>11</v>
      </c>
      <c r="G2884" s="705">
        <v>1069</v>
      </c>
      <c r="H2884" s="705">
        <v>6475</v>
      </c>
      <c r="I2884" s="705">
        <v>416389</v>
      </c>
      <c r="J2884" s="705">
        <v>154218</v>
      </c>
      <c r="K2884" s="705">
        <v>100</v>
      </c>
      <c r="L2884" s="705">
        <v>61106</v>
      </c>
      <c r="M2884" s="705">
        <v>55551</v>
      </c>
      <c r="N2884" s="705">
        <v>23134</v>
      </c>
      <c r="O2884" s="705">
        <v>8568</v>
      </c>
      <c r="P2884" s="705">
        <v>351</v>
      </c>
      <c r="Q2884" s="705">
        <v>130</v>
      </c>
      <c r="R2884" s="705">
        <v>84970</v>
      </c>
      <c r="S2884" s="705">
        <v>77245</v>
      </c>
      <c r="T2884" s="705">
        <v>24934</v>
      </c>
      <c r="U2884" s="705">
        <v>9235</v>
      </c>
      <c r="V2884" s="705">
        <v>304947</v>
      </c>
      <c r="W2884" s="705">
        <f t="shared" si="110"/>
        <v>304947</v>
      </c>
      <c r="X2884" s="705">
        <f t="shared" si="111"/>
        <v>610884</v>
      </c>
    </row>
    <row r="2885" spans="2:24">
      <c r="B2885" t="s">
        <v>559</v>
      </c>
      <c r="C2885" t="s">
        <v>124</v>
      </c>
      <c r="D2885" t="s">
        <v>228</v>
      </c>
      <c r="E2885" t="s">
        <v>673</v>
      </c>
      <c r="F2885" s="705">
        <v>1</v>
      </c>
      <c r="G2885" s="705">
        <v>270</v>
      </c>
      <c r="H2885" s="705">
        <v>577</v>
      </c>
      <c r="I2885" s="705">
        <v>120470</v>
      </c>
      <c r="J2885" s="705">
        <v>44619</v>
      </c>
      <c r="K2885" s="705">
        <v>100</v>
      </c>
      <c r="L2885" s="705">
        <v>19830</v>
      </c>
      <c r="M2885" s="705">
        <v>16525</v>
      </c>
      <c r="N2885" s="705">
        <v>3290</v>
      </c>
      <c r="O2885" s="705">
        <v>1219</v>
      </c>
      <c r="P2885" s="705">
        <v>0</v>
      </c>
      <c r="Q2885" s="705">
        <v>0</v>
      </c>
      <c r="R2885" s="705">
        <v>8676</v>
      </c>
      <c r="S2885" s="705">
        <v>7888</v>
      </c>
      <c r="T2885" s="705">
        <v>3633</v>
      </c>
      <c r="U2885" s="705">
        <v>1346</v>
      </c>
      <c r="V2885" s="705">
        <v>71596</v>
      </c>
      <c r="W2885" s="705">
        <f t="shared" si="110"/>
        <v>71597</v>
      </c>
      <c r="X2885" s="705">
        <f t="shared" si="111"/>
        <v>155899</v>
      </c>
    </row>
    <row r="2886" spans="2:24">
      <c r="B2886" t="s">
        <v>559</v>
      </c>
      <c r="C2886" t="s">
        <v>124</v>
      </c>
      <c r="D2886" t="s">
        <v>583</v>
      </c>
      <c r="E2886" t="s">
        <v>228</v>
      </c>
      <c r="F2886" s="705">
        <v>9</v>
      </c>
      <c r="G2886" s="705">
        <v>775</v>
      </c>
      <c r="H2886" s="705">
        <v>4914</v>
      </c>
      <c r="I2886" s="705">
        <v>269357</v>
      </c>
      <c r="J2886" s="705">
        <v>244870</v>
      </c>
      <c r="K2886" s="705">
        <v>74</v>
      </c>
      <c r="L2886" s="705">
        <v>62699</v>
      </c>
      <c r="M2886" s="705">
        <v>55802</v>
      </c>
      <c r="N2886" s="705">
        <v>17591</v>
      </c>
      <c r="O2886" s="705">
        <v>6515</v>
      </c>
      <c r="P2886" s="705">
        <v>5319</v>
      </c>
      <c r="Q2886" s="705">
        <v>1970</v>
      </c>
      <c r="R2886" s="705">
        <v>67703</v>
      </c>
      <c r="S2886" s="705">
        <v>25075</v>
      </c>
      <c r="T2886" s="705">
        <v>3153</v>
      </c>
      <c r="U2886" s="705">
        <v>1168</v>
      </c>
      <c r="V2886" s="705">
        <v>335400</v>
      </c>
      <c r="W2886" s="705">
        <f t="shared" si="110"/>
        <v>335400</v>
      </c>
      <c r="X2886" s="705">
        <f t="shared" si="111"/>
        <v>425822</v>
      </c>
    </row>
    <row r="2887" spans="2:24">
      <c r="B2887" t="s">
        <v>559</v>
      </c>
      <c r="C2887" t="s">
        <v>124</v>
      </c>
      <c r="D2887" t="s">
        <v>583</v>
      </c>
      <c r="E2887" t="s">
        <v>583</v>
      </c>
      <c r="F2887" s="705">
        <v>174</v>
      </c>
      <c r="G2887" s="705">
        <v>15574</v>
      </c>
      <c r="H2887" s="705">
        <v>93019</v>
      </c>
      <c r="I2887" s="705">
        <v>5499578</v>
      </c>
      <c r="J2887" s="705">
        <v>4999616</v>
      </c>
      <c r="K2887" s="705">
        <v>73</v>
      </c>
      <c r="L2887" s="705">
        <v>1183068</v>
      </c>
      <c r="M2887" s="705">
        <v>1014936</v>
      </c>
      <c r="N2887" s="705">
        <v>338108</v>
      </c>
      <c r="O2887" s="705">
        <v>125225</v>
      </c>
      <c r="P2887" s="705">
        <v>108567</v>
      </c>
      <c r="Q2887" s="705">
        <v>40210</v>
      </c>
      <c r="R2887" s="705">
        <v>833142</v>
      </c>
      <c r="S2887" s="705">
        <v>757402</v>
      </c>
      <c r="T2887" s="705">
        <v>351424</v>
      </c>
      <c r="U2887" s="705">
        <v>130157</v>
      </c>
      <c r="V2887" s="705">
        <v>7067547</v>
      </c>
      <c r="W2887" s="705">
        <f t="shared" si="110"/>
        <v>7067546</v>
      </c>
      <c r="X2887" s="705">
        <f t="shared" si="111"/>
        <v>8313887</v>
      </c>
    </row>
    <row r="2888" spans="2:24">
      <c r="B2888" t="s">
        <v>559</v>
      </c>
      <c r="C2888" t="s">
        <v>124</v>
      </c>
      <c r="D2888" t="s">
        <v>583</v>
      </c>
      <c r="E2888" t="s">
        <v>665</v>
      </c>
      <c r="F2888" s="705">
        <v>1</v>
      </c>
      <c r="G2888" s="705">
        <v>74</v>
      </c>
      <c r="H2888" s="705">
        <v>487</v>
      </c>
      <c r="I2888" s="705">
        <v>24859</v>
      </c>
      <c r="J2888" s="705">
        <v>22599</v>
      </c>
      <c r="K2888" s="705">
        <v>79</v>
      </c>
      <c r="L2888" s="705">
        <v>3766</v>
      </c>
      <c r="M2888" s="705">
        <v>3424</v>
      </c>
      <c r="N2888" s="705">
        <v>1087</v>
      </c>
      <c r="O2888" s="705">
        <v>403</v>
      </c>
      <c r="P2888" s="705">
        <v>621</v>
      </c>
      <c r="Q2888" s="705">
        <v>230</v>
      </c>
      <c r="R2888" s="705">
        <v>3648</v>
      </c>
      <c r="S2888" s="705">
        <v>3317</v>
      </c>
      <c r="T2888" s="705">
        <v>2223</v>
      </c>
      <c r="U2888" s="705">
        <v>823</v>
      </c>
      <c r="V2888" s="705">
        <v>30796</v>
      </c>
      <c r="W2888" s="705">
        <f t="shared" si="110"/>
        <v>30796</v>
      </c>
      <c r="X2888" s="705">
        <f t="shared" si="111"/>
        <v>36204</v>
      </c>
    </row>
    <row r="2889" spans="2:24">
      <c r="B2889" t="s">
        <v>559</v>
      </c>
      <c r="C2889" t="s">
        <v>124</v>
      </c>
      <c r="D2889" t="s">
        <v>666</v>
      </c>
      <c r="E2889" t="s">
        <v>228</v>
      </c>
      <c r="F2889" s="705">
        <v>1</v>
      </c>
      <c r="G2889" s="705">
        <v>47</v>
      </c>
      <c r="H2889" s="705">
        <v>675</v>
      </c>
      <c r="I2889" s="705">
        <v>22245</v>
      </c>
      <c r="J2889" s="705">
        <v>20222</v>
      </c>
      <c r="K2889" s="705">
        <v>75</v>
      </c>
      <c r="L2889" s="705">
        <v>4550</v>
      </c>
      <c r="M2889" s="705">
        <v>1685</v>
      </c>
      <c r="N2889" s="705">
        <v>816</v>
      </c>
      <c r="O2889" s="705">
        <v>302</v>
      </c>
      <c r="P2889" s="705">
        <v>0</v>
      </c>
      <c r="Q2889" s="705">
        <v>0</v>
      </c>
      <c r="R2889" s="705">
        <v>3789</v>
      </c>
      <c r="S2889" s="705">
        <v>1403</v>
      </c>
      <c r="T2889" s="705">
        <v>0</v>
      </c>
      <c r="U2889" s="705">
        <v>0</v>
      </c>
      <c r="V2889" s="705">
        <v>23613</v>
      </c>
      <c r="W2889" s="705">
        <f t="shared" si="110"/>
        <v>23612</v>
      </c>
      <c r="X2889" s="705">
        <f t="shared" si="111"/>
        <v>31400</v>
      </c>
    </row>
    <row r="2890" spans="2:24">
      <c r="B2890" t="s">
        <v>559</v>
      </c>
      <c r="C2890" t="s">
        <v>124</v>
      </c>
      <c r="D2890" t="s">
        <v>666</v>
      </c>
      <c r="E2890" t="s">
        <v>666</v>
      </c>
      <c r="F2890" s="705">
        <v>15</v>
      </c>
      <c r="G2890" s="705">
        <v>1063</v>
      </c>
      <c r="H2890" s="705">
        <v>8218</v>
      </c>
      <c r="I2890" s="705">
        <v>389002</v>
      </c>
      <c r="J2890" s="705">
        <v>353639</v>
      </c>
      <c r="K2890" s="705">
        <v>54</v>
      </c>
      <c r="L2890" s="705">
        <v>52009</v>
      </c>
      <c r="M2890" s="705">
        <v>36657</v>
      </c>
      <c r="N2890" s="705">
        <v>19621</v>
      </c>
      <c r="O2890" s="705">
        <v>7267</v>
      </c>
      <c r="P2890" s="705">
        <v>4752</v>
      </c>
      <c r="Q2890" s="705">
        <v>1760</v>
      </c>
      <c r="R2890" s="705">
        <v>81559</v>
      </c>
      <c r="S2890" s="705">
        <v>74145</v>
      </c>
      <c r="T2890" s="705">
        <v>27973</v>
      </c>
      <c r="U2890" s="705">
        <v>10360</v>
      </c>
      <c r="V2890" s="705">
        <v>483828</v>
      </c>
      <c r="W2890" s="705">
        <f t="shared" si="110"/>
        <v>483828</v>
      </c>
      <c r="X2890" s="705">
        <f t="shared" si="111"/>
        <v>574916</v>
      </c>
    </row>
    <row r="2891" spans="2:24">
      <c r="B2891" t="s">
        <v>559</v>
      </c>
      <c r="C2891" t="s">
        <v>124</v>
      </c>
      <c r="D2891" t="s">
        <v>666</v>
      </c>
      <c r="E2891" t="s">
        <v>665</v>
      </c>
      <c r="F2891" s="705">
        <v>1</v>
      </c>
      <c r="G2891" s="705">
        <v>68</v>
      </c>
      <c r="H2891" s="705">
        <v>624</v>
      </c>
      <c r="I2891" s="705">
        <v>24475</v>
      </c>
      <c r="J2891" s="705">
        <v>22250</v>
      </c>
      <c r="K2891" s="705">
        <v>55</v>
      </c>
      <c r="L2891" s="705">
        <v>4732</v>
      </c>
      <c r="M2891" s="705">
        <v>4302</v>
      </c>
      <c r="N2891" s="705">
        <v>1667</v>
      </c>
      <c r="O2891" s="705">
        <v>617</v>
      </c>
      <c r="P2891" s="705">
        <v>351</v>
      </c>
      <c r="Q2891" s="705">
        <v>130</v>
      </c>
      <c r="R2891" s="705">
        <v>7187</v>
      </c>
      <c r="S2891" s="705">
        <v>6533</v>
      </c>
      <c r="T2891" s="705">
        <v>4235</v>
      </c>
      <c r="U2891" s="705">
        <v>1569</v>
      </c>
      <c r="V2891" s="705">
        <v>35401</v>
      </c>
      <c r="W2891" s="705">
        <f t="shared" si="110"/>
        <v>35401</v>
      </c>
      <c r="X2891" s="705">
        <f t="shared" si="111"/>
        <v>42647</v>
      </c>
    </row>
    <row r="2892" spans="2:24">
      <c r="B2892" t="s">
        <v>559</v>
      </c>
      <c r="C2892" t="s">
        <v>124</v>
      </c>
      <c r="D2892" t="s">
        <v>584</v>
      </c>
      <c r="E2892" t="s">
        <v>228</v>
      </c>
      <c r="F2892" s="705">
        <v>5</v>
      </c>
      <c r="G2892" s="705">
        <v>683</v>
      </c>
      <c r="H2892" s="705">
        <v>3909</v>
      </c>
      <c r="I2892" s="705">
        <v>480893</v>
      </c>
      <c r="J2892" s="705">
        <v>437175</v>
      </c>
      <c r="K2892" s="705">
        <v>49</v>
      </c>
      <c r="L2892" s="705">
        <v>42103</v>
      </c>
      <c r="M2892" s="705">
        <v>29677</v>
      </c>
      <c r="N2892" s="705">
        <v>16124</v>
      </c>
      <c r="O2892" s="705">
        <v>5972</v>
      </c>
      <c r="P2892" s="705">
        <v>945</v>
      </c>
      <c r="Q2892" s="705">
        <v>350</v>
      </c>
      <c r="R2892" s="705">
        <v>44773</v>
      </c>
      <c r="S2892" s="705">
        <v>16583</v>
      </c>
      <c r="T2892" s="705">
        <v>0</v>
      </c>
      <c r="U2892" s="705">
        <v>0</v>
      </c>
      <c r="V2892" s="705">
        <v>489756</v>
      </c>
      <c r="W2892" s="705">
        <f t="shared" si="110"/>
        <v>489757</v>
      </c>
      <c r="X2892" s="705">
        <f t="shared" si="111"/>
        <v>584838</v>
      </c>
    </row>
    <row r="2893" spans="2:24">
      <c r="B2893" t="s">
        <v>559</v>
      </c>
      <c r="C2893" t="s">
        <v>124</v>
      </c>
      <c r="D2893" t="s">
        <v>584</v>
      </c>
      <c r="E2893" t="s">
        <v>584</v>
      </c>
      <c r="F2893" s="705">
        <v>101</v>
      </c>
      <c r="G2893" s="705">
        <v>8125</v>
      </c>
      <c r="H2893" s="705">
        <v>52338</v>
      </c>
      <c r="I2893" s="705">
        <v>2637674</v>
      </c>
      <c r="J2893" s="705">
        <v>2397886</v>
      </c>
      <c r="K2893" s="705">
        <v>73</v>
      </c>
      <c r="L2893" s="705">
        <v>696935</v>
      </c>
      <c r="M2893" s="705">
        <v>607423</v>
      </c>
      <c r="N2893" s="705">
        <v>179584</v>
      </c>
      <c r="O2893" s="705">
        <v>66512</v>
      </c>
      <c r="P2893" s="705">
        <v>46724</v>
      </c>
      <c r="Q2893" s="705">
        <v>17305</v>
      </c>
      <c r="R2893" s="705">
        <v>502481</v>
      </c>
      <c r="S2893" s="705">
        <v>456801</v>
      </c>
      <c r="T2893" s="705">
        <v>157290</v>
      </c>
      <c r="U2893" s="705">
        <v>58256</v>
      </c>
      <c r="V2893" s="705">
        <v>3604182</v>
      </c>
      <c r="W2893" s="705">
        <f t="shared" si="110"/>
        <v>3604183</v>
      </c>
      <c r="X2893" s="705">
        <f t="shared" si="111"/>
        <v>4220688</v>
      </c>
    </row>
    <row r="2894" spans="2:24">
      <c r="B2894" t="s">
        <v>559</v>
      </c>
      <c r="C2894" t="s">
        <v>124</v>
      </c>
      <c r="D2894" t="s">
        <v>669</v>
      </c>
      <c r="E2894" t="s">
        <v>228</v>
      </c>
      <c r="F2894" s="705">
        <v>27</v>
      </c>
      <c r="G2894" s="705">
        <v>2300</v>
      </c>
      <c r="H2894" s="705">
        <v>24459</v>
      </c>
      <c r="I2894" s="705">
        <v>1779179</v>
      </c>
      <c r="J2894" s="705">
        <v>1482649</v>
      </c>
      <c r="K2894" s="705">
        <v>35</v>
      </c>
      <c r="L2894" s="705">
        <v>90682</v>
      </c>
      <c r="M2894" s="705">
        <v>48321</v>
      </c>
      <c r="N2894" s="705">
        <v>49417</v>
      </c>
      <c r="O2894" s="705">
        <v>18303</v>
      </c>
      <c r="P2894" s="705">
        <v>1755</v>
      </c>
      <c r="Q2894" s="705">
        <v>650</v>
      </c>
      <c r="R2894" s="705">
        <v>221307</v>
      </c>
      <c r="S2894" s="705">
        <v>81965</v>
      </c>
      <c r="T2894" s="705">
        <v>0</v>
      </c>
      <c r="U2894" s="705">
        <v>0</v>
      </c>
      <c r="V2894" s="705">
        <v>1631888</v>
      </c>
      <c r="W2894" s="705">
        <f t="shared" si="110"/>
        <v>1631888</v>
      </c>
      <c r="X2894" s="705">
        <f t="shared" si="111"/>
        <v>2142340</v>
      </c>
    </row>
    <row r="2895" spans="2:24">
      <c r="B2895" t="s">
        <v>559</v>
      </c>
      <c r="C2895" t="s">
        <v>124</v>
      </c>
      <c r="D2895" t="s">
        <v>669</v>
      </c>
      <c r="E2895" t="s">
        <v>584</v>
      </c>
      <c r="F2895" s="705">
        <v>1</v>
      </c>
      <c r="G2895" s="705">
        <v>213</v>
      </c>
      <c r="H2895" s="705">
        <v>1009</v>
      </c>
      <c r="I2895" s="705">
        <v>192262</v>
      </c>
      <c r="J2895" s="705">
        <v>160218</v>
      </c>
      <c r="K2895" s="705">
        <v>30</v>
      </c>
      <c r="L2895" s="705">
        <v>11749</v>
      </c>
      <c r="M2895" s="705">
        <v>10681</v>
      </c>
      <c r="N2895" s="705">
        <v>5200</v>
      </c>
      <c r="O2895" s="705">
        <v>1926</v>
      </c>
      <c r="P2895" s="705">
        <v>0</v>
      </c>
      <c r="Q2895" s="705">
        <v>0</v>
      </c>
      <c r="R2895" s="705">
        <v>6073</v>
      </c>
      <c r="S2895" s="705">
        <v>5521</v>
      </c>
      <c r="T2895" s="705">
        <v>0</v>
      </c>
      <c r="U2895" s="705">
        <v>0</v>
      </c>
      <c r="V2895" s="705">
        <v>178346</v>
      </c>
      <c r="W2895" s="705">
        <f t="shared" si="110"/>
        <v>178346</v>
      </c>
      <c r="X2895" s="705">
        <f t="shared" si="111"/>
        <v>215284</v>
      </c>
    </row>
    <row r="2896" spans="2:24">
      <c r="B2896" t="s">
        <v>559</v>
      </c>
      <c r="C2896" t="s">
        <v>124</v>
      </c>
      <c r="D2896" t="s">
        <v>669</v>
      </c>
      <c r="E2896" t="s">
        <v>669</v>
      </c>
      <c r="F2896" s="705">
        <v>42</v>
      </c>
      <c r="G2896" s="705">
        <v>3449</v>
      </c>
      <c r="H2896" s="705">
        <v>27192</v>
      </c>
      <c r="I2896" s="705">
        <v>1706181</v>
      </c>
      <c r="J2896" s="705">
        <v>1421818</v>
      </c>
      <c r="K2896" s="705">
        <v>53</v>
      </c>
      <c r="L2896" s="705">
        <v>172835</v>
      </c>
      <c r="M2896" s="705">
        <v>111370</v>
      </c>
      <c r="N2896" s="705">
        <v>74587</v>
      </c>
      <c r="O2896" s="705">
        <v>27625</v>
      </c>
      <c r="P2896" s="705">
        <v>11894</v>
      </c>
      <c r="Q2896" s="705">
        <v>4405</v>
      </c>
      <c r="R2896" s="705">
        <v>237636</v>
      </c>
      <c r="S2896" s="705">
        <v>198030</v>
      </c>
      <c r="T2896" s="705">
        <v>86668</v>
      </c>
      <c r="U2896" s="705">
        <v>32099</v>
      </c>
      <c r="V2896" s="705">
        <v>1795347</v>
      </c>
      <c r="W2896" s="705">
        <f t="shared" si="110"/>
        <v>1795347</v>
      </c>
      <c r="X2896" s="705">
        <f t="shared" si="111"/>
        <v>2289801</v>
      </c>
    </row>
    <row r="2897" spans="2:24">
      <c r="B2897" t="s">
        <v>559</v>
      </c>
      <c r="C2897" t="s">
        <v>124</v>
      </c>
      <c r="D2897" t="s">
        <v>667</v>
      </c>
      <c r="E2897" t="s">
        <v>667</v>
      </c>
      <c r="F2897" s="705">
        <v>1</v>
      </c>
      <c r="G2897" s="705">
        <v>39</v>
      </c>
      <c r="H2897" s="705">
        <v>723</v>
      </c>
      <c r="I2897" s="705">
        <v>19456</v>
      </c>
      <c r="J2897" s="705">
        <v>17687</v>
      </c>
      <c r="K2897" s="705">
        <v>55</v>
      </c>
      <c r="L2897" s="705">
        <v>2378</v>
      </c>
      <c r="M2897" s="705">
        <v>2162</v>
      </c>
      <c r="N2897" s="705">
        <v>941</v>
      </c>
      <c r="O2897" s="705">
        <v>348</v>
      </c>
      <c r="P2897" s="705">
        <v>351</v>
      </c>
      <c r="Q2897" s="705">
        <v>130</v>
      </c>
      <c r="R2897" s="705">
        <v>4764</v>
      </c>
      <c r="S2897" s="705">
        <v>4331</v>
      </c>
      <c r="T2897" s="705">
        <v>0</v>
      </c>
      <c r="U2897" s="705">
        <v>0</v>
      </c>
      <c r="V2897" s="705">
        <v>24658</v>
      </c>
      <c r="W2897" s="705">
        <f t="shared" si="110"/>
        <v>24658</v>
      </c>
      <c r="X2897" s="705">
        <f t="shared" si="111"/>
        <v>27890</v>
      </c>
    </row>
    <row r="2898" spans="2:24">
      <c r="B2898" t="s">
        <v>559</v>
      </c>
      <c r="C2898" t="s">
        <v>124</v>
      </c>
      <c r="D2898" t="s">
        <v>665</v>
      </c>
      <c r="E2898" t="s">
        <v>228</v>
      </c>
      <c r="F2898" s="705">
        <v>27</v>
      </c>
      <c r="G2898" s="705">
        <v>2203</v>
      </c>
      <c r="H2898" s="705">
        <v>24953</v>
      </c>
      <c r="I2898" s="705">
        <v>1693675</v>
      </c>
      <c r="J2898" s="705">
        <v>1539705</v>
      </c>
      <c r="K2898" s="705">
        <v>39</v>
      </c>
      <c r="L2898" s="705">
        <v>132917</v>
      </c>
      <c r="M2898" s="705">
        <v>68591</v>
      </c>
      <c r="N2898" s="705">
        <v>54271</v>
      </c>
      <c r="O2898" s="705">
        <v>20100</v>
      </c>
      <c r="P2898" s="705">
        <v>824</v>
      </c>
      <c r="Q2898" s="705">
        <v>305</v>
      </c>
      <c r="R2898" s="705">
        <v>201085</v>
      </c>
      <c r="S2898" s="705">
        <v>74476</v>
      </c>
      <c r="T2898" s="705">
        <v>0</v>
      </c>
      <c r="U2898" s="705">
        <v>0</v>
      </c>
      <c r="V2898" s="705">
        <v>1703177</v>
      </c>
      <c r="W2898" s="705">
        <f t="shared" si="110"/>
        <v>1703177</v>
      </c>
      <c r="X2898" s="705">
        <f t="shared" si="111"/>
        <v>2082772</v>
      </c>
    </row>
    <row r="2899" spans="2:24">
      <c r="B2899" t="s">
        <v>559</v>
      </c>
      <c r="C2899" t="s">
        <v>124</v>
      </c>
      <c r="D2899" t="s">
        <v>665</v>
      </c>
      <c r="E2899" t="s">
        <v>583</v>
      </c>
      <c r="F2899" s="705">
        <v>1</v>
      </c>
      <c r="G2899" s="705">
        <v>80</v>
      </c>
      <c r="H2899" s="705">
        <v>551</v>
      </c>
      <c r="I2899" s="705">
        <v>24864</v>
      </c>
      <c r="J2899" s="705">
        <v>22604</v>
      </c>
      <c r="K2899" s="705">
        <v>45</v>
      </c>
      <c r="L2899" s="705">
        <v>4144</v>
      </c>
      <c r="M2899" s="705">
        <v>3767</v>
      </c>
      <c r="N2899" s="705">
        <v>1399</v>
      </c>
      <c r="O2899" s="705">
        <v>518</v>
      </c>
      <c r="P2899" s="705">
        <v>351</v>
      </c>
      <c r="Q2899" s="705">
        <v>130</v>
      </c>
      <c r="R2899" s="705">
        <v>9082</v>
      </c>
      <c r="S2899" s="705">
        <v>8257</v>
      </c>
      <c r="T2899" s="705">
        <v>4398</v>
      </c>
      <c r="U2899" s="705">
        <v>1629</v>
      </c>
      <c r="V2899" s="705">
        <v>36905</v>
      </c>
      <c r="W2899" s="705">
        <f t="shared" si="110"/>
        <v>36905</v>
      </c>
      <c r="X2899" s="705">
        <f t="shared" si="111"/>
        <v>44238</v>
      </c>
    </row>
    <row r="2900" spans="2:24">
      <c r="B2900" t="s">
        <v>559</v>
      </c>
      <c r="C2900" t="s">
        <v>124</v>
      </c>
      <c r="D2900" t="s">
        <v>665</v>
      </c>
      <c r="E2900" t="s">
        <v>669</v>
      </c>
      <c r="F2900" s="705">
        <v>1</v>
      </c>
      <c r="G2900" s="705">
        <v>82</v>
      </c>
      <c r="H2900" s="705">
        <v>607</v>
      </c>
      <c r="I2900" s="705">
        <v>40262</v>
      </c>
      <c r="J2900" s="705">
        <v>36602</v>
      </c>
      <c r="K2900" s="705">
        <v>55</v>
      </c>
      <c r="L2900" s="705">
        <v>0</v>
      </c>
      <c r="M2900" s="705">
        <v>0</v>
      </c>
      <c r="N2900" s="705">
        <v>1640</v>
      </c>
      <c r="O2900" s="705">
        <v>607</v>
      </c>
      <c r="P2900" s="705">
        <v>351</v>
      </c>
      <c r="Q2900" s="705">
        <v>130</v>
      </c>
      <c r="R2900" s="705">
        <v>5383</v>
      </c>
      <c r="S2900" s="705">
        <v>4485</v>
      </c>
      <c r="T2900" s="705">
        <v>2194</v>
      </c>
      <c r="U2900" s="705">
        <v>812</v>
      </c>
      <c r="V2900" s="705">
        <v>42637</v>
      </c>
      <c r="W2900" s="705">
        <f t="shared" si="110"/>
        <v>42636</v>
      </c>
      <c r="X2900" s="705">
        <f t="shared" si="111"/>
        <v>49830</v>
      </c>
    </row>
    <row r="2901" spans="2:24">
      <c r="B2901" t="s">
        <v>559</v>
      </c>
      <c r="C2901" t="s">
        <v>124</v>
      </c>
      <c r="D2901" t="s">
        <v>665</v>
      </c>
      <c r="E2901" t="s">
        <v>665</v>
      </c>
      <c r="F2901" s="705">
        <v>74</v>
      </c>
      <c r="G2901" s="705">
        <v>5720</v>
      </c>
      <c r="H2901" s="705">
        <v>44157</v>
      </c>
      <c r="I2901" s="705">
        <v>2316259</v>
      </c>
      <c r="J2901" s="705">
        <v>2105690</v>
      </c>
      <c r="K2901" s="705">
        <v>54</v>
      </c>
      <c r="L2901" s="705">
        <v>255528</v>
      </c>
      <c r="M2901" s="705">
        <v>190983</v>
      </c>
      <c r="N2901" s="705">
        <v>123073</v>
      </c>
      <c r="O2901" s="705">
        <v>45582</v>
      </c>
      <c r="P2901" s="705">
        <v>23828</v>
      </c>
      <c r="Q2901" s="705">
        <v>8825</v>
      </c>
      <c r="R2901" s="705">
        <v>441948</v>
      </c>
      <c r="S2901" s="705">
        <v>401771</v>
      </c>
      <c r="T2901" s="705">
        <v>202699</v>
      </c>
      <c r="U2901" s="705">
        <v>75074</v>
      </c>
      <c r="V2901" s="705">
        <v>2827924</v>
      </c>
      <c r="W2901" s="705">
        <f t="shared" si="110"/>
        <v>2827925</v>
      </c>
      <c r="X2901" s="705">
        <f t="shared" si="111"/>
        <v>3363335</v>
      </c>
    </row>
    <row r="2902" spans="2:24">
      <c r="B2902" t="s">
        <v>559</v>
      </c>
      <c r="C2902" t="s">
        <v>124</v>
      </c>
      <c r="D2902" t="s">
        <v>673</v>
      </c>
      <c r="E2902" t="s">
        <v>228</v>
      </c>
      <c r="F2902" s="705">
        <v>2</v>
      </c>
      <c r="G2902" s="705">
        <v>167</v>
      </c>
      <c r="H2902" s="705">
        <v>1039</v>
      </c>
      <c r="I2902" s="705">
        <v>63872</v>
      </c>
      <c r="J2902" s="705">
        <v>58065</v>
      </c>
      <c r="K2902" s="705">
        <v>58</v>
      </c>
      <c r="L2902" s="705">
        <v>7097</v>
      </c>
      <c r="M2902" s="705">
        <v>6452</v>
      </c>
      <c r="N2902" s="705">
        <v>4074</v>
      </c>
      <c r="O2902" s="705">
        <v>1509</v>
      </c>
      <c r="P2902" s="705">
        <v>351</v>
      </c>
      <c r="Q2902" s="705">
        <v>130</v>
      </c>
      <c r="R2902" s="705">
        <v>12050</v>
      </c>
      <c r="S2902" s="705">
        <v>4463</v>
      </c>
      <c r="T2902" s="705">
        <v>0</v>
      </c>
      <c r="U2902" s="705">
        <v>0</v>
      </c>
      <c r="V2902" s="705">
        <v>70619</v>
      </c>
      <c r="W2902" s="705">
        <f t="shared" si="110"/>
        <v>70619</v>
      </c>
      <c r="X2902" s="705">
        <f t="shared" si="111"/>
        <v>87444</v>
      </c>
    </row>
    <row r="2903" spans="2:24">
      <c r="B2903" t="s">
        <v>559</v>
      </c>
      <c r="C2903" t="s">
        <v>124</v>
      </c>
      <c r="D2903" t="s">
        <v>673</v>
      </c>
      <c r="E2903" t="s">
        <v>673</v>
      </c>
      <c r="F2903" s="705">
        <v>6</v>
      </c>
      <c r="G2903" s="705">
        <v>473</v>
      </c>
      <c r="H2903" s="705">
        <v>4124</v>
      </c>
      <c r="I2903" s="705">
        <v>232293</v>
      </c>
      <c r="J2903" s="705">
        <v>211175</v>
      </c>
      <c r="K2903" s="705">
        <v>49</v>
      </c>
      <c r="L2903" s="705">
        <v>34932</v>
      </c>
      <c r="M2903" s="705">
        <v>27400</v>
      </c>
      <c r="N2903" s="705">
        <v>10271</v>
      </c>
      <c r="O2903" s="705">
        <v>3804</v>
      </c>
      <c r="P2903" s="705">
        <v>2106</v>
      </c>
      <c r="Q2903" s="705">
        <v>780</v>
      </c>
      <c r="R2903" s="705">
        <v>31117</v>
      </c>
      <c r="S2903" s="705">
        <v>28288</v>
      </c>
      <c r="T2903" s="705">
        <v>12711</v>
      </c>
      <c r="U2903" s="705">
        <v>4708</v>
      </c>
      <c r="V2903" s="705">
        <v>276155</v>
      </c>
      <c r="W2903" s="705">
        <f t="shared" si="110"/>
        <v>276155</v>
      </c>
      <c r="X2903" s="705">
        <f t="shared" si="111"/>
        <v>323430</v>
      </c>
    </row>
  </sheetData>
  <mergeCells count="1">
    <mergeCell ref="A1:I1"/>
  </mergeCells>
  <phoneticPr fontId="23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>
    <tabColor rgb="FF92D050"/>
  </sheetPr>
  <dimension ref="A1:AV3431"/>
  <sheetViews>
    <sheetView topLeftCell="AC1" zoomScale="70" zoomScaleNormal="70" workbookViewId="0">
      <selection activeCell="AN471" sqref="AN471"/>
    </sheetView>
    <sheetView topLeftCell="Y5" workbookViewId="1">
      <selection activeCell="AU67" sqref="AU67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56" t="s">
        <v>723</v>
      </c>
      <c r="B1" s="1056"/>
      <c r="C1" s="1056"/>
      <c r="D1" s="1056"/>
      <c r="E1" s="1056"/>
      <c r="F1" s="1056"/>
      <c r="G1" s="1056"/>
      <c r="H1" s="1056"/>
      <c r="I1" s="1056"/>
    </row>
    <row r="2" spans="1:48">
      <c r="AI2" s="429"/>
    </row>
    <row r="3" spans="1:48">
      <c r="AI3" s="429"/>
    </row>
    <row r="4" spans="1:48">
      <c r="B4" s="239"/>
      <c r="C4" s="239"/>
      <c r="D4" s="239"/>
      <c r="E4" s="239"/>
      <c r="F4" s="239" t="s">
        <v>525</v>
      </c>
      <c r="G4" s="239" t="s">
        <v>525</v>
      </c>
      <c r="H4" s="239" t="s">
        <v>525</v>
      </c>
      <c r="I4" s="239" t="s">
        <v>525</v>
      </c>
      <c r="J4" s="239" t="s">
        <v>525</v>
      </c>
      <c r="K4" s="239" t="s">
        <v>525</v>
      </c>
      <c r="L4" s="239" t="s">
        <v>525</v>
      </c>
      <c r="M4" s="239" t="s">
        <v>525</v>
      </c>
      <c r="N4" s="239" t="s">
        <v>525</v>
      </c>
      <c r="O4" s="239" t="s">
        <v>525</v>
      </c>
      <c r="P4" s="239" t="s">
        <v>525</v>
      </c>
      <c r="Q4" s="239" t="s">
        <v>525</v>
      </c>
      <c r="R4" s="239" t="s">
        <v>525</v>
      </c>
      <c r="S4" s="239" t="s">
        <v>525</v>
      </c>
      <c r="T4" s="239" t="s">
        <v>525</v>
      </c>
      <c r="U4" s="239" t="s">
        <v>525</v>
      </c>
      <c r="V4" s="239" t="s">
        <v>525</v>
      </c>
      <c r="W4" s="239" t="s">
        <v>653</v>
      </c>
      <c r="X4" s="239" t="s">
        <v>653</v>
      </c>
      <c r="Y4" s="239"/>
      <c r="AD4" t="s">
        <v>525</v>
      </c>
      <c r="AE4" t="s">
        <v>525</v>
      </c>
      <c r="AF4" t="s">
        <v>525</v>
      </c>
      <c r="AG4" t="s">
        <v>525</v>
      </c>
      <c r="AH4" t="s">
        <v>525</v>
      </c>
      <c r="AI4" s="429" t="s">
        <v>525</v>
      </c>
      <c r="AJ4" t="s">
        <v>525</v>
      </c>
      <c r="AK4" t="s">
        <v>525</v>
      </c>
      <c r="AL4" t="s">
        <v>525</v>
      </c>
      <c r="AM4" t="s">
        <v>525</v>
      </c>
      <c r="AN4" t="s">
        <v>525</v>
      </c>
      <c r="AO4" t="s">
        <v>525</v>
      </c>
      <c r="AP4" t="s">
        <v>525</v>
      </c>
      <c r="AQ4" t="s">
        <v>525</v>
      </c>
      <c r="AR4" t="s">
        <v>525</v>
      </c>
      <c r="AS4" t="s">
        <v>525</v>
      </c>
      <c r="AT4" t="s">
        <v>525</v>
      </c>
      <c r="AU4" s="239" t="s">
        <v>653</v>
      </c>
      <c r="AV4" s="239" t="s">
        <v>653</v>
      </c>
    </row>
    <row r="5" spans="1:48">
      <c r="F5" t="s">
        <v>106</v>
      </c>
      <c r="G5" t="s">
        <v>106</v>
      </c>
      <c r="H5" t="s">
        <v>106</v>
      </c>
      <c r="I5" t="s">
        <v>106</v>
      </c>
      <c r="J5" t="s">
        <v>106</v>
      </c>
      <c r="K5" t="s">
        <v>106</v>
      </c>
      <c r="L5" t="s">
        <v>106</v>
      </c>
      <c r="M5" t="s">
        <v>106</v>
      </c>
      <c r="N5" t="s">
        <v>106</v>
      </c>
      <c r="O5" t="s">
        <v>106</v>
      </c>
      <c r="P5" t="s">
        <v>106</v>
      </c>
      <c r="Q5" t="s">
        <v>106</v>
      </c>
      <c r="R5" t="s">
        <v>106</v>
      </c>
      <c r="S5" t="s">
        <v>106</v>
      </c>
      <c r="T5" t="s">
        <v>106</v>
      </c>
      <c r="U5" t="s">
        <v>106</v>
      </c>
      <c r="V5" t="s">
        <v>106</v>
      </c>
      <c r="AD5" t="s">
        <v>106</v>
      </c>
      <c r="AE5" t="s">
        <v>106</v>
      </c>
      <c r="AF5" t="s">
        <v>106</v>
      </c>
      <c r="AG5" t="s">
        <v>106</v>
      </c>
      <c r="AH5" t="s">
        <v>106</v>
      </c>
      <c r="AI5" s="429" t="s">
        <v>106</v>
      </c>
      <c r="AJ5" t="s">
        <v>106</v>
      </c>
      <c r="AK5" t="s">
        <v>106</v>
      </c>
      <c r="AL5" t="s">
        <v>106</v>
      </c>
      <c r="AM5" t="s">
        <v>106</v>
      </c>
      <c r="AN5" t="s">
        <v>106</v>
      </c>
      <c r="AO5" t="s">
        <v>106</v>
      </c>
      <c r="AP5" t="s">
        <v>106</v>
      </c>
      <c r="AQ5" t="s">
        <v>106</v>
      </c>
      <c r="AR5" t="s">
        <v>106</v>
      </c>
      <c r="AS5" t="s">
        <v>106</v>
      </c>
      <c r="AT5" t="s">
        <v>106</v>
      </c>
    </row>
    <row r="6" spans="1:48">
      <c r="B6" t="s">
        <v>524</v>
      </c>
      <c r="C6" t="s">
        <v>420</v>
      </c>
      <c r="D6" t="s">
        <v>570</v>
      </c>
      <c r="E6" t="s">
        <v>589</v>
      </c>
      <c r="F6" t="s">
        <v>575</v>
      </c>
      <c r="G6" t="s">
        <v>576</v>
      </c>
      <c r="H6" t="s">
        <v>654</v>
      </c>
      <c r="I6" t="s">
        <v>571</v>
      </c>
      <c r="J6" t="s">
        <v>572</v>
      </c>
      <c r="K6" t="s">
        <v>577</v>
      </c>
      <c r="L6" t="s">
        <v>573</v>
      </c>
      <c r="M6" t="s">
        <v>574</v>
      </c>
      <c r="N6" t="s">
        <v>655</v>
      </c>
      <c r="O6" t="s">
        <v>656</v>
      </c>
      <c r="P6" t="s">
        <v>657</v>
      </c>
      <c r="Q6" t="s">
        <v>658</v>
      </c>
      <c r="R6" t="s">
        <v>659</v>
      </c>
      <c r="S6" t="s">
        <v>660</v>
      </c>
      <c r="T6" t="s">
        <v>661</v>
      </c>
      <c r="U6" t="s">
        <v>662</v>
      </c>
      <c r="V6" t="s">
        <v>663</v>
      </c>
      <c r="W6" s="731" t="s">
        <v>579</v>
      </c>
      <c r="X6" s="731" t="s">
        <v>578</v>
      </c>
      <c r="Y6" s="239"/>
      <c r="AA6" t="s">
        <v>420</v>
      </c>
      <c r="AB6" t="s">
        <v>570</v>
      </c>
      <c r="AC6" t="s">
        <v>589</v>
      </c>
      <c r="AD6" t="s">
        <v>575</v>
      </c>
      <c r="AE6" t="s">
        <v>576</v>
      </c>
      <c r="AF6" t="s">
        <v>654</v>
      </c>
      <c r="AG6" t="s">
        <v>571</v>
      </c>
      <c r="AH6" t="s">
        <v>572</v>
      </c>
      <c r="AI6" t="s">
        <v>577</v>
      </c>
      <c r="AJ6" t="s">
        <v>573</v>
      </c>
      <c r="AK6" t="s">
        <v>574</v>
      </c>
      <c r="AL6" t="s">
        <v>655</v>
      </c>
      <c r="AM6" t="s">
        <v>656</v>
      </c>
      <c r="AN6" t="s">
        <v>657</v>
      </c>
      <c r="AO6" t="s">
        <v>658</v>
      </c>
      <c r="AP6" t="s">
        <v>659</v>
      </c>
      <c r="AQ6" t="s">
        <v>660</v>
      </c>
      <c r="AR6" t="s">
        <v>661</v>
      </c>
      <c r="AS6" t="s">
        <v>662</v>
      </c>
      <c r="AT6" t="s">
        <v>663</v>
      </c>
      <c r="AU6" s="731" t="s">
        <v>579</v>
      </c>
      <c r="AV6" s="731" t="s">
        <v>578</v>
      </c>
    </row>
    <row r="7" spans="1:48">
      <c r="B7" t="s">
        <v>527</v>
      </c>
      <c r="C7" t="s">
        <v>108</v>
      </c>
      <c r="D7" t="s">
        <v>228</v>
      </c>
      <c r="E7" t="s">
        <v>228</v>
      </c>
      <c r="F7">
        <v>73</v>
      </c>
      <c r="G7" s="705">
        <v>15636</v>
      </c>
      <c r="H7" s="705">
        <v>3955</v>
      </c>
      <c r="I7" s="705">
        <v>126061</v>
      </c>
      <c r="J7" s="705">
        <v>46689</v>
      </c>
      <c r="K7">
        <v>463</v>
      </c>
      <c r="L7" s="705">
        <v>34241</v>
      </c>
      <c r="M7" s="705">
        <v>30241</v>
      </c>
      <c r="N7" s="705">
        <v>207513</v>
      </c>
      <c r="O7" s="705">
        <v>76857</v>
      </c>
      <c r="P7" s="705">
        <v>97519</v>
      </c>
      <c r="Q7" s="705">
        <v>36118</v>
      </c>
      <c r="R7" s="705">
        <v>374524</v>
      </c>
      <c r="S7" s="705">
        <v>138713</v>
      </c>
      <c r="T7">
        <v>0</v>
      </c>
      <c r="U7">
        <v>0</v>
      </c>
      <c r="V7" s="705">
        <v>328618</v>
      </c>
      <c r="W7" s="705">
        <f t="shared" ref="W7:W70" si="0">SUM(ABS(J7),ABS(M7),ABS(O7),ABS(Q7),ABS(S7),ABS(U7))</f>
        <v>328618</v>
      </c>
      <c r="X7" s="705">
        <f t="shared" ref="X7:X70" si="1">SUM(ABS(I7),ABS(N7),ABS(P7),ABS(R7),ABS(T7),ABS(L7))</f>
        <v>839858</v>
      </c>
      <c r="Y7" s="705"/>
      <c r="AA7" t="s">
        <v>108</v>
      </c>
      <c r="AD7" s="705">
        <v>32</v>
      </c>
      <c r="AE7" s="705">
        <v>5529</v>
      </c>
      <c r="AF7" s="705">
        <v>1906</v>
      </c>
      <c r="AH7">
        <v>0</v>
      </c>
      <c r="AK7">
        <v>0</v>
      </c>
      <c r="AL7" s="705">
        <v>69311</v>
      </c>
      <c r="AM7" s="705">
        <v>25671</v>
      </c>
      <c r="AN7" s="705">
        <v>24466</v>
      </c>
      <c r="AO7" s="705">
        <v>9061</v>
      </c>
      <c r="AQ7">
        <v>0</v>
      </c>
      <c r="AR7" s="705">
        <v>0</v>
      </c>
      <c r="AS7" s="705">
        <v>0</v>
      </c>
      <c r="AT7" s="705">
        <v>34732</v>
      </c>
      <c r="AU7" s="705">
        <f>SUM(ABS(AH7), ABS(AK7),ABS(AM7),ABS(AO7),ABS(AQ7),ABS(AS7))</f>
        <v>34732</v>
      </c>
      <c r="AV7" s="705">
        <f t="shared" ref="AV7:AV70" si="2">SUM(ABS(AG7),ABS(AJ7),ABS(AL7),ABS(AN7),ABS(AP7),ABS(AR7))</f>
        <v>93777</v>
      </c>
    </row>
    <row r="8" spans="1:48" ht="12.75" customHeight="1">
      <c r="B8" t="s">
        <v>527</v>
      </c>
      <c r="C8" t="s">
        <v>108</v>
      </c>
      <c r="D8" t="s">
        <v>583</v>
      </c>
      <c r="E8" t="s">
        <v>228</v>
      </c>
      <c r="F8">
        <v>2</v>
      </c>
      <c r="G8" s="705">
        <v>334</v>
      </c>
      <c r="H8" s="705">
        <v>125</v>
      </c>
      <c r="I8" s="705">
        <v>7116</v>
      </c>
      <c r="J8" s="705">
        <v>6469</v>
      </c>
      <c r="K8">
        <v>94</v>
      </c>
      <c r="L8" s="705">
        <v>1050</v>
      </c>
      <c r="M8" s="705">
        <v>955</v>
      </c>
      <c r="N8" s="705">
        <v>4258</v>
      </c>
      <c r="O8" s="705">
        <v>1577</v>
      </c>
      <c r="P8" s="705">
        <v>2830</v>
      </c>
      <c r="Q8" s="705">
        <v>1048</v>
      </c>
      <c r="R8" s="705">
        <v>5645</v>
      </c>
      <c r="S8" s="705">
        <v>2091</v>
      </c>
      <c r="T8">
        <v>0</v>
      </c>
      <c r="U8">
        <v>0</v>
      </c>
      <c r="V8" s="705">
        <v>12140</v>
      </c>
      <c r="W8" s="705">
        <f t="shared" si="0"/>
        <v>12140</v>
      </c>
      <c r="X8" s="705">
        <f t="shared" si="1"/>
        <v>20899</v>
      </c>
      <c r="Y8" s="705"/>
      <c r="AA8" t="s">
        <v>108</v>
      </c>
      <c r="AB8" t="s">
        <v>664</v>
      </c>
      <c r="AC8" t="s">
        <v>664</v>
      </c>
      <c r="AD8">
        <v>5</v>
      </c>
      <c r="AE8" s="705">
        <v>1067</v>
      </c>
      <c r="AF8" s="705">
        <v>358</v>
      </c>
      <c r="AG8" s="705">
        <v>29767</v>
      </c>
      <c r="AH8" s="705">
        <v>27061</v>
      </c>
      <c r="AI8">
        <v>91</v>
      </c>
      <c r="AJ8" s="705">
        <v>4216</v>
      </c>
      <c r="AK8" s="705">
        <v>3833</v>
      </c>
      <c r="AL8" s="705">
        <v>14947</v>
      </c>
      <c r="AM8" s="705">
        <v>5536</v>
      </c>
      <c r="AN8" s="705">
        <v>6073</v>
      </c>
      <c r="AO8" s="705">
        <v>2249</v>
      </c>
      <c r="AP8" s="705">
        <v>21324</v>
      </c>
      <c r="AQ8" s="705">
        <v>19386</v>
      </c>
      <c r="AR8">
        <v>0</v>
      </c>
      <c r="AS8">
        <v>0</v>
      </c>
      <c r="AT8" s="705">
        <v>58065</v>
      </c>
      <c r="AU8" s="705">
        <f t="shared" ref="AU8:AU71" si="3">SUM(ABS(AH8), ABS(AK8),ABS(AM8),ABS(AO8),ABS(AQ8),ABS(AS8))</f>
        <v>58065</v>
      </c>
      <c r="AV8" s="705">
        <f t="shared" si="2"/>
        <v>76327</v>
      </c>
    </row>
    <row r="9" spans="1:48" ht="12.75" customHeight="1">
      <c r="B9" t="s">
        <v>527</v>
      </c>
      <c r="C9" t="s">
        <v>108</v>
      </c>
      <c r="D9" t="s">
        <v>583</v>
      </c>
      <c r="E9" t="s">
        <v>583</v>
      </c>
      <c r="F9">
        <v>49</v>
      </c>
      <c r="G9" s="705">
        <v>9073</v>
      </c>
      <c r="H9" s="705">
        <v>2957</v>
      </c>
      <c r="I9" s="705">
        <v>170315</v>
      </c>
      <c r="J9" s="705">
        <v>154832</v>
      </c>
      <c r="K9">
        <v>94</v>
      </c>
      <c r="L9" s="705">
        <v>16272</v>
      </c>
      <c r="M9" s="705">
        <v>14613</v>
      </c>
      <c r="N9" s="705">
        <v>111873</v>
      </c>
      <c r="O9" s="705">
        <v>41435</v>
      </c>
      <c r="P9" s="705">
        <v>42908</v>
      </c>
      <c r="Q9" s="705">
        <v>15892</v>
      </c>
      <c r="R9" s="705">
        <v>196748</v>
      </c>
      <c r="S9" s="705">
        <v>178862</v>
      </c>
      <c r="T9" s="705">
        <v>1515</v>
      </c>
      <c r="U9">
        <v>561</v>
      </c>
      <c r="V9" s="705">
        <v>406194</v>
      </c>
      <c r="W9" s="705">
        <f t="shared" si="0"/>
        <v>406195</v>
      </c>
      <c r="X9" s="705">
        <f t="shared" si="1"/>
        <v>539631</v>
      </c>
      <c r="Y9" s="705"/>
      <c r="AA9" t="s">
        <v>108</v>
      </c>
      <c r="AB9" t="s">
        <v>582</v>
      </c>
      <c r="AC9" t="s">
        <v>582</v>
      </c>
      <c r="AD9">
        <v>58</v>
      </c>
      <c r="AE9" s="705">
        <v>11486</v>
      </c>
      <c r="AF9" s="705">
        <v>3414</v>
      </c>
      <c r="AG9" s="705">
        <v>205737</v>
      </c>
      <c r="AH9" s="705">
        <v>187033</v>
      </c>
      <c r="AI9">
        <v>92</v>
      </c>
      <c r="AJ9" s="705">
        <v>22373</v>
      </c>
      <c r="AK9" s="705">
        <v>22397</v>
      </c>
      <c r="AL9" s="705">
        <v>158563</v>
      </c>
      <c r="AM9" s="705">
        <v>58727</v>
      </c>
      <c r="AN9" s="705">
        <v>96253</v>
      </c>
      <c r="AO9" s="705">
        <v>35649</v>
      </c>
      <c r="AP9" s="705">
        <v>206052</v>
      </c>
      <c r="AQ9" s="705">
        <v>187320</v>
      </c>
      <c r="AR9">
        <v>357</v>
      </c>
      <c r="AS9">
        <v>132</v>
      </c>
      <c r="AT9" s="705">
        <v>491259</v>
      </c>
      <c r="AU9" s="705">
        <f t="shared" si="3"/>
        <v>491258</v>
      </c>
      <c r="AV9" s="705">
        <f t="shared" si="2"/>
        <v>689335</v>
      </c>
    </row>
    <row r="10" spans="1:48" ht="12.75" customHeight="1">
      <c r="B10" t="s">
        <v>527</v>
      </c>
      <c r="C10" t="s">
        <v>108</v>
      </c>
      <c r="D10" t="s">
        <v>584</v>
      </c>
      <c r="E10" t="s">
        <v>228</v>
      </c>
      <c r="F10">
        <v>1</v>
      </c>
      <c r="G10">
        <v>232</v>
      </c>
      <c r="H10">
        <v>59</v>
      </c>
      <c r="I10" s="705">
        <v>5671</v>
      </c>
      <c r="J10" s="705">
        <v>5155</v>
      </c>
      <c r="K10">
        <v>90</v>
      </c>
      <c r="L10" s="705">
        <v>0</v>
      </c>
      <c r="M10" s="705">
        <v>0</v>
      </c>
      <c r="N10" s="705">
        <v>2824</v>
      </c>
      <c r="O10" s="705">
        <v>1046</v>
      </c>
      <c r="P10" s="705">
        <v>473</v>
      </c>
      <c r="Q10">
        <v>175</v>
      </c>
      <c r="R10" s="705">
        <v>4639</v>
      </c>
      <c r="S10" s="705">
        <v>1718</v>
      </c>
      <c r="T10">
        <v>0</v>
      </c>
      <c r="U10">
        <v>0</v>
      </c>
      <c r="V10" s="705">
        <v>8094</v>
      </c>
      <c r="W10" s="705">
        <f t="shared" si="0"/>
        <v>8094</v>
      </c>
      <c r="X10" s="705">
        <f t="shared" si="1"/>
        <v>13607</v>
      </c>
      <c r="Y10" s="705"/>
      <c r="AA10" t="s">
        <v>108</v>
      </c>
      <c r="AB10" t="s">
        <v>582</v>
      </c>
      <c r="AC10" t="s">
        <v>228</v>
      </c>
      <c r="AD10" s="705">
        <v>5</v>
      </c>
      <c r="AE10" s="705">
        <v>1203</v>
      </c>
      <c r="AF10" s="705">
        <v>298</v>
      </c>
      <c r="AG10" s="705">
        <v>17166</v>
      </c>
      <c r="AH10" s="705">
        <v>15605</v>
      </c>
      <c r="AI10">
        <v>91</v>
      </c>
      <c r="AJ10" s="705">
        <v>3618</v>
      </c>
      <c r="AK10" s="705">
        <v>3289</v>
      </c>
      <c r="AL10" s="705">
        <v>14773</v>
      </c>
      <c r="AM10" s="705">
        <v>5472</v>
      </c>
      <c r="AN10" s="705">
        <v>11000</v>
      </c>
      <c r="AO10" s="705">
        <v>4074</v>
      </c>
      <c r="AP10" s="705">
        <v>24764</v>
      </c>
      <c r="AQ10" s="705">
        <v>9172</v>
      </c>
      <c r="AR10" s="705">
        <v>0</v>
      </c>
      <c r="AS10" s="705">
        <v>0</v>
      </c>
      <c r="AT10" s="705">
        <v>37612</v>
      </c>
      <c r="AU10" s="705">
        <f t="shared" si="3"/>
        <v>37612</v>
      </c>
      <c r="AV10" s="705">
        <f t="shared" si="2"/>
        <v>71321</v>
      </c>
    </row>
    <row r="11" spans="1:48" ht="12.75" customHeight="1">
      <c r="B11" t="s">
        <v>527</v>
      </c>
      <c r="C11" t="s">
        <v>108</v>
      </c>
      <c r="D11" t="s">
        <v>584</v>
      </c>
      <c r="E11" t="s">
        <v>584</v>
      </c>
      <c r="F11">
        <v>6</v>
      </c>
      <c r="G11" s="705">
        <v>1063</v>
      </c>
      <c r="H11" s="705">
        <v>329</v>
      </c>
      <c r="I11" s="705">
        <v>12550</v>
      </c>
      <c r="J11" s="705">
        <v>11410</v>
      </c>
      <c r="K11">
        <v>91</v>
      </c>
      <c r="L11" s="705">
        <v>1744</v>
      </c>
      <c r="M11" s="705">
        <v>1551</v>
      </c>
      <c r="N11" s="705">
        <v>12950</v>
      </c>
      <c r="O11" s="705">
        <v>4796</v>
      </c>
      <c r="P11" s="705">
        <v>9557</v>
      </c>
      <c r="Q11" s="705">
        <v>3539</v>
      </c>
      <c r="R11" s="705">
        <v>20354</v>
      </c>
      <c r="S11" s="705">
        <v>18504</v>
      </c>
      <c r="T11">
        <v>0</v>
      </c>
      <c r="U11">
        <v>0</v>
      </c>
      <c r="V11" s="705">
        <v>39800</v>
      </c>
      <c r="W11" s="705">
        <f t="shared" si="0"/>
        <v>39800</v>
      </c>
      <c r="X11" s="705">
        <f t="shared" si="1"/>
        <v>57155</v>
      </c>
      <c r="Y11" s="705"/>
      <c r="AA11" t="s">
        <v>108</v>
      </c>
      <c r="AB11" t="s">
        <v>228</v>
      </c>
      <c r="AC11" t="s">
        <v>582</v>
      </c>
      <c r="AD11" s="705">
        <v>2</v>
      </c>
      <c r="AE11" s="705">
        <v>868</v>
      </c>
      <c r="AF11" s="705">
        <v>112</v>
      </c>
      <c r="AG11" s="705">
        <v>12085</v>
      </c>
      <c r="AH11" s="705">
        <v>4476</v>
      </c>
      <c r="AI11">
        <v>343</v>
      </c>
      <c r="AJ11" s="705">
        <v>2318</v>
      </c>
      <c r="AK11" s="705">
        <v>2108</v>
      </c>
      <c r="AL11" s="705">
        <v>14089</v>
      </c>
      <c r="AM11" s="705">
        <v>5218</v>
      </c>
      <c r="AN11" s="705">
        <v>10083</v>
      </c>
      <c r="AO11" s="705">
        <v>3735</v>
      </c>
      <c r="AP11" s="705">
        <v>10436</v>
      </c>
      <c r="AQ11" s="705">
        <v>9488</v>
      </c>
      <c r="AR11">
        <v>0</v>
      </c>
      <c r="AS11">
        <v>0</v>
      </c>
      <c r="AT11" s="705">
        <v>25024</v>
      </c>
      <c r="AU11" s="705">
        <f t="shared" si="3"/>
        <v>25025</v>
      </c>
      <c r="AV11" s="705">
        <f t="shared" si="2"/>
        <v>49011</v>
      </c>
    </row>
    <row r="12" spans="1:48" ht="12.75" customHeight="1">
      <c r="B12" t="s">
        <v>527</v>
      </c>
      <c r="C12" t="s">
        <v>110</v>
      </c>
      <c r="D12" t="s">
        <v>582</v>
      </c>
      <c r="E12" t="s">
        <v>582</v>
      </c>
      <c r="F12">
        <v>1</v>
      </c>
      <c r="G12" s="705">
        <v>256</v>
      </c>
      <c r="H12" s="705">
        <v>96</v>
      </c>
      <c r="I12" s="705">
        <v>11984</v>
      </c>
      <c r="J12" s="705">
        <v>10894</v>
      </c>
      <c r="K12">
        <v>91</v>
      </c>
      <c r="L12" s="705">
        <v>2039</v>
      </c>
      <c r="M12" s="705">
        <v>1854</v>
      </c>
      <c r="N12" s="705">
        <v>3432</v>
      </c>
      <c r="O12" s="705">
        <v>1271</v>
      </c>
      <c r="P12" s="705">
        <v>3020</v>
      </c>
      <c r="Q12" s="705">
        <v>1119</v>
      </c>
      <c r="R12" s="705">
        <v>4178</v>
      </c>
      <c r="S12" s="705">
        <v>3798</v>
      </c>
      <c r="T12">
        <v>0</v>
      </c>
      <c r="U12">
        <v>0</v>
      </c>
      <c r="V12" s="705">
        <v>18936</v>
      </c>
      <c r="W12" s="705">
        <f t="shared" si="0"/>
        <v>18936</v>
      </c>
      <c r="X12" s="705">
        <f t="shared" si="1"/>
        <v>24653</v>
      </c>
      <c r="Y12" s="705"/>
      <c r="AA12" t="s">
        <v>108</v>
      </c>
      <c r="AB12" t="s">
        <v>228</v>
      </c>
      <c r="AC12" t="s">
        <v>228</v>
      </c>
      <c r="AD12" s="705">
        <v>6077</v>
      </c>
      <c r="AE12" s="705">
        <v>1306722</v>
      </c>
      <c r="AF12" s="705">
        <v>328077</v>
      </c>
      <c r="AG12" s="705">
        <v>8885992</v>
      </c>
      <c r="AH12" s="705">
        <v>3291108</v>
      </c>
      <c r="AI12">
        <v>459</v>
      </c>
      <c r="AJ12" s="705">
        <v>2305538</v>
      </c>
      <c r="AK12" s="705">
        <v>1999918</v>
      </c>
      <c r="AL12" s="705">
        <v>17398300</v>
      </c>
      <c r="AM12" s="705">
        <v>6443815</v>
      </c>
      <c r="AN12" s="705">
        <v>8860959</v>
      </c>
      <c r="AO12" s="705">
        <v>3281837</v>
      </c>
      <c r="AP12" s="705">
        <v>32620025</v>
      </c>
      <c r="AQ12" s="705">
        <v>12081491</v>
      </c>
      <c r="AR12" s="705">
        <v>34059</v>
      </c>
      <c r="AS12" s="705">
        <v>12614</v>
      </c>
      <c r="AT12" s="705">
        <v>27110782</v>
      </c>
      <c r="AU12" s="705">
        <f t="shared" si="3"/>
        <v>27110783</v>
      </c>
      <c r="AV12" s="705">
        <f t="shared" si="2"/>
        <v>70104873</v>
      </c>
    </row>
    <row r="13" spans="1:48" ht="12.75" customHeight="1">
      <c r="B13" t="s">
        <v>527</v>
      </c>
      <c r="C13" t="s">
        <v>110</v>
      </c>
      <c r="D13" t="s">
        <v>228</v>
      </c>
      <c r="E13" t="s">
        <v>228</v>
      </c>
      <c r="F13">
        <v>9</v>
      </c>
      <c r="G13" s="705">
        <v>2491</v>
      </c>
      <c r="H13" s="705">
        <v>834</v>
      </c>
      <c r="I13" s="705">
        <v>113662</v>
      </c>
      <c r="J13" s="705">
        <v>42097</v>
      </c>
      <c r="K13">
        <v>343</v>
      </c>
      <c r="L13" s="705">
        <v>34432</v>
      </c>
      <c r="M13" s="705">
        <v>31302</v>
      </c>
      <c r="N13" s="705">
        <v>44246</v>
      </c>
      <c r="O13" s="705">
        <v>16388</v>
      </c>
      <c r="P13" s="705">
        <v>4334</v>
      </c>
      <c r="Q13" s="705">
        <v>1605</v>
      </c>
      <c r="R13" s="705">
        <v>61291</v>
      </c>
      <c r="S13" s="705">
        <v>22700</v>
      </c>
      <c r="T13">
        <v>0</v>
      </c>
      <c r="U13">
        <v>0</v>
      </c>
      <c r="V13" s="705">
        <v>114092</v>
      </c>
      <c r="W13" s="705">
        <f t="shared" si="0"/>
        <v>114092</v>
      </c>
      <c r="X13" s="705">
        <f t="shared" si="1"/>
        <v>257965</v>
      </c>
      <c r="Y13" s="705"/>
      <c r="AA13" t="s">
        <v>108</v>
      </c>
      <c r="AB13" t="s">
        <v>228</v>
      </c>
      <c r="AC13" t="s">
        <v>583</v>
      </c>
      <c r="AD13">
        <v>7</v>
      </c>
      <c r="AE13" s="705">
        <v>2031</v>
      </c>
      <c r="AF13" s="705">
        <v>404</v>
      </c>
      <c r="AG13" s="705">
        <v>62334</v>
      </c>
      <c r="AH13" s="705">
        <v>23087</v>
      </c>
      <c r="AI13">
        <v>398</v>
      </c>
      <c r="AJ13" s="705">
        <v>15526</v>
      </c>
      <c r="AK13" s="705">
        <v>13936</v>
      </c>
      <c r="AL13" s="705">
        <v>27012</v>
      </c>
      <c r="AM13" s="705">
        <v>10004</v>
      </c>
      <c r="AN13" s="705">
        <v>11732</v>
      </c>
      <c r="AO13" s="705">
        <v>4345</v>
      </c>
      <c r="AP13" s="705">
        <v>17230</v>
      </c>
      <c r="AQ13" s="705">
        <v>15663</v>
      </c>
      <c r="AR13">
        <v>0</v>
      </c>
      <c r="AS13">
        <v>0</v>
      </c>
      <c r="AT13" s="705">
        <v>67035</v>
      </c>
      <c r="AU13" s="705">
        <f t="shared" si="3"/>
        <v>67035</v>
      </c>
      <c r="AV13" s="705">
        <f t="shared" si="2"/>
        <v>133834</v>
      </c>
    </row>
    <row r="14" spans="1:48" ht="12.75" customHeight="1">
      <c r="B14" t="s">
        <v>527</v>
      </c>
      <c r="C14" t="s">
        <v>110</v>
      </c>
      <c r="D14" t="s">
        <v>583</v>
      </c>
      <c r="E14" t="s">
        <v>583</v>
      </c>
      <c r="F14">
        <v>31</v>
      </c>
      <c r="G14" s="705">
        <v>6010</v>
      </c>
      <c r="H14" s="705">
        <v>2738</v>
      </c>
      <c r="I14" s="705">
        <v>280517</v>
      </c>
      <c r="J14" s="705">
        <v>255016</v>
      </c>
      <c r="K14">
        <v>94</v>
      </c>
      <c r="L14" s="705">
        <v>45825</v>
      </c>
      <c r="M14" s="705">
        <v>41659</v>
      </c>
      <c r="N14" s="705">
        <v>81570</v>
      </c>
      <c r="O14" s="705">
        <v>30211</v>
      </c>
      <c r="P14" s="705">
        <v>21941</v>
      </c>
      <c r="Q14" s="705">
        <v>8126</v>
      </c>
      <c r="R14" s="705">
        <v>105474</v>
      </c>
      <c r="S14" s="705">
        <v>95886</v>
      </c>
      <c r="T14" s="705">
        <v>2587</v>
      </c>
      <c r="U14">
        <v>958</v>
      </c>
      <c r="V14" s="705">
        <v>431856</v>
      </c>
      <c r="W14" s="705">
        <f t="shared" si="0"/>
        <v>431856</v>
      </c>
      <c r="X14" s="705">
        <f t="shared" si="1"/>
        <v>537914</v>
      </c>
      <c r="Y14" s="705"/>
      <c r="AA14" t="s">
        <v>108</v>
      </c>
      <c r="AB14" t="s">
        <v>228</v>
      </c>
      <c r="AC14" t="s">
        <v>584</v>
      </c>
      <c r="AD14" s="705">
        <v>17</v>
      </c>
      <c r="AE14" s="705">
        <v>4918</v>
      </c>
      <c r="AF14" s="705">
        <v>880</v>
      </c>
      <c r="AG14" s="705">
        <v>86623</v>
      </c>
      <c r="AH14" s="705">
        <v>32082</v>
      </c>
      <c r="AI14">
        <v>391</v>
      </c>
      <c r="AJ14" s="705">
        <v>10700</v>
      </c>
      <c r="AK14" s="705">
        <v>9553</v>
      </c>
      <c r="AL14" s="705">
        <v>62246</v>
      </c>
      <c r="AM14" s="705">
        <v>23054</v>
      </c>
      <c r="AN14" s="705">
        <v>34789</v>
      </c>
      <c r="AO14" s="705">
        <v>12885</v>
      </c>
      <c r="AP14" s="705">
        <v>62847</v>
      </c>
      <c r="AQ14" s="705">
        <v>57134</v>
      </c>
      <c r="AR14" s="705">
        <v>0</v>
      </c>
      <c r="AS14" s="705">
        <v>0</v>
      </c>
      <c r="AT14" s="705">
        <v>134708</v>
      </c>
      <c r="AU14" s="705">
        <f t="shared" si="3"/>
        <v>134708</v>
      </c>
      <c r="AV14" s="705">
        <f t="shared" si="2"/>
        <v>257205</v>
      </c>
    </row>
    <row r="15" spans="1:48" ht="12.75" customHeight="1">
      <c r="B15" t="s">
        <v>527</v>
      </c>
      <c r="C15" t="s">
        <v>110</v>
      </c>
      <c r="D15" t="s">
        <v>584</v>
      </c>
      <c r="E15" t="s">
        <v>584</v>
      </c>
      <c r="F15">
        <v>7</v>
      </c>
      <c r="G15" s="705">
        <v>1216</v>
      </c>
      <c r="H15" s="705">
        <v>658</v>
      </c>
      <c r="I15" s="705">
        <v>52938</v>
      </c>
      <c r="J15" s="705">
        <v>48126</v>
      </c>
      <c r="K15">
        <v>90</v>
      </c>
      <c r="L15" s="705">
        <v>9316</v>
      </c>
      <c r="M15" s="705">
        <v>8297</v>
      </c>
      <c r="N15" s="705">
        <v>15678</v>
      </c>
      <c r="O15" s="705">
        <v>5807</v>
      </c>
      <c r="P15" s="705">
        <v>7978</v>
      </c>
      <c r="Q15" s="705">
        <v>2955</v>
      </c>
      <c r="R15" s="705">
        <v>27908</v>
      </c>
      <c r="S15" s="705">
        <v>25371</v>
      </c>
      <c r="T15">
        <v>0</v>
      </c>
      <c r="U15">
        <v>0</v>
      </c>
      <c r="V15" s="705">
        <v>90555</v>
      </c>
      <c r="W15" s="705">
        <f t="shared" si="0"/>
        <v>90556</v>
      </c>
      <c r="X15" s="705">
        <f t="shared" si="1"/>
        <v>113818</v>
      </c>
      <c r="Y15" s="705"/>
      <c r="AA15" t="s">
        <v>108</v>
      </c>
      <c r="AB15" t="s">
        <v>228</v>
      </c>
      <c r="AC15" t="s">
        <v>665</v>
      </c>
      <c r="AD15">
        <v>2</v>
      </c>
      <c r="AE15">
        <v>443</v>
      </c>
      <c r="AF15">
        <v>113</v>
      </c>
      <c r="AG15" s="705">
        <v>9906</v>
      </c>
      <c r="AH15" s="705">
        <v>3669</v>
      </c>
      <c r="AI15">
        <v>489</v>
      </c>
      <c r="AJ15" s="705">
        <v>2456</v>
      </c>
      <c r="AK15" s="705">
        <v>2232</v>
      </c>
      <c r="AL15" s="705">
        <v>5391</v>
      </c>
      <c r="AM15" s="705">
        <v>1997</v>
      </c>
      <c r="AN15" s="705">
        <v>3022</v>
      </c>
      <c r="AO15" s="705">
        <v>1119</v>
      </c>
      <c r="AP15" s="705">
        <v>2859</v>
      </c>
      <c r="AQ15" s="705">
        <v>2599</v>
      </c>
      <c r="AR15">
        <v>0</v>
      </c>
      <c r="AS15">
        <v>0</v>
      </c>
      <c r="AT15" s="705">
        <v>11616</v>
      </c>
      <c r="AU15" s="705">
        <f t="shared" si="3"/>
        <v>11616</v>
      </c>
      <c r="AV15" s="705">
        <f t="shared" si="2"/>
        <v>23634</v>
      </c>
    </row>
    <row r="16" spans="1:48" ht="12.75" customHeight="1">
      <c r="B16" t="s">
        <v>527</v>
      </c>
      <c r="C16" t="s">
        <v>110</v>
      </c>
      <c r="D16" t="s">
        <v>673</v>
      </c>
      <c r="E16" t="s">
        <v>673</v>
      </c>
      <c r="F16">
        <v>1</v>
      </c>
      <c r="G16" s="705">
        <v>233</v>
      </c>
      <c r="H16" s="705">
        <v>78</v>
      </c>
      <c r="I16" s="705">
        <v>5845</v>
      </c>
      <c r="J16" s="705">
        <v>5314</v>
      </c>
      <c r="K16">
        <v>73</v>
      </c>
      <c r="L16" s="705">
        <v>0</v>
      </c>
      <c r="M16" s="705">
        <v>0</v>
      </c>
      <c r="N16" s="705">
        <v>2833</v>
      </c>
      <c r="O16" s="705">
        <v>1049</v>
      </c>
      <c r="P16" s="705">
        <v>3308</v>
      </c>
      <c r="Q16" s="705">
        <v>1225</v>
      </c>
      <c r="R16" s="705">
        <v>4065</v>
      </c>
      <c r="S16" s="705">
        <v>3696</v>
      </c>
      <c r="T16" s="705">
        <v>2195</v>
      </c>
      <c r="U16">
        <v>813</v>
      </c>
      <c r="V16" s="705">
        <v>12097</v>
      </c>
      <c r="W16" s="705">
        <f t="shared" si="0"/>
        <v>12097</v>
      </c>
      <c r="X16" s="705">
        <f t="shared" si="1"/>
        <v>18246</v>
      </c>
      <c r="Y16" s="705"/>
      <c r="AA16" t="s">
        <v>108</v>
      </c>
      <c r="AB16" t="s">
        <v>724</v>
      </c>
      <c r="AC16" t="s">
        <v>724</v>
      </c>
      <c r="AD16">
        <v>2</v>
      </c>
      <c r="AE16" s="705">
        <v>454</v>
      </c>
      <c r="AF16" s="705">
        <v>147</v>
      </c>
      <c r="AG16" s="705">
        <v>17927</v>
      </c>
      <c r="AH16" s="705">
        <v>6640</v>
      </c>
      <c r="AI16">
        <v>325</v>
      </c>
      <c r="AJ16" s="705">
        <v>4183</v>
      </c>
      <c r="AK16" s="705">
        <v>3803</v>
      </c>
      <c r="AL16" s="705">
        <v>5534</v>
      </c>
      <c r="AM16" s="705">
        <v>2050</v>
      </c>
      <c r="AN16" s="705">
        <v>2106</v>
      </c>
      <c r="AO16" s="705">
        <v>780</v>
      </c>
      <c r="AP16" s="705">
        <v>3718</v>
      </c>
      <c r="AQ16" s="705">
        <v>1377</v>
      </c>
      <c r="AR16" s="705">
        <v>0</v>
      </c>
      <c r="AS16" s="705">
        <v>0</v>
      </c>
      <c r="AT16" s="705">
        <v>14649</v>
      </c>
      <c r="AU16" s="705">
        <f t="shared" si="3"/>
        <v>14650</v>
      </c>
      <c r="AV16" s="705">
        <f t="shared" si="2"/>
        <v>33468</v>
      </c>
    </row>
    <row r="17" spans="2:48" ht="12.75" customHeight="1">
      <c r="B17" t="s">
        <v>527</v>
      </c>
      <c r="C17" t="s">
        <v>112</v>
      </c>
      <c r="D17" t="s">
        <v>582</v>
      </c>
      <c r="E17" t="s">
        <v>582</v>
      </c>
      <c r="F17">
        <v>2</v>
      </c>
      <c r="G17" s="705">
        <v>527</v>
      </c>
      <c r="H17" s="705">
        <v>241</v>
      </c>
      <c r="I17" s="705">
        <v>33938</v>
      </c>
      <c r="J17" s="705">
        <v>30853</v>
      </c>
      <c r="K17">
        <v>88</v>
      </c>
      <c r="L17" s="705">
        <v>6476</v>
      </c>
      <c r="M17" s="705">
        <v>5887</v>
      </c>
      <c r="N17" s="705">
        <v>9489</v>
      </c>
      <c r="O17" s="705">
        <v>3514</v>
      </c>
      <c r="P17" s="705">
        <v>4342</v>
      </c>
      <c r="Q17" s="705">
        <v>1608</v>
      </c>
      <c r="R17" s="705">
        <v>9374</v>
      </c>
      <c r="S17" s="705">
        <v>8522</v>
      </c>
      <c r="T17" s="705">
        <v>0</v>
      </c>
      <c r="U17" s="705">
        <v>0</v>
      </c>
      <c r="V17" s="705">
        <v>50384</v>
      </c>
      <c r="W17" s="705">
        <f t="shared" si="0"/>
        <v>50384</v>
      </c>
      <c r="X17" s="705">
        <f t="shared" si="1"/>
        <v>63619</v>
      </c>
      <c r="Y17" s="705"/>
      <c r="AA17" t="s">
        <v>108</v>
      </c>
      <c r="AB17" t="s">
        <v>725</v>
      </c>
      <c r="AC17" t="s">
        <v>725</v>
      </c>
      <c r="AD17">
        <v>1</v>
      </c>
      <c r="AE17" s="705">
        <v>256</v>
      </c>
      <c r="AF17" s="705">
        <v>74</v>
      </c>
      <c r="AG17" s="705">
        <v>10696</v>
      </c>
      <c r="AH17" s="705">
        <v>3962</v>
      </c>
      <c r="AI17">
        <v>303</v>
      </c>
      <c r="AJ17" s="705">
        <v>2329</v>
      </c>
      <c r="AK17" s="705">
        <v>2117</v>
      </c>
      <c r="AL17" s="705">
        <v>3124</v>
      </c>
      <c r="AM17" s="705">
        <v>1157</v>
      </c>
      <c r="AN17" s="705">
        <v>351</v>
      </c>
      <c r="AO17" s="705">
        <v>130</v>
      </c>
      <c r="AP17" s="705">
        <v>2449</v>
      </c>
      <c r="AQ17" s="705">
        <v>907</v>
      </c>
      <c r="AR17">
        <v>0</v>
      </c>
      <c r="AS17">
        <v>0</v>
      </c>
      <c r="AT17" s="705">
        <v>8273</v>
      </c>
      <c r="AU17" s="705">
        <f t="shared" si="3"/>
        <v>8273</v>
      </c>
      <c r="AV17" s="705">
        <f t="shared" si="2"/>
        <v>18949</v>
      </c>
    </row>
    <row r="18" spans="2:48" ht="12.75" customHeight="1">
      <c r="B18" t="s">
        <v>527</v>
      </c>
      <c r="C18" t="s">
        <v>112</v>
      </c>
      <c r="D18" t="s">
        <v>228</v>
      </c>
      <c r="E18" t="s">
        <v>228</v>
      </c>
      <c r="F18">
        <v>13</v>
      </c>
      <c r="G18" s="705">
        <v>3123</v>
      </c>
      <c r="H18" s="705">
        <v>1475</v>
      </c>
      <c r="I18" s="705">
        <v>187576</v>
      </c>
      <c r="J18" s="705">
        <v>69472</v>
      </c>
      <c r="K18">
        <v>287</v>
      </c>
      <c r="L18" s="705">
        <v>47233</v>
      </c>
      <c r="M18" s="705">
        <v>40936</v>
      </c>
      <c r="N18" s="705">
        <v>54846</v>
      </c>
      <c r="O18" s="705">
        <v>20313</v>
      </c>
      <c r="P18" s="705">
        <v>7023</v>
      </c>
      <c r="Q18" s="705">
        <v>2601</v>
      </c>
      <c r="R18" s="705">
        <v>95617</v>
      </c>
      <c r="S18" s="705">
        <v>35414</v>
      </c>
      <c r="T18" s="705">
        <v>0</v>
      </c>
      <c r="U18" s="705">
        <v>0</v>
      </c>
      <c r="V18" s="705">
        <v>168737</v>
      </c>
      <c r="W18" s="705">
        <f t="shared" si="0"/>
        <v>168736</v>
      </c>
      <c r="X18" s="705">
        <f t="shared" si="1"/>
        <v>392295</v>
      </c>
      <c r="Y18" s="705"/>
      <c r="AA18" t="s">
        <v>108</v>
      </c>
      <c r="AB18" t="s">
        <v>670</v>
      </c>
      <c r="AC18" t="s">
        <v>724</v>
      </c>
      <c r="AD18" s="705">
        <v>1</v>
      </c>
      <c r="AE18" s="705">
        <v>148</v>
      </c>
      <c r="AF18" s="705">
        <v>70</v>
      </c>
      <c r="AG18" s="705">
        <v>3316</v>
      </c>
      <c r="AH18" s="705">
        <v>1228</v>
      </c>
      <c r="AI18">
        <v>320</v>
      </c>
      <c r="AJ18" s="705">
        <v>1201</v>
      </c>
      <c r="AK18" s="705">
        <v>1092</v>
      </c>
      <c r="AL18" s="705">
        <v>2516</v>
      </c>
      <c r="AM18" s="705">
        <v>932</v>
      </c>
      <c r="AN18" s="705">
        <v>351</v>
      </c>
      <c r="AO18" s="705">
        <v>130</v>
      </c>
      <c r="AP18" s="705">
        <v>2926</v>
      </c>
      <c r="AQ18" s="705">
        <v>1084</v>
      </c>
      <c r="AR18" s="705">
        <v>0</v>
      </c>
      <c r="AS18" s="705">
        <v>0</v>
      </c>
      <c r="AT18" s="705">
        <v>4466</v>
      </c>
      <c r="AU18" s="705">
        <f t="shared" si="3"/>
        <v>4466</v>
      </c>
      <c r="AV18" s="705">
        <f t="shared" si="2"/>
        <v>10310</v>
      </c>
    </row>
    <row r="19" spans="2:48" ht="12.75" customHeight="1">
      <c r="B19" t="s">
        <v>527</v>
      </c>
      <c r="C19" t="s">
        <v>112</v>
      </c>
      <c r="D19" t="s">
        <v>583</v>
      </c>
      <c r="E19" t="s">
        <v>583</v>
      </c>
      <c r="F19">
        <v>68</v>
      </c>
      <c r="G19" s="705">
        <v>14786</v>
      </c>
      <c r="H19" s="705">
        <v>7802</v>
      </c>
      <c r="I19" s="705">
        <v>1013823</v>
      </c>
      <c r="J19" s="705">
        <v>921657</v>
      </c>
      <c r="K19">
        <v>93</v>
      </c>
      <c r="L19" s="705">
        <v>177832</v>
      </c>
      <c r="M19" s="705">
        <v>167172</v>
      </c>
      <c r="N19" s="705">
        <v>262802</v>
      </c>
      <c r="O19" s="705">
        <v>97334</v>
      </c>
      <c r="P19" s="705">
        <v>44496</v>
      </c>
      <c r="Q19" s="705">
        <v>16480</v>
      </c>
      <c r="R19" s="705">
        <v>344437</v>
      </c>
      <c r="S19" s="705">
        <v>313125</v>
      </c>
      <c r="T19" s="705">
        <v>11000</v>
      </c>
      <c r="U19" s="705">
        <v>4074</v>
      </c>
      <c r="V19" s="705">
        <v>1519842</v>
      </c>
      <c r="W19" s="705">
        <f t="shared" si="0"/>
        <v>1519842</v>
      </c>
      <c r="X19" s="705">
        <f t="shared" si="1"/>
        <v>1854390</v>
      </c>
      <c r="Y19" s="705"/>
      <c r="AA19" t="s">
        <v>108</v>
      </c>
      <c r="AB19" t="s">
        <v>670</v>
      </c>
      <c r="AC19" t="s">
        <v>670</v>
      </c>
      <c r="AD19">
        <v>1</v>
      </c>
      <c r="AE19">
        <v>150</v>
      </c>
      <c r="AF19">
        <v>74</v>
      </c>
      <c r="AG19" s="705">
        <v>3203</v>
      </c>
      <c r="AH19" s="705">
        <v>1186</v>
      </c>
      <c r="AI19">
        <v>320</v>
      </c>
      <c r="AJ19" s="705">
        <v>580</v>
      </c>
      <c r="AK19" s="705">
        <v>527</v>
      </c>
      <c r="AL19" s="705">
        <v>1833</v>
      </c>
      <c r="AM19" s="705">
        <v>679</v>
      </c>
      <c r="AN19" s="705">
        <v>1625</v>
      </c>
      <c r="AO19" s="705">
        <v>602</v>
      </c>
      <c r="AP19" s="705">
        <v>3851</v>
      </c>
      <c r="AQ19" s="705">
        <v>1426</v>
      </c>
      <c r="AR19">
        <v>0</v>
      </c>
      <c r="AS19">
        <v>0</v>
      </c>
      <c r="AT19" s="705">
        <v>4421</v>
      </c>
      <c r="AU19" s="705">
        <f t="shared" si="3"/>
        <v>4420</v>
      </c>
      <c r="AV19" s="705">
        <f t="shared" si="2"/>
        <v>11092</v>
      </c>
    </row>
    <row r="20" spans="2:48" ht="12.75" customHeight="1">
      <c r="B20" t="s">
        <v>527</v>
      </c>
      <c r="C20" t="s">
        <v>112</v>
      </c>
      <c r="D20" t="s">
        <v>583</v>
      </c>
      <c r="E20" t="s">
        <v>666</v>
      </c>
      <c r="F20">
        <v>1</v>
      </c>
      <c r="G20">
        <v>166</v>
      </c>
      <c r="H20">
        <v>123</v>
      </c>
      <c r="I20" s="705">
        <v>10168</v>
      </c>
      <c r="J20" s="705">
        <v>9244</v>
      </c>
      <c r="K20">
        <v>93</v>
      </c>
      <c r="L20" s="705">
        <v>3495</v>
      </c>
      <c r="M20" s="705">
        <v>3177</v>
      </c>
      <c r="N20" s="705">
        <v>2017</v>
      </c>
      <c r="O20" s="705">
        <v>747</v>
      </c>
      <c r="P20" s="705">
        <v>621</v>
      </c>
      <c r="Q20">
        <v>230</v>
      </c>
      <c r="R20" s="705">
        <v>4125</v>
      </c>
      <c r="S20" s="705">
        <v>3750</v>
      </c>
      <c r="T20" s="705">
        <v>0</v>
      </c>
      <c r="U20" s="705">
        <v>0</v>
      </c>
      <c r="V20" s="705">
        <v>17148</v>
      </c>
      <c r="W20" s="705">
        <f t="shared" si="0"/>
        <v>17148</v>
      </c>
      <c r="X20" s="705">
        <f t="shared" si="1"/>
        <v>20426</v>
      </c>
      <c r="Y20" s="705"/>
      <c r="AA20" t="s">
        <v>108</v>
      </c>
      <c r="AB20" t="s">
        <v>583</v>
      </c>
      <c r="AC20" t="s">
        <v>664</v>
      </c>
      <c r="AD20">
        <v>1</v>
      </c>
      <c r="AE20" s="705">
        <v>150</v>
      </c>
      <c r="AF20" s="705">
        <v>71</v>
      </c>
      <c r="AG20" s="705">
        <v>3806</v>
      </c>
      <c r="AH20" s="705">
        <v>3460</v>
      </c>
      <c r="AI20">
        <v>93</v>
      </c>
      <c r="AJ20" s="705">
        <v>627</v>
      </c>
      <c r="AK20" s="705">
        <v>570</v>
      </c>
      <c r="AL20" s="705">
        <v>1831</v>
      </c>
      <c r="AM20" s="705">
        <v>678</v>
      </c>
      <c r="AN20" s="705">
        <v>1901</v>
      </c>
      <c r="AO20" s="705">
        <v>704</v>
      </c>
      <c r="AP20" s="705">
        <v>2507</v>
      </c>
      <c r="AQ20" s="705">
        <v>2279</v>
      </c>
      <c r="AR20">
        <v>0</v>
      </c>
      <c r="AS20">
        <v>0</v>
      </c>
      <c r="AT20" s="705">
        <v>7692</v>
      </c>
      <c r="AU20" s="705">
        <f t="shared" si="3"/>
        <v>7691</v>
      </c>
      <c r="AV20" s="705">
        <f t="shared" si="2"/>
        <v>10672</v>
      </c>
    </row>
    <row r="21" spans="2:48" ht="12.75" customHeight="1">
      <c r="B21" t="s">
        <v>527</v>
      </c>
      <c r="C21" t="s">
        <v>112</v>
      </c>
      <c r="D21" t="s">
        <v>584</v>
      </c>
      <c r="E21" t="s">
        <v>584</v>
      </c>
      <c r="F21">
        <v>9</v>
      </c>
      <c r="G21" s="705">
        <v>1734</v>
      </c>
      <c r="H21" s="705">
        <v>1043</v>
      </c>
      <c r="I21" s="705">
        <v>105162</v>
      </c>
      <c r="J21" s="705">
        <v>95602</v>
      </c>
      <c r="K21">
        <v>88</v>
      </c>
      <c r="L21" s="705">
        <v>14976</v>
      </c>
      <c r="M21" s="705">
        <v>13377</v>
      </c>
      <c r="N21" s="705">
        <v>30431</v>
      </c>
      <c r="O21" s="705">
        <v>11271</v>
      </c>
      <c r="P21" s="705">
        <v>4253</v>
      </c>
      <c r="Q21" s="705">
        <v>1575</v>
      </c>
      <c r="R21" s="705">
        <v>46650</v>
      </c>
      <c r="S21" s="705">
        <v>42409</v>
      </c>
      <c r="T21" s="705">
        <v>0</v>
      </c>
      <c r="U21" s="705">
        <v>0</v>
      </c>
      <c r="V21" s="705">
        <v>164234</v>
      </c>
      <c r="W21" s="705">
        <f t="shared" si="0"/>
        <v>164234</v>
      </c>
      <c r="X21" s="705">
        <f t="shared" si="1"/>
        <v>201472</v>
      </c>
      <c r="Y21" s="705"/>
      <c r="AA21" t="s">
        <v>108</v>
      </c>
      <c r="AB21" t="s">
        <v>583</v>
      </c>
      <c r="AC21" t="s">
        <v>228</v>
      </c>
      <c r="AD21" s="705">
        <v>51</v>
      </c>
      <c r="AE21" s="705">
        <v>11419</v>
      </c>
      <c r="AF21" s="705">
        <v>2988</v>
      </c>
      <c r="AG21" s="705">
        <v>187666</v>
      </c>
      <c r="AH21" s="705">
        <v>170605</v>
      </c>
      <c r="AI21">
        <v>95</v>
      </c>
      <c r="AJ21" s="705">
        <v>28530</v>
      </c>
      <c r="AK21" s="705">
        <v>26011</v>
      </c>
      <c r="AL21" s="705">
        <v>145790</v>
      </c>
      <c r="AM21" s="705">
        <v>53996</v>
      </c>
      <c r="AN21" s="705">
        <v>83928</v>
      </c>
      <c r="AO21" s="705">
        <v>31084</v>
      </c>
      <c r="AP21" s="705">
        <v>217711</v>
      </c>
      <c r="AQ21" s="705">
        <v>80634</v>
      </c>
      <c r="AR21" s="705">
        <v>0</v>
      </c>
      <c r="AS21" s="705">
        <v>0</v>
      </c>
      <c r="AT21" s="705">
        <v>362331</v>
      </c>
      <c r="AU21" s="705">
        <f t="shared" si="3"/>
        <v>362330</v>
      </c>
      <c r="AV21" s="705">
        <f t="shared" si="2"/>
        <v>663625</v>
      </c>
    </row>
    <row r="22" spans="2:48" ht="12.75" customHeight="1">
      <c r="B22" t="s">
        <v>527</v>
      </c>
      <c r="C22" t="s">
        <v>114</v>
      </c>
      <c r="D22" t="s">
        <v>582</v>
      </c>
      <c r="E22" t="s">
        <v>582</v>
      </c>
      <c r="F22">
        <v>3</v>
      </c>
      <c r="G22" s="705">
        <v>788</v>
      </c>
      <c r="H22" s="705">
        <v>407</v>
      </c>
      <c r="I22" s="705">
        <v>58933</v>
      </c>
      <c r="J22" s="705">
        <v>53576</v>
      </c>
      <c r="K22">
        <v>90</v>
      </c>
      <c r="L22" s="705">
        <v>13453</v>
      </c>
      <c r="M22" s="705">
        <v>10688</v>
      </c>
      <c r="N22" s="705">
        <v>14854</v>
      </c>
      <c r="O22" s="705">
        <v>5501</v>
      </c>
      <c r="P22" s="705">
        <v>2974</v>
      </c>
      <c r="Q22" s="705">
        <v>1101</v>
      </c>
      <c r="R22" s="705">
        <v>16315</v>
      </c>
      <c r="S22" s="705">
        <v>14832</v>
      </c>
      <c r="T22" s="705">
        <v>0</v>
      </c>
      <c r="U22" s="705">
        <v>0</v>
      </c>
      <c r="V22" s="705">
        <v>85699</v>
      </c>
      <c r="W22" s="705">
        <f t="shared" si="0"/>
        <v>85698</v>
      </c>
      <c r="X22" s="705">
        <f t="shared" si="1"/>
        <v>106529</v>
      </c>
      <c r="Y22" s="705"/>
      <c r="AA22" t="s">
        <v>108</v>
      </c>
      <c r="AB22" t="s">
        <v>583</v>
      </c>
      <c r="AC22" t="s">
        <v>670</v>
      </c>
      <c r="AD22">
        <v>1</v>
      </c>
      <c r="AE22" s="705">
        <v>166</v>
      </c>
      <c r="AF22" s="705">
        <v>61</v>
      </c>
      <c r="AG22" s="705">
        <v>4399</v>
      </c>
      <c r="AH22" s="705">
        <v>3999</v>
      </c>
      <c r="AI22">
        <v>93</v>
      </c>
      <c r="AJ22" s="705">
        <v>0</v>
      </c>
      <c r="AK22" s="705">
        <v>0</v>
      </c>
      <c r="AL22" s="705">
        <v>2016</v>
      </c>
      <c r="AM22" s="705">
        <v>747</v>
      </c>
      <c r="AN22" s="705">
        <v>621</v>
      </c>
      <c r="AO22" s="705">
        <v>230</v>
      </c>
      <c r="AP22" s="705">
        <v>3015</v>
      </c>
      <c r="AQ22" s="705">
        <v>1117</v>
      </c>
      <c r="AR22">
        <v>0</v>
      </c>
      <c r="AS22">
        <v>0</v>
      </c>
      <c r="AT22" s="705">
        <v>6093</v>
      </c>
      <c r="AU22" s="705">
        <f t="shared" si="3"/>
        <v>6093</v>
      </c>
      <c r="AV22" s="705">
        <f t="shared" si="2"/>
        <v>10051</v>
      </c>
    </row>
    <row r="23" spans="2:48" ht="12.75" customHeight="1">
      <c r="B23" t="s">
        <v>527</v>
      </c>
      <c r="C23" t="s">
        <v>114</v>
      </c>
      <c r="D23" t="s">
        <v>228</v>
      </c>
      <c r="E23" t="s">
        <v>228</v>
      </c>
      <c r="F23">
        <v>13</v>
      </c>
      <c r="G23" s="705">
        <v>2105</v>
      </c>
      <c r="H23" s="705">
        <v>1836</v>
      </c>
      <c r="I23" s="705">
        <v>114969</v>
      </c>
      <c r="J23" s="705">
        <v>42581</v>
      </c>
      <c r="K23">
        <v>336</v>
      </c>
      <c r="L23" s="705">
        <v>34091</v>
      </c>
      <c r="M23" s="705">
        <v>30991</v>
      </c>
      <c r="N23" s="705">
        <v>42737</v>
      </c>
      <c r="O23" s="705">
        <v>15829</v>
      </c>
      <c r="P23" s="705">
        <v>7371</v>
      </c>
      <c r="Q23" s="705">
        <v>2730</v>
      </c>
      <c r="R23" s="705">
        <v>109416</v>
      </c>
      <c r="S23" s="705">
        <v>40525</v>
      </c>
      <c r="T23" s="705">
        <v>0</v>
      </c>
      <c r="U23">
        <v>0</v>
      </c>
      <c r="V23" s="705">
        <v>132655</v>
      </c>
      <c r="W23" s="705">
        <f t="shared" si="0"/>
        <v>132656</v>
      </c>
      <c r="X23" s="705">
        <f t="shared" si="1"/>
        <v>308584</v>
      </c>
      <c r="Y23" s="705"/>
      <c r="AA23" t="s">
        <v>108</v>
      </c>
      <c r="AB23" t="s">
        <v>583</v>
      </c>
      <c r="AC23" t="s">
        <v>583</v>
      </c>
      <c r="AD23" s="705">
        <v>1225</v>
      </c>
      <c r="AE23" s="705">
        <v>249950</v>
      </c>
      <c r="AF23" s="705">
        <v>74707</v>
      </c>
      <c r="AG23" s="705">
        <v>5104915</v>
      </c>
      <c r="AH23" s="705">
        <v>4640832</v>
      </c>
      <c r="AI23">
        <v>95</v>
      </c>
      <c r="AJ23" s="705">
        <v>744621</v>
      </c>
      <c r="AK23" s="705">
        <v>673706</v>
      </c>
      <c r="AL23" s="705">
        <v>3256678</v>
      </c>
      <c r="AM23" s="705">
        <v>1206177</v>
      </c>
      <c r="AN23" s="705">
        <v>1580837</v>
      </c>
      <c r="AO23" s="705">
        <v>585495</v>
      </c>
      <c r="AP23" s="705">
        <v>4574031</v>
      </c>
      <c r="AQ23" s="705">
        <v>4158210</v>
      </c>
      <c r="AR23" s="705">
        <v>32030</v>
      </c>
      <c r="AS23" s="705">
        <v>11863</v>
      </c>
      <c r="AT23" s="705">
        <v>11276283</v>
      </c>
      <c r="AU23" s="705">
        <f t="shared" si="3"/>
        <v>11276283</v>
      </c>
      <c r="AV23" s="705">
        <f t="shared" si="2"/>
        <v>15293112</v>
      </c>
    </row>
    <row r="24" spans="2:48" ht="12.75" customHeight="1">
      <c r="B24" t="s">
        <v>527</v>
      </c>
      <c r="C24" t="s">
        <v>114</v>
      </c>
      <c r="D24" t="s">
        <v>583</v>
      </c>
      <c r="E24" t="s">
        <v>228</v>
      </c>
      <c r="F24">
        <v>1</v>
      </c>
      <c r="G24" s="705">
        <v>125</v>
      </c>
      <c r="H24" s="705">
        <v>136</v>
      </c>
      <c r="I24" s="705">
        <v>10953</v>
      </c>
      <c r="J24" s="705">
        <v>9957</v>
      </c>
      <c r="K24">
        <v>95</v>
      </c>
      <c r="L24" s="705">
        <v>1426</v>
      </c>
      <c r="M24" s="705">
        <v>1296</v>
      </c>
      <c r="N24" s="705">
        <v>1809</v>
      </c>
      <c r="O24" s="705">
        <v>670</v>
      </c>
      <c r="P24" s="705">
        <v>621</v>
      </c>
      <c r="Q24" s="705">
        <v>230</v>
      </c>
      <c r="R24" s="705">
        <v>2107</v>
      </c>
      <c r="S24" s="705">
        <v>780</v>
      </c>
      <c r="T24" s="705">
        <v>0</v>
      </c>
      <c r="U24" s="705">
        <v>0</v>
      </c>
      <c r="V24" s="705">
        <v>12933</v>
      </c>
      <c r="W24" s="705">
        <f t="shared" si="0"/>
        <v>12933</v>
      </c>
      <c r="X24" s="705">
        <f t="shared" si="1"/>
        <v>16916</v>
      </c>
      <c r="Y24" s="705"/>
      <c r="AA24" t="s">
        <v>108</v>
      </c>
      <c r="AB24" t="s">
        <v>583</v>
      </c>
      <c r="AC24" t="s">
        <v>673</v>
      </c>
      <c r="AD24">
        <v>2</v>
      </c>
      <c r="AE24" s="705">
        <v>459</v>
      </c>
      <c r="AF24" s="705">
        <v>107</v>
      </c>
      <c r="AG24" s="705">
        <v>4701</v>
      </c>
      <c r="AH24" s="705">
        <v>4273</v>
      </c>
      <c r="AI24">
        <v>97</v>
      </c>
      <c r="AJ24" s="705">
        <v>236</v>
      </c>
      <c r="AK24" s="705">
        <v>723</v>
      </c>
      <c r="AL24" s="705">
        <v>5598</v>
      </c>
      <c r="AM24" s="705">
        <v>2073</v>
      </c>
      <c r="AN24" s="705">
        <v>3581</v>
      </c>
      <c r="AO24" s="705">
        <v>1326</v>
      </c>
      <c r="AP24" s="705">
        <v>10532</v>
      </c>
      <c r="AQ24" s="705">
        <v>9574</v>
      </c>
      <c r="AR24">
        <v>0</v>
      </c>
      <c r="AS24">
        <v>0</v>
      </c>
      <c r="AT24" s="705">
        <v>17970</v>
      </c>
      <c r="AU24" s="705">
        <f t="shared" si="3"/>
        <v>17969</v>
      </c>
      <c r="AV24" s="705">
        <f t="shared" si="2"/>
        <v>24648</v>
      </c>
    </row>
    <row r="25" spans="2:48" ht="12.75" customHeight="1">
      <c r="B25" t="s">
        <v>527</v>
      </c>
      <c r="C25" t="s">
        <v>114</v>
      </c>
      <c r="D25" t="s">
        <v>583</v>
      </c>
      <c r="E25" t="s">
        <v>583</v>
      </c>
      <c r="F25">
        <v>199</v>
      </c>
      <c r="G25" s="705">
        <v>39480</v>
      </c>
      <c r="H25" s="705">
        <v>27911</v>
      </c>
      <c r="I25" s="705">
        <v>3207740</v>
      </c>
      <c r="J25" s="705">
        <v>2916128</v>
      </c>
      <c r="K25">
        <v>91</v>
      </c>
      <c r="L25" s="705">
        <v>644006</v>
      </c>
      <c r="M25" s="705">
        <v>570658</v>
      </c>
      <c r="N25" s="705">
        <v>760206</v>
      </c>
      <c r="O25" s="705">
        <v>281558</v>
      </c>
      <c r="P25" s="705">
        <v>137843</v>
      </c>
      <c r="Q25" s="705">
        <v>51053</v>
      </c>
      <c r="R25" s="705">
        <v>1099205</v>
      </c>
      <c r="S25" s="705">
        <v>999278</v>
      </c>
      <c r="T25" s="705">
        <v>75005</v>
      </c>
      <c r="U25" s="705">
        <v>27780</v>
      </c>
      <c r="V25" s="705">
        <v>4846453</v>
      </c>
      <c r="W25" s="705">
        <f t="shared" si="0"/>
        <v>4846455</v>
      </c>
      <c r="X25" s="705">
        <f t="shared" si="1"/>
        <v>5924005</v>
      </c>
      <c r="Y25" s="705"/>
      <c r="AA25" t="s">
        <v>108</v>
      </c>
      <c r="AB25" t="s">
        <v>584</v>
      </c>
      <c r="AC25" t="s">
        <v>228</v>
      </c>
      <c r="AD25">
        <v>30</v>
      </c>
      <c r="AE25" s="705">
        <v>4689</v>
      </c>
      <c r="AF25" s="705">
        <v>1673</v>
      </c>
      <c r="AG25" s="705">
        <v>65261</v>
      </c>
      <c r="AH25" s="705">
        <v>59328</v>
      </c>
      <c r="AI25">
        <v>91</v>
      </c>
      <c r="AJ25" s="705">
        <v>3986</v>
      </c>
      <c r="AK25" s="705">
        <v>3623</v>
      </c>
      <c r="AL25" s="705">
        <v>57133</v>
      </c>
      <c r="AM25" s="705">
        <v>21160</v>
      </c>
      <c r="AN25" s="705">
        <v>18360</v>
      </c>
      <c r="AO25" s="705">
        <v>6800</v>
      </c>
      <c r="AP25" s="705">
        <v>113035</v>
      </c>
      <c r="AQ25" s="705">
        <v>41865</v>
      </c>
      <c r="AR25">
        <v>0</v>
      </c>
      <c r="AS25">
        <v>0</v>
      </c>
      <c r="AT25" s="705">
        <v>132776</v>
      </c>
      <c r="AU25" s="705">
        <f t="shared" si="3"/>
        <v>132776</v>
      </c>
      <c r="AV25" s="705">
        <f t="shared" si="2"/>
        <v>257775</v>
      </c>
    </row>
    <row r="26" spans="2:48" ht="12.75" customHeight="1">
      <c r="B26" t="s">
        <v>527</v>
      </c>
      <c r="C26" t="s">
        <v>114</v>
      </c>
      <c r="D26" t="s">
        <v>584</v>
      </c>
      <c r="E26" t="s">
        <v>584</v>
      </c>
      <c r="F26">
        <v>72</v>
      </c>
      <c r="G26" s="705">
        <v>11348</v>
      </c>
      <c r="H26" s="705">
        <v>10197</v>
      </c>
      <c r="I26" s="705">
        <v>831653</v>
      </c>
      <c r="J26" s="705">
        <v>756048</v>
      </c>
      <c r="K26">
        <v>87</v>
      </c>
      <c r="L26" s="705">
        <v>182116</v>
      </c>
      <c r="M26" s="705">
        <v>159339</v>
      </c>
      <c r="N26" s="705">
        <v>188973</v>
      </c>
      <c r="O26" s="705">
        <v>69990</v>
      </c>
      <c r="P26" s="705">
        <v>37860</v>
      </c>
      <c r="Q26" s="705">
        <v>14022</v>
      </c>
      <c r="R26" s="705">
        <v>379748</v>
      </c>
      <c r="S26" s="705">
        <v>345226</v>
      </c>
      <c r="T26" s="705">
        <v>10358</v>
      </c>
      <c r="U26" s="705">
        <v>3836</v>
      </c>
      <c r="V26" s="705">
        <v>1348461</v>
      </c>
      <c r="W26" s="705">
        <f t="shared" si="0"/>
        <v>1348461</v>
      </c>
      <c r="X26" s="705">
        <f t="shared" si="1"/>
        <v>1630708</v>
      </c>
      <c r="Y26" s="705"/>
      <c r="AA26" t="s">
        <v>108</v>
      </c>
      <c r="AB26" t="s">
        <v>584</v>
      </c>
      <c r="AC26" t="s">
        <v>584</v>
      </c>
      <c r="AD26" s="705">
        <v>2299</v>
      </c>
      <c r="AE26" s="705">
        <v>376517</v>
      </c>
      <c r="AF26" s="705">
        <v>136066</v>
      </c>
      <c r="AG26" s="705">
        <v>5520306</v>
      </c>
      <c r="AH26" s="705">
        <v>5018460</v>
      </c>
      <c r="AI26">
        <v>91</v>
      </c>
      <c r="AJ26" s="705">
        <v>566412</v>
      </c>
      <c r="AK26" s="705">
        <v>476861</v>
      </c>
      <c r="AL26" s="705">
        <v>4717545</v>
      </c>
      <c r="AM26" s="705">
        <v>1747239</v>
      </c>
      <c r="AN26" s="705">
        <v>2748784</v>
      </c>
      <c r="AO26" s="705">
        <v>1018068</v>
      </c>
      <c r="AP26" s="705">
        <v>8507987</v>
      </c>
      <c r="AQ26" s="705">
        <v>7734533</v>
      </c>
      <c r="AR26" s="705">
        <v>5715</v>
      </c>
      <c r="AS26" s="705">
        <v>2117</v>
      </c>
      <c r="AT26" s="705">
        <v>15997278</v>
      </c>
      <c r="AU26" s="705">
        <f t="shared" si="3"/>
        <v>15997278</v>
      </c>
      <c r="AV26" s="705">
        <f t="shared" si="2"/>
        <v>22066749</v>
      </c>
    </row>
    <row r="27" spans="2:48" ht="12.75" customHeight="1">
      <c r="B27" t="s">
        <v>527</v>
      </c>
      <c r="C27" t="s">
        <v>114</v>
      </c>
      <c r="D27" t="s">
        <v>585</v>
      </c>
      <c r="E27" t="s">
        <v>585</v>
      </c>
      <c r="F27">
        <v>3</v>
      </c>
      <c r="G27">
        <v>899</v>
      </c>
      <c r="H27">
        <v>434</v>
      </c>
      <c r="I27" s="705">
        <v>89755</v>
      </c>
      <c r="J27" s="705">
        <v>81596</v>
      </c>
      <c r="K27">
        <v>82</v>
      </c>
      <c r="L27" s="705">
        <v>14108</v>
      </c>
      <c r="M27" s="705">
        <v>12826</v>
      </c>
      <c r="N27" s="705">
        <v>13051</v>
      </c>
      <c r="O27" s="705">
        <v>4834</v>
      </c>
      <c r="P27" s="705">
        <v>1053</v>
      </c>
      <c r="Q27">
        <v>390</v>
      </c>
      <c r="R27" s="705">
        <v>14280</v>
      </c>
      <c r="S27" s="705">
        <v>12981</v>
      </c>
      <c r="T27" s="705">
        <v>4034</v>
      </c>
      <c r="U27" s="705">
        <v>1494</v>
      </c>
      <c r="V27" s="705">
        <v>114120</v>
      </c>
      <c r="W27" s="705">
        <f t="shared" si="0"/>
        <v>114121</v>
      </c>
      <c r="X27" s="705">
        <f t="shared" si="1"/>
        <v>136281</v>
      </c>
      <c r="Y27" s="705"/>
      <c r="AA27" t="s">
        <v>108</v>
      </c>
      <c r="AB27" t="s">
        <v>584</v>
      </c>
      <c r="AC27" t="s">
        <v>665</v>
      </c>
      <c r="AD27">
        <v>1</v>
      </c>
      <c r="AE27" s="705">
        <v>205</v>
      </c>
      <c r="AF27" s="705">
        <v>73</v>
      </c>
      <c r="AG27" s="705">
        <v>4538</v>
      </c>
      <c r="AH27" s="705">
        <v>4125</v>
      </c>
      <c r="AI27">
        <v>90</v>
      </c>
      <c r="AJ27" s="705">
        <v>779</v>
      </c>
      <c r="AK27" s="705">
        <v>708</v>
      </c>
      <c r="AL27" s="705">
        <v>2824</v>
      </c>
      <c r="AM27" s="705">
        <v>1046</v>
      </c>
      <c r="AN27" s="705">
        <v>2353</v>
      </c>
      <c r="AO27" s="705">
        <v>871</v>
      </c>
      <c r="AP27" s="705">
        <v>4509</v>
      </c>
      <c r="AQ27" s="705">
        <v>4099</v>
      </c>
      <c r="AR27" s="705">
        <v>0</v>
      </c>
      <c r="AS27" s="705">
        <v>0</v>
      </c>
      <c r="AT27" s="705">
        <v>10850</v>
      </c>
      <c r="AU27" s="705">
        <f t="shared" si="3"/>
        <v>10849</v>
      </c>
      <c r="AV27" s="705">
        <f t="shared" si="2"/>
        <v>15003</v>
      </c>
    </row>
    <row r="28" spans="2:48" ht="12.75" customHeight="1">
      <c r="B28" t="s">
        <v>527</v>
      </c>
      <c r="C28" t="s">
        <v>116</v>
      </c>
      <c r="D28" t="s">
        <v>664</v>
      </c>
      <c r="E28" t="s">
        <v>664</v>
      </c>
      <c r="F28">
        <v>4</v>
      </c>
      <c r="G28">
        <v>822</v>
      </c>
      <c r="H28">
        <v>738</v>
      </c>
      <c r="I28" s="705">
        <v>95787</v>
      </c>
      <c r="J28" s="705">
        <v>87079</v>
      </c>
      <c r="K28">
        <v>80</v>
      </c>
      <c r="L28" s="705">
        <v>13410</v>
      </c>
      <c r="M28" s="705">
        <v>11592</v>
      </c>
      <c r="N28" s="705">
        <v>16197</v>
      </c>
      <c r="O28" s="705">
        <v>5999</v>
      </c>
      <c r="P28" s="705">
        <v>1890</v>
      </c>
      <c r="Q28">
        <v>700</v>
      </c>
      <c r="R28" s="705">
        <v>22593</v>
      </c>
      <c r="S28" s="705">
        <v>20539</v>
      </c>
      <c r="T28" s="705">
        <v>7754</v>
      </c>
      <c r="U28" s="705">
        <v>2872</v>
      </c>
      <c r="V28" s="705">
        <v>128782</v>
      </c>
      <c r="W28" s="705">
        <f t="shared" si="0"/>
        <v>128781</v>
      </c>
      <c r="X28" s="705">
        <f t="shared" si="1"/>
        <v>157631</v>
      </c>
      <c r="Y28" s="705"/>
      <c r="AA28" t="s">
        <v>108</v>
      </c>
      <c r="AB28" t="s">
        <v>665</v>
      </c>
      <c r="AC28" t="s">
        <v>665</v>
      </c>
      <c r="AD28">
        <v>2</v>
      </c>
      <c r="AE28">
        <v>336</v>
      </c>
      <c r="AF28">
        <v>125</v>
      </c>
      <c r="AG28" s="705">
        <v>7915</v>
      </c>
      <c r="AH28" s="705">
        <v>7195</v>
      </c>
      <c r="AI28">
        <v>232</v>
      </c>
      <c r="AJ28" s="705">
        <v>1780</v>
      </c>
      <c r="AK28" s="705">
        <v>1618</v>
      </c>
      <c r="AL28" s="705">
        <v>4601</v>
      </c>
      <c r="AM28" s="705">
        <v>1704</v>
      </c>
      <c r="AN28" s="705">
        <v>1956</v>
      </c>
      <c r="AO28" s="705">
        <v>724</v>
      </c>
      <c r="AP28" s="705">
        <v>4977</v>
      </c>
      <c r="AQ28" s="705">
        <v>4524</v>
      </c>
      <c r="AR28">
        <v>0</v>
      </c>
      <c r="AS28">
        <v>0</v>
      </c>
      <c r="AT28" s="705">
        <v>15766</v>
      </c>
      <c r="AU28" s="705">
        <f t="shared" si="3"/>
        <v>15765</v>
      </c>
      <c r="AV28" s="705">
        <f t="shared" si="2"/>
        <v>21229</v>
      </c>
    </row>
    <row r="29" spans="2:48" ht="12.75" customHeight="1">
      <c r="B29" t="s">
        <v>527</v>
      </c>
      <c r="C29" t="s">
        <v>116</v>
      </c>
      <c r="D29" t="s">
        <v>582</v>
      </c>
      <c r="E29" t="s">
        <v>582</v>
      </c>
      <c r="F29" s="705">
        <v>18</v>
      </c>
      <c r="G29" s="705">
        <v>2994</v>
      </c>
      <c r="H29" s="705">
        <v>3227</v>
      </c>
      <c r="I29" s="705">
        <v>339491</v>
      </c>
      <c r="J29" s="705">
        <v>308628</v>
      </c>
      <c r="K29">
        <v>84</v>
      </c>
      <c r="L29" s="705">
        <v>71859</v>
      </c>
      <c r="M29" s="705">
        <v>57742</v>
      </c>
      <c r="N29" s="705">
        <v>67364</v>
      </c>
      <c r="O29" s="705">
        <v>24949</v>
      </c>
      <c r="P29" s="705">
        <v>9356</v>
      </c>
      <c r="Q29" s="705">
        <v>3465</v>
      </c>
      <c r="R29" s="705">
        <v>96226</v>
      </c>
      <c r="S29" s="705">
        <v>87478</v>
      </c>
      <c r="T29" s="705">
        <v>11406</v>
      </c>
      <c r="U29" s="705">
        <v>4224</v>
      </c>
      <c r="V29" s="705">
        <v>486487</v>
      </c>
      <c r="W29" s="705">
        <f t="shared" si="0"/>
        <v>486486</v>
      </c>
      <c r="X29" s="705">
        <f t="shared" si="1"/>
        <v>595702</v>
      </c>
      <c r="Y29" s="705"/>
      <c r="AA29" t="s">
        <v>108</v>
      </c>
      <c r="AB29" t="s">
        <v>673</v>
      </c>
      <c r="AC29" t="s">
        <v>228</v>
      </c>
      <c r="AD29">
        <v>8</v>
      </c>
      <c r="AE29" s="705">
        <v>1624</v>
      </c>
      <c r="AF29" s="705">
        <v>440</v>
      </c>
      <c r="AG29" s="705">
        <v>9025</v>
      </c>
      <c r="AH29" s="705">
        <v>8205</v>
      </c>
      <c r="AI29">
        <v>73</v>
      </c>
      <c r="AJ29" s="705">
        <v>588</v>
      </c>
      <c r="AK29" s="705">
        <v>1011</v>
      </c>
      <c r="AL29" s="705">
        <v>19788</v>
      </c>
      <c r="AM29" s="705">
        <v>7329</v>
      </c>
      <c r="AN29" s="705">
        <v>15839</v>
      </c>
      <c r="AO29" s="705">
        <v>5866</v>
      </c>
      <c r="AP29" s="705">
        <v>45110</v>
      </c>
      <c r="AQ29" s="705">
        <v>16708</v>
      </c>
      <c r="AR29" s="705">
        <v>0</v>
      </c>
      <c r="AS29" s="705">
        <v>0</v>
      </c>
      <c r="AT29" s="705">
        <v>39118</v>
      </c>
      <c r="AU29" s="705">
        <f t="shared" si="3"/>
        <v>39119</v>
      </c>
      <c r="AV29" s="705">
        <f t="shared" si="2"/>
        <v>90350</v>
      </c>
    </row>
    <row r="30" spans="2:48" ht="12.75" customHeight="1">
      <c r="B30" t="s">
        <v>527</v>
      </c>
      <c r="C30" t="s">
        <v>116</v>
      </c>
      <c r="D30" t="s">
        <v>228</v>
      </c>
      <c r="E30" t="s">
        <v>228</v>
      </c>
      <c r="F30">
        <v>12</v>
      </c>
      <c r="G30" s="705">
        <v>1946</v>
      </c>
      <c r="H30" s="705">
        <v>2060</v>
      </c>
      <c r="I30" s="705">
        <v>159436</v>
      </c>
      <c r="J30" s="705">
        <v>59050</v>
      </c>
      <c r="K30">
        <v>279</v>
      </c>
      <c r="L30" s="705">
        <v>37002</v>
      </c>
      <c r="M30" s="705">
        <v>33350</v>
      </c>
      <c r="N30" s="705">
        <v>36486</v>
      </c>
      <c r="O30" s="705">
        <v>13513</v>
      </c>
      <c r="P30" s="705">
        <v>5587</v>
      </c>
      <c r="Q30" s="705">
        <v>2069</v>
      </c>
      <c r="R30" s="705">
        <v>92750</v>
      </c>
      <c r="S30" s="705">
        <v>34352</v>
      </c>
      <c r="T30" s="705">
        <v>0</v>
      </c>
      <c r="U30" s="705">
        <v>0</v>
      </c>
      <c r="V30" s="705">
        <v>142335</v>
      </c>
      <c r="W30" s="705">
        <f t="shared" si="0"/>
        <v>142334</v>
      </c>
      <c r="X30" s="705">
        <f t="shared" si="1"/>
        <v>331261</v>
      </c>
      <c r="Y30" s="705"/>
      <c r="AA30" t="s">
        <v>108</v>
      </c>
      <c r="AB30" t="s">
        <v>673</v>
      </c>
      <c r="AC30" t="s">
        <v>673</v>
      </c>
      <c r="AD30" s="705">
        <v>15</v>
      </c>
      <c r="AE30" s="705">
        <v>3753</v>
      </c>
      <c r="AF30" s="705">
        <v>900</v>
      </c>
      <c r="AG30" s="705">
        <v>59667</v>
      </c>
      <c r="AH30" s="705">
        <v>54243</v>
      </c>
      <c r="AI30">
        <v>81</v>
      </c>
      <c r="AJ30" s="705">
        <v>6022</v>
      </c>
      <c r="AK30" s="705">
        <v>4524</v>
      </c>
      <c r="AL30" s="705">
        <v>45726</v>
      </c>
      <c r="AM30" s="705">
        <v>16936</v>
      </c>
      <c r="AN30" s="705">
        <v>41255</v>
      </c>
      <c r="AO30" s="705">
        <v>15280</v>
      </c>
      <c r="AP30" s="705">
        <v>65402</v>
      </c>
      <c r="AQ30" s="705">
        <v>59457</v>
      </c>
      <c r="AR30" s="705">
        <v>858</v>
      </c>
      <c r="AS30" s="705">
        <v>318</v>
      </c>
      <c r="AT30" s="705">
        <v>150756</v>
      </c>
      <c r="AU30" s="705">
        <f t="shared" si="3"/>
        <v>150758</v>
      </c>
      <c r="AV30" s="705">
        <f t="shared" si="2"/>
        <v>218930</v>
      </c>
    </row>
    <row r="31" spans="2:48" ht="12.75" customHeight="1">
      <c r="B31" t="s">
        <v>527</v>
      </c>
      <c r="C31" t="s">
        <v>116</v>
      </c>
      <c r="D31" t="s">
        <v>583</v>
      </c>
      <c r="E31" t="s">
        <v>664</v>
      </c>
      <c r="F31">
        <v>1</v>
      </c>
      <c r="G31">
        <v>158</v>
      </c>
      <c r="H31">
        <v>171</v>
      </c>
      <c r="I31" s="705">
        <v>14624</v>
      </c>
      <c r="J31" s="705">
        <v>13295</v>
      </c>
      <c r="K31">
        <v>85</v>
      </c>
      <c r="L31" s="705">
        <v>2202</v>
      </c>
      <c r="M31" s="705">
        <v>2002</v>
      </c>
      <c r="N31" s="705">
        <v>2903</v>
      </c>
      <c r="O31" s="705">
        <v>1075</v>
      </c>
      <c r="P31">
        <v>621</v>
      </c>
      <c r="Q31">
        <v>230</v>
      </c>
      <c r="R31" s="705">
        <v>6680</v>
      </c>
      <c r="S31" s="705">
        <v>6073</v>
      </c>
      <c r="T31" s="705">
        <v>0</v>
      </c>
      <c r="U31">
        <v>0</v>
      </c>
      <c r="V31" s="705">
        <v>22674</v>
      </c>
      <c r="W31" s="705">
        <f t="shared" si="0"/>
        <v>22675</v>
      </c>
      <c r="X31" s="705">
        <f t="shared" si="1"/>
        <v>27030</v>
      </c>
      <c r="Y31" s="705"/>
      <c r="AA31" t="s">
        <v>108</v>
      </c>
      <c r="AB31" t="s">
        <v>585</v>
      </c>
      <c r="AC31" t="s">
        <v>228</v>
      </c>
      <c r="AD31">
        <v>1</v>
      </c>
      <c r="AE31" s="705">
        <v>205</v>
      </c>
      <c r="AF31" s="705">
        <v>69</v>
      </c>
      <c r="AG31" s="705">
        <v>3292</v>
      </c>
      <c r="AH31" s="705">
        <v>2993</v>
      </c>
      <c r="AI31">
        <v>85</v>
      </c>
      <c r="AJ31" s="705">
        <v>0</v>
      </c>
      <c r="AK31" s="705">
        <v>0</v>
      </c>
      <c r="AL31" s="705">
        <v>3169</v>
      </c>
      <c r="AM31" s="705">
        <v>1174</v>
      </c>
      <c r="AN31" s="705">
        <v>2173</v>
      </c>
      <c r="AO31" s="705">
        <v>805</v>
      </c>
      <c r="AP31" s="705">
        <v>5573</v>
      </c>
      <c r="AQ31" s="705">
        <v>2064</v>
      </c>
      <c r="AR31" s="705">
        <v>0</v>
      </c>
      <c r="AS31" s="705">
        <v>0</v>
      </c>
      <c r="AT31" s="705">
        <v>7036</v>
      </c>
      <c r="AU31" s="705">
        <f t="shared" si="3"/>
        <v>7036</v>
      </c>
      <c r="AV31" s="705">
        <f t="shared" si="2"/>
        <v>14207</v>
      </c>
    </row>
    <row r="32" spans="2:48" ht="12.75" customHeight="1">
      <c r="B32" t="s">
        <v>527</v>
      </c>
      <c r="C32" t="s">
        <v>116</v>
      </c>
      <c r="D32" t="s">
        <v>583</v>
      </c>
      <c r="E32" t="s">
        <v>228</v>
      </c>
      <c r="F32">
        <v>2</v>
      </c>
      <c r="G32" s="705">
        <v>266</v>
      </c>
      <c r="H32" s="705">
        <v>392</v>
      </c>
      <c r="I32" s="705">
        <v>30345</v>
      </c>
      <c r="J32" s="705">
        <v>27586</v>
      </c>
      <c r="K32">
        <v>83</v>
      </c>
      <c r="L32" s="705">
        <v>5520</v>
      </c>
      <c r="M32" s="705">
        <v>5018</v>
      </c>
      <c r="N32" s="705">
        <v>4761</v>
      </c>
      <c r="O32" s="705">
        <v>1763</v>
      </c>
      <c r="P32" s="705">
        <v>1242</v>
      </c>
      <c r="Q32" s="705">
        <v>460</v>
      </c>
      <c r="R32" s="705">
        <v>10186</v>
      </c>
      <c r="S32" s="705">
        <v>3773</v>
      </c>
      <c r="T32" s="705">
        <v>0</v>
      </c>
      <c r="U32" s="705">
        <v>0</v>
      </c>
      <c r="V32" s="705">
        <v>38600</v>
      </c>
      <c r="W32" s="705">
        <f t="shared" si="0"/>
        <v>38600</v>
      </c>
      <c r="X32" s="705">
        <f t="shared" si="1"/>
        <v>52054</v>
      </c>
      <c r="Y32" s="705"/>
      <c r="AA32" t="s">
        <v>108</v>
      </c>
      <c r="AB32" t="s">
        <v>585</v>
      </c>
      <c r="AC32" t="s">
        <v>585</v>
      </c>
      <c r="AD32">
        <v>30</v>
      </c>
      <c r="AE32" s="705">
        <v>6303</v>
      </c>
      <c r="AF32" s="705">
        <v>1984</v>
      </c>
      <c r="AG32" s="705">
        <v>151635</v>
      </c>
      <c r="AH32" s="705">
        <v>137850</v>
      </c>
      <c r="AI32">
        <v>89</v>
      </c>
      <c r="AJ32" s="705">
        <v>9893</v>
      </c>
      <c r="AK32" s="705">
        <v>8215</v>
      </c>
      <c r="AL32" s="705">
        <v>79289</v>
      </c>
      <c r="AM32" s="705">
        <v>29366</v>
      </c>
      <c r="AN32" s="705">
        <v>66081</v>
      </c>
      <c r="AO32" s="705">
        <v>24474</v>
      </c>
      <c r="AP32" s="705">
        <v>101796</v>
      </c>
      <c r="AQ32" s="705">
        <v>92542</v>
      </c>
      <c r="AR32">
        <v>0</v>
      </c>
      <c r="AS32">
        <v>0</v>
      </c>
      <c r="AT32" s="705">
        <v>292447</v>
      </c>
      <c r="AU32" s="705">
        <f t="shared" si="3"/>
        <v>292447</v>
      </c>
      <c r="AV32" s="705">
        <f t="shared" si="2"/>
        <v>408694</v>
      </c>
    </row>
    <row r="33" spans="2:48" ht="12.75" customHeight="1">
      <c r="B33" t="s">
        <v>527</v>
      </c>
      <c r="C33" t="s">
        <v>116</v>
      </c>
      <c r="D33" t="s">
        <v>583</v>
      </c>
      <c r="E33" t="s">
        <v>583</v>
      </c>
      <c r="F33" s="705">
        <v>1113</v>
      </c>
      <c r="G33" s="705">
        <v>185217</v>
      </c>
      <c r="H33" s="705">
        <v>211753</v>
      </c>
      <c r="I33" s="705">
        <v>20746081</v>
      </c>
      <c r="J33" s="705">
        <v>18860074</v>
      </c>
      <c r="K33">
        <v>85</v>
      </c>
      <c r="L33" s="705">
        <v>4433174</v>
      </c>
      <c r="M33" s="705">
        <v>4202799</v>
      </c>
      <c r="N33" s="705">
        <v>3839163</v>
      </c>
      <c r="O33" s="705">
        <v>1421912</v>
      </c>
      <c r="P33" s="705">
        <v>721460</v>
      </c>
      <c r="Q33" s="705">
        <v>267207</v>
      </c>
      <c r="R33" s="705">
        <v>6216956</v>
      </c>
      <c r="S33" s="705">
        <v>5651778</v>
      </c>
      <c r="T33" s="705">
        <v>1239504</v>
      </c>
      <c r="U33" s="705">
        <v>459076</v>
      </c>
      <c r="V33" s="705">
        <v>30862846</v>
      </c>
      <c r="W33" s="705">
        <f t="shared" si="0"/>
        <v>30862846</v>
      </c>
      <c r="X33" s="705">
        <f t="shared" si="1"/>
        <v>37196338</v>
      </c>
      <c r="Y33" s="705"/>
      <c r="AA33" t="s">
        <v>108</v>
      </c>
      <c r="AB33" t="s">
        <v>668</v>
      </c>
      <c r="AC33" t="s">
        <v>668</v>
      </c>
      <c r="AD33">
        <v>2</v>
      </c>
      <c r="AE33" s="705">
        <v>371</v>
      </c>
      <c r="AF33" s="705">
        <v>119</v>
      </c>
      <c r="AG33" s="705">
        <v>4103</v>
      </c>
      <c r="AH33" s="705">
        <v>3730</v>
      </c>
      <c r="AI33">
        <v>92</v>
      </c>
      <c r="AJ33">
        <v>-36</v>
      </c>
      <c r="AK33">
        <v>-32</v>
      </c>
      <c r="AL33" s="705">
        <v>4525</v>
      </c>
      <c r="AM33" s="705">
        <v>1676</v>
      </c>
      <c r="AN33" s="705">
        <v>3045</v>
      </c>
      <c r="AO33" s="705">
        <v>1128</v>
      </c>
      <c r="AP33" s="705">
        <v>7863</v>
      </c>
      <c r="AQ33" s="705">
        <v>7149</v>
      </c>
      <c r="AR33" s="705">
        <v>0</v>
      </c>
      <c r="AS33" s="705">
        <v>0</v>
      </c>
      <c r="AT33" s="705">
        <v>13650</v>
      </c>
      <c r="AU33" s="705">
        <f t="shared" si="3"/>
        <v>13715</v>
      </c>
      <c r="AV33" s="705">
        <f t="shared" si="2"/>
        <v>19572</v>
      </c>
    </row>
    <row r="34" spans="2:48" hidden="1">
      <c r="B34" t="s">
        <v>527</v>
      </c>
      <c r="C34" t="s">
        <v>116</v>
      </c>
      <c r="D34" t="s">
        <v>583</v>
      </c>
      <c r="E34" t="s">
        <v>666</v>
      </c>
      <c r="F34">
        <v>2</v>
      </c>
      <c r="G34">
        <v>323</v>
      </c>
      <c r="H34" s="705">
        <v>378</v>
      </c>
      <c r="I34" s="705">
        <v>34916</v>
      </c>
      <c r="J34" s="705">
        <v>31742</v>
      </c>
      <c r="K34">
        <v>78</v>
      </c>
      <c r="L34" s="705">
        <v>9022</v>
      </c>
      <c r="M34" s="705">
        <v>8201</v>
      </c>
      <c r="N34" s="705">
        <v>6525</v>
      </c>
      <c r="O34" s="705">
        <v>2417</v>
      </c>
      <c r="P34" s="705">
        <v>1242</v>
      </c>
      <c r="Q34">
        <v>460</v>
      </c>
      <c r="R34" s="705">
        <v>8804</v>
      </c>
      <c r="S34" s="705">
        <v>8003</v>
      </c>
      <c r="T34" s="705">
        <v>0</v>
      </c>
      <c r="U34">
        <v>0</v>
      </c>
      <c r="V34" s="705">
        <v>50823</v>
      </c>
      <c r="W34" s="705">
        <f t="shared" si="0"/>
        <v>50823</v>
      </c>
      <c r="X34" s="705">
        <f t="shared" si="1"/>
        <v>60509</v>
      </c>
      <c r="Y34" s="705"/>
      <c r="AA34" t="s">
        <v>110</v>
      </c>
      <c r="AD34" s="705">
        <v>22</v>
      </c>
      <c r="AE34" s="705">
        <v>3677</v>
      </c>
      <c r="AF34" s="705">
        <v>1942</v>
      </c>
      <c r="AG34" s="705"/>
      <c r="AH34" s="705">
        <v>0</v>
      </c>
      <c r="AJ34" s="705"/>
      <c r="AK34" s="705">
        <v>0</v>
      </c>
      <c r="AL34" s="705">
        <v>53834</v>
      </c>
      <c r="AM34" s="705">
        <v>19938</v>
      </c>
      <c r="AN34" s="705">
        <v>17224</v>
      </c>
      <c r="AO34" s="705">
        <v>6379</v>
      </c>
      <c r="AP34" s="705"/>
      <c r="AQ34" s="705">
        <v>0</v>
      </c>
      <c r="AR34" s="705">
        <v>0</v>
      </c>
      <c r="AS34" s="705">
        <v>0</v>
      </c>
      <c r="AT34" s="705">
        <v>26318</v>
      </c>
      <c r="AU34" s="705">
        <f t="shared" si="3"/>
        <v>26317</v>
      </c>
      <c r="AV34" s="705">
        <f t="shared" si="2"/>
        <v>71058</v>
      </c>
    </row>
    <row r="35" spans="2:48" ht="12.75" hidden="1" customHeight="1">
      <c r="B35" t="s">
        <v>527</v>
      </c>
      <c r="C35" t="s">
        <v>116</v>
      </c>
      <c r="D35" t="s">
        <v>583</v>
      </c>
      <c r="E35" t="s">
        <v>665</v>
      </c>
      <c r="F35">
        <v>1</v>
      </c>
      <c r="G35" s="705">
        <v>134</v>
      </c>
      <c r="H35" s="705">
        <v>222</v>
      </c>
      <c r="I35" s="705">
        <v>18472</v>
      </c>
      <c r="J35" s="705">
        <v>16793</v>
      </c>
      <c r="K35">
        <v>79</v>
      </c>
      <c r="L35" s="705">
        <v>2799</v>
      </c>
      <c r="M35" s="705">
        <v>2544</v>
      </c>
      <c r="N35" s="705">
        <v>1959</v>
      </c>
      <c r="O35" s="705">
        <v>726</v>
      </c>
      <c r="P35" s="705">
        <v>621</v>
      </c>
      <c r="Q35" s="705">
        <v>230</v>
      </c>
      <c r="R35" s="705">
        <v>3287</v>
      </c>
      <c r="S35" s="705">
        <v>2988</v>
      </c>
      <c r="T35" s="705">
        <v>2662</v>
      </c>
      <c r="U35">
        <v>986</v>
      </c>
      <c r="V35" s="705">
        <v>24267</v>
      </c>
      <c r="W35" s="705">
        <f t="shared" si="0"/>
        <v>24267</v>
      </c>
      <c r="X35" s="705">
        <f t="shared" si="1"/>
        <v>29800</v>
      </c>
      <c r="Y35" s="705"/>
      <c r="AA35" t="s">
        <v>110</v>
      </c>
      <c r="AB35" t="s">
        <v>664</v>
      </c>
      <c r="AC35" t="s">
        <v>664</v>
      </c>
      <c r="AD35">
        <v>4</v>
      </c>
      <c r="AE35" s="705">
        <v>960</v>
      </c>
      <c r="AF35" s="705">
        <v>339</v>
      </c>
      <c r="AG35" s="705">
        <v>41554</v>
      </c>
      <c r="AH35" s="705">
        <v>37777</v>
      </c>
      <c r="AI35">
        <v>143</v>
      </c>
      <c r="AJ35" s="705">
        <v>9840</v>
      </c>
      <c r="AK35" s="705">
        <v>8946</v>
      </c>
      <c r="AL35" s="705">
        <v>12248</v>
      </c>
      <c r="AM35" s="705">
        <v>4536</v>
      </c>
      <c r="AN35" s="705">
        <v>4426</v>
      </c>
      <c r="AO35" s="705">
        <v>1639</v>
      </c>
      <c r="AP35" s="705">
        <v>13579</v>
      </c>
      <c r="AQ35" s="705">
        <v>12345</v>
      </c>
      <c r="AR35" s="705">
        <v>0</v>
      </c>
      <c r="AS35" s="705">
        <v>0</v>
      </c>
      <c r="AT35" s="705">
        <v>65243</v>
      </c>
      <c r="AU35" s="705">
        <f t="shared" si="3"/>
        <v>65243</v>
      </c>
      <c r="AV35" s="705">
        <f t="shared" si="2"/>
        <v>81647</v>
      </c>
    </row>
    <row r="36" spans="2:48" ht="12.75" hidden="1" customHeight="1">
      <c r="B36" t="s">
        <v>527</v>
      </c>
      <c r="C36" t="s">
        <v>116</v>
      </c>
      <c r="D36" t="s">
        <v>584</v>
      </c>
      <c r="E36" t="s">
        <v>583</v>
      </c>
      <c r="F36">
        <v>1</v>
      </c>
      <c r="G36">
        <v>122</v>
      </c>
      <c r="H36" s="705">
        <v>173</v>
      </c>
      <c r="I36" s="705">
        <v>10257</v>
      </c>
      <c r="J36" s="705">
        <v>9325</v>
      </c>
      <c r="K36">
        <v>90</v>
      </c>
      <c r="L36" s="705">
        <v>3427</v>
      </c>
      <c r="M36" s="705">
        <v>3115</v>
      </c>
      <c r="N36" s="705">
        <v>2337</v>
      </c>
      <c r="O36" s="705">
        <v>866</v>
      </c>
      <c r="P36" s="705">
        <v>473</v>
      </c>
      <c r="Q36">
        <v>175</v>
      </c>
      <c r="R36" s="705">
        <v>4624</v>
      </c>
      <c r="S36" s="705">
        <v>4204</v>
      </c>
      <c r="T36" s="705">
        <v>0</v>
      </c>
      <c r="U36" s="705">
        <v>0</v>
      </c>
      <c r="V36" s="705">
        <v>17685</v>
      </c>
      <c r="W36" s="705">
        <f t="shared" si="0"/>
        <v>17685</v>
      </c>
      <c r="X36" s="705">
        <f t="shared" si="1"/>
        <v>21118</v>
      </c>
      <c r="Y36" s="705"/>
      <c r="AA36" t="s">
        <v>110</v>
      </c>
      <c r="AB36" t="s">
        <v>664</v>
      </c>
      <c r="AC36" t="s">
        <v>582</v>
      </c>
      <c r="AD36">
        <v>1</v>
      </c>
      <c r="AE36" s="705">
        <v>198</v>
      </c>
      <c r="AF36" s="705">
        <v>93</v>
      </c>
      <c r="AG36" s="705">
        <v>8368</v>
      </c>
      <c r="AH36" s="705">
        <v>7608</v>
      </c>
      <c r="AI36">
        <v>91</v>
      </c>
      <c r="AJ36" s="705">
        <v>1464</v>
      </c>
      <c r="AK36" s="705">
        <v>1331</v>
      </c>
      <c r="AL36" s="705">
        <v>2410</v>
      </c>
      <c r="AM36" s="705">
        <v>893</v>
      </c>
      <c r="AN36" s="705">
        <v>2167</v>
      </c>
      <c r="AO36" s="705">
        <v>803</v>
      </c>
      <c r="AP36" s="705">
        <v>3958</v>
      </c>
      <c r="AQ36" s="705">
        <v>3598</v>
      </c>
      <c r="AR36" s="705">
        <v>0</v>
      </c>
      <c r="AS36" s="705">
        <v>0</v>
      </c>
      <c r="AT36" s="705">
        <v>14231</v>
      </c>
      <c r="AU36" s="705">
        <f t="shared" si="3"/>
        <v>14233</v>
      </c>
      <c r="AV36" s="705">
        <f t="shared" si="2"/>
        <v>18367</v>
      </c>
    </row>
    <row r="37" spans="2:48" ht="12.75" hidden="1" customHeight="1">
      <c r="B37" t="s">
        <v>527</v>
      </c>
      <c r="C37" t="s">
        <v>116</v>
      </c>
      <c r="D37" t="s">
        <v>584</v>
      </c>
      <c r="E37" t="s">
        <v>584</v>
      </c>
      <c r="F37" s="705">
        <v>360</v>
      </c>
      <c r="G37" s="705">
        <v>50476</v>
      </c>
      <c r="H37" s="705">
        <v>69911</v>
      </c>
      <c r="I37" s="705">
        <v>5295664</v>
      </c>
      <c r="J37" s="705">
        <v>4814240</v>
      </c>
      <c r="K37">
        <v>83</v>
      </c>
      <c r="L37" s="705">
        <v>1337600</v>
      </c>
      <c r="M37" s="705">
        <v>1160497</v>
      </c>
      <c r="N37" s="705">
        <v>992756</v>
      </c>
      <c r="O37" s="705">
        <v>367688</v>
      </c>
      <c r="P37" s="705">
        <v>176526</v>
      </c>
      <c r="Q37" s="705">
        <v>65380</v>
      </c>
      <c r="R37" s="705">
        <v>1931997</v>
      </c>
      <c r="S37" s="705">
        <v>1756361</v>
      </c>
      <c r="T37" s="705">
        <v>318606</v>
      </c>
      <c r="U37" s="705">
        <v>118002</v>
      </c>
      <c r="V37" s="705">
        <v>8282167</v>
      </c>
      <c r="W37" s="705">
        <f t="shared" si="0"/>
        <v>8282168</v>
      </c>
      <c r="X37" s="705">
        <f t="shared" si="1"/>
        <v>10053149</v>
      </c>
      <c r="Y37" s="705"/>
      <c r="AA37" t="s">
        <v>110</v>
      </c>
      <c r="AB37" t="s">
        <v>582</v>
      </c>
      <c r="AC37" t="s">
        <v>582</v>
      </c>
      <c r="AD37">
        <v>76</v>
      </c>
      <c r="AE37" s="705">
        <v>19120</v>
      </c>
      <c r="AF37" s="705">
        <v>6872</v>
      </c>
      <c r="AG37" s="705">
        <v>935926</v>
      </c>
      <c r="AH37" s="705">
        <v>850841</v>
      </c>
      <c r="AI37">
        <v>91</v>
      </c>
      <c r="AJ37" s="705">
        <v>139974</v>
      </c>
      <c r="AK37" s="705">
        <v>118484</v>
      </c>
      <c r="AL37" s="705">
        <v>308039</v>
      </c>
      <c r="AM37" s="705">
        <v>114088</v>
      </c>
      <c r="AN37" s="705">
        <v>73897</v>
      </c>
      <c r="AO37" s="705">
        <v>27369</v>
      </c>
      <c r="AP37" s="705">
        <v>356104</v>
      </c>
      <c r="AQ37" s="705">
        <v>323731</v>
      </c>
      <c r="AR37" s="705">
        <v>1375</v>
      </c>
      <c r="AS37" s="705">
        <v>509</v>
      </c>
      <c r="AT37" s="705">
        <v>1435023</v>
      </c>
      <c r="AU37" s="705">
        <f t="shared" si="3"/>
        <v>1435022</v>
      </c>
      <c r="AV37" s="705">
        <f t="shared" si="2"/>
        <v>1815315</v>
      </c>
    </row>
    <row r="38" spans="2:48" ht="12.75" hidden="1" customHeight="1">
      <c r="B38" t="s">
        <v>527</v>
      </c>
      <c r="C38" t="s">
        <v>116</v>
      </c>
      <c r="D38" t="s">
        <v>669</v>
      </c>
      <c r="E38" t="s">
        <v>669</v>
      </c>
      <c r="F38">
        <v>1</v>
      </c>
      <c r="G38">
        <v>121</v>
      </c>
      <c r="H38">
        <v>186</v>
      </c>
      <c r="I38" s="705">
        <v>10719</v>
      </c>
      <c r="J38" s="705">
        <v>8933</v>
      </c>
      <c r="K38">
        <v>93</v>
      </c>
      <c r="L38" s="705">
        <v>3214</v>
      </c>
      <c r="M38" s="705">
        <v>2921</v>
      </c>
      <c r="N38" s="705">
        <v>1477</v>
      </c>
      <c r="O38">
        <v>547</v>
      </c>
      <c r="P38">
        <v>621</v>
      </c>
      <c r="Q38">
        <v>230</v>
      </c>
      <c r="R38" s="705">
        <v>3857</v>
      </c>
      <c r="S38" s="705">
        <v>3214</v>
      </c>
      <c r="T38" s="705">
        <v>2690</v>
      </c>
      <c r="U38">
        <v>996</v>
      </c>
      <c r="V38" s="705">
        <v>16842</v>
      </c>
      <c r="W38" s="705">
        <f t="shared" si="0"/>
        <v>16841</v>
      </c>
      <c r="X38" s="705">
        <f t="shared" si="1"/>
        <v>22578</v>
      </c>
      <c r="Y38" s="705"/>
      <c r="AA38" t="s">
        <v>110</v>
      </c>
      <c r="AB38" t="s">
        <v>582</v>
      </c>
      <c r="AC38" t="s">
        <v>228</v>
      </c>
      <c r="AD38">
        <v>3</v>
      </c>
      <c r="AE38">
        <v>557</v>
      </c>
      <c r="AF38">
        <v>278</v>
      </c>
      <c r="AG38" s="705">
        <v>22114</v>
      </c>
      <c r="AH38" s="705">
        <v>20104</v>
      </c>
      <c r="AI38">
        <v>88</v>
      </c>
      <c r="AJ38" s="705">
        <v>2797</v>
      </c>
      <c r="AK38" s="705">
        <v>2543</v>
      </c>
      <c r="AL38" s="705">
        <v>7564</v>
      </c>
      <c r="AM38" s="705">
        <v>2802</v>
      </c>
      <c r="AN38" s="705">
        <v>5609</v>
      </c>
      <c r="AO38" s="705">
        <v>2077</v>
      </c>
      <c r="AP38" s="705">
        <v>14010</v>
      </c>
      <c r="AQ38" s="705">
        <v>5189</v>
      </c>
      <c r="AR38">
        <v>0</v>
      </c>
      <c r="AS38">
        <v>0</v>
      </c>
      <c r="AT38" s="705">
        <v>32715</v>
      </c>
      <c r="AU38" s="705">
        <f t="shared" si="3"/>
        <v>32715</v>
      </c>
      <c r="AV38" s="705">
        <f t="shared" si="2"/>
        <v>52094</v>
      </c>
    </row>
    <row r="39" spans="2:48" ht="12.75" hidden="1" customHeight="1">
      <c r="B39" t="s">
        <v>527</v>
      </c>
      <c r="C39" t="s">
        <v>116</v>
      </c>
      <c r="D39" t="s">
        <v>665</v>
      </c>
      <c r="E39" t="s">
        <v>665</v>
      </c>
      <c r="F39">
        <v>1</v>
      </c>
      <c r="G39" s="705">
        <v>171</v>
      </c>
      <c r="H39" s="705">
        <v>195</v>
      </c>
      <c r="I39" s="705">
        <v>19141</v>
      </c>
      <c r="J39" s="705">
        <v>17401</v>
      </c>
      <c r="K39">
        <v>76</v>
      </c>
      <c r="L39" s="705">
        <v>2676</v>
      </c>
      <c r="M39" s="705">
        <v>2433</v>
      </c>
      <c r="N39" s="705">
        <v>3121</v>
      </c>
      <c r="O39" s="705">
        <v>1156</v>
      </c>
      <c r="P39" s="705">
        <v>351</v>
      </c>
      <c r="Q39" s="705">
        <v>130</v>
      </c>
      <c r="R39" s="705">
        <v>4740</v>
      </c>
      <c r="S39" s="705">
        <v>4309</v>
      </c>
      <c r="T39" s="705">
        <v>3239</v>
      </c>
      <c r="U39" s="705">
        <v>1200</v>
      </c>
      <c r="V39" s="705">
        <v>26628</v>
      </c>
      <c r="W39" s="705">
        <f t="shared" si="0"/>
        <v>26629</v>
      </c>
      <c r="X39" s="705">
        <f t="shared" si="1"/>
        <v>33268</v>
      </c>
      <c r="Y39" s="705"/>
      <c r="AA39" t="s">
        <v>110</v>
      </c>
      <c r="AB39" t="s">
        <v>228</v>
      </c>
      <c r="AC39" t="s">
        <v>664</v>
      </c>
      <c r="AD39">
        <v>1</v>
      </c>
      <c r="AE39">
        <v>443</v>
      </c>
      <c r="AF39">
        <v>99</v>
      </c>
      <c r="AG39" s="705">
        <v>25037</v>
      </c>
      <c r="AH39" s="705">
        <v>9273</v>
      </c>
      <c r="AI39">
        <v>300</v>
      </c>
      <c r="AJ39" s="705">
        <v>0</v>
      </c>
      <c r="AK39" s="705">
        <v>0</v>
      </c>
      <c r="AL39" s="705">
        <v>6902</v>
      </c>
      <c r="AM39" s="705">
        <v>2556</v>
      </c>
      <c r="AN39" s="705">
        <v>4495</v>
      </c>
      <c r="AO39" s="705">
        <v>1665</v>
      </c>
      <c r="AP39" s="705">
        <v>7570</v>
      </c>
      <c r="AQ39" s="705">
        <v>6882</v>
      </c>
      <c r="AR39">
        <v>0</v>
      </c>
      <c r="AS39">
        <v>0</v>
      </c>
      <c r="AT39" s="705">
        <v>20375</v>
      </c>
      <c r="AU39" s="705">
        <f t="shared" si="3"/>
        <v>20376</v>
      </c>
      <c r="AV39" s="705">
        <f t="shared" si="2"/>
        <v>44004</v>
      </c>
    </row>
    <row r="40" spans="2:48" ht="12.75" hidden="1" customHeight="1">
      <c r="B40" t="s">
        <v>527</v>
      </c>
      <c r="C40" t="s">
        <v>116</v>
      </c>
      <c r="D40" t="s">
        <v>673</v>
      </c>
      <c r="E40" t="s">
        <v>673</v>
      </c>
      <c r="F40">
        <v>1</v>
      </c>
      <c r="G40">
        <v>213</v>
      </c>
      <c r="H40">
        <v>198</v>
      </c>
      <c r="I40" s="705">
        <v>22844</v>
      </c>
      <c r="J40" s="705">
        <v>20767</v>
      </c>
      <c r="K40">
        <v>81</v>
      </c>
      <c r="L40" s="705">
        <v>6853</v>
      </c>
      <c r="M40" s="705">
        <v>6230</v>
      </c>
      <c r="N40" s="705">
        <v>4548</v>
      </c>
      <c r="O40" s="705">
        <v>1684</v>
      </c>
      <c r="P40">
        <v>351</v>
      </c>
      <c r="Q40">
        <v>130</v>
      </c>
      <c r="R40" s="705">
        <v>7737</v>
      </c>
      <c r="S40" s="705">
        <v>7034</v>
      </c>
      <c r="T40">
        <v>0</v>
      </c>
      <c r="U40">
        <v>0</v>
      </c>
      <c r="V40" s="705">
        <v>35846</v>
      </c>
      <c r="W40" s="705">
        <f t="shared" si="0"/>
        <v>35845</v>
      </c>
      <c r="X40" s="705">
        <f t="shared" si="1"/>
        <v>42333</v>
      </c>
      <c r="Y40" s="705"/>
      <c r="AA40" t="s">
        <v>110</v>
      </c>
      <c r="AB40" t="s">
        <v>228</v>
      </c>
      <c r="AC40" t="s">
        <v>582</v>
      </c>
      <c r="AD40">
        <v>2</v>
      </c>
      <c r="AE40" s="705">
        <v>835</v>
      </c>
      <c r="AF40" s="705">
        <v>174</v>
      </c>
      <c r="AG40" s="705">
        <v>43932</v>
      </c>
      <c r="AH40" s="705">
        <v>16271</v>
      </c>
      <c r="AI40">
        <v>380</v>
      </c>
      <c r="AJ40" s="705">
        <v>18748</v>
      </c>
      <c r="AK40" s="705">
        <v>17043</v>
      </c>
      <c r="AL40" s="705">
        <v>27474</v>
      </c>
      <c r="AM40" s="705">
        <v>10176</v>
      </c>
      <c r="AN40" s="705">
        <v>2554</v>
      </c>
      <c r="AO40" s="705">
        <v>946</v>
      </c>
      <c r="AP40" s="705">
        <v>8300</v>
      </c>
      <c r="AQ40" s="705">
        <v>7545</v>
      </c>
      <c r="AR40" s="705">
        <v>0</v>
      </c>
      <c r="AS40" s="705">
        <v>0</v>
      </c>
      <c r="AT40" s="705">
        <v>51981</v>
      </c>
      <c r="AU40" s="705">
        <f t="shared" si="3"/>
        <v>51981</v>
      </c>
      <c r="AV40" s="705">
        <f t="shared" si="2"/>
        <v>101008</v>
      </c>
    </row>
    <row r="41" spans="2:48" ht="12.75" hidden="1" customHeight="1">
      <c r="B41" t="s">
        <v>527</v>
      </c>
      <c r="C41" t="s">
        <v>116</v>
      </c>
      <c r="D41" t="s">
        <v>585</v>
      </c>
      <c r="E41" t="s">
        <v>585</v>
      </c>
      <c r="F41">
        <v>7</v>
      </c>
      <c r="G41" s="705">
        <v>1756</v>
      </c>
      <c r="H41" s="705">
        <v>1268</v>
      </c>
      <c r="I41" s="705">
        <v>192240</v>
      </c>
      <c r="J41" s="705">
        <v>174764</v>
      </c>
      <c r="K41">
        <v>74</v>
      </c>
      <c r="L41" s="705">
        <v>27712</v>
      </c>
      <c r="M41" s="705">
        <v>24673</v>
      </c>
      <c r="N41" s="705">
        <v>38759</v>
      </c>
      <c r="O41" s="705">
        <v>14355</v>
      </c>
      <c r="P41" s="705">
        <v>4320</v>
      </c>
      <c r="Q41" s="705">
        <v>1600</v>
      </c>
      <c r="R41" s="705">
        <v>37374</v>
      </c>
      <c r="S41" s="705">
        <v>33976</v>
      </c>
      <c r="T41" s="705">
        <v>11699</v>
      </c>
      <c r="U41" s="705">
        <v>4333</v>
      </c>
      <c r="V41" s="705">
        <v>253701</v>
      </c>
      <c r="W41" s="705">
        <f t="shared" si="0"/>
        <v>253701</v>
      </c>
      <c r="X41" s="705">
        <f t="shared" si="1"/>
        <v>312104</v>
      </c>
      <c r="Y41" s="705"/>
      <c r="AA41" t="s">
        <v>110</v>
      </c>
      <c r="AB41" t="s">
        <v>228</v>
      </c>
      <c r="AC41" t="s">
        <v>228</v>
      </c>
      <c r="AD41">
        <v>929</v>
      </c>
      <c r="AE41" s="705">
        <v>224589</v>
      </c>
      <c r="AF41" s="705">
        <v>82232</v>
      </c>
      <c r="AG41" s="705">
        <v>7889880</v>
      </c>
      <c r="AH41" s="705">
        <v>2922178</v>
      </c>
      <c r="AI41">
        <v>377</v>
      </c>
      <c r="AJ41" s="705">
        <v>2182843</v>
      </c>
      <c r="AK41" s="705">
        <v>1938179</v>
      </c>
      <c r="AL41" s="705">
        <v>3827297</v>
      </c>
      <c r="AM41" s="705">
        <v>1417517</v>
      </c>
      <c r="AN41" s="705">
        <v>956474</v>
      </c>
      <c r="AO41" s="705">
        <v>354250</v>
      </c>
      <c r="AP41" s="705">
        <v>5710456</v>
      </c>
      <c r="AQ41" s="705">
        <v>2114984</v>
      </c>
      <c r="AR41" s="705">
        <v>35979</v>
      </c>
      <c r="AS41" s="705">
        <v>13325</v>
      </c>
      <c r="AT41" s="705">
        <v>8760433</v>
      </c>
      <c r="AU41" s="705">
        <f t="shared" si="3"/>
        <v>8760433</v>
      </c>
      <c r="AV41" s="705">
        <f t="shared" si="2"/>
        <v>20602929</v>
      </c>
    </row>
    <row r="42" spans="2:48" ht="12.75" hidden="1" customHeight="1">
      <c r="B42" t="s">
        <v>527</v>
      </c>
      <c r="C42" t="s">
        <v>118</v>
      </c>
      <c r="D42" t="s">
        <v>582</v>
      </c>
      <c r="E42" t="s">
        <v>582</v>
      </c>
      <c r="F42">
        <v>5</v>
      </c>
      <c r="G42" s="705">
        <v>617</v>
      </c>
      <c r="H42" s="705">
        <v>1227</v>
      </c>
      <c r="I42" s="705">
        <v>89183</v>
      </c>
      <c r="J42" s="705">
        <v>81076</v>
      </c>
      <c r="K42">
        <v>84</v>
      </c>
      <c r="L42" s="705">
        <v>20331</v>
      </c>
      <c r="M42" s="705">
        <v>18483</v>
      </c>
      <c r="N42" s="705">
        <v>12063</v>
      </c>
      <c r="O42" s="705">
        <v>4468</v>
      </c>
      <c r="P42" s="705">
        <v>2363</v>
      </c>
      <c r="Q42" s="705">
        <v>875</v>
      </c>
      <c r="R42" s="705">
        <v>25861</v>
      </c>
      <c r="S42" s="705">
        <v>23510</v>
      </c>
      <c r="T42" s="705">
        <v>3225</v>
      </c>
      <c r="U42" s="705">
        <v>1194</v>
      </c>
      <c r="V42" s="705">
        <v>129605</v>
      </c>
      <c r="W42" s="705">
        <f t="shared" si="0"/>
        <v>129606</v>
      </c>
      <c r="X42" s="705">
        <f t="shared" si="1"/>
        <v>153026</v>
      </c>
      <c r="Y42" s="705"/>
      <c r="AA42" t="s">
        <v>110</v>
      </c>
      <c r="AB42" t="s">
        <v>228</v>
      </c>
      <c r="AC42" t="s">
        <v>583</v>
      </c>
      <c r="AD42">
        <v>5</v>
      </c>
      <c r="AE42" s="705">
        <v>1765</v>
      </c>
      <c r="AF42">
        <v>472</v>
      </c>
      <c r="AG42" s="705">
        <v>71676</v>
      </c>
      <c r="AH42" s="705">
        <v>26547</v>
      </c>
      <c r="AI42">
        <v>318</v>
      </c>
      <c r="AJ42" s="705">
        <v>17456</v>
      </c>
      <c r="AK42" s="705">
        <v>15869</v>
      </c>
      <c r="AL42" s="705">
        <v>35868</v>
      </c>
      <c r="AM42" s="705">
        <v>13284</v>
      </c>
      <c r="AN42" s="705">
        <v>4963</v>
      </c>
      <c r="AO42" s="705">
        <v>1838</v>
      </c>
      <c r="AP42" s="705">
        <v>38387</v>
      </c>
      <c r="AQ42" s="705">
        <v>34898</v>
      </c>
      <c r="AR42" s="705">
        <v>4698</v>
      </c>
      <c r="AS42" s="705">
        <v>1740</v>
      </c>
      <c r="AT42" s="705">
        <v>94176</v>
      </c>
      <c r="AU42" s="705">
        <f t="shared" si="3"/>
        <v>94176</v>
      </c>
      <c r="AV42" s="705">
        <f t="shared" si="2"/>
        <v>173048</v>
      </c>
    </row>
    <row r="43" spans="2:48" ht="12.75" hidden="1" customHeight="1">
      <c r="B43" t="s">
        <v>527</v>
      </c>
      <c r="C43" t="s">
        <v>118</v>
      </c>
      <c r="D43" t="s">
        <v>228</v>
      </c>
      <c r="E43" t="s">
        <v>228</v>
      </c>
      <c r="F43">
        <v>10</v>
      </c>
      <c r="G43" s="705">
        <v>2198</v>
      </c>
      <c r="H43" s="705">
        <v>2692</v>
      </c>
      <c r="I43" s="705">
        <v>398849</v>
      </c>
      <c r="J43" s="705">
        <v>147722</v>
      </c>
      <c r="K43">
        <v>130</v>
      </c>
      <c r="L43" s="705">
        <v>81192</v>
      </c>
      <c r="M43" s="705">
        <v>63653</v>
      </c>
      <c r="N43" s="705">
        <v>49177</v>
      </c>
      <c r="O43" s="705">
        <v>18214</v>
      </c>
      <c r="P43" s="705">
        <v>1053</v>
      </c>
      <c r="Q43" s="705">
        <v>390</v>
      </c>
      <c r="R43" s="705">
        <v>103568</v>
      </c>
      <c r="S43" s="705">
        <v>38358</v>
      </c>
      <c r="T43">
        <v>0</v>
      </c>
      <c r="U43">
        <v>0</v>
      </c>
      <c r="V43" s="705">
        <v>268337</v>
      </c>
      <c r="W43" s="705">
        <f t="shared" si="0"/>
        <v>268337</v>
      </c>
      <c r="X43" s="705">
        <f t="shared" si="1"/>
        <v>633839</v>
      </c>
      <c r="Y43" s="705"/>
      <c r="AA43" t="s">
        <v>110</v>
      </c>
      <c r="AB43" t="s">
        <v>228</v>
      </c>
      <c r="AC43" t="s">
        <v>584</v>
      </c>
      <c r="AD43">
        <v>1</v>
      </c>
      <c r="AE43">
        <v>203</v>
      </c>
      <c r="AF43">
        <v>97</v>
      </c>
      <c r="AG43" s="705">
        <v>19086</v>
      </c>
      <c r="AH43" s="705">
        <v>7069</v>
      </c>
      <c r="AI43">
        <v>250</v>
      </c>
      <c r="AJ43" s="705">
        <v>0</v>
      </c>
      <c r="AK43" s="705">
        <v>604</v>
      </c>
      <c r="AL43" s="705">
        <v>3767</v>
      </c>
      <c r="AM43" s="705">
        <v>1395</v>
      </c>
      <c r="AN43" s="705">
        <v>3030</v>
      </c>
      <c r="AO43" s="705">
        <v>1122</v>
      </c>
      <c r="AP43" s="705">
        <v>4031</v>
      </c>
      <c r="AQ43" s="705">
        <v>3665</v>
      </c>
      <c r="AR43">
        <v>0</v>
      </c>
      <c r="AS43">
        <v>0</v>
      </c>
      <c r="AT43" s="705">
        <v>13855</v>
      </c>
      <c r="AU43" s="705">
        <f t="shared" si="3"/>
        <v>13855</v>
      </c>
      <c r="AV43" s="705">
        <f t="shared" si="2"/>
        <v>29914</v>
      </c>
    </row>
    <row r="44" spans="2:48" ht="12.75" hidden="1" customHeight="1">
      <c r="B44" t="s">
        <v>527</v>
      </c>
      <c r="C44" t="s">
        <v>118</v>
      </c>
      <c r="D44" t="s">
        <v>583</v>
      </c>
      <c r="E44" t="s">
        <v>583</v>
      </c>
      <c r="F44">
        <v>780</v>
      </c>
      <c r="G44" s="705">
        <v>102354</v>
      </c>
      <c r="H44" s="705">
        <v>203038</v>
      </c>
      <c r="I44" s="705">
        <v>16081993</v>
      </c>
      <c r="J44" s="705">
        <v>14619993</v>
      </c>
      <c r="K44">
        <v>79</v>
      </c>
      <c r="L44" s="705">
        <v>3256588</v>
      </c>
      <c r="M44" s="705">
        <v>2885424</v>
      </c>
      <c r="N44" s="705">
        <v>2081547</v>
      </c>
      <c r="O44" s="705">
        <v>770943</v>
      </c>
      <c r="P44" s="705">
        <v>499730</v>
      </c>
      <c r="Q44" s="705">
        <v>185085</v>
      </c>
      <c r="R44" s="705">
        <v>4200338</v>
      </c>
      <c r="S44" s="705">
        <v>3818489</v>
      </c>
      <c r="T44" s="705">
        <v>1272177</v>
      </c>
      <c r="U44" s="705">
        <v>471177</v>
      </c>
      <c r="V44" s="705">
        <v>22751111</v>
      </c>
      <c r="W44" s="705">
        <f t="shared" si="0"/>
        <v>22751111</v>
      </c>
      <c r="X44" s="705">
        <f t="shared" si="1"/>
        <v>27392373</v>
      </c>
      <c r="Y44" s="705"/>
      <c r="AA44" t="s">
        <v>110</v>
      </c>
      <c r="AB44" t="s">
        <v>724</v>
      </c>
      <c r="AC44" t="s">
        <v>724</v>
      </c>
      <c r="AD44" s="705">
        <v>1</v>
      </c>
      <c r="AE44" s="705">
        <v>451</v>
      </c>
      <c r="AF44" s="705">
        <v>97</v>
      </c>
      <c r="AG44" s="705">
        <v>19652</v>
      </c>
      <c r="AH44" s="705">
        <v>7279</v>
      </c>
      <c r="AI44">
        <v>320</v>
      </c>
      <c r="AJ44" s="705">
        <v>9489</v>
      </c>
      <c r="AK44" s="705">
        <v>8626</v>
      </c>
      <c r="AL44" s="705">
        <v>10440</v>
      </c>
      <c r="AM44" s="705">
        <v>3867</v>
      </c>
      <c r="AN44" s="705">
        <v>351</v>
      </c>
      <c r="AO44" s="705">
        <v>130</v>
      </c>
      <c r="AP44" s="705">
        <v>3825</v>
      </c>
      <c r="AQ44" s="705">
        <v>1417</v>
      </c>
      <c r="AR44" s="705">
        <v>0</v>
      </c>
      <c r="AS44" s="705">
        <v>0</v>
      </c>
      <c r="AT44" s="705">
        <v>21318</v>
      </c>
      <c r="AU44" s="705">
        <f t="shared" si="3"/>
        <v>21319</v>
      </c>
      <c r="AV44" s="705">
        <f t="shared" si="2"/>
        <v>43757</v>
      </c>
    </row>
    <row r="45" spans="2:48" ht="12.75" hidden="1" customHeight="1">
      <c r="B45" t="s">
        <v>527</v>
      </c>
      <c r="C45" t="s">
        <v>118</v>
      </c>
      <c r="D45" t="s">
        <v>583</v>
      </c>
      <c r="E45" t="s">
        <v>666</v>
      </c>
      <c r="F45">
        <v>1</v>
      </c>
      <c r="G45" s="705">
        <v>66</v>
      </c>
      <c r="H45" s="705">
        <v>243</v>
      </c>
      <c r="I45" s="705">
        <v>8828</v>
      </c>
      <c r="J45" s="705">
        <v>8026</v>
      </c>
      <c r="K45">
        <v>79</v>
      </c>
      <c r="L45" s="705">
        <v>1132</v>
      </c>
      <c r="M45" s="705">
        <v>1029</v>
      </c>
      <c r="N45" s="705">
        <v>808</v>
      </c>
      <c r="O45" s="705">
        <v>299</v>
      </c>
      <c r="P45" s="705">
        <v>621</v>
      </c>
      <c r="Q45" s="705">
        <v>230</v>
      </c>
      <c r="R45" s="705">
        <v>2780</v>
      </c>
      <c r="S45" s="705">
        <v>2527</v>
      </c>
      <c r="T45" s="705">
        <v>1979</v>
      </c>
      <c r="U45" s="705">
        <v>733</v>
      </c>
      <c r="V45" s="705">
        <v>12844</v>
      </c>
      <c r="W45" s="705">
        <f t="shared" si="0"/>
        <v>12844</v>
      </c>
      <c r="X45" s="705">
        <f t="shared" si="1"/>
        <v>16148</v>
      </c>
      <c r="Y45" s="705"/>
      <c r="AA45" t="s">
        <v>110</v>
      </c>
      <c r="AB45" t="s">
        <v>670</v>
      </c>
      <c r="AC45" t="s">
        <v>670</v>
      </c>
      <c r="AD45" s="705">
        <v>3</v>
      </c>
      <c r="AE45" s="705">
        <v>634</v>
      </c>
      <c r="AF45" s="705">
        <v>293</v>
      </c>
      <c r="AG45" s="705">
        <v>23881</v>
      </c>
      <c r="AH45" s="705">
        <v>8845</v>
      </c>
      <c r="AI45">
        <v>297</v>
      </c>
      <c r="AJ45" s="705">
        <v>4000</v>
      </c>
      <c r="AK45" s="705">
        <v>3636</v>
      </c>
      <c r="AL45" s="705">
        <v>8206</v>
      </c>
      <c r="AM45" s="705">
        <v>3039</v>
      </c>
      <c r="AN45" s="705">
        <v>6279</v>
      </c>
      <c r="AO45" s="705">
        <v>2325</v>
      </c>
      <c r="AP45" s="705">
        <v>16099</v>
      </c>
      <c r="AQ45" s="705">
        <v>5963</v>
      </c>
      <c r="AR45" s="705">
        <v>3553</v>
      </c>
      <c r="AS45" s="705">
        <v>1316</v>
      </c>
      <c r="AT45" s="705">
        <v>25124</v>
      </c>
      <c r="AU45" s="705">
        <f t="shared" si="3"/>
        <v>25124</v>
      </c>
      <c r="AV45" s="705">
        <f t="shared" si="2"/>
        <v>62018</v>
      </c>
    </row>
    <row r="46" spans="2:48" ht="12.75" hidden="1" customHeight="1">
      <c r="B46" t="s">
        <v>527</v>
      </c>
      <c r="C46" t="s">
        <v>118</v>
      </c>
      <c r="D46" t="s">
        <v>666</v>
      </c>
      <c r="E46" t="s">
        <v>583</v>
      </c>
      <c r="F46">
        <v>1</v>
      </c>
      <c r="G46">
        <v>99</v>
      </c>
      <c r="H46" s="705">
        <v>252</v>
      </c>
      <c r="I46" s="705">
        <v>13972</v>
      </c>
      <c r="J46" s="705">
        <v>12702</v>
      </c>
      <c r="K46">
        <v>86</v>
      </c>
      <c r="L46" s="705">
        <v>2101</v>
      </c>
      <c r="M46" s="705">
        <v>1910</v>
      </c>
      <c r="N46" s="705">
        <v>1813</v>
      </c>
      <c r="O46" s="705">
        <v>671</v>
      </c>
      <c r="P46" s="705">
        <v>621</v>
      </c>
      <c r="Q46">
        <v>230</v>
      </c>
      <c r="R46" s="705">
        <v>3841</v>
      </c>
      <c r="S46" s="705">
        <v>3492</v>
      </c>
      <c r="T46" s="705">
        <v>2685</v>
      </c>
      <c r="U46" s="705">
        <v>994</v>
      </c>
      <c r="V46" s="705">
        <v>19999</v>
      </c>
      <c r="W46" s="705">
        <f t="shared" si="0"/>
        <v>19999</v>
      </c>
      <c r="X46" s="705">
        <f t="shared" si="1"/>
        <v>25033</v>
      </c>
      <c r="Y46" s="705"/>
      <c r="AA46" t="s">
        <v>110</v>
      </c>
      <c r="AB46" t="s">
        <v>583</v>
      </c>
      <c r="AC46" t="s">
        <v>228</v>
      </c>
      <c r="AD46">
        <v>19</v>
      </c>
      <c r="AE46" s="705">
        <v>4388</v>
      </c>
      <c r="AF46" s="705">
        <v>1699</v>
      </c>
      <c r="AG46" s="705">
        <v>171367</v>
      </c>
      <c r="AH46" s="705">
        <v>155788</v>
      </c>
      <c r="AI46">
        <v>101</v>
      </c>
      <c r="AJ46" s="705">
        <v>27141</v>
      </c>
      <c r="AK46" s="705">
        <v>24547</v>
      </c>
      <c r="AL46" s="705">
        <v>61019</v>
      </c>
      <c r="AM46" s="705">
        <v>22600</v>
      </c>
      <c r="AN46" s="705">
        <v>20997</v>
      </c>
      <c r="AO46" s="705">
        <v>7777</v>
      </c>
      <c r="AP46" s="705">
        <v>112548</v>
      </c>
      <c r="AQ46" s="705">
        <v>41685</v>
      </c>
      <c r="AR46">
        <v>0</v>
      </c>
      <c r="AS46">
        <v>0</v>
      </c>
      <c r="AT46" s="705">
        <v>252396</v>
      </c>
      <c r="AU46" s="705">
        <f t="shared" si="3"/>
        <v>252397</v>
      </c>
      <c r="AV46" s="705">
        <f t="shared" si="2"/>
        <v>393072</v>
      </c>
    </row>
    <row r="47" spans="2:48" ht="12.75" hidden="1" customHeight="1">
      <c r="B47" t="s">
        <v>527</v>
      </c>
      <c r="C47" t="s">
        <v>118</v>
      </c>
      <c r="D47" t="s">
        <v>666</v>
      </c>
      <c r="E47" t="s">
        <v>666</v>
      </c>
      <c r="F47">
        <v>1</v>
      </c>
      <c r="G47">
        <v>80</v>
      </c>
      <c r="H47" s="705">
        <v>280</v>
      </c>
      <c r="I47" s="705">
        <v>21325</v>
      </c>
      <c r="J47" s="705">
        <v>19386</v>
      </c>
      <c r="K47">
        <v>65</v>
      </c>
      <c r="L47" s="705">
        <v>2369</v>
      </c>
      <c r="M47" s="705">
        <v>2154</v>
      </c>
      <c r="N47" s="705">
        <v>2443</v>
      </c>
      <c r="O47" s="705">
        <v>905</v>
      </c>
      <c r="P47" s="705">
        <v>351</v>
      </c>
      <c r="Q47" s="705">
        <v>130</v>
      </c>
      <c r="R47" s="705">
        <v>5060</v>
      </c>
      <c r="S47" s="705">
        <v>4600</v>
      </c>
      <c r="T47" s="705">
        <v>2889</v>
      </c>
      <c r="U47" s="705">
        <v>1070</v>
      </c>
      <c r="V47" s="705">
        <v>28245</v>
      </c>
      <c r="W47" s="705">
        <f t="shared" si="0"/>
        <v>28245</v>
      </c>
      <c r="X47" s="705">
        <f t="shared" si="1"/>
        <v>34437</v>
      </c>
      <c r="Y47" s="705"/>
      <c r="AA47" t="s">
        <v>110</v>
      </c>
      <c r="AB47" t="s">
        <v>583</v>
      </c>
      <c r="AC47" t="s">
        <v>583</v>
      </c>
      <c r="AD47" s="705">
        <v>1325</v>
      </c>
      <c r="AE47" s="705">
        <v>306116</v>
      </c>
      <c r="AF47" s="705">
        <v>120421</v>
      </c>
      <c r="AG47" s="705">
        <v>14522098</v>
      </c>
      <c r="AH47" s="705">
        <v>13201907</v>
      </c>
      <c r="AI47">
        <v>94</v>
      </c>
      <c r="AJ47" s="705">
        <v>2413858</v>
      </c>
      <c r="AK47" s="705">
        <v>3028055</v>
      </c>
      <c r="AL47" s="705">
        <v>4483308</v>
      </c>
      <c r="AM47" s="705">
        <v>1660484</v>
      </c>
      <c r="AN47" s="705">
        <v>1345804</v>
      </c>
      <c r="AO47" s="705">
        <v>498446</v>
      </c>
      <c r="AP47" s="705">
        <v>5717199</v>
      </c>
      <c r="AQ47" s="705">
        <v>5197453</v>
      </c>
      <c r="AR47" s="705">
        <v>77993</v>
      </c>
      <c r="AS47" s="705">
        <v>28886</v>
      </c>
      <c r="AT47" s="705">
        <v>23615231</v>
      </c>
      <c r="AU47" s="705">
        <f t="shared" si="3"/>
        <v>23615231</v>
      </c>
      <c r="AV47" s="705">
        <f t="shared" si="2"/>
        <v>28560260</v>
      </c>
    </row>
    <row r="48" spans="2:48" ht="12.75" hidden="1" customHeight="1">
      <c r="B48" t="s">
        <v>527</v>
      </c>
      <c r="C48" t="s">
        <v>118</v>
      </c>
      <c r="D48" t="s">
        <v>584</v>
      </c>
      <c r="E48" t="s">
        <v>584</v>
      </c>
      <c r="F48">
        <v>210</v>
      </c>
      <c r="G48" s="705">
        <v>25499</v>
      </c>
      <c r="H48" s="705">
        <v>53531</v>
      </c>
      <c r="I48" s="705">
        <v>3611442</v>
      </c>
      <c r="J48" s="705">
        <v>3283129</v>
      </c>
      <c r="K48">
        <v>79</v>
      </c>
      <c r="L48" s="705">
        <v>935618</v>
      </c>
      <c r="M48" s="705">
        <v>831449</v>
      </c>
      <c r="N48" s="705">
        <v>540381</v>
      </c>
      <c r="O48" s="705">
        <v>200141</v>
      </c>
      <c r="P48" s="705">
        <v>101723</v>
      </c>
      <c r="Q48" s="705">
        <v>37675</v>
      </c>
      <c r="R48" s="705">
        <v>1166505</v>
      </c>
      <c r="S48" s="705">
        <v>1060459</v>
      </c>
      <c r="T48" s="705">
        <v>262699</v>
      </c>
      <c r="U48" s="705">
        <v>97296</v>
      </c>
      <c r="V48" s="705">
        <v>5510150</v>
      </c>
      <c r="W48" s="705">
        <f t="shared" si="0"/>
        <v>5510149</v>
      </c>
      <c r="X48" s="705">
        <f t="shared" si="1"/>
        <v>6618368</v>
      </c>
      <c r="Y48" s="705"/>
      <c r="AA48" t="s">
        <v>110</v>
      </c>
      <c r="AB48" t="s">
        <v>583</v>
      </c>
      <c r="AC48" t="s">
        <v>666</v>
      </c>
      <c r="AD48" s="705">
        <v>1</v>
      </c>
      <c r="AE48" s="705">
        <v>138</v>
      </c>
      <c r="AF48" s="705">
        <v>97</v>
      </c>
      <c r="AG48" s="705">
        <v>7695</v>
      </c>
      <c r="AH48" s="705">
        <v>6995</v>
      </c>
      <c r="AI48">
        <v>93</v>
      </c>
      <c r="AJ48" s="705">
        <v>0</v>
      </c>
      <c r="AK48" s="705">
        <v>0</v>
      </c>
      <c r="AL48" s="705">
        <v>1681</v>
      </c>
      <c r="AM48" s="705">
        <v>623</v>
      </c>
      <c r="AN48" s="705">
        <v>1848</v>
      </c>
      <c r="AO48" s="705">
        <v>685</v>
      </c>
      <c r="AP48" s="705">
        <v>2168</v>
      </c>
      <c r="AQ48" s="705">
        <v>1971</v>
      </c>
      <c r="AR48" s="705">
        <v>0</v>
      </c>
      <c r="AS48" s="705">
        <v>0</v>
      </c>
      <c r="AT48" s="705">
        <v>10273</v>
      </c>
      <c r="AU48" s="705">
        <f t="shared" si="3"/>
        <v>10274</v>
      </c>
      <c r="AV48" s="705">
        <f t="shared" si="2"/>
        <v>13392</v>
      </c>
    </row>
    <row r="49" spans="2:48" ht="12.75" hidden="1" customHeight="1">
      <c r="B49" t="s">
        <v>527</v>
      </c>
      <c r="C49" t="s">
        <v>118</v>
      </c>
      <c r="D49" t="s">
        <v>584</v>
      </c>
      <c r="E49" t="s">
        <v>665</v>
      </c>
      <c r="F49">
        <v>1</v>
      </c>
      <c r="G49" s="705">
        <v>66</v>
      </c>
      <c r="H49" s="705">
        <v>244</v>
      </c>
      <c r="I49" s="705">
        <v>7825</v>
      </c>
      <c r="J49" s="705">
        <v>7114</v>
      </c>
      <c r="K49">
        <v>79</v>
      </c>
      <c r="L49" s="705">
        <v>2281</v>
      </c>
      <c r="M49" s="705">
        <v>2074</v>
      </c>
      <c r="N49" s="705">
        <v>1486</v>
      </c>
      <c r="O49" s="705">
        <v>550</v>
      </c>
      <c r="P49" s="705">
        <v>473</v>
      </c>
      <c r="Q49" s="705">
        <v>175</v>
      </c>
      <c r="R49" s="705">
        <v>3940</v>
      </c>
      <c r="S49" s="705">
        <v>3582</v>
      </c>
      <c r="T49" s="705">
        <v>0</v>
      </c>
      <c r="U49" s="705">
        <v>0</v>
      </c>
      <c r="V49" s="705">
        <v>13495</v>
      </c>
      <c r="W49" s="705">
        <f t="shared" si="0"/>
        <v>13495</v>
      </c>
      <c r="X49" s="705">
        <f t="shared" si="1"/>
        <v>16005</v>
      </c>
      <c r="Y49" s="705"/>
      <c r="AA49" t="s">
        <v>110</v>
      </c>
      <c r="AB49" t="s">
        <v>583</v>
      </c>
      <c r="AC49" t="s">
        <v>665</v>
      </c>
      <c r="AD49">
        <v>1</v>
      </c>
      <c r="AE49" s="705">
        <v>245</v>
      </c>
      <c r="AF49" s="705">
        <v>98</v>
      </c>
      <c r="AG49" s="705">
        <v>11114</v>
      </c>
      <c r="AH49" s="705">
        <v>10104</v>
      </c>
      <c r="AI49">
        <v>92</v>
      </c>
      <c r="AJ49" s="705">
        <v>3598</v>
      </c>
      <c r="AK49" s="705">
        <v>3271</v>
      </c>
      <c r="AL49" s="705">
        <v>2989</v>
      </c>
      <c r="AM49" s="705">
        <v>1107</v>
      </c>
      <c r="AN49" s="705">
        <v>621</v>
      </c>
      <c r="AO49" s="705">
        <v>230</v>
      </c>
      <c r="AP49" s="705">
        <v>5680</v>
      </c>
      <c r="AQ49" s="705">
        <v>5164</v>
      </c>
      <c r="AR49" s="705">
        <v>0</v>
      </c>
      <c r="AS49" s="705">
        <v>0</v>
      </c>
      <c r="AT49" s="705">
        <v>19876</v>
      </c>
      <c r="AU49" s="705">
        <f t="shared" si="3"/>
        <v>19876</v>
      </c>
      <c r="AV49" s="705">
        <f t="shared" si="2"/>
        <v>24002</v>
      </c>
    </row>
    <row r="50" spans="2:48" ht="12.75" hidden="1" customHeight="1">
      <c r="B50" t="s">
        <v>527</v>
      </c>
      <c r="C50" t="s">
        <v>118</v>
      </c>
      <c r="D50" t="s">
        <v>669</v>
      </c>
      <c r="E50" t="s">
        <v>669</v>
      </c>
      <c r="F50">
        <v>3</v>
      </c>
      <c r="G50" s="705">
        <v>399</v>
      </c>
      <c r="H50" s="705">
        <v>833</v>
      </c>
      <c r="I50" s="705">
        <v>70524</v>
      </c>
      <c r="J50" s="705">
        <v>58770</v>
      </c>
      <c r="K50">
        <v>69</v>
      </c>
      <c r="L50" s="705">
        <v>7756</v>
      </c>
      <c r="M50" s="705">
        <v>6463</v>
      </c>
      <c r="N50" s="705">
        <v>7445</v>
      </c>
      <c r="O50" s="705">
        <v>2757</v>
      </c>
      <c r="P50" s="705">
        <v>1053</v>
      </c>
      <c r="Q50" s="705">
        <v>390</v>
      </c>
      <c r="R50" s="705">
        <v>18644</v>
      </c>
      <c r="S50" s="705">
        <v>15537</v>
      </c>
      <c r="T50" s="705">
        <v>5392</v>
      </c>
      <c r="U50" s="705">
        <v>1997</v>
      </c>
      <c r="V50" s="705">
        <v>85914</v>
      </c>
      <c r="W50" s="705">
        <f t="shared" si="0"/>
        <v>85914</v>
      </c>
      <c r="X50" s="705">
        <f t="shared" si="1"/>
        <v>110814</v>
      </c>
      <c r="Y50" s="705"/>
      <c r="AA50" t="s">
        <v>110</v>
      </c>
      <c r="AB50" t="s">
        <v>583</v>
      </c>
      <c r="AC50" t="s">
        <v>673</v>
      </c>
      <c r="AD50">
        <v>1</v>
      </c>
      <c r="AE50">
        <v>190</v>
      </c>
      <c r="AF50">
        <v>100</v>
      </c>
      <c r="AG50" s="705">
        <v>10793</v>
      </c>
      <c r="AH50" s="705">
        <v>9812</v>
      </c>
      <c r="AI50">
        <v>92</v>
      </c>
      <c r="AJ50" s="705">
        <v>1721</v>
      </c>
      <c r="AK50" s="705">
        <v>1565</v>
      </c>
      <c r="AL50" s="705">
        <v>2309</v>
      </c>
      <c r="AM50" s="705">
        <v>855</v>
      </c>
      <c r="AN50">
        <v>621</v>
      </c>
      <c r="AO50">
        <v>230</v>
      </c>
      <c r="AP50" s="705">
        <v>3489</v>
      </c>
      <c r="AQ50" s="705">
        <v>3172</v>
      </c>
      <c r="AR50">
        <v>0</v>
      </c>
      <c r="AS50">
        <v>0</v>
      </c>
      <c r="AT50" s="705">
        <v>15633</v>
      </c>
      <c r="AU50" s="705">
        <f t="shared" si="3"/>
        <v>15634</v>
      </c>
      <c r="AV50" s="705">
        <f t="shared" si="2"/>
        <v>18933</v>
      </c>
    </row>
    <row r="51" spans="2:48" ht="12.75" hidden="1" customHeight="1">
      <c r="B51" t="s">
        <v>527</v>
      </c>
      <c r="C51" t="s">
        <v>118</v>
      </c>
      <c r="D51" t="s">
        <v>665</v>
      </c>
      <c r="E51" t="s">
        <v>665</v>
      </c>
      <c r="F51">
        <v>18</v>
      </c>
      <c r="G51" s="705">
        <v>2228</v>
      </c>
      <c r="H51" s="705">
        <v>4871</v>
      </c>
      <c r="I51" s="705">
        <v>394986</v>
      </c>
      <c r="J51" s="705">
        <v>359079</v>
      </c>
      <c r="K51">
        <v>66</v>
      </c>
      <c r="L51" s="705">
        <v>56630</v>
      </c>
      <c r="M51" s="705">
        <v>47286</v>
      </c>
      <c r="N51" s="705">
        <v>40639</v>
      </c>
      <c r="O51" s="705">
        <v>15051</v>
      </c>
      <c r="P51" s="705">
        <v>6669</v>
      </c>
      <c r="Q51" s="705">
        <v>2470</v>
      </c>
      <c r="R51" s="705">
        <v>90844</v>
      </c>
      <c r="S51" s="705">
        <v>82585</v>
      </c>
      <c r="T51" s="705">
        <v>44475</v>
      </c>
      <c r="U51" s="705">
        <v>16472</v>
      </c>
      <c r="V51" s="705">
        <v>522943</v>
      </c>
      <c r="W51" s="705">
        <f t="shared" si="0"/>
        <v>522943</v>
      </c>
      <c r="X51" s="705">
        <f t="shared" si="1"/>
        <v>634243</v>
      </c>
      <c r="Y51" s="705"/>
      <c r="AA51" t="s">
        <v>110</v>
      </c>
      <c r="AB51" t="s">
        <v>584</v>
      </c>
      <c r="AC51" t="s">
        <v>228</v>
      </c>
      <c r="AD51">
        <v>6</v>
      </c>
      <c r="AE51" s="705">
        <v>1167</v>
      </c>
      <c r="AF51">
        <v>539</v>
      </c>
      <c r="AG51" s="705">
        <v>53164</v>
      </c>
      <c r="AH51" s="705">
        <v>48331</v>
      </c>
      <c r="AI51">
        <v>88</v>
      </c>
      <c r="AJ51" s="705">
        <v>7364</v>
      </c>
      <c r="AK51" s="705">
        <v>6531</v>
      </c>
      <c r="AL51" s="705">
        <v>14766</v>
      </c>
      <c r="AM51" s="705">
        <v>5469</v>
      </c>
      <c r="AN51" s="705">
        <v>5322</v>
      </c>
      <c r="AO51" s="705">
        <v>1971</v>
      </c>
      <c r="AP51" s="705">
        <v>22876</v>
      </c>
      <c r="AQ51" s="705">
        <v>8472</v>
      </c>
      <c r="AR51" s="705">
        <v>0</v>
      </c>
      <c r="AS51">
        <v>0</v>
      </c>
      <c r="AT51" s="705">
        <v>70774</v>
      </c>
      <c r="AU51" s="705">
        <f t="shared" si="3"/>
        <v>70774</v>
      </c>
      <c r="AV51" s="705">
        <f t="shared" si="2"/>
        <v>103492</v>
      </c>
    </row>
    <row r="52" spans="2:48" ht="12.75" hidden="1" customHeight="1">
      <c r="B52" t="s">
        <v>527</v>
      </c>
      <c r="C52" t="s">
        <v>118</v>
      </c>
      <c r="D52" t="s">
        <v>722</v>
      </c>
      <c r="E52" t="s">
        <v>722</v>
      </c>
      <c r="F52">
        <v>1</v>
      </c>
      <c r="G52" s="705">
        <v>125</v>
      </c>
      <c r="H52" s="705">
        <v>234</v>
      </c>
      <c r="I52" s="705">
        <v>26667</v>
      </c>
      <c r="J52" s="705">
        <v>24243</v>
      </c>
      <c r="K52">
        <v>65</v>
      </c>
      <c r="L52" s="705">
        <v>3210</v>
      </c>
      <c r="M52" s="705">
        <v>2918</v>
      </c>
      <c r="N52" s="705">
        <v>3227</v>
      </c>
      <c r="O52" s="705">
        <v>1195</v>
      </c>
      <c r="P52" s="705">
        <v>702</v>
      </c>
      <c r="Q52" s="705">
        <v>260</v>
      </c>
      <c r="R52" s="705">
        <v>7275</v>
      </c>
      <c r="S52" s="705">
        <v>6613</v>
      </c>
      <c r="T52" s="705">
        <v>0</v>
      </c>
      <c r="U52" s="705">
        <v>0</v>
      </c>
      <c r="V52" s="705">
        <v>35229</v>
      </c>
      <c r="W52" s="705">
        <f t="shared" si="0"/>
        <v>35229</v>
      </c>
      <c r="X52" s="705">
        <f t="shared" si="1"/>
        <v>41081</v>
      </c>
      <c r="Y52" s="705"/>
      <c r="AA52" t="s">
        <v>110</v>
      </c>
      <c r="AB52" t="s">
        <v>584</v>
      </c>
      <c r="AC52" t="s">
        <v>584</v>
      </c>
      <c r="AD52">
        <v>581</v>
      </c>
      <c r="AE52" s="705">
        <v>113747</v>
      </c>
      <c r="AF52" s="705">
        <v>52988</v>
      </c>
      <c r="AG52" s="705">
        <v>5334512</v>
      </c>
      <c r="AH52" s="705">
        <v>4849556</v>
      </c>
      <c r="AI52">
        <v>91</v>
      </c>
      <c r="AJ52" s="705">
        <v>811871</v>
      </c>
      <c r="AK52" s="705">
        <v>728076</v>
      </c>
      <c r="AL52" s="705">
        <v>1655162</v>
      </c>
      <c r="AM52" s="705">
        <v>613023</v>
      </c>
      <c r="AN52" s="705">
        <v>467179</v>
      </c>
      <c r="AO52" s="705">
        <v>173029</v>
      </c>
      <c r="AP52" s="705">
        <v>2269344</v>
      </c>
      <c r="AQ52" s="705">
        <v>2063040</v>
      </c>
      <c r="AR52" s="705">
        <v>31589</v>
      </c>
      <c r="AS52" s="705">
        <v>11700</v>
      </c>
      <c r="AT52" s="705">
        <v>8438424</v>
      </c>
      <c r="AU52" s="705">
        <f t="shared" si="3"/>
        <v>8438424</v>
      </c>
      <c r="AV52" s="705">
        <f t="shared" si="2"/>
        <v>10569657</v>
      </c>
    </row>
    <row r="53" spans="2:48" ht="12.75" hidden="1" customHeight="1">
      <c r="B53" t="s">
        <v>527</v>
      </c>
      <c r="C53" t="s">
        <v>118</v>
      </c>
      <c r="D53" t="s">
        <v>585</v>
      </c>
      <c r="E53" t="s">
        <v>585</v>
      </c>
      <c r="F53">
        <v>3</v>
      </c>
      <c r="G53" s="705">
        <v>512</v>
      </c>
      <c r="H53" s="705">
        <v>729</v>
      </c>
      <c r="I53" s="705">
        <v>85553</v>
      </c>
      <c r="J53" s="705">
        <v>77776</v>
      </c>
      <c r="K53">
        <v>63</v>
      </c>
      <c r="L53" s="705">
        <v>15163</v>
      </c>
      <c r="M53" s="705">
        <v>13785</v>
      </c>
      <c r="N53" s="705">
        <v>14005</v>
      </c>
      <c r="O53" s="705">
        <v>5187</v>
      </c>
      <c r="P53" s="705">
        <v>1674</v>
      </c>
      <c r="Q53" s="705">
        <v>620</v>
      </c>
      <c r="R53" s="705">
        <v>20330</v>
      </c>
      <c r="S53" s="705">
        <v>18482</v>
      </c>
      <c r="T53" s="705">
        <v>5925</v>
      </c>
      <c r="U53" s="705">
        <v>2195</v>
      </c>
      <c r="V53" s="705">
        <v>118044</v>
      </c>
      <c r="W53" s="705">
        <f t="shared" si="0"/>
        <v>118045</v>
      </c>
      <c r="X53" s="705">
        <f t="shared" si="1"/>
        <v>142650</v>
      </c>
      <c r="Y53" s="705"/>
      <c r="AA53" t="s">
        <v>110</v>
      </c>
      <c r="AB53" t="s">
        <v>584</v>
      </c>
      <c r="AC53" t="s">
        <v>673</v>
      </c>
      <c r="AD53">
        <v>1</v>
      </c>
      <c r="AE53">
        <v>110</v>
      </c>
      <c r="AF53">
        <v>95</v>
      </c>
      <c r="AG53" s="705">
        <v>4251</v>
      </c>
      <c r="AH53" s="705">
        <v>3865</v>
      </c>
      <c r="AI53">
        <v>91</v>
      </c>
      <c r="AJ53" s="705">
        <v>1362</v>
      </c>
      <c r="AK53" s="705">
        <v>1238</v>
      </c>
      <c r="AL53" s="705">
        <v>1340</v>
      </c>
      <c r="AM53" s="705">
        <v>496</v>
      </c>
      <c r="AN53" s="705">
        <v>473</v>
      </c>
      <c r="AO53">
        <v>175</v>
      </c>
      <c r="AP53" s="705">
        <v>3048</v>
      </c>
      <c r="AQ53" s="705">
        <v>2770</v>
      </c>
      <c r="AR53">
        <v>0</v>
      </c>
      <c r="AS53">
        <v>0</v>
      </c>
      <c r="AT53" s="705">
        <v>8545</v>
      </c>
      <c r="AU53" s="705">
        <f t="shared" si="3"/>
        <v>8544</v>
      </c>
      <c r="AV53" s="705">
        <f t="shared" si="2"/>
        <v>10474</v>
      </c>
    </row>
    <row r="54" spans="2:48" ht="12.75" hidden="1" customHeight="1">
      <c r="B54" t="s">
        <v>527</v>
      </c>
      <c r="C54" t="s">
        <v>120</v>
      </c>
      <c r="D54" t="s">
        <v>674</v>
      </c>
      <c r="E54" t="s">
        <v>674</v>
      </c>
      <c r="F54">
        <v>2</v>
      </c>
      <c r="G54" s="705">
        <v>180</v>
      </c>
      <c r="H54" s="705">
        <v>727</v>
      </c>
      <c r="I54" s="705">
        <v>41403</v>
      </c>
      <c r="J54" s="705">
        <v>37639</v>
      </c>
      <c r="K54">
        <v>60</v>
      </c>
      <c r="L54" s="705">
        <v>1971</v>
      </c>
      <c r="M54" s="705">
        <v>6618</v>
      </c>
      <c r="N54" s="705">
        <v>2741</v>
      </c>
      <c r="O54" s="705">
        <v>1015</v>
      </c>
      <c r="P54" s="705">
        <v>702</v>
      </c>
      <c r="Q54" s="705">
        <v>260</v>
      </c>
      <c r="R54" s="705">
        <v>11105</v>
      </c>
      <c r="S54" s="705">
        <v>10096</v>
      </c>
      <c r="T54" s="705">
        <v>7537</v>
      </c>
      <c r="U54" s="705">
        <v>2791</v>
      </c>
      <c r="V54" s="705">
        <v>58420</v>
      </c>
      <c r="W54" s="705">
        <f t="shared" si="0"/>
        <v>58419</v>
      </c>
      <c r="X54" s="705">
        <f t="shared" si="1"/>
        <v>65459</v>
      </c>
      <c r="Y54" s="705"/>
      <c r="AA54" t="s">
        <v>110</v>
      </c>
      <c r="AB54" t="s">
        <v>669</v>
      </c>
      <c r="AC54" t="s">
        <v>228</v>
      </c>
      <c r="AD54" s="705">
        <v>2</v>
      </c>
      <c r="AE54" s="705">
        <v>405</v>
      </c>
      <c r="AF54" s="705">
        <v>171</v>
      </c>
      <c r="AG54" s="705">
        <v>5764</v>
      </c>
      <c r="AH54" s="705">
        <v>4803</v>
      </c>
      <c r="AI54">
        <v>248</v>
      </c>
      <c r="AJ54" s="705">
        <v>1017</v>
      </c>
      <c r="AK54" s="705">
        <v>283</v>
      </c>
      <c r="AL54" s="705">
        <v>6233</v>
      </c>
      <c r="AM54" s="705">
        <v>2309</v>
      </c>
      <c r="AN54" s="705">
        <v>3836</v>
      </c>
      <c r="AO54" s="705">
        <v>1421</v>
      </c>
      <c r="AP54" s="705">
        <v>18713</v>
      </c>
      <c r="AQ54" s="705">
        <v>6931</v>
      </c>
      <c r="AR54" s="705">
        <v>0</v>
      </c>
      <c r="AS54" s="705">
        <v>0</v>
      </c>
      <c r="AT54" s="705">
        <v>15746</v>
      </c>
      <c r="AU54" s="705">
        <f t="shared" si="3"/>
        <v>15747</v>
      </c>
      <c r="AV54" s="705">
        <f t="shared" si="2"/>
        <v>35563</v>
      </c>
    </row>
    <row r="55" spans="2:48" ht="12.75" hidden="1" customHeight="1">
      <c r="B55" t="s">
        <v>527</v>
      </c>
      <c r="C55" t="s">
        <v>120</v>
      </c>
      <c r="D55" t="s">
        <v>664</v>
      </c>
      <c r="E55" t="s">
        <v>664</v>
      </c>
      <c r="F55">
        <v>1</v>
      </c>
      <c r="G55" s="705">
        <v>46</v>
      </c>
      <c r="H55" s="705">
        <v>342</v>
      </c>
      <c r="I55" s="705">
        <v>11201</v>
      </c>
      <c r="J55" s="705">
        <v>10182</v>
      </c>
      <c r="K55">
        <v>92</v>
      </c>
      <c r="L55" s="705">
        <v>1819</v>
      </c>
      <c r="M55" s="705">
        <v>1654</v>
      </c>
      <c r="N55" s="705">
        <v>563</v>
      </c>
      <c r="O55" s="705">
        <v>209</v>
      </c>
      <c r="P55" s="705">
        <v>473</v>
      </c>
      <c r="Q55" s="705">
        <v>175</v>
      </c>
      <c r="R55" s="705">
        <v>1755</v>
      </c>
      <c r="S55" s="705">
        <v>1595</v>
      </c>
      <c r="T55" s="705">
        <v>0</v>
      </c>
      <c r="U55" s="705">
        <v>0</v>
      </c>
      <c r="V55" s="705">
        <v>13815</v>
      </c>
      <c r="W55" s="705">
        <f t="shared" si="0"/>
        <v>13815</v>
      </c>
      <c r="X55" s="705">
        <f t="shared" si="1"/>
        <v>15811</v>
      </c>
      <c r="Y55" s="705"/>
      <c r="AA55" t="s">
        <v>110</v>
      </c>
      <c r="AB55" t="s">
        <v>665</v>
      </c>
      <c r="AC55" t="s">
        <v>228</v>
      </c>
      <c r="AD55">
        <v>1</v>
      </c>
      <c r="AE55" s="705">
        <v>160</v>
      </c>
      <c r="AF55" s="705">
        <v>97</v>
      </c>
      <c r="AG55" s="705">
        <v>6648</v>
      </c>
      <c r="AH55" s="705">
        <v>6044</v>
      </c>
      <c r="AI55">
        <v>79</v>
      </c>
      <c r="AJ55" s="705">
        <v>0</v>
      </c>
      <c r="AK55" s="705">
        <v>0</v>
      </c>
      <c r="AL55" s="705">
        <v>1951</v>
      </c>
      <c r="AM55" s="705">
        <v>723</v>
      </c>
      <c r="AN55" s="705">
        <v>0</v>
      </c>
      <c r="AO55" s="705">
        <v>0</v>
      </c>
      <c r="AP55" s="705">
        <v>6911</v>
      </c>
      <c r="AQ55" s="705">
        <v>2560</v>
      </c>
      <c r="AR55" s="705">
        <v>0</v>
      </c>
      <c r="AS55">
        <v>0</v>
      </c>
      <c r="AT55" s="705">
        <v>9326</v>
      </c>
      <c r="AU55" s="705">
        <f t="shared" si="3"/>
        <v>9327</v>
      </c>
      <c r="AV55" s="705">
        <f t="shared" si="2"/>
        <v>15510</v>
      </c>
    </row>
    <row r="56" spans="2:48" ht="12.75" hidden="1" customHeight="1">
      <c r="B56" t="s">
        <v>527</v>
      </c>
      <c r="C56" t="s">
        <v>120</v>
      </c>
      <c r="D56" t="s">
        <v>582</v>
      </c>
      <c r="E56" t="s">
        <v>582</v>
      </c>
      <c r="F56">
        <v>3</v>
      </c>
      <c r="G56">
        <v>332</v>
      </c>
      <c r="H56" s="705">
        <v>1021</v>
      </c>
      <c r="I56" s="705">
        <v>88566</v>
      </c>
      <c r="J56" s="705">
        <v>80515</v>
      </c>
      <c r="K56">
        <v>84</v>
      </c>
      <c r="L56" s="705">
        <v>18727</v>
      </c>
      <c r="M56" s="705">
        <v>17024</v>
      </c>
      <c r="N56" s="705">
        <v>6281</v>
      </c>
      <c r="O56" s="705">
        <v>2326</v>
      </c>
      <c r="P56" s="705">
        <v>1418</v>
      </c>
      <c r="Q56" s="705">
        <v>525</v>
      </c>
      <c r="R56" s="705">
        <v>14229</v>
      </c>
      <c r="S56" s="705">
        <v>12936</v>
      </c>
      <c r="T56" s="705">
        <v>4078</v>
      </c>
      <c r="U56" s="705">
        <v>1511</v>
      </c>
      <c r="V56" s="705">
        <v>114837</v>
      </c>
      <c r="W56" s="705">
        <f t="shared" si="0"/>
        <v>114837</v>
      </c>
      <c r="X56" s="705">
        <f t="shared" si="1"/>
        <v>133299</v>
      </c>
      <c r="Y56" s="705"/>
      <c r="AA56" t="s">
        <v>110</v>
      </c>
      <c r="AB56" t="s">
        <v>665</v>
      </c>
      <c r="AC56" t="s">
        <v>665</v>
      </c>
      <c r="AD56">
        <v>2</v>
      </c>
      <c r="AE56" s="705">
        <v>535</v>
      </c>
      <c r="AF56" s="705">
        <v>183</v>
      </c>
      <c r="AG56" s="705">
        <v>22392</v>
      </c>
      <c r="AH56" s="705">
        <v>20356</v>
      </c>
      <c r="AI56">
        <v>74</v>
      </c>
      <c r="AJ56" s="705">
        <v>3573</v>
      </c>
      <c r="AK56" s="705">
        <v>1920</v>
      </c>
      <c r="AL56" s="705">
        <v>6516</v>
      </c>
      <c r="AM56" s="705">
        <v>2413</v>
      </c>
      <c r="AN56" s="705">
        <v>3293</v>
      </c>
      <c r="AO56" s="705">
        <v>1220</v>
      </c>
      <c r="AP56" s="705">
        <v>9117</v>
      </c>
      <c r="AQ56" s="705">
        <v>8289</v>
      </c>
      <c r="AR56" s="705">
        <v>4547</v>
      </c>
      <c r="AS56" s="705">
        <v>1684</v>
      </c>
      <c r="AT56" s="705">
        <v>35882</v>
      </c>
      <c r="AU56" s="705">
        <f t="shared" si="3"/>
        <v>35882</v>
      </c>
      <c r="AV56" s="705">
        <f t="shared" si="2"/>
        <v>49438</v>
      </c>
    </row>
    <row r="57" spans="2:48" ht="12.75" hidden="1" customHeight="1">
      <c r="B57" t="s">
        <v>527</v>
      </c>
      <c r="C57" t="s">
        <v>120</v>
      </c>
      <c r="D57" t="s">
        <v>228</v>
      </c>
      <c r="E57" t="s">
        <v>228</v>
      </c>
      <c r="F57">
        <v>6</v>
      </c>
      <c r="G57">
        <v>621</v>
      </c>
      <c r="H57" s="705">
        <v>2057</v>
      </c>
      <c r="I57" s="705">
        <v>135819</v>
      </c>
      <c r="J57" s="705">
        <v>50304</v>
      </c>
      <c r="K57">
        <v>100</v>
      </c>
      <c r="L57" s="705">
        <v>23210</v>
      </c>
      <c r="M57" s="705">
        <v>17848</v>
      </c>
      <c r="N57" s="705">
        <v>13275</v>
      </c>
      <c r="O57" s="705">
        <v>4917</v>
      </c>
      <c r="P57" s="705">
        <v>0</v>
      </c>
      <c r="Q57">
        <v>0</v>
      </c>
      <c r="R57" s="705">
        <v>41411</v>
      </c>
      <c r="S57" s="705">
        <v>15338</v>
      </c>
      <c r="T57" s="705">
        <v>0</v>
      </c>
      <c r="U57">
        <v>0</v>
      </c>
      <c r="V57" s="705">
        <v>88405</v>
      </c>
      <c r="W57" s="705">
        <f t="shared" si="0"/>
        <v>88407</v>
      </c>
      <c r="X57" s="705">
        <f t="shared" si="1"/>
        <v>213715</v>
      </c>
      <c r="Y57" s="705"/>
      <c r="AA57" t="s">
        <v>110</v>
      </c>
      <c r="AB57" t="s">
        <v>722</v>
      </c>
      <c r="AC57" t="s">
        <v>722</v>
      </c>
      <c r="AD57">
        <v>3</v>
      </c>
      <c r="AE57" s="705">
        <v>1004</v>
      </c>
      <c r="AF57">
        <v>284</v>
      </c>
      <c r="AG57" s="705">
        <v>48244</v>
      </c>
      <c r="AH57" s="705">
        <v>43859</v>
      </c>
      <c r="AI57">
        <v>90</v>
      </c>
      <c r="AJ57" s="705">
        <v>8287</v>
      </c>
      <c r="AK57" s="705">
        <v>7534</v>
      </c>
      <c r="AL57" s="705">
        <v>14204</v>
      </c>
      <c r="AM57" s="705">
        <v>5261</v>
      </c>
      <c r="AN57" s="705">
        <v>5482</v>
      </c>
      <c r="AO57" s="705">
        <v>2031</v>
      </c>
      <c r="AP57" s="705">
        <v>19396</v>
      </c>
      <c r="AQ57" s="705">
        <v>17633</v>
      </c>
      <c r="AR57">
        <v>0</v>
      </c>
      <c r="AS57">
        <v>0</v>
      </c>
      <c r="AT57" s="705">
        <v>76316</v>
      </c>
      <c r="AU57" s="705">
        <f t="shared" si="3"/>
        <v>76318</v>
      </c>
      <c r="AV57" s="705">
        <f t="shared" si="2"/>
        <v>95613</v>
      </c>
    </row>
    <row r="58" spans="2:48" ht="12.75" hidden="1" customHeight="1">
      <c r="B58" t="s">
        <v>527</v>
      </c>
      <c r="C58" t="s">
        <v>120</v>
      </c>
      <c r="D58" t="s">
        <v>583</v>
      </c>
      <c r="E58" t="s">
        <v>674</v>
      </c>
      <c r="F58">
        <v>1</v>
      </c>
      <c r="G58" s="705">
        <v>82</v>
      </c>
      <c r="H58" s="705">
        <v>312</v>
      </c>
      <c r="I58" s="705">
        <v>15446</v>
      </c>
      <c r="J58" s="705">
        <v>14041</v>
      </c>
      <c r="K58">
        <v>70</v>
      </c>
      <c r="L58" s="705">
        <v>1756</v>
      </c>
      <c r="M58" s="705">
        <v>1596</v>
      </c>
      <c r="N58" s="705">
        <v>1499</v>
      </c>
      <c r="O58" s="705">
        <v>555</v>
      </c>
      <c r="P58" s="705">
        <v>621</v>
      </c>
      <c r="Q58" s="705">
        <v>230</v>
      </c>
      <c r="R58" s="705">
        <v>3822</v>
      </c>
      <c r="S58" s="705">
        <v>3475</v>
      </c>
      <c r="T58" s="705">
        <v>2460</v>
      </c>
      <c r="U58" s="705">
        <v>911</v>
      </c>
      <c r="V58" s="705">
        <v>20808</v>
      </c>
      <c r="W58" s="705">
        <f t="shared" si="0"/>
        <v>20808</v>
      </c>
      <c r="X58" s="705">
        <f t="shared" si="1"/>
        <v>25604</v>
      </c>
      <c r="Y58" s="705"/>
      <c r="AA58" t="s">
        <v>110</v>
      </c>
      <c r="AB58" t="s">
        <v>673</v>
      </c>
      <c r="AC58" t="s">
        <v>228</v>
      </c>
      <c r="AD58">
        <v>2</v>
      </c>
      <c r="AE58" s="705">
        <v>430</v>
      </c>
      <c r="AF58" s="705">
        <v>178</v>
      </c>
      <c r="AG58" s="705">
        <v>10798</v>
      </c>
      <c r="AH58" s="705">
        <v>9816</v>
      </c>
      <c r="AI58">
        <v>80</v>
      </c>
      <c r="AJ58" s="705">
        <v>1897</v>
      </c>
      <c r="AK58" s="705">
        <v>972</v>
      </c>
      <c r="AL58" s="705">
        <v>5393</v>
      </c>
      <c r="AM58" s="705">
        <v>1998</v>
      </c>
      <c r="AN58" s="705">
        <v>4494</v>
      </c>
      <c r="AO58" s="705">
        <v>1665</v>
      </c>
      <c r="AP58" s="705">
        <v>15375</v>
      </c>
      <c r="AQ58" s="705">
        <v>5694</v>
      </c>
      <c r="AR58">
        <v>0</v>
      </c>
      <c r="AS58">
        <v>0</v>
      </c>
      <c r="AT58" s="705">
        <v>20144</v>
      </c>
      <c r="AU58" s="705">
        <f t="shared" si="3"/>
        <v>20145</v>
      </c>
      <c r="AV58" s="705">
        <f t="shared" si="2"/>
        <v>37957</v>
      </c>
    </row>
    <row r="59" spans="2:48" ht="12.75" hidden="1" customHeight="1">
      <c r="B59" t="s">
        <v>527</v>
      </c>
      <c r="C59" t="s">
        <v>120</v>
      </c>
      <c r="D59" t="s">
        <v>583</v>
      </c>
      <c r="E59" t="s">
        <v>228</v>
      </c>
      <c r="F59">
        <v>2</v>
      </c>
      <c r="G59" s="705">
        <v>274</v>
      </c>
      <c r="H59" s="705">
        <v>653</v>
      </c>
      <c r="I59" s="705">
        <v>47773</v>
      </c>
      <c r="J59" s="705">
        <v>43430</v>
      </c>
      <c r="K59">
        <v>63</v>
      </c>
      <c r="L59" s="705">
        <v>7700</v>
      </c>
      <c r="M59" s="705">
        <v>7000</v>
      </c>
      <c r="N59" s="705">
        <v>6154</v>
      </c>
      <c r="O59" s="705">
        <v>2279</v>
      </c>
      <c r="P59" s="705">
        <v>1242</v>
      </c>
      <c r="Q59" s="705">
        <v>460</v>
      </c>
      <c r="R59" s="705">
        <v>26282</v>
      </c>
      <c r="S59" s="705">
        <v>9734</v>
      </c>
      <c r="T59" s="705">
        <v>0</v>
      </c>
      <c r="U59" s="705">
        <v>0</v>
      </c>
      <c r="V59" s="705">
        <v>62903</v>
      </c>
      <c r="W59" s="705">
        <f t="shared" si="0"/>
        <v>62903</v>
      </c>
      <c r="X59" s="705">
        <f t="shared" si="1"/>
        <v>89151</v>
      </c>
      <c r="Y59" s="705"/>
      <c r="AA59" t="s">
        <v>110</v>
      </c>
      <c r="AB59" t="s">
        <v>673</v>
      </c>
      <c r="AC59" t="s">
        <v>673</v>
      </c>
      <c r="AD59" s="705">
        <v>7</v>
      </c>
      <c r="AE59" s="705">
        <v>1928</v>
      </c>
      <c r="AF59" s="705">
        <v>621</v>
      </c>
      <c r="AG59" s="705">
        <v>79690</v>
      </c>
      <c r="AH59" s="705">
        <v>72445</v>
      </c>
      <c r="AI59">
        <v>79</v>
      </c>
      <c r="AJ59" s="705">
        <v>5777</v>
      </c>
      <c r="AK59" s="705">
        <v>7294</v>
      </c>
      <c r="AL59" s="705">
        <v>26938</v>
      </c>
      <c r="AM59" s="705">
        <v>9977</v>
      </c>
      <c r="AN59" s="705">
        <v>18349</v>
      </c>
      <c r="AO59" s="705">
        <v>6796</v>
      </c>
      <c r="AP59" s="705">
        <v>37423</v>
      </c>
      <c r="AQ59" s="705">
        <v>34021</v>
      </c>
      <c r="AR59" s="705">
        <v>5138</v>
      </c>
      <c r="AS59" s="705">
        <v>1903</v>
      </c>
      <c r="AT59" s="705">
        <v>132436</v>
      </c>
      <c r="AU59" s="705">
        <f t="shared" si="3"/>
        <v>132436</v>
      </c>
      <c r="AV59" s="705">
        <f t="shared" si="2"/>
        <v>173315</v>
      </c>
    </row>
    <row r="60" spans="2:48" ht="12.75" hidden="1" customHeight="1">
      <c r="B60" t="s">
        <v>527</v>
      </c>
      <c r="C60" t="s">
        <v>120</v>
      </c>
      <c r="D60" t="s">
        <v>583</v>
      </c>
      <c r="E60" t="s">
        <v>583</v>
      </c>
      <c r="F60">
        <v>332</v>
      </c>
      <c r="G60" s="705">
        <v>40359</v>
      </c>
      <c r="H60" s="705">
        <v>112712</v>
      </c>
      <c r="I60" s="705">
        <v>8810455</v>
      </c>
      <c r="J60" s="705">
        <v>8009504</v>
      </c>
      <c r="K60">
        <v>76</v>
      </c>
      <c r="L60" s="705">
        <v>1704398</v>
      </c>
      <c r="M60" s="705">
        <v>1505564</v>
      </c>
      <c r="N60" s="705">
        <v>829662</v>
      </c>
      <c r="O60" s="705">
        <v>307282</v>
      </c>
      <c r="P60" s="705">
        <v>213399</v>
      </c>
      <c r="Q60" s="705">
        <v>79037</v>
      </c>
      <c r="R60" s="705">
        <v>1805256</v>
      </c>
      <c r="S60" s="705">
        <v>1641142</v>
      </c>
      <c r="T60" s="705">
        <v>499222</v>
      </c>
      <c r="U60" s="705">
        <v>184897</v>
      </c>
      <c r="V60" s="705">
        <v>11727426</v>
      </c>
      <c r="W60" s="705">
        <f t="shared" si="0"/>
        <v>11727426</v>
      </c>
      <c r="X60" s="705">
        <f t="shared" si="1"/>
        <v>13862392</v>
      </c>
      <c r="Y60" s="705"/>
      <c r="AA60" t="s">
        <v>110</v>
      </c>
      <c r="AB60" t="s">
        <v>585</v>
      </c>
      <c r="AC60" t="s">
        <v>585</v>
      </c>
      <c r="AD60">
        <v>35</v>
      </c>
      <c r="AE60" s="705">
        <v>8014</v>
      </c>
      <c r="AF60" s="705">
        <v>3203</v>
      </c>
      <c r="AG60" s="705">
        <v>416128</v>
      </c>
      <c r="AH60" s="705">
        <v>378298</v>
      </c>
      <c r="AI60">
        <v>89</v>
      </c>
      <c r="AJ60" s="705">
        <v>51146</v>
      </c>
      <c r="AK60" s="705">
        <v>51019</v>
      </c>
      <c r="AL60" s="705">
        <v>128708</v>
      </c>
      <c r="AM60" s="705">
        <v>47670</v>
      </c>
      <c r="AN60" s="705">
        <v>44933</v>
      </c>
      <c r="AO60" s="705">
        <v>16642</v>
      </c>
      <c r="AP60" s="705">
        <v>124385</v>
      </c>
      <c r="AQ60" s="705">
        <v>113078</v>
      </c>
      <c r="AR60">
        <v>685</v>
      </c>
      <c r="AS60">
        <v>254</v>
      </c>
      <c r="AT60" s="705">
        <v>606961</v>
      </c>
      <c r="AU60" s="705">
        <f t="shared" si="3"/>
        <v>606961</v>
      </c>
      <c r="AV60" s="705">
        <f t="shared" si="2"/>
        <v>765985</v>
      </c>
    </row>
    <row r="61" spans="2:48" ht="12.75" hidden="1" customHeight="1">
      <c r="B61" t="s">
        <v>527</v>
      </c>
      <c r="C61" t="s">
        <v>120</v>
      </c>
      <c r="D61" t="s">
        <v>583</v>
      </c>
      <c r="E61" t="s">
        <v>665</v>
      </c>
      <c r="F61">
        <v>4</v>
      </c>
      <c r="G61" s="705">
        <v>588</v>
      </c>
      <c r="H61" s="705">
        <v>1413</v>
      </c>
      <c r="I61" s="705">
        <v>140383</v>
      </c>
      <c r="J61" s="705">
        <v>127621</v>
      </c>
      <c r="K61">
        <v>71</v>
      </c>
      <c r="L61" s="705">
        <v>20446</v>
      </c>
      <c r="M61" s="705">
        <v>18587</v>
      </c>
      <c r="N61" s="705">
        <v>11894</v>
      </c>
      <c r="O61" s="705">
        <v>4405</v>
      </c>
      <c r="P61" s="705">
        <v>2835</v>
      </c>
      <c r="Q61" s="705">
        <v>1050</v>
      </c>
      <c r="R61" s="705">
        <v>26699</v>
      </c>
      <c r="S61" s="705">
        <v>24272</v>
      </c>
      <c r="T61" s="705">
        <v>6184</v>
      </c>
      <c r="U61" s="705">
        <v>2290</v>
      </c>
      <c r="V61" s="705">
        <v>178226</v>
      </c>
      <c r="W61" s="705">
        <f t="shared" si="0"/>
        <v>178225</v>
      </c>
      <c r="X61" s="705">
        <f t="shared" si="1"/>
        <v>208441</v>
      </c>
      <c r="Y61" s="705"/>
      <c r="AA61" t="s">
        <v>110</v>
      </c>
      <c r="AB61" t="s">
        <v>668</v>
      </c>
      <c r="AC61" t="s">
        <v>668</v>
      </c>
      <c r="AD61">
        <v>2</v>
      </c>
      <c r="AE61" s="705">
        <v>318</v>
      </c>
      <c r="AF61" s="705">
        <v>180</v>
      </c>
      <c r="AG61" s="705">
        <v>15266</v>
      </c>
      <c r="AH61" s="705">
        <v>13878</v>
      </c>
      <c r="AI61">
        <v>89</v>
      </c>
      <c r="AJ61" s="705">
        <v>0</v>
      </c>
      <c r="AK61" s="705">
        <v>0</v>
      </c>
      <c r="AL61" s="705">
        <v>4065</v>
      </c>
      <c r="AM61" s="705">
        <v>1506</v>
      </c>
      <c r="AN61" s="705">
        <v>2000</v>
      </c>
      <c r="AO61" s="705">
        <v>741</v>
      </c>
      <c r="AP61" s="705">
        <v>7186</v>
      </c>
      <c r="AQ61" s="705">
        <v>6533</v>
      </c>
      <c r="AR61" s="705">
        <v>0</v>
      </c>
      <c r="AS61" s="705">
        <v>0</v>
      </c>
      <c r="AT61" s="705">
        <v>22657</v>
      </c>
      <c r="AU61" s="705">
        <f t="shared" si="3"/>
        <v>22658</v>
      </c>
      <c r="AV61" s="705">
        <f t="shared" si="2"/>
        <v>28517</v>
      </c>
    </row>
    <row r="62" spans="2:48" hidden="1">
      <c r="B62" t="s">
        <v>527</v>
      </c>
      <c r="C62" t="s">
        <v>120</v>
      </c>
      <c r="D62" t="s">
        <v>666</v>
      </c>
      <c r="E62" t="s">
        <v>228</v>
      </c>
      <c r="F62">
        <v>1</v>
      </c>
      <c r="G62">
        <v>181</v>
      </c>
      <c r="H62" s="705">
        <v>348</v>
      </c>
      <c r="I62" s="705">
        <v>47015</v>
      </c>
      <c r="J62" s="705">
        <v>42741</v>
      </c>
      <c r="K62">
        <v>45</v>
      </c>
      <c r="L62" s="705">
        <v>2351</v>
      </c>
      <c r="M62" s="705">
        <v>2137</v>
      </c>
      <c r="N62" s="705">
        <v>4338</v>
      </c>
      <c r="O62" s="705">
        <v>1607</v>
      </c>
      <c r="P62" s="705">
        <v>351</v>
      </c>
      <c r="Q62">
        <v>130</v>
      </c>
      <c r="R62" s="705">
        <v>14719</v>
      </c>
      <c r="S62" s="705">
        <v>5451</v>
      </c>
      <c r="T62" s="705">
        <v>0</v>
      </c>
      <c r="U62" s="705">
        <v>0</v>
      </c>
      <c r="V62" s="705">
        <v>52066</v>
      </c>
      <c r="W62" s="705">
        <f t="shared" si="0"/>
        <v>52066</v>
      </c>
      <c r="X62" s="705">
        <f t="shared" si="1"/>
        <v>68774</v>
      </c>
      <c r="Y62" s="705"/>
      <c r="AA62" t="s">
        <v>112</v>
      </c>
      <c r="AD62">
        <v>4</v>
      </c>
      <c r="AE62">
        <v>479</v>
      </c>
      <c r="AF62">
        <v>453</v>
      </c>
      <c r="AG62" s="705"/>
      <c r="AH62" s="705">
        <v>0</v>
      </c>
      <c r="AJ62" s="705"/>
      <c r="AK62" s="705">
        <v>0</v>
      </c>
      <c r="AL62" s="705">
        <v>7664</v>
      </c>
      <c r="AM62" s="705">
        <v>2838</v>
      </c>
      <c r="AN62" s="705">
        <v>1404</v>
      </c>
      <c r="AO62">
        <v>520</v>
      </c>
      <c r="AP62" s="705"/>
      <c r="AQ62" s="705">
        <v>0</v>
      </c>
      <c r="AR62" s="705">
        <v>0</v>
      </c>
      <c r="AS62" s="705">
        <v>0</v>
      </c>
      <c r="AT62" s="705">
        <v>3358</v>
      </c>
      <c r="AU62" s="705">
        <f t="shared" si="3"/>
        <v>3358</v>
      </c>
      <c r="AV62" s="705">
        <f t="shared" si="2"/>
        <v>9068</v>
      </c>
    </row>
    <row r="63" spans="2:48" ht="12.75" hidden="1" customHeight="1">
      <c r="B63" t="s">
        <v>527</v>
      </c>
      <c r="C63" t="s">
        <v>120</v>
      </c>
      <c r="D63" t="s">
        <v>666</v>
      </c>
      <c r="E63" t="s">
        <v>666</v>
      </c>
      <c r="F63">
        <v>3</v>
      </c>
      <c r="G63" s="705">
        <v>373</v>
      </c>
      <c r="H63" s="705">
        <v>1041</v>
      </c>
      <c r="I63" s="705">
        <v>77297</v>
      </c>
      <c r="J63" s="705">
        <v>70270</v>
      </c>
      <c r="K63">
        <v>58</v>
      </c>
      <c r="L63" s="705">
        <v>16704</v>
      </c>
      <c r="M63" s="705">
        <v>15186</v>
      </c>
      <c r="N63" s="705">
        <v>8010</v>
      </c>
      <c r="O63" s="705">
        <v>2967</v>
      </c>
      <c r="P63" s="705">
        <v>1053</v>
      </c>
      <c r="Q63" s="705">
        <v>390</v>
      </c>
      <c r="R63" s="705">
        <v>23985</v>
      </c>
      <c r="S63" s="705">
        <v>21804</v>
      </c>
      <c r="T63" s="705">
        <v>2260</v>
      </c>
      <c r="U63" s="705">
        <v>837</v>
      </c>
      <c r="V63" s="705">
        <v>111454</v>
      </c>
      <c r="W63" s="705">
        <f t="shared" si="0"/>
        <v>111454</v>
      </c>
      <c r="X63" s="705">
        <f t="shared" si="1"/>
        <v>129309</v>
      </c>
      <c r="Y63" s="705"/>
      <c r="AA63" t="s">
        <v>112</v>
      </c>
      <c r="AB63" t="s">
        <v>664</v>
      </c>
      <c r="AC63" t="s">
        <v>664</v>
      </c>
      <c r="AD63">
        <v>12</v>
      </c>
      <c r="AE63" s="705">
        <v>2664</v>
      </c>
      <c r="AF63" s="705">
        <v>1381</v>
      </c>
      <c r="AG63" s="705">
        <v>173262</v>
      </c>
      <c r="AH63" s="705">
        <v>157511</v>
      </c>
      <c r="AI63">
        <v>91</v>
      </c>
      <c r="AJ63" s="705">
        <v>22755</v>
      </c>
      <c r="AK63" s="705">
        <v>20687</v>
      </c>
      <c r="AL63" s="705">
        <v>53240</v>
      </c>
      <c r="AM63" s="705">
        <v>19718</v>
      </c>
      <c r="AN63" s="705">
        <v>7304</v>
      </c>
      <c r="AO63" s="705">
        <v>2705</v>
      </c>
      <c r="AP63" s="705">
        <v>60974</v>
      </c>
      <c r="AQ63" s="705">
        <v>55431</v>
      </c>
      <c r="AR63">
        <v>0</v>
      </c>
      <c r="AS63">
        <v>0</v>
      </c>
      <c r="AT63" s="705">
        <v>256052</v>
      </c>
      <c r="AU63" s="705">
        <f t="shared" si="3"/>
        <v>256052</v>
      </c>
      <c r="AV63" s="705">
        <f t="shared" si="2"/>
        <v>317535</v>
      </c>
    </row>
    <row r="64" spans="2:48" ht="12.75" hidden="1" customHeight="1">
      <c r="B64" t="s">
        <v>527</v>
      </c>
      <c r="C64" t="s">
        <v>120</v>
      </c>
      <c r="D64" t="s">
        <v>584</v>
      </c>
      <c r="E64" t="s">
        <v>584</v>
      </c>
      <c r="F64">
        <v>34</v>
      </c>
      <c r="G64" s="705">
        <v>3680</v>
      </c>
      <c r="H64" s="705">
        <v>11366</v>
      </c>
      <c r="I64" s="705">
        <v>719989</v>
      </c>
      <c r="J64" s="705">
        <v>654535</v>
      </c>
      <c r="K64">
        <v>75</v>
      </c>
      <c r="L64" s="705">
        <v>210534</v>
      </c>
      <c r="M64" s="705">
        <v>184562</v>
      </c>
      <c r="N64" s="705">
        <v>74730</v>
      </c>
      <c r="O64" s="705">
        <v>27678</v>
      </c>
      <c r="P64" s="705">
        <v>16065</v>
      </c>
      <c r="Q64" s="705">
        <v>5950</v>
      </c>
      <c r="R64" s="705">
        <v>179053</v>
      </c>
      <c r="S64" s="705">
        <v>162775</v>
      </c>
      <c r="T64" s="705">
        <v>55397</v>
      </c>
      <c r="U64" s="705">
        <v>20517</v>
      </c>
      <c r="V64" s="705">
        <v>1056018</v>
      </c>
      <c r="W64" s="705">
        <f t="shared" si="0"/>
        <v>1056017</v>
      </c>
      <c r="X64" s="705">
        <f t="shared" si="1"/>
        <v>1255768</v>
      </c>
      <c r="Y64" s="705"/>
      <c r="AA64" t="s">
        <v>112</v>
      </c>
      <c r="AB64" t="s">
        <v>664</v>
      </c>
      <c r="AC64" t="s">
        <v>583</v>
      </c>
      <c r="AD64">
        <v>1</v>
      </c>
      <c r="AE64" s="705">
        <v>283</v>
      </c>
      <c r="AF64" s="705">
        <v>125</v>
      </c>
      <c r="AG64" s="705">
        <v>18994</v>
      </c>
      <c r="AH64" s="705">
        <v>17268</v>
      </c>
      <c r="AI64">
        <v>85</v>
      </c>
      <c r="AJ64" s="705">
        <v>2846</v>
      </c>
      <c r="AK64" s="705">
        <v>2587</v>
      </c>
      <c r="AL64" s="705">
        <v>5168</v>
      </c>
      <c r="AM64" s="705">
        <v>1914</v>
      </c>
      <c r="AN64" s="705">
        <v>621</v>
      </c>
      <c r="AO64" s="705">
        <v>230</v>
      </c>
      <c r="AP64" s="705">
        <v>4011</v>
      </c>
      <c r="AQ64" s="705">
        <v>3646</v>
      </c>
      <c r="AR64" s="705">
        <v>3604</v>
      </c>
      <c r="AS64" s="705">
        <v>1335</v>
      </c>
      <c r="AT64" s="705">
        <v>26979</v>
      </c>
      <c r="AU64" s="705">
        <f t="shared" si="3"/>
        <v>26980</v>
      </c>
      <c r="AV64" s="705">
        <f t="shared" si="2"/>
        <v>35244</v>
      </c>
    </row>
    <row r="65" spans="2:48" ht="12.75" hidden="1" customHeight="1">
      <c r="B65" t="s">
        <v>527</v>
      </c>
      <c r="C65" t="s">
        <v>120</v>
      </c>
      <c r="D65" t="s">
        <v>669</v>
      </c>
      <c r="E65" t="s">
        <v>669</v>
      </c>
      <c r="F65">
        <v>3</v>
      </c>
      <c r="G65" s="705">
        <v>302</v>
      </c>
      <c r="H65" s="705">
        <v>1106</v>
      </c>
      <c r="I65" s="705">
        <v>64937</v>
      </c>
      <c r="J65" s="705">
        <v>54114</v>
      </c>
      <c r="K65">
        <v>58</v>
      </c>
      <c r="L65" s="705">
        <v>11767</v>
      </c>
      <c r="M65" s="705">
        <v>9806</v>
      </c>
      <c r="N65" s="705">
        <v>6229</v>
      </c>
      <c r="O65" s="705">
        <v>2307</v>
      </c>
      <c r="P65" s="705">
        <v>1053</v>
      </c>
      <c r="Q65" s="705">
        <v>390</v>
      </c>
      <c r="R65" s="705">
        <v>18396</v>
      </c>
      <c r="S65" s="705">
        <v>15330</v>
      </c>
      <c r="T65" s="705">
        <v>8399</v>
      </c>
      <c r="U65" s="705">
        <v>3111</v>
      </c>
      <c r="V65" s="705">
        <v>85057</v>
      </c>
      <c r="W65" s="705">
        <f t="shared" si="0"/>
        <v>85058</v>
      </c>
      <c r="X65" s="705">
        <f t="shared" si="1"/>
        <v>110781</v>
      </c>
      <c r="Y65" s="705"/>
      <c r="AA65" t="s">
        <v>112</v>
      </c>
      <c r="AB65" t="s">
        <v>582</v>
      </c>
      <c r="AC65" t="s">
        <v>664</v>
      </c>
      <c r="AD65">
        <v>2</v>
      </c>
      <c r="AE65">
        <v>356</v>
      </c>
      <c r="AF65">
        <v>240</v>
      </c>
      <c r="AG65" s="705">
        <v>28366</v>
      </c>
      <c r="AH65" s="705">
        <v>25787</v>
      </c>
      <c r="AI65">
        <v>91</v>
      </c>
      <c r="AJ65" s="705">
        <v>4718</v>
      </c>
      <c r="AK65" s="705">
        <v>4289</v>
      </c>
      <c r="AL65" s="705">
        <v>5484</v>
      </c>
      <c r="AM65" s="705">
        <v>2031</v>
      </c>
      <c r="AN65" s="705">
        <v>945</v>
      </c>
      <c r="AO65">
        <v>350</v>
      </c>
      <c r="AP65" s="705">
        <v>10634</v>
      </c>
      <c r="AQ65" s="705">
        <v>9667</v>
      </c>
      <c r="AR65">
        <v>0</v>
      </c>
      <c r="AS65">
        <v>0</v>
      </c>
      <c r="AT65" s="705">
        <v>42124</v>
      </c>
      <c r="AU65" s="705">
        <f t="shared" si="3"/>
        <v>42124</v>
      </c>
      <c r="AV65" s="705">
        <f t="shared" si="2"/>
        <v>50147</v>
      </c>
    </row>
    <row r="66" spans="2:48" ht="12.75" hidden="1" customHeight="1">
      <c r="B66" t="s">
        <v>527</v>
      </c>
      <c r="C66" t="s">
        <v>120</v>
      </c>
      <c r="D66" t="s">
        <v>667</v>
      </c>
      <c r="E66" t="s">
        <v>667</v>
      </c>
      <c r="F66">
        <v>2</v>
      </c>
      <c r="G66" s="705">
        <v>199</v>
      </c>
      <c r="H66" s="705">
        <v>687</v>
      </c>
      <c r="I66" s="705">
        <v>47622</v>
      </c>
      <c r="J66" s="705">
        <v>43292</v>
      </c>
      <c r="K66">
        <v>50</v>
      </c>
      <c r="L66" s="705">
        <v>9514</v>
      </c>
      <c r="M66" s="705">
        <v>6419</v>
      </c>
      <c r="N66" s="705">
        <v>5449</v>
      </c>
      <c r="O66" s="705">
        <v>2018</v>
      </c>
      <c r="P66" s="705">
        <v>351</v>
      </c>
      <c r="Q66" s="705">
        <v>130</v>
      </c>
      <c r="R66" s="705">
        <v>12427</v>
      </c>
      <c r="S66" s="705">
        <v>11297</v>
      </c>
      <c r="T66" s="705">
        <v>5316</v>
      </c>
      <c r="U66" s="705">
        <v>1969</v>
      </c>
      <c r="V66" s="705">
        <v>65125</v>
      </c>
      <c r="W66" s="705">
        <f t="shared" si="0"/>
        <v>65125</v>
      </c>
      <c r="X66" s="705">
        <f t="shared" si="1"/>
        <v>80679</v>
      </c>
      <c r="Y66" s="705"/>
      <c r="AA66" t="s">
        <v>112</v>
      </c>
      <c r="AB66" t="s">
        <v>582</v>
      </c>
      <c r="AC66" t="s">
        <v>582</v>
      </c>
      <c r="AD66">
        <v>254</v>
      </c>
      <c r="AE66" s="705">
        <v>58809</v>
      </c>
      <c r="AF66" s="705">
        <v>29539</v>
      </c>
      <c r="AG66" s="705">
        <v>3946521</v>
      </c>
      <c r="AH66" s="705">
        <v>3587747</v>
      </c>
      <c r="AI66">
        <v>91</v>
      </c>
      <c r="AJ66" s="705">
        <v>702026</v>
      </c>
      <c r="AK66" s="705">
        <v>629229</v>
      </c>
      <c r="AL66" s="705">
        <v>1082081</v>
      </c>
      <c r="AM66" s="705">
        <v>400771</v>
      </c>
      <c r="AN66" s="705">
        <v>206301</v>
      </c>
      <c r="AO66" s="705">
        <v>76408</v>
      </c>
      <c r="AP66" s="705">
        <v>1298044</v>
      </c>
      <c r="AQ66" s="705">
        <v>1180040</v>
      </c>
      <c r="AR66" s="705">
        <v>9830</v>
      </c>
      <c r="AS66" s="705">
        <v>3641</v>
      </c>
      <c r="AT66" s="705">
        <v>5877835</v>
      </c>
      <c r="AU66" s="705">
        <f t="shared" si="3"/>
        <v>5877836</v>
      </c>
      <c r="AV66" s="705">
        <f t="shared" si="2"/>
        <v>7244803</v>
      </c>
    </row>
    <row r="67" spans="2:48" ht="12.75" hidden="1" customHeight="1">
      <c r="B67" t="s">
        <v>527</v>
      </c>
      <c r="C67" t="s">
        <v>120</v>
      </c>
      <c r="D67" t="s">
        <v>671</v>
      </c>
      <c r="E67" t="s">
        <v>671</v>
      </c>
      <c r="F67">
        <v>1</v>
      </c>
      <c r="G67" s="705">
        <v>128</v>
      </c>
      <c r="H67" s="705">
        <v>309</v>
      </c>
      <c r="I67" s="705">
        <v>24433</v>
      </c>
      <c r="J67" s="705">
        <v>22212</v>
      </c>
      <c r="K67">
        <v>55</v>
      </c>
      <c r="L67" s="705">
        <v>4049</v>
      </c>
      <c r="M67" s="705">
        <v>3681</v>
      </c>
      <c r="N67" s="705">
        <v>2221</v>
      </c>
      <c r="O67" s="705">
        <v>823</v>
      </c>
      <c r="P67" s="705">
        <v>351</v>
      </c>
      <c r="Q67" s="705">
        <v>130</v>
      </c>
      <c r="R67" s="705">
        <v>5973</v>
      </c>
      <c r="S67" s="705">
        <v>5430</v>
      </c>
      <c r="T67" s="705">
        <v>2686</v>
      </c>
      <c r="U67" s="705">
        <v>995</v>
      </c>
      <c r="V67" s="705">
        <v>33270</v>
      </c>
      <c r="W67" s="705">
        <f t="shared" si="0"/>
        <v>33271</v>
      </c>
      <c r="X67" s="705">
        <f t="shared" si="1"/>
        <v>39713</v>
      </c>
      <c r="Y67" s="705"/>
      <c r="AA67" t="s">
        <v>112</v>
      </c>
      <c r="AB67" t="s">
        <v>582</v>
      </c>
      <c r="AC67" t="s">
        <v>228</v>
      </c>
      <c r="AD67" s="705">
        <v>4</v>
      </c>
      <c r="AE67" s="705">
        <v>612</v>
      </c>
      <c r="AF67" s="705">
        <v>456</v>
      </c>
      <c r="AG67" s="705">
        <v>37704</v>
      </c>
      <c r="AH67" s="705">
        <v>34277</v>
      </c>
      <c r="AI67">
        <v>92</v>
      </c>
      <c r="AJ67" s="705">
        <v>5939</v>
      </c>
      <c r="AK67" s="705">
        <v>5399</v>
      </c>
      <c r="AL67" s="705">
        <v>11503</v>
      </c>
      <c r="AM67" s="705">
        <v>4260</v>
      </c>
      <c r="AN67" s="705">
        <v>2592</v>
      </c>
      <c r="AO67" s="705">
        <v>960</v>
      </c>
      <c r="AP67" s="705">
        <v>20982</v>
      </c>
      <c r="AQ67" s="705">
        <v>7771</v>
      </c>
      <c r="AR67" s="705">
        <v>0</v>
      </c>
      <c r="AS67" s="705">
        <v>0</v>
      </c>
      <c r="AT67" s="705">
        <v>52667</v>
      </c>
      <c r="AU67" s="705">
        <f t="shared" si="3"/>
        <v>52667</v>
      </c>
      <c r="AV67" s="705">
        <f t="shared" si="2"/>
        <v>78720</v>
      </c>
    </row>
    <row r="68" spans="2:48" ht="12.75" hidden="1" customHeight="1">
      <c r="B68" t="s">
        <v>527</v>
      </c>
      <c r="C68" t="s">
        <v>120</v>
      </c>
      <c r="D68" t="s">
        <v>665</v>
      </c>
      <c r="E68" t="s">
        <v>228</v>
      </c>
      <c r="F68">
        <v>2</v>
      </c>
      <c r="G68" s="705">
        <v>314</v>
      </c>
      <c r="H68" s="705">
        <v>677</v>
      </c>
      <c r="I68" s="705">
        <v>67907</v>
      </c>
      <c r="J68" s="705">
        <v>61734</v>
      </c>
      <c r="K68">
        <v>45</v>
      </c>
      <c r="L68" s="705">
        <v>10064</v>
      </c>
      <c r="M68" s="705">
        <v>5726</v>
      </c>
      <c r="N68" s="705">
        <v>7217</v>
      </c>
      <c r="O68" s="705">
        <v>2673</v>
      </c>
      <c r="P68" s="705">
        <v>0</v>
      </c>
      <c r="Q68" s="705">
        <v>0</v>
      </c>
      <c r="R68" s="705">
        <v>20700</v>
      </c>
      <c r="S68" s="705">
        <v>7667</v>
      </c>
      <c r="T68" s="705">
        <v>0</v>
      </c>
      <c r="U68" s="705">
        <v>0</v>
      </c>
      <c r="V68" s="705">
        <v>77800</v>
      </c>
      <c r="W68" s="705">
        <f t="shared" si="0"/>
        <v>77800</v>
      </c>
      <c r="X68" s="705">
        <f t="shared" si="1"/>
        <v>105888</v>
      </c>
      <c r="Y68" s="705"/>
      <c r="AA68" t="s">
        <v>112</v>
      </c>
      <c r="AB68" t="s">
        <v>582</v>
      </c>
      <c r="AC68" t="s">
        <v>584</v>
      </c>
      <c r="AD68" s="705">
        <v>2</v>
      </c>
      <c r="AE68" s="705">
        <v>466</v>
      </c>
      <c r="AF68" s="705">
        <v>215</v>
      </c>
      <c r="AG68" s="705">
        <v>26277</v>
      </c>
      <c r="AH68" s="705">
        <v>23888</v>
      </c>
      <c r="AI68">
        <v>90</v>
      </c>
      <c r="AJ68" s="705">
        <v>4280</v>
      </c>
      <c r="AK68" s="705">
        <v>3891</v>
      </c>
      <c r="AL68" s="705">
        <v>6777</v>
      </c>
      <c r="AM68" s="705">
        <v>2510</v>
      </c>
      <c r="AN68" s="705">
        <v>945</v>
      </c>
      <c r="AO68" s="705">
        <v>350</v>
      </c>
      <c r="AP68" s="705">
        <v>11802</v>
      </c>
      <c r="AQ68" s="705">
        <v>10729</v>
      </c>
      <c r="AR68" s="705">
        <v>0</v>
      </c>
      <c r="AS68" s="705">
        <v>0</v>
      </c>
      <c r="AT68" s="705">
        <v>41368</v>
      </c>
      <c r="AU68" s="705">
        <f t="shared" si="3"/>
        <v>41368</v>
      </c>
      <c r="AV68" s="705">
        <f t="shared" si="2"/>
        <v>50081</v>
      </c>
    </row>
    <row r="69" spans="2:48" ht="12.75" hidden="1" customHeight="1">
      <c r="B69" t="s">
        <v>527</v>
      </c>
      <c r="C69" t="s">
        <v>120</v>
      </c>
      <c r="D69" t="s">
        <v>665</v>
      </c>
      <c r="E69" t="s">
        <v>665</v>
      </c>
      <c r="F69">
        <v>36</v>
      </c>
      <c r="G69" s="705">
        <v>3603</v>
      </c>
      <c r="H69" s="705">
        <v>12514</v>
      </c>
      <c r="I69" s="705">
        <v>814688</v>
      </c>
      <c r="J69" s="705">
        <v>740625</v>
      </c>
      <c r="K69">
        <v>58</v>
      </c>
      <c r="L69" s="705">
        <v>96213</v>
      </c>
      <c r="M69" s="705">
        <v>83956</v>
      </c>
      <c r="N69" s="705">
        <v>70187</v>
      </c>
      <c r="O69" s="705">
        <v>25995</v>
      </c>
      <c r="P69" s="705">
        <v>13176</v>
      </c>
      <c r="Q69" s="705">
        <v>4880</v>
      </c>
      <c r="R69" s="705">
        <v>210375</v>
      </c>
      <c r="S69" s="705">
        <v>191250</v>
      </c>
      <c r="T69" s="705">
        <v>75506</v>
      </c>
      <c r="U69" s="705">
        <v>27965</v>
      </c>
      <c r="V69" s="705">
        <v>1074671</v>
      </c>
      <c r="W69" s="705">
        <f t="shared" si="0"/>
        <v>1074671</v>
      </c>
      <c r="X69" s="705">
        <f t="shared" si="1"/>
        <v>1280145</v>
      </c>
      <c r="Y69" s="705"/>
      <c r="AA69" t="s">
        <v>112</v>
      </c>
      <c r="AB69" t="s">
        <v>228</v>
      </c>
      <c r="AC69" t="s">
        <v>664</v>
      </c>
      <c r="AD69">
        <v>1</v>
      </c>
      <c r="AE69">
        <v>310</v>
      </c>
      <c r="AF69">
        <v>122</v>
      </c>
      <c r="AG69" s="705">
        <v>23009</v>
      </c>
      <c r="AH69" s="705">
        <v>8522</v>
      </c>
      <c r="AI69">
        <v>250</v>
      </c>
      <c r="AJ69" s="705">
        <v>4340</v>
      </c>
      <c r="AK69" s="705">
        <v>3945</v>
      </c>
      <c r="AL69" s="705">
        <v>6043</v>
      </c>
      <c r="AM69" s="705">
        <v>2238</v>
      </c>
      <c r="AN69" s="705">
        <v>1053</v>
      </c>
      <c r="AO69">
        <v>390</v>
      </c>
      <c r="AP69" s="705">
        <v>3467</v>
      </c>
      <c r="AQ69" s="705">
        <v>3152</v>
      </c>
      <c r="AR69">
        <v>0</v>
      </c>
      <c r="AS69">
        <v>0</v>
      </c>
      <c r="AT69" s="705">
        <v>18247</v>
      </c>
      <c r="AU69" s="705">
        <f t="shared" si="3"/>
        <v>18247</v>
      </c>
      <c r="AV69" s="705">
        <f t="shared" si="2"/>
        <v>37912</v>
      </c>
    </row>
    <row r="70" spans="2:48" ht="12.75" hidden="1" customHeight="1">
      <c r="B70" t="s">
        <v>527</v>
      </c>
      <c r="C70" t="s">
        <v>120</v>
      </c>
      <c r="D70" t="s">
        <v>673</v>
      </c>
      <c r="E70" t="s">
        <v>673</v>
      </c>
      <c r="F70">
        <v>1</v>
      </c>
      <c r="G70" s="705">
        <v>95</v>
      </c>
      <c r="H70" s="705">
        <v>301</v>
      </c>
      <c r="I70" s="705">
        <v>17995</v>
      </c>
      <c r="J70" s="705">
        <v>16359</v>
      </c>
      <c r="K70">
        <v>65</v>
      </c>
      <c r="L70" s="705">
        <v>2166</v>
      </c>
      <c r="M70" s="705">
        <v>1969</v>
      </c>
      <c r="N70" s="705">
        <v>2195</v>
      </c>
      <c r="O70" s="705">
        <v>813</v>
      </c>
      <c r="P70" s="705">
        <v>621</v>
      </c>
      <c r="Q70" s="705">
        <v>230</v>
      </c>
      <c r="R70" s="705">
        <v>5517</v>
      </c>
      <c r="S70" s="705">
        <v>5015</v>
      </c>
      <c r="T70" s="705">
        <v>0</v>
      </c>
      <c r="U70" s="705">
        <v>0</v>
      </c>
      <c r="V70" s="705">
        <v>24386</v>
      </c>
      <c r="W70" s="705">
        <f t="shared" si="0"/>
        <v>24386</v>
      </c>
      <c r="X70" s="705">
        <f t="shared" si="1"/>
        <v>28494</v>
      </c>
      <c r="Y70" s="705"/>
      <c r="AA70" t="s">
        <v>112</v>
      </c>
      <c r="AB70" t="s">
        <v>228</v>
      </c>
      <c r="AC70" t="s">
        <v>582</v>
      </c>
      <c r="AD70">
        <v>3</v>
      </c>
      <c r="AE70" s="705">
        <v>1266</v>
      </c>
      <c r="AF70">
        <v>331</v>
      </c>
      <c r="AG70" s="705">
        <v>72951</v>
      </c>
      <c r="AH70" s="705">
        <v>27019</v>
      </c>
      <c r="AI70">
        <v>340</v>
      </c>
      <c r="AJ70" s="705">
        <v>25811</v>
      </c>
      <c r="AK70" s="705">
        <v>23464</v>
      </c>
      <c r="AL70" s="705">
        <v>16535</v>
      </c>
      <c r="AM70" s="705">
        <v>6124</v>
      </c>
      <c r="AN70" s="705">
        <v>1175</v>
      </c>
      <c r="AO70" s="705">
        <v>435</v>
      </c>
      <c r="AP70" s="705">
        <v>22091</v>
      </c>
      <c r="AQ70" s="705">
        <v>20082</v>
      </c>
      <c r="AR70" s="705">
        <v>0</v>
      </c>
      <c r="AS70">
        <v>0</v>
      </c>
      <c r="AT70" s="705">
        <v>77124</v>
      </c>
      <c r="AU70" s="705">
        <f t="shared" si="3"/>
        <v>77124</v>
      </c>
      <c r="AV70" s="705">
        <f t="shared" si="2"/>
        <v>138563</v>
      </c>
    </row>
    <row r="71" spans="2:48" ht="12.75" hidden="1" customHeight="1">
      <c r="B71" t="s">
        <v>527</v>
      </c>
      <c r="C71" t="s">
        <v>122</v>
      </c>
      <c r="D71" t="s">
        <v>664</v>
      </c>
      <c r="E71" t="s">
        <v>583</v>
      </c>
      <c r="F71">
        <v>1</v>
      </c>
      <c r="G71" s="705">
        <v>121</v>
      </c>
      <c r="H71" s="705">
        <v>392</v>
      </c>
      <c r="I71" s="705">
        <v>29933</v>
      </c>
      <c r="J71" s="705">
        <v>27211</v>
      </c>
      <c r="K71">
        <v>70</v>
      </c>
      <c r="L71" s="705">
        <v>7372</v>
      </c>
      <c r="M71" s="705">
        <v>6702</v>
      </c>
      <c r="N71" s="705">
        <v>2338</v>
      </c>
      <c r="O71" s="705">
        <v>866</v>
      </c>
      <c r="P71" s="705">
        <v>621</v>
      </c>
      <c r="Q71" s="705">
        <v>230</v>
      </c>
      <c r="R71" s="705">
        <v>7331</v>
      </c>
      <c r="S71" s="705">
        <v>6665</v>
      </c>
      <c r="T71" s="705">
        <v>0</v>
      </c>
      <c r="U71" s="705">
        <v>0</v>
      </c>
      <c r="V71" s="705">
        <v>41674</v>
      </c>
      <c r="W71" s="705">
        <f t="shared" ref="W71:W134" si="4">SUM(ABS(J71),ABS(M71),ABS(O71),ABS(Q71),ABS(S71),ABS(U71))</f>
        <v>41674</v>
      </c>
      <c r="X71" s="705">
        <f t="shared" ref="X71:X134" si="5">SUM(ABS(I71),ABS(N71),ABS(P71),ABS(R71),ABS(T71),ABS(L71))</f>
        <v>47595</v>
      </c>
      <c r="Y71" s="705"/>
      <c r="AA71" t="s">
        <v>112</v>
      </c>
      <c r="AB71" t="s">
        <v>228</v>
      </c>
      <c r="AC71" t="s">
        <v>228</v>
      </c>
      <c r="AD71">
        <v>759</v>
      </c>
      <c r="AE71" s="705">
        <v>188006</v>
      </c>
      <c r="AF71" s="705">
        <v>86009</v>
      </c>
      <c r="AG71" s="705">
        <v>9822633</v>
      </c>
      <c r="AH71" s="705">
        <v>3638012</v>
      </c>
      <c r="AI71">
        <v>332</v>
      </c>
      <c r="AJ71" s="705">
        <v>2798221</v>
      </c>
      <c r="AK71" s="705">
        <v>2483562</v>
      </c>
      <c r="AL71" s="705">
        <v>3645719</v>
      </c>
      <c r="AM71" s="705">
        <v>1350266</v>
      </c>
      <c r="AN71" s="705">
        <v>692753</v>
      </c>
      <c r="AO71" s="705">
        <v>256575</v>
      </c>
      <c r="AP71" s="705">
        <v>5464466</v>
      </c>
      <c r="AQ71" s="705">
        <v>2023876</v>
      </c>
      <c r="AR71" s="705">
        <v>72317</v>
      </c>
      <c r="AS71" s="705">
        <v>26784</v>
      </c>
      <c r="AT71" s="705">
        <v>9779076</v>
      </c>
      <c r="AU71" s="705">
        <f t="shared" si="3"/>
        <v>9779075</v>
      </c>
      <c r="AV71" s="705">
        <f t="shared" ref="AV71:AV134" si="6">SUM(ABS(AG71),ABS(AJ71),ABS(AL71),ABS(AN71),ABS(AP71),ABS(AR71))</f>
        <v>22496109</v>
      </c>
    </row>
    <row r="72" spans="2:48" ht="12.75" hidden="1" customHeight="1">
      <c r="B72" t="s">
        <v>527</v>
      </c>
      <c r="C72" t="s">
        <v>122</v>
      </c>
      <c r="D72" t="s">
        <v>582</v>
      </c>
      <c r="E72" t="s">
        <v>582</v>
      </c>
      <c r="F72">
        <v>1</v>
      </c>
      <c r="G72" s="705">
        <v>108</v>
      </c>
      <c r="H72" s="705">
        <v>424</v>
      </c>
      <c r="I72" s="705">
        <v>32843</v>
      </c>
      <c r="J72" s="705">
        <v>29857</v>
      </c>
      <c r="K72">
        <v>65</v>
      </c>
      <c r="L72" s="705">
        <v>3470</v>
      </c>
      <c r="M72" s="705">
        <v>3154</v>
      </c>
      <c r="N72" s="705">
        <v>2506</v>
      </c>
      <c r="O72" s="705">
        <v>928</v>
      </c>
      <c r="P72" s="705">
        <v>351</v>
      </c>
      <c r="Q72" s="705">
        <v>130</v>
      </c>
      <c r="R72" s="705">
        <v>6682</v>
      </c>
      <c r="S72" s="705">
        <v>6074</v>
      </c>
      <c r="T72" s="705">
        <v>0</v>
      </c>
      <c r="U72">
        <v>0</v>
      </c>
      <c r="V72" s="705">
        <v>40143</v>
      </c>
      <c r="W72" s="705">
        <f t="shared" si="4"/>
        <v>40143</v>
      </c>
      <c r="X72" s="705">
        <f t="shared" si="5"/>
        <v>45852</v>
      </c>
      <c r="Y72" s="705"/>
      <c r="AA72" t="s">
        <v>112</v>
      </c>
      <c r="AB72" t="s">
        <v>228</v>
      </c>
      <c r="AC72" t="s">
        <v>583</v>
      </c>
      <c r="AD72">
        <v>8</v>
      </c>
      <c r="AE72" s="705">
        <v>2737</v>
      </c>
      <c r="AF72">
        <v>886</v>
      </c>
      <c r="AG72" s="705">
        <v>156243</v>
      </c>
      <c r="AH72" s="705">
        <v>57868</v>
      </c>
      <c r="AI72">
        <v>336</v>
      </c>
      <c r="AJ72" s="705">
        <v>29741</v>
      </c>
      <c r="AK72" s="705">
        <v>27037</v>
      </c>
      <c r="AL72" s="705">
        <v>53751</v>
      </c>
      <c r="AM72" s="705">
        <v>19908</v>
      </c>
      <c r="AN72" s="705">
        <v>6885</v>
      </c>
      <c r="AO72" s="705">
        <v>2550</v>
      </c>
      <c r="AP72" s="705">
        <v>55718</v>
      </c>
      <c r="AQ72" s="705">
        <v>50653</v>
      </c>
      <c r="AR72">
        <v>0</v>
      </c>
      <c r="AS72">
        <v>0</v>
      </c>
      <c r="AT72" s="705">
        <v>158015</v>
      </c>
      <c r="AU72" s="705">
        <f t="shared" ref="AU72:AU135" si="7">SUM(ABS(AH72), ABS(AK72),ABS(AM72),ABS(AO72),ABS(AQ72),ABS(AS72))</f>
        <v>158016</v>
      </c>
      <c r="AV72" s="705">
        <f t="shared" si="6"/>
        <v>302338</v>
      </c>
    </row>
    <row r="73" spans="2:48" ht="12.75" hidden="1" customHeight="1">
      <c r="B73" t="s">
        <v>527</v>
      </c>
      <c r="C73" t="s">
        <v>122</v>
      </c>
      <c r="D73" t="s">
        <v>228</v>
      </c>
      <c r="E73" t="s">
        <v>228</v>
      </c>
      <c r="F73">
        <v>17</v>
      </c>
      <c r="G73" s="705">
        <v>1487</v>
      </c>
      <c r="H73" s="705">
        <v>7237</v>
      </c>
      <c r="I73" s="705">
        <v>433902</v>
      </c>
      <c r="J73" s="705">
        <v>160705</v>
      </c>
      <c r="K73">
        <v>100</v>
      </c>
      <c r="L73" s="705">
        <v>62045</v>
      </c>
      <c r="M73" s="705">
        <v>51958</v>
      </c>
      <c r="N73" s="705">
        <v>27559</v>
      </c>
      <c r="O73" s="705">
        <v>10207</v>
      </c>
      <c r="P73" s="705">
        <v>0</v>
      </c>
      <c r="Q73" s="705">
        <v>0</v>
      </c>
      <c r="R73" s="705">
        <v>103728</v>
      </c>
      <c r="S73" s="705">
        <v>38418</v>
      </c>
      <c r="T73">
        <v>0</v>
      </c>
      <c r="U73">
        <v>0</v>
      </c>
      <c r="V73" s="705">
        <v>261288</v>
      </c>
      <c r="W73" s="705">
        <f t="shared" si="4"/>
        <v>261288</v>
      </c>
      <c r="X73" s="705">
        <f t="shared" si="5"/>
        <v>627234</v>
      </c>
      <c r="Y73" s="705"/>
      <c r="AA73" t="s">
        <v>112</v>
      </c>
      <c r="AB73" t="s">
        <v>228</v>
      </c>
      <c r="AC73" t="s">
        <v>584</v>
      </c>
      <c r="AD73">
        <v>2</v>
      </c>
      <c r="AE73" s="705">
        <v>637</v>
      </c>
      <c r="AF73" s="705">
        <v>239</v>
      </c>
      <c r="AG73" s="705">
        <v>40948</v>
      </c>
      <c r="AH73" s="705">
        <v>15166</v>
      </c>
      <c r="AI73">
        <v>325</v>
      </c>
      <c r="AJ73" s="705">
        <v>7531</v>
      </c>
      <c r="AK73" s="705">
        <v>6846</v>
      </c>
      <c r="AL73" s="705">
        <v>13273</v>
      </c>
      <c r="AM73" s="705">
        <v>4916</v>
      </c>
      <c r="AN73">
        <v>824</v>
      </c>
      <c r="AO73">
        <v>305</v>
      </c>
      <c r="AP73" s="705">
        <v>19957</v>
      </c>
      <c r="AQ73" s="705">
        <v>18143</v>
      </c>
      <c r="AR73">
        <v>0</v>
      </c>
      <c r="AS73">
        <v>0</v>
      </c>
      <c r="AT73" s="705">
        <v>45376</v>
      </c>
      <c r="AU73" s="705">
        <f t="shared" si="7"/>
        <v>45376</v>
      </c>
      <c r="AV73" s="705">
        <f t="shared" si="6"/>
        <v>82533</v>
      </c>
    </row>
    <row r="74" spans="2:48" ht="12.75" hidden="1" customHeight="1">
      <c r="B74" t="s">
        <v>527</v>
      </c>
      <c r="C74" t="s">
        <v>122</v>
      </c>
      <c r="D74" t="s">
        <v>228</v>
      </c>
      <c r="E74" t="s">
        <v>583</v>
      </c>
      <c r="F74">
        <v>1</v>
      </c>
      <c r="G74" s="705">
        <v>188</v>
      </c>
      <c r="H74" s="705">
        <v>397</v>
      </c>
      <c r="I74" s="705">
        <v>55842</v>
      </c>
      <c r="J74" s="705">
        <v>20682</v>
      </c>
      <c r="K74">
        <v>100</v>
      </c>
      <c r="L74" s="705">
        <v>4213</v>
      </c>
      <c r="M74" s="705">
        <v>3830</v>
      </c>
      <c r="N74" s="705">
        <v>3368</v>
      </c>
      <c r="O74" s="705">
        <v>1247</v>
      </c>
      <c r="P74" s="705">
        <v>270</v>
      </c>
      <c r="Q74" s="705">
        <v>100</v>
      </c>
      <c r="R74" s="705">
        <v>7173</v>
      </c>
      <c r="S74" s="705">
        <v>6521</v>
      </c>
      <c r="T74" s="705">
        <v>3856</v>
      </c>
      <c r="U74" s="705">
        <v>1428</v>
      </c>
      <c r="V74" s="705">
        <v>33809</v>
      </c>
      <c r="W74" s="705">
        <f t="shared" si="4"/>
        <v>33808</v>
      </c>
      <c r="X74" s="705">
        <f t="shared" si="5"/>
        <v>74722</v>
      </c>
      <c r="Y74" s="705"/>
      <c r="AA74" t="s">
        <v>112</v>
      </c>
      <c r="AB74" t="s">
        <v>228</v>
      </c>
      <c r="AC74" t="s">
        <v>665</v>
      </c>
      <c r="AD74" s="705">
        <v>2</v>
      </c>
      <c r="AE74" s="705">
        <v>464</v>
      </c>
      <c r="AF74" s="705">
        <v>234</v>
      </c>
      <c r="AG74" s="705">
        <v>21038</v>
      </c>
      <c r="AH74" s="705">
        <v>7792</v>
      </c>
      <c r="AI74">
        <v>275</v>
      </c>
      <c r="AJ74" s="705">
        <v>6053</v>
      </c>
      <c r="AK74" s="705">
        <v>5503</v>
      </c>
      <c r="AL74" s="705">
        <v>9087</v>
      </c>
      <c r="AM74" s="705">
        <v>3365</v>
      </c>
      <c r="AN74" s="705">
        <v>2033</v>
      </c>
      <c r="AO74" s="705">
        <v>753</v>
      </c>
      <c r="AP74" s="705">
        <v>14844</v>
      </c>
      <c r="AQ74" s="705">
        <v>13494</v>
      </c>
      <c r="AR74" s="705">
        <v>1341</v>
      </c>
      <c r="AS74" s="705">
        <v>497</v>
      </c>
      <c r="AT74" s="705">
        <v>31404</v>
      </c>
      <c r="AU74" s="705">
        <f t="shared" si="7"/>
        <v>31404</v>
      </c>
      <c r="AV74" s="705">
        <f t="shared" si="6"/>
        <v>54396</v>
      </c>
    </row>
    <row r="75" spans="2:48" ht="12.75" hidden="1" customHeight="1">
      <c r="B75" t="s">
        <v>527</v>
      </c>
      <c r="C75" t="s">
        <v>122</v>
      </c>
      <c r="D75" t="s">
        <v>228</v>
      </c>
      <c r="E75" t="s">
        <v>665</v>
      </c>
      <c r="F75">
        <v>2</v>
      </c>
      <c r="G75" s="705">
        <v>274</v>
      </c>
      <c r="H75" s="705">
        <v>780</v>
      </c>
      <c r="I75" s="705">
        <v>75746</v>
      </c>
      <c r="J75" s="705">
        <v>28054</v>
      </c>
      <c r="K75">
        <v>100</v>
      </c>
      <c r="L75" s="705">
        <v>8366</v>
      </c>
      <c r="M75" s="705">
        <v>7606</v>
      </c>
      <c r="N75" s="705">
        <v>6207</v>
      </c>
      <c r="O75" s="705">
        <v>2299</v>
      </c>
      <c r="P75" s="705">
        <v>351</v>
      </c>
      <c r="Q75" s="705">
        <v>130</v>
      </c>
      <c r="R75" s="705">
        <v>10023</v>
      </c>
      <c r="S75" s="705">
        <v>9112</v>
      </c>
      <c r="T75" s="705">
        <v>5867</v>
      </c>
      <c r="U75" s="705">
        <v>2173</v>
      </c>
      <c r="V75" s="705">
        <v>49374</v>
      </c>
      <c r="W75" s="705">
        <f t="shared" si="4"/>
        <v>49374</v>
      </c>
      <c r="X75" s="705">
        <f t="shared" si="5"/>
        <v>106560</v>
      </c>
      <c r="Y75" s="705"/>
      <c r="AA75" t="s">
        <v>112</v>
      </c>
      <c r="AB75" t="s">
        <v>724</v>
      </c>
      <c r="AC75" t="s">
        <v>724</v>
      </c>
      <c r="AD75">
        <v>2</v>
      </c>
      <c r="AE75" s="705">
        <v>857</v>
      </c>
      <c r="AF75" s="705">
        <v>231</v>
      </c>
      <c r="AG75" s="705">
        <v>43211</v>
      </c>
      <c r="AH75" s="705">
        <v>16004</v>
      </c>
      <c r="AI75">
        <v>310</v>
      </c>
      <c r="AJ75" s="705">
        <v>21581</v>
      </c>
      <c r="AK75" s="705">
        <v>18531</v>
      </c>
      <c r="AL75" s="705">
        <v>19458</v>
      </c>
      <c r="AM75" s="705">
        <v>7207</v>
      </c>
      <c r="AN75">
        <v>702</v>
      </c>
      <c r="AO75">
        <v>260</v>
      </c>
      <c r="AP75" s="705">
        <v>13797</v>
      </c>
      <c r="AQ75" s="705">
        <v>5110</v>
      </c>
      <c r="AR75">
        <v>0</v>
      </c>
      <c r="AS75">
        <v>0</v>
      </c>
      <c r="AT75" s="705">
        <v>47111</v>
      </c>
      <c r="AU75" s="705">
        <f t="shared" si="7"/>
        <v>47112</v>
      </c>
      <c r="AV75" s="705">
        <f t="shared" si="6"/>
        <v>98749</v>
      </c>
    </row>
    <row r="76" spans="2:48" ht="12.75" hidden="1" customHeight="1">
      <c r="B76" t="s">
        <v>527</v>
      </c>
      <c r="C76" t="s">
        <v>122</v>
      </c>
      <c r="D76" t="s">
        <v>583</v>
      </c>
      <c r="E76" t="s">
        <v>228</v>
      </c>
      <c r="F76">
        <v>3</v>
      </c>
      <c r="G76">
        <v>339</v>
      </c>
      <c r="H76" s="705">
        <v>1319</v>
      </c>
      <c r="I76" s="705">
        <v>96265</v>
      </c>
      <c r="J76" s="705">
        <v>87513</v>
      </c>
      <c r="K76">
        <v>77</v>
      </c>
      <c r="L76" s="705">
        <v>22070</v>
      </c>
      <c r="M76" s="705">
        <v>20063</v>
      </c>
      <c r="N76" s="705">
        <v>7858</v>
      </c>
      <c r="O76" s="705">
        <v>2910</v>
      </c>
      <c r="P76" s="705">
        <v>1863</v>
      </c>
      <c r="Q76">
        <v>690</v>
      </c>
      <c r="R76" s="705">
        <v>21008</v>
      </c>
      <c r="S76" s="705">
        <v>7781</v>
      </c>
      <c r="T76">
        <v>0</v>
      </c>
      <c r="U76">
        <v>0</v>
      </c>
      <c r="V76" s="705">
        <v>118958</v>
      </c>
      <c r="W76" s="705">
        <f t="shared" si="4"/>
        <v>118957</v>
      </c>
      <c r="X76" s="705">
        <f t="shared" si="5"/>
        <v>149064</v>
      </c>
      <c r="Y76" s="705"/>
      <c r="AA76" t="s">
        <v>112</v>
      </c>
      <c r="AB76" t="s">
        <v>583</v>
      </c>
      <c r="AC76" t="s">
        <v>664</v>
      </c>
      <c r="AD76">
        <v>3</v>
      </c>
      <c r="AE76" s="705">
        <v>786</v>
      </c>
      <c r="AF76" s="705">
        <v>346</v>
      </c>
      <c r="AG76" s="705">
        <v>52631</v>
      </c>
      <c r="AH76" s="705">
        <v>47847</v>
      </c>
      <c r="AI76">
        <v>91</v>
      </c>
      <c r="AJ76" s="705">
        <v>7359</v>
      </c>
      <c r="AK76" s="705">
        <v>6690</v>
      </c>
      <c r="AL76" s="705">
        <v>12760</v>
      </c>
      <c r="AM76" s="705">
        <v>4726</v>
      </c>
      <c r="AN76" s="705">
        <v>2214</v>
      </c>
      <c r="AO76" s="705">
        <v>820</v>
      </c>
      <c r="AP76" s="705">
        <v>15104</v>
      </c>
      <c r="AQ76" s="705">
        <v>13731</v>
      </c>
      <c r="AR76" s="705">
        <v>0</v>
      </c>
      <c r="AS76" s="705">
        <v>0</v>
      </c>
      <c r="AT76" s="705">
        <v>73813</v>
      </c>
      <c r="AU76" s="705">
        <f t="shared" si="7"/>
        <v>73814</v>
      </c>
      <c r="AV76" s="705">
        <f t="shared" si="6"/>
        <v>90068</v>
      </c>
    </row>
    <row r="77" spans="2:48" ht="12.75" hidden="1" customHeight="1">
      <c r="B77" t="s">
        <v>527</v>
      </c>
      <c r="C77" t="s">
        <v>122</v>
      </c>
      <c r="D77" t="s">
        <v>583</v>
      </c>
      <c r="E77" t="s">
        <v>583</v>
      </c>
      <c r="F77">
        <v>165</v>
      </c>
      <c r="G77" s="705">
        <v>18998</v>
      </c>
      <c r="H77" s="705">
        <v>68397</v>
      </c>
      <c r="I77" s="705">
        <v>5283134</v>
      </c>
      <c r="J77" s="705">
        <v>4802849</v>
      </c>
      <c r="K77">
        <v>75</v>
      </c>
      <c r="L77" s="705">
        <v>1024168</v>
      </c>
      <c r="M77" s="705">
        <v>906382</v>
      </c>
      <c r="N77" s="705">
        <v>390855</v>
      </c>
      <c r="O77" s="705">
        <v>144761</v>
      </c>
      <c r="P77" s="705">
        <v>105624</v>
      </c>
      <c r="Q77" s="705">
        <v>39120</v>
      </c>
      <c r="R77" s="705">
        <v>877224</v>
      </c>
      <c r="S77" s="705">
        <v>797476</v>
      </c>
      <c r="T77" s="705">
        <v>285362</v>
      </c>
      <c r="U77" s="705">
        <v>105690</v>
      </c>
      <c r="V77" s="705">
        <v>6796278</v>
      </c>
      <c r="W77" s="705">
        <f t="shared" si="4"/>
        <v>6796278</v>
      </c>
      <c r="X77" s="705">
        <f t="shared" si="5"/>
        <v>7966367</v>
      </c>
      <c r="Y77" s="705"/>
      <c r="AA77" t="s">
        <v>112</v>
      </c>
      <c r="AB77" t="s">
        <v>583</v>
      </c>
      <c r="AC77" t="s">
        <v>582</v>
      </c>
      <c r="AD77">
        <v>2</v>
      </c>
      <c r="AE77" s="705">
        <v>493</v>
      </c>
      <c r="AF77" s="705">
        <v>232</v>
      </c>
      <c r="AG77" s="705">
        <v>32719</v>
      </c>
      <c r="AH77" s="705">
        <v>29744</v>
      </c>
      <c r="AI77">
        <v>87</v>
      </c>
      <c r="AJ77" s="705">
        <v>3991</v>
      </c>
      <c r="AK77" s="705">
        <v>3628</v>
      </c>
      <c r="AL77" s="705">
        <v>7331</v>
      </c>
      <c r="AM77" s="705">
        <v>2715</v>
      </c>
      <c r="AN77" s="705">
        <v>1242</v>
      </c>
      <c r="AO77" s="705">
        <v>460</v>
      </c>
      <c r="AP77" s="705">
        <v>8957</v>
      </c>
      <c r="AQ77" s="705">
        <v>8143</v>
      </c>
      <c r="AR77" s="705">
        <v>2919</v>
      </c>
      <c r="AS77" s="705">
        <v>1081</v>
      </c>
      <c r="AT77" s="705">
        <v>45771</v>
      </c>
      <c r="AU77" s="705">
        <f t="shared" si="7"/>
        <v>45771</v>
      </c>
      <c r="AV77" s="705">
        <f t="shared" si="6"/>
        <v>57159</v>
      </c>
    </row>
    <row r="78" spans="2:48" ht="12.75" hidden="1" customHeight="1">
      <c r="B78" t="s">
        <v>527</v>
      </c>
      <c r="C78" t="s">
        <v>122</v>
      </c>
      <c r="D78" t="s">
        <v>666</v>
      </c>
      <c r="E78" t="s">
        <v>228</v>
      </c>
      <c r="F78">
        <v>1</v>
      </c>
      <c r="G78" s="705">
        <v>102</v>
      </c>
      <c r="H78" s="705">
        <v>403</v>
      </c>
      <c r="I78" s="705">
        <v>22401</v>
      </c>
      <c r="J78" s="705">
        <v>20365</v>
      </c>
      <c r="K78">
        <v>60</v>
      </c>
      <c r="L78" s="705">
        <v>4978</v>
      </c>
      <c r="M78" s="705">
        <v>4526</v>
      </c>
      <c r="N78" s="705">
        <v>1864</v>
      </c>
      <c r="O78" s="705">
        <v>690</v>
      </c>
      <c r="P78" s="705">
        <v>351</v>
      </c>
      <c r="Q78" s="705">
        <v>130</v>
      </c>
      <c r="R78" s="705">
        <v>11537</v>
      </c>
      <c r="S78" s="705">
        <v>4273</v>
      </c>
      <c r="T78" s="705">
        <v>0</v>
      </c>
      <c r="U78" s="705">
        <v>0</v>
      </c>
      <c r="V78" s="705">
        <v>29984</v>
      </c>
      <c r="W78" s="705">
        <f t="shared" si="4"/>
        <v>29984</v>
      </c>
      <c r="X78" s="705">
        <f t="shared" si="5"/>
        <v>41131</v>
      </c>
      <c r="Y78" s="705"/>
      <c r="AA78" t="s">
        <v>112</v>
      </c>
      <c r="AB78" t="s">
        <v>583</v>
      </c>
      <c r="AC78" t="s">
        <v>228</v>
      </c>
      <c r="AD78">
        <v>25</v>
      </c>
      <c r="AE78" s="705">
        <v>5386</v>
      </c>
      <c r="AF78" s="705">
        <v>2830</v>
      </c>
      <c r="AG78" s="705">
        <v>330803</v>
      </c>
      <c r="AH78" s="705">
        <v>300730</v>
      </c>
      <c r="AI78">
        <v>92</v>
      </c>
      <c r="AJ78" s="705">
        <v>61032</v>
      </c>
      <c r="AK78" s="705">
        <v>52635</v>
      </c>
      <c r="AL78" s="705">
        <v>88491</v>
      </c>
      <c r="AM78" s="705">
        <v>32775</v>
      </c>
      <c r="AN78" s="705">
        <v>21503</v>
      </c>
      <c r="AO78" s="705">
        <v>7964</v>
      </c>
      <c r="AP78" s="705">
        <v>135020</v>
      </c>
      <c r="AQ78" s="705">
        <v>50007</v>
      </c>
      <c r="AR78">
        <v>0</v>
      </c>
      <c r="AS78">
        <v>0</v>
      </c>
      <c r="AT78" s="705">
        <v>444111</v>
      </c>
      <c r="AU78" s="705">
        <f t="shared" si="7"/>
        <v>444111</v>
      </c>
      <c r="AV78" s="705">
        <f t="shared" si="6"/>
        <v>636849</v>
      </c>
    </row>
    <row r="79" spans="2:48" ht="12.75" hidden="1" customHeight="1">
      <c r="B79" t="s">
        <v>527</v>
      </c>
      <c r="C79" t="s">
        <v>122</v>
      </c>
      <c r="D79" t="s">
        <v>666</v>
      </c>
      <c r="E79" t="s">
        <v>666</v>
      </c>
      <c r="F79">
        <v>4</v>
      </c>
      <c r="G79" s="705">
        <v>341</v>
      </c>
      <c r="H79" s="705">
        <v>1639</v>
      </c>
      <c r="I79" s="705">
        <v>87578</v>
      </c>
      <c r="J79" s="705">
        <v>79617</v>
      </c>
      <c r="K79">
        <v>45</v>
      </c>
      <c r="L79" s="705">
        <v>7817</v>
      </c>
      <c r="M79" s="705">
        <v>4284</v>
      </c>
      <c r="N79" s="705">
        <v>8019</v>
      </c>
      <c r="O79" s="705">
        <v>2970</v>
      </c>
      <c r="P79" s="705">
        <v>1404</v>
      </c>
      <c r="Q79" s="705">
        <v>520</v>
      </c>
      <c r="R79" s="705">
        <v>25113</v>
      </c>
      <c r="S79" s="705">
        <v>22830</v>
      </c>
      <c r="T79" s="705">
        <v>9314</v>
      </c>
      <c r="U79" s="705">
        <v>3450</v>
      </c>
      <c r="V79" s="705">
        <v>113670</v>
      </c>
      <c r="W79" s="705">
        <f t="shared" si="4"/>
        <v>113671</v>
      </c>
      <c r="X79" s="705">
        <f t="shared" si="5"/>
        <v>139245</v>
      </c>
      <c r="Y79" s="705"/>
      <c r="AA79" t="s">
        <v>112</v>
      </c>
      <c r="AB79" t="s">
        <v>583</v>
      </c>
      <c r="AC79" t="s">
        <v>583</v>
      </c>
      <c r="AD79" s="705">
        <v>4242</v>
      </c>
      <c r="AE79" s="705">
        <v>965560</v>
      </c>
      <c r="AF79" s="705">
        <v>494579</v>
      </c>
      <c r="AG79" s="705">
        <v>65018538</v>
      </c>
      <c r="AH79" s="705">
        <v>59107762</v>
      </c>
      <c r="AI79">
        <v>92</v>
      </c>
      <c r="AJ79" s="705">
        <v>12044350</v>
      </c>
      <c r="AK79" s="705">
        <v>11831168</v>
      </c>
      <c r="AL79" s="705">
        <v>17229897</v>
      </c>
      <c r="AM79" s="705">
        <v>6381443</v>
      </c>
      <c r="AN79" s="705">
        <v>3412940</v>
      </c>
      <c r="AO79" s="705">
        <v>1264052</v>
      </c>
      <c r="AP79" s="705">
        <v>21580225</v>
      </c>
      <c r="AQ79" s="705">
        <v>19618386</v>
      </c>
      <c r="AR79" s="705">
        <v>704119</v>
      </c>
      <c r="AS79" s="705">
        <v>260785</v>
      </c>
      <c r="AT79" s="705">
        <v>98463595</v>
      </c>
      <c r="AU79" s="705">
        <f t="shared" si="7"/>
        <v>98463596</v>
      </c>
      <c r="AV79" s="705">
        <f t="shared" si="6"/>
        <v>119990069</v>
      </c>
    </row>
    <row r="80" spans="2:48" ht="12.75" hidden="1" customHeight="1">
      <c r="B80" t="s">
        <v>527</v>
      </c>
      <c r="C80" t="s">
        <v>122</v>
      </c>
      <c r="D80" t="s">
        <v>584</v>
      </c>
      <c r="E80" t="s">
        <v>584</v>
      </c>
      <c r="F80">
        <v>5</v>
      </c>
      <c r="G80" s="705">
        <v>595</v>
      </c>
      <c r="H80" s="705">
        <v>2060</v>
      </c>
      <c r="I80" s="705">
        <v>152970</v>
      </c>
      <c r="J80" s="705">
        <v>139063</v>
      </c>
      <c r="K80">
        <v>82</v>
      </c>
      <c r="L80" s="705">
        <v>50487</v>
      </c>
      <c r="M80" s="705">
        <v>44024</v>
      </c>
      <c r="N80" s="705">
        <v>12552</v>
      </c>
      <c r="O80" s="705">
        <v>4649</v>
      </c>
      <c r="P80" s="705">
        <v>2363</v>
      </c>
      <c r="Q80" s="705">
        <v>875</v>
      </c>
      <c r="R80" s="705">
        <v>26029</v>
      </c>
      <c r="S80" s="705">
        <v>23663</v>
      </c>
      <c r="T80" s="705">
        <v>523</v>
      </c>
      <c r="U80" s="705">
        <v>194</v>
      </c>
      <c r="V80" s="705">
        <v>212468</v>
      </c>
      <c r="W80" s="705">
        <f t="shared" si="4"/>
        <v>212468</v>
      </c>
      <c r="X80" s="705">
        <f t="shared" si="5"/>
        <v>244924</v>
      </c>
      <c r="Y80" s="705"/>
      <c r="AA80" t="s">
        <v>112</v>
      </c>
      <c r="AB80" t="s">
        <v>583</v>
      </c>
      <c r="AC80" t="s">
        <v>666</v>
      </c>
      <c r="AD80" s="705">
        <v>6</v>
      </c>
      <c r="AE80" s="705">
        <v>1383</v>
      </c>
      <c r="AF80" s="705">
        <v>699</v>
      </c>
      <c r="AG80" s="705">
        <v>97422</v>
      </c>
      <c r="AH80" s="705">
        <v>88565</v>
      </c>
      <c r="AI80">
        <v>92</v>
      </c>
      <c r="AJ80" s="705">
        <v>16966</v>
      </c>
      <c r="AK80" s="705">
        <v>336798</v>
      </c>
      <c r="AL80" s="705">
        <v>22937</v>
      </c>
      <c r="AM80" s="705">
        <v>8495</v>
      </c>
      <c r="AN80" s="705">
        <v>4779</v>
      </c>
      <c r="AO80" s="705">
        <v>1770</v>
      </c>
      <c r="AP80" s="705">
        <v>30206</v>
      </c>
      <c r="AQ80" s="705">
        <v>27460</v>
      </c>
      <c r="AR80" s="705">
        <v>4180</v>
      </c>
      <c r="AS80" s="705">
        <v>1548</v>
      </c>
      <c r="AT80" s="705">
        <v>464637</v>
      </c>
      <c r="AU80" s="705">
        <f t="shared" si="7"/>
        <v>464636</v>
      </c>
      <c r="AV80" s="705">
        <f t="shared" si="6"/>
        <v>176490</v>
      </c>
    </row>
    <row r="81" spans="2:48" ht="12.75" hidden="1" customHeight="1">
      <c r="B81" t="s">
        <v>527</v>
      </c>
      <c r="C81" t="s">
        <v>122</v>
      </c>
      <c r="D81" t="s">
        <v>669</v>
      </c>
      <c r="E81" t="s">
        <v>669</v>
      </c>
      <c r="F81">
        <v>2</v>
      </c>
      <c r="G81">
        <v>208</v>
      </c>
      <c r="H81">
        <v>885</v>
      </c>
      <c r="I81" s="705">
        <v>59559</v>
      </c>
      <c r="J81" s="705">
        <v>49633</v>
      </c>
      <c r="K81">
        <v>53</v>
      </c>
      <c r="L81" s="705">
        <v>9406</v>
      </c>
      <c r="M81" s="705">
        <v>7838</v>
      </c>
      <c r="N81" s="705">
        <v>3544</v>
      </c>
      <c r="O81" s="705">
        <v>1313</v>
      </c>
      <c r="P81" s="705">
        <v>702</v>
      </c>
      <c r="Q81">
        <v>260</v>
      </c>
      <c r="R81" s="705">
        <v>12918</v>
      </c>
      <c r="S81" s="705">
        <v>10765</v>
      </c>
      <c r="T81" s="705">
        <v>5334</v>
      </c>
      <c r="U81" s="705">
        <v>1975</v>
      </c>
      <c r="V81" s="705">
        <v>71784</v>
      </c>
      <c r="W81" s="705">
        <f t="shared" si="4"/>
        <v>71784</v>
      </c>
      <c r="X81" s="705">
        <f t="shared" si="5"/>
        <v>91463</v>
      </c>
      <c r="Y81" s="705"/>
      <c r="AA81" t="s">
        <v>112</v>
      </c>
      <c r="AB81" t="s">
        <v>583</v>
      </c>
      <c r="AC81" t="s">
        <v>584</v>
      </c>
      <c r="AD81" s="705">
        <v>3</v>
      </c>
      <c r="AE81" s="705">
        <v>807</v>
      </c>
      <c r="AF81" s="705">
        <v>347</v>
      </c>
      <c r="AG81" s="705">
        <v>64637</v>
      </c>
      <c r="AH81" s="705">
        <v>58761</v>
      </c>
      <c r="AI81">
        <v>88</v>
      </c>
      <c r="AJ81" s="705">
        <v>10581</v>
      </c>
      <c r="AK81" s="705">
        <v>9619</v>
      </c>
      <c r="AL81" s="705">
        <v>19650</v>
      </c>
      <c r="AM81" s="705">
        <v>7278</v>
      </c>
      <c r="AN81" s="705">
        <v>1863</v>
      </c>
      <c r="AO81" s="705">
        <v>690</v>
      </c>
      <c r="AP81" s="705">
        <v>22005</v>
      </c>
      <c r="AQ81" s="705">
        <v>20005</v>
      </c>
      <c r="AR81" s="705">
        <v>4342</v>
      </c>
      <c r="AS81" s="705">
        <v>1608</v>
      </c>
      <c r="AT81" s="705">
        <v>97960</v>
      </c>
      <c r="AU81" s="705">
        <f t="shared" si="7"/>
        <v>97961</v>
      </c>
      <c r="AV81" s="705">
        <f t="shared" si="6"/>
        <v>123078</v>
      </c>
    </row>
    <row r="82" spans="2:48" ht="12.75" hidden="1" customHeight="1">
      <c r="B82" t="s">
        <v>527</v>
      </c>
      <c r="C82" t="s">
        <v>122</v>
      </c>
      <c r="D82" t="s">
        <v>667</v>
      </c>
      <c r="E82" t="s">
        <v>667</v>
      </c>
      <c r="F82">
        <v>1</v>
      </c>
      <c r="G82" s="705">
        <v>94</v>
      </c>
      <c r="H82" s="705">
        <v>430</v>
      </c>
      <c r="I82" s="705">
        <v>24598</v>
      </c>
      <c r="J82" s="705">
        <v>22362</v>
      </c>
      <c r="K82">
        <v>45</v>
      </c>
      <c r="L82" s="705">
        <v>4100</v>
      </c>
      <c r="M82" s="705">
        <v>3727</v>
      </c>
      <c r="N82" s="705">
        <v>1851</v>
      </c>
      <c r="O82" s="705">
        <v>686</v>
      </c>
      <c r="P82" s="705">
        <v>351</v>
      </c>
      <c r="Q82" s="705">
        <v>130</v>
      </c>
      <c r="R82" s="705">
        <v>9424</v>
      </c>
      <c r="S82" s="705">
        <v>8568</v>
      </c>
      <c r="T82" s="705">
        <v>0</v>
      </c>
      <c r="U82" s="705">
        <v>0</v>
      </c>
      <c r="V82" s="705">
        <v>35472</v>
      </c>
      <c r="W82" s="705">
        <f t="shared" si="4"/>
        <v>35473</v>
      </c>
      <c r="X82" s="705">
        <f t="shared" si="5"/>
        <v>40324</v>
      </c>
      <c r="Y82" s="705"/>
      <c r="AA82" t="s">
        <v>112</v>
      </c>
      <c r="AB82" t="s">
        <v>583</v>
      </c>
      <c r="AC82" t="s">
        <v>665</v>
      </c>
      <c r="AD82">
        <v>4</v>
      </c>
      <c r="AE82">
        <v>630</v>
      </c>
      <c r="AF82">
        <v>467</v>
      </c>
      <c r="AG82" s="705">
        <v>33692</v>
      </c>
      <c r="AH82" s="705">
        <v>30629</v>
      </c>
      <c r="AI82">
        <v>88</v>
      </c>
      <c r="AJ82" s="705">
        <v>7318</v>
      </c>
      <c r="AK82" s="705">
        <v>6653</v>
      </c>
      <c r="AL82" s="705">
        <v>9179</v>
      </c>
      <c r="AM82" s="705">
        <v>3400</v>
      </c>
      <c r="AN82" s="705">
        <v>3888</v>
      </c>
      <c r="AO82" s="705">
        <v>1440</v>
      </c>
      <c r="AP82" s="705">
        <v>19161</v>
      </c>
      <c r="AQ82" s="705">
        <v>17419</v>
      </c>
      <c r="AR82" s="705">
        <v>0</v>
      </c>
      <c r="AS82">
        <v>0</v>
      </c>
      <c r="AT82" s="705">
        <v>59540</v>
      </c>
      <c r="AU82" s="705">
        <f t="shared" si="7"/>
        <v>59541</v>
      </c>
      <c r="AV82" s="705">
        <f t="shared" si="6"/>
        <v>73238</v>
      </c>
    </row>
    <row r="83" spans="2:48" ht="12.75" hidden="1" customHeight="1">
      <c r="B83" t="s">
        <v>527</v>
      </c>
      <c r="C83" t="s">
        <v>122</v>
      </c>
      <c r="D83" t="s">
        <v>671</v>
      </c>
      <c r="E83" t="s">
        <v>671</v>
      </c>
      <c r="F83">
        <v>1</v>
      </c>
      <c r="G83" s="705">
        <v>170</v>
      </c>
      <c r="H83" s="705">
        <v>439</v>
      </c>
      <c r="I83" s="705">
        <v>51569</v>
      </c>
      <c r="J83" s="705">
        <v>46881</v>
      </c>
      <c r="K83">
        <v>45</v>
      </c>
      <c r="L83" s="705">
        <v>8595</v>
      </c>
      <c r="M83" s="705">
        <v>7813</v>
      </c>
      <c r="N83" s="705">
        <v>3728</v>
      </c>
      <c r="O83" s="705">
        <v>1381</v>
      </c>
      <c r="P83" s="705">
        <v>351</v>
      </c>
      <c r="Q83" s="705">
        <v>130</v>
      </c>
      <c r="R83" s="705">
        <v>6760</v>
      </c>
      <c r="S83" s="705">
        <v>6145</v>
      </c>
      <c r="T83" s="705">
        <v>3677</v>
      </c>
      <c r="U83" s="705">
        <v>1362</v>
      </c>
      <c r="V83" s="705">
        <v>63712</v>
      </c>
      <c r="W83" s="705">
        <f t="shared" si="4"/>
        <v>63712</v>
      </c>
      <c r="X83" s="705">
        <f t="shared" si="5"/>
        <v>74680</v>
      </c>
      <c r="Y83" s="705"/>
      <c r="AA83" t="s">
        <v>112</v>
      </c>
      <c r="AB83" t="s">
        <v>583</v>
      </c>
      <c r="AC83" t="s">
        <v>668</v>
      </c>
      <c r="AD83">
        <v>4</v>
      </c>
      <c r="AE83">
        <v>761</v>
      </c>
      <c r="AF83">
        <v>461</v>
      </c>
      <c r="AG83" s="705">
        <v>44796</v>
      </c>
      <c r="AH83" s="705">
        <v>40724</v>
      </c>
      <c r="AI83">
        <v>85</v>
      </c>
      <c r="AJ83" s="705">
        <v>5965</v>
      </c>
      <c r="AK83" s="705">
        <v>5422</v>
      </c>
      <c r="AL83" s="705">
        <v>9278</v>
      </c>
      <c r="AM83" s="705">
        <v>3436</v>
      </c>
      <c r="AN83" s="705">
        <v>3186</v>
      </c>
      <c r="AO83" s="705">
        <v>1180</v>
      </c>
      <c r="AP83" s="705">
        <v>24537</v>
      </c>
      <c r="AQ83" s="705">
        <v>22306</v>
      </c>
      <c r="AR83" s="705">
        <v>0</v>
      </c>
      <c r="AS83" s="705">
        <v>0</v>
      </c>
      <c r="AT83" s="705">
        <v>73069</v>
      </c>
      <c r="AU83" s="705">
        <f t="shared" si="7"/>
        <v>73068</v>
      </c>
      <c r="AV83" s="705">
        <f t="shared" si="6"/>
        <v>87762</v>
      </c>
    </row>
    <row r="84" spans="2:48" ht="12.75" hidden="1" customHeight="1">
      <c r="B84" t="s">
        <v>527</v>
      </c>
      <c r="C84" t="s">
        <v>122</v>
      </c>
      <c r="D84" t="s">
        <v>665</v>
      </c>
      <c r="E84" t="s">
        <v>228</v>
      </c>
      <c r="F84">
        <v>1</v>
      </c>
      <c r="G84" s="705">
        <v>71</v>
      </c>
      <c r="H84" s="705">
        <v>450</v>
      </c>
      <c r="I84" s="705">
        <v>22759</v>
      </c>
      <c r="J84" s="705">
        <v>20690</v>
      </c>
      <c r="K84">
        <v>60</v>
      </c>
      <c r="L84" s="705">
        <v>3724</v>
      </c>
      <c r="M84" s="705">
        <v>1379</v>
      </c>
      <c r="N84" s="705">
        <v>1505</v>
      </c>
      <c r="O84" s="705">
        <v>558</v>
      </c>
      <c r="P84" s="705">
        <v>0</v>
      </c>
      <c r="Q84" s="705">
        <v>0</v>
      </c>
      <c r="R84" s="705">
        <v>4131</v>
      </c>
      <c r="S84" s="705">
        <v>1530</v>
      </c>
      <c r="T84" s="705">
        <v>0</v>
      </c>
      <c r="U84" s="705">
        <v>0</v>
      </c>
      <c r="V84" s="705">
        <v>24157</v>
      </c>
      <c r="W84" s="705">
        <f t="shared" si="4"/>
        <v>24157</v>
      </c>
      <c r="X84" s="705">
        <f t="shared" si="5"/>
        <v>32119</v>
      </c>
      <c r="Y84" s="705"/>
      <c r="AA84" t="s">
        <v>112</v>
      </c>
      <c r="AB84" t="s">
        <v>666</v>
      </c>
      <c r="AC84" t="s">
        <v>666</v>
      </c>
      <c r="AD84">
        <v>1</v>
      </c>
      <c r="AE84">
        <v>236</v>
      </c>
      <c r="AF84">
        <v>123</v>
      </c>
      <c r="AG84" s="705">
        <v>19071</v>
      </c>
      <c r="AH84" s="705">
        <v>17337</v>
      </c>
      <c r="AI84">
        <v>75</v>
      </c>
      <c r="AJ84" s="705">
        <v>1718</v>
      </c>
      <c r="AK84" s="705">
        <v>1562</v>
      </c>
      <c r="AL84" s="705">
        <v>2875</v>
      </c>
      <c r="AM84" s="705">
        <v>1065</v>
      </c>
      <c r="AN84">
        <v>621</v>
      </c>
      <c r="AO84">
        <v>230</v>
      </c>
      <c r="AP84" s="705">
        <v>4817</v>
      </c>
      <c r="AQ84" s="705">
        <v>4379</v>
      </c>
      <c r="AR84">
        <v>0</v>
      </c>
      <c r="AS84">
        <v>0</v>
      </c>
      <c r="AT84" s="705">
        <v>24574</v>
      </c>
      <c r="AU84" s="705">
        <f t="shared" si="7"/>
        <v>24573</v>
      </c>
      <c r="AV84" s="705">
        <f t="shared" si="6"/>
        <v>29102</v>
      </c>
    </row>
    <row r="85" spans="2:48" ht="12.75" hidden="1" customHeight="1">
      <c r="B85" t="s">
        <v>527</v>
      </c>
      <c r="C85" t="s">
        <v>122</v>
      </c>
      <c r="D85" t="s">
        <v>665</v>
      </c>
      <c r="E85" t="s">
        <v>665</v>
      </c>
      <c r="F85">
        <v>26</v>
      </c>
      <c r="G85" s="705">
        <v>2343</v>
      </c>
      <c r="H85" s="705">
        <v>10852</v>
      </c>
      <c r="I85" s="705">
        <v>626088</v>
      </c>
      <c r="J85" s="705">
        <v>569171</v>
      </c>
      <c r="K85">
        <v>52</v>
      </c>
      <c r="L85" s="705">
        <v>87078</v>
      </c>
      <c r="M85" s="705">
        <v>71754</v>
      </c>
      <c r="N85" s="705">
        <v>44750</v>
      </c>
      <c r="O85" s="705">
        <v>16574</v>
      </c>
      <c r="P85" s="705">
        <v>9666</v>
      </c>
      <c r="Q85" s="705">
        <v>3580</v>
      </c>
      <c r="R85" s="705">
        <v>153296</v>
      </c>
      <c r="S85" s="705">
        <v>139360</v>
      </c>
      <c r="T85" s="705">
        <v>55410</v>
      </c>
      <c r="U85" s="705">
        <v>20522</v>
      </c>
      <c r="V85" s="705">
        <v>820962</v>
      </c>
      <c r="W85" s="705">
        <f t="shared" si="4"/>
        <v>820961</v>
      </c>
      <c r="X85" s="705">
        <f t="shared" si="5"/>
        <v>976288</v>
      </c>
      <c r="Y85" s="705"/>
      <c r="AA85" t="s">
        <v>112</v>
      </c>
      <c r="AB85" t="s">
        <v>584</v>
      </c>
      <c r="AC85" t="s">
        <v>582</v>
      </c>
      <c r="AD85">
        <v>1</v>
      </c>
      <c r="AE85">
        <v>152</v>
      </c>
      <c r="AF85">
        <v>106</v>
      </c>
      <c r="AG85" s="705">
        <v>16134</v>
      </c>
      <c r="AH85" s="705">
        <v>14667</v>
      </c>
      <c r="AI85">
        <v>90</v>
      </c>
      <c r="AJ85" s="705">
        <v>0</v>
      </c>
      <c r="AK85" s="705">
        <v>0</v>
      </c>
      <c r="AL85" s="705">
        <v>3583</v>
      </c>
      <c r="AM85" s="705">
        <v>1327</v>
      </c>
      <c r="AN85" s="705">
        <v>473</v>
      </c>
      <c r="AO85">
        <v>175</v>
      </c>
      <c r="AP85" s="705">
        <v>6125</v>
      </c>
      <c r="AQ85" s="705">
        <v>5568</v>
      </c>
      <c r="AR85" s="705">
        <v>0</v>
      </c>
      <c r="AS85" s="705">
        <v>0</v>
      </c>
      <c r="AT85" s="705">
        <v>21738</v>
      </c>
      <c r="AU85" s="705">
        <f t="shared" si="7"/>
        <v>21737</v>
      </c>
      <c r="AV85" s="705">
        <f t="shared" si="6"/>
        <v>26315</v>
      </c>
    </row>
    <row r="86" spans="2:48" ht="12.75" hidden="1" customHeight="1">
      <c r="B86" t="s">
        <v>527</v>
      </c>
      <c r="C86" t="s">
        <v>122</v>
      </c>
      <c r="D86" t="s">
        <v>673</v>
      </c>
      <c r="E86" t="s">
        <v>673</v>
      </c>
      <c r="F86">
        <v>1</v>
      </c>
      <c r="G86">
        <v>110</v>
      </c>
      <c r="H86" s="705">
        <v>429</v>
      </c>
      <c r="I86" s="705">
        <v>32485</v>
      </c>
      <c r="J86" s="705">
        <v>29532</v>
      </c>
      <c r="K86">
        <v>55</v>
      </c>
      <c r="L86" s="705">
        <v>3309</v>
      </c>
      <c r="M86" s="705">
        <v>3008</v>
      </c>
      <c r="N86" s="705">
        <v>2680</v>
      </c>
      <c r="O86" s="705">
        <v>993</v>
      </c>
      <c r="P86" s="705">
        <v>351</v>
      </c>
      <c r="Q86" s="705">
        <v>130</v>
      </c>
      <c r="R86" s="705">
        <v>5675</v>
      </c>
      <c r="S86" s="705">
        <v>5159</v>
      </c>
      <c r="T86" s="705">
        <v>2687</v>
      </c>
      <c r="U86">
        <v>995</v>
      </c>
      <c r="V86" s="705">
        <v>39817</v>
      </c>
      <c r="W86" s="705">
        <f t="shared" si="4"/>
        <v>39817</v>
      </c>
      <c r="X86" s="705">
        <f t="shared" si="5"/>
        <v>47187</v>
      </c>
      <c r="Y86" s="705"/>
      <c r="AA86" t="s">
        <v>112</v>
      </c>
      <c r="AB86" t="s">
        <v>584</v>
      </c>
      <c r="AC86" t="s">
        <v>228</v>
      </c>
      <c r="AD86">
        <v>15</v>
      </c>
      <c r="AE86" s="705">
        <v>3046</v>
      </c>
      <c r="AF86" s="705">
        <v>1677</v>
      </c>
      <c r="AG86" s="705">
        <v>179056</v>
      </c>
      <c r="AH86" s="705">
        <v>162779</v>
      </c>
      <c r="AI86">
        <v>90</v>
      </c>
      <c r="AJ86" s="705">
        <v>39834</v>
      </c>
      <c r="AK86" s="705">
        <v>34982</v>
      </c>
      <c r="AL86" s="705">
        <v>49143</v>
      </c>
      <c r="AM86" s="705">
        <v>18201</v>
      </c>
      <c r="AN86" s="705">
        <v>13896</v>
      </c>
      <c r="AO86" s="705">
        <v>5147</v>
      </c>
      <c r="AP86" s="705">
        <v>63161</v>
      </c>
      <c r="AQ86" s="705">
        <v>23393</v>
      </c>
      <c r="AR86" s="705">
        <v>0</v>
      </c>
      <c r="AS86" s="705">
        <v>0</v>
      </c>
      <c r="AT86" s="705">
        <v>244501</v>
      </c>
      <c r="AU86" s="705">
        <f t="shared" si="7"/>
        <v>244502</v>
      </c>
      <c r="AV86" s="705">
        <f t="shared" si="6"/>
        <v>345090</v>
      </c>
    </row>
    <row r="87" spans="2:48" ht="12.75" hidden="1" customHeight="1">
      <c r="B87" t="s">
        <v>527</v>
      </c>
      <c r="C87" t="s">
        <v>122</v>
      </c>
      <c r="D87" t="s">
        <v>585</v>
      </c>
      <c r="E87" t="s">
        <v>585</v>
      </c>
      <c r="F87" s="705">
        <v>1</v>
      </c>
      <c r="G87" s="705">
        <v>104</v>
      </c>
      <c r="H87" s="705">
        <v>438</v>
      </c>
      <c r="I87" s="705">
        <v>31750</v>
      </c>
      <c r="J87" s="705">
        <v>28864</v>
      </c>
      <c r="K87">
        <v>65</v>
      </c>
      <c r="L87" s="705">
        <v>3276</v>
      </c>
      <c r="M87" s="705">
        <v>2978</v>
      </c>
      <c r="N87" s="705">
        <v>1892</v>
      </c>
      <c r="O87" s="705">
        <v>701</v>
      </c>
      <c r="P87" s="705">
        <v>351</v>
      </c>
      <c r="Q87" s="705">
        <v>130</v>
      </c>
      <c r="R87" s="705">
        <v>8114</v>
      </c>
      <c r="S87" s="705">
        <v>7376</v>
      </c>
      <c r="T87" s="705">
        <v>0</v>
      </c>
      <c r="U87" s="705">
        <v>0</v>
      </c>
      <c r="V87" s="705">
        <v>40048</v>
      </c>
      <c r="W87" s="705">
        <f t="shared" si="4"/>
        <v>40049</v>
      </c>
      <c r="X87" s="705">
        <f t="shared" si="5"/>
        <v>45383</v>
      </c>
      <c r="Y87" s="705"/>
      <c r="AA87" t="s">
        <v>112</v>
      </c>
      <c r="AB87" t="s">
        <v>584</v>
      </c>
      <c r="AC87" t="s">
        <v>584</v>
      </c>
      <c r="AD87" s="705">
        <v>1602</v>
      </c>
      <c r="AE87" s="705">
        <v>315446</v>
      </c>
      <c r="AF87" s="705">
        <v>186382</v>
      </c>
      <c r="AG87" s="705">
        <v>20061636</v>
      </c>
      <c r="AH87" s="705">
        <v>18237850</v>
      </c>
      <c r="AI87">
        <v>90</v>
      </c>
      <c r="AJ87" s="705">
        <v>3731263</v>
      </c>
      <c r="AK87" s="705">
        <v>3842585</v>
      </c>
      <c r="AL87" s="705">
        <v>5511898</v>
      </c>
      <c r="AM87" s="705">
        <v>2041444</v>
      </c>
      <c r="AN87" s="705">
        <v>1000223</v>
      </c>
      <c r="AO87" s="705">
        <v>370453</v>
      </c>
      <c r="AP87" s="705">
        <v>7743253</v>
      </c>
      <c r="AQ87" s="705">
        <v>7039321</v>
      </c>
      <c r="AR87" s="705">
        <v>96096</v>
      </c>
      <c r="AS87" s="705">
        <v>35591</v>
      </c>
      <c r="AT87" s="705">
        <v>31567244</v>
      </c>
      <c r="AU87" s="705">
        <f t="shared" si="7"/>
        <v>31567244</v>
      </c>
      <c r="AV87" s="705">
        <f t="shared" si="6"/>
        <v>38144369</v>
      </c>
    </row>
    <row r="88" spans="2:48" ht="12.75" hidden="1" customHeight="1">
      <c r="B88" t="s">
        <v>527</v>
      </c>
      <c r="C88" t="s">
        <v>124</v>
      </c>
      <c r="D88" t="s">
        <v>674</v>
      </c>
      <c r="E88" t="s">
        <v>674</v>
      </c>
      <c r="F88">
        <v>1</v>
      </c>
      <c r="G88" s="705">
        <v>69</v>
      </c>
      <c r="H88" s="705">
        <v>519</v>
      </c>
      <c r="I88" s="705">
        <v>23356</v>
      </c>
      <c r="J88" s="705">
        <v>21232</v>
      </c>
      <c r="K88">
        <v>45</v>
      </c>
      <c r="L88" s="705">
        <v>3893</v>
      </c>
      <c r="M88" s="705">
        <v>3539</v>
      </c>
      <c r="N88" s="705">
        <v>1030</v>
      </c>
      <c r="O88" s="705">
        <v>381</v>
      </c>
      <c r="P88" s="705">
        <v>351</v>
      </c>
      <c r="Q88" s="705">
        <v>130</v>
      </c>
      <c r="R88" s="705">
        <v>7010</v>
      </c>
      <c r="S88" s="705">
        <v>6373</v>
      </c>
      <c r="T88" s="705">
        <v>0</v>
      </c>
      <c r="U88" s="705">
        <v>0</v>
      </c>
      <c r="V88" s="705">
        <v>31655</v>
      </c>
      <c r="W88" s="705">
        <f t="shared" si="4"/>
        <v>31655</v>
      </c>
      <c r="X88" s="705">
        <f t="shared" si="5"/>
        <v>35640</v>
      </c>
      <c r="Y88" s="705"/>
      <c r="AA88" t="s">
        <v>112</v>
      </c>
      <c r="AB88" t="s">
        <v>665</v>
      </c>
      <c r="AC88" t="s">
        <v>582</v>
      </c>
      <c r="AD88">
        <v>1</v>
      </c>
      <c r="AE88">
        <v>252</v>
      </c>
      <c r="AF88">
        <v>120</v>
      </c>
      <c r="AG88" s="705">
        <v>14486</v>
      </c>
      <c r="AH88" s="705">
        <v>13169</v>
      </c>
      <c r="AI88">
        <v>91</v>
      </c>
      <c r="AJ88" s="705">
        <v>2323</v>
      </c>
      <c r="AK88" s="705">
        <v>2112</v>
      </c>
      <c r="AL88" s="705">
        <v>6068</v>
      </c>
      <c r="AM88" s="705">
        <v>2247</v>
      </c>
      <c r="AN88" s="705">
        <v>3240</v>
      </c>
      <c r="AO88" s="705">
        <v>1200</v>
      </c>
      <c r="AP88" s="705">
        <v>4078</v>
      </c>
      <c r="AQ88" s="705">
        <v>3707</v>
      </c>
      <c r="AR88">
        <v>0</v>
      </c>
      <c r="AS88">
        <v>0</v>
      </c>
      <c r="AT88" s="705">
        <v>22436</v>
      </c>
      <c r="AU88" s="705">
        <f t="shared" si="7"/>
        <v>22435</v>
      </c>
      <c r="AV88" s="705">
        <f t="shared" si="6"/>
        <v>30195</v>
      </c>
    </row>
    <row r="89" spans="2:48" ht="12.75" hidden="1" customHeight="1">
      <c r="B89" t="s">
        <v>527</v>
      </c>
      <c r="C89" t="s">
        <v>124</v>
      </c>
      <c r="D89" t="s">
        <v>228</v>
      </c>
      <c r="E89" t="s">
        <v>228</v>
      </c>
      <c r="F89">
        <v>49</v>
      </c>
      <c r="G89" s="705">
        <v>5035</v>
      </c>
      <c r="H89" s="705">
        <v>34146</v>
      </c>
      <c r="I89" s="705">
        <v>2505609</v>
      </c>
      <c r="J89" s="705">
        <v>928003</v>
      </c>
      <c r="K89">
        <v>100</v>
      </c>
      <c r="L89" s="705">
        <v>460882</v>
      </c>
      <c r="M89" s="705">
        <v>375253</v>
      </c>
      <c r="N89" s="705">
        <v>111304</v>
      </c>
      <c r="O89" s="705">
        <v>41224</v>
      </c>
      <c r="P89" s="705">
        <v>702</v>
      </c>
      <c r="Q89" s="705">
        <v>260</v>
      </c>
      <c r="R89" s="705">
        <v>344280</v>
      </c>
      <c r="S89" s="705">
        <v>127511</v>
      </c>
      <c r="T89" s="705">
        <v>0</v>
      </c>
      <c r="U89" s="705">
        <v>0</v>
      </c>
      <c r="V89" s="705">
        <v>1472251</v>
      </c>
      <c r="W89" s="705">
        <f t="shared" si="4"/>
        <v>1472251</v>
      </c>
      <c r="X89" s="705">
        <f t="shared" si="5"/>
        <v>3422777</v>
      </c>
      <c r="Y89" s="705"/>
      <c r="AA89" t="s">
        <v>112</v>
      </c>
      <c r="AB89" t="s">
        <v>665</v>
      </c>
      <c r="AC89" t="s">
        <v>228</v>
      </c>
      <c r="AD89">
        <v>1</v>
      </c>
      <c r="AE89" s="705">
        <v>371</v>
      </c>
      <c r="AF89" s="705">
        <v>109</v>
      </c>
      <c r="AG89" s="705">
        <v>27710</v>
      </c>
      <c r="AH89" s="705">
        <v>25191</v>
      </c>
      <c r="AI89">
        <v>80</v>
      </c>
      <c r="AJ89" s="705">
        <v>4105</v>
      </c>
      <c r="AK89" s="705">
        <v>3732</v>
      </c>
      <c r="AL89" s="705">
        <v>4519</v>
      </c>
      <c r="AM89" s="705">
        <v>1674</v>
      </c>
      <c r="AN89" s="705">
        <v>351</v>
      </c>
      <c r="AO89" s="705">
        <v>130</v>
      </c>
      <c r="AP89" s="705">
        <v>3776</v>
      </c>
      <c r="AQ89" s="705">
        <v>1398</v>
      </c>
      <c r="AR89" s="705">
        <v>0</v>
      </c>
      <c r="AS89" s="705">
        <v>0</v>
      </c>
      <c r="AT89" s="705">
        <v>32125</v>
      </c>
      <c r="AU89" s="705">
        <f t="shared" si="7"/>
        <v>32125</v>
      </c>
      <c r="AV89" s="705">
        <f t="shared" si="6"/>
        <v>40461</v>
      </c>
    </row>
    <row r="90" spans="2:48" ht="12.75" hidden="1" customHeight="1">
      <c r="B90" t="s">
        <v>527</v>
      </c>
      <c r="C90" t="s">
        <v>124</v>
      </c>
      <c r="D90" t="s">
        <v>228</v>
      </c>
      <c r="E90" t="s">
        <v>665</v>
      </c>
      <c r="F90">
        <v>4</v>
      </c>
      <c r="G90" s="705">
        <v>369</v>
      </c>
      <c r="H90" s="705">
        <v>2978</v>
      </c>
      <c r="I90" s="705">
        <v>211605</v>
      </c>
      <c r="J90" s="705">
        <v>78372</v>
      </c>
      <c r="K90">
        <v>100</v>
      </c>
      <c r="L90" s="705">
        <v>27562</v>
      </c>
      <c r="M90" s="705">
        <v>25056</v>
      </c>
      <c r="N90" s="705">
        <v>7180</v>
      </c>
      <c r="O90" s="705">
        <v>2659</v>
      </c>
      <c r="P90" s="705">
        <v>0</v>
      </c>
      <c r="Q90" s="705">
        <v>0</v>
      </c>
      <c r="R90" s="705">
        <v>24520</v>
      </c>
      <c r="S90" s="705">
        <v>22290</v>
      </c>
      <c r="T90" s="705">
        <v>10241</v>
      </c>
      <c r="U90" s="705">
        <v>3793</v>
      </c>
      <c r="V90" s="705">
        <v>132171</v>
      </c>
      <c r="W90" s="705">
        <f t="shared" si="4"/>
        <v>132170</v>
      </c>
      <c r="X90" s="705">
        <f t="shared" si="5"/>
        <v>281108</v>
      </c>
      <c r="Y90" s="705"/>
      <c r="AA90" t="s">
        <v>112</v>
      </c>
      <c r="AB90" t="s">
        <v>665</v>
      </c>
      <c r="AC90" t="s">
        <v>665</v>
      </c>
      <c r="AD90">
        <v>8</v>
      </c>
      <c r="AE90" s="705">
        <v>1758</v>
      </c>
      <c r="AF90" s="705">
        <v>958</v>
      </c>
      <c r="AG90" s="705">
        <v>131113</v>
      </c>
      <c r="AH90" s="705">
        <v>119194</v>
      </c>
      <c r="AI90">
        <v>69</v>
      </c>
      <c r="AJ90" s="705">
        <v>8850</v>
      </c>
      <c r="AK90" s="705">
        <v>6119</v>
      </c>
      <c r="AL90" s="705">
        <v>27803</v>
      </c>
      <c r="AM90" s="705">
        <v>10298</v>
      </c>
      <c r="AN90" s="705">
        <v>11504</v>
      </c>
      <c r="AO90" s="705">
        <v>4261</v>
      </c>
      <c r="AP90" s="705">
        <v>41976</v>
      </c>
      <c r="AQ90" s="705">
        <v>38160</v>
      </c>
      <c r="AR90" s="705">
        <v>9</v>
      </c>
      <c r="AS90" s="705">
        <v>3</v>
      </c>
      <c r="AT90" s="705">
        <v>178034</v>
      </c>
      <c r="AU90" s="705">
        <f t="shared" si="7"/>
        <v>178035</v>
      </c>
      <c r="AV90" s="705">
        <f t="shared" si="6"/>
        <v>221255</v>
      </c>
    </row>
    <row r="91" spans="2:48" ht="12.75" hidden="1" customHeight="1">
      <c r="B91" t="s">
        <v>527</v>
      </c>
      <c r="C91" t="s">
        <v>124</v>
      </c>
      <c r="D91" t="s">
        <v>583</v>
      </c>
      <c r="E91" t="s">
        <v>228</v>
      </c>
      <c r="F91">
        <v>4</v>
      </c>
      <c r="G91" s="705">
        <v>533</v>
      </c>
      <c r="H91" s="705">
        <v>2357</v>
      </c>
      <c r="I91" s="705">
        <v>190860</v>
      </c>
      <c r="J91" s="705">
        <v>173509</v>
      </c>
      <c r="K91">
        <v>74</v>
      </c>
      <c r="L91" s="705">
        <v>51539</v>
      </c>
      <c r="M91" s="705">
        <v>41129</v>
      </c>
      <c r="N91" s="705">
        <v>12243</v>
      </c>
      <c r="O91" s="705">
        <v>4535</v>
      </c>
      <c r="P91" s="705">
        <v>2484</v>
      </c>
      <c r="Q91" s="705">
        <v>920</v>
      </c>
      <c r="R91" s="705">
        <v>55750</v>
      </c>
      <c r="S91" s="705">
        <v>20648</v>
      </c>
      <c r="T91" s="705">
        <v>0</v>
      </c>
      <c r="U91" s="705">
        <v>0</v>
      </c>
      <c r="V91" s="705">
        <v>240741</v>
      </c>
      <c r="W91" s="705">
        <f t="shared" si="4"/>
        <v>240741</v>
      </c>
      <c r="X91" s="705">
        <f t="shared" si="5"/>
        <v>312876</v>
      </c>
      <c r="Y91" s="705"/>
      <c r="AA91" t="s">
        <v>112</v>
      </c>
      <c r="AB91" t="s">
        <v>673</v>
      </c>
      <c r="AC91" t="s">
        <v>228</v>
      </c>
      <c r="AD91" s="705">
        <v>3</v>
      </c>
      <c r="AE91" s="705">
        <v>656</v>
      </c>
      <c r="AF91" s="705">
        <v>350</v>
      </c>
      <c r="AG91" s="705">
        <v>40208</v>
      </c>
      <c r="AH91" s="705">
        <v>36553</v>
      </c>
      <c r="AI91">
        <v>78</v>
      </c>
      <c r="AJ91" s="705">
        <v>5869</v>
      </c>
      <c r="AK91" s="705">
        <v>3786</v>
      </c>
      <c r="AL91" s="705">
        <v>8428</v>
      </c>
      <c r="AM91" s="705">
        <v>3122</v>
      </c>
      <c r="AN91" s="705">
        <v>5756</v>
      </c>
      <c r="AO91" s="705">
        <v>2132</v>
      </c>
      <c r="AP91" s="705">
        <v>16906</v>
      </c>
      <c r="AQ91" s="705">
        <v>6261</v>
      </c>
      <c r="AR91" s="705">
        <v>0</v>
      </c>
      <c r="AS91" s="705">
        <v>0</v>
      </c>
      <c r="AT91" s="705">
        <v>51854</v>
      </c>
      <c r="AU91" s="705">
        <f t="shared" si="7"/>
        <v>51854</v>
      </c>
      <c r="AV91" s="705">
        <f t="shared" si="6"/>
        <v>77167</v>
      </c>
    </row>
    <row r="92" spans="2:48" ht="12.75" hidden="1" customHeight="1">
      <c r="B92" t="s">
        <v>527</v>
      </c>
      <c r="C92" t="s">
        <v>124</v>
      </c>
      <c r="D92" t="s">
        <v>583</v>
      </c>
      <c r="E92" t="s">
        <v>583</v>
      </c>
      <c r="F92">
        <v>240</v>
      </c>
      <c r="G92" s="705">
        <v>24856</v>
      </c>
      <c r="H92" s="705">
        <v>133490</v>
      </c>
      <c r="I92" s="705">
        <v>9544723</v>
      </c>
      <c r="J92" s="705">
        <v>8677021</v>
      </c>
      <c r="K92">
        <v>71</v>
      </c>
      <c r="L92" s="705">
        <v>1860899</v>
      </c>
      <c r="M92" s="705">
        <v>1675191</v>
      </c>
      <c r="N92" s="705">
        <v>521543</v>
      </c>
      <c r="O92" s="705">
        <v>193164</v>
      </c>
      <c r="P92" s="705">
        <v>148905</v>
      </c>
      <c r="Q92" s="705">
        <v>55150</v>
      </c>
      <c r="R92" s="705">
        <v>1302113</v>
      </c>
      <c r="S92" s="705">
        <v>1183739</v>
      </c>
      <c r="T92" s="705">
        <v>385864</v>
      </c>
      <c r="U92" s="705">
        <v>142913</v>
      </c>
      <c r="V92" s="705">
        <v>11927178</v>
      </c>
      <c r="W92" s="705">
        <f t="shared" si="4"/>
        <v>11927178</v>
      </c>
      <c r="X92" s="705">
        <f t="shared" si="5"/>
        <v>13764047</v>
      </c>
      <c r="Y92" s="705"/>
      <c r="AA92" t="s">
        <v>112</v>
      </c>
      <c r="AB92" t="s">
        <v>673</v>
      </c>
      <c r="AC92" t="s">
        <v>673</v>
      </c>
      <c r="AD92">
        <v>8</v>
      </c>
      <c r="AE92" s="705">
        <v>2009</v>
      </c>
      <c r="AF92">
        <v>924</v>
      </c>
      <c r="AG92" s="705">
        <v>141075</v>
      </c>
      <c r="AH92" s="705">
        <v>128250</v>
      </c>
      <c r="AI92">
        <v>79</v>
      </c>
      <c r="AJ92" s="705">
        <v>17438</v>
      </c>
      <c r="AK92" s="705">
        <v>15853</v>
      </c>
      <c r="AL92" s="705">
        <v>30759</v>
      </c>
      <c r="AM92" s="705">
        <v>11392</v>
      </c>
      <c r="AN92" s="705">
        <v>11598</v>
      </c>
      <c r="AO92" s="705">
        <v>4295</v>
      </c>
      <c r="AP92" s="705">
        <v>41214</v>
      </c>
      <c r="AQ92" s="705">
        <v>37467</v>
      </c>
      <c r="AR92" s="705">
        <v>3721</v>
      </c>
      <c r="AS92" s="705">
        <v>1378</v>
      </c>
      <c r="AT92" s="705">
        <v>198636</v>
      </c>
      <c r="AU92" s="705">
        <f t="shared" si="7"/>
        <v>198635</v>
      </c>
      <c r="AV92" s="705">
        <f t="shared" si="6"/>
        <v>245805</v>
      </c>
    </row>
    <row r="93" spans="2:48" ht="12.75" hidden="1" customHeight="1">
      <c r="B93" t="s">
        <v>527</v>
      </c>
      <c r="C93" t="s">
        <v>124</v>
      </c>
      <c r="D93" t="s">
        <v>583</v>
      </c>
      <c r="E93" t="s">
        <v>665</v>
      </c>
      <c r="F93">
        <v>1</v>
      </c>
      <c r="G93" s="705">
        <v>203</v>
      </c>
      <c r="H93" s="705">
        <v>491</v>
      </c>
      <c r="I93" s="705">
        <v>68102</v>
      </c>
      <c r="J93" s="705">
        <v>61910</v>
      </c>
      <c r="K93">
        <v>65</v>
      </c>
      <c r="L93" s="705">
        <v>15588</v>
      </c>
      <c r="M93" s="705">
        <v>14171</v>
      </c>
      <c r="N93" s="705">
        <v>3972</v>
      </c>
      <c r="O93" s="705">
        <v>1471</v>
      </c>
      <c r="P93" s="705">
        <v>621</v>
      </c>
      <c r="Q93" s="705">
        <v>230</v>
      </c>
      <c r="R93" s="705">
        <v>8102</v>
      </c>
      <c r="S93" s="705">
        <v>7365</v>
      </c>
      <c r="T93" s="705">
        <v>3100</v>
      </c>
      <c r="U93" s="705">
        <v>1148</v>
      </c>
      <c r="V93" s="705">
        <v>86296</v>
      </c>
      <c r="W93" s="705">
        <f t="shared" si="4"/>
        <v>86295</v>
      </c>
      <c r="X93" s="705">
        <f t="shared" si="5"/>
        <v>99485</v>
      </c>
      <c r="Y93" s="705"/>
      <c r="AA93" t="s">
        <v>112</v>
      </c>
      <c r="AB93" t="s">
        <v>585</v>
      </c>
      <c r="AC93" t="s">
        <v>585</v>
      </c>
      <c r="AD93">
        <v>66</v>
      </c>
      <c r="AE93" s="705">
        <v>13803</v>
      </c>
      <c r="AF93" s="705">
        <v>7736</v>
      </c>
      <c r="AG93" s="705">
        <v>988905</v>
      </c>
      <c r="AH93" s="705">
        <v>899005</v>
      </c>
      <c r="AI93">
        <v>88</v>
      </c>
      <c r="AJ93" s="705">
        <v>154995</v>
      </c>
      <c r="AK93" s="705">
        <v>135996</v>
      </c>
      <c r="AL93" s="705">
        <v>239674</v>
      </c>
      <c r="AM93" s="705">
        <v>88768</v>
      </c>
      <c r="AN93" s="705">
        <v>72260</v>
      </c>
      <c r="AO93" s="705">
        <v>26763</v>
      </c>
      <c r="AP93" s="705">
        <v>269232</v>
      </c>
      <c r="AQ93" s="705">
        <v>244756</v>
      </c>
      <c r="AR93" s="705">
        <v>3520</v>
      </c>
      <c r="AS93" s="705">
        <v>1304</v>
      </c>
      <c r="AT93" s="705">
        <v>1396592</v>
      </c>
      <c r="AU93" s="705">
        <f t="shared" si="7"/>
        <v>1396592</v>
      </c>
      <c r="AV93" s="705">
        <f t="shared" si="6"/>
        <v>1728586</v>
      </c>
    </row>
    <row r="94" spans="2:48" ht="12.75" hidden="1" customHeight="1">
      <c r="B94" t="s">
        <v>527</v>
      </c>
      <c r="C94" t="s">
        <v>124</v>
      </c>
      <c r="D94" t="s">
        <v>666</v>
      </c>
      <c r="E94" t="s">
        <v>228</v>
      </c>
      <c r="F94">
        <v>1</v>
      </c>
      <c r="G94" s="705">
        <v>45</v>
      </c>
      <c r="H94" s="705">
        <v>695</v>
      </c>
      <c r="I94" s="705">
        <v>23486</v>
      </c>
      <c r="J94" s="705">
        <v>21351</v>
      </c>
      <c r="K94">
        <v>30</v>
      </c>
      <c r="L94" s="705">
        <v>1922</v>
      </c>
      <c r="M94" s="705">
        <v>712</v>
      </c>
      <c r="N94" s="705">
        <v>1108</v>
      </c>
      <c r="O94" s="705">
        <v>410</v>
      </c>
      <c r="P94" s="705">
        <v>0</v>
      </c>
      <c r="Q94" s="705">
        <v>0</v>
      </c>
      <c r="R94" s="705">
        <v>5093</v>
      </c>
      <c r="S94" s="705">
        <v>1886</v>
      </c>
      <c r="T94" s="705">
        <v>0</v>
      </c>
      <c r="U94" s="705">
        <v>0</v>
      </c>
      <c r="V94" s="705">
        <v>24359</v>
      </c>
      <c r="W94" s="705">
        <f t="shared" si="4"/>
        <v>24359</v>
      </c>
      <c r="X94" s="705">
        <f t="shared" si="5"/>
        <v>31609</v>
      </c>
      <c r="Y94" s="705"/>
      <c r="AA94" t="s">
        <v>112</v>
      </c>
      <c r="AB94" t="s">
        <v>668</v>
      </c>
      <c r="AC94" t="s">
        <v>668</v>
      </c>
      <c r="AD94">
        <v>1</v>
      </c>
      <c r="AE94" s="705">
        <v>184</v>
      </c>
      <c r="AF94" s="705">
        <v>112</v>
      </c>
      <c r="AG94" s="705">
        <v>15319</v>
      </c>
      <c r="AH94" s="705">
        <v>13926</v>
      </c>
      <c r="AI94">
        <v>65</v>
      </c>
      <c r="AJ94" s="705">
        <v>0</v>
      </c>
      <c r="AK94" s="705">
        <v>0</v>
      </c>
      <c r="AL94" s="705">
        <v>2236</v>
      </c>
      <c r="AM94" s="705">
        <v>828</v>
      </c>
      <c r="AN94" s="705">
        <v>2002</v>
      </c>
      <c r="AO94" s="705">
        <v>741</v>
      </c>
      <c r="AP94" s="705">
        <v>934</v>
      </c>
      <c r="AQ94" s="705">
        <v>849</v>
      </c>
      <c r="AR94" s="705">
        <v>0</v>
      </c>
      <c r="AS94" s="705">
        <v>0</v>
      </c>
      <c r="AT94" s="705">
        <v>16345</v>
      </c>
      <c r="AU94" s="705">
        <f t="shared" si="7"/>
        <v>16344</v>
      </c>
      <c r="AV94" s="705">
        <f t="shared" si="6"/>
        <v>20491</v>
      </c>
    </row>
    <row r="95" spans="2:48" hidden="1">
      <c r="B95" t="s">
        <v>527</v>
      </c>
      <c r="C95" t="s">
        <v>124</v>
      </c>
      <c r="D95" t="s">
        <v>666</v>
      </c>
      <c r="E95" t="s">
        <v>666</v>
      </c>
      <c r="F95">
        <v>6</v>
      </c>
      <c r="G95">
        <v>464</v>
      </c>
      <c r="H95" s="705">
        <v>4209</v>
      </c>
      <c r="I95" s="705">
        <v>215437</v>
      </c>
      <c r="J95" s="705">
        <v>195852</v>
      </c>
      <c r="K95">
        <v>47</v>
      </c>
      <c r="L95" s="705">
        <v>27468</v>
      </c>
      <c r="M95" s="705">
        <v>24971</v>
      </c>
      <c r="N95" s="705">
        <v>8510</v>
      </c>
      <c r="O95" s="705">
        <v>3152</v>
      </c>
      <c r="P95" s="705">
        <v>1755</v>
      </c>
      <c r="Q95">
        <v>650</v>
      </c>
      <c r="R95" s="705">
        <v>49699</v>
      </c>
      <c r="S95" s="705">
        <v>45181</v>
      </c>
      <c r="T95" s="705">
        <v>13668</v>
      </c>
      <c r="U95" s="705">
        <v>5062</v>
      </c>
      <c r="V95" s="705">
        <v>274868</v>
      </c>
      <c r="W95" s="705">
        <f t="shared" si="4"/>
        <v>274868</v>
      </c>
      <c r="X95" s="705">
        <f t="shared" si="5"/>
        <v>316537</v>
      </c>
      <c r="Y95" s="705"/>
      <c r="AA95" t="s">
        <v>114</v>
      </c>
      <c r="AD95">
        <v>14</v>
      </c>
      <c r="AE95" s="705">
        <v>2402</v>
      </c>
      <c r="AF95" s="705">
        <v>1974</v>
      </c>
      <c r="AG95" s="705"/>
      <c r="AH95" s="705">
        <v>0</v>
      </c>
      <c r="AJ95" s="705"/>
      <c r="AK95" s="705">
        <v>0</v>
      </c>
      <c r="AL95" s="705">
        <v>40679</v>
      </c>
      <c r="AM95" s="705">
        <v>15066</v>
      </c>
      <c r="AN95" s="705">
        <v>8924</v>
      </c>
      <c r="AO95" s="705">
        <v>3305</v>
      </c>
      <c r="AP95" s="705"/>
      <c r="AQ95" s="705">
        <v>0</v>
      </c>
      <c r="AR95" s="705">
        <v>0</v>
      </c>
      <c r="AS95" s="705">
        <v>0</v>
      </c>
      <c r="AT95" s="705">
        <v>18371</v>
      </c>
      <c r="AU95" s="705">
        <f t="shared" si="7"/>
        <v>18371</v>
      </c>
      <c r="AV95" s="705">
        <f t="shared" si="6"/>
        <v>49603</v>
      </c>
    </row>
    <row r="96" spans="2:48" ht="12.75" hidden="1" customHeight="1">
      <c r="B96" t="s">
        <v>527</v>
      </c>
      <c r="C96" t="s">
        <v>124</v>
      </c>
      <c r="D96" t="s">
        <v>584</v>
      </c>
      <c r="E96" t="s">
        <v>584</v>
      </c>
      <c r="F96">
        <v>8</v>
      </c>
      <c r="G96" s="705">
        <v>836</v>
      </c>
      <c r="H96" s="705">
        <v>4006</v>
      </c>
      <c r="I96" s="705">
        <v>286175</v>
      </c>
      <c r="J96" s="705">
        <v>260159</v>
      </c>
      <c r="K96">
        <v>71</v>
      </c>
      <c r="L96" s="705">
        <v>70155</v>
      </c>
      <c r="M96" s="705">
        <v>61127</v>
      </c>
      <c r="N96" s="705">
        <v>18631</v>
      </c>
      <c r="O96" s="705">
        <v>6900</v>
      </c>
      <c r="P96" s="705">
        <v>3659</v>
      </c>
      <c r="Q96" s="705">
        <v>1355</v>
      </c>
      <c r="R96" s="705">
        <v>38245</v>
      </c>
      <c r="S96" s="705">
        <v>34768</v>
      </c>
      <c r="T96" s="705">
        <v>17839</v>
      </c>
      <c r="U96" s="705">
        <v>6607</v>
      </c>
      <c r="V96" s="705">
        <v>370916</v>
      </c>
      <c r="W96" s="705">
        <f t="shared" si="4"/>
        <v>370916</v>
      </c>
      <c r="X96" s="705">
        <f t="shared" si="5"/>
        <v>434704</v>
      </c>
      <c r="Y96" s="705"/>
      <c r="AA96" t="s">
        <v>114</v>
      </c>
      <c r="AB96" t="s">
        <v>664</v>
      </c>
      <c r="AC96" t="s">
        <v>664</v>
      </c>
      <c r="AD96">
        <v>35</v>
      </c>
      <c r="AE96" s="705">
        <v>8518</v>
      </c>
      <c r="AF96" s="705">
        <v>4827</v>
      </c>
      <c r="AG96" s="705">
        <v>741623</v>
      </c>
      <c r="AH96" s="705">
        <v>674203</v>
      </c>
      <c r="AI96">
        <v>88</v>
      </c>
      <c r="AJ96" s="705">
        <v>137652</v>
      </c>
      <c r="AK96" s="705">
        <v>123141</v>
      </c>
      <c r="AL96" s="705">
        <v>163291</v>
      </c>
      <c r="AM96" s="705">
        <v>60478</v>
      </c>
      <c r="AN96" s="705">
        <v>21749</v>
      </c>
      <c r="AO96" s="705">
        <v>8055</v>
      </c>
      <c r="AP96" s="705">
        <v>199514</v>
      </c>
      <c r="AQ96" s="705">
        <v>181377</v>
      </c>
      <c r="AR96" s="705">
        <v>4322</v>
      </c>
      <c r="AS96" s="705">
        <v>1601</v>
      </c>
      <c r="AT96" s="705">
        <v>1048855</v>
      </c>
      <c r="AU96" s="705">
        <f t="shared" si="7"/>
        <v>1048855</v>
      </c>
      <c r="AV96" s="705">
        <f t="shared" si="6"/>
        <v>1268151</v>
      </c>
    </row>
    <row r="97" spans="2:48" ht="12.75" hidden="1" customHeight="1">
      <c r="B97" t="s">
        <v>527</v>
      </c>
      <c r="C97" t="s">
        <v>124</v>
      </c>
      <c r="D97" t="s">
        <v>669</v>
      </c>
      <c r="E97" t="s">
        <v>228</v>
      </c>
      <c r="F97">
        <v>1</v>
      </c>
      <c r="G97" s="705">
        <v>82</v>
      </c>
      <c r="H97" s="705">
        <v>463</v>
      </c>
      <c r="I97" s="705">
        <v>22977</v>
      </c>
      <c r="J97" s="705">
        <v>19147</v>
      </c>
      <c r="K97">
        <v>60</v>
      </c>
      <c r="L97" s="705">
        <v>5106</v>
      </c>
      <c r="M97" s="705">
        <v>4255</v>
      </c>
      <c r="N97" s="705">
        <v>1109</v>
      </c>
      <c r="O97" s="705">
        <v>411</v>
      </c>
      <c r="P97" s="705">
        <v>0</v>
      </c>
      <c r="Q97" s="705">
        <v>0</v>
      </c>
      <c r="R97" s="705">
        <v>8805</v>
      </c>
      <c r="S97" s="705">
        <v>3261</v>
      </c>
      <c r="T97" s="705">
        <v>0</v>
      </c>
      <c r="U97" s="705">
        <v>0</v>
      </c>
      <c r="V97" s="705">
        <v>27074</v>
      </c>
      <c r="W97" s="705">
        <f t="shared" si="4"/>
        <v>27074</v>
      </c>
      <c r="X97" s="705">
        <f t="shared" si="5"/>
        <v>37997</v>
      </c>
      <c r="Y97" s="705"/>
      <c r="AA97" t="s">
        <v>114</v>
      </c>
      <c r="AB97" t="s">
        <v>664</v>
      </c>
      <c r="AC97" t="s">
        <v>582</v>
      </c>
      <c r="AD97">
        <v>4</v>
      </c>
      <c r="AE97" s="705">
        <v>748</v>
      </c>
      <c r="AF97" s="705">
        <v>546</v>
      </c>
      <c r="AG97" s="705">
        <v>68982</v>
      </c>
      <c r="AH97" s="705">
        <v>62711</v>
      </c>
      <c r="AI97">
        <v>91</v>
      </c>
      <c r="AJ97" s="705">
        <v>12913</v>
      </c>
      <c r="AK97" s="705">
        <v>11463</v>
      </c>
      <c r="AL97" s="705">
        <v>17977</v>
      </c>
      <c r="AM97" s="705">
        <v>6658</v>
      </c>
      <c r="AN97" s="705">
        <v>2241</v>
      </c>
      <c r="AO97" s="705">
        <v>830</v>
      </c>
      <c r="AP97" s="705">
        <v>23754</v>
      </c>
      <c r="AQ97" s="705">
        <v>21595</v>
      </c>
      <c r="AR97" s="705">
        <v>0</v>
      </c>
      <c r="AS97" s="705">
        <v>0</v>
      </c>
      <c r="AT97" s="705">
        <v>103257</v>
      </c>
      <c r="AU97" s="705">
        <f t="shared" si="7"/>
        <v>103257</v>
      </c>
      <c r="AV97" s="705">
        <f t="shared" si="6"/>
        <v>125867</v>
      </c>
    </row>
    <row r="98" spans="2:48" ht="12.75" hidden="1" customHeight="1">
      <c r="B98" t="s">
        <v>527</v>
      </c>
      <c r="C98" t="s">
        <v>124</v>
      </c>
      <c r="D98" t="s">
        <v>669</v>
      </c>
      <c r="E98" t="s">
        <v>669</v>
      </c>
      <c r="F98">
        <v>9</v>
      </c>
      <c r="G98">
        <v>751</v>
      </c>
      <c r="H98" s="705">
        <v>6350</v>
      </c>
      <c r="I98" s="705">
        <v>375854</v>
      </c>
      <c r="J98" s="705">
        <v>313212</v>
      </c>
      <c r="K98">
        <v>49</v>
      </c>
      <c r="L98" s="705">
        <v>55739</v>
      </c>
      <c r="M98" s="705">
        <v>46449</v>
      </c>
      <c r="N98" s="705">
        <v>15798</v>
      </c>
      <c r="O98" s="705">
        <v>5851</v>
      </c>
      <c r="P98" s="705">
        <v>2808</v>
      </c>
      <c r="Q98" s="705">
        <v>1040</v>
      </c>
      <c r="R98" s="705">
        <v>56000</v>
      </c>
      <c r="S98" s="705">
        <v>46667</v>
      </c>
      <c r="T98" s="705">
        <v>19469</v>
      </c>
      <c r="U98" s="705">
        <v>7211</v>
      </c>
      <c r="V98" s="705">
        <v>420429</v>
      </c>
      <c r="W98" s="705">
        <f t="shared" si="4"/>
        <v>420430</v>
      </c>
      <c r="X98" s="705">
        <f t="shared" si="5"/>
        <v>525668</v>
      </c>
      <c r="Y98" s="705"/>
      <c r="AA98" t="s">
        <v>114</v>
      </c>
      <c r="AB98" t="s">
        <v>664</v>
      </c>
      <c r="AC98" t="s">
        <v>583</v>
      </c>
      <c r="AD98" s="705">
        <v>4</v>
      </c>
      <c r="AE98" s="705">
        <v>884</v>
      </c>
      <c r="AF98" s="705">
        <v>555</v>
      </c>
      <c r="AG98" s="705">
        <v>73057</v>
      </c>
      <c r="AH98" s="705">
        <v>66416</v>
      </c>
      <c r="AI98">
        <v>88</v>
      </c>
      <c r="AJ98" s="705">
        <v>13046</v>
      </c>
      <c r="AK98" s="705">
        <v>11860</v>
      </c>
      <c r="AL98" s="705">
        <v>18656</v>
      </c>
      <c r="AM98" s="705">
        <v>6910</v>
      </c>
      <c r="AN98" s="705">
        <v>2835</v>
      </c>
      <c r="AO98" s="705">
        <v>1050</v>
      </c>
      <c r="AP98" s="705">
        <v>21189</v>
      </c>
      <c r="AQ98" s="705">
        <v>19263</v>
      </c>
      <c r="AR98" s="705">
        <v>0</v>
      </c>
      <c r="AS98" s="705">
        <v>0</v>
      </c>
      <c r="AT98" s="705">
        <v>105498</v>
      </c>
      <c r="AU98" s="705">
        <f t="shared" si="7"/>
        <v>105499</v>
      </c>
      <c r="AV98" s="705">
        <f t="shared" si="6"/>
        <v>128783</v>
      </c>
    </row>
    <row r="99" spans="2:48" ht="12.75" hidden="1" customHeight="1">
      <c r="B99" t="s">
        <v>527</v>
      </c>
      <c r="C99" t="s">
        <v>124</v>
      </c>
      <c r="D99" t="s">
        <v>667</v>
      </c>
      <c r="E99" t="s">
        <v>667</v>
      </c>
      <c r="F99">
        <v>2</v>
      </c>
      <c r="G99" s="705">
        <v>110</v>
      </c>
      <c r="H99" s="705">
        <v>1303</v>
      </c>
      <c r="I99" s="705">
        <v>77256</v>
      </c>
      <c r="J99" s="705">
        <v>70233</v>
      </c>
      <c r="K99">
        <v>50</v>
      </c>
      <c r="L99" s="705">
        <v>8140</v>
      </c>
      <c r="M99" s="705">
        <v>7400</v>
      </c>
      <c r="N99" s="705">
        <v>3737</v>
      </c>
      <c r="O99" s="705">
        <v>1384</v>
      </c>
      <c r="P99" s="705">
        <v>702</v>
      </c>
      <c r="Q99" s="705">
        <v>260</v>
      </c>
      <c r="R99" s="705">
        <v>11005</v>
      </c>
      <c r="S99" s="705">
        <v>10004</v>
      </c>
      <c r="T99" s="705">
        <v>4317</v>
      </c>
      <c r="U99" s="705">
        <v>1599</v>
      </c>
      <c r="V99" s="705">
        <v>90879</v>
      </c>
      <c r="W99" s="705">
        <f t="shared" si="4"/>
        <v>90880</v>
      </c>
      <c r="X99" s="705">
        <f t="shared" si="5"/>
        <v>105157</v>
      </c>
      <c r="Y99" s="705"/>
      <c r="AA99" t="s">
        <v>114</v>
      </c>
      <c r="AB99" t="s">
        <v>582</v>
      </c>
      <c r="AC99" t="s">
        <v>664</v>
      </c>
      <c r="AD99">
        <v>5</v>
      </c>
      <c r="AE99" s="705">
        <v>1412</v>
      </c>
      <c r="AF99" s="705">
        <v>698</v>
      </c>
      <c r="AG99" s="705">
        <v>134310</v>
      </c>
      <c r="AH99" s="705">
        <v>122100</v>
      </c>
      <c r="AI99">
        <v>90</v>
      </c>
      <c r="AJ99" s="705">
        <v>27748</v>
      </c>
      <c r="AK99" s="705">
        <v>25225</v>
      </c>
      <c r="AL99" s="705">
        <v>36313</v>
      </c>
      <c r="AM99" s="705">
        <v>13449</v>
      </c>
      <c r="AN99" s="705">
        <v>3132</v>
      </c>
      <c r="AO99" s="705">
        <v>1160</v>
      </c>
      <c r="AP99" s="705">
        <v>30771</v>
      </c>
      <c r="AQ99" s="705">
        <v>27974</v>
      </c>
      <c r="AR99">
        <v>0</v>
      </c>
      <c r="AS99">
        <v>0</v>
      </c>
      <c r="AT99" s="705">
        <v>189909</v>
      </c>
      <c r="AU99" s="705">
        <f t="shared" si="7"/>
        <v>189908</v>
      </c>
      <c r="AV99" s="705">
        <f t="shared" si="6"/>
        <v>232274</v>
      </c>
    </row>
    <row r="100" spans="2:48" ht="12.75" hidden="1" customHeight="1">
      <c r="B100" t="s">
        <v>527</v>
      </c>
      <c r="C100" t="s">
        <v>124</v>
      </c>
      <c r="D100" t="s">
        <v>671</v>
      </c>
      <c r="E100" t="s">
        <v>671</v>
      </c>
      <c r="F100">
        <v>3</v>
      </c>
      <c r="G100" s="705">
        <v>204</v>
      </c>
      <c r="H100" s="705">
        <v>2557</v>
      </c>
      <c r="I100" s="705">
        <v>120140</v>
      </c>
      <c r="J100" s="705">
        <v>109218</v>
      </c>
      <c r="K100">
        <v>48</v>
      </c>
      <c r="L100" s="705">
        <v>18137</v>
      </c>
      <c r="M100" s="705">
        <v>16488</v>
      </c>
      <c r="N100" s="705">
        <v>3983</v>
      </c>
      <c r="O100" s="705">
        <v>1475</v>
      </c>
      <c r="P100" s="705">
        <v>1053</v>
      </c>
      <c r="Q100" s="705">
        <v>390</v>
      </c>
      <c r="R100" s="705">
        <v>18948</v>
      </c>
      <c r="S100" s="705">
        <v>17226</v>
      </c>
      <c r="T100" s="705">
        <v>4837</v>
      </c>
      <c r="U100" s="705">
        <v>1791</v>
      </c>
      <c r="V100" s="705">
        <v>146588</v>
      </c>
      <c r="W100" s="705">
        <f t="shared" si="4"/>
        <v>146588</v>
      </c>
      <c r="X100" s="705">
        <f t="shared" si="5"/>
        <v>167098</v>
      </c>
      <c r="Y100" s="705"/>
      <c r="AA100" t="s">
        <v>114</v>
      </c>
      <c r="AB100" t="s">
        <v>582</v>
      </c>
      <c r="AC100" t="s">
        <v>582</v>
      </c>
      <c r="AD100">
        <v>762</v>
      </c>
      <c r="AE100" s="705">
        <v>147703</v>
      </c>
      <c r="AF100" s="705">
        <v>106748</v>
      </c>
      <c r="AG100" s="705">
        <v>12063606</v>
      </c>
      <c r="AH100" s="705">
        <v>10966914</v>
      </c>
      <c r="AI100">
        <v>89</v>
      </c>
      <c r="AJ100" s="705">
        <v>2457095</v>
      </c>
      <c r="AK100" s="705">
        <v>2185047</v>
      </c>
      <c r="AL100" s="705">
        <v>2840303</v>
      </c>
      <c r="AM100" s="705">
        <v>1051964</v>
      </c>
      <c r="AN100" s="705">
        <v>451725</v>
      </c>
      <c r="AO100" s="705">
        <v>167306</v>
      </c>
      <c r="AP100" s="705">
        <v>3946744</v>
      </c>
      <c r="AQ100" s="705">
        <v>3587949</v>
      </c>
      <c r="AR100" s="705">
        <v>138456</v>
      </c>
      <c r="AS100" s="705">
        <v>51280</v>
      </c>
      <c r="AT100" s="705">
        <v>18010461</v>
      </c>
      <c r="AU100" s="705">
        <f t="shared" si="7"/>
        <v>18010460</v>
      </c>
      <c r="AV100" s="705">
        <f t="shared" si="6"/>
        <v>21897929</v>
      </c>
    </row>
    <row r="101" spans="2:48" ht="12.75" hidden="1" customHeight="1">
      <c r="B101" t="s">
        <v>527</v>
      </c>
      <c r="C101" t="s">
        <v>124</v>
      </c>
      <c r="D101" t="s">
        <v>665</v>
      </c>
      <c r="E101" t="s">
        <v>228</v>
      </c>
      <c r="F101">
        <v>10</v>
      </c>
      <c r="G101" s="705">
        <v>777</v>
      </c>
      <c r="H101" s="705">
        <v>8980</v>
      </c>
      <c r="I101" s="705">
        <v>530596</v>
      </c>
      <c r="J101" s="705">
        <v>482360</v>
      </c>
      <c r="K101">
        <v>51</v>
      </c>
      <c r="L101" s="705">
        <v>66338</v>
      </c>
      <c r="M101" s="705">
        <v>54369</v>
      </c>
      <c r="N101" s="705">
        <v>17809</v>
      </c>
      <c r="O101" s="705">
        <v>6596</v>
      </c>
      <c r="P101" s="705">
        <v>0</v>
      </c>
      <c r="Q101" s="705">
        <v>0</v>
      </c>
      <c r="R101" s="705">
        <v>62915</v>
      </c>
      <c r="S101" s="705">
        <v>23302</v>
      </c>
      <c r="T101" s="705">
        <v>4241</v>
      </c>
      <c r="U101" s="705">
        <v>1571</v>
      </c>
      <c r="V101" s="705">
        <v>568197</v>
      </c>
      <c r="W101" s="705">
        <f t="shared" si="4"/>
        <v>568198</v>
      </c>
      <c r="X101" s="705">
        <f t="shared" si="5"/>
        <v>681899</v>
      </c>
      <c r="Y101" s="705"/>
      <c r="AA101" t="s">
        <v>114</v>
      </c>
      <c r="AB101" t="s">
        <v>582</v>
      </c>
      <c r="AC101" t="s">
        <v>228</v>
      </c>
      <c r="AD101">
        <v>4</v>
      </c>
      <c r="AE101" s="705">
        <v>725</v>
      </c>
      <c r="AF101" s="705">
        <v>566</v>
      </c>
      <c r="AG101" s="705">
        <v>56936</v>
      </c>
      <c r="AH101" s="705">
        <v>51760</v>
      </c>
      <c r="AI101">
        <v>85</v>
      </c>
      <c r="AJ101" s="705">
        <v>7630</v>
      </c>
      <c r="AK101" s="705">
        <v>6936</v>
      </c>
      <c r="AL101" s="705">
        <v>12082</v>
      </c>
      <c r="AM101" s="705">
        <v>4475</v>
      </c>
      <c r="AN101" s="705">
        <v>2592</v>
      </c>
      <c r="AO101" s="705">
        <v>960</v>
      </c>
      <c r="AP101" s="705">
        <v>26943</v>
      </c>
      <c r="AQ101" s="705">
        <v>9979</v>
      </c>
      <c r="AR101" s="705">
        <v>0</v>
      </c>
      <c r="AS101" s="705">
        <v>0</v>
      </c>
      <c r="AT101" s="705">
        <v>74110</v>
      </c>
      <c r="AU101" s="705">
        <f t="shared" si="7"/>
        <v>74110</v>
      </c>
      <c r="AV101" s="705">
        <f t="shared" si="6"/>
        <v>106183</v>
      </c>
    </row>
    <row r="102" spans="2:48" ht="12.75" hidden="1" customHeight="1">
      <c r="B102" t="s">
        <v>527</v>
      </c>
      <c r="C102" t="s">
        <v>124</v>
      </c>
      <c r="D102" t="s">
        <v>665</v>
      </c>
      <c r="E102" t="s">
        <v>583</v>
      </c>
      <c r="F102">
        <v>1</v>
      </c>
      <c r="G102" s="705">
        <v>95</v>
      </c>
      <c r="H102" s="705">
        <v>472</v>
      </c>
      <c r="I102" s="705">
        <v>28615</v>
      </c>
      <c r="J102" s="705">
        <v>26014</v>
      </c>
      <c r="K102">
        <v>60</v>
      </c>
      <c r="L102" s="705">
        <v>6359</v>
      </c>
      <c r="M102" s="705">
        <v>5781</v>
      </c>
      <c r="N102" s="705">
        <v>2322</v>
      </c>
      <c r="O102" s="705">
        <v>860</v>
      </c>
      <c r="P102" s="705">
        <v>621</v>
      </c>
      <c r="Q102" s="705">
        <v>230</v>
      </c>
      <c r="R102" s="705">
        <v>4566</v>
      </c>
      <c r="S102" s="705">
        <v>4151</v>
      </c>
      <c r="T102" s="705">
        <v>2501</v>
      </c>
      <c r="U102" s="705">
        <v>926</v>
      </c>
      <c r="V102" s="705">
        <v>37962</v>
      </c>
      <c r="W102" s="705">
        <f t="shared" si="4"/>
        <v>37962</v>
      </c>
      <c r="X102" s="705">
        <f t="shared" si="5"/>
        <v>44984</v>
      </c>
      <c r="Y102" s="705"/>
      <c r="AA102" t="s">
        <v>114</v>
      </c>
      <c r="AB102" t="s">
        <v>582</v>
      </c>
      <c r="AC102" t="s">
        <v>583</v>
      </c>
      <c r="AD102">
        <v>1</v>
      </c>
      <c r="AE102">
        <v>227</v>
      </c>
      <c r="AF102" s="705">
        <v>144</v>
      </c>
      <c r="AG102" s="705">
        <v>19665</v>
      </c>
      <c r="AH102" s="705">
        <v>17877</v>
      </c>
      <c r="AI102">
        <v>90</v>
      </c>
      <c r="AJ102" s="705">
        <v>3117</v>
      </c>
      <c r="AK102" s="705">
        <v>2834</v>
      </c>
      <c r="AL102" s="705">
        <v>4288</v>
      </c>
      <c r="AM102" s="705">
        <v>1588</v>
      </c>
      <c r="AN102" s="705">
        <v>473</v>
      </c>
      <c r="AO102">
        <v>175</v>
      </c>
      <c r="AP102" s="705">
        <v>5040</v>
      </c>
      <c r="AQ102" s="705">
        <v>4582</v>
      </c>
      <c r="AR102" s="705">
        <v>0</v>
      </c>
      <c r="AS102" s="705">
        <v>0</v>
      </c>
      <c r="AT102" s="705">
        <v>27056</v>
      </c>
      <c r="AU102" s="705">
        <f t="shared" si="7"/>
        <v>27056</v>
      </c>
      <c r="AV102" s="705">
        <f t="shared" si="6"/>
        <v>32583</v>
      </c>
    </row>
    <row r="103" spans="2:48" ht="12.75" hidden="1" customHeight="1">
      <c r="B103" t="s">
        <v>527</v>
      </c>
      <c r="C103" t="s">
        <v>124</v>
      </c>
      <c r="D103" t="s">
        <v>665</v>
      </c>
      <c r="E103" t="s">
        <v>665</v>
      </c>
      <c r="F103">
        <v>94</v>
      </c>
      <c r="G103" s="705">
        <v>7936</v>
      </c>
      <c r="H103" s="705">
        <v>65462</v>
      </c>
      <c r="I103" s="705">
        <v>3981082</v>
      </c>
      <c r="J103" s="705">
        <v>3619166</v>
      </c>
      <c r="K103">
        <v>50</v>
      </c>
      <c r="L103" s="705">
        <v>477881</v>
      </c>
      <c r="M103" s="705">
        <v>421813</v>
      </c>
      <c r="N103" s="705">
        <v>158190</v>
      </c>
      <c r="O103" s="705">
        <v>58589</v>
      </c>
      <c r="P103" s="705">
        <v>32049</v>
      </c>
      <c r="Q103" s="705">
        <v>11870</v>
      </c>
      <c r="R103" s="705">
        <v>591128</v>
      </c>
      <c r="S103" s="705">
        <v>537389</v>
      </c>
      <c r="T103" s="705">
        <v>190119</v>
      </c>
      <c r="U103" s="705">
        <v>70414</v>
      </c>
      <c r="V103" s="705">
        <v>4719242</v>
      </c>
      <c r="W103" s="705">
        <f t="shared" si="4"/>
        <v>4719241</v>
      </c>
      <c r="X103" s="705">
        <f t="shared" si="5"/>
        <v>5430449</v>
      </c>
      <c r="Y103" s="705"/>
      <c r="AA103" t="s">
        <v>114</v>
      </c>
      <c r="AB103" t="s">
        <v>582</v>
      </c>
      <c r="AC103" t="s">
        <v>584</v>
      </c>
      <c r="AD103">
        <v>2</v>
      </c>
      <c r="AE103" s="705">
        <v>349</v>
      </c>
      <c r="AF103" s="705">
        <v>288</v>
      </c>
      <c r="AG103" s="705">
        <v>32373</v>
      </c>
      <c r="AH103" s="705">
        <v>29430</v>
      </c>
      <c r="AI103">
        <v>85</v>
      </c>
      <c r="AJ103" s="705">
        <v>8465</v>
      </c>
      <c r="AK103" s="705">
        <v>7695</v>
      </c>
      <c r="AL103" s="705">
        <v>6044</v>
      </c>
      <c r="AM103" s="705">
        <v>2238</v>
      </c>
      <c r="AN103" s="705">
        <v>1296</v>
      </c>
      <c r="AO103" s="705">
        <v>480</v>
      </c>
      <c r="AP103" s="705">
        <v>12366</v>
      </c>
      <c r="AQ103" s="705">
        <v>11242</v>
      </c>
      <c r="AR103" s="705">
        <v>0</v>
      </c>
      <c r="AS103" s="705">
        <v>0</v>
      </c>
      <c r="AT103" s="705">
        <v>51086</v>
      </c>
      <c r="AU103" s="705">
        <f t="shared" si="7"/>
        <v>51085</v>
      </c>
      <c r="AV103" s="705">
        <f t="shared" si="6"/>
        <v>60544</v>
      </c>
    </row>
    <row r="104" spans="2:48" ht="12.75" hidden="1" customHeight="1">
      <c r="B104" t="s">
        <v>527</v>
      </c>
      <c r="C104" t="s">
        <v>124</v>
      </c>
      <c r="D104" t="s">
        <v>673</v>
      </c>
      <c r="E104" t="s">
        <v>228</v>
      </c>
      <c r="F104">
        <v>1</v>
      </c>
      <c r="G104" s="705">
        <v>71</v>
      </c>
      <c r="H104" s="705">
        <v>579</v>
      </c>
      <c r="I104" s="705">
        <v>32115</v>
      </c>
      <c r="J104" s="705">
        <v>29196</v>
      </c>
      <c r="K104">
        <v>30</v>
      </c>
      <c r="L104" s="705">
        <v>0</v>
      </c>
      <c r="M104" s="705">
        <v>0</v>
      </c>
      <c r="N104" s="705">
        <v>867</v>
      </c>
      <c r="O104" s="705">
        <v>321</v>
      </c>
      <c r="P104" s="705">
        <v>0</v>
      </c>
      <c r="Q104" s="705">
        <v>0</v>
      </c>
      <c r="R104" s="705">
        <v>8170</v>
      </c>
      <c r="S104" s="705">
        <v>3026</v>
      </c>
      <c r="T104" s="705">
        <v>0</v>
      </c>
      <c r="U104" s="705">
        <v>0</v>
      </c>
      <c r="V104" s="705">
        <v>32543</v>
      </c>
      <c r="W104" s="705">
        <f t="shared" si="4"/>
        <v>32543</v>
      </c>
      <c r="X104" s="705">
        <f t="shared" si="5"/>
        <v>41152</v>
      </c>
      <c r="Y104" s="705"/>
      <c r="AA104" t="s">
        <v>114</v>
      </c>
      <c r="AB104" t="s">
        <v>228</v>
      </c>
      <c r="AC104" t="s">
        <v>582</v>
      </c>
      <c r="AD104">
        <v>2</v>
      </c>
      <c r="AE104" s="705">
        <v>630</v>
      </c>
      <c r="AF104" s="705">
        <v>267</v>
      </c>
      <c r="AG104" s="705">
        <v>45844</v>
      </c>
      <c r="AH104" s="705">
        <v>16979</v>
      </c>
      <c r="AI104">
        <v>285</v>
      </c>
      <c r="AJ104" s="705">
        <v>9509</v>
      </c>
      <c r="AK104" s="705">
        <v>8645</v>
      </c>
      <c r="AL104" s="705">
        <v>12685</v>
      </c>
      <c r="AM104" s="705">
        <v>4698</v>
      </c>
      <c r="AN104" s="705">
        <v>1647</v>
      </c>
      <c r="AO104" s="705">
        <v>610</v>
      </c>
      <c r="AP104" s="705">
        <v>10720</v>
      </c>
      <c r="AQ104" s="705">
        <v>9745</v>
      </c>
      <c r="AR104" s="705">
        <v>3800</v>
      </c>
      <c r="AS104" s="705">
        <v>1407</v>
      </c>
      <c r="AT104" s="705">
        <v>42085</v>
      </c>
      <c r="AU104" s="705">
        <f t="shared" si="7"/>
        <v>42084</v>
      </c>
      <c r="AV104" s="705">
        <f t="shared" si="6"/>
        <v>84205</v>
      </c>
    </row>
    <row r="105" spans="2:48" ht="12.75" hidden="1" customHeight="1">
      <c r="B105" t="s">
        <v>527</v>
      </c>
      <c r="C105" t="s">
        <v>124</v>
      </c>
      <c r="D105" t="s">
        <v>673</v>
      </c>
      <c r="E105" t="s">
        <v>583</v>
      </c>
      <c r="F105" s="705">
        <v>1</v>
      </c>
      <c r="G105" s="705">
        <v>168</v>
      </c>
      <c r="H105" s="705">
        <v>632</v>
      </c>
      <c r="I105" s="705">
        <v>82235</v>
      </c>
      <c r="J105" s="705">
        <v>74759</v>
      </c>
      <c r="K105">
        <v>60</v>
      </c>
      <c r="L105" s="705">
        <v>7832</v>
      </c>
      <c r="M105" s="705">
        <v>7120</v>
      </c>
      <c r="N105" s="705">
        <v>4088</v>
      </c>
      <c r="O105" s="705">
        <v>1514</v>
      </c>
      <c r="P105" s="705">
        <v>0</v>
      </c>
      <c r="Q105" s="705">
        <v>0</v>
      </c>
      <c r="R105" s="705">
        <v>6424</v>
      </c>
      <c r="S105" s="705">
        <v>5840</v>
      </c>
      <c r="T105" s="705">
        <v>5436</v>
      </c>
      <c r="U105" s="705">
        <v>2013</v>
      </c>
      <c r="V105" s="705">
        <v>91247</v>
      </c>
      <c r="W105" s="705">
        <f t="shared" si="4"/>
        <v>91246</v>
      </c>
      <c r="X105" s="705">
        <f t="shared" si="5"/>
        <v>106015</v>
      </c>
      <c r="Y105" s="705"/>
      <c r="AA105" t="s">
        <v>114</v>
      </c>
      <c r="AB105" t="s">
        <v>228</v>
      </c>
      <c r="AC105" t="s">
        <v>228</v>
      </c>
      <c r="AD105" s="705">
        <v>568</v>
      </c>
      <c r="AE105" s="705">
        <v>125534</v>
      </c>
      <c r="AF105" s="705">
        <v>78651</v>
      </c>
      <c r="AG105" s="705">
        <v>8576452</v>
      </c>
      <c r="AH105" s="705">
        <v>3176464</v>
      </c>
      <c r="AI105">
        <v>307</v>
      </c>
      <c r="AJ105" s="705">
        <v>2372858</v>
      </c>
      <c r="AK105" s="705">
        <v>2093258</v>
      </c>
      <c r="AL105" s="705">
        <v>2536446</v>
      </c>
      <c r="AM105" s="705">
        <v>939424</v>
      </c>
      <c r="AN105" s="705">
        <v>475279</v>
      </c>
      <c r="AO105" s="705">
        <v>176029</v>
      </c>
      <c r="AP105" s="705">
        <v>4435294</v>
      </c>
      <c r="AQ105" s="705">
        <v>1642702</v>
      </c>
      <c r="AR105" s="705">
        <v>25527</v>
      </c>
      <c r="AS105" s="705">
        <v>9454</v>
      </c>
      <c r="AT105" s="705">
        <v>8037331</v>
      </c>
      <c r="AU105" s="705">
        <f t="shared" si="7"/>
        <v>8037331</v>
      </c>
      <c r="AV105" s="705">
        <f t="shared" si="6"/>
        <v>18421856</v>
      </c>
    </row>
    <row r="106" spans="2:48" ht="12.75" hidden="1" customHeight="1">
      <c r="B106" t="s">
        <v>527</v>
      </c>
      <c r="C106" t="s">
        <v>124</v>
      </c>
      <c r="D106" t="s">
        <v>673</v>
      </c>
      <c r="E106" t="s">
        <v>673</v>
      </c>
      <c r="F106">
        <v>2</v>
      </c>
      <c r="G106" s="705">
        <v>173</v>
      </c>
      <c r="H106" s="705">
        <v>1250</v>
      </c>
      <c r="I106" s="705">
        <v>79870</v>
      </c>
      <c r="J106" s="705">
        <v>72609</v>
      </c>
      <c r="K106">
        <v>50</v>
      </c>
      <c r="L106" s="705">
        <v>7559</v>
      </c>
      <c r="M106" s="705">
        <v>6872</v>
      </c>
      <c r="N106" s="705">
        <v>3137</v>
      </c>
      <c r="O106" s="705">
        <v>1162</v>
      </c>
      <c r="P106" s="705">
        <v>702</v>
      </c>
      <c r="Q106" s="705">
        <v>260</v>
      </c>
      <c r="R106" s="705">
        <v>11724</v>
      </c>
      <c r="S106" s="705">
        <v>10658</v>
      </c>
      <c r="T106" s="705">
        <v>4937</v>
      </c>
      <c r="U106" s="705">
        <v>1829</v>
      </c>
      <c r="V106" s="705">
        <v>93390</v>
      </c>
      <c r="W106" s="705">
        <f t="shared" si="4"/>
        <v>93390</v>
      </c>
      <c r="X106" s="705">
        <f t="shared" si="5"/>
        <v>107929</v>
      </c>
      <c r="Y106" s="705"/>
      <c r="AA106" t="s">
        <v>114</v>
      </c>
      <c r="AB106" t="s">
        <v>228</v>
      </c>
      <c r="AC106" t="s">
        <v>583</v>
      </c>
      <c r="AD106">
        <v>5</v>
      </c>
      <c r="AE106" s="705">
        <v>1481</v>
      </c>
      <c r="AF106" s="705">
        <v>693</v>
      </c>
      <c r="AG106" s="705">
        <v>98702</v>
      </c>
      <c r="AH106" s="705">
        <v>36556</v>
      </c>
      <c r="AI106">
        <v>267</v>
      </c>
      <c r="AJ106" s="705">
        <v>33707</v>
      </c>
      <c r="AK106" s="705">
        <v>30643</v>
      </c>
      <c r="AL106" s="705">
        <v>28865</v>
      </c>
      <c r="AM106" s="705">
        <v>10691</v>
      </c>
      <c r="AN106" s="705">
        <v>6627</v>
      </c>
      <c r="AO106" s="705">
        <v>2454</v>
      </c>
      <c r="AP106" s="705">
        <v>27943</v>
      </c>
      <c r="AQ106" s="705">
        <v>25402</v>
      </c>
      <c r="AR106" s="705">
        <v>6771</v>
      </c>
      <c r="AS106" s="705">
        <v>2508</v>
      </c>
      <c r="AT106" s="705">
        <v>108255</v>
      </c>
      <c r="AU106" s="705">
        <f t="shared" si="7"/>
        <v>108254</v>
      </c>
      <c r="AV106" s="705">
        <f t="shared" si="6"/>
        <v>202615</v>
      </c>
    </row>
    <row r="107" spans="2:48" ht="12.75" hidden="1" customHeight="1">
      <c r="B107" t="s">
        <v>531</v>
      </c>
      <c r="C107" t="s">
        <v>108</v>
      </c>
      <c r="D107" t="s">
        <v>582</v>
      </c>
      <c r="E107" t="s">
        <v>582</v>
      </c>
      <c r="F107">
        <v>1</v>
      </c>
      <c r="G107" s="705">
        <v>121</v>
      </c>
      <c r="H107" s="705">
        <v>41</v>
      </c>
      <c r="I107" s="705">
        <v>-558</v>
      </c>
      <c r="J107" s="705">
        <v>-507</v>
      </c>
      <c r="K107">
        <v>93</v>
      </c>
      <c r="L107" s="705">
        <v>-115</v>
      </c>
      <c r="M107" s="705">
        <v>-105</v>
      </c>
      <c r="N107" s="705">
        <v>4917</v>
      </c>
      <c r="O107" s="705">
        <v>1821</v>
      </c>
      <c r="P107" s="705">
        <v>473</v>
      </c>
      <c r="Q107" s="705">
        <v>175</v>
      </c>
      <c r="R107" s="705">
        <v>3746</v>
      </c>
      <c r="S107" s="705">
        <v>3405</v>
      </c>
      <c r="T107" s="705">
        <v>0</v>
      </c>
      <c r="U107" s="705">
        <v>0</v>
      </c>
      <c r="V107" s="705">
        <v>4789</v>
      </c>
      <c r="W107" s="705">
        <f t="shared" si="4"/>
        <v>6013</v>
      </c>
      <c r="X107" s="705">
        <f t="shared" si="5"/>
        <v>9809</v>
      </c>
      <c r="Y107" s="705"/>
      <c r="AA107" t="s">
        <v>114</v>
      </c>
      <c r="AB107" t="s">
        <v>228</v>
      </c>
      <c r="AC107" t="s">
        <v>584</v>
      </c>
      <c r="AD107">
        <v>1</v>
      </c>
      <c r="AE107" s="705">
        <v>440</v>
      </c>
      <c r="AF107" s="705">
        <v>144</v>
      </c>
      <c r="AG107" s="705">
        <v>33726</v>
      </c>
      <c r="AH107" s="705">
        <v>12491</v>
      </c>
      <c r="AI107">
        <v>250</v>
      </c>
      <c r="AJ107" s="705">
        <v>9542</v>
      </c>
      <c r="AK107" s="705">
        <v>8674</v>
      </c>
      <c r="AL107" s="705">
        <v>10442</v>
      </c>
      <c r="AM107" s="705">
        <v>3867</v>
      </c>
      <c r="AN107" s="705">
        <v>4956</v>
      </c>
      <c r="AO107" s="705">
        <v>1836</v>
      </c>
      <c r="AP107" s="705">
        <v>4675</v>
      </c>
      <c r="AQ107" s="705">
        <v>4250</v>
      </c>
      <c r="AR107" s="705">
        <v>0</v>
      </c>
      <c r="AS107" s="705">
        <v>0</v>
      </c>
      <c r="AT107" s="705">
        <v>31118</v>
      </c>
      <c r="AU107" s="705">
        <f t="shared" si="7"/>
        <v>31118</v>
      </c>
      <c r="AV107" s="705">
        <f t="shared" si="6"/>
        <v>63341</v>
      </c>
    </row>
    <row r="108" spans="2:48" ht="12.75" hidden="1" customHeight="1">
      <c r="B108" t="s">
        <v>531</v>
      </c>
      <c r="C108" t="s">
        <v>108</v>
      </c>
      <c r="D108" t="s">
        <v>228</v>
      </c>
      <c r="E108" t="s">
        <v>228</v>
      </c>
      <c r="F108">
        <v>79</v>
      </c>
      <c r="G108" s="705">
        <v>18694</v>
      </c>
      <c r="H108" s="705">
        <v>4104</v>
      </c>
      <c r="I108" s="705">
        <v>116358</v>
      </c>
      <c r="J108" s="705">
        <v>43095</v>
      </c>
      <c r="K108">
        <v>462</v>
      </c>
      <c r="L108" s="705">
        <v>31215</v>
      </c>
      <c r="M108" s="705">
        <v>27800</v>
      </c>
      <c r="N108" s="705">
        <v>246767</v>
      </c>
      <c r="O108" s="705">
        <v>91395</v>
      </c>
      <c r="P108" s="705">
        <v>119398</v>
      </c>
      <c r="Q108" s="705">
        <v>44221</v>
      </c>
      <c r="R108" s="705">
        <v>470994</v>
      </c>
      <c r="S108" s="705">
        <v>174442</v>
      </c>
      <c r="T108" s="705">
        <v>0</v>
      </c>
      <c r="U108" s="705">
        <v>0</v>
      </c>
      <c r="V108" s="705">
        <v>380954</v>
      </c>
      <c r="W108" s="705">
        <f t="shared" si="4"/>
        <v>380953</v>
      </c>
      <c r="X108" s="705">
        <f t="shared" si="5"/>
        <v>984732</v>
      </c>
      <c r="Y108" s="705"/>
      <c r="AA108" t="s">
        <v>114</v>
      </c>
      <c r="AB108" t="s">
        <v>228</v>
      </c>
      <c r="AC108" t="s">
        <v>665</v>
      </c>
      <c r="AD108">
        <v>2</v>
      </c>
      <c r="AE108">
        <v>587</v>
      </c>
      <c r="AF108">
        <v>294</v>
      </c>
      <c r="AG108" s="705">
        <v>47139</v>
      </c>
      <c r="AH108" s="705">
        <v>17459</v>
      </c>
      <c r="AI108">
        <v>210</v>
      </c>
      <c r="AJ108" s="705">
        <v>6045</v>
      </c>
      <c r="AK108" s="705">
        <v>5496</v>
      </c>
      <c r="AL108" s="705">
        <v>10832</v>
      </c>
      <c r="AM108" s="705">
        <v>4012</v>
      </c>
      <c r="AN108">
        <v>702</v>
      </c>
      <c r="AO108">
        <v>260</v>
      </c>
      <c r="AP108" s="705">
        <v>13054</v>
      </c>
      <c r="AQ108" s="705">
        <v>11867</v>
      </c>
      <c r="AR108" s="705">
        <v>8670</v>
      </c>
      <c r="AS108" s="705">
        <v>3211</v>
      </c>
      <c r="AT108" s="705">
        <v>42305</v>
      </c>
      <c r="AU108" s="705">
        <f t="shared" si="7"/>
        <v>42305</v>
      </c>
      <c r="AV108" s="705">
        <f t="shared" si="6"/>
        <v>86442</v>
      </c>
    </row>
    <row r="109" spans="2:48" ht="12.75" hidden="1" customHeight="1">
      <c r="B109" t="s">
        <v>531</v>
      </c>
      <c r="C109" t="s">
        <v>108</v>
      </c>
      <c r="D109" t="s">
        <v>724</v>
      </c>
      <c r="E109" t="s">
        <v>724</v>
      </c>
      <c r="F109">
        <v>2</v>
      </c>
      <c r="G109" s="705">
        <v>454</v>
      </c>
      <c r="H109" s="705">
        <v>147</v>
      </c>
      <c r="I109" s="705">
        <v>17927</v>
      </c>
      <c r="J109" s="705">
        <v>6640</v>
      </c>
      <c r="K109">
        <v>325</v>
      </c>
      <c r="L109" s="705">
        <v>4183</v>
      </c>
      <c r="M109" s="705">
        <v>3803</v>
      </c>
      <c r="N109" s="705">
        <v>5534</v>
      </c>
      <c r="O109" s="705">
        <v>2050</v>
      </c>
      <c r="P109" s="705">
        <v>2106</v>
      </c>
      <c r="Q109" s="705">
        <v>780</v>
      </c>
      <c r="R109" s="705">
        <v>3718</v>
      </c>
      <c r="S109" s="705">
        <v>1377</v>
      </c>
      <c r="T109" s="705">
        <v>0</v>
      </c>
      <c r="U109" s="705">
        <v>0</v>
      </c>
      <c r="V109" s="705">
        <v>14649</v>
      </c>
      <c r="W109" s="705">
        <f t="shared" si="4"/>
        <v>14650</v>
      </c>
      <c r="X109" s="705">
        <f t="shared" si="5"/>
        <v>33468</v>
      </c>
      <c r="Y109" s="705"/>
      <c r="AA109" t="s">
        <v>114</v>
      </c>
      <c r="AB109" t="s">
        <v>228</v>
      </c>
      <c r="AC109" t="s">
        <v>585</v>
      </c>
      <c r="AD109">
        <v>2</v>
      </c>
      <c r="AE109" s="705">
        <v>462</v>
      </c>
      <c r="AF109" s="705">
        <v>289</v>
      </c>
      <c r="AG109" s="705">
        <v>39240</v>
      </c>
      <c r="AH109" s="705">
        <v>14533</v>
      </c>
      <c r="AI109">
        <v>285</v>
      </c>
      <c r="AJ109" s="705">
        <v>5538</v>
      </c>
      <c r="AK109" s="705">
        <v>5035</v>
      </c>
      <c r="AL109" s="705">
        <v>6903</v>
      </c>
      <c r="AM109" s="705">
        <v>2557</v>
      </c>
      <c r="AN109" s="705">
        <v>702</v>
      </c>
      <c r="AO109" s="705">
        <v>260</v>
      </c>
      <c r="AP109" s="705">
        <v>14639</v>
      </c>
      <c r="AQ109" s="705">
        <v>13308</v>
      </c>
      <c r="AR109" s="705">
        <v>0</v>
      </c>
      <c r="AS109" s="705">
        <v>0</v>
      </c>
      <c r="AT109" s="705">
        <v>35693</v>
      </c>
      <c r="AU109" s="705">
        <f t="shared" si="7"/>
        <v>35693</v>
      </c>
      <c r="AV109" s="705">
        <f t="shared" si="6"/>
        <v>67022</v>
      </c>
    </row>
    <row r="110" spans="2:48" ht="12.75" hidden="1" customHeight="1">
      <c r="B110" t="s">
        <v>531</v>
      </c>
      <c r="C110" t="s">
        <v>108</v>
      </c>
      <c r="D110" t="s">
        <v>725</v>
      </c>
      <c r="E110" t="s">
        <v>725</v>
      </c>
      <c r="F110">
        <v>1</v>
      </c>
      <c r="G110" s="705">
        <v>256</v>
      </c>
      <c r="H110" s="705">
        <v>74</v>
      </c>
      <c r="I110" s="705">
        <v>10696</v>
      </c>
      <c r="J110" s="705">
        <v>3962</v>
      </c>
      <c r="K110">
        <v>303</v>
      </c>
      <c r="L110" s="705">
        <v>2329</v>
      </c>
      <c r="M110" s="705">
        <v>2117</v>
      </c>
      <c r="N110" s="705">
        <v>3124</v>
      </c>
      <c r="O110" s="705">
        <v>1157</v>
      </c>
      <c r="P110" s="705">
        <v>351</v>
      </c>
      <c r="Q110" s="705">
        <v>130</v>
      </c>
      <c r="R110" s="705">
        <v>2449</v>
      </c>
      <c r="S110" s="705">
        <v>907</v>
      </c>
      <c r="T110" s="705">
        <v>0</v>
      </c>
      <c r="U110" s="705">
        <v>0</v>
      </c>
      <c r="V110" s="705">
        <v>8273</v>
      </c>
      <c r="W110" s="705">
        <f t="shared" si="4"/>
        <v>8273</v>
      </c>
      <c r="X110" s="705">
        <f t="shared" si="5"/>
        <v>18949</v>
      </c>
      <c r="Y110" s="705"/>
      <c r="AA110" t="s">
        <v>114</v>
      </c>
      <c r="AB110" t="s">
        <v>724</v>
      </c>
      <c r="AC110" t="s">
        <v>724</v>
      </c>
      <c r="AD110">
        <v>1</v>
      </c>
      <c r="AE110" s="705">
        <v>119</v>
      </c>
      <c r="AF110" s="705">
        <v>134</v>
      </c>
      <c r="AG110" s="705">
        <v>7586</v>
      </c>
      <c r="AH110" s="705">
        <v>2810</v>
      </c>
      <c r="AI110">
        <v>250</v>
      </c>
      <c r="AJ110" s="705">
        <v>1431</v>
      </c>
      <c r="AK110" s="705">
        <v>1301</v>
      </c>
      <c r="AL110" s="705">
        <v>1590</v>
      </c>
      <c r="AM110" s="705">
        <v>589</v>
      </c>
      <c r="AN110" s="705">
        <v>1847</v>
      </c>
      <c r="AO110" s="705">
        <v>684</v>
      </c>
      <c r="AP110" s="705">
        <v>3481</v>
      </c>
      <c r="AQ110" s="705">
        <v>1289</v>
      </c>
      <c r="AR110" s="705">
        <v>0</v>
      </c>
      <c r="AS110" s="705">
        <v>0</v>
      </c>
      <c r="AT110" s="705">
        <v>6673</v>
      </c>
      <c r="AU110" s="705">
        <f t="shared" si="7"/>
        <v>6673</v>
      </c>
      <c r="AV110" s="705">
        <f t="shared" si="6"/>
        <v>15935</v>
      </c>
    </row>
    <row r="111" spans="2:48" ht="12.75" hidden="1" customHeight="1">
      <c r="B111" t="s">
        <v>531</v>
      </c>
      <c r="C111" t="s">
        <v>108</v>
      </c>
      <c r="D111" t="s">
        <v>583</v>
      </c>
      <c r="E111" t="s">
        <v>583</v>
      </c>
      <c r="F111">
        <v>21</v>
      </c>
      <c r="G111" s="705">
        <v>4399</v>
      </c>
      <c r="H111" s="705">
        <v>1320</v>
      </c>
      <c r="I111" s="705">
        <v>84495</v>
      </c>
      <c r="J111" s="705">
        <v>76813</v>
      </c>
      <c r="K111">
        <v>95</v>
      </c>
      <c r="L111" s="705">
        <v>12194</v>
      </c>
      <c r="M111" s="705">
        <v>10853</v>
      </c>
      <c r="N111" s="705">
        <v>57491</v>
      </c>
      <c r="O111" s="705">
        <v>21293</v>
      </c>
      <c r="P111" s="705">
        <v>32148</v>
      </c>
      <c r="Q111" s="705">
        <v>11907</v>
      </c>
      <c r="R111" s="705">
        <v>84873</v>
      </c>
      <c r="S111" s="705">
        <v>77157</v>
      </c>
      <c r="T111" s="705">
        <v>0</v>
      </c>
      <c r="U111" s="705">
        <v>0</v>
      </c>
      <c r="V111" s="705">
        <v>198023</v>
      </c>
      <c r="W111" s="705">
        <f t="shared" si="4"/>
        <v>198023</v>
      </c>
      <c r="X111" s="705">
        <f t="shared" si="5"/>
        <v>271201</v>
      </c>
      <c r="Y111" s="705"/>
      <c r="AA111" t="s">
        <v>114</v>
      </c>
      <c r="AB111" t="s">
        <v>670</v>
      </c>
      <c r="AC111" t="s">
        <v>670</v>
      </c>
      <c r="AD111">
        <v>1</v>
      </c>
      <c r="AE111">
        <v>141</v>
      </c>
      <c r="AF111" s="705">
        <v>129</v>
      </c>
      <c r="AG111" s="705">
        <v>5947</v>
      </c>
      <c r="AH111" s="705">
        <v>2202</v>
      </c>
      <c r="AI111">
        <v>250</v>
      </c>
      <c r="AJ111" s="705">
        <v>0</v>
      </c>
      <c r="AK111" s="705">
        <v>0</v>
      </c>
      <c r="AL111" s="705">
        <v>3441</v>
      </c>
      <c r="AM111" s="705">
        <v>1275</v>
      </c>
      <c r="AN111" s="705">
        <v>1489</v>
      </c>
      <c r="AO111">
        <v>552</v>
      </c>
      <c r="AP111" s="705">
        <v>4478</v>
      </c>
      <c r="AQ111" s="705">
        <v>1659</v>
      </c>
      <c r="AR111" s="705">
        <v>2833</v>
      </c>
      <c r="AS111" s="705">
        <v>1049</v>
      </c>
      <c r="AT111" s="705">
        <v>6737</v>
      </c>
      <c r="AU111" s="705">
        <f t="shared" si="7"/>
        <v>6737</v>
      </c>
      <c r="AV111" s="705">
        <f t="shared" si="6"/>
        <v>18188</v>
      </c>
    </row>
    <row r="112" spans="2:48" ht="12.75" hidden="1" customHeight="1">
      <c r="B112" t="s">
        <v>531</v>
      </c>
      <c r="C112" t="s">
        <v>108</v>
      </c>
      <c r="D112" t="s">
        <v>584</v>
      </c>
      <c r="E112" t="s">
        <v>584</v>
      </c>
      <c r="F112">
        <v>1</v>
      </c>
      <c r="G112">
        <v>207</v>
      </c>
      <c r="H112">
        <v>55</v>
      </c>
      <c r="I112" s="705">
        <v>1675</v>
      </c>
      <c r="J112" s="705">
        <v>1523</v>
      </c>
      <c r="K112">
        <v>90</v>
      </c>
      <c r="L112" s="705">
        <v>235</v>
      </c>
      <c r="M112" s="705">
        <v>214</v>
      </c>
      <c r="N112" s="705">
        <v>2528</v>
      </c>
      <c r="O112" s="705">
        <v>936</v>
      </c>
      <c r="P112" s="705">
        <v>2229</v>
      </c>
      <c r="Q112">
        <v>825</v>
      </c>
      <c r="R112" s="705">
        <v>4646</v>
      </c>
      <c r="S112" s="705">
        <v>4223</v>
      </c>
      <c r="T112" s="705">
        <v>0</v>
      </c>
      <c r="U112" s="705">
        <v>0</v>
      </c>
      <c r="V112" s="705">
        <v>7722</v>
      </c>
      <c r="W112" s="705">
        <f t="shared" si="4"/>
        <v>7721</v>
      </c>
      <c r="X112" s="705">
        <f t="shared" si="5"/>
        <v>11313</v>
      </c>
      <c r="Y112" s="705"/>
      <c r="AA112" t="s">
        <v>114</v>
      </c>
      <c r="AB112" t="s">
        <v>583</v>
      </c>
      <c r="AC112" t="s">
        <v>664</v>
      </c>
      <c r="AD112">
        <v>8</v>
      </c>
      <c r="AE112" s="705">
        <v>1776</v>
      </c>
      <c r="AF112" s="705">
        <v>1125</v>
      </c>
      <c r="AG112" s="705">
        <v>159176</v>
      </c>
      <c r="AH112" s="705">
        <v>144706</v>
      </c>
      <c r="AI112">
        <v>87</v>
      </c>
      <c r="AJ112" s="705">
        <v>31632</v>
      </c>
      <c r="AK112" s="705">
        <v>28756</v>
      </c>
      <c r="AL112" s="705">
        <v>36720</v>
      </c>
      <c r="AM112" s="705">
        <v>13600</v>
      </c>
      <c r="AN112" s="705">
        <v>5319</v>
      </c>
      <c r="AO112" s="705">
        <v>1970</v>
      </c>
      <c r="AP112" s="705">
        <v>52821</v>
      </c>
      <c r="AQ112" s="705">
        <v>48019</v>
      </c>
      <c r="AR112" s="705">
        <v>2371</v>
      </c>
      <c r="AS112" s="705">
        <v>878</v>
      </c>
      <c r="AT112" s="705">
        <v>237929</v>
      </c>
      <c r="AU112" s="705">
        <f t="shared" si="7"/>
        <v>237929</v>
      </c>
      <c r="AV112" s="705">
        <f t="shared" si="6"/>
        <v>288039</v>
      </c>
    </row>
    <row r="113" spans="2:48" ht="12.75" hidden="1" customHeight="1">
      <c r="B113" t="s">
        <v>531</v>
      </c>
      <c r="C113" t="s">
        <v>108</v>
      </c>
      <c r="D113" t="s">
        <v>585</v>
      </c>
      <c r="E113" t="s">
        <v>585</v>
      </c>
      <c r="F113">
        <v>1</v>
      </c>
      <c r="G113" s="705">
        <v>275</v>
      </c>
      <c r="H113" s="705">
        <v>46</v>
      </c>
      <c r="I113" s="705">
        <v>1488</v>
      </c>
      <c r="J113" s="705">
        <v>1352</v>
      </c>
      <c r="K113">
        <v>90</v>
      </c>
      <c r="L113" s="705">
        <v>0</v>
      </c>
      <c r="M113" s="705">
        <v>0</v>
      </c>
      <c r="N113" s="705">
        <v>3351</v>
      </c>
      <c r="O113" s="705">
        <v>1241</v>
      </c>
      <c r="P113" s="705">
        <v>2837</v>
      </c>
      <c r="Q113" s="705">
        <v>1051</v>
      </c>
      <c r="R113" s="705">
        <v>4969</v>
      </c>
      <c r="S113" s="705">
        <v>4517</v>
      </c>
      <c r="T113" s="705">
        <v>0</v>
      </c>
      <c r="U113">
        <v>0</v>
      </c>
      <c r="V113" s="705">
        <v>8161</v>
      </c>
      <c r="W113" s="705">
        <f t="shared" si="4"/>
        <v>8161</v>
      </c>
      <c r="X113" s="705">
        <f t="shared" si="5"/>
        <v>12645</v>
      </c>
      <c r="Y113" s="705"/>
      <c r="AA113" t="s">
        <v>114</v>
      </c>
      <c r="AB113" t="s">
        <v>583</v>
      </c>
      <c r="AC113" t="s">
        <v>228</v>
      </c>
      <c r="AD113">
        <v>62</v>
      </c>
      <c r="AE113" s="705">
        <v>13752</v>
      </c>
      <c r="AF113" s="705">
        <v>8646</v>
      </c>
      <c r="AG113" s="705">
        <v>1144179</v>
      </c>
      <c r="AH113" s="705">
        <v>1040163</v>
      </c>
      <c r="AI113">
        <v>88</v>
      </c>
      <c r="AJ113" s="705">
        <v>213107</v>
      </c>
      <c r="AK113" s="705">
        <v>192950</v>
      </c>
      <c r="AL113" s="705">
        <v>253319</v>
      </c>
      <c r="AM113" s="705">
        <v>93822</v>
      </c>
      <c r="AN113" s="705">
        <v>39204</v>
      </c>
      <c r="AO113" s="705">
        <v>14520</v>
      </c>
      <c r="AP113" s="705">
        <v>373371</v>
      </c>
      <c r="AQ113" s="705">
        <v>138286</v>
      </c>
      <c r="AR113" s="705">
        <v>2301</v>
      </c>
      <c r="AS113">
        <v>852</v>
      </c>
      <c r="AT113" s="705">
        <v>1480593</v>
      </c>
      <c r="AU113" s="705">
        <f t="shared" si="7"/>
        <v>1480593</v>
      </c>
      <c r="AV113" s="705">
        <f t="shared" si="6"/>
        <v>2025481</v>
      </c>
    </row>
    <row r="114" spans="2:48" ht="12.75" hidden="1" customHeight="1">
      <c r="B114" t="s">
        <v>531</v>
      </c>
      <c r="C114" t="s">
        <v>110</v>
      </c>
      <c r="D114" t="s">
        <v>228</v>
      </c>
      <c r="E114" t="s">
        <v>228</v>
      </c>
      <c r="F114">
        <v>20</v>
      </c>
      <c r="G114" s="705">
        <v>4897</v>
      </c>
      <c r="H114" s="705">
        <v>1758</v>
      </c>
      <c r="I114" s="705">
        <v>158882</v>
      </c>
      <c r="J114" s="705">
        <v>58845</v>
      </c>
      <c r="K114">
        <v>376</v>
      </c>
      <c r="L114" s="705">
        <v>42485</v>
      </c>
      <c r="M114" s="705">
        <v>33430</v>
      </c>
      <c r="N114" s="705">
        <v>75166</v>
      </c>
      <c r="O114" s="705">
        <v>27839</v>
      </c>
      <c r="P114" s="705">
        <v>14628</v>
      </c>
      <c r="Q114" s="705">
        <v>5418</v>
      </c>
      <c r="R114" s="705">
        <v>132558</v>
      </c>
      <c r="S114" s="705">
        <v>49096</v>
      </c>
      <c r="T114" s="705">
        <v>0</v>
      </c>
      <c r="U114" s="705">
        <v>0</v>
      </c>
      <c r="V114" s="705">
        <v>174628</v>
      </c>
      <c r="W114" s="705">
        <f t="shared" si="4"/>
        <v>174628</v>
      </c>
      <c r="X114" s="705">
        <f t="shared" si="5"/>
        <v>423719</v>
      </c>
      <c r="Y114" s="705"/>
      <c r="AA114" t="s">
        <v>114</v>
      </c>
      <c r="AB114" t="s">
        <v>583</v>
      </c>
      <c r="AC114" t="s">
        <v>583</v>
      </c>
      <c r="AD114" s="705">
        <v>13707</v>
      </c>
      <c r="AE114" s="705">
        <v>2811461</v>
      </c>
      <c r="AF114" s="705">
        <v>1923346</v>
      </c>
      <c r="AG114" s="705">
        <v>229735074</v>
      </c>
      <c r="AH114" s="705">
        <v>208850067</v>
      </c>
      <c r="AI114">
        <v>90</v>
      </c>
      <c r="AJ114" s="705">
        <v>46842689</v>
      </c>
      <c r="AK114" s="705">
        <v>42470163</v>
      </c>
      <c r="AL114" s="705">
        <v>55274062</v>
      </c>
      <c r="AM114" s="705">
        <v>20471875</v>
      </c>
      <c r="AN114" s="705">
        <v>9853276</v>
      </c>
      <c r="AO114" s="705">
        <v>3649361</v>
      </c>
      <c r="AP114" s="705">
        <v>75241222</v>
      </c>
      <c r="AQ114" s="705">
        <v>68401111</v>
      </c>
      <c r="AR114" s="705">
        <v>4916165</v>
      </c>
      <c r="AS114" s="705">
        <v>1820802</v>
      </c>
      <c r="AT114" s="705">
        <v>345663378</v>
      </c>
      <c r="AU114" s="705">
        <f t="shared" si="7"/>
        <v>345663379</v>
      </c>
      <c r="AV114" s="705">
        <f t="shared" si="6"/>
        <v>421862488</v>
      </c>
    </row>
    <row r="115" spans="2:48" ht="12.75" hidden="1" customHeight="1">
      <c r="B115" t="s">
        <v>531</v>
      </c>
      <c r="C115" t="s">
        <v>110</v>
      </c>
      <c r="D115" t="s">
        <v>583</v>
      </c>
      <c r="E115" t="s">
        <v>583</v>
      </c>
      <c r="F115">
        <v>21</v>
      </c>
      <c r="G115" s="705">
        <v>5929</v>
      </c>
      <c r="H115" s="705">
        <v>1938</v>
      </c>
      <c r="I115" s="705">
        <v>279422</v>
      </c>
      <c r="J115" s="705">
        <v>254020</v>
      </c>
      <c r="K115">
        <v>95</v>
      </c>
      <c r="L115" s="705">
        <v>52891</v>
      </c>
      <c r="M115" s="705">
        <v>47609</v>
      </c>
      <c r="N115" s="705">
        <v>86539</v>
      </c>
      <c r="O115" s="705">
        <v>32052</v>
      </c>
      <c r="P115" s="705">
        <v>24626</v>
      </c>
      <c r="Q115" s="705">
        <v>9121</v>
      </c>
      <c r="R115" s="705">
        <v>106700</v>
      </c>
      <c r="S115" s="705">
        <v>97000</v>
      </c>
      <c r="T115" s="705">
        <v>4601</v>
      </c>
      <c r="U115" s="705">
        <v>1704</v>
      </c>
      <c r="V115" s="705">
        <v>441505</v>
      </c>
      <c r="W115" s="705">
        <f t="shared" si="4"/>
        <v>441506</v>
      </c>
      <c r="X115" s="705">
        <f t="shared" si="5"/>
        <v>554779</v>
      </c>
      <c r="Y115" s="705"/>
      <c r="AA115" t="s">
        <v>114</v>
      </c>
      <c r="AB115" t="s">
        <v>583</v>
      </c>
      <c r="AC115" t="s">
        <v>666</v>
      </c>
      <c r="AD115">
        <v>14</v>
      </c>
      <c r="AE115" s="705">
        <v>2885</v>
      </c>
      <c r="AF115" s="705">
        <v>1956</v>
      </c>
      <c r="AG115" s="705">
        <v>227489</v>
      </c>
      <c r="AH115" s="705">
        <v>206808</v>
      </c>
      <c r="AI115">
        <v>90</v>
      </c>
      <c r="AJ115" s="705">
        <v>58287</v>
      </c>
      <c r="AK115" s="705">
        <v>52988</v>
      </c>
      <c r="AL115" s="705">
        <v>55593</v>
      </c>
      <c r="AM115" s="705">
        <v>20590</v>
      </c>
      <c r="AN115" s="705">
        <v>8964</v>
      </c>
      <c r="AO115" s="705">
        <v>3320</v>
      </c>
      <c r="AP115" s="705">
        <v>62889</v>
      </c>
      <c r="AQ115" s="705">
        <v>57172</v>
      </c>
      <c r="AR115" s="705">
        <v>3506</v>
      </c>
      <c r="AS115" s="705">
        <v>1299</v>
      </c>
      <c r="AT115" s="705">
        <v>342176</v>
      </c>
      <c r="AU115" s="705">
        <f t="shared" si="7"/>
        <v>342177</v>
      </c>
      <c r="AV115" s="705">
        <f t="shared" si="6"/>
        <v>416728</v>
      </c>
    </row>
    <row r="116" spans="2:48" ht="12.75" hidden="1" customHeight="1">
      <c r="B116" t="s">
        <v>531</v>
      </c>
      <c r="C116" t="s">
        <v>110</v>
      </c>
      <c r="D116" t="s">
        <v>584</v>
      </c>
      <c r="E116" t="s">
        <v>584</v>
      </c>
      <c r="F116">
        <v>16</v>
      </c>
      <c r="G116" s="705">
        <v>2596</v>
      </c>
      <c r="H116" s="705">
        <v>1426</v>
      </c>
      <c r="I116" s="705">
        <v>112135</v>
      </c>
      <c r="J116" s="705">
        <v>101941</v>
      </c>
      <c r="K116">
        <v>90</v>
      </c>
      <c r="L116" s="705">
        <v>3923</v>
      </c>
      <c r="M116" s="705">
        <v>3459</v>
      </c>
      <c r="N116" s="705">
        <v>31922</v>
      </c>
      <c r="O116" s="705">
        <v>11823</v>
      </c>
      <c r="P116" s="705">
        <v>26438</v>
      </c>
      <c r="Q116" s="705">
        <v>9792</v>
      </c>
      <c r="R116" s="705">
        <v>54638</v>
      </c>
      <c r="S116" s="705">
        <v>49671</v>
      </c>
      <c r="T116" s="705">
        <v>0</v>
      </c>
      <c r="U116" s="705">
        <v>0</v>
      </c>
      <c r="V116" s="705">
        <v>176686</v>
      </c>
      <c r="W116" s="705">
        <f t="shared" si="4"/>
        <v>176686</v>
      </c>
      <c r="X116" s="705">
        <f t="shared" si="5"/>
        <v>229056</v>
      </c>
      <c r="Y116" s="705"/>
      <c r="AA116" t="s">
        <v>114</v>
      </c>
      <c r="AB116" t="s">
        <v>583</v>
      </c>
      <c r="AC116" t="s">
        <v>584</v>
      </c>
      <c r="AD116" s="705">
        <v>4</v>
      </c>
      <c r="AE116" s="705">
        <v>875</v>
      </c>
      <c r="AF116" s="705">
        <v>550</v>
      </c>
      <c r="AG116" s="705">
        <v>70637</v>
      </c>
      <c r="AH116" s="705">
        <v>64216</v>
      </c>
      <c r="AI116">
        <v>92</v>
      </c>
      <c r="AJ116" s="705">
        <v>9864</v>
      </c>
      <c r="AK116" s="705">
        <v>8967</v>
      </c>
      <c r="AL116" s="705">
        <v>16980</v>
      </c>
      <c r="AM116" s="705">
        <v>6289</v>
      </c>
      <c r="AN116" s="705">
        <v>3186</v>
      </c>
      <c r="AO116" s="705">
        <v>1180</v>
      </c>
      <c r="AP116" s="705">
        <v>21673</v>
      </c>
      <c r="AQ116" s="705">
        <v>19703</v>
      </c>
      <c r="AR116" s="705">
        <v>4565</v>
      </c>
      <c r="AS116" s="705">
        <v>1691</v>
      </c>
      <c r="AT116" s="705">
        <v>102046</v>
      </c>
      <c r="AU116" s="705">
        <f t="shared" si="7"/>
        <v>102046</v>
      </c>
      <c r="AV116" s="705">
        <f t="shared" si="6"/>
        <v>126905</v>
      </c>
    </row>
    <row r="117" spans="2:48" ht="12.75" hidden="1" customHeight="1">
      <c r="B117" t="s">
        <v>531</v>
      </c>
      <c r="C117" t="s">
        <v>110</v>
      </c>
      <c r="D117" t="s">
        <v>585</v>
      </c>
      <c r="E117" t="s">
        <v>585</v>
      </c>
      <c r="F117">
        <v>1</v>
      </c>
      <c r="G117" s="705">
        <v>169</v>
      </c>
      <c r="H117" s="705">
        <v>83</v>
      </c>
      <c r="I117" s="705">
        <v>9233</v>
      </c>
      <c r="J117" s="705">
        <v>8393</v>
      </c>
      <c r="K117">
        <v>89</v>
      </c>
      <c r="L117" s="705">
        <v>1152</v>
      </c>
      <c r="M117" s="705">
        <v>1047</v>
      </c>
      <c r="N117" s="705">
        <v>2889</v>
      </c>
      <c r="O117" s="705">
        <v>1070</v>
      </c>
      <c r="P117" s="705">
        <v>2299</v>
      </c>
      <c r="Q117" s="705">
        <v>851</v>
      </c>
      <c r="R117" s="705">
        <v>3994</v>
      </c>
      <c r="S117" s="705">
        <v>3631</v>
      </c>
      <c r="T117" s="705">
        <v>0</v>
      </c>
      <c r="U117" s="705">
        <v>0</v>
      </c>
      <c r="V117" s="705">
        <v>14993</v>
      </c>
      <c r="W117" s="705">
        <f t="shared" si="4"/>
        <v>14992</v>
      </c>
      <c r="X117" s="705">
        <f t="shared" si="5"/>
        <v>19567</v>
      </c>
      <c r="Y117" s="705"/>
      <c r="AA117" t="s">
        <v>114</v>
      </c>
      <c r="AB117" t="s">
        <v>583</v>
      </c>
      <c r="AC117" t="s">
        <v>669</v>
      </c>
      <c r="AD117">
        <v>1</v>
      </c>
      <c r="AE117">
        <v>205</v>
      </c>
      <c r="AF117" s="705">
        <v>142</v>
      </c>
      <c r="AG117" s="705">
        <v>16096</v>
      </c>
      <c r="AH117" s="705">
        <v>14633</v>
      </c>
      <c r="AI117">
        <v>86</v>
      </c>
      <c r="AJ117" s="705">
        <v>2554</v>
      </c>
      <c r="AK117" s="705">
        <v>2322</v>
      </c>
      <c r="AL117" s="705">
        <v>3417</v>
      </c>
      <c r="AM117" s="705">
        <v>1265</v>
      </c>
      <c r="AN117" s="705">
        <v>621</v>
      </c>
      <c r="AO117" s="705">
        <v>230</v>
      </c>
      <c r="AP117" s="705">
        <v>6458</v>
      </c>
      <c r="AQ117" s="705">
        <v>5382</v>
      </c>
      <c r="AR117" s="705">
        <v>0</v>
      </c>
      <c r="AS117" s="705">
        <v>0</v>
      </c>
      <c r="AT117" s="705">
        <v>23832</v>
      </c>
      <c r="AU117" s="705">
        <f t="shared" si="7"/>
        <v>23832</v>
      </c>
      <c r="AV117" s="705">
        <f t="shared" si="6"/>
        <v>29146</v>
      </c>
    </row>
    <row r="118" spans="2:48" ht="12.75" hidden="1" customHeight="1">
      <c r="B118" t="s">
        <v>531</v>
      </c>
      <c r="C118" t="s">
        <v>112</v>
      </c>
      <c r="D118" t="s">
        <v>582</v>
      </c>
      <c r="E118" t="s">
        <v>582</v>
      </c>
      <c r="F118">
        <v>6</v>
      </c>
      <c r="G118" s="705">
        <v>1121</v>
      </c>
      <c r="H118" s="705">
        <v>697</v>
      </c>
      <c r="I118" s="705">
        <v>82896</v>
      </c>
      <c r="J118" s="705">
        <v>75360</v>
      </c>
      <c r="K118">
        <v>91</v>
      </c>
      <c r="L118" s="705">
        <v>16912</v>
      </c>
      <c r="M118" s="705">
        <v>15375</v>
      </c>
      <c r="N118" s="705">
        <v>20318</v>
      </c>
      <c r="O118" s="705">
        <v>7525</v>
      </c>
      <c r="P118" s="705">
        <v>5286</v>
      </c>
      <c r="Q118" s="705">
        <v>1958</v>
      </c>
      <c r="R118" s="705">
        <v>31085</v>
      </c>
      <c r="S118" s="705">
        <v>28259</v>
      </c>
      <c r="T118" s="705">
        <v>0</v>
      </c>
      <c r="U118" s="705">
        <v>0</v>
      </c>
      <c r="V118" s="705">
        <v>128477</v>
      </c>
      <c r="W118" s="705">
        <f t="shared" si="4"/>
        <v>128477</v>
      </c>
      <c r="X118" s="705">
        <f t="shared" si="5"/>
        <v>156497</v>
      </c>
      <c r="Y118" s="705"/>
      <c r="AA118" t="s">
        <v>114</v>
      </c>
      <c r="AB118" t="s">
        <v>583</v>
      </c>
      <c r="AC118" t="s">
        <v>671</v>
      </c>
      <c r="AD118">
        <v>1</v>
      </c>
      <c r="AE118" s="705">
        <v>151</v>
      </c>
      <c r="AF118" s="705">
        <v>145</v>
      </c>
      <c r="AG118" s="705">
        <v>21430</v>
      </c>
      <c r="AH118" s="705">
        <v>19482</v>
      </c>
      <c r="AI118">
        <v>86</v>
      </c>
      <c r="AJ118" s="705">
        <v>2982</v>
      </c>
      <c r="AK118" s="705">
        <v>2711</v>
      </c>
      <c r="AL118" s="705">
        <v>3107</v>
      </c>
      <c r="AM118" s="705">
        <v>1151</v>
      </c>
      <c r="AN118" s="705">
        <v>621</v>
      </c>
      <c r="AO118" s="705">
        <v>230</v>
      </c>
      <c r="AP118" s="705">
        <v>6686</v>
      </c>
      <c r="AQ118" s="705">
        <v>6079</v>
      </c>
      <c r="AR118" s="705">
        <v>0</v>
      </c>
      <c r="AS118" s="705">
        <v>0</v>
      </c>
      <c r="AT118" s="705">
        <v>29652</v>
      </c>
      <c r="AU118" s="705">
        <f t="shared" si="7"/>
        <v>29653</v>
      </c>
      <c r="AV118" s="705">
        <f t="shared" si="6"/>
        <v>34826</v>
      </c>
    </row>
    <row r="119" spans="2:48" ht="12.75" hidden="1" customHeight="1">
      <c r="B119" t="s">
        <v>531</v>
      </c>
      <c r="C119" t="s">
        <v>112</v>
      </c>
      <c r="D119" t="s">
        <v>228</v>
      </c>
      <c r="E119" t="s">
        <v>228</v>
      </c>
      <c r="F119">
        <v>12</v>
      </c>
      <c r="G119" s="705">
        <v>3083</v>
      </c>
      <c r="H119" s="705">
        <v>1363</v>
      </c>
      <c r="I119" s="705">
        <v>144523</v>
      </c>
      <c r="J119" s="705">
        <v>53527</v>
      </c>
      <c r="K119">
        <v>331</v>
      </c>
      <c r="L119" s="705">
        <v>31393</v>
      </c>
      <c r="M119" s="705">
        <v>27318</v>
      </c>
      <c r="N119" s="705">
        <v>61480</v>
      </c>
      <c r="O119" s="705">
        <v>22770</v>
      </c>
      <c r="P119" s="705">
        <v>16245</v>
      </c>
      <c r="Q119" s="705">
        <v>6017</v>
      </c>
      <c r="R119" s="705">
        <v>104352</v>
      </c>
      <c r="S119" s="705">
        <v>38649</v>
      </c>
      <c r="T119" s="705">
        <v>0</v>
      </c>
      <c r="U119">
        <v>0</v>
      </c>
      <c r="V119" s="705">
        <v>148281</v>
      </c>
      <c r="W119" s="705">
        <f t="shared" si="4"/>
        <v>148281</v>
      </c>
      <c r="X119" s="705">
        <f t="shared" si="5"/>
        <v>357993</v>
      </c>
      <c r="Y119" s="705"/>
      <c r="AA119" t="s">
        <v>114</v>
      </c>
      <c r="AB119" t="s">
        <v>583</v>
      </c>
      <c r="AC119" t="s">
        <v>665</v>
      </c>
      <c r="AD119" s="705">
        <v>7</v>
      </c>
      <c r="AE119" s="705">
        <v>1725</v>
      </c>
      <c r="AF119" s="705">
        <v>992</v>
      </c>
      <c r="AG119" s="705">
        <v>139315</v>
      </c>
      <c r="AH119" s="705">
        <v>126650</v>
      </c>
      <c r="AI119">
        <v>91</v>
      </c>
      <c r="AJ119" s="705">
        <v>33906</v>
      </c>
      <c r="AK119" s="705">
        <v>30823</v>
      </c>
      <c r="AL119" s="705">
        <v>30381</v>
      </c>
      <c r="AM119" s="705">
        <v>11252</v>
      </c>
      <c r="AN119" s="705">
        <v>4347</v>
      </c>
      <c r="AO119" s="705">
        <v>1610</v>
      </c>
      <c r="AP119" s="705">
        <v>31952</v>
      </c>
      <c r="AQ119" s="705">
        <v>29047</v>
      </c>
      <c r="AR119" s="705">
        <v>10440</v>
      </c>
      <c r="AS119" s="705">
        <v>3867</v>
      </c>
      <c r="AT119" s="705">
        <v>203249</v>
      </c>
      <c r="AU119" s="705">
        <f t="shared" si="7"/>
        <v>203249</v>
      </c>
      <c r="AV119" s="705">
        <f t="shared" si="6"/>
        <v>250341</v>
      </c>
    </row>
    <row r="120" spans="2:48" ht="12.75" hidden="1" customHeight="1">
      <c r="B120" t="s">
        <v>531</v>
      </c>
      <c r="C120" t="s">
        <v>112</v>
      </c>
      <c r="D120" t="s">
        <v>583</v>
      </c>
      <c r="E120" t="s">
        <v>583</v>
      </c>
      <c r="F120">
        <v>150</v>
      </c>
      <c r="G120" s="705">
        <v>34779</v>
      </c>
      <c r="H120" s="705">
        <v>17662</v>
      </c>
      <c r="I120" s="705">
        <v>2376069</v>
      </c>
      <c r="J120" s="705">
        <v>2160062</v>
      </c>
      <c r="K120">
        <v>93</v>
      </c>
      <c r="L120" s="705">
        <v>469204</v>
      </c>
      <c r="M120" s="705">
        <v>422612</v>
      </c>
      <c r="N120" s="705">
        <v>630665</v>
      </c>
      <c r="O120" s="705">
        <v>233580</v>
      </c>
      <c r="P120" s="705">
        <v>115458</v>
      </c>
      <c r="Q120" s="705">
        <v>42762</v>
      </c>
      <c r="R120" s="705">
        <v>792323</v>
      </c>
      <c r="S120" s="705">
        <v>720294</v>
      </c>
      <c r="T120" s="705">
        <v>31316</v>
      </c>
      <c r="U120" s="705">
        <v>11599</v>
      </c>
      <c r="V120" s="705">
        <v>3590908</v>
      </c>
      <c r="W120" s="705">
        <f t="shared" si="4"/>
        <v>3590909</v>
      </c>
      <c r="X120" s="705">
        <f t="shared" si="5"/>
        <v>4415035</v>
      </c>
      <c r="Y120" s="705"/>
      <c r="AA120" t="s">
        <v>114</v>
      </c>
      <c r="AB120" t="s">
        <v>583</v>
      </c>
      <c r="AC120" t="s">
        <v>673</v>
      </c>
      <c r="AD120">
        <v>1</v>
      </c>
      <c r="AE120" s="705">
        <v>213</v>
      </c>
      <c r="AF120" s="705">
        <v>147</v>
      </c>
      <c r="AG120" s="705">
        <v>17471</v>
      </c>
      <c r="AH120" s="705">
        <v>15883</v>
      </c>
      <c r="AI120">
        <v>86</v>
      </c>
      <c r="AJ120" s="705">
        <v>2201</v>
      </c>
      <c r="AK120" s="705">
        <v>2001</v>
      </c>
      <c r="AL120" s="705">
        <v>2591</v>
      </c>
      <c r="AM120" s="705">
        <v>960</v>
      </c>
      <c r="AN120" s="705">
        <v>621</v>
      </c>
      <c r="AO120" s="705">
        <v>230</v>
      </c>
      <c r="AP120" s="705">
        <v>4754</v>
      </c>
      <c r="AQ120" s="705">
        <v>4322</v>
      </c>
      <c r="AR120" s="705">
        <v>3592</v>
      </c>
      <c r="AS120" s="705">
        <v>1330</v>
      </c>
      <c r="AT120" s="705">
        <v>24725</v>
      </c>
      <c r="AU120" s="705">
        <f t="shared" si="7"/>
        <v>24726</v>
      </c>
      <c r="AV120" s="705">
        <f t="shared" si="6"/>
        <v>31230</v>
      </c>
    </row>
    <row r="121" spans="2:48" ht="12.75" hidden="1" customHeight="1">
      <c r="B121" t="s">
        <v>531</v>
      </c>
      <c r="C121" t="s">
        <v>112</v>
      </c>
      <c r="D121" t="s">
        <v>584</v>
      </c>
      <c r="E121" t="s">
        <v>584</v>
      </c>
      <c r="F121">
        <v>13</v>
      </c>
      <c r="G121" s="705">
        <v>2139</v>
      </c>
      <c r="H121" s="705">
        <v>1529</v>
      </c>
      <c r="I121" s="705">
        <v>129287</v>
      </c>
      <c r="J121" s="705">
        <v>117534</v>
      </c>
      <c r="K121">
        <v>89</v>
      </c>
      <c r="L121" s="705">
        <v>28638</v>
      </c>
      <c r="M121" s="705">
        <v>26034</v>
      </c>
      <c r="N121" s="705">
        <v>35008</v>
      </c>
      <c r="O121" s="705">
        <v>12966</v>
      </c>
      <c r="P121" s="705">
        <v>11167</v>
      </c>
      <c r="Q121" s="705">
        <v>4136</v>
      </c>
      <c r="R121" s="705">
        <v>58759</v>
      </c>
      <c r="S121" s="705">
        <v>53417</v>
      </c>
      <c r="T121" s="705">
        <v>0</v>
      </c>
      <c r="U121" s="705">
        <v>0</v>
      </c>
      <c r="V121" s="705">
        <v>214087</v>
      </c>
      <c r="W121" s="705">
        <f t="shared" si="4"/>
        <v>214087</v>
      </c>
      <c r="X121" s="705">
        <f t="shared" si="5"/>
        <v>262859</v>
      </c>
      <c r="Y121" s="705"/>
      <c r="AA121" t="s">
        <v>114</v>
      </c>
      <c r="AB121" t="s">
        <v>583</v>
      </c>
      <c r="AC121" t="s">
        <v>668</v>
      </c>
      <c r="AD121">
        <v>2</v>
      </c>
      <c r="AE121" s="705">
        <v>437</v>
      </c>
      <c r="AF121" s="705">
        <v>258</v>
      </c>
      <c r="AG121" s="705">
        <v>25866</v>
      </c>
      <c r="AH121" s="705">
        <v>23514</v>
      </c>
      <c r="AI121">
        <v>90</v>
      </c>
      <c r="AJ121" s="705">
        <v>3874</v>
      </c>
      <c r="AK121" s="705">
        <v>3522</v>
      </c>
      <c r="AL121" s="705">
        <v>5721</v>
      </c>
      <c r="AM121" s="705">
        <v>2119</v>
      </c>
      <c r="AN121" s="705">
        <v>3712</v>
      </c>
      <c r="AO121" s="705">
        <v>1375</v>
      </c>
      <c r="AP121" s="705">
        <v>17089</v>
      </c>
      <c r="AQ121" s="705">
        <v>15535</v>
      </c>
      <c r="AR121" s="705">
        <v>0</v>
      </c>
      <c r="AS121" s="705">
        <v>0</v>
      </c>
      <c r="AT121" s="705">
        <v>46065</v>
      </c>
      <c r="AU121" s="705">
        <f t="shared" si="7"/>
        <v>46065</v>
      </c>
      <c r="AV121" s="705">
        <f t="shared" si="6"/>
        <v>56262</v>
      </c>
    </row>
    <row r="122" spans="2:48" ht="12.75" hidden="1" customHeight="1">
      <c r="B122" t="s">
        <v>531</v>
      </c>
      <c r="C122" t="s">
        <v>112</v>
      </c>
      <c r="D122" t="s">
        <v>585</v>
      </c>
      <c r="E122" t="s">
        <v>585</v>
      </c>
      <c r="F122">
        <v>1</v>
      </c>
      <c r="G122" s="705">
        <v>218</v>
      </c>
      <c r="H122" s="705">
        <v>107</v>
      </c>
      <c r="I122" s="705">
        <v>11220</v>
      </c>
      <c r="J122" s="705">
        <v>10200</v>
      </c>
      <c r="K122">
        <v>85</v>
      </c>
      <c r="L122" s="705">
        <v>1532</v>
      </c>
      <c r="M122" s="705">
        <v>1392</v>
      </c>
      <c r="N122" s="705">
        <v>3082</v>
      </c>
      <c r="O122" s="705">
        <v>1142</v>
      </c>
      <c r="P122" s="705">
        <v>621</v>
      </c>
      <c r="Q122" s="705">
        <v>230</v>
      </c>
      <c r="R122" s="705">
        <v>6937</v>
      </c>
      <c r="S122" s="705">
        <v>6306</v>
      </c>
      <c r="T122" s="705">
        <v>0</v>
      </c>
      <c r="U122">
        <v>0</v>
      </c>
      <c r="V122" s="705">
        <v>19270</v>
      </c>
      <c r="W122" s="705">
        <f t="shared" si="4"/>
        <v>19270</v>
      </c>
      <c r="X122" s="705">
        <f t="shared" si="5"/>
        <v>23392</v>
      </c>
      <c r="Y122" s="705"/>
      <c r="AA122" t="s">
        <v>114</v>
      </c>
      <c r="AB122" t="s">
        <v>666</v>
      </c>
      <c r="AC122" t="s">
        <v>583</v>
      </c>
      <c r="AD122">
        <v>1</v>
      </c>
      <c r="AE122" s="705">
        <v>172</v>
      </c>
      <c r="AF122" s="705">
        <v>149</v>
      </c>
      <c r="AG122" s="705">
        <v>12209</v>
      </c>
      <c r="AH122" s="705">
        <v>11099</v>
      </c>
      <c r="AI122">
        <v>85</v>
      </c>
      <c r="AJ122" s="705">
        <v>3844</v>
      </c>
      <c r="AK122" s="705">
        <v>3494</v>
      </c>
      <c r="AL122" s="705">
        <v>2094</v>
      </c>
      <c r="AM122" s="705">
        <v>776</v>
      </c>
      <c r="AN122" s="705">
        <v>621</v>
      </c>
      <c r="AO122" s="705">
        <v>230</v>
      </c>
      <c r="AP122" s="705">
        <v>6806</v>
      </c>
      <c r="AQ122" s="705">
        <v>6187</v>
      </c>
      <c r="AR122" s="705">
        <v>0</v>
      </c>
      <c r="AS122" s="705">
        <v>0</v>
      </c>
      <c r="AT122" s="705">
        <v>21786</v>
      </c>
      <c r="AU122" s="705">
        <f t="shared" si="7"/>
        <v>21786</v>
      </c>
      <c r="AV122" s="705">
        <f t="shared" si="6"/>
        <v>25574</v>
      </c>
    </row>
    <row r="123" spans="2:48" ht="12.75" hidden="1" customHeight="1">
      <c r="B123" t="s">
        <v>531</v>
      </c>
      <c r="C123" t="s">
        <v>114</v>
      </c>
      <c r="D123" t="s">
        <v>664</v>
      </c>
      <c r="E123" t="s">
        <v>664</v>
      </c>
      <c r="F123" s="705">
        <v>1</v>
      </c>
      <c r="G123" s="705">
        <v>165</v>
      </c>
      <c r="H123" s="705">
        <v>138</v>
      </c>
      <c r="I123" s="705">
        <v>11128</v>
      </c>
      <c r="J123" s="705">
        <v>10117</v>
      </c>
      <c r="K123">
        <v>92</v>
      </c>
      <c r="L123" s="705">
        <v>2804</v>
      </c>
      <c r="M123" s="705">
        <v>1039</v>
      </c>
      <c r="N123" s="705">
        <v>3241</v>
      </c>
      <c r="O123" s="705">
        <v>1200</v>
      </c>
      <c r="P123" s="705">
        <v>621</v>
      </c>
      <c r="Q123" s="705">
        <v>230</v>
      </c>
      <c r="R123" s="705">
        <v>4978</v>
      </c>
      <c r="S123" s="705">
        <v>4525</v>
      </c>
      <c r="T123" s="705">
        <v>0</v>
      </c>
      <c r="U123" s="705">
        <v>0</v>
      </c>
      <c r="V123" s="705">
        <v>17111</v>
      </c>
      <c r="W123" s="705">
        <f t="shared" si="4"/>
        <v>17111</v>
      </c>
      <c r="X123" s="705">
        <f t="shared" si="5"/>
        <v>22772</v>
      </c>
      <c r="Y123" s="705"/>
      <c r="AA123" t="s">
        <v>114</v>
      </c>
      <c r="AB123" t="s">
        <v>666</v>
      </c>
      <c r="AC123" t="s">
        <v>666</v>
      </c>
      <c r="AD123">
        <v>3</v>
      </c>
      <c r="AE123">
        <v>908</v>
      </c>
      <c r="AF123">
        <v>417</v>
      </c>
      <c r="AG123" s="705">
        <v>72002</v>
      </c>
      <c r="AH123" s="705">
        <v>65456</v>
      </c>
      <c r="AI123">
        <v>77</v>
      </c>
      <c r="AJ123" s="705">
        <v>18466</v>
      </c>
      <c r="AK123" s="705">
        <v>14383</v>
      </c>
      <c r="AL123" s="705">
        <v>11903</v>
      </c>
      <c r="AM123" s="705">
        <v>4409</v>
      </c>
      <c r="AN123" s="705">
        <v>1323</v>
      </c>
      <c r="AO123">
        <v>490</v>
      </c>
      <c r="AP123" s="705">
        <v>20703</v>
      </c>
      <c r="AQ123" s="705">
        <v>18821</v>
      </c>
      <c r="AR123" s="705">
        <v>1819</v>
      </c>
      <c r="AS123" s="705">
        <v>674</v>
      </c>
      <c r="AT123" s="705">
        <v>104232</v>
      </c>
      <c r="AU123" s="705">
        <f t="shared" si="7"/>
        <v>104233</v>
      </c>
      <c r="AV123" s="705">
        <f t="shared" si="6"/>
        <v>126216</v>
      </c>
    </row>
    <row r="124" spans="2:48" ht="12.75" hidden="1" customHeight="1">
      <c r="B124" t="s">
        <v>531</v>
      </c>
      <c r="C124" t="s">
        <v>114</v>
      </c>
      <c r="D124" t="s">
        <v>664</v>
      </c>
      <c r="E124" t="s">
        <v>583</v>
      </c>
      <c r="F124">
        <v>1</v>
      </c>
      <c r="G124">
        <v>216</v>
      </c>
      <c r="H124" s="705">
        <v>145</v>
      </c>
      <c r="I124" s="705">
        <v>19958</v>
      </c>
      <c r="J124" s="705">
        <v>18143</v>
      </c>
      <c r="K124">
        <v>85</v>
      </c>
      <c r="L124" s="705">
        <v>2907</v>
      </c>
      <c r="M124" s="705">
        <v>2642</v>
      </c>
      <c r="N124" s="705">
        <v>4312</v>
      </c>
      <c r="O124" s="705">
        <v>1597</v>
      </c>
      <c r="P124" s="705">
        <v>621</v>
      </c>
      <c r="Q124" s="705">
        <v>230</v>
      </c>
      <c r="R124" s="705">
        <v>3504</v>
      </c>
      <c r="S124" s="705">
        <v>3185</v>
      </c>
      <c r="T124" s="705">
        <v>0</v>
      </c>
      <c r="U124" s="705">
        <v>0</v>
      </c>
      <c r="V124" s="705">
        <v>25798</v>
      </c>
      <c r="W124" s="705">
        <f t="shared" si="4"/>
        <v>25797</v>
      </c>
      <c r="X124" s="705">
        <f t="shared" si="5"/>
        <v>31302</v>
      </c>
      <c r="Y124" s="705"/>
      <c r="AA124" t="s">
        <v>114</v>
      </c>
      <c r="AB124" t="s">
        <v>584</v>
      </c>
      <c r="AC124" t="s">
        <v>664</v>
      </c>
      <c r="AD124">
        <v>1</v>
      </c>
      <c r="AE124" s="705">
        <v>157</v>
      </c>
      <c r="AF124" s="705">
        <v>149</v>
      </c>
      <c r="AG124" s="705">
        <v>13285</v>
      </c>
      <c r="AH124" s="705">
        <v>12077</v>
      </c>
      <c r="AI124">
        <v>91</v>
      </c>
      <c r="AJ124" s="705">
        <v>2126</v>
      </c>
      <c r="AK124" s="705">
        <v>1932</v>
      </c>
      <c r="AL124" s="705">
        <v>2531</v>
      </c>
      <c r="AM124" s="705">
        <v>937</v>
      </c>
      <c r="AN124" s="705">
        <v>473</v>
      </c>
      <c r="AO124" s="705">
        <v>175</v>
      </c>
      <c r="AP124" s="705">
        <v>5081</v>
      </c>
      <c r="AQ124" s="705">
        <v>4619</v>
      </c>
      <c r="AR124" s="705">
        <v>0</v>
      </c>
      <c r="AS124" s="705">
        <v>0</v>
      </c>
      <c r="AT124" s="705">
        <v>19741</v>
      </c>
      <c r="AU124" s="705">
        <f t="shared" si="7"/>
        <v>19740</v>
      </c>
      <c r="AV124" s="705">
        <f t="shared" si="6"/>
        <v>23496</v>
      </c>
    </row>
    <row r="125" spans="2:48" ht="12.75" hidden="1" customHeight="1">
      <c r="B125" t="s">
        <v>531</v>
      </c>
      <c r="C125" t="s">
        <v>114</v>
      </c>
      <c r="D125" t="s">
        <v>582</v>
      </c>
      <c r="E125" t="s">
        <v>582</v>
      </c>
      <c r="F125">
        <v>40</v>
      </c>
      <c r="G125" s="705">
        <v>6716</v>
      </c>
      <c r="H125" s="705">
        <v>5565</v>
      </c>
      <c r="I125" s="705">
        <v>517129</v>
      </c>
      <c r="J125" s="705">
        <v>470117</v>
      </c>
      <c r="K125">
        <v>87</v>
      </c>
      <c r="L125" s="705">
        <v>88610</v>
      </c>
      <c r="M125" s="705">
        <v>77712</v>
      </c>
      <c r="N125" s="705">
        <v>136575</v>
      </c>
      <c r="O125" s="705">
        <v>50583</v>
      </c>
      <c r="P125" s="705">
        <v>19130</v>
      </c>
      <c r="Q125" s="705">
        <v>7085</v>
      </c>
      <c r="R125" s="705">
        <v>202878</v>
      </c>
      <c r="S125" s="705">
        <v>184434</v>
      </c>
      <c r="T125" s="705">
        <v>20994</v>
      </c>
      <c r="U125" s="705">
        <v>7776</v>
      </c>
      <c r="V125" s="705">
        <v>797708</v>
      </c>
      <c r="W125" s="705">
        <f t="shared" si="4"/>
        <v>797707</v>
      </c>
      <c r="X125" s="705">
        <f t="shared" si="5"/>
        <v>985316</v>
      </c>
      <c r="Y125" s="705"/>
      <c r="AA125" t="s">
        <v>114</v>
      </c>
      <c r="AB125" t="s">
        <v>584</v>
      </c>
      <c r="AC125" t="s">
        <v>582</v>
      </c>
      <c r="AD125">
        <v>5</v>
      </c>
      <c r="AE125" s="705">
        <v>868</v>
      </c>
      <c r="AF125" s="705">
        <v>720</v>
      </c>
      <c r="AG125" s="705">
        <v>64205</v>
      </c>
      <c r="AH125" s="705">
        <v>58368</v>
      </c>
      <c r="AI125">
        <v>85</v>
      </c>
      <c r="AJ125" s="705">
        <v>14421</v>
      </c>
      <c r="AK125" s="705">
        <v>13110</v>
      </c>
      <c r="AL125" s="705">
        <v>16002</v>
      </c>
      <c r="AM125" s="705">
        <v>5926</v>
      </c>
      <c r="AN125" s="705">
        <v>2363</v>
      </c>
      <c r="AO125" s="705">
        <v>875</v>
      </c>
      <c r="AP125" s="705">
        <v>27752</v>
      </c>
      <c r="AQ125" s="705">
        <v>25229</v>
      </c>
      <c r="AR125" s="705">
        <v>0</v>
      </c>
      <c r="AS125" s="705">
        <v>0</v>
      </c>
      <c r="AT125" s="705">
        <v>103509</v>
      </c>
      <c r="AU125" s="705">
        <f t="shared" si="7"/>
        <v>103508</v>
      </c>
      <c r="AV125" s="705">
        <f t="shared" si="6"/>
        <v>124743</v>
      </c>
    </row>
    <row r="126" spans="2:48" ht="12.75" hidden="1" customHeight="1">
      <c r="B126" t="s">
        <v>531</v>
      </c>
      <c r="C126" t="s">
        <v>114</v>
      </c>
      <c r="D126" t="s">
        <v>228</v>
      </c>
      <c r="E126" t="s">
        <v>582</v>
      </c>
      <c r="F126" s="705">
        <v>1</v>
      </c>
      <c r="G126" s="705">
        <v>244</v>
      </c>
      <c r="H126" s="705">
        <v>133</v>
      </c>
      <c r="I126" s="705">
        <v>19104</v>
      </c>
      <c r="J126" s="705">
        <v>7076</v>
      </c>
      <c r="K126">
        <v>250</v>
      </c>
      <c r="L126" s="705">
        <v>1762</v>
      </c>
      <c r="M126" s="705">
        <v>1602</v>
      </c>
      <c r="N126" s="705">
        <v>3561</v>
      </c>
      <c r="O126" s="705">
        <v>1319</v>
      </c>
      <c r="P126" s="705">
        <v>824</v>
      </c>
      <c r="Q126" s="705">
        <v>305</v>
      </c>
      <c r="R126" s="705">
        <v>3417</v>
      </c>
      <c r="S126" s="705">
        <v>3106</v>
      </c>
      <c r="T126" s="705">
        <v>3800</v>
      </c>
      <c r="U126" s="705">
        <v>1407</v>
      </c>
      <c r="V126" s="705">
        <v>14815</v>
      </c>
      <c r="W126" s="705">
        <f t="shared" si="4"/>
        <v>14815</v>
      </c>
      <c r="X126" s="705">
        <f t="shared" si="5"/>
        <v>32468</v>
      </c>
      <c r="Y126" s="705"/>
      <c r="AA126" t="s">
        <v>114</v>
      </c>
      <c r="AB126" t="s">
        <v>584</v>
      </c>
      <c r="AC126" t="s">
        <v>228</v>
      </c>
      <c r="AD126">
        <v>6</v>
      </c>
      <c r="AE126" s="705">
        <v>1336</v>
      </c>
      <c r="AF126">
        <v>831</v>
      </c>
      <c r="AG126" s="705">
        <v>101135</v>
      </c>
      <c r="AH126" s="705">
        <v>91941</v>
      </c>
      <c r="AI126">
        <v>86</v>
      </c>
      <c r="AJ126" s="705">
        <v>19873</v>
      </c>
      <c r="AK126" s="705">
        <v>17005</v>
      </c>
      <c r="AL126" s="705">
        <v>24084</v>
      </c>
      <c r="AM126" s="705">
        <v>8920</v>
      </c>
      <c r="AN126" s="705">
        <v>7440</v>
      </c>
      <c r="AO126" s="705">
        <v>2756</v>
      </c>
      <c r="AP126" s="705">
        <v>34686</v>
      </c>
      <c r="AQ126" s="705">
        <v>12847</v>
      </c>
      <c r="AR126" s="705">
        <v>0</v>
      </c>
      <c r="AS126" s="705">
        <v>0</v>
      </c>
      <c r="AT126" s="705">
        <v>133469</v>
      </c>
      <c r="AU126" s="705">
        <f t="shared" si="7"/>
        <v>133469</v>
      </c>
      <c r="AV126" s="705">
        <f t="shared" si="6"/>
        <v>187218</v>
      </c>
    </row>
    <row r="127" spans="2:48" ht="12.75" hidden="1" customHeight="1">
      <c r="B127" t="s">
        <v>531</v>
      </c>
      <c r="C127" t="s">
        <v>114</v>
      </c>
      <c r="D127" t="s">
        <v>228</v>
      </c>
      <c r="E127" t="s">
        <v>228</v>
      </c>
      <c r="F127">
        <v>11</v>
      </c>
      <c r="G127" s="705">
        <v>2427</v>
      </c>
      <c r="H127" s="705">
        <v>1547</v>
      </c>
      <c r="I127" s="705">
        <v>153652</v>
      </c>
      <c r="J127" s="705">
        <v>56908</v>
      </c>
      <c r="K127">
        <v>293</v>
      </c>
      <c r="L127" s="705">
        <v>41828</v>
      </c>
      <c r="M127" s="705">
        <v>37492</v>
      </c>
      <c r="N127" s="705">
        <v>51339</v>
      </c>
      <c r="O127" s="705">
        <v>19014</v>
      </c>
      <c r="P127" s="705">
        <v>7098</v>
      </c>
      <c r="Q127" s="705">
        <v>2629</v>
      </c>
      <c r="R127" s="705">
        <v>101474</v>
      </c>
      <c r="S127" s="705">
        <v>37583</v>
      </c>
      <c r="T127" s="705">
        <v>4876</v>
      </c>
      <c r="U127" s="705">
        <v>1806</v>
      </c>
      <c r="V127" s="705">
        <v>155432</v>
      </c>
      <c r="W127" s="705">
        <f t="shared" si="4"/>
        <v>155432</v>
      </c>
      <c r="X127" s="705">
        <f t="shared" si="5"/>
        <v>360267</v>
      </c>
      <c r="Y127" s="705"/>
      <c r="AA127" t="s">
        <v>114</v>
      </c>
      <c r="AB127" t="s">
        <v>584</v>
      </c>
      <c r="AC127" t="s">
        <v>584</v>
      </c>
      <c r="AD127" s="705">
        <v>4738</v>
      </c>
      <c r="AE127" s="705">
        <v>859653</v>
      </c>
      <c r="AF127" s="705">
        <v>664754</v>
      </c>
      <c r="AG127" s="705">
        <v>66864123</v>
      </c>
      <c r="AH127" s="705">
        <v>60785566</v>
      </c>
      <c r="AI127">
        <v>88</v>
      </c>
      <c r="AJ127" s="705">
        <v>14491710</v>
      </c>
      <c r="AK127" s="705">
        <v>13612960</v>
      </c>
      <c r="AL127" s="705">
        <v>16662208</v>
      </c>
      <c r="AM127" s="705">
        <v>6171188</v>
      </c>
      <c r="AN127" s="705">
        <v>2587875</v>
      </c>
      <c r="AO127" s="705">
        <v>958472</v>
      </c>
      <c r="AP127" s="705">
        <v>24745140</v>
      </c>
      <c r="AQ127" s="705">
        <v>22495581</v>
      </c>
      <c r="AR127" s="705">
        <v>789162</v>
      </c>
      <c r="AS127" s="705">
        <v>292282</v>
      </c>
      <c r="AT127" s="705">
        <v>104316050</v>
      </c>
      <c r="AU127" s="705">
        <f t="shared" si="7"/>
        <v>104316049</v>
      </c>
      <c r="AV127" s="705">
        <f t="shared" si="6"/>
        <v>126140218</v>
      </c>
    </row>
    <row r="128" spans="2:48" ht="12.75" hidden="1" customHeight="1">
      <c r="B128" t="s">
        <v>531</v>
      </c>
      <c r="C128" t="s">
        <v>114</v>
      </c>
      <c r="D128" t="s">
        <v>228</v>
      </c>
      <c r="E128" t="s">
        <v>665</v>
      </c>
      <c r="F128">
        <v>1</v>
      </c>
      <c r="G128" s="705">
        <v>329</v>
      </c>
      <c r="H128" s="705">
        <v>149</v>
      </c>
      <c r="I128" s="705">
        <v>29265</v>
      </c>
      <c r="J128" s="705">
        <v>10839</v>
      </c>
      <c r="K128">
        <v>100</v>
      </c>
      <c r="L128" s="705">
        <v>3507</v>
      </c>
      <c r="M128" s="705">
        <v>3188</v>
      </c>
      <c r="N128" s="705">
        <v>4814</v>
      </c>
      <c r="O128" s="705">
        <v>1783</v>
      </c>
      <c r="P128" s="705">
        <v>0</v>
      </c>
      <c r="Q128" s="705">
        <v>0</v>
      </c>
      <c r="R128" s="705">
        <v>7017</v>
      </c>
      <c r="S128" s="705">
        <v>6379</v>
      </c>
      <c r="T128" s="705">
        <v>4546</v>
      </c>
      <c r="U128" s="705">
        <v>1684</v>
      </c>
      <c r="V128" s="705">
        <v>23873</v>
      </c>
      <c r="W128" s="705">
        <f t="shared" si="4"/>
        <v>23873</v>
      </c>
      <c r="X128" s="705">
        <f t="shared" si="5"/>
        <v>49149</v>
      </c>
      <c r="Y128" s="705"/>
      <c r="AA128" t="s">
        <v>114</v>
      </c>
      <c r="AB128" t="s">
        <v>584</v>
      </c>
      <c r="AC128" t="s">
        <v>665</v>
      </c>
      <c r="AD128">
        <v>3</v>
      </c>
      <c r="AE128">
        <v>407</v>
      </c>
      <c r="AF128" s="705">
        <v>396</v>
      </c>
      <c r="AG128" s="705">
        <v>30747</v>
      </c>
      <c r="AH128" s="705">
        <v>27951</v>
      </c>
      <c r="AI128">
        <v>91</v>
      </c>
      <c r="AJ128" s="705">
        <v>8059</v>
      </c>
      <c r="AK128" s="705">
        <v>7327</v>
      </c>
      <c r="AL128" s="705">
        <v>8485</v>
      </c>
      <c r="AM128" s="705">
        <v>3143</v>
      </c>
      <c r="AN128" s="705">
        <v>2039</v>
      </c>
      <c r="AO128">
        <v>755</v>
      </c>
      <c r="AP128" s="705">
        <v>14524</v>
      </c>
      <c r="AQ128" s="705">
        <v>13203</v>
      </c>
      <c r="AR128">
        <v>0</v>
      </c>
      <c r="AS128">
        <v>0</v>
      </c>
      <c r="AT128" s="705">
        <v>52379</v>
      </c>
      <c r="AU128" s="705">
        <f t="shared" si="7"/>
        <v>52379</v>
      </c>
      <c r="AV128" s="705">
        <f t="shared" si="6"/>
        <v>63854</v>
      </c>
    </row>
    <row r="129" spans="2:48" ht="12.75" hidden="1" customHeight="1">
      <c r="B129" t="s">
        <v>531</v>
      </c>
      <c r="C129" t="s">
        <v>114</v>
      </c>
      <c r="D129" t="s">
        <v>583</v>
      </c>
      <c r="E129" t="s">
        <v>583</v>
      </c>
      <c r="F129">
        <v>470</v>
      </c>
      <c r="G129" s="705">
        <v>98923</v>
      </c>
      <c r="H129" s="705">
        <v>65983</v>
      </c>
      <c r="I129" s="705">
        <v>7715866</v>
      </c>
      <c r="J129" s="705">
        <v>7014424</v>
      </c>
      <c r="K129">
        <v>90</v>
      </c>
      <c r="L129" s="705">
        <v>1792243</v>
      </c>
      <c r="M129" s="705">
        <v>1607951</v>
      </c>
      <c r="N129" s="705">
        <v>2007170</v>
      </c>
      <c r="O129" s="705">
        <v>743396</v>
      </c>
      <c r="P129" s="705">
        <v>313636</v>
      </c>
      <c r="Q129" s="705">
        <v>116161</v>
      </c>
      <c r="R129" s="705">
        <v>2690365</v>
      </c>
      <c r="S129" s="705">
        <v>2445787</v>
      </c>
      <c r="T129" s="705">
        <v>105126</v>
      </c>
      <c r="U129" s="705">
        <v>38936</v>
      </c>
      <c r="V129" s="705">
        <v>11966654</v>
      </c>
      <c r="W129" s="705">
        <f t="shared" si="4"/>
        <v>11966655</v>
      </c>
      <c r="X129" s="705">
        <f t="shared" si="5"/>
        <v>14624406</v>
      </c>
      <c r="Y129" s="705"/>
      <c r="AA129" t="s">
        <v>114</v>
      </c>
      <c r="AB129" t="s">
        <v>669</v>
      </c>
      <c r="AC129" t="s">
        <v>669</v>
      </c>
      <c r="AD129">
        <v>2</v>
      </c>
      <c r="AE129" s="705">
        <v>572</v>
      </c>
      <c r="AF129" s="705">
        <v>285</v>
      </c>
      <c r="AG129" s="705">
        <v>56833</v>
      </c>
      <c r="AH129" s="705">
        <v>47361</v>
      </c>
      <c r="AI129">
        <v>78</v>
      </c>
      <c r="AJ129" s="705">
        <v>0</v>
      </c>
      <c r="AK129" s="705">
        <v>0</v>
      </c>
      <c r="AL129" s="705">
        <v>13452</v>
      </c>
      <c r="AM129" s="705">
        <v>4982</v>
      </c>
      <c r="AN129" s="705">
        <v>6964</v>
      </c>
      <c r="AO129" s="705">
        <v>2579</v>
      </c>
      <c r="AP129" s="705">
        <v>9978</v>
      </c>
      <c r="AQ129" s="705">
        <v>8315</v>
      </c>
      <c r="AR129" s="705">
        <v>2042</v>
      </c>
      <c r="AS129" s="705">
        <v>756</v>
      </c>
      <c r="AT129" s="705">
        <v>63994</v>
      </c>
      <c r="AU129" s="705">
        <f t="shared" si="7"/>
        <v>63993</v>
      </c>
      <c r="AV129" s="705">
        <f t="shared" si="6"/>
        <v>89269</v>
      </c>
    </row>
    <row r="130" spans="2:48" ht="12.75" hidden="1" customHeight="1">
      <c r="B130" t="s">
        <v>531</v>
      </c>
      <c r="C130" t="s">
        <v>114</v>
      </c>
      <c r="D130" t="s">
        <v>583</v>
      </c>
      <c r="E130" t="s">
        <v>665</v>
      </c>
      <c r="F130">
        <v>1</v>
      </c>
      <c r="G130">
        <v>277</v>
      </c>
      <c r="H130" s="705">
        <v>133</v>
      </c>
      <c r="I130" s="705">
        <v>29165</v>
      </c>
      <c r="J130" s="705">
        <v>26514</v>
      </c>
      <c r="K130">
        <v>97</v>
      </c>
      <c r="L130" s="705">
        <v>4974</v>
      </c>
      <c r="M130" s="705">
        <v>4522</v>
      </c>
      <c r="N130" s="705">
        <v>4792</v>
      </c>
      <c r="O130" s="705">
        <v>1775</v>
      </c>
      <c r="P130">
        <v>621</v>
      </c>
      <c r="Q130">
        <v>230</v>
      </c>
      <c r="R130" s="705">
        <v>3470</v>
      </c>
      <c r="S130" s="705">
        <v>3154</v>
      </c>
      <c r="T130" s="705">
        <v>2382</v>
      </c>
      <c r="U130">
        <v>882</v>
      </c>
      <c r="V130" s="705">
        <v>37077</v>
      </c>
      <c r="W130" s="705">
        <f t="shared" si="4"/>
        <v>37077</v>
      </c>
      <c r="X130" s="705">
        <f t="shared" si="5"/>
        <v>45404</v>
      </c>
      <c r="Y130" s="705"/>
      <c r="AA130" t="s">
        <v>114</v>
      </c>
      <c r="AB130" t="s">
        <v>665</v>
      </c>
      <c r="AC130" t="s">
        <v>228</v>
      </c>
      <c r="AD130">
        <v>6</v>
      </c>
      <c r="AE130" s="705">
        <v>1231</v>
      </c>
      <c r="AF130" s="705">
        <v>868</v>
      </c>
      <c r="AG130" s="705">
        <v>125225</v>
      </c>
      <c r="AH130" s="705">
        <v>113840</v>
      </c>
      <c r="AI130">
        <v>67</v>
      </c>
      <c r="AJ130" s="705">
        <v>15220</v>
      </c>
      <c r="AK130" s="705">
        <v>12950</v>
      </c>
      <c r="AL130" s="705">
        <v>18039</v>
      </c>
      <c r="AM130" s="705">
        <v>6681</v>
      </c>
      <c r="AN130" s="705">
        <v>2531</v>
      </c>
      <c r="AO130" s="705">
        <v>937</v>
      </c>
      <c r="AP130" s="705">
        <v>32533</v>
      </c>
      <c r="AQ130" s="705">
        <v>12049</v>
      </c>
      <c r="AR130" s="705">
        <v>0</v>
      </c>
      <c r="AS130" s="705">
        <v>0</v>
      </c>
      <c r="AT130" s="705">
        <v>146458</v>
      </c>
      <c r="AU130" s="705">
        <f t="shared" si="7"/>
        <v>146457</v>
      </c>
      <c r="AV130" s="705">
        <f t="shared" si="6"/>
        <v>193548</v>
      </c>
    </row>
    <row r="131" spans="2:48" ht="12.75" hidden="1" customHeight="1">
      <c r="B131" t="s">
        <v>531</v>
      </c>
      <c r="C131" t="s">
        <v>114</v>
      </c>
      <c r="D131" t="s">
        <v>666</v>
      </c>
      <c r="E131" t="s">
        <v>666</v>
      </c>
      <c r="F131" s="705">
        <v>1</v>
      </c>
      <c r="G131" s="705">
        <v>312</v>
      </c>
      <c r="H131" s="705">
        <v>127</v>
      </c>
      <c r="I131" s="705">
        <v>20524</v>
      </c>
      <c r="J131" s="705">
        <v>18658</v>
      </c>
      <c r="K131">
        <v>82</v>
      </c>
      <c r="L131" s="705">
        <v>5899</v>
      </c>
      <c r="M131" s="705">
        <v>5363</v>
      </c>
      <c r="N131" s="705">
        <v>3796</v>
      </c>
      <c r="O131" s="705">
        <v>1406</v>
      </c>
      <c r="P131" s="705">
        <v>621</v>
      </c>
      <c r="Q131" s="705">
        <v>230</v>
      </c>
      <c r="R131" s="705">
        <v>8822</v>
      </c>
      <c r="S131" s="705">
        <v>8020</v>
      </c>
      <c r="T131" s="705">
        <v>0</v>
      </c>
      <c r="U131" s="705">
        <v>0</v>
      </c>
      <c r="V131" s="705">
        <v>33677</v>
      </c>
      <c r="W131" s="705">
        <f t="shared" si="4"/>
        <v>33677</v>
      </c>
      <c r="X131" s="705">
        <f t="shared" si="5"/>
        <v>39662</v>
      </c>
      <c r="Y131" s="705"/>
      <c r="AA131" t="s">
        <v>114</v>
      </c>
      <c r="AB131" t="s">
        <v>665</v>
      </c>
      <c r="AC131" t="s">
        <v>583</v>
      </c>
      <c r="AD131">
        <v>1</v>
      </c>
      <c r="AE131" s="705">
        <v>257</v>
      </c>
      <c r="AF131" s="705">
        <v>142</v>
      </c>
      <c r="AG131" s="705">
        <v>18754</v>
      </c>
      <c r="AH131" s="705">
        <v>17049</v>
      </c>
      <c r="AI131">
        <v>86</v>
      </c>
      <c r="AJ131" s="705">
        <v>5953</v>
      </c>
      <c r="AK131" s="705">
        <v>5411</v>
      </c>
      <c r="AL131" s="705">
        <v>4673</v>
      </c>
      <c r="AM131" s="705">
        <v>1731</v>
      </c>
      <c r="AN131" s="705">
        <v>621</v>
      </c>
      <c r="AO131" s="705">
        <v>230</v>
      </c>
      <c r="AP131" s="705">
        <v>6533</v>
      </c>
      <c r="AQ131" s="705">
        <v>5939</v>
      </c>
      <c r="AR131" s="705">
        <v>0</v>
      </c>
      <c r="AS131">
        <v>0</v>
      </c>
      <c r="AT131" s="705">
        <v>30360</v>
      </c>
      <c r="AU131" s="705">
        <f t="shared" si="7"/>
        <v>30360</v>
      </c>
      <c r="AV131" s="705">
        <f t="shared" si="6"/>
        <v>36534</v>
      </c>
    </row>
    <row r="132" spans="2:48" ht="12.75" hidden="1" customHeight="1">
      <c r="B132" t="s">
        <v>531</v>
      </c>
      <c r="C132" t="s">
        <v>114</v>
      </c>
      <c r="D132" t="s">
        <v>584</v>
      </c>
      <c r="E132" t="s">
        <v>584</v>
      </c>
      <c r="F132">
        <v>37</v>
      </c>
      <c r="G132" s="705">
        <v>6335</v>
      </c>
      <c r="H132" s="705">
        <v>5275</v>
      </c>
      <c r="I132" s="705">
        <v>505287</v>
      </c>
      <c r="J132" s="705">
        <v>459352</v>
      </c>
      <c r="K132">
        <v>84</v>
      </c>
      <c r="L132" s="705">
        <v>100577</v>
      </c>
      <c r="M132" s="705">
        <v>83582</v>
      </c>
      <c r="N132" s="705">
        <v>123517</v>
      </c>
      <c r="O132" s="705">
        <v>45747</v>
      </c>
      <c r="P132" s="705">
        <v>19933</v>
      </c>
      <c r="Q132" s="705">
        <v>7383</v>
      </c>
      <c r="R132" s="705">
        <v>216695</v>
      </c>
      <c r="S132" s="705">
        <v>196996</v>
      </c>
      <c r="T132" s="705">
        <v>7072</v>
      </c>
      <c r="U132" s="705">
        <v>2619</v>
      </c>
      <c r="V132" s="705">
        <v>795679</v>
      </c>
      <c r="W132" s="705">
        <f t="shared" si="4"/>
        <v>795679</v>
      </c>
      <c r="X132" s="705">
        <f t="shared" si="5"/>
        <v>973081</v>
      </c>
      <c r="Y132" s="705"/>
      <c r="AA132" t="s">
        <v>114</v>
      </c>
      <c r="AB132" t="s">
        <v>665</v>
      </c>
      <c r="AC132" t="s">
        <v>665</v>
      </c>
      <c r="AD132">
        <v>10</v>
      </c>
      <c r="AE132" s="705">
        <v>2499</v>
      </c>
      <c r="AF132" s="705">
        <v>1432</v>
      </c>
      <c r="AG132" s="705">
        <v>237135</v>
      </c>
      <c r="AH132" s="705">
        <v>215577</v>
      </c>
      <c r="AI132">
        <v>71</v>
      </c>
      <c r="AJ132" s="705">
        <v>18798</v>
      </c>
      <c r="AK132" s="705">
        <v>15324</v>
      </c>
      <c r="AL132" s="705">
        <v>45138</v>
      </c>
      <c r="AM132" s="705">
        <v>16718</v>
      </c>
      <c r="AN132" s="705">
        <v>11582</v>
      </c>
      <c r="AO132" s="705">
        <v>4290</v>
      </c>
      <c r="AP132" s="705">
        <v>48785</v>
      </c>
      <c r="AQ132" s="705">
        <v>44350</v>
      </c>
      <c r="AR132" s="705">
        <v>13806</v>
      </c>
      <c r="AS132" s="705">
        <v>5113</v>
      </c>
      <c r="AT132" s="705">
        <v>301372</v>
      </c>
      <c r="AU132" s="705">
        <f t="shared" si="7"/>
        <v>301372</v>
      </c>
      <c r="AV132" s="705">
        <f t="shared" si="6"/>
        <v>375244</v>
      </c>
    </row>
    <row r="133" spans="2:48" ht="12.75" hidden="1" customHeight="1">
      <c r="B133" t="s">
        <v>531</v>
      </c>
      <c r="C133" t="s">
        <v>116</v>
      </c>
      <c r="D133" t="s">
        <v>664</v>
      </c>
      <c r="E133" t="s">
        <v>664</v>
      </c>
      <c r="F133">
        <v>4</v>
      </c>
      <c r="G133" s="705">
        <v>710</v>
      </c>
      <c r="H133" s="705">
        <v>780</v>
      </c>
      <c r="I133" s="705">
        <v>73338</v>
      </c>
      <c r="J133" s="705">
        <v>66671</v>
      </c>
      <c r="K133">
        <v>80</v>
      </c>
      <c r="L133" s="705">
        <v>17942</v>
      </c>
      <c r="M133" s="705">
        <v>16311</v>
      </c>
      <c r="N133" s="705">
        <v>16032</v>
      </c>
      <c r="O133" s="705">
        <v>5938</v>
      </c>
      <c r="P133" s="705">
        <v>1890</v>
      </c>
      <c r="Q133" s="705">
        <v>700</v>
      </c>
      <c r="R133" s="705">
        <v>25936</v>
      </c>
      <c r="S133" s="705">
        <v>23578</v>
      </c>
      <c r="T133" s="705">
        <v>4418</v>
      </c>
      <c r="U133" s="705">
        <v>1636</v>
      </c>
      <c r="V133" s="705">
        <v>114834</v>
      </c>
      <c r="W133" s="705">
        <f t="shared" si="4"/>
        <v>114834</v>
      </c>
      <c r="X133" s="705">
        <f t="shared" si="5"/>
        <v>139556</v>
      </c>
      <c r="Y133" s="705"/>
      <c r="AA133" t="s">
        <v>114</v>
      </c>
      <c r="AB133" t="s">
        <v>722</v>
      </c>
      <c r="AC133" t="s">
        <v>722</v>
      </c>
      <c r="AD133" s="705">
        <v>6</v>
      </c>
      <c r="AE133" s="705">
        <v>1729</v>
      </c>
      <c r="AF133" s="705">
        <v>825</v>
      </c>
      <c r="AG133" s="705">
        <v>143547</v>
      </c>
      <c r="AH133" s="705">
        <v>130497</v>
      </c>
      <c r="AI133">
        <v>83</v>
      </c>
      <c r="AJ133" s="705">
        <v>19097</v>
      </c>
      <c r="AK133" s="705">
        <v>17361</v>
      </c>
      <c r="AL133" s="705">
        <v>33922</v>
      </c>
      <c r="AM133" s="705">
        <v>12564</v>
      </c>
      <c r="AN133" s="705">
        <v>3632</v>
      </c>
      <c r="AO133" s="705">
        <v>1345</v>
      </c>
      <c r="AP133" s="705">
        <v>35838</v>
      </c>
      <c r="AQ133" s="705">
        <v>32580</v>
      </c>
      <c r="AR133" s="705">
        <v>0</v>
      </c>
      <c r="AS133" s="705">
        <v>0</v>
      </c>
      <c r="AT133" s="705">
        <v>194346</v>
      </c>
      <c r="AU133" s="705">
        <f t="shared" si="7"/>
        <v>194347</v>
      </c>
      <c r="AV133" s="705">
        <f t="shared" si="6"/>
        <v>236036</v>
      </c>
    </row>
    <row r="134" spans="2:48" ht="12.75" hidden="1" customHeight="1">
      <c r="B134" t="s">
        <v>531</v>
      </c>
      <c r="C134" t="s">
        <v>116</v>
      </c>
      <c r="D134" t="s">
        <v>664</v>
      </c>
      <c r="E134" t="s">
        <v>582</v>
      </c>
      <c r="F134">
        <v>1</v>
      </c>
      <c r="G134">
        <v>237</v>
      </c>
      <c r="H134" s="705">
        <v>169</v>
      </c>
      <c r="I134" s="705">
        <v>24757</v>
      </c>
      <c r="J134" s="705">
        <v>22506</v>
      </c>
      <c r="K134">
        <v>81</v>
      </c>
      <c r="L134" s="705">
        <v>3535</v>
      </c>
      <c r="M134" s="705">
        <v>3213</v>
      </c>
      <c r="N134" s="705">
        <v>3259</v>
      </c>
      <c r="O134" s="705">
        <v>1207</v>
      </c>
      <c r="P134" s="705">
        <v>473</v>
      </c>
      <c r="Q134" s="705">
        <v>175</v>
      </c>
      <c r="R134" s="705">
        <v>8093</v>
      </c>
      <c r="S134" s="705">
        <v>7357</v>
      </c>
      <c r="T134" s="705">
        <v>0</v>
      </c>
      <c r="U134" s="705">
        <v>0</v>
      </c>
      <c r="V134" s="705">
        <v>34458</v>
      </c>
      <c r="W134" s="705">
        <f t="shared" si="4"/>
        <v>34458</v>
      </c>
      <c r="X134" s="705">
        <f t="shared" si="5"/>
        <v>40117</v>
      </c>
      <c r="Y134" s="705"/>
      <c r="AA134" t="s">
        <v>114</v>
      </c>
      <c r="AB134" t="s">
        <v>673</v>
      </c>
      <c r="AC134" t="s">
        <v>228</v>
      </c>
      <c r="AD134">
        <v>2</v>
      </c>
      <c r="AE134" s="705">
        <v>297</v>
      </c>
      <c r="AF134" s="705">
        <v>283</v>
      </c>
      <c r="AG134" s="705">
        <v>19741</v>
      </c>
      <c r="AH134" s="705">
        <v>17947</v>
      </c>
      <c r="AI134">
        <v>80</v>
      </c>
      <c r="AJ134" s="705">
        <v>1487</v>
      </c>
      <c r="AK134" s="705">
        <v>551</v>
      </c>
      <c r="AL134" s="705">
        <v>3695</v>
      </c>
      <c r="AM134" s="705">
        <v>1368</v>
      </c>
      <c r="AN134" s="705">
        <v>1354</v>
      </c>
      <c r="AO134" s="705">
        <v>501</v>
      </c>
      <c r="AP134" s="705">
        <v>15866</v>
      </c>
      <c r="AQ134" s="705">
        <v>5876</v>
      </c>
      <c r="AR134" s="705">
        <v>0</v>
      </c>
      <c r="AS134" s="705">
        <v>0</v>
      </c>
      <c r="AT134" s="705">
        <v>26243</v>
      </c>
      <c r="AU134" s="705">
        <f t="shared" si="7"/>
        <v>26243</v>
      </c>
      <c r="AV134" s="705">
        <f t="shared" si="6"/>
        <v>42143</v>
      </c>
    </row>
    <row r="135" spans="2:48" ht="12.75" hidden="1" customHeight="1">
      <c r="B135" t="s">
        <v>531</v>
      </c>
      <c r="C135" t="s">
        <v>116</v>
      </c>
      <c r="D135" t="s">
        <v>582</v>
      </c>
      <c r="E135" t="s">
        <v>582</v>
      </c>
      <c r="F135">
        <v>85</v>
      </c>
      <c r="G135" s="705">
        <v>13100</v>
      </c>
      <c r="H135" s="705">
        <v>15621</v>
      </c>
      <c r="I135" s="705">
        <v>1346966</v>
      </c>
      <c r="J135" s="705">
        <v>1224514</v>
      </c>
      <c r="K135">
        <v>82</v>
      </c>
      <c r="L135" s="705">
        <v>294488</v>
      </c>
      <c r="M135" s="705">
        <v>246560</v>
      </c>
      <c r="N135" s="705">
        <v>284935</v>
      </c>
      <c r="O135" s="705">
        <v>105532</v>
      </c>
      <c r="P135" s="705">
        <v>45509</v>
      </c>
      <c r="Q135" s="705">
        <v>16855</v>
      </c>
      <c r="R135" s="705">
        <v>454298</v>
      </c>
      <c r="S135" s="705">
        <v>412998</v>
      </c>
      <c r="T135" s="705">
        <v>39597</v>
      </c>
      <c r="U135" s="705">
        <v>14666</v>
      </c>
      <c r="V135" s="705">
        <v>2021125</v>
      </c>
      <c r="W135" s="705">
        <f t="shared" ref="W135:W198" si="8">SUM(ABS(J135),ABS(M135),ABS(O135),ABS(Q135),ABS(S135),ABS(U135))</f>
        <v>2021125</v>
      </c>
      <c r="X135" s="705">
        <f t="shared" ref="X135:X198" si="9">SUM(ABS(I135),ABS(N135),ABS(P135),ABS(R135),ABS(T135),ABS(L135))</f>
        <v>2465793</v>
      </c>
      <c r="Y135" s="705"/>
      <c r="AA135" t="s">
        <v>114</v>
      </c>
      <c r="AB135" t="s">
        <v>673</v>
      </c>
      <c r="AC135" t="s">
        <v>673</v>
      </c>
      <c r="AD135">
        <v>12</v>
      </c>
      <c r="AE135" s="705">
        <v>2750</v>
      </c>
      <c r="AF135" s="705">
        <v>1673</v>
      </c>
      <c r="AG135" s="705">
        <v>258828</v>
      </c>
      <c r="AH135" s="705">
        <v>235298</v>
      </c>
      <c r="AI135">
        <v>74</v>
      </c>
      <c r="AJ135" s="705">
        <v>31649</v>
      </c>
      <c r="AK135" s="705">
        <v>28772</v>
      </c>
      <c r="AL135" s="705">
        <v>43242</v>
      </c>
      <c r="AM135" s="705">
        <v>16015</v>
      </c>
      <c r="AN135" s="705">
        <v>13681</v>
      </c>
      <c r="AO135" s="705">
        <v>5067</v>
      </c>
      <c r="AP135" s="705">
        <v>48666</v>
      </c>
      <c r="AQ135" s="705">
        <v>44242</v>
      </c>
      <c r="AR135" s="705">
        <v>6003</v>
      </c>
      <c r="AS135" s="705">
        <v>2223</v>
      </c>
      <c r="AT135" s="705">
        <v>331617</v>
      </c>
      <c r="AU135" s="705">
        <f t="shared" si="7"/>
        <v>331617</v>
      </c>
      <c r="AV135" s="705">
        <f t="shared" ref="AV135:AV198" si="10">SUM(ABS(AG135),ABS(AJ135),ABS(AL135),ABS(AN135),ABS(AP135),ABS(AR135))</f>
        <v>402069</v>
      </c>
    </row>
    <row r="136" spans="2:48" ht="12.75" hidden="1" customHeight="1">
      <c r="B136" t="s">
        <v>531</v>
      </c>
      <c r="C136" t="s">
        <v>116</v>
      </c>
      <c r="D136" t="s">
        <v>582</v>
      </c>
      <c r="E136" t="s">
        <v>228</v>
      </c>
      <c r="F136">
        <v>1</v>
      </c>
      <c r="G136" s="705">
        <v>286</v>
      </c>
      <c r="H136" s="705">
        <v>210</v>
      </c>
      <c r="I136" s="705">
        <v>32561</v>
      </c>
      <c r="J136" s="705">
        <v>29601</v>
      </c>
      <c r="K136">
        <v>92</v>
      </c>
      <c r="L136" s="705">
        <v>10564</v>
      </c>
      <c r="M136" s="705">
        <v>9604</v>
      </c>
      <c r="N136" s="705">
        <v>6977</v>
      </c>
      <c r="O136" s="705">
        <v>2584</v>
      </c>
      <c r="P136" s="705">
        <v>473</v>
      </c>
      <c r="Q136" s="705">
        <v>175</v>
      </c>
      <c r="R136" s="705">
        <v>9628</v>
      </c>
      <c r="S136" s="705">
        <v>3566</v>
      </c>
      <c r="T136" s="705">
        <v>0</v>
      </c>
      <c r="U136" s="705">
        <v>0</v>
      </c>
      <c r="V136" s="705">
        <v>45530</v>
      </c>
      <c r="W136" s="705">
        <f t="shared" si="8"/>
        <v>45530</v>
      </c>
      <c r="X136" s="705">
        <f t="shared" si="9"/>
        <v>60203</v>
      </c>
      <c r="Y136" s="705"/>
      <c r="AA136" t="s">
        <v>114</v>
      </c>
      <c r="AB136" t="s">
        <v>585</v>
      </c>
      <c r="AC136" t="s">
        <v>228</v>
      </c>
      <c r="AD136">
        <v>2</v>
      </c>
      <c r="AE136" s="705">
        <v>484</v>
      </c>
      <c r="AF136" s="705">
        <v>278</v>
      </c>
      <c r="AG136" s="705">
        <v>38552</v>
      </c>
      <c r="AH136" s="705">
        <v>35047</v>
      </c>
      <c r="AI136">
        <v>85</v>
      </c>
      <c r="AJ136" s="705">
        <v>5625</v>
      </c>
      <c r="AK136" s="705">
        <v>5114</v>
      </c>
      <c r="AL136" s="705">
        <v>7280</v>
      </c>
      <c r="AM136" s="705">
        <v>2696</v>
      </c>
      <c r="AN136" s="705">
        <v>1053</v>
      </c>
      <c r="AO136" s="705">
        <v>390</v>
      </c>
      <c r="AP136" s="705">
        <v>15594</v>
      </c>
      <c r="AQ136" s="705">
        <v>5776</v>
      </c>
      <c r="AR136" s="705">
        <v>0</v>
      </c>
      <c r="AS136" s="705">
        <v>0</v>
      </c>
      <c r="AT136" s="705">
        <v>49023</v>
      </c>
      <c r="AU136" s="705">
        <f t="shared" ref="AU136:AU199" si="11">SUM(ABS(AH136), ABS(AK136),ABS(AM136),ABS(AO136),ABS(AQ136),ABS(AS136))</f>
        <v>49023</v>
      </c>
      <c r="AV136" s="705">
        <f t="shared" si="10"/>
        <v>68104</v>
      </c>
    </row>
    <row r="137" spans="2:48" ht="12.75" hidden="1" customHeight="1">
      <c r="B137" t="s">
        <v>531</v>
      </c>
      <c r="C137" t="s">
        <v>116</v>
      </c>
      <c r="D137" t="s">
        <v>228</v>
      </c>
      <c r="E137" t="s">
        <v>228</v>
      </c>
      <c r="F137" s="705">
        <v>26</v>
      </c>
      <c r="G137" s="705">
        <v>5251</v>
      </c>
      <c r="H137" s="705">
        <v>5128</v>
      </c>
      <c r="I137" s="705">
        <v>660570</v>
      </c>
      <c r="J137" s="705">
        <v>244656</v>
      </c>
      <c r="K137">
        <v>177</v>
      </c>
      <c r="L137" s="705">
        <v>93469</v>
      </c>
      <c r="M137" s="705">
        <v>78723</v>
      </c>
      <c r="N137" s="705">
        <v>121040</v>
      </c>
      <c r="O137" s="705">
        <v>44830</v>
      </c>
      <c r="P137" s="705">
        <v>7220</v>
      </c>
      <c r="Q137" s="705">
        <v>2674</v>
      </c>
      <c r="R137" s="705">
        <v>216678</v>
      </c>
      <c r="S137" s="705">
        <v>80251</v>
      </c>
      <c r="T137" s="705">
        <v>0</v>
      </c>
      <c r="U137" s="705">
        <v>0</v>
      </c>
      <c r="V137" s="705">
        <v>451133</v>
      </c>
      <c r="W137" s="705">
        <f t="shared" si="8"/>
        <v>451134</v>
      </c>
      <c r="X137" s="705">
        <f t="shared" si="9"/>
        <v>1098977</v>
      </c>
      <c r="Y137" s="705"/>
      <c r="AA137" t="s">
        <v>114</v>
      </c>
      <c r="AB137" t="s">
        <v>585</v>
      </c>
      <c r="AC137" t="s">
        <v>583</v>
      </c>
      <c r="AD137" s="705">
        <v>1</v>
      </c>
      <c r="AE137" s="705">
        <v>272</v>
      </c>
      <c r="AF137" s="705">
        <v>148</v>
      </c>
      <c r="AG137" s="705">
        <v>19681</v>
      </c>
      <c r="AH137" s="705">
        <v>17891</v>
      </c>
      <c r="AI137">
        <v>94</v>
      </c>
      <c r="AJ137" s="705">
        <v>6852</v>
      </c>
      <c r="AK137" s="705">
        <v>6229</v>
      </c>
      <c r="AL137" s="705">
        <v>6459</v>
      </c>
      <c r="AM137" s="705">
        <v>2392</v>
      </c>
      <c r="AN137" s="705">
        <v>621</v>
      </c>
      <c r="AO137" s="705">
        <v>230</v>
      </c>
      <c r="AP137" s="705">
        <v>6715</v>
      </c>
      <c r="AQ137" s="705">
        <v>6105</v>
      </c>
      <c r="AR137" s="705">
        <v>0</v>
      </c>
      <c r="AS137" s="705">
        <v>0</v>
      </c>
      <c r="AT137" s="705">
        <v>32848</v>
      </c>
      <c r="AU137" s="705">
        <f t="shared" si="11"/>
        <v>32847</v>
      </c>
      <c r="AV137" s="705">
        <f t="shared" si="10"/>
        <v>40328</v>
      </c>
    </row>
    <row r="138" spans="2:48" ht="12.75" hidden="1" customHeight="1">
      <c r="B138" t="s">
        <v>531</v>
      </c>
      <c r="C138" t="s">
        <v>116</v>
      </c>
      <c r="D138" t="s">
        <v>583</v>
      </c>
      <c r="E138" t="s">
        <v>664</v>
      </c>
      <c r="F138">
        <v>3</v>
      </c>
      <c r="G138" s="705">
        <v>427</v>
      </c>
      <c r="H138" s="705">
        <v>585</v>
      </c>
      <c r="I138" s="705">
        <v>52360</v>
      </c>
      <c r="J138" s="705">
        <v>47600</v>
      </c>
      <c r="K138">
        <v>77</v>
      </c>
      <c r="L138" s="705">
        <v>9509</v>
      </c>
      <c r="M138" s="705">
        <v>8645</v>
      </c>
      <c r="N138" s="705">
        <v>10516</v>
      </c>
      <c r="O138" s="705">
        <v>3895</v>
      </c>
      <c r="P138" s="705">
        <v>1863</v>
      </c>
      <c r="Q138" s="705">
        <v>690</v>
      </c>
      <c r="R138" s="705">
        <v>18331</v>
      </c>
      <c r="S138" s="705">
        <v>16664</v>
      </c>
      <c r="T138" s="705">
        <v>2914</v>
      </c>
      <c r="U138" s="705">
        <v>1079</v>
      </c>
      <c r="V138" s="705">
        <v>78573</v>
      </c>
      <c r="W138" s="705">
        <f t="shared" si="8"/>
        <v>78573</v>
      </c>
      <c r="X138" s="705">
        <f t="shared" si="9"/>
        <v>95493</v>
      </c>
      <c r="Y138" s="705"/>
      <c r="AA138" t="s">
        <v>114</v>
      </c>
      <c r="AB138" t="s">
        <v>585</v>
      </c>
      <c r="AC138" t="s">
        <v>722</v>
      </c>
      <c r="AD138">
        <v>1</v>
      </c>
      <c r="AE138" s="705">
        <v>265</v>
      </c>
      <c r="AF138" s="705">
        <v>149</v>
      </c>
      <c r="AG138" s="705">
        <v>22631</v>
      </c>
      <c r="AH138" s="705">
        <v>20574</v>
      </c>
      <c r="AI138">
        <v>65</v>
      </c>
      <c r="AJ138" s="705">
        <v>2724</v>
      </c>
      <c r="AK138" s="705">
        <v>2476</v>
      </c>
      <c r="AL138" s="705">
        <v>5842</v>
      </c>
      <c r="AM138" s="705">
        <v>2164</v>
      </c>
      <c r="AN138" s="705">
        <v>351</v>
      </c>
      <c r="AO138" s="705">
        <v>130</v>
      </c>
      <c r="AP138" s="705">
        <v>7942</v>
      </c>
      <c r="AQ138" s="705">
        <v>7220</v>
      </c>
      <c r="AR138" s="705">
        <v>0</v>
      </c>
      <c r="AS138" s="705">
        <v>0</v>
      </c>
      <c r="AT138" s="705">
        <v>32563</v>
      </c>
      <c r="AU138" s="705">
        <f t="shared" si="11"/>
        <v>32564</v>
      </c>
      <c r="AV138" s="705">
        <f t="shared" si="10"/>
        <v>39490</v>
      </c>
    </row>
    <row r="139" spans="2:48" ht="12.75" hidden="1" customHeight="1">
      <c r="B139" t="s">
        <v>531</v>
      </c>
      <c r="C139" t="s">
        <v>116</v>
      </c>
      <c r="D139" t="s">
        <v>583</v>
      </c>
      <c r="E139" t="s">
        <v>583</v>
      </c>
      <c r="F139" s="705">
        <v>2230</v>
      </c>
      <c r="G139" s="705">
        <v>387105</v>
      </c>
      <c r="H139" s="705">
        <v>418715</v>
      </c>
      <c r="I139" s="705">
        <v>41465476</v>
      </c>
      <c r="J139" s="705">
        <v>37695887</v>
      </c>
      <c r="K139">
        <v>85</v>
      </c>
      <c r="L139" s="705">
        <v>9529832</v>
      </c>
      <c r="M139" s="705">
        <v>8551552</v>
      </c>
      <c r="N139" s="705">
        <v>8418182</v>
      </c>
      <c r="O139" s="705">
        <v>3117845</v>
      </c>
      <c r="P139" s="705">
        <v>1452022</v>
      </c>
      <c r="Q139" s="705">
        <v>537786</v>
      </c>
      <c r="R139" s="705">
        <v>12920642</v>
      </c>
      <c r="S139" s="705">
        <v>11746039</v>
      </c>
      <c r="T139" s="705">
        <v>2394211</v>
      </c>
      <c r="U139" s="705">
        <v>886745</v>
      </c>
      <c r="V139" s="705">
        <v>62535853</v>
      </c>
      <c r="W139" s="705">
        <f t="shared" si="8"/>
        <v>62535854</v>
      </c>
      <c r="X139" s="705">
        <f t="shared" si="9"/>
        <v>76180365</v>
      </c>
      <c r="Y139" s="705"/>
      <c r="AA139" t="s">
        <v>114</v>
      </c>
      <c r="AB139" t="s">
        <v>585</v>
      </c>
      <c r="AC139" t="s">
        <v>585</v>
      </c>
      <c r="AD139">
        <v>146</v>
      </c>
      <c r="AE139" s="705">
        <v>34722</v>
      </c>
      <c r="AF139" s="705">
        <v>20606</v>
      </c>
      <c r="AG139" s="705">
        <v>3103527</v>
      </c>
      <c r="AH139" s="705">
        <v>2821388</v>
      </c>
      <c r="AI139">
        <v>82</v>
      </c>
      <c r="AJ139" s="705">
        <v>524189</v>
      </c>
      <c r="AK139" s="705">
        <v>470678</v>
      </c>
      <c r="AL139" s="705">
        <v>639493</v>
      </c>
      <c r="AM139" s="705">
        <v>236849</v>
      </c>
      <c r="AN139" s="705">
        <v>107898</v>
      </c>
      <c r="AO139" s="705">
        <v>39962</v>
      </c>
      <c r="AP139" s="705">
        <v>779376</v>
      </c>
      <c r="AQ139" s="705">
        <v>708524</v>
      </c>
      <c r="AR139" s="705">
        <v>33160</v>
      </c>
      <c r="AS139" s="705">
        <v>12281</v>
      </c>
      <c r="AT139" s="705">
        <v>4289683</v>
      </c>
      <c r="AU139" s="705">
        <f t="shared" si="11"/>
        <v>4289682</v>
      </c>
      <c r="AV139" s="705">
        <f t="shared" si="10"/>
        <v>5187643</v>
      </c>
    </row>
    <row r="140" spans="2:48" ht="12.75" hidden="1" customHeight="1">
      <c r="B140" t="s">
        <v>531</v>
      </c>
      <c r="C140" t="s">
        <v>116</v>
      </c>
      <c r="D140" t="s">
        <v>583</v>
      </c>
      <c r="E140" t="s">
        <v>585</v>
      </c>
      <c r="F140">
        <v>1</v>
      </c>
      <c r="G140">
        <v>198</v>
      </c>
      <c r="H140">
        <v>183</v>
      </c>
      <c r="I140" s="705">
        <v>21652</v>
      </c>
      <c r="J140" s="705">
        <v>19684</v>
      </c>
      <c r="K140">
        <v>86</v>
      </c>
      <c r="L140" s="705">
        <v>3013</v>
      </c>
      <c r="M140" s="705">
        <v>2739</v>
      </c>
      <c r="N140" s="705">
        <v>3789</v>
      </c>
      <c r="O140" s="705">
        <v>1403</v>
      </c>
      <c r="P140" s="705">
        <v>621</v>
      </c>
      <c r="Q140">
        <v>230</v>
      </c>
      <c r="R140" s="705">
        <v>7204</v>
      </c>
      <c r="S140" s="705">
        <v>6549</v>
      </c>
      <c r="T140" s="705">
        <v>0</v>
      </c>
      <c r="U140" s="705">
        <v>0</v>
      </c>
      <c r="V140" s="705">
        <v>30605</v>
      </c>
      <c r="W140" s="705">
        <f t="shared" si="8"/>
        <v>30605</v>
      </c>
      <c r="X140" s="705">
        <f t="shared" si="9"/>
        <v>36279</v>
      </c>
      <c r="Y140" s="705"/>
      <c r="AA140" t="s">
        <v>114</v>
      </c>
      <c r="AB140" t="s">
        <v>585</v>
      </c>
      <c r="AC140" t="s">
        <v>668</v>
      </c>
      <c r="AD140">
        <v>2</v>
      </c>
      <c r="AE140" s="705">
        <v>347</v>
      </c>
      <c r="AF140" s="705">
        <v>287</v>
      </c>
      <c r="AG140" s="705">
        <v>29186</v>
      </c>
      <c r="AH140" s="705">
        <v>26532</v>
      </c>
      <c r="AI140">
        <v>75</v>
      </c>
      <c r="AJ140" s="705">
        <v>4341</v>
      </c>
      <c r="AK140" s="705">
        <v>3946</v>
      </c>
      <c r="AL140" s="705">
        <v>4228</v>
      </c>
      <c r="AM140" s="705">
        <v>1566</v>
      </c>
      <c r="AN140" s="705">
        <v>702</v>
      </c>
      <c r="AO140" s="705">
        <v>260</v>
      </c>
      <c r="AP140" s="705">
        <v>11695</v>
      </c>
      <c r="AQ140" s="705">
        <v>10631</v>
      </c>
      <c r="AR140" s="705">
        <v>0</v>
      </c>
      <c r="AS140" s="705">
        <v>0</v>
      </c>
      <c r="AT140" s="705">
        <v>42936</v>
      </c>
      <c r="AU140" s="705">
        <f t="shared" si="11"/>
        <v>42935</v>
      </c>
      <c r="AV140" s="705">
        <f t="shared" si="10"/>
        <v>50152</v>
      </c>
    </row>
    <row r="141" spans="2:48" ht="12.75" hidden="1" customHeight="1">
      <c r="B141" t="s">
        <v>531</v>
      </c>
      <c r="C141" t="s">
        <v>116</v>
      </c>
      <c r="D141" t="s">
        <v>584</v>
      </c>
      <c r="E141" t="s">
        <v>228</v>
      </c>
      <c r="F141">
        <v>1</v>
      </c>
      <c r="G141">
        <v>115</v>
      </c>
      <c r="H141">
        <v>196</v>
      </c>
      <c r="I141" s="705">
        <v>10927</v>
      </c>
      <c r="J141" s="705">
        <v>9934</v>
      </c>
      <c r="K141">
        <v>72</v>
      </c>
      <c r="L141" s="705">
        <v>2146</v>
      </c>
      <c r="M141" s="705">
        <v>795</v>
      </c>
      <c r="N141" s="705">
        <v>2797</v>
      </c>
      <c r="O141" s="705">
        <v>1036</v>
      </c>
      <c r="P141" s="705">
        <v>1025</v>
      </c>
      <c r="Q141">
        <v>379</v>
      </c>
      <c r="R141" s="705">
        <v>5581</v>
      </c>
      <c r="S141" s="705">
        <v>2067</v>
      </c>
      <c r="T141" s="705">
        <v>0</v>
      </c>
      <c r="U141">
        <v>0</v>
      </c>
      <c r="V141" s="705">
        <v>14211</v>
      </c>
      <c r="W141" s="705">
        <f t="shared" si="8"/>
        <v>14211</v>
      </c>
      <c r="X141" s="705">
        <f t="shared" si="9"/>
        <v>22476</v>
      </c>
      <c r="Y141" s="705"/>
      <c r="AA141" t="s">
        <v>114</v>
      </c>
      <c r="AB141" t="s">
        <v>668</v>
      </c>
      <c r="AC141" t="s">
        <v>668</v>
      </c>
      <c r="AD141">
        <v>2</v>
      </c>
      <c r="AE141">
        <v>327</v>
      </c>
      <c r="AF141" s="705">
        <v>282</v>
      </c>
      <c r="AG141" s="705">
        <v>20735</v>
      </c>
      <c r="AH141" s="705">
        <v>18850</v>
      </c>
      <c r="AI141">
        <v>76</v>
      </c>
      <c r="AJ141" s="705">
        <v>2803</v>
      </c>
      <c r="AK141" s="705">
        <v>2548</v>
      </c>
      <c r="AL141" s="705">
        <v>4956</v>
      </c>
      <c r="AM141" s="705">
        <v>1836</v>
      </c>
      <c r="AN141" s="705">
        <v>1755</v>
      </c>
      <c r="AO141">
        <v>650</v>
      </c>
      <c r="AP141" s="705">
        <v>15901</v>
      </c>
      <c r="AQ141" s="705">
        <v>14456</v>
      </c>
      <c r="AR141" s="705">
        <v>0</v>
      </c>
      <c r="AS141" s="705">
        <v>0</v>
      </c>
      <c r="AT141" s="705">
        <v>38340</v>
      </c>
      <c r="AU141" s="705">
        <f t="shared" si="11"/>
        <v>38340</v>
      </c>
      <c r="AV141" s="705">
        <f t="shared" si="10"/>
        <v>46150</v>
      </c>
    </row>
    <row r="142" spans="2:48" hidden="1">
      <c r="B142" t="s">
        <v>531</v>
      </c>
      <c r="C142" t="s">
        <v>116</v>
      </c>
      <c r="D142" t="s">
        <v>584</v>
      </c>
      <c r="E142" t="s">
        <v>584</v>
      </c>
      <c r="F142">
        <v>227</v>
      </c>
      <c r="G142" s="705">
        <v>37298</v>
      </c>
      <c r="H142" s="705">
        <v>40751</v>
      </c>
      <c r="I142" s="705">
        <v>3655593</v>
      </c>
      <c r="J142" s="705">
        <v>3323267</v>
      </c>
      <c r="K142">
        <v>80</v>
      </c>
      <c r="L142" s="705">
        <v>853287</v>
      </c>
      <c r="M142" s="705">
        <v>758691</v>
      </c>
      <c r="N142" s="705">
        <v>790215</v>
      </c>
      <c r="O142" s="705">
        <v>292672</v>
      </c>
      <c r="P142" s="705">
        <v>111212</v>
      </c>
      <c r="Q142" s="705">
        <v>41190</v>
      </c>
      <c r="R142" s="705">
        <v>1405370</v>
      </c>
      <c r="S142" s="705">
        <v>1277610</v>
      </c>
      <c r="T142" s="705">
        <v>91561</v>
      </c>
      <c r="U142" s="705">
        <v>33912</v>
      </c>
      <c r="V142" s="705">
        <v>5727341</v>
      </c>
      <c r="W142" s="705">
        <f t="shared" si="8"/>
        <v>5727342</v>
      </c>
      <c r="X142" s="705">
        <f t="shared" si="9"/>
        <v>6907238</v>
      </c>
      <c r="Y142" s="705"/>
      <c r="AA142" t="s">
        <v>116</v>
      </c>
      <c r="AD142">
        <v>34</v>
      </c>
      <c r="AE142" s="705">
        <v>7145</v>
      </c>
      <c r="AF142" s="705">
        <v>6395</v>
      </c>
      <c r="AG142" s="705"/>
      <c r="AH142" s="705">
        <v>0</v>
      </c>
      <c r="AJ142" s="705"/>
      <c r="AK142" s="705">
        <v>0</v>
      </c>
      <c r="AL142" s="705">
        <v>138811</v>
      </c>
      <c r="AM142" s="705">
        <v>51412</v>
      </c>
      <c r="AN142" s="705">
        <v>23423</v>
      </c>
      <c r="AO142" s="705">
        <v>8675</v>
      </c>
      <c r="AP142" s="705"/>
      <c r="AQ142" s="705">
        <v>0</v>
      </c>
      <c r="AR142" s="705">
        <v>20421</v>
      </c>
      <c r="AS142" s="705">
        <v>7563</v>
      </c>
      <c r="AT142" s="705">
        <v>67650</v>
      </c>
      <c r="AU142" s="705">
        <f t="shared" si="11"/>
        <v>67650</v>
      </c>
      <c r="AV142" s="705">
        <f t="shared" si="10"/>
        <v>182655</v>
      </c>
    </row>
    <row r="143" spans="2:48" ht="12.75" hidden="1" customHeight="1">
      <c r="B143" t="s">
        <v>531</v>
      </c>
      <c r="C143" t="s">
        <v>116</v>
      </c>
      <c r="D143" t="s">
        <v>584</v>
      </c>
      <c r="E143" t="s">
        <v>665</v>
      </c>
      <c r="F143">
        <v>1</v>
      </c>
      <c r="G143">
        <v>163</v>
      </c>
      <c r="H143" s="705">
        <v>198</v>
      </c>
      <c r="I143" s="705">
        <v>20029</v>
      </c>
      <c r="J143" s="705">
        <v>18208</v>
      </c>
      <c r="K143">
        <v>81</v>
      </c>
      <c r="L143" s="705">
        <v>2626</v>
      </c>
      <c r="M143" s="705">
        <v>2387</v>
      </c>
      <c r="N143" s="705">
        <v>1990</v>
      </c>
      <c r="O143" s="705">
        <v>737</v>
      </c>
      <c r="P143" s="705">
        <v>473</v>
      </c>
      <c r="Q143" s="705">
        <v>175</v>
      </c>
      <c r="R143" s="705">
        <v>3998</v>
      </c>
      <c r="S143" s="705">
        <v>3635</v>
      </c>
      <c r="T143" s="705">
        <v>3162</v>
      </c>
      <c r="U143" s="705">
        <v>1171</v>
      </c>
      <c r="V143" s="705">
        <v>26313</v>
      </c>
      <c r="W143" s="705">
        <f t="shared" si="8"/>
        <v>26313</v>
      </c>
      <c r="X143" s="705">
        <f t="shared" si="9"/>
        <v>32278</v>
      </c>
      <c r="Y143" s="705"/>
      <c r="AA143" t="s">
        <v>116</v>
      </c>
      <c r="AB143" t="s">
        <v>674</v>
      </c>
      <c r="AC143" t="s">
        <v>674</v>
      </c>
      <c r="AD143">
        <v>3</v>
      </c>
      <c r="AE143">
        <v>461</v>
      </c>
      <c r="AF143">
        <v>642</v>
      </c>
      <c r="AG143" s="705">
        <v>56555</v>
      </c>
      <c r="AH143" s="705">
        <v>51414</v>
      </c>
      <c r="AI143">
        <v>80</v>
      </c>
      <c r="AJ143" s="705">
        <v>9132</v>
      </c>
      <c r="AK143" s="705">
        <v>8302</v>
      </c>
      <c r="AL143" s="705">
        <v>9851</v>
      </c>
      <c r="AM143" s="705">
        <v>3648</v>
      </c>
      <c r="AN143" s="705">
        <v>1593</v>
      </c>
      <c r="AO143">
        <v>590</v>
      </c>
      <c r="AP143" s="705">
        <v>18600</v>
      </c>
      <c r="AQ143" s="705">
        <v>16909</v>
      </c>
      <c r="AR143" s="705">
        <v>3395</v>
      </c>
      <c r="AS143" s="705">
        <v>1257</v>
      </c>
      <c r="AT143" s="705">
        <v>82121</v>
      </c>
      <c r="AU143" s="705">
        <f t="shared" si="11"/>
        <v>82120</v>
      </c>
      <c r="AV143" s="705">
        <f t="shared" si="10"/>
        <v>99126</v>
      </c>
    </row>
    <row r="144" spans="2:48" ht="12.75" hidden="1" customHeight="1">
      <c r="B144" t="s">
        <v>531</v>
      </c>
      <c r="C144" t="s">
        <v>116</v>
      </c>
      <c r="D144" t="s">
        <v>665</v>
      </c>
      <c r="E144" t="s">
        <v>665</v>
      </c>
      <c r="F144" s="705">
        <v>13</v>
      </c>
      <c r="G144" s="705">
        <v>2749</v>
      </c>
      <c r="H144" s="705">
        <v>2635</v>
      </c>
      <c r="I144" s="705">
        <v>373164</v>
      </c>
      <c r="J144" s="705">
        <v>339240</v>
      </c>
      <c r="K144">
        <v>67</v>
      </c>
      <c r="L144" s="705">
        <v>33862</v>
      </c>
      <c r="M144" s="705">
        <v>30784</v>
      </c>
      <c r="N144" s="705">
        <v>46419</v>
      </c>
      <c r="O144" s="705">
        <v>17192</v>
      </c>
      <c r="P144" s="705">
        <v>6264</v>
      </c>
      <c r="Q144" s="705">
        <v>2320</v>
      </c>
      <c r="R144" s="705">
        <v>89370</v>
      </c>
      <c r="S144" s="705">
        <v>81245</v>
      </c>
      <c r="T144" s="705">
        <v>29776</v>
      </c>
      <c r="U144" s="705">
        <v>11028</v>
      </c>
      <c r="V144" s="705">
        <v>481809</v>
      </c>
      <c r="W144" s="705">
        <f t="shared" si="8"/>
        <v>481809</v>
      </c>
      <c r="X144" s="705">
        <f t="shared" si="9"/>
        <v>578855</v>
      </c>
      <c r="Y144" s="705"/>
      <c r="AA144" t="s">
        <v>116</v>
      </c>
      <c r="AB144" t="s">
        <v>674</v>
      </c>
      <c r="AC144" t="s">
        <v>584</v>
      </c>
      <c r="AD144">
        <v>1</v>
      </c>
      <c r="AE144">
        <v>161</v>
      </c>
      <c r="AF144">
        <v>180</v>
      </c>
      <c r="AG144" s="705">
        <v>17104</v>
      </c>
      <c r="AH144" s="705">
        <v>15549</v>
      </c>
      <c r="AI144">
        <v>93</v>
      </c>
      <c r="AJ144" s="705">
        <v>2725</v>
      </c>
      <c r="AK144" s="705">
        <v>2477</v>
      </c>
      <c r="AL144" s="705">
        <v>2625</v>
      </c>
      <c r="AM144" s="705">
        <v>972</v>
      </c>
      <c r="AN144" s="705">
        <v>473</v>
      </c>
      <c r="AO144">
        <v>175</v>
      </c>
      <c r="AP144" s="705">
        <v>2989</v>
      </c>
      <c r="AQ144" s="705">
        <v>2717</v>
      </c>
      <c r="AR144" s="705">
        <v>3047</v>
      </c>
      <c r="AS144" s="705">
        <v>1129</v>
      </c>
      <c r="AT144" s="705">
        <v>23019</v>
      </c>
      <c r="AU144" s="705">
        <f t="shared" si="11"/>
        <v>23019</v>
      </c>
      <c r="AV144" s="705">
        <f t="shared" si="10"/>
        <v>28963</v>
      </c>
    </row>
    <row r="145" spans="2:48" ht="12.75" hidden="1" customHeight="1">
      <c r="B145" t="s">
        <v>531</v>
      </c>
      <c r="C145" t="s">
        <v>116</v>
      </c>
      <c r="D145" t="s">
        <v>673</v>
      </c>
      <c r="E145" t="s">
        <v>673</v>
      </c>
      <c r="F145">
        <v>1</v>
      </c>
      <c r="G145" s="705">
        <v>156</v>
      </c>
      <c r="H145" s="705">
        <v>186</v>
      </c>
      <c r="I145" s="705">
        <v>24426</v>
      </c>
      <c r="J145" s="705">
        <v>22206</v>
      </c>
      <c r="K145">
        <v>75</v>
      </c>
      <c r="L145" s="705">
        <v>6821</v>
      </c>
      <c r="M145" s="705">
        <v>6201</v>
      </c>
      <c r="N145" s="705">
        <v>6055</v>
      </c>
      <c r="O145" s="705">
        <v>2243</v>
      </c>
      <c r="P145" s="705">
        <v>351</v>
      </c>
      <c r="Q145" s="705">
        <v>130</v>
      </c>
      <c r="R145" s="705">
        <v>4806</v>
      </c>
      <c r="S145" s="705">
        <v>4369</v>
      </c>
      <c r="T145" s="705">
        <v>3837</v>
      </c>
      <c r="U145" s="705">
        <v>1421</v>
      </c>
      <c r="V145" s="705">
        <v>36570</v>
      </c>
      <c r="W145" s="705">
        <f t="shared" si="8"/>
        <v>36570</v>
      </c>
      <c r="X145" s="705">
        <f t="shared" si="9"/>
        <v>46296</v>
      </c>
      <c r="Y145" s="705"/>
      <c r="AA145" t="s">
        <v>116</v>
      </c>
      <c r="AB145" t="s">
        <v>664</v>
      </c>
      <c r="AC145" t="s">
        <v>664</v>
      </c>
      <c r="AD145">
        <v>164</v>
      </c>
      <c r="AE145" s="705">
        <v>26523</v>
      </c>
      <c r="AF145" s="705">
        <v>31145</v>
      </c>
      <c r="AG145" s="705">
        <v>3152807</v>
      </c>
      <c r="AH145" s="705">
        <v>2866188</v>
      </c>
      <c r="AI145">
        <v>85</v>
      </c>
      <c r="AJ145" s="705">
        <v>613924</v>
      </c>
      <c r="AK145" s="705">
        <v>554320</v>
      </c>
      <c r="AL145" s="705">
        <v>555082</v>
      </c>
      <c r="AM145" s="705">
        <v>205586</v>
      </c>
      <c r="AN145" s="705">
        <v>88700</v>
      </c>
      <c r="AO145" s="705">
        <v>32852</v>
      </c>
      <c r="AP145" s="705">
        <v>898148</v>
      </c>
      <c r="AQ145" s="705">
        <v>816499</v>
      </c>
      <c r="AR145" s="705">
        <v>100855</v>
      </c>
      <c r="AS145" s="705">
        <v>37354</v>
      </c>
      <c r="AT145" s="705">
        <v>4512798</v>
      </c>
      <c r="AU145" s="705">
        <f t="shared" si="11"/>
        <v>4512799</v>
      </c>
      <c r="AV145" s="705">
        <f t="shared" si="10"/>
        <v>5409516</v>
      </c>
    </row>
    <row r="146" spans="2:48" ht="12.75" hidden="1" customHeight="1">
      <c r="B146" t="s">
        <v>531</v>
      </c>
      <c r="C146" t="s">
        <v>116</v>
      </c>
      <c r="D146" t="s">
        <v>585</v>
      </c>
      <c r="E146" t="s">
        <v>585</v>
      </c>
      <c r="F146" s="705">
        <v>9</v>
      </c>
      <c r="G146" s="705">
        <v>2108</v>
      </c>
      <c r="H146" s="705">
        <v>1672</v>
      </c>
      <c r="I146" s="705">
        <v>233655</v>
      </c>
      <c r="J146" s="705">
        <v>212414</v>
      </c>
      <c r="K146">
        <v>75</v>
      </c>
      <c r="L146" s="705">
        <v>33055</v>
      </c>
      <c r="M146" s="705">
        <v>30050</v>
      </c>
      <c r="N146" s="705">
        <v>44875</v>
      </c>
      <c r="O146" s="705">
        <v>16621</v>
      </c>
      <c r="P146" s="705">
        <v>4685</v>
      </c>
      <c r="Q146" s="705">
        <v>1735</v>
      </c>
      <c r="R146" s="705">
        <v>55650</v>
      </c>
      <c r="S146" s="705">
        <v>50591</v>
      </c>
      <c r="T146" s="705">
        <v>17787</v>
      </c>
      <c r="U146" s="705">
        <v>6588</v>
      </c>
      <c r="V146" s="705">
        <v>317998</v>
      </c>
      <c r="W146" s="705">
        <f t="shared" si="8"/>
        <v>317999</v>
      </c>
      <c r="X146" s="705">
        <f t="shared" si="9"/>
        <v>389707</v>
      </c>
      <c r="Y146" s="705"/>
      <c r="AA146" t="s">
        <v>116</v>
      </c>
      <c r="AB146" t="s">
        <v>664</v>
      </c>
      <c r="AC146" t="s">
        <v>582</v>
      </c>
      <c r="AD146">
        <v>9</v>
      </c>
      <c r="AE146" s="705">
        <v>1564</v>
      </c>
      <c r="AF146" s="705">
        <v>1690</v>
      </c>
      <c r="AG146" s="705">
        <v>169123</v>
      </c>
      <c r="AH146" s="705">
        <v>153748</v>
      </c>
      <c r="AI146">
        <v>82</v>
      </c>
      <c r="AJ146" s="705">
        <v>32709</v>
      </c>
      <c r="AK146" s="705">
        <v>28522</v>
      </c>
      <c r="AL146" s="705">
        <v>26921</v>
      </c>
      <c r="AM146" s="705">
        <v>9971</v>
      </c>
      <c r="AN146" s="705">
        <v>4540</v>
      </c>
      <c r="AO146" s="705">
        <v>1681</v>
      </c>
      <c r="AP146" s="705">
        <v>50123</v>
      </c>
      <c r="AQ146" s="705">
        <v>45566</v>
      </c>
      <c r="AR146" s="705">
        <v>10100</v>
      </c>
      <c r="AS146" s="705">
        <v>3741</v>
      </c>
      <c r="AT146" s="705">
        <v>243229</v>
      </c>
      <c r="AU146" s="705">
        <f t="shared" si="11"/>
        <v>243229</v>
      </c>
      <c r="AV146" s="705">
        <f t="shared" si="10"/>
        <v>293516</v>
      </c>
    </row>
    <row r="147" spans="2:48" ht="12.75" hidden="1" customHeight="1">
      <c r="B147" t="s">
        <v>531</v>
      </c>
      <c r="C147" t="s">
        <v>116</v>
      </c>
      <c r="D147" t="s">
        <v>668</v>
      </c>
      <c r="E147" t="s">
        <v>668</v>
      </c>
      <c r="F147">
        <v>1</v>
      </c>
      <c r="G147">
        <v>82</v>
      </c>
      <c r="H147">
        <v>205</v>
      </c>
      <c r="I147" s="705">
        <v>20127</v>
      </c>
      <c r="J147" s="705">
        <v>18297</v>
      </c>
      <c r="K147">
        <v>65</v>
      </c>
      <c r="L147" s="705">
        <v>0</v>
      </c>
      <c r="M147" s="705">
        <v>0</v>
      </c>
      <c r="N147" s="705">
        <v>1777</v>
      </c>
      <c r="O147" s="705">
        <v>658</v>
      </c>
      <c r="P147" s="705">
        <v>351</v>
      </c>
      <c r="Q147">
        <v>130</v>
      </c>
      <c r="R147" s="705">
        <v>7714</v>
      </c>
      <c r="S147" s="705">
        <v>7013</v>
      </c>
      <c r="T147" s="705">
        <v>0</v>
      </c>
      <c r="U147">
        <v>0</v>
      </c>
      <c r="V147" s="705">
        <v>26098</v>
      </c>
      <c r="W147" s="705">
        <f t="shared" si="8"/>
        <v>26098</v>
      </c>
      <c r="X147" s="705">
        <f t="shared" si="9"/>
        <v>29969</v>
      </c>
      <c r="Y147" s="705"/>
      <c r="AA147" t="s">
        <v>116</v>
      </c>
      <c r="AB147" t="s">
        <v>664</v>
      </c>
      <c r="AC147" t="s">
        <v>228</v>
      </c>
      <c r="AD147">
        <v>3</v>
      </c>
      <c r="AE147">
        <v>767</v>
      </c>
      <c r="AF147">
        <v>598</v>
      </c>
      <c r="AG147" s="705">
        <v>83032</v>
      </c>
      <c r="AH147" s="705">
        <v>75483</v>
      </c>
      <c r="AI147">
        <v>81</v>
      </c>
      <c r="AJ147" s="705">
        <v>22881</v>
      </c>
      <c r="AK147" s="705">
        <v>20801</v>
      </c>
      <c r="AL147" s="705">
        <v>16279</v>
      </c>
      <c r="AM147" s="705">
        <v>6029</v>
      </c>
      <c r="AN147">
        <v>945</v>
      </c>
      <c r="AO147">
        <v>350</v>
      </c>
      <c r="AP147" s="705">
        <v>22785</v>
      </c>
      <c r="AQ147" s="705">
        <v>8439</v>
      </c>
      <c r="AR147" s="705">
        <v>0</v>
      </c>
      <c r="AS147">
        <v>0</v>
      </c>
      <c r="AT147" s="705">
        <v>111102</v>
      </c>
      <c r="AU147" s="705">
        <f t="shared" si="11"/>
        <v>111102</v>
      </c>
      <c r="AV147" s="705">
        <f t="shared" si="10"/>
        <v>145922</v>
      </c>
    </row>
    <row r="148" spans="2:48" ht="12.75" hidden="1" customHeight="1">
      <c r="B148" t="s">
        <v>531</v>
      </c>
      <c r="C148" t="s">
        <v>118</v>
      </c>
      <c r="D148" t="s">
        <v>664</v>
      </c>
      <c r="E148" t="s">
        <v>664</v>
      </c>
      <c r="F148">
        <v>3</v>
      </c>
      <c r="G148" s="705">
        <v>379</v>
      </c>
      <c r="H148">
        <v>759</v>
      </c>
      <c r="I148" s="705">
        <v>60642</v>
      </c>
      <c r="J148" s="705">
        <v>55129</v>
      </c>
      <c r="K148">
        <v>79</v>
      </c>
      <c r="L148" s="705">
        <v>8530</v>
      </c>
      <c r="M148" s="705">
        <v>7754</v>
      </c>
      <c r="N148" s="705">
        <v>7898</v>
      </c>
      <c r="O148" s="705">
        <v>2925</v>
      </c>
      <c r="P148" s="705">
        <v>1566</v>
      </c>
      <c r="Q148" s="705">
        <v>580</v>
      </c>
      <c r="R148" s="705">
        <v>13435</v>
      </c>
      <c r="S148" s="705">
        <v>12214</v>
      </c>
      <c r="T148" s="705">
        <v>1948</v>
      </c>
      <c r="U148" s="705">
        <v>721</v>
      </c>
      <c r="V148" s="705">
        <v>79323</v>
      </c>
      <c r="W148" s="705">
        <f t="shared" si="8"/>
        <v>79323</v>
      </c>
      <c r="X148" s="705">
        <f t="shared" si="9"/>
        <v>94019</v>
      </c>
      <c r="Y148" s="705"/>
      <c r="AA148" t="s">
        <v>116</v>
      </c>
      <c r="AB148" t="s">
        <v>664</v>
      </c>
      <c r="AC148" t="s">
        <v>583</v>
      </c>
      <c r="AD148">
        <v>28</v>
      </c>
      <c r="AE148" s="705">
        <v>4517</v>
      </c>
      <c r="AF148" s="705">
        <v>5317</v>
      </c>
      <c r="AG148" s="705">
        <v>478874</v>
      </c>
      <c r="AH148" s="705">
        <v>435340</v>
      </c>
      <c r="AI148">
        <v>86</v>
      </c>
      <c r="AJ148" s="705">
        <v>112599</v>
      </c>
      <c r="AK148" s="705">
        <v>102363</v>
      </c>
      <c r="AL148" s="705">
        <v>97798</v>
      </c>
      <c r="AM148" s="705">
        <v>36222</v>
      </c>
      <c r="AN148" s="705">
        <v>18792</v>
      </c>
      <c r="AO148" s="705">
        <v>6960</v>
      </c>
      <c r="AP148" s="705">
        <v>157254</v>
      </c>
      <c r="AQ148" s="705">
        <v>142958</v>
      </c>
      <c r="AR148" s="705">
        <v>20129</v>
      </c>
      <c r="AS148" s="705">
        <v>7455</v>
      </c>
      <c r="AT148" s="705">
        <v>731298</v>
      </c>
      <c r="AU148" s="705">
        <f t="shared" si="11"/>
        <v>731298</v>
      </c>
      <c r="AV148" s="705">
        <f t="shared" si="10"/>
        <v>885446</v>
      </c>
    </row>
    <row r="149" spans="2:48" ht="12.75" hidden="1" customHeight="1">
      <c r="B149" t="s">
        <v>531</v>
      </c>
      <c r="C149" t="s">
        <v>118</v>
      </c>
      <c r="D149" t="s">
        <v>664</v>
      </c>
      <c r="E149" t="s">
        <v>583</v>
      </c>
      <c r="F149">
        <v>2</v>
      </c>
      <c r="G149">
        <v>173</v>
      </c>
      <c r="H149" s="705">
        <v>458</v>
      </c>
      <c r="I149" s="705">
        <v>22637</v>
      </c>
      <c r="J149" s="705">
        <v>20579</v>
      </c>
      <c r="K149">
        <v>92</v>
      </c>
      <c r="L149" s="705">
        <v>3712</v>
      </c>
      <c r="M149" s="705">
        <v>3374</v>
      </c>
      <c r="N149" s="705">
        <v>3535</v>
      </c>
      <c r="O149" s="705">
        <v>1309</v>
      </c>
      <c r="P149" s="705">
        <v>1242</v>
      </c>
      <c r="Q149" s="705">
        <v>460</v>
      </c>
      <c r="R149" s="705">
        <v>8500</v>
      </c>
      <c r="S149" s="705">
        <v>7727</v>
      </c>
      <c r="T149" s="705">
        <v>0</v>
      </c>
      <c r="U149" s="705">
        <v>0</v>
      </c>
      <c r="V149" s="705">
        <v>33450</v>
      </c>
      <c r="W149" s="705">
        <f t="shared" si="8"/>
        <v>33449</v>
      </c>
      <c r="X149" s="705">
        <f t="shared" si="9"/>
        <v>39626</v>
      </c>
      <c r="Y149" s="705"/>
      <c r="AA149" t="s">
        <v>116</v>
      </c>
      <c r="AB149" t="s">
        <v>664</v>
      </c>
      <c r="AC149" t="s">
        <v>584</v>
      </c>
      <c r="AD149">
        <v>1</v>
      </c>
      <c r="AE149">
        <v>126</v>
      </c>
      <c r="AF149">
        <v>224</v>
      </c>
      <c r="AG149" s="705">
        <v>14188</v>
      </c>
      <c r="AH149" s="705">
        <v>12898</v>
      </c>
      <c r="AI149">
        <v>91</v>
      </c>
      <c r="AJ149" s="705">
        <v>7188</v>
      </c>
      <c r="AK149" s="705">
        <v>6535</v>
      </c>
      <c r="AL149" s="705">
        <v>1837</v>
      </c>
      <c r="AM149" s="705">
        <v>680</v>
      </c>
      <c r="AN149">
        <v>473</v>
      </c>
      <c r="AO149">
        <v>175</v>
      </c>
      <c r="AP149" s="705">
        <v>4388</v>
      </c>
      <c r="AQ149" s="705">
        <v>3989</v>
      </c>
      <c r="AR149">
        <v>0</v>
      </c>
      <c r="AS149">
        <v>0</v>
      </c>
      <c r="AT149" s="705">
        <v>24277</v>
      </c>
      <c r="AU149" s="705">
        <f t="shared" si="11"/>
        <v>24277</v>
      </c>
      <c r="AV149" s="705">
        <f t="shared" si="10"/>
        <v>28074</v>
      </c>
    </row>
    <row r="150" spans="2:48" ht="12.75" hidden="1" customHeight="1">
      <c r="B150" t="s">
        <v>531</v>
      </c>
      <c r="C150" t="s">
        <v>118</v>
      </c>
      <c r="D150" t="s">
        <v>582</v>
      </c>
      <c r="E150" t="s">
        <v>582</v>
      </c>
      <c r="F150">
        <v>20</v>
      </c>
      <c r="G150" s="705">
        <v>3278</v>
      </c>
      <c r="H150" s="705">
        <v>5258</v>
      </c>
      <c r="I150" s="705">
        <v>601168</v>
      </c>
      <c r="J150" s="705">
        <v>546516</v>
      </c>
      <c r="K150">
        <v>81</v>
      </c>
      <c r="L150" s="705">
        <v>94894</v>
      </c>
      <c r="M150" s="705">
        <v>84283</v>
      </c>
      <c r="N150" s="705">
        <v>67222</v>
      </c>
      <c r="O150" s="705">
        <v>24897</v>
      </c>
      <c r="P150" s="705">
        <v>11381</v>
      </c>
      <c r="Q150" s="705">
        <v>4215</v>
      </c>
      <c r="R150" s="705">
        <v>107854</v>
      </c>
      <c r="S150" s="705">
        <v>98049</v>
      </c>
      <c r="T150" s="705">
        <v>18705</v>
      </c>
      <c r="U150" s="705">
        <v>6928</v>
      </c>
      <c r="V150" s="705">
        <v>764888</v>
      </c>
      <c r="W150" s="705">
        <f t="shared" si="8"/>
        <v>764888</v>
      </c>
      <c r="X150" s="705">
        <f t="shared" si="9"/>
        <v>901224</v>
      </c>
      <c r="Y150" s="705"/>
      <c r="AA150" t="s">
        <v>116</v>
      </c>
      <c r="AB150" t="s">
        <v>582</v>
      </c>
      <c r="AC150" t="s">
        <v>664</v>
      </c>
      <c r="AD150">
        <v>25</v>
      </c>
      <c r="AE150" s="705">
        <v>3889</v>
      </c>
      <c r="AF150" s="705">
        <v>4699</v>
      </c>
      <c r="AG150" s="705">
        <v>452048</v>
      </c>
      <c r="AH150" s="705">
        <v>410953</v>
      </c>
      <c r="AI150">
        <v>85</v>
      </c>
      <c r="AJ150" s="705">
        <v>80808</v>
      </c>
      <c r="AK150" s="705">
        <v>71720</v>
      </c>
      <c r="AL150" s="705">
        <v>76218</v>
      </c>
      <c r="AM150" s="705">
        <v>28229</v>
      </c>
      <c r="AN150" s="705">
        <v>12717</v>
      </c>
      <c r="AO150" s="705">
        <v>4710</v>
      </c>
      <c r="AP150" s="705">
        <v>145393</v>
      </c>
      <c r="AQ150" s="705">
        <v>132176</v>
      </c>
      <c r="AR150" s="705">
        <v>4282</v>
      </c>
      <c r="AS150" s="705">
        <v>1586</v>
      </c>
      <c r="AT150" s="705">
        <v>649374</v>
      </c>
      <c r="AU150" s="705">
        <f t="shared" si="11"/>
        <v>649374</v>
      </c>
      <c r="AV150" s="705">
        <f t="shared" si="10"/>
        <v>771466</v>
      </c>
    </row>
    <row r="151" spans="2:48" ht="12.75" hidden="1" customHeight="1">
      <c r="B151" t="s">
        <v>531</v>
      </c>
      <c r="C151" t="s">
        <v>118</v>
      </c>
      <c r="D151" t="s">
        <v>228</v>
      </c>
      <c r="E151" t="s">
        <v>228</v>
      </c>
      <c r="F151">
        <v>68</v>
      </c>
      <c r="G151" s="705">
        <v>11359</v>
      </c>
      <c r="H151" s="705">
        <v>17732</v>
      </c>
      <c r="I151" s="705">
        <v>1941883</v>
      </c>
      <c r="J151" s="705">
        <v>719216</v>
      </c>
      <c r="K151">
        <v>101</v>
      </c>
      <c r="L151" s="705">
        <v>262660</v>
      </c>
      <c r="M151" s="705">
        <v>199802</v>
      </c>
      <c r="N151" s="705">
        <v>273658</v>
      </c>
      <c r="O151" s="705">
        <v>101355</v>
      </c>
      <c r="P151" s="705">
        <v>7476</v>
      </c>
      <c r="Q151" s="705">
        <v>2769</v>
      </c>
      <c r="R151" s="705">
        <v>625116</v>
      </c>
      <c r="S151" s="705">
        <v>231524</v>
      </c>
      <c r="T151" s="705">
        <v>0</v>
      </c>
      <c r="U151" s="705">
        <v>0</v>
      </c>
      <c r="V151" s="705">
        <v>1254666</v>
      </c>
      <c r="W151" s="705">
        <f t="shared" si="8"/>
        <v>1254666</v>
      </c>
      <c r="X151" s="705">
        <f t="shared" si="9"/>
        <v>3110793</v>
      </c>
      <c r="Y151" s="705"/>
      <c r="AA151" t="s">
        <v>116</v>
      </c>
      <c r="AB151" t="s">
        <v>582</v>
      </c>
      <c r="AC151" t="s">
        <v>582</v>
      </c>
      <c r="AD151" s="705">
        <v>2478</v>
      </c>
      <c r="AE151" s="705">
        <v>400225</v>
      </c>
      <c r="AF151" s="705">
        <v>464367</v>
      </c>
      <c r="AG151" s="705">
        <v>44181988</v>
      </c>
      <c r="AH151" s="705">
        <v>40165443</v>
      </c>
      <c r="AI151">
        <v>86</v>
      </c>
      <c r="AJ151" s="705">
        <v>9987334</v>
      </c>
      <c r="AK151" s="705">
        <v>9083740</v>
      </c>
      <c r="AL151" s="705">
        <v>8387807</v>
      </c>
      <c r="AM151" s="705">
        <v>3106595</v>
      </c>
      <c r="AN151" s="705">
        <v>1339431</v>
      </c>
      <c r="AO151" s="705">
        <v>496086</v>
      </c>
      <c r="AP151" s="705">
        <v>12963870</v>
      </c>
      <c r="AQ151" s="705">
        <v>11785336</v>
      </c>
      <c r="AR151" s="705">
        <v>1145370</v>
      </c>
      <c r="AS151" s="705">
        <v>424211</v>
      </c>
      <c r="AT151" s="705">
        <v>65061412</v>
      </c>
      <c r="AU151" s="705">
        <f t="shared" si="11"/>
        <v>65061411</v>
      </c>
      <c r="AV151" s="705">
        <f t="shared" si="10"/>
        <v>78005800</v>
      </c>
    </row>
    <row r="152" spans="2:48" ht="12.75" hidden="1" customHeight="1">
      <c r="B152" t="s">
        <v>531</v>
      </c>
      <c r="C152" t="s">
        <v>118</v>
      </c>
      <c r="D152" t="s">
        <v>583</v>
      </c>
      <c r="E152" t="s">
        <v>228</v>
      </c>
      <c r="F152">
        <v>2</v>
      </c>
      <c r="G152" s="705">
        <v>235</v>
      </c>
      <c r="H152" s="705">
        <v>483</v>
      </c>
      <c r="I152" s="705">
        <v>34473</v>
      </c>
      <c r="J152" s="705">
        <v>31339</v>
      </c>
      <c r="K152">
        <v>90</v>
      </c>
      <c r="L152" s="705">
        <v>22065</v>
      </c>
      <c r="M152" s="705">
        <v>20059</v>
      </c>
      <c r="N152" s="705">
        <v>7969</v>
      </c>
      <c r="O152" s="705">
        <v>2952</v>
      </c>
      <c r="P152" s="705">
        <v>1242</v>
      </c>
      <c r="Q152" s="705">
        <v>460</v>
      </c>
      <c r="R152" s="705">
        <v>21716</v>
      </c>
      <c r="S152" s="705">
        <v>8043</v>
      </c>
      <c r="T152" s="705">
        <v>0</v>
      </c>
      <c r="U152">
        <v>0</v>
      </c>
      <c r="V152" s="705">
        <v>62853</v>
      </c>
      <c r="W152" s="705">
        <f t="shared" si="8"/>
        <v>62853</v>
      </c>
      <c r="X152" s="705">
        <f t="shared" si="9"/>
        <v>87465</v>
      </c>
      <c r="Y152" s="705"/>
      <c r="AA152" t="s">
        <v>116</v>
      </c>
      <c r="AB152" t="s">
        <v>582</v>
      </c>
      <c r="AC152" t="s">
        <v>228</v>
      </c>
      <c r="AD152" s="705">
        <v>19</v>
      </c>
      <c r="AE152" s="705">
        <v>4128</v>
      </c>
      <c r="AF152" s="705">
        <v>3564</v>
      </c>
      <c r="AG152" s="705">
        <v>455109</v>
      </c>
      <c r="AH152" s="705">
        <v>413735</v>
      </c>
      <c r="AI152">
        <v>89</v>
      </c>
      <c r="AJ152" s="705">
        <v>95727</v>
      </c>
      <c r="AK152" s="705">
        <v>66975</v>
      </c>
      <c r="AL152" s="705">
        <v>79976</v>
      </c>
      <c r="AM152" s="705">
        <v>29621</v>
      </c>
      <c r="AN152" s="705">
        <v>11629</v>
      </c>
      <c r="AO152" s="705">
        <v>4307</v>
      </c>
      <c r="AP152" s="705">
        <v>149415</v>
      </c>
      <c r="AQ152" s="705">
        <v>55339</v>
      </c>
      <c r="AR152" s="705">
        <v>0</v>
      </c>
      <c r="AS152" s="705">
        <v>0</v>
      </c>
      <c r="AT152" s="705">
        <v>569977</v>
      </c>
      <c r="AU152" s="705">
        <f t="shared" si="11"/>
        <v>569977</v>
      </c>
      <c r="AV152" s="705">
        <f t="shared" si="10"/>
        <v>791856</v>
      </c>
    </row>
    <row r="153" spans="2:48" ht="12.75" hidden="1" customHeight="1">
      <c r="B153" t="s">
        <v>531</v>
      </c>
      <c r="C153" t="s">
        <v>118</v>
      </c>
      <c r="D153" t="s">
        <v>583</v>
      </c>
      <c r="E153" t="s">
        <v>583</v>
      </c>
      <c r="F153" s="705">
        <v>1219</v>
      </c>
      <c r="G153" s="705">
        <v>162539</v>
      </c>
      <c r="H153" s="705">
        <v>315840</v>
      </c>
      <c r="I153" s="705">
        <v>24744505</v>
      </c>
      <c r="J153" s="705">
        <v>22495004</v>
      </c>
      <c r="K153">
        <v>79</v>
      </c>
      <c r="L153" s="705">
        <v>5237514</v>
      </c>
      <c r="M153" s="705">
        <v>4687252</v>
      </c>
      <c r="N153" s="705">
        <v>3452475</v>
      </c>
      <c r="O153" s="705">
        <v>1278694</v>
      </c>
      <c r="P153" s="705">
        <v>788387</v>
      </c>
      <c r="Q153" s="705">
        <v>291995</v>
      </c>
      <c r="R153" s="705">
        <v>6561176</v>
      </c>
      <c r="S153" s="705">
        <v>5964706</v>
      </c>
      <c r="T153" s="705">
        <v>2145676</v>
      </c>
      <c r="U153" s="705">
        <v>794695</v>
      </c>
      <c r="V153" s="705">
        <v>35512347</v>
      </c>
      <c r="W153" s="705">
        <f t="shared" si="8"/>
        <v>35512346</v>
      </c>
      <c r="X153" s="705">
        <f t="shared" si="9"/>
        <v>42929733</v>
      </c>
      <c r="Y153" s="705"/>
      <c r="AA153" t="s">
        <v>116</v>
      </c>
      <c r="AB153" t="s">
        <v>582</v>
      </c>
      <c r="AC153" t="s">
        <v>583</v>
      </c>
      <c r="AD153">
        <v>1</v>
      </c>
      <c r="AE153" s="705">
        <v>153</v>
      </c>
      <c r="AF153" s="705">
        <v>182</v>
      </c>
      <c r="AG153" s="705">
        <v>13525</v>
      </c>
      <c r="AH153" s="705">
        <v>12295</v>
      </c>
      <c r="AI153">
        <v>79</v>
      </c>
      <c r="AJ153" s="705">
        <v>3757</v>
      </c>
      <c r="AK153" s="705">
        <v>3415</v>
      </c>
      <c r="AL153" s="705">
        <v>3201</v>
      </c>
      <c r="AM153" s="705">
        <v>1186</v>
      </c>
      <c r="AN153" s="705">
        <v>473</v>
      </c>
      <c r="AO153" s="705">
        <v>175</v>
      </c>
      <c r="AP153" s="705">
        <v>6805</v>
      </c>
      <c r="AQ153" s="705">
        <v>6186</v>
      </c>
      <c r="AR153" s="705">
        <v>0</v>
      </c>
      <c r="AS153" s="705">
        <v>0</v>
      </c>
      <c r="AT153" s="705">
        <v>23258</v>
      </c>
      <c r="AU153" s="705">
        <f t="shared" si="11"/>
        <v>23257</v>
      </c>
      <c r="AV153" s="705">
        <f t="shared" si="10"/>
        <v>27761</v>
      </c>
    </row>
    <row r="154" spans="2:48" ht="12.75" hidden="1" customHeight="1">
      <c r="B154" t="s">
        <v>531</v>
      </c>
      <c r="C154" t="s">
        <v>118</v>
      </c>
      <c r="D154" t="s">
        <v>583</v>
      </c>
      <c r="E154" t="s">
        <v>666</v>
      </c>
      <c r="F154">
        <v>1</v>
      </c>
      <c r="G154">
        <v>166</v>
      </c>
      <c r="H154" s="705">
        <v>255</v>
      </c>
      <c r="I154" s="705">
        <v>25877</v>
      </c>
      <c r="J154" s="705">
        <v>23525</v>
      </c>
      <c r="K154">
        <v>79</v>
      </c>
      <c r="L154" s="705">
        <v>4543</v>
      </c>
      <c r="M154" s="705">
        <v>4130</v>
      </c>
      <c r="N154" s="705">
        <v>3388</v>
      </c>
      <c r="O154" s="705">
        <v>1255</v>
      </c>
      <c r="P154" s="705">
        <v>2968</v>
      </c>
      <c r="Q154" s="705">
        <v>1099</v>
      </c>
      <c r="R154" s="705">
        <v>6942</v>
      </c>
      <c r="S154" s="705">
        <v>6311</v>
      </c>
      <c r="T154" s="705">
        <v>3653</v>
      </c>
      <c r="U154" s="705">
        <v>1353</v>
      </c>
      <c r="V154" s="705">
        <v>37673</v>
      </c>
      <c r="W154" s="705">
        <f t="shared" si="8"/>
        <v>37673</v>
      </c>
      <c r="X154" s="705">
        <f t="shared" si="9"/>
        <v>47371</v>
      </c>
      <c r="Y154" s="705"/>
      <c r="AA154" t="s">
        <v>116</v>
      </c>
      <c r="AB154" t="s">
        <v>582</v>
      </c>
      <c r="AC154" t="s">
        <v>666</v>
      </c>
      <c r="AD154">
        <v>1</v>
      </c>
      <c r="AE154">
        <v>122</v>
      </c>
      <c r="AF154" s="705">
        <v>190</v>
      </c>
      <c r="AG154" s="705">
        <v>11180</v>
      </c>
      <c r="AH154" s="705">
        <v>10163</v>
      </c>
      <c r="AI154">
        <v>73</v>
      </c>
      <c r="AJ154" s="705">
        <v>2874</v>
      </c>
      <c r="AK154" s="705">
        <v>2612</v>
      </c>
      <c r="AL154" s="705">
        <v>1850</v>
      </c>
      <c r="AM154" s="705">
        <v>685</v>
      </c>
      <c r="AN154" s="705">
        <v>473</v>
      </c>
      <c r="AO154" s="705">
        <v>175</v>
      </c>
      <c r="AP154" s="705">
        <v>6729</v>
      </c>
      <c r="AQ154" s="705">
        <v>6118</v>
      </c>
      <c r="AR154" s="705">
        <v>0</v>
      </c>
      <c r="AS154" s="705">
        <v>0</v>
      </c>
      <c r="AT154" s="705">
        <v>19753</v>
      </c>
      <c r="AU154" s="705">
        <f t="shared" si="11"/>
        <v>19753</v>
      </c>
      <c r="AV154" s="705">
        <f t="shared" si="10"/>
        <v>23106</v>
      </c>
    </row>
    <row r="155" spans="2:48" ht="12.75" hidden="1" customHeight="1">
      <c r="B155" t="s">
        <v>531</v>
      </c>
      <c r="C155" t="s">
        <v>118</v>
      </c>
      <c r="D155" t="s">
        <v>583</v>
      </c>
      <c r="E155" t="s">
        <v>584</v>
      </c>
      <c r="F155">
        <v>1</v>
      </c>
      <c r="G155" s="705">
        <v>141</v>
      </c>
      <c r="H155" s="705">
        <v>294</v>
      </c>
      <c r="I155" s="705">
        <v>28069</v>
      </c>
      <c r="J155" s="705">
        <v>25517</v>
      </c>
      <c r="K155">
        <v>86</v>
      </c>
      <c r="L155" s="705">
        <v>3906</v>
      </c>
      <c r="M155" s="705">
        <v>3551</v>
      </c>
      <c r="N155" s="705">
        <v>1712</v>
      </c>
      <c r="O155" s="705">
        <v>634</v>
      </c>
      <c r="P155" s="705">
        <v>621</v>
      </c>
      <c r="Q155" s="705">
        <v>230</v>
      </c>
      <c r="R155" s="705">
        <v>4065</v>
      </c>
      <c r="S155" s="705">
        <v>3696</v>
      </c>
      <c r="T155" s="705">
        <v>2914</v>
      </c>
      <c r="U155" s="705">
        <v>1079</v>
      </c>
      <c r="V155" s="705">
        <v>34706</v>
      </c>
      <c r="W155" s="705">
        <f t="shared" si="8"/>
        <v>34707</v>
      </c>
      <c r="X155" s="705">
        <f t="shared" si="9"/>
        <v>41287</v>
      </c>
      <c r="Y155" s="705"/>
      <c r="AA155" t="s">
        <v>116</v>
      </c>
      <c r="AB155" t="s">
        <v>582</v>
      </c>
      <c r="AC155" t="s">
        <v>584</v>
      </c>
      <c r="AD155">
        <v>12</v>
      </c>
      <c r="AE155" s="705">
        <v>2069</v>
      </c>
      <c r="AF155" s="705">
        <v>2226</v>
      </c>
      <c r="AG155" s="705">
        <v>218795</v>
      </c>
      <c r="AH155" s="705">
        <v>198905</v>
      </c>
      <c r="AI155">
        <v>85</v>
      </c>
      <c r="AJ155" s="705">
        <v>56633</v>
      </c>
      <c r="AK155" s="705">
        <v>51484</v>
      </c>
      <c r="AL155" s="705">
        <v>43030</v>
      </c>
      <c r="AM155" s="705">
        <v>15937</v>
      </c>
      <c r="AN155" s="705">
        <v>5697</v>
      </c>
      <c r="AO155" s="705">
        <v>2110</v>
      </c>
      <c r="AP155" s="705">
        <v>64695</v>
      </c>
      <c r="AQ155" s="705">
        <v>58813</v>
      </c>
      <c r="AR155" s="705">
        <v>2941</v>
      </c>
      <c r="AS155" s="705">
        <v>1089</v>
      </c>
      <c r="AT155" s="705">
        <v>328339</v>
      </c>
      <c r="AU155" s="705">
        <f t="shared" si="11"/>
        <v>328338</v>
      </c>
      <c r="AV155" s="705">
        <f t="shared" si="10"/>
        <v>391791</v>
      </c>
    </row>
    <row r="156" spans="2:48" ht="12.75" hidden="1" customHeight="1">
      <c r="B156" t="s">
        <v>531</v>
      </c>
      <c r="C156" t="s">
        <v>118</v>
      </c>
      <c r="D156" t="s">
        <v>583</v>
      </c>
      <c r="E156" t="s">
        <v>665</v>
      </c>
      <c r="F156">
        <v>3</v>
      </c>
      <c r="G156">
        <v>293</v>
      </c>
      <c r="H156" s="705">
        <v>786</v>
      </c>
      <c r="I156" s="705">
        <v>39615</v>
      </c>
      <c r="J156" s="705">
        <v>36014</v>
      </c>
      <c r="K156">
        <v>85</v>
      </c>
      <c r="L156" s="705">
        <v>6228</v>
      </c>
      <c r="M156" s="705">
        <v>5662</v>
      </c>
      <c r="N156" s="705">
        <v>5350</v>
      </c>
      <c r="O156" s="705">
        <v>1981</v>
      </c>
      <c r="P156" s="705">
        <v>1863</v>
      </c>
      <c r="Q156">
        <v>690</v>
      </c>
      <c r="R156" s="705">
        <v>19374</v>
      </c>
      <c r="S156" s="705">
        <v>17613</v>
      </c>
      <c r="T156" s="705">
        <v>4640</v>
      </c>
      <c r="U156" s="705">
        <v>1719</v>
      </c>
      <c r="V156" s="705">
        <v>63679</v>
      </c>
      <c r="W156" s="705">
        <f t="shared" si="8"/>
        <v>63679</v>
      </c>
      <c r="X156" s="705">
        <f t="shared" si="9"/>
        <v>77070</v>
      </c>
      <c r="Y156" s="705"/>
      <c r="AA156" t="s">
        <v>116</v>
      </c>
      <c r="AB156" t="s">
        <v>582</v>
      </c>
      <c r="AC156" t="s">
        <v>665</v>
      </c>
      <c r="AD156">
        <v>1</v>
      </c>
      <c r="AE156" s="705">
        <v>172</v>
      </c>
      <c r="AF156" s="705">
        <v>198</v>
      </c>
      <c r="AG156" s="705">
        <v>26541</v>
      </c>
      <c r="AH156" s="705">
        <v>24128</v>
      </c>
      <c r="AI156">
        <v>92</v>
      </c>
      <c r="AJ156" s="705">
        <v>4527</v>
      </c>
      <c r="AK156" s="705">
        <v>4115</v>
      </c>
      <c r="AL156" s="705">
        <v>6317</v>
      </c>
      <c r="AM156" s="705">
        <v>2340</v>
      </c>
      <c r="AN156" s="705">
        <v>473</v>
      </c>
      <c r="AO156" s="705">
        <v>175</v>
      </c>
      <c r="AP156" s="705">
        <v>9359</v>
      </c>
      <c r="AQ156" s="705">
        <v>8508</v>
      </c>
      <c r="AR156" s="705">
        <v>4005</v>
      </c>
      <c r="AS156" s="705">
        <v>1483</v>
      </c>
      <c r="AT156" s="705">
        <v>40749</v>
      </c>
      <c r="AU156" s="705">
        <f t="shared" si="11"/>
        <v>40749</v>
      </c>
      <c r="AV156" s="705">
        <f t="shared" si="10"/>
        <v>51222</v>
      </c>
    </row>
    <row r="157" spans="2:48" ht="12.75" hidden="1" customHeight="1">
      <c r="B157" t="s">
        <v>531</v>
      </c>
      <c r="C157" t="s">
        <v>118</v>
      </c>
      <c r="D157" t="s">
        <v>584</v>
      </c>
      <c r="E157" t="s">
        <v>228</v>
      </c>
      <c r="F157">
        <v>1</v>
      </c>
      <c r="G157" s="705">
        <v>128</v>
      </c>
      <c r="H157" s="705">
        <v>260</v>
      </c>
      <c r="I157" s="705">
        <v>12691</v>
      </c>
      <c r="J157" s="705">
        <v>11537</v>
      </c>
      <c r="K157">
        <v>87</v>
      </c>
      <c r="L157" s="705">
        <v>2859</v>
      </c>
      <c r="M157" s="705">
        <v>1059</v>
      </c>
      <c r="N157" s="705">
        <v>3054</v>
      </c>
      <c r="O157" s="705">
        <v>1131</v>
      </c>
      <c r="P157" s="705">
        <v>473</v>
      </c>
      <c r="Q157" s="705">
        <v>175</v>
      </c>
      <c r="R157" s="705">
        <v>14138</v>
      </c>
      <c r="S157" s="705">
        <v>5236</v>
      </c>
      <c r="T157" s="705">
        <v>0</v>
      </c>
      <c r="U157" s="705">
        <v>0</v>
      </c>
      <c r="V157" s="705">
        <v>19139</v>
      </c>
      <c r="W157" s="705">
        <f t="shared" si="8"/>
        <v>19138</v>
      </c>
      <c r="X157" s="705">
        <f t="shared" si="9"/>
        <v>33215</v>
      </c>
      <c r="Y157" s="705"/>
      <c r="AA157" t="s">
        <v>116</v>
      </c>
      <c r="AB157" t="s">
        <v>228</v>
      </c>
      <c r="AC157" t="s">
        <v>582</v>
      </c>
      <c r="AD157" s="705">
        <v>2</v>
      </c>
      <c r="AE157" s="705">
        <v>780</v>
      </c>
      <c r="AF157" s="705">
        <v>400</v>
      </c>
      <c r="AG157" s="705">
        <v>115856</v>
      </c>
      <c r="AH157" s="705">
        <v>42910</v>
      </c>
      <c r="AI157">
        <v>210</v>
      </c>
      <c r="AJ157" s="705">
        <v>10962</v>
      </c>
      <c r="AK157" s="705">
        <v>9965</v>
      </c>
      <c r="AL157" s="705">
        <v>13681</v>
      </c>
      <c r="AM157" s="705">
        <v>5067</v>
      </c>
      <c r="AN157" s="705">
        <v>4736</v>
      </c>
      <c r="AO157" s="705">
        <v>1754</v>
      </c>
      <c r="AP157" s="705">
        <v>10991</v>
      </c>
      <c r="AQ157" s="705">
        <v>9991</v>
      </c>
      <c r="AR157" s="705">
        <v>0</v>
      </c>
      <c r="AS157" s="705">
        <v>0</v>
      </c>
      <c r="AT157" s="705">
        <v>69688</v>
      </c>
      <c r="AU157" s="705">
        <f t="shared" si="11"/>
        <v>69687</v>
      </c>
      <c r="AV157" s="705">
        <f t="shared" si="10"/>
        <v>156226</v>
      </c>
    </row>
    <row r="158" spans="2:48" ht="12.75" hidden="1" customHeight="1">
      <c r="B158" t="s">
        <v>531</v>
      </c>
      <c r="C158" t="s">
        <v>118</v>
      </c>
      <c r="D158" t="s">
        <v>584</v>
      </c>
      <c r="E158" t="s">
        <v>584</v>
      </c>
      <c r="F158" s="705">
        <v>30</v>
      </c>
      <c r="G158" s="705">
        <v>3691</v>
      </c>
      <c r="H158" s="705">
        <v>7613</v>
      </c>
      <c r="I158" s="705">
        <v>500069</v>
      </c>
      <c r="J158" s="705">
        <v>454609</v>
      </c>
      <c r="K158">
        <v>77</v>
      </c>
      <c r="L158" s="705">
        <v>148057</v>
      </c>
      <c r="M158" s="705">
        <v>132037</v>
      </c>
      <c r="N158" s="705">
        <v>78464</v>
      </c>
      <c r="O158" s="705">
        <v>29061</v>
      </c>
      <c r="P158" s="705">
        <v>14405</v>
      </c>
      <c r="Q158" s="705">
        <v>5335</v>
      </c>
      <c r="R158" s="705">
        <v>152010</v>
      </c>
      <c r="S158" s="705">
        <v>138191</v>
      </c>
      <c r="T158" s="705">
        <v>42204</v>
      </c>
      <c r="U158" s="705">
        <v>15631</v>
      </c>
      <c r="V158" s="705">
        <v>774864</v>
      </c>
      <c r="W158" s="705">
        <f t="shared" si="8"/>
        <v>774864</v>
      </c>
      <c r="X158" s="705">
        <f t="shared" si="9"/>
        <v>935209</v>
      </c>
      <c r="Y158" s="705"/>
      <c r="AA158" t="s">
        <v>116</v>
      </c>
      <c r="AB158" t="s">
        <v>228</v>
      </c>
      <c r="AC158" t="s">
        <v>228</v>
      </c>
      <c r="AD158">
        <v>634</v>
      </c>
      <c r="AE158" s="705">
        <v>121855</v>
      </c>
      <c r="AF158" s="705">
        <v>118879</v>
      </c>
      <c r="AG158" s="705">
        <v>12924651</v>
      </c>
      <c r="AH158" s="705">
        <v>4786908</v>
      </c>
      <c r="AI158">
        <v>213</v>
      </c>
      <c r="AJ158" s="705">
        <v>2570572</v>
      </c>
      <c r="AK158" s="705">
        <v>2186853</v>
      </c>
      <c r="AL158" s="705">
        <v>2533026</v>
      </c>
      <c r="AM158" s="705">
        <v>938158</v>
      </c>
      <c r="AN158" s="705">
        <v>319120</v>
      </c>
      <c r="AO158" s="705">
        <v>118192</v>
      </c>
      <c r="AP158" s="705">
        <v>5239690</v>
      </c>
      <c r="AQ158" s="705">
        <v>1940626</v>
      </c>
      <c r="AR158" s="705">
        <v>16466</v>
      </c>
      <c r="AS158" s="705">
        <v>6098</v>
      </c>
      <c r="AT158" s="705">
        <v>9976836</v>
      </c>
      <c r="AU158" s="705">
        <f t="shared" si="11"/>
        <v>9976835</v>
      </c>
      <c r="AV158" s="705">
        <f t="shared" si="10"/>
        <v>23603525</v>
      </c>
    </row>
    <row r="159" spans="2:48" ht="12.75" hidden="1" customHeight="1">
      <c r="B159" t="s">
        <v>531</v>
      </c>
      <c r="C159" t="s">
        <v>118</v>
      </c>
      <c r="D159" t="s">
        <v>671</v>
      </c>
      <c r="E159" t="s">
        <v>671</v>
      </c>
      <c r="F159">
        <v>1</v>
      </c>
      <c r="G159" s="705">
        <v>127</v>
      </c>
      <c r="H159" s="705">
        <v>270</v>
      </c>
      <c r="I159" s="705">
        <v>21875</v>
      </c>
      <c r="J159" s="705">
        <v>19886</v>
      </c>
      <c r="K159">
        <v>65</v>
      </c>
      <c r="L159" s="705">
        <v>2431</v>
      </c>
      <c r="M159" s="705">
        <v>2210</v>
      </c>
      <c r="N159" s="705">
        <v>2814</v>
      </c>
      <c r="O159" s="705">
        <v>1042</v>
      </c>
      <c r="P159" s="705">
        <v>702</v>
      </c>
      <c r="Q159" s="705">
        <v>260</v>
      </c>
      <c r="R159" s="705">
        <v>6455</v>
      </c>
      <c r="S159" s="705">
        <v>5868</v>
      </c>
      <c r="T159" s="705">
        <v>0</v>
      </c>
      <c r="U159" s="705">
        <v>0</v>
      </c>
      <c r="V159" s="705">
        <v>29266</v>
      </c>
      <c r="W159" s="705">
        <f t="shared" si="8"/>
        <v>29266</v>
      </c>
      <c r="X159" s="705">
        <f t="shared" si="9"/>
        <v>34277</v>
      </c>
      <c r="Y159" s="705"/>
      <c r="AA159" t="s">
        <v>116</v>
      </c>
      <c r="AB159" t="s">
        <v>228</v>
      </c>
      <c r="AC159" t="s">
        <v>583</v>
      </c>
      <c r="AD159">
        <v>8</v>
      </c>
      <c r="AE159" s="705">
        <v>2146</v>
      </c>
      <c r="AF159" s="705">
        <v>1538</v>
      </c>
      <c r="AG159" s="705">
        <v>263262</v>
      </c>
      <c r="AH159" s="705">
        <v>97504</v>
      </c>
      <c r="AI159">
        <v>234</v>
      </c>
      <c r="AJ159" s="705">
        <v>51684</v>
      </c>
      <c r="AK159" s="705">
        <v>46986</v>
      </c>
      <c r="AL159" s="705">
        <v>38294</v>
      </c>
      <c r="AM159" s="705">
        <v>14183</v>
      </c>
      <c r="AN159" s="705">
        <v>14764</v>
      </c>
      <c r="AO159" s="705">
        <v>5468</v>
      </c>
      <c r="AP159" s="705">
        <v>48039</v>
      </c>
      <c r="AQ159" s="705">
        <v>43672</v>
      </c>
      <c r="AR159" s="705">
        <v>9010</v>
      </c>
      <c r="AS159" s="705">
        <v>3337</v>
      </c>
      <c r="AT159" s="705">
        <v>211150</v>
      </c>
      <c r="AU159" s="705">
        <f t="shared" si="11"/>
        <v>211150</v>
      </c>
      <c r="AV159" s="705">
        <f t="shared" si="10"/>
        <v>425053</v>
      </c>
    </row>
    <row r="160" spans="2:48" ht="12.75" hidden="1" customHeight="1">
      <c r="B160" t="s">
        <v>531</v>
      </c>
      <c r="C160" t="s">
        <v>118</v>
      </c>
      <c r="D160" t="s">
        <v>665</v>
      </c>
      <c r="E160" t="s">
        <v>665</v>
      </c>
      <c r="F160">
        <v>28</v>
      </c>
      <c r="G160" s="705">
        <v>4171</v>
      </c>
      <c r="H160" s="705">
        <v>7279</v>
      </c>
      <c r="I160" s="705">
        <v>662371</v>
      </c>
      <c r="J160" s="705">
        <v>602155</v>
      </c>
      <c r="K160">
        <v>65</v>
      </c>
      <c r="L160" s="705">
        <v>81913</v>
      </c>
      <c r="M160" s="705">
        <v>74466</v>
      </c>
      <c r="N160" s="705">
        <v>87009</v>
      </c>
      <c r="O160" s="705">
        <v>32225</v>
      </c>
      <c r="P160" s="705">
        <v>16632</v>
      </c>
      <c r="Q160" s="705">
        <v>6160</v>
      </c>
      <c r="R160" s="705">
        <v>164883</v>
      </c>
      <c r="S160" s="705">
        <v>149894</v>
      </c>
      <c r="T160" s="705">
        <v>73926</v>
      </c>
      <c r="U160" s="705">
        <v>27380</v>
      </c>
      <c r="V160" s="705">
        <v>892281</v>
      </c>
      <c r="W160" s="705">
        <f t="shared" si="8"/>
        <v>892280</v>
      </c>
      <c r="X160" s="705">
        <f t="shared" si="9"/>
        <v>1086734</v>
      </c>
      <c r="Y160" s="705"/>
      <c r="AA160" t="s">
        <v>116</v>
      </c>
      <c r="AB160" t="s">
        <v>228</v>
      </c>
      <c r="AC160" t="s">
        <v>584</v>
      </c>
      <c r="AD160" s="705">
        <v>1</v>
      </c>
      <c r="AE160" s="705">
        <v>460</v>
      </c>
      <c r="AF160" s="705">
        <v>173</v>
      </c>
      <c r="AG160" s="705">
        <v>50135</v>
      </c>
      <c r="AH160" s="705">
        <v>18568</v>
      </c>
      <c r="AI160">
        <v>300</v>
      </c>
      <c r="AJ160" s="705">
        <v>11427</v>
      </c>
      <c r="AK160" s="705">
        <v>9522</v>
      </c>
      <c r="AL160" s="705">
        <v>10767</v>
      </c>
      <c r="AM160" s="705">
        <v>3988</v>
      </c>
      <c r="AN160" s="705">
        <v>473</v>
      </c>
      <c r="AO160" s="705">
        <v>175</v>
      </c>
      <c r="AP160" s="705">
        <v>6587</v>
      </c>
      <c r="AQ160" s="705">
        <v>5988</v>
      </c>
      <c r="AR160" s="705">
        <v>0</v>
      </c>
      <c r="AS160" s="705">
        <v>0</v>
      </c>
      <c r="AT160" s="705">
        <v>38242</v>
      </c>
      <c r="AU160" s="705">
        <f t="shared" si="11"/>
        <v>38241</v>
      </c>
      <c r="AV160" s="705">
        <f t="shared" si="10"/>
        <v>79389</v>
      </c>
    </row>
    <row r="161" spans="2:48" ht="12.75" hidden="1" customHeight="1">
      <c r="B161" t="s">
        <v>531</v>
      </c>
      <c r="C161" t="s">
        <v>118</v>
      </c>
      <c r="D161" t="s">
        <v>585</v>
      </c>
      <c r="E161" t="s">
        <v>585</v>
      </c>
      <c r="F161">
        <v>1</v>
      </c>
      <c r="G161" s="705">
        <v>126</v>
      </c>
      <c r="H161" s="705">
        <v>284</v>
      </c>
      <c r="I161" s="705">
        <v>24154</v>
      </c>
      <c r="J161" s="705">
        <v>21958</v>
      </c>
      <c r="K161">
        <v>65</v>
      </c>
      <c r="L161" s="705">
        <v>3877</v>
      </c>
      <c r="M161" s="705">
        <v>3524</v>
      </c>
      <c r="N161" s="705">
        <v>2366</v>
      </c>
      <c r="O161" s="705">
        <v>876</v>
      </c>
      <c r="P161" s="705">
        <v>351</v>
      </c>
      <c r="Q161" s="705">
        <v>130</v>
      </c>
      <c r="R161" s="705">
        <v>3648</v>
      </c>
      <c r="S161" s="705">
        <v>3316</v>
      </c>
      <c r="T161" s="705">
        <v>1444</v>
      </c>
      <c r="U161" s="705">
        <v>535</v>
      </c>
      <c r="V161" s="705">
        <v>30340</v>
      </c>
      <c r="W161" s="705">
        <f t="shared" si="8"/>
        <v>30339</v>
      </c>
      <c r="X161" s="705">
        <f t="shared" si="9"/>
        <v>35840</v>
      </c>
      <c r="Y161" s="705"/>
      <c r="AA161" t="s">
        <v>116</v>
      </c>
      <c r="AB161" t="s">
        <v>228</v>
      </c>
      <c r="AC161" t="s">
        <v>665</v>
      </c>
      <c r="AD161">
        <v>4</v>
      </c>
      <c r="AE161" s="705">
        <v>1078</v>
      </c>
      <c r="AF161" s="705">
        <v>744</v>
      </c>
      <c r="AG161" s="705">
        <v>120732</v>
      </c>
      <c r="AH161" s="705">
        <v>44715</v>
      </c>
      <c r="AI161">
        <v>193</v>
      </c>
      <c r="AJ161" s="705">
        <v>30467</v>
      </c>
      <c r="AK161" s="705">
        <v>23381</v>
      </c>
      <c r="AL161" s="705">
        <v>22236</v>
      </c>
      <c r="AM161" s="705">
        <v>8235</v>
      </c>
      <c r="AN161" s="705">
        <v>3578</v>
      </c>
      <c r="AO161" s="705">
        <v>1325</v>
      </c>
      <c r="AP161" s="705">
        <v>22569</v>
      </c>
      <c r="AQ161" s="705">
        <v>20518</v>
      </c>
      <c r="AR161" s="705">
        <v>10728</v>
      </c>
      <c r="AS161" s="705">
        <v>3973</v>
      </c>
      <c r="AT161" s="705">
        <v>102148</v>
      </c>
      <c r="AU161" s="705">
        <f t="shared" si="11"/>
        <v>102147</v>
      </c>
      <c r="AV161" s="705">
        <f t="shared" si="10"/>
        <v>210310</v>
      </c>
    </row>
    <row r="162" spans="2:48" ht="12.75" hidden="1" customHeight="1">
      <c r="B162" t="s">
        <v>531</v>
      </c>
      <c r="C162" t="s">
        <v>120</v>
      </c>
      <c r="F162">
        <v>1</v>
      </c>
      <c r="G162">
        <v>179</v>
      </c>
      <c r="H162">
        <v>338</v>
      </c>
      <c r="I162" s="705"/>
      <c r="J162" s="705">
        <v>0</v>
      </c>
      <c r="L162" s="705"/>
      <c r="M162" s="705">
        <v>0</v>
      </c>
      <c r="N162" s="705">
        <v>3119</v>
      </c>
      <c r="O162" s="705">
        <v>1155</v>
      </c>
      <c r="P162">
        <v>0</v>
      </c>
      <c r="Q162">
        <v>0</v>
      </c>
      <c r="R162" s="705"/>
      <c r="S162" s="705">
        <v>0</v>
      </c>
      <c r="T162" s="705">
        <v>0</v>
      </c>
      <c r="U162">
        <v>0</v>
      </c>
      <c r="V162" s="705">
        <v>1155</v>
      </c>
      <c r="W162" s="705">
        <f t="shared" si="8"/>
        <v>1155</v>
      </c>
      <c r="X162" s="705">
        <f t="shared" si="9"/>
        <v>3119</v>
      </c>
      <c r="Y162" s="705"/>
      <c r="AA162" t="s">
        <v>116</v>
      </c>
      <c r="AB162" t="s">
        <v>583</v>
      </c>
      <c r="AC162" t="s">
        <v>674</v>
      </c>
      <c r="AD162">
        <v>6</v>
      </c>
      <c r="AE162">
        <v>985</v>
      </c>
      <c r="AF162" s="705">
        <v>1112</v>
      </c>
      <c r="AG162" s="705">
        <v>109634</v>
      </c>
      <c r="AH162" s="705">
        <v>99667</v>
      </c>
      <c r="AI162">
        <v>82</v>
      </c>
      <c r="AJ162" s="705">
        <v>23539</v>
      </c>
      <c r="AK162" s="705">
        <v>27817</v>
      </c>
      <c r="AL162" s="705">
        <v>20124</v>
      </c>
      <c r="AM162" s="705">
        <v>7453</v>
      </c>
      <c r="AN162" s="705">
        <v>4158</v>
      </c>
      <c r="AO162" s="705">
        <v>1540</v>
      </c>
      <c r="AP162" s="705">
        <v>34981</v>
      </c>
      <c r="AQ162" s="705">
        <v>31801</v>
      </c>
      <c r="AR162" s="705">
        <v>3714</v>
      </c>
      <c r="AS162" s="705">
        <v>1376</v>
      </c>
      <c r="AT162" s="705">
        <v>169654</v>
      </c>
      <c r="AU162" s="705">
        <f t="shared" si="11"/>
        <v>169654</v>
      </c>
      <c r="AV162" s="705">
        <f t="shared" si="10"/>
        <v>196150</v>
      </c>
    </row>
    <row r="163" spans="2:48" ht="12.75" hidden="1" customHeight="1">
      <c r="B163" t="s">
        <v>531</v>
      </c>
      <c r="C163" t="s">
        <v>120</v>
      </c>
      <c r="D163" t="s">
        <v>664</v>
      </c>
      <c r="E163" t="s">
        <v>664</v>
      </c>
      <c r="F163">
        <v>3</v>
      </c>
      <c r="G163" s="705">
        <v>287</v>
      </c>
      <c r="H163" s="705">
        <v>1030</v>
      </c>
      <c r="I163" s="705">
        <v>68159</v>
      </c>
      <c r="J163" s="705">
        <v>61963</v>
      </c>
      <c r="K163">
        <v>73</v>
      </c>
      <c r="L163" s="705">
        <v>9185</v>
      </c>
      <c r="M163" s="705">
        <v>8350</v>
      </c>
      <c r="N163" s="705">
        <v>6240</v>
      </c>
      <c r="O163" s="705">
        <v>2311</v>
      </c>
      <c r="P163" s="705">
        <v>1418</v>
      </c>
      <c r="Q163" s="705">
        <v>525</v>
      </c>
      <c r="R163" s="705">
        <v>13551</v>
      </c>
      <c r="S163" s="705">
        <v>12320</v>
      </c>
      <c r="T163" s="705">
        <v>0</v>
      </c>
      <c r="U163" s="705">
        <v>0</v>
      </c>
      <c r="V163" s="705">
        <v>85468</v>
      </c>
      <c r="W163" s="705">
        <f t="shared" si="8"/>
        <v>85469</v>
      </c>
      <c r="X163" s="705">
        <f t="shared" si="9"/>
        <v>98553</v>
      </c>
      <c r="Y163" s="705"/>
      <c r="AA163" t="s">
        <v>116</v>
      </c>
      <c r="AB163" t="s">
        <v>583</v>
      </c>
      <c r="AC163" t="s">
        <v>664</v>
      </c>
      <c r="AD163">
        <v>43</v>
      </c>
      <c r="AE163" s="705">
        <v>6924</v>
      </c>
      <c r="AF163" s="705">
        <v>8185</v>
      </c>
      <c r="AG163" s="705">
        <v>766498</v>
      </c>
      <c r="AH163" s="705">
        <v>696817</v>
      </c>
      <c r="AI163">
        <v>85</v>
      </c>
      <c r="AJ163" s="705">
        <v>153826</v>
      </c>
      <c r="AK163" s="705">
        <v>138732</v>
      </c>
      <c r="AL163" s="705">
        <v>132784</v>
      </c>
      <c r="AM163" s="705">
        <v>49179</v>
      </c>
      <c r="AN163" s="705">
        <v>27756</v>
      </c>
      <c r="AO163" s="705">
        <v>10280</v>
      </c>
      <c r="AP163" s="705">
        <v>244095</v>
      </c>
      <c r="AQ163" s="705">
        <v>221905</v>
      </c>
      <c r="AR163" s="705">
        <v>35250</v>
      </c>
      <c r="AS163" s="705">
        <v>13056</v>
      </c>
      <c r="AT163" s="705">
        <v>1129967</v>
      </c>
      <c r="AU163" s="705">
        <f t="shared" si="11"/>
        <v>1129969</v>
      </c>
      <c r="AV163" s="705">
        <f t="shared" si="10"/>
        <v>1360209</v>
      </c>
    </row>
    <row r="164" spans="2:48" ht="12.75" hidden="1" customHeight="1">
      <c r="B164" t="s">
        <v>531</v>
      </c>
      <c r="C164" t="s">
        <v>120</v>
      </c>
      <c r="D164" t="s">
        <v>582</v>
      </c>
      <c r="E164" t="s">
        <v>582</v>
      </c>
      <c r="F164">
        <v>3</v>
      </c>
      <c r="G164" s="705">
        <v>331</v>
      </c>
      <c r="H164" s="705">
        <v>1027</v>
      </c>
      <c r="I164" s="705">
        <v>66651</v>
      </c>
      <c r="J164" s="705">
        <v>60592</v>
      </c>
      <c r="K164">
        <v>77</v>
      </c>
      <c r="L164" s="705">
        <v>18483</v>
      </c>
      <c r="M164" s="705">
        <v>16802</v>
      </c>
      <c r="N164" s="705">
        <v>7057</v>
      </c>
      <c r="O164" s="705">
        <v>2614</v>
      </c>
      <c r="P164" s="705">
        <v>1296</v>
      </c>
      <c r="Q164" s="705">
        <v>480</v>
      </c>
      <c r="R164" s="705">
        <v>13488</v>
      </c>
      <c r="S164" s="705">
        <v>12262</v>
      </c>
      <c r="T164" s="705">
        <v>6465</v>
      </c>
      <c r="U164" s="705">
        <v>2394</v>
      </c>
      <c r="V164" s="705">
        <v>95144</v>
      </c>
      <c r="W164" s="705">
        <f t="shared" si="8"/>
        <v>95144</v>
      </c>
      <c r="X164" s="705">
        <f t="shared" si="9"/>
        <v>113440</v>
      </c>
      <c r="Y164" s="705"/>
      <c r="AA164" t="s">
        <v>116</v>
      </c>
      <c r="AB164" t="s">
        <v>583</v>
      </c>
      <c r="AC164" t="s">
        <v>582</v>
      </c>
      <c r="AD164">
        <v>10</v>
      </c>
      <c r="AE164" s="705">
        <v>1934</v>
      </c>
      <c r="AF164" s="705">
        <v>1893</v>
      </c>
      <c r="AG164" s="705">
        <v>248255</v>
      </c>
      <c r="AH164" s="705">
        <v>225687</v>
      </c>
      <c r="AI164">
        <v>85</v>
      </c>
      <c r="AJ164" s="705">
        <v>48224</v>
      </c>
      <c r="AK164" s="705">
        <v>43525</v>
      </c>
      <c r="AL164" s="705">
        <v>45929</v>
      </c>
      <c r="AM164" s="705">
        <v>17011</v>
      </c>
      <c r="AN164" s="705">
        <v>6804</v>
      </c>
      <c r="AO164" s="705">
        <v>2520</v>
      </c>
      <c r="AP164" s="705">
        <v>65748</v>
      </c>
      <c r="AQ164" s="705">
        <v>59771</v>
      </c>
      <c r="AR164" s="705">
        <v>7158</v>
      </c>
      <c r="AS164" s="705">
        <v>2651</v>
      </c>
      <c r="AT164" s="705">
        <v>351165</v>
      </c>
      <c r="AU164" s="705">
        <f t="shared" si="11"/>
        <v>351165</v>
      </c>
      <c r="AV164" s="705">
        <f t="shared" si="10"/>
        <v>422118</v>
      </c>
    </row>
    <row r="165" spans="2:48" ht="12.75" hidden="1" customHeight="1">
      <c r="B165" t="s">
        <v>531</v>
      </c>
      <c r="C165" t="s">
        <v>120</v>
      </c>
      <c r="D165" t="s">
        <v>228</v>
      </c>
      <c r="E165" t="s">
        <v>228</v>
      </c>
      <c r="F165">
        <v>65</v>
      </c>
      <c r="G165" s="705">
        <v>7331</v>
      </c>
      <c r="H165" s="705">
        <v>22334</v>
      </c>
      <c r="I165" s="705">
        <v>1697803</v>
      </c>
      <c r="J165" s="705">
        <v>628816</v>
      </c>
      <c r="K165">
        <v>100</v>
      </c>
      <c r="L165" s="705">
        <v>221447</v>
      </c>
      <c r="M165" s="705">
        <v>131125</v>
      </c>
      <c r="N165" s="705">
        <v>174618</v>
      </c>
      <c r="O165" s="705">
        <v>64673</v>
      </c>
      <c r="P165" s="705">
        <v>351</v>
      </c>
      <c r="Q165">
        <v>130</v>
      </c>
      <c r="R165" s="705">
        <v>537240</v>
      </c>
      <c r="S165" s="705">
        <v>198978</v>
      </c>
      <c r="T165" s="705">
        <v>2557</v>
      </c>
      <c r="U165" s="705">
        <v>947</v>
      </c>
      <c r="V165" s="705">
        <v>1024669</v>
      </c>
      <c r="W165" s="705">
        <f t="shared" si="8"/>
        <v>1024669</v>
      </c>
      <c r="X165" s="705">
        <f t="shared" si="9"/>
        <v>2634016</v>
      </c>
      <c r="Y165" s="705"/>
      <c r="AA165" t="s">
        <v>116</v>
      </c>
      <c r="AB165" t="s">
        <v>583</v>
      </c>
      <c r="AC165" t="s">
        <v>228</v>
      </c>
      <c r="AD165">
        <v>201</v>
      </c>
      <c r="AE165" s="705">
        <v>35522</v>
      </c>
      <c r="AF165" s="705">
        <v>38596</v>
      </c>
      <c r="AG165" s="705">
        <v>3873755</v>
      </c>
      <c r="AH165" s="705">
        <v>3521596</v>
      </c>
      <c r="AI165">
        <v>85</v>
      </c>
      <c r="AJ165" s="705">
        <v>761978</v>
      </c>
      <c r="AK165" s="705">
        <v>673157</v>
      </c>
      <c r="AL165" s="705">
        <v>719871</v>
      </c>
      <c r="AM165" s="705">
        <v>266619</v>
      </c>
      <c r="AN165" s="705">
        <v>136378</v>
      </c>
      <c r="AO165" s="705">
        <v>50510</v>
      </c>
      <c r="AP165" s="705">
        <v>1478599</v>
      </c>
      <c r="AQ165" s="705">
        <v>547629</v>
      </c>
      <c r="AR165" s="705">
        <v>8834</v>
      </c>
      <c r="AS165" s="705">
        <v>3272</v>
      </c>
      <c r="AT165" s="705">
        <v>5062783</v>
      </c>
      <c r="AU165" s="705">
        <f t="shared" si="11"/>
        <v>5062783</v>
      </c>
      <c r="AV165" s="705">
        <f t="shared" si="10"/>
        <v>6979415</v>
      </c>
    </row>
    <row r="166" spans="2:48" ht="12.75" hidden="1" customHeight="1">
      <c r="B166" t="s">
        <v>531</v>
      </c>
      <c r="C166" t="s">
        <v>120</v>
      </c>
      <c r="D166" t="s">
        <v>228</v>
      </c>
      <c r="E166" t="s">
        <v>665</v>
      </c>
      <c r="F166">
        <v>1</v>
      </c>
      <c r="G166" s="705">
        <v>69</v>
      </c>
      <c r="H166" s="705">
        <v>377</v>
      </c>
      <c r="I166" s="705">
        <v>15661</v>
      </c>
      <c r="J166" s="705">
        <v>5800</v>
      </c>
      <c r="K166">
        <v>100</v>
      </c>
      <c r="L166" s="705">
        <v>1575</v>
      </c>
      <c r="M166" s="705">
        <v>1432</v>
      </c>
      <c r="N166" s="705">
        <v>1032</v>
      </c>
      <c r="O166" s="705">
        <v>382</v>
      </c>
      <c r="P166" s="705">
        <v>0</v>
      </c>
      <c r="Q166" s="705">
        <v>0</v>
      </c>
      <c r="R166" s="705">
        <v>5700</v>
      </c>
      <c r="S166" s="705">
        <v>5182</v>
      </c>
      <c r="T166" s="705">
        <v>2014</v>
      </c>
      <c r="U166" s="705">
        <v>746</v>
      </c>
      <c r="V166" s="705">
        <v>13543</v>
      </c>
      <c r="W166" s="705">
        <f t="shared" si="8"/>
        <v>13542</v>
      </c>
      <c r="X166" s="705">
        <f t="shared" si="9"/>
        <v>25982</v>
      </c>
      <c r="Y166" s="705"/>
      <c r="AA166" t="s">
        <v>116</v>
      </c>
      <c r="AB166" t="s">
        <v>583</v>
      </c>
      <c r="AC166" t="s">
        <v>583</v>
      </c>
      <c r="AD166" s="705">
        <v>73851</v>
      </c>
      <c r="AE166" s="705">
        <v>12195384</v>
      </c>
      <c r="AF166" s="705">
        <v>14088363</v>
      </c>
      <c r="AG166" s="705">
        <v>1355702932</v>
      </c>
      <c r="AH166" s="705">
        <v>1232457208</v>
      </c>
      <c r="AI166">
        <v>85</v>
      </c>
      <c r="AJ166" s="705">
        <v>292600652</v>
      </c>
      <c r="AK166" s="705">
        <v>262984523</v>
      </c>
      <c r="AL166" s="705">
        <v>255057807</v>
      </c>
      <c r="AM166" s="705">
        <v>94465853</v>
      </c>
      <c r="AN166" s="705">
        <v>49186070</v>
      </c>
      <c r="AO166" s="705">
        <v>18217063</v>
      </c>
      <c r="AP166" s="705">
        <v>404182807</v>
      </c>
      <c r="AQ166" s="705">
        <v>367438912</v>
      </c>
      <c r="AR166" s="705">
        <v>80157657</v>
      </c>
      <c r="AS166" s="705">
        <v>29688020</v>
      </c>
      <c r="AT166" s="705">
        <v>2005251579</v>
      </c>
      <c r="AU166" s="705">
        <f t="shared" si="11"/>
        <v>2005251579</v>
      </c>
      <c r="AV166" s="705">
        <f t="shared" si="10"/>
        <v>2436887925</v>
      </c>
    </row>
    <row r="167" spans="2:48" ht="12.75" hidden="1" customHeight="1">
      <c r="B167" t="s">
        <v>531</v>
      </c>
      <c r="C167" t="s">
        <v>120</v>
      </c>
      <c r="D167" t="s">
        <v>583</v>
      </c>
      <c r="E167" t="s">
        <v>228</v>
      </c>
      <c r="F167">
        <v>4</v>
      </c>
      <c r="G167">
        <v>593</v>
      </c>
      <c r="H167" s="705">
        <v>1349</v>
      </c>
      <c r="I167" s="705">
        <v>121679</v>
      </c>
      <c r="J167" s="705">
        <v>110617</v>
      </c>
      <c r="K167">
        <v>75</v>
      </c>
      <c r="L167" s="705">
        <v>25829</v>
      </c>
      <c r="M167" s="705">
        <v>23481</v>
      </c>
      <c r="N167" s="705">
        <v>11948</v>
      </c>
      <c r="O167" s="705">
        <v>4425</v>
      </c>
      <c r="P167" s="705">
        <v>2484</v>
      </c>
      <c r="Q167" s="705">
        <v>920</v>
      </c>
      <c r="R167" s="705">
        <v>36796</v>
      </c>
      <c r="S167" s="705">
        <v>13628</v>
      </c>
      <c r="T167" s="705">
        <v>0</v>
      </c>
      <c r="U167">
        <v>0</v>
      </c>
      <c r="V167" s="705">
        <v>153071</v>
      </c>
      <c r="W167" s="705">
        <f t="shared" si="8"/>
        <v>153071</v>
      </c>
      <c r="X167" s="705">
        <f t="shared" si="9"/>
        <v>198736</v>
      </c>
      <c r="Y167" s="705"/>
      <c r="AA167" t="s">
        <v>116</v>
      </c>
      <c r="AB167" t="s">
        <v>583</v>
      </c>
      <c r="AC167" t="s">
        <v>666</v>
      </c>
      <c r="AD167">
        <v>41</v>
      </c>
      <c r="AE167" s="705">
        <v>6828</v>
      </c>
      <c r="AF167" s="705">
        <v>7817</v>
      </c>
      <c r="AG167" s="705">
        <v>765166</v>
      </c>
      <c r="AH167" s="705">
        <v>695605</v>
      </c>
      <c r="AI167">
        <v>82</v>
      </c>
      <c r="AJ167" s="705">
        <v>165699</v>
      </c>
      <c r="AK167" s="705">
        <v>155235</v>
      </c>
      <c r="AL167" s="705">
        <v>136789</v>
      </c>
      <c r="AM167" s="705">
        <v>50663</v>
      </c>
      <c r="AN167" s="705">
        <v>25893</v>
      </c>
      <c r="AO167" s="705">
        <v>9590</v>
      </c>
      <c r="AP167" s="705">
        <v>232562</v>
      </c>
      <c r="AQ167" s="705">
        <v>211420</v>
      </c>
      <c r="AR167" s="705">
        <v>37998</v>
      </c>
      <c r="AS167" s="705">
        <v>14073</v>
      </c>
      <c r="AT167" s="705">
        <v>1136585</v>
      </c>
      <c r="AU167" s="705">
        <f t="shared" si="11"/>
        <v>1136586</v>
      </c>
      <c r="AV167" s="705">
        <f t="shared" si="10"/>
        <v>1364107</v>
      </c>
    </row>
    <row r="168" spans="2:48" ht="12.75" hidden="1" customHeight="1">
      <c r="B168" t="s">
        <v>531</v>
      </c>
      <c r="C168" t="s">
        <v>120</v>
      </c>
      <c r="D168" t="s">
        <v>583</v>
      </c>
      <c r="E168" t="s">
        <v>583</v>
      </c>
      <c r="F168">
        <v>514</v>
      </c>
      <c r="G168" s="705">
        <v>61085</v>
      </c>
      <c r="H168" s="705">
        <v>173590</v>
      </c>
      <c r="I168" s="705">
        <v>12894652</v>
      </c>
      <c r="J168" s="705">
        <v>11722411</v>
      </c>
      <c r="K168">
        <v>75</v>
      </c>
      <c r="L168" s="705">
        <v>2543331</v>
      </c>
      <c r="M168" s="705">
        <v>2270316</v>
      </c>
      <c r="N168" s="705">
        <v>1323164</v>
      </c>
      <c r="O168" s="705">
        <v>490061</v>
      </c>
      <c r="P168" s="705">
        <v>332046</v>
      </c>
      <c r="Q168" s="705">
        <v>122980</v>
      </c>
      <c r="R168" s="705">
        <v>2797925</v>
      </c>
      <c r="S168" s="705">
        <v>2543568</v>
      </c>
      <c r="T168" s="705">
        <v>986254</v>
      </c>
      <c r="U168" s="705">
        <v>365279</v>
      </c>
      <c r="V168" s="705">
        <v>17514615</v>
      </c>
      <c r="W168" s="705">
        <f t="shared" si="8"/>
        <v>17514615</v>
      </c>
      <c r="X168" s="705">
        <f t="shared" si="9"/>
        <v>20877372</v>
      </c>
      <c r="Y168" s="705"/>
      <c r="AA168" t="s">
        <v>116</v>
      </c>
      <c r="AB168" t="s">
        <v>583</v>
      </c>
      <c r="AC168" t="s">
        <v>584</v>
      </c>
      <c r="AD168">
        <v>25</v>
      </c>
      <c r="AE168" s="705">
        <v>4216</v>
      </c>
      <c r="AF168" s="705">
        <v>4626</v>
      </c>
      <c r="AG168" s="705">
        <v>462329</v>
      </c>
      <c r="AH168" s="705">
        <v>420299</v>
      </c>
      <c r="AI168">
        <v>87</v>
      </c>
      <c r="AJ168" s="705">
        <v>88655</v>
      </c>
      <c r="AK168" s="705">
        <v>77615</v>
      </c>
      <c r="AL168" s="705">
        <v>90105</v>
      </c>
      <c r="AM168" s="705">
        <v>33372</v>
      </c>
      <c r="AN168" s="705">
        <v>19990</v>
      </c>
      <c r="AO168" s="705">
        <v>7404</v>
      </c>
      <c r="AP168" s="705">
        <v>143738</v>
      </c>
      <c r="AQ168" s="705">
        <v>130671</v>
      </c>
      <c r="AR168" s="705">
        <v>17954</v>
      </c>
      <c r="AS168" s="705">
        <v>6650</v>
      </c>
      <c r="AT168" s="705">
        <v>676011</v>
      </c>
      <c r="AU168" s="705">
        <f t="shared" si="11"/>
        <v>676011</v>
      </c>
      <c r="AV168" s="705">
        <f t="shared" si="10"/>
        <v>822771</v>
      </c>
    </row>
    <row r="169" spans="2:48" ht="12.75" hidden="1" customHeight="1">
      <c r="B169" t="s">
        <v>531</v>
      </c>
      <c r="C169" t="s">
        <v>120</v>
      </c>
      <c r="D169" t="s">
        <v>583</v>
      </c>
      <c r="E169" t="s">
        <v>671</v>
      </c>
      <c r="F169">
        <v>1</v>
      </c>
      <c r="G169" s="705">
        <v>114</v>
      </c>
      <c r="H169" s="705">
        <v>332</v>
      </c>
      <c r="I169" s="705">
        <v>20383</v>
      </c>
      <c r="J169" s="705">
        <v>18530</v>
      </c>
      <c r="K169">
        <v>95</v>
      </c>
      <c r="L169" s="705">
        <v>4535</v>
      </c>
      <c r="M169" s="705">
        <v>4122</v>
      </c>
      <c r="N169" s="705">
        <v>2776</v>
      </c>
      <c r="O169" s="705">
        <v>1028</v>
      </c>
      <c r="P169" s="705">
        <v>621</v>
      </c>
      <c r="Q169" s="705">
        <v>230</v>
      </c>
      <c r="R169" s="705">
        <v>6517</v>
      </c>
      <c r="S169" s="705">
        <v>5924</v>
      </c>
      <c r="T169" s="705">
        <v>3047</v>
      </c>
      <c r="U169" s="705">
        <v>1129</v>
      </c>
      <c r="V169" s="705">
        <v>30964</v>
      </c>
      <c r="W169" s="705">
        <f t="shared" si="8"/>
        <v>30963</v>
      </c>
      <c r="X169" s="705">
        <f t="shared" si="9"/>
        <v>37879</v>
      </c>
      <c r="Y169" s="705"/>
      <c r="AA169" t="s">
        <v>116</v>
      </c>
      <c r="AB169" t="s">
        <v>583</v>
      </c>
      <c r="AC169" t="s">
        <v>669</v>
      </c>
      <c r="AD169" s="705">
        <v>2</v>
      </c>
      <c r="AE169" s="705">
        <v>293</v>
      </c>
      <c r="AF169" s="705">
        <v>382</v>
      </c>
      <c r="AG169" s="705">
        <v>37509</v>
      </c>
      <c r="AH169" s="705">
        <v>34099</v>
      </c>
      <c r="AI169">
        <v>91</v>
      </c>
      <c r="AJ169" s="705">
        <v>8717</v>
      </c>
      <c r="AK169" s="705">
        <v>7640</v>
      </c>
      <c r="AL169" s="705">
        <v>6586</v>
      </c>
      <c r="AM169" s="705">
        <v>2439</v>
      </c>
      <c r="AN169" s="705">
        <v>1242</v>
      </c>
      <c r="AO169" s="705">
        <v>460</v>
      </c>
      <c r="AP169" s="705">
        <v>11468</v>
      </c>
      <c r="AQ169" s="705">
        <v>9556</v>
      </c>
      <c r="AR169" s="705">
        <v>3401</v>
      </c>
      <c r="AS169" s="705">
        <v>1260</v>
      </c>
      <c r="AT169" s="705">
        <v>55454</v>
      </c>
      <c r="AU169" s="705">
        <f t="shared" si="11"/>
        <v>55454</v>
      </c>
      <c r="AV169" s="705">
        <f t="shared" si="10"/>
        <v>68923</v>
      </c>
    </row>
    <row r="170" spans="2:48" ht="12.75" hidden="1" customHeight="1">
      <c r="B170" t="s">
        <v>531</v>
      </c>
      <c r="C170" t="s">
        <v>120</v>
      </c>
      <c r="D170" t="s">
        <v>583</v>
      </c>
      <c r="E170" t="s">
        <v>673</v>
      </c>
      <c r="F170">
        <v>1</v>
      </c>
      <c r="G170">
        <v>99</v>
      </c>
      <c r="H170">
        <v>312</v>
      </c>
      <c r="I170" s="705">
        <v>13729</v>
      </c>
      <c r="J170" s="705">
        <v>12481</v>
      </c>
      <c r="K170">
        <v>86</v>
      </c>
      <c r="L170" s="705">
        <v>2753</v>
      </c>
      <c r="M170" s="705">
        <v>2502</v>
      </c>
      <c r="N170" s="705">
        <v>2362</v>
      </c>
      <c r="O170" s="705">
        <v>875</v>
      </c>
      <c r="P170">
        <v>621</v>
      </c>
      <c r="Q170">
        <v>230</v>
      </c>
      <c r="R170" s="705">
        <v>11578</v>
      </c>
      <c r="S170" s="705">
        <v>10525</v>
      </c>
      <c r="T170">
        <v>0</v>
      </c>
      <c r="U170">
        <v>0</v>
      </c>
      <c r="V170" s="705">
        <v>26613</v>
      </c>
      <c r="W170" s="705">
        <f t="shared" si="8"/>
        <v>26613</v>
      </c>
      <c r="X170" s="705">
        <f t="shared" si="9"/>
        <v>31043</v>
      </c>
      <c r="Y170" s="705"/>
      <c r="AA170" t="s">
        <v>116</v>
      </c>
      <c r="AB170" t="s">
        <v>583</v>
      </c>
      <c r="AC170" t="s">
        <v>667</v>
      </c>
      <c r="AD170">
        <v>3</v>
      </c>
      <c r="AE170" s="705">
        <v>451</v>
      </c>
      <c r="AF170" s="705">
        <v>578</v>
      </c>
      <c r="AG170" s="705">
        <v>49927</v>
      </c>
      <c r="AH170" s="705">
        <v>45388</v>
      </c>
      <c r="AI170">
        <v>85</v>
      </c>
      <c r="AJ170" s="705">
        <v>15062</v>
      </c>
      <c r="AK170" s="705">
        <v>13693</v>
      </c>
      <c r="AL170" s="705">
        <v>9359</v>
      </c>
      <c r="AM170" s="705">
        <v>3466</v>
      </c>
      <c r="AN170" s="705">
        <v>1863</v>
      </c>
      <c r="AO170" s="705">
        <v>690</v>
      </c>
      <c r="AP170" s="705">
        <v>15549</v>
      </c>
      <c r="AQ170" s="705">
        <v>14135</v>
      </c>
      <c r="AR170" s="705">
        <v>6572</v>
      </c>
      <c r="AS170" s="705">
        <v>2434</v>
      </c>
      <c r="AT170" s="705">
        <v>79807</v>
      </c>
      <c r="AU170" s="705">
        <f t="shared" si="11"/>
        <v>79806</v>
      </c>
      <c r="AV170" s="705">
        <f t="shared" si="10"/>
        <v>98332</v>
      </c>
    </row>
    <row r="171" spans="2:48" ht="12.75" hidden="1" customHeight="1">
      <c r="B171" t="s">
        <v>531</v>
      </c>
      <c r="C171" t="s">
        <v>120</v>
      </c>
      <c r="D171" t="s">
        <v>666</v>
      </c>
      <c r="E171" t="s">
        <v>583</v>
      </c>
      <c r="F171">
        <v>1</v>
      </c>
      <c r="G171" s="705">
        <v>111</v>
      </c>
      <c r="H171" s="705">
        <v>373</v>
      </c>
      <c r="I171" s="705">
        <v>32092</v>
      </c>
      <c r="J171" s="705">
        <v>29175</v>
      </c>
      <c r="K171">
        <v>60</v>
      </c>
      <c r="L171" s="705">
        <v>3127</v>
      </c>
      <c r="M171" s="705">
        <v>2843</v>
      </c>
      <c r="N171" s="705">
        <v>2368</v>
      </c>
      <c r="O171" s="705">
        <v>877</v>
      </c>
      <c r="P171" s="705">
        <v>972</v>
      </c>
      <c r="Q171" s="705">
        <v>360</v>
      </c>
      <c r="R171" s="705">
        <v>3031</v>
      </c>
      <c r="S171" s="705">
        <v>2755</v>
      </c>
      <c r="T171" s="705">
        <v>-129</v>
      </c>
      <c r="U171" s="705">
        <v>-48</v>
      </c>
      <c r="V171" s="705">
        <v>35962</v>
      </c>
      <c r="W171" s="705">
        <f t="shared" si="8"/>
        <v>36058</v>
      </c>
      <c r="X171" s="705">
        <f t="shared" si="9"/>
        <v>41719</v>
      </c>
      <c r="Y171" s="705"/>
      <c r="AA171" t="s">
        <v>116</v>
      </c>
      <c r="AB171" t="s">
        <v>583</v>
      </c>
      <c r="AC171" t="s">
        <v>671</v>
      </c>
      <c r="AD171">
        <v>5</v>
      </c>
      <c r="AE171" s="705">
        <v>916</v>
      </c>
      <c r="AF171" s="705">
        <v>946</v>
      </c>
      <c r="AG171" s="705">
        <v>113881</v>
      </c>
      <c r="AH171" s="705">
        <v>103528</v>
      </c>
      <c r="AI171">
        <v>76</v>
      </c>
      <c r="AJ171" s="705">
        <v>19555</v>
      </c>
      <c r="AK171" s="705">
        <v>15018</v>
      </c>
      <c r="AL171" s="705">
        <v>13690</v>
      </c>
      <c r="AM171" s="705">
        <v>5070</v>
      </c>
      <c r="AN171" s="705">
        <v>3105</v>
      </c>
      <c r="AO171" s="705">
        <v>1150</v>
      </c>
      <c r="AP171" s="705">
        <v>34496</v>
      </c>
      <c r="AQ171" s="705">
        <v>31360</v>
      </c>
      <c r="AR171" s="705">
        <v>3429</v>
      </c>
      <c r="AS171" s="705">
        <v>1270</v>
      </c>
      <c r="AT171" s="705">
        <v>157397</v>
      </c>
      <c r="AU171" s="705">
        <f t="shared" si="11"/>
        <v>157396</v>
      </c>
      <c r="AV171" s="705">
        <f t="shared" si="10"/>
        <v>188156</v>
      </c>
    </row>
    <row r="172" spans="2:48" ht="12.75" hidden="1" customHeight="1">
      <c r="B172" t="s">
        <v>531</v>
      </c>
      <c r="C172" t="s">
        <v>120</v>
      </c>
      <c r="D172" t="s">
        <v>666</v>
      </c>
      <c r="E172" t="s">
        <v>666</v>
      </c>
      <c r="F172">
        <v>2</v>
      </c>
      <c r="G172">
        <v>156</v>
      </c>
      <c r="H172" s="705">
        <v>638</v>
      </c>
      <c r="I172" s="705">
        <v>45488</v>
      </c>
      <c r="J172" s="705">
        <v>41353</v>
      </c>
      <c r="K172">
        <v>60</v>
      </c>
      <c r="L172" s="705">
        <v>7259</v>
      </c>
      <c r="M172" s="705">
        <v>2689</v>
      </c>
      <c r="N172" s="705">
        <v>4564</v>
      </c>
      <c r="O172" s="705">
        <v>1690</v>
      </c>
      <c r="P172" s="705">
        <v>351</v>
      </c>
      <c r="Q172">
        <v>130</v>
      </c>
      <c r="R172" s="705">
        <v>11258</v>
      </c>
      <c r="S172" s="705">
        <v>10234</v>
      </c>
      <c r="T172" s="705">
        <v>1844</v>
      </c>
      <c r="U172" s="705">
        <v>683</v>
      </c>
      <c r="V172" s="705">
        <v>56779</v>
      </c>
      <c r="W172" s="705">
        <f t="shared" si="8"/>
        <v>56779</v>
      </c>
      <c r="X172" s="705">
        <f t="shared" si="9"/>
        <v>70764</v>
      </c>
      <c r="Y172" s="705"/>
      <c r="AA172" t="s">
        <v>116</v>
      </c>
      <c r="AB172" t="s">
        <v>583</v>
      </c>
      <c r="AC172" t="s">
        <v>665</v>
      </c>
      <c r="AD172">
        <v>57</v>
      </c>
      <c r="AE172" s="705">
        <v>10875</v>
      </c>
      <c r="AF172" s="705">
        <v>10954</v>
      </c>
      <c r="AG172" s="705">
        <v>1174489</v>
      </c>
      <c r="AH172" s="705">
        <v>1067718</v>
      </c>
      <c r="AI172">
        <v>85</v>
      </c>
      <c r="AJ172" s="705">
        <v>250063</v>
      </c>
      <c r="AK172" s="705">
        <v>223120</v>
      </c>
      <c r="AL172" s="705">
        <v>214350</v>
      </c>
      <c r="AM172" s="705">
        <v>79389</v>
      </c>
      <c r="AN172" s="705">
        <v>42336</v>
      </c>
      <c r="AO172" s="705">
        <v>15680</v>
      </c>
      <c r="AP172" s="705">
        <v>346439</v>
      </c>
      <c r="AQ172" s="705">
        <v>314945</v>
      </c>
      <c r="AR172" s="705">
        <v>73540</v>
      </c>
      <c r="AS172" s="705">
        <v>27237</v>
      </c>
      <c r="AT172" s="705">
        <v>1728088</v>
      </c>
      <c r="AU172" s="705">
        <f t="shared" si="11"/>
        <v>1728089</v>
      </c>
      <c r="AV172" s="705">
        <f t="shared" si="10"/>
        <v>2101217</v>
      </c>
    </row>
    <row r="173" spans="2:48" ht="12.75" hidden="1" customHeight="1">
      <c r="B173" t="s">
        <v>531</v>
      </c>
      <c r="C173" t="s">
        <v>120</v>
      </c>
      <c r="D173" t="s">
        <v>584</v>
      </c>
      <c r="E173" t="s">
        <v>584</v>
      </c>
      <c r="F173">
        <v>6</v>
      </c>
      <c r="G173" s="705">
        <v>863</v>
      </c>
      <c r="H173" s="705">
        <v>1916</v>
      </c>
      <c r="I173" s="705">
        <v>155442</v>
      </c>
      <c r="J173" s="705">
        <v>141311</v>
      </c>
      <c r="K173">
        <v>80</v>
      </c>
      <c r="L173" s="705">
        <v>61043</v>
      </c>
      <c r="M173" s="705">
        <v>46337</v>
      </c>
      <c r="N173" s="705">
        <v>18511</v>
      </c>
      <c r="O173" s="705">
        <v>6856</v>
      </c>
      <c r="P173" s="705">
        <v>2835</v>
      </c>
      <c r="Q173" s="705">
        <v>1050</v>
      </c>
      <c r="R173" s="705">
        <v>31955</v>
      </c>
      <c r="S173" s="705">
        <v>29050</v>
      </c>
      <c r="T173" s="705">
        <v>8138</v>
      </c>
      <c r="U173" s="705">
        <v>3014</v>
      </c>
      <c r="V173" s="705">
        <v>227618</v>
      </c>
      <c r="W173" s="705">
        <f t="shared" si="8"/>
        <v>227618</v>
      </c>
      <c r="X173" s="705">
        <f t="shared" si="9"/>
        <v>277924</v>
      </c>
      <c r="Y173" s="705"/>
      <c r="AA173" t="s">
        <v>116</v>
      </c>
      <c r="AB173" t="s">
        <v>583</v>
      </c>
      <c r="AC173" t="s">
        <v>722</v>
      </c>
      <c r="AD173">
        <v>1</v>
      </c>
      <c r="AE173">
        <v>192</v>
      </c>
      <c r="AF173" s="705">
        <v>217</v>
      </c>
      <c r="AG173" s="705">
        <v>23056</v>
      </c>
      <c r="AH173" s="705">
        <v>20960</v>
      </c>
      <c r="AI173">
        <v>85</v>
      </c>
      <c r="AJ173" s="705">
        <v>6891</v>
      </c>
      <c r="AK173" s="705">
        <v>6265</v>
      </c>
      <c r="AL173" s="705">
        <v>2805</v>
      </c>
      <c r="AM173" s="705">
        <v>1039</v>
      </c>
      <c r="AN173" s="705">
        <v>621</v>
      </c>
      <c r="AO173" s="705">
        <v>230</v>
      </c>
      <c r="AP173" s="705">
        <v>8294</v>
      </c>
      <c r="AQ173" s="705">
        <v>7540</v>
      </c>
      <c r="AR173" s="705">
        <v>0</v>
      </c>
      <c r="AS173" s="705">
        <v>0</v>
      </c>
      <c r="AT173" s="705">
        <v>36033</v>
      </c>
      <c r="AU173" s="705">
        <f t="shared" si="11"/>
        <v>36034</v>
      </c>
      <c r="AV173" s="705">
        <f t="shared" si="10"/>
        <v>41667</v>
      </c>
    </row>
    <row r="174" spans="2:48" ht="12.75" hidden="1" customHeight="1">
      <c r="B174" t="s">
        <v>531</v>
      </c>
      <c r="C174" t="s">
        <v>120</v>
      </c>
      <c r="D174" t="s">
        <v>665</v>
      </c>
      <c r="E174" t="s">
        <v>228</v>
      </c>
      <c r="F174">
        <v>2</v>
      </c>
      <c r="G174" s="705">
        <v>246</v>
      </c>
      <c r="H174" s="705">
        <v>682</v>
      </c>
      <c r="I174" s="705">
        <v>70726</v>
      </c>
      <c r="J174" s="705">
        <v>64297</v>
      </c>
      <c r="K174">
        <v>45</v>
      </c>
      <c r="L174" s="705">
        <v>6773</v>
      </c>
      <c r="M174" s="705">
        <v>3696</v>
      </c>
      <c r="N174" s="705">
        <v>6861</v>
      </c>
      <c r="O174" s="705">
        <v>2541</v>
      </c>
      <c r="P174" s="705">
        <v>0</v>
      </c>
      <c r="Q174" s="705">
        <v>0</v>
      </c>
      <c r="R174" s="705">
        <v>15475</v>
      </c>
      <c r="S174" s="705">
        <v>5731</v>
      </c>
      <c r="T174" s="705">
        <v>0</v>
      </c>
      <c r="U174" s="705">
        <v>0</v>
      </c>
      <c r="V174" s="705">
        <v>76264</v>
      </c>
      <c r="W174" s="705">
        <f t="shared" si="8"/>
        <v>76265</v>
      </c>
      <c r="X174" s="705">
        <f t="shared" si="9"/>
        <v>99835</v>
      </c>
      <c r="Y174" s="705"/>
      <c r="AA174" t="s">
        <v>116</v>
      </c>
      <c r="AB174" t="s">
        <v>583</v>
      </c>
      <c r="AC174" t="s">
        <v>673</v>
      </c>
      <c r="AD174">
        <v>5</v>
      </c>
      <c r="AE174" s="705">
        <v>994</v>
      </c>
      <c r="AF174" s="705">
        <v>946</v>
      </c>
      <c r="AG174" s="705">
        <v>129363</v>
      </c>
      <c r="AH174" s="705">
        <v>117603</v>
      </c>
      <c r="AI174">
        <v>78</v>
      </c>
      <c r="AJ174" s="705">
        <v>22876</v>
      </c>
      <c r="AK174" s="705">
        <v>20797</v>
      </c>
      <c r="AL174" s="705">
        <v>26132</v>
      </c>
      <c r="AM174" s="705">
        <v>9679</v>
      </c>
      <c r="AN174" s="705">
        <v>4154</v>
      </c>
      <c r="AO174" s="705">
        <v>1539</v>
      </c>
      <c r="AP174" s="705">
        <v>34593</v>
      </c>
      <c r="AQ174" s="705">
        <v>31448</v>
      </c>
      <c r="AR174" s="705">
        <v>4250</v>
      </c>
      <c r="AS174" s="705">
        <v>1574</v>
      </c>
      <c r="AT174" s="705">
        <v>182640</v>
      </c>
      <c r="AU174" s="705">
        <f t="shared" si="11"/>
        <v>182640</v>
      </c>
      <c r="AV174" s="705">
        <f t="shared" si="10"/>
        <v>221368</v>
      </c>
    </row>
    <row r="175" spans="2:48" ht="12.75" hidden="1" customHeight="1">
      <c r="B175" t="s">
        <v>531</v>
      </c>
      <c r="C175" t="s">
        <v>120</v>
      </c>
      <c r="D175" t="s">
        <v>665</v>
      </c>
      <c r="E175" t="s">
        <v>665</v>
      </c>
      <c r="F175">
        <v>62</v>
      </c>
      <c r="G175" s="705">
        <v>7115</v>
      </c>
      <c r="H175" s="705">
        <v>21425</v>
      </c>
      <c r="I175" s="705">
        <v>1595188</v>
      </c>
      <c r="J175" s="705">
        <v>1450171</v>
      </c>
      <c r="K175">
        <v>55</v>
      </c>
      <c r="L175" s="705">
        <v>193538</v>
      </c>
      <c r="M175" s="705">
        <v>173257</v>
      </c>
      <c r="N175" s="705">
        <v>148697</v>
      </c>
      <c r="O175" s="705">
        <v>55073</v>
      </c>
      <c r="P175" s="705">
        <v>28215</v>
      </c>
      <c r="Q175" s="705">
        <v>10450</v>
      </c>
      <c r="R175" s="705">
        <v>375068</v>
      </c>
      <c r="S175" s="705">
        <v>340971</v>
      </c>
      <c r="T175" s="705">
        <v>131702</v>
      </c>
      <c r="U175" s="705">
        <v>48778</v>
      </c>
      <c r="V175" s="705">
        <v>2078700</v>
      </c>
      <c r="W175" s="705">
        <f t="shared" si="8"/>
        <v>2078700</v>
      </c>
      <c r="X175" s="705">
        <f t="shared" si="9"/>
        <v>2472408</v>
      </c>
      <c r="Y175" s="705"/>
      <c r="AA175" t="s">
        <v>116</v>
      </c>
      <c r="AB175" t="s">
        <v>583</v>
      </c>
      <c r="AC175" t="s">
        <v>585</v>
      </c>
      <c r="AD175">
        <v>1</v>
      </c>
      <c r="AE175" s="705">
        <v>198</v>
      </c>
      <c r="AF175" s="705">
        <v>183</v>
      </c>
      <c r="AG175" s="705">
        <v>21652</v>
      </c>
      <c r="AH175" s="705">
        <v>19684</v>
      </c>
      <c r="AI175">
        <v>86</v>
      </c>
      <c r="AJ175" s="705">
        <v>3013</v>
      </c>
      <c r="AK175" s="705">
        <v>2739</v>
      </c>
      <c r="AL175" s="705">
        <v>3789</v>
      </c>
      <c r="AM175" s="705">
        <v>1403</v>
      </c>
      <c r="AN175" s="705">
        <v>621</v>
      </c>
      <c r="AO175" s="705">
        <v>230</v>
      </c>
      <c r="AP175" s="705">
        <v>7204</v>
      </c>
      <c r="AQ175" s="705">
        <v>6549</v>
      </c>
      <c r="AR175" s="705">
        <v>0</v>
      </c>
      <c r="AS175" s="705">
        <v>0</v>
      </c>
      <c r="AT175" s="705">
        <v>30605</v>
      </c>
      <c r="AU175" s="705">
        <f t="shared" si="11"/>
        <v>30605</v>
      </c>
      <c r="AV175" s="705">
        <f t="shared" si="10"/>
        <v>36279</v>
      </c>
    </row>
    <row r="176" spans="2:48" ht="12.75" hidden="1" customHeight="1">
      <c r="B176" t="s">
        <v>531</v>
      </c>
      <c r="C176" t="s">
        <v>120</v>
      </c>
      <c r="D176" t="s">
        <v>673</v>
      </c>
      <c r="E176" t="s">
        <v>673</v>
      </c>
      <c r="F176">
        <v>1</v>
      </c>
      <c r="G176">
        <v>487</v>
      </c>
      <c r="H176" s="705">
        <v>351</v>
      </c>
      <c r="I176" s="705">
        <v>153150</v>
      </c>
      <c r="J176" s="705">
        <v>139227</v>
      </c>
      <c r="K176">
        <v>30</v>
      </c>
      <c r="L176" s="705">
        <v>0</v>
      </c>
      <c r="M176" s="705">
        <v>0</v>
      </c>
      <c r="N176" s="705">
        <v>6297</v>
      </c>
      <c r="O176" s="705">
        <v>2332</v>
      </c>
      <c r="P176" s="705">
        <v>0</v>
      </c>
      <c r="Q176">
        <v>0</v>
      </c>
      <c r="R176" s="705">
        <v>21973</v>
      </c>
      <c r="S176" s="705">
        <v>19975</v>
      </c>
      <c r="T176" s="705">
        <v>0</v>
      </c>
      <c r="U176" s="705">
        <v>0</v>
      </c>
      <c r="V176" s="705">
        <v>161534</v>
      </c>
      <c r="W176" s="705">
        <f t="shared" si="8"/>
        <v>161534</v>
      </c>
      <c r="X176" s="705">
        <f t="shared" si="9"/>
        <v>181420</v>
      </c>
      <c r="Y176" s="705"/>
      <c r="AA176" t="s">
        <v>116</v>
      </c>
      <c r="AB176" t="s">
        <v>583</v>
      </c>
      <c r="AC176" t="s">
        <v>668</v>
      </c>
      <c r="AD176">
        <v>1</v>
      </c>
      <c r="AE176" s="705">
        <v>175</v>
      </c>
      <c r="AF176" s="705">
        <v>206</v>
      </c>
      <c r="AG176" s="705">
        <v>21032</v>
      </c>
      <c r="AH176" s="705">
        <v>19120</v>
      </c>
      <c r="AI176">
        <v>79</v>
      </c>
      <c r="AJ176" s="705">
        <v>2696</v>
      </c>
      <c r="AK176" s="705">
        <v>2451</v>
      </c>
      <c r="AL176" s="705">
        <v>4270</v>
      </c>
      <c r="AM176" s="705">
        <v>1582</v>
      </c>
      <c r="AN176" s="705">
        <v>621</v>
      </c>
      <c r="AO176" s="705">
        <v>230</v>
      </c>
      <c r="AP176" s="705">
        <v>7411</v>
      </c>
      <c r="AQ176" s="705">
        <v>6738</v>
      </c>
      <c r="AR176" s="705">
        <v>0</v>
      </c>
      <c r="AS176">
        <v>0</v>
      </c>
      <c r="AT176" s="705">
        <v>30121</v>
      </c>
      <c r="AU176" s="705">
        <f t="shared" si="11"/>
        <v>30121</v>
      </c>
      <c r="AV176" s="705">
        <f t="shared" si="10"/>
        <v>36030</v>
      </c>
    </row>
    <row r="177" spans="2:48" ht="12.75" hidden="1" customHeight="1">
      <c r="B177" t="s">
        <v>531</v>
      </c>
      <c r="C177" t="s">
        <v>120</v>
      </c>
      <c r="D177" t="s">
        <v>585</v>
      </c>
      <c r="E177" t="s">
        <v>585</v>
      </c>
      <c r="F177">
        <v>1</v>
      </c>
      <c r="G177" s="705">
        <v>218</v>
      </c>
      <c r="H177" s="705">
        <v>327</v>
      </c>
      <c r="I177" s="705">
        <v>54009</v>
      </c>
      <c r="J177" s="705">
        <v>49099</v>
      </c>
      <c r="K177">
        <v>65</v>
      </c>
      <c r="L177" s="705">
        <v>6001</v>
      </c>
      <c r="M177" s="705">
        <v>5455</v>
      </c>
      <c r="N177" s="705">
        <v>2946</v>
      </c>
      <c r="O177" s="705">
        <v>1091</v>
      </c>
      <c r="P177" s="705">
        <v>972</v>
      </c>
      <c r="Q177" s="705">
        <v>360</v>
      </c>
      <c r="R177" s="705">
        <v>4828</v>
      </c>
      <c r="S177" s="705">
        <v>4389</v>
      </c>
      <c r="T177" s="705">
        <v>2545</v>
      </c>
      <c r="U177" s="705">
        <v>943</v>
      </c>
      <c r="V177" s="705">
        <v>61337</v>
      </c>
      <c r="W177" s="705">
        <f t="shared" si="8"/>
        <v>61337</v>
      </c>
      <c r="X177" s="705">
        <f t="shared" si="9"/>
        <v>71301</v>
      </c>
      <c r="Y177" s="705"/>
      <c r="AA177" t="s">
        <v>116</v>
      </c>
      <c r="AB177" t="s">
        <v>666</v>
      </c>
      <c r="AC177" t="s">
        <v>583</v>
      </c>
      <c r="AD177">
        <v>17</v>
      </c>
      <c r="AE177" s="705">
        <v>2810</v>
      </c>
      <c r="AF177" s="705">
        <v>3217</v>
      </c>
      <c r="AG177" s="705">
        <v>297275</v>
      </c>
      <c r="AH177" s="705">
        <v>270250</v>
      </c>
      <c r="AI177">
        <v>86</v>
      </c>
      <c r="AJ177" s="705">
        <v>58067</v>
      </c>
      <c r="AK177" s="705">
        <v>52269</v>
      </c>
      <c r="AL177" s="705">
        <v>56781</v>
      </c>
      <c r="AM177" s="705">
        <v>21030</v>
      </c>
      <c r="AN177" s="705">
        <v>10908</v>
      </c>
      <c r="AO177" s="705">
        <v>4040</v>
      </c>
      <c r="AP177" s="705">
        <v>104341</v>
      </c>
      <c r="AQ177" s="705">
        <v>94856</v>
      </c>
      <c r="AR177" s="705">
        <v>16440</v>
      </c>
      <c r="AS177" s="705">
        <v>6089</v>
      </c>
      <c r="AT177" s="705">
        <v>448534</v>
      </c>
      <c r="AU177" s="705">
        <f t="shared" si="11"/>
        <v>448534</v>
      </c>
      <c r="AV177" s="705">
        <f t="shared" si="10"/>
        <v>543812</v>
      </c>
    </row>
    <row r="178" spans="2:48" ht="12.75" hidden="1" customHeight="1">
      <c r="B178" t="s">
        <v>531</v>
      </c>
      <c r="C178" t="s">
        <v>122</v>
      </c>
      <c r="D178" t="s">
        <v>582</v>
      </c>
      <c r="E178" t="s">
        <v>582</v>
      </c>
      <c r="F178">
        <v>5</v>
      </c>
      <c r="G178" s="705">
        <v>779</v>
      </c>
      <c r="H178" s="705">
        <v>1973</v>
      </c>
      <c r="I178" s="705">
        <v>225362</v>
      </c>
      <c r="J178" s="705">
        <v>204875</v>
      </c>
      <c r="K178">
        <v>81</v>
      </c>
      <c r="L178" s="705">
        <v>60076</v>
      </c>
      <c r="M178" s="705">
        <v>54614</v>
      </c>
      <c r="N178" s="705">
        <v>20251</v>
      </c>
      <c r="O178" s="705">
        <v>7501</v>
      </c>
      <c r="P178" s="705">
        <v>2363</v>
      </c>
      <c r="Q178" s="705">
        <v>875</v>
      </c>
      <c r="R178" s="705">
        <v>24795</v>
      </c>
      <c r="S178" s="705">
        <v>22540</v>
      </c>
      <c r="T178" s="705">
        <v>2720</v>
      </c>
      <c r="U178" s="705">
        <v>1007</v>
      </c>
      <c r="V178" s="705">
        <v>291412</v>
      </c>
      <c r="W178" s="705">
        <f t="shared" si="8"/>
        <v>291412</v>
      </c>
      <c r="X178" s="705">
        <f t="shared" si="9"/>
        <v>335567</v>
      </c>
      <c r="Y178" s="705"/>
      <c r="AA178" t="s">
        <v>116</v>
      </c>
      <c r="AB178" t="s">
        <v>666</v>
      </c>
      <c r="AC178" t="s">
        <v>666</v>
      </c>
      <c r="AD178">
        <v>12</v>
      </c>
      <c r="AE178" s="705">
        <v>2088</v>
      </c>
      <c r="AF178" s="705">
        <v>2358</v>
      </c>
      <c r="AG178" s="705">
        <v>277698</v>
      </c>
      <c r="AH178" s="705">
        <v>252452</v>
      </c>
      <c r="AI178">
        <v>66</v>
      </c>
      <c r="AJ178" s="705">
        <v>34853</v>
      </c>
      <c r="AK178" s="705">
        <v>29990</v>
      </c>
      <c r="AL178" s="705">
        <v>39203</v>
      </c>
      <c r="AM178" s="705">
        <v>14520</v>
      </c>
      <c r="AN178" s="705">
        <v>5225</v>
      </c>
      <c r="AO178" s="705">
        <v>1935</v>
      </c>
      <c r="AP178" s="705">
        <v>66251</v>
      </c>
      <c r="AQ178" s="705">
        <v>60228</v>
      </c>
      <c r="AR178" s="705">
        <v>10776</v>
      </c>
      <c r="AS178" s="705">
        <v>3991</v>
      </c>
      <c r="AT178" s="705">
        <v>363117</v>
      </c>
      <c r="AU178" s="705">
        <f t="shared" si="11"/>
        <v>363116</v>
      </c>
      <c r="AV178" s="705">
        <f t="shared" si="10"/>
        <v>434006</v>
      </c>
    </row>
    <row r="179" spans="2:48" ht="12.75" hidden="1" customHeight="1">
      <c r="B179" t="s">
        <v>531</v>
      </c>
      <c r="C179" t="s">
        <v>122</v>
      </c>
      <c r="D179" t="s">
        <v>228</v>
      </c>
      <c r="E179" t="s">
        <v>228</v>
      </c>
      <c r="F179">
        <v>23</v>
      </c>
      <c r="G179" s="705">
        <v>2492</v>
      </c>
      <c r="H179" s="705">
        <v>9365</v>
      </c>
      <c r="I179" s="705">
        <v>725175</v>
      </c>
      <c r="J179" s="705">
        <v>268583</v>
      </c>
      <c r="K179">
        <v>100</v>
      </c>
      <c r="L179" s="705">
        <v>90364</v>
      </c>
      <c r="M179" s="705">
        <v>80381</v>
      </c>
      <c r="N179" s="705">
        <v>55611</v>
      </c>
      <c r="O179" s="705">
        <v>20597</v>
      </c>
      <c r="P179" s="705">
        <v>0</v>
      </c>
      <c r="Q179" s="705">
        <v>0</v>
      </c>
      <c r="R179" s="705">
        <v>161913</v>
      </c>
      <c r="S179" s="705">
        <v>59968</v>
      </c>
      <c r="T179" s="705">
        <v>2177</v>
      </c>
      <c r="U179" s="705">
        <v>806</v>
      </c>
      <c r="V179" s="705">
        <v>430336</v>
      </c>
      <c r="W179" s="705">
        <f t="shared" si="8"/>
        <v>430335</v>
      </c>
      <c r="X179" s="705">
        <f t="shared" si="9"/>
        <v>1035240</v>
      </c>
      <c r="Y179" s="705"/>
      <c r="AA179" t="s">
        <v>116</v>
      </c>
      <c r="AB179" t="s">
        <v>584</v>
      </c>
      <c r="AC179" t="s">
        <v>582</v>
      </c>
      <c r="AD179">
        <v>6</v>
      </c>
      <c r="AE179">
        <v>804</v>
      </c>
      <c r="AF179" s="705">
        <v>1267</v>
      </c>
      <c r="AG179" s="705">
        <v>88255</v>
      </c>
      <c r="AH179" s="705">
        <v>80232</v>
      </c>
      <c r="AI179">
        <v>84</v>
      </c>
      <c r="AJ179" s="705">
        <v>25638</v>
      </c>
      <c r="AK179" s="705">
        <v>22391</v>
      </c>
      <c r="AL179" s="705">
        <v>14754</v>
      </c>
      <c r="AM179" s="705">
        <v>5465</v>
      </c>
      <c r="AN179" s="705">
        <v>2835</v>
      </c>
      <c r="AO179" s="705">
        <v>1050</v>
      </c>
      <c r="AP179" s="705">
        <v>30508</v>
      </c>
      <c r="AQ179" s="705">
        <v>27735</v>
      </c>
      <c r="AR179" s="705">
        <v>6166</v>
      </c>
      <c r="AS179" s="705">
        <v>2284</v>
      </c>
      <c r="AT179" s="705">
        <v>139155</v>
      </c>
      <c r="AU179" s="705">
        <f t="shared" si="11"/>
        <v>139157</v>
      </c>
      <c r="AV179" s="705">
        <f t="shared" si="10"/>
        <v>168156</v>
      </c>
    </row>
    <row r="180" spans="2:48" ht="12.75" hidden="1" customHeight="1">
      <c r="B180" t="s">
        <v>531</v>
      </c>
      <c r="C180" t="s">
        <v>122</v>
      </c>
      <c r="D180" t="s">
        <v>583</v>
      </c>
      <c r="E180" t="s">
        <v>228</v>
      </c>
      <c r="F180">
        <v>2</v>
      </c>
      <c r="G180">
        <v>199</v>
      </c>
      <c r="H180">
        <v>789</v>
      </c>
      <c r="I180" s="705">
        <v>46705</v>
      </c>
      <c r="J180" s="705">
        <v>42459</v>
      </c>
      <c r="K180">
        <v>89</v>
      </c>
      <c r="L180" s="705">
        <v>11508</v>
      </c>
      <c r="M180" s="705">
        <v>10462</v>
      </c>
      <c r="N180" s="705">
        <v>4098</v>
      </c>
      <c r="O180" s="705">
        <v>1518</v>
      </c>
      <c r="P180" s="705">
        <v>1242</v>
      </c>
      <c r="Q180">
        <v>460</v>
      </c>
      <c r="R180" s="705">
        <v>14222</v>
      </c>
      <c r="S180" s="705">
        <v>5267</v>
      </c>
      <c r="T180" s="705">
        <v>0</v>
      </c>
      <c r="U180">
        <v>0</v>
      </c>
      <c r="V180" s="705">
        <v>60167</v>
      </c>
      <c r="W180" s="705">
        <f t="shared" si="8"/>
        <v>60166</v>
      </c>
      <c r="X180" s="705">
        <f t="shared" si="9"/>
        <v>77775</v>
      </c>
      <c r="Y180" s="705"/>
      <c r="AA180" t="s">
        <v>116</v>
      </c>
      <c r="AB180" t="s">
        <v>584</v>
      </c>
      <c r="AC180" t="s">
        <v>228</v>
      </c>
      <c r="AD180">
        <v>33</v>
      </c>
      <c r="AE180" s="705">
        <v>6459</v>
      </c>
      <c r="AF180" s="705">
        <v>6312</v>
      </c>
      <c r="AG180" s="705">
        <v>806565</v>
      </c>
      <c r="AH180" s="705">
        <v>733241</v>
      </c>
      <c r="AI180">
        <v>84</v>
      </c>
      <c r="AJ180" s="705">
        <v>177680</v>
      </c>
      <c r="AK180" s="705">
        <v>150123</v>
      </c>
      <c r="AL180" s="705">
        <v>132513</v>
      </c>
      <c r="AM180" s="705">
        <v>49079</v>
      </c>
      <c r="AN180" s="705">
        <v>20978</v>
      </c>
      <c r="AO180" s="705">
        <v>7770</v>
      </c>
      <c r="AP180" s="705">
        <v>184594</v>
      </c>
      <c r="AQ180" s="705">
        <v>68368</v>
      </c>
      <c r="AR180" s="705">
        <v>0</v>
      </c>
      <c r="AS180" s="705">
        <v>0</v>
      </c>
      <c r="AT180" s="705">
        <v>1008580</v>
      </c>
      <c r="AU180" s="705">
        <f t="shared" si="11"/>
        <v>1008581</v>
      </c>
      <c r="AV180" s="705">
        <f t="shared" si="10"/>
        <v>1322330</v>
      </c>
    </row>
    <row r="181" spans="2:48" ht="12.75" hidden="1" customHeight="1">
      <c r="B181" t="s">
        <v>531</v>
      </c>
      <c r="C181" t="s">
        <v>122</v>
      </c>
      <c r="D181" t="s">
        <v>583</v>
      </c>
      <c r="E181" t="s">
        <v>583</v>
      </c>
      <c r="F181">
        <v>239</v>
      </c>
      <c r="G181" s="705">
        <v>27601</v>
      </c>
      <c r="H181" s="705">
        <v>99133</v>
      </c>
      <c r="I181" s="705">
        <v>7571382</v>
      </c>
      <c r="J181" s="705">
        <v>6883075</v>
      </c>
      <c r="K181">
        <v>74</v>
      </c>
      <c r="L181" s="705">
        <v>1546873</v>
      </c>
      <c r="M181" s="705">
        <v>1370162</v>
      </c>
      <c r="N181" s="705">
        <v>599208</v>
      </c>
      <c r="O181" s="705">
        <v>221929</v>
      </c>
      <c r="P181" s="705">
        <v>152901</v>
      </c>
      <c r="Q181" s="705">
        <v>56630</v>
      </c>
      <c r="R181" s="705">
        <v>1265180</v>
      </c>
      <c r="S181" s="705">
        <v>1150164</v>
      </c>
      <c r="T181" s="705">
        <v>443480</v>
      </c>
      <c r="U181" s="705">
        <v>164252</v>
      </c>
      <c r="V181" s="705">
        <v>9846212</v>
      </c>
      <c r="W181" s="705">
        <f t="shared" si="8"/>
        <v>9846212</v>
      </c>
      <c r="X181" s="705">
        <f t="shared" si="9"/>
        <v>11579024</v>
      </c>
      <c r="Y181" s="705"/>
      <c r="AA181" t="s">
        <v>116</v>
      </c>
      <c r="AB181" t="s">
        <v>584</v>
      </c>
      <c r="AC181" t="s">
        <v>583</v>
      </c>
      <c r="AD181">
        <v>13</v>
      </c>
      <c r="AE181" s="705">
        <v>2094</v>
      </c>
      <c r="AF181" s="705">
        <v>2390</v>
      </c>
      <c r="AG181" s="705">
        <v>210262</v>
      </c>
      <c r="AH181" s="705">
        <v>191148</v>
      </c>
      <c r="AI181">
        <v>85</v>
      </c>
      <c r="AJ181" s="705">
        <v>55978</v>
      </c>
      <c r="AK181" s="705">
        <v>48764</v>
      </c>
      <c r="AL181" s="705">
        <v>45905</v>
      </c>
      <c r="AM181" s="705">
        <v>17002</v>
      </c>
      <c r="AN181" s="705">
        <v>6291</v>
      </c>
      <c r="AO181" s="705">
        <v>2330</v>
      </c>
      <c r="AP181" s="705">
        <v>67300</v>
      </c>
      <c r="AQ181" s="705">
        <v>61182</v>
      </c>
      <c r="AR181" s="705">
        <v>8374</v>
      </c>
      <c r="AS181" s="705">
        <v>3101</v>
      </c>
      <c r="AT181" s="705">
        <v>323527</v>
      </c>
      <c r="AU181" s="705">
        <f t="shared" si="11"/>
        <v>323527</v>
      </c>
      <c r="AV181" s="705">
        <f t="shared" si="10"/>
        <v>394110</v>
      </c>
    </row>
    <row r="182" spans="2:48" ht="12.75" hidden="1" customHeight="1">
      <c r="B182" t="s">
        <v>531</v>
      </c>
      <c r="C182" t="s">
        <v>122</v>
      </c>
      <c r="D182" t="s">
        <v>584</v>
      </c>
      <c r="E182" t="s">
        <v>584</v>
      </c>
      <c r="F182">
        <v>1</v>
      </c>
      <c r="G182" s="705">
        <v>112</v>
      </c>
      <c r="H182" s="705">
        <v>400</v>
      </c>
      <c r="I182" s="705">
        <v>32216</v>
      </c>
      <c r="J182" s="705">
        <v>29287</v>
      </c>
      <c r="K182">
        <v>78</v>
      </c>
      <c r="L182" s="705">
        <v>3799</v>
      </c>
      <c r="M182" s="705">
        <v>3454</v>
      </c>
      <c r="N182" s="705">
        <v>1858</v>
      </c>
      <c r="O182" s="705">
        <v>688</v>
      </c>
      <c r="P182" s="705">
        <v>473</v>
      </c>
      <c r="Q182" s="705">
        <v>175</v>
      </c>
      <c r="R182" s="705">
        <v>4032</v>
      </c>
      <c r="S182" s="705">
        <v>3666</v>
      </c>
      <c r="T182" s="705">
        <v>2535</v>
      </c>
      <c r="U182" s="705">
        <v>939</v>
      </c>
      <c r="V182" s="705">
        <v>38209</v>
      </c>
      <c r="W182" s="705">
        <f t="shared" si="8"/>
        <v>38209</v>
      </c>
      <c r="X182" s="705">
        <f t="shared" si="9"/>
        <v>44913</v>
      </c>
      <c r="Y182" s="705"/>
      <c r="AA182" t="s">
        <v>116</v>
      </c>
      <c r="AB182" t="s">
        <v>584</v>
      </c>
      <c r="AC182" t="s">
        <v>666</v>
      </c>
      <c r="AD182">
        <v>3</v>
      </c>
      <c r="AE182" s="705">
        <v>471</v>
      </c>
      <c r="AF182" s="705">
        <v>574</v>
      </c>
      <c r="AG182" s="705">
        <v>53409</v>
      </c>
      <c r="AH182" s="705">
        <v>48554</v>
      </c>
      <c r="AI182">
        <v>81</v>
      </c>
      <c r="AJ182" s="705">
        <v>15099</v>
      </c>
      <c r="AK182" s="705">
        <v>13726</v>
      </c>
      <c r="AL182" s="705">
        <v>9600</v>
      </c>
      <c r="AM182" s="705">
        <v>3555</v>
      </c>
      <c r="AN182" s="705">
        <v>1418</v>
      </c>
      <c r="AO182" s="705">
        <v>525</v>
      </c>
      <c r="AP182" s="705">
        <v>15181</v>
      </c>
      <c r="AQ182" s="705">
        <v>13801</v>
      </c>
      <c r="AR182" s="705">
        <v>7897</v>
      </c>
      <c r="AS182" s="705">
        <v>2925</v>
      </c>
      <c r="AT182" s="705">
        <v>83086</v>
      </c>
      <c r="AU182" s="705">
        <f t="shared" si="11"/>
        <v>83086</v>
      </c>
      <c r="AV182" s="705">
        <f t="shared" si="10"/>
        <v>102604</v>
      </c>
    </row>
    <row r="183" spans="2:48" ht="12.75" hidden="1" customHeight="1">
      <c r="B183" t="s">
        <v>531</v>
      </c>
      <c r="C183" t="s">
        <v>122</v>
      </c>
      <c r="D183" t="s">
        <v>669</v>
      </c>
      <c r="E183" t="s">
        <v>669</v>
      </c>
      <c r="F183">
        <v>1</v>
      </c>
      <c r="G183">
        <v>105</v>
      </c>
      <c r="H183">
        <v>447</v>
      </c>
      <c r="I183" s="705">
        <v>37378</v>
      </c>
      <c r="J183" s="705">
        <v>31148</v>
      </c>
      <c r="K183">
        <v>65</v>
      </c>
      <c r="L183" s="705">
        <v>0</v>
      </c>
      <c r="M183" s="705">
        <v>0</v>
      </c>
      <c r="N183" s="705">
        <v>1631</v>
      </c>
      <c r="O183" s="705">
        <v>604</v>
      </c>
      <c r="P183">
        <v>351</v>
      </c>
      <c r="Q183">
        <v>130</v>
      </c>
      <c r="R183" s="705">
        <v>5159</v>
      </c>
      <c r="S183" s="705">
        <v>4299</v>
      </c>
      <c r="T183" s="705">
        <v>2629</v>
      </c>
      <c r="U183" s="705">
        <v>974</v>
      </c>
      <c r="V183" s="705">
        <v>37156</v>
      </c>
      <c r="W183" s="705">
        <f t="shared" si="8"/>
        <v>37155</v>
      </c>
      <c r="X183" s="705">
        <f t="shared" si="9"/>
        <v>47148</v>
      </c>
      <c r="Y183" s="705"/>
      <c r="AA183" t="s">
        <v>116</v>
      </c>
      <c r="AB183" t="s">
        <v>584</v>
      </c>
      <c r="AC183" t="s">
        <v>584</v>
      </c>
      <c r="AD183" s="705">
        <v>19309</v>
      </c>
      <c r="AE183" s="705">
        <v>2964745</v>
      </c>
      <c r="AF183" s="705">
        <v>3614518</v>
      </c>
      <c r="AG183" s="705">
        <v>304548324</v>
      </c>
      <c r="AH183" s="705">
        <v>276862112</v>
      </c>
      <c r="AI183">
        <v>84</v>
      </c>
      <c r="AJ183" s="705">
        <v>80294549</v>
      </c>
      <c r="AK183" s="705">
        <v>70537056</v>
      </c>
      <c r="AL183" s="705">
        <v>60997783</v>
      </c>
      <c r="AM183" s="705">
        <v>22591771</v>
      </c>
      <c r="AN183" s="705">
        <v>9601297</v>
      </c>
      <c r="AO183" s="705">
        <v>3556036</v>
      </c>
      <c r="AP183" s="705">
        <v>103688583</v>
      </c>
      <c r="AQ183" s="705">
        <v>94262348</v>
      </c>
      <c r="AR183" s="705">
        <v>10521567</v>
      </c>
      <c r="AS183" s="705">
        <v>3896877</v>
      </c>
      <c r="AT183" s="705">
        <v>471706200</v>
      </c>
      <c r="AU183" s="705">
        <f t="shared" si="11"/>
        <v>471706200</v>
      </c>
      <c r="AV183" s="705">
        <f t="shared" si="10"/>
        <v>569652103</v>
      </c>
    </row>
    <row r="184" spans="2:48" ht="12.75" hidden="1" customHeight="1">
      <c r="B184" t="s">
        <v>531</v>
      </c>
      <c r="C184" t="s">
        <v>122</v>
      </c>
      <c r="D184" t="s">
        <v>665</v>
      </c>
      <c r="E184" t="s">
        <v>228</v>
      </c>
      <c r="F184">
        <v>2</v>
      </c>
      <c r="G184">
        <v>443</v>
      </c>
      <c r="H184" s="705">
        <v>807</v>
      </c>
      <c r="I184" s="705">
        <v>127652</v>
      </c>
      <c r="J184" s="705">
        <v>116047</v>
      </c>
      <c r="K184">
        <v>30</v>
      </c>
      <c r="L184" s="705">
        <v>23500</v>
      </c>
      <c r="M184" s="705">
        <v>8704</v>
      </c>
      <c r="N184" s="705">
        <v>10803</v>
      </c>
      <c r="O184" s="705">
        <v>4001</v>
      </c>
      <c r="P184" s="705">
        <v>0</v>
      </c>
      <c r="Q184" s="705">
        <v>0</v>
      </c>
      <c r="R184" s="705">
        <v>16835</v>
      </c>
      <c r="S184" s="705">
        <v>6235</v>
      </c>
      <c r="T184" s="705">
        <v>0</v>
      </c>
      <c r="U184" s="705">
        <v>0</v>
      </c>
      <c r="V184" s="705">
        <v>134987</v>
      </c>
      <c r="W184" s="705">
        <f t="shared" si="8"/>
        <v>134987</v>
      </c>
      <c r="X184" s="705">
        <f t="shared" si="9"/>
        <v>178790</v>
      </c>
      <c r="Y184" s="705"/>
      <c r="AA184" t="s">
        <v>116</v>
      </c>
      <c r="AB184" t="s">
        <v>584</v>
      </c>
      <c r="AC184" t="s">
        <v>669</v>
      </c>
      <c r="AD184">
        <v>2</v>
      </c>
      <c r="AE184">
        <v>379</v>
      </c>
      <c r="AF184">
        <v>428</v>
      </c>
      <c r="AG184" s="705">
        <v>49847</v>
      </c>
      <c r="AH184" s="705">
        <v>45315</v>
      </c>
      <c r="AI184">
        <v>84</v>
      </c>
      <c r="AJ184" s="705">
        <v>10330</v>
      </c>
      <c r="AK184" s="705">
        <v>9391</v>
      </c>
      <c r="AL184" s="705">
        <v>8294</v>
      </c>
      <c r="AM184" s="705">
        <v>3072</v>
      </c>
      <c r="AN184">
        <v>945</v>
      </c>
      <c r="AO184">
        <v>350</v>
      </c>
      <c r="AP184" s="705">
        <v>11922</v>
      </c>
      <c r="AQ184" s="705">
        <v>9935</v>
      </c>
      <c r="AR184" s="705">
        <v>0</v>
      </c>
      <c r="AS184">
        <v>0</v>
      </c>
      <c r="AT184" s="705">
        <v>68063</v>
      </c>
      <c r="AU184" s="705">
        <f t="shared" si="11"/>
        <v>68063</v>
      </c>
      <c r="AV184" s="705">
        <f t="shared" si="10"/>
        <v>81338</v>
      </c>
    </row>
    <row r="185" spans="2:48" ht="12.75" hidden="1" customHeight="1">
      <c r="B185" t="s">
        <v>531</v>
      </c>
      <c r="C185" t="s">
        <v>122</v>
      </c>
      <c r="D185" t="s">
        <v>665</v>
      </c>
      <c r="E185" t="s">
        <v>665</v>
      </c>
      <c r="F185">
        <v>66</v>
      </c>
      <c r="G185" s="705">
        <v>5682</v>
      </c>
      <c r="H185" s="705">
        <v>27138</v>
      </c>
      <c r="I185" s="705">
        <v>1460153</v>
      </c>
      <c r="J185" s="705">
        <v>1327412</v>
      </c>
      <c r="K185">
        <v>48</v>
      </c>
      <c r="L185" s="705">
        <v>199777</v>
      </c>
      <c r="M185" s="705">
        <v>181616</v>
      </c>
      <c r="N185" s="705">
        <v>118940</v>
      </c>
      <c r="O185" s="705">
        <v>44052</v>
      </c>
      <c r="P185" s="705">
        <v>24786</v>
      </c>
      <c r="Q185" s="705">
        <v>9180</v>
      </c>
      <c r="R185" s="705">
        <v>398558</v>
      </c>
      <c r="S185" s="705">
        <v>362326</v>
      </c>
      <c r="T185" s="705">
        <v>147006</v>
      </c>
      <c r="U185" s="705">
        <v>54447</v>
      </c>
      <c r="V185" s="705">
        <v>1979032</v>
      </c>
      <c r="W185" s="705">
        <f t="shared" si="8"/>
        <v>1979033</v>
      </c>
      <c r="X185" s="705">
        <f t="shared" si="9"/>
        <v>2349220</v>
      </c>
      <c r="Y185" s="705"/>
      <c r="AA185" t="s">
        <v>116</v>
      </c>
      <c r="AB185" t="s">
        <v>584</v>
      </c>
      <c r="AC185" t="s">
        <v>667</v>
      </c>
      <c r="AD185">
        <v>1</v>
      </c>
      <c r="AE185" s="705">
        <v>242</v>
      </c>
      <c r="AF185" s="705">
        <v>174</v>
      </c>
      <c r="AG185" s="705">
        <v>21748</v>
      </c>
      <c r="AH185" s="705">
        <v>19771</v>
      </c>
      <c r="AI185">
        <v>91</v>
      </c>
      <c r="AJ185" s="705">
        <v>7289</v>
      </c>
      <c r="AK185" s="705">
        <v>6627</v>
      </c>
      <c r="AL185" s="705">
        <v>4725</v>
      </c>
      <c r="AM185" s="705">
        <v>1750</v>
      </c>
      <c r="AN185" s="705">
        <v>351</v>
      </c>
      <c r="AO185" s="705">
        <v>130</v>
      </c>
      <c r="AP185" s="705">
        <v>3790</v>
      </c>
      <c r="AQ185" s="705">
        <v>3446</v>
      </c>
      <c r="AR185" s="705">
        <v>4147</v>
      </c>
      <c r="AS185" s="705">
        <v>1536</v>
      </c>
      <c r="AT185" s="705">
        <v>33259</v>
      </c>
      <c r="AU185" s="705">
        <f t="shared" si="11"/>
        <v>33260</v>
      </c>
      <c r="AV185" s="705">
        <f t="shared" si="10"/>
        <v>42050</v>
      </c>
    </row>
    <row r="186" spans="2:48" ht="12.75" hidden="1" customHeight="1">
      <c r="B186" t="s">
        <v>531</v>
      </c>
      <c r="C186" t="s">
        <v>122</v>
      </c>
      <c r="D186" t="s">
        <v>673</v>
      </c>
      <c r="E186" t="s">
        <v>673</v>
      </c>
      <c r="F186">
        <v>1</v>
      </c>
      <c r="G186" s="705">
        <v>76</v>
      </c>
      <c r="H186" s="705">
        <v>404</v>
      </c>
      <c r="I186" s="705">
        <v>15451</v>
      </c>
      <c r="J186" s="705">
        <v>14047</v>
      </c>
      <c r="K186">
        <v>65</v>
      </c>
      <c r="L186" s="705">
        <v>2739</v>
      </c>
      <c r="M186" s="705">
        <v>1014</v>
      </c>
      <c r="N186" s="705">
        <v>1850</v>
      </c>
      <c r="O186" s="705">
        <v>685</v>
      </c>
      <c r="P186" s="705">
        <v>351</v>
      </c>
      <c r="Q186" s="705">
        <v>130</v>
      </c>
      <c r="R186" s="705">
        <v>10305</v>
      </c>
      <c r="S186" s="705">
        <v>9368</v>
      </c>
      <c r="T186" s="705">
        <v>0</v>
      </c>
      <c r="U186" s="705">
        <v>0</v>
      </c>
      <c r="V186" s="705">
        <v>25244</v>
      </c>
      <c r="W186" s="705">
        <f t="shared" si="8"/>
        <v>25244</v>
      </c>
      <c r="X186" s="705">
        <f t="shared" si="9"/>
        <v>30696</v>
      </c>
      <c r="Y186" s="705"/>
      <c r="AA186" t="s">
        <v>116</v>
      </c>
      <c r="AB186" t="s">
        <v>584</v>
      </c>
      <c r="AC186" t="s">
        <v>665</v>
      </c>
      <c r="AD186">
        <v>6</v>
      </c>
      <c r="AE186" s="705">
        <v>998</v>
      </c>
      <c r="AF186" s="705">
        <v>1089</v>
      </c>
      <c r="AG186" s="705">
        <v>102124</v>
      </c>
      <c r="AH186" s="705">
        <v>92840</v>
      </c>
      <c r="AI186">
        <v>80</v>
      </c>
      <c r="AJ186" s="705">
        <v>26335</v>
      </c>
      <c r="AK186" s="705">
        <v>23941</v>
      </c>
      <c r="AL186" s="705">
        <v>20095</v>
      </c>
      <c r="AM186" s="705">
        <v>7443</v>
      </c>
      <c r="AN186" s="705">
        <v>3537</v>
      </c>
      <c r="AO186" s="705">
        <v>1310</v>
      </c>
      <c r="AP186" s="705">
        <v>32349</v>
      </c>
      <c r="AQ186" s="705">
        <v>29408</v>
      </c>
      <c r="AR186" s="705">
        <v>3162</v>
      </c>
      <c r="AS186" s="705">
        <v>1171</v>
      </c>
      <c r="AT186" s="705">
        <v>156113</v>
      </c>
      <c r="AU186" s="705">
        <f t="shared" si="11"/>
        <v>156113</v>
      </c>
      <c r="AV186" s="705">
        <f t="shared" si="10"/>
        <v>187602</v>
      </c>
    </row>
    <row r="187" spans="2:48" ht="12.75" hidden="1" customHeight="1">
      <c r="B187" t="s">
        <v>531</v>
      </c>
      <c r="C187" t="s">
        <v>124</v>
      </c>
      <c r="F187">
        <v>1</v>
      </c>
      <c r="G187" s="705">
        <v>157</v>
      </c>
      <c r="H187" s="705">
        <v>606</v>
      </c>
      <c r="I187" s="705"/>
      <c r="J187" s="705">
        <v>0</v>
      </c>
      <c r="L187" s="705"/>
      <c r="M187" s="705">
        <v>0</v>
      </c>
      <c r="N187" s="705">
        <v>3661</v>
      </c>
      <c r="O187" s="705">
        <v>1356</v>
      </c>
      <c r="P187" s="705">
        <v>0</v>
      </c>
      <c r="Q187" s="705">
        <v>0</v>
      </c>
      <c r="R187" s="705"/>
      <c r="S187" s="705">
        <v>0</v>
      </c>
      <c r="T187" s="705">
        <v>3803</v>
      </c>
      <c r="U187" s="705">
        <v>1409</v>
      </c>
      <c r="V187" s="705">
        <v>2764</v>
      </c>
      <c r="W187" s="705">
        <f t="shared" si="8"/>
        <v>2765</v>
      </c>
      <c r="X187" s="705">
        <f t="shared" si="9"/>
        <v>7464</v>
      </c>
      <c r="Y187" s="705"/>
      <c r="AA187" t="s">
        <v>116</v>
      </c>
      <c r="AB187" t="s">
        <v>584</v>
      </c>
      <c r="AC187" t="s">
        <v>673</v>
      </c>
      <c r="AD187">
        <v>1</v>
      </c>
      <c r="AE187" s="705">
        <v>89</v>
      </c>
      <c r="AF187" s="705">
        <v>221</v>
      </c>
      <c r="AG187" s="705">
        <v>16313</v>
      </c>
      <c r="AH187" s="705">
        <v>14830</v>
      </c>
      <c r="AI187">
        <v>78</v>
      </c>
      <c r="AJ187" s="705">
        <v>4891</v>
      </c>
      <c r="AK187" s="705">
        <v>4076</v>
      </c>
      <c r="AL187" s="705">
        <v>2857</v>
      </c>
      <c r="AM187" s="705">
        <v>1058</v>
      </c>
      <c r="AN187" s="705">
        <v>473</v>
      </c>
      <c r="AO187" s="705">
        <v>175</v>
      </c>
      <c r="AP187" s="705">
        <v>6910</v>
      </c>
      <c r="AQ187" s="705">
        <v>6282</v>
      </c>
      <c r="AR187" s="705">
        <v>0</v>
      </c>
      <c r="AS187" s="705">
        <v>0</v>
      </c>
      <c r="AT187" s="705">
        <v>26421</v>
      </c>
      <c r="AU187" s="705">
        <f t="shared" si="11"/>
        <v>26421</v>
      </c>
      <c r="AV187" s="705">
        <f t="shared" si="10"/>
        <v>31444</v>
      </c>
    </row>
    <row r="188" spans="2:48" ht="12.75" hidden="1" customHeight="1">
      <c r="B188" t="s">
        <v>531</v>
      </c>
      <c r="C188" t="s">
        <v>124</v>
      </c>
      <c r="D188" t="s">
        <v>664</v>
      </c>
      <c r="E188" t="s">
        <v>664</v>
      </c>
      <c r="F188">
        <v>1</v>
      </c>
      <c r="G188" s="705">
        <v>51</v>
      </c>
      <c r="H188" s="705">
        <v>588</v>
      </c>
      <c r="I188" s="705">
        <v>20208</v>
      </c>
      <c r="J188" s="705">
        <v>18370</v>
      </c>
      <c r="K188">
        <v>91</v>
      </c>
      <c r="L188" s="705">
        <v>6436</v>
      </c>
      <c r="M188" s="705">
        <v>5851</v>
      </c>
      <c r="N188" s="705">
        <v>1176</v>
      </c>
      <c r="O188" s="705">
        <v>436</v>
      </c>
      <c r="P188" s="705">
        <v>473</v>
      </c>
      <c r="Q188" s="705">
        <v>175</v>
      </c>
      <c r="R188" s="705">
        <v>1896</v>
      </c>
      <c r="S188" s="705">
        <v>1724</v>
      </c>
      <c r="T188" s="705">
        <v>0</v>
      </c>
      <c r="U188" s="705">
        <v>0</v>
      </c>
      <c r="V188" s="705">
        <v>26556</v>
      </c>
      <c r="W188" s="705">
        <f t="shared" si="8"/>
        <v>26556</v>
      </c>
      <c r="X188" s="705">
        <f t="shared" si="9"/>
        <v>30189</v>
      </c>
      <c r="Y188" s="705"/>
      <c r="AA188" t="s">
        <v>116</v>
      </c>
      <c r="AB188" t="s">
        <v>669</v>
      </c>
      <c r="AC188" t="s">
        <v>228</v>
      </c>
      <c r="AD188" s="705">
        <v>1</v>
      </c>
      <c r="AE188" s="705">
        <v>102</v>
      </c>
      <c r="AF188" s="705">
        <v>220</v>
      </c>
      <c r="AG188" s="705">
        <v>15116</v>
      </c>
      <c r="AH188" s="705">
        <v>12597</v>
      </c>
      <c r="AI188">
        <v>65</v>
      </c>
      <c r="AJ188" s="705">
        <v>2456</v>
      </c>
      <c r="AK188" s="705">
        <v>910</v>
      </c>
      <c r="AL188" s="705">
        <v>1239</v>
      </c>
      <c r="AM188" s="705">
        <v>459</v>
      </c>
      <c r="AN188" s="705">
        <v>0</v>
      </c>
      <c r="AO188" s="705">
        <v>0</v>
      </c>
      <c r="AP188" s="705">
        <v>3535</v>
      </c>
      <c r="AQ188" s="705">
        <v>1309</v>
      </c>
      <c r="AR188" s="705">
        <v>0</v>
      </c>
      <c r="AS188" s="705">
        <v>0</v>
      </c>
      <c r="AT188" s="705">
        <v>15275</v>
      </c>
      <c r="AU188" s="705">
        <f t="shared" si="11"/>
        <v>15275</v>
      </c>
      <c r="AV188" s="705">
        <f t="shared" si="10"/>
        <v>22346</v>
      </c>
    </row>
    <row r="189" spans="2:48" ht="12.75" hidden="1" customHeight="1">
      <c r="B189" t="s">
        <v>531</v>
      </c>
      <c r="C189" t="s">
        <v>124</v>
      </c>
      <c r="D189" t="s">
        <v>582</v>
      </c>
      <c r="E189" t="s">
        <v>582</v>
      </c>
      <c r="F189">
        <v>2</v>
      </c>
      <c r="G189" s="705">
        <v>259</v>
      </c>
      <c r="H189" s="705">
        <v>1061</v>
      </c>
      <c r="I189" s="705">
        <v>97297</v>
      </c>
      <c r="J189" s="705">
        <v>88452</v>
      </c>
      <c r="K189">
        <v>69</v>
      </c>
      <c r="L189" s="705">
        <v>18498</v>
      </c>
      <c r="M189" s="705">
        <v>16817</v>
      </c>
      <c r="N189" s="705">
        <v>5797</v>
      </c>
      <c r="O189" s="705">
        <v>2147</v>
      </c>
      <c r="P189" s="705">
        <v>945</v>
      </c>
      <c r="Q189" s="705">
        <v>350</v>
      </c>
      <c r="R189" s="705">
        <v>8681</v>
      </c>
      <c r="S189" s="705">
        <v>7891</v>
      </c>
      <c r="T189" s="705">
        <v>4630</v>
      </c>
      <c r="U189" s="705">
        <v>1715</v>
      </c>
      <c r="V189" s="705">
        <v>117372</v>
      </c>
      <c r="W189" s="705">
        <f t="shared" si="8"/>
        <v>117372</v>
      </c>
      <c r="X189" s="705">
        <f t="shared" si="9"/>
        <v>135848</v>
      </c>
      <c r="Y189" s="705"/>
      <c r="AA189" t="s">
        <v>116</v>
      </c>
      <c r="AB189" t="s">
        <v>669</v>
      </c>
      <c r="AC189" t="s">
        <v>669</v>
      </c>
      <c r="AD189" s="705">
        <v>11</v>
      </c>
      <c r="AE189" s="705">
        <v>2460</v>
      </c>
      <c r="AF189" s="705">
        <v>2286</v>
      </c>
      <c r="AG189" s="705">
        <v>338355</v>
      </c>
      <c r="AH189" s="705">
        <v>281962</v>
      </c>
      <c r="AI189">
        <v>69</v>
      </c>
      <c r="AJ189" s="705">
        <v>28507</v>
      </c>
      <c r="AK189" s="705">
        <v>25916</v>
      </c>
      <c r="AL189" s="705">
        <v>43557</v>
      </c>
      <c r="AM189" s="705">
        <v>16132</v>
      </c>
      <c r="AN189" s="705">
        <v>6386</v>
      </c>
      <c r="AO189" s="705">
        <v>2365</v>
      </c>
      <c r="AP189" s="705">
        <v>75040</v>
      </c>
      <c r="AQ189" s="705">
        <v>62533</v>
      </c>
      <c r="AR189" s="705">
        <v>24523</v>
      </c>
      <c r="AS189" s="705">
        <v>9083</v>
      </c>
      <c r="AT189" s="705">
        <v>397991</v>
      </c>
      <c r="AU189" s="705">
        <f t="shared" si="11"/>
        <v>397991</v>
      </c>
      <c r="AV189" s="705">
        <f t="shared" si="10"/>
        <v>516368</v>
      </c>
    </row>
    <row r="190" spans="2:48" ht="12.75" hidden="1" customHeight="1">
      <c r="B190" t="s">
        <v>531</v>
      </c>
      <c r="C190" t="s">
        <v>124</v>
      </c>
      <c r="D190" t="s">
        <v>228</v>
      </c>
      <c r="E190" t="s">
        <v>228</v>
      </c>
      <c r="F190">
        <v>85</v>
      </c>
      <c r="G190" s="705">
        <v>7874</v>
      </c>
      <c r="H190" s="705">
        <v>64667</v>
      </c>
      <c r="I190" s="705">
        <v>4437086</v>
      </c>
      <c r="J190" s="705">
        <v>1643365</v>
      </c>
      <c r="K190">
        <v>100</v>
      </c>
      <c r="L190" s="705">
        <v>657413</v>
      </c>
      <c r="M190" s="705">
        <v>506700</v>
      </c>
      <c r="N190" s="705">
        <v>180967</v>
      </c>
      <c r="O190" s="705">
        <v>67025</v>
      </c>
      <c r="P190" s="705">
        <v>1529</v>
      </c>
      <c r="Q190" s="705">
        <v>566</v>
      </c>
      <c r="R190" s="705">
        <v>571169</v>
      </c>
      <c r="S190" s="705">
        <v>211544</v>
      </c>
      <c r="T190" s="705">
        <v>3999</v>
      </c>
      <c r="U190" s="705">
        <v>1481</v>
      </c>
      <c r="V190" s="705">
        <v>2430681</v>
      </c>
      <c r="W190" s="705">
        <f t="shared" si="8"/>
        <v>2430681</v>
      </c>
      <c r="X190" s="705">
        <f t="shared" si="9"/>
        <v>5852163</v>
      </c>
      <c r="Y190" s="705"/>
      <c r="AA190" t="s">
        <v>116</v>
      </c>
      <c r="AB190" t="s">
        <v>667</v>
      </c>
      <c r="AC190" t="s">
        <v>667</v>
      </c>
      <c r="AD190">
        <v>1</v>
      </c>
      <c r="AE190" s="705">
        <v>155</v>
      </c>
      <c r="AF190" s="705">
        <v>183</v>
      </c>
      <c r="AG190" s="705">
        <v>18083</v>
      </c>
      <c r="AH190" s="705">
        <v>16439</v>
      </c>
      <c r="AI190">
        <v>65</v>
      </c>
      <c r="AJ190" s="705">
        <v>1789</v>
      </c>
      <c r="AK190" s="705">
        <v>1626</v>
      </c>
      <c r="AL190" s="705">
        <v>2753</v>
      </c>
      <c r="AM190" s="705">
        <v>1019</v>
      </c>
      <c r="AN190" s="705">
        <v>824</v>
      </c>
      <c r="AO190" s="705">
        <v>305</v>
      </c>
      <c r="AP190" s="705">
        <v>3686</v>
      </c>
      <c r="AQ190" s="705">
        <v>3351</v>
      </c>
      <c r="AR190" s="705">
        <v>1178</v>
      </c>
      <c r="AS190" s="705">
        <v>436</v>
      </c>
      <c r="AT190" s="705">
        <v>23177</v>
      </c>
      <c r="AU190" s="705">
        <f t="shared" si="11"/>
        <v>23176</v>
      </c>
      <c r="AV190" s="705">
        <f t="shared" si="10"/>
        <v>28313</v>
      </c>
    </row>
    <row r="191" spans="2:48" ht="12.75" hidden="1" customHeight="1">
      <c r="B191" t="s">
        <v>531</v>
      </c>
      <c r="C191" t="s">
        <v>124</v>
      </c>
      <c r="D191" t="s">
        <v>228</v>
      </c>
      <c r="E191" t="s">
        <v>583</v>
      </c>
      <c r="F191">
        <v>1</v>
      </c>
      <c r="G191">
        <v>73</v>
      </c>
      <c r="H191" s="705">
        <v>774</v>
      </c>
      <c r="I191" s="705">
        <v>43835</v>
      </c>
      <c r="J191" s="705">
        <v>16235</v>
      </c>
      <c r="K191">
        <v>100</v>
      </c>
      <c r="L191" s="705">
        <v>5253</v>
      </c>
      <c r="M191" s="705">
        <v>4775</v>
      </c>
      <c r="N191" s="705">
        <v>1778</v>
      </c>
      <c r="O191" s="705">
        <v>659</v>
      </c>
      <c r="P191" s="705">
        <v>270</v>
      </c>
      <c r="Q191" s="705">
        <v>100</v>
      </c>
      <c r="R191" s="705">
        <v>3739</v>
      </c>
      <c r="S191" s="705">
        <v>3399</v>
      </c>
      <c r="T191" s="705">
        <v>1625</v>
      </c>
      <c r="U191" s="705">
        <v>602</v>
      </c>
      <c r="V191" s="705">
        <v>25769</v>
      </c>
      <c r="W191" s="705">
        <f t="shared" si="8"/>
        <v>25770</v>
      </c>
      <c r="X191" s="705">
        <f t="shared" si="9"/>
        <v>56500</v>
      </c>
      <c r="Y191" s="705"/>
      <c r="AA191" t="s">
        <v>116</v>
      </c>
      <c r="AB191" t="s">
        <v>671</v>
      </c>
      <c r="AC191" t="s">
        <v>583</v>
      </c>
      <c r="AD191">
        <v>1</v>
      </c>
      <c r="AE191" s="705">
        <v>207</v>
      </c>
      <c r="AF191" s="705">
        <v>221</v>
      </c>
      <c r="AG191" s="705">
        <v>30735</v>
      </c>
      <c r="AH191" s="705">
        <v>27941</v>
      </c>
      <c r="AI191">
        <v>65</v>
      </c>
      <c r="AJ191" s="705">
        <v>2810</v>
      </c>
      <c r="AK191" s="705">
        <v>2554</v>
      </c>
      <c r="AL191" s="705">
        <v>4037</v>
      </c>
      <c r="AM191" s="705">
        <v>1495</v>
      </c>
      <c r="AN191" s="705">
        <v>972</v>
      </c>
      <c r="AO191" s="705">
        <v>360</v>
      </c>
      <c r="AP191" s="705">
        <v>7305</v>
      </c>
      <c r="AQ191" s="705">
        <v>6641</v>
      </c>
      <c r="AR191" s="705">
        <v>0</v>
      </c>
      <c r="AS191" s="705">
        <v>0</v>
      </c>
      <c r="AT191" s="705">
        <v>38991</v>
      </c>
      <c r="AU191" s="705">
        <f t="shared" si="11"/>
        <v>38991</v>
      </c>
      <c r="AV191" s="705">
        <f t="shared" si="10"/>
        <v>45859</v>
      </c>
    </row>
    <row r="192" spans="2:48" ht="12.75" hidden="1" customHeight="1">
      <c r="B192" t="s">
        <v>531</v>
      </c>
      <c r="C192" t="s">
        <v>124</v>
      </c>
      <c r="D192" t="s">
        <v>228</v>
      </c>
      <c r="E192" t="s">
        <v>666</v>
      </c>
      <c r="F192">
        <v>1</v>
      </c>
      <c r="G192" s="705">
        <v>71</v>
      </c>
      <c r="H192" s="705">
        <v>564</v>
      </c>
      <c r="I192" s="705">
        <v>23242</v>
      </c>
      <c r="J192" s="705">
        <v>8608</v>
      </c>
      <c r="K192">
        <v>100</v>
      </c>
      <c r="L192" s="705">
        <v>2104</v>
      </c>
      <c r="M192" s="705">
        <v>1913</v>
      </c>
      <c r="N192" s="705">
        <v>1511</v>
      </c>
      <c r="O192" s="705">
        <v>560</v>
      </c>
      <c r="P192" s="705">
        <v>0</v>
      </c>
      <c r="Q192" s="705">
        <v>0</v>
      </c>
      <c r="R192" s="705">
        <v>8861</v>
      </c>
      <c r="S192" s="705">
        <v>8055</v>
      </c>
      <c r="T192" s="705">
        <v>4269</v>
      </c>
      <c r="U192" s="705">
        <v>1581</v>
      </c>
      <c r="V192" s="705">
        <v>20717</v>
      </c>
      <c r="W192" s="705">
        <f t="shared" si="8"/>
        <v>20717</v>
      </c>
      <c r="X192" s="705">
        <f t="shared" si="9"/>
        <v>39987</v>
      </c>
      <c r="Y192" s="705"/>
      <c r="AA192" t="s">
        <v>116</v>
      </c>
      <c r="AB192" t="s">
        <v>671</v>
      </c>
      <c r="AC192" t="s">
        <v>671</v>
      </c>
      <c r="AD192">
        <v>14</v>
      </c>
      <c r="AE192" s="705">
        <v>3234</v>
      </c>
      <c r="AF192" s="705">
        <v>2812</v>
      </c>
      <c r="AG192" s="705">
        <v>444038</v>
      </c>
      <c r="AH192" s="705">
        <v>403671</v>
      </c>
      <c r="AI192">
        <v>65</v>
      </c>
      <c r="AJ192" s="705">
        <v>53450</v>
      </c>
      <c r="AK192" s="705">
        <v>45754</v>
      </c>
      <c r="AL192" s="705">
        <v>62288</v>
      </c>
      <c r="AM192" s="705">
        <v>23070</v>
      </c>
      <c r="AN192" s="705">
        <v>7547</v>
      </c>
      <c r="AO192" s="705">
        <v>2795</v>
      </c>
      <c r="AP192" s="705">
        <v>102745</v>
      </c>
      <c r="AQ192" s="705">
        <v>93405</v>
      </c>
      <c r="AR192" s="705">
        <v>32825</v>
      </c>
      <c r="AS192" s="705">
        <v>12158</v>
      </c>
      <c r="AT192" s="705">
        <v>580852</v>
      </c>
      <c r="AU192" s="705">
        <f t="shared" si="11"/>
        <v>580853</v>
      </c>
      <c r="AV192" s="705">
        <f t="shared" si="10"/>
        <v>702893</v>
      </c>
    </row>
    <row r="193" spans="2:48" ht="12.75" hidden="1" customHeight="1">
      <c r="B193" t="s">
        <v>531</v>
      </c>
      <c r="C193" t="s">
        <v>124</v>
      </c>
      <c r="D193" t="s">
        <v>228</v>
      </c>
      <c r="E193" t="s">
        <v>665</v>
      </c>
      <c r="F193">
        <v>8</v>
      </c>
      <c r="G193" s="705">
        <v>832</v>
      </c>
      <c r="H193" s="705">
        <v>6196</v>
      </c>
      <c r="I193" s="705">
        <v>493249</v>
      </c>
      <c r="J193" s="705">
        <v>182685</v>
      </c>
      <c r="K193">
        <v>100</v>
      </c>
      <c r="L193" s="705">
        <v>58805</v>
      </c>
      <c r="M193" s="705">
        <v>53459</v>
      </c>
      <c r="N193" s="705">
        <v>19730</v>
      </c>
      <c r="O193" s="705">
        <v>7307</v>
      </c>
      <c r="P193" s="705">
        <v>702</v>
      </c>
      <c r="Q193" s="705">
        <v>260</v>
      </c>
      <c r="R193" s="705">
        <v>49634</v>
      </c>
      <c r="S193" s="705">
        <v>45122</v>
      </c>
      <c r="T193" s="705">
        <v>13813</v>
      </c>
      <c r="U193" s="705">
        <v>5116</v>
      </c>
      <c r="V193" s="705">
        <v>293949</v>
      </c>
      <c r="W193" s="705">
        <f t="shared" si="8"/>
        <v>293949</v>
      </c>
      <c r="X193" s="705">
        <f t="shared" si="9"/>
        <v>635933</v>
      </c>
      <c r="Y193" s="705"/>
      <c r="AA193" t="s">
        <v>116</v>
      </c>
      <c r="AB193" t="s">
        <v>665</v>
      </c>
      <c r="AC193" t="s">
        <v>582</v>
      </c>
      <c r="AD193">
        <v>1</v>
      </c>
      <c r="AE193">
        <v>135</v>
      </c>
      <c r="AF193" s="705">
        <v>170</v>
      </c>
      <c r="AG193" s="705">
        <v>24085</v>
      </c>
      <c r="AH193" s="705">
        <v>21895</v>
      </c>
      <c r="AI193">
        <v>76</v>
      </c>
      <c r="AJ193" s="705">
        <v>2768</v>
      </c>
      <c r="AK193" s="705">
        <v>2516</v>
      </c>
      <c r="AL193" s="705">
        <v>2925</v>
      </c>
      <c r="AM193" s="705">
        <v>1083</v>
      </c>
      <c r="AN193">
        <v>351</v>
      </c>
      <c r="AO193">
        <v>130</v>
      </c>
      <c r="AP193" s="705">
        <v>5426</v>
      </c>
      <c r="AQ193" s="705">
        <v>4932</v>
      </c>
      <c r="AR193" s="705">
        <v>0</v>
      </c>
      <c r="AS193" s="705">
        <v>0</v>
      </c>
      <c r="AT193" s="705">
        <v>30557</v>
      </c>
      <c r="AU193" s="705">
        <f t="shared" si="11"/>
        <v>30556</v>
      </c>
      <c r="AV193" s="705">
        <f t="shared" si="10"/>
        <v>35555</v>
      </c>
    </row>
    <row r="194" spans="2:48" ht="12.75" hidden="1" customHeight="1">
      <c r="B194" t="s">
        <v>531</v>
      </c>
      <c r="C194" t="s">
        <v>124</v>
      </c>
      <c r="D194" t="s">
        <v>583</v>
      </c>
      <c r="E194" t="s">
        <v>228</v>
      </c>
      <c r="F194">
        <v>6</v>
      </c>
      <c r="G194">
        <v>488</v>
      </c>
      <c r="H194" s="705">
        <v>3476</v>
      </c>
      <c r="I194" s="705">
        <v>197585</v>
      </c>
      <c r="J194" s="705">
        <v>179623</v>
      </c>
      <c r="K194">
        <v>63</v>
      </c>
      <c r="L194" s="705">
        <v>25124</v>
      </c>
      <c r="M194" s="705">
        <v>22840</v>
      </c>
      <c r="N194" s="705">
        <v>11207</v>
      </c>
      <c r="O194" s="705">
        <v>4151</v>
      </c>
      <c r="P194" s="705">
        <v>3726</v>
      </c>
      <c r="Q194" s="705">
        <v>1380</v>
      </c>
      <c r="R194" s="705">
        <v>36069</v>
      </c>
      <c r="S194" s="705">
        <v>13359</v>
      </c>
      <c r="T194" s="705">
        <v>0</v>
      </c>
      <c r="U194" s="705">
        <v>0</v>
      </c>
      <c r="V194" s="705">
        <v>221352</v>
      </c>
      <c r="W194" s="705">
        <f t="shared" si="8"/>
        <v>221353</v>
      </c>
      <c r="X194" s="705">
        <f t="shared" si="9"/>
        <v>273711</v>
      </c>
      <c r="Y194" s="705"/>
      <c r="AA194" t="s">
        <v>116</v>
      </c>
      <c r="AB194" t="s">
        <v>665</v>
      </c>
      <c r="AC194" t="s">
        <v>228</v>
      </c>
      <c r="AD194">
        <v>7</v>
      </c>
      <c r="AE194">
        <v>857</v>
      </c>
      <c r="AF194" s="705">
        <v>1374</v>
      </c>
      <c r="AG194" s="705">
        <v>115979</v>
      </c>
      <c r="AH194" s="705">
        <v>105435</v>
      </c>
      <c r="AI194">
        <v>65</v>
      </c>
      <c r="AJ194" s="705">
        <v>10674</v>
      </c>
      <c r="AK194" s="705">
        <v>5433</v>
      </c>
      <c r="AL194" s="705">
        <v>15694</v>
      </c>
      <c r="AM194" s="705">
        <v>5812</v>
      </c>
      <c r="AN194" s="705">
        <v>2654</v>
      </c>
      <c r="AO194">
        <v>983</v>
      </c>
      <c r="AP194" s="705">
        <v>53516</v>
      </c>
      <c r="AQ194" s="705">
        <v>19821</v>
      </c>
      <c r="AR194" s="705">
        <v>0</v>
      </c>
      <c r="AS194" s="705">
        <v>0</v>
      </c>
      <c r="AT194" s="705">
        <v>137484</v>
      </c>
      <c r="AU194" s="705">
        <f t="shared" si="11"/>
        <v>137484</v>
      </c>
      <c r="AV194" s="705">
        <f t="shared" si="10"/>
        <v>198517</v>
      </c>
    </row>
    <row r="195" spans="2:48" ht="12.75" hidden="1" customHeight="1">
      <c r="B195" t="s">
        <v>531</v>
      </c>
      <c r="C195" t="s">
        <v>124</v>
      </c>
      <c r="D195" t="s">
        <v>583</v>
      </c>
      <c r="E195" t="s">
        <v>583</v>
      </c>
      <c r="F195">
        <v>374</v>
      </c>
      <c r="G195" s="705">
        <v>36081</v>
      </c>
      <c r="H195" s="705">
        <v>209119</v>
      </c>
      <c r="I195" s="705">
        <v>13747761</v>
      </c>
      <c r="J195" s="705">
        <v>12497964</v>
      </c>
      <c r="K195">
        <v>71</v>
      </c>
      <c r="L195" s="705">
        <v>2760745</v>
      </c>
      <c r="M195" s="705">
        <v>2451541</v>
      </c>
      <c r="N195" s="705">
        <v>807137</v>
      </c>
      <c r="O195" s="705">
        <v>298940</v>
      </c>
      <c r="P195" s="705">
        <v>237411</v>
      </c>
      <c r="Q195" s="705">
        <v>87930</v>
      </c>
      <c r="R195" s="705">
        <v>1898183</v>
      </c>
      <c r="S195" s="705">
        <v>1725621</v>
      </c>
      <c r="T195" s="705">
        <v>686751</v>
      </c>
      <c r="U195" s="705">
        <v>254352</v>
      </c>
      <c r="V195" s="705">
        <v>17316349</v>
      </c>
      <c r="W195" s="705">
        <f t="shared" si="8"/>
        <v>17316348</v>
      </c>
      <c r="X195" s="705">
        <f t="shared" si="9"/>
        <v>20137988</v>
      </c>
      <c r="Y195" s="705"/>
      <c r="AA195" t="s">
        <v>116</v>
      </c>
      <c r="AB195" t="s">
        <v>665</v>
      </c>
      <c r="AC195" t="s">
        <v>583</v>
      </c>
      <c r="AD195">
        <v>6</v>
      </c>
      <c r="AE195" s="705">
        <v>1221</v>
      </c>
      <c r="AF195" s="705">
        <v>1178</v>
      </c>
      <c r="AG195" s="705">
        <v>140985</v>
      </c>
      <c r="AH195" s="705">
        <v>128169</v>
      </c>
      <c r="AI195">
        <v>80</v>
      </c>
      <c r="AJ195" s="705">
        <v>36565</v>
      </c>
      <c r="AK195" s="705">
        <v>30121</v>
      </c>
      <c r="AL195" s="705">
        <v>26528</v>
      </c>
      <c r="AM195" s="705">
        <v>9825</v>
      </c>
      <c r="AN195" s="705">
        <v>4941</v>
      </c>
      <c r="AO195" s="705">
        <v>1830</v>
      </c>
      <c r="AP195" s="705">
        <v>40225</v>
      </c>
      <c r="AQ195" s="705">
        <v>36568</v>
      </c>
      <c r="AR195" s="705">
        <v>7383</v>
      </c>
      <c r="AS195" s="705">
        <v>2735</v>
      </c>
      <c r="AT195" s="705">
        <v>209247</v>
      </c>
      <c r="AU195" s="705">
        <f t="shared" si="11"/>
        <v>209248</v>
      </c>
      <c r="AV195" s="705">
        <f t="shared" si="10"/>
        <v>256627</v>
      </c>
    </row>
    <row r="196" spans="2:48" ht="12.75" hidden="1" customHeight="1">
      <c r="B196" t="s">
        <v>531</v>
      </c>
      <c r="C196" t="s">
        <v>124</v>
      </c>
      <c r="D196" t="s">
        <v>583</v>
      </c>
      <c r="E196" t="s">
        <v>665</v>
      </c>
      <c r="F196">
        <v>2</v>
      </c>
      <c r="G196" s="705">
        <v>191</v>
      </c>
      <c r="H196" s="705">
        <v>947</v>
      </c>
      <c r="I196" s="705">
        <v>58139</v>
      </c>
      <c r="J196" s="705">
        <v>52853</v>
      </c>
      <c r="K196">
        <v>78</v>
      </c>
      <c r="L196" s="705">
        <v>13054</v>
      </c>
      <c r="M196" s="705">
        <v>11868</v>
      </c>
      <c r="N196" s="705">
        <v>3675</v>
      </c>
      <c r="O196" s="705">
        <v>1361</v>
      </c>
      <c r="P196" s="705">
        <v>1242</v>
      </c>
      <c r="Q196" s="705">
        <v>460</v>
      </c>
      <c r="R196" s="705">
        <v>12562</v>
      </c>
      <c r="S196" s="705">
        <v>11420</v>
      </c>
      <c r="T196" s="705">
        <v>1913</v>
      </c>
      <c r="U196" s="705">
        <v>709</v>
      </c>
      <c r="V196" s="705">
        <v>78671</v>
      </c>
      <c r="W196" s="705">
        <f t="shared" si="8"/>
        <v>78671</v>
      </c>
      <c r="X196" s="705">
        <f t="shared" si="9"/>
        <v>90585</v>
      </c>
      <c r="Y196" s="705"/>
      <c r="AA196" t="s">
        <v>116</v>
      </c>
      <c r="AB196" t="s">
        <v>665</v>
      </c>
      <c r="AC196" t="s">
        <v>584</v>
      </c>
      <c r="AD196">
        <v>1</v>
      </c>
      <c r="AE196">
        <v>157</v>
      </c>
      <c r="AF196" s="705">
        <v>212</v>
      </c>
      <c r="AG196" s="705">
        <v>21491</v>
      </c>
      <c r="AH196" s="705">
        <v>19538</v>
      </c>
      <c r="AI196">
        <v>60</v>
      </c>
      <c r="AJ196" s="705">
        <v>1734</v>
      </c>
      <c r="AK196" s="705">
        <v>1576</v>
      </c>
      <c r="AL196" s="705">
        <v>2434</v>
      </c>
      <c r="AM196" s="705">
        <v>901</v>
      </c>
      <c r="AN196">
        <v>473</v>
      </c>
      <c r="AO196">
        <v>175</v>
      </c>
      <c r="AP196" s="705">
        <v>4040</v>
      </c>
      <c r="AQ196" s="705">
        <v>3673</v>
      </c>
      <c r="AR196" s="705">
        <v>3099</v>
      </c>
      <c r="AS196" s="705">
        <v>1148</v>
      </c>
      <c r="AT196" s="705">
        <v>27011</v>
      </c>
      <c r="AU196" s="705">
        <f t="shared" si="11"/>
        <v>27011</v>
      </c>
      <c r="AV196" s="705">
        <f t="shared" si="10"/>
        <v>33271</v>
      </c>
    </row>
    <row r="197" spans="2:48" ht="12.75" hidden="1" customHeight="1">
      <c r="B197" t="s">
        <v>531</v>
      </c>
      <c r="C197" t="s">
        <v>124</v>
      </c>
      <c r="D197" t="s">
        <v>666</v>
      </c>
      <c r="E197" t="s">
        <v>228</v>
      </c>
      <c r="F197" s="705">
        <v>3</v>
      </c>
      <c r="G197" s="705">
        <v>280</v>
      </c>
      <c r="H197" s="705">
        <v>3346</v>
      </c>
      <c r="I197" s="705">
        <v>227905</v>
      </c>
      <c r="J197" s="705">
        <v>207186</v>
      </c>
      <c r="K197">
        <v>30</v>
      </c>
      <c r="L197" s="705">
        <v>9624</v>
      </c>
      <c r="M197" s="705">
        <v>5628</v>
      </c>
      <c r="N197" s="705">
        <v>6080</v>
      </c>
      <c r="O197" s="705">
        <v>2252</v>
      </c>
      <c r="P197" s="705">
        <v>621</v>
      </c>
      <c r="Q197" s="705">
        <v>230</v>
      </c>
      <c r="R197" s="705">
        <v>15238</v>
      </c>
      <c r="S197" s="705">
        <v>5644</v>
      </c>
      <c r="T197" s="705">
        <v>0</v>
      </c>
      <c r="U197" s="705">
        <v>0</v>
      </c>
      <c r="V197" s="705">
        <v>220940</v>
      </c>
      <c r="W197" s="705">
        <f t="shared" si="8"/>
        <v>220940</v>
      </c>
      <c r="X197" s="705">
        <f t="shared" si="9"/>
        <v>259468</v>
      </c>
      <c r="Y197" s="705"/>
      <c r="AA197" t="s">
        <v>116</v>
      </c>
      <c r="AB197" t="s">
        <v>665</v>
      </c>
      <c r="AC197" t="s">
        <v>669</v>
      </c>
      <c r="AD197">
        <v>1</v>
      </c>
      <c r="AE197" s="705">
        <v>224</v>
      </c>
      <c r="AF197" s="705">
        <v>200</v>
      </c>
      <c r="AG197" s="705">
        <v>28270</v>
      </c>
      <c r="AH197" s="705">
        <v>25700</v>
      </c>
      <c r="AI197">
        <v>65</v>
      </c>
      <c r="AJ197" s="705">
        <v>3712</v>
      </c>
      <c r="AK197" s="705">
        <v>3375</v>
      </c>
      <c r="AL197" s="705">
        <v>4097</v>
      </c>
      <c r="AM197" s="705">
        <v>1517</v>
      </c>
      <c r="AN197" s="705">
        <v>473</v>
      </c>
      <c r="AO197" s="705">
        <v>175</v>
      </c>
      <c r="AP197" s="705">
        <v>5130</v>
      </c>
      <c r="AQ197" s="705">
        <v>4275</v>
      </c>
      <c r="AR197" s="705">
        <v>3152</v>
      </c>
      <c r="AS197" s="705">
        <v>1167</v>
      </c>
      <c r="AT197" s="705">
        <v>36210</v>
      </c>
      <c r="AU197" s="705">
        <f t="shared" si="11"/>
        <v>36209</v>
      </c>
      <c r="AV197" s="705">
        <f t="shared" si="10"/>
        <v>44834</v>
      </c>
    </row>
    <row r="198" spans="2:48" ht="12.75" hidden="1" customHeight="1">
      <c r="B198" t="s">
        <v>531</v>
      </c>
      <c r="C198" t="s">
        <v>124</v>
      </c>
      <c r="D198" t="s">
        <v>666</v>
      </c>
      <c r="E198" t="s">
        <v>666</v>
      </c>
      <c r="F198">
        <v>10</v>
      </c>
      <c r="G198">
        <v>912</v>
      </c>
      <c r="H198" s="705">
        <v>6860</v>
      </c>
      <c r="I198" s="705">
        <v>452556</v>
      </c>
      <c r="J198" s="705">
        <v>411415</v>
      </c>
      <c r="K198">
        <v>58</v>
      </c>
      <c r="L198" s="705">
        <v>93179</v>
      </c>
      <c r="M198" s="705">
        <v>80103</v>
      </c>
      <c r="N198" s="705">
        <v>21449</v>
      </c>
      <c r="O198" s="705">
        <v>7944</v>
      </c>
      <c r="P198" s="705">
        <v>3159</v>
      </c>
      <c r="Q198" s="705">
        <v>1170</v>
      </c>
      <c r="R198" s="705">
        <v>61405</v>
      </c>
      <c r="S198" s="705">
        <v>55823</v>
      </c>
      <c r="T198" s="705">
        <v>12028</v>
      </c>
      <c r="U198" s="705">
        <v>4455</v>
      </c>
      <c r="V198" s="705">
        <v>560909</v>
      </c>
      <c r="W198" s="705">
        <f t="shared" si="8"/>
        <v>560910</v>
      </c>
      <c r="X198" s="705">
        <f t="shared" si="9"/>
        <v>643776</v>
      </c>
      <c r="Y198" s="705"/>
      <c r="AA198" t="s">
        <v>116</v>
      </c>
      <c r="AB198" t="s">
        <v>665</v>
      </c>
      <c r="AC198" t="s">
        <v>665</v>
      </c>
      <c r="AD198">
        <v>243</v>
      </c>
      <c r="AE198" s="705">
        <v>41372</v>
      </c>
      <c r="AF198" s="705">
        <v>49753</v>
      </c>
      <c r="AG198" s="705">
        <v>5694878</v>
      </c>
      <c r="AH198" s="705">
        <v>5177161</v>
      </c>
      <c r="AI198">
        <v>67</v>
      </c>
      <c r="AJ198" s="705">
        <v>635791</v>
      </c>
      <c r="AK198" s="705">
        <v>559333</v>
      </c>
      <c r="AL198" s="705">
        <v>807436</v>
      </c>
      <c r="AM198" s="705">
        <v>299050</v>
      </c>
      <c r="AN198" s="705">
        <v>133105</v>
      </c>
      <c r="AO198" s="705">
        <v>49298</v>
      </c>
      <c r="AP198" s="705">
        <v>1420887</v>
      </c>
      <c r="AQ198" s="705">
        <v>1291715</v>
      </c>
      <c r="AR198" s="705">
        <v>501523</v>
      </c>
      <c r="AS198" s="705">
        <v>185749</v>
      </c>
      <c r="AT198" s="705">
        <v>7562307</v>
      </c>
      <c r="AU198" s="705">
        <f t="shared" si="11"/>
        <v>7562306</v>
      </c>
      <c r="AV198" s="705">
        <f t="shared" si="10"/>
        <v>9193620</v>
      </c>
    </row>
    <row r="199" spans="2:48" ht="12.75" hidden="1" customHeight="1">
      <c r="B199" t="s">
        <v>531</v>
      </c>
      <c r="C199" t="s">
        <v>124</v>
      </c>
      <c r="D199" t="s">
        <v>584</v>
      </c>
      <c r="E199" t="s">
        <v>584</v>
      </c>
      <c r="F199">
        <v>1</v>
      </c>
      <c r="G199" s="705">
        <v>318</v>
      </c>
      <c r="H199" s="705">
        <v>521</v>
      </c>
      <c r="I199" s="705">
        <v>125202</v>
      </c>
      <c r="J199" s="705">
        <v>113820</v>
      </c>
      <c r="K199">
        <v>65</v>
      </c>
      <c r="L199" s="705">
        <v>21102</v>
      </c>
      <c r="M199" s="705">
        <v>7816</v>
      </c>
      <c r="N199" s="705">
        <v>7644</v>
      </c>
      <c r="O199" s="705">
        <v>2831</v>
      </c>
      <c r="P199" s="705">
        <v>473</v>
      </c>
      <c r="Q199" s="705">
        <v>175</v>
      </c>
      <c r="R199" s="705">
        <v>11426</v>
      </c>
      <c r="S199" s="705">
        <v>10388</v>
      </c>
      <c r="T199">
        <v>0</v>
      </c>
      <c r="U199">
        <v>0</v>
      </c>
      <c r="V199" s="705">
        <v>135029</v>
      </c>
      <c r="W199" s="705">
        <f t="shared" ref="W199:W262" si="12">SUM(ABS(J199),ABS(M199),ABS(O199),ABS(Q199),ABS(S199),ABS(U199))</f>
        <v>135030</v>
      </c>
      <c r="X199" s="705">
        <f t="shared" ref="X199:X262" si="13">SUM(ABS(I199),ABS(N199),ABS(P199),ABS(R199),ABS(T199),ABS(L199))</f>
        <v>165847</v>
      </c>
      <c r="Y199" s="705"/>
      <c r="AA199" t="s">
        <v>116</v>
      </c>
      <c r="AB199" t="s">
        <v>665</v>
      </c>
      <c r="AC199" t="s">
        <v>673</v>
      </c>
      <c r="AD199">
        <v>1</v>
      </c>
      <c r="AE199">
        <v>251</v>
      </c>
      <c r="AF199">
        <v>204</v>
      </c>
      <c r="AG199" s="705">
        <v>33508</v>
      </c>
      <c r="AH199" s="705">
        <v>30462</v>
      </c>
      <c r="AI199">
        <v>55</v>
      </c>
      <c r="AJ199" s="705">
        <v>2395</v>
      </c>
      <c r="AK199" s="705">
        <v>2177</v>
      </c>
      <c r="AL199" s="705">
        <v>4580</v>
      </c>
      <c r="AM199" s="705">
        <v>1696</v>
      </c>
      <c r="AN199" s="705">
        <v>351</v>
      </c>
      <c r="AO199">
        <v>130</v>
      </c>
      <c r="AP199" s="705">
        <v>10368</v>
      </c>
      <c r="AQ199" s="705">
        <v>9426</v>
      </c>
      <c r="AR199">
        <v>0</v>
      </c>
      <c r="AS199">
        <v>0</v>
      </c>
      <c r="AT199" s="705">
        <v>43891</v>
      </c>
      <c r="AU199" s="705">
        <f t="shared" si="11"/>
        <v>43891</v>
      </c>
      <c r="AV199" s="705">
        <f t="shared" ref="AV199:AV262" si="14">SUM(ABS(AG199),ABS(AJ199),ABS(AL199),ABS(AN199),ABS(AP199),ABS(AR199))</f>
        <v>51202</v>
      </c>
    </row>
    <row r="200" spans="2:48" ht="12.75" hidden="1" customHeight="1">
      <c r="B200" t="s">
        <v>531</v>
      </c>
      <c r="C200" t="s">
        <v>124</v>
      </c>
      <c r="D200" t="s">
        <v>669</v>
      </c>
      <c r="E200" t="s">
        <v>669</v>
      </c>
      <c r="F200">
        <v>1</v>
      </c>
      <c r="G200" s="705">
        <v>91</v>
      </c>
      <c r="H200" s="705">
        <v>701</v>
      </c>
      <c r="I200" s="705">
        <v>44917</v>
      </c>
      <c r="J200" s="705">
        <v>37430</v>
      </c>
      <c r="K200">
        <v>74</v>
      </c>
      <c r="L200" s="705">
        <v>11346</v>
      </c>
      <c r="M200" s="705">
        <v>10314</v>
      </c>
      <c r="N200" s="705">
        <v>1743</v>
      </c>
      <c r="O200" s="705">
        <v>645</v>
      </c>
      <c r="P200" s="705">
        <v>351</v>
      </c>
      <c r="Q200" s="705">
        <v>130</v>
      </c>
      <c r="R200" s="705">
        <v>3584</v>
      </c>
      <c r="S200" s="705">
        <v>2986</v>
      </c>
      <c r="T200" s="705">
        <v>1868</v>
      </c>
      <c r="U200" s="705">
        <v>692</v>
      </c>
      <c r="V200" s="705">
        <v>52198</v>
      </c>
      <c r="W200" s="705">
        <f t="shared" si="12"/>
        <v>52197</v>
      </c>
      <c r="X200" s="705">
        <f t="shared" si="13"/>
        <v>63809</v>
      </c>
      <c r="Y200" s="705"/>
      <c r="AA200" t="s">
        <v>116</v>
      </c>
      <c r="AB200" t="s">
        <v>722</v>
      </c>
      <c r="AC200" t="s">
        <v>722</v>
      </c>
      <c r="AD200">
        <v>7</v>
      </c>
      <c r="AE200" s="705">
        <v>1715</v>
      </c>
      <c r="AF200" s="705">
        <v>1230</v>
      </c>
      <c r="AG200" s="705">
        <v>178134</v>
      </c>
      <c r="AH200" s="705">
        <v>161940</v>
      </c>
      <c r="AI200">
        <v>75</v>
      </c>
      <c r="AJ200" s="705">
        <v>27287</v>
      </c>
      <c r="AK200" s="705">
        <v>24580</v>
      </c>
      <c r="AL200" s="705">
        <v>34334</v>
      </c>
      <c r="AM200" s="705">
        <v>12716</v>
      </c>
      <c r="AN200" s="705">
        <v>4482</v>
      </c>
      <c r="AO200" s="705">
        <v>1660</v>
      </c>
      <c r="AP200" s="705">
        <v>45709</v>
      </c>
      <c r="AQ200" s="705">
        <v>41554</v>
      </c>
      <c r="AR200" s="705">
        <v>3333</v>
      </c>
      <c r="AS200" s="705">
        <v>1234</v>
      </c>
      <c r="AT200" s="705">
        <v>243685</v>
      </c>
      <c r="AU200" s="705">
        <f t="shared" ref="AU200:AU262" si="15">SUM(ABS(AH200), ABS(AK200),ABS(AM200),ABS(AO200),ABS(AQ200),ABS(AS200))</f>
        <v>243684</v>
      </c>
      <c r="AV200" s="705">
        <f t="shared" si="14"/>
        <v>293279</v>
      </c>
    </row>
    <row r="201" spans="2:48" ht="12.75" hidden="1" customHeight="1">
      <c r="B201" t="s">
        <v>531</v>
      </c>
      <c r="C201" t="s">
        <v>124</v>
      </c>
      <c r="D201" t="s">
        <v>667</v>
      </c>
      <c r="E201" t="s">
        <v>667</v>
      </c>
      <c r="F201" s="705">
        <v>1</v>
      </c>
      <c r="G201" s="705">
        <v>66</v>
      </c>
      <c r="H201" s="705">
        <v>827</v>
      </c>
      <c r="I201" s="705">
        <v>38607</v>
      </c>
      <c r="J201" s="705">
        <v>35097</v>
      </c>
      <c r="K201">
        <v>65</v>
      </c>
      <c r="L201" s="705">
        <v>9294</v>
      </c>
      <c r="M201" s="705">
        <v>8449</v>
      </c>
      <c r="N201" s="705">
        <v>1604</v>
      </c>
      <c r="O201" s="705">
        <v>594</v>
      </c>
      <c r="P201" s="705">
        <v>0</v>
      </c>
      <c r="Q201" s="705">
        <v>0</v>
      </c>
      <c r="R201" s="705">
        <v>4964</v>
      </c>
      <c r="S201" s="705">
        <v>4513</v>
      </c>
      <c r="T201" s="705">
        <v>0</v>
      </c>
      <c r="U201" s="705">
        <v>0</v>
      </c>
      <c r="V201" s="705">
        <v>48653</v>
      </c>
      <c r="W201" s="705">
        <f t="shared" si="12"/>
        <v>48653</v>
      </c>
      <c r="X201" s="705">
        <f t="shared" si="13"/>
        <v>54469</v>
      </c>
      <c r="Y201" s="705"/>
      <c r="AA201" t="s">
        <v>116</v>
      </c>
      <c r="AB201" t="s">
        <v>673</v>
      </c>
      <c r="AC201" t="s">
        <v>228</v>
      </c>
      <c r="AD201" s="705">
        <v>3</v>
      </c>
      <c r="AE201" s="705">
        <v>518</v>
      </c>
      <c r="AF201" s="705">
        <v>538</v>
      </c>
      <c r="AG201" s="705">
        <v>56190</v>
      </c>
      <c r="AH201" s="705">
        <v>51081</v>
      </c>
      <c r="AI201">
        <v>74</v>
      </c>
      <c r="AJ201" s="705">
        <v>9746</v>
      </c>
      <c r="AK201" s="705">
        <v>5504</v>
      </c>
      <c r="AL201" s="705">
        <v>6686</v>
      </c>
      <c r="AM201" s="705">
        <v>2476</v>
      </c>
      <c r="AN201" s="705">
        <v>1586</v>
      </c>
      <c r="AO201" s="705">
        <v>587</v>
      </c>
      <c r="AP201" s="705">
        <v>17725</v>
      </c>
      <c r="AQ201" s="705">
        <v>6565</v>
      </c>
      <c r="AR201" s="705">
        <v>0</v>
      </c>
      <c r="AS201" s="705">
        <v>0</v>
      </c>
      <c r="AT201" s="705">
        <v>66214</v>
      </c>
      <c r="AU201" s="705">
        <f t="shared" si="15"/>
        <v>66213</v>
      </c>
      <c r="AV201" s="705">
        <f t="shared" si="14"/>
        <v>91933</v>
      </c>
    </row>
    <row r="202" spans="2:48" ht="12.75" hidden="1" customHeight="1">
      <c r="B202" t="s">
        <v>531</v>
      </c>
      <c r="C202" t="s">
        <v>124</v>
      </c>
      <c r="D202" t="s">
        <v>665</v>
      </c>
      <c r="E202" t="s">
        <v>228</v>
      </c>
      <c r="F202" s="705">
        <v>40</v>
      </c>
      <c r="G202" s="705">
        <v>3244</v>
      </c>
      <c r="H202" s="705">
        <v>45975</v>
      </c>
      <c r="I202" s="705">
        <v>3022162</v>
      </c>
      <c r="J202" s="705">
        <v>2747420</v>
      </c>
      <c r="K202">
        <v>39</v>
      </c>
      <c r="L202" s="705">
        <v>271254</v>
      </c>
      <c r="M202" s="705">
        <v>4210548</v>
      </c>
      <c r="N202" s="705">
        <v>76252</v>
      </c>
      <c r="O202" s="705">
        <v>28242</v>
      </c>
      <c r="P202" s="705">
        <v>972</v>
      </c>
      <c r="Q202" s="705">
        <v>360</v>
      </c>
      <c r="R202" s="705">
        <v>237898</v>
      </c>
      <c r="S202" s="705">
        <v>88110</v>
      </c>
      <c r="T202" s="705">
        <v>0</v>
      </c>
      <c r="U202">
        <v>0</v>
      </c>
      <c r="V202" s="705">
        <v>7074680</v>
      </c>
      <c r="W202" s="705">
        <f t="shared" si="12"/>
        <v>7074680</v>
      </c>
      <c r="X202" s="705">
        <f t="shared" si="13"/>
        <v>3608538</v>
      </c>
      <c r="Y202" s="705"/>
      <c r="AA202" t="s">
        <v>116</v>
      </c>
      <c r="AB202" t="s">
        <v>673</v>
      </c>
      <c r="AC202" t="s">
        <v>583</v>
      </c>
      <c r="AD202">
        <v>1</v>
      </c>
      <c r="AE202" s="705">
        <v>169</v>
      </c>
      <c r="AF202" s="705">
        <v>155</v>
      </c>
      <c r="AG202" s="705">
        <v>13299</v>
      </c>
      <c r="AH202" s="705">
        <v>12090</v>
      </c>
      <c r="AI202">
        <v>95</v>
      </c>
      <c r="AJ202" s="705">
        <v>2221</v>
      </c>
      <c r="AK202" s="705">
        <v>2020</v>
      </c>
      <c r="AL202" s="705">
        <v>4122</v>
      </c>
      <c r="AM202" s="705">
        <v>1527</v>
      </c>
      <c r="AN202" s="705">
        <v>621</v>
      </c>
      <c r="AO202" s="705">
        <v>230</v>
      </c>
      <c r="AP202" s="705">
        <v>5897</v>
      </c>
      <c r="AQ202" s="705">
        <v>5361</v>
      </c>
      <c r="AR202" s="705">
        <v>0</v>
      </c>
      <c r="AS202" s="705">
        <v>0</v>
      </c>
      <c r="AT202" s="705">
        <v>21227</v>
      </c>
      <c r="AU202" s="705">
        <f t="shared" si="15"/>
        <v>21228</v>
      </c>
      <c r="AV202" s="705">
        <f t="shared" si="14"/>
        <v>26160</v>
      </c>
    </row>
    <row r="203" spans="2:48" ht="12.75" hidden="1" customHeight="1">
      <c r="B203" t="s">
        <v>531</v>
      </c>
      <c r="C203" t="s">
        <v>124</v>
      </c>
      <c r="D203" t="s">
        <v>665</v>
      </c>
      <c r="E203" t="s">
        <v>583</v>
      </c>
      <c r="F203">
        <v>1</v>
      </c>
      <c r="G203" s="705">
        <v>73</v>
      </c>
      <c r="H203" s="705">
        <v>482</v>
      </c>
      <c r="I203" s="705">
        <v>21717</v>
      </c>
      <c r="J203" s="705">
        <v>19743</v>
      </c>
      <c r="K203">
        <v>45</v>
      </c>
      <c r="L203" s="705">
        <v>3619</v>
      </c>
      <c r="M203" s="705">
        <v>3290</v>
      </c>
      <c r="N203" s="705">
        <v>1774</v>
      </c>
      <c r="O203" s="705">
        <v>657</v>
      </c>
      <c r="P203" s="705">
        <v>351</v>
      </c>
      <c r="Q203" s="705">
        <v>130</v>
      </c>
      <c r="R203" s="705">
        <v>5292</v>
      </c>
      <c r="S203" s="705">
        <v>4811</v>
      </c>
      <c r="T203" s="705">
        <v>2336</v>
      </c>
      <c r="U203" s="705">
        <v>865</v>
      </c>
      <c r="V203" s="705">
        <v>29497</v>
      </c>
      <c r="W203" s="705">
        <f t="shared" si="12"/>
        <v>29496</v>
      </c>
      <c r="X203" s="705">
        <f t="shared" si="13"/>
        <v>35089</v>
      </c>
      <c r="Y203" s="705"/>
      <c r="AA203" t="s">
        <v>116</v>
      </c>
      <c r="AB203" t="s">
        <v>673</v>
      </c>
      <c r="AC203" t="s">
        <v>665</v>
      </c>
      <c r="AD203">
        <v>1</v>
      </c>
      <c r="AE203" s="705">
        <v>113</v>
      </c>
      <c r="AF203" s="705">
        <v>221</v>
      </c>
      <c r="AG203" s="705">
        <v>24220</v>
      </c>
      <c r="AH203" s="705">
        <v>22019</v>
      </c>
      <c r="AI203">
        <v>65</v>
      </c>
      <c r="AJ203" s="705">
        <v>5831</v>
      </c>
      <c r="AK203" s="705">
        <v>5301</v>
      </c>
      <c r="AL203" s="705">
        <v>2118</v>
      </c>
      <c r="AM203" s="705">
        <v>785</v>
      </c>
      <c r="AN203" s="705">
        <v>702</v>
      </c>
      <c r="AO203" s="705">
        <v>260</v>
      </c>
      <c r="AP203" s="705">
        <v>4028</v>
      </c>
      <c r="AQ203" s="705">
        <v>3662</v>
      </c>
      <c r="AR203" s="705">
        <v>1606</v>
      </c>
      <c r="AS203" s="705">
        <v>595</v>
      </c>
      <c r="AT203" s="705">
        <v>32621</v>
      </c>
      <c r="AU203" s="705">
        <f t="shared" si="15"/>
        <v>32622</v>
      </c>
      <c r="AV203" s="705">
        <f t="shared" si="14"/>
        <v>38505</v>
      </c>
    </row>
    <row r="204" spans="2:48" ht="12.75" hidden="1" customHeight="1">
      <c r="B204" t="s">
        <v>531</v>
      </c>
      <c r="C204" t="s">
        <v>124</v>
      </c>
      <c r="D204" t="s">
        <v>665</v>
      </c>
      <c r="E204" t="s">
        <v>665</v>
      </c>
      <c r="F204">
        <v>131</v>
      </c>
      <c r="G204" s="705">
        <v>11517</v>
      </c>
      <c r="H204" s="705">
        <v>98830</v>
      </c>
      <c r="I204" s="705">
        <v>6295983</v>
      </c>
      <c r="J204" s="705">
        <v>5723621</v>
      </c>
      <c r="K204">
        <v>49</v>
      </c>
      <c r="L204" s="705">
        <v>997077</v>
      </c>
      <c r="M204" s="705">
        <v>780473</v>
      </c>
      <c r="N204" s="705">
        <v>255519</v>
      </c>
      <c r="O204" s="705">
        <v>94637</v>
      </c>
      <c r="P204" s="705">
        <v>42687</v>
      </c>
      <c r="Q204" s="705">
        <v>15810</v>
      </c>
      <c r="R204" s="705">
        <v>778053</v>
      </c>
      <c r="S204" s="705">
        <v>707321</v>
      </c>
      <c r="T204" s="705">
        <v>271675</v>
      </c>
      <c r="U204" s="705">
        <v>100620</v>
      </c>
      <c r="V204" s="705">
        <v>7422481</v>
      </c>
      <c r="W204" s="705">
        <f t="shared" si="12"/>
        <v>7422482</v>
      </c>
      <c r="X204" s="705">
        <f t="shared" si="13"/>
        <v>8640994</v>
      </c>
      <c r="Y204" s="705"/>
      <c r="AA204" t="s">
        <v>116</v>
      </c>
      <c r="AB204" t="s">
        <v>673</v>
      </c>
      <c r="AC204" t="s">
        <v>673</v>
      </c>
      <c r="AD204">
        <v>36</v>
      </c>
      <c r="AE204" s="705">
        <v>6502</v>
      </c>
      <c r="AF204" s="705">
        <v>6988</v>
      </c>
      <c r="AG204" s="705">
        <v>865271</v>
      </c>
      <c r="AH204" s="705">
        <v>786610</v>
      </c>
      <c r="AI204">
        <v>72</v>
      </c>
      <c r="AJ204" s="705">
        <v>124957</v>
      </c>
      <c r="AK204" s="705">
        <v>110076</v>
      </c>
      <c r="AL204" s="705">
        <v>132420</v>
      </c>
      <c r="AM204" s="705">
        <v>49045</v>
      </c>
      <c r="AN204" s="705">
        <v>17510</v>
      </c>
      <c r="AO204" s="705">
        <v>6485</v>
      </c>
      <c r="AP204" s="705">
        <v>207183</v>
      </c>
      <c r="AQ204" s="705">
        <v>188348</v>
      </c>
      <c r="AR204" s="705">
        <v>41738</v>
      </c>
      <c r="AS204" s="705">
        <v>15458</v>
      </c>
      <c r="AT204" s="705">
        <v>1156023</v>
      </c>
      <c r="AU204" s="705">
        <f t="shared" si="15"/>
        <v>1156022</v>
      </c>
      <c r="AV204" s="705">
        <f t="shared" si="14"/>
        <v>1389079</v>
      </c>
    </row>
    <row r="205" spans="2:48" ht="12.75" hidden="1" customHeight="1">
      <c r="B205" t="s">
        <v>531</v>
      </c>
      <c r="C205" t="s">
        <v>124</v>
      </c>
      <c r="D205" t="s">
        <v>673</v>
      </c>
      <c r="E205" t="s">
        <v>673</v>
      </c>
      <c r="F205" s="705">
        <v>4</v>
      </c>
      <c r="G205" s="705">
        <v>361</v>
      </c>
      <c r="H205" s="705">
        <v>2703</v>
      </c>
      <c r="I205" s="705">
        <v>168139</v>
      </c>
      <c r="J205" s="705">
        <v>152853</v>
      </c>
      <c r="K205">
        <v>55</v>
      </c>
      <c r="L205" s="705">
        <v>27605</v>
      </c>
      <c r="M205" s="705">
        <v>20420</v>
      </c>
      <c r="N205" s="705">
        <v>8710</v>
      </c>
      <c r="O205" s="705">
        <v>3226</v>
      </c>
      <c r="P205" s="705">
        <v>1404</v>
      </c>
      <c r="Q205" s="705">
        <v>520</v>
      </c>
      <c r="R205" s="705">
        <v>20025</v>
      </c>
      <c r="S205" s="705">
        <v>18204</v>
      </c>
      <c r="T205" s="705">
        <v>9170</v>
      </c>
      <c r="U205" s="705">
        <v>3396</v>
      </c>
      <c r="V205" s="705">
        <v>198620</v>
      </c>
      <c r="W205" s="705">
        <f t="shared" si="12"/>
        <v>198619</v>
      </c>
      <c r="X205" s="705">
        <f t="shared" si="13"/>
        <v>235053</v>
      </c>
      <c r="Y205" s="705"/>
      <c r="AA205" t="s">
        <v>116</v>
      </c>
      <c r="AB205" t="s">
        <v>585</v>
      </c>
      <c r="AC205" t="s">
        <v>581</v>
      </c>
      <c r="AD205">
        <v>1</v>
      </c>
      <c r="AE205">
        <v>196</v>
      </c>
      <c r="AF205">
        <v>171</v>
      </c>
      <c r="AG205" s="705">
        <v>12330</v>
      </c>
      <c r="AH205" s="705">
        <v>11209</v>
      </c>
      <c r="AI205">
        <v>87</v>
      </c>
      <c r="AJ205" s="705">
        <v>1575</v>
      </c>
      <c r="AK205" s="705">
        <v>1431</v>
      </c>
      <c r="AL205" s="705">
        <v>2387</v>
      </c>
      <c r="AM205" s="705">
        <v>884</v>
      </c>
      <c r="AN205">
        <v>351</v>
      </c>
      <c r="AO205">
        <v>130</v>
      </c>
      <c r="AP205" s="705">
        <v>16856</v>
      </c>
      <c r="AQ205" s="705">
        <v>6243</v>
      </c>
      <c r="AR205" s="705">
        <v>0</v>
      </c>
      <c r="AS205" s="705">
        <v>0</v>
      </c>
      <c r="AT205" s="705">
        <v>19897</v>
      </c>
      <c r="AU205" s="705">
        <f t="shared" si="15"/>
        <v>19897</v>
      </c>
      <c r="AV205" s="705">
        <f t="shared" si="14"/>
        <v>33499</v>
      </c>
    </row>
    <row r="206" spans="2:48" ht="12.75" hidden="1" customHeight="1">
      <c r="B206" t="s">
        <v>531</v>
      </c>
      <c r="C206" t="s">
        <v>124</v>
      </c>
      <c r="D206" t="s">
        <v>585</v>
      </c>
      <c r="E206" t="s">
        <v>228</v>
      </c>
      <c r="F206" s="705">
        <v>1</v>
      </c>
      <c r="G206" s="705">
        <v>65</v>
      </c>
      <c r="H206" s="705">
        <v>502</v>
      </c>
      <c r="I206" s="705">
        <v>21058</v>
      </c>
      <c r="J206" s="705">
        <v>19144</v>
      </c>
      <c r="K206">
        <v>65</v>
      </c>
      <c r="L206" s="705">
        <v>5069</v>
      </c>
      <c r="M206" s="705">
        <v>4609</v>
      </c>
      <c r="N206" s="705">
        <v>1587</v>
      </c>
      <c r="O206" s="705">
        <v>588</v>
      </c>
      <c r="P206" s="705">
        <v>351</v>
      </c>
      <c r="Q206" s="705">
        <v>130</v>
      </c>
      <c r="R206" s="705">
        <v>4595</v>
      </c>
      <c r="S206" s="705">
        <v>1702</v>
      </c>
      <c r="T206" s="705">
        <v>0</v>
      </c>
      <c r="U206" s="705">
        <v>0</v>
      </c>
      <c r="V206" s="705">
        <v>26172</v>
      </c>
      <c r="W206" s="705">
        <f t="shared" si="12"/>
        <v>26173</v>
      </c>
      <c r="X206" s="705">
        <f t="shared" si="13"/>
        <v>32660</v>
      </c>
      <c r="Y206" s="705"/>
      <c r="AA206" t="s">
        <v>116</v>
      </c>
      <c r="AB206" t="s">
        <v>585</v>
      </c>
      <c r="AC206" t="s">
        <v>228</v>
      </c>
      <c r="AD206">
        <v>4</v>
      </c>
      <c r="AE206">
        <v>966</v>
      </c>
      <c r="AF206">
        <v>727</v>
      </c>
      <c r="AG206" s="705">
        <v>107505</v>
      </c>
      <c r="AH206" s="705">
        <v>97732</v>
      </c>
      <c r="AI206">
        <v>79</v>
      </c>
      <c r="AJ206" s="705">
        <v>19603</v>
      </c>
      <c r="AK206" s="705">
        <v>10367</v>
      </c>
      <c r="AL206" s="705">
        <v>15175</v>
      </c>
      <c r="AM206" s="705">
        <v>5620</v>
      </c>
      <c r="AN206" s="705">
        <v>2025</v>
      </c>
      <c r="AO206">
        <v>750</v>
      </c>
      <c r="AP206" s="705">
        <v>29960</v>
      </c>
      <c r="AQ206" s="705">
        <v>11096</v>
      </c>
      <c r="AR206" s="705">
        <v>0</v>
      </c>
      <c r="AS206" s="705">
        <v>0</v>
      </c>
      <c r="AT206" s="705">
        <v>125566</v>
      </c>
      <c r="AU206" s="705">
        <f t="shared" si="15"/>
        <v>125565</v>
      </c>
      <c r="AV206" s="705">
        <f t="shared" si="14"/>
        <v>174268</v>
      </c>
    </row>
    <row r="207" spans="2:48" ht="12.75" hidden="1" customHeight="1">
      <c r="B207" t="s">
        <v>535</v>
      </c>
      <c r="C207" t="s">
        <v>108</v>
      </c>
      <c r="D207" t="s">
        <v>664</v>
      </c>
      <c r="E207" t="s">
        <v>664</v>
      </c>
      <c r="F207">
        <v>1</v>
      </c>
      <c r="G207" s="705">
        <v>235</v>
      </c>
      <c r="H207" s="705">
        <v>71</v>
      </c>
      <c r="I207" s="705">
        <v>7799</v>
      </c>
      <c r="J207" s="705">
        <v>7090</v>
      </c>
      <c r="K207">
        <v>92</v>
      </c>
      <c r="L207" s="705">
        <v>1063</v>
      </c>
      <c r="M207" s="705">
        <v>966</v>
      </c>
      <c r="N207" s="705">
        <v>2863</v>
      </c>
      <c r="O207" s="705">
        <v>1060</v>
      </c>
      <c r="P207" s="705">
        <v>473</v>
      </c>
      <c r="Q207" s="705">
        <v>175</v>
      </c>
      <c r="R207" s="705">
        <v>4392</v>
      </c>
      <c r="S207" s="705">
        <v>3993</v>
      </c>
      <c r="T207" s="705">
        <v>0</v>
      </c>
      <c r="U207" s="705">
        <v>0</v>
      </c>
      <c r="V207" s="705">
        <v>13284</v>
      </c>
      <c r="W207" s="705">
        <f t="shared" si="12"/>
        <v>13284</v>
      </c>
      <c r="X207" s="705">
        <f t="shared" si="13"/>
        <v>16590</v>
      </c>
      <c r="Y207" s="705"/>
      <c r="AA207" t="s">
        <v>116</v>
      </c>
      <c r="AB207" t="s">
        <v>585</v>
      </c>
      <c r="AC207" t="s">
        <v>665</v>
      </c>
      <c r="AD207">
        <v>1</v>
      </c>
      <c r="AE207" s="705">
        <v>148</v>
      </c>
      <c r="AF207" s="705">
        <v>159</v>
      </c>
      <c r="AG207" s="705">
        <v>23238</v>
      </c>
      <c r="AH207" s="705">
        <v>21126</v>
      </c>
      <c r="AI207">
        <v>65</v>
      </c>
      <c r="AJ207" s="705">
        <v>3052</v>
      </c>
      <c r="AK207" s="705">
        <v>2543</v>
      </c>
      <c r="AL207" s="705">
        <v>2767</v>
      </c>
      <c r="AM207" s="705">
        <v>1025</v>
      </c>
      <c r="AN207" s="705">
        <v>351</v>
      </c>
      <c r="AO207" s="705">
        <v>130</v>
      </c>
      <c r="AP207" s="705">
        <v>6800</v>
      </c>
      <c r="AQ207" s="705">
        <v>6182</v>
      </c>
      <c r="AR207" s="705">
        <v>0</v>
      </c>
      <c r="AS207" s="705">
        <v>0</v>
      </c>
      <c r="AT207" s="705">
        <v>31005</v>
      </c>
      <c r="AU207" s="705">
        <f t="shared" si="15"/>
        <v>31006</v>
      </c>
      <c r="AV207" s="705">
        <f t="shared" si="14"/>
        <v>36208</v>
      </c>
    </row>
    <row r="208" spans="2:48" ht="12.75" hidden="1" customHeight="1">
      <c r="B208" t="s">
        <v>535</v>
      </c>
      <c r="C208" t="s">
        <v>108</v>
      </c>
      <c r="D208" t="s">
        <v>582</v>
      </c>
      <c r="E208" t="s">
        <v>582</v>
      </c>
      <c r="F208">
        <v>1</v>
      </c>
      <c r="G208" s="705">
        <v>288</v>
      </c>
      <c r="H208" s="705">
        <v>45</v>
      </c>
      <c r="I208" s="705">
        <v>144</v>
      </c>
      <c r="J208" s="705">
        <v>131</v>
      </c>
      <c r="K208">
        <v>90</v>
      </c>
      <c r="L208" s="705">
        <v>24</v>
      </c>
      <c r="M208" s="705">
        <v>22</v>
      </c>
      <c r="N208" s="705">
        <v>3508</v>
      </c>
      <c r="O208" s="705">
        <v>1299</v>
      </c>
      <c r="P208" s="705">
        <v>3056</v>
      </c>
      <c r="Q208" s="705">
        <v>1132</v>
      </c>
      <c r="R208" s="705">
        <v>6116</v>
      </c>
      <c r="S208" s="705">
        <v>5560</v>
      </c>
      <c r="T208">
        <v>0</v>
      </c>
      <c r="U208">
        <v>0</v>
      </c>
      <c r="V208" s="705">
        <v>8144</v>
      </c>
      <c r="W208" s="705">
        <f t="shared" si="12"/>
        <v>8144</v>
      </c>
      <c r="X208" s="705">
        <f t="shared" si="13"/>
        <v>12848</v>
      </c>
      <c r="Y208" s="705"/>
      <c r="AA208" t="s">
        <v>116</v>
      </c>
      <c r="AB208" t="s">
        <v>585</v>
      </c>
      <c r="AC208" t="s">
        <v>585</v>
      </c>
      <c r="AD208" s="705">
        <v>346</v>
      </c>
      <c r="AE208" s="705">
        <v>72019</v>
      </c>
      <c r="AF208" s="705">
        <v>64824</v>
      </c>
      <c r="AG208" s="705">
        <v>8707264</v>
      </c>
      <c r="AH208" s="705">
        <v>7915695</v>
      </c>
      <c r="AI208">
        <v>73</v>
      </c>
      <c r="AJ208" s="705">
        <v>1431770</v>
      </c>
      <c r="AK208" s="705">
        <v>1277187</v>
      </c>
      <c r="AL208" s="705">
        <v>1449343</v>
      </c>
      <c r="AM208" s="705">
        <v>536794</v>
      </c>
      <c r="AN208" s="705">
        <v>188894</v>
      </c>
      <c r="AO208" s="705">
        <v>69961</v>
      </c>
      <c r="AP208" s="705">
        <v>2142483</v>
      </c>
      <c r="AQ208" s="705">
        <v>1947712</v>
      </c>
      <c r="AR208" s="705">
        <v>200728</v>
      </c>
      <c r="AS208" s="705">
        <v>74344</v>
      </c>
      <c r="AT208" s="705">
        <v>11821691</v>
      </c>
      <c r="AU208" s="705">
        <f t="shared" si="15"/>
        <v>11821693</v>
      </c>
      <c r="AV208" s="705">
        <f t="shared" si="14"/>
        <v>14120482</v>
      </c>
    </row>
    <row r="209" spans="2:48" ht="12.75" hidden="1" customHeight="1">
      <c r="B209" t="s">
        <v>535</v>
      </c>
      <c r="C209" t="s">
        <v>108</v>
      </c>
      <c r="D209" t="s">
        <v>582</v>
      </c>
      <c r="E209" t="s">
        <v>228</v>
      </c>
      <c r="F209">
        <v>1</v>
      </c>
      <c r="G209" s="705">
        <v>264</v>
      </c>
      <c r="H209" s="705">
        <v>36</v>
      </c>
      <c r="I209" s="705">
        <v>-710</v>
      </c>
      <c r="J209" s="705">
        <v>-646</v>
      </c>
      <c r="K209">
        <v>91</v>
      </c>
      <c r="L209" s="705">
        <v>-92</v>
      </c>
      <c r="M209" s="705">
        <v>-84</v>
      </c>
      <c r="N209" s="705">
        <v>3215</v>
      </c>
      <c r="O209" s="705">
        <v>1191</v>
      </c>
      <c r="P209" s="705">
        <v>2827</v>
      </c>
      <c r="Q209" s="705">
        <v>1047</v>
      </c>
      <c r="R209" s="705">
        <v>4353</v>
      </c>
      <c r="S209" s="705">
        <v>1612</v>
      </c>
      <c r="T209" s="705">
        <v>0</v>
      </c>
      <c r="U209" s="705">
        <v>0</v>
      </c>
      <c r="V209" s="705">
        <v>3121</v>
      </c>
      <c r="W209" s="705">
        <f t="shared" si="12"/>
        <v>4580</v>
      </c>
      <c r="X209" s="705">
        <f t="shared" si="13"/>
        <v>11197</v>
      </c>
      <c r="Y209" s="705"/>
      <c r="AA209" t="s">
        <v>116</v>
      </c>
      <c r="AB209" t="s">
        <v>585</v>
      </c>
      <c r="AC209" t="s">
        <v>668</v>
      </c>
      <c r="AD209">
        <v>8</v>
      </c>
      <c r="AE209" s="705">
        <v>1604</v>
      </c>
      <c r="AF209" s="705">
        <v>1523</v>
      </c>
      <c r="AG209" s="705">
        <v>198003</v>
      </c>
      <c r="AH209" s="705">
        <v>180003</v>
      </c>
      <c r="AI209">
        <v>78</v>
      </c>
      <c r="AJ209" s="705">
        <v>37340</v>
      </c>
      <c r="AK209" s="705">
        <v>33351</v>
      </c>
      <c r="AL209" s="705">
        <v>30957</v>
      </c>
      <c r="AM209" s="705">
        <v>11466</v>
      </c>
      <c r="AN209" s="705">
        <v>6294</v>
      </c>
      <c r="AO209" s="705">
        <v>2331</v>
      </c>
      <c r="AP209" s="705">
        <v>44551</v>
      </c>
      <c r="AQ209" s="705">
        <v>40501</v>
      </c>
      <c r="AR209" s="705">
        <v>6534</v>
      </c>
      <c r="AS209" s="705">
        <v>2420</v>
      </c>
      <c r="AT209" s="705">
        <v>270072</v>
      </c>
      <c r="AU209" s="705">
        <f t="shared" si="15"/>
        <v>270072</v>
      </c>
      <c r="AV209" s="705">
        <f t="shared" si="14"/>
        <v>323679</v>
      </c>
    </row>
    <row r="210" spans="2:48" ht="12.75" hidden="1" customHeight="1">
      <c r="B210" t="s">
        <v>535</v>
      </c>
      <c r="C210" t="s">
        <v>108</v>
      </c>
      <c r="D210" t="s">
        <v>228</v>
      </c>
      <c r="E210" t="s">
        <v>228</v>
      </c>
      <c r="F210" s="705">
        <v>125</v>
      </c>
      <c r="G210" s="705">
        <v>23525</v>
      </c>
      <c r="H210" s="705">
        <v>6887</v>
      </c>
      <c r="I210" s="705">
        <v>172431</v>
      </c>
      <c r="J210" s="705">
        <v>63863</v>
      </c>
      <c r="K210">
        <v>470</v>
      </c>
      <c r="L210" s="705">
        <v>54049</v>
      </c>
      <c r="M210" s="705">
        <v>46209</v>
      </c>
      <c r="N210" s="705">
        <v>309213</v>
      </c>
      <c r="O210" s="705">
        <v>114523</v>
      </c>
      <c r="P210" s="705">
        <v>149900</v>
      </c>
      <c r="Q210" s="705">
        <v>55519</v>
      </c>
      <c r="R210" s="705">
        <v>577784</v>
      </c>
      <c r="S210" s="705">
        <v>213994</v>
      </c>
      <c r="T210" s="705">
        <v>0</v>
      </c>
      <c r="U210" s="705">
        <v>0</v>
      </c>
      <c r="V210" s="705">
        <v>494108</v>
      </c>
      <c r="W210" s="705">
        <f t="shared" si="12"/>
        <v>494108</v>
      </c>
      <c r="X210" s="705">
        <f t="shared" si="13"/>
        <v>1263377</v>
      </c>
      <c r="Y210" s="705"/>
      <c r="AA210" t="s">
        <v>116</v>
      </c>
      <c r="AB210" t="s">
        <v>668</v>
      </c>
      <c r="AC210" t="s">
        <v>228</v>
      </c>
      <c r="AD210">
        <v>5</v>
      </c>
      <c r="AE210" s="705">
        <v>539</v>
      </c>
      <c r="AF210" s="705">
        <v>900</v>
      </c>
      <c r="AG210" s="705">
        <v>64054</v>
      </c>
      <c r="AH210" s="705">
        <v>58231</v>
      </c>
      <c r="AI210">
        <v>86</v>
      </c>
      <c r="AJ210" s="705">
        <v>1199</v>
      </c>
      <c r="AK210" s="705">
        <v>1090</v>
      </c>
      <c r="AL210" s="705">
        <v>6991</v>
      </c>
      <c r="AM210" s="705">
        <v>2589</v>
      </c>
      <c r="AN210" s="705">
        <v>702</v>
      </c>
      <c r="AO210" s="705">
        <v>260</v>
      </c>
      <c r="AP210" s="705">
        <v>20946</v>
      </c>
      <c r="AQ210" s="705">
        <v>7758</v>
      </c>
      <c r="AR210" s="705">
        <v>3587</v>
      </c>
      <c r="AS210" s="705">
        <v>1328</v>
      </c>
      <c r="AT210" s="705">
        <v>71257</v>
      </c>
      <c r="AU210" s="705">
        <f t="shared" si="15"/>
        <v>71256</v>
      </c>
      <c r="AV210" s="705">
        <f t="shared" si="14"/>
        <v>97479</v>
      </c>
    </row>
    <row r="211" spans="2:48" ht="12.75" hidden="1" customHeight="1">
      <c r="B211" t="s">
        <v>535</v>
      </c>
      <c r="C211" t="s">
        <v>108</v>
      </c>
      <c r="D211" t="s">
        <v>583</v>
      </c>
      <c r="E211" t="s">
        <v>583</v>
      </c>
      <c r="F211">
        <v>24</v>
      </c>
      <c r="G211" s="705">
        <v>4969</v>
      </c>
      <c r="H211" s="705">
        <v>1464</v>
      </c>
      <c r="I211" s="705">
        <v>114832</v>
      </c>
      <c r="J211" s="705">
        <v>104393</v>
      </c>
      <c r="K211">
        <v>95</v>
      </c>
      <c r="L211" s="705">
        <v>17725</v>
      </c>
      <c r="M211" s="705">
        <v>16114</v>
      </c>
      <c r="N211" s="705">
        <v>62874</v>
      </c>
      <c r="O211" s="705">
        <v>23287</v>
      </c>
      <c r="P211" s="705">
        <v>27596</v>
      </c>
      <c r="Q211" s="705">
        <v>10221</v>
      </c>
      <c r="R211" s="705">
        <v>84700</v>
      </c>
      <c r="S211" s="705">
        <v>77000</v>
      </c>
      <c r="T211" s="705">
        <v>0</v>
      </c>
      <c r="U211" s="705">
        <v>0</v>
      </c>
      <c r="V211" s="705">
        <v>231014</v>
      </c>
      <c r="W211" s="705">
        <f t="shared" si="12"/>
        <v>231015</v>
      </c>
      <c r="X211" s="705">
        <f t="shared" si="13"/>
        <v>307727</v>
      </c>
      <c r="Y211" s="705"/>
      <c r="AA211" t="s">
        <v>116</v>
      </c>
      <c r="AB211" t="s">
        <v>668</v>
      </c>
      <c r="AC211" t="s">
        <v>668</v>
      </c>
      <c r="AD211" s="705">
        <v>24</v>
      </c>
      <c r="AE211" s="705">
        <v>3431</v>
      </c>
      <c r="AF211" s="705">
        <v>4747</v>
      </c>
      <c r="AG211" s="705">
        <v>431216</v>
      </c>
      <c r="AH211" s="705">
        <v>392014</v>
      </c>
      <c r="AI211">
        <v>80</v>
      </c>
      <c r="AJ211" s="705">
        <v>56615</v>
      </c>
      <c r="AK211" s="705">
        <v>47234</v>
      </c>
      <c r="AL211" s="705">
        <v>69221</v>
      </c>
      <c r="AM211" s="705">
        <v>25637</v>
      </c>
      <c r="AN211" s="705">
        <v>16838</v>
      </c>
      <c r="AO211" s="705">
        <v>6236</v>
      </c>
      <c r="AP211" s="705">
        <v>126344</v>
      </c>
      <c r="AQ211" s="705">
        <v>114859</v>
      </c>
      <c r="AR211" s="705">
        <v>15385</v>
      </c>
      <c r="AS211" s="705">
        <v>5698</v>
      </c>
      <c r="AT211" s="705">
        <v>591679</v>
      </c>
      <c r="AU211" s="705">
        <f t="shared" si="15"/>
        <v>591678</v>
      </c>
      <c r="AV211" s="705">
        <f t="shared" si="14"/>
        <v>715619</v>
      </c>
    </row>
    <row r="212" spans="2:48" ht="12.75" hidden="1" customHeight="1">
      <c r="B212" t="s">
        <v>535</v>
      </c>
      <c r="C212" t="s">
        <v>108</v>
      </c>
      <c r="D212" t="s">
        <v>584</v>
      </c>
      <c r="E212" t="s">
        <v>228</v>
      </c>
      <c r="F212">
        <v>1</v>
      </c>
      <c r="G212" s="705">
        <v>246</v>
      </c>
      <c r="H212" s="705">
        <v>49</v>
      </c>
      <c r="I212" s="705">
        <v>2131</v>
      </c>
      <c r="J212" s="705">
        <v>1937</v>
      </c>
      <c r="K212">
        <v>91</v>
      </c>
      <c r="L212" s="705">
        <v>290</v>
      </c>
      <c r="M212" s="705">
        <v>263</v>
      </c>
      <c r="N212" s="705">
        <v>2997</v>
      </c>
      <c r="O212" s="705">
        <v>1110</v>
      </c>
      <c r="P212" s="705">
        <v>2589</v>
      </c>
      <c r="Q212" s="705">
        <v>959</v>
      </c>
      <c r="R212" s="705">
        <v>4062</v>
      </c>
      <c r="S212" s="705">
        <v>1504</v>
      </c>
      <c r="T212" s="705">
        <v>0</v>
      </c>
      <c r="U212" s="705">
        <v>0</v>
      </c>
      <c r="V212" s="705">
        <v>5774</v>
      </c>
      <c r="W212" s="705">
        <f t="shared" si="12"/>
        <v>5773</v>
      </c>
      <c r="X212" s="705">
        <f t="shared" si="13"/>
        <v>12069</v>
      </c>
      <c r="Y212" s="705"/>
      <c r="AA212" t="s">
        <v>118</v>
      </c>
      <c r="AD212">
        <v>35</v>
      </c>
      <c r="AE212" s="705">
        <v>5871</v>
      </c>
      <c r="AF212" s="705">
        <v>8951</v>
      </c>
      <c r="AG212" s="705"/>
      <c r="AH212" s="705">
        <v>0</v>
      </c>
      <c r="AJ212" s="705"/>
      <c r="AK212" s="705">
        <v>0</v>
      </c>
      <c r="AL212" s="705">
        <v>109035</v>
      </c>
      <c r="AM212" s="705">
        <v>40383</v>
      </c>
      <c r="AN212" s="705">
        <v>19710</v>
      </c>
      <c r="AO212" s="705">
        <v>7300</v>
      </c>
      <c r="AP212" s="705"/>
      <c r="AQ212" s="705">
        <v>0</v>
      </c>
      <c r="AR212" s="705">
        <v>24875</v>
      </c>
      <c r="AS212" s="705">
        <v>9213</v>
      </c>
      <c r="AT212" s="705">
        <v>56896</v>
      </c>
      <c r="AU212" s="705">
        <f t="shared" si="15"/>
        <v>56896</v>
      </c>
      <c r="AV212" s="705">
        <f t="shared" si="14"/>
        <v>153620</v>
      </c>
    </row>
    <row r="213" spans="2:48" ht="12.75" hidden="1" customHeight="1">
      <c r="B213" t="s">
        <v>535</v>
      </c>
      <c r="C213" t="s">
        <v>108</v>
      </c>
      <c r="D213" t="s">
        <v>584</v>
      </c>
      <c r="E213" t="s">
        <v>584</v>
      </c>
      <c r="F213">
        <v>13</v>
      </c>
      <c r="G213" s="705">
        <v>2083</v>
      </c>
      <c r="H213" s="705">
        <v>757</v>
      </c>
      <c r="I213" s="705">
        <v>34788</v>
      </c>
      <c r="J213" s="705">
        <v>31626</v>
      </c>
      <c r="K213">
        <v>91</v>
      </c>
      <c r="L213" s="705">
        <v>4938</v>
      </c>
      <c r="M213" s="705">
        <v>4489</v>
      </c>
      <c r="N213" s="705">
        <v>26988</v>
      </c>
      <c r="O213" s="705">
        <v>9995</v>
      </c>
      <c r="P213" s="705">
        <v>6143</v>
      </c>
      <c r="Q213" s="705">
        <v>2275</v>
      </c>
      <c r="R213" s="705">
        <v>48387</v>
      </c>
      <c r="S213" s="705">
        <v>43988</v>
      </c>
      <c r="T213" s="705">
        <v>0</v>
      </c>
      <c r="U213">
        <v>0</v>
      </c>
      <c r="V213" s="705">
        <v>92374</v>
      </c>
      <c r="W213" s="705">
        <f t="shared" si="12"/>
        <v>92373</v>
      </c>
      <c r="X213" s="705">
        <f t="shared" si="13"/>
        <v>121244</v>
      </c>
      <c r="Y213" s="705"/>
      <c r="AA213" t="s">
        <v>118</v>
      </c>
      <c r="AB213" t="s">
        <v>674</v>
      </c>
      <c r="AC213" t="s">
        <v>674</v>
      </c>
      <c r="AD213">
        <v>1</v>
      </c>
      <c r="AE213" s="705">
        <v>161</v>
      </c>
      <c r="AF213" s="705">
        <v>264</v>
      </c>
      <c r="AG213" s="705">
        <v>22183</v>
      </c>
      <c r="AH213" s="705">
        <v>20166</v>
      </c>
      <c r="AI213">
        <v>71</v>
      </c>
      <c r="AJ213" s="705">
        <v>5866</v>
      </c>
      <c r="AK213" s="705">
        <v>5333</v>
      </c>
      <c r="AL213" s="705">
        <v>3544</v>
      </c>
      <c r="AM213" s="705">
        <v>1313</v>
      </c>
      <c r="AN213" s="705">
        <v>351</v>
      </c>
      <c r="AO213" s="705">
        <v>130</v>
      </c>
      <c r="AP213" s="705">
        <v>6233</v>
      </c>
      <c r="AQ213" s="705">
        <v>5667</v>
      </c>
      <c r="AR213" s="705">
        <v>4293</v>
      </c>
      <c r="AS213" s="705">
        <v>1590</v>
      </c>
      <c r="AT213" s="705">
        <v>34198</v>
      </c>
      <c r="AU213" s="705">
        <f t="shared" si="15"/>
        <v>34199</v>
      </c>
      <c r="AV213" s="705">
        <f t="shared" si="14"/>
        <v>42470</v>
      </c>
    </row>
    <row r="214" spans="2:48" ht="12.75" hidden="1" customHeight="1">
      <c r="B214" t="s">
        <v>535</v>
      </c>
      <c r="C214" t="s">
        <v>110</v>
      </c>
      <c r="D214" t="s">
        <v>582</v>
      </c>
      <c r="E214" t="s">
        <v>582</v>
      </c>
      <c r="F214">
        <v>3</v>
      </c>
      <c r="G214">
        <v>756</v>
      </c>
      <c r="H214">
        <v>293</v>
      </c>
      <c r="I214" s="705">
        <v>41848</v>
      </c>
      <c r="J214" s="705">
        <v>38044</v>
      </c>
      <c r="K214">
        <v>92</v>
      </c>
      <c r="L214" s="705">
        <v>4360</v>
      </c>
      <c r="M214" s="705">
        <v>3780</v>
      </c>
      <c r="N214" s="705">
        <v>9713</v>
      </c>
      <c r="O214" s="705">
        <v>3597</v>
      </c>
      <c r="P214" s="705">
        <v>1418</v>
      </c>
      <c r="Q214" s="705">
        <v>525</v>
      </c>
      <c r="R214" s="705">
        <v>16305</v>
      </c>
      <c r="S214" s="705">
        <v>14822</v>
      </c>
      <c r="T214">
        <v>0</v>
      </c>
      <c r="U214">
        <v>0</v>
      </c>
      <c r="V214" s="705">
        <v>60769</v>
      </c>
      <c r="W214" s="705">
        <f t="shared" si="12"/>
        <v>60768</v>
      </c>
      <c r="X214" s="705">
        <f t="shared" si="13"/>
        <v>73644</v>
      </c>
      <c r="Y214" s="705"/>
      <c r="AA214" t="s">
        <v>118</v>
      </c>
      <c r="AB214" t="s">
        <v>664</v>
      </c>
      <c r="AC214" t="s">
        <v>664</v>
      </c>
      <c r="AD214">
        <v>88</v>
      </c>
      <c r="AE214" s="705">
        <v>12386</v>
      </c>
      <c r="AF214" s="705">
        <v>23232</v>
      </c>
      <c r="AG214" s="705">
        <v>1985198</v>
      </c>
      <c r="AH214" s="705">
        <v>1804726</v>
      </c>
      <c r="AI214">
        <v>79</v>
      </c>
      <c r="AJ214" s="705">
        <v>456504</v>
      </c>
      <c r="AK214" s="705">
        <v>409165</v>
      </c>
      <c r="AL214" s="705">
        <v>264213</v>
      </c>
      <c r="AM214" s="705">
        <v>97857</v>
      </c>
      <c r="AN214" s="705">
        <v>47925</v>
      </c>
      <c r="AO214" s="705">
        <v>17750</v>
      </c>
      <c r="AP214" s="705">
        <v>483824</v>
      </c>
      <c r="AQ214" s="705">
        <v>439840</v>
      </c>
      <c r="AR214" s="705">
        <v>74116</v>
      </c>
      <c r="AS214" s="705">
        <v>27450</v>
      </c>
      <c r="AT214" s="705">
        <v>2796788</v>
      </c>
      <c r="AU214" s="705">
        <f t="shared" si="15"/>
        <v>2796788</v>
      </c>
      <c r="AV214" s="705">
        <f t="shared" si="14"/>
        <v>3311780</v>
      </c>
    </row>
    <row r="215" spans="2:48" ht="12.75" hidden="1" customHeight="1">
      <c r="B215" t="s">
        <v>535</v>
      </c>
      <c r="C215" t="s">
        <v>110</v>
      </c>
      <c r="D215" t="s">
        <v>228</v>
      </c>
      <c r="E215" t="s">
        <v>228</v>
      </c>
      <c r="F215">
        <v>24</v>
      </c>
      <c r="G215" s="705">
        <v>5472</v>
      </c>
      <c r="H215" s="705">
        <v>2090</v>
      </c>
      <c r="I215" s="705">
        <v>189933</v>
      </c>
      <c r="J215" s="705">
        <v>70346</v>
      </c>
      <c r="K215">
        <v>395</v>
      </c>
      <c r="L215" s="705">
        <v>54155</v>
      </c>
      <c r="M215" s="705">
        <v>46199</v>
      </c>
      <c r="N215" s="705">
        <v>95455</v>
      </c>
      <c r="O215" s="705">
        <v>35354</v>
      </c>
      <c r="P215" s="705">
        <v>20676</v>
      </c>
      <c r="Q215" s="705">
        <v>7658</v>
      </c>
      <c r="R215" s="705">
        <v>143345</v>
      </c>
      <c r="S215" s="705">
        <v>53091</v>
      </c>
      <c r="T215" s="705">
        <v>0</v>
      </c>
      <c r="U215" s="705">
        <v>0</v>
      </c>
      <c r="V215" s="705">
        <v>212647</v>
      </c>
      <c r="W215" s="705">
        <f t="shared" si="12"/>
        <v>212648</v>
      </c>
      <c r="X215" s="705">
        <f t="shared" si="13"/>
        <v>503564</v>
      </c>
      <c r="Y215" s="705"/>
      <c r="AA215" t="s">
        <v>118</v>
      </c>
      <c r="AB215" t="s">
        <v>664</v>
      </c>
      <c r="AC215" t="s">
        <v>582</v>
      </c>
      <c r="AD215">
        <v>4</v>
      </c>
      <c r="AE215">
        <v>510</v>
      </c>
      <c r="AF215" s="705">
        <v>1059</v>
      </c>
      <c r="AG215" s="705">
        <v>85028</v>
      </c>
      <c r="AH215" s="705">
        <v>77298</v>
      </c>
      <c r="AI215">
        <v>74</v>
      </c>
      <c r="AJ215" s="705">
        <v>12671</v>
      </c>
      <c r="AK215" s="705">
        <v>11519</v>
      </c>
      <c r="AL215" s="705">
        <v>12392</v>
      </c>
      <c r="AM215" s="705">
        <v>4590</v>
      </c>
      <c r="AN215" s="705">
        <v>1890</v>
      </c>
      <c r="AO215">
        <v>700</v>
      </c>
      <c r="AP215" s="705">
        <v>24732</v>
      </c>
      <c r="AQ215" s="705">
        <v>22484</v>
      </c>
      <c r="AR215" s="705">
        <v>7100</v>
      </c>
      <c r="AS215" s="705">
        <v>2630</v>
      </c>
      <c r="AT215" s="705">
        <v>119220</v>
      </c>
      <c r="AU215" s="705">
        <f t="shared" si="15"/>
        <v>119221</v>
      </c>
      <c r="AV215" s="705">
        <f t="shared" si="14"/>
        <v>143813</v>
      </c>
    </row>
    <row r="216" spans="2:48" ht="12.75" hidden="1" customHeight="1">
      <c r="B216" t="s">
        <v>535</v>
      </c>
      <c r="C216" t="s">
        <v>110</v>
      </c>
      <c r="D216" t="s">
        <v>583</v>
      </c>
      <c r="E216" t="s">
        <v>228</v>
      </c>
      <c r="F216">
        <v>1</v>
      </c>
      <c r="G216" s="705">
        <v>234</v>
      </c>
      <c r="H216" s="705">
        <v>89</v>
      </c>
      <c r="I216" s="705">
        <v>10534</v>
      </c>
      <c r="J216" s="705">
        <v>9576</v>
      </c>
      <c r="K216">
        <v>95</v>
      </c>
      <c r="L216" s="705">
        <v>1853</v>
      </c>
      <c r="M216" s="705">
        <v>1685</v>
      </c>
      <c r="N216" s="705">
        <v>3678</v>
      </c>
      <c r="O216" s="705">
        <v>1362</v>
      </c>
      <c r="P216" s="705">
        <v>621</v>
      </c>
      <c r="Q216" s="705">
        <v>230</v>
      </c>
      <c r="R216" s="705">
        <v>4094</v>
      </c>
      <c r="S216" s="705">
        <v>1516</v>
      </c>
      <c r="T216" s="705">
        <v>0</v>
      </c>
      <c r="U216" s="705">
        <v>0</v>
      </c>
      <c r="V216" s="705">
        <v>14369</v>
      </c>
      <c r="W216" s="705">
        <f t="shared" si="12"/>
        <v>14369</v>
      </c>
      <c r="X216" s="705">
        <f t="shared" si="13"/>
        <v>20780</v>
      </c>
      <c r="Y216" s="705"/>
      <c r="AA216" t="s">
        <v>118</v>
      </c>
      <c r="AB216" t="s">
        <v>664</v>
      </c>
      <c r="AC216" t="s">
        <v>583</v>
      </c>
      <c r="AD216">
        <v>26</v>
      </c>
      <c r="AE216" s="705">
        <v>3075</v>
      </c>
      <c r="AF216" s="705">
        <v>6636</v>
      </c>
      <c r="AG216" s="705">
        <v>465091</v>
      </c>
      <c r="AH216" s="705">
        <v>422810</v>
      </c>
      <c r="AI216">
        <v>82</v>
      </c>
      <c r="AJ216" s="705">
        <v>101882</v>
      </c>
      <c r="AK216" s="705">
        <v>88252</v>
      </c>
      <c r="AL216" s="705">
        <v>63711</v>
      </c>
      <c r="AM216" s="705">
        <v>23597</v>
      </c>
      <c r="AN216" s="705">
        <v>17199</v>
      </c>
      <c r="AO216" s="705">
        <v>6370</v>
      </c>
      <c r="AP216" s="705">
        <v>134266</v>
      </c>
      <c r="AQ216" s="705">
        <v>122060</v>
      </c>
      <c r="AR216" s="705">
        <v>41698</v>
      </c>
      <c r="AS216" s="705">
        <v>15444</v>
      </c>
      <c r="AT216" s="705">
        <v>678532</v>
      </c>
      <c r="AU216" s="705">
        <f t="shared" si="15"/>
        <v>678533</v>
      </c>
      <c r="AV216" s="705">
        <f t="shared" si="14"/>
        <v>823847</v>
      </c>
    </row>
    <row r="217" spans="2:48" ht="12.75" hidden="1" customHeight="1">
      <c r="B217" t="s">
        <v>535</v>
      </c>
      <c r="C217" t="s">
        <v>110</v>
      </c>
      <c r="D217" t="s">
        <v>583</v>
      </c>
      <c r="E217" t="s">
        <v>583</v>
      </c>
      <c r="F217">
        <v>43</v>
      </c>
      <c r="G217" s="705">
        <v>10360</v>
      </c>
      <c r="H217" s="705">
        <v>3907</v>
      </c>
      <c r="I217" s="705">
        <v>525494</v>
      </c>
      <c r="J217" s="705">
        <v>477722</v>
      </c>
      <c r="K217">
        <v>94</v>
      </c>
      <c r="L217" s="705">
        <v>84684</v>
      </c>
      <c r="M217" s="705">
        <v>76873</v>
      </c>
      <c r="N217" s="705">
        <v>149919</v>
      </c>
      <c r="O217" s="705">
        <v>55526</v>
      </c>
      <c r="P217" s="705">
        <v>51459</v>
      </c>
      <c r="Q217" s="705">
        <v>19059</v>
      </c>
      <c r="R217" s="705">
        <v>192652</v>
      </c>
      <c r="S217" s="705">
        <v>175138</v>
      </c>
      <c r="T217">
        <v>0</v>
      </c>
      <c r="U217">
        <v>0</v>
      </c>
      <c r="V217" s="705">
        <v>804317</v>
      </c>
      <c r="W217" s="705">
        <f t="shared" si="12"/>
        <v>804318</v>
      </c>
      <c r="X217" s="705">
        <f t="shared" si="13"/>
        <v>1004208</v>
      </c>
      <c r="Y217" s="705"/>
      <c r="AA217" t="s">
        <v>118</v>
      </c>
      <c r="AB217" t="s">
        <v>664</v>
      </c>
      <c r="AC217" t="s">
        <v>669</v>
      </c>
      <c r="AD217">
        <v>1</v>
      </c>
      <c r="AE217" s="705">
        <v>86</v>
      </c>
      <c r="AF217" s="705">
        <v>233</v>
      </c>
      <c r="AG217" s="705">
        <v>9856</v>
      </c>
      <c r="AH217" s="705">
        <v>8960</v>
      </c>
      <c r="AI217">
        <v>63</v>
      </c>
      <c r="AJ217" s="705">
        <v>2509</v>
      </c>
      <c r="AK217" s="705">
        <v>2091</v>
      </c>
      <c r="AL217" s="705">
        <v>1054</v>
      </c>
      <c r="AM217" s="705">
        <v>390</v>
      </c>
      <c r="AN217" s="705">
        <v>0</v>
      </c>
      <c r="AO217" s="705">
        <v>0</v>
      </c>
      <c r="AP217" s="705">
        <v>4253</v>
      </c>
      <c r="AQ217" s="705">
        <v>3544</v>
      </c>
      <c r="AR217" s="705">
        <v>2520</v>
      </c>
      <c r="AS217" s="705">
        <v>933</v>
      </c>
      <c r="AT217" s="705">
        <v>15918</v>
      </c>
      <c r="AU217" s="705">
        <f t="shared" si="15"/>
        <v>15918</v>
      </c>
      <c r="AV217" s="705">
        <f t="shared" si="14"/>
        <v>20192</v>
      </c>
    </row>
    <row r="218" spans="2:48" ht="12.75" hidden="1" customHeight="1">
      <c r="B218" t="s">
        <v>535</v>
      </c>
      <c r="C218" t="s">
        <v>110</v>
      </c>
      <c r="D218" t="s">
        <v>583</v>
      </c>
      <c r="E218" t="s">
        <v>665</v>
      </c>
      <c r="F218">
        <v>1</v>
      </c>
      <c r="G218" s="705">
        <v>245</v>
      </c>
      <c r="H218" s="705">
        <v>98</v>
      </c>
      <c r="I218" s="705">
        <v>11114</v>
      </c>
      <c r="J218" s="705">
        <v>10104</v>
      </c>
      <c r="K218">
        <v>92</v>
      </c>
      <c r="L218" s="705">
        <v>3598</v>
      </c>
      <c r="M218" s="705">
        <v>3271</v>
      </c>
      <c r="N218" s="705">
        <v>2989</v>
      </c>
      <c r="O218" s="705">
        <v>1107</v>
      </c>
      <c r="P218" s="705">
        <v>621</v>
      </c>
      <c r="Q218" s="705">
        <v>230</v>
      </c>
      <c r="R218" s="705">
        <v>5680</v>
      </c>
      <c r="S218" s="705">
        <v>5164</v>
      </c>
      <c r="T218">
        <v>0</v>
      </c>
      <c r="U218">
        <v>0</v>
      </c>
      <c r="V218" s="705">
        <v>19876</v>
      </c>
      <c r="W218" s="705">
        <f t="shared" si="12"/>
        <v>19876</v>
      </c>
      <c r="X218" s="705">
        <f t="shared" si="13"/>
        <v>24002</v>
      </c>
      <c r="Y218" s="705"/>
      <c r="AA218" t="s">
        <v>118</v>
      </c>
      <c r="AB218" t="s">
        <v>582</v>
      </c>
      <c r="AC218" t="s">
        <v>664</v>
      </c>
      <c r="AD218">
        <v>12</v>
      </c>
      <c r="AE218" s="705">
        <v>1467</v>
      </c>
      <c r="AF218" s="705">
        <v>3237</v>
      </c>
      <c r="AG218" s="705">
        <v>240375</v>
      </c>
      <c r="AH218" s="705">
        <v>218523</v>
      </c>
      <c r="AI218">
        <v>79</v>
      </c>
      <c r="AJ218" s="705">
        <v>50816</v>
      </c>
      <c r="AK218" s="705">
        <v>42235</v>
      </c>
      <c r="AL218" s="705">
        <v>30455</v>
      </c>
      <c r="AM218" s="705">
        <v>11280</v>
      </c>
      <c r="AN218" s="705">
        <v>7196</v>
      </c>
      <c r="AO218" s="705">
        <v>2665</v>
      </c>
      <c r="AP218" s="705">
        <v>63149</v>
      </c>
      <c r="AQ218" s="705">
        <v>57408</v>
      </c>
      <c r="AR218" s="705">
        <v>11461</v>
      </c>
      <c r="AS218" s="705">
        <v>4245</v>
      </c>
      <c r="AT218" s="705">
        <v>336356</v>
      </c>
      <c r="AU218" s="705">
        <f t="shared" si="15"/>
        <v>336356</v>
      </c>
      <c r="AV218" s="705">
        <f t="shared" si="14"/>
        <v>403452</v>
      </c>
    </row>
    <row r="219" spans="2:48" ht="12.75" hidden="1" customHeight="1">
      <c r="B219" t="s">
        <v>535</v>
      </c>
      <c r="C219" t="s">
        <v>110</v>
      </c>
      <c r="D219" t="s">
        <v>583</v>
      </c>
      <c r="E219" t="s">
        <v>673</v>
      </c>
      <c r="F219" s="705">
        <v>1</v>
      </c>
      <c r="G219" s="705">
        <v>190</v>
      </c>
      <c r="H219" s="705">
        <v>100</v>
      </c>
      <c r="I219" s="705">
        <v>10793</v>
      </c>
      <c r="J219" s="705">
        <v>9812</v>
      </c>
      <c r="K219">
        <v>92</v>
      </c>
      <c r="L219" s="705">
        <v>1721</v>
      </c>
      <c r="M219" s="705">
        <v>1565</v>
      </c>
      <c r="N219" s="705">
        <v>2309</v>
      </c>
      <c r="O219" s="705">
        <v>855</v>
      </c>
      <c r="P219" s="705">
        <v>621</v>
      </c>
      <c r="Q219" s="705">
        <v>230</v>
      </c>
      <c r="R219" s="705">
        <v>3489</v>
      </c>
      <c r="S219" s="705">
        <v>3172</v>
      </c>
      <c r="T219" s="705">
        <v>0</v>
      </c>
      <c r="U219" s="705">
        <v>0</v>
      </c>
      <c r="V219" s="705">
        <v>15633</v>
      </c>
      <c r="W219" s="705">
        <f t="shared" si="12"/>
        <v>15634</v>
      </c>
      <c r="X219" s="705">
        <f t="shared" si="13"/>
        <v>18933</v>
      </c>
      <c r="Y219" s="705"/>
      <c r="AA219" t="s">
        <v>118</v>
      </c>
      <c r="AB219" t="s">
        <v>582</v>
      </c>
      <c r="AC219" t="s">
        <v>582</v>
      </c>
      <c r="AD219">
        <v>966</v>
      </c>
      <c r="AE219" s="705">
        <v>134985</v>
      </c>
      <c r="AF219" s="705">
        <v>249819</v>
      </c>
      <c r="AG219" s="705">
        <v>21715174</v>
      </c>
      <c r="AH219" s="705">
        <v>19741067</v>
      </c>
      <c r="AI219">
        <v>80</v>
      </c>
      <c r="AJ219" s="705">
        <v>4766162</v>
      </c>
      <c r="AK219" s="705">
        <v>4223824</v>
      </c>
      <c r="AL219" s="705">
        <v>2890310</v>
      </c>
      <c r="AM219" s="705">
        <v>1070485</v>
      </c>
      <c r="AN219" s="705">
        <v>493255</v>
      </c>
      <c r="AO219" s="705">
        <v>182687</v>
      </c>
      <c r="AP219" s="705">
        <v>5100789</v>
      </c>
      <c r="AQ219" s="705">
        <v>4637080</v>
      </c>
      <c r="AR219" s="705">
        <v>996262</v>
      </c>
      <c r="AS219" s="705">
        <v>368986</v>
      </c>
      <c r="AT219" s="705">
        <v>30224130</v>
      </c>
      <c r="AU219" s="705">
        <f t="shared" si="15"/>
        <v>30224129</v>
      </c>
      <c r="AV219" s="705">
        <f t="shared" si="14"/>
        <v>35961952</v>
      </c>
    </row>
    <row r="220" spans="2:48" ht="12.75" hidden="1" customHeight="1">
      <c r="B220" t="s">
        <v>535</v>
      </c>
      <c r="C220" t="s">
        <v>110</v>
      </c>
      <c r="D220" t="s">
        <v>584</v>
      </c>
      <c r="E220" t="s">
        <v>584</v>
      </c>
      <c r="F220">
        <v>5</v>
      </c>
      <c r="G220" s="705">
        <v>1125</v>
      </c>
      <c r="H220" s="705">
        <v>459</v>
      </c>
      <c r="I220" s="705">
        <v>50321</v>
      </c>
      <c r="J220" s="705">
        <v>45747</v>
      </c>
      <c r="K220">
        <v>91</v>
      </c>
      <c r="L220" s="705">
        <v>7891</v>
      </c>
      <c r="M220" s="705">
        <v>6961</v>
      </c>
      <c r="N220" s="705">
        <v>13704</v>
      </c>
      <c r="O220" s="705">
        <v>5075</v>
      </c>
      <c r="P220" s="705">
        <v>2363</v>
      </c>
      <c r="Q220" s="705">
        <v>875</v>
      </c>
      <c r="R220" s="705">
        <v>28284</v>
      </c>
      <c r="S220" s="705">
        <v>25713</v>
      </c>
      <c r="T220" s="705">
        <v>0</v>
      </c>
      <c r="U220" s="705">
        <v>0</v>
      </c>
      <c r="V220" s="705">
        <v>84371</v>
      </c>
      <c r="W220" s="705">
        <f t="shared" si="12"/>
        <v>84371</v>
      </c>
      <c r="X220" s="705">
        <f t="shared" si="13"/>
        <v>102563</v>
      </c>
      <c r="Y220" s="705"/>
      <c r="AA220" t="s">
        <v>118</v>
      </c>
      <c r="AB220" t="s">
        <v>582</v>
      </c>
      <c r="AC220" t="s">
        <v>228</v>
      </c>
      <c r="AD220" s="705">
        <v>14</v>
      </c>
      <c r="AE220" s="705">
        <v>2206</v>
      </c>
      <c r="AF220" s="705">
        <v>3537</v>
      </c>
      <c r="AG220" s="705">
        <v>328099</v>
      </c>
      <c r="AH220" s="705">
        <v>298272</v>
      </c>
      <c r="AI220">
        <v>79</v>
      </c>
      <c r="AJ220" s="705">
        <v>47734</v>
      </c>
      <c r="AK220" s="705">
        <v>43394</v>
      </c>
      <c r="AL220" s="705">
        <v>46156</v>
      </c>
      <c r="AM220" s="705">
        <v>17095</v>
      </c>
      <c r="AN220" s="705">
        <v>8514</v>
      </c>
      <c r="AO220" s="705">
        <v>3153</v>
      </c>
      <c r="AP220" s="705">
        <v>119869</v>
      </c>
      <c r="AQ220" s="705">
        <v>44396</v>
      </c>
      <c r="AR220" s="705">
        <v>0</v>
      </c>
      <c r="AS220" s="705">
        <v>0</v>
      </c>
      <c r="AT220" s="705">
        <v>406310</v>
      </c>
      <c r="AU220" s="705">
        <f t="shared" si="15"/>
        <v>406310</v>
      </c>
      <c r="AV220" s="705">
        <f t="shared" si="14"/>
        <v>550372</v>
      </c>
    </row>
    <row r="221" spans="2:48" ht="12.75" hidden="1" customHeight="1">
      <c r="B221" t="s">
        <v>535</v>
      </c>
      <c r="C221" t="s">
        <v>112</v>
      </c>
      <c r="D221" t="s">
        <v>582</v>
      </c>
      <c r="E221" t="s">
        <v>664</v>
      </c>
      <c r="F221">
        <v>1</v>
      </c>
      <c r="G221" s="705">
        <v>85</v>
      </c>
      <c r="H221" s="705">
        <v>121</v>
      </c>
      <c r="I221" s="705">
        <v>9433</v>
      </c>
      <c r="J221" s="705">
        <v>8575</v>
      </c>
      <c r="K221">
        <v>91</v>
      </c>
      <c r="L221" s="705">
        <v>1517</v>
      </c>
      <c r="M221" s="705">
        <v>1379</v>
      </c>
      <c r="N221" s="705">
        <v>1990</v>
      </c>
      <c r="O221" s="705">
        <v>737</v>
      </c>
      <c r="P221" s="705">
        <v>473</v>
      </c>
      <c r="Q221" s="705">
        <v>175</v>
      </c>
      <c r="R221" s="705">
        <v>4499</v>
      </c>
      <c r="S221" s="705">
        <v>4090</v>
      </c>
      <c r="T221" s="705">
        <v>0</v>
      </c>
      <c r="U221" s="705">
        <v>0</v>
      </c>
      <c r="V221" s="705">
        <v>14957</v>
      </c>
      <c r="W221" s="705">
        <f t="shared" si="12"/>
        <v>14956</v>
      </c>
      <c r="X221" s="705">
        <f t="shared" si="13"/>
        <v>17912</v>
      </c>
      <c r="Y221" s="705"/>
      <c r="AA221" t="s">
        <v>118</v>
      </c>
      <c r="AB221" t="s">
        <v>582</v>
      </c>
      <c r="AC221" t="s">
        <v>583</v>
      </c>
      <c r="AD221">
        <v>4</v>
      </c>
      <c r="AE221" s="705">
        <v>821</v>
      </c>
      <c r="AF221" s="705">
        <v>1067</v>
      </c>
      <c r="AG221" s="705">
        <v>144513</v>
      </c>
      <c r="AH221" s="705">
        <v>131376</v>
      </c>
      <c r="AI221">
        <v>82</v>
      </c>
      <c r="AJ221" s="705">
        <v>28517</v>
      </c>
      <c r="AK221" s="705">
        <v>25924</v>
      </c>
      <c r="AL221" s="705">
        <v>19495</v>
      </c>
      <c r="AM221" s="705">
        <v>7220</v>
      </c>
      <c r="AN221" s="705">
        <v>2268</v>
      </c>
      <c r="AO221" s="705">
        <v>840</v>
      </c>
      <c r="AP221" s="705">
        <v>25901</v>
      </c>
      <c r="AQ221" s="705">
        <v>23546</v>
      </c>
      <c r="AR221" s="705">
        <v>7113</v>
      </c>
      <c r="AS221" s="705">
        <v>2634</v>
      </c>
      <c r="AT221" s="705">
        <v>191541</v>
      </c>
      <c r="AU221" s="705">
        <f t="shared" si="15"/>
        <v>191540</v>
      </c>
      <c r="AV221" s="705">
        <f t="shared" si="14"/>
        <v>227807</v>
      </c>
    </row>
    <row r="222" spans="2:48" ht="12.75" hidden="1" customHeight="1">
      <c r="B222" t="s">
        <v>535</v>
      </c>
      <c r="C222" t="s">
        <v>112</v>
      </c>
      <c r="D222" t="s">
        <v>582</v>
      </c>
      <c r="E222" t="s">
        <v>582</v>
      </c>
      <c r="F222">
        <v>15</v>
      </c>
      <c r="G222" s="705">
        <v>3716</v>
      </c>
      <c r="H222" s="705">
        <v>1727</v>
      </c>
      <c r="I222" s="705">
        <v>245954</v>
      </c>
      <c r="J222" s="705">
        <v>223595</v>
      </c>
      <c r="K222">
        <v>91</v>
      </c>
      <c r="L222" s="705">
        <v>41492</v>
      </c>
      <c r="M222" s="705">
        <v>37465</v>
      </c>
      <c r="N222" s="705">
        <v>60149</v>
      </c>
      <c r="O222" s="705">
        <v>22277</v>
      </c>
      <c r="P222" s="705">
        <v>7263</v>
      </c>
      <c r="Q222" s="705">
        <v>2690</v>
      </c>
      <c r="R222" s="705">
        <v>85311</v>
      </c>
      <c r="S222" s="705">
        <v>77556</v>
      </c>
      <c r="T222" s="705">
        <v>0</v>
      </c>
      <c r="U222" s="705">
        <v>0</v>
      </c>
      <c r="V222" s="705">
        <v>363583</v>
      </c>
      <c r="W222" s="705">
        <f t="shared" si="12"/>
        <v>363583</v>
      </c>
      <c r="X222" s="705">
        <f t="shared" si="13"/>
        <v>440169</v>
      </c>
      <c r="Y222" s="705"/>
      <c r="AA222" t="s">
        <v>118</v>
      </c>
      <c r="AB222" t="s">
        <v>582</v>
      </c>
      <c r="AC222" t="s">
        <v>584</v>
      </c>
      <c r="AD222">
        <v>6</v>
      </c>
      <c r="AE222">
        <v>771</v>
      </c>
      <c r="AF222" s="705">
        <v>1549</v>
      </c>
      <c r="AG222" s="705">
        <v>114348</v>
      </c>
      <c r="AH222" s="705">
        <v>103953</v>
      </c>
      <c r="AI222">
        <v>83</v>
      </c>
      <c r="AJ222" s="705">
        <v>21916</v>
      </c>
      <c r="AK222" s="705">
        <v>19522</v>
      </c>
      <c r="AL222" s="705">
        <v>15825</v>
      </c>
      <c r="AM222" s="705">
        <v>5861</v>
      </c>
      <c r="AN222" s="705">
        <v>3605</v>
      </c>
      <c r="AO222" s="705">
        <v>1335</v>
      </c>
      <c r="AP222" s="705">
        <v>25331</v>
      </c>
      <c r="AQ222" s="705">
        <v>23028</v>
      </c>
      <c r="AR222" s="705">
        <v>16821</v>
      </c>
      <c r="AS222" s="705">
        <v>6230</v>
      </c>
      <c r="AT222" s="705">
        <v>159929</v>
      </c>
      <c r="AU222" s="705">
        <f t="shared" si="15"/>
        <v>159929</v>
      </c>
      <c r="AV222" s="705">
        <f t="shared" si="14"/>
        <v>197846</v>
      </c>
    </row>
    <row r="223" spans="2:48" ht="12.75" hidden="1" customHeight="1">
      <c r="B223" t="s">
        <v>535</v>
      </c>
      <c r="C223" t="s">
        <v>112</v>
      </c>
      <c r="D223" t="s">
        <v>582</v>
      </c>
      <c r="E223" t="s">
        <v>228</v>
      </c>
      <c r="F223">
        <v>1</v>
      </c>
      <c r="G223">
        <v>181</v>
      </c>
      <c r="H223">
        <v>119</v>
      </c>
      <c r="I223" s="705">
        <v>10305</v>
      </c>
      <c r="J223" s="705">
        <v>9369</v>
      </c>
      <c r="K223">
        <v>93</v>
      </c>
      <c r="L223" s="705">
        <v>1769</v>
      </c>
      <c r="M223" s="705">
        <v>1608</v>
      </c>
      <c r="N223" s="705">
        <v>3396</v>
      </c>
      <c r="O223" s="705">
        <v>1258</v>
      </c>
      <c r="P223" s="705">
        <v>473</v>
      </c>
      <c r="Q223">
        <v>175</v>
      </c>
      <c r="R223" s="705">
        <v>5517</v>
      </c>
      <c r="S223" s="705">
        <v>2043</v>
      </c>
      <c r="T223" s="705">
        <v>0</v>
      </c>
      <c r="U223" s="705">
        <v>0</v>
      </c>
      <c r="V223" s="705">
        <v>14453</v>
      </c>
      <c r="W223" s="705">
        <f t="shared" si="12"/>
        <v>14453</v>
      </c>
      <c r="X223" s="705">
        <f t="shared" si="13"/>
        <v>21460</v>
      </c>
      <c r="Y223" s="705"/>
      <c r="AA223" t="s">
        <v>118</v>
      </c>
      <c r="AB223" t="s">
        <v>582</v>
      </c>
      <c r="AC223" t="s">
        <v>669</v>
      </c>
      <c r="AD223">
        <v>1</v>
      </c>
      <c r="AE223">
        <v>142</v>
      </c>
      <c r="AF223" s="705">
        <v>259</v>
      </c>
      <c r="AG223" s="705">
        <v>19597</v>
      </c>
      <c r="AH223" s="705">
        <v>17815</v>
      </c>
      <c r="AI223">
        <v>78</v>
      </c>
      <c r="AJ223" s="705">
        <v>5378</v>
      </c>
      <c r="AK223" s="705">
        <v>4889</v>
      </c>
      <c r="AL223" s="705">
        <v>3203</v>
      </c>
      <c r="AM223" s="705">
        <v>1186</v>
      </c>
      <c r="AN223" s="705">
        <v>473</v>
      </c>
      <c r="AO223" s="705">
        <v>175</v>
      </c>
      <c r="AP223" s="705">
        <v>5057</v>
      </c>
      <c r="AQ223" s="705">
        <v>4214</v>
      </c>
      <c r="AR223" s="705">
        <v>3066</v>
      </c>
      <c r="AS223" s="705">
        <v>1135</v>
      </c>
      <c r="AT223" s="705">
        <v>29415</v>
      </c>
      <c r="AU223" s="705">
        <f t="shared" si="15"/>
        <v>29414</v>
      </c>
      <c r="AV223" s="705">
        <f t="shared" si="14"/>
        <v>36774</v>
      </c>
    </row>
    <row r="224" spans="2:48" ht="12.75" hidden="1" customHeight="1">
      <c r="B224" t="s">
        <v>535</v>
      </c>
      <c r="C224" t="s">
        <v>112</v>
      </c>
      <c r="D224" t="s">
        <v>228</v>
      </c>
      <c r="E224" t="s">
        <v>582</v>
      </c>
      <c r="F224">
        <v>1</v>
      </c>
      <c r="G224" s="705">
        <v>379</v>
      </c>
      <c r="H224" s="705">
        <v>105</v>
      </c>
      <c r="I224" s="705">
        <v>16789</v>
      </c>
      <c r="J224" s="705">
        <v>6218</v>
      </c>
      <c r="K224">
        <v>385</v>
      </c>
      <c r="L224" s="705">
        <v>9753</v>
      </c>
      <c r="M224" s="705">
        <v>8867</v>
      </c>
      <c r="N224" s="705">
        <v>4614</v>
      </c>
      <c r="O224" s="705">
        <v>1709</v>
      </c>
      <c r="P224" s="705">
        <v>351</v>
      </c>
      <c r="Q224" s="705">
        <v>130</v>
      </c>
      <c r="R224" s="705">
        <v>8386</v>
      </c>
      <c r="S224" s="705">
        <v>7624</v>
      </c>
      <c r="T224" s="705">
        <v>0</v>
      </c>
      <c r="U224" s="705">
        <v>0</v>
      </c>
      <c r="V224" s="705">
        <v>24548</v>
      </c>
      <c r="W224" s="705">
        <f t="shared" si="12"/>
        <v>24548</v>
      </c>
      <c r="X224" s="705">
        <f t="shared" si="13"/>
        <v>39893</v>
      </c>
      <c r="Y224" s="705"/>
      <c r="AA224" t="s">
        <v>118</v>
      </c>
      <c r="AB224" t="s">
        <v>228</v>
      </c>
      <c r="AC224" t="s">
        <v>582</v>
      </c>
      <c r="AD224">
        <v>2</v>
      </c>
      <c r="AE224" s="705">
        <v>293</v>
      </c>
      <c r="AF224" s="705">
        <v>550</v>
      </c>
      <c r="AG224" s="705">
        <v>51978</v>
      </c>
      <c r="AH224" s="705">
        <v>19251</v>
      </c>
      <c r="AI224">
        <v>175</v>
      </c>
      <c r="AJ224" s="705">
        <v>11045</v>
      </c>
      <c r="AK224" s="705">
        <v>10041</v>
      </c>
      <c r="AL224" s="705">
        <v>6161</v>
      </c>
      <c r="AM224" s="705">
        <v>2282</v>
      </c>
      <c r="AN224" s="705">
        <v>1296</v>
      </c>
      <c r="AO224" s="705">
        <v>480</v>
      </c>
      <c r="AP224" s="705">
        <v>9744</v>
      </c>
      <c r="AQ224" s="705">
        <v>8858</v>
      </c>
      <c r="AR224" s="705">
        <v>0</v>
      </c>
      <c r="AS224" s="705">
        <v>0</v>
      </c>
      <c r="AT224" s="705">
        <v>40912</v>
      </c>
      <c r="AU224" s="705">
        <f t="shared" si="15"/>
        <v>40912</v>
      </c>
      <c r="AV224" s="705">
        <f t="shared" si="14"/>
        <v>80224</v>
      </c>
    </row>
    <row r="225" spans="2:48" hidden="1">
      <c r="B225" t="s">
        <v>535</v>
      </c>
      <c r="C225" t="s">
        <v>112</v>
      </c>
      <c r="D225" t="s">
        <v>228</v>
      </c>
      <c r="E225" t="s">
        <v>228</v>
      </c>
      <c r="F225">
        <v>25</v>
      </c>
      <c r="G225" s="705">
        <v>6239</v>
      </c>
      <c r="H225" s="705">
        <v>2855</v>
      </c>
      <c r="I225" s="705">
        <v>337769</v>
      </c>
      <c r="J225" s="705">
        <v>125099</v>
      </c>
      <c r="K225">
        <v>320</v>
      </c>
      <c r="L225" s="705">
        <v>73070</v>
      </c>
      <c r="M225" s="705">
        <v>76310</v>
      </c>
      <c r="N225" s="705">
        <v>111108</v>
      </c>
      <c r="O225" s="705">
        <v>41151</v>
      </c>
      <c r="P225" s="705">
        <v>23024</v>
      </c>
      <c r="Q225" s="705">
        <v>8527</v>
      </c>
      <c r="R225" s="705">
        <v>180887</v>
      </c>
      <c r="S225" s="705">
        <v>66995</v>
      </c>
      <c r="T225" s="705">
        <v>0</v>
      </c>
      <c r="U225">
        <v>0</v>
      </c>
      <c r="V225" s="705">
        <v>318083</v>
      </c>
      <c r="W225" s="705">
        <f t="shared" si="12"/>
        <v>318082</v>
      </c>
      <c r="X225" s="705">
        <f t="shared" si="13"/>
        <v>725858</v>
      </c>
      <c r="Y225" s="705"/>
      <c r="AA225" t="s">
        <v>118</v>
      </c>
      <c r="AB225" t="s">
        <v>228</v>
      </c>
      <c r="AC225" t="s">
        <v>228</v>
      </c>
      <c r="AD225" s="705">
        <v>1465</v>
      </c>
      <c r="AE225" s="705">
        <v>213360</v>
      </c>
      <c r="AF225" s="705">
        <v>392087</v>
      </c>
      <c r="AG225" s="705">
        <v>36725088</v>
      </c>
      <c r="AH225" s="705">
        <v>13601884</v>
      </c>
      <c r="AI225">
        <v>106</v>
      </c>
      <c r="AJ225" s="705">
        <v>5760460</v>
      </c>
      <c r="AK225" s="705">
        <v>5275173</v>
      </c>
      <c r="AL225" s="705">
        <v>4857724</v>
      </c>
      <c r="AM225" s="705">
        <v>1799157</v>
      </c>
      <c r="AN225" s="705">
        <v>99941</v>
      </c>
      <c r="AO225" s="705">
        <v>37015</v>
      </c>
      <c r="AP225" s="705">
        <v>12598688</v>
      </c>
      <c r="AQ225" s="705">
        <v>4666181</v>
      </c>
      <c r="AR225" s="705">
        <v>67578</v>
      </c>
      <c r="AS225" s="705">
        <v>25029</v>
      </c>
      <c r="AT225" s="705">
        <v>25404439</v>
      </c>
      <c r="AU225" s="705">
        <f t="shared" si="15"/>
        <v>25404439</v>
      </c>
      <c r="AV225" s="705">
        <f t="shared" si="14"/>
        <v>60109479</v>
      </c>
    </row>
    <row r="226" spans="2:48" ht="12.75" hidden="1" customHeight="1">
      <c r="B226" t="s">
        <v>535</v>
      </c>
      <c r="C226" t="s">
        <v>112</v>
      </c>
      <c r="D226" t="s">
        <v>583</v>
      </c>
      <c r="E226" t="s">
        <v>583</v>
      </c>
      <c r="F226" s="705">
        <v>163</v>
      </c>
      <c r="G226" s="705">
        <v>37669</v>
      </c>
      <c r="H226" s="705">
        <v>19011</v>
      </c>
      <c r="I226" s="705">
        <v>2579222</v>
      </c>
      <c r="J226" s="705">
        <v>2344748</v>
      </c>
      <c r="K226">
        <v>92</v>
      </c>
      <c r="L226" s="705">
        <v>474344</v>
      </c>
      <c r="M226" s="705">
        <v>426629</v>
      </c>
      <c r="N226" s="705">
        <v>640339</v>
      </c>
      <c r="O226" s="705">
        <v>237162</v>
      </c>
      <c r="P226" s="705">
        <v>124285</v>
      </c>
      <c r="Q226" s="705">
        <v>46032</v>
      </c>
      <c r="R226" s="705">
        <v>782885</v>
      </c>
      <c r="S226" s="705">
        <v>711714</v>
      </c>
      <c r="T226" s="705">
        <v>32134</v>
      </c>
      <c r="U226" s="705">
        <v>11901</v>
      </c>
      <c r="V226" s="705">
        <v>3778186</v>
      </c>
      <c r="W226" s="705">
        <f t="shared" si="12"/>
        <v>3778186</v>
      </c>
      <c r="X226" s="705">
        <f t="shared" si="13"/>
        <v>4633209</v>
      </c>
      <c r="Y226" s="705"/>
      <c r="AA226" t="s">
        <v>118</v>
      </c>
      <c r="AB226" t="s">
        <v>228</v>
      </c>
      <c r="AC226" t="s">
        <v>583</v>
      </c>
      <c r="AD226">
        <v>9</v>
      </c>
      <c r="AE226" s="705">
        <v>1381</v>
      </c>
      <c r="AF226" s="705">
        <v>2336</v>
      </c>
      <c r="AG226" s="705">
        <v>276451</v>
      </c>
      <c r="AH226" s="705">
        <v>102389</v>
      </c>
      <c r="AI226">
        <v>100</v>
      </c>
      <c r="AJ226" s="705">
        <v>25909</v>
      </c>
      <c r="AK226" s="705">
        <v>23553</v>
      </c>
      <c r="AL226" s="705">
        <v>33116</v>
      </c>
      <c r="AM226" s="705">
        <v>12265</v>
      </c>
      <c r="AN226" s="705">
        <v>1863</v>
      </c>
      <c r="AO226" s="705">
        <v>690</v>
      </c>
      <c r="AP226" s="705">
        <v>52707</v>
      </c>
      <c r="AQ226" s="705">
        <v>47915</v>
      </c>
      <c r="AR226" s="705">
        <v>10350</v>
      </c>
      <c r="AS226" s="705">
        <v>3833</v>
      </c>
      <c r="AT226" s="705">
        <v>190646</v>
      </c>
      <c r="AU226" s="705">
        <f t="shared" si="15"/>
        <v>190645</v>
      </c>
      <c r="AV226" s="705">
        <f t="shared" si="14"/>
        <v>400396</v>
      </c>
    </row>
    <row r="227" spans="2:48" ht="12.75" hidden="1" customHeight="1">
      <c r="B227" t="s">
        <v>535</v>
      </c>
      <c r="C227" t="s">
        <v>112</v>
      </c>
      <c r="D227" t="s">
        <v>584</v>
      </c>
      <c r="E227" t="s">
        <v>228</v>
      </c>
      <c r="F227" s="705">
        <v>1</v>
      </c>
      <c r="G227" s="705">
        <v>210</v>
      </c>
      <c r="H227" s="705">
        <v>123</v>
      </c>
      <c r="I227" s="705">
        <v>14259</v>
      </c>
      <c r="J227" s="705">
        <v>12963</v>
      </c>
      <c r="K227">
        <v>91</v>
      </c>
      <c r="L227" s="705">
        <v>2403</v>
      </c>
      <c r="M227" s="705">
        <v>2184</v>
      </c>
      <c r="N227" s="705">
        <v>3359</v>
      </c>
      <c r="O227" s="705">
        <v>1244</v>
      </c>
      <c r="P227" s="705">
        <v>473</v>
      </c>
      <c r="Q227" s="705">
        <v>175</v>
      </c>
      <c r="R227" s="705">
        <v>5489</v>
      </c>
      <c r="S227" s="705">
        <v>2033</v>
      </c>
      <c r="T227" s="705">
        <v>0</v>
      </c>
      <c r="U227" s="705">
        <v>0</v>
      </c>
      <c r="V227" s="705">
        <v>18599</v>
      </c>
      <c r="W227" s="705">
        <f t="shared" si="12"/>
        <v>18599</v>
      </c>
      <c r="X227" s="705">
        <f t="shared" si="13"/>
        <v>25983</v>
      </c>
      <c r="Y227" s="705"/>
      <c r="AA227" t="s">
        <v>118</v>
      </c>
      <c r="AB227" t="s">
        <v>228</v>
      </c>
      <c r="AC227" t="s">
        <v>666</v>
      </c>
      <c r="AD227">
        <v>1</v>
      </c>
      <c r="AE227">
        <v>157</v>
      </c>
      <c r="AF227" s="705">
        <v>275</v>
      </c>
      <c r="AG227" s="705">
        <v>29895</v>
      </c>
      <c r="AH227" s="705">
        <v>11072</v>
      </c>
      <c r="AI227">
        <v>100</v>
      </c>
      <c r="AJ227" s="705">
        <v>2082</v>
      </c>
      <c r="AK227" s="705">
        <v>1893</v>
      </c>
      <c r="AL227" s="705">
        <v>2973</v>
      </c>
      <c r="AM227" s="705">
        <v>1101</v>
      </c>
      <c r="AN227">
        <v>351</v>
      </c>
      <c r="AO227">
        <v>130</v>
      </c>
      <c r="AP227" s="705">
        <v>7953</v>
      </c>
      <c r="AQ227" s="705">
        <v>7230</v>
      </c>
      <c r="AR227" s="705">
        <v>0</v>
      </c>
      <c r="AS227" s="705">
        <v>0</v>
      </c>
      <c r="AT227" s="705">
        <v>21426</v>
      </c>
      <c r="AU227" s="705">
        <f t="shared" si="15"/>
        <v>21426</v>
      </c>
      <c r="AV227" s="705">
        <f t="shared" si="14"/>
        <v>43254</v>
      </c>
    </row>
    <row r="228" spans="2:48" ht="12.75" hidden="1" customHeight="1">
      <c r="B228" t="s">
        <v>535</v>
      </c>
      <c r="C228" t="s">
        <v>112</v>
      </c>
      <c r="D228" t="s">
        <v>584</v>
      </c>
      <c r="E228" t="s">
        <v>584</v>
      </c>
      <c r="F228">
        <v>28</v>
      </c>
      <c r="G228" s="705">
        <v>5251</v>
      </c>
      <c r="H228" s="705">
        <v>3211</v>
      </c>
      <c r="I228" s="705">
        <v>321420</v>
      </c>
      <c r="J228" s="705">
        <v>292200</v>
      </c>
      <c r="K228">
        <v>90</v>
      </c>
      <c r="L228" s="705">
        <v>65171</v>
      </c>
      <c r="M228" s="705">
        <v>60288</v>
      </c>
      <c r="N228" s="705">
        <v>92735</v>
      </c>
      <c r="O228" s="705">
        <v>34346</v>
      </c>
      <c r="P228" s="705">
        <v>18068</v>
      </c>
      <c r="Q228" s="705">
        <v>6692</v>
      </c>
      <c r="R228" s="705">
        <v>124460</v>
      </c>
      <c r="S228" s="705">
        <v>113146</v>
      </c>
      <c r="T228" s="705">
        <v>0</v>
      </c>
      <c r="U228" s="705">
        <v>0</v>
      </c>
      <c r="V228" s="705">
        <v>506671</v>
      </c>
      <c r="W228" s="705">
        <f t="shared" si="12"/>
        <v>506672</v>
      </c>
      <c r="X228" s="705">
        <f t="shared" si="13"/>
        <v>621854</v>
      </c>
      <c r="Y228" s="705"/>
      <c r="AA228" t="s">
        <v>118</v>
      </c>
      <c r="AB228" t="s">
        <v>228</v>
      </c>
      <c r="AC228" t="s">
        <v>584</v>
      </c>
      <c r="AD228">
        <v>3</v>
      </c>
      <c r="AE228" s="705">
        <v>791</v>
      </c>
      <c r="AF228" s="705">
        <v>776</v>
      </c>
      <c r="AG228" s="705">
        <v>175689</v>
      </c>
      <c r="AH228" s="705">
        <v>65070</v>
      </c>
      <c r="AI228">
        <v>100</v>
      </c>
      <c r="AJ228" s="705">
        <v>6157</v>
      </c>
      <c r="AK228" s="705">
        <v>5597</v>
      </c>
      <c r="AL228" s="705">
        <v>18637</v>
      </c>
      <c r="AM228" s="705">
        <v>6903</v>
      </c>
      <c r="AN228" s="705">
        <v>1796</v>
      </c>
      <c r="AO228" s="705">
        <v>665</v>
      </c>
      <c r="AP228" s="705">
        <v>21658</v>
      </c>
      <c r="AQ228" s="705">
        <v>19689</v>
      </c>
      <c r="AR228" s="705">
        <v>0</v>
      </c>
      <c r="AS228" s="705">
        <v>0</v>
      </c>
      <c r="AT228" s="705">
        <v>97924</v>
      </c>
      <c r="AU228" s="705">
        <f t="shared" si="15"/>
        <v>97924</v>
      </c>
      <c r="AV228" s="705">
        <f t="shared" si="14"/>
        <v>223937</v>
      </c>
    </row>
    <row r="229" spans="2:48" ht="12.75" hidden="1" customHeight="1">
      <c r="B229" t="s">
        <v>535</v>
      </c>
      <c r="C229" t="s">
        <v>112</v>
      </c>
      <c r="D229" t="s">
        <v>665</v>
      </c>
      <c r="E229" t="s">
        <v>665</v>
      </c>
      <c r="F229">
        <v>2</v>
      </c>
      <c r="G229" s="705">
        <v>507</v>
      </c>
      <c r="H229" s="705">
        <v>243</v>
      </c>
      <c r="I229" s="705">
        <v>39785</v>
      </c>
      <c r="J229" s="705">
        <v>36168</v>
      </c>
      <c r="K229">
        <v>60</v>
      </c>
      <c r="L229" s="705">
        <v>1929</v>
      </c>
      <c r="M229" s="705">
        <v>1753</v>
      </c>
      <c r="N229" s="705">
        <v>7846</v>
      </c>
      <c r="O229" s="705">
        <v>2906</v>
      </c>
      <c r="P229" s="705">
        <v>2927</v>
      </c>
      <c r="Q229" s="705">
        <v>1084</v>
      </c>
      <c r="R229" s="705">
        <v>9198</v>
      </c>
      <c r="S229" s="705">
        <v>8362</v>
      </c>
      <c r="T229">
        <v>0</v>
      </c>
      <c r="U229">
        <v>0</v>
      </c>
      <c r="V229" s="705">
        <v>50274</v>
      </c>
      <c r="W229" s="705">
        <f t="shared" si="12"/>
        <v>50273</v>
      </c>
      <c r="X229" s="705">
        <f t="shared" si="13"/>
        <v>61685</v>
      </c>
      <c r="Y229" s="705"/>
      <c r="AA229" t="s">
        <v>118</v>
      </c>
      <c r="AB229" t="s">
        <v>228</v>
      </c>
      <c r="AC229" t="s">
        <v>665</v>
      </c>
      <c r="AD229">
        <v>7</v>
      </c>
      <c r="AE229" s="705">
        <v>800</v>
      </c>
      <c r="AF229" s="705">
        <v>1895</v>
      </c>
      <c r="AG229" s="705">
        <v>139564</v>
      </c>
      <c r="AH229" s="705">
        <v>51690</v>
      </c>
      <c r="AI229">
        <v>158</v>
      </c>
      <c r="AJ229" s="705">
        <v>12071</v>
      </c>
      <c r="AK229" s="705">
        <v>10974</v>
      </c>
      <c r="AL229" s="705">
        <v>13964</v>
      </c>
      <c r="AM229" s="705">
        <v>5172</v>
      </c>
      <c r="AN229" s="705">
        <v>1730</v>
      </c>
      <c r="AO229">
        <v>641</v>
      </c>
      <c r="AP229" s="705">
        <v>35872</v>
      </c>
      <c r="AQ229" s="705">
        <v>32611</v>
      </c>
      <c r="AR229" s="705">
        <v>12577</v>
      </c>
      <c r="AS229" s="705">
        <v>4658</v>
      </c>
      <c r="AT229" s="705">
        <v>105746</v>
      </c>
      <c r="AU229" s="705">
        <f t="shared" si="15"/>
        <v>105746</v>
      </c>
      <c r="AV229" s="705">
        <f t="shared" si="14"/>
        <v>215778</v>
      </c>
    </row>
    <row r="230" spans="2:48" ht="12.75" hidden="1" customHeight="1">
      <c r="B230" t="s">
        <v>535</v>
      </c>
      <c r="C230" t="s">
        <v>112</v>
      </c>
      <c r="D230" t="s">
        <v>673</v>
      </c>
      <c r="E230" t="s">
        <v>673</v>
      </c>
      <c r="F230">
        <v>2</v>
      </c>
      <c r="G230" s="705">
        <v>472</v>
      </c>
      <c r="H230" s="705">
        <v>214</v>
      </c>
      <c r="I230" s="705">
        <v>29662</v>
      </c>
      <c r="J230" s="705">
        <v>26965</v>
      </c>
      <c r="K230">
        <v>75</v>
      </c>
      <c r="L230" s="705">
        <v>2442</v>
      </c>
      <c r="M230" s="705">
        <v>2220</v>
      </c>
      <c r="N230" s="705">
        <v>5756</v>
      </c>
      <c r="O230" s="705">
        <v>2132</v>
      </c>
      <c r="P230" s="705">
        <v>2132</v>
      </c>
      <c r="Q230" s="705">
        <v>789</v>
      </c>
      <c r="R230" s="705">
        <v>10347</v>
      </c>
      <c r="S230" s="705">
        <v>9407</v>
      </c>
      <c r="T230" s="705">
        <v>0</v>
      </c>
      <c r="U230">
        <v>0</v>
      </c>
      <c r="V230" s="705">
        <v>41513</v>
      </c>
      <c r="W230" s="705">
        <f t="shared" si="12"/>
        <v>41513</v>
      </c>
      <c r="X230" s="705">
        <f t="shared" si="13"/>
        <v>50339</v>
      </c>
      <c r="Y230" s="705"/>
      <c r="AA230" t="s">
        <v>118</v>
      </c>
      <c r="AB230" t="s">
        <v>583</v>
      </c>
      <c r="AC230" t="s">
        <v>674</v>
      </c>
      <c r="AD230" s="705">
        <v>2</v>
      </c>
      <c r="AE230" s="705">
        <v>202</v>
      </c>
      <c r="AF230" s="705">
        <v>544</v>
      </c>
      <c r="AG230" s="705">
        <v>37473</v>
      </c>
      <c r="AH230" s="705">
        <v>34066</v>
      </c>
      <c r="AI230">
        <v>68</v>
      </c>
      <c r="AJ230" s="705">
        <v>6453</v>
      </c>
      <c r="AK230" s="705">
        <v>5867</v>
      </c>
      <c r="AL230" s="705">
        <v>4718</v>
      </c>
      <c r="AM230" s="705">
        <v>1747</v>
      </c>
      <c r="AN230" s="705">
        <v>1242</v>
      </c>
      <c r="AO230" s="705">
        <v>460</v>
      </c>
      <c r="AP230" s="705">
        <v>14796</v>
      </c>
      <c r="AQ230" s="705">
        <v>13451</v>
      </c>
      <c r="AR230" s="705">
        <v>0</v>
      </c>
      <c r="AS230" s="705">
        <v>0</v>
      </c>
      <c r="AT230" s="705">
        <v>55591</v>
      </c>
      <c r="AU230" s="705">
        <f t="shared" si="15"/>
        <v>55591</v>
      </c>
      <c r="AV230" s="705">
        <f t="shared" si="14"/>
        <v>64682</v>
      </c>
    </row>
    <row r="231" spans="2:48" ht="12.75" hidden="1" customHeight="1">
      <c r="B231" t="s">
        <v>535</v>
      </c>
      <c r="C231" t="s">
        <v>112</v>
      </c>
      <c r="D231" t="s">
        <v>585</v>
      </c>
      <c r="E231" t="s">
        <v>585</v>
      </c>
      <c r="F231" s="705">
        <v>2</v>
      </c>
      <c r="G231" s="705">
        <v>421</v>
      </c>
      <c r="H231" s="705">
        <v>247</v>
      </c>
      <c r="I231" s="705">
        <v>32297</v>
      </c>
      <c r="J231" s="705">
        <v>29361</v>
      </c>
      <c r="K231">
        <v>90</v>
      </c>
      <c r="L231" s="705">
        <v>2995</v>
      </c>
      <c r="M231" s="705">
        <v>2723</v>
      </c>
      <c r="N231" s="705">
        <v>5838</v>
      </c>
      <c r="O231" s="705">
        <v>2162</v>
      </c>
      <c r="P231" s="705">
        <v>2035</v>
      </c>
      <c r="Q231" s="705">
        <v>754</v>
      </c>
      <c r="R231" s="705">
        <v>8909</v>
      </c>
      <c r="S231" s="705">
        <v>8099</v>
      </c>
      <c r="T231" s="705">
        <v>0</v>
      </c>
      <c r="U231" s="705">
        <v>0</v>
      </c>
      <c r="V231" s="705">
        <v>43099</v>
      </c>
      <c r="W231" s="705">
        <f t="shared" si="12"/>
        <v>43099</v>
      </c>
      <c r="X231" s="705">
        <f t="shared" si="13"/>
        <v>52074</v>
      </c>
      <c r="Y231" s="705"/>
      <c r="AA231" t="s">
        <v>118</v>
      </c>
      <c r="AB231" t="s">
        <v>583</v>
      </c>
      <c r="AC231" t="s">
        <v>664</v>
      </c>
      <c r="AD231">
        <v>25</v>
      </c>
      <c r="AE231" s="705">
        <v>3579</v>
      </c>
      <c r="AF231" s="705">
        <v>6612</v>
      </c>
      <c r="AG231" s="705">
        <v>584391</v>
      </c>
      <c r="AH231" s="705">
        <v>531265</v>
      </c>
      <c r="AI231">
        <v>75</v>
      </c>
      <c r="AJ231" s="705">
        <v>118688</v>
      </c>
      <c r="AK231" s="705">
        <v>107011</v>
      </c>
      <c r="AL231" s="705">
        <v>67540</v>
      </c>
      <c r="AM231" s="705">
        <v>25015</v>
      </c>
      <c r="AN231" s="705">
        <v>16146</v>
      </c>
      <c r="AO231" s="705">
        <v>5980</v>
      </c>
      <c r="AP231" s="705">
        <v>147513</v>
      </c>
      <c r="AQ231" s="705">
        <v>134103</v>
      </c>
      <c r="AR231" s="705">
        <v>42282</v>
      </c>
      <c r="AS231" s="705">
        <v>15660</v>
      </c>
      <c r="AT231" s="705">
        <v>819033</v>
      </c>
      <c r="AU231" s="705">
        <f t="shared" si="15"/>
        <v>819034</v>
      </c>
      <c r="AV231" s="705">
        <f t="shared" si="14"/>
        <v>976560</v>
      </c>
    </row>
    <row r="232" spans="2:48" ht="12.75" hidden="1" customHeight="1">
      <c r="B232" t="s">
        <v>535</v>
      </c>
      <c r="C232" t="s">
        <v>114</v>
      </c>
      <c r="D232" t="s">
        <v>664</v>
      </c>
      <c r="E232" t="s">
        <v>664</v>
      </c>
      <c r="F232">
        <v>3</v>
      </c>
      <c r="G232" s="705">
        <v>536</v>
      </c>
      <c r="H232" s="705">
        <v>416</v>
      </c>
      <c r="I232" s="705">
        <v>36008</v>
      </c>
      <c r="J232" s="705">
        <v>32735</v>
      </c>
      <c r="K232">
        <v>92</v>
      </c>
      <c r="L232" s="705">
        <v>11614</v>
      </c>
      <c r="M232" s="705">
        <v>10558</v>
      </c>
      <c r="N232" s="705">
        <v>9551</v>
      </c>
      <c r="O232" s="705">
        <v>3537</v>
      </c>
      <c r="P232" s="705">
        <v>1418</v>
      </c>
      <c r="Q232" s="705">
        <v>525</v>
      </c>
      <c r="R232" s="705">
        <v>15460</v>
      </c>
      <c r="S232" s="705">
        <v>14055</v>
      </c>
      <c r="T232" s="705">
        <v>0</v>
      </c>
      <c r="U232" s="705">
        <v>0</v>
      </c>
      <c r="V232" s="705">
        <v>61410</v>
      </c>
      <c r="W232" s="705">
        <f t="shared" si="12"/>
        <v>61410</v>
      </c>
      <c r="X232" s="705">
        <f t="shared" si="13"/>
        <v>74051</v>
      </c>
      <c r="Y232" s="705"/>
      <c r="AA232" t="s">
        <v>118</v>
      </c>
      <c r="AB232" t="s">
        <v>583</v>
      </c>
      <c r="AC232" t="s">
        <v>582</v>
      </c>
      <c r="AD232">
        <v>4</v>
      </c>
      <c r="AE232" s="705">
        <v>1101</v>
      </c>
      <c r="AF232" s="705">
        <v>1098</v>
      </c>
      <c r="AG232" s="705">
        <v>188809</v>
      </c>
      <c r="AH232" s="705">
        <v>171645</v>
      </c>
      <c r="AI232">
        <v>78</v>
      </c>
      <c r="AJ232" s="705">
        <v>54431</v>
      </c>
      <c r="AK232" s="705">
        <v>38629</v>
      </c>
      <c r="AL232" s="705">
        <v>25227</v>
      </c>
      <c r="AM232" s="705">
        <v>9343</v>
      </c>
      <c r="AN232" s="705">
        <v>2835</v>
      </c>
      <c r="AO232" s="705">
        <v>1050</v>
      </c>
      <c r="AP232" s="705">
        <v>32503</v>
      </c>
      <c r="AQ232" s="705">
        <v>29548</v>
      </c>
      <c r="AR232" s="705">
        <v>0</v>
      </c>
      <c r="AS232" s="705">
        <v>0</v>
      </c>
      <c r="AT232" s="705">
        <v>250215</v>
      </c>
      <c r="AU232" s="705">
        <f t="shared" si="15"/>
        <v>250215</v>
      </c>
      <c r="AV232" s="705">
        <f t="shared" si="14"/>
        <v>303805</v>
      </c>
    </row>
    <row r="233" spans="2:48" ht="12.75" hidden="1" customHeight="1">
      <c r="B233" t="s">
        <v>535</v>
      </c>
      <c r="C233" t="s">
        <v>114</v>
      </c>
      <c r="D233" t="s">
        <v>582</v>
      </c>
      <c r="E233" t="s">
        <v>664</v>
      </c>
      <c r="F233">
        <v>1</v>
      </c>
      <c r="G233" s="705">
        <v>108</v>
      </c>
      <c r="H233" s="705">
        <v>134</v>
      </c>
      <c r="I233" s="705">
        <v>13697</v>
      </c>
      <c r="J233" s="705">
        <v>12452</v>
      </c>
      <c r="K233">
        <v>95</v>
      </c>
      <c r="L233" s="705">
        <v>2295</v>
      </c>
      <c r="M233" s="705">
        <v>2086</v>
      </c>
      <c r="N233" s="705">
        <v>3960</v>
      </c>
      <c r="O233" s="705">
        <v>1467</v>
      </c>
      <c r="P233" s="705">
        <v>621</v>
      </c>
      <c r="Q233" s="705">
        <v>230</v>
      </c>
      <c r="R233" s="705">
        <v>5120</v>
      </c>
      <c r="S233" s="705">
        <v>4655</v>
      </c>
      <c r="T233" s="705">
        <v>0</v>
      </c>
      <c r="U233" s="705">
        <v>0</v>
      </c>
      <c r="V233" s="705">
        <v>20890</v>
      </c>
      <c r="W233" s="705">
        <f t="shared" si="12"/>
        <v>20890</v>
      </c>
      <c r="X233" s="705">
        <f t="shared" si="13"/>
        <v>25693</v>
      </c>
      <c r="Y233" s="705"/>
      <c r="AA233" t="s">
        <v>118</v>
      </c>
      <c r="AB233" t="s">
        <v>583</v>
      </c>
      <c r="AC233" t="s">
        <v>228</v>
      </c>
      <c r="AD233">
        <v>177</v>
      </c>
      <c r="AE233" s="705">
        <v>24876</v>
      </c>
      <c r="AF233" s="705">
        <v>45886</v>
      </c>
      <c r="AG233" s="705">
        <v>3773642</v>
      </c>
      <c r="AH233" s="705">
        <v>3430584</v>
      </c>
      <c r="AI233">
        <v>82</v>
      </c>
      <c r="AJ233" s="705">
        <v>830638</v>
      </c>
      <c r="AK233" s="705">
        <v>718940</v>
      </c>
      <c r="AL233" s="705">
        <v>529236</v>
      </c>
      <c r="AM233" s="705">
        <v>196013</v>
      </c>
      <c r="AN233" s="705">
        <v>113310</v>
      </c>
      <c r="AO233" s="705">
        <v>41967</v>
      </c>
      <c r="AP233" s="705">
        <v>1407752</v>
      </c>
      <c r="AQ233" s="705">
        <v>521390</v>
      </c>
      <c r="AR233" s="705">
        <v>7070</v>
      </c>
      <c r="AS233" s="705">
        <v>2619</v>
      </c>
      <c r="AT233" s="705">
        <v>4911512</v>
      </c>
      <c r="AU233" s="705">
        <f t="shared" si="15"/>
        <v>4911513</v>
      </c>
      <c r="AV233" s="705">
        <f t="shared" si="14"/>
        <v>6661648</v>
      </c>
    </row>
    <row r="234" spans="2:48" ht="12.75" hidden="1" customHeight="1">
      <c r="B234" t="s">
        <v>535</v>
      </c>
      <c r="C234" t="s">
        <v>114</v>
      </c>
      <c r="D234" t="s">
        <v>582</v>
      </c>
      <c r="E234" t="s">
        <v>582</v>
      </c>
      <c r="F234" s="705">
        <v>53</v>
      </c>
      <c r="G234" s="705">
        <v>11744</v>
      </c>
      <c r="H234" s="705">
        <v>7458</v>
      </c>
      <c r="I234" s="705">
        <v>1015154</v>
      </c>
      <c r="J234" s="705">
        <v>922867</v>
      </c>
      <c r="K234">
        <v>89</v>
      </c>
      <c r="L234" s="705">
        <v>189083</v>
      </c>
      <c r="M234" s="705">
        <v>170409</v>
      </c>
      <c r="N234" s="705">
        <v>211597</v>
      </c>
      <c r="O234" s="705">
        <v>78369</v>
      </c>
      <c r="P234" s="705">
        <v>30390</v>
      </c>
      <c r="Q234" s="705">
        <v>11255</v>
      </c>
      <c r="R234" s="705">
        <v>273485</v>
      </c>
      <c r="S234" s="705">
        <v>248623</v>
      </c>
      <c r="T234" s="705">
        <v>16535</v>
      </c>
      <c r="U234" s="705">
        <v>6124</v>
      </c>
      <c r="V234" s="705">
        <v>1437648</v>
      </c>
      <c r="W234" s="705">
        <f t="shared" si="12"/>
        <v>1437647</v>
      </c>
      <c r="X234" s="705">
        <f t="shared" si="13"/>
        <v>1736244</v>
      </c>
      <c r="Y234" s="705"/>
      <c r="AA234" t="s">
        <v>118</v>
      </c>
      <c r="AB234" t="s">
        <v>583</v>
      </c>
      <c r="AC234" t="s">
        <v>583</v>
      </c>
      <c r="AD234" s="705">
        <v>48657</v>
      </c>
      <c r="AE234" s="705">
        <v>6425217</v>
      </c>
      <c r="AF234" s="705">
        <v>12663902</v>
      </c>
      <c r="AG234" s="705">
        <v>997414954</v>
      </c>
      <c r="AH234" s="705">
        <v>906740865</v>
      </c>
      <c r="AI234">
        <v>80</v>
      </c>
      <c r="AJ234" s="705">
        <v>208097295</v>
      </c>
      <c r="AK234" s="705">
        <v>185987462</v>
      </c>
      <c r="AL234" s="705">
        <v>134306440</v>
      </c>
      <c r="AM234" s="705">
        <v>49743125</v>
      </c>
      <c r="AN234" s="705">
        <v>31822770</v>
      </c>
      <c r="AO234" s="705">
        <v>11786211</v>
      </c>
      <c r="AP234" s="705">
        <v>258290130</v>
      </c>
      <c r="AQ234" s="705">
        <v>234809207</v>
      </c>
      <c r="AR234" s="705">
        <v>78583271</v>
      </c>
      <c r="AS234" s="705">
        <v>29104915</v>
      </c>
      <c r="AT234" s="705">
        <v>1418171784</v>
      </c>
      <c r="AU234" s="705">
        <f t="shared" si="15"/>
        <v>1418171785</v>
      </c>
      <c r="AV234" s="705">
        <f t="shared" si="14"/>
        <v>1708514860</v>
      </c>
    </row>
    <row r="235" spans="2:48" ht="12.75" hidden="1" customHeight="1">
      <c r="B235" t="s">
        <v>535</v>
      </c>
      <c r="C235" t="s">
        <v>114</v>
      </c>
      <c r="D235" t="s">
        <v>582</v>
      </c>
      <c r="E235" t="s">
        <v>584</v>
      </c>
      <c r="F235">
        <v>1</v>
      </c>
      <c r="G235">
        <v>95</v>
      </c>
      <c r="H235" s="705">
        <v>144</v>
      </c>
      <c r="I235" s="705">
        <v>12047</v>
      </c>
      <c r="J235" s="705">
        <v>10952</v>
      </c>
      <c r="K235">
        <v>80</v>
      </c>
      <c r="L235" s="705">
        <v>1652</v>
      </c>
      <c r="M235" s="705">
        <v>1501</v>
      </c>
      <c r="N235" s="705">
        <v>2945</v>
      </c>
      <c r="O235" s="705">
        <v>1091</v>
      </c>
      <c r="P235">
        <v>824</v>
      </c>
      <c r="Q235">
        <v>305</v>
      </c>
      <c r="R235" s="705">
        <v>6514</v>
      </c>
      <c r="S235" s="705">
        <v>5922</v>
      </c>
      <c r="T235">
        <v>0</v>
      </c>
      <c r="U235">
        <v>0</v>
      </c>
      <c r="V235" s="705">
        <v>19771</v>
      </c>
      <c r="W235" s="705">
        <f t="shared" si="12"/>
        <v>19771</v>
      </c>
      <c r="X235" s="705">
        <f t="shared" si="13"/>
        <v>23982</v>
      </c>
      <c r="Y235" s="705"/>
      <c r="AA235" t="s">
        <v>118</v>
      </c>
      <c r="AB235" t="s">
        <v>583</v>
      </c>
      <c r="AC235" t="s">
        <v>666</v>
      </c>
      <c r="AD235">
        <v>44</v>
      </c>
      <c r="AE235" s="705">
        <v>5625</v>
      </c>
      <c r="AF235" s="705">
        <v>11398</v>
      </c>
      <c r="AG235" s="705">
        <v>879505</v>
      </c>
      <c r="AH235" s="705">
        <v>799550</v>
      </c>
      <c r="AI235">
        <v>79</v>
      </c>
      <c r="AJ235" s="705">
        <v>173475</v>
      </c>
      <c r="AK235" s="705">
        <v>158544</v>
      </c>
      <c r="AL235" s="705">
        <v>116214</v>
      </c>
      <c r="AM235" s="705">
        <v>43042</v>
      </c>
      <c r="AN235" s="705">
        <v>29401</v>
      </c>
      <c r="AO235" s="705">
        <v>10889</v>
      </c>
      <c r="AP235" s="705">
        <v>244810</v>
      </c>
      <c r="AQ235" s="705">
        <v>222555</v>
      </c>
      <c r="AR235" s="705">
        <v>65875</v>
      </c>
      <c r="AS235" s="705">
        <v>24398</v>
      </c>
      <c r="AT235" s="705">
        <v>1258978</v>
      </c>
      <c r="AU235" s="705">
        <f t="shared" si="15"/>
        <v>1258978</v>
      </c>
      <c r="AV235" s="705">
        <f t="shared" si="14"/>
        <v>1509280</v>
      </c>
    </row>
    <row r="236" spans="2:48" ht="12.75" hidden="1" customHeight="1">
      <c r="B236" t="s">
        <v>535</v>
      </c>
      <c r="C236" t="s">
        <v>114</v>
      </c>
      <c r="D236" t="s">
        <v>228</v>
      </c>
      <c r="E236" t="s">
        <v>228</v>
      </c>
      <c r="F236">
        <v>23</v>
      </c>
      <c r="G236" s="705">
        <v>5516</v>
      </c>
      <c r="H236" s="705">
        <v>3305</v>
      </c>
      <c r="I236" s="705">
        <v>413501</v>
      </c>
      <c r="J236" s="705">
        <v>153149</v>
      </c>
      <c r="K236">
        <v>309</v>
      </c>
      <c r="L236" s="705">
        <v>92468</v>
      </c>
      <c r="M236" s="705">
        <v>83071</v>
      </c>
      <c r="N236" s="705">
        <v>101866</v>
      </c>
      <c r="O236" s="705">
        <v>37728</v>
      </c>
      <c r="P236" s="705">
        <v>21246</v>
      </c>
      <c r="Q236" s="705">
        <v>7869</v>
      </c>
      <c r="R236" s="705">
        <v>193582</v>
      </c>
      <c r="S236" s="705">
        <v>71697</v>
      </c>
      <c r="T236" s="705">
        <v>3493</v>
      </c>
      <c r="U236" s="705">
        <v>1294</v>
      </c>
      <c r="V236" s="705">
        <v>354808</v>
      </c>
      <c r="W236" s="705">
        <f t="shared" si="12"/>
        <v>354808</v>
      </c>
      <c r="X236" s="705">
        <f t="shared" si="13"/>
        <v>826156</v>
      </c>
      <c r="Y236" s="705"/>
      <c r="AA236" t="s">
        <v>118</v>
      </c>
      <c r="AB236" t="s">
        <v>583</v>
      </c>
      <c r="AC236" t="s">
        <v>584</v>
      </c>
      <c r="AD236">
        <v>20</v>
      </c>
      <c r="AE236" s="705">
        <v>2947</v>
      </c>
      <c r="AF236" s="705">
        <v>5220</v>
      </c>
      <c r="AG236" s="705">
        <v>467599</v>
      </c>
      <c r="AH236" s="705">
        <v>425090</v>
      </c>
      <c r="AI236">
        <v>81</v>
      </c>
      <c r="AJ236" s="705">
        <v>113463</v>
      </c>
      <c r="AK236" s="705">
        <v>100442</v>
      </c>
      <c r="AL236" s="705">
        <v>61163</v>
      </c>
      <c r="AM236" s="705">
        <v>22653</v>
      </c>
      <c r="AN236" s="705">
        <v>12150</v>
      </c>
      <c r="AO236" s="705">
        <v>4500</v>
      </c>
      <c r="AP236" s="705">
        <v>109173</v>
      </c>
      <c r="AQ236" s="705">
        <v>99248</v>
      </c>
      <c r="AR236" s="705">
        <v>34904</v>
      </c>
      <c r="AS236" s="705">
        <v>12927</v>
      </c>
      <c r="AT236" s="705">
        <v>664861</v>
      </c>
      <c r="AU236" s="705">
        <f t="shared" si="15"/>
        <v>664860</v>
      </c>
      <c r="AV236" s="705">
        <f t="shared" si="14"/>
        <v>798452</v>
      </c>
    </row>
    <row r="237" spans="2:48" ht="12.75" hidden="1" customHeight="1">
      <c r="B237" t="s">
        <v>535</v>
      </c>
      <c r="C237" t="s">
        <v>114</v>
      </c>
      <c r="D237" t="s">
        <v>228</v>
      </c>
      <c r="E237" t="s">
        <v>665</v>
      </c>
      <c r="F237" s="705">
        <v>1</v>
      </c>
      <c r="G237" s="705">
        <v>257</v>
      </c>
      <c r="H237" s="705">
        <v>145</v>
      </c>
      <c r="I237" s="705">
        <v>17874</v>
      </c>
      <c r="J237" s="705">
        <v>6620</v>
      </c>
      <c r="K237">
        <v>320</v>
      </c>
      <c r="L237" s="705">
        <v>2538</v>
      </c>
      <c r="M237" s="705">
        <v>2308</v>
      </c>
      <c r="N237" s="705">
        <v>6018</v>
      </c>
      <c r="O237" s="705">
        <v>2229</v>
      </c>
      <c r="P237" s="705">
        <v>702</v>
      </c>
      <c r="Q237" s="705">
        <v>260</v>
      </c>
      <c r="R237" s="705">
        <v>6037</v>
      </c>
      <c r="S237" s="705">
        <v>5488</v>
      </c>
      <c r="T237" s="705">
        <v>4124</v>
      </c>
      <c r="U237" s="705">
        <v>1527</v>
      </c>
      <c r="V237" s="705">
        <v>18432</v>
      </c>
      <c r="W237" s="705">
        <f t="shared" si="12"/>
        <v>18432</v>
      </c>
      <c r="X237" s="705">
        <f t="shared" si="13"/>
        <v>37293</v>
      </c>
      <c r="Y237" s="705"/>
      <c r="AA237" t="s">
        <v>118</v>
      </c>
      <c r="AB237" t="s">
        <v>583</v>
      </c>
      <c r="AC237" t="s">
        <v>669</v>
      </c>
      <c r="AD237">
        <v>3</v>
      </c>
      <c r="AE237" s="705">
        <v>411</v>
      </c>
      <c r="AF237" s="705">
        <v>757</v>
      </c>
      <c r="AG237" s="705">
        <v>54647</v>
      </c>
      <c r="AH237" s="705">
        <v>49679</v>
      </c>
      <c r="AI237">
        <v>77</v>
      </c>
      <c r="AJ237" s="705">
        <v>14789</v>
      </c>
      <c r="AK237" s="705">
        <v>13444</v>
      </c>
      <c r="AL237" s="705">
        <v>8053</v>
      </c>
      <c r="AM237" s="705">
        <v>2983</v>
      </c>
      <c r="AN237" s="705">
        <v>1863</v>
      </c>
      <c r="AO237" s="705">
        <v>690</v>
      </c>
      <c r="AP237" s="705">
        <v>22381</v>
      </c>
      <c r="AQ237" s="705">
        <v>18651</v>
      </c>
      <c r="AR237" s="705">
        <v>0</v>
      </c>
      <c r="AS237" s="705">
        <v>0</v>
      </c>
      <c r="AT237" s="705">
        <v>85447</v>
      </c>
      <c r="AU237" s="705">
        <f t="shared" si="15"/>
        <v>85447</v>
      </c>
      <c r="AV237" s="705">
        <f t="shared" si="14"/>
        <v>101733</v>
      </c>
    </row>
    <row r="238" spans="2:48" ht="12.75" hidden="1" customHeight="1">
      <c r="B238" t="s">
        <v>535</v>
      </c>
      <c r="C238" t="s">
        <v>114</v>
      </c>
      <c r="D238" t="s">
        <v>583</v>
      </c>
      <c r="E238" t="s">
        <v>228</v>
      </c>
      <c r="F238">
        <v>3</v>
      </c>
      <c r="G238" s="705">
        <v>575</v>
      </c>
      <c r="H238" s="705">
        <v>413</v>
      </c>
      <c r="I238" s="705">
        <v>52497</v>
      </c>
      <c r="J238" s="705">
        <v>47724</v>
      </c>
      <c r="K238">
        <v>92</v>
      </c>
      <c r="L238" s="705">
        <v>8658</v>
      </c>
      <c r="M238" s="705">
        <v>7871</v>
      </c>
      <c r="N238" s="705">
        <v>10895</v>
      </c>
      <c r="O238" s="705">
        <v>4035</v>
      </c>
      <c r="P238" s="705">
        <v>1863</v>
      </c>
      <c r="Q238" s="705">
        <v>690</v>
      </c>
      <c r="R238" s="705">
        <v>20447</v>
      </c>
      <c r="S238" s="705">
        <v>7573</v>
      </c>
      <c r="T238" s="705">
        <v>0</v>
      </c>
      <c r="U238" s="705">
        <v>0</v>
      </c>
      <c r="V238" s="705">
        <v>67894</v>
      </c>
      <c r="W238" s="705">
        <f t="shared" si="12"/>
        <v>67893</v>
      </c>
      <c r="X238" s="705">
        <f t="shared" si="13"/>
        <v>94360</v>
      </c>
      <c r="Y238" s="705"/>
      <c r="AA238" t="s">
        <v>118</v>
      </c>
      <c r="AB238" t="s">
        <v>583</v>
      </c>
      <c r="AC238" t="s">
        <v>667</v>
      </c>
      <c r="AD238">
        <v>3</v>
      </c>
      <c r="AE238">
        <v>456</v>
      </c>
      <c r="AF238">
        <v>716</v>
      </c>
      <c r="AG238" s="705">
        <v>63594</v>
      </c>
      <c r="AH238" s="705">
        <v>57813</v>
      </c>
      <c r="AI238">
        <v>87</v>
      </c>
      <c r="AJ238" s="705">
        <v>11892</v>
      </c>
      <c r="AK238" s="705">
        <v>10811</v>
      </c>
      <c r="AL238" s="705">
        <v>7061</v>
      </c>
      <c r="AM238" s="705">
        <v>2615</v>
      </c>
      <c r="AN238" s="705">
        <v>1593</v>
      </c>
      <c r="AO238">
        <v>590</v>
      </c>
      <c r="AP238" s="705">
        <v>14951</v>
      </c>
      <c r="AQ238" s="705">
        <v>13591</v>
      </c>
      <c r="AR238" s="705">
        <v>9649</v>
      </c>
      <c r="AS238" s="705">
        <v>3574</v>
      </c>
      <c r="AT238" s="705">
        <v>88994</v>
      </c>
      <c r="AU238" s="705">
        <f t="shared" si="15"/>
        <v>88994</v>
      </c>
      <c r="AV238" s="705">
        <f t="shared" si="14"/>
        <v>108740</v>
      </c>
    </row>
    <row r="239" spans="2:48" ht="12.75" hidden="1" customHeight="1">
      <c r="B239" t="s">
        <v>535</v>
      </c>
      <c r="C239" t="s">
        <v>114</v>
      </c>
      <c r="D239" t="s">
        <v>583</v>
      </c>
      <c r="E239" t="s">
        <v>583</v>
      </c>
      <c r="F239">
        <v>542</v>
      </c>
      <c r="G239" s="705">
        <v>113250</v>
      </c>
      <c r="H239" s="705">
        <v>76127</v>
      </c>
      <c r="I239" s="705">
        <v>9575782</v>
      </c>
      <c r="J239" s="705">
        <v>8705256</v>
      </c>
      <c r="K239">
        <v>89</v>
      </c>
      <c r="L239" s="705">
        <v>1817425</v>
      </c>
      <c r="M239" s="705">
        <v>1686131</v>
      </c>
      <c r="N239" s="705">
        <v>2165359</v>
      </c>
      <c r="O239" s="705">
        <v>801985</v>
      </c>
      <c r="P239" s="705">
        <v>363253</v>
      </c>
      <c r="Q239" s="705">
        <v>134538</v>
      </c>
      <c r="R239" s="705">
        <v>2980232</v>
      </c>
      <c r="S239" s="705">
        <v>2709302</v>
      </c>
      <c r="T239" s="705">
        <v>193352</v>
      </c>
      <c r="U239" s="705">
        <v>71612</v>
      </c>
      <c r="V239" s="705">
        <v>14108824</v>
      </c>
      <c r="W239" s="705">
        <f t="shared" si="12"/>
        <v>14108824</v>
      </c>
      <c r="X239" s="705">
        <f t="shared" si="13"/>
        <v>17095403</v>
      </c>
      <c r="Y239" s="705"/>
      <c r="AA239" t="s">
        <v>118</v>
      </c>
      <c r="AB239" t="s">
        <v>583</v>
      </c>
      <c r="AC239" t="s">
        <v>671</v>
      </c>
      <c r="AD239">
        <v>14</v>
      </c>
      <c r="AE239" s="705">
        <v>1918</v>
      </c>
      <c r="AF239" s="705">
        <v>3701</v>
      </c>
      <c r="AG239" s="705">
        <v>270210</v>
      </c>
      <c r="AH239" s="705">
        <v>245645</v>
      </c>
      <c r="AI239">
        <v>81</v>
      </c>
      <c r="AJ239" s="705">
        <v>51616</v>
      </c>
      <c r="AK239" s="705">
        <v>46924</v>
      </c>
      <c r="AL239" s="705">
        <v>40693</v>
      </c>
      <c r="AM239" s="705">
        <v>15072</v>
      </c>
      <c r="AN239" s="705">
        <v>9747</v>
      </c>
      <c r="AO239" s="705">
        <v>3610</v>
      </c>
      <c r="AP239" s="705">
        <v>102817</v>
      </c>
      <c r="AQ239" s="705">
        <v>93470</v>
      </c>
      <c r="AR239" s="705">
        <v>28599</v>
      </c>
      <c r="AS239" s="705">
        <v>10592</v>
      </c>
      <c r="AT239" s="705">
        <v>415313</v>
      </c>
      <c r="AU239" s="705">
        <f t="shared" si="15"/>
        <v>415313</v>
      </c>
      <c r="AV239" s="705">
        <f t="shared" si="14"/>
        <v>503682</v>
      </c>
    </row>
    <row r="240" spans="2:48" ht="12.75" hidden="1" customHeight="1">
      <c r="B240" t="s">
        <v>535</v>
      </c>
      <c r="C240" t="s">
        <v>114</v>
      </c>
      <c r="D240" t="s">
        <v>584</v>
      </c>
      <c r="E240" t="s">
        <v>584</v>
      </c>
      <c r="F240">
        <v>72</v>
      </c>
      <c r="G240" s="705">
        <v>15336</v>
      </c>
      <c r="H240" s="705">
        <v>10052</v>
      </c>
      <c r="I240" s="705">
        <v>1208126</v>
      </c>
      <c r="J240" s="705">
        <v>1098296</v>
      </c>
      <c r="K240">
        <v>86</v>
      </c>
      <c r="L240" s="705">
        <v>237541</v>
      </c>
      <c r="M240" s="705">
        <v>218684</v>
      </c>
      <c r="N240" s="705">
        <v>309769</v>
      </c>
      <c r="O240" s="705">
        <v>114729</v>
      </c>
      <c r="P240" s="705">
        <v>37071</v>
      </c>
      <c r="Q240" s="705">
        <v>13730</v>
      </c>
      <c r="R240" s="705">
        <v>402633</v>
      </c>
      <c r="S240" s="705">
        <v>366030</v>
      </c>
      <c r="T240" s="705">
        <v>22615</v>
      </c>
      <c r="U240" s="705">
        <v>8376</v>
      </c>
      <c r="V240" s="705">
        <v>1819845</v>
      </c>
      <c r="W240" s="705">
        <f t="shared" si="12"/>
        <v>1819845</v>
      </c>
      <c r="X240" s="705">
        <f t="shared" si="13"/>
        <v>2217755</v>
      </c>
      <c r="Y240" s="705"/>
      <c r="AA240" t="s">
        <v>118</v>
      </c>
      <c r="AB240" t="s">
        <v>583</v>
      </c>
      <c r="AC240" t="s">
        <v>665</v>
      </c>
      <c r="AD240">
        <v>59</v>
      </c>
      <c r="AE240" s="705">
        <v>8317</v>
      </c>
      <c r="AF240" s="705">
        <v>15596</v>
      </c>
      <c r="AG240" s="705">
        <v>1268470</v>
      </c>
      <c r="AH240" s="705">
        <v>1153154</v>
      </c>
      <c r="AI240">
        <v>78</v>
      </c>
      <c r="AJ240" s="705">
        <v>267692</v>
      </c>
      <c r="AK240" s="705">
        <v>223908</v>
      </c>
      <c r="AL240" s="705">
        <v>174827</v>
      </c>
      <c r="AM240" s="705">
        <v>64751</v>
      </c>
      <c r="AN240" s="705">
        <v>38516</v>
      </c>
      <c r="AO240" s="705">
        <v>14265</v>
      </c>
      <c r="AP240" s="705">
        <v>382401</v>
      </c>
      <c r="AQ240" s="705">
        <v>347637</v>
      </c>
      <c r="AR240" s="705">
        <v>118898</v>
      </c>
      <c r="AS240" s="705">
        <v>44036</v>
      </c>
      <c r="AT240" s="705">
        <v>1847751</v>
      </c>
      <c r="AU240" s="705">
        <f t="shared" si="15"/>
        <v>1847751</v>
      </c>
      <c r="AV240" s="705">
        <f t="shared" si="14"/>
        <v>2250804</v>
      </c>
    </row>
    <row r="241" spans="2:48" ht="12.75" hidden="1" customHeight="1">
      <c r="B241" t="s">
        <v>535</v>
      </c>
      <c r="C241" t="s">
        <v>114</v>
      </c>
      <c r="D241" t="s">
        <v>722</v>
      </c>
      <c r="E241" t="s">
        <v>722</v>
      </c>
      <c r="F241">
        <v>1</v>
      </c>
      <c r="G241" s="705">
        <v>213</v>
      </c>
      <c r="H241" s="705">
        <v>144</v>
      </c>
      <c r="I241" s="705">
        <v>16216</v>
      </c>
      <c r="J241" s="705">
        <v>14742</v>
      </c>
      <c r="K241">
        <v>87</v>
      </c>
      <c r="L241" s="705">
        <v>2613</v>
      </c>
      <c r="M241" s="705">
        <v>2375</v>
      </c>
      <c r="N241" s="705">
        <v>5198</v>
      </c>
      <c r="O241" s="705">
        <v>1925</v>
      </c>
      <c r="P241" s="705">
        <v>1053</v>
      </c>
      <c r="Q241" s="705">
        <v>390</v>
      </c>
      <c r="R241" s="705">
        <v>5624</v>
      </c>
      <c r="S241" s="705">
        <v>5113</v>
      </c>
      <c r="T241" s="705">
        <v>0</v>
      </c>
      <c r="U241" s="705">
        <v>0</v>
      </c>
      <c r="V241" s="705">
        <v>24545</v>
      </c>
      <c r="W241" s="705">
        <f t="shared" si="12"/>
        <v>24545</v>
      </c>
      <c r="X241" s="705">
        <f t="shared" si="13"/>
        <v>30704</v>
      </c>
      <c r="Y241" s="705"/>
      <c r="AA241" t="s">
        <v>118</v>
      </c>
      <c r="AB241" t="s">
        <v>583</v>
      </c>
      <c r="AC241" t="s">
        <v>722</v>
      </c>
      <c r="AD241">
        <v>1</v>
      </c>
      <c r="AE241" s="705">
        <v>129</v>
      </c>
      <c r="AF241" s="705">
        <v>292</v>
      </c>
      <c r="AG241" s="705">
        <v>21909</v>
      </c>
      <c r="AH241" s="705">
        <v>19917</v>
      </c>
      <c r="AI241">
        <v>83</v>
      </c>
      <c r="AJ241" s="705">
        <v>6394</v>
      </c>
      <c r="AK241" s="705">
        <v>5813</v>
      </c>
      <c r="AL241" s="705">
        <v>2714</v>
      </c>
      <c r="AM241" s="705">
        <v>1005</v>
      </c>
      <c r="AN241">
        <v>621</v>
      </c>
      <c r="AO241">
        <v>230</v>
      </c>
      <c r="AP241" s="705">
        <v>3588</v>
      </c>
      <c r="AQ241" s="705">
        <v>3262</v>
      </c>
      <c r="AR241" s="705">
        <v>2333</v>
      </c>
      <c r="AS241">
        <v>864</v>
      </c>
      <c r="AT241" s="705">
        <v>31091</v>
      </c>
      <c r="AU241" s="705">
        <f t="shared" si="15"/>
        <v>31091</v>
      </c>
      <c r="AV241" s="705">
        <f t="shared" si="14"/>
        <v>37559</v>
      </c>
    </row>
    <row r="242" spans="2:48" ht="12.75" hidden="1" customHeight="1">
      <c r="B242" t="s">
        <v>535</v>
      </c>
      <c r="C242" t="s">
        <v>114</v>
      </c>
      <c r="D242" t="s">
        <v>673</v>
      </c>
      <c r="E242" t="s">
        <v>673</v>
      </c>
      <c r="F242">
        <v>1</v>
      </c>
      <c r="G242" s="705">
        <v>195</v>
      </c>
      <c r="H242">
        <v>138</v>
      </c>
      <c r="I242" s="705">
        <v>13045</v>
      </c>
      <c r="J242" s="705">
        <v>11859</v>
      </c>
      <c r="K242">
        <v>80</v>
      </c>
      <c r="L242" s="705">
        <v>1933</v>
      </c>
      <c r="M242" s="705">
        <v>1757</v>
      </c>
      <c r="N242" s="705">
        <v>3566</v>
      </c>
      <c r="O242" s="705">
        <v>1321</v>
      </c>
      <c r="P242" s="705">
        <v>351</v>
      </c>
      <c r="Q242" s="705">
        <v>130</v>
      </c>
      <c r="R242" s="705">
        <v>4931</v>
      </c>
      <c r="S242" s="705">
        <v>4483</v>
      </c>
      <c r="T242" s="705">
        <v>3179</v>
      </c>
      <c r="U242" s="705">
        <v>1177</v>
      </c>
      <c r="V242" s="705">
        <v>20726</v>
      </c>
      <c r="W242" s="705">
        <f t="shared" si="12"/>
        <v>20727</v>
      </c>
      <c r="X242" s="705">
        <f t="shared" si="13"/>
        <v>27005</v>
      </c>
      <c r="Y242" s="705"/>
      <c r="AA242" t="s">
        <v>118</v>
      </c>
      <c r="AB242" t="s">
        <v>583</v>
      </c>
      <c r="AC242" t="s">
        <v>673</v>
      </c>
      <c r="AD242" s="705">
        <v>5</v>
      </c>
      <c r="AE242" s="705">
        <v>907</v>
      </c>
      <c r="AF242" s="705">
        <v>1306</v>
      </c>
      <c r="AG242" s="705">
        <v>154895</v>
      </c>
      <c r="AH242" s="705">
        <v>140814</v>
      </c>
      <c r="AI242">
        <v>80</v>
      </c>
      <c r="AJ242" s="705">
        <v>18901</v>
      </c>
      <c r="AK242" s="705">
        <v>17183</v>
      </c>
      <c r="AL242" s="705">
        <v>18956</v>
      </c>
      <c r="AM242" s="705">
        <v>7021</v>
      </c>
      <c r="AN242" s="705">
        <v>3456</v>
      </c>
      <c r="AO242" s="705">
        <v>1280</v>
      </c>
      <c r="AP242" s="705">
        <v>23282</v>
      </c>
      <c r="AQ242" s="705">
        <v>21166</v>
      </c>
      <c r="AR242" s="705">
        <v>8690</v>
      </c>
      <c r="AS242" s="705">
        <v>3219</v>
      </c>
      <c r="AT242" s="705">
        <v>190681</v>
      </c>
      <c r="AU242" s="705">
        <f t="shared" si="15"/>
        <v>190683</v>
      </c>
      <c r="AV242" s="705">
        <f t="shared" si="14"/>
        <v>228180</v>
      </c>
    </row>
    <row r="243" spans="2:48" ht="12.75" hidden="1" customHeight="1">
      <c r="B243" t="s">
        <v>535</v>
      </c>
      <c r="C243" t="s">
        <v>114</v>
      </c>
      <c r="D243" t="s">
        <v>585</v>
      </c>
      <c r="E243" t="s">
        <v>585</v>
      </c>
      <c r="F243">
        <v>6</v>
      </c>
      <c r="G243" s="705">
        <v>1535</v>
      </c>
      <c r="H243">
        <v>836</v>
      </c>
      <c r="I243" s="705">
        <v>141070</v>
      </c>
      <c r="J243" s="705">
        <v>128245</v>
      </c>
      <c r="K243">
        <v>84</v>
      </c>
      <c r="L243" s="705">
        <v>19728</v>
      </c>
      <c r="M243" s="705">
        <v>17935</v>
      </c>
      <c r="N243" s="705">
        <v>31180</v>
      </c>
      <c r="O243" s="705">
        <v>11548</v>
      </c>
      <c r="P243" s="705">
        <v>3159</v>
      </c>
      <c r="Q243" s="705">
        <v>1170</v>
      </c>
      <c r="R243" s="705">
        <v>29762</v>
      </c>
      <c r="S243" s="705">
        <v>27057</v>
      </c>
      <c r="T243" s="705">
        <v>4455</v>
      </c>
      <c r="U243" s="705">
        <v>1650</v>
      </c>
      <c r="V243" s="705">
        <v>187605</v>
      </c>
      <c r="W243" s="705">
        <f t="shared" si="12"/>
        <v>187605</v>
      </c>
      <c r="X243" s="705">
        <f t="shared" si="13"/>
        <v>229354</v>
      </c>
      <c r="Y243" s="705"/>
      <c r="AA243" t="s">
        <v>118</v>
      </c>
      <c r="AB243" t="s">
        <v>666</v>
      </c>
      <c r="AC243" t="s">
        <v>674</v>
      </c>
      <c r="AD243">
        <v>1</v>
      </c>
      <c r="AE243" s="705">
        <v>105</v>
      </c>
      <c r="AF243" s="705">
        <v>291</v>
      </c>
      <c r="AG243" s="705">
        <v>16854</v>
      </c>
      <c r="AH243" s="705">
        <v>15321</v>
      </c>
      <c r="AI243">
        <v>65</v>
      </c>
      <c r="AJ243" s="705">
        <v>4057</v>
      </c>
      <c r="AK243" s="705">
        <v>3689</v>
      </c>
      <c r="AL243" s="705">
        <v>2143</v>
      </c>
      <c r="AM243" s="705">
        <v>794</v>
      </c>
      <c r="AN243" s="705">
        <v>351</v>
      </c>
      <c r="AO243" s="705">
        <v>130</v>
      </c>
      <c r="AP243" s="705">
        <v>4548</v>
      </c>
      <c r="AQ243" s="705">
        <v>4134</v>
      </c>
      <c r="AR243" s="705">
        <v>2487</v>
      </c>
      <c r="AS243" s="705">
        <v>921</v>
      </c>
      <c r="AT243" s="705">
        <v>24989</v>
      </c>
      <c r="AU243" s="705">
        <f t="shared" si="15"/>
        <v>24989</v>
      </c>
      <c r="AV243" s="705">
        <f t="shared" si="14"/>
        <v>30440</v>
      </c>
    </row>
    <row r="244" spans="2:48" ht="12.75" hidden="1" customHeight="1">
      <c r="B244" t="s">
        <v>535</v>
      </c>
      <c r="C244" t="s">
        <v>114</v>
      </c>
      <c r="D244" t="s">
        <v>668</v>
      </c>
      <c r="E244" t="s">
        <v>668</v>
      </c>
      <c r="F244">
        <v>1</v>
      </c>
      <c r="G244" s="705">
        <v>186</v>
      </c>
      <c r="H244" s="705">
        <v>142</v>
      </c>
      <c r="I244" s="705">
        <v>9568</v>
      </c>
      <c r="J244" s="705">
        <v>8698</v>
      </c>
      <c r="K244">
        <v>65</v>
      </c>
      <c r="L244" s="705">
        <v>1152</v>
      </c>
      <c r="M244" s="705">
        <v>1047</v>
      </c>
      <c r="N244" s="705">
        <v>3233</v>
      </c>
      <c r="O244" s="705">
        <v>1198</v>
      </c>
      <c r="P244" s="705">
        <v>1404</v>
      </c>
      <c r="Q244" s="705">
        <v>520</v>
      </c>
      <c r="R244" s="705">
        <v>10951</v>
      </c>
      <c r="S244" s="705">
        <v>9956</v>
      </c>
      <c r="T244" s="705">
        <v>0</v>
      </c>
      <c r="U244" s="705">
        <v>0</v>
      </c>
      <c r="V244" s="705">
        <v>21418</v>
      </c>
      <c r="W244" s="705">
        <f t="shared" si="12"/>
        <v>21419</v>
      </c>
      <c r="X244" s="705">
        <f t="shared" si="13"/>
        <v>26308</v>
      </c>
      <c r="Y244" s="705"/>
      <c r="AA244" t="s">
        <v>118</v>
      </c>
      <c r="AB244" t="s">
        <v>666</v>
      </c>
      <c r="AC244" t="s">
        <v>228</v>
      </c>
      <c r="AD244">
        <v>7</v>
      </c>
      <c r="AE244" s="705">
        <v>893</v>
      </c>
      <c r="AF244" s="705">
        <v>1939</v>
      </c>
      <c r="AG244" s="705">
        <v>164352</v>
      </c>
      <c r="AH244" s="705">
        <v>149411</v>
      </c>
      <c r="AI244">
        <v>62</v>
      </c>
      <c r="AJ244" s="705">
        <v>23678</v>
      </c>
      <c r="AK244" s="705">
        <v>15435</v>
      </c>
      <c r="AL244" s="705">
        <v>19268</v>
      </c>
      <c r="AM244" s="705">
        <v>7136</v>
      </c>
      <c r="AN244" s="705">
        <v>1755</v>
      </c>
      <c r="AO244" s="705">
        <v>650</v>
      </c>
      <c r="AP244" s="705">
        <v>58780</v>
      </c>
      <c r="AQ244" s="705">
        <v>21771</v>
      </c>
      <c r="AR244" s="705">
        <v>0</v>
      </c>
      <c r="AS244" s="705">
        <v>0</v>
      </c>
      <c r="AT244" s="705">
        <v>194404</v>
      </c>
      <c r="AU244" s="705">
        <f t="shared" si="15"/>
        <v>194403</v>
      </c>
      <c r="AV244" s="705">
        <f t="shared" si="14"/>
        <v>267833</v>
      </c>
    </row>
    <row r="245" spans="2:48" ht="12.75" hidden="1" customHeight="1">
      <c r="B245" t="s">
        <v>535</v>
      </c>
      <c r="C245" t="s">
        <v>116</v>
      </c>
      <c r="D245" t="s">
        <v>664</v>
      </c>
      <c r="E245" t="s">
        <v>664</v>
      </c>
      <c r="F245">
        <v>11</v>
      </c>
      <c r="G245" s="705">
        <v>1365</v>
      </c>
      <c r="H245" s="705">
        <v>2238</v>
      </c>
      <c r="I245" s="705">
        <v>181728</v>
      </c>
      <c r="J245" s="705">
        <v>165208</v>
      </c>
      <c r="K245">
        <v>82</v>
      </c>
      <c r="L245" s="705">
        <v>30327</v>
      </c>
      <c r="M245" s="705">
        <v>27570</v>
      </c>
      <c r="N245" s="705">
        <v>30943</v>
      </c>
      <c r="O245" s="705">
        <v>11461</v>
      </c>
      <c r="P245" s="705">
        <v>5076</v>
      </c>
      <c r="Q245" s="705">
        <v>1880</v>
      </c>
      <c r="R245" s="705">
        <v>55218</v>
      </c>
      <c r="S245" s="705">
        <v>50199</v>
      </c>
      <c r="T245" s="705">
        <v>2974</v>
      </c>
      <c r="U245" s="705">
        <v>1101</v>
      </c>
      <c r="V245" s="705">
        <v>257418</v>
      </c>
      <c r="W245" s="705">
        <f t="shared" si="12"/>
        <v>257419</v>
      </c>
      <c r="X245" s="705">
        <f t="shared" si="13"/>
        <v>306266</v>
      </c>
      <c r="Y245" s="705"/>
      <c r="AA245" t="s">
        <v>118</v>
      </c>
      <c r="AB245" t="s">
        <v>666</v>
      </c>
      <c r="AC245" t="s">
        <v>583</v>
      </c>
      <c r="AD245">
        <v>7</v>
      </c>
      <c r="AE245">
        <v>901</v>
      </c>
      <c r="AF245" s="705">
        <v>1954</v>
      </c>
      <c r="AG245" s="705">
        <v>167712</v>
      </c>
      <c r="AH245" s="705">
        <v>152466</v>
      </c>
      <c r="AI245">
        <v>75</v>
      </c>
      <c r="AJ245" s="705">
        <v>20261</v>
      </c>
      <c r="AK245" s="705">
        <v>15016</v>
      </c>
      <c r="AL245" s="705">
        <v>19993</v>
      </c>
      <c r="AM245" s="705">
        <v>7405</v>
      </c>
      <c r="AN245" s="705">
        <v>3537</v>
      </c>
      <c r="AO245" s="705">
        <v>1310</v>
      </c>
      <c r="AP245" s="705">
        <v>40286</v>
      </c>
      <c r="AQ245" s="705">
        <v>36624</v>
      </c>
      <c r="AR245" s="705">
        <v>8441</v>
      </c>
      <c r="AS245" s="705">
        <v>3126</v>
      </c>
      <c r="AT245" s="705">
        <v>215946</v>
      </c>
      <c r="AU245" s="705">
        <f t="shared" si="15"/>
        <v>215947</v>
      </c>
      <c r="AV245" s="705">
        <f t="shared" si="14"/>
        <v>260230</v>
      </c>
    </row>
    <row r="246" spans="2:48" ht="12.75" hidden="1" customHeight="1">
      <c r="B246" t="s">
        <v>535</v>
      </c>
      <c r="C246" t="s">
        <v>116</v>
      </c>
      <c r="D246" t="s">
        <v>664</v>
      </c>
      <c r="E246" t="s">
        <v>582</v>
      </c>
      <c r="F246">
        <v>1</v>
      </c>
      <c r="G246" s="705">
        <v>204</v>
      </c>
      <c r="H246" s="705">
        <v>221</v>
      </c>
      <c r="I246" s="705">
        <v>25884</v>
      </c>
      <c r="J246" s="705">
        <v>23531</v>
      </c>
      <c r="K246">
        <v>70</v>
      </c>
      <c r="L246" s="705">
        <v>6375</v>
      </c>
      <c r="M246" s="705">
        <v>5796</v>
      </c>
      <c r="N246" s="705">
        <v>2486</v>
      </c>
      <c r="O246" s="705">
        <v>921</v>
      </c>
      <c r="P246" s="705">
        <v>351</v>
      </c>
      <c r="Q246" s="705">
        <v>130</v>
      </c>
      <c r="R246" s="705">
        <v>5714</v>
      </c>
      <c r="S246" s="705">
        <v>5194</v>
      </c>
      <c r="T246" s="705">
        <v>4273</v>
      </c>
      <c r="U246" s="705">
        <v>1583</v>
      </c>
      <c r="V246" s="705">
        <v>37154</v>
      </c>
      <c r="W246" s="705">
        <f t="shared" si="12"/>
        <v>37155</v>
      </c>
      <c r="X246" s="705">
        <f t="shared" si="13"/>
        <v>45083</v>
      </c>
      <c r="Y246" s="705"/>
      <c r="AA246" t="s">
        <v>118</v>
      </c>
      <c r="AB246" t="s">
        <v>666</v>
      </c>
      <c r="AC246" t="s">
        <v>666</v>
      </c>
      <c r="AD246">
        <v>64</v>
      </c>
      <c r="AE246" s="705">
        <v>8406</v>
      </c>
      <c r="AF246" s="705">
        <v>17660</v>
      </c>
      <c r="AG246" s="705">
        <v>1458775</v>
      </c>
      <c r="AH246" s="705">
        <v>1326159</v>
      </c>
      <c r="AI246">
        <v>62</v>
      </c>
      <c r="AJ246" s="705">
        <v>223867</v>
      </c>
      <c r="AK246" s="705">
        <v>181969</v>
      </c>
      <c r="AL246" s="705">
        <v>170246</v>
      </c>
      <c r="AM246" s="705">
        <v>63054</v>
      </c>
      <c r="AN246" s="705">
        <v>24019</v>
      </c>
      <c r="AO246" s="705">
        <v>8896</v>
      </c>
      <c r="AP246" s="705">
        <v>393727</v>
      </c>
      <c r="AQ246" s="705">
        <v>357934</v>
      </c>
      <c r="AR246" s="705">
        <v>109051</v>
      </c>
      <c r="AS246" s="705">
        <v>40389</v>
      </c>
      <c r="AT246" s="705">
        <v>1978401</v>
      </c>
      <c r="AU246" s="705">
        <f t="shared" si="15"/>
        <v>1978401</v>
      </c>
      <c r="AV246" s="705">
        <f t="shared" si="14"/>
        <v>2379685</v>
      </c>
    </row>
    <row r="247" spans="2:48" ht="12.75" hidden="1" customHeight="1">
      <c r="B247" t="s">
        <v>535</v>
      </c>
      <c r="C247" t="s">
        <v>116</v>
      </c>
      <c r="D247" t="s">
        <v>664</v>
      </c>
      <c r="E247" t="s">
        <v>583</v>
      </c>
      <c r="F247" s="705">
        <v>2</v>
      </c>
      <c r="G247" s="705">
        <v>290</v>
      </c>
      <c r="H247" s="705">
        <v>374</v>
      </c>
      <c r="I247" s="705">
        <v>27759</v>
      </c>
      <c r="J247" s="705">
        <v>25236</v>
      </c>
      <c r="K247">
        <v>89</v>
      </c>
      <c r="L247" s="705">
        <v>8905</v>
      </c>
      <c r="M247" s="705">
        <v>8095</v>
      </c>
      <c r="N247" s="705">
        <v>3834</v>
      </c>
      <c r="O247" s="705">
        <v>1420</v>
      </c>
      <c r="P247" s="705">
        <v>1242</v>
      </c>
      <c r="Q247" s="705">
        <v>460</v>
      </c>
      <c r="R247" s="705">
        <v>9038</v>
      </c>
      <c r="S247" s="705">
        <v>8216</v>
      </c>
      <c r="T247" s="705">
        <v>3264</v>
      </c>
      <c r="U247" s="705">
        <v>1209</v>
      </c>
      <c r="V247" s="705">
        <v>44636</v>
      </c>
      <c r="W247" s="705">
        <f t="shared" si="12"/>
        <v>44636</v>
      </c>
      <c r="X247" s="705">
        <f t="shared" si="13"/>
        <v>54042</v>
      </c>
      <c r="Y247" s="705"/>
      <c r="AA247" t="s">
        <v>118</v>
      </c>
      <c r="AB247" t="s">
        <v>584</v>
      </c>
      <c r="AC247" t="s">
        <v>664</v>
      </c>
      <c r="AD247">
        <v>1</v>
      </c>
      <c r="AE247" s="705">
        <v>169</v>
      </c>
      <c r="AF247" s="705">
        <v>226</v>
      </c>
      <c r="AG247" s="705">
        <v>23683</v>
      </c>
      <c r="AH247" s="705">
        <v>21530</v>
      </c>
      <c r="AI247">
        <v>77</v>
      </c>
      <c r="AJ247" s="705">
        <v>2531</v>
      </c>
      <c r="AK247" s="705">
        <v>2301</v>
      </c>
      <c r="AL247" s="705">
        <v>3740</v>
      </c>
      <c r="AM247" s="705">
        <v>1385</v>
      </c>
      <c r="AN247" s="705">
        <v>473</v>
      </c>
      <c r="AO247" s="705">
        <v>175</v>
      </c>
      <c r="AP247" s="705">
        <v>7727</v>
      </c>
      <c r="AQ247" s="705">
        <v>7025</v>
      </c>
      <c r="AR247" s="705">
        <v>0</v>
      </c>
      <c r="AS247" s="705">
        <v>0</v>
      </c>
      <c r="AT247" s="705">
        <v>32416</v>
      </c>
      <c r="AU247" s="705">
        <f t="shared" si="15"/>
        <v>32416</v>
      </c>
      <c r="AV247" s="705">
        <f t="shared" si="14"/>
        <v>38154</v>
      </c>
    </row>
    <row r="248" spans="2:48" ht="12.75" hidden="1" customHeight="1">
      <c r="B248" t="s">
        <v>535</v>
      </c>
      <c r="C248" t="s">
        <v>116</v>
      </c>
      <c r="D248" t="s">
        <v>582</v>
      </c>
      <c r="E248" t="s">
        <v>664</v>
      </c>
      <c r="F248" s="705">
        <v>2</v>
      </c>
      <c r="G248" s="705">
        <v>438</v>
      </c>
      <c r="H248" s="705">
        <v>342</v>
      </c>
      <c r="I248" s="705">
        <v>47805</v>
      </c>
      <c r="J248" s="705">
        <v>43459</v>
      </c>
      <c r="K248">
        <v>87</v>
      </c>
      <c r="L248" s="705">
        <v>5413</v>
      </c>
      <c r="M248" s="705">
        <v>3842</v>
      </c>
      <c r="N248" s="705">
        <v>8404</v>
      </c>
      <c r="O248" s="705">
        <v>3112</v>
      </c>
      <c r="P248" s="705">
        <v>945</v>
      </c>
      <c r="Q248" s="705">
        <v>350</v>
      </c>
      <c r="R248" s="705">
        <v>12373</v>
      </c>
      <c r="S248" s="705">
        <v>11248</v>
      </c>
      <c r="T248" s="705">
        <v>0</v>
      </c>
      <c r="U248" s="705">
        <v>0</v>
      </c>
      <c r="V248" s="705">
        <v>62011</v>
      </c>
      <c r="W248" s="705">
        <f t="shared" si="12"/>
        <v>62011</v>
      </c>
      <c r="X248" s="705">
        <f t="shared" si="13"/>
        <v>74940</v>
      </c>
      <c r="Y248" s="705"/>
      <c r="AA248" t="s">
        <v>118</v>
      </c>
      <c r="AB248" t="s">
        <v>584</v>
      </c>
      <c r="AC248" t="s">
        <v>582</v>
      </c>
      <c r="AD248">
        <v>4</v>
      </c>
      <c r="AE248" s="705">
        <v>540</v>
      </c>
      <c r="AF248" s="705">
        <v>1056</v>
      </c>
      <c r="AG248" s="705">
        <v>85375</v>
      </c>
      <c r="AH248" s="705">
        <v>77614</v>
      </c>
      <c r="AI248">
        <v>84</v>
      </c>
      <c r="AJ248" s="705">
        <v>19976</v>
      </c>
      <c r="AK248" s="705">
        <v>17512</v>
      </c>
      <c r="AL248" s="705">
        <v>9813</v>
      </c>
      <c r="AM248" s="705">
        <v>3634</v>
      </c>
      <c r="AN248" s="705">
        <v>1890</v>
      </c>
      <c r="AO248" s="705">
        <v>700</v>
      </c>
      <c r="AP248" s="705">
        <v>24204</v>
      </c>
      <c r="AQ248" s="705">
        <v>22004</v>
      </c>
      <c r="AR248" s="705">
        <v>0</v>
      </c>
      <c r="AS248" s="705">
        <v>0</v>
      </c>
      <c r="AT248" s="705">
        <v>121464</v>
      </c>
      <c r="AU248" s="705">
        <f t="shared" si="15"/>
        <v>121464</v>
      </c>
      <c r="AV248" s="705">
        <f t="shared" si="14"/>
        <v>141258</v>
      </c>
    </row>
    <row r="249" spans="2:48" ht="12.75" hidden="1" customHeight="1">
      <c r="B249" t="s">
        <v>535</v>
      </c>
      <c r="C249" t="s">
        <v>116</v>
      </c>
      <c r="D249" t="s">
        <v>582</v>
      </c>
      <c r="E249" t="s">
        <v>582</v>
      </c>
      <c r="F249">
        <v>151</v>
      </c>
      <c r="G249" s="705">
        <v>24398</v>
      </c>
      <c r="H249" s="705">
        <v>28118</v>
      </c>
      <c r="I249" s="705">
        <v>2745628</v>
      </c>
      <c r="J249" s="705">
        <v>2496025</v>
      </c>
      <c r="K249">
        <v>85</v>
      </c>
      <c r="L249" s="705">
        <v>592209</v>
      </c>
      <c r="M249" s="705">
        <v>517992</v>
      </c>
      <c r="N249" s="705">
        <v>488665</v>
      </c>
      <c r="O249" s="705">
        <v>180987</v>
      </c>
      <c r="P249" s="705">
        <v>77556</v>
      </c>
      <c r="Q249" s="705">
        <v>28725</v>
      </c>
      <c r="R249" s="705">
        <v>798794</v>
      </c>
      <c r="S249" s="705">
        <v>726176</v>
      </c>
      <c r="T249" s="705">
        <v>57551</v>
      </c>
      <c r="U249" s="705">
        <v>21315</v>
      </c>
      <c r="V249" s="705">
        <v>3971220</v>
      </c>
      <c r="W249" s="705">
        <f t="shared" si="12"/>
        <v>3971220</v>
      </c>
      <c r="X249" s="705">
        <f t="shared" si="13"/>
        <v>4760403</v>
      </c>
      <c r="Y249" s="705"/>
      <c r="AA249" t="s">
        <v>118</v>
      </c>
      <c r="AB249" t="s">
        <v>584</v>
      </c>
      <c r="AC249" t="s">
        <v>228</v>
      </c>
      <c r="AD249">
        <v>22</v>
      </c>
      <c r="AE249" s="705">
        <v>2885</v>
      </c>
      <c r="AF249" s="705">
        <v>5806</v>
      </c>
      <c r="AG249" s="705">
        <v>428733</v>
      </c>
      <c r="AH249" s="705">
        <v>389757</v>
      </c>
      <c r="AI249">
        <v>83</v>
      </c>
      <c r="AJ249" s="705">
        <v>98083</v>
      </c>
      <c r="AK249" s="705">
        <v>80676</v>
      </c>
      <c r="AL249" s="705">
        <v>59187</v>
      </c>
      <c r="AM249" s="705">
        <v>21921</v>
      </c>
      <c r="AN249" s="705">
        <v>10395</v>
      </c>
      <c r="AO249" s="705">
        <v>3850</v>
      </c>
      <c r="AP249" s="705">
        <v>176267</v>
      </c>
      <c r="AQ249" s="705">
        <v>65284</v>
      </c>
      <c r="AR249" s="705">
        <v>0</v>
      </c>
      <c r="AS249" s="705">
        <v>0</v>
      </c>
      <c r="AT249" s="705">
        <v>561489</v>
      </c>
      <c r="AU249" s="705">
        <f t="shared" si="15"/>
        <v>561488</v>
      </c>
      <c r="AV249" s="705">
        <f t="shared" si="14"/>
        <v>772665</v>
      </c>
    </row>
    <row r="250" spans="2:48" ht="12.75" hidden="1" customHeight="1">
      <c r="B250" t="s">
        <v>535</v>
      </c>
      <c r="C250" t="s">
        <v>116</v>
      </c>
      <c r="D250" t="s">
        <v>582</v>
      </c>
      <c r="E250" t="s">
        <v>228</v>
      </c>
      <c r="F250">
        <v>2</v>
      </c>
      <c r="G250" s="705">
        <v>312</v>
      </c>
      <c r="H250" s="705">
        <v>410</v>
      </c>
      <c r="I250" s="705">
        <v>36502</v>
      </c>
      <c r="J250" s="705">
        <v>33184</v>
      </c>
      <c r="K250">
        <v>92</v>
      </c>
      <c r="L250" s="705">
        <v>6906</v>
      </c>
      <c r="M250" s="705">
        <v>4174</v>
      </c>
      <c r="N250" s="705">
        <v>6900</v>
      </c>
      <c r="O250" s="705">
        <v>2556</v>
      </c>
      <c r="P250" s="705">
        <v>824</v>
      </c>
      <c r="Q250" s="705">
        <v>305</v>
      </c>
      <c r="R250" s="705">
        <v>12839</v>
      </c>
      <c r="S250" s="705">
        <v>4755</v>
      </c>
      <c r="T250" s="705">
        <v>0</v>
      </c>
      <c r="U250" s="705">
        <v>0</v>
      </c>
      <c r="V250" s="705">
        <v>44974</v>
      </c>
      <c r="W250" s="705">
        <f t="shared" si="12"/>
        <v>44974</v>
      </c>
      <c r="X250" s="705">
        <f t="shared" si="13"/>
        <v>63971</v>
      </c>
      <c r="Y250" s="705"/>
      <c r="AA250" t="s">
        <v>118</v>
      </c>
      <c r="AB250" t="s">
        <v>584</v>
      </c>
      <c r="AC250" t="s">
        <v>583</v>
      </c>
      <c r="AD250">
        <v>8</v>
      </c>
      <c r="AE250" s="705">
        <v>1160</v>
      </c>
      <c r="AF250" s="705">
        <v>2042</v>
      </c>
      <c r="AG250" s="705">
        <v>184550</v>
      </c>
      <c r="AH250" s="705">
        <v>167773</v>
      </c>
      <c r="AI250">
        <v>73</v>
      </c>
      <c r="AJ250" s="705">
        <v>37159</v>
      </c>
      <c r="AK250" s="705">
        <v>32278</v>
      </c>
      <c r="AL250" s="705">
        <v>25259</v>
      </c>
      <c r="AM250" s="705">
        <v>9355</v>
      </c>
      <c r="AN250" s="705">
        <v>4320</v>
      </c>
      <c r="AO250" s="705">
        <v>1600</v>
      </c>
      <c r="AP250" s="705">
        <v>43889</v>
      </c>
      <c r="AQ250" s="705">
        <v>39899</v>
      </c>
      <c r="AR250" s="705">
        <v>18652</v>
      </c>
      <c r="AS250" s="705">
        <v>6908</v>
      </c>
      <c r="AT250" s="705">
        <v>257813</v>
      </c>
      <c r="AU250" s="705">
        <f t="shared" si="15"/>
        <v>257813</v>
      </c>
      <c r="AV250" s="705">
        <f t="shared" si="14"/>
        <v>313829</v>
      </c>
    </row>
    <row r="251" spans="2:48" ht="12.75" hidden="1" customHeight="1">
      <c r="B251" t="s">
        <v>535</v>
      </c>
      <c r="C251" t="s">
        <v>116</v>
      </c>
      <c r="D251" t="s">
        <v>582</v>
      </c>
      <c r="E251" t="s">
        <v>584</v>
      </c>
      <c r="F251">
        <v>1</v>
      </c>
      <c r="G251" s="705">
        <v>100</v>
      </c>
      <c r="H251" s="705">
        <v>183</v>
      </c>
      <c r="I251" s="705">
        <v>9837</v>
      </c>
      <c r="J251" s="705">
        <v>8943</v>
      </c>
      <c r="K251">
        <v>79</v>
      </c>
      <c r="L251" s="705">
        <v>2725</v>
      </c>
      <c r="M251" s="705">
        <v>2477</v>
      </c>
      <c r="N251" s="705">
        <v>1214</v>
      </c>
      <c r="O251" s="705">
        <v>450</v>
      </c>
      <c r="P251" s="705">
        <v>473</v>
      </c>
      <c r="Q251" s="705">
        <v>175</v>
      </c>
      <c r="R251" s="705">
        <v>4002</v>
      </c>
      <c r="S251" s="705">
        <v>3638</v>
      </c>
      <c r="T251" s="705">
        <v>0</v>
      </c>
      <c r="U251" s="705">
        <v>0</v>
      </c>
      <c r="V251" s="705">
        <v>15683</v>
      </c>
      <c r="W251" s="705">
        <f t="shared" si="12"/>
        <v>15683</v>
      </c>
      <c r="X251" s="705">
        <f t="shared" si="13"/>
        <v>18251</v>
      </c>
      <c r="Y251" s="705"/>
      <c r="AA251" t="s">
        <v>118</v>
      </c>
      <c r="AB251" t="s">
        <v>584</v>
      </c>
      <c r="AC251" t="s">
        <v>666</v>
      </c>
      <c r="AD251">
        <v>2</v>
      </c>
      <c r="AE251">
        <v>190</v>
      </c>
      <c r="AF251" s="705">
        <v>462</v>
      </c>
      <c r="AG251" s="705">
        <v>22066</v>
      </c>
      <c r="AH251" s="705">
        <v>20060</v>
      </c>
      <c r="AI251">
        <v>79</v>
      </c>
      <c r="AJ251" s="705">
        <v>6412</v>
      </c>
      <c r="AK251" s="705">
        <v>5829</v>
      </c>
      <c r="AL251" s="705">
        <v>4558</v>
      </c>
      <c r="AM251" s="705">
        <v>1688</v>
      </c>
      <c r="AN251">
        <v>945</v>
      </c>
      <c r="AO251">
        <v>350</v>
      </c>
      <c r="AP251" s="705">
        <v>9930</v>
      </c>
      <c r="AQ251" s="705">
        <v>9027</v>
      </c>
      <c r="AR251" s="705">
        <v>0</v>
      </c>
      <c r="AS251" s="705">
        <v>0</v>
      </c>
      <c r="AT251" s="705">
        <v>36954</v>
      </c>
      <c r="AU251" s="705">
        <f t="shared" si="15"/>
        <v>36954</v>
      </c>
      <c r="AV251" s="705">
        <f t="shared" si="14"/>
        <v>43911</v>
      </c>
    </row>
    <row r="252" spans="2:48" ht="12.75" hidden="1" customHeight="1">
      <c r="B252" t="s">
        <v>535</v>
      </c>
      <c r="C252" t="s">
        <v>116</v>
      </c>
      <c r="D252" t="s">
        <v>228</v>
      </c>
      <c r="E252" t="s">
        <v>228</v>
      </c>
      <c r="F252">
        <v>29</v>
      </c>
      <c r="G252" s="705">
        <v>5543</v>
      </c>
      <c r="H252" s="705">
        <v>5698</v>
      </c>
      <c r="I252" s="705">
        <v>622113</v>
      </c>
      <c r="J252" s="705">
        <v>230412</v>
      </c>
      <c r="K252">
        <v>177</v>
      </c>
      <c r="L252" s="705">
        <v>122363</v>
      </c>
      <c r="M252" s="705">
        <v>98681</v>
      </c>
      <c r="N252" s="705">
        <v>112290</v>
      </c>
      <c r="O252" s="705">
        <v>41589</v>
      </c>
      <c r="P252" s="705">
        <v>13866</v>
      </c>
      <c r="Q252" s="705">
        <v>5135</v>
      </c>
      <c r="R252" s="705">
        <v>259287</v>
      </c>
      <c r="S252" s="705">
        <v>96032</v>
      </c>
      <c r="T252">
        <v>0</v>
      </c>
      <c r="U252">
        <v>0</v>
      </c>
      <c r="V252" s="705">
        <v>471850</v>
      </c>
      <c r="W252" s="705">
        <f t="shared" si="12"/>
        <v>471849</v>
      </c>
      <c r="X252" s="705">
        <f t="shared" si="13"/>
        <v>1129919</v>
      </c>
      <c r="Y252" s="705"/>
      <c r="AA252" t="s">
        <v>118</v>
      </c>
      <c r="AB252" t="s">
        <v>584</v>
      </c>
      <c r="AC252" t="s">
        <v>584</v>
      </c>
      <c r="AD252" s="705">
        <v>8250</v>
      </c>
      <c r="AE252" s="705">
        <v>1095709</v>
      </c>
      <c r="AF252" s="705">
        <v>2135713</v>
      </c>
      <c r="AG252" s="705">
        <v>163584453</v>
      </c>
      <c r="AH252" s="705">
        <v>148713138</v>
      </c>
      <c r="AI252">
        <v>80</v>
      </c>
      <c r="AJ252" s="705">
        <v>45188907</v>
      </c>
      <c r="AK252" s="705">
        <v>39450297</v>
      </c>
      <c r="AL252" s="705">
        <v>23151389</v>
      </c>
      <c r="AM252" s="705">
        <v>8574588</v>
      </c>
      <c r="AN252" s="705">
        <v>4002987</v>
      </c>
      <c r="AO252" s="705">
        <v>1482588</v>
      </c>
      <c r="AP252" s="705">
        <v>44014612</v>
      </c>
      <c r="AQ252" s="705">
        <v>40013283</v>
      </c>
      <c r="AR252" s="705">
        <v>9854103</v>
      </c>
      <c r="AS252" s="705">
        <v>3649668</v>
      </c>
      <c r="AT252" s="705">
        <v>241883563</v>
      </c>
      <c r="AU252" s="705">
        <f t="shared" si="15"/>
        <v>241883562</v>
      </c>
      <c r="AV252" s="705">
        <f t="shared" si="14"/>
        <v>289796451</v>
      </c>
    </row>
    <row r="253" spans="2:48" ht="12.75" hidden="1" customHeight="1">
      <c r="B253" t="s">
        <v>535</v>
      </c>
      <c r="C253" t="s">
        <v>116</v>
      </c>
      <c r="D253" t="s">
        <v>228</v>
      </c>
      <c r="E253" t="s">
        <v>583</v>
      </c>
      <c r="F253">
        <v>1</v>
      </c>
      <c r="G253">
        <v>345</v>
      </c>
      <c r="H253" s="705">
        <v>204</v>
      </c>
      <c r="I253" s="705">
        <v>45669</v>
      </c>
      <c r="J253" s="705">
        <v>16914</v>
      </c>
      <c r="K253">
        <v>398</v>
      </c>
      <c r="L253" s="705">
        <v>27426</v>
      </c>
      <c r="M253" s="705">
        <v>24933</v>
      </c>
      <c r="N253" s="705">
        <v>5460</v>
      </c>
      <c r="O253" s="705">
        <v>2022</v>
      </c>
      <c r="P253" s="705">
        <v>1674</v>
      </c>
      <c r="Q253" s="705">
        <v>620</v>
      </c>
      <c r="R253" s="705">
        <v>2740</v>
      </c>
      <c r="S253" s="705">
        <v>2491</v>
      </c>
      <c r="T253" s="705">
        <v>0</v>
      </c>
      <c r="U253" s="705">
        <v>0</v>
      </c>
      <c r="V253" s="705">
        <v>46981</v>
      </c>
      <c r="W253" s="705">
        <f t="shared" si="12"/>
        <v>46980</v>
      </c>
      <c r="X253" s="705">
        <f t="shared" si="13"/>
        <v>82969</v>
      </c>
      <c r="Y253" s="705"/>
      <c r="AA253" t="s">
        <v>118</v>
      </c>
      <c r="AB253" t="s">
        <v>584</v>
      </c>
      <c r="AC253" t="s">
        <v>669</v>
      </c>
      <c r="AD253">
        <v>1</v>
      </c>
      <c r="AE253" s="705">
        <v>141</v>
      </c>
      <c r="AF253" s="705">
        <v>297</v>
      </c>
      <c r="AG253" s="705">
        <v>24394</v>
      </c>
      <c r="AH253" s="705">
        <v>22176</v>
      </c>
      <c r="AI253">
        <v>77</v>
      </c>
      <c r="AJ253" s="705">
        <v>6622</v>
      </c>
      <c r="AK253" s="705">
        <v>6020</v>
      </c>
      <c r="AL253" s="705">
        <v>3373</v>
      </c>
      <c r="AM253" s="705">
        <v>1249</v>
      </c>
      <c r="AN253" s="705">
        <v>473</v>
      </c>
      <c r="AO253" s="705">
        <v>175</v>
      </c>
      <c r="AP253" s="705">
        <v>4375</v>
      </c>
      <c r="AQ253" s="705">
        <v>3646</v>
      </c>
      <c r="AR253" s="705">
        <v>2469</v>
      </c>
      <c r="AS253" s="705">
        <v>914</v>
      </c>
      <c r="AT253" s="705">
        <v>34180</v>
      </c>
      <c r="AU253" s="705">
        <f t="shared" si="15"/>
        <v>34180</v>
      </c>
      <c r="AV253" s="705">
        <f t="shared" si="14"/>
        <v>41706</v>
      </c>
    </row>
    <row r="254" spans="2:48" ht="12.75" hidden="1" customHeight="1">
      <c r="B254" t="s">
        <v>535</v>
      </c>
      <c r="C254" t="s">
        <v>116</v>
      </c>
      <c r="D254" t="s">
        <v>228</v>
      </c>
      <c r="E254" t="s">
        <v>584</v>
      </c>
      <c r="F254">
        <v>1</v>
      </c>
      <c r="G254" s="705">
        <v>460</v>
      </c>
      <c r="H254" s="705">
        <v>173</v>
      </c>
      <c r="I254" s="705">
        <v>50135</v>
      </c>
      <c r="J254" s="705">
        <v>18568</v>
      </c>
      <c r="K254">
        <v>300</v>
      </c>
      <c r="L254" s="705">
        <v>11427</v>
      </c>
      <c r="M254" s="705">
        <v>9522</v>
      </c>
      <c r="N254" s="705">
        <v>10767</v>
      </c>
      <c r="O254" s="705">
        <v>3988</v>
      </c>
      <c r="P254" s="705">
        <v>473</v>
      </c>
      <c r="Q254" s="705">
        <v>175</v>
      </c>
      <c r="R254" s="705">
        <v>6587</v>
      </c>
      <c r="S254" s="705">
        <v>5988</v>
      </c>
      <c r="T254" s="705">
        <v>0</v>
      </c>
      <c r="U254">
        <v>0</v>
      </c>
      <c r="V254" s="705">
        <v>38242</v>
      </c>
      <c r="W254" s="705">
        <f t="shared" si="12"/>
        <v>38241</v>
      </c>
      <c r="X254" s="705">
        <f t="shared" si="13"/>
        <v>79389</v>
      </c>
      <c r="Y254" s="705"/>
      <c r="AA254" t="s">
        <v>118</v>
      </c>
      <c r="AB254" t="s">
        <v>584</v>
      </c>
      <c r="AC254" t="s">
        <v>665</v>
      </c>
      <c r="AD254">
        <v>6</v>
      </c>
      <c r="AE254" s="705">
        <v>735</v>
      </c>
      <c r="AF254" s="705">
        <v>1669</v>
      </c>
      <c r="AG254" s="705">
        <v>128810</v>
      </c>
      <c r="AH254" s="705">
        <v>117100</v>
      </c>
      <c r="AI254">
        <v>79</v>
      </c>
      <c r="AJ254" s="705">
        <v>30120</v>
      </c>
      <c r="AK254" s="705">
        <v>27382</v>
      </c>
      <c r="AL254" s="705">
        <v>18338</v>
      </c>
      <c r="AM254" s="705">
        <v>6792</v>
      </c>
      <c r="AN254" s="705">
        <v>2835</v>
      </c>
      <c r="AO254" s="705">
        <v>1050</v>
      </c>
      <c r="AP254" s="705">
        <v>34850</v>
      </c>
      <c r="AQ254" s="705">
        <v>31682</v>
      </c>
      <c r="AR254" s="705">
        <v>5804</v>
      </c>
      <c r="AS254" s="705">
        <v>2149</v>
      </c>
      <c r="AT254" s="705">
        <v>186154</v>
      </c>
      <c r="AU254" s="705">
        <f t="shared" si="15"/>
        <v>186155</v>
      </c>
      <c r="AV254" s="705">
        <f t="shared" si="14"/>
        <v>220757</v>
      </c>
    </row>
    <row r="255" spans="2:48" ht="12.75" hidden="1" customHeight="1">
      <c r="B255" t="s">
        <v>535</v>
      </c>
      <c r="C255" t="s">
        <v>116</v>
      </c>
      <c r="D255" t="s">
        <v>228</v>
      </c>
      <c r="E255" t="s">
        <v>665</v>
      </c>
      <c r="F255">
        <v>1</v>
      </c>
      <c r="G255" s="705">
        <v>169</v>
      </c>
      <c r="H255" s="705">
        <v>220</v>
      </c>
      <c r="I255" s="705">
        <v>20241</v>
      </c>
      <c r="J255" s="705">
        <v>7497</v>
      </c>
      <c r="K255">
        <v>100</v>
      </c>
      <c r="L255" s="705">
        <v>8012</v>
      </c>
      <c r="M255" s="705">
        <v>2967</v>
      </c>
      <c r="N255" s="705">
        <v>4111</v>
      </c>
      <c r="O255" s="705">
        <v>1523</v>
      </c>
      <c r="P255" s="705">
        <v>621</v>
      </c>
      <c r="Q255" s="705">
        <v>230</v>
      </c>
      <c r="R255" s="705">
        <v>4183</v>
      </c>
      <c r="S255" s="705">
        <v>3802</v>
      </c>
      <c r="T255" s="705">
        <v>0</v>
      </c>
      <c r="U255" s="705">
        <v>0</v>
      </c>
      <c r="V255" s="705">
        <v>16019</v>
      </c>
      <c r="W255" s="705">
        <f t="shared" si="12"/>
        <v>16019</v>
      </c>
      <c r="X255" s="705">
        <f t="shared" si="13"/>
        <v>37168</v>
      </c>
      <c r="Y255" s="705"/>
      <c r="AA255" t="s">
        <v>118</v>
      </c>
      <c r="AB255" t="s">
        <v>669</v>
      </c>
      <c r="AC255" t="s">
        <v>228</v>
      </c>
      <c r="AD255">
        <v>1</v>
      </c>
      <c r="AE255" s="705">
        <v>57</v>
      </c>
      <c r="AF255" s="705">
        <v>297</v>
      </c>
      <c r="AG255" s="705">
        <v>9184</v>
      </c>
      <c r="AH255" s="705">
        <v>7653</v>
      </c>
      <c r="AI255">
        <v>60</v>
      </c>
      <c r="AJ255" s="705">
        <v>1378</v>
      </c>
      <c r="AK255" s="705">
        <v>510</v>
      </c>
      <c r="AL255" s="705">
        <v>692</v>
      </c>
      <c r="AM255" s="705">
        <v>256</v>
      </c>
      <c r="AN255" s="705">
        <v>0</v>
      </c>
      <c r="AO255" s="705">
        <v>0</v>
      </c>
      <c r="AP255" s="705">
        <v>5589</v>
      </c>
      <c r="AQ255" s="705">
        <v>2070</v>
      </c>
      <c r="AR255" s="705">
        <v>0</v>
      </c>
      <c r="AS255" s="705">
        <v>0</v>
      </c>
      <c r="AT255" s="705">
        <v>10490</v>
      </c>
      <c r="AU255" s="705">
        <f t="shared" si="15"/>
        <v>10489</v>
      </c>
      <c r="AV255" s="705">
        <f t="shared" si="14"/>
        <v>16843</v>
      </c>
    </row>
    <row r="256" spans="2:48" ht="12.75" hidden="1" customHeight="1">
      <c r="B256" t="s">
        <v>535</v>
      </c>
      <c r="C256" t="s">
        <v>116</v>
      </c>
      <c r="D256" t="s">
        <v>583</v>
      </c>
      <c r="E256" t="s">
        <v>674</v>
      </c>
      <c r="F256" s="705">
        <v>2</v>
      </c>
      <c r="G256" s="705">
        <v>410</v>
      </c>
      <c r="H256" s="705">
        <v>365</v>
      </c>
      <c r="I256" s="705">
        <v>46533</v>
      </c>
      <c r="J256" s="705">
        <v>42303</v>
      </c>
      <c r="K256">
        <v>78</v>
      </c>
      <c r="L256" s="705">
        <v>5672</v>
      </c>
      <c r="M256" s="705">
        <v>11574</v>
      </c>
      <c r="N256" s="705">
        <v>7159</v>
      </c>
      <c r="O256" s="705">
        <v>2652</v>
      </c>
      <c r="P256" s="705">
        <v>972</v>
      </c>
      <c r="Q256" s="705">
        <v>360</v>
      </c>
      <c r="R256" s="705">
        <v>13283</v>
      </c>
      <c r="S256" s="705">
        <v>12075</v>
      </c>
      <c r="T256" s="705">
        <v>0</v>
      </c>
      <c r="U256" s="705">
        <v>0</v>
      </c>
      <c r="V256" s="705">
        <v>68964</v>
      </c>
      <c r="W256" s="705">
        <f t="shared" si="12"/>
        <v>68964</v>
      </c>
      <c r="X256" s="705">
        <f t="shared" si="13"/>
        <v>73619</v>
      </c>
      <c r="Y256" s="705"/>
      <c r="AA256" t="s">
        <v>118</v>
      </c>
      <c r="AB256" t="s">
        <v>669</v>
      </c>
      <c r="AC256" t="s">
        <v>669</v>
      </c>
      <c r="AD256" s="705">
        <v>59</v>
      </c>
      <c r="AE256" s="705">
        <v>7473</v>
      </c>
      <c r="AF256" s="705">
        <v>16094</v>
      </c>
      <c r="AG256" s="705">
        <v>1293890</v>
      </c>
      <c r="AH256" s="705">
        <v>1078242</v>
      </c>
      <c r="AI256">
        <v>66</v>
      </c>
      <c r="AJ256" s="705">
        <v>151260</v>
      </c>
      <c r="AK256" s="705">
        <v>123932</v>
      </c>
      <c r="AL256" s="705">
        <v>144939</v>
      </c>
      <c r="AM256" s="705">
        <v>53681</v>
      </c>
      <c r="AN256" s="705">
        <v>26636</v>
      </c>
      <c r="AO256" s="705">
        <v>9865</v>
      </c>
      <c r="AP256" s="705">
        <v>342791</v>
      </c>
      <c r="AQ256" s="705">
        <v>285659</v>
      </c>
      <c r="AR256" s="705">
        <v>132035</v>
      </c>
      <c r="AS256" s="705">
        <v>48902</v>
      </c>
      <c r="AT256" s="705">
        <v>1600281</v>
      </c>
      <c r="AU256" s="705">
        <f t="shared" si="15"/>
        <v>1600281</v>
      </c>
      <c r="AV256" s="705">
        <f t="shared" si="14"/>
        <v>2091551</v>
      </c>
    </row>
    <row r="257" spans="2:48" ht="12.75" hidden="1" customHeight="1">
      <c r="B257" t="s">
        <v>535</v>
      </c>
      <c r="C257" t="s">
        <v>116</v>
      </c>
      <c r="D257" t="s">
        <v>583</v>
      </c>
      <c r="E257" t="s">
        <v>664</v>
      </c>
      <c r="F257" s="705">
        <v>4</v>
      </c>
      <c r="G257" s="705">
        <v>688</v>
      </c>
      <c r="H257" s="705">
        <v>794</v>
      </c>
      <c r="I257" s="705">
        <v>84395</v>
      </c>
      <c r="J257" s="705">
        <v>76723</v>
      </c>
      <c r="K257">
        <v>80</v>
      </c>
      <c r="L257" s="705">
        <v>14386</v>
      </c>
      <c r="M257" s="705">
        <v>13078</v>
      </c>
      <c r="N257" s="705">
        <v>12757</v>
      </c>
      <c r="O257" s="705">
        <v>4725</v>
      </c>
      <c r="P257" s="705">
        <v>2835</v>
      </c>
      <c r="Q257" s="705">
        <v>1050</v>
      </c>
      <c r="R257" s="705">
        <v>26622</v>
      </c>
      <c r="S257" s="705">
        <v>24202</v>
      </c>
      <c r="T257" s="705">
        <v>4272</v>
      </c>
      <c r="U257" s="705">
        <v>1582</v>
      </c>
      <c r="V257" s="705">
        <v>121360</v>
      </c>
      <c r="W257" s="705">
        <f t="shared" si="12"/>
        <v>121360</v>
      </c>
      <c r="X257" s="705">
        <f t="shared" si="13"/>
        <v>145267</v>
      </c>
      <c r="Y257" s="705"/>
      <c r="AA257" t="s">
        <v>118</v>
      </c>
      <c r="AB257" t="s">
        <v>667</v>
      </c>
      <c r="AC257" t="s">
        <v>228</v>
      </c>
      <c r="AD257">
        <v>1</v>
      </c>
      <c r="AE257" s="705">
        <v>67</v>
      </c>
      <c r="AF257" s="705">
        <v>261</v>
      </c>
      <c r="AG257" s="705">
        <v>18388</v>
      </c>
      <c r="AH257" s="705">
        <v>16716</v>
      </c>
      <c r="AI257">
        <v>65</v>
      </c>
      <c r="AJ257" s="705">
        <v>0</v>
      </c>
      <c r="AK257" s="705">
        <v>0</v>
      </c>
      <c r="AL257" s="705">
        <v>2737</v>
      </c>
      <c r="AM257" s="705">
        <v>1014</v>
      </c>
      <c r="AN257" s="705">
        <v>0</v>
      </c>
      <c r="AO257" s="705">
        <v>0</v>
      </c>
      <c r="AP257" s="705">
        <v>8229</v>
      </c>
      <c r="AQ257" s="705">
        <v>3048</v>
      </c>
      <c r="AR257" s="705">
        <v>0</v>
      </c>
      <c r="AS257" s="705">
        <v>0</v>
      </c>
      <c r="AT257" s="705">
        <v>20778</v>
      </c>
      <c r="AU257" s="705">
        <f t="shared" si="15"/>
        <v>20778</v>
      </c>
      <c r="AV257" s="705">
        <f t="shared" si="14"/>
        <v>29354</v>
      </c>
    </row>
    <row r="258" spans="2:48" ht="12.75" hidden="1" customHeight="1">
      <c r="B258" t="s">
        <v>535</v>
      </c>
      <c r="C258" t="s">
        <v>116</v>
      </c>
      <c r="D258" t="s">
        <v>583</v>
      </c>
      <c r="E258" t="s">
        <v>582</v>
      </c>
      <c r="F258">
        <v>1</v>
      </c>
      <c r="G258" s="705">
        <v>234</v>
      </c>
      <c r="H258" s="705">
        <v>191</v>
      </c>
      <c r="I258" s="705">
        <v>28516</v>
      </c>
      <c r="J258" s="705">
        <v>25924</v>
      </c>
      <c r="K258">
        <v>86</v>
      </c>
      <c r="L258" s="705">
        <v>5731</v>
      </c>
      <c r="M258" s="705">
        <v>5210</v>
      </c>
      <c r="N258" s="705">
        <v>2851</v>
      </c>
      <c r="O258" s="705">
        <v>1056</v>
      </c>
      <c r="P258" s="705">
        <v>621</v>
      </c>
      <c r="Q258" s="705">
        <v>230</v>
      </c>
      <c r="R258" s="705">
        <v>7095</v>
      </c>
      <c r="S258" s="705">
        <v>6450</v>
      </c>
      <c r="T258" s="705">
        <v>0</v>
      </c>
      <c r="U258" s="705">
        <v>0</v>
      </c>
      <c r="V258" s="705">
        <v>38870</v>
      </c>
      <c r="W258" s="705">
        <f t="shared" si="12"/>
        <v>38870</v>
      </c>
      <c r="X258" s="705">
        <f t="shared" si="13"/>
        <v>44814</v>
      </c>
      <c r="Y258" s="705"/>
      <c r="AA258" t="s">
        <v>118</v>
      </c>
      <c r="AB258" t="s">
        <v>667</v>
      </c>
      <c r="AC258" t="s">
        <v>667</v>
      </c>
      <c r="AD258">
        <v>12</v>
      </c>
      <c r="AE258" s="705">
        <v>1592</v>
      </c>
      <c r="AF258" s="705">
        <v>3186</v>
      </c>
      <c r="AG258" s="705">
        <v>259311</v>
      </c>
      <c r="AH258" s="705">
        <v>235737</v>
      </c>
      <c r="AI258">
        <v>65</v>
      </c>
      <c r="AJ258" s="705">
        <v>35578</v>
      </c>
      <c r="AK258" s="705">
        <v>32344</v>
      </c>
      <c r="AL258" s="705">
        <v>30457</v>
      </c>
      <c r="AM258" s="705">
        <v>11280</v>
      </c>
      <c r="AN258" s="705">
        <v>4833</v>
      </c>
      <c r="AO258" s="705">
        <v>1790</v>
      </c>
      <c r="AP258" s="705">
        <v>77231</v>
      </c>
      <c r="AQ258" s="705">
        <v>70210</v>
      </c>
      <c r="AR258" s="705">
        <v>20819</v>
      </c>
      <c r="AS258" s="705">
        <v>7711</v>
      </c>
      <c r="AT258" s="705">
        <v>359071</v>
      </c>
      <c r="AU258" s="705">
        <f t="shared" si="15"/>
        <v>359072</v>
      </c>
      <c r="AV258" s="705">
        <f t="shared" si="14"/>
        <v>428229</v>
      </c>
    </row>
    <row r="259" spans="2:48" ht="12.75" hidden="1" customHeight="1">
      <c r="B259" t="s">
        <v>535</v>
      </c>
      <c r="C259" t="s">
        <v>116</v>
      </c>
      <c r="D259" t="s">
        <v>583</v>
      </c>
      <c r="E259" t="s">
        <v>228</v>
      </c>
      <c r="F259">
        <v>14</v>
      </c>
      <c r="G259" s="705">
        <v>2516</v>
      </c>
      <c r="H259" s="705">
        <v>2661</v>
      </c>
      <c r="I259" s="705">
        <v>268002</v>
      </c>
      <c r="J259" s="705">
        <v>243638</v>
      </c>
      <c r="K259">
        <v>84</v>
      </c>
      <c r="L259" s="705">
        <v>54460</v>
      </c>
      <c r="M259" s="705">
        <v>49509</v>
      </c>
      <c r="N259" s="705">
        <v>47630</v>
      </c>
      <c r="O259" s="705">
        <v>17641</v>
      </c>
      <c r="P259" s="705">
        <v>8694</v>
      </c>
      <c r="Q259" s="705">
        <v>3220</v>
      </c>
      <c r="R259" s="705">
        <v>120192</v>
      </c>
      <c r="S259" s="705">
        <v>44515</v>
      </c>
      <c r="T259" s="705">
        <v>0</v>
      </c>
      <c r="U259" s="705">
        <v>0</v>
      </c>
      <c r="V259" s="705">
        <v>358523</v>
      </c>
      <c r="W259" s="705">
        <f t="shared" si="12"/>
        <v>358523</v>
      </c>
      <c r="X259" s="705">
        <f t="shared" si="13"/>
        <v>498978</v>
      </c>
      <c r="Y259" s="705"/>
      <c r="AA259" t="s">
        <v>118</v>
      </c>
      <c r="AB259" t="s">
        <v>671</v>
      </c>
      <c r="AC259" t="s">
        <v>228</v>
      </c>
      <c r="AD259">
        <v>1</v>
      </c>
      <c r="AE259" s="705">
        <v>189</v>
      </c>
      <c r="AF259" s="705">
        <v>272</v>
      </c>
      <c r="AG259" s="705">
        <v>30107</v>
      </c>
      <c r="AH259" s="705">
        <v>27370</v>
      </c>
      <c r="AI259">
        <v>55</v>
      </c>
      <c r="AJ259" s="705">
        <v>6133</v>
      </c>
      <c r="AK259" s="705">
        <v>5575</v>
      </c>
      <c r="AL259" s="705">
        <v>2308</v>
      </c>
      <c r="AM259" s="705">
        <v>855</v>
      </c>
      <c r="AN259" s="705">
        <v>351</v>
      </c>
      <c r="AO259" s="705">
        <v>130</v>
      </c>
      <c r="AP259" s="705">
        <v>12535</v>
      </c>
      <c r="AQ259" s="705">
        <v>4643</v>
      </c>
      <c r="AR259" s="705">
        <v>0</v>
      </c>
      <c r="AS259" s="705">
        <v>0</v>
      </c>
      <c r="AT259" s="705">
        <v>38573</v>
      </c>
      <c r="AU259" s="705">
        <f t="shared" si="15"/>
        <v>38573</v>
      </c>
      <c r="AV259" s="705">
        <f t="shared" si="14"/>
        <v>51434</v>
      </c>
    </row>
    <row r="260" spans="2:48" ht="12.75" hidden="1" customHeight="1">
      <c r="B260" t="s">
        <v>535</v>
      </c>
      <c r="C260" t="s">
        <v>116</v>
      </c>
      <c r="D260" t="s">
        <v>583</v>
      </c>
      <c r="E260" t="s">
        <v>583</v>
      </c>
      <c r="F260" s="705">
        <v>3444</v>
      </c>
      <c r="G260" s="705">
        <v>575113</v>
      </c>
      <c r="H260" s="705">
        <v>662607</v>
      </c>
      <c r="I260" s="705">
        <v>65670841</v>
      </c>
      <c r="J260" s="705">
        <v>59700764</v>
      </c>
      <c r="K260">
        <v>85</v>
      </c>
      <c r="L260" s="705">
        <v>13908705</v>
      </c>
      <c r="M260" s="705">
        <v>12499634</v>
      </c>
      <c r="N260" s="705">
        <v>11863913</v>
      </c>
      <c r="O260" s="705">
        <v>4394042</v>
      </c>
      <c r="P260" s="705">
        <v>2248223</v>
      </c>
      <c r="Q260" s="705">
        <v>832675</v>
      </c>
      <c r="R260" s="705">
        <v>18360352</v>
      </c>
      <c r="S260" s="705">
        <v>16691229</v>
      </c>
      <c r="T260" s="705">
        <v>4968588</v>
      </c>
      <c r="U260" s="705">
        <v>1840218</v>
      </c>
      <c r="V260" s="705">
        <v>95958562</v>
      </c>
      <c r="W260" s="705">
        <f t="shared" si="12"/>
        <v>95958562</v>
      </c>
      <c r="X260" s="705">
        <f t="shared" si="13"/>
        <v>117020622</v>
      </c>
      <c r="Y260" s="705"/>
      <c r="AA260" t="s">
        <v>118</v>
      </c>
      <c r="AB260" t="s">
        <v>671</v>
      </c>
      <c r="AC260" t="s">
        <v>583</v>
      </c>
      <c r="AD260">
        <v>1</v>
      </c>
      <c r="AE260" s="705">
        <v>123</v>
      </c>
      <c r="AF260" s="705">
        <v>254</v>
      </c>
      <c r="AG260" s="705">
        <v>21947</v>
      </c>
      <c r="AH260" s="705">
        <v>19952</v>
      </c>
      <c r="AI260">
        <v>65</v>
      </c>
      <c r="AJ260" s="705">
        <v>2006</v>
      </c>
      <c r="AK260" s="705">
        <v>1824</v>
      </c>
      <c r="AL260" s="705">
        <v>2163</v>
      </c>
      <c r="AM260" s="705">
        <v>801</v>
      </c>
      <c r="AN260" s="705">
        <v>621</v>
      </c>
      <c r="AO260" s="705">
        <v>230</v>
      </c>
      <c r="AP260" s="705">
        <v>4627</v>
      </c>
      <c r="AQ260" s="705">
        <v>4206</v>
      </c>
      <c r="AR260" s="705">
        <v>0</v>
      </c>
      <c r="AS260" s="705">
        <v>0</v>
      </c>
      <c r="AT260" s="705">
        <v>27013</v>
      </c>
      <c r="AU260" s="705">
        <f t="shared" si="15"/>
        <v>27013</v>
      </c>
      <c r="AV260" s="705">
        <f t="shared" si="14"/>
        <v>31364</v>
      </c>
    </row>
    <row r="261" spans="2:48" ht="12.75" hidden="1" customHeight="1">
      <c r="B261" t="s">
        <v>535</v>
      </c>
      <c r="C261" t="s">
        <v>116</v>
      </c>
      <c r="D261" t="s">
        <v>583</v>
      </c>
      <c r="E261" t="s">
        <v>666</v>
      </c>
      <c r="F261">
        <v>2</v>
      </c>
      <c r="G261" s="705">
        <v>236</v>
      </c>
      <c r="H261" s="705">
        <v>407</v>
      </c>
      <c r="I261" s="705">
        <v>23655</v>
      </c>
      <c r="J261" s="705">
        <v>21504</v>
      </c>
      <c r="K261">
        <v>80</v>
      </c>
      <c r="L261" s="705">
        <v>5693</v>
      </c>
      <c r="M261" s="705">
        <v>5176</v>
      </c>
      <c r="N261" s="705">
        <v>3835</v>
      </c>
      <c r="O261" s="705">
        <v>1420</v>
      </c>
      <c r="P261" s="705">
        <v>1242</v>
      </c>
      <c r="Q261" s="705">
        <v>460</v>
      </c>
      <c r="R261" s="705">
        <v>7351</v>
      </c>
      <c r="S261" s="705">
        <v>6683</v>
      </c>
      <c r="T261" s="705">
        <v>5164</v>
      </c>
      <c r="U261" s="705">
        <v>1913</v>
      </c>
      <c r="V261" s="705">
        <v>37156</v>
      </c>
      <c r="W261" s="705">
        <f t="shared" si="12"/>
        <v>37156</v>
      </c>
      <c r="X261" s="705">
        <f t="shared" si="13"/>
        <v>46940</v>
      </c>
      <c r="Y261" s="705"/>
      <c r="AA261" t="s">
        <v>118</v>
      </c>
      <c r="AB261" t="s">
        <v>671</v>
      </c>
      <c r="AC261" t="s">
        <v>667</v>
      </c>
      <c r="AD261">
        <v>1</v>
      </c>
      <c r="AE261" s="705">
        <v>247</v>
      </c>
      <c r="AF261" s="705">
        <v>297</v>
      </c>
      <c r="AG261" s="705">
        <v>51840</v>
      </c>
      <c r="AH261" s="705">
        <v>47128</v>
      </c>
      <c r="AI261">
        <v>65</v>
      </c>
      <c r="AJ261" s="705">
        <v>4154</v>
      </c>
      <c r="AK261" s="705">
        <v>3776</v>
      </c>
      <c r="AL261" s="705">
        <v>6014</v>
      </c>
      <c r="AM261" s="705">
        <v>2227</v>
      </c>
      <c r="AN261" s="705">
        <v>1242</v>
      </c>
      <c r="AO261" s="705">
        <v>460</v>
      </c>
      <c r="AP261" s="705">
        <v>9997</v>
      </c>
      <c r="AQ261" s="705">
        <v>9088</v>
      </c>
      <c r="AR261" s="705">
        <v>0</v>
      </c>
      <c r="AS261" s="705">
        <v>0</v>
      </c>
      <c r="AT261" s="705">
        <v>62679</v>
      </c>
      <c r="AU261" s="705">
        <f t="shared" si="15"/>
        <v>62679</v>
      </c>
      <c r="AV261" s="705">
        <f t="shared" si="14"/>
        <v>73247</v>
      </c>
    </row>
    <row r="262" spans="2:48" ht="12.75" hidden="1" customHeight="1">
      <c r="B262" t="s">
        <v>535</v>
      </c>
      <c r="C262" t="s">
        <v>116</v>
      </c>
      <c r="D262" t="s">
        <v>583</v>
      </c>
      <c r="E262" t="s">
        <v>584</v>
      </c>
      <c r="F262">
        <v>1</v>
      </c>
      <c r="G262" s="705">
        <v>98</v>
      </c>
      <c r="H262" s="705">
        <v>166</v>
      </c>
      <c r="I262" s="705">
        <v>7858</v>
      </c>
      <c r="J262" s="705">
        <v>7144</v>
      </c>
      <c r="K262">
        <v>86</v>
      </c>
      <c r="L262" s="705">
        <v>2515</v>
      </c>
      <c r="M262" s="705">
        <v>2286</v>
      </c>
      <c r="N262" s="705">
        <v>1193</v>
      </c>
      <c r="O262" s="705">
        <v>442</v>
      </c>
      <c r="P262" s="705">
        <v>621</v>
      </c>
      <c r="Q262" s="705">
        <v>230</v>
      </c>
      <c r="R262" s="705">
        <v>4082</v>
      </c>
      <c r="S262" s="705">
        <v>3711</v>
      </c>
      <c r="T262" s="705">
        <v>0</v>
      </c>
      <c r="U262" s="705">
        <v>0</v>
      </c>
      <c r="V262" s="705">
        <v>13813</v>
      </c>
      <c r="W262" s="705">
        <f t="shared" si="12"/>
        <v>13813</v>
      </c>
      <c r="X262" s="705">
        <f t="shared" si="13"/>
        <v>16269</v>
      </c>
      <c r="Y262" s="705"/>
      <c r="AA262" t="s">
        <v>118</v>
      </c>
      <c r="AB262" t="s">
        <v>671</v>
      </c>
      <c r="AC262" t="s">
        <v>671</v>
      </c>
      <c r="AD262">
        <v>45</v>
      </c>
      <c r="AE262" s="705">
        <v>6532</v>
      </c>
      <c r="AF262" s="705">
        <v>12359</v>
      </c>
      <c r="AG262" s="705">
        <v>1221116</v>
      </c>
      <c r="AH262" s="705">
        <v>1110106</v>
      </c>
      <c r="AI262">
        <v>61</v>
      </c>
      <c r="AJ262" s="705">
        <v>155585</v>
      </c>
      <c r="AK262" s="705">
        <v>137626</v>
      </c>
      <c r="AL262" s="705">
        <v>143151</v>
      </c>
      <c r="AM262" s="705">
        <v>53019</v>
      </c>
      <c r="AN262" s="705">
        <v>21789</v>
      </c>
      <c r="AO262" s="705">
        <v>8070</v>
      </c>
      <c r="AP262" s="705">
        <v>314208</v>
      </c>
      <c r="AQ262" s="705">
        <v>285644</v>
      </c>
      <c r="AR262" s="705">
        <v>81259</v>
      </c>
      <c r="AS262" s="705">
        <v>30096</v>
      </c>
      <c r="AT262" s="705">
        <v>1624561</v>
      </c>
      <c r="AU262" s="705">
        <f t="shared" si="15"/>
        <v>1624561</v>
      </c>
      <c r="AV262" s="705">
        <f t="shared" si="14"/>
        <v>1937108</v>
      </c>
    </row>
    <row r="263" spans="2:48" ht="12.75" hidden="1" customHeight="1">
      <c r="B263" t="s">
        <v>535</v>
      </c>
      <c r="C263" t="s">
        <v>116</v>
      </c>
      <c r="D263" t="s">
        <v>583</v>
      </c>
      <c r="E263" t="s">
        <v>665</v>
      </c>
      <c r="F263">
        <v>1</v>
      </c>
      <c r="G263" s="705">
        <v>93</v>
      </c>
      <c r="H263" s="705">
        <v>191</v>
      </c>
      <c r="I263" s="705">
        <v>10236</v>
      </c>
      <c r="J263" s="705">
        <v>9305</v>
      </c>
      <c r="K263">
        <v>94</v>
      </c>
      <c r="L263" s="705">
        <v>1564</v>
      </c>
      <c r="M263" s="705">
        <v>1422</v>
      </c>
      <c r="N263" s="705">
        <v>1367</v>
      </c>
      <c r="O263" s="705">
        <v>506</v>
      </c>
      <c r="P263" s="705">
        <v>621</v>
      </c>
      <c r="Q263" s="705">
        <v>230</v>
      </c>
      <c r="R263" s="705">
        <v>2202</v>
      </c>
      <c r="S263" s="705">
        <v>2002</v>
      </c>
      <c r="T263" s="705">
        <v>1836</v>
      </c>
      <c r="U263">
        <v>680</v>
      </c>
      <c r="V263" s="705">
        <v>14145</v>
      </c>
      <c r="W263" s="705">
        <f t="shared" ref="W263:W326" si="16">SUM(ABS(J263),ABS(M263),ABS(O263),ABS(Q263),ABS(S263),ABS(U263))</f>
        <v>14145</v>
      </c>
      <c r="X263" s="705">
        <f t="shared" ref="X263:X326" si="17">SUM(ABS(I263),ABS(N263),ABS(P263),ABS(R263),ABS(T263),ABS(L263))</f>
        <v>17826</v>
      </c>
      <c r="Y263" s="705"/>
      <c r="AA263" t="s">
        <v>118</v>
      </c>
      <c r="AB263" t="s">
        <v>665</v>
      </c>
      <c r="AC263" s="705" t="s">
        <v>228</v>
      </c>
      <c r="AD263" s="705">
        <v>26</v>
      </c>
      <c r="AE263" s="705">
        <v>2787</v>
      </c>
      <c r="AF263" s="705">
        <v>7217</v>
      </c>
      <c r="AG263" s="705">
        <v>466652</v>
      </c>
      <c r="AH263" s="705">
        <v>424229</v>
      </c>
      <c r="AI263" s="706">
        <v>62</v>
      </c>
      <c r="AJ263" s="705">
        <v>78870</v>
      </c>
      <c r="AK263" s="705">
        <v>41631</v>
      </c>
      <c r="AL263" s="705">
        <v>54254</v>
      </c>
      <c r="AM263" s="705">
        <v>20094</v>
      </c>
      <c r="AN263" s="705">
        <v>3725</v>
      </c>
      <c r="AO263" s="705">
        <v>1380</v>
      </c>
      <c r="AP263" s="705">
        <v>190041</v>
      </c>
      <c r="AQ263" s="705">
        <v>70386</v>
      </c>
      <c r="AR263" s="705">
        <v>0</v>
      </c>
      <c r="AS263" s="705">
        <v>0</v>
      </c>
      <c r="AT263" s="705">
        <v>557720</v>
      </c>
      <c r="AU263" s="705">
        <f t="shared" ref="AU263:AU294" si="18">SUM(ABS(AH263), ABS(AK263),ABS(AM263),ABS(AO263),ABS(AQ263),ABS(AS263))</f>
        <v>557720</v>
      </c>
      <c r="AV263" s="705">
        <f t="shared" ref="AV263:AV294" si="19">SUM(ABS(AG263),ABS(AJ263),ABS(AL263),ABS(AN263),ABS(AP263),ABS(AR263))</f>
        <v>793542</v>
      </c>
    </row>
    <row r="264" spans="2:48" ht="12.75" hidden="1" customHeight="1">
      <c r="B264" t="s">
        <v>535</v>
      </c>
      <c r="C264" t="s">
        <v>116</v>
      </c>
      <c r="D264" t="s">
        <v>583</v>
      </c>
      <c r="E264" t="s">
        <v>673</v>
      </c>
      <c r="F264">
        <v>1</v>
      </c>
      <c r="G264" s="705">
        <v>162</v>
      </c>
      <c r="H264" s="705">
        <v>209</v>
      </c>
      <c r="I264" s="705">
        <v>20383</v>
      </c>
      <c r="J264" s="705">
        <v>18530</v>
      </c>
      <c r="K264">
        <v>70</v>
      </c>
      <c r="L264" s="705">
        <v>5020</v>
      </c>
      <c r="M264" s="705">
        <v>4564</v>
      </c>
      <c r="N264" s="705">
        <v>3957</v>
      </c>
      <c r="O264" s="705">
        <v>1466</v>
      </c>
      <c r="P264" s="705">
        <v>621</v>
      </c>
      <c r="Q264" s="705">
        <v>230</v>
      </c>
      <c r="R264" s="705">
        <v>3968</v>
      </c>
      <c r="S264" s="705">
        <v>3607</v>
      </c>
      <c r="T264" s="705">
        <v>0</v>
      </c>
      <c r="U264" s="705">
        <v>0</v>
      </c>
      <c r="V264" s="705">
        <v>28397</v>
      </c>
      <c r="W264" s="705">
        <f t="shared" si="16"/>
        <v>28397</v>
      </c>
      <c r="X264" s="705">
        <f t="shared" si="17"/>
        <v>33949</v>
      </c>
      <c r="Y264" s="705"/>
      <c r="AA264" t="s">
        <v>118</v>
      </c>
      <c r="AB264" t="s">
        <v>665</v>
      </c>
      <c r="AC264" s="705" t="s">
        <v>583</v>
      </c>
      <c r="AD264" s="705">
        <v>6</v>
      </c>
      <c r="AE264" s="705">
        <v>999</v>
      </c>
      <c r="AF264" s="705">
        <v>1604</v>
      </c>
      <c r="AG264" s="705">
        <v>165890</v>
      </c>
      <c r="AH264" s="705">
        <v>150809</v>
      </c>
      <c r="AI264" s="706">
        <v>62</v>
      </c>
      <c r="AJ264" s="705">
        <v>17689</v>
      </c>
      <c r="AK264" s="705">
        <v>16081</v>
      </c>
      <c r="AL264" s="705">
        <v>21128</v>
      </c>
      <c r="AM264" s="705">
        <v>7825</v>
      </c>
      <c r="AN264" s="705">
        <v>3888</v>
      </c>
      <c r="AO264" s="705">
        <v>1440</v>
      </c>
      <c r="AP264" s="705">
        <v>44799</v>
      </c>
      <c r="AQ264" s="705">
        <v>40726</v>
      </c>
      <c r="AR264" s="705">
        <v>18626</v>
      </c>
      <c r="AS264" s="705">
        <v>6899</v>
      </c>
      <c r="AT264" s="705">
        <v>223780</v>
      </c>
      <c r="AU264" s="705">
        <f t="shared" si="18"/>
        <v>223780</v>
      </c>
      <c r="AV264" s="705">
        <f t="shared" si="19"/>
        <v>272020</v>
      </c>
    </row>
    <row r="265" spans="2:48" ht="12.75" hidden="1" customHeight="1">
      <c r="B265" t="s">
        <v>535</v>
      </c>
      <c r="C265" t="s">
        <v>116</v>
      </c>
      <c r="D265" t="s">
        <v>666</v>
      </c>
      <c r="E265" t="s">
        <v>666</v>
      </c>
      <c r="F265">
        <v>1</v>
      </c>
      <c r="G265" s="705">
        <v>110</v>
      </c>
      <c r="H265" s="705">
        <v>206</v>
      </c>
      <c r="I265" s="705">
        <v>19982</v>
      </c>
      <c r="J265" s="705">
        <v>18166</v>
      </c>
      <c r="K265">
        <v>62</v>
      </c>
      <c r="L265" s="705">
        <v>2220</v>
      </c>
      <c r="M265" s="705">
        <v>2018</v>
      </c>
      <c r="N265" s="705">
        <v>4101</v>
      </c>
      <c r="O265" s="705">
        <v>1519</v>
      </c>
      <c r="P265" s="705">
        <v>351</v>
      </c>
      <c r="Q265" s="705">
        <v>130</v>
      </c>
      <c r="R265" s="705">
        <v>5809</v>
      </c>
      <c r="S265" s="705">
        <v>5281</v>
      </c>
      <c r="T265" s="705">
        <v>3267</v>
      </c>
      <c r="U265" s="705">
        <v>1210</v>
      </c>
      <c r="V265" s="705">
        <v>28324</v>
      </c>
      <c r="W265" s="705">
        <f t="shared" si="16"/>
        <v>28324</v>
      </c>
      <c r="X265" s="705">
        <f t="shared" si="17"/>
        <v>35730</v>
      </c>
      <c r="Y265" s="705"/>
      <c r="AA265" t="s">
        <v>118</v>
      </c>
      <c r="AB265" t="s">
        <v>665</v>
      </c>
      <c r="AC265" s="705" t="s">
        <v>671</v>
      </c>
      <c r="AD265" s="705">
        <v>1</v>
      </c>
      <c r="AE265" s="705">
        <v>196</v>
      </c>
      <c r="AF265" s="705">
        <v>267</v>
      </c>
      <c r="AG265" s="705">
        <v>58476</v>
      </c>
      <c r="AH265" s="705">
        <v>53160</v>
      </c>
      <c r="AI265" s="706">
        <v>55</v>
      </c>
      <c r="AJ265" s="705">
        <v>11912</v>
      </c>
      <c r="AK265" s="705">
        <v>10829</v>
      </c>
      <c r="AL265" s="705">
        <v>7068</v>
      </c>
      <c r="AM265" s="705">
        <v>2618</v>
      </c>
      <c r="AN265" s="705">
        <v>351</v>
      </c>
      <c r="AO265" s="705">
        <v>130</v>
      </c>
      <c r="AP265" s="705">
        <v>8299</v>
      </c>
      <c r="AQ265" s="705">
        <v>7544</v>
      </c>
      <c r="AR265" s="705">
        <v>4431</v>
      </c>
      <c r="AS265" s="705">
        <v>1641</v>
      </c>
      <c r="AT265" s="705">
        <v>75922</v>
      </c>
      <c r="AU265" s="705">
        <f t="shared" si="18"/>
        <v>75922</v>
      </c>
      <c r="AV265" s="705">
        <f t="shared" si="19"/>
        <v>90537</v>
      </c>
    </row>
    <row r="266" spans="2:48" ht="12.75" hidden="1" customHeight="1">
      <c r="B266" t="s">
        <v>535</v>
      </c>
      <c r="C266" t="s">
        <v>116</v>
      </c>
      <c r="D266" t="s">
        <v>584</v>
      </c>
      <c r="E266" t="s">
        <v>666</v>
      </c>
      <c r="F266">
        <v>1</v>
      </c>
      <c r="G266">
        <v>111</v>
      </c>
      <c r="H266">
        <v>196</v>
      </c>
      <c r="I266" s="705">
        <v>20004</v>
      </c>
      <c r="J266" s="705">
        <v>18185</v>
      </c>
      <c r="K266">
        <v>73</v>
      </c>
      <c r="L266" s="705">
        <v>5142</v>
      </c>
      <c r="M266" s="705">
        <v>4674</v>
      </c>
      <c r="N266" s="705">
        <v>2297</v>
      </c>
      <c r="O266">
        <v>851</v>
      </c>
      <c r="P266" s="705">
        <v>473</v>
      </c>
      <c r="Q266">
        <v>175</v>
      </c>
      <c r="R266" s="705">
        <v>4924</v>
      </c>
      <c r="S266" s="705">
        <v>4476</v>
      </c>
      <c r="T266" s="705">
        <v>4128</v>
      </c>
      <c r="U266" s="705">
        <v>1529</v>
      </c>
      <c r="V266" s="705">
        <v>29890</v>
      </c>
      <c r="W266" s="705">
        <f t="shared" si="16"/>
        <v>29890</v>
      </c>
      <c r="X266" s="705">
        <f t="shared" si="17"/>
        <v>36968</v>
      </c>
      <c r="Y266" s="705"/>
      <c r="AA266" t="s">
        <v>118</v>
      </c>
      <c r="AB266" t="s">
        <v>665</v>
      </c>
      <c r="AC266" s="705" t="s">
        <v>665</v>
      </c>
      <c r="AD266" s="705">
        <v>1264</v>
      </c>
      <c r="AE266" s="705">
        <v>161273</v>
      </c>
      <c r="AF266" s="705">
        <v>343251</v>
      </c>
      <c r="AG266" s="705">
        <v>27957369</v>
      </c>
      <c r="AH266" s="705">
        <v>25415790</v>
      </c>
      <c r="AI266" s="706">
        <v>64</v>
      </c>
      <c r="AJ266" s="705">
        <v>3640892</v>
      </c>
      <c r="AK266" s="705">
        <v>3080980</v>
      </c>
      <c r="AL266" s="705">
        <v>3213785</v>
      </c>
      <c r="AM266" s="705">
        <v>1190291</v>
      </c>
      <c r="AN266" s="705">
        <v>602600</v>
      </c>
      <c r="AO266" s="705">
        <v>223185</v>
      </c>
      <c r="AP266" s="705">
        <v>6855657</v>
      </c>
      <c r="AQ266" s="705">
        <v>6232415</v>
      </c>
      <c r="AR266" s="705">
        <v>2931956</v>
      </c>
      <c r="AS266" s="705">
        <v>1085910</v>
      </c>
      <c r="AT266" s="705">
        <v>37228571</v>
      </c>
      <c r="AU266" s="705">
        <f t="shared" si="18"/>
        <v>37228571</v>
      </c>
      <c r="AV266" s="705">
        <f t="shared" si="19"/>
        <v>45202259</v>
      </c>
    </row>
    <row r="267" spans="2:48" ht="12.75" hidden="1" customHeight="1">
      <c r="B267" t="s">
        <v>535</v>
      </c>
      <c r="C267" t="s">
        <v>116</v>
      </c>
      <c r="D267" t="s">
        <v>584</v>
      </c>
      <c r="E267" t="s">
        <v>584</v>
      </c>
      <c r="F267" s="705">
        <v>330</v>
      </c>
      <c r="G267" s="705">
        <v>55181</v>
      </c>
      <c r="H267" s="705">
        <v>61529</v>
      </c>
      <c r="I267" s="705">
        <v>5566369</v>
      </c>
      <c r="J267" s="705">
        <v>5060335</v>
      </c>
      <c r="K267">
        <v>83</v>
      </c>
      <c r="L267" s="705">
        <v>1386887</v>
      </c>
      <c r="M267" s="705">
        <v>1238983</v>
      </c>
      <c r="N267" s="705">
        <v>1141093</v>
      </c>
      <c r="O267" s="705">
        <v>422627</v>
      </c>
      <c r="P267" s="705">
        <v>168772</v>
      </c>
      <c r="Q267" s="705">
        <v>62508</v>
      </c>
      <c r="R267" s="705">
        <v>1815119</v>
      </c>
      <c r="S267" s="705">
        <v>1650108</v>
      </c>
      <c r="T267" s="705">
        <v>321764</v>
      </c>
      <c r="U267" s="705">
        <v>119172</v>
      </c>
      <c r="V267" s="705">
        <v>8553733</v>
      </c>
      <c r="W267" s="705">
        <f t="shared" si="16"/>
        <v>8553733</v>
      </c>
      <c r="X267" s="705">
        <f t="shared" si="17"/>
        <v>10400004</v>
      </c>
      <c r="Y267" s="705"/>
      <c r="AA267" t="s">
        <v>118</v>
      </c>
      <c r="AB267" t="s">
        <v>665</v>
      </c>
      <c r="AC267" s="705" t="s">
        <v>722</v>
      </c>
      <c r="AD267" s="705">
        <v>2</v>
      </c>
      <c r="AE267" s="705">
        <v>303</v>
      </c>
      <c r="AF267" s="705">
        <v>571</v>
      </c>
      <c r="AG267" s="705">
        <v>66543</v>
      </c>
      <c r="AH267" s="705">
        <v>60494</v>
      </c>
      <c r="AI267" s="706">
        <v>55</v>
      </c>
      <c r="AJ267" s="705">
        <v>3521</v>
      </c>
      <c r="AK267" s="705">
        <v>3201</v>
      </c>
      <c r="AL267" s="705">
        <v>7510</v>
      </c>
      <c r="AM267" s="705">
        <v>2782</v>
      </c>
      <c r="AN267" s="705">
        <v>1404</v>
      </c>
      <c r="AO267" s="705">
        <v>520</v>
      </c>
      <c r="AP267" s="705">
        <v>14272</v>
      </c>
      <c r="AQ267" s="705">
        <v>12974</v>
      </c>
      <c r="AR267" s="705">
        <v>3446</v>
      </c>
      <c r="AS267" s="705">
        <v>1276</v>
      </c>
      <c r="AT267" s="705">
        <v>81247</v>
      </c>
      <c r="AU267" s="705">
        <f t="shared" si="18"/>
        <v>81247</v>
      </c>
      <c r="AV267" s="705">
        <f t="shared" si="19"/>
        <v>96696</v>
      </c>
    </row>
    <row r="268" spans="2:48" ht="12.75" hidden="1" customHeight="1">
      <c r="B268" t="s">
        <v>535</v>
      </c>
      <c r="C268" t="s">
        <v>116</v>
      </c>
      <c r="D268" t="s">
        <v>669</v>
      </c>
      <c r="E268" t="s">
        <v>669</v>
      </c>
      <c r="F268">
        <v>4</v>
      </c>
      <c r="G268" s="705">
        <v>450</v>
      </c>
      <c r="H268" s="705">
        <v>864</v>
      </c>
      <c r="I268" s="705">
        <v>57618</v>
      </c>
      <c r="J268" s="705">
        <v>48015</v>
      </c>
      <c r="K268">
        <v>67</v>
      </c>
      <c r="L268" s="705">
        <v>3611</v>
      </c>
      <c r="M268" s="705">
        <v>3282</v>
      </c>
      <c r="N268" s="705">
        <v>6931</v>
      </c>
      <c r="O268" s="705">
        <v>2567</v>
      </c>
      <c r="P268" s="705">
        <v>1944</v>
      </c>
      <c r="Q268" s="705">
        <v>720</v>
      </c>
      <c r="R268" s="705">
        <v>21117</v>
      </c>
      <c r="S268" s="705">
        <v>17598</v>
      </c>
      <c r="T268" s="705">
        <v>6992</v>
      </c>
      <c r="U268" s="705">
        <v>2590</v>
      </c>
      <c r="V268" s="705">
        <v>74772</v>
      </c>
      <c r="W268" s="705">
        <f t="shared" si="16"/>
        <v>74772</v>
      </c>
      <c r="X268" s="705">
        <f t="shared" si="17"/>
        <v>98213</v>
      </c>
      <c r="Y268" s="705"/>
      <c r="AA268" t="s">
        <v>118</v>
      </c>
      <c r="AB268" t="s">
        <v>722</v>
      </c>
      <c r="AC268" s="705" t="s">
        <v>665</v>
      </c>
      <c r="AD268" s="705">
        <v>1</v>
      </c>
      <c r="AE268" s="705">
        <v>136</v>
      </c>
      <c r="AF268" s="705">
        <v>239</v>
      </c>
      <c r="AG268" s="705">
        <v>17385</v>
      </c>
      <c r="AH268" s="705">
        <v>15805</v>
      </c>
      <c r="AI268" s="706">
        <v>65</v>
      </c>
      <c r="AJ268" s="705">
        <v>4185</v>
      </c>
      <c r="AK268" s="705">
        <v>3805</v>
      </c>
      <c r="AL268" s="705">
        <v>3320</v>
      </c>
      <c r="AM268" s="705">
        <v>1230</v>
      </c>
      <c r="AN268" s="705">
        <v>351</v>
      </c>
      <c r="AO268" s="705">
        <v>130</v>
      </c>
      <c r="AP268" s="705">
        <v>7322</v>
      </c>
      <c r="AQ268" s="705">
        <v>6656</v>
      </c>
      <c r="AR268" s="705">
        <v>0</v>
      </c>
      <c r="AS268" s="705">
        <v>0</v>
      </c>
      <c r="AT268" s="705">
        <v>27625</v>
      </c>
      <c r="AU268" s="705">
        <f t="shared" si="18"/>
        <v>27626</v>
      </c>
      <c r="AV268" s="705">
        <f t="shared" si="19"/>
        <v>32563</v>
      </c>
    </row>
    <row r="269" spans="2:48" ht="12.75" hidden="1" customHeight="1">
      <c r="B269" t="s">
        <v>535</v>
      </c>
      <c r="C269" t="s">
        <v>116</v>
      </c>
      <c r="D269" t="s">
        <v>665</v>
      </c>
      <c r="E269" t="s">
        <v>665</v>
      </c>
      <c r="F269">
        <v>17</v>
      </c>
      <c r="G269" s="705">
        <v>2548</v>
      </c>
      <c r="H269" s="705">
        <v>3426</v>
      </c>
      <c r="I269" s="705">
        <v>339789</v>
      </c>
      <c r="J269" s="705">
        <v>308899</v>
      </c>
      <c r="K269">
        <v>65</v>
      </c>
      <c r="L269" s="705">
        <v>34214</v>
      </c>
      <c r="M269" s="705">
        <v>28739</v>
      </c>
      <c r="N269" s="705">
        <v>46451</v>
      </c>
      <c r="O269" s="705">
        <v>17204</v>
      </c>
      <c r="P269" s="705">
        <v>10016</v>
      </c>
      <c r="Q269" s="705">
        <v>3710</v>
      </c>
      <c r="R269" s="705">
        <v>83903</v>
      </c>
      <c r="S269" s="705">
        <v>76276</v>
      </c>
      <c r="T269" s="705">
        <v>23828</v>
      </c>
      <c r="U269" s="705">
        <v>8825</v>
      </c>
      <c r="V269" s="705">
        <v>443653</v>
      </c>
      <c r="W269" s="705">
        <f t="shared" si="16"/>
        <v>443653</v>
      </c>
      <c r="X269" s="705">
        <f t="shared" si="17"/>
        <v>538201</v>
      </c>
      <c r="Y269" s="705"/>
      <c r="AA269" t="s">
        <v>118</v>
      </c>
      <c r="AB269" t="s">
        <v>722</v>
      </c>
      <c r="AC269" s="705" t="s">
        <v>722</v>
      </c>
      <c r="AD269" s="705">
        <v>3</v>
      </c>
      <c r="AE269" s="705">
        <v>647</v>
      </c>
      <c r="AF269" s="705">
        <v>717</v>
      </c>
      <c r="AG269" s="705">
        <v>127197</v>
      </c>
      <c r="AH269" s="705">
        <v>115634</v>
      </c>
      <c r="AI269" s="706">
        <v>71</v>
      </c>
      <c r="AJ269" s="705">
        <v>17850</v>
      </c>
      <c r="AK269" s="705">
        <v>16228</v>
      </c>
      <c r="AL269" s="705">
        <v>14568</v>
      </c>
      <c r="AM269" s="705">
        <v>5396</v>
      </c>
      <c r="AN269" s="705">
        <v>1404</v>
      </c>
      <c r="AO269" s="705">
        <v>520</v>
      </c>
      <c r="AP269" s="705">
        <v>20226</v>
      </c>
      <c r="AQ269" s="705">
        <v>18388</v>
      </c>
      <c r="AR269" s="705">
        <v>3681</v>
      </c>
      <c r="AS269" s="705">
        <v>1363</v>
      </c>
      <c r="AT269" s="705">
        <v>157528</v>
      </c>
      <c r="AU269" s="705">
        <f t="shared" si="18"/>
        <v>157529</v>
      </c>
      <c r="AV269" s="705">
        <f t="shared" si="19"/>
        <v>184926</v>
      </c>
    </row>
    <row r="270" spans="2:48" ht="12.75" hidden="1" customHeight="1">
      <c r="B270" t="s">
        <v>535</v>
      </c>
      <c r="C270" t="s">
        <v>116</v>
      </c>
      <c r="D270" t="s">
        <v>673</v>
      </c>
      <c r="E270" t="s">
        <v>673</v>
      </c>
      <c r="F270">
        <v>3</v>
      </c>
      <c r="G270" s="705">
        <v>320</v>
      </c>
      <c r="H270" s="705">
        <v>610</v>
      </c>
      <c r="I270" s="705">
        <v>64238</v>
      </c>
      <c r="J270" s="705">
        <v>58398</v>
      </c>
      <c r="K270">
        <v>70</v>
      </c>
      <c r="L270" s="705">
        <v>3754</v>
      </c>
      <c r="M270" s="705">
        <v>3412</v>
      </c>
      <c r="N270" s="705">
        <v>7489</v>
      </c>
      <c r="O270" s="705">
        <v>2774</v>
      </c>
      <c r="P270" s="705">
        <v>1404</v>
      </c>
      <c r="Q270" s="705">
        <v>520</v>
      </c>
      <c r="R270" s="705">
        <v>12892</v>
      </c>
      <c r="S270" s="705">
        <v>11720</v>
      </c>
      <c r="T270" s="705">
        <v>4921</v>
      </c>
      <c r="U270" s="705">
        <v>1823</v>
      </c>
      <c r="V270" s="705">
        <v>78647</v>
      </c>
      <c r="W270" s="705">
        <f t="shared" si="16"/>
        <v>78647</v>
      </c>
      <c r="X270" s="705">
        <f t="shared" si="17"/>
        <v>94698</v>
      </c>
      <c r="Y270" s="705"/>
      <c r="AA270" t="s">
        <v>118</v>
      </c>
      <c r="AB270" t="s">
        <v>673</v>
      </c>
      <c r="AC270" s="705" t="s">
        <v>228</v>
      </c>
      <c r="AD270" s="705">
        <v>6</v>
      </c>
      <c r="AE270" s="705">
        <v>673</v>
      </c>
      <c r="AF270" s="705">
        <v>1590</v>
      </c>
      <c r="AG270" s="705">
        <v>102849</v>
      </c>
      <c r="AH270" s="705">
        <v>93499</v>
      </c>
      <c r="AI270" s="706">
        <v>66</v>
      </c>
      <c r="AJ270" s="705">
        <v>24629</v>
      </c>
      <c r="AK270" s="705">
        <v>9122</v>
      </c>
      <c r="AL270" s="705">
        <v>11954</v>
      </c>
      <c r="AM270" s="705">
        <v>4427</v>
      </c>
      <c r="AN270" s="705">
        <v>1954</v>
      </c>
      <c r="AO270" s="705">
        <v>724</v>
      </c>
      <c r="AP270" s="705">
        <v>38993</v>
      </c>
      <c r="AQ270" s="705">
        <v>14442</v>
      </c>
      <c r="AR270" s="705">
        <v>0</v>
      </c>
      <c r="AS270" s="705">
        <v>0</v>
      </c>
      <c r="AT270" s="705">
        <v>122214</v>
      </c>
      <c r="AU270" s="705">
        <f t="shared" si="18"/>
        <v>122214</v>
      </c>
      <c r="AV270" s="705">
        <f t="shared" si="19"/>
        <v>180379</v>
      </c>
    </row>
    <row r="271" spans="2:48" ht="12.75" hidden="1" customHeight="1">
      <c r="B271" t="s">
        <v>535</v>
      </c>
      <c r="C271" t="s">
        <v>116</v>
      </c>
      <c r="D271" t="s">
        <v>585</v>
      </c>
      <c r="E271" t="s">
        <v>585</v>
      </c>
      <c r="F271">
        <v>16</v>
      </c>
      <c r="G271" s="705">
        <v>3391</v>
      </c>
      <c r="H271" s="705">
        <v>2935</v>
      </c>
      <c r="I271" s="705">
        <v>373157</v>
      </c>
      <c r="J271" s="705">
        <v>339234</v>
      </c>
      <c r="K271">
        <v>76</v>
      </c>
      <c r="L271" s="705">
        <v>66661</v>
      </c>
      <c r="M271" s="705">
        <v>55130</v>
      </c>
      <c r="N271" s="705">
        <v>63102</v>
      </c>
      <c r="O271" s="705">
        <v>23371</v>
      </c>
      <c r="P271" s="705">
        <v>7020</v>
      </c>
      <c r="Q271" s="705">
        <v>2600</v>
      </c>
      <c r="R271" s="705">
        <v>82735</v>
      </c>
      <c r="S271" s="705">
        <v>75214</v>
      </c>
      <c r="T271" s="705">
        <v>26008</v>
      </c>
      <c r="U271" s="705">
        <v>9633</v>
      </c>
      <c r="V271" s="705">
        <v>505182</v>
      </c>
      <c r="W271" s="705">
        <f t="shared" si="16"/>
        <v>505182</v>
      </c>
      <c r="X271" s="705">
        <f t="shared" si="17"/>
        <v>618683</v>
      </c>
      <c r="Y271" s="705"/>
      <c r="AA271" t="s">
        <v>118</v>
      </c>
      <c r="AB271" t="s">
        <v>673</v>
      </c>
      <c r="AC271" s="705" t="s">
        <v>583</v>
      </c>
      <c r="AD271" s="705">
        <v>1</v>
      </c>
      <c r="AE271" s="705">
        <v>172</v>
      </c>
      <c r="AF271" s="705">
        <v>294</v>
      </c>
      <c r="AG271" s="705">
        <v>31462</v>
      </c>
      <c r="AH271" s="705">
        <v>28602</v>
      </c>
      <c r="AI271" s="706">
        <v>70</v>
      </c>
      <c r="AJ271" s="705">
        <v>6642</v>
      </c>
      <c r="AK271" s="705">
        <v>6038</v>
      </c>
      <c r="AL271" s="705">
        <v>2091</v>
      </c>
      <c r="AM271" s="705">
        <v>775</v>
      </c>
      <c r="AN271" s="705">
        <v>621</v>
      </c>
      <c r="AO271" s="705">
        <v>230</v>
      </c>
      <c r="AP271" s="705">
        <v>5978</v>
      </c>
      <c r="AQ271" s="705">
        <v>5435</v>
      </c>
      <c r="AR271" s="705">
        <v>3719</v>
      </c>
      <c r="AS271" s="705">
        <v>1377</v>
      </c>
      <c r="AT271" s="705">
        <v>42457</v>
      </c>
      <c r="AU271" s="705">
        <f t="shared" si="18"/>
        <v>42457</v>
      </c>
      <c r="AV271" s="705">
        <f t="shared" si="19"/>
        <v>50513</v>
      </c>
    </row>
    <row r="272" spans="2:48" ht="12.75" hidden="1" customHeight="1">
      <c r="B272" t="s">
        <v>535</v>
      </c>
      <c r="C272" t="s">
        <v>116</v>
      </c>
      <c r="D272" t="s">
        <v>585</v>
      </c>
      <c r="E272" t="s">
        <v>668</v>
      </c>
      <c r="F272">
        <v>1</v>
      </c>
      <c r="G272" s="705">
        <v>130</v>
      </c>
      <c r="H272" s="705">
        <v>169</v>
      </c>
      <c r="I272" s="705">
        <v>21299</v>
      </c>
      <c r="J272" s="705">
        <v>19362</v>
      </c>
      <c r="K272">
        <v>85</v>
      </c>
      <c r="L272" s="705">
        <v>2938</v>
      </c>
      <c r="M272" s="705">
        <v>2671</v>
      </c>
      <c r="N272" s="705">
        <v>2895</v>
      </c>
      <c r="O272" s="705">
        <v>1072</v>
      </c>
      <c r="P272" s="705">
        <v>2784</v>
      </c>
      <c r="Q272" s="705">
        <v>1031</v>
      </c>
      <c r="R272" s="705">
        <v>3635</v>
      </c>
      <c r="S272" s="705">
        <v>3305</v>
      </c>
      <c r="T272" s="705">
        <v>0</v>
      </c>
      <c r="U272" s="705">
        <v>0</v>
      </c>
      <c r="V272" s="705">
        <v>27441</v>
      </c>
      <c r="W272" s="705">
        <f t="shared" si="16"/>
        <v>27441</v>
      </c>
      <c r="X272" s="705">
        <f t="shared" si="17"/>
        <v>33551</v>
      </c>
      <c r="Y272" s="705"/>
      <c r="AA272" t="s">
        <v>118</v>
      </c>
      <c r="AB272" t="s">
        <v>673</v>
      </c>
      <c r="AC272" s="705" t="s">
        <v>673</v>
      </c>
      <c r="AD272" s="705">
        <v>67</v>
      </c>
      <c r="AE272" s="705">
        <v>9645</v>
      </c>
      <c r="AF272" s="705">
        <v>17893</v>
      </c>
      <c r="AG272" s="705">
        <v>1744304</v>
      </c>
      <c r="AH272" s="705">
        <v>1585731</v>
      </c>
      <c r="AI272" s="706">
        <v>64</v>
      </c>
      <c r="AJ272" s="705">
        <v>228799</v>
      </c>
      <c r="AK272" s="705">
        <v>198589</v>
      </c>
      <c r="AL272" s="705">
        <v>191593</v>
      </c>
      <c r="AM272" s="705">
        <v>70960</v>
      </c>
      <c r="AN272" s="705">
        <v>32832</v>
      </c>
      <c r="AO272" s="705">
        <v>12160</v>
      </c>
      <c r="AP272" s="705">
        <v>369149</v>
      </c>
      <c r="AQ272" s="705">
        <v>335590</v>
      </c>
      <c r="AR272" s="705">
        <v>72393</v>
      </c>
      <c r="AS272" s="705">
        <v>26812</v>
      </c>
      <c r="AT272" s="705">
        <v>2229843</v>
      </c>
      <c r="AU272" s="705">
        <f t="shared" si="18"/>
        <v>2229842</v>
      </c>
      <c r="AV272" s="705">
        <f t="shared" si="19"/>
        <v>2639070</v>
      </c>
    </row>
    <row r="273" spans="2:48" ht="12.75" hidden="1" customHeight="1">
      <c r="B273" t="s">
        <v>535</v>
      </c>
      <c r="C273" t="s">
        <v>116</v>
      </c>
      <c r="D273" t="s">
        <v>668</v>
      </c>
      <c r="E273" t="s">
        <v>668</v>
      </c>
      <c r="F273">
        <v>1</v>
      </c>
      <c r="G273">
        <v>144</v>
      </c>
      <c r="H273">
        <v>172</v>
      </c>
      <c r="I273" s="705">
        <v>15542</v>
      </c>
      <c r="J273" s="705">
        <v>14129</v>
      </c>
      <c r="K273">
        <v>94</v>
      </c>
      <c r="L273" s="705">
        <v>2492</v>
      </c>
      <c r="M273" s="705">
        <v>2265</v>
      </c>
      <c r="N273" s="705">
        <v>1751</v>
      </c>
      <c r="O273" s="705">
        <v>649</v>
      </c>
      <c r="P273" s="705">
        <v>351</v>
      </c>
      <c r="Q273">
        <v>130</v>
      </c>
      <c r="R273" s="705">
        <v>4598</v>
      </c>
      <c r="S273" s="705">
        <v>4180</v>
      </c>
      <c r="T273">
        <v>0</v>
      </c>
      <c r="U273">
        <v>0</v>
      </c>
      <c r="V273" s="705">
        <v>21353</v>
      </c>
      <c r="W273" s="705">
        <f t="shared" si="16"/>
        <v>21353</v>
      </c>
      <c r="X273" s="705">
        <f t="shared" si="17"/>
        <v>24734</v>
      </c>
      <c r="Y273" s="705"/>
      <c r="AA273" t="s">
        <v>118</v>
      </c>
      <c r="AB273" t="s">
        <v>585</v>
      </c>
      <c r="AC273" s="705" t="s">
        <v>228</v>
      </c>
      <c r="AD273" s="705">
        <v>1</v>
      </c>
      <c r="AE273" s="705">
        <v>85</v>
      </c>
      <c r="AF273" s="705">
        <v>252</v>
      </c>
      <c r="AG273" s="705">
        <v>11171</v>
      </c>
      <c r="AH273" s="705">
        <v>10156</v>
      </c>
      <c r="AI273" s="706">
        <v>65</v>
      </c>
      <c r="AJ273" s="705">
        <v>1980</v>
      </c>
      <c r="AK273" s="705">
        <v>733</v>
      </c>
      <c r="AL273" s="705">
        <v>1494</v>
      </c>
      <c r="AM273" s="705">
        <v>553</v>
      </c>
      <c r="AN273" s="705">
        <v>351</v>
      </c>
      <c r="AO273" s="705">
        <v>130</v>
      </c>
      <c r="AP273" s="705">
        <v>6502</v>
      </c>
      <c r="AQ273" s="705">
        <v>2408</v>
      </c>
      <c r="AR273" s="705">
        <v>0</v>
      </c>
      <c r="AS273" s="705">
        <v>0</v>
      </c>
      <c r="AT273" s="705">
        <v>13981</v>
      </c>
      <c r="AU273" s="705">
        <f t="shared" si="18"/>
        <v>13980</v>
      </c>
      <c r="AV273" s="705">
        <f t="shared" si="19"/>
        <v>21498</v>
      </c>
    </row>
    <row r="274" spans="2:48" ht="12.75" hidden="1" customHeight="1">
      <c r="B274" t="s">
        <v>535</v>
      </c>
      <c r="C274" t="s">
        <v>118</v>
      </c>
      <c r="F274">
        <v>1</v>
      </c>
      <c r="G274" s="705">
        <v>141</v>
      </c>
      <c r="H274" s="705">
        <v>252</v>
      </c>
      <c r="I274" s="705"/>
      <c r="J274" s="705">
        <v>0</v>
      </c>
      <c r="L274" s="705"/>
      <c r="M274" s="705">
        <v>0</v>
      </c>
      <c r="N274" s="705">
        <v>3263</v>
      </c>
      <c r="O274" s="705">
        <v>1209</v>
      </c>
      <c r="P274" s="705">
        <v>0</v>
      </c>
      <c r="Q274" s="705">
        <v>0</v>
      </c>
      <c r="R274" s="705"/>
      <c r="S274" s="705">
        <v>0</v>
      </c>
      <c r="T274" s="705">
        <v>0</v>
      </c>
      <c r="U274">
        <v>0</v>
      </c>
      <c r="V274" s="705">
        <v>1209</v>
      </c>
      <c r="W274" s="705">
        <f t="shared" si="16"/>
        <v>1209</v>
      </c>
      <c r="X274" s="705">
        <f t="shared" si="17"/>
        <v>3263</v>
      </c>
      <c r="Y274" s="705"/>
      <c r="AA274" t="s">
        <v>118</v>
      </c>
      <c r="AB274" t="s">
        <v>585</v>
      </c>
      <c r="AC274" s="705" t="s">
        <v>585</v>
      </c>
      <c r="AD274" s="705">
        <v>95</v>
      </c>
      <c r="AE274" s="705">
        <v>14611</v>
      </c>
      <c r="AF274" s="705">
        <v>24819</v>
      </c>
      <c r="AG274" s="705">
        <v>2501106</v>
      </c>
      <c r="AH274" s="705">
        <v>2273733</v>
      </c>
      <c r="AI274" s="706">
        <v>69</v>
      </c>
      <c r="AJ274" s="705">
        <v>391875</v>
      </c>
      <c r="AK274" s="705">
        <v>338826</v>
      </c>
      <c r="AL274" s="705">
        <v>298582</v>
      </c>
      <c r="AM274" s="705">
        <v>110586</v>
      </c>
      <c r="AN274" s="705">
        <v>40338</v>
      </c>
      <c r="AO274" s="705">
        <v>14940</v>
      </c>
      <c r="AP274" s="705">
        <v>552258</v>
      </c>
      <c r="AQ274" s="705">
        <v>502053</v>
      </c>
      <c r="AR274" s="705">
        <v>115695</v>
      </c>
      <c r="AS274" s="705">
        <v>42850</v>
      </c>
      <c r="AT274" s="705">
        <v>3282988</v>
      </c>
      <c r="AU274" s="705">
        <f t="shared" si="18"/>
        <v>3282988</v>
      </c>
      <c r="AV274" s="705">
        <f t="shared" si="19"/>
        <v>3899854</v>
      </c>
    </row>
    <row r="275" spans="2:48" ht="12.75" hidden="1" customHeight="1">
      <c r="B275" t="s">
        <v>535</v>
      </c>
      <c r="C275" t="s">
        <v>118</v>
      </c>
      <c r="D275" t="s">
        <v>674</v>
      </c>
      <c r="E275" t="s">
        <v>674</v>
      </c>
      <c r="F275">
        <v>1</v>
      </c>
      <c r="G275">
        <v>161</v>
      </c>
      <c r="H275" s="705">
        <v>264</v>
      </c>
      <c r="I275" s="705">
        <v>22183</v>
      </c>
      <c r="J275" s="705">
        <v>20166</v>
      </c>
      <c r="K275">
        <v>71</v>
      </c>
      <c r="L275" s="705">
        <v>5866</v>
      </c>
      <c r="M275" s="705">
        <v>5333</v>
      </c>
      <c r="N275" s="705">
        <v>3544</v>
      </c>
      <c r="O275" s="705">
        <v>1313</v>
      </c>
      <c r="P275" s="705">
        <v>351</v>
      </c>
      <c r="Q275" s="705">
        <v>130</v>
      </c>
      <c r="R275" s="705">
        <v>6233</v>
      </c>
      <c r="S275" s="705">
        <v>5667</v>
      </c>
      <c r="T275" s="705">
        <v>4293</v>
      </c>
      <c r="U275" s="705">
        <v>1590</v>
      </c>
      <c r="V275" s="705">
        <v>34198</v>
      </c>
      <c r="W275" s="705">
        <f t="shared" si="16"/>
        <v>34199</v>
      </c>
      <c r="X275" s="705">
        <f t="shared" si="17"/>
        <v>42470</v>
      </c>
      <c r="Y275" s="705"/>
      <c r="AA275" t="s">
        <v>118</v>
      </c>
      <c r="AB275" t="s">
        <v>585</v>
      </c>
      <c r="AC275" s="705" t="s">
        <v>668</v>
      </c>
      <c r="AD275" s="705">
        <v>4</v>
      </c>
      <c r="AE275" s="705">
        <v>622</v>
      </c>
      <c r="AF275" s="705">
        <v>1016</v>
      </c>
      <c r="AG275" s="705">
        <v>106681</v>
      </c>
      <c r="AH275" s="705">
        <v>96983</v>
      </c>
      <c r="AI275" s="706">
        <v>77</v>
      </c>
      <c r="AJ275" s="705">
        <v>19193</v>
      </c>
      <c r="AK275" s="705">
        <v>17448</v>
      </c>
      <c r="AL275" s="705">
        <v>11925</v>
      </c>
      <c r="AM275" s="705">
        <v>4417</v>
      </c>
      <c r="AN275" s="705">
        <v>1674</v>
      </c>
      <c r="AO275" s="705">
        <v>620</v>
      </c>
      <c r="AP275" s="705">
        <v>24574</v>
      </c>
      <c r="AQ275" s="705">
        <v>22340</v>
      </c>
      <c r="AR275" s="705">
        <v>2586</v>
      </c>
      <c r="AS275" s="705">
        <v>958</v>
      </c>
      <c r="AT275" s="705">
        <v>142766</v>
      </c>
      <c r="AU275" s="705">
        <f t="shared" si="18"/>
        <v>142766</v>
      </c>
      <c r="AV275" s="705">
        <f t="shared" si="19"/>
        <v>166633</v>
      </c>
    </row>
    <row r="276" spans="2:48" ht="12.75" hidden="1" customHeight="1">
      <c r="B276" t="s">
        <v>535</v>
      </c>
      <c r="C276" t="s">
        <v>118</v>
      </c>
      <c r="D276" t="s">
        <v>664</v>
      </c>
      <c r="E276" t="s">
        <v>664</v>
      </c>
      <c r="F276">
        <v>1</v>
      </c>
      <c r="G276">
        <v>126</v>
      </c>
      <c r="H276">
        <v>263</v>
      </c>
      <c r="I276" s="705">
        <v>18478</v>
      </c>
      <c r="J276" s="705">
        <v>16798</v>
      </c>
      <c r="K276">
        <v>65</v>
      </c>
      <c r="L276" s="705">
        <v>4229</v>
      </c>
      <c r="M276" s="705">
        <v>3845</v>
      </c>
      <c r="N276" s="705">
        <v>3061</v>
      </c>
      <c r="O276" s="705">
        <v>1134</v>
      </c>
      <c r="P276" s="705">
        <v>473</v>
      </c>
      <c r="Q276" s="705">
        <v>175</v>
      </c>
      <c r="R276" s="705">
        <v>6837</v>
      </c>
      <c r="S276" s="705">
        <v>6215</v>
      </c>
      <c r="T276" s="705">
        <v>0</v>
      </c>
      <c r="U276" s="705">
        <v>0</v>
      </c>
      <c r="V276" s="705">
        <v>28167</v>
      </c>
      <c r="W276" s="705">
        <f t="shared" si="16"/>
        <v>28167</v>
      </c>
      <c r="X276" s="705">
        <f t="shared" si="17"/>
        <v>33078</v>
      </c>
      <c r="Y276" s="705"/>
      <c r="AA276" t="s">
        <v>118</v>
      </c>
      <c r="AB276" t="s">
        <v>668</v>
      </c>
      <c r="AC276" s="705" t="s">
        <v>585</v>
      </c>
      <c r="AD276" s="705">
        <v>1</v>
      </c>
      <c r="AE276" s="705">
        <v>243</v>
      </c>
      <c r="AF276" s="705">
        <v>232</v>
      </c>
      <c r="AG276" s="705">
        <v>34321</v>
      </c>
      <c r="AH276" s="705">
        <v>31201</v>
      </c>
      <c r="AI276" s="706">
        <v>65</v>
      </c>
      <c r="AJ276" s="705">
        <v>8262</v>
      </c>
      <c r="AK276" s="705">
        <v>7511</v>
      </c>
      <c r="AL276" s="705">
        <v>2961</v>
      </c>
      <c r="AM276" s="705">
        <v>1097</v>
      </c>
      <c r="AN276" s="705">
        <v>351</v>
      </c>
      <c r="AO276" s="705">
        <v>130</v>
      </c>
      <c r="AP276" s="705">
        <v>6498</v>
      </c>
      <c r="AQ276" s="705">
        <v>5907</v>
      </c>
      <c r="AR276" s="705">
        <v>4019</v>
      </c>
      <c r="AS276" s="705">
        <v>1488</v>
      </c>
      <c r="AT276" s="705">
        <v>47334</v>
      </c>
      <c r="AU276" s="705">
        <f t="shared" si="18"/>
        <v>47334</v>
      </c>
      <c r="AV276" s="705">
        <f t="shared" si="19"/>
        <v>56412</v>
      </c>
    </row>
    <row r="277" spans="2:48" ht="12.75" hidden="1" customHeight="1">
      <c r="B277" t="s">
        <v>535</v>
      </c>
      <c r="C277" t="s">
        <v>118</v>
      </c>
      <c r="D277" t="s">
        <v>664</v>
      </c>
      <c r="E277" t="s">
        <v>583</v>
      </c>
      <c r="F277">
        <v>3</v>
      </c>
      <c r="G277" s="705">
        <v>396</v>
      </c>
      <c r="H277" s="705">
        <v>762</v>
      </c>
      <c r="I277" s="705">
        <v>53660</v>
      </c>
      <c r="J277" s="705">
        <v>48782</v>
      </c>
      <c r="K277">
        <v>80</v>
      </c>
      <c r="L277" s="705">
        <v>13538</v>
      </c>
      <c r="M277" s="705">
        <v>10170</v>
      </c>
      <c r="N277" s="705">
        <v>8949</v>
      </c>
      <c r="O277" s="705">
        <v>3314</v>
      </c>
      <c r="P277" s="705">
        <v>1863</v>
      </c>
      <c r="Q277" s="705">
        <v>690</v>
      </c>
      <c r="R277" s="705">
        <v>16026</v>
      </c>
      <c r="S277" s="705">
        <v>14569</v>
      </c>
      <c r="T277" s="705">
        <v>6893</v>
      </c>
      <c r="U277" s="705">
        <v>2553</v>
      </c>
      <c r="V277" s="705">
        <v>80078</v>
      </c>
      <c r="W277" s="705">
        <f t="shared" si="16"/>
        <v>80078</v>
      </c>
      <c r="X277" s="705">
        <f t="shared" si="17"/>
        <v>100929</v>
      </c>
      <c r="Y277" s="705"/>
      <c r="AA277" t="s">
        <v>118</v>
      </c>
      <c r="AB277" t="s">
        <v>668</v>
      </c>
      <c r="AC277" s="705" t="s">
        <v>668</v>
      </c>
      <c r="AD277" s="705">
        <v>25</v>
      </c>
      <c r="AE277" s="705">
        <v>3252</v>
      </c>
      <c r="AF277" s="705">
        <v>6354</v>
      </c>
      <c r="AG277" s="705">
        <v>518430</v>
      </c>
      <c r="AH277" s="705">
        <v>471300</v>
      </c>
      <c r="AI277" s="706">
        <v>73</v>
      </c>
      <c r="AJ277" s="705">
        <v>75184</v>
      </c>
      <c r="AK277" s="705">
        <v>64902</v>
      </c>
      <c r="AL277" s="705">
        <v>59482</v>
      </c>
      <c r="AM277" s="705">
        <v>22030</v>
      </c>
      <c r="AN277" s="705">
        <v>13635</v>
      </c>
      <c r="AO277" s="705">
        <v>5050</v>
      </c>
      <c r="AP277" s="705">
        <v>126407</v>
      </c>
      <c r="AQ277" s="705">
        <v>114915</v>
      </c>
      <c r="AR277" s="705">
        <v>32315</v>
      </c>
      <c r="AS277" s="705">
        <v>11968</v>
      </c>
      <c r="AT277" s="705">
        <v>690166</v>
      </c>
      <c r="AU277" s="705">
        <f t="shared" si="18"/>
        <v>690165</v>
      </c>
      <c r="AV277" s="705">
        <f t="shared" si="19"/>
        <v>825453</v>
      </c>
    </row>
    <row r="278" spans="2:48" ht="12.75" hidden="1" customHeight="1">
      <c r="B278" t="s">
        <v>535</v>
      </c>
      <c r="C278" t="s">
        <v>118</v>
      </c>
      <c r="D278" t="s">
        <v>582</v>
      </c>
      <c r="E278" t="s">
        <v>664</v>
      </c>
      <c r="F278">
        <v>1</v>
      </c>
      <c r="G278">
        <v>129</v>
      </c>
      <c r="H278" s="705">
        <v>271</v>
      </c>
      <c r="I278" s="705">
        <v>24163</v>
      </c>
      <c r="J278" s="705">
        <v>21966</v>
      </c>
      <c r="K278">
        <v>69</v>
      </c>
      <c r="L278" s="705">
        <v>2931</v>
      </c>
      <c r="M278" s="705">
        <v>2664</v>
      </c>
      <c r="N278" s="705">
        <v>3052</v>
      </c>
      <c r="O278" s="705">
        <v>1130</v>
      </c>
      <c r="P278" s="705">
        <v>473</v>
      </c>
      <c r="Q278" s="705">
        <v>175</v>
      </c>
      <c r="R278" s="705">
        <v>4403</v>
      </c>
      <c r="S278" s="705">
        <v>4003</v>
      </c>
      <c r="T278">
        <v>0</v>
      </c>
      <c r="U278">
        <v>0</v>
      </c>
      <c r="V278" s="705">
        <v>29938</v>
      </c>
      <c r="W278" s="705">
        <f t="shared" si="16"/>
        <v>29938</v>
      </c>
      <c r="X278" s="705">
        <f t="shared" si="17"/>
        <v>35022</v>
      </c>
      <c r="Y278" s="705"/>
      <c r="AA278" t="s">
        <v>120</v>
      </c>
      <c r="AC278" s="705"/>
      <c r="AD278" s="705">
        <v>17</v>
      </c>
      <c r="AE278" s="705">
        <v>2470</v>
      </c>
      <c r="AF278" s="705">
        <v>5694</v>
      </c>
      <c r="AG278" s="705"/>
      <c r="AH278" s="705">
        <v>0</v>
      </c>
      <c r="AI278" s="706"/>
      <c r="AJ278" s="705"/>
      <c r="AK278" s="705">
        <v>0</v>
      </c>
      <c r="AL278" s="705">
        <v>55649</v>
      </c>
      <c r="AM278" s="705">
        <v>20611</v>
      </c>
      <c r="AN278" s="705">
        <v>7776</v>
      </c>
      <c r="AO278" s="705">
        <v>2880</v>
      </c>
      <c r="AP278" s="705"/>
      <c r="AQ278" s="705">
        <v>0</v>
      </c>
      <c r="AR278" s="705">
        <v>11537</v>
      </c>
      <c r="AS278" s="705">
        <v>4273</v>
      </c>
      <c r="AT278" s="705">
        <v>27764</v>
      </c>
      <c r="AU278" s="705">
        <f t="shared" si="18"/>
        <v>27764</v>
      </c>
      <c r="AV278" s="705">
        <f t="shared" si="19"/>
        <v>74962</v>
      </c>
    </row>
    <row r="279" spans="2:48" ht="12.75" hidden="1" customHeight="1">
      <c r="B279" t="s">
        <v>535</v>
      </c>
      <c r="C279" t="s">
        <v>118</v>
      </c>
      <c r="D279" t="s">
        <v>582</v>
      </c>
      <c r="E279" t="s">
        <v>582</v>
      </c>
      <c r="F279">
        <v>65</v>
      </c>
      <c r="G279" s="705">
        <v>8922</v>
      </c>
      <c r="H279" s="705">
        <v>16680</v>
      </c>
      <c r="I279" s="705">
        <v>1403743</v>
      </c>
      <c r="J279" s="705">
        <v>1276130</v>
      </c>
      <c r="K279">
        <v>82</v>
      </c>
      <c r="L279" s="705">
        <v>294472</v>
      </c>
      <c r="M279" s="705">
        <v>257199</v>
      </c>
      <c r="N279" s="705">
        <v>185666</v>
      </c>
      <c r="O279" s="705">
        <v>68765</v>
      </c>
      <c r="P279" s="705">
        <v>32782</v>
      </c>
      <c r="Q279" s="705">
        <v>12142</v>
      </c>
      <c r="R279" s="705">
        <v>313563</v>
      </c>
      <c r="S279" s="705">
        <v>285057</v>
      </c>
      <c r="T279" s="705">
        <v>82888</v>
      </c>
      <c r="U279" s="705">
        <v>30699</v>
      </c>
      <c r="V279" s="705">
        <v>1929992</v>
      </c>
      <c r="W279" s="705">
        <f t="shared" si="16"/>
        <v>1929992</v>
      </c>
      <c r="X279" s="705">
        <f t="shared" si="17"/>
        <v>2313114</v>
      </c>
      <c r="Y279" s="705"/>
      <c r="AA279" t="s">
        <v>120</v>
      </c>
      <c r="AB279" t="s">
        <v>674</v>
      </c>
      <c r="AC279" s="705" t="s">
        <v>674</v>
      </c>
      <c r="AD279" s="705">
        <v>7</v>
      </c>
      <c r="AE279" s="705">
        <v>655</v>
      </c>
      <c r="AF279" s="705">
        <v>2501</v>
      </c>
      <c r="AG279" s="705">
        <v>140268</v>
      </c>
      <c r="AH279" s="705">
        <v>127517</v>
      </c>
      <c r="AI279" s="706">
        <v>60</v>
      </c>
      <c r="AJ279" s="705">
        <v>20212</v>
      </c>
      <c r="AK279" s="705">
        <v>21859</v>
      </c>
      <c r="AL279" s="705">
        <v>12050</v>
      </c>
      <c r="AM279" s="705">
        <v>4463</v>
      </c>
      <c r="AN279" s="705">
        <v>5616</v>
      </c>
      <c r="AO279" s="705">
        <v>2080</v>
      </c>
      <c r="AP279" s="705">
        <v>39247</v>
      </c>
      <c r="AQ279" s="705">
        <v>35679</v>
      </c>
      <c r="AR279" s="705">
        <v>17361</v>
      </c>
      <c r="AS279" s="705">
        <v>6430</v>
      </c>
      <c r="AT279" s="705">
        <v>198028</v>
      </c>
      <c r="AU279" s="705">
        <f t="shared" si="18"/>
        <v>198028</v>
      </c>
      <c r="AV279" s="705">
        <f t="shared" si="19"/>
        <v>234754</v>
      </c>
    </row>
    <row r="280" spans="2:48" ht="12.75" hidden="1" customHeight="1">
      <c r="B280" t="s">
        <v>535</v>
      </c>
      <c r="C280" t="s">
        <v>118</v>
      </c>
      <c r="D280" t="s">
        <v>582</v>
      </c>
      <c r="E280" t="s">
        <v>584</v>
      </c>
      <c r="F280">
        <v>1</v>
      </c>
      <c r="G280" s="705">
        <v>151</v>
      </c>
      <c r="H280" s="705">
        <v>239</v>
      </c>
      <c r="I280" s="705">
        <v>19748</v>
      </c>
      <c r="J280" s="705">
        <v>17953</v>
      </c>
      <c r="K280">
        <v>75</v>
      </c>
      <c r="L280" s="705">
        <v>2417</v>
      </c>
      <c r="M280" s="705">
        <v>2197</v>
      </c>
      <c r="N280" s="705">
        <v>3670</v>
      </c>
      <c r="O280" s="705">
        <v>1359</v>
      </c>
      <c r="P280" s="705">
        <v>473</v>
      </c>
      <c r="Q280" s="705">
        <v>175</v>
      </c>
      <c r="R280" s="705">
        <v>5779</v>
      </c>
      <c r="S280" s="705">
        <v>5254</v>
      </c>
      <c r="T280" s="705">
        <v>3918</v>
      </c>
      <c r="U280" s="705">
        <v>1451</v>
      </c>
      <c r="V280" s="705">
        <v>28389</v>
      </c>
      <c r="W280" s="705">
        <f t="shared" si="16"/>
        <v>28389</v>
      </c>
      <c r="X280" s="705">
        <f t="shared" si="17"/>
        <v>36005</v>
      </c>
      <c r="Y280" s="705"/>
      <c r="AA280" t="s">
        <v>120</v>
      </c>
      <c r="AB280" t="s">
        <v>664</v>
      </c>
      <c r="AC280" s="705" t="s">
        <v>664</v>
      </c>
      <c r="AD280" s="705">
        <v>44</v>
      </c>
      <c r="AE280" s="705">
        <v>5420</v>
      </c>
      <c r="AF280" s="705">
        <v>14938</v>
      </c>
      <c r="AG280" s="705">
        <v>1251151</v>
      </c>
      <c r="AH280" s="705">
        <v>1137410</v>
      </c>
      <c r="AI280" s="706">
        <v>78</v>
      </c>
      <c r="AJ280" s="705">
        <v>213303</v>
      </c>
      <c r="AK280" s="705">
        <v>188893</v>
      </c>
      <c r="AL280" s="705">
        <v>121417</v>
      </c>
      <c r="AM280" s="705">
        <v>44969</v>
      </c>
      <c r="AN280" s="705">
        <v>20817</v>
      </c>
      <c r="AO280" s="705">
        <v>7710</v>
      </c>
      <c r="AP280" s="705">
        <v>225253</v>
      </c>
      <c r="AQ280" s="705">
        <v>204775</v>
      </c>
      <c r="AR280" s="705">
        <v>55057</v>
      </c>
      <c r="AS280" s="705">
        <v>20392</v>
      </c>
      <c r="AT280" s="705">
        <v>1604150</v>
      </c>
      <c r="AU280" s="705">
        <f t="shared" si="18"/>
        <v>1604149</v>
      </c>
      <c r="AV280" s="705">
        <f t="shared" si="19"/>
        <v>1886998</v>
      </c>
    </row>
    <row r="281" spans="2:48" ht="12.75" hidden="1" customHeight="1">
      <c r="B281" t="s">
        <v>535</v>
      </c>
      <c r="C281" t="s">
        <v>118</v>
      </c>
      <c r="D281" t="s">
        <v>228</v>
      </c>
      <c r="E281" t="s">
        <v>228</v>
      </c>
      <c r="F281">
        <v>116</v>
      </c>
      <c r="G281" s="705">
        <v>14348</v>
      </c>
      <c r="H281" s="705">
        <v>31499</v>
      </c>
      <c r="I281" s="705">
        <v>2575831</v>
      </c>
      <c r="J281" s="705">
        <v>954012</v>
      </c>
      <c r="K281">
        <v>104</v>
      </c>
      <c r="L281" s="705">
        <v>458602</v>
      </c>
      <c r="M281" s="705">
        <v>308440</v>
      </c>
      <c r="N281" s="705">
        <v>347834</v>
      </c>
      <c r="O281" s="705">
        <v>128827</v>
      </c>
      <c r="P281" s="705">
        <v>2579</v>
      </c>
      <c r="Q281" s="705">
        <v>955</v>
      </c>
      <c r="R281" s="705">
        <v>978202</v>
      </c>
      <c r="S281" s="705">
        <v>362297</v>
      </c>
      <c r="T281" s="705">
        <v>0</v>
      </c>
      <c r="U281" s="705">
        <v>0</v>
      </c>
      <c r="V281" s="705">
        <v>1754531</v>
      </c>
      <c r="W281" s="705">
        <f t="shared" si="16"/>
        <v>1754531</v>
      </c>
      <c r="X281" s="705">
        <f t="shared" si="17"/>
        <v>4363048</v>
      </c>
      <c r="Y281" s="705"/>
      <c r="AA281" t="s">
        <v>120</v>
      </c>
      <c r="AB281" t="s">
        <v>664</v>
      </c>
      <c r="AC281" s="705" t="s">
        <v>582</v>
      </c>
      <c r="AD281" s="705">
        <v>1</v>
      </c>
      <c r="AE281" s="705">
        <v>95</v>
      </c>
      <c r="AF281" s="705">
        <v>314</v>
      </c>
      <c r="AG281" s="705">
        <v>17190</v>
      </c>
      <c r="AH281" s="705">
        <v>15627</v>
      </c>
      <c r="AI281" s="706">
        <v>73</v>
      </c>
      <c r="AJ281" s="705">
        <v>4418</v>
      </c>
      <c r="AK281" s="705">
        <v>4017</v>
      </c>
      <c r="AL281" s="705">
        <v>2262</v>
      </c>
      <c r="AM281" s="705">
        <v>838</v>
      </c>
      <c r="AN281" s="705">
        <v>351</v>
      </c>
      <c r="AO281" s="705">
        <v>130</v>
      </c>
      <c r="AP281" s="705">
        <v>5655</v>
      </c>
      <c r="AQ281" s="705">
        <v>5141</v>
      </c>
      <c r="AR281" s="705">
        <v>0</v>
      </c>
      <c r="AS281" s="705">
        <v>0</v>
      </c>
      <c r="AT281" s="705">
        <v>25753</v>
      </c>
      <c r="AU281" s="705">
        <f t="shared" si="18"/>
        <v>25753</v>
      </c>
      <c r="AV281" s="705">
        <f t="shared" si="19"/>
        <v>29876</v>
      </c>
    </row>
    <row r="282" spans="2:48" ht="12.75" hidden="1" customHeight="1">
      <c r="B282" t="s">
        <v>535</v>
      </c>
      <c r="C282" t="s">
        <v>118</v>
      </c>
      <c r="D282" t="s">
        <v>228</v>
      </c>
      <c r="E282" t="s">
        <v>583</v>
      </c>
      <c r="F282">
        <v>2</v>
      </c>
      <c r="G282" s="705">
        <v>366</v>
      </c>
      <c r="H282" s="705">
        <v>501</v>
      </c>
      <c r="I282" s="705">
        <v>62921</v>
      </c>
      <c r="J282" s="705">
        <v>23304</v>
      </c>
      <c r="K282">
        <v>100</v>
      </c>
      <c r="L282" s="705">
        <v>4747</v>
      </c>
      <c r="M282" s="705">
        <v>4316</v>
      </c>
      <c r="N282" s="705">
        <v>8363</v>
      </c>
      <c r="O282" s="705">
        <v>3097</v>
      </c>
      <c r="P282" s="705">
        <v>351</v>
      </c>
      <c r="Q282" s="705">
        <v>130</v>
      </c>
      <c r="R282" s="705">
        <v>11042</v>
      </c>
      <c r="S282" s="705">
        <v>10039</v>
      </c>
      <c r="T282" s="705">
        <v>3524</v>
      </c>
      <c r="U282" s="705">
        <v>1305</v>
      </c>
      <c r="V282" s="705">
        <v>42191</v>
      </c>
      <c r="W282" s="705">
        <f t="shared" si="16"/>
        <v>42191</v>
      </c>
      <c r="X282" s="705">
        <f t="shared" si="17"/>
        <v>90948</v>
      </c>
      <c r="Y282" s="705"/>
      <c r="AA282" t="s">
        <v>120</v>
      </c>
      <c r="AB282" t="s">
        <v>664</v>
      </c>
      <c r="AC282" s="705" t="s">
        <v>228</v>
      </c>
      <c r="AD282" s="705">
        <v>2</v>
      </c>
      <c r="AE282" s="705">
        <v>160</v>
      </c>
      <c r="AF282" s="705">
        <v>700</v>
      </c>
      <c r="AG282" s="705">
        <v>31982</v>
      </c>
      <c r="AH282" s="705">
        <v>29074</v>
      </c>
      <c r="AI282" s="706">
        <v>61</v>
      </c>
      <c r="AJ282" s="705">
        <v>5050</v>
      </c>
      <c r="AK282" s="705">
        <v>1870</v>
      </c>
      <c r="AL282" s="705">
        <v>3889</v>
      </c>
      <c r="AM282" s="705">
        <v>1440</v>
      </c>
      <c r="AN282" s="705">
        <v>0</v>
      </c>
      <c r="AO282" s="705">
        <v>0</v>
      </c>
      <c r="AP282" s="705">
        <v>15250</v>
      </c>
      <c r="AQ282" s="705">
        <v>5648</v>
      </c>
      <c r="AR282" s="705">
        <v>0</v>
      </c>
      <c r="AS282" s="705">
        <v>0</v>
      </c>
      <c r="AT282" s="705">
        <v>38033</v>
      </c>
      <c r="AU282" s="705">
        <f t="shared" si="18"/>
        <v>38032</v>
      </c>
      <c r="AV282" s="705">
        <f t="shared" si="19"/>
        <v>56171</v>
      </c>
    </row>
    <row r="283" spans="2:48" ht="12.75" hidden="1" customHeight="1">
      <c r="B283" t="s">
        <v>535</v>
      </c>
      <c r="C283" t="s">
        <v>118</v>
      </c>
      <c r="D283" t="s">
        <v>228</v>
      </c>
      <c r="E283" t="s">
        <v>584</v>
      </c>
      <c r="F283">
        <v>1</v>
      </c>
      <c r="G283" s="705">
        <v>198</v>
      </c>
      <c r="H283" s="705">
        <v>235</v>
      </c>
      <c r="I283" s="705">
        <v>34335</v>
      </c>
      <c r="J283" s="705">
        <v>12717</v>
      </c>
      <c r="K283">
        <v>100</v>
      </c>
      <c r="L283" s="705">
        <v>0</v>
      </c>
      <c r="M283" s="705">
        <v>0</v>
      </c>
      <c r="N283" s="705">
        <v>4835</v>
      </c>
      <c r="O283" s="705">
        <v>1791</v>
      </c>
      <c r="P283" s="705">
        <v>1675</v>
      </c>
      <c r="Q283" s="705">
        <v>620</v>
      </c>
      <c r="R283" s="705">
        <v>5819</v>
      </c>
      <c r="S283" s="705">
        <v>5290</v>
      </c>
      <c r="T283">
        <v>0</v>
      </c>
      <c r="U283">
        <v>0</v>
      </c>
      <c r="V283" s="705">
        <v>20418</v>
      </c>
      <c r="W283" s="705">
        <f t="shared" si="16"/>
        <v>20418</v>
      </c>
      <c r="X283" s="705">
        <f t="shared" si="17"/>
        <v>46664</v>
      </c>
      <c r="Y283" s="705"/>
      <c r="AA283" t="s">
        <v>120</v>
      </c>
      <c r="AB283" t="s">
        <v>664</v>
      </c>
      <c r="AC283" s="705" t="s">
        <v>583</v>
      </c>
      <c r="AD283" s="705">
        <v>4</v>
      </c>
      <c r="AE283" s="705">
        <v>609</v>
      </c>
      <c r="AF283" s="705">
        <v>1402</v>
      </c>
      <c r="AG283" s="705">
        <v>132253</v>
      </c>
      <c r="AH283" s="705">
        <v>120230</v>
      </c>
      <c r="AI283" s="706">
        <v>70</v>
      </c>
      <c r="AJ283" s="705">
        <v>28419</v>
      </c>
      <c r="AK283" s="705">
        <v>25835</v>
      </c>
      <c r="AL283" s="705">
        <v>13870</v>
      </c>
      <c r="AM283" s="705">
        <v>5137</v>
      </c>
      <c r="AN283" s="705">
        <v>2835</v>
      </c>
      <c r="AO283" s="705">
        <v>1050</v>
      </c>
      <c r="AP283" s="705">
        <v>22665</v>
      </c>
      <c r="AQ283" s="705">
        <v>20604</v>
      </c>
      <c r="AR283" s="705">
        <v>9843</v>
      </c>
      <c r="AS283" s="705">
        <v>3645</v>
      </c>
      <c r="AT283" s="705">
        <v>176501</v>
      </c>
      <c r="AU283" s="705">
        <f t="shared" si="18"/>
        <v>176501</v>
      </c>
      <c r="AV283" s="705">
        <f t="shared" si="19"/>
        <v>209885</v>
      </c>
    </row>
    <row r="284" spans="2:48" ht="12.75" hidden="1" customHeight="1">
      <c r="B284" t="s">
        <v>535</v>
      </c>
      <c r="C284" t="s">
        <v>118</v>
      </c>
      <c r="D284" t="s">
        <v>228</v>
      </c>
      <c r="E284" t="s">
        <v>665</v>
      </c>
      <c r="F284">
        <v>1</v>
      </c>
      <c r="G284" s="705">
        <v>154</v>
      </c>
      <c r="H284" s="705">
        <v>250</v>
      </c>
      <c r="I284" s="705">
        <v>29347</v>
      </c>
      <c r="J284" s="705">
        <v>10869</v>
      </c>
      <c r="K284">
        <v>100</v>
      </c>
      <c r="L284" s="705">
        <v>2044</v>
      </c>
      <c r="M284" s="705">
        <v>1858</v>
      </c>
      <c r="N284" s="705">
        <v>2936</v>
      </c>
      <c r="O284" s="705">
        <v>1087</v>
      </c>
      <c r="P284" s="705">
        <v>351</v>
      </c>
      <c r="Q284" s="705">
        <v>130</v>
      </c>
      <c r="R284" s="705">
        <v>3327</v>
      </c>
      <c r="S284" s="705">
        <v>3025</v>
      </c>
      <c r="T284" s="705">
        <v>432</v>
      </c>
      <c r="U284" s="705">
        <v>160</v>
      </c>
      <c r="V284" s="705">
        <v>17130</v>
      </c>
      <c r="W284" s="705">
        <f t="shared" si="16"/>
        <v>17129</v>
      </c>
      <c r="X284" s="705">
        <f t="shared" si="17"/>
        <v>38437</v>
      </c>
      <c r="Y284" s="705"/>
      <c r="AA284" t="s">
        <v>120</v>
      </c>
      <c r="AB284" t="s">
        <v>582</v>
      </c>
      <c r="AC284" s="705" t="s">
        <v>664</v>
      </c>
      <c r="AD284" s="705">
        <v>4</v>
      </c>
      <c r="AE284" s="705">
        <v>575</v>
      </c>
      <c r="AF284" s="705">
        <v>1285</v>
      </c>
      <c r="AG284" s="705">
        <v>127181</v>
      </c>
      <c r="AH284" s="705">
        <v>115620</v>
      </c>
      <c r="AI284" s="706">
        <v>69</v>
      </c>
      <c r="AJ284" s="705">
        <v>16192</v>
      </c>
      <c r="AK284" s="705">
        <v>14296</v>
      </c>
      <c r="AL284" s="705">
        <v>11062</v>
      </c>
      <c r="AM284" s="705">
        <v>4097</v>
      </c>
      <c r="AN284" s="705">
        <v>2039</v>
      </c>
      <c r="AO284" s="705">
        <v>755</v>
      </c>
      <c r="AP284" s="705">
        <v>27243</v>
      </c>
      <c r="AQ284" s="705">
        <v>24767</v>
      </c>
      <c r="AR284" s="705">
        <v>2652</v>
      </c>
      <c r="AS284" s="705">
        <v>982</v>
      </c>
      <c r="AT284" s="705">
        <v>160516</v>
      </c>
      <c r="AU284" s="705">
        <f t="shared" si="18"/>
        <v>160517</v>
      </c>
      <c r="AV284" s="705">
        <f t="shared" si="19"/>
        <v>186369</v>
      </c>
    </row>
    <row r="285" spans="2:48" ht="12.75" hidden="1" customHeight="1">
      <c r="B285" t="s">
        <v>535</v>
      </c>
      <c r="C285" t="s">
        <v>118</v>
      </c>
      <c r="D285" t="s">
        <v>583</v>
      </c>
      <c r="E285" t="s">
        <v>664</v>
      </c>
      <c r="F285">
        <v>1</v>
      </c>
      <c r="G285">
        <v>157</v>
      </c>
      <c r="H285">
        <v>257</v>
      </c>
      <c r="I285" s="705">
        <v>22623</v>
      </c>
      <c r="J285" s="705">
        <v>20566</v>
      </c>
      <c r="K285">
        <v>79</v>
      </c>
      <c r="L285" s="705">
        <v>6284</v>
      </c>
      <c r="M285" s="705">
        <v>5713</v>
      </c>
      <c r="N285" s="705">
        <v>3651</v>
      </c>
      <c r="O285" s="705">
        <v>1352</v>
      </c>
      <c r="P285" s="705">
        <v>621</v>
      </c>
      <c r="Q285">
        <v>230</v>
      </c>
      <c r="R285" s="705">
        <v>7098</v>
      </c>
      <c r="S285" s="705">
        <v>6453</v>
      </c>
      <c r="T285">
        <v>0</v>
      </c>
      <c r="U285">
        <v>0</v>
      </c>
      <c r="V285" s="705">
        <v>34314</v>
      </c>
      <c r="W285" s="705">
        <f t="shared" si="16"/>
        <v>34314</v>
      </c>
      <c r="X285" s="705">
        <f t="shared" si="17"/>
        <v>40277</v>
      </c>
      <c r="Y285" s="705"/>
      <c r="AA285" t="s">
        <v>120</v>
      </c>
      <c r="AB285" t="s">
        <v>582</v>
      </c>
      <c r="AC285" s="705" t="s">
        <v>582</v>
      </c>
      <c r="AD285" s="705">
        <v>358</v>
      </c>
      <c r="AE285" s="705">
        <v>45206</v>
      </c>
      <c r="AF285" s="705">
        <v>120808</v>
      </c>
      <c r="AG285" s="705">
        <v>9961572</v>
      </c>
      <c r="AH285" s="705">
        <v>9055975</v>
      </c>
      <c r="AI285" s="706">
        <v>78</v>
      </c>
      <c r="AJ285" s="705">
        <v>2080617</v>
      </c>
      <c r="AK285" s="705">
        <v>1839929</v>
      </c>
      <c r="AL285" s="705">
        <v>946006</v>
      </c>
      <c r="AM285" s="705">
        <v>350373</v>
      </c>
      <c r="AN285" s="705">
        <v>176810</v>
      </c>
      <c r="AO285" s="705">
        <v>65485</v>
      </c>
      <c r="AP285" s="705">
        <v>1869882</v>
      </c>
      <c r="AQ285" s="705">
        <v>1699892</v>
      </c>
      <c r="AR285" s="705">
        <v>424766</v>
      </c>
      <c r="AS285" s="705">
        <v>157321</v>
      </c>
      <c r="AT285" s="705">
        <v>13168975</v>
      </c>
      <c r="AU285" s="705">
        <f t="shared" si="18"/>
        <v>13168975</v>
      </c>
      <c r="AV285" s="705">
        <f t="shared" si="19"/>
        <v>15459653</v>
      </c>
    </row>
    <row r="286" spans="2:48" ht="12.75" hidden="1" customHeight="1">
      <c r="B286" t="s">
        <v>535</v>
      </c>
      <c r="C286" t="s">
        <v>118</v>
      </c>
      <c r="D286" t="s">
        <v>583</v>
      </c>
      <c r="E286" t="s">
        <v>228</v>
      </c>
      <c r="F286">
        <v>9</v>
      </c>
      <c r="G286" s="705">
        <v>1542</v>
      </c>
      <c r="H286" s="705">
        <v>2288</v>
      </c>
      <c r="I286" s="705">
        <v>217052</v>
      </c>
      <c r="J286" s="705">
        <v>197320</v>
      </c>
      <c r="K286">
        <v>75</v>
      </c>
      <c r="L286" s="705">
        <v>47066</v>
      </c>
      <c r="M286" s="705">
        <v>42787</v>
      </c>
      <c r="N286" s="705">
        <v>34456</v>
      </c>
      <c r="O286" s="705">
        <v>12761</v>
      </c>
      <c r="P286" s="705">
        <v>5319</v>
      </c>
      <c r="Q286" s="705">
        <v>1970</v>
      </c>
      <c r="R286" s="705">
        <v>103692</v>
      </c>
      <c r="S286" s="705">
        <v>38404</v>
      </c>
      <c r="T286" s="705">
        <v>0</v>
      </c>
      <c r="U286" s="705">
        <v>0</v>
      </c>
      <c r="V286" s="705">
        <v>293243</v>
      </c>
      <c r="W286" s="705">
        <f t="shared" si="16"/>
        <v>293242</v>
      </c>
      <c r="X286" s="705">
        <f t="shared" si="17"/>
        <v>407585</v>
      </c>
      <c r="Y286" s="705"/>
      <c r="AA286" t="s">
        <v>120</v>
      </c>
      <c r="AB286" t="s">
        <v>582</v>
      </c>
      <c r="AC286" s="705" t="s">
        <v>228</v>
      </c>
      <c r="AD286" s="705">
        <v>8</v>
      </c>
      <c r="AE286" s="705">
        <v>1181</v>
      </c>
      <c r="AF286" s="705">
        <v>2670</v>
      </c>
      <c r="AG286" s="705">
        <v>235676</v>
      </c>
      <c r="AH286" s="705">
        <v>214251</v>
      </c>
      <c r="AI286" s="706">
        <v>80</v>
      </c>
      <c r="AJ286" s="705">
        <v>55675</v>
      </c>
      <c r="AK286" s="705">
        <v>43076</v>
      </c>
      <c r="AL286" s="705">
        <v>26611</v>
      </c>
      <c r="AM286" s="705">
        <v>9856</v>
      </c>
      <c r="AN286" s="705">
        <v>3294</v>
      </c>
      <c r="AO286" s="705">
        <v>1220</v>
      </c>
      <c r="AP286" s="705">
        <v>71208</v>
      </c>
      <c r="AQ286" s="705">
        <v>26373</v>
      </c>
      <c r="AR286" s="705">
        <v>0</v>
      </c>
      <c r="AS286" s="705">
        <v>0</v>
      </c>
      <c r="AT286" s="705">
        <v>294776</v>
      </c>
      <c r="AU286" s="705">
        <f t="shared" si="18"/>
        <v>294776</v>
      </c>
      <c r="AV286" s="705">
        <f t="shared" si="19"/>
        <v>392464</v>
      </c>
    </row>
    <row r="287" spans="2:48" ht="12.75" hidden="1" customHeight="1">
      <c r="B287" t="s">
        <v>535</v>
      </c>
      <c r="C287" t="s">
        <v>118</v>
      </c>
      <c r="D287" t="s">
        <v>583</v>
      </c>
      <c r="E287" t="s">
        <v>583</v>
      </c>
      <c r="F287" s="705">
        <v>2066</v>
      </c>
      <c r="G287" s="705">
        <v>274844</v>
      </c>
      <c r="H287" s="705">
        <v>536283</v>
      </c>
      <c r="I287" s="705">
        <v>42178325</v>
      </c>
      <c r="J287" s="705">
        <v>38343932</v>
      </c>
      <c r="K287">
        <v>79</v>
      </c>
      <c r="L287" s="705">
        <v>8725128</v>
      </c>
      <c r="M287" s="705">
        <v>7717794</v>
      </c>
      <c r="N287" s="705">
        <v>5755073</v>
      </c>
      <c r="O287" s="705">
        <v>2131509</v>
      </c>
      <c r="P287" s="705">
        <v>1351133</v>
      </c>
      <c r="Q287" s="705">
        <v>500420</v>
      </c>
      <c r="R287" s="705">
        <v>10614198</v>
      </c>
      <c r="S287" s="705">
        <v>9649270</v>
      </c>
      <c r="T287" s="705">
        <v>4234450</v>
      </c>
      <c r="U287" s="705">
        <v>1568315</v>
      </c>
      <c r="V287" s="705">
        <v>59911239</v>
      </c>
      <c r="W287" s="705">
        <f t="shared" si="16"/>
        <v>59911240</v>
      </c>
      <c r="X287" s="705">
        <f t="shared" si="17"/>
        <v>72858307</v>
      </c>
      <c r="Y287" s="705"/>
      <c r="AA287" t="s">
        <v>120</v>
      </c>
      <c r="AB287" t="s">
        <v>582</v>
      </c>
      <c r="AC287" s="705" t="s">
        <v>583</v>
      </c>
      <c r="AD287" s="705">
        <v>2</v>
      </c>
      <c r="AE287" s="705">
        <v>349</v>
      </c>
      <c r="AF287" s="705">
        <v>672</v>
      </c>
      <c r="AG287" s="705">
        <v>88792</v>
      </c>
      <c r="AH287" s="705">
        <v>80720</v>
      </c>
      <c r="AI287" s="706">
        <v>80</v>
      </c>
      <c r="AJ287" s="705">
        <v>12056</v>
      </c>
      <c r="AK287" s="705">
        <v>10960</v>
      </c>
      <c r="AL287" s="705">
        <v>5104</v>
      </c>
      <c r="AM287" s="705">
        <v>1890</v>
      </c>
      <c r="AN287" s="705">
        <v>972</v>
      </c>
      <c r="AO287" s="705">
        <v>360</v>
      </c>
      <c r="AP287" s="705">
        <v>12129</v>
      </c>
      <c r="AQ287" s="705">
        <v>11026</v>
      </c>
      <c r="AR287" s="705">
        <v>0</v>
      </c>
      <c r="AS287" s="705">
        <v>0</v>
      </c>
      <c r="AT287" s="705">
        <v>104957</v>
      </c>
      <c r="AU287" s="705">
        <f t="shared" si="18"/>
        <v>104956</v>
      </c>
      <c r="AV287" s="705">
        <f t="shared" si="19"/>
        <v>119053</v>
      </c>
    </row>
    <row r="288" spans="2:48" ht="12.75" hidden="1" customHeight="1">
      <c r="B288" t="s">
        <v>535</v>
      </c>
      <c r="C288" t="s">
        <v>118</v>
      </c>
      <c r="D288" t="s">
        <v>583</v>
      </c>
      <c r="E288" t="s">
        <v>666</v>
      </c>
      <c r="F288">
        <v>3</v>
      </c>
      <c r="G288" s="705">
        <v>423</v>
      </c>
      <c r="H288" s="705">
        <v>729</v>
      </c>
      <c r="I288" s="705">
        <v>66901</v>
      </c>
      <c r="J288" s="705">
        <v>60819</v>
      </c>
      <c r="K288">
        <v>72</v>
      </c>
      <c r="L288" s="705">
        <v>16718</v>
      </c>
      <c r="M288" s="705">
        <v>15199</v>
      </c>
      <c r="N288" s="705">
        <v>9758</v>
      </c>
      <c r="O288" s="705">
        <v>3614</v>
      </c>
      <c r="P288" s="705">
        <v>1863</v>
      </c>
      <c r="Q288" s="705">
        <v>690</v>
      </c>
      <c r="R288" s="705">
        <v>17931</v>
      </c>
      <c r="S288" s="705">
        <v>16301</v>
      </c>
      <c r="T288" s="705">
        <v>6743</v>
      </c>
      <c r="U288" s="705">
        <v>2498</v>
      </c>
      <c r="V288" s="705">
        <v>99121</v>
      </c>
      <c r="W288" s="705">
        <f t="shared" si="16"/>
        <v>99121</v>
      </c>
      <c r="X288" s="705">
        <f t="shared" si="17"/>
        <v>119914</v>
      </c>
      <c r="Y288" s="705"/>
      <c r="AA288" t="s">
        <v>120</v>
      </c>
      <c r="AB288" t="s">
        <v>582</v>
      </c>
      <c r="AC288" s="705" t="s">
        <v>584</v>
      </c>
      <c r="AD288" s="705">
        <v>1</v>
      </c>
      <c r="AE288" s="705">
        <v>78</v>
      </c>
      <c r="AF288" s="705">
        <v>318</v>
      </c>
      <c r="AG288" s="705">
        <v>14144</v>
      </c>
      <c r="AH288" s="705">
        <v>12859</v>
      </c>
      <c r="AI288" s="706">
        <v>65</v>
      </c>
      <c r="AJ288" s="705">
        <v>2507</v>
      </c>
      <c r="AK288" s="705">
        <v>929</v>
      </c>
      <c r="AL288" s="705">
        <v>949</v>
      </c>
      <c r="AM288" s="705">
        <v>352</v>
      </c>
      <c r="AN288" s="705">
        <v>351</v>
      </c>
      <c r="AO288" s="705">
        <v>130</v>
      </c>
      <c r="AP288" s="705">
        <v>4443</v>
      </c>
      <c r="AQ288" s="705">
        <v>4040</v>
      </c>
      <c r="AR288" s="705">
        <v>2405</v>
      </c>
      <c r="AS288" s="705">
        <v>891</v>
      </c>
      <c r="AT288" s="705">
        <v>19199</v>
      </c>
      <c r="AU288" s="705">
        <f t="shared" si="18"/>
        <v>19201</v>
      </c>
      <c r="AV288" s="705">
        <f t="shared" si="19"/>
        <v>24799</v>
      </c>
    </row>
    <row r="289" spans="2:48" ht="12.75" hidden="1" customHeight="1">
      <c r="B289" t="s">
        <v>535</v>
      </c>
      <c r="C289" t="s">
        <v>118</v>
      </c>
      <c r="D289" t="s">
        <v>583</v>
      </c>
      <c r="E289" t="s">
        <v>665</v>
      </c>
      <c r="F289" s="705">
        <v>4</v>
      </c>
      <c r="G289" s="705">
        <v>595</v>
      </c>
      <c r="H289" s="705">
        <v>1045</v>
      </c>
      <c r="I289" s="705">
        <v>115425</v>
      </c>
      <c r="J289" s="705">
        <v>104931</v>
      </c>
      <c r="K289">
        <v>82</v>
      </c>
      <c r="L289" s="705">
        <v>20564</v>
      </c>
      <c r="M289" s="705">
        <v>18275</v>
      </c>
      <c r="N289" s="705">
        <v>13497</v>
      </c>
      <c r="O289" s="705">
        <v>4999</v>
      </c>
      <c r="P289" s="705">
        <v>2484</v>
      </c>
      <c r="Q289" s="705">
        <v>920</v>
      </c>
      <c r="R289" s="705">
        <v>17023</v>
      </c>
      <c r="S289" s="705">
        <v>15475</v>
      </c>
      <c r="T289" s="705">
        <v>11232</v>
      </c>
      <c r="U289" s="705">
        <v>4160</v>
      </c>
      <c r="V289" s="705">
        <v>148761</v>
      </c>
      <c r="W289" s="705">
        <f t="shared" si="16"/>
        <v>148760</v>
      </c>
      <c r="X289" s="705">
        <f t="shared" si="17"/>
        <v>180225</v>
      </c>
      <c r="Y289" s="705"/>
      <c r="AA289" t="s">
        <v>120</v>
      </c>
      <c r="AB289" t="s">
        <v>582</v>
      </c>
      <c r="AC289" s="705" t="s">
        <v>671</v>
      </c>
      <c r="AD289" s="705">
        <v>1</v>
      </c>
      <c r="AE289" s="705">
        <v>92</v>
      </c>
      <c r="AF289" s="705">
        <v>373</v>
      </c>
      <c r="AG289" s="705">
        <v>17920</v>
      </c>
      <c r="AH289" s="705">
        <v>16291</v>
      </c>
      <c r="AI289" s="706">
        <v>91</v>
      </c>
      <c r="AJ289" s="705">
        <v>5754</v>
      </c>
      <c r="AK289" s="705">
        <v>5231</v>
      </c>
      <c r="AL289" s="705">
        <v>1688</v>
      </c>
      <c r="AM289" s="705">
        <v>625</v>
      </c>
      <c r="AN289" s="705">
        <v>473</v>
      </c>
      <c r="AO289" s="705">
        <v>175</v>
      </c>
      <c r="AP289" s="705">
        <v>6280</v>
      </c>
      <c r="AQ289" s="705">
        <v>5709</v>
      </c>
      <c r="AR289" s="705">
        <v>2329</v>
      </c>
      <c r="AS289" s="705">
        <v>863</v>
      </c>
      <c r="AT289" s="705">
        <v>28894</v>
      </c>
      <c r="AU289" s="705">
        <f t="shared" si="18"/>
        <v>28894</v>
      </c>
      <c r="AV289" s="705">
        <f t="shared" si="19"/>
        <v>34444</v>
      </c>
    </row>
    <row r="290" spans="2:48" ht="12.75" hidden="1" customHeight="1">
      <c r="B290" t="s">
        <v>535</v>
      </c>
      <c r="C290" t="s">
        <v>118</v>
      </c>
      <c r="D290" t="s">
        <v>666</v>
      </c>
      <c r="E290" t="s">
        <v>228</v>
      </c>
      <c r="F290">
        <v>1</v>
      </c>
      <c r="G290" s="705">
        <v>98</v>
      </c>
      <c r="H290" s="705">
        <v>280</v>
      </c>
      <c r="I290" s="705">
        <v>17735</v>
      </c>
      <c r="J290" s="705">
        <v>16122</v>
      </c>
      <c r="K290">
        <v>55</v>
      </c>
      <c r="L290" s="705">
        <v>0</v>
      </c>
      <c r="M290" s="705">
        <v>0</v>
      </c>
      <c r="N290" s="705">
        <v>2278</v>
      </c>
      <c r="O290" s="705">
        <v>844</v>
      </c>
      <c r="P290" s="705">
        <v>351</v>
      </c>
      <c r="Q290" s="705">
        <v>130</v>
      </c>
      <c r="R290" s="705">
        <v>7160</v>
      </c>
      <c r="S290" s="705">
        <v>2652</v>
      </c>
      <c r="T290" s="705">
        <v>0</v>
      </c>
      <c r="U290" s="705">
        <v>0</v>
      </c>
      <c r="V290" s="705">
        <v>19748</v>
      </c>
      <c r="W290" s="705">
        <f t="shared" si="16"/>
        <v>19748</v>
      </c>
      <c r="X290" s="705">
        <f t="shared" si="17"/>
        <v>27524</v>
      </c>
      <c r="Y290" s="705"/>
      <c r="AA290" t="s">
        <v>120</v>
      </c>
      <c r="AB290" t="s">
        <v>228</v>
      </c>
      <c r="AC290" s="705" t="s">
        <v>582</v>
      </c>
      <c r="AD290" s="705">
        <v>1</v>
      </c>
      <c r="AE290" s="705">
        <v>471</v>
      </c>
      <c r="AF290" s="705">
        <v>380</v>
      </c>
      <c r="AG290" s="705">
        <v>158380</v>
      </c>
      <c r="AH290" s="705">
        <v>58659</v>
      </c>
      <c r="AI290" s="706">
        <v>100</v>
      </c>
      <c r="AJ290" s="705">
        <v>7169</v>
      </c>
      <c r="AK290" s="705">
        <v>6518</v>
      </c>
      <c r="AL290" s="705">
        <v>5739</v>
      </c>
      <c r="AM290" s="705">
        <v>2125</v>
      </c>
      <c r="AN290" s="705">
        <v>0</v>
      </c>
      <c r="AO290" s="705">
        <v>0</v>
      </c>
      <c r="AP290" s="705">
        <v>7570</v>
      </c>
      <c r="AQ290" s="705">
        <v>6882</v>
      </c>
      <c r="AR290" s="705">
        <v>0</v>
      </c>
      <c r="AS290" s="705">
        <v>0</v>
      </c>
      <c r="AT290" s="705">
        <v>74184</v>
      </c>
      <c r="AU290" s="705">
        <f t="shared" si="18"/>
        <v>74184</v>
      </c>
      <c r="AV290" s="705">
        <f t="shared" si="19"/>
        <v>178858</v>
      </c>
    </row>
    <row r="291" spans="2:48" ht="12.75" hidden="1" customHeight="1">
      <c r="B291" t="s">
        <v>535</v>
      </c>
      <c r="C291" t="s">
        <v>118</v>
      </c>
      <c r="D291" t="s">
        <v>666</v>
      </c>
      <c r="E291" t="s">
        <v>583</v>
      </c>
      <c r="F291">
        <v>1</v>
      </c>
      <c r="G291" s="705">
        <v>212</v>
      </c>
      <c r="H291" s="705">
        <v>293</v>
      </c>
      <c r="I291" s="705">
        <v>41796</v>
      </c>
      <c r="J291" s="705">
        <v>37996</v>
      </c>
      <c r="K291">
        <v>75</v>
      </c>
      <c r="L291" s="705">
        <v>5519</v>
      </c>
      <c r="M291" s="705">
        <v>5017</v>
      </c>
      <c r="N291" s="705">
        <v>5166</v>
      </c>
      <c r="O291" s="705">
        <v>1913</v>
      </c>
      <c r="P291" s="705">
        <v>621</v>
      </c>
      <c r="Q291" s="705">
        <v>230</v>
      </c>
      <c r="R291" s="705">
        <v>5477</v>
      </c>
      <c r="S291" s="705">
        <v>4979</v>
      </c>
      <c r="T291" s="705">
        <v>3631</v>
      </c>
      <c r="U291" s="705">
        <v>1345</v>
      </c>
      <c r="V291" s="705">
        <v>51480</v>
      </c>
      <c r="W291" s="705">
        <f t="shared" si="16"/>
        <v>51480</v>
      </c>
      <c r="X291" s="705">
        <f t="shared" si="17"/>
        <v>62210</v>
      </c>
      <c r="Y291" s="705"/>
      <c r="AA291" t="s">
        <v>120</v>
      </c>
      <c r="AB291" t="s">
        <v>228</v>
      </c>
      <c r="AC291" s="705" t="s">
        <v>228</v>
      </c>
      <c r="AD291" s="705">
        <v>1649</v>
      </c>
      <c r="AE291" s="705">
        <v>182239</v>
      </c>
      <c r="AF291" s="705">
        <v>560432</v>
      </c>
      <c r="AG291" s="705">
        <v>41060967</v>
      </c>
      <c r="AH291" s="705">
        <v>15207766</v>
      </c>
      <c r="AI291" s="706">
        <v>102</v>
      </c>
      <c r="AJ291" s="705">
        <v>6571492</v>
      </c>
      <c r="AK291" s="705">
        <v>5100977</v>
      </c>
      <c r="AL291" s="705">
        <v>4074747</v>
      </c>
      <c r="AM291" s="705">
        <v>1509165</v>
      </c>
      <c r="AN291" s="705">
        <v>55156</v>
      </c>
      <c r="AO291" s="705">
        <v>20428</v>
      </c>
      <c r="AP291" s="705">
        <v>13091173</v>
      </c>
      <c r="AQ291" s="705">
        <v>4848582</v>
      </c>
      <c r="AR291" s="705">
        <v>24027</v>
      </c>
      <c r="AS291" s="705">
        <v>8899</v>
      </c>
      <c r="AT291" s="705">
        <v>26695818</v>
      </c>
      <c r="AU291" s="705">
        <f t="shared" si="18"/>
        <v>26695817</v>
      </c>
      <c r="AV291" s="705">
        <f t="shared" si="19"/>
        <v>64877562</v>
      </c>
    </row>
    <row r="292" spans="2:48" ht="12.75" hidden="1" customHeight="1">
      <c r="B292" t="s">
        <v>535</v>
      </c>
      <c r="C292" t="s">
        <v>118</v>
      </c>
      <c r="D292" t="s">
        <v>666</v>
      </c>
      <c r="E292" t="s">
        <v>666</v>
      </c>
      <c r="F292" s="705">
        <v>4</v>
      </c>
      <c r="G292" s="705">
        <v>413</v>
      </c>
      <c r="H292" s="705">
        <v>1105</v>
      </c>
      <c r="I292" s="705">
        <v>75299</v>
      </c>
      <c r="J292" s="705">
        <v>68454</v>
      </c>
      <c r="K292">
        <v>63</v>
      </c>
      <c r="L292" s="705">
        <v>11701</v>
      </c>
      <c r="M292" s="705">
        <v>8926</v>
      </c>
      <c r="N292" s="705">
        <v>8336</v>
      </c>
      <c r="O292" s="705">
        <v>3087</v>
      </c>
      <c r="P292" s="705">
        <v>1404</v>
      </c>
      <c r="Q292" s="705">
        <v>520</v>
      </c>
      <c r="R292" s="705">
        <v>20451</v>
      </c>
      <c r="S292" s="705">
        <v>18592</v>
      </c>
      <c r="T292" s="705">
        <v>8516</v>
      </c>
      <c r="U292" s="705">
        <v>3154</v>
      </c>
      <c r="V292" s="705">
        <v>102733</v>
      </c>
      <c r="W292" s="705">
        <f t="shared" si="16"/>
        <v>102733</v>
      </c>
      <c r="X292" s="705">
        <f t="shared" si="17"/>
        <v>125707</v>
      </c>
      <c r="Y292" s="705"/>
      <c r="AA292" t="s">
        <v>120</v>
      </c>
      <c r="AB292" t="s">
        <v>228</v>
      </c>
      <c r="AC292" s="705" t="s">
        <v>583</v>
      </c>
      <c r="AD292" s="705">
        <v>18</v>
      </c>
      <c r="AE292" s="705">
        <v>2762</v>
      </c>
      <c r="AF292" s="705">
        <v>6067</v>
      </c>
      <c r="AG292" s="705">
        <v>688847</v>
      </c>
      <c r="AH292" s="705">
        <v>255128</v>
      </c>
      <c r="AI292" s="706">
        <v>98</v>
      </c>
      <c r="AJ292" s="705">
        <v>72766</v>
      </c>
      <c r="AK292" s="705">
        <v>67582</v>
      </c>
      <c r="AL292" s="705">
        <v>58772</v>
      </c>
      <c r="AM292" s="705">
        <v>21768</v>
      </c>
      <c r="AN292" s="705">
        <v>4806</v>
      </c>
      <c r="AO292" s="705">
        <v>1780</v>
      </c>
      <c r="AP292" s="705">
        <v>109734</v>
      </c>
      <c r="AQ292" s="705">
        <v>99758</v>
      </c>
      <c r="AR292" s="705">
        <v>31476</v>
      </c>
      <c r="AS292" s="705">
        <v>11658</v>
      </c>
      <c r="AT292" s="705">
        <v>457675</v>
      </c>
      <c r="AU292" s="705">
        <f t="shared" si="18"/>
        <v>457674</v>
      </c>
      <c r="AV292" s="705">
        <f t="shared" si="19"/>
        <v>966401</v>
      </c>
    </row>
    <row r="293" spans="2:48" ht="12.75" hidden="1" customHeight="1">
      <c r="B293" t="s">
        <v>535</v>
      </c>
      <c r="C293" t="s">
        <v>118</v>
      </c>
      <c r="D293" t="s">
        <v>584</v>
      </c>
      <c r="E293" t="s">
        <v>584</v>
      </c>
      <c r="F293">
        <v>77</v>
      </c>
      <c r="G293" s="705">
        <v>10194</v>
      </c>
      <c r="H293" s="705">
        <v>19477</v>
      </c>
      <c r="I293" s="705">
        <v>1514813</v>
      </c>
      <c r="J293" s="705">
        <v>1377103</v>
      </c>
      <c r="K293">
        <v>77</v>
      </c>
      <c r="L293" s="705">
        <v>361076</v>
      </c>
      <c r="M293" s="705">
        <v>314891</v>
      </c>
      <c r="N293" s="705">
        <v>217796</v>
      </c>
      <c r="O293" s="705">
        <v>80665</v>
      </c>
      <c r="P293" s="705">
        <v>37868</v>
      </c>
      <c r="Q293" s="705">
        <v>14025</v>
      </c>
      <c r="R293" s="705">
        <v>414665</v>
      </c>
      <c r="S293" s="705">
        <v>376969</v>
      </c>
      <c r="T293" s="705">
        <v>126436</v>
      </c>
      <c r="U293" s="705">
        <v>46828</v>
      </c>
      <c r="V293" s="705">
        <v>2210481</v>
      </c>
      <c r="W293" s="705">
        <f t="shared" si="16"/>
        <v>2210481</v>
      </c>
      <c r="X293" s="705">
        <f t="shared" si="17"/>
        <v>2672654</v>
      </c>
      <c r="Y293" s="705"/>
      <c r="AA293" t="s">
        <v>120</v>
      </c>
      <c r="AB293" t="s">
        <v>228</v>
      </c>
      <c r="AC293" s="705" t="s">
        <v>666</v>
      </c>
      <c r="AD293" s="705">
        <v>2</v>
      </c>
      <c r="AE293" s="705">
        <v>155</v>
      </c>
      <c r="AF293" s="705">
        <v>675</v>
      </c>
      <c r="AG293" s="705">
        <v>29215</v>
      </c>
      <c r="AH293" s="705">
        <v>10821</v>
      </c>
      <c r="AI293" s="706">
        <v>100</v>
      </c>
      <c r="AJ293" s="705">
        <v>2860</v>
      </c>
      <c r="AK293" s="705">
        <v>2600</v>
      </c>
      <c r="AL293" s="705">
        <v>3594</v>
      </c>
      <c r="AM293" s="705">
        <v>1331</v>
      </c>
      <c r="AN293" s="705">
        <v>0</v>
      </c>
      <c r="AO293" s="705">
        <v>0</v>
      </c>
      <c r="AP293" s="705">
        <v>10825</v>
      </c>
      <c r="AQ293" s="705">
        <v>9841</v>
      </c>
      <c r="AR293" s="705">
        <v>4970</v>
      </c>
      <c r="AS293" s="705">
        <v>1841</v>
      </c>
      <c r="AT293" s="705">
        <v>26434</v>
      </c>
      <c r="AU293" s="705">
        <f t="shared" si="18"/>
        <v>26434</v>
      </c>
      <c r="AV293" s="705">
        <f t="shared" si="19"/>
        <v>51464</v>
      </c>
    </row>
    <row r="294" spans="2:48" ht="12.75" hidden="1" customHeight="1">
      <c r="B294" t="s">
        <v>535</v>
      </c>
      <c r="C294" t="s">
        <v>118</v>
      </c>
      <c r="D294" t="s">
        <v>669</v>
      </c>
      <c r="E294" t="s">
        <v>669</v>
      </c>
      <c r="F294">
        <v>7</v>
      </c>
      <c r="G294" s="705">
        <v>844</v>
      </c>
      <c r="H294" s="705">
        <v>1779</v>
      </c>
      <c r="I294" s="705">
        <v>131728</v>
      </c>
      <c r="J294" s="705">
        <v>109773</v>
      </c>
      <c r="K294">
        <v>67</v>
      </c>
      <c r="L294" s="705">
        <v>10808</v>
      </c>
      <c r="M294" s="705">
        <v>9825</v>
      </c>
      <c r="N294" s="705">
        <v>14286</v>
      </c>
      <c r="O294" s="705">
        <v>5291</v>
      </c>
      <c r="P294" s="705">
        <v>4158</v>
      </c>
      <c r="Q294" s="705">
        <v>1540</v>
      </c>
      <c r="R294" s="705">
        <v>36905</v>
      </c>
      <c r="S294" s="705">
        <v>30755</v>
      </c>
      <c r="T294" s="705">
        <v>15646</v>
      </c>
      <c r="U294" s="705">
        <v>5795</v>
      </c>
      <c r="V294" s="705">
        <v>162979</v>
      </c>
      <c r="W294" s="705">
        <f t="shared" si="16"/>
        <v>162979</v>
      </c>
      <c r="X294" s="705">
        <f t="shared" si="17"/>
        <v>213531</v>
      </c>
      <c r="Y294" s="705"/>
      <c r="AA294" t="s">
        <v>120</v>
      </c>
      <c r="AB294" t="s">
        <v>228</v>
      </c>
      <c r="AC294" s="705" t="s">
        <v>584</v>
      </c>
      <c r="AD294" s="705">
        <v>2</v>
      </c>
      <c r="AE294" s="705">
        <v>379</v>
      </c>
      <c r="AF294" s="705">
        <v>635</v>
      </c>
      <c r="AG294" s="705">
        <v>96687</v>
      </c>
      <c r="AH294" s="705">
        <v>35810</v>
      </c>
      <c r="AI294" s="706">
        <v>100</v>
      </c>
      <c r="AJ294" s="705">
        <v>6593</v>
      </c>
      <c r="AK294" s="705">
        <v>5994</v>
      </c>
      <c r="AL294" s="705">
        <v>8887</v>
      </c>
      <c r="AM294" s="705">
        <v>3292</v>
      </c>
      <c r="AN294" s="705">
        <v>945</v>
      </c>
      <c r="AO294" s="705">
        <v>350</v>
      </c>
      <c r="AP294" s="705">
        <v>8167</v>
      </c>
      <c r="AQ294" s="705">
        <v>7425</v>
      </c>
      <c r="AR294" s="705">
        <v>0</v>
      </c>
      <c r="AS294" s="705">
        <v>0</v>
      </c>
      <c r="AT294" s="705">
        <v>52870</v>
      </c>
      <c r="AU294" s="705">
        <f t="shared" si="18"/>
        <v>52871</v>
      </c>
      <c r="AV294" s="705">
        <f t="shared" si="19"/>
        <v>121279</v>
      </c>
    </row>
    <row r="295" spans="2:48" ht="12.75" hidden="1" customHeight="1">
      <c r="B295" t="s">
        <v>535</v>
      </c>
      <c r="C295" t="s">
        <v>118</v>
      </c>
      <c r="D295" t="s">
        <v>665</v>
      </c>
      <c r="E295" t="s">
        <v>228</v>
      </c>
      <c r="F295" s="705">
        <v>1</v>
      </c>
      <c r="G295" s="705">
        <v>112</v>
      </c>
      <c r="H295" s="705">
        <v>263</v>
      </c>
      <c r="I295" s="705">
        <v>16516</v>
      </c>
      <c r="J295" s="705">
        <v>15014</v>
      </c>
      <c r="K295">
        <v>55</v>
      </c>
      <c r="L295" s="705">
        <v>2477</v>
      </c>
      <c r="M295" s="705">
        <v>918</v>
      </c>
      <c r="N295" s="705">
        <v>1590</v>
      </c>
      <c r="O295" s="705">
        <v>589</v>
      </c>
      <c r="P295" s="705">
        <v>0</v>
      </c>
      <c r="Q295" s="705">
        <v>0</v>
      </c>
      <c r="R295" s="705">
        <v>8772</v>
      </c>
      <c r="S295" s="705">
        <v>3249</v>
      </c>
      <c r="T295" s="705">
        <v>0</v>
      </c>
      <c r="U295" s="705">
        <v>0</v>
      </c>
      <c r="V295" s="705">
        <v>19769</v>
      </c>
      <c r="W295" s="705">
        <f t="shared" si="16"/>
        <v>19770</v>
      </c>
      <c r="X295" s="705">
        <f t="shared" si="17"/>
        <v>29355</v>
      </c>
      <c r="Y295" s="705"/>
      <c r="AA295" t="s">
        <v>120</v>
      </c>
      <c r="AB295" t="s">
        <v>228</v>
      </c>
      <c r="AC295" s="705" t="s">
        <v>669</v>
      </c>
      <c r="AD295" s="705">
        <v>2</v>
      </c>
      <c r="AE295" s="705">
        <v>245</v>
      </c>
      <c r="AF295" s="705">
        <v>655</v>
      </c>
      <c r="AG295" s="705">
        <v>57600</v>
      </c>
      <c r="AH295" s="705">
        <v>21333</v>
      </c>
      <c r="AI295" s="706">
        <v>100</v>
      </c>
      <c r="AJ295" s="705">
        <v>4674</v>
      </c>
      <c r="AK295" s="705">
        <v>3895</v>
      </c>
      <c r="AL295" s="705">
        <v>3370</v>
      </c>
      <c r="AM295" s="705">
        <v>1248</v>
      </c>
      <c r="AN295" s="705">
        <v>0</v>
      </c>
      <c r="AO295" s="705">
        <v>0</v>
      </c>
      <c r="AP295" s="705">
        <v>12044</v>
      </c>
      <c r="AQ295" s="705">
        <v>10037</v>
      </c>
      <c r="AR295" s="705">
        <v>2564</v>
      </c>
      <c r="AS295" s="705">
        <v>950</v>
      </c>
      <c r="AT295" s="705">
        <v>37463</v>
      </c>
      <c r="AU295" s="705">
        <f t="shared" ref="AU295:AU314" si="20">SUM(ABS(AH295), ABS(AK295),ABS(AM295),ABS(AO295),ABS(AQ295),ABS(AS295))</f>
        <v>37463</v>
      </c>
      <c r="AV295" s="705">
        <f t="shared" ref="AV295:AV314" si="21">SUM(ABS(AG295),ABS(AJ295),ABS(AL295),ABS(AN295),ABS(AP295),ABS(AR295))</f>
        <v>80252</v>
      </c>
    </row>
    <row r="296" spans="2:48" ht="12.75" hidden="1" customHeight="1">
      <c r="B296" t="s">
        <v>535</v>
      </c>
      <c r="C296" t="s">
        <v>118</v>
      </c>
      <c r="D296" t="s">
        <v>665</v>
      </c>
      <c r="E296" t="s">
        <v>665</v>
      </c>
      <c r="F296">
        <v>42</v>
      </c>
      <c r="G296" s="705">
        <v>5406</v>
      </c>
      <c r="H296" s="705">
        <v>11390</v>
      </c>
      <c r="I296" s="705">
        <v>943613</v>
      </c>
      <c r="J296" s="705">
        <v>857830</v>
      </c>
      <c r="K296">
        <v>65</v>
      </c>
      <c r="L296" s="705">
        <v>121008</v>
      </c>
      <c r="M296" s="705">
        <v>99631</v>
      </c>
      <c r="N296" s="705">
        <v>109508</v>
      </c>
      <c r="O296" s="705">
        <v>40559</v>
      </c>
      <c r="P296" s="705">
        <v>18875</v>
      </c>
      <c r="Q296" s="705">
        <v>6991</v>
      </c>
      <c r="R296" s="705">
        <v>215262</v>
      </c>
      <c r="S296" s="705">
        <v>195692</v>
      </c>
      <c r="T296" s="705">
        <v>103270</v>
      </c>
      <c r="U296" s="705">
        <v>38248</v>
      </c>
      <c r="V296" s="705">
        <v>1238951</v>
      </c>
      <c r="W296" s="705">
        <f t="shared" si="16"/>
        <v>1238951</v>
      </c>
      <c r="X296" s="705">
        <f t="shared" si="17"/>
        <v>1511536</v>
      </c>
      <c r="Y296" s="705"/>
      <c r="AA296" t="s">
        <v>120</v>
      </c>
      <c r="AB296" t="s">
        <v>228</v>
      </c>
      <c r="AC296" s="705" t="s">
        <v>671</v>
      </c>
      <c r="AD296" s="705">
        <v>3</v>
      </c>
      <c r="AE296" s="705">
        <v>344</v>
      </c>
      <c r="AF296" s="705">
        <v>1052</v>
      </c>
      <c r="AG296" s="705">
        <v>77560</v>
      </c>
      <c r="AH296" s="705">
        <v>28726</v>
      </c>
      <c r="AI296" s="706">
        <v>100</v>
      </c>
      <c r="AJ296" s="705">
        <v>6613</v>
      </c>
      <c r="AK296" s="705">
        <v>6012</v>
      </c>
      <c r="AL296" s="705">
        <v>7171</v>
      </c>
      <c r="AM296" s="705">
        <v>2656</v>
      </c>
      <c r="AN296" s="705">
        <v>0</v>
      </c>
      <c r="AO296" s="705">
        <v>0</v>
      </c>
      <c r="AP296" s="705">
        <v>22292</v>
      </c>
      <c r="AQ296" s="705">
        <v>20266</v>
      </c>
      <c r="AR296" s="705">
        <v>7053</v>
      </c>
      <c r="AS296" s="705">
        <v>2612</v>
      </c>
      <c r="AT296" s="705">
        <v>60272</v>
      </c>
      <c r="AU296" s="705">
        <f t="shared" si="20"/>
        <v>60272</v>
      </c>
      <c r="AV296" s="705">
        <f t="shared" si="21"/>
        <v>120689</v>
      </c>
    </row>
    <row r="297" spans="2:48" ht="12.75" hidden="1" customHeight="1">
      <c r="B297" t="s">
        <v>535</v>
      </c>
      <c r="C297" t="s">
        <v>118</v>
      </c>
      <c r="D297" t="s">
        <v>673</v>
      </c>
      <c r="E297" t="s">
        <v>673</v>
      </c>
      <c r="F297" s="705">
        <v>3</v>
      </c>
      <c r="G297" s="705">
        <v>287</v>
      </c>
      <c r="H297" s="705">
        <v>806</v>
      </c>
      <c r="I297" s="705">
        <v>51585</v>
      </c>
      <c r="J297" s="705">
        <v>46895</v>
      </c>
      <c r="K297">
        <v>65</v>
      </c>
      <c r="L297" s="705">
        <v>5067</v>
      </c>
      <c r="M297" s="705">
        <v>4606</v>
      </c>
      <c r="N297" s="705">
        <v>4999</v>
      </c>
      <c r="O297" s="705">
        <v>1851</v>
      </c>
      <c r="P297" s="705">
        <v>1323</v>
      </c>
      <c r="Q297" s="705">
        <v>490</v>
      </c>
      <c r="R297" s="705">
        <v>10543</v>
      </c>
      <c r="S297" s="705">
        <v>9585</v>
      </c>
      <c r="T297" s="705">
        <v>2715</v>
      </c>
      <c r="U297" s="705">
        <v>1006</v>
      </c>
      <c r="V297" s="705">
        <v>64433</v>
      </c>
      <c r="W297" s="705">
        <f t="shared" si="16"/>
        <v>64433</v>
      </c>
      <c r="X297" s="705">
        <f t="shared" si="17"/>
        <v>76232</v>
      </c>
      <c r="Y297" s="705"/>
      <c r="AA297" t="s">
        <v>120</v>
      </c>
      <c r="AB297" t="s">
        <v>228</v>
      </c>
      <c r="AC297" s="705" t="s">
        <v>665</v>
      </c>
      <c r="AD297" s="705">
        <v>34</v>
      </c>
      <c r="AE297" s="705">
        <v>3199</v>
      </c>
      <c r="AF297" s="705">
        <v>11957</v>
      </c>
      <c r="AG297" s="705">
        <v>736191</v>
      </c>
      <c r="AH297" s="705">
        <v>272663</v>
      </c>
      <c r="AI297" s="706">
        <v>100</v>
      </c>
      <c r="AJ297" s="705">
        <v>80291</v>
      </c>
      <c r="AK297" s="705">
        <v>75125</v>
      </c>
      <c r="AL297" s="705">
        <v>61167</v>
      </c>
      <c r="AM297" s="705">
        <v>22654</v>
      </c>
      <c r="AN297" s="705">
        <v>2457</v>
      </c>
      <c r="AO297" s="705">
        <v>910</v>
      </c>
      <c r="AP297" s="705">
        <v>182490</v>
      </c>
      <c r="AQ297" s="705">
        <v>165900</v>
      </c>
      <c r="AR297" s="705">
        <v>67510</v>
      </c>
      <c r="AS297" s="705">
        <v>25004</v>
      </c>
      <c r="AT297" s="705">
        <v>562256</v>
      </c>
      <c r="AU297" s="705">
        <f t="shared" si="20"/>
        <v>562256</v>
      </c>
      <c r="AV297" s="705">
        <f t="shared" si="21"/>
        <v>1130106</v>
      </c>
    </row>
    <row r="298" spans="2:48" ht="12.75" hidden="1" customHeight="1">
      <c r="B298" t="s">
        <v>535</v>
      </c>
      <c r="C298" t="s">
        <v>118</v>
      </c>
      <c r="D298" t="s">
        <v>585</v>
      </c>
      <c r="E298" t="s">
        <v>585</v>
      </c>
      <c r="F298">
        <v>3</v>
      </c>
      <c r="G298">
        <v>382</v>
      </c>
      <c r="H298" s="705">
        <v>797</v>
      </c>
      <c r="I298" s="705">
        <v>68333</v>
      </c>
      <c r="J298" s="705">
        <v>62121</v>
      </c>
      <c r="K298">
        <v>65</v>
      </c>
      <c r="L298" s="705">
        <v>5902</v>
      </c>
      <c r="M298" s="705">
        <v>5366</v>
      </c>
      <c r="N298" s="705">
        <v>6275</v>
      </c>
      <c r="O298" s="705">
        <v>2324</v>
      </c>
      <c r="P298" s="705">
        <v>1053</v>
      </c>
      <c r="Q298">
        <v>390</v>
      </c>
      <c r="R298" s="705">
        <v>16662</v>
      </c>
      <c r="S298" s="705">
        <v>15147</v>
      </c>
      <c r="T298" s="705">
        <v>0</v>
      </c>
      <c r="U298" s="705">
        <v>0</v>
      </c>
      <c r="V298" s="705">
        <v>85348</v>
      </c>
      <c r="W298" s="705">
        <f t="shared" si="16"/>
        <v>85348</v>
      </c>
      <c r="X298" s="705">
        <f t="shared" si="17"/>
        <v>98225</v>
      </c>
      <c r="Y298" s="705"/>
      <c r="AA298" t="s">
        <v>120</v>
      </c>
      <c r="AB298" t="s">
        <v>228</v>
      </c>
      <c r="AC298" s="705" t="s">
        <v>673</v>
      </c>
      <c r="AD298" s="705">
        <v>3</v>
      </c>
      <c r="AE298" s="705">
        <v>335</v>
      </c>
      <c r="AF298" s="705">
        <v>1026</v>
      </c>
      <c r="AG298" s="705">
        <v>68461</v>
      </c>
      <c r="AH298" s="705">
        <v>25356</v>
      </c>
      <c r="AI298" s="706">
        <v>100</v>
      </c>
      <c r="AJ298" s="705">
        <v>9221</v>
      </c>
      <c r="AK298" s="705">
        <v>8383</v>
      </c>
      <c r="AL298" s="705">
        <v>5985</v>
      </c>
      <c r="AM298" s="705">
        <v>2217</v>
      </c>
      <c r="AN298" s="705">
        <v>0</v>
      </c>
      <c r="AO298" s="705">
        <v>0</v>
      </c>
      <c r="AP298" s="705">
        <v>23720</v>
      </c>
      <c r="AQ298" s="705">
        <v>21564</v>
      </c>
      <c r="AR298" s="705">
        <v>7333</v>
      </c>
      <c r="AS298" s="705">
        <v>2716</v>
      </c>
      <c r="AT298" s="705">
        <v>60235</v>
      </c>
      <c r="AU298" s="705">
        <f t="shared" si="20"/>
        <v>60236</v>
      </c>
      <c r="AV298" s="705">
        <f t="shared" si="21"/>
        <v>114720</v>
      </c>
    </row>
    <row r="299" spans="2:48" ht="12.75" hidden="1" customHeight="1">
      <c r="B299" t="s">
        <v>535</v>
      </c>
      <c r="C299" t="s">
        <v>118</v>
      </c>
      <c r="D299" t="s">
        <v>668</v>
      </c>
      <c r="E299" t="s">
        <v>668</v>
      </c>
      <c r="F299">
        <v>1</v>
      </c>
      <c r="G299">
        <v>118</v>
      </c>
      <c r="H299" s="705">
        <v>238</v>
      </c>
      <c r="I299" s="705">
        <v>17395</v>
      </c>
      <c r="J299" s="705">
        <v>15814</v>
      </c>
      <c r="K299">
        <v>65</v>
      </c>
      <c r="L299" s="705">
        <v>0</v>
      </c>
      <c r="M299" s="705">
        <v>0</v>
      </c>
      <c r="N299" s="705">
        <v>2871</v>
      </c>
      <c r="O299" s="705">
        <v>1063</v>
      </c>
      <c r="P299" s="705">
        <v>351</v>
      </c>
      <c r="Q299">
        <v>130</v>
      </c>
      <c r="R299" s="705">
        <v>4754</v>
      </c>
      <c r="S299" s="705">
        <v>4322</v>
      </c>
      <c r="T299" s="705">
        <v>2649</v>
      </c>
      <c r="U299" s="705">
        <v>981</v>
      </c>
      <c r="V299" s="705">
        <v>22310</v>
      </c>
      <c r="W299" s="705">
        <f t="shared" si="16"/>
        <v>22310</v>
      </c>
      <c r="X299" s="705">
        <f t="shared" si="17"/>
        <v>28020</v>
      </c>
      <c r="Y299" s="705"/>
      <c r="AA299" t="s">
        <v>120</v>
      </c>
      <c r="AB299" t="s">
        <v>583</v>
      </c>
      <c r="AC299" s="705" t="s">
        <v>674</v>
      </c>
      <c r="AD299" s="705">
        <v>3</v>
      </c>
      <c r="AE299" s="705">
        <v>326</v>
      </c>
      <c r="AF299" s="705">
        <v>955</v>
      </c>
      <c r="AG299" s="705">
        <v>64106</v>
      </c>
      <c r="AH299" s="705">
        <v>58278</v>
      </c>
      <c r="AI299" s="706">
        <v>73</v>
      </c>
      <c r="AJ299" s="705">
        <v>7769</v>
      </c>
      <c r="AK299" s="705">
        <v>7063</v>
      </c>
      <c r="AL299" s="705">
        <v>6796</v>
      </c>
      <c r="AM299" s="705">
        <v>2517</v>
      </c>
      <c r="AN299" s="705">
        <v>2214</v>
      </c>
      <c r="AO299" s="705">
        <v>820</v>
      </c>
      <c r="AP299" s="705">
        <v>15046</v>
      </c>
      <c r="AQ299" s="705">
        <v>13678</v>
      </c>
      <c r="AR299" s="705">
        <v>7568</v>
      </c>
      <c r="AS299" s="705">
        <v>2803</v>
      </c>
      <c r="AT299" s="705">
        <v>85159</v>
      </c>
      <c r="AU299" s="705">
        <f t="shared" si="20"/>
        <v>85159</v>
      </c>
      <c r="AV299" s="705">
        <f t="shared" si="21"/>
        <v>103499</v>
      </c>
    </row>
    <row r="300" spans="2:48" ht="12.75" hidden="1" customHeight="1">
      <c r="B300" t="s">
        <v>535</v>
      </c>
      <c r="C300" t="s">
        <v>120</v>
      </c>
      <c r="D300" t="s">
        <v>582</v>
      </c>
      <c r="E300" t="s">
        <v>582</v>
      </c>
      <c r="F300">
        <v>22</v>
      </c>
      <c r="G300" s="705">
        <v>2388</v>
      </c>
      <c r="H300" s="705">
        <v>7466</v>
      </c>
      <c r="I300" s="705">
        <v>523729</v>
      </c>
      <c r="J300" s="705">
        <v>476118</v>
      </c>
      <c r="K300">
        <v>78</v>
      </c>
      <c r="L300" s="705">
        <v>103033</v>
      </c>
      <c r="M300" s="705">
        <v>90800</v>
      </c>
      <c r="N300" s="705">
        <v>48588</v>
      </c>
      <c r="O300" s="705">
        <v>17996</v>
      </c>
      <c r="P300" s="705">
        <v>9680</v>
      </c>
      <c r="Q300" s="705">
        <v>3585</v>
      </c>
      <c r="R300" s="705">
        <v>100999</v>
      </c>
      <c r="S300" s="705">
        <v>91818</v>
      </c>
      <c r="T300" s="705">
        <v>31197</v>
      </c>
      <c r="U300" s="705">
        <v>11554</v>
      </c>
      <c r="V300" s="705">
        <v>691870</v>
      </c>
      <c r="W300" s="705">
        <f t="shared" si="16"/>
        <v>691871</v>
      </c>
      <c r="X300" s="705">
        <f t="shared" si="17"/>
        <v>817226</v>
      </c>
      <c r="Y300" s="705"/>
      <c r="AA300" t="s">
        <v>120</v>
      </c>
      <c r="AB300" t="s">
        <v>583</v>
      </c>
      <c r="AC300" s="705" t="s">
        <v>664</v>
      </c>
      <c r="AD300" s="705">
        <v>14</v>
      </c>
      <c r="AE300" s="705">
        <v>1968</v>
      </c>
      <c r="AF300" s="705">
        <v>4657</v>
      </c>
      <c r="AG300" s="705">
        <v>412368</v>
      </c>
      <c r="AH300" s="705">
        <v>374880</v>
      </c>
      <c r="AI300" s="706">
        <v>77</v>
      </c>
      <c r="AJ300" s="705">
        <v>92438</v>
      </c>
      <c r="AK300" s="705">
        <v>81396</v>
      </c>
      <c r="AL300" s="705">
        <v>39933</v>
      </c>
      <c r="AM300" s="705">
        <v>14790</v>
      </c>
      <c r="AN300" s="705">
        <v>9396</v>
      </c>
      <c r="AO300" s="705">
        <v>3480</v>
      </c>
      <c r="AP300" s="705">
        <v>86914</v>
      </c>
      <c r="AQ300" s="705">
        <v>79012</v>
      </c>
      <c r="AR300" s="705">
        <v>16738</v>
      </c>
      <c r="AS300" s="705">
        <v>6199</v>
      </c>
      <c r="AT300" s="705">
        <v>559758</v>
      </c>
      <c r="AU300" s="705">
        <f t="shared" si="20"/>
        <v>559757</v>
      </c>
      <c r="AV300" s="705">
        <f t="shared" si="21"/>
        <v>657787</v>
      </c>
    </row>
    <row r="301" spans="2:48" ht="12.75" hidden="1" customHeight="1">
      <c r="B301" t="s">
        <v>535</v>
      </c>
      <c r="C301" t="s">
        <v>120</v>
      </c>
      <c r="D301" t="s">
        <v>582</v>
      </c>
      <c r="E301" t="s">
        <v>228</v>
      </c>
      <c r="F301">
        <v>1</v>
      </c>
      <c r="G301">
        <v>111</v>
      </c>
      <c r="H301" s="705">
        <v>315</v>
      </c>
      <c r="I301" s="705">
        <v>18412</v>
      </c>
      <c r="J301" s="705">
        <v>16738</v>
      </c>
      <c r="K301">
        <v>87</v>
      </c>
      <c r="L301" s="705">
        <v>5633</v>
      </c>
      <c r="M301" s="705">
        <v>5121</v>
      </c>
      <c r="N301" s="705">
        <v>2714</v>
      </c>
      <c r="O301" s="705">
        <v>1005</v>
      </c>
      <c r="P301" s="705">
        <v>351</v>
      </c>
      <c r="Q301" s="705">
        <v>130</v>
      </c>
      <c r="R301" s="705">
        <v>7914</v>
      </c>
      <c r="S301" s="705">
        <v>2931</v>
      </c>
      <c r="T301" s="705">
        <v>0</v>
      </c>
      <c r="U301" s="705">
        <v>0</v>
      </c>
      <c r="V301" s="705">
        <v>25925</v>
      </c>
      <c r="W301" s="705">
        <f t="shared" si="16"/>
        <v>25925</v>
      </c>
      <c r="X301" s="705">
        <f t="shared" si="17"/>
        <v>35024</v>
      </c>
      <c r="Y301" s="705"/>
      <c r="AA301" t="s">
        <v>120</v>
      </c>
      <c r="AB301" t="s">
        <v>583</v>
      </c>
      <c r="AC301" s="705" t="s">
        <v>582</v>
      </c>
      <c r="AD301" s="705">
        <v>1</v>
      </c>
      <c r="AE301" s="705">
        <v>434</v>
      </c>
      <c r="AF301" s="705">
        <v>311</v>
      </c>
      <c r="AG301" s="705">
        <v>102431</v>
      </c>
      <c r="AH301" s="705">
        <v>93119</v>
      </c>
      <c r="AI301" s="706">
        <v>85</v>
      </c>
      <c r="AJ301" s="705">
        <v>14200</v>
      </c>
      <c r="AK301" s="705">
        <v>12909</v>
      </c>
      <c r="AL301" s="705">
        <v>9892</v>
      </c>
      <c r="AM301" s="705">
        <v>3664</v>
      </c>
      <c r="AN301" s="705">
        <v>621</v>
      </c>
      <c r="AO301" s="705">
        <v>230</v>
      </c>
      <c r="AP301" s="705">
        <v>7936</v>
      </c>
      <c r="AQ301" s="705">
        <v>7214</v>
      </c>
      <c r="AR301" s="705">
        <v>0</v>
      </c>
      <c r="AS301" s="705">
        <v>0</v>
      </c>
      <c r="AT301" s="705">
        <v>117137</v>
      </c>
      <c r="AU301" s="705">
        <f t="shared" si="20"/>
        <v>117136</v>
      </c>
      <c r="AV301" s="705">
        <f t="shared" si="21"/>
        <v>135080</v>
      </c>
    </row>
    <row r="302" spans="2:48" ht="12.75" hidden="1" customHeight="1">
      <c r="B302" t="s">
        <v>535</v>
      </c>
      <c r="C302" t="s">
        <v>120</v>
      </c>
      <c r="D302" t="s">
        <v>228</v>
      </c>
      <c r="E302" t="s">
        <v>582</v>
      </c>
      <c r="F302">
        <v>1</v>
      </c>
      <c r="G302" s="705">
        <v>471</v>
      </c>
      <c r="H302" s="705">
        <v>380</v>
      </c>
      <c r="I302" s="705">
        <v>158380</v>
      </c>
      <c r="J302" s="705">
        <v>58659</v>
      </c>
      <c r="K302">
        <v>100</v>
      </c>
      <c r="L302" s="705">
        <v>7169</v>
      </c>
      <c r="M302" s="705">
        <v>6518</v>
      </c>
      <c r="N302" s="705">
        <v>5739</v>
      </c>
      <c r="O302" s="705">
        <v>2125</v>
      </c>
      <c r="P302" s="705">
        <v>0</v>
      </c>
      <c r="Q302" s="705">
        <v>0</v>
      </c>
      <c r="R302" s="705">
        <v>7570</v>
      </c>
      <c r="S302" s="705">
        <v>6882</v>
      </c>
      <c r="T302" s="705">
        <v>0</v>
      </c>
      <c r="U302" s="705">
        <v>0</v>
      </c>
      <c r="V302" s="705">
        <v>74184</v>
      </c>
      <c r="W302" s="705">
        <f t="shared" si="16"/>
        <v>74184</v>
      </c>
      <c r="X302" s="705">
        <f t="shared" si="17"/>
        <v>178858</v>
      </c>
      <c r="Y302" s="705"/>
      <c r="AA302" t="s">
        <v>120</v>
      </c>
      <c r="AB302" t="s">
        <v>583</v>
      </c>
      <c r="AC302" s="705" t="s">
        <v>228</v>
      </c>
      <c r="AD302" s="705">
        <v>165</v>
      </c>
      <c r="AE302" s="705">
        <v>20385</v>
      </c>
      <c r="AF302" s="705">
        <v>56045</v>
      </c>
      <c r="AG302" s="705">
        <v>4269377</v>
      </c>
      <c r="AH302" s="705">
        <v>3881252</v>
      </c>
      <c r="AI302" s="706">
        <v>79</v>
      </c>
      <c r="AJ302" s="705">
        <v>857213</v>
      </c>
      <c r="AK302" s="705">
        <v>738273</v>
      </c>
      <c r="AL302" s="705">
        <v>436937</v>
      </c>
      <c r="AM302" s="705">
        <v>161828</v>
      </c>
      <c r="AN302" s="705">
        <v>105638</v>
      </c>
      <c r="AO302" s="705">
        <v>39125</v>
      </c>
      <c r="AP302" s="705">
        <v>1373963</v>
      </c>
      <c r="AQ302" s="705">
        <v>508875</v>
      </c>
      <c r="AR302" s="705">
        <v>13428</v>
      </c>
      <c r="AS302" s="705">
        <v>4973</v>
      </c>
      <c r="AT302" s="705">
        <v>5334327</v>
      </c>
      <c r="AU302" s="705">
        <f t="shared" si="20"/>
        <v>5334326</v>
      </c>
      <c r="AV302" s="705">
        <f t="shared" si="21"/>
        <v>7056556</v>
      </c>
    </row>
    <row r="303" spans="2:48" ht="12.75" hidden="1" customHeight="1">
      <c r="B303" t="s">
        <v>535</v>
      </c>
      <c r="C303" t="s">
        <v>120</v>
      </c>
      <c r="D303" t="s">
        <v>228</v>
      </c>
      <c r="E303" t="s">
        <v>228</v>
      </c>
      <c r="F303">
        <v>145</v>
      </c>
      <c r="G303" s="705">
        <v>15070</v>
      </c>
      <c r="H303" s="705">
        <v>49111</v>
      </c>
      <c r="I303" s="705">
        <v>3434695</v>
      </c>
      <c r="J303" s="705">
        <v>1272109</v>
      </c>
      <c r="K303">
        <v>101</v>
      </c>
      <c r="L303" s="705">
        <v>506543</v>
      </c>
      <c r="M303" s="705">
        <v>409255</v>
      </c>
      <c r="N303" s="705">
        <v>340166</v>
      </c>
      <c r="O303" s="705">
        <v>125987</v>
      </c>
      <c r="P303" s="705">
        <v>9832</v>
      </c>
      <c r="Q303" s="705">
        <v>3641</v>
      </c>
      <c r="R303" s="705">
        <v>1144239</v>
      </c>
      <c r="S303" s="705">
        <v>423792</v>
      </c>
      <c r="T303" s="705">
        <v>3877</v>
      </c>
      <c r="U303" s="705">
        <v>1436</v>
      </c>
      <c r="V303" s="705">
        <v>2236221</v>
      </c>
      <c r="W303" s="705">
        <f t="shared" si="16"/>
        <v>2236220</v>
      </c>
      <c r="X303" s="705">
        <f t="shared" si="17"/>
        <v>5439352</v>
      </c>
      <c r="Y303" s="705"/>
      <c r="AA303" t="s">
        <v>120</v>
      </c>
      <c r="AB303" t="s">
        <v>583</v>
      </c>
      <c r="AC303" s="705" t="s">
        <v>583</v>
      </c>
      <c r="AD303" s="705">
        <v>19827</v>
      </c>
      <c r="AE303" s="705">
        <v>2431463</v>
      </c>
      <c r="AF303" s="705">
        <v>6692938</v>
      </c>
      <c r="AG303" s="705">
        <v>522890143</v>
      </c>
      <c r="AH303" s="705">
        <v>475354674</v>
      </c>
      <c r="AI303" s="706">
        <v>76</v>
      </c>
      <c r="AJ303" s="705">
        <v>104244387</v>
      </c>
      <c r="AK303" s="705">
        <v>92002219</v>
      </c>
      <c r="AL303" s="705">
        <v>51329350</v>
      </c>
      <c r="AM303" s="705">
        <v>19010870</v>
      </c>
      <c r="AN303" s="705">
        <v>12915149</v>
      </c>
      <c r="AO303" s="705">
        <v>4783388</v>
      </c>
      <c r="AP303" s="705">
        <v>106407744</v>
      </c>
      <c r="AQ303" s="705">
        <v>96734312</v>
      </c>
      <c r="AR303" s="705">
        <v>34581368</v>
      </c>
      <c r="AS303" s="705">
        <v>12807914</v>
      </c>
      <c r="AT303" s="705">
        <v>700693378</v>
      </c>
      <c r="AU303" s="705">
        <f t="shared" si="20"/>
        <v>700693377</v>
      </c>
      <c r="AV303" s="705">
        <f t="shared" si="21"/>
        <v>832368141</v>
      </c>
    </row>
    <row r="304" spans="2:48" ht="12.75" hidden="1" customHeight="1">
      <c r="B304" t="s">
        <v>535</v>
      </c>
      <c r="C304" t="s">
        <v>120</v>
      </c>
      <c r="D304" t="s">
        <v>228</v>
      </c>
      <c r="E304" t="s">
        <v>583</v>
      </c>
      <c r="F304" s="705">
        <v>1</v>
      </c>
      <c r="G304" s="705">
        <v>434</v>
      </c>
      <c r="H304" s="705">
        <v>379</v>
      </c>
      <c r="I304" s="705">
        <v>137630</v>
      </c>
      <c r="J304" s="705">
        <v>50974</v>
      </c>
      <c r="K304">
        <v>100</v>
      </c>
      <c r="L304" s="705">
        <v>7287</v>
      </c>
      <c r="M304" s="705">
        <v>6624</v>
      </c>
      <c r="N304" s="705">
        <v>9259</v>
      </c>
      <c r="O304" s="705">
        <v>3429</v>
      </c>
      <c r="P304" s="705">
        <v>621</v>
      </c>
      <c r="Q304" s="705">
        <v>230</v>
      </c>
      <c r="R304" s="705">
        <v>4520</v>
      </c>
      <c r="S304" s="705">
        <v>4109</v>
      </c>
      <c r="T304" s="705">
        <v>5144</v>
      </c>
      <c r="U304" s="705">
        <v>1905</v>
      </c>
      <c r="V304" s="705">
        <v>67272</v>
      </c>
      <c r="W304" s="705">
        <f t="shared" si="16"/>
        <v>67271</v>
      </c>
      <c r="X304" s="705">
        <f t="shared" si="17"/>
        <v>164461</v>
      </c>
      <c r="Y304" s="705"/>
      <c r="AA304" t="s">
        <v>120</v>
      </c>
      <c r="AB304" t="s">
        <v>583</v>
      </c>
      <c r="AC304" s="705" t="s">
        <v>666</v>
      </c>
      <c r="AD304" s="705">
        <v>17</v>
      </c>
      <c r="AE304" s="705">
        <v>2159</v>
      </c>
      <c r="AF304" s="705">
        <v>5833</v>
      </c>
      <c r="AG304" s="705">
        <v>489785</v>
      </c>
      <c r="AH304" s="705">
        <v>445259</v>
      </c>
      <c r="AI304" s="706">
        <v>71</v>
      </c>
      <c r="AJ304" s="705">
        <v>88160</v>
      </c>
      <c r="AK304" s="705">
        <v>79823</v>
      </c>
      <c r="AL304" s="705">
        <v>49893</v>
      </c>
      <c r="AM304" s="705">
        <v>18479</v>
      </c>
      <c r="AN304" s="705">
        <v>11130</v>
      </c>
      <c r="AO304" s="705">
        <v>4122</v>
      </c>
      <c r="AP304" s="705">
        <v>109441</v>
      </c>
      <c r="AQ304" s="705">
        <v>99492</v>
      </c>
      <c r="AR304" s="705">
        <v>40143</v>
      </c>
      <c r="AS304" s="705">
        <v>14868</v>
      </c>
      <c r="AT304" s="705">
        <v>662043</v>
      </c>
      <c r="AU304" s="705">
        <f t="shared" si="20"/>
        <v>662043</v>
      </c>
      <c r="AV304" s="705">
        <f t="shared" si="21"/>
        <v>788552</v>
      </c>
    </row>
    <row r="305" spans="2:48" ht="12.75" hidden="1" customHeight="1">
      <c r="B305" t="s">
        <v>535</v>
      </c>
      <c r="C305" t="s">
        <v>120</v>
      </c>
      <c r="D305" t="s">
        <v>228</v>
      </c>
      <c r="E305" t="s">
        <v>665</v>
      </c>
      <c r="F305">
        <v>2</v>
      </c>
      <c r="G305">
        <v>214</v>
      </c>
      <c r="H305">
        <v>693</v>
      </c>
      <c r="I305" s="705">
        <v>63876</v>
      </c>
      <c r="J305" s="705">
        <v>23658</v>
      </c>
      <c r="K305">
        <v>100</v>
      </c>
      <c r="L305" s="705">
        <v>10051</v>
      </c>
      <c r="M305" s="705">
        <v>9138</v>
      </c>
      <c r="N305" s="705">
        <v>4174</v>
      </c>
      <c r="O305" s="705">
        <v>1546</v>
      </c>
      <c r="P305">
        <v>0</v>
      </c>
      <c r="Q305">
        <v>0</v>
      </c>
      <c r="R305" s="705">
        <v>10285</v>
      </c>
      <c r="S305" s="705">
        <v>9350</v>
      </c>
      <c r="T305" s="705">
        <v>2454</v>
      </c>
      <c r="U305">
        <v>909</v>
      </c>
      <c r="V305" s="705">
        <v>44600</v>
      </c>
      <c r="W305" s="705">
        <f t="shared" si="16"/>
        <v>44601</v>
      </c>
      <c r="X305" s="705">
        <f t="shared" si="17"/>
        <v>90840</v>
      </c>
      <c r="Y305" s="705"/>
      <c r="AA305" t="s">
        <v>120</v>
      </c>
      <c r="AB305" t="s">
        <v>583</v>
      </c>
      <c r="AC305" s="705" t="s">
        <v>584</v>
      </c>
      <c r="AD305" s="705">
        <v>8</v>
      </c>
      <c r="AE305" s="705">
        <v>1431</v>
      </c>
      <c r="AF305" s="705">
        <v>2598</v>
      </c>
      <c r="AG305" s="705">
        <v>303489</v>
      </c>
      <c r="AH305" s="705">
        <v>275899</v>
      </c>
      <c r="AI305" s="706">
        <v>75</v>
      </c>
      <c r="AJ305" s="705">
        <v>70932</v>
      </c>
      <c r="AK305" s="705">
        <v>64483</v>
      </c>
      <c r="AL305" s="705">
        <v>32638</v>
      </c>
      <c r="AM305" s="705">
        <v>12088</v>
      </c>
      <c r="AN305" s="705">
        <v>5090</v>
      </c>
      <c r="AO305" s="705">
        <v>1885</v>
      </c>
      <c r="AP305" s="705">
        <v>37199</v>
      </c>
      <c r="AQ305" s="705">
        <v>33818</v>
      </c>
      <c r="AR305" s="705">
        <v>19370</v>
      </c>
      <c r="AS305" s="705">
        <v>7174</v>
      </c>
      <c r="AT305" s="705">
        <v>395348</v>
      </c>
      <c r="AU305" s="705">
        <f t="shared" si="20"/>
        <v>395347</v>
      </c>
      <c r="AV305" s="705">
        <f t="shared" si="21"/>
        <v>468718</v>
      </c>
    </row>
    <row r="306" spans="2:48" ht="12.75" hidden="1" customHeight="1">
      <c r="B306" t="s">
        <v>535</v>
      </c>
      <c r="C306" t="s">
        <v>120</v>
      </c>
      <c r="D306" t="s">
        <v>583</v>
      </c>
      <c r="E306" t="s">
        <v>674</v>
      </c>
      <c r="F306">
        <v>1</v>
      </c>
      <c r="G306" s="705">
        <v>47</v>
      </c>
      <c r="H306" s="705">
        <v>325</v>
      </c>
      <c r="I306" s="705">
        <v>6846</v>
      </c>
      <c r="J306" s="705">
        <v>6223</v>
      </c>
      <c r="K306">
        <v>85</v>
      </c>
      <c r="L306" s="705">
        <v>1228</v>
      </c>
      <c r="M306" s="705">
        <v>1116</v>
      </c>
      <c r="N306" s="705">
        <v>958</v>
      </c>
      <c r="O306" s="705">
        <v>355</v>
      </c>
      <c r="P306" s="705">
        <v>972</v>
      </c>
      <c r="Q306" s="705">
        <v>360</v>
      </c>
      <c r="R306" s="705">
        <v>3224</v>
      </c>
      <c r="S306" s="705">
        <v>2931</v>
      </c>
      <c r="T306" s="705">
        <v>2061</v>
      </c>
      <c r="U306" s="705">
        <v>763</v>
      </c>
      <c r="V306" s="705">
        <v>11749</v>
      </c>
      <c r="W306" s="705">
        <f t="shared" si="16"/>
        <v>11748</v>
      </c>
      <c r="X306" s="705">
        <f t="shared" si="17"/>
        <v>15289</v>
      </c>
      <c r="Y306" s="705"/>
      <c r="AA306" t="s">
        <v>120</v>
      </c>
      <c r="AB306" t="s">
        <v>583</v>
      </c>
      <c r="AC306" s="705" t="s">
        <v>669</v>
      </c>
      <c r="AD306" s="705">
        <v>1</v>
      </c>
      <c r="AE306" s="705">
        <v>121</v>
      </c>
      <c r="AF306" s="705">
        <v>321</v>
      </c>
      <c r="AG306" s="705">
        <v>22531</v>
      </c>
      <c r="AH306" s="705">
        <v>20483</v>
      </c>
      <c r="AI306" s="706">
        <v>70</v>
      </c>
      <c r="AJ306" s="705">
        <v>3823</v>
      </c>
      <c r="AK306" s="705">
        <v>3186</v>
      </c>
      <c r="AL306" s="705">
        <v>2948</v>
      </c>
      <c r="AM306" s="705">
        <v>1092</v>
      </c>
      <c r="AN306" s="705">
        <v>621</v>
      </c>
      <c r="AO306" s="705">
        <v>230</v>
      </c>
      <c r="AP306" s="705">
        <v>8976</v>
      </c>
      <c r="AQ306" s="705">
        <v>7480</v>
      </c>
      <c r="AR306" s="705">
        <v>0</v>
      </c>
      <c r="AS306" s="705">
        <v>0</v>
      </c>
      <c r="AT306" s="705">
        <v>32471</v>
      </c>
      <c r="AU306" s="705">
        <f t="shared" si="20"/>
        <v>32471</v>
      </c>
      <c r="AV306" s="705">
        <f t="shared" si="21"/>
        <v>38899</v>
      </c>
    </row>
    <row r="307" spans="2:48" ht="12.75" hidden="1" customHeight="1">
      <c r="B307" t="s">
        <v>535</v>
      </c>
      <c r="C307" t="s">
        <v>120</v>
      </c>
      <c r="D307" t="s">
        <v>583</v>
      </c>
      <c r="E307" t="s">
        <v>664</v>
      </c>
      <c r="F307">
        <v>2</v>
      </c>
      <c r="G307" s="705">
        <v>247</v>
      </c>
      <c r="H307" s="705">
        <v>643</v>
      </c>
      <c r="I307" s="705">
        <v>46002</v>
      </c>
      <c r="J307" s="705">
        <v>41820</v>
      </c>
      <c r="K307">
        <v>79</v>
      </c>
      <c r="L307" s="705">
        <v>12778</v>
      </c>
      <c r="M307" s="705">
        <v>11617</v>
      </c>
      <c r="N307" s="705">
        <v>5547</v>
      </c>
      <c r="O307" s="705">
        <v>2054</v>
      </c>
      <c r="P307" s="705">
        <v>1242</v>
      </c>
      <c r="Q307" s="705">
        <v>460</v>
      </c>
      <c r="R307" s="705">
        <v>8378</v>
      </c>
      <c r="S307" s="705">
        <v>7616</v>
      </c>
      <c r="T307" s="705">
        <v>5428</v>
      </c>
      <c r="U307" s="705">
        <v>2010</v>
      </c>
      <c r="V307" s="705">
        <v>65578</v>
      </c>
      <c r="W307" s="705">
        <f t="shared" si="16"/>
        <v>65577</v>
      </c>
      <c r="X307" s="705">
        <f t="shared" si="17"/>
        <v>79375</v>
      </c>
      <c r="Y307" s="705"/>
      <c r="AA307" t="s">
        <v>120</v>
      </c>
      <c r="AB307" t="s">
        <v>583</v>
      </c>
      <c r="AC307" s="705" t="s">
        <v>671</v>
      </c>
      <c r="AD307" s="705">
        <v>6</v>
      </c>
      <c r="AE307" s="705">
        <v>610</v>
      </c>
      <c r="AF307" s="705">
        <v>2021</v>
      </c>
      <c r="AG307" s="705">
        <v>110006</v>
      </c>
      <c r="AH307" s="705">
        <v>100005</v>
      </c>
      <c r="AI307" s="706">
        <v>86</v>
      </c>
      <c r="AJ307" s="705">
        <v>21387</v>
      </c>
      <c r="AK307" s="705">
        <v>19443</v>
      </c>
      <c r="AL307" s="705">
        <v>11118</v>
      </c>
      <c r="AM307" s="705">
        <v>4118</v>
      </c>
      <c r="AN307" s="705">
        <v>3807</v>
      </c>
      <c r="AO307" s="705">
        <v>1410</v>
      </c>
      <c r="AP307" s="705">
        <v>53326</v>
      </c>
      <c r="AQ307" s="705">
        <v>48478</v>
      </c>
      <c r="AR307" s="705">
        <v>5107</v>
      </c>
      <c r="AS307" s="705">
        <v>1891</v>
      </c>
      <c r="AT307" s="705">
        <v>175346</v>
      </c>
      <c r="AU307" s="705">
        <f t="shared" si="20"/>
        <v>175345</v>
      </c>
      <c r="AV307" s="705">
        <f t="shared" si="21"/>
        <v>204751</v>
      </c>
    </row>
    <row r="308" spans="2:48" ht="12.75" hidden="1" customHeight="1">
      <c r="B308" t="s">
        <v>535</v>
      </c>
      <c r="C308" t="s">
        <v>120</v>
      </c>
      <c r="D308" t="s">
        <v>583</v>
      </c>
      <c r="E308" t="s">
        <v>228</v>
      </c>
      <c r="F308">
        <v>7</v>
      </c>
      <c r="G308" s="705">
        <v>768</v>
      </c>
      <c r="H308" s="705">
        <v>2381</v>
      </c>
      <c r="I308" s="705">
        <v>158852</v>
      </c>
      <c r="J308" s="705">
        <v>144411</v>
      </c>
      <c r="K308">
        <v>73</v>
      </c>
      <c r="L308" s="705">
        <v>22897</v>
      </c>
      <c r="M308" s="705">
        <v>18632</v>
      </c>
      <c r="N308" s="705">
        <v>14185</v>
      </c>
      <c r="O308" s="705">
        <v>5254</v>
      </c>
      <c r="P308" s="705">
        <v>4347</v>
      </c>
      <c r="Q308" s="705">
        <v>1610</v>
      </c>
      <c r="R308" s="705">
        <v>58785</v>
      </c>
      <c r="S308" s="705">
        <v>21772</v>
      </c>
      <c r="T308" s="705">
        <v>1956</v>
      </c>
      <c r="U308" s="705">
        <v>725</v>
      </c>
      <c r="V308" s="705">
        <v>192404</v>
      </c>
      <c r="W308" s="705">
        <f t="shared" si="16"/>
        <v>192404</v>
      </c>
      <c r="X308" s="705">
        <f t="shared" si="17"/>
        <v>261022</v>
      </c>
      <c r="Y308" s="705"/>
      <c r="AA308" t="s">
        <v>120</v>
      </c>
      <c r="AB308" t="s">
        <v>583</v>
      </c>
      <c r="AC308" s="705" t="s">
        <v>665</v>
      </c>
      <c r="AD308" s="705">
        <v>39</v>
      </c>
      <c r="AE308" s="705">
        <v>4913</v>
      </c>
      <c r="AF308" s="705">
        <v>13300</v>
      </c>
      <c r="AG308" s="705">
        <v>1064274</v>
      </c>
      <c r="AH308" s="705">
        <v>967521</v>
      </c>
      <c r="AI308" s="706">
        <v>75</v>
      </c>
      <c r="AJ308" s="705">
        <v>160471</v>
      </c>
      <c r="AK308" s="705">
        <v>148347</v>
      </c>
      <c r="AL308" s="705">
        <v>100677</v>
      </c>
      <c r="AM308" s="705">
        <v>37288</v>
      </c>
      <c r="AN308" s="705">
        <v>26676</v>
      </c>
      <c r="AO308" s="705">
        <v>9880</v>
      </c>
      <c r="AP308" s="705">
        <v>269928</v>
      </c>
      <c r="AQ308" s="705">
        <v>245389</v>
      </c>
      <c r="AR308" s="705">
        <v>68132</v>
      </c>
      <c r="AS308" s="705">
        <v>25234</v>
      </c>
      <c r="AT308" s="705">
        <v>1433660</v>
      </c>
      <c r="AU308" s="705">
        <f t="shared" si="20"/>
        <v>1433659</v>
      </c>
      <c r="AV308" s="705">
        <f t="shared" si="21"/>
        <v>1690158</v>
      </c>
    </row>
    <row r="309" spans="2:48" ht="12.75" hidden="1" customHeight="1">
      <c r="B309" t="s">
        <v>535</v>
      </c>
      <c r="C309" t="s">
        <v>120</v>
      </c>
      <c r="D309" t="s">
        <v>583</v>
      </c>
      <c r="E309" t="s">
        <v>583</v>
      </c>
      <c r="F309" s="705">
        <v>836</v>
      </c>
      <c r="G309" s="705">
        <v>99888</v>
      </c>
      <c r="H309" s="705">
        <v>282376</v>
      </c>
      <c r="I309" s="705">
        <v>21483272</v>
      </c>
      <c r="J309" s="705">
        <v>19530247</v>
      </c>
      <c r="K309">
        <v>76</v>
      </c>
      <c r="L309" s="705">
        <v>4110551</v>
      </c>
      <c r="M309" s="705">
        <v>3632831</v>
      </c>
      <c r="N309" s="705">
        <v>2122005</v>
      </c>
      <c r="O309" s="705">
        <v>785928</v>
      </c>
      <c r="P309" s="705">
        <v>544764</v>
      </c>
      <c r="Q309" s="705">
        <v>201764</v>
      </c>
      <c r="R309" s="705">
        <v>4367172</v>
      </c>
      <c r="S309" s="705">
        <v>3970156</v>
      </c>
      <c r="T309" s="705">
        <v>1619247</v>
      </c>
      <c r="U309" s="705">
        <v>599721</v>
      </c>
      <c r="V309" s="705">
        <v>28720647</v>
      </c>
      <c r="W309" s="705">
        <f t="shared" si="16"/>
        <v>28720647</v>
      </c>
      <c r="X309" s="705">
        <f t="shared" si="17"/>
        <v>34247011</v>
      </c>
      <c r="Y309" s="705"/>
      <c r="AA309" t="s">
        <v>120</v>
      </c>
      <c r="AB309" t="s">
        <v>583</v>
      </c>
      <c r="AC309" s="705" t="s">
        <v>673</v>
      </c>
      <c r="AD309" s="705">
        <v>2</v>
      </c>
      <c r="AE309" s="705">
        <v>288</v>
      </c>
      <c r="AF309" s="705">
        <v>672</v>
      </c>
      <c r="AG309" s="705">
        <v>55323</v>
      </c>
      <c r="AH309" s="705">
        <v>50294</v>
      </c>
      <c r="AI309" s="706">
        <v>86</v>
      </c>
      <c r="AJ309" s="705">
        <v>15292</v>
      </c>
      <c r="AK309" s="705">
        <v>13902</v>
      </c>
      <c r="AL309" s="705">
        <v>5010</v>
      </c>
      <c r="AM309" s="705">
        <v>1856</v>
      </c>
      <c r="AN309" s="705">
        <v>1242</v>
      </c>
      <c r="AO309" s="705">
        <v>460</v>
      </c>
      <c r="AP309" s="705">
        <v>22121</v>
      </c>
      <c r="AQ309" s="705">
        <v>20110</v>
      </c>
      <c r="AR309" s="705">
        <v>0</v>
      </c>
      <c r="AS309" s="705">
        <v>0</v>
      </c>
      <c r="AT309" s="705">
        <v>86622</v>
      </c>
      <c r="AU309" s="705">
        <f t="shared" si="20"/>
        <v>86622</v>
      </c>
      <c r="AV309" s="705">
        <f t="shared" si="21"/>
        <v>98988</v>
      </c>
    </row>
    <row r="310" spans="2:48" ht="12.75" hidden="1" customHeight="1">
      <c r="B310" t="s">
        <v>535</v>
      </c>
      <c r="C310" t="s">
        <v>120</v>
      </c>
      <c r="D310" t="s">
        <v>583</v>
      </c>
      <c r="E310" t="s">
        <v>666</v>
      </c>
      <c r="F310">
        <v>2</v>
      </c>
      <c r="G310">
        <v>214</v>
      </c>
      <c r="H310">
        <v>693</v>
      </c>
      <c r="I310" s="705">
        <v>46415</v>
      </c>
      <c r="J310" s="705">
        <v>42196</v>
      </c>
      <c r="K310">
        <v>68</v>
      </c>
      <c r="L310" s="705">
        <v>7213</v>
      </c>
      <c r="M310" s="705">
        <v>6234</v>
      </c>
      <c r="N310" s="705">
        <v>4736</v>
      </c>
      <c r="O310" s="705">
        <v>1754</v>
      </c>
      <c r="P310" s="705">
        <v>1242</v>
      </c>
      <c r="Q310">
        <v>460</v>
      </c>
      <c r="R310" s="705">
        <v>9602</v>
      </c>
      <c r="S310" s="705">
        <v>8730</v>
      </c>
      <c r="T310" s="705">
        <v>5294</v>
      </c>
      <c r="U310" s="705">
        <v>1961</v>
      </c>
      <c r="V310" s="705">
        <v>61335</v>
      </c>
      <c r="W310" s="705">
        <f t="shared" si="16"/>
        <v>61335</v>
      </c>
      <c r="X310" s="705">
        <f t="shared" si="17"/>
        <v>74502</v>
      </c>
      <c r="Y310" s="705"/>
      <c r="AA310" t="s">
        <v>120</v>
      </c>
      <c r="AB310" t="s">
        <v>583</v>
      </c>
      <c r="AC310" s="705" t="s">
        <v>668</v>
      </c>
      <c r="AD310" s="705">
        <v>1</v>
      </c>
      <c r="AE310" s="705">
        <v>128</v>
      </c>
      <c r="AF310" s="705">
        <v>332</v>
      </c>
      <c r="AG310" s="705">
        <v>33963</v>
      </c>
      <c r="AH310" s="705">
        <v>30875</v>
      </c>
      <c r="AI310" s="706">
        <v>95</v>
      </c>
      <c r="AJ310" s="705">
        <v>0</v>
      </c>
      <c r="AK310" s="705">
        <v>4761</v>
      </c>
      <c r="AL310" s="705">
        <v>3109</v>
      </c>
      <c r="AM310" s="705">
        <v>1151</v>
      </c>
      <c r="AN310" s="705">
        <v>621</v>
      </c>
      <c r="AO310" s="705">
        <v>230</v>
      </c>
      <c r="AP310" s="705">
        <v>4660</v>
      </c>
      <c r="AQ310" s="705">
        <v>4236</v>
      </c>
      <c r="AR310" s="705">
        <v>0</v>
      </c>
      <c r="AS310" s="705">
        <v>0</v>
      </c>
      <c r="AT310" s="705">
        <v>41254</v>
      </c>
      <c r="AU310" s="705">
        <f t="shared" si="20"/>
        <v>41253</v>
      </c>
      <c r="AV310" s="705">
        <f t="shared" si="21"/>
        <v>42353</v>
      </c>
    </row>
    <row r="311" spans="2:48" ht="12.75" hidden="1" customHeight="1">
      <c r="B311" t="s">
        <v>535</v>
      </c>
      <c r="C311" t="s">
        <v>120</v>
      </c>
      <c r="D311" t="s">
        <v>583</v>
      </c>
      <c r="E311" t="s">
        <v>665</v>
      </c>
      <c r="F311">
        <v>2</v>
      </c>
      <c r="G311" s="705">
        <v>264</v>
      </c>
      <c r="H311" s="705">
        <v>687</v>
      </c>
      <c r="I311" s="705">
        <v>58945</v>
      </c>
      <c r="J311" s="705">
        <v>53587</v>
      </c>
      <c r="K311">
        <v>78</v>
      </c>
      <c r="L311" s="705">
        <v>11033</v>
      </c>
      <c r="M311" s="705">
        <v>10030</v>
      </c>
      <c r="N311" s="705">
        <v>5300</v>
      </c>
      <c r="O311" s="705">
        <v>1963</v>
      </c>
      <c r="P311" s="705">
        <v>1242</v>
      </c>
      <c r="Q311" s="705">
        <v>460</v>
      </c>
      <c r="R311" s="705">
        <v>11374</v>
      </c>
      <c r="S311" s="705">
        <v>10340</v>
      </c>
      <c r="T311" s="705">
        <v>3085</v>
      </c>
      <c r="U311" s="705">
        <v>1143</v>
      </c>
      <c r="V311" s="705">
        <v>77523</v>
      </c>
      <c r="W311" s="705">
        <f t="shared" si="16"/>
        <v>77523</v>
      </c>
      <c r="X311" s="705">
        <f t="shared" si="17"/>
        <v>90979</v>
      </c>
      <c r="Y311" s="705"/>
      <c r="AA311" t="s">
        <v>120</v>
      </c>
      <c r="AB311" t="s">
        <v>666</v>
      </c>
      <c r="AC311" s="705" t="s">
        <v>228</v>
      </c>
      <c r="AD311" s="705">
        <v>11</v>
      </c>
      <c r="AE311" s="705">
        <v>1199</v>
      </c>
      <c r="AF311" s="705">
        <v>3850</v>
      </c>
      <c r="AG311" s="705">
        <v>277708</v>
      </c>
      <c r="AH311" s="705">
        <v>252462</v>
      </c>
      <c r="AI311" s="706">
        <v>50</v>
      </c>
      <c r="AJ311" s="705">
        <v>28683</v>
      </c>
      <c r="AK311" s="705">
        <v>22276</v>
      </c>
      <c r="AL311" s="705">
        <v>24241</v>
      </c>
      <c r="AM311" s="705">
        <v>8978</v>
      </c>
      <c r="AN311" s="705">
        <v>1053</v>
      </c>
      <c r="AO311" s="705">
        <v>390</v>
      </c>
      <c r="AP311" s="705">
        <v>93765</v>
      </c>
      <c r="AQ311" s="705">
        <v>34728</v>
      </c>
      <c r="AR311" s="705">
        <v>2584</v>
      </c>
      <c r="AS311" s="705">
        <v>957</v>
      </c>
      <c r="AT311" s="705">
        <v>319791</v>
      </c>
      <c r="AU311" s="705">
        <f t="shared" si="20"/>
        <v>319791</v>
      </c>
      <c r="AV311" s="705">
        <f t="shared" si="21"/>
        <v>428034</v>
      </c>
    </row>
    <row r="312" spans="2:48" ht="12.75" hidden="1" customHeight="1">
      <c r="B312" t="s">
        <v>535</v>
      </c>
      <c r="C312" t="s">
        <v>120</v>
      </c>
      <c r="D312" t="s">
        <v>666</v>
      </c>
      <c r="E312" t="s">
        <v>666</v>
      </c>
      <c r="F312">
        <v>9</v>
      </c>
      <c r="G312" s="705">
        <v>862</v>
      </c>
      <c r="H312" s="705">
        <v>3183</v>
      </c>
      <c r="I312" s="705">
        <v>176825</v>
      </c>
      <c r="J312" s="705">
        <v>160750</v>
      </c>
      <c r="K312">
        <v>56</v>
      </c>
      <c r="L312" s="705">
        <v>40959</v>
      </c>
      <c r="M312" s="705">
        <v>18900</v>
      </c>
      <c r="N312" s="705">
        <v>17232</v>
      </c>
      <c r="O312" s="705">
        <v>6382</v>
      </c>
      <c r="P312" s="705">
        <v>3159</v>
      </c>
      <c r="Q312" s="705">
        <v>1170</v>
      </c>
      <c r="R312" s="705">
        <v>42234</v>
      </c>
      <c r="S312" s="705">
        <v>38395</v>
      </c>
      <c r="T312" s="705">
        <v>19252</v>
      </c>
      <c r="U312" s="705">
        <v>7130</v>
      </c>
      <c r="V312" s="705">
        <v>232727</v>
      </c>
      <c r="W312" s="705">
        <f t="shared" si="16"/>
        <v>232727</v>
      </c>
      <c r="X312" s="705">
        <f t="shared" si="17"/>
        <v>299661</v>
      </c>
      <c r="Y312" s="705"/>
      <c r="AA312" t="s">
        <v>120</v>
      </c>
      <c r="AB312" t="s">
        <v>666</v>
      </c>
      <c r="AC312" s="705" t="s">
        <v>583</v>
      </c>
      <c r="AD312" s="705">
        <v>4</v>
      </c>
      <c r="AE312" s="705">
        <v>408</v>
      </c>
      <c r="AF312" s="705">
        <v>1387</v>
      </c>
      <c r="AG312" s="705">
        <v>91310</v>
      </c>
      <c r="AH312" s="705">
        <v>83009</v>
      </c>
      <c r="AI312" s="706">
        <v>74</v>
      </c>
      <c r="AJ312" s="705">
        <v>16250</v>
      </c>
      <c r="AK312" s="705">
        <v>14773</v>
      </c>
      <c r="AL312" s="705">
        <v>8952</v>
      </c>
      <c r="AM312" s="705">
        <v>3316</v>
      </c>
      <c r="AN312" s="705">
        <v>2835</v>
      </c>
      <c r="AO312" s="705">
        <v>1050</v>
      </c>
      <c r="AP312" s="705">
        <v>20028</v>
      </c>
      <c r="AQ312" s="705">
        <v>18207</v>
      </c>
      <c r="AR312" s="705">
        <v>2385</v>
      </c>
      <c r="AS312" s="705">
        <v>883</v>
      </c>
      <c r="AT312" s="705">
        <v>121237</v>
      </c>
      <c r="AU312" s="705">
        <f t="shared" si="20"/>
        <v>121238</v>
      </c>
      <c r="AV312" s="705">
        <f t="shared" si="21"/>
        <v>141760</v>
      </c>
    </row>
    <row r="313" spans="2:48" ht="12.75" hidden="1" customHeight="1">
      <c r="B313" t="s">
        <v>535</v>
      </c>
      <c r="C313" t="s">
        <v>120</v>
      </c>
      <c r="D313" t="s">
        <v>584</v>
      </c>
      <c r="E313" t="s">
        <v>584</v>
      </c>
      <c r="F313">
        <v>15</v>
      </c>
      <c r="G313" s="705">
        <v>1321</v>
      </c>
      <c r="H313" s="705">
        <v>5114</v>
      </c>
      <c r="I313" s="705">
        <v>245443</v>
      </c>
      <c r="J313" s="705">
        <v>223130</v>
      </c>
      <c r="K313">
        <v>69</v>
      </c>
      <c r="L313" s="705">
        <v>50970</v>
      </c>
      <c r="M313" s="705">
        <v>43285</v>
      </c>
      <c r="N313" s="705">
        <v>29927</v>
      </c>
      <c r="O313" s="705">
        <v>11084</v>
      </c>
      <c r="P313" s="705">
        <v>7088</v>
      </c>
      <c r="Q313" s="705">
        <v>2625</v>
      </c>
      <c r="R313" s="705">
        <v>76227</v>
      </c>
      <c r="S313" s="705">
        <v>69297</v>
      </c>
      <c r="T313" s="705">
        <v>34685</v>
      </c>
      <c r="U313" s="705">
        <v>12846</v>
      </c>
      <c r="V313" s="705">
        <v>362268</v>
      </c>
      <c r="W313" s="705">
        <f t="shared" si="16"/>
        <v>362267</v>
      </c>
      <c r="X313" s="705">
        <f t="shared" si="17"/>
        <v>444340</v>
      </c>
      <c r="Y313" s="705"/>
      <c r="AA313" t="s">
        <v>120</v>
      </c>
      <c r="AB313" t="s">
        <v>666</v>
      </c>
      <c r="AC313" s="705" t="s">
        <v>666</v>
      </c>
      <c r="AD313" s="705">
        <v>143</v>
      </c>
      <c r="AE313" s="705">
        <v>14750</v>
      </c>
      <c r="AF313" s="705">
        <v>48990</v>
      </c>
      <c r="AG313" s="705">
        <v>3180671</v>
      </c>
      <c r="AH313" s="705">
        <v>2891519</v>
      </c>
      <c r="AI313" s="706">
        <v>59</v>
      </c>
      <c r="AJ313" s="705">
        <v>495874</v>
      </c>
      <c r="AK313" s="705">
        <v>388751</v>
      </c>
      <c r="AL313" s="705">
        <v>297980</v>
      </c>
      <c r="AM313" s="705">
        <v>110363</v>
      </c>
      <c r="AN313" s="705">
        <v>53906</v>
      </c>
      <c r="AO313" s="705">
        <v>19965</v>
      </c>
      <c r="AP313" s="705">
        <v>814014</v>
      </c>
      <c r="AQ313" s="705">
        <v>740012</v>
      </c>
      <c r="AR313" s="705">
        <v>295533</v>
      </c>
      <c r="AS313" s="705">
        <v>109457</v>
      </c>
      <c r="AT313" s="705">
        <v>4260067</v>
      </c>
      <c r="AU313" s="705">
        <f t="shared" si="20"/>
        <v>4260067</v>
      </c>
      <c r="AV313" s="705">
        <f t="shared" si="21"/>
        <v>5137978</v>
      </c>
    </row>
    <row r="314" spans="2:48" ht="12.75" hidden="1" customHeight="1">
      <c r="B314" t="s">
        <v>535</v>
      </c>
      <c r="C314" t="s">
        <v>120</v>
      </c>
      <c r="D314" t="s">
        <v>669</v>
      </c>
      <c r="E314" t="s">
        <v>669</v>
      </c>
      <c r="F314">
        <v>5</v>
      </c>
      <c r="G314" s="705">
        <v>678</v>
      </c>
      <c r="H314" s="705">
        <v>1705</v>
      </c>
      <c r="I314" s="705">
        <v>158167</v>
      </c>
      <c r="J314" s="705">
        <v>131806</v>
      </c>
      <c r="K314">
        <v>61</v>
      </c>
      <c r="L314" s="705">
        <v>12396</v>
      </c>
      <c r="M314" s="705">
        <v>11269</v>
      </c>
      <c r="N314" s="705">
        <v>13523</v>
      </c>
      <c r="O314" s="705">
        <v>5009</v>
      </c>
      <c r="P314" s="705">
        <v>3186</v>
      </c>
      <c r="Q314" s="705">
        <v>1180</v>
      </c>
      <c r="R314" s="705">
        <v>30070</v>
      </c>
      <c r="S314" s="705">
        <v>25058</v>
      </c>
      <c r="T314" s="705">
        <v>14603</v>
      </c>
      <c r="U314" s="705">
        <v>5408</v>
      </c>
      <c r="V314" s="705">
        <v>179731</v>
      </c>
      <c r="W314" s="705">
        <f t="shared" si="16"/>
        <v>179730</v>
      </c>
      <c r="X314" s="705">
        <f t="shared" si="17"/>
        <v>231945</v>
      </c>
      <c r="Y314" s="705"/>
      <c r="AA314" t="s">
        <v>120</v>
      </c>
      <c r="AB314" t="s">
        <v>666</v>
      </c>
      <c r="AC314" s="705" t="s">
        <v>584</v>
      </c>
      <c r="AD314" s="705">
        <v>1</v>
      </c>
      <c r="AE314" s="705">
        <v>83</v>
      </c>
      <c r="AF314" s="705">
        <v>310</v>
      </c>
      <c r="AG314" s="705">
        <v>14938</v>
      </c>
      <c r="AH314" s="705">
        <v>13580</v>
      </c>
      <c r="AI314" s="706">
        <v>65</v>
      </c>
      <c r="AJ314" s="705">
        <v>3596</v>
      </c>
      <c r="AK314" s="705">
        <v>3269</v>
      </c>
      <c r="AL314" s="705">
        <v>1739</v>
      </c>
      <c r="AM314" s="705">
        <v>644</v>
      </c>
      <c r="AN314" s="705">
        <v>473</v>
      </c>
      <c r="AO314" s="705">
        <v>175</v>
      </c>
      <c r="AP314" s="705">
        <v>5012</v>
      </c>
      <c r="AQ314" s="705">
        <v>4556</v>
      </c>
      <c r="AR314" s="705">
        <v>0</v>
      </c>
      <c r="AS314" s="705">
        <v>0</v>
      </c>
      <c r="AT314" s="705">
        <v>22225</v>
      </c>
      <c r="AU314" s="705">
        <f t="shared" si="20"/>
        <v>22224</v>
      </c>
      <c r="AV314" s="705">
        <f t="shared" si="21"/>
        <v>25758</v>
      </c>
    </row>
    <row r="315" spans="2:48" hidden="1">
      <c r="B315" t="s">
        <v>535</v>
      </c>
      <c r="C315" t="s">
        <v>120</v>
      </c>
      <c r="D315" t="s">
        <v>671</v>
      </c>
      <c r="E315" t="s">
        <v>671</v>
      </c>
      <c r="F315">
        <v>6</v>
      </c>
      <c r="G315">
        <v>690</v>
      </c>
      <c r="H315" s="705">
        <v>1967</v>
      </c>
      <c r="I315" s="705">
        <v>137296</v>
      </c>
      <c r="J315" s="705">
        <v>124814</v>
      </c>
      <c r="K315">
        <v>62</v>
      </c>
      <c r="L315" s="705">
        <v>27598</v>
      </c>
      <c r="M315" s="705">
        <v>18421</v>
      </c>
      <c r="N315" s="705">
        <v>13949</v>
      </c>
      <c r="O315" s="705">
        <v>5166</v>
      </c>
      <c r="P315" s="705">
        <v>2376</v>
      </c>
      <c r="Q315">
        <v>880</v>
      </c>
      <c r="R315" s="705">
        <v>37222</v>
      </c>
      <c r="S315" s="705">
        <v>33839</v>
      </c>
      <c r="T315" s="705">
        <v>19163</v>
      </c>
      <c r="U315" s="705">
        <v>7097</v>
      </c>
      <c r="V315" s="705">
        <v>190217</v>
      </c>
      <c r="W315" s="705">
        <f t="shared" si="16"/>
        <v>190217</v>
      </c>
      <c r="X315" s="705">
        <f t="shared" si="17"/>
        <v>237604</v>
      </c>
      <c r="Y315" s="705"/>
      <c r="AA315" t="s">
        <v>120</v>
      </c>
      <c r="AB315" t="s">
        <v>584</v>
      </c>
      <c r="AC315" s="705" t="s">
        <v>582</v>
      </c>
      <c r="AD315" s="705">
        <v>1</v>
      </c>
      <c r="AE315" s="705">
        <v>118</v>
      </c>
      <c r="AF315" s="705">
        <v>319</v>
      </c>
      <c r="AG315" s="705">
        <v>22147</v>
      </c>
      <c r="AH315" s="705">
        <v>20134</v>
      </c>
      <c r="AI315" s="706">
        <v>78</v>
      </c>
      <c r="AJ315" s="705">
        <v>6415</v>
      </c>
      <c r="AK315" s="705">
        <v>5831</v>
      </c>
      <c r="AL315" s="705">
        <v>2444</v>
      </c>
      <c r="AM315" s="705">
        <v>905</v>
      </c>
      <c r="AN315" s="705">
        <v>473</v>
      </c>
      <c r="AO315" s="705">
        <v>175</v>
      </c>
      <c r="AP315" s="705">
        <v>6098</v>
      </c>
      <c r="AQ315" s="705">
        <v>5544</v>
      </c>
      <c r="AR315" s="705">
        <v>0</v>
      </c>
      <c r="AS315" s="705">
        <v>0</v>
      </c>
      <c r="AT315" s="705">
        <v>32590</v>
      </c>
      <c r="AU315" s="705">
        <f t="shared" ref="AU315:AU346" si="22">SUM(ABS(AH315), ABS(AK315),ABS(AM315),ABS(AO315),ABS(AQ315),ABS(AS315))</f>
        <v>32589</v>
      </c>
      <c r="AV315" s="705">
        <f t="shared" ref="AV315:AV346" si="23">SUM(ABS(AG315),ABS(AJ315),ABS(AL315),ABS(AN315),ABS(AP315),ABS(AR315))</f>
        <v>37577</v>
      </c>
    </row>
    <row r="316" spans="2:48" hidden="1">
      <c r="B316" t="s">
        <v>535</v>
      </c>
      <c r="C316" t="s">
        <v>120</v>
      </c>
      <c r="D316" t="s">
        <v>665</v>
      </c>
      <c r="E316" t="s">
        <v>228</v>
      </c>
      <c r="F316">
        <v>4</v>
      </c>
      <c r="G316">
        <v>493</v>
      </c>
      <c r="H316" s="705">
        <v>1409</v>
      </c>
      <c r="I316" s="705">
        <v>112931</v>
      </c>
      <c r="J316" s="705">
        <v>102664</v>
      </c>
      <c r="K316">
        <v>53</v>
      </c>
      <c r="L316" s="705">
        <v>11242</v>
      </c>
      <c r="M316" s="705">
        <v>11207</v>
      </c>
      <c r="N316" s="705">
        <v>9632</v>
      </c>
      <c r="O316" s="705">
        <v>3567</v>
      </c>
      <c r="P316" s="705">
        <v>1053</v>
      </c>
      <c r="Q316" s="705">
        <v>390</v>
      </c>
      <c r="R316" s="705">
        <v>32455</v>
      </c>
      <c r="S316" s="705">
        <v>12020</v>
      </c>
      <c r="T316" s="705">
        <v>3127</v>
      </c>
      <c r="U316" s="705">
        <v>1158</v>
      </c>
      <c r="V316" s="705">
        <v>131007</v>
      </c>
      <c r="W316" s="705">
        <f t="shared" si="16"/>
        <v>131006</v>
      </c>
      <c r="X316" s="705">
        <f t="shared" si="17"/>
        <v>170440</v>
      </c>
      <c r="Y316" s="705"/>
      <c r="AA316" t="s">
        <v>120</v>
      </c>
      <c r="AB316" t="s">
        <v>584</v>
      </c>
      <c r="AC316" s="705" t="s">
        <v>228</v>
      </c>
      <c r="AD316" s="705">
        <v>10</v>
      </c>
      <c r="AE316" s="705">
        <v>1821</v>
      </c>
      <c r="AF316" s="705">
        <v>3427</v>
      </c>
      <c r="AG316" s="705">
        <v>438908</v>
      </c>
      <c r="AH316" s="705">
        <v>399007</v>
      </c>
      <c r="AI316" s="706">
        <v>78</v>
      </c>
      <c r="AJ316" s="705">
        <v>99081</v>
      </c>
      <c r="AK316" s="705">
        <v>87917</v>
      </c>
      <c r="AL316" s="705">
        <v>32779</v>
      </c>
      <c r="AM316" s="705">
        <v>12140</v>
      </c>
      <c r="AN316" s="705">
        <v>17325</v>
      </c>
      <c r="AO316" s="705">
        <v>6417</v>
      </c>
      <c r="AP316" s="705">
        <v>80209</v>
      </c>
      <c r="AQ316" s="705">
        <v>29707</v>
      </c>
      <c r="AR316" s="705">
        <v>0</v>
      </c>
      <c r="AS316" s="705">
        <v>0</v>
      </c>
      <c r="AT316" s="705">
        <v>535188</v>
      </c>
      <c r="AU316" s="705">
        <f t="shared" si="22"/>
        <v>535188</v>
      </c>
      <c r="AV316" s="705">
        <f t="shared" si="23"/>
        <v>668302</v>
      </c>
    </row>
    <row r="317" spans="2:48" hidden="1">
      <c r="B317" t="s">
        <v>535</v>
      </c>
      <c r="C317" t="s">
        <v>120</v>
      </c>
      <c r="D317" t="s">
        <v>665</v>
      </c>
      <c r="E317" t="s">
        <v>665</v>
      </c>
      <c r="F317">
        <v>106</v>
      </c>
      <c r="G317" s="705">
        <v>11327</v>
      </c>
      <c r="H317" s="705">
        <v>36127</v>
      </c>
      <c r="I317" s="705">
        <v>2504669</v>
      </c>
      <c r="J317" s="705">
        <v>2276972</v>
      </c>
      <c r="K317">
        <v>60</v>
      </c>
      <c r="L317" s="705">
        <v>324175</v>
      </c>
      <c r="M317" s="705">
        <v>281505</v>
      </c>
      <c r="N317" s="705">
        <v>230779</v>
      </c>
      <c r="O317" s="705">
        <v>85474</v>
      </c>
      <c r="P317" s="705">
        <v>43173</v>
      </c>
      <c r="Q317" s="705">
        <v>15990</v>
      </c>
      <c r="R317" s="705">
        <v>583713</v>
      </c>
      <c r="S317" s="705">
        <v>530648</v>
      </c>
      <c r="T317" s="705">
        <v>234187</v>
      </c>
      <c r="U317" s="705">
        <v>86736</v>
      </c>
      <c r="V317" s="705">
        <v>3277325</v>
      </c>
      <c r="W317" s="705">
        <f t="shared" si="16"/>
        <v>3277325</v>
      </c>
      <c r="X317" s="705">
        <f t="shared" si="17"/>
        <v>3920696</v>
      </c>
      <c r="Y317" s="705"/>
      <c r="AA317" t="s">
        <v>120</v>
      </c>
      <c r="AB317" t="s">
        <v>584</v>
      </c>
      <c r="AC317" s="705" t="s">
        <v>583</v>
      </c>
      <c r="AD317" s="705">
        <v>2</v>
      </c>
      <c r="AE317" s="705">
        <v>365</v>
      </c>
      <c r="AF317" s="705">
        <v>710</v>
      </c>
      <c r="AG317" s="705">
        <v>74750</v>
      </c>
      <c r="AH317" s="705">
        <v>67955</v>
      </c>
      <c r="AI317" s="706">
        <v>84</v>
      </c>
      <c r="AJ317" s="705">
        <v>28395</v>
      </c>
      <c r="AK317" s="705">
        <v>24855</v>
      </c>
      <c r="AL317" s="705">
        <v>8782</v>
      </c>
      <c r="AM317" s="705">
        <v>3253</v>
      </c>
      <c r="AN317" s="705">
        <v>945</v>
      </c>
      <c r="AO317" s="705">
        <v>350</v>
      </c>
      <c r="AP317" s="705">
        <v>16525</v>
      </c>
      <c r="AQ317" s="705">
        <v>15023</v>
      </c>
      <c r="AR317" s="705">
        <v>0</v>
      </c>
      <c r="AS317" s="705">
        <v>0</v>
      </c>
      <c r="AT317" s="705">
        <v>111435</v>
      </c>
      <c r="AU317" s="705">
        <f t="shared" si="22"/>
        <v>111436</v>
      </c>
      <c r="AV317" s="705">
        <f t="shared" si="23"/>
        <v>129397</v>
      </c>
    </row>
    <row r="318" spans="2:48" hidden="1">
      <c r="B318" t="s">
        <v>535</v>
      </c>
      <c r="C318" t="s">
        <v>120</v>
      </c>
      <c r="D318" t="s">
        <v>673</v>
      </c>
      <c r="E318" t="s">
        <v>673</v>
      </c>
      <c r="F318">
        <v>4</v>
      </c>
      <c r="G318" s="705">
        <v>427</v>
      </c>
      <c r="H318" s="705">
        <v>1357</v>
      </c>
      <c r="I318" s="705">
        <v>95381</v>
      </c>
      <c r="J318" s="705">
        <v>86710</v>
      </c>
      <c r="K318">
        <v>64</v>
      </c>
      <c r="L318" s="705">
        <v>5248</v>
      </c>
      <c r="M318" s="705">
        <v>13538</v>
      </c>
      <c r="N318" s="705">
        <v>9427</v>
      </c>
      <c r="O318" s="705">
        <v>3491</v>
      </c>
      <c r="P318" s="705">
        <v>1404</v>
      </c>
      <c r="Q318" s="705">
        <v>520</v>
      </c>
      <c r="R318" s="705">
        <v>19567</v>
      </c>
      <c r="S318" s="705">
        <v>17788</v>
      </c>
      <c r="T318" s="705">
        <v>10798</v>
      </c>
      <c r="U318" s="705">
        <v>3999</v>
      </c>
      <c r="V318" s="705">
        <v>126046</v>
      </c>
      <c r="W318" s="705">
        <f t="shared" si="16"/>
        <v>126046</v>
      </c>
      <c r="X318" s="705">
        <f t="shared" si="17"/>
        <v>141825</v>
      </c>
      <c r="Y318" s="705"/>
      <c r="AA318" t="s">
        <v>120</v>
      </c>
      <c r="AB318" t="s">
        <v>584</v>
      </c>
      <c r="AC318" s="705" t="s">
        <v>666</v>
      </c>
      <c r="AD318" s="705">
        <v>1</v>
      </c>
      <c r="AE318" s="705">
        <v>128</v>
      </c>
      <c r="AF318" s="705">
        <v>379</v>
      </c>
      <c r="AG318" s="705">
        <v>36807</v>
      </c>
      <c r="AH318" s="705">
        <v>33461</v>
      </c>
      <c r="AI318" s="706">
        <v>78</v>
      </c>
      <c r="AJ318" s="705">
        <v>10101</v>
      </c>
      <c r="AK318" s="705">
        <v>9183</v>
      </c>
      <c r="AL318" s="705">
        <v>3567</v>
      </c>
      <c r="AM318" s="705">
        <v>1321</v>
      </c>
      <c r="AN318" s="705">
        <v>473</v>
      </c>
      <c r="AO318" s="705">
        <v>175</v>
      </c>
      <c r="AP318" s="705">
        <v>6887</v>
      </c>
      <c r="AQ318" s="705">
        <v>6261</v>
      </c>
      <c r="AR318" s="705">
        <v>0</v>
      </c>
      <c r="AS318" s="705">
        <v>0</v>
      </c>
      <c r="AT318" s="705">
        <v>50401</v>
      </c>
      <c r="AU318" s="705">
        <f t="shared" si="22"/>
        <v>50401</v>
      </c>
      <c r="AV318" s="705">
        <f t="shared" si="23"/>
        <v>57835</v>
      </c>
    </row>
    <row r="319" spans="2:48" hidden="1">
      <c r="B319" t="s">
        <v>535</v>
      </c>
      <c r="C319" t="s">
        <v>120</v>
      </c>
      <c r="D319" t="s">
        <v>585</v>
      </c>
      <c r="E319" t="s">
        <v>585</v>
      </c>
      <c r="F319">
        <v>3</v>
      </c>
      <c r="G319" s="705">
        <v>609</v>
      </c>
      <c r="H319" s="705">
        <v>979</v>
      </c>
      <c r="I319" s="705">
        <v>145126</v>
      </c>
      <c r="J319" s="705">
        <v>131932</v>
      </c>
      <c r="K319">
        <v>73</v>
      </c>
      <c r="L319" s="705">
        <v>17003</v>
      </c>
      <c r="M319" s="705">
        <v>15457</v>
      </c>
      <c r="N319" s="705">
        <v>11280</v>
      </c>
      <c r="O319" s="705">
        <v>4178</v>
      </c>
      <c r="P319" s="705">
        <v>1796</v>
      </c>
      <c r="Q319" s="705">
        <v>665</v>
      </c>
      <c r="R319" s="705">
        <v>16993</v>
      </c>
      <c r="S319" s="705">
        <v>15448</v>
      </c>
      <c r="T319" s="705">
        <v>5942</v>
      </c>
      <c r="U319" s="705">
        <v>2201</v>
      </c>
      <c r="V319" s="705">
        <v>169881</v>
      </c>
      <c r="W319" s="705">
        <f t="shared" si="16"/>
        <v>169881</v>
      </c>
      <c r="X319" s="705">
        <f t="shared" si="17"/>
        <v>198140</v>
      </c>
      <c r="Y319" s="705"/>
      <c r="AA319" t="s">
        <v>120</v>
      </c>
      <c r="AB319" t="s">
        <v>584</v>
      </c>
      <c r="AC319" s="705" t="s">
        <v>584</v>
      </c>
      <c r="AD319" s="705">
        <v>2748</v>
      </c>
      <c r="AE319" s="705">
        <v>364655</v>
      </c>
      <c r="AF319" s="705">
        <v>927145</v>
      </c>
      <c r="AG319" s="705">
        <v>77154726</v>
      </c>
      <c r="AH319" s="705">
        <v>70140660</v>
      </c>
      <c r="AI319" s="706">
        <v>79</v>
      </c>
      <c r="AJ319" s="705">
        <v>21035730</v>
      </c>
      <c r="AK319" s="705">
        <v>18351441</v>
      </c>
      <c r="AL319" s="705">
        <v>7890255</v>
      </c>
      <c r="AM319" s="705">
        <v>2922317</v>
      </c>
      <c r="AN319" s="705">
        <v>1320070</v>
      </c>
      <c r="AO319" s="705">
        <v>488915</v>
      </c>
      <c r="AP319" s="705">
        <v>14754471</v>
      </c>
      <c r="AQ319" s="705">
        <v>13413156</v>
      </c>
      <c r="AR319" s="705">
        <v>3790806</v>
      </c>
      <c r="AS319" s="705">
        <v>1404002</v>
      </c>
      <c r="AT319" s="705">
        <v>106720491</v>
      </c>
      <c r="AU319" s="705">
        <f t="shared" si="22"/>
        <v>106720491</v>
      </c>
      <c r="AV319" s="705">
        <f t="shared" si="23"/>
        <v>125946058</v>
      </c>
    </row>
    <row r="320" spans="2:48" hidden="1">
      <c r="B320" t="s">
        <v>535</v>
      </c>
      <c r="C320" t="s">
        <v>122</v>
      </c>
      <c r="D320" t="s">
        <v>664</v>
      </c>
      <c r="E320" t="s">
        <v>664</v>
      </c>
      <c r="F320" s="705">
        <v>1</v>
      </c>
      <c r="G320" s="705">
        <v>131</v>
      </c>
      <c r="H320" s="705">
        <v>412</v>
      </c>
      <c r="I320" s="705">
        <v>39760</v>
      </c>
      <c r="J320" s="705">
        <v>36145</v>
      </c>
      <c r="K320">
        <v>83</v>
      </c>
      <c r="L320" s="705">
        <v>5802</v>
      </c>
      <c r="M320" s="705">
        <v>5275</v>
      </c>
      <c r="N320" s="705">
        <v>3112</v>
      </c>
      <c r="O320" s="705">
        <v>1153</v>
      </c>
      <c r="P320" s="705">
        <v>621</v>
      </c>
      <c r="Q320" s="705">
        <v>230</v>
      </c>
      <c r="R320" s="705">
        <v>4755</v>
      </c>
      <c r="S320" s="705">
        <v>4322</v>
      </c>
      <c r="T320" s="705">
        <v>0</v>
      </c>
      <c r="U320" s="705">
        <v>0</v>
      </c>
      <c r="V320" s="705">
        <v>47125</v>
      </c>
      <c r="W320" s="705">
        <f t="shared" si="16"/>
        <v>47125</v>
      </c>
      <c r="X320" s="705">
        <f t="shared" si="17"/>
        <v>54050</v>
      </c>
      <c r="Y320" s="705"/>
      <c r="AA320" t="s">
        <v>120</v>
      </c>
      <c r="AB320" t="s">
        <v>584</v>
      </c>
      <c r="AC320" s="705" t="s">
        <v>669</v>
      </c>
      <c r="AD320" s="705">
        <v>1</v>
      </c>
      <c r="AE320" s="705">
        <v>61</v>
      </c>
      <c r="AF320" s="705">
        <v>312</v>
      </c>
      <c r="AG320" s="705">
        <v>12739</v>
      </c>
      <c r="AH320" s="705">
        <v>11581</v>
      </c>
      <c r="AI320" s="706">
        <v>78</v>
      </c>
      <c r="AJ320" s="705">
        <v>1758</v>
      </c>
      <c r="AK320" s="705">
        <v>1598</v>
      </c>
      <c r="AL320" s="705">
        <v>1494</v>
      </c>
      <c r="AM320" s="705">
        <v>553</v>
      </c>
      <c r="AN320" s="705">
        <v>473</v>
      </c>
      <c r="AO320" s="705">
        <v>175</v>
      </c>
      <c r="AP320" s="705">
        <v>2646</v>
      </c>
      <c r="AQ320" s="705">
        <v>2205</v>
      </c>
      <c r="AR320" s="705">
        <v>0</v>
      </c>
      <c r="AS320" s="705">
        <v>0</v>
      </c>
      <c r="AT320" s="705">
        <v>16112</v>
      </c>
      <c r="AU320" s="705">
        <f t="shared" si="22"/>
        <v>16112</v>
      </c>
      <c r="AV320" s="705">
        <f t="shared" si="23"/>
        <v>19110</v>
      </c>
    </row>
    <row r="321" spans="2:48" hidden="1">
      <c r="B321" t="s">
        <v>535</v>
      </c>
      <c r="C321" t="s">
        <v>122</v>
      </c>
      <c r="D321" t="s">
        <v>582</v>
      </c>
      <c r="E321" t="s">
        <v>582</v>
      </c>
      <c r="F321">
        <v>11</v>
      </c>
      <c r="G321" s="705">
        <v>1044</v>
      </c>
      <c r="H321" s="705">
        <v>4501</v>
      </c>
      <c r="I321" s="705">
        <v>264368</v>
      </c>
      <c r="J321" s="705">
        <v>240334</v>
      </c>
      <c r="K321">
        <v>81</v>
      </c>
      <c r="L321" s="705">
        <v>68190</v>
      </c>
      <c r="M321" s="705">
        <v>54323</v>
      </c>
      <c r="N321" s="705">
        <v>22746</v>
      </c>
      <c r="O321" s="705">
        <v>8424</v>
      </c>
      <c r="P321" s="705">
        <v>5076</v>
      </c>
      <c r="Q321" s="705">
        <v>1880</v>
      </c>
      <c r="R321" s="705">
        <v>47653</v>
      </c>
      <c r="S321" s="705">
        <v>43321</v>
      </c>
      <c r="T321" s="705">
        <v>15198</v>
      </c>
      <c r="U321" s="705">
        <v>5629</v>
      </c>
      <c r="V321" s="705">
        <v>353912</v>
      </c>
      <c r="W321" s="705">
        <f t="shared" si="16"/>
        <v>353911</v>
      </c>
      <c r="X321" s="705">
        <f t="shared" si="17"/>
        <v>423231</v>
      </c>
      <c r="Y321" s="705"/>
      <c r="AA321" t="s">
        <v>120</v>
      </c>
      <c r="AB321" t="s">
        <v>584</v>
      </c>
      <c r="AC321" s="705" t="s">
        <v>665</v>
      </c>
      <c r="AD321" s="705">
        <v>2</v>
      </c>
      <c r="AE321" s="705">
        <v>225</v>
      </c>
      <c r="AF321" s="705">
        <v>683</v>
      </c>
      <c r="AG321" s="705">
        <v>49004</v>
      </c>
      <c r="AH321" s="705">
        <v>44549</v>
      </c>
      <c r="AI321" s="706">
        <v>76</v>
      </c>
      <c r="AJ321" s="705">
        <v>13211</v>
      </c>
      <c r="AK321" s="705">
        <v>12010</v>
      </c>
      <c r="AL321" s="705">
        <v>2746</v>
      </c>
      <c r="AM321" s="705">
        <v>1017</v>
      </c>
      <c r="AN321" s="705">
        <v>945</v>
      </c>
      <c r="AO321" s="705">
        <v>350</v>
      </c>
      <c r="AP321" s="705">
        <v>9682</v>
      </c>
      <c r="AQ321" s="705">
        <v>8802</v>
      </c>
      <c r="AR321" s="705">
        <v>2309</v>
      </c>
      <c r="AS321" s="705">
        <v>855</v>
      </c>
      <c r="AT321" s="705">
        <v>67584</v>
      </c>
      <c r="AU321" s="705">
        <f t="shared" si="22"/>
        <v>67583</v>
      </c>
      <c r="AV321" s="705">
        <f t="shared" si="23"/>
        <v>77897</v>
      </c>
    </row>
    <row r="322" spans="2:48" hidden="1">
      <c r="B322" t="s">
        <v>535</v>
      </c>
      <c r="C322" t="s">
        <v>122</v>
      </c>
      <c r="D322" t="s">
        <v>228</v>
      </c>
      <c r="E322" t="s">
        <v>228</v>
      </c>
      <c r="F322">
        <v>55</v>
      </c>
      <c r="G322" s="705">
        <v>5648</v>
      </c>
      <c r="H322" s="705">
        <v>22820</v>
      </c>
      <c r="I322" s="705">
        <v>1580256</v>
      </c>
      <c r="J322" s="705">
        <v>585280</v>
      </c>
      <c r="K322">
        <v>100</v>
      </c>
      <c r="L322" s="705">
        <v>281621</v>
      </c>
      <c r="M322" s="705">
        <v>190615</v>
      </c>
      <c r="N322" s="705">
        <v>125574</v>
      </c>
      <c r="O322" s="705">
        <v>46509</v>
      </c>
      <c r="P322" s="705">
        <v>1479</v>
      </c>
      <c r="Q322">
        <v>548</v>
      </c>
      <c r="R322" s="705">
        <v>425127</v>
      </c>
      <c r="S322" s="705">
        <v>157454</v>
      </c>
      <c r="T322" s="705">
        <v>2774</v>
      </c>
      <c r="U322" s="705">
        <v>1027</v>
      </c>
      <c r="V322" s="705">
        <v>981434</v>
      </c>
      <c r="W322" s="705">
        <f t="shared" si="16"/>
        <v>981433</v>
      </c>
      <c r="X322" s="705">
        <f t="shared" si="17"/>
        <v>2416831</v>
      </c>
      <c r="Y322" s="705"/>
      <c r="AA322" t="s">
        <v>120</v>
      </c>
      <c r="AB322" t="s">
        <v>669</v>
      </c>
      <c r="AC322" s="705" t="s">
        <v>228</v>
      </c>
      <c r="AD322" s="705">
        <v>6</v>
      </c>
      <c r="AE322" s="705">
        <v>672</v>
      </c>
      <c r="AF322" s="705">
        <v>2086</v>
      </c>
      <c r="AG322" s="705">
        <v>146518</v>
      </c>
      <c r="AH322" s="705">
        <v>122099</v>
      </c>
      <c r="AI322" s="706">
        <v>58</v>
      </c>
      <c r="AJ322" s="705">
        <v>6940</v>
      </c>
      <c r="AK322" s="705">
        <v>3961</v>
      </c>
      <c r="AL322" s="705">
        <v>11845</v>
      </c>
      <c r="AM322" s="705">
        <v>4387</v>
      </c>
      <c r="AN322" s="705">
        <v>1404</v>
      </c>
      <c r="AO322" s="705">
        <v>520</v>
      </c>
      <c r="AP322" s="705">
        <v>55040</v>
      </c>
      <c r="AQ322" s="705">
        <v>20385</v>
      </c>
      <c r="AR322" s="705">
        <v>5290</v>
      </c>
      <c r="AS322" s="705">
        <v>1959</v>
      </c>
      <c r="AT322" s="705">
        <v>153311</v>
      </c>
      <c r="AU322" s="705">
        <f t="shared" si="22"/>
        <v>153311</v>
      </c>
      <c r="AV322" s="705">
        <f t="shared" si="23"/>
        <v>227037</v>
      </c>
    </row>
    <row r="323" spans="2:48" hidden="1">
      <c r="B323" t="s">
        <v>535</v>
      </c>
      <c r="C323" t="s">
        <v>122</v>
      </c>
      <c r="D323" t="s">
        <v>228</v>
      </c>
      <c r="E323" t="s">
        <v>665</v>
      </c>
      <c r="F323">
        <v>4</v>
      </c>
      <c r="G323" s="705">
        <v>336</v>
      </c>
      <c r="H323" s="705">
        <v>1634</v>
      </c>
      <c r="I323" s="705">
        <v>82303</v>
      </c>
      <c r="J323" s="705">
        <v>30483</v>
      </c>
      <c r="K323">
        <v>100</v>
      </c>
      <c r="L323" s="705">
        <v>9952</v>
      </c>
      <c r="M323" s="705">
        <v>6075</v>
      </c>
      <c r="N323" s="705">
        <v>6719</v>
      </c>
      <c r="O323" s="705">
        <v>2488</v>
      </c>
      <c r="P323" s="705">
        <v>0</v>
      </c>
      <c r="Q323" s="705">
        <v>0</v>
      </c>
      <c r="R323" s="705">
        <v>32438</v>
      </c>
      <c r="S323" s="705">
        <v>29489</v>
      </c>
      <c r="T323" s="705">
        <v>4622</v>
      </c>
      <c r="U323" s="705">
        <v>1712</v>
      </c>
      <c r="V323" s="705">
        <v>70247</v>
      </c>
      <c r="W323" s="705">
        <f t="shared" si="16"/>
        <v>70247</v>
      </c>
      <c r="X323" s="705">
        <f t="shared" si="17"/>
        <v>136034</v>
      </c>
      <c r="Y323" s="705"/>
      <c r="AA323" t="s">
        <v>120</v>
      </c>
      <c r="AB323" t="s">
        <v>669</v>
      </c>
      <c r="AC323" s="705" t="s">
        <v>669</v>
      </c>
      <c r="AD323" s="705">
        <v>106</v>
      </c>
      <c r="AE323" s="705">
        <v>11593</v>
      </c>
      <c r="AF323" s="705">
        <v>36450</v>
      </c>
      <c r="AG323" s="705">
        <v>2581587</v>
      </c>
      <c r="AH323" s="705">
        <v>2151322</v>
      </c>
      <c r="AI323" s="706">
        <v>62</v>
      </c>
      <c r="AJ323" s="705">
        <v>311060</v>
      </c>
      <c r="AK323" s="705">
        <v>240732</v>
      </c>
      <c r="AL323" s="705">
        <v>238243</v>
      </c>
      <c r="AM323" s="705">
        <v>88238</v>
      </c>
      <c r="AN323" s="705">
        <v>48267</v>
      </c>
      <c r="AO323" s="705">
        <v>17877</v>
      </c>
      <c r="AP323" s="705">
        <v>595376</v>
      </c>
      <c r="AQ323" s="705">
        <v>496147</v>
      </c>
      <c r="AR323" s="705">
        <v>267934</v>
      </c>
      <c r="AS323" s="705">
        <v>99235</v>
      </c>
      <c r="AT323" s="705">
        <v>3093551</v>
      </c>
      <c r="AU323" s="705">
        <f t="shared" si="22"/>
        <v>3093551</v>
      </c>
      <c r="AV323" s="705">
        <f t="shared" si="23"/>
        <v>4042467</v>
      </c>
    </row>
    <row r="324" spans="2:48" hidden="1">
      <c r="B324" t="s">
        <v>535</v>
      </c>
      <c r="C324" t="s">
        <v>122</v>
      </c>
      <c r="D324" t="s">
        <v>583</v>
      </c>
      <c r="E324" t="s">
        <v>674</v>
      </c>
      <c r="F324">
        <v>1</v>
      </c>
      <c r="G324">
        <v>109</v>
      </c>
      <c r="H324" s="705">
        <v>429</v>
      </c>
      <c r="I324" s="705">
        <v>29253</v>
      </c>
      <c r="J324" s="705">
        <v>26594</v>
      </c>
      <c r="K324">
        <v>65</v>
      </c>
      <c r="L324" s="705">
        <v>6696</v>
      </c>
      <c r="M324" s="705">
        <v>6087</v>
      </c>
      <c r="N324" s="705">
        <v>2513</v>
      </c>
      <c r="O324" s="705">
        <v>931</v>
      </c>
      <c r="P324" s="705">
        <v>621</v>
      </c>
      <c r="Q324" s="705">
        <v>230</v>
      </c>
      <c r="R324" s="705">
        <v>7509</v>
      </c>
      <c r="S324" s="705">
        <v>6826</v>
      </c>
      <c r="T324" s="705">
        <v>0</v>
      </c>
      <c r="U324">
        <v>0</v>
      </c>
      <c r="V324" s="705">
        <v>40668</v>
      </c>
      <c r="W324" s="705">
        <f t="shared" si="16"/>
        <v>40668</v>
      </c>
      <c r="X324" s="705">
        <f t="shared" si="17"/>
        <v>46592</v>
      </c>
      <c r="Y324" s="705"/>
      <c r="AA324" t="s">
        <v>120</v>
      </c>
      <c r="AB324" t="s">
        <v>667</v>
      </c>
      <c r="AC324" s="705" t="s">
        <v>667</v>
      </c>
      <c r="AD324" s="705">
        <v>15</v>
      </c>
      <c r="AE324" s="705">
        <v>1540</v>
      </c>
      <c r="AF324" s="705">
        <v>5102</v>
      </c>
      <c r="AG324" s="705">
        <v>312086</v>
      </c>
      <c r="AH324" s="705">
        <v>283714</v>
      </c>
      <c r="AI324" s="706">
        <v>61</v>
      </c>
      <c r="AJ324" s="705">
        <v>64238</v>
      </c>
      <c r="AK324" s="705">
        <v>53530</v>
      </c>
      <c r="AL324" s="705">
        <v>33540</v>
      </c>
      <c r="AM324" s="705">
        <v>12422</v>
      </c>
      <c r="AN324" s="705">
        <v>5535</v>
      </c>
      <c r="AO324" s="705">
        <v>2050</v>
      </c>
      <c r="AP324" s="705">
        <v>84559</v>
      </c>
      <c r="AQ324" s="705">
        <v>76872</v>
      </c>
      <c r="AR324" s="705">
        <v>32458</v>
      </c>
      <c r="AS324" s="705">
        <v>12022</v>
      </c>
      <c r="AT324" s="705">
        <v>440609</v>
      </c>
      <c r="AU324" s="705">
        <f t="shared" si="22"/>
        <v>440610</v>
      </c>
      <c r="AV324" s="705">
        <f t="shared" si="23"/>
        <v>532416</v>
      </c>
    </row>
    <row r="325" spans="2:48" hidden="1">
      <c r="B325" t="s">
        <v>535</v>
      </c>
      <c r="C325" t="s">
        <v>122</v>
      </c>
      <c r="D325" t="s">
        <v>583</v>
      </c>
      <c r="E325" t="s">
        <v>664</v>
      </c>
      <c r="F325">
        <v>1</v>
      </c>
      <c r="G325" s="705">
        <v>151</v>
      </c>
      <c r="H325" s="705">
        <v>400</v>
      </c>
      <c r="I325" s="705">
        <v>40084</v>
      </c>
      <c r="J325" s="705">
        <v>36440</v>
      </c>
      <c r="K325">
        <v>70</v>
      </c>
      <c r="L325" s="705">
        <v>9873</v>
      </c>
      <c r="M325" s="705">
        <v>8975</v>
      </c>
      <c r="N325" s="705">
        <v>1844</v>
      </c>
      <c r="O325" s="705">
        <v>683</v>
      </c>
      <c r="P325" s="705">
        <v>621</v>
      </c>
      <c r="Q325" s="705">
        <v>230</v>
      </c>
      <c r="R325" s="705">
        <v>5127</v>
      </c>
      <c r="S325" s="705">
        <v>4661</v>
      </c>
      <c r="T325" s="705">
        <v>3035</v>
      </c>
      <c r="U325" s="705">
        <v>1124</v>
      </c>
      <c r="V325" s="705">
        <v>52113</v>
      </c>
      <c r="W325" s="705">
        <f t="shared" si="16"/>
        <v>52113</v>
      </c>
      <c r="X325" s="705">
        <f t="shared" si="17"/>
        <v>60584</v>
      </c>
      <c r="Y325" s="705"/>
      <c r="AA325" t="s">
        <v>120</v>
      </c>
      <c r="AB325" t="s">
        <v>671</v>
      </c>
      <c r="AC325" s="705" t="s">
        <v>228</v>
      </c>
      <c r="AD325" s="705">
        <v>2</v>
      </c>
      <c r="AE325" s="705">
        <v>426</v>
      </c>
      <c r="AF325" s="705">
        <v>687</v>
      </c>
      <c r="AG325" s="705">
        <v>102751</v>
      </c>
      <c r="AH325" s="705">
        <v>93410</v>
      </c>
      <c r="AI325" s="706">
        <v>45</v>
      </c>
      <c r="AJ325" s="705">
        <v>11596</v>
      </c>
      <c r="AK325" s="705">
        <v>4295</v>
      </c>
      <c r="AL325" s="705">
        <v>10150</v>
      </c>
      <c r="AM325" s="705">
        <v>3759</v>
      </c>
      <c r="AN325" s="705">
        <v>0</v>
      </c>
      <c r="AO325" s="705">
        <v>0</v>
      </c>
      <c r="AP325" s="705">
        <v>22498</v>
      </c>
      <c r="AQ325" s="705">
        <v>8333</v>
      </c>
      <c r="AR325" s="705">
        <v>0</v>
      </c>
      <c r="AS325" s="705">
        <v>0</v>
      </c>
      <c r="AT325" s="705">
        <v>109796</v>
      </c>
      <c r="AU325" s="705">
        <f t="shared" si="22"/>
        <v>109797</v>
      </c>
      <c r="AV325" s="705">
        <f t="shared" si="23"/>
        <v>146995</v>
      </c>
    </row>
    <row r="326" spans="2:48" hidden="1">
      <c r="B326" t="s">
        <v>535</v>
      </c>
      <c r="C326" t="s">
        <v>122</v>
      </c>
      <c r="D326" t="s">
        <v>583</v>
      </c>
      <c r="E326" t="s">
        <v>228</v>
      </c>
      <c r="F326">
        <v>4</v>
      </c>
      <c r="G326" s="705">
        <v>384</v>
      </c>
      <c r="H326" s="705">
        <v>1629</v>
      </c>
      <c r="I326" s="705">
        <v>103355</v>
      </c>
      <c r="J326" s="705">
        <v>93959</v>
      </c>
      <c r="K326">
        <v>70</v>
      </c>
      <c r="L326" s="705">
        <v>20291</v>
      </c>
      <c r="M326" s="705">
        <v>17362</v>
      </c>
      <c r="N326" s="705">
        <v>7748</v>
      </c>
      <c r="O326" s="705">
        <v>2869</v>
      </c>
      <c r="P326" s="705">
        <v>2484</v>
      </c>
      <c r="Q326" s="705">
        <v>920</v>
      </c>
      <c r="R326" s="705">
        <v>21845</v>
      </c>
      <c r="S326" s="705">
        <v>8091</v>
      </c>
      <c r="T326" s="705">
        <v>0</v>
      </c>
      <c r="U326">
        <v>0</v>
      </c>
      <c r="V326" s="705">
        <v>123201</v>
      </c>
      <c r="W326" s="705">
        <f t="shared" si="16"/>
        <v>123201</v>
      </c>
      <c r="X326" s="705">
        <f t="shared" si="17"/>
        <v>155723</v>
      </c>
      <c r="Y326" s="705"/>
      <c r="AA326" t="s">
        <v>120</v>
      </c>
      <c r="AB326" t="s">
        <v>671</v>
      </c>
      <c r="AC326" s="705" t="s">
        <v>667</v>
      </c>
      <c r="AD326" s="705">
        <v>1</v>
      </c>
      <c r="AE326" s="705">
        <v>130</v>
      </c>
      <c r="AF326" s="705">
        <v>324</v>
      </c>
      <c r="AG326" s="705">
        <v>37631</v>
      </c>
      <c r="AH326" s="705">
        <v>34210</v>
      </c>
      <c r="AI326" s="706">
        <v>45</v>
      </c>
      <c r="AJ326" s="705">
        <v>6272</v>
      </c>
      <c r="AK326" s="705">
        <v>5702</v>
      </c>
      <c r="AL326" s="705">
        <v>3251</v>
      </c>
      <c r="AM326" s="705">
        <v>1204</v>
      </c>
      <c r="AN326" s="705">
        <v>621</v>
      </c>
      <c r="AO326" s="705">
        <v>230</v>
      </c>
      <c r="AP326" s="705">
        <v>8553</v>
      </c>
      <c r="AQ326" s="705">
        <v>7775</v>
      </c>
      <c r="AR326" s="705">
        <v>4110</v>
      </c>
      <c r="AS326" s="705">
        <v>1522</v>
      </c>
      <c r="AT326" s="705">
        <v>50644</v>
      </c>
      <c r="AU326" s="705">
        <f t="shared" si="22"/>
        <v>50643</v>
      </c>
      <c r="AV326" s="705">
        <f t="shared" si="23"/>
        <v>60438</v>
      </c>
    </row>
    <row r="327" spans="2:48" hidden="1">
      <c r="B327" t="s">
        <v>535</v>
      </c>
      <c r="C327" t="s">
        <v>122</v>
      </c>
      <c r="D327" t="s">
        <v>583</v>
      </c>
      <c r="E327" t="s">
        <v>583</v>
      </c>
      <c r="F327">
        <v>362</v>
      </c>
      <c r="G327" s="705">
        <v>39779</v>
      </c>
      <c r="H327" s="705">
        <v>150494</v>
      </c>
      <c r="I327" s="705">
        <v>11121685</v>
      </c>
      <c r="J327" s="705">
        <v>10110622</v>
      </c>
      <c r="K327">
        <v>77</v>
      </c>
      <c r="L327" s="705">
        <v>2131177</v>
      </c>
      <c r="M327" s="705">
        <v>1881618</v>
      </c>
      <c r="N327" s="705">
        <v>849742</v>
      </c>
      <c r="O327" s="705">
        <v>314719</v>
      </c>
      <c r="P327" s="705">
        <v>237492</v>
      </c>
      <c r="Q327" s="705">
        <v>87960</v>
      </c>
      <c r="R327" s="705">
        <v>1775252</v>
      </c>
      <c r="S327" s="705">
        <v>1613865</v>
      </c>
      <c r="T327" s="705">
        <v>706118</v>
      </c>
      <c r="U327" s="705">
        <v>261525</v>
      </c>
      <c r="V327" s="705">
        <v>14270310</v>
      </c>
      <c r="W327" s="705">
        <f t="shared" ref="W327:W390" si="24">SUM(ABS(J327),ABS(M327),ABS(O327),ABS(Q327),ABS(S327),ABS(U327))</f>
        <v>14270309</v>
      </c>
      <c r="X327" s="705">
        <f t="shared" ref="X327:X390" si="25">SUM(ABS(I327),ABS(N327),ABS(P327),ABS(R327),ABS(T327),ABS(L327))</f>
        <v>16821466</v>
      </c>
      <c r="Y327" s="705"/>
      <c r="AA327" t="s">
        <v>120</v>
      </c>
      <c r="AB327" t="s">
        <v>671</v>
      </c>
      <c r="AC327" s="705" t="s">
        <v>671</v>
      </c>
      <c r="AD327" s="705">
        <v>112</v>
      </c>
      <c r="AE327" s="705">
        <v>12666</v>
      </c>
      <c r="AF327" s="705">
        <v>38122</v>
      </c>
      <c r="AG327" s="705">
        <v>2816696</v>
      </c>
      <c r="AH327" s="705">
        <v>2560633</v>
      </c>
      <c r="AI327" s="706">
        <v>58</v>
      </c>
      <c r="AJ327" s="705">
        <v>423138</v>
      </c>
      <c r="AK327" s="705">
        <v>368199</v>
      </c>
      <c r="AL327" s="705">
        <v>254763</v>
      </c>
      <c r="AM327" s="705">
        <v>94357</v>
      </c>
      <c r="AN327" s="705">
        <v>42552</v>
      </c>
      <c r="AO327" s="705">
        <v>15760</v>
      </c>
      <c r="AP327" s="705">
        <v>673630</v>
      </c>
      <c r="AQ327" s="705">
        <v>612391</v>
      </c>
      <c r="AR327" s="705">
        <v>228808</v>
      </c>
      <c r="AS327" s="705">
        <v>84744</v>
      </c>
      <c r="AT327" s="705">
        <v>3736083</v>
      </c>
      <c r="AU327" s="705">
        <f t="shared" si="22"/>
        <v>3736084</v>
      </c>
      <c r="AV327" s="705">
        <f t="shared" si="23"/>
        <v>4439587</v>
      </c>
    </row>
    <row r="328" spans="2:48" hidden="1">
      <c r="B328" t="s">
        <v>535</v>
      </c>
      <c r="C328" t="s">
        <v>122</v>
      </c>
      <c r="D328" t="s">
        <v>583</v>
      </c>
      <c r="E328" t="s">
        <v>666</v>
      </c>
      <c r="F328">
        <v>1</v>
      </c>
      <c r="G328">
        <v>81</v>
      </c>
      <c r="H328" s="705">
        <v>414</v>
      </c>
      <c r="I328" s="705">
        <v>20507</v>
      </c>
      <c r="J328" s="705">
        <v>18643</v>
      </c>
      <c r="K328">
        <v>95</v>
      </c>
      <c r="L328" s="705">
        <v>6843</v>
      </c>
      <c r="M328" s="705">
        <v>6221</v>
      </c>
      <c r="N328" s="705">
        <v>1729</v>
      </c>
      <c r="O328" s="705">
        <v>640</v>
      </c>
      <c r="P328" s="705">
        <v>621</v>
      </c>
      <c r="Q328" s="705">
        <v>230</v>
      </c>
      <c r="R328" s="705">
        <v>3868</v>
      </c>
      <c r="S328" s="705">
        <v>3517</v>
      </c>
      <c r="T328" s="705">
        <v>0</v>
      </c>
      <c r="U328">
        <v>0</v>
      </c>
      <c r="V328" s="705">
        <v>29251</v>
      </c>
      <c r="W328" s="705">
        <f t="shared" si="24"/>
        <v>29251</v>
      </c>
      <c r="X328" s="705">
        <f t="shared" si="25"/>
        <v>33568</v>
      </c>
      <c r="Y328" s="705"/>
      <c r="AA328" t="s">
        <v>120</v>
      </c>
      <c r="AB328" t="s">
        <v>665</v>
      </c>
      <c r="AC328" s="705" t="s">
        <v>664</v>
      </c>
      <c r="AD328" s="705">
        <v>2</v>
      </c>
      <c r="AE328" s="705">
        <v>185</v>
      </c>
      <c r="AF328" s="705">
        <v>650</v>
      </c>
      <c r="AG328" s="705">
        <v>41373</v>
      </c>
      <c r="AH328" s="705">
        <v>37612</v>
      </c>
      <c r="AI328" s="706">
        <v>63</v>
      </c>
      <c r="AJ328" s="705">
        <v>5642</v>
      </c>
      <c r="AK328" s="705">
        <v>3781</v>
      </c>
      <c r="AL328" s="705">
        <v>4500</v>
      </c>
      <c r="AM328" s="705">
        <v>1667</v>
      </c>
      <c r="AN328" s="705">
        <v>351</v>
      </c>
      <c r="AO328" s="705">
        <v>130</v>
      </c>
      <c r="AP328" s="705">
        <v>7103</v>
      </c>
      <c r="AQ328" s="705">
        <v>6457</v>
      </c>
      <c r="AR328" s="705">
        <v>0</v>
      </c>
      <c r="AS328" s="705">
        <v>0</v>
      </c>
      <c r="AT328" s="705">
        <v>49646</v>
      </c>
      <c r="AU328" s="705">
        <f t="shared" si="22"/>
        <v>49647</v>
      </c>
      <c r="AV328" s="705">
        <f t="shared" si="23"/>
        <v>58969</v>
      </c>
    </row>
    <row r="329" spans="2:48" hidden="1">
      <c r="B329" t="s">
        <v>535</v>
      </c>
      <c r="C329" t="s">
        <v>122</v>
      </c>
      <c r="D329" t="s">
        <v>583</v>
      </c>
      <c r="E329" t="s">
        <v>665</v>
      </c>
      <c r="F329">
        <v>1</v>
      </c>
      <c r="G329" s="705">
        <v>97</v>
      </c>
      <c r="H329" s="705">
        <v>384</v>
      </c>
      <c r="I329" s="705">
        <v>18177</v>
      </c>
      <c r="J329" s="705">
        <v>16524</v>
      </c>
      <c r="K329">
        <v>79</v>
      </c>
      <c r="L329" s="705">
        <v>5049</v>
      </c>
      <c r="M329" s="705">
        <v>4590</v>
      </c>
      <c r="N329" s="705">
        <v>2354</v>
      </c>
      <c r="O329" s="705">
        <v>872</v>
      </c>
      <c r="P329" s="705">
        <v>621</v>
      </c>
      <c r="Q329" s="705">
        <v>230</v>
      </c>
      <c r="R329" s="705">
        <v>6281</v>
      </c>
      <c r="S329" s="705">
        <v>5710</v>
      </c>
      <c r="T329" s="705">
        <v>4612</v>
      </c>
      <c r="U329" s="705">
        <v>1708</v>
      </c>
      <c r="V329" s="705">
        <v>29634</v>
      </c>
      <c r="W329" s="705">
        <f t="shared" si="24"/>
        <v>29634</v>
      </c>
      <c r="X329" s="705">
        <f t="shared" si="25"/>
        <v>37094</v>
      </c>
      <c r="Y329" s="705"/>
      <c r="AA329" t="s">
        <v>120</v>
      </c>
      <c r="AB329" t="s">
        <v>665</v>
      </c>
      <c r="AC329" s="705" t="s">
        <v>228</v>
      </c>
      <c r="AD329" s="705">
        <v>70</v>
      </c>
      <c r="AE329" s="705">
        <v>7527</v>
      </c>
      <c r="AF329" s="705">
        <v>24479</v>
      </c>
      <c r="AG329" s="705">
        <v>1737672</v>
      </c>
      <c r="AH329" s="705">
        <v>1579702</v>
      </c>
      <c r="AI329" s="706">
        <v>56</v>
      </c>
      <c r="AJ329" s="705">
        <v>238415</v>
      </c>
      <c r="AK329" s="705">
        <v>148918</v>
      </c>
      <c r="AL329" s="705">
        <v>159844</v>
      </c>
      <c r="AM329" s="705">
        <v>59201</v>
      </c>
      <c r="AN329" s="705">
        <v>4914</v>
      </c>
      <c r="AO329" s="705">
        <v>1820</v>
      </c>
      <c r="AP329" s="705">
        <v>544732</v>
      </c>
      <c r="AQ329" s="705">
        <v>201752</v>
      </c>
      <c r="AR329" s="705">
        <v>9664</v>
      </c>
      <c r="AS329" s="705">
        <v>3579</v>
      </c>
      <c r="AT329" s="705">
        <v>1994974</v>
      </c>
      <c r="AU329" s="705">
        <f t="shared" si="22"/>
        <v>1994972</v>
      </c>
      <c r="AV329" s="705">
        <f t="shared" si="23"/>
        <v>2695241</v>
      </c>
    </row>
    <row r="330" spans="2:48" hidden="1">
      <c r="B330" t="s">
        <v>535</v>
      </c>
      <c r="C330" t="s">
        <v>122</v>
      </c>
      <c r="D330" t="s">
        <v>666</v>
      </c>
      <c r="E330" t="s">
        <v>583</v>
      </c>
      <c r="F330">
        <v>1</v>
      </c>
      <c r="G330" s="705">
        <v>82</v>
      </c>
      <c r="H330" s="705">
        <v>389</v>
      </c>
      <c r="I330" s="705">
        <v>18843</v>
      </c>
      <c r="J330" s="705">
        <v>17130</v>
      </c>
      <c r="K330">
        <v>65</v>
      </c>
      <c r="L330" s="705">
        <v>4536</v>
      </c>
      <c r="M330" s="705">
        <v>4124</v>
      </c>
      <c r="N330" s="705">
        <v>1629</v>
      </c>
      <c r="O330" s="705">
        <v>603</v>
      </c>
      <c r="P330" s="705">
        <v>351</v>
      </c>
      <c r="Q330" s="705">
        <v>130</v>
      </c>
      <c r="R330" s="705">
        <v>4165</v>
      </c>
      <c r="S330" s="705">
        <v>3787</v>
      </c>
      <c r="T330" s="705">
        <v>2186</v>
      </c>
      <c r="U330">
        <v>810</v>
      </c>
      <c r="V330" s="705">
        <v>26584</v>
      </c>
      <c r="W330" s="705">
        <f t="shared" si="24"/>
        <v>26584</v>
      </c>
      <c r="X330" s="705">
        <f t="shared" si="25"/>
        <v>31710</v>
      </c>
      <c r="Y330" s="705"/>
      <c r="AA330" t="s">
        <v>120</v>
      </c>
      <c r="AB330" t="s">
        <v>665</v>
      </c>
      <c r="AC330" s="705" t="s">
        <v>583</v>
      </c>
      <c r="AD330" s="705">
        <v>6</v>
      </c>
      <c r="AE330" s="705">
        <v>780</v>
      </c>
      <c r="AF330" s="705">
        <v>2118</v>
      </c>
      <c r="AG330" s="705">
        <v>192499</v>
      </c>
      <c r="AH330" s="705">
        <v>174999</v>
      </c>
      <c r="AI330" s="706">
        <v>63</v>
      </c>
      <c r="AJ330" s="705">
        <v>33559</v>
      </c>
      <c r="AK330" s="705">
        <v>26850</v>
      </c>
      <c r="AL330" s="705">
        <v>15222</v>
      </c>
      <c r="AM330" s="705">
        <v>5638</v>
      </c>
      <c r="AN330" s="705">
        <v>2295</v>
      </c>
      <c r="AO330" s="705">
        <v>850</v>
      </c>
      <c r="AP330" s="705">
        <v>40240</v>
      </c>
      <c r="AQ330" s="705">
        <v>36582</v>
      </c>
      <c r="AR330" s="705">
        <v>12330</v>
      </c>
      <c r="AS330" s="705">
        <v>4567</v>
      </c>
      <c r="AT330" s="705">
        <v>249486</v>
      </c>
      <c r="AU330" s="705">
        <f t="shared" si="22"/>
        <v>249486</v>
      </c>
      <c r="AV330" s="705">
        <f t="shared" si="23"/>
        <v>296145</v>
      </c>
    </row>
    <row r="331" spans="2:48" hidden="1">
      <c r="B331" t="s">
        <v>535</v>
      </c>
      <c r="C331" t="s">
        <v>122</v>
      </c>
      <c r="D331" t="s">
        <v>666</v>
      </c>
      <c r="E331" t="s">
        <v>666</v>
      </c>
      <c r="F331" s="705">
        <v>9</v>
      </c>
      <c r="G331" s="705">
        <v>819</v>
      </c>
      <c r="H331" s="705">
        <v>3692</v>
      </c>
      <c r="I331" s="705">
        <v>219412</v>
      </c>
      <c r="J331" s="705">
        <v>199466</v>
      </c>
      <c r="K331">
        <v>53</v>
      </c>
      <c r="L331" s="705">
        <v>29569</v>
      </c>
      <c r="M331" s="705">
        <v>26003</v>
      </c>
      <c r="N331" s="705">
        <v>16643</v>
      </c>
      <c r="O331" s="705">
        <v>6164</v>
      </c>
      <c r="P331" s="705">
        <v>2808</v>
      </c>
      <c r="Q331" s="705">
        <v>1040</v>
      </c>
      <c r="R331" s="705">
        <v>64674</v>
      </c>
      <c r="S331" s="705">
        <v>58795</v>
      </c>
      <c r="T331" s="705">
        <v>18914</v>
      </c>
      <c r="U331" s="705">
        <v>7005</v>
      </c>
      <c r="V331" s="705">
        <v>298473</v>
      </c>
      <c r="W331" s="705">
        <f t="shared" si="24"/>
        <v>298473</v>
      </c>
      <c r="X331" s="705">
        <f t="shared" si="25"/>
        <v>352020</v>
      </c>
      <c r="Y331" s="705"/>
      <c r="AA331" t="s">
        <v>120</v>
      </c>
      <c r="AB331" t="s">
        <v>665</v>
      </c>
      <c r="AC331" s="705" t="s">
        <v>669</v>
      </c>
      <c r="AD331" s="705">
        <v>1</v>
      </c>
      <c r="AE331" s="705">
        <v>340</v>
      </c>
      <c r="AF331" s="705">
        <v>346</v>
      </c>
      <c r="AG331" s="705">
        <v>82191</v>
      </c>
      <c r="AH331" s="705">
        <v>74719</v>
      </c>
      <c r="AI331" s="706">
        <v>65</v>
      </c>
      <c r="AJ331" s="705">
        <v>7514</v>
      </c>
      <c r="AK331" s="705">
        <v>6831</v>
      </c>
      <c r="AL331" s="705">
        <v>7824</v>
      </c>
      <c r="AM331" s="705">
        <v>2898</v>
      </c>
      <c r="AN331" s="705">
        <v>1323</v>
      </c>
      <c r="AO331" s="705">
        <v>490</v>
      </c>
      <c r="AP331" s="705">
        <v>11495</v>
      </c>
      <c r="AQ331" s="705">
        <v>9579</v>
      </c>
      <c r="AR331" s="705">
        <v>7193</v>
      </c>
      <c r="AS331" s="705">
        <v>2664</v>
      </c>
      <c r="AT331" s="705">
        <v>97181</v>
      </c>
      <c r="AU331" s="705">
        <f t="shared" si="22"/>
        <v>97181</v>
      </c>
      <c r="AV331" s="705">
        <f t="shared" si="23"/>
        <v>117540</v>
      </c>
    </row>
    <row r="332" spans="2:48" hidden="1">
      <c r="B332" t="s">
        <v>535</v>
      </c>
      <c r="C332" t="s">
        <v>122</v>
      </c>
      <c r="D332" t="s">
        <v>584</v>
      </c>
      <c r="E332" t="s">
        <v>584</v>
      </c>
      <c r="F332">
        <v>2</v>
      </c>
      <c r="G332">
        <v>319</v>
      </c>
      <c r="H332">
        <v>836</v>
      </c>
      <c r="I332" s="705">
        <v>91334</v>
      </c>
      <c r="J332" s="705">
        <v>83031</v>
      </c>
      <c r="K332">
        <v>72</v>
      </c>
      <c r="L332" s="705">
        <v>16291</v>
      </c>
      <c r="M332" s="705">
        <v>14144</v>
      </c>
      <c r="N332" s="705">
        <v>6626</v>
      </c>
      <c r="O332" s="705">
        <v>2454</v>
      </c>
      <c r="P332" s="705">
        <v>945</v>
      </c>
      <c r="Q332" s="705">
        <v>350</v>
      </c>
      <c r="R332" s="705">
        <v>15066</v>
      </c>
      <c r="S332" s="705">
        <v>13697</v>
      </c>
      <c r="T332" s="705">
        <v>2858</v>
      </c>
      <c r="U332" s="705">
        <v>1058</v>
      </c>
      <c r="V332" s="705">
        <v>114735</v>
      </c>
      <c r="W332" s="705">
        <f t="shared" si="24"/>
        <v>114734</v>
      </c>
      <c r="X332" s="705">
        <f t="shared" si="25"/>
        <v>133120</v>
      </c>
      <c r="Y332" s="705"/>
      <c r="AA332" t="s">
        <v>120</v>
      </c>
      <c r="AB332" t="s">
        <v>665</v>
      </c>
      <c r="AC332" s="705" t="s">
        <v>665</v>
      </c>
      <c r="AD332" s="705">
        <v>2060</v>
      </c>
      <c r="AE332" s="705">
        <v>215805</v>
      </c>
      <c r="AF332" s="705">
        <v>705902</v>
      </c>
      <c r="AG332" s="705">
        <v>47045958</v>
      </c>
      <c r="AH332" s="705">
        <v>42769052</v>
      </c>
      <c r="AI332" s="706">
        <v>59</v>
      </c>
      <c r="AJ332" s="705">
        <v>6601894</v>
      </c>
      <c r="AK332" s="705">
        <v>5640473</v>
      </c>
      <c r="AL332" s="705">
        <v>4309992</v>
      </c>
      <c r="AM332" s="705">
        <v>1596293</v>
      </c>
      <c r="AN332" s="705">
        <v>838271</v>
      </c>
      <c r="AO332" s="705">
        <v>310471</v>
      </c>
      <c r="AP332" s="705">
        <v>11584255</v>
      </c>
      <c r="AQ332" s="705">
        <v>10531141</v>
      </c>
      <c r="AR332" s="705">
        <v>4640311</v>
      </c>
      <c r="AS332" s="705">
        <v>1718634</v>
      </c>
      <c r="AT332" s="705">
        <v>62566063</v>
      </c>
      <c r="AU332" s="705">
        <f t="shared" si="22"/>
        <v>62566064</v>
      </c>
      <c r="AV332" s="705">
        <f t="shared" si="23"/>
        <v>75020681</v>
      </c>
    </row>
    <row r="333" spans="2:48" hidden="1">
      <c r="B333" t="s">
        <v>535</v>
      </c>
      <c r="C333" t="s">
        <v>122</v>
      </c>
      <c r="D333" t="s">
        <v>669</v>
      </c>
      <c r="E333" t="s">
        <v>669</v>
      </c>
      <c r="F333">
        <v>6</v>
      </c>
      <c r="G333" s="705">
        <v>617</v>
      </c>
      <c r="H333" s="705">
        <v>2469</v>
      </c>
      <c r="I333" s="705">
        <v>163419</v>
      </c>
      <c r="J333" s="705">
        <v>136182</v>
      </c>
      <c r="K333">
        <v>53</v>
      </c>
      <c r="L333" s="705">
        <v>21487</v>
      </c>
      <c r="M333" s="705">
        <v>18162</v>
      </c>
      <c r="N333" s="705">
        <v>11258</v>
      </c>
      <c r="O333" s="705">
        <v>4170</v>
      </c>
      <c r="P333" s="705">
        <v>2376</v>
      </c>
      <c r="Q333" s="705">
        <v>880</v>
      </c>
      <c r="R333" s="705">
        <v>38087</v>
      </c>
      <c r="S333" s="705">
        <v>31739</v>
      </c>
      <c r="T333" s="705">
        <v>15259</v>
      </c>
      <c r="U333" s="705">
        <v>5651</v>
      </c>
      <c r="V333" s="705">
        <v>196785</v>
      </c>
      <c r="W333" s="705">
        <f t="shared" si="24"/>
        <v>196784</v>
      </c>
      <c r="X333" s="705">
        <f t="shared" si="25"/>
        <v>251886</v>
      </c>
      <c r="Y333" s="705"/>
      <c r="AA333" t="s">
        <v>120</v>
      </c>
      <c r="AB333" t="s">
        <v>665</v>
      </c>
      <c r="AC333" s="705" t="s">
        <v>722</v>
      </c>
      <c r="AD333" s="705">
        <v>2</v>
      </c>
      <c r="AE333" s="705">
        <v>236</v>
      </c>
      <c r="AF333" s="705">
        <v>665</v>
      </c>
      <c r="AG333" s="705">
        <v>48069</v>
      </c>
      <c r="AH333" s="705">
        <v>43699</v>
      </c>
      <c r="AI333" s="706">
        <v>58</v>
      </c>
      <c r="AJ333" s="705">
        <v>8327</v>
      </c>
      <c r="AK333" s="705">
        <v>7570</v>
      </c>
      <c r="AL333" s="705">
        <v>4565</v>
      </c>
      <c r="AM333" s="705">
        <v>1691</v>
      </c>
      <c r="AN333" s="705">
        <v>702</v>
      </c>
      <c r="AO333" s="705">
        <v>260</v>
      </c>
      <c r="AP333" s="705">
        <v>11835</v>
      </c>
      <c r="AQ333" s="705">
        <v>10759</v>
      </c>
      <c r="AR333" s="705">
        <v>3459</v>
      </c>
      <c r="AS333" s="705">
        <v>1281</v>
      </c>
      <c r="AT333" s="705">
        <v>65260</v>
      </c>
      <c r="AU333" s="705">
        <f t="shared" si="22"/>
        <v>65260</v>
      </c>
      <c r="AV333" s="705">
        <f t="shared" si="23"/>
        <v>76957</v>
      </c>
    </row>
    <row r="334" spans="2:48" hidden="1">
      <c r="B334" t="s">
        <v>535</v>
      </c>
      <c r="C334" t="s">
        <v>122</v>
      </c>
      <c r="D334" t="s">
        <v>671</v>
      </c>
      <c r="E334" t="s">
        <v>671</v>
      </c>
      <c r="F334">
        <v>1</v>
      </c>
      <c r="G334" s="705">
        <v>120</v>
      </c>
      <c r="H334" s="705">
        <v>407</v>
      </c>
      <c r="I334" s="705">
        <v>31820</v>
      </c>
      <c r="J334" s="705">
        <v>28927</v>
      </c>
      <c r="K334">
        <v>55</v>
      </c>
      <c r="L334" s="705">
        <v>6482</v>
      </c>
      <c r="M334" s="705">
        <v>5893</v>
      </c>
      <c r="N334" s="705">
        <v>1901</v>
      </c>
      <c r="O334" s="705">
        <v>704</v>
      </c>
      <c r="P334" s="705">
        <v>351</v>
      </c>
      <c r="Q334" s="705">
        <v>130</v>
      </c>
      <c r="R334" s="705">
        <v>5658</v>
      </c>
      <c r="S334" s="705">
        <v>5144</v>
      </c>
      <c r="T334" s="705">
        <v>2675</v>
      </c>
      <c r="U334" s="705">
        <v>991</v>
      </c>
      <c r="V334" s="705">
        <v>41788</v>
      </c>
      <c r="W334" s="705">
        <f t="shared" si="24"/>
        <v>41789</v>
      </c>
      <c r="X334" s="705">
        <f t="shared" si="25"/>
        <v>48887</v>
      </c>
      <c r="Y334" s="705"/>
      <c r="AA334" t="s">
        <v>120</v>
      </c>
      <c r="AB334" t="s">
        <v>673</v>
      </c>
      <c r="AC334" s="705" t="s">
        <v>228</v>
      </c>
      <c r="AD334" s="705">
        <v>7</v>
      </c>
      <c r="AE334" s="705">
        <v>511</v>
      </c>
      <c r="AF334" s="705">
        <v>2395</v>
      </c>
      <c r="AG334" s="705">
        <v>122201</v>
      </c>
      <c r="AH334" s="705">
        <v>111092</v>
      </c>
      <c r="AI334" s="706">
        <v>61</v>
      </c>
      <c r="AJ334" s="705">
        <v>13166</v>
      </c>
      <c r="AK334" s="705">
        <v>6449</v>
      </c>
      <c r="AL334" s="705">
        <v>10004</v>
      </c>
      <c r="AM334" s="705">
        <v>3705</v>
      </c>
      <c r="AN334" s="705">
        <v>351</v>
      </c>
      <c r="AO334" s="705">
        <v>130</v>
      </c>
      <c r="AP334" s="705">
        <v>44606</v>
      </c>
      <c r="AQ334" s="705">
        <v>16521</v>
      </c>
      <c r="AR334" s="705">
        <v>0</v>
      </c>
      <c r="AS334" s="705">
        <v>0</v>
      </c>
      <c r="AT334" s="705">
        <v>137897</v>
      </c>
      <c r="AU334" s="705">
        <f t="shared" si="22"/>
        <v>137897</v>
      </c>
      <c r="AV334" s="705">
        <f t="shared" si="23"/>
        <v>190328</v>
      </c>
    </row>
    <row r="335" spans="2:48" hidden="1">
      <c r="B335" t="s">
        <v>535</v>
      </c>
      <c r="C335" t="s">
        <v>122</v>
      </c>
      <c r="D335" t="s">
        <v>665</v>
      </c>
      <c r="E335" t="s">
        <v>228</v>
      </c>
      <c r="F335">
        <v>3</v>
      </c>
      <c r="G335" s="705">
        <v>278</v>
      </c>
      <c r="H335" s="705">
        <v>1222</v>
      </c>
      <c r="I335" s="705">
        <v>65328</v>
      </c>
      <c r="J335" s="705">
        <v>59389</v>
      </c>
      <c r="K335">
        <v>60</v>
      </c>
      <c r="L335" s="705">
        <v>15584</v>
      </c>
      <c r="M335" s="705">
        <v>5772</v>
      </c>
      <c r="N335" s="705">
        <v>3997</v>
      </c>
      <c r="O335" s="705">
        <v>1480</v>
      </c>
      <c r="P335" s="705">
        <v>0</v>
      </c>
      <c r="Q335" s="705">
        <v>0</v>
      </c>
      <c r="R335" s="705">
        <v>27980</v>
      </c>
      <c r="S335" s="705">
        <v>10363</v>
      </c>
      <c r="T335">
        <v>0</v>
      </c>
      <c r="U335">
        <v>0</v>
      </c>
      <c r="V335" s="705">
        <v>77004</v>
      </c>
      <c r="W335" s="705">
        <f t="shared" si="24"/>
        <v>77004</v>
      </c>
      <c r="X335" s="705">
        <f t="shared" si="25"/>
        <v>112889</v>
      </c>
      <c r="Y335" s="705"/>
      <c r="AA335" t="s">
        <v>120</v>
      </c>
      <c r="AB335" t="s">
        <v>673</v>
      </c>
      <c r="AC335" s="705" t="s">
        <v>583</v>
      </c>
      <c r="AD335" s="705">
        <v>1</v>
      </c>
      <c r="AE335" s="705">
        <v>211</v>
      </c>
      <c r="AF335" s="705">
        <v>348</v>
      </c>
      <c r="AG335" s="705">
        <v>57354</v>
      </c>
      <c r="AH335" s="705">
        <v>52140</v>
      </c>
      <c r="AI335" s="706">
        <v>60</v>
      </c>
      <c r="AJ335" s="705">
        <v>12745</v>
      </c>
      <c r="AK335" s="705">
        <v>11587</v>
      </c>
      <c r="AL335" s="705">
        <v>5516</v>
      </c>
      <c r="AM335" s="705">
        <v>2043</v>
      </c>
      <c r="AN335" s="705">
        <v>351</v>
      </c>
      <c r="AO335" s="705">
        <v>130</v>
      </c>
      <c r="AP335" s="705">
        <v>7309</v>
      </c>
      <c r="AQ335" s="705">
        <v>6645</v>
      </c>
      <c r="AR335" s="705">
        <v>0</v>
      </c>
      <c r="AS335" s="705">
        <v>0</v>
      </c>
      <c r="AT335" s="705">
        <v>72544</v>
      </c>
      <c r="AU335" s="705">
        <f t="shared" si="22"/>
        <v>72545</v>
      </c>
      <c r="AV335" s="705">
        <f t="shared" si="23"/>
        <v>83275</v>
      </c>
    </row>
    <row r="336" spans="2:48" hidden="1">
      <c r="B336" t="s">
        <v>535</v>
      </c>
      <c r="C336" t="s">
        <v>122</v>
      </c>
      <c r="D336" t="s">
        <v>665</v>
      </c>
      <c r="E336" t="s">
        <v>583</v>
      </c>
      <c r="F336">
        <v>1</v>
      </c>
      <c r="G336" s="705">
        <v>98</v>
      </c>
      <c r="H336" s="705">
        <v>436</v>
      </c>
      <c r="I336" s="705">
        <v>34614</v>
      </c>
      <c r="J336" s="705">
        <v>31467</v>
      </c>
      <c r="K336">
        <v>60</v>
      </c>
      <c r="L336" s="705">
        <v>0</v>
      </c>
      <c r="M336" s="705">
        <v>0</v>
      </c>
      <c r="N336" s="705">
        <v>1192</v>
      </c>
      <c r="O336" s="705">
        <v>441</v>
      </c>
      <c r="P336" s="705">
        <v>702</v>
      </c>
      <c r="Q336">
        <v>260</v>
      </c>
      <c r="R336" s="705">
        <v>4192</v>
      </c>
      <c r="S336" s="705">
        <v>3811</v>
      </c>
      <c r="T336" s="705">
        <v>1954</v>
      </c>
      <c r="U336" s="705">
        <v>724</v>
      </c>
      <c r="V336" s="705">
        <v>36704</v>
      </c>
      <c r="W336" s="705">
        <f t="shared" si="24"/>
        <v>36703</v>
      </c>
      <c r="X336" s="705">
        <f t="shared" si="25"/>
        <v>42654</v>
      </c>
      <c r="Y336" s="705"/>
      <c r="AA336" t="s">
        <v>120</v>
      </c>
      <c r="AB336" t="s">
        <v>673</v>
      </c>
      <c r="AC336" s="705" t="s">
        <v>673</v>
      </c>
      <c r="AD336" s="705">
        <v>58</v>
      </c>
      <c r="AE336" s="705">
        <v>7161</v>
      </c>
      <c r="AF336" s="705">
        <v>19843</v>
      </c>
      <c r="AG336" s="705">
        <v>1652582</v>
      </c>
      <c r="AH336" s="705">
        <v>1502347</v>
      </c>
      <c r="AI336" s="706">
        <v>61</v>
      </c>
      <c r="AJ336" s="705">
        <v>210776</v>
      </c>
      <c r="AK336" s="705">
        <v>189851</v>
      </c>
      <c r="AL336" s="705">
        <v>136702</v>
      </c>
      <c r="AM336" s="705">
        <v>50630</v>
      </c>
      <c r="AN336" s="705">
        <v>21978</v>
      </c>
      <c r="AO336" s="705">
        <v>8140</v>
      </c>
      <c r="AP336" s="705">
        <v>338806</v>
      </c>
      <c r="AQ336" s="705">
        <v>308005</v>
      </c>
      <c r="AR336" s="705">
        <v>106966</v>
      </c>
      <c r="AS336" s="705">
        <v>39617</v>
      </c>
      <c r="AT336" s="705">
        <v>2098591</v>
      </c>
      <c r="AU336" s="705">
        <f t="shared" si="22"/>
        <v>2098590</v>
      </c>
      <c r="AV336" s="705">
        <f t="shared" si="23"/>
        <v>2467810</v>
      </c>
    </row>
    <row r="337" spans="2:48" hidden="1">
      <c r="B337" t="s">
        <v>535</v>
      </c>
      <c r="C337" t="s">
        <v>122</v>
      </c>
      <c r="D337" t="s">
        <v>665</v>
      </c>
      <c r="E337" t="s">
        <v>665</v>
      </c>
      <c r="F337">
        <v>61</v>
      </c>
      <c r="G337" s="705">
        <v>6163</v>
      </c>
      <c r="H337" s="705">
        <v>25197</v>
      </c>
      <c r="I337" s="705">
        <v>1716709</v>
      </c>
      <c r="J337" s="705">
        <v>1560644</v>
      </c>
      <c r="K337">
        <v>57</v>
      </c>
      <c r="L337" s="705">
        <v>213182</v>
      </c>
      <c r="M337" s="705">
        <v>172926</v>
      </c>
      <c r="N337" s="705">
        <v>126472</v>
      </c>
      <c r="O337" s="705">
        <v>46842</v>
      </c>
      <c r="P337" s="705">
        <v>23463</v>
      </c>
      <c r="Q337" s="705">
        <v>8690</v>
      </c>
      <c r="R337" s="705">
        <v>348114</v>
      </c>
      <c r="S337" s="705">
        <v>316467</v>
      </c>
      <c r="T337" s="705">
        <v>134408</v>
      </c>
      <c r="U337" s="705">
        <v>49781</v>
      </c>
      <c r="V337" s="705">
        <v>2155350</v>
      </c>
      <c r="W337" s="705">
        <f t="shared" si="24"/>
        <v>2155350</v>
      </c>
      <c r="X337" s="705">
        <f t="shared" si="25"/>
        <v>2562348</v>
      </c>
      <c r="Y337" s="705"/>
      <c r="AA337" t="s">
        <v>120</v>
      </c>
      <c r="AB337" t="s">
        <v>585</v>
      </c>
      <c r="AC337" s="705" t="s">
        <v>228</v>
      </c>
      <c r="AD337" s="705">
        <v>3</v>
      </c>
      <c r="AE337" s="705">
        <v>305</v>
      </c>
      <c r="AF337" s="705">
        <v>1051</v>
      </c>
      <c r="AG337" s="705">
        <v>75025</v>
      </c>
      <c r="AH337" s="705">
        <v>68205</v>
      </c>
      <c r="AI337" s="706">
        <v>65</v>
      </c>
      <c r="AJ337" s="705">
        <v>5600</v>
      </c>
      <c r="AK337" s="705">
        <v>5091</v>
      </c>
      <c r="AL337" s="705">
        <v>6171</v>
      </c>
      <c r="AM337" s="705">
        <v>2286</v>
      </c>
      <c r="AN337" s="705">
        <v>702</v>
      </c>
      <c r="AO337" s="705">
        <v>260</v>
      </c>
      <c r="AP337" s="705">
        <v>18600</v>
      </c>
      <c r="AQ337" s="705">
        <v>6889</v>
      </c>
      <c r="AR337" s="705">
        <v>0</v>
      </c>
      <c r="AS337" s="705">
        <v>0</v>
      </c>
      <c r="AT337" s="705">
        <v>82730</v>
      </c>
      <c r="AU337" s="705">
        <f t="shared" si="22"/>
        <v>82731</v>
      </c>
      <c r="AV337" s="705">
        <f t="shared" si="23"/>
        <v>106098</v>
      </c>
    </row>
    <row r="338" spans="2:48" hidden="1">
      <c r="B338" t="s">
        <v>535</v>
      </c>
      <c r="C338" t="s">
        <v>122</v>
      </c>
      <c r="D338" t="s">
        <v>673</v>
      </c>
      <c r="E338" t="s">
        <v>673</v>
      </c>
      <c r="F338">
        <v>2</v>
      </c>
      <c r="G338" s="705">
        <v>108</v>
      </c>
      <c r="H338" s="705">
        <v>883</v>
      </c>
      <c r="I338" s="705">
        <v>50468</v>
      </c>
      <c r="J338" s="705">
        <v>45880</v>
      </c>
      <c r="K338">
        <v>60</v>
      </c>
      <c r="L338" s="705">
        <v>6010</v>
      </c>
      <c r="M338" s="705">
        <v>4362</v>
      </c>
      <c r="N338" s="705">
        <v>4104</v>
      </c>
      <c r="O338" s="705">
        <v>1520</v>
      </c>
      <c r="P338" s="705">
        <v>702</v>
      </c>
      <c r="Q338" s="705">
        <v>260</v>
      </c>
      <c r="R338" s="705">
        <v>8587</v>
      </c>
      <c r="S338" s="705">
        <v>7806</v>
      </c>
      <c r="T338" s="705">
        <v>4528</v>
      </c>
      <c r="U338" s="705">
        <v>1677</v>
      </c>
      <c r="V338" s="705">
        <v>61505</v>
      </c>
      <c r="W338" s="705">
        <f t="shared" si="24"/>
        <v>61505</v>
      </c>
      <c r="X338" s="705">
        <f t="shared" si="25"/>
        <v>74399</v>
      </c>
      <c r="Y338" s="705"/>
      <c r="AA338" t="s">
        <v>120</v>
      </c>
      <c r="AB338" t="s">
        <v>585</v>
      </c>
      <c r="AC338" s="705" t="s">
        <v>585</v>
      </c>
      <c r="AD338" s="705">
        <v>34</v>
      </c>
      <c r="AE338" s="705">
        <v>4928</v>
      </c>
      <c r="AF338" s="705">
        <v>11523</v>
      </c>
      <c r="AG338" s="705">
        <v>1216481</v>
      </c>
      <c r="AH338" s="705">
        <v>1105892</v>
      </c>
      <c r="AI338" s="706">
        <v>73</v>
      </c>
      <c r="AJ338" s="705">
        <v>166629</v>
      </c>
      <c r="AK338" s="705">
        <v>146757</v>
      </c>
      <c r="AL338" s="705">
        <v>92000</v>
      </c>
      <c r="AM338" s="705">
        <v>34074</v>
      </c>
      <c r="AN338" s="705">
        <v>16673</v>
      </c>
      <c r="AO338" s="705">
        <v>6175</v>
      </c>
      <c r="AP338" s="705">
        <v>171530</v>
      </c>
      <c r="AQ338" s="705">
        <v>155937</v>
      </c>
      <c r="AR338" s="705">
        <v>37095</v>
      </c>
      <c r="AS338" s="705">
        <v>13739</v>
      </c>
      <c r="AT338" s="705">
        <v>1462573</v>
      </c>
      <c r="AU338" s="705">
        <f t="shared" si="22"/>
        <v>1462574</v>
      </c>
      <c r="AV338" s="705">
        <f t="shared" si="23"/>
        <v>1700408</v>
      </c>
    </row>
    <row r="339" spans="2:48" hidden="1">
      <c r="B339" t="s">
        <v>535</v>
      </c>
      <c r="C339" t="s">
        <v>124</v>
      </c>
      <c r="D339" t="s">
        <v>664</v>
      </c>
      <c r="E339" t="s">
        <v>583</v>
      </c>
      <c r="F339">
        <v>1</v>
      </c>
      <c r="G339" s="705">
        <v>95</v>
      </c>
      <c r="H339" s="705">
        <v>685</v>
      </c>
      <c r="I339" s="705">
        <v>48587</v>
      </c>
      <c r="J339" s="705">
        <v>44170</v>
      </c>
      <c r="K339">
        <v>65</v>
      </c>
      <c r="L339" s="705">
        <v>5133</v>
      </c>
      <c r="M339" s="705">
        <v>4666</v>
      </c>
      <c r="N339" s="705">
        <v>2312</v>
      </c>
      <c r="O339" s="705">
        <v>856</v>
      </c>
      <c r="P339" s="705">
        <v>621</v>
      </c>
      <c r="Q339" s="705">
        <v>230</v>
      </c>
      <c r="R339" s="705">
        <v>5085</v>
      </c>
      <c r="S339" s="705">
        <v>4623</v>
      </c>
      <c r="T339" s="705">
        <v>3253</v>
      </c>
      <c r="U339" s="705">
        <v>1205</v>
      </c>
      <c r="V339" s="705">
        <v>55751</v>
      </c>
      <c r="W339" s="705">
        <f t="shared" si="24"/>
        <v>55750</v>
      </c>
      <c r="X339" s="705">
        <f t="shared" si="25"/>
        <v>64991</v>
      </c>
      <c r="Y339" s="705"/>
      <c r="AA339" t="s">
        <v>120</v>
      </c>
      <c r="AB339" t="s">
        <v>585</v>
      </c>
      <c r="AC339" s="705" t="s">
        <v>668</v>
      </c>
      <c r="AD339" s="705">
        <v>1</v>
      </c>
      <c r="AE339" s="705">
        <v>133</v>
      </c>
      <c r="AF339" s="705">
        <v>311</v>
      </c>
      <c r="AG339" s="705">
        <v>27335</v>
      </c>
      <c r="AH339" s="705">
        <v>24850</v>
      </c>
      <c r="AI339" s="706">
        <v>65</v>
      </c>
      <c r="AJ339" s="705">
        <v>3037</v>
      </c>
      <c r="AK339" s="705">
        <v>2761</v>
      </c>
      <c r="AL339" s="705">
        <v>2915</v>
      </c>
      <c r="AM339" s="705">
        <v>1080</v>
      </c>
      <c r="AN339" s="705">
        <v>351</v>
      </c>
      <c r="AO339" s="705">
        <v>130</v>
      </c>
      <c r="AP339" s="705">
        <v>4925</v>
      </c>
      <c r="AQ339" s="705">
        <v>4477</v>
      </c>
      <c r="AR339" s="705">
        <v>2783</v>
      </c>
      <c r="AS339" s="705">
        <v>1031</v>
      </c>
      <c r="AT339" s="705">
        <v>34329</v>
      </c>
      <c r="AU339" s="705">
        <f t="shared" si="22"/>
        <v>34329</v>
      </c>
      <c r="AV339" s="705">
        <f t="shared" si="23"/>
        <v>41346</v>
      </c>
    </row>
    <row r="340" spans="2:48" hidden="1">
      <c r="B340" t="s">
        <v>535</v>
      </c>
      <c r="C340" t="s">
        <v>124</v>
      </c>
      <c r="D340" t="s">
        <v>582</v>
      </c>
      <c r="E340" t="s">
        <v>582</v>
      </c>
      <c r="F340">
        <v>7</v>
      </c>
      <c r="G340">
        <v>622</v>
      </c>
      <c r="H340" s="705">
        <v>3756</v>
      </c>
      <c r="I340" s="705">
        <v>232687</v>
      </c>
      <c r="J340" s="705">
        <v>211533</v>
      </c>
      <c r="K340">
        <v>72</v>
      </c>
      <c r="L340" s="705">
        <v>45938</v>
      </c>
      <c r="M340" s="705">
        <v>41762</v>
      </c>
      <c r="N340" s="705">
        <v>12557</v>
      </c>
      <c r="O340" s="705">
        <v>4651</v>
      </c>
      <c r="P340" s="705">
        <v>2943</v>
      </c>
      <c r="Q340" s="705">
        <v>1090</v>
      </c>
      <c r="R340" s="705">
        <v>28399</v>
      </c>
      <c r="S340" s="705">
        <v>25817</v>
      </c>
      <c r="T340" s="705">
        <v>11541</v>
      </c>
      <c r="U340" s="705">
        <v>4274</v>
      </c>
      <c r="V340" s="705">
        <v>289127</v>
      </c>
      <c r="W340" s="705">
        <f t="shared" si="24"/>
        <v>289127</v>
      </c>
      <c r="X340" s="705">
        <f t="shared" si="25"/>
        <v>334065</v>
      </c>
      <c r="Y340" s="705"/>
      <c r="AA340" t="s">
        <v>120</v>
      </c>
      <c r="AB340" t="s">
        <v>668</v>
      </c>
      <c r="AC340" s="705" t="s">
        <v>668</v>
      </c>
      <c r="AD340" s="705">
        <v>8</v>
      </c>
      <c r="AE340" s="705">
        <v>1088</v>
      </c>
      <c r="AF340" s="705">
        <v>2722</v>
      </c>
      <c r="AG340" s="705">
        <v>242559</v>
      </c>
      <c r="AH340" s="705">
        <v>220509</v>
      </c>
      <c r="AI340" s="706">
        <v>74</v>
      </c>
      <c r="AJ340" s="705">
        <v>45504</v>
      </c>
      <c r="AK340" s="705">
        <v>41102</v>
      </c>
      <c r="AL340" s="705">
        <v>19467</v>
      </c>
      <c r="AM340" s="705">
        <v>7210</v>
      </c>
      <c r="AN340" s="705">
        <v>3429</v>
      </c>
      <c r="AO340" s="705">
        <v>1270</v>
      </c>
      <c r="AP340" s="705">
        <v>45377</v>
      </c>
      <c r="AQ340" s="705">
        <v>41252</v>
      </c>
      <c r="AR340" s="705">
        <v>11050</v>
      </c>
      <c r="AS340" s="705">
        <v>4092</v>
      </c>
      <c r="AT340" s="705">
        <v>315435</v>
      </c>
      <c r="AU340" s="705">
        <f t="shared" si="22"/>
        <v>315435</v>
      </c>
      <c r="AV340" s="705">
        <f t="shared" si="23"/>
        <v>367386</v>
      </c>
    </row>
    <row r="341" spans="2:48" hidden="1">
      <c r="B341" t="s">
        <v>535</v>
      </c>
      <c r="C341" t="s">
        <v>124</v>
      </c>
      <c r="D341" t="s">
        <v>228</v>
      </c>
      <c r="E341" t="s">
        <v>228</v>
      </c>
      <c r="F341">
        <v>198</v>
      </c>
      <c r="G341" s="705">
        <v>16298</v>
      </c>
      <c r="H341" s="705">
        <v>150125</v>
      </c>
      <c r="I341" s="705">
        <v>8848353</v>
      </c>
      <c r="J341" s="705">
        <v>3277168</v>
      </c>
      <c r="K341">
        <v>100</v>
      </c>
      <c r="L341" s="705">
        <v>1446783</v>
      </c>
      <c r="M341" s="705">
        <v>1256533</v>
      </c>
      <c r="N341" s="705">
        <v>368570</v>
      </c>
      <c r="O341" s="705">
        <v>136507</v>
      </c>
      <c r="P341" s="705">
        <v>3171</v>
      </c>
      <c r="Q341" s="705">
        <v>1174</v>
      </c>
      <c r="R341" s="705">
        <v>1290622</v>
      </c>
      <c r="S341" s="705">
        <v>478008</v>
      </c>
      <c r="T341" s="705">
        <v>4895</v>
      </c>
      <c r="U341" s="705">
        <v>1813</v>
      </c>
      <c r="V341" s="705">
        <v>5151204</v>
      </c>
      <c r="W341" s="705">
        <f t="shared" si="24"/>
        <v>5151203</v>
      </c>
      <c r="X341" s="705">
        <f t="shared" si="25"/>
        <v>11962394</v>
      </c>
      <c r="Y341" s="705"/>
      <c r="AA341" t="s">
        <v>122</v>
      </c>
      <c r="AC341" s="705"/>
      <c r="AD341" s="705">
        <v>11</v>
      </c>
      <c r="AE341" s="705">
        <v>1852</v>
      </c>
      <c r="AF341" s="705">
        <v>4592</v>
      </c>
      <c r="AG341" s="705"/>
      <c r="AH341" s="705">
        <v>0</v>
      </c>
      <c r="AI341" s="706"/>
      <c r="AJ341" s="705"/>
      <c r="AK341" s="705">
        <v>0</v>
      </c>
      <c r="AL341" s="705">
        <v>41201</v>
      </c>
      <c r="AM341" s="705">
        <v>15259</v>
      </c>
      <c r="AN341" s="705">
        <v>3456</v>
      </c>
      <c r="AO341" s="705">
        <v>1280</v>
      </c>
      <c r="AP341" s="705"/>
      <c r="AQ341" s="705">
        <v>0</v>
      </c>
      <c r="AR341" s="705">
        <v>8419</v>
      </c>
      <c r="AS341" s="705">
        <v>3118</v>
      </c>
      <c r="AT341" s="705">
        <v>19658</v>
      </c>
      <c r="AU341" s="705">
        <f t="shared" si="22"/>
        <v>19657</v>
      </c>
      <c r="AV341" s="705">
        <f t="shared" si="23"/>
        <v>53076</v>
      </c>
    </row>
    <row r="342" spans="2:48" hidden="1">
      <c r="B342" t="s">
        <v>535</v>
      </c>
      <c r="C342" t="s">
        <v>124</v>
      </c>
      <c r="D342" t="s">
        <v>228</v>
      </c>
      <c r="E342" t="s">
        <v>583</v>
      </c>
      <c r="F342" s="705">
        <v>3</v>
      </c>
      <c r="G342" s="705">
        <v>210</v>
      </c>
      <c r="H342" s="705">
        <v>2190</v>
      </c>
      <c r="I342" s="705">
        <v>122431</v>
      </c>
      <c r="J342" s="705">
        <v>45345</v>
      </c>
      <c r="K342">
        <v>100</v>
      </c>
      <c r="L342" s="705">
        <v>22821</v>
      </c>
      <c r="M342" s="705">
        <v>20746</v>
      </c>
      <c r="N342" s="705">
        <v>4417</v>
      </c>
      <c r="O342" s="705">
        <v>1636</v>
      </c>
      <c r="P342" s="705">
        <v>270</v>
      </c>
      <c r="Q342" s="705">
        <v>100</v>
      </c>
      <c r="R342" s="705">
        <v>14465</v>
      </c>
      <c r="S342" s="705">
        <v>13150</v>
      </c>
      <c r="T342" s="705">
        <v>1747</v>
      </c>
      <c r="U342" s="705">
        <v>647</v>
      </c>
      <c r="V342" s="705">
        <v>81624</v>
      </c>
      <c r="W342" s="705">
        <f t="shared" si="24"/>
        <v>81624</v>
      </c>
      <c r="X342" s="705">
        <f t="shared" si="25"/>
        <v>166151</v>
      </c>
      <c r="Y342" s="705"/>
      <c r="AA342" t="s">
        <v>122</v>
      </c>
      <c r="AB342" t="s">
        <v>674</v>
      </c>
      <c r="AC342" s="705" t="s">
        <v>674</v>
      </c>
      <c r="AD342" s="705">
        <v>3</v>
      </c>
      <c r="AE342" s="705">
        <v>235</v>
      </c>
      <c r="AF342" s="705">
        <v>1248</v>
      </c>
      <c r="AG342" s="705">
        <v>63874</v>
      </c>
      <c r="AH342" s="705">
        <v>58067</v>
      </c>
      <c r="AI342" s="706">
        <v>55</v>
      </c>
      <c r="AJ342" s="705">
        <v>6926</v>
      </c>
      <c r="AK342" s="705">
        <v>5958</v>
      </c>
      <c r="AL342" s="705">
        <v>4288</v>
      </c>
      <c r="AM342" s="705">
        <v>1588</v>
      </c>
      <c r="AN342" s="705">
        <v>1053</v>
      </c>
      <c r="AO342" s="705">
        <v>390</v>
      </c>
      <c r="AP342" s="705">
        <v>14331</v>
      </c>
      <c r="AQ342" s="705">
        <v>13029</v>
      </c>
      <c r="AR342" s="705">
        <v>7268</v>
      </c>
      <c r="AS342" s="705">
        <v>2692</v>
      </c>
      <c r="AT342" s="705">
        <v>81724</v>
      </c>
      <c r="AU342" s="705">
        <f t="shared" si="22"/>
        <v>81724</v>
      </c>
      <c r="AV342" s="705">
        <f t="shared" si="23"/>
        <v>97740</v>
      </c>
    </row>
    <row r="343" spans="2:48" hidden="1">
      <c r="B343" t="s">
        <v>535</v>
      </c>
      <c r="C343" t="s">
        <v>124</v>
      </c>
      <c r="D343" t="s">
        <v>228</v>
      </c>
      <c r="E343" t="s">
        <v>666</v>
      </c>
      <c r="F343">
        <v>2</v>
      </c>
      <c r="G343" s="705">
        <v>142</v>
      </c>
      <c r="H343" s="705">
        <v>1473</v>
      </c>
      <c r="I343" s="705">
        <v>81217</v>
      </c>
      <c r="J343" s="705">
        <v>30080</v>
      </c>
      <c r="K343">
        <v>100</v>
      </c>
      <c r="L343" s="705">
        <v>6303</v>
      </c>
      <c r="M343" s="705">
        <v>5730</v>
      </c>
      <c r="N343" s="705">
        <v>3199</v>
      </c>
      <c r="O343" s="705">
        <v>1185</v>
      </c>
      <c r="P343" s="705">
        <v>0</v>
      </c>
      <c r="Q343">
        <v>0</v>
      </c>
      <c r="R343" s="705">
        <v>12631</v>
      </c>
      <c r="S343" s="705">
        <v>11483</v>
      </c>
      <c r="T343" s="705">
        <v>6703</v>
      </c>
      <c r="U343" s="705">
        <v>2482</v>
      </c>
      <c r="V343" s="705">
        <v>50960</v>
      </c>
      <c r="W343" s="705">
        <f t="shared" si="24"/>
        <v>50960</v>
      </c>
      <c r="X343" s="705">
        <f t="shared" si="25"/>
        <v>110053</v>
      </c>
      <c r="Y343" s="705"/>
      <c r="AA343" t="s">
        <v>122</v>
      </c>
      <c r="AB343" t="s">
        <v>664</v>
      </c>
      <c r="AC343" s="705" t="s">
        <v>664</v>
      </c>
      <c r="AD343" s="705">
        <v>24</v>
      </c>
      <c r="AE343" s="705">
        <v>2504</v>
      </c>
      <c r="AF343" s="705">
        <v>9976</v>
      </c>
      <c r="AG343" s="705">
        <v>725558</v>
      </c>
      <c r="AH343" s="705">
        <v>659598</v>
      </c>
      <c r="AI343" s="706">
        <v>74</v>
      </c>
      <c r="AJ343" s="705">
        <v>121970</v>
      </c>
      <c r="AK343" s="705">
        <v>116768</v>
      </c>
      <c r="AL343" s="705">
        <v>54550</v>
      </c>
      <c r="AM343" s="705">
        <v>20204</v>
      </c>
      <c r="AN343" s="705">
        <v>11732</v>
      </c>
      <c r="AO343" s="705">
        <v>4345</v>
      </c>
      <c r="AP343" s="705">
        <v>131025</v>
      </c>
      <c r="AQ343" s="705">
        <v>119114</v>
      </c>
      <c r="AR343" s="705">
        <v>26294</v>
      </c>
      <c r="AS343" s="705">
        <v>9738</v>
      </c>
      <c r="AT343" s="705">
        <v>929767</v>
      </c>
      <c r="AU343" s="705">
        <f t="shared" si="22"/>
        <v>929767</v>
      </c>
      <c r="AV343" s="705">
        <f t="shared" si="23"/>
        <v>1071129</v>
      </c>
    </row>
    <row r="344" spans="2:48" hidden="1">
      <c r="B344" t="s">
        <v>535</v>
      </c>
      <c r="C344" t="s">
        <v>124</v>
      </c>
      <c r="D344" t="s">
        <v>228</v>
      </c>
      <c r="E344" t="s">
        <v>665</v>
      </c>
      <c r="F344" s="705">
        <v>26</v>
      </c>
      <c r="G344" s="705">
        <v>2216</v>
      </c>
      <c r="H344" s="705">
        <v>18935</v>
      </c>
      <c r="I344" s="705">
        <v>1184474</v>
      </c>
      <c r="J344" s="705">
        <v>438694</v>
      </c>
      <c r="K344">
        <v>100</v>
      </c>
      <c r="L344" s="705">
        <v>173123</v>
      </c>
      <c r="M344" s="705">
        <v>147641</v>
      </c>
      <c r="N344" s="705">
        <v>50840</v>
      </c>
      <c r="O344" s="705">
        <v>18830</v>
      </c>
      <c r="P344" s="705">
        <v>1053</v>
      </c>
      <c r="Q344" s="705">
        <v>390</v>
      </c>
      <c r="R344" s="705">
        <v>147727</v>
      </c>
      <c r="S344" s="705">
        <v>134297</v>
      </c>
      <c r="T344" s="705">
        <v>53510</v>
      </c>
      <c r="U344" s="705">
        <v>19819</v>
      </c>
      <c r="V344" s="705">
        <v>759671</v>
      </c>
      <c r="W344" s="705">
        <f t="shared" si="24"/>
        <v>759671</v>
      </c>
      <c r="X344" s="705">
        <f t="shared" si="25"/>
        <v>1610727</v>
      </c>
      <c r="Y344" s="705"/>
      <c r="AA344" t="s">
        <v>122</v>
      </c>
      <c r="AB344" t="s">
        <v>664</v>
      </c>
      <c r="AC344" s="705" t="s">
        <v>583</v>
      </c>
      <c r="AD344" s="705">
        <v>4</v>
      </c>
      <c r="AE344" s="705">
        <v>388</v>
      </c>
      <c r="AF344" s="705">
        <v>1638</v>
      </c>
      <c r="AG344" s="705">
        <v>98019</v>
      </c>
      <c r="AH344" s="705">
        <v>89109</v>
      </c>
      <c r="AI344" s="706">
        <v>80</v>
      </c>
      <c r="AJ344" s="705">
        <v>21117</v>
      </c>
      <c r="AK344" s="705">
        <v>19197</v>
      </c>
      <c r="AL344" s="705">
        <v>7689</v>
      </c>
      <c r="AM344" s="705">
        <v>2848</v>
      </c>
      <c r="AN344" s="705">
        <v>2484</v>
      </c>
      <c r="AO344" s="705">
        <v>920</v>
      </c>
      <c r="AP344" s="705">
        <v>21139</v>
      </c>
      <c r="AQ344" s="705">
        <v>19217</v>
      </c>
      <c r="AR344" s="705">
        <v>7051</v>
      </c>
      <c r="AS344" s="705">
        <v>2611</v>
      </c>
      <c r="AT344" s="705">
        <v>133903</v>
      </c>
      <c r="AU344" s="705">
        <f t="shared" si="22"/>
        <v>133902</v>
      </c>
      <c r="AV344" s="705">
        <f t="shared" si="23"/>
        <v>157499</v>
      </c>
    </row>
    <row r="345" spans="2:48" hidden="1">
      <c r="B345" t="s">
        <v>535</v>
      </c>
      <c r="C345" t="s">
        <v>124</v>
      </c>
      <c r="D345" t="s">
        <v>583</v>
      </c>
      <c r="E345" t="s">
        <v>228</v>
      </c>
      <c r="F345">
        <v>9</v>
      </c>
      <c r="G345" s="705">
        <v>733</v>
      </c>
      <c r="H345" s="705">
        <v>5555</v>
      </c>
      <c r="I345" s="705">
        <v>302691</v>
      </c>
      <c r="J345" s="705">
        <v>275173</v>
      </c>
      <c r="K345">
        <v>75</v>
      </c>
      <c r="L345" s="705">
        <v>65652</v>
      </c>
      <c r="M345" s="705">
        <v>56345</v>
      </c>
      <c r="N345" s="705">
        <v>16034</v>
      </c>
      <c r="O345" s="705">
        <v>5938</v>
      </c>
      <c r="P345" s="705">
        <v>4617</v>
      </c>
      <c r="Q345" s="705">
        <v>1710</v>
      </c>
      <c r="R345" s="705">
        <v>53132</v>
      </c>
      <c r="S345" s="705">
        <v>19679</v>
      </c>
      <c r="T345" s="705">
        <v>0</v>
      </c>
      <c r="U345" s="705">
        <v>0</v>
      </c>
      <c r="V345" s="705">
        <v>358845</v>
      </c>
      <c r="W345" s="705">
        <f t="shared" si="24"/>
        <v>358845</v>
      </c>
      <c r="X345" s="705">
        <f t="shared" si="25"/>
        <v>442126</v>
      </c>
      <c r="Y345" s="705"/>
      <c r="AA345" t="s">
        <v>122</v>
      </c>
      <c r="AB345" t="s">
        <v>582</v>
      </c>
      <c r="AC345" s="705" t="s">
        <v>664</v>
      </c>
      <c r="AD345" s="705">
        <v>1</v>
      </c>
      <c r="AE345" s="705">
        <v>130</v>
      </c>
      <c r="AF345" s="705">
        <v>417</v>
      </c>
      <c r="AG345" s="705">
        <v>38670</v>
      </c>
      <c r="AH345" s="705">
        <v>35155</v>
      </c>
      <c r="AI345" s="706">
        <v>80</v>
      </c>
      <c r="AJ345" s="705">
        <v>5736</v>
      </c>
      <c r="AK345" s="705">
        <v>5215</v>
      </c>
      <c r="AL345" s="705">
        <v>2901</v>
      </c>
      <c r="AM345" s="705">
        <v>1074</v>
      </c>
      <c r="AN345" s="705">
        <v>473</v>
      </c>
      <c r="AO345" s="705">
        <v>175</v>
      </c>
      <c r="AP345" s="705">
        <v>3585</v>
      </c>
      <c r="AQ345" s="705">
        <v>3259</v>
      </c>
      <c r="AR345" s="705">
        <v>2928</v>
      </c>
      <c r="AS345" s="705">
        <v>1085</v>
      </c>
      <c r="AT345" s="705">
        <v>45963</v>
      </c>
      <c r="AU345" s="705">
        <f t="shared" si="22"/>
        <v>45963</v>
      </c>
      <c r="AV345" s="705">
        <f t="shared" si="23"/>
        <v>54293</v>
      </c>
    </row>
    <row r="346" spans="2:48" hidden="1">
      <c r="B346" t="s">
        <v>535</v>
      </c>
      <c r="C346" t="s">
        <v>124</v>
      </c>
      <c r="D346" t="s">
        <v>583</v>
      </c>
      <c r="E346" t="s">
        <v>583</v>
      </c>
      <c r="F346">
        <v>472</v>
      </c>
      <c r="G346" s="705">
        <v>45746</v>
      </c>
      <c r="H346" s="705">
        <v>263802</v>
      </c>
      <c r="I346" s="705">
        <v>17674817</v>
      </c>
      <c r="J346" s="705">
        <v>16068015</v>
      </c>
      <c r="K346">
        <v>71</v>
      </c>
      <c r="L346" s="705">
        <v>3400260</v>
      </c>
      <c r="M346" s="705">
        <v>2952868</v>
      </c>
      <c r="N346" s="705">
        <v>1005888</v>
      </c>
      <c r="O346" s="705">
        <v>372551</v>
      </c>
      <c r="P346" s="705">
        <v>301035</v>
      </c>
      <c r="Q346" s="705">
        <v>111495</v>
      </c>
      <c r="R346" s="705">
        <v>2345253</v>
      </c>
      <c r="S346" s="705">
        <v>2132048</v>
      </c>
      <c r="T346" s="705">
        <v>867112</v>
      </c>
      <c r="U346" s="705">
        <v>321153</v>
      </c>
      <c r="V346" s="705">
        <v>21958130</v>
      </c>
      <c r="W346" s="705">
        <f t="shared" si="24"/>
        <v>21958130</v>
      </c>
      <c r="X346" s="705">
        <f t="shared" si="25"/>
        <v>25594365</v>
      </c>
      <c r="Y346" s="705"/>
      <c r="AA346" t="s">
        <v>122</v>
      </c>
      <c r="AB346" t="s">
        <v>582</v>
      </c>
      <c r="AC346" s="705" t="s">
        <v>582</v>
      </c>
      <c r="AD346" s="705">
        <v>124</v>
      </c>
      <c r="AE346" s="705">
        <v>15793</v>
      </c>
      <c r="AF346" s="705">
        <v>51258</v>
      </c>
      <c r="AG346" s="705">
        <v>4433138</v>
      </c>
      <c r="AH346" s="705">
        <v>4030125</v>
      </c>
      <c r="AI346" s="706">
        <v>78</v>
      </c>
      <c r="AJ346" s="705">
        <v>970668</v>
      </c>
      <c r="AK346" s="705">
        <v>841696</v>
      </c>
      <c r="AL346" s="705">
        <v>355200</v>
      </c>
      <c r="AM346" s="705">
        <v>131556</v>
      </c>
      <c r="AN346" s="705">
        <v>64017</v>
      </c>
      <c r="AO346" s="705">
        <v>23710</v>
      </c>
      <c r="AP346" s="705">
        <v>633884</v>
      </c>
      <c r="AQ346" s="705">
        <v>576259</v>
      </c>
      <c r="AR346" s="705">
        <v>163808</v>
      </c>
      <c r="AS346" s="705">
        <v>60670</v>
      </c>
      <c r="AT346" s="705">
        <v>5664015</v>
      </c>
      <c r="AU346" s="705">
        <f t="shared" si="22"/>
        <v>5664016</v>
      </c>
      <c r="AV346" s="705">
        <f t="shared" si="23"/>
        <v>6620715</v>
      </c>
    </row>
    <row r="347" spans="2:48" hidden="1">
      <c r="B347" t="s">
        <v>535</v>
      </c>
      <c r="C347" t="s">
        <v>124</v>
      </c>
      <c r="D347" t="s">
        <v>666</v>
      </c>
      <c r="E347" t="s">
        <v>228</v>
      </c>
      <c r="F347">
        <v>3</v>
      </c>
      <c r="G347" s="705">
        <v>387</v>
      </c>
      <c r="H347" s="705">
        <v>2362</v>
      </c>
      <c r="I347" s="705">
        <v>298415</v>
      </c>
      <c r="J347" s="705">
        <v>271287</v>
      </c>
      <c r="K347">
        <v>52</v>
      </c>
      <c r="L347" s="705">
        <v>14785</v>
      </c>
      <c r="M347" s="705">
        <v>11487</v>
      </c>
      <c r="N347" s="705">
        <v>8634</v>
      </c>
      <c r="O347" s="705">
        <v>3198</v>
      </c>
      <c r="P347" s="705">
        <v>351</v>
      </c>
      <c r="Q347" s="705">
        <v>130</v>
      </c>
      <c r="R347" s="705">
        <v>27501</v>
      </c>
      <c r="S347" s="705">
        <v>10185</v>
      </c>
      <c r="T347" s="705">
        <v>0</v>
      </c>
      <c r="U347" s="705">
        <v>0</v>
      </c>
      <c r="V347" s="705">
        <v>296287</v>
      </c>
      <c r="W347" s="705">
        <f t="shared" si="24"/>
        <v>296287</v>
      </c>
      <c r="X347" s="705">
        <f t="shared" si="25"/>
        <v>349686</v>
      </c>
      <c r="Y347" s="705"/>
      <c r="AA347" t="s">
        <v>122</v>
      </c>
      <c r="AB347" t="s">
        <v>582</v>
      </c>
      <c r="AC347" s="705" t="s">
        <v>228</v>
      </c>
      <c r="AD347" s="705">
        <v>2</v>
      </c>
      <c r="AE347" s="705">
        <v>260</v>
      </c>
      <c r="AF347" s="705">
        <v>863</v>
      </c>
      <c r="AG347" s="705">
        <v>88462</v>
      </c>
      <c r="AH347" s="705">
        <v>80420</v>
      </c>
      <c r="AI347" s="706">
        <v>83</v>
      </c>
      <c r="AJ347" s="705">
        <v>4104</v>
      </c>
      <c r="AK347" s="705">
        <v>3730</v>
      </c>
      <c r="AL347" s="705">
        <v>3548</v>
      </c>
      <c r="AM347" s="705">
        <v>1314</v>
      </c>
      <c r="AN347" s="705">
        <v>945</v>
      </c>
      <c r="AO347" s="705">
        <v>350</v>
      </c>
      <c r="AP347" s="705">
        <v>15319</v>
      </c>
      <c r="AQ347" s="705">
        <v>5674</v>
      </c>
      <c r="AR347" s="705">
        <v>0</v>
      </c>
      <c r="AS347" s="705">
        <v>0</v>
      </c>
      <c r="AT347" s="705">
        <v>91488</v>
      </c>
      <c r="AU347" s="705">
        <f t="shared" ref="AU347:AU378" si="26">SUM(ABS(AH347), ABS(AK347),ABS(AM347),ABS(AO347),ABS(AQ347),ABS(AS347))</f>
        <v>91488</v>
      </c>
      <c r="AV347" s="705">
        <f t="shared" ref="AV347:AV378" si="27">SUM(ABS(AG347),ABS(AJ347),ABS(AL347),ABS(AN347),ABS(AP347),ABS(AR347))</f>
        <v>112378</v>
      </c>
    </row>
    <row r="348" spans="2:48" hidden="1">
      <c r="B348" t="s">
        <v>535</v>
      </c>
      <c r="C348" t="s">
        <v>124</v>
      </c>
      <c r="D348" t="s">
        <v>666</v>
      </c>
      <c r="E348" t="s">
        <v>666</v>
      </c>
      <c r="F348">
        <v>16</v>
      </c>
      <c r="G348" s="705">
        <v>1365</v>
      </c>
      <c r="H348" s="705">
        <v>9615</v>
      </c>
      <c r="I348" s="705">
        <v>549624</v>
      </c>
      <c r="J348" s="705">
        <v>499658</v>
      </c>
      <c r="K348">
        <v>54</v>
      </c>
      <c r="L348" s="705">
        <v>87879</v>
      </c>
      <c r="M348" s="705">
        <v>66031</v>
      </c>
      <c r="N348" s="705">
        <v>27307</v>
      </c>
      <c r="O348" s="705">
        <v>10114</v>
      </c>
      <c r="P348" s="705">
        <v>5886</v>
      </c>
      <c r="Q348" s="705">
        <v>2180</v>
      </c>
      <c r="R348" s="705">
        <v>100102</v>
      </c>
      <c r="S348" s="705">
        <v>91001</v>
      </c>
      <c r="T348" s="705">
        <v>39842</v>
      </c>
      <c r="U348" s="705">
        <v>14756</v>
      </c>
      <c r="V348" s="705">
        <v>683741</v>
      </c>
      <c r="W348" s="705">
        <f t="shared" si="24"/>
        <v>683740</v>
      </c>
      <c r="X348" s="705">
        <f t="shared" si="25"/>
        <v>810640</v>
      </c>
      <c r="Y348" s="705"/>
      <c r="AA348" t="s">
        <v>122</v>
      </c>
      <c r="AB348" t="s">
        <v>582</v>
      </c>
      <c r="AC348" s="705" t="s">
        <v>583</v>
      </c>
      <c r="AD348" s="705">
        <v>1</v>
      </c>
      <c r="AE348" s="705">
        <v>128</v>
      </c>
      <c r="AF348" s="705">
        <v>399</v>
      </c>
      <c r="AG348" s="705">
        <v>36293</v>
      </c>
      <c r="AH348" s="705">
        <v>32994</v>
      </c>
      <c r="AI348" s="706">
        <v>85</v>
      </c>
      <c r="AJ348" s="705">
        <v>10848</v>
      </c>
      <c r="AK348" s="705">
        <v>9861</v>
      </c>
      <c r="AL348" s="705">
        <v>2659</v>
      </c>
      <c r="AM348" s="705">
        <v>985</v>
      </c>
      <c r="AN348" s="705">
        <v>621</v>
      </c>
      <c r="AO348" s="705">
        <v>230</v>
      </c>
      <c r="AP348" s="705">
        <v>4429</v>
      </c>
      <c r="AQ348" s="705">
        <v>4027</v>
      </c>
      <c r="AR348" s="705">
        <v>3237</v>
      </c>
      <c r="AS348" s="705">
        <v>1199</v>
      </c>
      <c r="AT348" s="705">
        <v>49296</v>
      </c>
      <c r="AU348" s="705">
        <f t="shared" si="26"/>
        <v>49296</v>
      </c>
      <c r="AV348" s="705">
        <f t="shared" si="27"/>
        <v>58087</v>
      </c>
    </row>
    <row r="349" spans="2:48" hidden="1">
      <c r="B349" t="s">
        <v>535</v>
      </c>
      <c r="C349" t="s">
        <v>124</v>
      </c>
      <c r="D349" t="s">
        <v>584</v>
      </c>
      <c r="E349" t="s">
        <v>584</v>
      </c>
      <c r="F349">
        <v>3</v>
      </c>
      <c r="G349" s="705">
        <v>283</v>
      </c>
      <c r="H349" s="705">
        <v>1483</v>
      </c>
      <c r="I349" s="705">
        <v>98436</v>
      </c>
      <c r="J349" s="705">
        <v>89487</v>
      </c>
      <c r="K349">
        <v>73</v>
      </c>
      <c r="L349" s="705">
        <v>18163</v>
      </c>
      <c r="M349" s="705">
        <v>13070</v>
      </c>
      <c r="N349" s="705">
        <v>6395</v>
      </c>
      <c r="O349" s="705">
        <v>2368</v>
      </c>
      <c r="P349" s="705">
        <v>1296</v>
      </c>
      <c r="Q349" s="705">
        <v>480</v>
      </c>
      <c r="R349" s="705">
        <v>13700</v>
      </c>
      <c r="S349" s="705">
        <v>12454</v>
      </c>
      <c r="T349" s="705">
        <v>2471</v>
      </c>
      <c r="U349" s="705">
        <v>915</v>
      </c>
      <c r="V349" s="705">
        <v>118775</v>
      </c>
      <c r="W349" s="705">
        <f t="shared" si="24"/>
        <v>118774</v>
      </c>
      <c r="X349" s="705">
        <f t="shared" si="25"/>
        <v>140461</v>
      </c>
      <c r="Y349" s="705"/>
      <c r="AA349" t="s">
        <v>122</v>
      </c>
      <c r="AB349" t="s">
        <v>228</v>
      </c>
      <c r="AC349" s="705" t="s">
        <v>228</v>
      </c>
      <c r="AD349" s="705">
        <v>895</v>
      </c>
      <c r="AE349" s="705">
        <v>88126</v>
      </c>
      <c r="AF349" s="705">
        <v>371625</v>
      </c>
      <c r="AG349" s="705">
        <v>25123564</v>
      </c>
      <c r="AH349" s="705">
        <v>9305024</v>
      </c>
      <c r="AI349" s="706">
        <v>101</v>
      </c>
      <c r="AJ349" s="705">
        <v>3962487</v>
      </c>
      <c r="AK349" s="705">
        <v>3086962</v>
      </c>
      <c r="AL349" s="705">
        <v>1953342</v>
      </c>
      <c r="AM349" s="705">
        <v>723460</v>
      </c>
      <c r="AN349" s="705">
        <v>26447</v>
      </c>
      <c r="AO349" s="705">
        <v>9795</v>
      </c>
      <c r="AP349" s="705">
        <v>6779520</v>
      </c>
      <c r="AQ349" s="705">
        <v>2510933</v>
      </c>
      <c r="AR349" s="705">
        <v>20319</v>
      </c>
      <c r="AS349" s="705">
        <v>7526</v>
      </c>
      <c r="AT349" s="705">
        <v>15643700</v>
      </c>
      <c r="AU349" s="705">
        <f t="shared" si="26"/>
        <v>15643700</v>
      </c>
      <c r="AV349" s="705">
        <f t="shared" si="27"/>
        <v>37865679</v>
      </c>
    </row>
    <row r="350" spans="2:48" hidden="1">
      <c r="B350" t="s">
        <v>535</v>
      </c>
      <c r="C350" t="s">
        <v>124</v>
      </c>
      <c r="D350" t="s">
        <v>669</v>
      </c>
      <c r="E350" t="s">
        <v>669</v>
      </c>
      <c r="F350">
        <v>3</v>
      </c>
      <c r="G350">
        <v>329</v>
      </c>
      <c r="H350" s="705">
        <v>1987</v>
      </c>
      <c r="I350" s="705">
        <v>154579</v>
      </c>
      <c r="J350" s="705">
        <v>128816</v>
      </c>
      <c r="K350">
        <v>55</v>
      </c>
      <c r="L350" s="705">
        <v>16758</v>
      </c>
      <c r="M350" s="705">
        <v>9902</v>
      </c>
      <c r="N350" s="705">
        <v>7002</v>
      </c>
      <c r="O350" s="705">
        <v>2593</v>
      </c>
      <c r="P350" s="705">
        <v>1242</v>
      </c>
      <c r="Q350">
        <v>460</v>
      </c>
      <c r="R350" s="705">
        <v>17505</v>
      </c>
      <c r="S350" s="705">
        <v>14588</v>
      </c>
      <c r="T350" s="705">
        <v>7409</v>
      </c>
      <c r="U350" s="705">
        <v>2744</v>
      </c>
      <c r="V350" s="705">
        <v>159103</v>
      </c>
      <c r="W350" s="705">
        <f t="shared" si="24"/>
        <v>159103</v>
      </c>
      <c r="X350" s="705">
        <f t="shared" si="25"/>
        <v>204495</v>
      </c>
      <c r="Y350" s="705"/>
      <c r="AA350" t="s">
        <v>122</v>
      </c>
      <c r="AB350" t="s">
        <v>228</v>
      </c>
      <c r="AC350" s="705" t="s">
        <v>583</v>
      </c>
      <c r="AD350" s="705">
        <v>8</v>
      </c>
      <c r="AE350" s="705">
        <v>1736</v>
      </c>
      <c r="AF350" s="705">
        <v>3305</v>
      </c>
      <c r="AG350" s="705">
        <v>522140</v>
      </c>
      <c r="AH350" s="705">
        <v>193385</v>
      </c>
      <c r="AI350" s="706">
        <v>100</v>
      </c>
      <c r="AJ350" s="705">
        <v>79211</v>
      </c>
      <c r="AK350" s="705">
        <v>51577</v>
      </c>
      <c r="AL350" s="705">
        <v>37289</v>
      </c>
      <c r="AM350" s="705">
        <v>13811</v>
      </c>
      <c r="AN350" s="705">
        <v>1701</v>
      </c>
      <c r="AO350" s="705">
        <v>630</v>
      </c>
      <c r="AP350" s="705">
        <v>54872</v>
      </c>
      <c r="AQ350" s="705">
        <v>49884</v>
      </c>
      <c r="AR350" s="705">
        <v>27717</v>
      </c>
      <c r="AS350" s="705">
        <v>10266</v>
      </c>
      <c r="AT350" s="705">
        <v>319553</v>
      </c>
      <c r="AU350" s="705">
        <f t="shared" si="26"/>
        <v>319553</v>
      </c>
      <c r="AV350" s="705">
        <f t="shared" si="27"/>
        <v>722930</v>
      </c>
    </row>
    <row r="351" spans="2:48" hidden="1">
      <c r="B351" t="s">
        <v>535</v>
      </c>
      <c r="C351" t="s">
        <v>124</v>
      </c>
      <c r="D351" t="s">
        <v>667</v>
      </c>
      <c r="E351" t="s">
        <v>667</v>
      </c>
      <c r="F351">
        <v>1</v>
      </c>
      <c r="G351">
        <v>70</v>
      </c>
      <c r="H351" s="705">
        <v>585</v>
      </c>
      <c r="I351" s="705">
        <v>39367</v>
      </c>
      <c r="J351" s="705">
        <v>35788</v>
      </c>
      <c r="K351">
        <v>65</v>
      </c>
      <c r="L351" s="705">
        <v>0</v>
      </c>
      <c r="M351" s="705">
        <v>0</v>
      </c>
      <c r="N351" s="705">
        <v>1454</v>
      </c>
      <c r="O351" s="705">
        <v>539</v>
      </c>
      <c r="P351" s="705">
        <v>351</v>
      </c>
      <c r="Q351">
        <v>130</v>
      </c>
      <c r="R351" s="705">
        <v>4160</v>
      </c>
      <c r="S351" s="705">
        <v>3782</v>
      </c>
      <c r="T351" s="705">
        <v>2182</v>
      </c>
      <c r="U351" s="705">
        <v>808</v>
      </c>
      <c r="V351" s="705">
        <v>41047</v>
      </c>
      <c r="W351" s="705">
        <f t="shared" si="24"/>
        <v>41047</v>
      </c>
      <c r="X351" s="705">
        <f t="shared" si="25"/>
        <v>47514</v>
      </c>
      <c r="Y351" s="705"/>
      <c r="AA351" t="s">
        <v>122</v>
      </c>
      <c r="AB351" t="s">
        <v>228</v>
      </c>
      <c r="AC351" s="705" t="s">
        <v>666</v>
      </c>
      <c r="AD351" s="705">
        <v>5</v>
      </c>
      <c r="AE351" s="705">
        <v>640</v>
      </c>
      <c r="AF351" s="705">
        <v>2037</v>
      </c>
      <c r="AG351" s="705">
        <v>189662</v>
      </c>
      <c r="AH351" s="705">
        <v>70245</v>
      </c>
      <c r="AI351" s="706">
        <v>100</v>
      </c>
      <c r="AJ351" s="705">
        <v>17704</v>
      </c>
      <c r="AK351" s="705">
        <v>16094</v>
      </c>
      <c r="AL351" s="705">
        <v>12642</v>
      </c>
      <c r="AM351" s="705">
        <v>4682</v>
      </c>
      <c r="AN351" s="705">
        <v>702</v>
      </c>
      <c r="AO351" s="705">
        <v>260</v>
      </c>
      <c r="AP351" s="705">
        <v>29566</v>
      </c>
      <c r="AQ351" s="705">
        <v>26878</v>
      </c>
      <c r="AR351" s="705">
        <v>13906</v>
      </c>
      <c r="AS351" s="705">
        <v>5150</v>
      </c>
      <c r="AT351" s="705">
        <v>123310</v>
      </c>
      <c r="AU351" s="705">
        <f t="shared" si="26"/>
        <v>123309</v>
      </c>
      <c r="AV351" s="705">
        <f t="shared" si="27"/>
        <v>264182</v>
      </c>
    </row>
    <row r="352" spans="2:48" hidden="1">
      <c r="B352" t="s">
        <v>535</v>
      </c>
      <c r="C352" t="s">
        <v>124</v>
      </c>
      <c r="D352" t="s">
        <v>671</v>
      </c>
      <c r="E352" t="s">
        <v>228</v>
      </c>
      <c r="F352">
        <v>3</v>
      </c>
      <c r="G352" s="705">
        <v>233</v>
      </c>
      <c r="H352" s="705">
        <v>3016</v>
      </c>
      <c r="I352" s="705">
        <v>168048</v>
      </c>
      <c r="J352" s="705">
        <v>152771</v>
      </c>
      <c r="K352">
        <v>45</v>
      </c>
      <c r="L352" s="705">
        <v>33371</v>
      </c>
      <c r="M352" s="705">
        <v>12360</v>
      </c>
      <c r="N352" s="705">
        <v>5667</v>
      </c>
      <c r="O352" s="705">
        <v>2099</v>
      </c>
      <c r="P352" s="705">
        <v>0</v>
      </c>
      <c r="Q352" s="705">
        <v>0</v>
      </c>
      <c r="R352" s="705">
        <v>19029</v>
      </c>
      <c r="S352" s="705">
        <v>7048</v>
      </c>
      <c r="T352" s="705">
        <v>0</v>
      </c>
      <c r="U352" s="705">
        <v>0</v>
      </c>
      <c r="V352" s="705">
        <v>174277</v>
      </c>
      <c r="W352" s="705">
        <f t="shared" si="24"/>
        <v>174278</v>
      </c>
      <c r="X352" s="705">
        <f t="shared" si="25"/>
        <v>226115</v>
      </c>
      <c r="Y352" s="705"/>
      <c r="AA352" t="s">
        <v>122</v>
      </c>
      <c r="AB352" t="s">
        <v>228</v>
      </c>
      <c r="AC352" s="705" t="s">
        <v>669</v>
      </c>
      <c r="AD352" s="705">
        <v>1</v>
      </c>
      <c r="AE352" s="705">
        <v>77</v>
      </c>
      <c r="AF352" s="705">
        <v>422</v>
      </c>
      <c r="AG352" s="705">
        <v>21880</v>
      </c>
      <c r="AH352" s="705">
        <v>8104</v>
      </c>
      <c r="AI352" s="706">
        <v>100</v>
      </c>
      <c r="AJ352" s="705">
        <v>3740</v>
      </c>
      <c r="AK352" s="705">
        <v>3117</v>
      </c>
      <c r="AL352" s="705">
        <v>1481</v>
      </c>
      <c r="AM352" s="705">
        <v>548</v>
      </c>
      <c r="AN352" s="705">
        <v>0</v>
      </c>
      <c r="AO352" s="705">
        <v>0</v>
      </c>
      <c r="AP352" s="705">
        <v>3849</v>
      </c>
      <c r="AQ352" s="705">
        <v>3207</v>
      </c>
      <c r="AR352" s="705">
        <v>1686</v>
      </c>
      <c r="AS352" s="705">
        <v>624</v>
      </c>
      <c r="AT352" s="705">
        <v>15600</v>
      </c>
      <c r="AU352" s="705">
        <f t="shared" si="26"/>
        <v>15600</v>
      </c>
      <c r="AV352" s="705">
        <f t="shared" si="27"/>
        <v>32636</v>
      </c>
    </row>
    <row r="353" spans="2:48" hidden="1">
      <c r="B353" t="s">
        <v>535</v>
      </c>
      <c r="C353" t="s">
        <v>124</v>
      </c>
      <c r="D353" t="s">
        <v>671</v>
      </c>
      <c r="E353" t="s">
        <v>671</v>
      </c>
      <c r="F353">
        <v>20</v>
      </c>
      <c r="G353" s="705">
        <v>1833</v>
      </c>
      <c r="H353" s="705">
        <v>14167</v>
      </c>
      <c r="I353" s="705">
        <v>912289</v>
      </c>
      <c r="J353" s="705">
        <v>829353</v>
      </c>
      <c r="K353">
        <v>51</v>
      </c>
      <c r="L353" s="705">
        <v>150352</v>
      </c>
      <c r="M353" s="705">
        <v>109035</v>
      </c>
      <c r="N353" s="705">
        <v>39682</v>
      </c>
      <c r="O353" s="705">
        <v>14697</v>
      </c>
      <c r="P353" s="705">
        <v>5616</v>
      </c>
      <c r="Q353" s="705">
        <v>2080</v>
      </c>
      <c r="R353" s="705">
        <v>148793</v>
      </c>
      <c r="S353" s="705">
        <v>135267</v>
      </c>
      <c r="T353" s="705">
        <v>40279</v>
      </c>
      <c r="U353" s="705">
        <v>14918</v>
      </c>
      <c r="V353" s="705">
        <v>1105350</v>
      </c>
      <c r="W353" s="705">
        <f t="shared" si="24"/>
        <v>1105350</v>
      </c>
      <c r="X353" s="705">
        <f t="shared" si="25"/>
        <v>1297011</v>
      </c>
      <c r="Y353" s="705"/>
      <c r="AA353" t="s">
        <v>122</v>
      </c>
      <c r="AB353" t="s">
        <v>228</v>
      </c>
      <c r="AC353" s="705" t="s">
        <v>671</v>
      </c>
      <c r="AD353" s="705">
        <v>4</v>
      </c>
      <c r="AE353" s="705">
        <v>296</v>
      </c>
      <c r="AF353" s="705">
        <v>1694</v>
      </c>
      <c r="AG353" s="705">
        <v>74061</v>
      </c>
      <c r="AH353" s="705">
        <v>27430</v>
      </c>
      <c r="AI353" s="706">
        <v>100</v>
      </c>
      <c r="AJ353" s="705">
        <v>14343</v>
      </c>
      <c r="AK353" s="705">
        <v>13039</v>
      </c>
      <c r="AL353" s="705">
        <v>5423</v>
      </c>
      <c r="AM353" s="705">
        <v>2009</v>
      </c>
      <c r="AN353" s="705">
        <v>351</v>
      </c>
      <c r="AO353" s="705">
        <v>130</v>
      </c>
      <c r="AP353" s="705">
        <v>23993</v>
      </c>
      <c r="AQ353" s="705">
        <v>21812</v>
      </c>
      <c r="AR353" s="705">
        <v>6411</v>
      </c>
      <c r="AS353" s="705">
        <v>2375</v>
      </c>
      <c r="AT353" s="705">
        <v>66794</v>
      </c>
      <c r="AU353" s="705">
        <f t="shared" si="26"/>
        <v>66795</v>
      </c>
      <c r="AV353" s="705">
        <f t="shared" si="27"/>
        <v>124582</v>
      </c>
    </row>
    <row r="354" spans="2:48" hidden="1">
      <c r="B354" t="s">
        <v>535</v>
      </c>
      <c r="C354" t="s">
        <v>124</v>
      </c>
      <c r="D354" t="s">
        <v>665</v>
      </c>
      <c r="E354" t="s">
        <v>228</v>
      </c>
      <c r="F354">
        <v>83</v>
      </c>
      <c r="G354" s="705">
        <v>7061</v>
      </c>
      <c r="H354" s="705">
        <v>97181</v>
      </c>
      <c r="I354" s="705">
        <v>6534028</v>
      </c>
      <c r="J354" s="705">
        <v>5940025</v>
      </c>
      <c r="K354">
        <v>40</v>
      </c>
      <c r="L354" s="705">
        <v>521647</v>
      </c>
      <c r="M354" s="705">
        <v>300711</v>
      </c>
      <c r="N354" s="705">
        <v>161261</v>
      </c>
      <c r="O354" s="705">
        <v>59726</v>
      </c>
      <c r="P354" s="705">
        <v>2025</v>
      </c>
      <c r="Q354" s="705">
        <v>750</v>
      </c>
      <c r="R354" s="705">
        <v>524889</v>
      </c>
      <c r="S354" s="705">
        <v>194403</v>
      </c>
      <c r="T354" s="705">
        <v>2001</v>
      </c>
      <c r="U354">
        <v>741</v>
      </c>
      <c r="V354" s="705">
        <v>6496357</v>
      </c>
      <c r="W354" s="705">
        <f t="shared" si="24"/>
        <v>6496356</v>
      </c>
      <c r="X354" s="705">
        <f t="shared" si="25"/>
        <v>7745851</v>
      </c>
      <c r="Y354" s="705"/>
      <c r="AA354" t="s">
        <v>122</v>
      </c>
      <c r="AB354" t="s">
        <v>228</v>
      </c>
      <c r="AC354" s="705" t="s">
        <v>665</v>
      </c>
      <c r="AD354" s="705">
        <v>57</v>
      </c>
      <c r="AE354" s="705">
        <v>4901</v>
      </c>
      <c r="AF354" s="705">
        <v>23921</v>
      </c>
      <c r="AG354" s="705">
        <v>1335764</v>
      </c>
      <c r="AH354" s="705">
        <v>494728</v>
      </c>
      <c r="AI354" s="706">
        <v>100</v>
      </c>
      <c r="AJ354" s="705">
        <v>166613</v>
      </c>
      <c r="AK354" s="705">
        <v>146303</v>
      </c>
      <c r="AL354" s="705">
        <v>97988</v>
      </c>
      <c r="AM354" s="705">
        <v>36292</v>
      </c>
      <c r="AN354" s="705">
        <v>3632</v>
      </c>
      <c r="AO354" s="705">
        <v>1345</v>
      </c>
      <c r="AP354" s="705">
        <v>356701</v>
      </c>
      <c r="AQ354" s="705">
        <v>324274</v>
      </c>
      <c r="AR354" s="705">
        <v>93592</v>
      </c>
      <c r="AS354" s="705">
        <v>34664</v>
      </c>
      <c r="AT354" s="705">
        <v>1037605</v>
      </c>
      <c r="AU354" s="705">
        <f t="shared" si="26"/>
        <v>1037606</v>
      </c>
      <c r="AV354" s="705">
        <f t="shared" si="27"/>
        <v>2054290</v>
      </c>
    </row>
    <row r="355" spans="2:48" hidden="1">
      <c r="B355" t="s">
        <v>535</v>
      </c>
      <c r="C355" t="s">
        <v>124</v>
      </c>
      <c r="D355" t="s">
        <v>665</v>
      </c>
      <c r="E355" t="s">
        <v>583</v>
      </c>
      <c r="F355">
        <v>2</v>
      </c>
      <c r="G355" s="705">
        <v>192</v>
      </c>
      <c r="H355" s="705">
        <v>2798</v>
      </c>
      <c r="I355" s="705">
        <v>207423</v>
      </c>
      <c r="J355" s="705">
        <v>188566</v>
      </c>
      <c r="K355">
        <v>30</v>
      </c>
      <c r="L355" s="705">
        <v>16971</v>
      </c>
      <c r="M355" s="705">
        <v>6286</v>
      </c>
      <c r="N355" s="705">
        <v>3810</v>
      </c>
      <c r="O355" s="705">
        <v>1411</v>
      </c>
      <c r="P355" s="705">
        <v>621</v>
      </c>
      <c r="Q355" s="705">
        <v>230</v>
      </c>
      <c r="R355" s="705">
        <v>7260</v>
      </c>
      <c r="S355" s="705">
        <v>6600</v>
      </c>
      <c r="T355" s="705">
        <v>3081</v>
      </c>
      <c r="U355" s="705">
        <v>1141</v>
      </c>
      <c r="V355" s="705">
        <v>204234</v>
      </c>
      <c r="W355" s="705">
        <f t="shared" si="24"/>
        <v>204234</v>
      </c>
      <c r="X355" s="705">
        <f t="shared" si="25"/>
        <v>239166</v>
      </c>
      <c r="Y355" s="705"/>
      <c r="AA355" t="s">
        <v>122</v>
      </c>
      <c r="AB355" t="s">
        <v>228</v>
      </c>
      <c r="AC355" s="705" t="s">
        <v>673</v>
      </c>
      <c r="AD355" s="705">
        <v>1</v>
      </c>
      <c r="AE355" s="705">
        <v>84</v>
      </c>
      <c r="AF355" s="705">
        <v>440</v>
      </c>
      <c r="AG355" s="705">
        <v>24640</v>
      </c>
      <c r="AH355" s="705">
        <v>9126</v>
      </c>
      <c r="AI355" s="706">
        <v>100</v>
      </c>
      <c r="AJ355" s="705">
        <v>3718</v>
      </c>
      <c r="AK355" s="705">
        <v>3380</v>
      </c>
      <c r="AL355" s="705">
        <v>2046</v>
      </c>
      <c r="AM355" s="705">
        <v>758</v>
      </c>
      <c r="AN355" s="705">
        <v>0</v>
      </c>
      <c r="AO355" s="705">
        <v>0</v>
      </c>
      <c r="AP355" s="705">
        <v>4732</v>
      </c>
      <c r="AQ355" s="705">
        <v>4302</v>
      </c>
      <c r="AR355" s="705">
        <v>1773</v>
      </c>
      <c r="AS355" s="705">
        <v>657</v>
      </c>
      <c r="AT355" s="705">
        <v>18222</v>
      </c>
      <c r="AU355" s="705">
        <f t="shared" si="26"/>
        <v>18223</v>
      </c>
      <c r="AV355" s="705">
        <f t="shared" si="27"/>
        <v>36909</v>
      </c>
    </row>
    <row r="356" spans="2:48" hidden="1">
      <c r="B356" t="s">
        <v>535</v>
      </c>
      <c r="C356" t="s">
        <v>124</v>
      </c>
      <c r="D356" t="s">
        <v>665</v>
      </c>
      <c r="E356" t="s">
        <v>665</v>
      </c>
      <c r="F356" s="705">
        <v>238</v>
      </c>
      <c r="G356" s="705">
        <v>21379</v>
      </c>
      <c r="H356" s="705">
        <v>173931</v>
      </c>
      <c r="I356" s="705">
        <v>11478874</v>
      </c>
      <c r="J356" s="705">
        <v>10435340</v>
      </c>
      <c r="K356">
        <v>53</v>
      </c>
      <c r="L356" s="705">
        <v>1562739</v>
      </c>
      <c r="M356" s="705">
        <v>1162020</v>
      </c>
      <c r="N356" s="705">
        <v>466653</v>
      </c>
      <c r="O356" s="705">
        <v>172834</v>
      </c>
      <c r="P356" s="705">
        <v>82863</v>
      </c>
      <c r="Q356" s="705">
        <v>30690</v>
      </c>
      <c r="R356" s="705">
        <v>1389354</v>
      </c>
      <c r="S356" s="705">
        <v>1263049</v>
      </c>
      <c r="T356" s="705">
        <v>465055</v>
      </c>
      <c r="U356" s="705">
        <v>172243</v>
      </c>
      <c r="V356" s="705">
        <v>13236176</v>
      </c>
      <c r="W356" s="705">
        <f t="shared" si="24"/>
        <v>13236176</v>
      </c>
      <c r="X356" s="705">
        <f t="shared" si="25"/>
        <v>15445538</v>
      </c>
      <c r="Y356" s="705"/>
      <c r="AA356" t="s">
        <v>122</v>
      </c>
      <c r="AB356" t="s">
        <v>583</v>
      </c>
      <c r="AC356" s="705" t="s">
        <v>674</v>
      </c>
      <c r="AD356" s="705">
        <v>2</v>
      </c>
      <c r="AE356" s="705">
        <v>306</v>
      </c>
      <c r="AF356" s="705">
        <v>864</v>
      </c>
      <c r="AG356" s="705">
        <v>88138</v>
      </c>
      <c r="AH356" s="705">
        <v>80126</v>
      </c>
      <c r="AI356" s="706">
        <v>68</v>
      </c>
      <c r="AJ356" s="705">
        <v>14607</v>
      </c>
      <c r="AK356" s="705">
        <v>13279</v>
      </c>
      <c r="AL356" s="705">
        <v>7317</v>
      </c>
      <c r="AM356" s="705">
        <v>2710</v>
      </c>
      <c r="AN356" s="705">
        <v>1242</v>
      </c>
      <c r="AO356" s="705">
        <v>460</v>
      </c>
      <c r="AP356" s="705">
        <v>21077</v>
      </c>
      <c r="AQ356" s="705">
        <v>19161</v>
      </c>
      <c r="AR356" s="705">
        <v>0</v>
      </c>
      <c r="AS356" s="705">
        <v>0</v>
      </c>
      <c r="AT356" s="705">
        <v>115735</v>
      </c>
      <c r="AU356" s="705">
        <f t="shared" si="26"/>
        <v>115736</v>
      </c>
      <c r="AV356" s="705">
        <f t="shared" si="27"/>
        <v>132381</v>
      </c>
    </row>
    <row r="357" spans="2:48" hidden="1">
      <c r="B357" t="s">
        <v>535</v>
      </c>
      <c r="C357" t="s">
        <v>124</v>
      </c>
      <c r="D357" t="s">
        <v>673</v>
      </c>
      <c r="E357" t="s">
        <v>673</v>
      </c>
      <c r="F357">
        <v>4</v>
      </c>
      <c r="G357" s="705">
        <v>334</v>
      </c>
      <c r="H357" s="705">
        <v>2271</v>
      </c>
      <c r="I357" s="705">
        <v>163411</v>
      </c>
      <c r="J357" s="705">
        <v>148555</v>
      </c>
      <c r="K357">
        <v>58</v>
      </c>
      <c r="L357" s="705">
        <v>19384</v>
      </c>
      <c r="M357" s="705">
        <v>12195</v>
      </c>
      <c r="N357" s="705">
        <v>8442</v>
      </c>
      <c r="O357" s="705">
        <v>3127</v>
      </c>
      <c r="P357" s="705">
        <v>1674</v>
      </c>
      <c r="Q357" s="705">
        <v>620</v>
      </c>
      <c r="R357" s="705">
        <v>19243</v>
      </c>
      <c r="S357" s="705">
        <v>17493</v>
      </c>
      <c r="T357" s="705">
        <v>9437</v>
      </c>
      <c r="U357" s="705">
        <v>3495</v>
      </c>
      <c r="V357" s="705">
        <v>185486</v>
      </c>
      <c r="W357" s="705">
        <f t="shared" si="24"/>
        <v>185485</v>
      </c>
      <c r="X357" s="705">
        <f t="shared" si="25"/>
        <v>221591</v>
      </c>
      <c r="Y357" s="705"/>
      <c r="AA357" t="s">
        <v>122</v>
      </c>
      <c r="AB357" t="s">
        <v>583</v>
      </c>
      <c r="AC357" s="705" t="s">
        <v>664</v>
      </c>
      <c r="AD357" s="705">
        <v>6</v>
      </c>
      <c r="AE357" s="705">
        <v>732</v>
      </c>
      <c r="AF357" s="705">
        <v>2478</v>
      </c>
      <c r="AG357" s="705">
        <v>205539</v>
      </c>
      <c r="AH357" s="705">
        <v>186853</v>
      </c>
      <c r="AI357" s="706">
        <v>69</v>
      </c>
      <c r="AJ357" s="705">
        <v>39804</v>
      </c>
      <c r="AK357" s="705">
        <v>36185</v>
      </c>
      <c r="AL357" s="705">
        <v>14572</v>
      </c>
      <c r="AM357" s="705">
        <v>5397</v>
      </c>
      <c r="AN357" s="705">
        <v>4428</v>
      </c>
      <c r="AO357" s="705">
        <v>1640</v>
      </c>
      <c r="AP357" s="705">
        <v>28594</v>
      </c>
      <c r="AQ357" s="705">
        <v>25995</v>
      </c>
      <c r="AR357" s="705">
        <v>9450</v>
      </c>
      <c r="AS357" s="705">
        <v>3500</v>
      </c>
      <c r="AT357" s="705">
        <v>259570</v>
      </c>
      <c r="AU357" s="705">
        <f t="shared" si="26"/>
        <v>259570</v>
      </c>
      <c r="AV357" s="705">
        <f t="shared" si="27"/>
        <v>302387</v>
      </c>
    </row>
    <row r="358" spans="2:48" hidden="1">
      <c r="B358" t="s">
        <v>537</v>
      </c>
      <c r="C358" t="s">
        <v>108</v>
      </c>
      <c r="D358" t="s">
        <v>582</v>
      </c>
      <c r="E358" t="s">
        <v>582</v>
      </c>
      <c r="F358">
        <v>6</v>
      </c>
      <c r="G358" s="705">
        <v>1044</v>
      </c>
      <c r="H358" s="705">
        <v>352</v>
      </c>
      <c r="I358" s="705">
        <v>15572</v>
      </c>
      <c r="J358" s="705">
        <v>14156</v>
      </c>
      <c r="K358">
        <v>91</v>
      </c>
      <c r="L358" s="705">
        <v>1314</v>
      </c>
      <c r="M358" s="705">
        <v>3292</v>
      </c>
      <c r="N358" s="705">
        <v>14789</v>
      </c>
      <c r="O358" s="705">
        <v>5477</v>
      </c>
      <c r="P358" s="705">
        <v>7680</v>
      </c>
      <c r="Q358" s="705">
        <v>2844</v>
      </c>
      <c r="R358" s="705">
        <v>23326</v>
      </c>
      <c r="S358" s="705">
        <v>21206</v>
      </c>
      <c r="T358" s="705">
        <v>0</v>
      </c>
      <c r="U358" s="705">
        <v>0</v>
      </c>
      <c r="V358" s="705">
        <v>46976</v>
      </c>
      <c r="W358" s="705">
        <f t="shared" si="24"/>
        <v>46975</v>
      </c>
      <c r="X358" s="705">
        <f t="shared" si="25"/>
        <v>62681</v>
      </c>
      <c r="Y358" s="705"/>
      <c r="AA358" t="s">
        <v>122</v>
      </c>
      <c r="AB358" t="s">
        <v>583</v>
      </c>
      <c r="AC358" s="705" t="s">
        <v>228</v>
      </c>
      <c r="AD358" s="705">
        <v>99</v>
      </c>
      <c r="AE358" s="705">
        <v>11981</v>
      </c>
      <c r="AF358" s="705">
        <v>41192</v>
      </c>
      <c r="AG358" s="705">
        <v>3409676</v>
      </c>
      <c r="AH358" s="705">
        <v>3099706</v>
      </c>
      <c r="AI358" s="706">
        <v>76</v>
      </c>
      <c r="AJ358" s="705">
        <v>609615</v>
      </c>
      <c r="AK358" s="705">
        <v>541444</v>
      </c>
      <c r="AL358" s="705">
        <v>266099</v>
      </c>
      <c r="AM358" s="705">
        <v>98555</v>
      </c>
      <c r="AN358" s="705">
        <v>63086</v>
      </c>
      <c r="AO358" s="705">
        <v>23365</v>
      </c>
      <c r="AP358" s="705">
        <v>725122</v>
      </c>
      <c r="AQ358" s="705">
        <v>268564</v>
      </c>
      <c r="AR358" s="705">
        <v>5570</v>
      </c>
      <c r="AS358" s="705">
        <v>2063</v>
      </c>
      <c r="AT358" s="705">
        <v>4033696</v>
      </c>
      <c r="AU358" s="705">
        <f t="shared" si="26"/>
        <v>4033697</v>
      </c>
      <c r="AV358" s="705">
        <f t="shared" si="27"/>
        <v>5079168</v>
      </c>
    </row>
    <row r="359" spans="2:48" hidden="1">
      <c r="B359" t="s">
        <v>537</v>
      </c>
      <c r="C359" t="s">
        <v>108</v>
      </c>
      <c r="D359" t="s">
        <v>228</v>
      </c>
      <c r="E359" t="s">
        <v>582</v>
      </c>
      <c r="F359">
        <v>1</v>
      </c>
      <c r="G359">
        <v>449</v>
      </c>
      <c r="H359" s="705">
        <v>67</v>
      </c>
      <c r="I359" s="705">
        <v>8908</v>
      </c>
      <c r="J359" s="705">
        <v>3299</v>
      </c>
      <c r="K359">
        <v>322</v>
      </c>
      <c r="L359" s="705">
        <v>1621</v>
      </c>
      <c r="M359" s="705">
        <v>1474</v>
      </c>
      <c r="N359" s="705">
        <v>7653</v>
      </c>
      <c r="O359" s="705">
        <v>2834</v>
      </c>
      <c r="P359" s="705">
        <v>5665</v>
      </c>
      <c r="Q359" s="705">
        <v>2098</v>
      </c>
      <c r="R359" s="705">
        <v>6421</v>
      </c>
      <c r="S359" s="705">
        <v>5838</v>
      </c>
      <c r="T359" s="705">
        <v>0</v>
      </c>
      <c r="U359" s="705">
        <v>0</v>
      </c>
      <c r="V359" s="705">
        <v>15543</v>
      </c>
      <c r="W359" s="705">
        <f t="shared" si="24"/>
        <v>15543</v>
      </c>
      <c r="X359" s="705">
        <f t="shared" si="25"/>
        <v>30268</v>
      </c>
      <c r="Y359" s="705"/>
      <c r="AA359" t="s">
        <v>122</v>
      </c>
      <c r="AB359" t="s">
        <v>583</v>
      </c>
      <c r="AC359" s="705" t="s">
        <v>583</v>
      </c>
      <c r="AD359" s="705">
        <v>9120</v>
      </c>
      <c r="AE359" s="705">
        <v>1075556</v>
      </c>
      <c r="AF359" s="705">
        <v>3782661</v>
      </c>
      <c r="AG359" s="705">
        <v>298991709</v>
      </c>
      <c r="AH359" s="705">
        <v>271810644</v>
      </c>
      <c r="AI359" s="706">
        <v>76</v>
      </c>
      <c r="AJ359" s="705">
        <v>60174245</v>
      </c>
      <c r="AK359" s="705">
        <v>53363880</v>
      </c>
      <c r="AL359" s="705">
        <v>23038562</v>
      </c>
      <c r="AM359" s="705">
        <v>8532801</v>
      </c>
      <c r="AN359" s="705">
        <v>5911630</v>
      </c>
      <c r="AO359" s="705">
        <v>2189493</v>
      </c>
      <c r="AP359" s="705">
        <v>47760700</v>
      </c>
      <c r="AQ359" s="705">
        <v>43418818</v>
      </c>
      <c r="AR359" s="705">
        <v>16517821</v>
      </c>
      <c r="AS359" s="705">
        <v>6117711</v>
      </c>
      <c r="AT359" s="705">
        <v>385433346</v>
      </c>
      <c r="AU359" s="705">
        <f t="shared" si="26"/>
        <v>385433347</v>
      </c>
      <c r="AV359" s="705">
        <f t="shared" si="27"/>
        <v>452394667</v>
      </c>
    </row>
    <row r="360" spans="2:48" hidden="1">
      <c r="B360" t="s">
        <v>537</v>
      </c>
      <c r="C360" t="s">
        <v>108</v>
      </c>
      <c r="D360" t="s">
        <v>228</v>
      </c>
      <c r="E360" t="s">
        <v>228</v>
      </c>
      <c r="F360">
        <v>818</v>
      </c>
      <c r="G360" s="705">
        <v>169224</v>
      </c>
      <c r="H360" s="705">
        <v>44109</v>
      </c>
      <c r="I360" s="705">
        <v>927678</v>
      </c>
      <c r="J360" s="705">
        <v>343585</v>
      </c>
      <c r="K360">
        <v>460</v>
      </c>
      <c r="L360" s="705">
        <v>251882</v>
      </c>
      <c r="M360" s="705">
        <v>221657</v>
      </c>
      <c r="N360" s="705">
        <v>2258258</v>
      </c>
      <c r="O360" s="705">
        <v>836392</v>
      </c>
      <c r="P360" s="705">
        <v>1246964</v>
      </c>
      <c r="Q360" s="705">
        <v>461839</v>
      </c>
      <c r="R360" s="705">
        <v>4325056</v>
      </c>
      <c r="S360" s="705">
        <v>1601873</v>
      </c>
      <c r="T360" s="705">
        <v>3125</v>
      </c>
      <c r="U360" s="705">
        <v>1157</v>
      </c>
      <c r="V360" s="705">
        <v>3466503</v>
      </c>
      <c r="W360" s="705">
        <f t="shared" si="24"/>
        <v>3466503</v>
      </c>
      <c r="X360" s="705">
        <f t="shared" si="25"/>
        <v>9012963</v>
      </c>
      <c r="Y360" s="705"/>
      <c r="AA360" t="s">
        <v>122</v>
      </c>
      <c r="AB360" t="s">
        <v>583</v>
      </c>
      <c r="AC360" s="705" t="s">
        <v>666</v>
      </c>
      <c r="AD360" s="705">
        <v>6</v>
      </c>
      <c r="AE360" s="705">
        <v>543</v>
      </c>
      <c r="AF360" s="705">
        <v>2480</v>
      </c>
      <c r="AG360" s="705">
        <v>137113</v>
      </c>
      <c r="AH360" s="705">
        <v>124648</v>
      </c>
      <c r="AI360" s="706">
        <v>77</v>
      </c>
      <c r="AJ360" s="705">
        <v>31131</v>
      </c>
      <c r="AK360" s="705">
        <v>28301</v>
      </c>
      <c r="AL360" s="705">
        <v>12186</v>
      </c>
      <c r="AM360" s="705">
        <v>4513</v>
      </c>
      <c r="AN360" s="705">
        <v>3807</v>
      </c>
      <c r="AO360" s="705">
        <v>1410</v>
      </c>
      <c r="AP360" s="705">
        <v>29589</v>
      </c>
      <c r="AQ360" s="705">
        <v>26899</v>
      </c>
      <c r="AR360" s="705">
        <v>11962</v>
      </c>
      <c r="AS360" s="705">
        <v>4431</v>
      </c>
      <c r="AT360" s="705">
        <v>190202</v>
      </c>
      <c r="AU360" s="705">
        <f t="shared" si="26"/>
        <v>190202</v>
      </c>
      <c r="AV360" s="705">
        <f t="shared" si="27"/>
        <v>225788</v>
      </c>
    </row>
    <row r="361" spans="2:48" hidden="1">
      <c r="B361" t="s">
        <v>537</v>
      </c>
      <c r="C361" t="s">
        <v>108</v>
      </c>
      <c r="D361" t="s">
        <v>228</v>
      </c>
      <c r="E361" t="s">
        <v>583</v>
      </c>
      <c r="F361">
        <v>1</v>
      </c>
      <c r="G361" s="705">
        <v>569</v>
      </c>
      <c r="H361" s="705">
        <v>75</v>
      </c>
      <c r="I361" s="705">
        <v>23420</v>
      </c>
      <c r="J361" s="705">
        <v>8674</v>
      </c>
      <c r="K361">
        <v>250</v>
      </c>
      <c r="L361" s="705">
        <v>4078</v>
      </c>
      <c r="M361" s="705">
        <v>3707</v>
      </c>
      <c r="N361" s="705">
        <v>6933</v>
      </c>
      <c r="O361" s="705">
        <v>2568</v>
      </c>
      <c r="P361" s="705">
        <v>5914</v>
      </c>
      <c r="Q361" s="705">
        <v>2190</v>
      </c>
      <c r="R361" s="705">
        <v>2166</v>
      </c>
      <c r="S361" s="705">
        <v>1969</v>
      </c>
      <c r="T361" s="705">
        <v>0</v>
      </c>
      <c r="U361" s="705">
        <v>0</v>
      </c>
      <c r="V361" s="705">
        <v>19108</v>
      </c>
      <c r="W361" s="705">
        <f t="shared" si="24"/>
        <v>19108</v>
      </c>
      <c r="X361" s="705">
        <f t="shared" si="25"/>
        <v>42511</v>
      </c>
      <c r="Y361" s="705"/>
      <c r="AA361" t="s">
        <v>122</v>
      </c>
      <c r="AB361" t="s">
        <v>583</v>
      </c>
      <c r="AC361" s="705" t="s">
        <v>584</v>
      </c>
      <c r="AD361" s="705">
        <v>7</v>
      </c>
      <c r="AE361" s="705">
        <v>1807</v>
      </c>
      <c r="AF361" s="705">
        <v>2865</v>
      </c>
      <c r="AG361" s="705">
        <v>488854</v>
      </c>
      <c r="AH361" s="705">
        <v>444413</v>
      </c>
      <c r="AI361" s="706">
        <v>78</v>
      </c>
      <c r="AJ361" s="705">
        <v>130554</v>
      </c>
      <c r="AK361" s="705">
        <v>114855</v>
      </c>
      <c r="AL361" s="705">
        <v>39734</v>
      </c>
      <c r="AM361" s="705">
        <v>14716</v>
      </c>
      <c r="AN361" s="705">
        <v>4469</v>
      </c>
      <c r="AO361" s="705">
        <v>1655</v>
      </c>
      <c r="AP361" s="705">
        <v>48338</v>
      </c>
      <c r="AQ361" s="705">
        <v>43943</v>
      </c>
      <c r="AR361" s="705">
        <v>9015</v>
      </c>
      <c r="AS361" s="705">
        <v>3339</v>
      </c>
      <c r="AT361" s="705">
        <v>622921</v>
      </c>
      <c r="AU361" s="705">
        <f t="shared" si="26"/>
        <v>622921</v>
      </c>
      <c r="AV361" s="705">
        <f t="shared" si="27"/>
        <v>720964</v>
      </c>
    </row>
    <row r="362" spans="2:48" hidden="1">
      <c r="B362" t="s">
        <v>537</v>
      </c>
      <c r="C362" t="s">
        <v>108</v>
      </c>
      <c r="D362" t="s">
        <v>228</v>
      </c>
      <c r="E362" t="s">
        <v>584</v>
      </c>
      <c r="F362">
        <v>8</v>
      </c>
      <c r="G362" s="705">
        <v>1651</v>
      </c>
      <c r="H362" s="705">
        <v>403</v>
      </c>
      <c r="I362" s="705">
        <v>17179</v>
      </c>
      <c r="J362" s="705">
        <v>6363</v>
      </c>
      <c r="K362">
        <v>422</v>
      </c>
      <c r="L362" s="705">
        <v>3160</v>
      </c>
      <c r="M362" s="705">
        <v>2698</v>
      </c>
      <c r="N362" s="705">
        <v>20114</v>
      </c>
      <c r="O362" s="705">
        <v>7450</v>
      </c>
      <c r="P362" s="705">
        <v>15985</v>
      </c>
      <c r="Q362" s="705">
        <v>5920</v>
      </c>
      <c r="R362" s="705">
        <v>25917</v>
      </c>
      <c r="S362" s="705">
        <v>23561</v>
      </c>
      <c r="T362" s="705">
        <v>0</v>
      </c>
      <c r="U362" s="705">
        <v>0</v>
      </c>
      <c r="V362" s="705">
        <v>45991</v>
      </c>
      <c r="W362" s="705">
        <f t="shared" si="24"/>
        <v>45992</v>
      </c>
      <c r="X362" s="705">
        <f t="shared" si="25"/>
        <v>82355</v>
      </c>
      <c r="Y362" s="705"/>
      <c r="AA362" t="s">
        <v>122</v>
      </c>
      <c r="AB362" t="s">
        <v>583</v>
      </c>
      <c r="AC362" s="705" t="s">
        <v>669</v>
      </c>
      <c r="AD362" s="705">
        <v>4</v>
      </c>
      <c r="AE362" s="705">
        <v>497</v>
      </c>
      <c r="AF362" s="705">
        <v>1639</v>
      </c>
      <c r="AG362" s="705">
        <v>131243</v>
      </c>
      <c r="AH362" s="705">
        <v>119312</v>
      </c>
      <c r="AI362" s="706">
        <v>74</v>
      </c>
      <c r="AJ362" s="705">
        <v>28046</v>
      </c>
      <c r="AK362" s="705">
        <v>24811</v>
      </c>
      <c r="AL362" s="705">
        <v>11199</v>
      </c>
      <c r="AM362" s="705">
        <v>4148</v>
      </c>
      <c r="AN362" s="705">
        <v>2484</v>
      </c>
      <c r="AO362" s="705">
        <v>920</v>
      </c>
      <c r="AP362" s="705">
        <v>22675</v>
      </c>
      <c r="AQ362" s="705">
        <v>18896</v>
      </c>
      <c r="AR362" s="705">
        <v>8995</v>
      </c>
      <c r="AS362" s="705">
        <v>3332</v>
      </c>
      <c r="AT362" s="705">
        <v>171418</v>
      </c>
      <c r="AU362" s="705">
        <f t="shared" si="26"/>
        <v>171419</v>
      </c>
      <c r="AV362" s="705">
        <f t="shared" si="27"/>
        <v>204642</v>
      </c>
    </row>
    <row r="363" spans="2:48" hidden="1">
      <c r="B363" t="s">
        <v>537</v>
      </c>
      <c r="C363" t="s">
        <v>108</v>
      </c>
      <c r="D363" t="s">
        <v>670</v>
      </c>
      <c r="E363" t="s">
        <v>670</v>
      </c>
      <c r="F363">
        <v>1</v>
      </c>
      <c r="G363" s="705">
        <v>150</v>
      </c>
      <c r="H363" s="705">
        <v>74</v>
      </c>
      <c r="I363" s="705">
        <v>3203</v>
      </c>
      <c r="J363" s="705">
        <v>1186</v>
      </c>
      <c r="K363">
        <v>320</v>
      </c>
      <c r="L363" s="705">
        <v>580</v>
      </c>
      <c r="M363" s="705">
        <v>527</v>
      </c>
      <c r="N363" s="705">
        <v>1833</v>
      </c>
      <c r="O363" s="705">
        <v>679</v>
      </c>
      <c r="P363" s="705">
        <v>1625</v>
      </c>
      <c r="Q363" s="705">
        <v>602</v>
      </c>
      <c r="R363" s="705">
        <v>3851</v>
      </c>
      <c r="S363" s="705">
        <v>1426</v>
      </c>
      <c r="T363" s="705">
        <v>0</v>
      </c>
      <c r="U363" s="705">
        <v>0</v>
      </c>
      <c r="V363" s="705">
        <v>4421</v>
      </c>
      <c r="W363" s="705">
        <f t="shared" si="24"/>
        <v>4420</v>
      </c>
      <c r="X363" s="705">
        <f t="shared" si="25"/>
        <v>11092</v>
      </c>
      <c r="Y363" s="705"/>
      <c r="AA363" t="s">
        <v>122</v>
      </c>
      <c r="AB363" t="s">
        <v>583</v>
      </c>
      <c r="AC363" s="705" t="s">
        <v>671</v>
      </c>
      <c r="AD363" s="705">
        <v>5</v>
      </c>
      <c r="AE363" s="705">
        <v>528</v>
      </c>
      <c r="AF363" s="705">
        <v>2037</v>
      </c>
      <c r="AG363" s="705">
        <v>156681</v>
      </c>
      <c r="AH363" s="705">
        <v>142437</v>
      </c>
      <c r="AI363" s="706">
        <v>71</v>
      </c>
      <c r="AJ363" s="705">
        <v>29752</v>
      </c>
      <c r="AK363" s="705">
        <v>20103</v>
      </c>
      <c r="AL363" s="705">
        <v>14134</v>
      </c>
      <c r="AM363" s="705">
        <v>5235</v>
      </c>
      <c r="AN363" s="705">
        <v>3105</v>
      </c>
      <c r="AO363" s="705">
        <v>1150</v>
      </c>
      <c r="AP363" s="705">
        <v>49898</v>
      </c>
      <c r="AQ363" s="705">
        <v>45362</v>
      </c>
      <c r="AR363" s="705">
        <v>2522</v>
      </c>
      <c r="AS363" s="705">
        <v>934</v>
      </c>
      <c r="AT363" s="705">
        <v>215221</v>
      </c>
      <c r="AU363" s="705">
        <f t="shared" si="26"/>
        <v>215221</v>
      </c>
      <c r="AV363" s="705">
        <f t="shared" si="27"/>
        <v>256092</v>
      </c>
    </row>
    <row r="364" spans="2:48" hidden="1">
      <c r="B364" t="s">
        <v>537</v>
      </c>
      <c r="C364" t="s">
        <v>108</v>
      </c>
      <c r="D364" t="s">
        <v>583</v>
      </c>
      <c r="E364" t="s">
        <v>664</v>
      </c>
      <c r="F364">
        <v>1</v>
      </c>
      <c r="G364" s="705">
        <v>150</v>
      </c>
      <c r="H364" s="705">
        <v>71</v>
      </c>
      <c r="I364" s="705">
        <v>3806</v>
      </c>
      <c r="J364" s="705">
        <v>3460</v>
      </c>
      <c r="K364">
        <v>93</v>
      </c>
      <c r="L364" s="705">
        <v>627</v>
      </c>
      <c r="M364" s="705">
        <v>570</v>
      </c>
      <c r="N364" s="705">
        <v>1831</v>
      </c>
      <c r="O364" s="705">
        <v>678</v>
      </c>
      <c r="P364" s="705">
        <v>1901</v>
      </c>
      <c r="Q364" s="705">
        <v>704</v>
      </c>
      <c r="R364" s="705">
        <v>2507</v>
      </c>
      <c r="S364" s="705">
        <v>2279</v>
      </c>
      <c r="T364" s="705">
        <v>0</v>
      </c>
      <c r="U364" s="705">
        <v>0</v>
      </c>
      <c r="V364" s="705">
        <v>7692</v>
      </c>
      <c r="W364" s="705">
        <f t="shared" si="24"/>
        <v>7691</v>
      </c>
      <c r="X364" s="705">
        <f t="shared" si="25"/>
        <v>10672</v>
      </c>
      <c r="Y364" s="705"/>
      <c r="AA364" t="s">
        <v>122</v>
      </c>
      <c r="AB364" t="s">
        <v>583</v>
      </c>
      <c r="AC364" s="705" t="s">
        <v>665</v>
      </c>
      <c r="AD364" s="705">
        <v>19</v>
      </c>
      <c r="AE364" s="705">
        <v>2130</v>
      </c>
      <c r="AF364" s="705">
        <v>7970</v>
      </c>
      <c r="AG364" s="705">
        <v>579796</v>
      </c>
      <c r="AH364" s="705">
        <v>527088</v>
      </c>
      <c r="AI364" s="706">
        <v>75</v>
      </c>
      <c r="AJ364" s="705">
        <v>107075</v>
      </c>
      <c r="AK364" s="705">
        <v>101264</v>
      </c>
      <c r="AL364" s="705">
        <v>44548</v>
      </c>
      <c r="AM364" s="705">
        <v>16499</v>
      </c>
      <c r="AN364" s="705">
        <v>11880</v>
      </c>
      <c r="AO364" s="705">
        <v>4400</v>
      </c>
      <c r="AP364" s="705">
        <v>126285</v>
      </c>
      <c r="AQ364" s="705">
        <v>114804</v>
      </c>
      <c r="AR364" s="705">
        <v>36352</v>
      </c>
      <c r="AS364" s="705">
        <v>13464</v>
      </c>
      <c r="AT364" s="705">
        <v>777519</v>
      </c>
      <c r="AU364" s="705">
        <f t="shared" si="26"/>
        <v>777519</v>
      </c>
      <c r="AV364" s="705">
        <f t="shared" si="27"/>
        <v>905936</v>
      </c>
    </row>
    <row r="365" spans="2:48" hidden="1">
      <c r="B365" t="s">
        <v>537</v>
      </c>
      <c r="C365" t="s">
        <v>108</v>
      </c>
      <c r="D365" t="s">
        <v>583</v>
      </c>
      <c r="E365" t="s">
        <v>228</v>
      </c>
      <c r="F365">
        <v>2</v>
      </c>
      <c r="G365" s="705">
        <v>480</v>
      </c>
      <c r="H365" s="705">
        <v>136</v>
      </c>
      <c r="I365" s="705">
        <v>12235</v>
      </c>
      <c r="J365" s="705">
        <v>11123</v>
      </c>
      <c r="K365">
        <v>94</v>
      </c>
      <c r="L365" s="705">
        <v>2134</v>
      </c>
      <c r="M365" s="705">
        <v>1940</v>
      </c>
      <c r="N365" s="705">
        <v>5852</v>
      </c>
      <c r="O365" s="705">
        <v>2168</v>
      </c>
      <c r="P365" s="705">
        <v>1242</v>
      </c>
      <c r="Q365" s="705">
        <v>460</v>
      </c>
      <c r="R365" s="705">
        <v>11723</v>
      </c>
      <c r="S365" s="705">
        <v>4342</v>
      </c>
      <c r="T365" s="705">
        <v>0</v>
      </c>
      <c r="U365" s="705">
        <v>0</v>
      </c>
      <c r="V365" s="705">
        <v>20033</v>
      </c>
      <c r="W365" s="705">
        <f t="shared" si="24"/>
        <v>20033</v>
      </c>
      <c r="X365" s="705">
        <f t="shared" si="25"/>
        <v>33186</v>
      </c>
      <c r="Y365" s="705"/>
      <c r="AA365" t="s">
        <v>122</v>
      </c>
      <c r="AB365" t="s">
        <v>666</v>
      </c>
      <c r="AC365" s="705" t="s">
        <v>228</v>
      </c>
      <c r="AD365" s="705">
        <v>12</v>
      </c>
      <c r="AE365" s="705">
        <v>1249</v>
      </c>
      <c r="AF365" s="705">
        <v>4998</v>
      </c>
      <c r="AG365" s="705">
        <v>357810</v>
      </c>
      <c r="AH365" s="705">
        <v>325282</v>
      </c>
      <c r="AI365" s="706">
        <v>58</v>
      </c>
      <c r="AJ365" s="705">
        <v>34977</v>
      </c>
      <c r="AK365" s="705">
        <v>37781</v>
      </c>
      <c r="AL365" s="705">
        <v>24649</v>
      </c>
      <c r="AM365" s="705">
        <v>9129</v>
      </c>
      <c r="AN365" s="705">
        <v>2457</v>
      </c>
      <c r="AO365" s="705">
        <v>910</v>
      </c>
      <c r="AP365" s="705">
        <v>104544</v>
      </c>
      <c r="AQ365" s="705">
        <v>38720</v>
      </c>
      <c r="AR365" s="705">
        <v>0</v>
      </c>
      <c r="AS365" s="705">
        <v>0</v>
      </c>
      <c r="AT365" s="705">
        <v>411822</v>
      </c>
      <c r="AU365" s="705">
        <f t="shared" si="26"/>
        <v>411822</v>
      </c>
      <c r="AV365" s="705">
        <f t="shared" si="27"/>
        <v>524437</v>
      </c>
    </row>
    <row r="366" spans="2:48" hidden="1">
      <c r="B366" t="s">
        <v>537</v>
      </c>
      <c r="C366" t="s">
        <v>108</v>
      </c>
      <c r="D366" t="s">
        <v>583</v>
      </c>
      <c r="E366" t="s">
        <v>583</v>
      </c>
      <c r="F366" s="705">
        <v>253</v>
      </c>
      <c r="G366" s="705">
        <v>52214</v>
      </c>
      <c r="H366" s="705">
        <v>15492</v>
      </c>
      <c r="I366" s="705">
        <v>1209822</v>
      </c>
      <c r="J366" s="705">
        <v>1099838</v>
      </c>
      <c r="K366">
        <v>95</v>
      </c>
      <c r="L366" s="705">
        <v>181229</v>
      </c>
      <c r="M366" s="705">
        <v>163859</v>
      </c>
      <c r="N366" s="705">
        <v>661481</v>
      </c>
      <c r="O366" s="705">
        <v>244993</v>
      </c>
      <c r="P366" s="705">
        <v>281554</v>
      </c>
      <c r="Q366" s="705">
        <v>104279</v>
      </c>
      <c r="R366" s="705">
        <v>901784</v>
      </c>
      <c r="S366" s="705">
        <v>819804</v>
      </c>
      <c r="T366" s="705">
        <v>0</v>
      </c>
      <c r="U366" s="705">
        <v>0</v>
      </c>
      <c r="V366" s="705">
        <v>2432773</v>
      </c>
      <c r="W366" s="705">
        <f t="shared" si="24"/>
        <v>2432773</v>
      </c>
      <c r="X366" s="705">
        <f t="shared" si="25"/>
        <v>3235870</v>
      </c>
      <c r="Y366" s="705"/>
      <c r="AA366" t="s">
        <v>122</v>
      </c>
      <c r="AB366" t="s">
        <v>666</v>
      </c>
      <c r="AC366" s="705" t="s">
        <v>583</v>
      </c>
      <c r="AD366" s="705">
        <v>4</v>
      </c>
      <c r="AE366" s="705">
        <v>521</v>
      </c>
      <c r="AF366" s="705">
        <v>1703</v>
      </c>
      <c r="AG366" s="705">
        <v>144455</v>
      </c>
      <c r="AH366" s="705">
        <v>131323</v>
      </c>
      <c r="AI366" s="706">
        <v>72</v>
      </c>
      <c r="AJ366" s="705">
        <v>38847</v>
      </c>
      <c r="AK366" s="705">
        <v>28148</v>
      </c>
      <c r="AL366" s="705">
        <v>11374</v>
      </c>
      <c r="AM366" s="705">
        <v>4213</v>
      </c>
      <c r="AN366" s="705">
        <v>2214</v>
      </c>
      <c r="AO366" s="705">
        <v>820</v>
      </c>
      <c r="AP366" s="705">
        <v>18967</v>
      </c>
      <c r="AQ366" s="705">
        <v>17242</v>
      </c>
      <c r="AR366" s="705">
        <v>8128</v>
      </c>
      <c r="AS366" s="705">
        <v>3010</v>
      </c>
      <c r="AT366" s="705">
        <v>184755</v>
      </c>
      <c r="AU366" s="705">
        <f t="shared" si="26"/>
        <v>184756</v>
      </c>
      <c r="AV366" s="705">
        <f t="shared" si="27"/>
        <v>223985</v>
      </c>
    </row>
    <row r="367" spans="2:48" hidden="1">
      <c r="B367" t="s">
        <v>537</v>
      </c>
      <c r="C367" t="s">
        <v>108</v>
      </c>
      <c r="D367" t="s">
        <v>584</v>
      </c>
      <c r="E367" t="s">
        <v>584</v>
      </c>
      <c r="F367">
        <v>333</v>
      </c>
      <c r="G367" s="705">
        <v>58910</v>
      </c>
      <c r="H367" s="705">
        <v>19736</v>
      </c>
      <c r="I367" s="705">
        <v>1135627</v>
      </c>
      <c r="J367" s="705">
        <v>1032388</v>
      </c>
      <c r="K367">
        <v>91</v>
      </c>
      <c r="L367" s="705">
        <v>193724</v>
      </c>
      <c r="M367" s="705">
        <v>168211</v>
      </c>
      <c r="N367" s="705">
        <v>737922</v>
      </c>
      <c r="O367" s="705">
        <v>273304</v>
      </c>
      <c r="P367" s="705">
        <v>437782</v>
      </c>
      <c r="Q367" s="705">
        <v>162142</v>
      </c>
      <c r="R367" s="705">
        <v>972325</v>
      </c>
      <c r="S367" s="705">
        <v>883931</v>
      </c>
      <c r="T367" s="705">
        <v>2340</v>
      </c>
      <c r="U367">
        <v>867</v>
      </c>
      <c r="V367" s="705">
        <v>2520843</v>
      </c>
      <c r="W367" s="705">
        <f t="shared" si="24"/>
        <v>2520843</v>
      </c>
      <c r="X367" s="705">
        <f t="shared" si="25"/>
        <v>3479720</v>
      </c>
      <c r="Y367" s="705"/>
      <c r="AA367" t="s">
        <v>122</v>
      </c>
      <c r="AB367" t="s">
        <v>666</v>
      </c>
      <c r="AC367" s="705" t="s">
        <v>666</v>
      </c>
      <c r="AD367" s="705">
        <v>143</v>
      </c>
      <c r="AE367" s="705">
        <v>13321</v>
      </c>
      <c r="AF367" s="705">
        <v>59199</v>
      </c>
      <c r="AG367" s="705">
        <v>3706087</v>
      </c>
      <c r="AH367" s="705">
        <v>3369170</v>
      </c>
      <c r="AI367" s="706">
        <v>55</v>
      </c>
      <c r="AJ367" s="705">
        <v>497961</v>
      </c>
      <c r="AK367" s="705">
        <v>420529</v>
      </c>
      <c r="AL367" s="705">
        <v>281190</v>
      </c>
      <c r="AM367" s="705">
        <v>104144</v>
      </c>
      <c r="AN367" s="705">
        <v>50757</v>
      </c>
      <c r="AO367" s="705">
        <v>18799</v>
      </c>
      <c r="AP367" s="705">
        <v>885364</v>
      </c>
      <c r="AQ367" s="705">
        <v>804876</v>
      </c>
      <c r="AR367" s="705">
        <v>292267</v>
      </c>
      <c r="AS367" s="705">
        <v>108247</v>
      </c>
      <c r="AT367" s="705">
        <v>4825766</v>
      </c>
      <c r="AU367" s="705">
        <f t="shared" si="26"/>
        <v>4825765</v>
      </c>
      <c r="AV367" s="705">
        <f t="shared" si="27"/>
        <v>5713626</v>
      </c>
    </row>
    <row r="368" spans="2:48" hidden="1">
      <c r="B368" t="s">
        <v>537</v>
      </c>
      <c r="C368" t="s">
        <v>108</v>
      </c>
      <c r="D368" t="s">
        <v>673</v>
      </c>
      <c r="E368" t="s">
        <v>673</v>
      </c>
      <c r="F368">
        <v>2</v>
      </c>
      <c r="G368" s="705">
        <v>642</v>
      </c>
      <c r="H368" s="705">
        <v>93</v>
      </c>
      <c r="I368" s="705">
        <v>4005</v>
      </c>
      <c r="J368" s="705">
        <v>3641</v>
      </c>
      <c r="K368">
        <v>81</v>
      </c>
      <c r="L368" s="705">
        <v>1178</v>
      </c>
      <c r="M368" s="705">
        <v>1071</v>
      </c>
      <c r="N368" s="705">
        <v>7825</v>
      </c>
      <c r="O368" s="705">
        <v>2898</v>
      </c>
      <c r="P368" s="705">
        <v>6820</v>
      </c>
      <c r="Q368" s="705">
        <v>2526</v>
      </c>
      <c r="R368" s="705">
        <v>9961</v>
      </c>
      <c r="S368" s="705">
        <v>9056</v>
      </c>
      <c r="T368" s="705">
        <v>0</v>
      </c>
      <c r="U368" s="705">
        <v>0</v>
      </c>
      <c r="V368" s="705">
        <v>19192</v>
      </c>
      <c r="W368" s="705">
        <f t="shared" si="24"/>
        <v>19192</v>
      </c>
      <c r="X368" s="705">
        <f t="shared" si="25"/>
        <v>29789</v>
      </c>
      <c r="Y368" s="705"/>
      <c r="AA368" t="s">
        <v>122</v>
      </c>
      <c r="AB368" t="s">
        <v>584</v>
      </c>
      <c r="AC368" s="705" t="s">
        <v>228</v>
      </c>
      <c r="AD368" s="705">
        <v>15</v>
      </c>
      <c r="AE368" s="705">
        <v>1807</v>
      </c>
      <c r="AF368" s="705">
        <v>6144</v>
      </c>
      <c r="AG368" s="705">
        <v>480277</v>
      </c>
      <c r="AH368" s="705">
        <v>436615</v>
      </c>
      <c r="AI368" s="706">
        <v>76</v>
      </c>
      <c r="AJ368" s="705">
        <v>94680</v>
      </c>
      <c r="AK368" s="705">
        <v>74496</v>
      </c>
      <c r="AL368" s="705">
        <v>34449</v>
      </c>
      <c r="AM368" s="705">
        <v>12759</v>
      </c>
      <c r="AN368" s="705">
        <v>6532</v>
      </c>
      <c r="AO368" s="705">
        <v>2419</v>
      </c>
      <c r="AP368" s="705">
        <v>140916</v>
      </c>
      <c r="AQ368" s="705">
        <v>52191</v>
      </c>
      <c r="AR368" s="705">
        <v>0</v>
      </c>
      <c r="AS368" s="705">
        <v>0</v>
      </c>
      <c r="AT368" s="705">
        <v>578480</v>
      </c>
      <c r="AU368" s="705">
        <f t="shared" si="26"/>
        <v>578480</v>
      </c>
      <c r="AV368" s="705">
        <f t="shared" si="27"/>
        <v>756854</v>
      </c>
    </row>
    <row r="369" spans="2:48" hidden="1">
      <c r="B369" t="s">
        <v>537</v>
      </c>
      <c r="C369" t="s">
        <v>108</v>
      </c>
      <c r="D369" t="s">
        <v>585</v>
      </c>
      <c r="E369" t="s">
        <v>228</v>
      </c>
      <c r="F369">
        <v>1</v>
      </c>
      <c r="G369">
        <v>205</v>
      </c>
      <c r="H369" s="705">
        <v>69</v>
      </c>
      <c r="I369" s="705">
        <v>3292</v>
      </c>
      <c r="J369" s="705">
        <v>2993</v>
      </c>
      <c r="K369">
        <v>85</v>
      </c>
      <c r="L369" s="705">
        <v>0</v>
      </c>
      <c r="M369" s="705">
        <v>0</v>
      </c>
      <c r="N369" s="705">
        <v>3169</v>
      </c>
      <c r="O369" s="705">
        <v>1174</v>
      </c>
      <c r="P369" s="705">
        <v>2173</v>
      </c>
      <c r="Q369">
        <v>805</v>
      </c>
      <c r="R369" s="705">
        <v>5573</v>
      </c>
      <c r="S369" s="705">
        <v>2064</v>
      </c>
      <c r="T369" s="705">
        <v>0</v>
      </c>
      <c r="U369" s="705">
        <v>0</v>
      </c>
      <c r="V369" s="705">
        <v>7036</v>
      </c>
      <c r="W369" s="705">
        <f t="shared" si="24"/>
        <v>7036</v>
      </c>
      <c r="X369" s="705">
        <f t="shared" si="25"/>
        <v>14207</v>
      </c>
      <c r="Y369" s="705"/>
      <c r="AA369" t="s">
        <v>122</v>
      </c>
      <c r="AB369" t="s">
        <v>584</v>
      </c>
      <c r="AC369" s="705" t="s">
        <v>583</v>
      </c>
      <c r="AD369" s="705">
        <v>2</v>
      </c>
      <c r="AE369" s="705">
        <v>497</v>
      </c>
      <c r="AF369" s="705">
        <v>840</v>
      </c>
      <c r="AG369" s="705">
        <v>155763</v>
      </c>
      <c r="AH369" s="705">
        <v>141603</v>
      </c>
      <c r="AI369" s="706">
        <v>69</v>
      </c>
      <c r="AJ369" s="705">
        <v>18974</v>
      </c>
      <c r="AK369" s="705">
        <v>17249</v>
      </c>
      <c r="AL369" s="705">
        <v>11180</v>
      </c>
      <c r="AM369" s="705">
        <v>4141</v>
      </c>
      <c r="AN369" s="705">
        <v>1445</v>
      </c>
      <c r="AO369" s="705">
        <v>535</v>
      </c>
      <c r="AP369" s="705">
        <v>15504</v>
      </c>
      <c r="AQ369" s="705">
        <v>14095</v>
      </c>
      <c r="AR369" s="705">
        <v>5096</v>
      </c>
      <c r="AS369" s="705">
        <v>1888</v>
      </c>
      <c r="AT369" s="705">
        <v>179510</v>
      </c>
      <c r="AU369" s="705">
        <f t="shared" si="26"/>
        <v>179511</v>
      </c>
      <c r="AV369" s="705">
        <f t="shared" si="27"/>
        <v>207962</v>
      </c>
    </row>
    <row r="370" spans="2:48" hidden="1">
      <c r="B370" t="s">
        <v>537</v>
      </c>
      <c r="C370" t="s">
        <v>108</v>
      </c>
      <c r="D370" t="s">
        <v>585</v>
      </c>
      <c r="E370" t="s">
        <v>585</v>
      </c>
      <c r="F370">
        <v>9</v>
      </c>
      <c r="G370" s="705">
        <v>1399</v>
      </c>
      <c r="H370" s="705">
        <v>663</v>
      </c>
      <c r="I370" s="705">
        <v>44873</v>
      </c>
      <c r="J370" s="705">
        <v>40794</v>
      </c>
      <c r="K370">
        <v>91</v>
      </c>
      <c r="L370" s="705">
        <v>555</v>
      </c>
      <c r="M370" s="705">
        <v>505</v>
      </c>
      <c r="N370" s="705">
        <v>17042</v>
      </c>
      <c r="O370" s="705">
        <v>6312</v>
      </c>
      <c r="P370" s="705">
        <v>19956</v>
      </c>
      <c r="Q370" s="705">
        <v>7391</v>
      </c>
      <c r="R370" s="705">
        <v>20689</v>
      </c>
      <c r="S370" s="705">
        <v>18808</v>
      </c>
      <c r="T370" s="705">
        <v>0</v>
      </c>
      <c r="U370" s="705">
        <v>0</v>
      </c>
      <c r="V370" s="705">
        <v>73809</v>
      </c>
      <c r="W370" s="705">
        <f t="shared" si="24"/>
        <v>73810</v>
      </c>
      <c r="X370" s="705">
        <f t="shared" si="25"/>
        <v>103115</v>
      </c>
      <c r="Y370" s="705"/>
      <c r="AA370" t="s">
        <v>122</v>
      </c>
      <c r="AB370" t="s">
        <v>584</v>
      </c>
      <c r="AC370" s="705" t="s">
        <v>584</v>
      </c>
      <c r="AD370" s="705">
        <v>1048</v>
      </c>
      <c r="AE370" s="705">
        <v>137509</v>
      </c>
      <c r="AF370" s="705">
        <v>435014</v>
      </c>
      <c r="AG370" s="705">
        <v>37285701</v>
      </c>
      <c r="AH370" s="705">
        <v>33896092</v>
      </c>
      <c r="AI370" s="706">
        <v>77</v>
      </c>
      <c r="AJ370" s="705">
        <v>9729978</v>
      </c>
      <c r="AK370" s="705">
        <v>8363433</v>
      </c>
      <c r="AL370" s="705">
        <v>3013287</v>
      </c>
      <c r="AM370" s="705">
        <v>1116032</v>
      </c>
      <c r="AN370" s="705">
        <v>497557</v>
      </c>
      <c r="AO370" s="705">
        <v>184280</v>
      </c>
      <c r="AP370" s="705">
        <v>5884981</v>
      </c>
      <c r="AQ370" s="705">
        <v>5349982</v>
      </c>
      <c r="AR370" s="705">
        <v>1598481</v>
      </c>
      <c r="AS370" s="705">
        <v>592030</v>
      </c>
      <c r="AT370" s="705">
        <v>49501850</v>
      </c>
      <c r="AU370" s="705">
        <f t="shared" si="26"/>
        <v>49501849</v>
      </c>
      <c r="AV370" s="705">
        <f t="shared" si="27"/>
        <v>58009985</v>
      </c>
    </row>
    <row r="371" spans="2:48" hidden="1">
      <c r="B371" t="s">
        <v>537</v>
      </c>
      <c r="C371" t="s">
        <v>108</v>
      </c>
      <c r="D371" t="s">
        <v>668</v>
      </c>
      <c r="E371" t="s">
        <v>668</v>
      </c>
      <c r="F371">
        <v>1</v>
      </c>
      <c r="G371">
        <v>102</v>
      </c>
      <c r="H371" s="705">
        <v>75</v>
      </c>
      <c r="I371" s="705">
        <v>4392</v>
      </c>
      <c r="J371" s="705">
        <v>3992</v>
      </c>
      <c r="K371">
        <v>92</v>
      </c>
      <c r="L371" s="705">
        <v>0</v>
      </c>
      <c r="M371" s="705">
        <v>0</v>
      </c>
      <c r="N371" s="705">
        <v>1245</v>
      </c>
      <c r="O371" s="705">
        <v>461</v>
      </c>
      <c r="P371" s="705">
        <v>351</v>
      </c>
      <c r="Q371" s="705">
        <v>130</v>
      </c>
      <c r="R371" s="705">
        <v>1649</v>
      </c>
      <c r="S371" s="705">
        <v>1499</v>
      </c>
      <c r="T371">
        <v>0</v>
      </c>
      <c r="U371">
        <v>0</v>
      </c>
      <c r="V371" s="705">
        <v>6082</v>
      </c>
      <c r="W371" s="705">
        <f t="shared" si="24"/>
        <v>6082</v>
      </c>
      <c r="X371" s="705">
        <f t="shared" si="25"/>
        <v>7637</v>
      </c>
      <c r="Y371" s="705"/>
      <c r="AA371" t="s">
        <v>122</v>
      </c>
      <c r="AB371" t="s">
        <v>669</v>
      </c>
      <c r="AC371" s="705" t="s">
        <v>228</v>
      </c>
      <c r="AD371" s="705">
        <v>2</v>
      </c>
      <c r="AE371" s="705">
        <v>234</v>
      </c>
      <c r="AF371" s="705">
        <v>859</v>
      </c>
      <c r="AG371" s="705">
        <v>68477</v>
      </c>
      <c r="AH371" s="705">
        <v>57064</v>
      </c>
      <c r="AI371" s="706">
        <v>53</v>
      </c>
      <c r="AJ371" s="705">
        <v>10866</v>
      </c>
      <c r="AK371" s="705">
        <v>6776</v>
      </c>
      <c r="AL371" s="705">
        <v>5553</v>
      </c>
      <c r="AM371" s="705">
        <v>2057</v>
      </c>
      <c r="AN371" s="705">
        <v>351</v>
      </c>
      <c r="AO371" s="705">
        <v>130</v>
      </c>
      <c r="AP371" s="705">
        <v>15032</v>
      </c>
      <c r="AQ371" s="705">
        <v>5567</v>
      </c>
      <c r="AR371" s="705">
        <v>0</v>
      </c>
      <c r="AS371" s="705">
        <v>0</v>
      </c>
      <c r="AT371" s="705">
        <v>71594</v>
      </c>
      <c r="AU371" s="705">
        <f t="shared" si="26"/>
        <v>71594</v>
      </c>
      <c r="AV371" s="705">
        <f t="shared" si="27"/>
        <v>100279</v>
      </c>
    </row>
    <row r="372" spans="2:48" hidden="1">
      <c r="B372" t="s">
        <v>537</v>
      </c>
      <c r="C372" t="s">
        <v>110</v>
      </c>
      <c r="F372">
        <v>1</v>
      </c>
      <c r="G372" s="705">
        <v>128</v>
      </c>
      <c r="H372" s="705">
        <v>100</v>
      </c>
      <c r="I372" s="705"/>
      <c r="J372" s="705">
        <v>0</v>
      </c>
      <c r="L372" s="705"/>
      <c r="M372" s="705">
        <v>0</v>
      </c>
      <c r="N372" s="705">
        <v>3109</v>
      </c>
      <c r="O372" s="705">
        <v>1152</v>
      </c>
      <c r="P372" s="705">
        <v>621</v>
      </c>
      <c r="Q372" s="705">
        <v>230</v>
      </c>
      <c r="R372" s="705"/>
      <c r="S372" s="705">
        <v>0</v>
      </c>
      <c r="T372" s="705">
        <v>0</v>
      </c>
      <c r="U372" s="705">
        <v>0</v>
      </c>
      <c r="V372" s="705">
        <v>1382</v>
      </c>
      <c r="W372" s="705">
        <f t="shared" si="24"/>
        <v>1382</v>
      </c>
      <c r="X372" s="705">
        <f t="shared" si="25"/>
        <v>3730</v>
      </c>
      <c r="Y372" s="705"/>
      <c r="AA372" t="s">
        <v>122</v>
      </c>
      <c r="AB372" t="s">
        <v>669</v>
      </c>
      <c r="AC372" s="705" t="s">
        <v>669</v>
      </c>
      <c r="AD372" s="705">
        <v>114</v>
      </c>
      <c r="AE372" s="705">
        <v>10662</v>
      </c>
      <c r="AF372" s="705">
        <v>47215</v>
      </c>
      <c r="AG372" s="705">
        <v>2951621</v>
      </c>
      <c r="AH372" s="705">
        <v>2459684</v>
      </c>
      <c r="AI372" s="706">
        <v>56</v>
      </c>
      <c r="AJ372" s="705">
        <v>303242</v>
      </c>
      <c r="AK372" s="705">
        <v>247855</v>
      </c>
      <c r="AL372" s="705">
        <v>215212</v>
      </c>
      <c r="AM372" s="705">
        <v>79708</v>
      </c>
      <c r="AN372" s="705">
        <v>41823</v>
      </c>
      <c r="AO372" s="705">
        <v>15490</v>
      </c>
      <c r="AP372" s="705">
        <v>678598</v>
      </c>
      <c r="AQ372" s="705">
        <v>565498</v>
      </c>
      <c r="AR372" s="705">
        <v>232830</v>
      </c>
      <c r="AS372" s="705">
        <v>86233</v>
      </c>
      <c r="AT372" s="705">
        <v>3454468</v>
      </c>
      <c r="AU372" s="705">
        <f t="shared" si="26"/>
        <v>3454468</v>
      </c>
      <c r="AV372" s="705">
        <f t="shared" si="27"/>
        <v>4423326</v>
      </c>
    </row>
    <row r="373" spans="2:48" hidden="1">
      <c r="B373" t="s">
        <v>537</v>
      </c>
      <c r="C373" t="s">
        <v>110</v>
      </c>
      <c r="D373" t="s">
        <v>664</v>
      </c>
      <c r="E373" t="s">
        <v>664</v>
      </c>
      <c r="F373">
        <v>1</v>
      </c>
      <c r="G373" s="705">
        <v>251</v>
      </c>
      <c r="H373" s="705">
        <v>95</v>
      </c>
      <c r="I373" s="705">
        <v>12979</v>
      </c>
      <c r="J373" s="705">
        <v>11799</v>
      </c>
      <c r="K373">
        <v>90</v>
      </c>
      <c r="L373" s="705">
        <v>4341</v>
      </c>
      <c r="M373" s="705">
        <v>3946</v>
      </c>
      <c r="N373" s="705">
        <v>3605</v>
      </c>
      <c r="O373" s="705">
        <v>1335</v>
      </c>
      <c r="P373" s="705">
        <v>473</v>
      </c>
      <c r="Q373" s="705">
        <v>175</v>
      </c>
      <c r="R373" s="705">
        <v>2401</v>
      </c>
      <c r="S373" s="705">
        <v>2183</v>
      </c>
      <c r="T373" s="705">
        <v>0</v>
      </c>
      <c r="U373" s="705">
        <v>0</v>
      </c>
      <c r="V373" s="705">
        <v>19438</v>
      </c>
      <c r="W373" s="705">
        <f t="shared" si="24"/>
        <v>19438</v>
      </c>
      <c r="X373" s="705">
        <f t="shared" si="25"/>
        <v>23799</v>
      </c>
      <c r="Y373" s="705"/>
      <c r="AA373" t="s">
        <v>122</v>
      </c>
      <c r="AB373" t="s">
        <v>667</v>
      </c>
      <c r="AC373" s="705" t="s">
        <v>228</v>
      </c>
      <c r="AD373" s="705">
        <v>1</v>
      </c>
      <c r="AE373" s="705">
        <v>120</v>
      </c>
      <c r="AF373" s="705">
        <v>446</v>
      </c>
      <c r="AG373" s="705">
        <v>35038</v>
      </c>
      <c r="AH373" s="705">
        <v>31853</v>
      </c>
      <c r="AI373" s="706">
        <v>65</v>
      </c>
      <c r="AJ373" s="705">
        <v>8435</v>
      </c>
      <c r="AK373" s="705">
        <v>7668</v>
      </c>
      <c r="AL373" s="705">
        <v>2753</v>
      </c>
      <c r="AM373" s="705">
        <v>1020</v>
      </c>
      <c r="AN373" s="705">
        <v>351</v>
      </c>
      <c r="AO373" s="705">
        <v>130</v>
      </c>
      <c r="AP373" s="705">
        <v>6741</v>
      </c>
      <c r="AQ373" s="705">
        <v>2496</v>
      </c>
      <c r="AR373" s="705">
        <v>0</v>
      </c>
      <c r="AS373" s="705">
        <v>0</v>
      </c>
      <c r="AT373" s="705">
        <v>43167</v>
      </c>
      <c r="AU373" s="705">
        <f t="shared" si="26"/>
        <v>43167</v>
      </c>
      <c r="AV373" s="705">
        <f t="shared" si="27"/>
        <v>53318</v>
      </c>
    </row>
    <row r="374" spans="2:48" hidden="1">
      <c r="B374" t="s">
        <v>537</v>
      </c>
      <c r="C374" t="s">
        <v>110</v>
      </c>
      <c r="D374" t="s">
        <v>582</v>
      </c>
      <c r="E374" t="s">
        <v>582</v>
      </c>
      <c r="F374">
        <v>11</v>
      </c>
      <c r="G374" s="705">
        <v>2962</v>
      </c>
      <c r="H374" s="705">
        <v>970</v>
      </c>
      <c r="I374" s="705">
        <v>141306</v>
      </c>
      <c r="J374" s="705">
        <v>128460</v>
      </c>
      <c r="K374">
        <v>91</v>
      </c>
      <c r="L374" s="705">
        <v>28872</v>
      </c>
      <c r="M374" s="705">
        <v>26025</v>
      </c>
      <c r="N374" s="705">
        <v>44924</v>
      </c>
      <c r="O374" s="705">
        <v>16639</v>
      </c>
      <c r="P374" s="705">
        <v>7223</v>
      </c>
      <c r="Q374" s="705">
        <v>2675</v>
      </c>
      <c r="R374" s="705">
        <v>38237</v>
      </c>
      <c r="S374" s="705">
        <v>34761</v>
      </c>
      <c r="T374" s="705">
        <v>1375</v>
      </c>
      <c r="U374" s="705">
        <v>509</v>
      </c>
      <c r="V374" s="705">
        <v>209070</v>
      </c>
      <c r="W374" s="705">
        <f t="shared" si="24"/>
        <v>209069</v>
      </c>
      <c r="X374" s="705">
        <f t="shared" si="25"/>
        <v>261937</v>
      </c>
      <c r="Y374" s="705"/>
      <c r="AA374" t="s">
        <v>122</v>
      </c>
      <c r="AB374" t="s">
        <v>667</v>
      </c>
      <c r="AC374" s="705" t="s">
        <v>667</v>
      </c>
      <c r="AD374" s="705">
        <v>20</v>
      </c>
      <c r="AE374" s="705">
        <v>2177</v>
      </c>
      <c r="AF374" s="705">
        <v>8464</v>
      </c>
      <c r="AG374" s="705">
        <v>630192</v>
      </c>
      <c r="AH374" s="705">
        <v>572902</v>
      </c>
      <c r="AI374" s="706">
        <v>55</v>
      </c>
      <c r="AJ374" s="705">
        <v>92852</v>
      </c>
      <c r="AK374" s="705">
        <v>83898</v>
      </c>
      <c r="AL374" s="705">
        <v>46990</v>
      </c>
      <c r="AM374" s="705">
        <v>17404</v>
      </c>
      <c r="AN374" s="705">
        <v>7331</v>
      </c>
      <c r="AO374" s="705">
        <v>2715</v>
      </c>
      <c r="AP374" s="705">
        <v>142703</v>
      </c>
      <c r="AQ374" s="705">
        <v>129730</v>
      </c>
      <c r="AR374" s="705">
        <v>29671</v>
      </c>
      <c r="AS374" s="705">
        <v>10989</v>
      </c>
      <c r="AT374" s="705">
        <v>817638</v>
      </c>
      <c r="AU374" s="705">
        <f t="shared" si="26"/>
        <v>817638</v>
      </c>
      <c r="AV374" s="705">
        <f t="shared" si="27"/>
        <v>949739</v>
      </c>
    </row>
    <row r="375" spans="2:48" hidden="1">
      <c r="B375" t="s">
        <v>537</v>
      </c>
      <c r="C375" t="s">
        <v>110</v>
      </c>
      <c r="D375" t="s">
        <v>228</v>
      </c>
      <c r="E375" t="s">
        <v>664</v>
      </c>
      <c r="F375">
        <v>1</v>
      </c>
      <c r="G375" s="705">
        <v>443</v>
      </c>
      <c r="H375" s="705">
        <v>99</v>
      </c>
      <c r="I375" s="705">
        <v>25037</v>
      </c>
      <c r="J375" s="705">
        <v>9273</v>
      </c>
      <c r="K375">
        <v>300</v>
      </c>
      <c r="L375" s="705">
        <v>0</v>
      </c>
      <c r="M375" s="705">
        <v>0</v>
      </c>
      <c r="N375" s="705">
        <v>6902</v>
      </c>
      <c r="O375" s="705">
        <v>2556</v>
      </c>
      <c r="P375" s="705">
        <v>4495</v>
      </c>
      <c r="Q375" s="705">
        <v>1665</v>
      </c>
      <c r="R375" s="705">
        <v>7570</v>
      </c>
      <c r="S375" s="705">
        <v>6882</v>
      </c>
      <c r="T375" s="705">
        <v>0</v>
      </c>
      <c r="U375" s="705">
        <v>0</v>
      </c>
      <c r="V375" s="705">
        <v>20375</v>
      </c>
      <c r="W375" s="705">
        <f t="shared" si="24"/>
        <v>20376</v>
      </c>
      <c r="X375" s="705">
        <f t="shared" si="25"/>
        <v>44004</v>
      </c>
      <c r="Y375" s="705"/>
      <c r="AA375" t="s">
        <v>122</v>
      </c>
      <c r="AB375" t="s">
        <v>671</v>
      </c>
      <c r="AC375" s="705" t="s">
        <v>228</v>
      </c>
      <c r="AD375" s="705">
        <v>3</v>
      </c>
      <c r="AE375" s="705">
        <v>301</v>
      </c>
      <c r="AF375" s="705">
        <v>1244</v>
      </c>
      <c r="AG375" s="705">
        <v>89664</v>
      </c>
      <c r="AH375" s="705">
        <v>81513</v>
      </c>
      <c r="AI375" s="706">
        <v>48</v>
      </c>
      <c r="AJ375" s="705">
        <v>9513</v>
      </c>
      <c r="AK375" s="705">
        <v>6916</v>
      </c>
      <c r="AL375" s="705">
        <v>7342</v>
      </c>
      <c r="AM375" s="705">
        <v>2719</v>
      </c>
      <c r="AN375" s="705">
        <v>351</v>
      </c>
      <c r="AO375" s="705">
        <v>130</v>
      </c>
      <c r="AP375" s="705">
        <v>15294</v>
      </c>
      <c r="AQ375" s="705">
        <v>5664</v>
      </c>
      <c r="AR375" s="705">
        <v>2144</v>
      </c>
      <c r="AS375" s="705">
        <v>794</v>
      </c>
      <c r="AT375" s="705">
        <v>97737</v>
      </c>
      <c r="AU375" s="705">
        <f t="shared" si="26"/>
        <v>97736</v>
      </c>
      <c r="AV375" s="705">
        <f t="shared" si="27"/>
        <v>124308</v>
      </c>
    </row>
    <row r="376" spans="2:48" hidden="1">
      <c r="B376" t="s">
        <v>537</v>
      </c>
      <c r="C376" t="s">
        <v>110</v>
      </c>
      <c r="D376" t="s">
        <v>228</v>
      </c>
      <c r="E376" t="s">
        <v>582</v>
      </c>
      <c r="F376">
        <v>1</v>
      </c>
      <c r="G376" s="705">
        <v>368</v>
      </c>
      <c r="H376" s="705">
        <v>86</v>
      </c>
      <c r="I376" s="705">
        <v>11954</v>
      </c>
      <c r="J376" s="705">
        <v>4427</v>
      </c>
      <c r="K376">
        <v>440</v>
      </c>
      <c r="L376" s="705">
        <v>3307</v>
      </c>
      <c r="M376" s="705">
        <v>3006</v>
      </c>
      <c r="N376" s="705">
        <v>8519</v>
      </c>
      <c r="O376" s="705">
        <v>3155</v>
      </c>
      <c r="P376" s="705">
        <v>2203</v>
      </c>
      <c r="Q376" s="705">
        <v>816</v>
      </c>
      <c r="R376" s="705">
        <v>5497</v>
      </c>
      <c r="S376" s="705">
        <v>4998</v>
      </c>
      <c r="T376" s="705">
        <v>0</v>
      </c>
      <c r="U376" s="705">
        <v>0</v>
      </c>
      <c r="V376" s="705">
        <v>16402</v>
      </c>
      <c r="W376" s="705">
        <f t="shared" si="24"/>
        <v>16402</v>
      </c>
      <c r="X376" s="705">
        <f t="shared" si="25"/>
        <v>31480</v>
      </c>
      <c r="Y376" s="705"/>
      <c r="AA376" t="s">
        <v>122</v>
      </c>
      <c r="AB376" t="s">
        <v>671</v>
      </c>
      <c r="AC376" s="705" t="s">
        <v>666</v>
      </c>
      <c r="AD376" s="705">
        <v>1</v>
      </c>
      <c r="AE376" s="705">
        <v>116</v>
      </c>
      <c r="AF376" s="705">
        <v>444</v>
      </c>
      <c r="AG376" s="705">
        <v>36181</v>
      </c>
      <c r="AH376" s="705">
        <v>32892</v>
      </c>
      <c r="AI376" s="706">
        <v>55</v>
      </c>
      <c r="AJ376" s="705">
        <v>6317</v>
      </c>
      <c r="AK376" s="705">
        <v>5743</v>
      </c>
      <c r="AL376" s="705">
        <v>1772</v>
      </c>
      <c r="AM376" s="705">
        <v>656</v>
      </c>
      <c r="AN376" s="705">
        <v>351</v>
      </c>
      <c r="AO376" s="705">
        <v>130</v>
      </c>
      <c r="AP376" s="705">
        <v>4440</v>
      </c>
      <c r="AQ376" s="705">
        <v>4036</v>
      </c>
      <c r="AR376" s="705">
        <v>2631</v>
      </c>
      <c r="AS376" s="705">
        <v>975</v>
      </c>
      <c r="AT376" s="705">
        <v>44432</v>
      </c>
      <c r="AU376" s="705">
        <f t="shared" si="26"/>
        <v>44432</v>
      </c>
      <c r="AV376" s="705">
        <f t="shared" si="27"/>
        <v>51692</v>
      </c>
    </row>
    <row r="377" spans="2:48" hidden="1">
      <c r="B377" t="s">
        <v>537</v>
      </c>
      <c r="C377" t="s">
        <v>110</v>
      </c>
      <c r="D377" t="s">
        <v>228</v>
      </c>
      <c r="E377" t="s">
        <v>228</v>
      </c>
      <c r="F377">
        <v>128</v>
      </c>
      <c r="G377" s="705">
        <v>30183</v>
      </c>
      <c r="H377" s="705">
        <v>11372</v>
      </c>
      <c r="I377" s="705">
        <v>1033121</v>
      </c>
      <c r="J377" s="705">
        <v>382637</v>
      </c>
      <c r="K377">
        <v>383</v>
      </c>
      <c r="L377" s="705">
        <v>302345</v>
      </c>
      <c r="M377" s="705">
        <v>276393</v>
      </c>
      <c r="N377" s="705">
        <v>497659</v>
      </c>
      <c r="O377" s="705">
        <v>184318</v>
      </c>
      <c r="P377" s="705">
        <v>129578</v>
      </c>
      <c r="Q377" s="705">
        <v>47992</v>
      </c>
      <c r="R377" s="705">
        <v>770030</v>
      </c>
      <c r="S377" s="705">
        <v>285196</v>
      </c>
      <c r="T377" s="705">
        <v>0</v>
      </c>
      <c r="U377" s="705">
        <v>0</v>
      </c>
      <c r="V377" s="705">
        <v>1176537</v>
      </c>
      <c r="W377" s="705">
        <f t="shared" si="24"/>
        <v>1176536</v>
      </c>
      <c r="X377" s="705">
        <f t="shared" si="25"/>
        <v>2732733</v>
      </c>
      <c r="Y377" s="705"/>
      <c r="AA377" t="s">
        <v>122</v>
      </c>
      <c r="AB377" t="s">
        <v>671</v>
      </c>
      <c r="AC377" s="705" t="s">
        <v>671</v>
      </c>
      <c r="AD377" s="705">
        <v>111</v>
      </c>
      <c r="AE377" s="705">
        <v>11521</v>
      </c>
      <c r="AF377" s="705">
        <v>46159</v>
      </c>
      <c r="AG377" s="705">
        <v>3140279</v>
      </c>
      <c r="AH377" s="705">
        <v>2854799</v>
      </c>
      <c r="AI377" s="706">
        <v>52</v>
      </c>
      <c r="AJ377" s="705">
        <v>455722</v>
      </c>
      <c r="AK377" s="705">
        <v>401257</v>
      </c>
      <c r="AL377" s="705">
        <v>230553</v>
      </c>
      <c r="AM377" s="705">
        <v>85390</v>
      </c>
      <c r="AN377" s="705">
        <v>40581</v>
      </c>
      <c r="AO377" s="705">
        <v>15030</v>
      </c>
      <c r="AP377" s="705">
        <v>722261</v>
      </c>
      <c r="AQ377" s="705">
        <v>656601</v>
      </c>
      <c r="AR377" s="705">
        <v>229740</v>
      </c>
      <c r="AS377" s="705">
        <v>85089</v>
      </c>
      <c r="AT377" s="705">
        <v>4098166</v>
      </c>
      <c r="AU377" s="705">
        <f t="shared" si="26"/>
        <v>4098166</v>
      </c>
      <c r="AV377" s="705">
        <f t="shared" si="27"/>
        <v>4819136</v>
      </c>
    </row>
    <row r="378" spans="2:48" hidden="1">
      <c r="B378" t="s">
        <v>537</v>
      </c>
      <c r="C378" t="s">
        <v>110</v>
      </c>
      <c r="D378" t="s">
        <v>583</v>
      </c>
      <c r="E378" t="s">
        <v>228</v>
      </c>
      <c r="F378">
        <v>4</v>
      </c>
      <c r="G378" s="705">
        <v>885</v>
      </c>
      <c r="H378" s="705">
        <v>364</v>
      </c>
      <c r="I378" s="705">
        <v>33933</v>
      </c>
      <c r="J378" s="705">
        <v>30848</v>
      </c>
      <c r="K378">
        <v>94</v>
      </c>
      <c r="L378" s="705">
        <v>4697</v>
      </c>
      <c r="M378" s="705">
        <v>4270</v>
      </c>
      <c r="N378" s="705">
        <v>11868</v>
      </c>
      <c r="O378" s="705">
        <v>4395</v>
      </c>
      <c r="P378" s="705">
        <v>2484</v>
      </c>
      <c r="Q378" s="705">
        <v>920</v>
      </c>
      <c r="R378" s="705">
        <v>28958</v>
      </c>
      <c r="S378" s="705">
        <v>10725</v>
      </c>
      <c r="T378" s="705">
        <v>0</v>
      </c>
      <c r="U378" s="705">
        <v>0</v>
      </c>
      <c r="V378" s="705">
        <v>51158</v>
      </c>
      <c r="W378" s="705">
        <f t="shared" si="24"/>
        <v>51158</v>
      </c>
      <c r="X378" s="705">
        <f t="shared" si="25"/>
        <v>81940</v>
      </c>
      <c r="Y378" s="705"/>
      <c r="AA378" t="s">
        <v>122</v>
      </c>
      <c r="AB378" t="s">
        <v>665</v>
      </c>
      <c r="AC378" s="705" t="s">
        <v>228</v>
      </c>
      <c r="AD378" s="705">
        <v>54</v>
      </c>
      <c r="AE378" s="705">
        <v>5698</v>
      </c>
      <c r="AF378" s="705">
        <v>22522</v>
      </c>
      <c r="AG378" s="705">
        <v>1588141</v>
      </c>
      <c r="AH378" s="705">
        <v>1443765</v>
      </c>
      <c r="AI378" s="706">
        <v>55</v>
      </c>
      <c r="AJ378" s="705">
        <v>219189</v>
      </c>
      <c r="AK378" s="705">
        <v>114925</v>
      </c>
      <c r="AL378" s="705">
        <v>112403</v>
      </c>
      <c r="AM378" s="705">
        <v>41631</v>
      </c>
      <c r="AN378" s="705">
        <v>7722</v>
      </c>
      <c r="AO378" s="705">
        <v>2860</v>
      </c>
      <c r="AP378" s="705">
        <v>445586</v>
      </c>
      <c r="AQ378" s="705">
        <v>165032</v>
      </c>
      <c r="AR378" s="705">
        <v>9657</v>
      </c>
      <c r="AS378" s="705">
        <v>3577</v>
      </c>
      <c r="AT378" s="705">
        <v>1771789</v>
      </c>
      <c r="AU378" s="705">
        <f t="shared" si="26"/>
        <v>1771790</v>
      </c>
      <c r="AV378" s="705">
        <f t="shared" si="27"/>
        <v>2382698</v>
      </c>
    </row>
    <row r="379" spans="2:48" hidden="1">
      <c r="B379" t="s">
        <v>537</v>
      </c>
      <c r="C379" t="s">
        <v>110</v>
      </c>
      <c r="D379" t="s">
        <v>583</v>
      </c>
      <c r="E379" t="s">
        <v>583</v>
      </c>
      <c r="F379" s="705">
        <v>191</v>
      </c>
      <c r="G379" s="705">
        <v>44549</v>
      </c>
      <c r="H379" s="705">
        <v>17252</v>
      </c>
      <c r="I379" s="705">
        <v>2157334</v>
      </c>
      <c r="J379" s="705">
        <v>1961213</v>
      </c>
      <c r="K379">
        <v>94</v>
      </c>
      <c r="L379" s="705">
        <v>351559</v>
      </c>
      <c r="M379" s="705">
        <v>313622</v>
      </c>
      <c r="N379" s="705">
        <v>638371</v>
      </c>
      <c r="O379" s="705">
        <v>236434</v>
      </c>
      <c r="P379" s="705">
        <v>185608</v>
      </c>
      <c r="Q379" s="705">
        <v>68744</v>
      </c>
      <c r="R379" s="705">
        <v>785224</v>
      </c>
      <c r="S379" s="705">
        <v>713840</v>
      </c>
      <c r="T379" s="705">
        <v>1657</v>
      </c>
      <c r="U379" s="705">
        <v>614</v>
      </c>
      <c r="V379" s="705">
        <v>3294466</v>
      </c>
      <c r="W379" s="705">
        <f t="shared" si="24"/>
        <v>3294467</v>
      </c>
      <c r="X379" s="705">
        <f t="shared" si="25"/>
        <v>4119753</v>
      </c>
      <c r="Y379" s="705"/>
      <c r="AA379" t="s">
        <v>122</v>
      </c>
      <c r="AB379" t="s">
        <v>665</v>
      </c>
      <c r="AC379" s="705" t="s">
        <v>583</v>
      </c>
      <c r="AD379" s="705">
        <v>7</v>
      </c>
      <c r="AE379" s="705">
        <v>798</v>
      </c>
      <c r="AF379" s="705">
        <v>2985</v>
      </c>
      <c r="AG379" s="705">
        <v>224352</v>
      </c>
      <c r="AH379" s="705">
        <v>203956</v>
      </c>
      <c r="AI379" s="706">
        <v>53</v>
      </c>
      <c r="AJ379" s="705">
        <v>32162</v>
      </c>
      <c r="AK379" s="705">
        <v>21002</v>
      </c>
      <c r="AL379" s="705">
        <v>14927</v>
      </c>
      <c r="AM379" s="705">
        <v>5529</v>
      </c>
      <c r="AN379" s="705">
        <v>3969</v>
      </c>
      <c r="AO379" s="705">
        <v>1470</v>
      </c>
      <c r="AP379" s="705">
        <v>50495</v>
      </c>
      <c r="AQ379" s="705">
        <v>45905</v>
      </c>
      <c r="AR379" s="705">
        <v>13661</v>
      </c>
      <c r="AS379" s="705">
        <v>5060</v>
      </c>
      <c r="AT379" s="705">
        <v>282922</v>
      </c>
      <c r="AU379" s="705">
        <f t="shared" ref="AU379:AU410" si="28">SUM(ABS(AH379), ABS(AK379),ABS(AM379),ABS(AO379),ABS(AQ379),ABS(AS379))</f>
        <v>282922</v>
      </c>
      <c r="AV379" s="705">
        <f t="shared" ref="AV379:AV410" si="29">SUM(ABS(AG379),ABS(AJ379),ABS(AL379),ABS(AN379),ABS(AP379),ABS(AR379))</f>
        <v>339566</v>
      </c>
    </row>
    <row r="380" spans="2:48" hidden="1">
      <c r="B380" t="s">
        <v>537</v>
      </c>
      <c r="C380" t="s">
        <v>110</v>
      </c>
      <c r="D380" t="s">
        <v>584</v>
      </c>
      <c r="E380" t="s">
        <v>228</v>
      </c>
      <c r="F380">
        <v>1</v>
      </c>
      <c r="G380" s="705">
        <v>172</v>
      </c>
      <c r="H380" s="705">
        <v>97</v>
      </c>
      <c r="I380" s="705">
        <v>9187</v>
      </c>
      <c r="J380" s="705">
        <v>8352</v>
      </c>
      <c r="K380">
        <v>90</v>
      </c>
      <c r="L380" s="705">
        <v>1589</v>
      </c>
      <c r="M380" s="705">
        <v>1324</v>
      </c>
      <c r="N380" s="705">
        <v>2574</v>
      </c>
      <c r="O380" s="705">
        <v>953</v>
      </c>
      <c r="P380" s="705">
        <v>473</v>
      </c>
      <c r="Q380" s="705">
        <v>175</v>
      </c>
      <c r="R380" s="705">
        <v>2874</v>
      </c>
      <c r="S380" s="705">
        <v>1064</v>
      </c>
      <c r="T380" s="705">
        <v>0</v>
      </c>
      <c r="U380" s="705">
        <v>0</v>
      </c>
      <c r="V380" s="705">
        <v>11869</v>
      </c>
      <c r="W380" s="705">
        <f t="shared" si="24"/>
        <v>11868</v>
      </c>
      <c r="X380" s="705">
        <f t="shared" si="25"/>
        <v>16697</v>
      </c>
      <c r="Y380" s="705"/>
      <c r="AA380" t="s">
        <v>122</v>
      </c>
      <c r="AB380" t="s">
        <v>665</v>
      </c>
      <c r="AC380" s="705" t="s">
        <v>665</v>
      </c>
      <c r="AD380" s="705">
        <v>1775</v>
      </c>
      <c r="AE380" s="705">
        <v>173102</v>
      </c>
      <c r="AF380" s="705">
        <v>737876</v>
      </c>
      <c r="AG380" s="705">
        <v>47005706</v>
      </c>
      <c r="AH380" s="705">
        <v>42732460</v>
      </c>
      <c r="AI380" s="706">
        <v>53</v>
      </c>
      <c r="AJ380" s="705">
        <v>6649517</v>
      </c>
      <c r="AK380" s="705">
        <v>5660471</v>
      </c>
      <c r="AL380" s="705">
        <v>3532550</v>
      </c>
      <c r="AM380" s="705">
        <v>1308352</v>
      </c>
      <c r="AN380" s="705">
        <v>667312</v>
      </c>
      <c r="AO380" s="705">
        <v>247153</v>
      </c>
      <c r="AP380" s="705">
        <v>10840740</v>
      </c>
      <c r="AQ380" s="705">
        <v>9855218</v>
      </c>
      <c r="AR380" s="705">
        <v>4002559</v>
      </c>
      <c r="AS380" s="705">
        <v>1482429</v>
      </c>
      <c r="AT380" s="705">
        <v>61286083</v>
      </c>
      <c r="AU380" s="705">
        <f t="shared" si="28"/>
        <v>61286083</v>
      </c>
      <c r="AV380" s="705">
        <f t="shared" si="29"/>
        <v>72698384</v>
      </c>
    </row>
    <row r="381" spans="2:48" hidden="1">
      <c r="B381" t="s">
        <v>537</v>
      </c>
      <c r="C381" t="s">
        <v>110</v>
      </c>
      <c r="D381" t="s">
        <v>584</v>
      </c>
      <c r="E381" t="s">
        <v>584</v>
      </c>
      <c r="F381">
        <v>106</v>
      </c>
      <c r="G381" s="705">
        <v>21776</v>
      </c>
      <c r="H381" s="705">
        <v>9589</v>
      </c>
      <c r="I381" s="705">
        <v>1017112</v>
      </c>
      <c r="J381" s="705">
        <v>924647</v>
      </c>
      <c r="K381">
        <v>91</v>
      </c>
      <c r="L381" s="705">
        <v>171560</v>
      </c>
      <c r="M381" s="705">
        <v>152233</v>
      </c>
      <c r="N381" s="705">
        <v>322734</v>
      </c>
      <c r="O381" s="705">
        <v>119531</v>
      </c>
      <c r="P381" s="705">
        <v>84936</v>
      </c>
      <c r="Q381" s="705">
        <v>31458</v>
      </c>
      <c r="R381" s="705">
        <v>376008</v>
      </c>
      <c r="S381" s="705">
        <v>341826</v>
      </c>
      <c r="T381" s="705">
        <v>7204</v>
      </c>
      <c r="U381" s="705">
        <v>2668</v>
      </c>
      <c r="V381" s="705">
        <v>1572363</v>
      </c>
      <c r="W381" s="705">
        <f t="shared" si="24"/>
        <v>1572363</v>
      </c>
      <c r="X381" s="705">
        <f t="shared" si="25"/>
        <v>1979554</v>
      </c>
      <c r="Y381" s="705"/>
      <c r="AA381" t="s">
        <v>122</v>
      </c>
      <c r="AB381" t="s">
        <v>665</v>
      </c>
      <c r="AC381" s="705" t="s">
        <v>722</v>
      </c>
      <c r="AD381" s="705">
        <v>2</v>
      </c>
      <c r="AE381" s="705">
        <v>163</v>
      </c>
      <c r="AF381" s="705">
        <v>812</v>
      </c>
      <c r="AG381" s="705">
        <v>41028</v>
      </c>
      <c r="AH381" s="705">
        <v>37299</v>
      </c>
      <c r="AI381" s="706">
        <v>65</v>
      </c>
      <c r="AJ381" s="705">
        <v>5611</v>
      </c>
      <c r="AK381" s="705">
        <v>5101</v>
      </c>
      <c r="AL381" s="705">
        <v>2610</v>
      </c>
      <c r="AM381" s="705">
        <v>967</v>
      </c>
      <c r="AN381" s="705">
        <v>702</v>
      </c>
      <c r="AO381" s="705">
        <v>260</v>
      </c>
      <c r="AP381" s="705">
        <v>9602</v>
      </c>
      <c r="AQ381" s="705">
        <v>8729</v>
      </c>
      <c r="AR381" s="705">
        <v>6137</v>
      </c>
      <c r="AS381" s="705">
        <v>2273</v>
      </c>
      <c r="AT381" s="705">
        <v>54628</v>
      </c>
      <c r="AU381" s="705">
        <f t="shared" si="28"/>
        <v>54629</v>
      </c>
      <c r="AV381" s="705">
        <f t="shared" si="29"/>
        <v>65690</v>
      </c>
    </row>
    <row r="382" spans="2:48" hidden="1">
      <c r="B382" t="s">
        <v>537</v>
      </c>
      <c r="C382" t="s">
        <v>110</v>
      </c>
      <c r="D382" t="s">
        <v>673</v>
      </c>
      <c r="E382" t="s">
        <v>228</v>
      </c>
      <c r="F382">
        <v>1</v>
      </c>
      <c r="G382" s="705">
        <v>186</v>
      </c>
      <c r="H382" s="705">
        <v>95</v>
      </c>
      <c r="I382" s="705">
        <v>4473</v>
      </c>
      <c r="J382" s="705">
        <v>4066</v>
      </c>
      <c r="K382">
        <v>78</v>
      </c>
      <c r="L382" s="705">
        <v>500</v>
      </c>
      <c r="M382" s="705">
        <v>454</v>
      </c>
      <c r="N382" s="705">
        <v>2267</v>
      </c>
      <c r="O382" s="705">
        <v>840</v>
      </c>
      <c r="P382" s="705">
        <v>1545</v>
      </c>
      <c r="Q382" s="705">
        <v>572</v>
      </c>
      <c r="R382" s="705">
        <v>8928</v>
      </c>
      <c r="S382" s="705">
        <v>3307</v>
      </c>
      <c r="T382" s="705">
        <v>0</v>
      </c>
      <c r="U382" s="705">
        <v>0</v>
      </c>
      <c r="V382" s="705">
        <v>9239</v>
      </c>
      <c r="W382" s="705">
        <f t="shared" si="24"/>
        <v>9239</v>
      </c>
      <c r="X382" s="705">
        <f t="shared" si="25"/>
        <v>17713</v>
      </c>
      <c r="Y382" s="705"/>
      <c r="AA382" t="s">
        <v>122</v>
      </c>
      <c r="AB382" t="s">
        <v>673</v>
      </c>
      <c r="AC382" s="705" t="s">
        <v>228</v>
      </c>
      <c r="AD382" s="705">
        <v>5</v>
      </c>
      <c r="AE382" s="705">
        <v>367</v>
      </c>
      <c r="AF382" s="705">
        <v>2055</v>
      </c>
      <c r="AG382" s="705">
        <v>91684</v>
      </c>
      <c r="AH382" s="705">
        <v>83349</v>
      </c>
      <c r="AI382" s="706">
        <v>60</v>
      </c>
      <c r="AJ382" s="705">
        <v>21941</v>
      </c>
      <c r="AK382" s="705">
        <v>16724</v>
      </c>
      <c r="AL382" s="705">
        <v>7017</v>
      </c>
      <c r="AM382" s="705">
        <v>2599</v>
      </c>
      <c r="AN382" s="705">
        <v>414</v>
      </c>
      <c r="AO382" s="705">
        <v>153</v>
      </c>
      <c r="AP382" s="705">
        <v>31391</v>
      </c>
      <c r="AQ382" s="705">
        <v>11626</v>
      </c>
      <c r="AR382" s="705">
        <v>0</v>
      </c>
      <c r="AS382" s="705">
        <v>0</v>
      </c>
      <c r="AT382" s="705">
        <v>114451</v>
      </c>
      <c r="AU382" s="705">
        <f t="shared" si="28"/>
        <v>114451</v>
      </c>
      <c r="AV382" s="705">
        <f t="shared" si="29"/>
        <v>152447</v>
      </c>
    </row>
    <row r="383" spans="2:48" hidden="1">
      <c r="B383" t="s">
        <v>537</v>
      </c>
      <c r="C383" t="s">
        <v>110</v>
      </c>
      <c r="D383" t="s">
        <v>673</v>
      </c>
      <c r="E383" t="s">
        <v>673</v>
      </c>
      <c r="F383">
        <v>1</v>
      </c>
      <c r="G383">
        <v>294</v>
      </c>
      <c r="H383" s="705">
        <v>99</v>
      </c>
      <c r="I383" s="705">
        <v>18956</v>
      </c>
      <c r="J383" s="705">
        <v>17233</v>
      </c>
      <c r="K383">
        <v>80</v>
      </c>
      <c r="L383" s="705">
        <v>0</v>
      </c>
      <c r="M383" s="705">
        <v>2042</v>
      </c>
      <c r="N383" s="705">
        <v>3577</v>
      </c>
      <c r="O383" s="705">
        <v>1325</v>
      </c>
      <c r="P383" s="705">
        <v>4817</v>
      </c>
      <c r="Q383" s="705">
        <v>1784</v>
      </c>
      <c r="R383" s="705">
        <v>1755</v>
      </c>
      <c r="S383" s="705">
        <v>1595</v>
      </c>
      <c r="T383">
        <v>0</v>
      </c>
      <c r="U383">
        <v>0</v>
      </c>
      <c r="V383" s="705">
        <v>23979</v>
      </c>
      <c r="W383" s="705">
        <f t="shared" si="24"/>
        <v>23979</v>
      </c>
      <c r="X383" s="705">
        <f t="shared" si="25"/>
        <v>29105</v>
      </c>
      <c r="Y383" s="705"/>
      <c r="AA383" t="s">
        <v>122</v>
      </c>
      <c r="AB383" t="s">
        <v>673</v>
      </c>
      <c r="AC383" s="705" t="s">
        <v>665</v>
      </c>
      <c r="AD383" s="705">
        <v>1</v>
      </c>
      <c r="AE383" s="705">
        <v>145</v>
      </c>
      <c r="AF383" s="705">
        <v>384</v>
      </c>
      <c r="AG383" s="705">
        <v>43152</v>
      </c>
      <c r="AH383" s="705">
        <v>39229</v>
      </c>
      <c r="AI383" s="706">
        <v>55</v>
      </c>
      <c r="AJ383" s="705">
        <v>4057</v>
      </c>
      <c r="AK383" s="705">
        <v>3688</v>
      </c>
      <c r="AL383" s="705">
        <v>1762</v>
      </c>
      <c r="AM383" s="705">
        <v>653</v>
      </c>
      <c r="AN383" s="705">
        <v>351</v>
      </c>
      <c r="AO383" s="705">
        <v>130</v>
      </c>
      <c r="AP383" s="705">
        <v>6152</v>
      </c>
      <c r="AQ383" s="705">
        <v>5593</v>
      </c>
      <c r="AR383" s="705">
        <v>0</v>
      </c>
      <c r="AS383" s="705">
        <v>0</v>
      </c>
      <c r="AT383" s="705">
        <v>49293</v>
      </c>
      <c r="AU383" s="705">
        <f t="shared" si="28"/>
        <v>49293</v>
      </c>
      <c r="AV383" s="705">
        <f t="shared" si="29"/>
        <v>55474</v>
      </c>
    </row>
    <row r="384" spans="2:48" hidden="1">
      <c r="B384" t="s">
        <v>537</v>
      </c>
      <c r="C384" t="s">
        <v>110</v>
      </c>
      <c r="D384" t="s">
        <v>585</v>
      </c>
      <c r="E384" t="s">
        <v>585</v>
      </c>
      <c r="F384" s="705">
        <v>9</v>
      </c>
      <c r="G384" s="705">
        <v>1326</v>
      </c>
      <c r="H384" s="705">
        <v>824</v>
      </c>
      <c r="I384" s="705">
        <v>66379</v>
      </c>
      <c r="J384" s="705">
        <v>60344</v>
      </c>
      <c r="K384">
        <v>93</v>
      </c>
      <c r="L384" s="705">
        <v>4881</v>
      </c>
      <c r="M384" s="705">
        <v>4437</v>
      </c>
      <c r="N384" s="705">
        <v>24763</v>
      </c>
      <c r="O384" s="705">
        <v>9171</v>
      </c>
      <c r="P384" s="705">
        <v>16704</v>
      </c>
      <c r="Q384" s="705">
        <v>6187</v>
      </c>
      <c r="R384" s="705">
        <v>19060</v>
      </c>
      <c r="S384" s="705">
        <v>17327</v>
      </c>
      <c r="T384" s="705">
        <v>0</v>
      </c>
      <c r="U384" s="705">
        <v>0</v>
      </c>
      <c r="V384" s="705">
        <v>97467</v>
      </c>
      <c r="W384" s="705">
        <f t="shared" si="24"/>
        <v>97466</v>
      </c>
      <c r="X384" s="705">
        <f t="shared" si="25"/>
        <v>131787</v>
      </c>
      <c r="Y384" s="705"/>
      <c r="AA384" t="s">
        <v>122</v>
      </c>
      <c r="AB384" t="s">
        <v>673</v>
      </c>
      <c r="AC384" s="705" t="s">
        <v>673</v>
      </c>
      <c r="AD384" s="705">
        <v>38</v>
      </c>
      <c r="AE384" s="705">
        <v>3858</v>
      </c>
      <c r="AF384" s="705">
        <v>15903</v>
      </c>
      <c r="AG384" s="705">
        <v>1096414</v>
      </c>
      <c r="AH384" s="705">
        <v>996740</v>
      </c>
      <c r="AI384" s="706">
        <v>59</v>
      </c>
      <c r="AJ384" s="705">
        <v>149642</v>
      </c>
      <c r="AK384" s="705">
        <v>119654</v>
      </c>
      <c r="AL384" s="705">
        <v>74688</v>
      </c>
      <c r="AM384" s="705">
        <v>27662</v>
      </c>
      <c r="AN384" s="705">
        <v>13959</v>
      </c>
      <c r="AO384" s="705">
        <v>5170</v>
      </c>
      <c r="AP384" s="705">
        <v>223456</v>
      </c>
      <c r="AQ384" s="705">
        <v>203142</v>
      </c>
      <c r="AR384" s="705">
        <v>73025</v>
      </c>
      <c r="AS384" s="705">
        <v>27046</v>
      </c>
      <c r="AT384" s="705">
        <v>1379414</v>
      </c>
      <c r="AU384" s="705">
        <f t="shared" si="28"/>
        <v>1379414</v>
      </c>
      <c r="AV384" s="705">
        <f t="shared" si="29"/>
        <v>1631184</v>
      </c>
    </row>
    <row r="385" spans="2:48" hidden="1">
      <c r="B385" t="s">
        <v>537</v>
      </c>
      <c r="C385" t="s">
        <v>110</v>
      </c>
      <c r="D385" t="s">
        <v>668</v>
      </c>
      <c r="E385" t="s">
        <v>668</v>
      </c>
      <c r="F385">
        <v>1</v>
      </c>
      <c r="G385">
        <v>156</v>
      </c>
      <c r="H385" s="705">
        <v>95</v>
      </c>
      <c r="I385" s="705">
        <v>8182</v>
      </c>
      <c r="J385" s="705">
        <v>7438</v>
      </c>
      <c r="K385">
        <v>96</v>
      </c>
      <c r="L385" s="705">
        <v>0</v>
      </c>
      <c r="M385" s="705">
        <v>0</v>
      </c>
      <c r="N385" s="705">
        <v>2090</v>
      </c>
      <c r="O385" s="705">
        <v>774</v>
      </c>
      <c r="P385" s="705">
        <v>1649</v>
      </c>
      <c r="Q385">
        <v>611</v>
      </c>
      <c r="R385" s="705">
        <v>2949</v>
      </c>
      <c r="S385" s="705">
        <v>2681</v>
      </c>
      <c r="T385" s="705">
        <v>0</v>
      </c>
      <c r="U385" s="705">
        <v>0</v>
      </c>
      <c r="V385" s="705">
        <v>11505</v>
      </c>
      <c r="W385" s="705">
        <f t="shared" si="24"/>
        <v>11504</v>
      </c>
      <c r="X385" s="705">
        <f t="shared" si="25"/>
        <v>14870</v>
      </c>
      <c r="Y385" s="705"/>
      <c r="AA385" t="s">
        <v>122</v>
      </c>
      <c r="AB385" t="s">
        <v>585</v>
      </c>
      <c r="AC385" s="705" t="s">
        <v>228</v>
      </c>
      <c r="AD385" s="705">
        <v>1</v>
      </c>
      <c r="AE385" s="705">
        <v>122</v>
      </c>
      <c r="AF385" s="705">
        <v>448</v>
      </c>
      <c r="AG385" s="705">
        <v>40568</v>
      </c>
      <c r="AH385" s="705">
        <v>36880</v>
      </c>
      <c r="AI385" s="706">
        <v>65</v>
      </c>
      <c r="AJ385" s="705">
        <v>4883</v>
      </c>
      <c r="AK385" s="705">
        <v>4439</v>
      </c>
      <c r="AL385" s="705">
        <v>2965</v>
      </c>
      <c r="AM385" s="705">
        <v>1098</v>
      </c>
      <c r="AN385" s="705">
        <v>351</v>
      </c>
      <c r="AO385" s="705">
        <v>130</v>
      </c>
      <c r="AP385" s="705">
        <v>5796</v>
      </c>
      <c r="AQ385" s="705">
        <v>2146</v>
      </c>
      <c r="AR385" s="705">
        <v>0</v>
      </c>
      <c r="AS385" s="705">
        <v>0</v>
      </c>
      <c r="AT385" s="705">
        <v>44694</v>
      </c>
      <c r="AU385" s="705">
        <f t="shared" si="28"/>
        <v>44693</v>
      </c>
      <c r="AV385" s="705">
        <f t="shared" si="29"/>
        <v>54563</v>
      </c>
    </row>
    <row r="386" spans="2:48" hidden="1">
      <c r="B386" t="s">
        <v>537</v>
      </c>
      <c r="C386" t="s">
        <v>112</v>
      </c>
      <c r="F386">
        <v>1</v>
      </c>
      <c r="G386" s="705">
        <v>108</v>
      </c>
      <c r="H386" s="705">
        <v>106</v>
      </c>
      <c r="I386" s="705"/>
      <c r="J386" s="705">
        <v>0</v>
      </c>
      <c r="L386" s="705"/>
      <c r="M386" s="705">
        <v>0</v>
      </c>
      <c r="N386" s="705">
        <v>1315</v>
      </c>
      <c r="O386" s="705">
        <v>487</v>
      </c>
      <c r="P386" s="705">
        <v>351</v>
      </c>
      <c r="Q386" s="705">
        <v>130</v>
      </c>
      <c r="R386" s="705"/>
      <c r="S386" s="705">
        <v>0</v>
      </c>
      <c r="T386" s="705">
        <v>0</v>
      </c>
      <c r="U386" s="705">
        <v>0</v>
      </c>
      <c r="V386" s="705">
        <v>617</v>
      </c>
      <c r="W386" s="705">
        <f t="shared" si="24"/>
        <v>617</v>
      </c>
      <c r="X386" s="705">
        <f t="shared" si="25"/>
        <v>1666</v>
      </c>
      <c r="Y386" s="705"/>
      <c r="AA386" t="s">
        <v>122</v>
      </c>
      <c r="AB386" t="s">
        <v>585</v>
      </c>
      <c r="AC386" s="705" t="s">
        <v>585</v>
      </c>
      <c r="AD386" s="705">
        <v>15</v>
      </c>
      <c r="AE386" s="705">
        <v>2124</v>
      </c>
      <c r="AF386" s="705">
        <v>6150</v>
      </c>
      <c r="AG386" s="705">
        <v>609516</v>
      </c>
      <c r="AH386" s="705">
        <v>554105</v>
      </c>
      <c r="AI386" s="706">
        <v>70</v>
      </c>
      <c r="AJ386" s="705">
        <v>123906</v>
      </c>
      <c r="AK386" s="705">
        <v>107604</v>
      </c>
      <c r="AL386" s="705">
        <v>39864</v>
      </c>
      <c r="AM386" s="705">
        <v>14764</v>
      </c>
      <c r="AN386" s="705">
        <v>6156</v>
      </c>
      <c r="AO386" s="705">
        <v>2280</v>
      </c>
      <c r="AP386" s="705">
        <v>85869</v>
      </c>
      <c r="AQ386" s="705">
        <v>78063</v>
      </c>
      <c r="AR386" s="705">
        <v>15524</v>
      </c>
      <c r="AS386" s="705">
        <v>5749</v>
      </c>
      <c r="AT386" s="705">
        <v>762565</v>
      </c>
      <c r="AU386" s="705">
        <f t="shared" si="28"/>
        <v>762565</v>
      </c>
      <c r="AV386" s="705">
        <f t="shared" si="29"/>
        <v>880835</v>
      </c>
    </row>
    <row r="387" spans="2:48" hidden="1">
      <c r="B387" t="s">
        <v>537</v>
      </c>
      <c r="C387" t="s">
        <v>112</v>
      </c>
      <c r="D387" t="s">
        <v>664</v>
      </c>
      <c r="E387" t="s">
        <v>664</v>
      </c>
      <c r="F387">
        <v>1</v>
      </c>
      <c r="G387">
        <v>228</v>
      </c>
      <c r="H387" s="705">
        <v>109</v>
      </c>
      <c r="I387" s="705">
        <v>13344</v>
      </c>
      <c r="J387" s="705">
        <v>12131</v>
      </c>
      <c r="K387">
        <v>90</v>
      </c>
      <c r="L387" s="705">
        <v>2115</v>
      </c>
      <c r="M387" s="705">
        <v>1923</v>
      </c>
      <c r="N387" s="705">
        <v>2776</v>
      </c>
      <c r="O387" s="705">
        <v>1028</v>
      </c>
      <c r="P387">
        <v>473</v>
      </c>
      <c r="Q387">
        <v>175</v>
      </c>
      <c r="R387" s="705">
        <v>6213</v>
      </c>
      <c r="S387" s="705">
        <v>5648</v>
      </c>
      <c r="T387" s="705">
        <v>0</v>
      </c>
      <c r="U387" s="705">
        <v>0</v>
      </c>
      <c r="V387" s="705">
        <v>20906</v>
      </c>
      <c r="W387" s="705">
        <f t="shared" si="24"/>
        <v>20905</v>
      </c>
      <c r="X387" s="705">
        <f t="shared" si="25"/>
        <v>24921</v>
      </c>
      <c r="Y387" s="705"/>
      <c r="AA387" t="s">
        <v>122</v>
      </c>
      <c r="AB387" t="s">
        <v>668</v>
      </c>
      <c r="AC387" s="705" t="s">
        <v>585</v>
      </c>
      <c r="AD387" s="705">
        <v>1</v>
      </c>
      <c r="AE387" s="705">
        <v>119</v>
      </c>
      <c r="AF387" s="705">
        <v>389</v>
      </c>
      <c r="AG387" s="705">
        <v>34082</v>
      </c>
      <c r="AH387" s="705">
        <v>30984</v>
      </c>
      <c r="AI387" s="706">
        <v>83</v>
      </c>
      <c r="AJ387" s="705">
        <v>4806</v>
      </c>
      <c r="AK387" s="705">
        <v>4370</v>
      </c>
      <c r="AL387" s="705">
        <v>1923</v>
      </c>
      <c r="AM387" s="705">
        <v>712</v>
      </c>
      <c r="AN387" s="705">
        <v>351</v>
      </c>
      <c r="AO387" s="705">
        <v>130</v>
      </c>
      <c r="AP387" s="705">
        <v>4992</v>
      </c>
      <c r="AQ387" s="705">
        <v>4539</v>
      </c>
      <c r="AR387" s="705">
        <v>0</v>
      </c>
      <c r="AS387" s="705">
        <v>0</v>
      </c>
      <c r="AT387" s="705">
        <v>40734</v>
      </c>
      <c r="AU387" s="705">
        <f t="shared" si="28"/>
        <v>40735</v>
      </c>
      <c r="AV387" s="705">
        <f t="shared" si="29"/>
        <v>46154</v>
      </c>
    </row>
    <row r="388" spans="2:48" hidden="1">
      <c r="B388" t="s">
        <v>537</v>
      </c>
      <c r="C388" t="s">
        <v>112</v>
      </c>
      <c r="D388" t="s">
        <v>582</v>
      </c>
      <c r="E388" t="s">
        <v>582</v>
      </c>
      <c r="F388">
        <v>43</v>
      </c>
      <c r="G388" s="705">
        <v>9844</v>
      </c>
      <c r="H388" s="705">
        <v>5013</v>
      </c>
      <c r="I388" s="705">
        <v>593137</v>
      </c>
      <c r="J388" s="705">
        <v>539216</v>
      </c>
      <c r="K388">
        <v>90</v>
      </c>
      <c r="L388" s="705">
        <v>125586</v>
      </c>
      <c r="M388" s="705">
        <v>112038</v>
      </c>
      <c r="N388" s="705">
        <v>189557</v>
      </c>
      <c r="O388" s="705">
        <v>70206</v>
      </c>
      <c r="P388" s="705">
        <v>32190</v>
      </c>
      <c r="Q388" s="705">
        <v>11922</v>
      </c>
      <c r="R388" s="705">
        <v>240541</v>
      </c>
      <c r="S388" s="705">
        <v>218673</v>
      </c>
      <c r="T388">
        <v>0</v>
      </c>
      <c r="U388">
        <v>0</v>
      </c>
      <c r="V388" s="705">
        <v>952056</v>
      </c>
      <c r="W388" s="705">
        <f t="shared" si="24"/>
        <v>952055</v>
      </c>
      <c r="X388" s="705">
        <f t="shared" si="25"/>
        <v>1181011</v>
      </c>
      <c r="Y388" s="705"/>
      <c r="AA388" t="s">
        <v>122</v>
      </c>
      <c r="AB388" t="s">
        <v>668</v>
      </c>
      <c r="AC388" s="705" t="s">
        <v>668</v>
      </c>
      <c r="AD388" s="705">
        <v>3</v>
      </c>
      <c r="AE388" s="705">
        <v>327</v>
      </c>
      <c r="AF388" s="705">
        <v>1165</v>
      </c>
      <c r="AG388" s="705">
        <v>85467</v>
      </c>
      <c r="AH388" s="705">
        <v>77697</v>
      </c>
      <c r="AI388" s="706">
        <v>76</v>
      </c>
      <c r="AJ388" s="705">
        <v>16516</v>
      </c>
      <c r="AK388" s="705">
        <v>15014</v>
      </c>
      <c r="AL388" s="705">
        <v>7079</v>
      </c>
      <c r="AM388" s="705">
        <v>2622</v>
      </c>
      <c r="AN388" s="705">
        <v>1053</v>
      </c>
      <c r="AO388" s="705">
        <v>390</v>
      </c>
      <c r="AP388" s="705">
        <v>16317</v>
      </c>
      <c r="AQ388" s="705">
        <v>14833</v>
      </c>
      <c r="AR388" s="705">
        <v>0</v>
      </c>
      <c r="AS388" s="705">
        <v>0</v>
      </c>
      <c r="AT388" s="705">
        <v>110557</v>
      </c>
      <c r="AU388" s="705">
        <f t="shared" si="28"/>
        <v>110556</v>
      </c>
      <c r="AV388" s="705">
        <f t="shared" si="29"/>
        <v>126432</v>
      </c>
    </row>
    <row r="389" spans="2:48" hidden="1">
      <c r="B389" t="s">
        <v>537</v>
      </c>
      <c r="C389" t="s">
        <v>112</v>
      </c>
      <c r="D389" t="s">
        <v>582</v>
      </c>
      <c r="E389" t="s">
        <v>584</v>
      </c>
      <c r="F389">
        <v>2</v>
      </c>
      <c r="G389">
        <v>466</v>
      </c>
      <c r="H389" s="705">
        <v>215</v>
      </c>
      <c r="I389" s="705">
        <v>26277</v>
      </c>
      <c r="J389" s="705">
        <v>23888</v>
      </c>
      <c r="K389">
        <v>90</v>
      </c>
      <c r="L389" s="705">
        <v>4280</v>
      </c>
      <c r="M389" s="705">
        <v>3891</v>
      </c>
      <c r="N389" s="705">
        <v>6777</v>
      </c>
      <c r="O389" s="705">
        <v>2510</v>
      </c>
      <c r="P389" s="705">
        <v>945</v>
      </c>
      <c r="Q389">
        <v>350</v>
      </c>
      <c r="R389" s="705">
        <v>11802</v>
      </c>
      <c r="S389" s="705">
        <v>10729</v>
      </c>
      <c r="T389">
        <v>0</v>
      </c>
      <c r="U389">
        <v>0</v>
      </c>
      <c r="V389" s="705">
        <v>41368</v>
      </c>
      <c r="W389" s="705">
        <f t="shared" si="24"/>
        <v>41368</v>
      </c>
      <c r="X389" s="705">
        <f t="shared" si="25"/>
        <v>50081</v>
      </c>
      <c r="Y389" s="705"/>
      <c r="AA389" t="s">
        <v>124</v>
      </c>
      <c r="AC389" s="705"/>
      <c r="AD389" s="705">
        <v>21</v>
      </c>
      <c r="AE389" s="705">
        <v>2758</v>
      </c>
      <c r="AF389" s="705">
        <v>13329</v>
      </c>
      <c r="AG389" s="705"/>
      <c r="AH389" s="705">
        <v>0</v>
      </c>
      <c r="AI389" s="706"/>
      <c r="AJ389" s="705"/>
      <c r="AK389" s="705">
        <v>0</v>
      </c>
      <c r="AL389" s="705">
        <v>61084</v>
      </c>
      <c r="AM389" s="705">
        <v>22624</v>
      </c>
      <c r="AN389" s="705">
        <v>10017</v>
      </c>
      <c r="AO389" s="705">
        <v>3710</v>
      </c>
      <c r="AP389" s="705"/>
      <c r="AQ389" s="705">
        <v>0</v>
      </c>
      <c r="AR389" s="705">
        <v>17896</v>
      </c>
      <c r="AS389" s="705">
        <v>6628</v>
      </c>
      <c r="AT389" s="705">
        <v>32962</v>
      </c>
      <c r="AU389" s="705">
        <f t="shared" si="28"/>
        <v>32962</v>
      </c>
      <c r="AV389" s="705">
        <f t="shared" si="29"/>
        <v>88997</v>
      </c>
    </row>
    <row r="390" spans="2:48" hidden="1">
      <c r="B390" t="s">
        <v>537</v>
      </c>
      <c r="C390" t="s">
        <v>112</v>
      </c>
      <c r="D390" t="s">
        <v>228</v>
      </c>
      <c r="E390" t="s">
        <v>228</v>
      </c>
      <c r="F390">
        <v>88</v>
      </c>
      <c r="G390" s="705">
        <v>19386</v>
      </c>
      <c r="H390" s="705">
        <v>10100</v>
      </c>
      <c r="I390" s="705">
        <v>1043864</v>
      </c>
      <c r="J390" s="705">
        <v>386616</v>
      </c>
      <c r="K390">
        <v>333</v>
      </c>
      <c r="L390" s="705">
        <v>297463</v>
      </c>
      <c r="M390" s="705">
        <v>251119</v>
      </c>
      <c r="N390" s="705">
        <v>367833</v>
      </c>
      <c r="O390" s="705">
        <v>136234</v>
      </c>
      <c r="P390" s="705">
        <v>84084</v>
      </c>
      <c r="Q390" s="705">
        <v>31142</v>
      </c>
      <c r="R390" s="705">
        <v>538215</v>
      </c>
      <c r="S390" s="705">
        <v>199339</v>
      </c>
      <c r="T390" s="705">
        <v>2466</v>
      </c>
      <c r="U390" s="705">
        <v>913</v>
      </c>
      <c r="V390" s="705">
        <v>1005364</v>
      </c>
      <c r="W390" s="705">
        <f t="shared" si="24"/>
        <v>1005363</v>
      </c>
      <c r="X390" s="705">
        <f t="shared" si="25"/>
        <v>2333925</v>
      </c>
      <c r="Y390" s="705"/>
      <c r="AA390" t="s">
        <v>124</v>
      </c>
      <c r="AB390" t="s">
        <v>674</v>
      </c>
      <c r="AC390" s="705" t="s">
        <v>674</v>
      </c>
      <c r="AD390" s="705">
        <v>12</v>
      </c>
      <c r="AE390" s="705">
        <v>1348</v>
      </c>
      <c r="AF390" s="705">
        <v>7745</v>
      </c>
      <c r="AG390" s="705">
        <v>643507</v>
      </c>
      <c r="AH390" s="705">
        <v>585006</v>
      </c>
      <c r="AI390" s="706">
        <v>53</v>
      </c>
      <c r="AJ390" s="705">
        <v>89861</v>
      </c>
      <c r="AK390" s="705">
        <v>97486</v>
      </c>
      <c r="AL390" s="705">
        <v>28963</v>
      </c>
      <c r="AM390" s="705">
        <v>10727</v>
      </c>
      <c r="AN390" s="705">
        <v>4212</v>
      </c>
      <c r="AO390" s="705">
        <v>1560</v>
      </c>
      <c r="AP390" s="705">
        <v>87845</v>
      </c>
      <c r="AQ390" s="705">
        <v>79859</v>
      </c>
      <c r="AR390" s="705">
        <v>13340</v>
      </c>
      <c r="AS390" s="705">
        <v>4941</v>
      </c>
      <c r="AT390" s="705">
        <v>779580</v>
      </c>
      <c r="AU390" s="705">
        <f t="shared" si="28"/>
        <v>779579</v>
      </c>
      <c r="AV390" s="705">
        <f t="shared" si="29"/>
        <v>867728</v>
      </c>
    </row>
    <row r="391" spans="2:48" hidden="1">
      <c r="B391" t="s">
        <v>537</v>
      </c>
      <c r="C391" t="s">
        <v>112</v>
      </c>
      <c r="D391" t="s">
        <v>583</v>
      </c>
      <c r="E391" t="s">
        <v>664</v>
      </c>
      <c r="F391">
        <v>1</v>
      </c>
      <c r="G391">
        <v>285</v>
      </c>
      <c r="H391" s="705">
        <v>104</v>
      </c>
      <c r="I391" s="705">
        <v>19144</v>
      </c>
      <c r="J391" s="705">
        <v>17403</v>
      </c>
      <c r="K391">
        <v>93</v>
      </c>
      <c r="L391" s="705">
        <v>2612</v>
      </c>
      <c r="M391" s="705">
        <v>2374</v>
      </c>
      <c r="N391" s="705">
        <v>3468</v>
      </c>
      <c r="O391" s="705">
        <v>1285</v>
      </c>
      <c r="P391" s="705">
        <v>972</v>
      </c>
      <c r="Q391">
        <v>360</v>
      </c>
      <c r="R391" s="705">
        <v>3474</v>
      </c>
      <c r="S391" s="705">
        <v>3158</v>
      </c>
      <c r="T391">
        <v>0</v>
      </c>
      <c r="U391">
        <v>0</v>
      </c>
      <c r="V391" s="705">
        <v>24580</v>
      </c>
      <c r="W391" s="705">
        <f t="shared" ref="W391:W454" si="30">SUM(ABS(J391),ABS(M391),ABS(O391),ABS(Q391),ABS(S391),ABS(U391))</f>
        <v>24580</v>
      </c>
      <c r="X391" s="705">
        <f t="shared" ref="X391:X454" si="31">SUM(ABS(I391),ABS(N391),ABS(P391),ABS(R391),ABS(T391),ABS(L391))</f>
        <v>29670</v>
      </c>
      <c r="Y391" s="705"/>
      <c r="AA391" t="s">
        <v>124</v>
      </c>
      <c r="AB391" t="s">
        <v>674</v>
      </c>
      <c r="AC391" s="705" t="s">
        <v>228</v>
      </c>
      <c r="AD391" s="705">
        <v>1</v>
      </c>
      <c r="AE391" s="705">
        <v>83</v>
      </c>
      <c r="AF391" s="705">
        <v>567</v>
      </c>
      <c r="AG391" s="705">
        <v>55425</v>
      </c>
      <c r="AH391" s="705">
        <v>50387</v>
      </c>
      <c r="AI391" s="706">
        <v>60</v>
      </c>
      <c r="AJ391" s="705">
        <v>5685</v>
      </c>
      <c r="AK391" s="705">
        <v>5168</v>
      </c>
      <c r="AL391" s="705">
        <v>2941</v>
      </c>
      <c r="AM391" s="705">
        <v>1089</v>
      </c>
      <c r="AN391" s="705">
        <v>0</v>
      </c>
      <c r="AO391" s="705">
        <v>0</v>
      </c>
      <c r="AP391" s="705">
        <v>8384</v>
      </c>
      <c r="AQ391" s="705">
        <v>3105</v>
      </c>
      <c r="AR391" s="705">
        <v>0</v>
      </c>
      <c r="AS391" s="705">
        <v>0</v>
      </c>
      <c r="AT391" s="705">
        <v>59749</v>
      </c>
      <c r="AU391" s="705">
        <f t="shared" si="28"/>
        <v>59749</v>
      </c>
      <c r="AV391" s="705">
        <f t="shared" si="29"/>
        <v>72435</v>
      </c>
    </row>
    <row r="392" spans="2:48" hidden="1">
      <c r="B392" t="s">
        <v>537</v>
      </c>
      <c r="C392" t="s">
        <v>112</v>
      </c>
      <c r="D392" t="s">
        <v>583</v>
      </c>
      <c r="E392" t="s">
        <v>228</v>
      </c>
      <c r="F392">
        <v>2</v>
      </c>
      <c r="G392" s="705">
        <v>465</v>
      </c>
      <c r="H392" s="705">
        <v>238</v>
      </c>
      <c r="I392" s="705">
        <v>32341</v>
      </c>
      <c r="J392" s="705">
        <v>29401</v>
      </c>
      <c r="K392">
        <v>86</v>
      </c>
      <c r="L392" s="705">
        <v>5042</v>
      </c>
      <c r="M392" s="705">
        <v>4372</v>
      </c>
      <c r="N392" s="705">
        <v>7450</v>
      </c>
      <c r="O392" s="705">
        <v>2759</v>
      </c>
      <c r="P392" s="705">
        <v>1242</v>
      </c>
      <c r="Q392" s="705">
        <v>460</v>
      </c>
      <c r="R392" s="705">
        <v>13351</v>
      </c>
      <c r="S392" s="705">
        <v>4945</v>
      </c>
      <c r="T392" s="705">
        <v>0</v>
      </c>
      <c r="U392" s="705">
        <v>0</v>
      </c>
      <c r="V392" s="705">
        <v>41938</v>
      </c>
      <c r="W392" s="705">
        <f t="shared" si="30"/>
        <v>41937</v>
      </c>
      <c r="X392" s="705">
        <f t="shared" si="31"/>
        <v>59426</v>
      </c>
      <c r="Y392" s="705"/>
      <c r="AA392" t="s">
        <v>124</v>
      </c>
      <c r="AB392" t="s">
        <v>664</v>
      </c>
      <c r="AC392" s="705" t="s">
        <v>664</v>
      </c>
      <c r="AD392" s="705">
        <v>32</v>
      </c>
      <c r="AE392" s="705">
        <v>3283</v>
      </c>
      <c r="AF392" s="705">
        <v>17595</v>
      </c>
      <c r="AG392" s="705">
        <v>1300039</v>
      </c>
      <c r="AH392" s="705">
        <v>1181854</v>
      </c>
      <c r="AI392" s="706">
        <v>72</v>
      </c>
      <c r="AJ392" s="705">
        <v>230565</v>
      </c>
      <c r="AK392" s="705">
        <v>202047</v>
      </c>
      <c r="AL392" s="705">
        <v>77241</v>
      </c>
      <c r="AM392" s="705">
        <v>28608</v>
      </c>
      <c r="AN392" s="705">
        <v>16538</v>
      </c>
      <c r="AO392" s="705">
        <v>6125</v>
      </c>
      <c r="AP392" s="705">
        <v>161177</v>
      </c>
      <c r="AQ392" s="705">
        <v>146525</v>
      </c>
      <c r="AR392" s="705">
        <v>43159</v>
      </c>
      <c r="AS392" s="705">
        <v>15985</v>
      </c>
      <c r="AT392" s="705">
        <v>1581143</v>
      </c>
      <c r="AU392" s="705">
        <f t="shared" si="28"/>
        <v>1581144</v>
      </c>
      <c r="AV392" s="705">
        <f t="shared" si="29"/>
        <v>1828719</v>
      </c>
    </row>
    <row r="393" spans="2:48" hidden="1">
      <c r="B393" t="s">
        <v>537</v>
      </c>
      <c r="C393" t="s">
        <v>112</v>
      </c>
      <c r="D393" t="s">
        <v>583</v>
      </c>
      <c r="E393" t="s">
        <v>583</v>
      </c>
      <c r="F393">
        <v>612</v>
      </c>
      <c r="G393" s="705">
        <v>140189</v>
      </c>
      <c r="H393" s="705">
        <v>71568</v>
      </c>
      <c r="I393" s="705">
        <v>9374329</v>
      </c>
      <c r="J393" s="705">
        <v>8522117</v>
      </c>
      <c r="K393">
        <v>92</v>
      </c>
      <c r="L393" s="705">
        <v>1864642</v>
      </c>
      <c r="M393" s="705">
        <v>1717988</v>
      </c>
      <c r="N393" s="705">
        <v>2596747</v>
      </c>
      <c r="O393" s="705">
        <v>961758</v>
      </c>
      <c r="P393" s="705">
        <v>470960</v>
      </c>
      <c r="Q393" s="705">
        <v>174430</v>
      </c>
      <c r="R393" s="705">
        <v>3094061</v>
      </c>
      <c r="S393" s="705">
        <v>2812783</v>
      </c>
      <c r="T393" s="705">
        <v>23126</v>
      </c>
      <c r="U393" s="705">
        <v>8565</v>
      </c>
      <c r="V393" s="705">
        <v>14197640</v>
      </c>
      <c r="W393" s="705">
        <f t="shared" si="30"/>
        <v>14197641</v>
      </c>
      <c r="X393" s="705">
        <f t="shared" si="31"/>
        <v>17423865</v>
      </c>
      <c r="Y393" s="705"/>
      <c r="AA393" t="s">
        <v>124</v>
      </c>
      <c r="AB393" t="s">
        <v>664</v>
      </c>
      <c r="AC393" s="705" t="s">
        <v>582</v>
      </c>
      <c r="AD393" s="705">
        <v>1</v>
      </c>
      <c r="AE393" s="705">
        <v>128</v>
      </c>
      <c r="AF393" s="705">
        <v>549</v>
      </c>
      <c r="AG393" s="705">
        <v>46809</v>
      </c>
      <c r="AH393" s="705">
        <v>42554</v>
      </c>
      <c r="AI393" s="706">
        <v>68</v>
      </c>
      <c r="AJ393" s="705">
        <v>11789</v>
      </c>
      <c r="AK393" s="705">
        <v>10717</v>
      </c>
      <c r="AL393" s="705">
        <v>3109</v>
      </c>
      <c r="AM393" s="705">
        <v>1151</v>
      </c>
      <c r="AN393" s="705">
        <v>473</v>
      </c>
      <c r="AO393" s="705">
        <v>175</v>
      </c>
      <c r="AP393" s="705">
        <v>7803</v>
      </c>
      <c r="AQ393" s="705">
        <v>7093</v>
      </c>
      <c r="AR393" s="705">
        <v>0</v>
      </c>
      <c r="AS393" s="705">
        <v>0</v>
      </c>
      <c r="AT393" s="705">
        <v>61691</v>
      </c>
      <c r="AU393" s="705">
        <f t="shared" si="28"/>
        <v>61690</v>
      </c>
      <c r="AV393" s="705">
        <f t="shared" si="29"/>
        <v>69983</v>
      </c>
    </row>
    <row r="394" spans="2:48" hidden="1">
      <c r="B394" t="s">
        <v>537</v>
      </c>
      <c r="C394" t="s">
        <v>112</v>
      </c>
      <c r="D394" t="s">
        <v>583</v>
      </c>
      <c r="E394" t="s">
        <v>666</v>
      </c>
      <c r="F394">
        <v>1</v>
      </c>
      <c r="G394" s="705">
        <v>311</v>
      </c>
      <c r="H394" s="705">
        <v>117</v>
      </c>
      <c r="I394" s="705">
        <v>22290</v>
      </c>
      <c r="J394" s="705">
        <v>20263</v>
      </c>
      <c r="K394">
        <v>86</v>
      </c>
      <c r="L394" s="705">
        <v>3172</v>
      </c>
      <c r="M394" s="705">
        <v>2643</v>
      </c>
      <c r="N394" s="705">
        <v>5676</v>
      </c>
      <c r="O394" s="705">
        <v>2102</v>
      </c>
      <c r="P394" s="705">
        <v>621</v>
      </c>
      <c r="Q394" s="705">
        <v>230</v>
      </c>
      <c r="R394" s="705">
        <v>4589</v>
      </c>
      <c r="S394" s="705">
        <v>4172</v>
      </c>
      <c r="T394" s="705">
        <v>0</v>
      </c>
      <c r="U394" s="705">
        <v>0</v>
      </c>
      <c r="V394" s="705">
        <v>29411</v>
      </c>
      <c r="W394" s="705">
        <f t="shared" si="30"/>
        <v>29410</v>
      </c>
      <c r="X394" s="705">
        <f t="shared" si="31"/>
        <v>36348</v>
      </c>
      <c r="Y394" s="705"/>
      <c r="AA394" t="s">
        <v>124</v>
      </c>
      <c r="AB394" t="s">
        <v>664</v>
      </c>
      <c r="AC394" s="705" t="s">
        <v>228</v>
      </c>
      <c r="AD394" s="705">
        <v>13</v>
      </c>
      <c r="AE394" s="705">
        <v>1241</v>
      </c>
      <c r="AF394" s="705">
        <v>7446</v>
      </c>
      <c r="AG394" s="705">
        <v>446707</v>
      </c>
      <c r="AH394" s="705">
        <v>406097</v>
      </c>
      <c r="AI394" s="706">
        <v>71</v>
      </c>
      <c r="AJ394" s="705">
        <v>93369</v>
      </c>
      <c r="AK394" s="705">
        <v>79111</v>
      </c>
      <c r="AL394" s="705">
        <v>27556</v>
      </c>
      <c r="AM394" s="705">
        <v>10206</v>
      </c>
      <c r="AN394" s="705">
        <v>3274</v>
      </c>
      <c r="AO394" s="705">
        <v>1213</v>
      </c>
      <c r="AP394" s="705">
        <v>111927</v>
      </c>
      <c r="AQ394" s="705">
        <v>41455</v>
      </c>
      <c r="AR394" s="705">
        <v>0</v>
      </c>
      <c r="AS394" s="705">
        <v>0</v>
      </c>
      <c r="AT394" s="705">
        <v>538081</v>
      </c>
      <c r="AU394" s="705">
        <f t="shared" si="28"/>
        <v>538082</v>
      </c>
      <c r="AV394" s="705">
        <f t="shared" si="29"/>
        <v>682833</v>
      </c>
    </row>
    <row r="395" spans="2:48" hidden="1">
      <c r="B395" t="s">
        <v>537</v>
      </c>
      <c r="C395" t="s">
        <v>112</v>
      </c>
      <c r="D395" t="s">
        <v>583</v>
      </c>
      <c r="E395" t="s">
        <v>665</v>
      </c>
      <c r="F395">
        <v>1</v>
      </c>
      <c r="G395" s="705">
        <v>225</v>
      </c>
      <c r="H395" s="705">
        <v>113</v>
      </c>
      <c r="I395" s="705">
        <v>13136</v>
      </c>
      <c r="J395" s="705">
        <v>11942</v>
      </c>
      <c r="K395">
        <v>86</v>
      </c>
      <c r="L395" s="705">
        <v>1924</v>
      </c>
      <c r="M395" s="705">
        <v>1749</v>
      </c>
      <c r="N395" s="705">
        <v>4245</v>
      </c>
      <c r="O395" s="705">
        <v>1572</v>
      </c>
      <c r="P395" s="705">
        <v>621</v>
      </c>
      <c r="Q395" s="705">
        <v>230</v>
      </c>
      <c r="R395" s="705">
        <v>5558</v>
      </c>
      <c r="S395" s="705">
        <v>5053</v>
      </c>
      <c r="T395" s="705">
        <v>0</v>
      </c>
      <c r="U395" s="705">
        <v>0</v>
      </c>
      <c r="V395" s="705">
        <v>20546</v>
      </c>
      <c r="W395" s="705">
        <f t="shared" si="30"/>
        <v>20546</v>
      </c>
      <c r="X395" s="705">
        <f t="shared" si="31"/>
        <v>25484</v>
      </c>
      <c r="Y395" s="705"/>
      <c r="AA395" t="s">
        <v>124</v>
      </c>
      <c r="AB395" t="s">
        <v>664</v>
      </c>
      <c r="AC395" s="705" t="s">
        <v>583</v>
      </c>
      <c r="AD395" s="705">
        <v>9</v>
      </c>
      <c r="AE395" s="705">
        <v>1247</v>
      </c>
      <c r="AF395" s="705">
        <v>5009</v>
      </c>
      <c r="AG395" s="705">
        <v>473370</v>
      </c>
      <c r="AH395" s="705">
        <v>430336</v>
      </c>
      <c r="AI395" s="706">
        <v>68</v>
      </c>
      <c r="AJ395" s="705">
        <v>82410</v>
      </c>
      <c r="AK395" s="705">
        <v>69095</v>
      </c>
      <c r="AL395" s="705">
        <v>27942</v>
      </c>
      <c r="AM395" s="705">
        <v>10349</v>
      </c>
      <c r="AN395" s="705">
        <v>6291</v>
      </c>
      <c r="AO395" s="705">
        <v>2330</v>
      </c>
      <c r="AP395" s="705">
        <v>57173</v>
      </c>
      <c r="AQ395" s="705">
        <v>51975</v>
      </c>
      <c r="AR395" s="705">
        <v>28222</v>
      </c>
      <c r="AS395" s="705">
        <v>10453</v>
      </c>
      <c r="AT395" s="705">
        <v>574538</v>
      </c>
      <c r="AU395" s="705">
        <f t="shared" si="28"/>
        <v>574538</v>
      </c>
      <c r="AV395" s="705">
        <f t="shared" si="29"/>
        <v>675408</v>
      </c>
    </row>
    <row r="396" spans="2:48" hidden="1">
      <c r="B396" t="s">
        <v>537</v>
      </c>
      <c r="C396" t="s">
        <v>112</v>
      </c>
      <c r="D396" t="s">
        <v>584</v>
      </c>
      <c r="E396" t="s">
        <v>584</v>
      </c>
      <c r="F396">
        <v>347</v>
      </c>
      <c r="G396" s="705">
        <v>65665</v>
      </c>
      <c r="H396" s="705">
        <v>40426</v>
      </c>
      <c r="I396" s="705">
        <v>4172542</v>
      </c>
      <c r="J396" s="705">
        <v>3793220</v>
      </c>
      <c r="K396">
        <v>90</v>
      </c>
      <c r="L396" s="705">
        <v>789180</v>
      </c>
      <c r="M396" s="705">
        <v>1234108</v>
      </c>
      <c r="N396" s="705">
        <v>1152335</v>
      </c>
      <c r="O396" s="705">
        <v>426791</v>
      </c>
      <c r="P396" s="705">
        <v>196870</v>
      </c>
      <c r="Q396" s="705">
        <v>72915</v>
      </c>
      <c r="R396" s="705">
        <v>1626587</v>
      </c>
      <c r="S396" s="705">
        <v>1478716</v>
      </c>
      <c r="T396" s="705">
        <v>8885</v>
      </c>
      <c r="U396" s="705">
        <v>3291</v>
      </c>
      <c r="V396" s="705">
        <v>7009040</v>
      </c>
      <c r="W396" s="705">
        <f t="shared" si="30"/>
        <v>7009041</v>
      </c>
      <c r="X396" s="705">
        <f t="shared" si="31"/>
        <v>7946399</v>
      </c>
      <c r="Y396" s="705"/>
      <c r="AA396" t="s">
        <v>124</v>
      </c>
      <c r="AB396" t="s">
        <v>582</v>
      </c>
      <c r="AC396" s="705" t="s">
        <v>664</v>
      </c>
      <c r="AD396" s="705">
        <v>1</v>
      </c>
      <c r="AE396" s="705">
        <v>99</v>
      </c>
      <c r="AF396" s="705">
        <v>505</v>
      </c>
      <c r="AG396" s="705">
        <v>31740</v>
      </c>
      <c r="AH396" s="705">
        <v>28854</v>
      </c>
      <c r="AI396" s="706">
        <v>63</v>
      </c>
      <c r="AJ396" s="705">
        <v>7030</v>
      </c>
      <c r="AK396" s="705">
        <v>6391</v>
      </c>
      <c r="AL396" s="705">
        <v>1632</v>
      </c>
      <c r="AM396" s="705">
        <v>604</v>
      </c>
      <c r="AN396" s="705">
        <v>351</v>
      </c>
      <c r="AO396" s="705">
        <v>130</v>
      </c>
      <c r="AP396" s="705">
        <v>5816</v>
      </c>
      <c r="AQ396" s="705">
        <v>5287</v>
      </c>
      <c r="AR396" s="705">
        <v>3121</v>
      </c>
      <c r="AS396" s="705">
        <v>1156</v>
      </c>
      <c r="AT396" s="705">
        <v>42422</v>
      </c>
      <c r="AU396" s="705">
        <f t="shared" si="28"/>
        <v>42422</v>
      </c>
      <c r="AV396" s="705">
        <f t="shared" si="29"/>
        <v>49690</v>
      </c>
    </row>
    <row r="397" spans="2:48" hidden="1">
      <c r="B397" t="s">
        <v>537</v>
      </c>
      <c r="C397" t="s">
        <v>112</v>
      </c>
      <c r="D397" t="s">
        <v>665</v>
      </c>
      <c r="E397" t="s">
        <v>665</v>
      </c>
      <c r="F397">
        <v>1</v>
      </c>
      <c r="G397" s="705">
        <v>194</v>
      </c>
      <c r="H397" s="705">
        <v>122</v>
      </c>
      <c r="I397" s="705">
        <v>18683</v>
      </c>
      <c r="J397" s="705">
        <v>16985</v>
      </c>
      <c r="K397">
        <v>65</v>
      </c>
      <c r="L397" s="705">
        <v>2076</v>
      </c>
      <c r="M397" s="705">
        <v>1887</v>
      </c>
      <c r="N397" s="705">
        <v>2600</v>
      </c>
      <c r="O397" s="705">
        <v>963</v>
      </c>
      <c r="P397" s="705">
        <v>351</v>
      </c>
      <c r="Q397" s="705">
        <v>130</v>
      </c>
      <c r="R397" s="705">
        <v>1725</v>
      </c>
      <c r="S397" s="705">
        <v>1568</v>
      </c>
      <c r="T397" s="705">
        <v>-1692</v>
      </c>
      <c r="U397">
        <v>-627</v>
      </c>
      <c r="V397" s="705">
        <v>20907</v>
      </c>
      <c r="W397" s="705">
        <f t="shared" si="30"/>
        <v>22160</v>
      </c>
      <c r="X397" s="705">
        <f t="shared" si="31"/>
        <v>27127</v>
      </c>
      <c r="Y397" s="705"/>
      <c r="AA397" t="s">
        <v>124</v>
      </c>
      <c r="AB397" t="s">
        <v>582</v>
      </c>
      <c r="AC397" s="705" t="s">
        <v>582</v>
      </c>
      <c r="AD397" s="705">
        <v>99</v>
      </c>
      <c r="AE397" s="705">
        <v>10523</v>
      </c>
      <c r="AF397" s="705">
        <v>54365</v>
      </c>
      <c r="AG397" s="705">
        <v>3936028</v>
      </c>
      <c r="AH397" s="705">
        <v>3578207</v>
      </c>
      <c r="AI397" s="706">
        <v>73</v>
      </c>
      <c r="AJ397" s="705">
        <v>827206</v>
      </c>
      <c r="AK397" s="705">
        <v>720458</v>
      </c>
      <c r="AL397" s="705">
        <v>235949</v>
      </c>
      <c r="AM397" s="705">
        <v>87388</v>
      </c>
      <c r="AN397" s="705">
        <v>46062</v>
      </c>
      <c r="AO397" s="705">
        <v>17060</v>
      </c>
      <c r="AP397" s="705">
        <v>515824</v>
      </c>
      <c r="AQ397" s="705">
        <v>468931</v>
      </c>
      <c r="AR397" s="705">
        <v>117516</v>
      </c>
      <c r="AS397" s="705">
        <v>43524</v>
      </c>
      <c r="AT397" s="705">
        <v>4915569</v>
      </c>
      <c r="AU397" s="705">
        <f t="shared" si="28"/>
        <v>4915568</v>
      </c>
      <c r="AV397" s="705">
        <f t="shared" si="29"/>
        <v>5678585</v>
      </c>
    </row>
    <row r="398" spans="2:48" hidden="1">
      <c r="B398" t="s">
        <v>537</v>
      </c>
      <c r="C398" t="s">
        <v>112</v>
      </c>
      <c r="D398" t="s">
        <v>673</v>
      </c>
      <c r="E398" t="s">
        <v>228</v>
      </c>
      <c r="F398">
        <v>1</v>
      </c>
      <c r="G398" s="705">
        <v>123</v>
      </c>
      <c r="H398" s="705">
        <v>120</v>
      </c>
      <c r="I398" s="705">
        <v>4261</v>
      </c>
      <c r="J398" s="705">
        <v>3874</v>
      </c>
      <c r="K398">
        <v>80</v>
      </c>
      <c r="L398" s="705">
        <v>934</v>
      </c>
      <c r="M398" s="705">
        <v>346</v>
      </c>
      <c r="N398" s="705">
        <v>1936</v>
      </c>
      <c r="O398" s="705">
        <v>717</v>
      </c>
      <c r="P398" s="705">
        <v>1103</v>
      </c>
      <c r="Q398" s="705">
        <v>409</v>
      </c>
      <c r="R398" s="705">
        <v>6519</v>
      </c>
      <c r="S398" s="705">
        <v>2415</v>
      </c>
      <c r="T398" s="705">
        <v>0</v>
      </c>
      <c r="U398" s="705">
        <v>0</v>
      </c>
      <c r="V398" s="705">
        <v>7760</v>
      </c>
      <c r="W398" s="705">
        <f t="shared" si="30"/>
        <v>7761</v>
      </c>
      <c r="X398" s="705">
        <f t="shared" si="31"/>
        <v>14753</v>
      </c>
      <c r="Y398" s="705"/>
      <c r="AA398" t="s">
        <v>124</v>
      </c>
      <c r="AB398" t="s">
        <v>582</v>
      </c>
      <c r="AC398" s="705" t="s">
        <v>228</v>
      </c>
      <c r="AD398" s="705">
        <v>12</v>
      </c>
      <c r="AE398" s="705">
        <v>924</v>
      </c>
      <c r="AF398" s="705">
        <v>7073</v>
      </c>
      <c r="AG398" s="705">
        <v>340738</v>
      </c>
      <c r="AH398" s="705">
        <v>309761</v>
      </c>
      <c r="AI398" s="706">
        <v>55</v>
      </c>
      <c r="AJ398" s="705">
        <v>65053</v>
      </c>
      <c r="AK398" s="705">
        <v>41971</v>
      </c>
      <c r="AL398" s="705">
        <v>16860</v>
      </c>
      <c r="AM398" s="705">
        <v>6244</v>
      </c>
      <c r="AN398" s="705">
        <v>1890</v>
      </c>
      <c r="AO398" s="705">
        <v>700</v>
      </c>
      <c r="AP398" s="705">
        <v>91870</v>
      </c>
      <c r="AQ398" s="705">
        <v>34026</v>
      </c>
      <c r="AR398" s="705">
        <v>5341</v>
      </c>
      <c r="AS398" s="705">
        <v>1978</v>
      </c>
      <c r="AT398" s="705">
        <v>394681</v>
      </c>
      <c r="AU398" s="705">
        <f t="shared" si="28"/>
        <v>394680</v>
      </c>
      <c r="AV398" s="705">
        <f t="shared" si="29"/>
        <v>521752</v>
      </c>
    </row>
    <row r="399" spans="2:48" hidden="1">
      <c r="B399" t="s">
        <v>537</v>
      </c>
      <c r="C399" t="s">
        <v>112</v>
      </c>
      <c r="D399" t="s">
        <v>585</v>
      </c>
      <c r="E399" t="s">
        <v>585</v>
      </c>
      <c r="F399">
        <v>20</v>
      </c>
      <c r="G399" s="705">
        <v>3602</v>
      </c>
      <c r="H399" s="705">
        <v>2288</v>
      </c>
      <c r="I399" s="705">
        <v>244884</v>
      </c>
      <c r="J399" s="705">
        <v>222621</v>
      </c>
      <c r="K399">
        <v>92</v>
      </c>
      <c r="L399" s="705">
        <v>31444</v>
      </c>
      <c r="M399" s="705">
        <v>26206</v>
      </c>
      <c r="N399" s="705">
        <v>62134</v>
      </c>
      <c r="O399" s="705">
        <v>23013</v>
      </c>
      <c r="P399" s="705">
        <v>26197</v>
      </c>
      <c r="Q399" s="705">
        <v>9703</v>
      </c>
      <c r="R399" s="705">
        <v>57610</v>
      </c>
      <c r="S399" s="705">
        <v>52373</v>
      </c>
      <c r="T399">
        <v>0</v>
      </c>
      <c r="U399">
        <v>0</v>
      </c>
      <c r="V399" s="705">
        <v>333916</v>
      </c>
      <c r="W399" s="705">
        <f t="shared" si="30"/>
        <v>333916</v>
      </c>
      <c r="X399" s="705">
        <f t="shared" si="31"/>
        <v>422269</v>
      </c>
      <c r="Y399" s="705"/>
      <c r="AA399" t="s">
        <v>124</v>
      </c>
      <c r="AB399" t="s">
        <v>228</v>
      </c>
      <c r="AC399" s="705" t="s">
        <v>674</v>
      </c>
      <c r="AD399" s="705">
        <v>1</v>
      </c>
      <c r="AE399" s="705">
        <v>61</v>
      </c>
      <c r="AF399" s="705">
        <v>553</v>
      </c>
      <c r="AG399" s="705">
        <v>23268</v>
      </c>
      <c r="AH399" s="705">
        <v>8618</v>
      </c>
      <c r="AI399" s="706">
        <v>100</v>
      </c>
      <c r="AJ399" s="705">
        <v>2341</v>
      </c>
      <c r="AK399" s="705">
        <v>2128</v>
      </c>
      <c r="AL399" s="705">
        <v>1283</v>
      </c>
      <c r="AM399" s="705">
        <v>475</v>
      </c>
      <c r="AN399" s="705">
        <v>0</v>
      </c>
      <c r="AO399" s="705">
        <v>0</v>
      </c>
      <c r="AP399" s="705">
        <v>6992</v>
      </c>
      <c r="AQ399" s="705">
        <v>6356</v>
      </c>
      <c r="AR399" s="705">
        <v>0</v>
      </c>
      <c r="AS399" s="705">
        <v>0</v>
      </c>
      <c r="AT399" s="705">
        <v>17577</v>
      </c>
      <c r="AU399" s="705">
        <f t="shared" si="28"/>
        <v>17577</v>
      </c>
      <c r="AV399" s="705">
        <f t="shared" si="29"/>
        <v>33884</v>
      </c>
    </row>
    <row r="400" spans="2:48" hidden="1">
      <c r="B400" t="s">
        <v>537</v>
      </c>
      <c r="C400" t="s">
        <v>114</v>
      </c>
      <c r="F400" s="705">
        <v>2</v>
      </c>
      <c r="G400" s="705">
        <v>337</v>
      </c>
      <c r="H400" s="705">
        <v>288</v>
      </c>
      <c r="I400" s="705"/>
      <c r="J400" s="705">
        <v>0</v>
      </c>
      <c r="L400" s="705"/>
      <c r="M400" s="705">
        <v>0</v>
      </c>
      <c r="N400" s="705">
        <v>5387</v>
      </c>
      <c r="O400" s="705">
        <v>1995</v>
      </c>
      <c r="P400" s="705">
        <v>2376</v>
      </c>
      <c r="Q400" s="705">
        <v>880</v>
      </c>
      <c r="R400" s="705"/>
      <c r="S400" s="705">
        <v>0</v>
      </c>
      <c r="T400" s="705">
        <v>0</v>
      </c>
      <c r="U400" s="705">
        <v>0</v>
      </c>
      <c r="V400" s="705">
        <v>2875</v>
      </c>
      <c r="W400" s="705">
        <f t="shared" si="30"/>
        <v>2875</v>
      </c>
      <c r="X400" s="705">
        <f t="shared" si="31"/>
        <v>7763</v>
      </c>
      <c r="Y400" s="705"/>
      <c r="AA400" t="s">
        <v>124</v>
      </c>
      <c r="AB400" t="s">
        <v>228</v>
      </c>
      <c r="AC400" s="705" t="s">
        <v>580</v>
      </c>
      <c r="AD400" s="705">
        <v>2</v>
      </c>
      <c r="AE400" s="705">
        <v>270</v>
      </c>
      <c r="AF400" s="705">
        <v>1409</v>
      </c>
      <c r="AG400" s="705">
        <v>166795</v>
      </c>
      <c r="AH400" s="705">
        <v>61776</v>
      </c>
      <c r="AI400" s="706">
        <v>100</v>
      </c>
      <c r="AJ400" s="705">
        <v>14680</v>
      </c>
      <c r="AK400" s="705">
        <v>13345</v>
      </c>
      <c r="AL400" s="705">
        <v>6582</v>
      </c>
      <c r="AM400" s="705">
        <v>2438</v>
      </c>
      <c r="AN400" s="705">
        <v>0</v>
      </c>
      <c r="AO400" s="705">
        <v>0</v>
      </c>
      <c r="AP400" s="705">
        <v>17798</v>
      </c>
      <c r="AQ400" s="705">
        <v>6592</v>
      </c>
      <c r="AR400" s="705">
        <v>0</v>
      </c>
      <c r="AS400" s="705">
        <v>0</v>
      </c>
      <c r="AT400" s="705">
        <v>84151</v>
      </c>
      <c r="AU400" s="705">
        <f t="shared" si="28"/>
        <v>84151</v>
      </c>
      <c r="AV400" s="705">
        <f t="shared" si="29"/>
        <v>205855</v>
      </c>
    </row>
    <row r="401" spans="2:48" hidden="1">
      <c r="B401" t="s">
        <v>537</v>
      </c>
      <c r="C401" t="s">
        <v>114</v>
      </c>
      <c r="D401" t="s">
        <v>664</v>
      </c>
      <c r="E401" t="s">
        <v>664</v>
      </c>
      <c r="F401">
        <v>3</v>
      </c>
      <c r="G401">
        <v>681</v>
      </c>
      <c r="H401">
        <v>396</v>
      </c>
      <c r="I401" s="705">
        <v>52250</v>
      </c>
      <c r="J401" s="705">
        <v>47500</v>
      </c>
      <c r="K401">
        <v>91</v>
      </c>
      <c r="L401" s="705">
        <v>8557</v>
      </c>
      <c r="M401" s="705">
        <v>7779</v>
      </c>
      <c r="N401" s="705">
        <v>12351</v>
      </c>
      <c r="O401" s="705">
        <v>4574</v>
      </c>
      <c r="P401" s="705">
        <v>1418</v>
      </c>
      <c r="Q401">
        <v>525</v>
      </c>
      <c r="R401" s="705">
        <v>15268</v>
      </c>
      <c r="S401" s="705">
        <v>13880</v>
      </c>
      <c r="T401">
        <v>0</v>
      </c>
      <c r="U401">
        <v>0</v>
      </c>
      <c r="V401" s="705">
        <v>74258</v>
      </c>
      <c r="W401" s="705">
        <f t="shared" si="30"/>
        <v>74258</v>
      </c>
      <c r="X401" s="705">
        <f t="shared" si="31"/>
        <v>89844</v>
      </c>
      <c r="Y401" s="705"/>
      <c r="AA401" t="s">
        <v>124</v>
      </c>
      <c r="AB401" t="s">
        <v>228</v>
      </c>
      <c r="AC401" s="705" t="s">
        <v>664</v>
      </c>
      <c r="AD401" s="705">
        <v>7</v>
      </c>
      <c r="AE401" s="705">
        <v>672</v>
      </c>
      <c r="AF401" s="705">
        <v>4798</v>
      </c>
      <c r="AG401" s="705">
        <v>345723</v>
      </c>
      <c r="AH401" s="705">
        <v>128046</v>
      </c>
      <c r="AI401" s="706">
        <v>100</v>
      </c>
      <c r="AJ401" s="705">
        <v>37399</v>
      </c>
      <c r="AK401" s="705">
        <v>34000</v>
      </c>
      <c r="AL401" s="705">
        <v>13566</v>
      </c>
      <c r="AM401" s="705">
        <v>5025</v>
      </c>
      <c r="AN401" s="705">
        <v>243</v>
      </c>
      <c r="AO401" s="705">
        <v>90</v>
      </c>
      <c r="AP401" s="705">
        <v>24292</v>
      </c>
      <c r="AQ401" s="705">
        <v>22083</v>
      </c>
      <c r="AR401" s="705">
        <v>0</v>
      </c>
      <c r="AS401" s="705">
        <v>0</v>
      </c>
      <c r="AT401" s="705">
        <v>189243</v>
      </c>
      <c r="AU401" s="705">
        <f t="shared" si="28"/>
        <v>189244</v>
      </c>
      <c r="AV401" s="705">
        <f t="shared" si="29"/>
        <v>421223</v>
      </c>
    </row>
    <row r="402" spans="2:48" hidden="1">
      <c r="B402" t="s">
        <v>537</v>
      </c>
      <c r="C402" t="s">
        <v>114</v>
      </c>
      <c r="D402" t="s">
        <v>664</v>
      </c>
      <c r="E402" t="s">
        <v>583</v>
      </c>
      <c r="F402">
        <v>1</v>
      </c>
      <c r="G402">
        <v>151</v>
      </c>
      <c r="H402">
        <v>138</v>
      </c>
      <c r="I402" s="705">
        <v>10279</v>
      </c>
      <c r="J402" s="705">
        <v>9344</v>
      </c>
      <c r="K402">
        <v>86</v>
      </c>
      <c r="L402" s="705">
        <v>3091</v>
      </c>
      <c r="M402" s="705">
        <v>2810</v>
      </c>
      <c r="N402" s="705">
        <v>1837</v>
      </c>
      <c r="O402" s="705">
        <v>680</v>
      </c>
      <c r="P402" s="705">
        <v>621</v>
      </c>
      <c r="Q402">
        <v>230</v>
      </c>
      <c r="R402" s="705">
        <v>5022</v>
      </c>
      <c r="S402" s="705">
        <v>4566</v>
      </c>
      <c r="T402">
        <v>0</v>
      </c>
      <c r="U402">
        <v>0</v>
      </c>
      <c r="V402" s="705">
        <v>17631</v>
      </c>
      <c r="W402" s="705">
        <f t="shared" si="30"/>
        <v>17630</v>
      </c>
      <c r="X402" s="705">
        <f t="shared" si="31"/>
        <v>20850</v>
      </c>
      <c r="Y402" s="705"/>
      <c r="AA402" t="s">
        <v>124</v>
      </c>
      <c r="AB402" t="s">
        <v>228</v>
      </c>
      <c r="AC402" s="705" t="s">
        <v>582</v>
      </c>
      <c r="AD402" s="705">
        <v>3</v>
      </c>
      <c r="AE402" s="705">
        <v>1077</v>
      </c>
      <c r="AF402" s="705">
        <v>2367</v>
      </c>
      <c r="AG402" s="705">
        <v>507150</v>
      </c>
      <c r="AH402" s="705">
        <v>187833</v>
      </c>
      <c r="AI402" s="706">
        <v>100</v>
      </c>
      <c r="AJ402" s="705">
        <v>76525</v>
      </c>
      <c r="AK402" s="705">
        <v>69568</v>
      </c>
      <c r="AL402" s="705">
        <v>21759</v>
      </c>
      <c r="AM402" s="705">
        <v>8059</v>
      </c>
      <c r="AN402" s="705">
        <v>743</v>
      </c>
      <c r="AO402" s="705">
        <v>275</v>
      </c>
      <c r="AP402" s="705">
        <v>24321</v>
      </c>
      <c r="AQ402" s="705">
        <v>22110</v>
      </c>
      <c r="AR402" s="705">
        <v>0</v>
      </c>
      <c r="AS402" s="705">
        <v>0</v>
      </c>
      <c r="AT402" s="705">
        <v>287845</v>
      </c>
      <c r="AU402" s="705">
        <f t="shared" si="28"/>
        <v>287845</v>
      </c>
      <c r="AV402" s="705">
        <f t="shared" si="29"/>
        <v>630498</v>
      </c>
    </row>
    <row r="403" spans="2:48" hidden="1">
      <c r="B403" t="s">
        <v>537</v>
      </c>
      <c r="C403" t="s">
        <v>114</v>
      </c>
      <c r="D403" t="s">
        <v>582</v>
      </c>
      <c r="E403" t="s">
        <v>582</v>
      </c>
      <c r="F403">
        <v>109</v>
      </c>
      <c r="G403" s="705">
        <v>20061</v>
      </c>
      <c r="H403" s="705">
        <v>15174</v>
      </c>
      <c r="I403" s="705">
        <v>1621871</v>
      </c>
      <c r="J403" s="705">
        <v>1474428</v>
      </c>
      <c r="K403">
        <v>89</v>
      </c>
      <c r="L403" s="705">
        <v>319173</v>
      </c>
      <c r="M403" s="705">
        <v>282847</v>
      </c>
      <c r="N403" s="705">
        <v>392597</v>
      </c>
      <c r="O403" s="705">
        <v>145406</v>
      </c>
      <c r="P403" s="705">
        <v>62854</v>
      </c>
      <c r="Q403" s="705">
        <v>23279</v>
      </c>
      <c r="R403" s="705">
        <v>551172</v>
      </c>
      <c r="S403" s="705">
        <v>501065</v>
      </c>
      <c r="T403" s="705">
        <v>6849</v>
      </c>
      <c r="U403" s="705">
        <v>2537</v>
      </c>
      <c r="V403" s="705">
        <v>2429562</v>
      </c>
      <c r="W403" s="705">
        <f t="shared" si="30"/>
        <v>2429562</v>
      </c>
      <c r="X403" s="705">
        <f t="shared" si="31"/>
        <v>2954516</v>
      </c>
      <c r="Y403" s="705"/>
      <c r="AA403" t="s">
        <v>124</v>
      </c>
      <c r="AB403" t="s">
        <v>228</v>
      </c>
      <c r="AC403" s="705" t="s">
        <v>228</v>
      </c>
      <c r="AD403" s="705">
        <v>4164</v>
      </c>
      <c r="AE403" s="705">
        <v>376896</v>
      </c>
      <c r="AF403" s="705">
        <v>3100332</v>
      </c>
      <c r="AG403" s="705">
        <v>201656262</v>
      </c>
      <c r="AH403" s="705">
        <v>74687504</v>
      </c>
      <c r="AI403" s="706">
        <v>100</v>
      </c>
      <c r="AJ403" s="705">
        <v>34081737</v>
      </c>
      <c r="AK403" s="705">
        <v>29853852</v>
      </c>
      <c r="AL403" s="705">
        <v>8576840</v>
      </c>
      <c r="AM403" s="705">
        <v>3176607</v>
      </c>
      <c r="AN403" s="705">
        <v>71874</v>
      </c>
      <c r="AO403" s="705">
        <v>26620</v>
      </c>
      <c r="AP403" s="705">
        <v>28760157</v>
      </c>
      <c r="AQ403" s="705">
        <v>10651910</v>
      </c>
      <c r="AR403" s="705">
        <v>131534</v>
      </c>
      <c r="AS403" s="705">
        <v>48716</v>
      </c>
      <c r="AT403" s="705">
        <v>118445210</v>
      </c>
      <c r="AU403" s="705">
        <f t="shared" si="28"/>
        <v>118445209</v>
      </c>
      <c r="AV403" s="705">
        <f t="shared" si="29"/>
        <v>273278404</v>
      </c>
    </row>
    <row r="404" spans="2:48" hidden="1">
      <c r="B404" t="s">
        <v>537</v>
      </c>
      <c r="C404" t="s">
        <v>114</v>
      </c>
      <c r="D404" t="s">
        <v>582</v>
      </c>
      <c r="E404" t="s">
        <v>583</v>
      </c>
      <c r="F404">
        <v>1</v>
      </c>
      <c r="G404">
        <v>227</v>
      </c>
      <c r="H404">
        <v>144</v>
      </c>
      <c r="I404" s="705">
        <v>19665</v>
      </c>
      <c r="J404" s="705">
        <v>17877</v>
      </c>
      <c r="K404">
        <v>90</v>
      </c>
      <c r="L404" s="705">
        <v>3117</v>
      </c>
      <c r="M404" s="705">
        <v>2834</v>
      </c>
      <c r="N404" s="705">
        <v>4288</v>
      </c>
      <c r="O404" s="705">
        <v>1588</v>
      </c>
      <c r="P404" s="705">
        <v>473</v>
      </c>
      <c r="Q404">
        <v>175</v>
      </c>
      <c r="R404" s="705">
        <v>5040</v>
      </c>
      <c r="S404" s="705">
        <v>4582</v>
      </c>
      <c r="T404">
        <v>0</v>
      </c>
      <c r="U404">
        <v>0</v>
      </c>
      <c r="V404" s="705">
        <v>27056</v>
      </c>
      <c r="W404" s="705">
        <f t="shared" si="30"/>
        <v>27056</v>
      </c>
      <c r="X404" s="705">
        <f t="shared" si="31"/>
        <v>32583</v>
      </c>
      <c r="Y404" s="705"/>
      <c r="AA404" t="s">
        <v>124</v>
      </c>
      <c r="AB404" t="s">
        <v>228</v>
      </c>
      <c r="AC404" s="705" t="s">
        <v>583</v>
      </c>
      <c r="AD404" s="705">
        <v>62</v>
      </c>
      <c r="AE404" s="705">
        <v>9414</v>
      </c>
      <c r="AF404" s="705">
        <v>42132</v>
      </c>
      <c r="AG404" s="705">
        <v>4731700</v>
      </c>
      <c r="AH404" s="705">
        <v>1752482</v>
      </c>
      <c r="AI404" s="706">
        <v>100</v>
      </c>
      <c r="AJ404" s="705">
        <v>614495</v>
      </c>
      <c r="AK404" s="705">
        <v>540678</v>
      </c>
      <c r="AL404" s="705">
        <v>208060</v>
      </c>
      <c r="AM404" s="705">
        <v>77059</v>
      </c>
      <c r="AN404" s="705">
        <v>14102</v>
      </c>
      <c r="AO404" s="705">
        <v>5223</v>
      </c>
      <c r="AP404" s="705">
        <v>415936</v>
      </c>
      <c r="AQ404" s="705">
        <v>378124</v>
      </c>
      <c r="AR404" s="705">
        <v>134693</v>
      </c>
      <c r="AS404" s="705">
        <v>49886</v>
      </c>
      <c r="AT404" s="705">
        <v>2803452</v>
      </c>
      <c r="AU404" s="705">
        <f t="shared" si="28"/>
        <v>2803452</v>
      </c>
      <c r="AV404" s="705">
        <f t="shared" si="29"/>
        <v>6118986</v>
      </c>
    </row>
    <row r="405" spans="2:48" hidden="1">
      <c r="B405" t="s">
        <v>537</v>
      </c>
      <c r="C405" t="s">
        <v>114</v>
      </c>
      <c r="D405" t="s">
        <v>228</v>
      </c>
      <c r="E405" t="s">
        <v>228</v>
      </c>
      <c r="F405">
        <v>69</v>
      </c>
      <c r="G405" s="705">
        <v>15149</v>
      </c>
      <c r="H405" s="705">
        <v>9552</v>
      </c>
      <c r="I405" s="705">
        <v>1056259</v>
      </c>
      <c r="J405" s="705">
        <v>391207</v>
      </c>
      <c r="K405">
        <v>315</v>
      </c>
      <c r="L405" s="705">
        <v>271952</v>
      </c>
      <c r="M405" s="705">
        <v>239436</v>
      </c>
      <c r="N405" s="705">
        <v>315552</v>
      </c>
      <c r="O405" s="705">
        <v>116871</v>
      </c>
      <c r="P405" s="705">
        <v>59588</v>
      </c>
      <c r="Q405" s="705">
        <v>22070</v>
      </c>
      <c r="R405" s="705">
        <v>505914</v>
      </c>
      <c r="S405" s="705">
        <v>187375</v>
      </c>
      <c r="T405" s="705">
        <v>0</v>
      </c>
      <c r="U405" s="705">
        <v>0</v>
      </c>
      <c r="V405" s="705">
        <v>956959</v>
      </c>
      <c r="W405" s="705">
        <f t="shared" si="30"/>
        <v>956959</v>
      </c>
      <c r="X405" s="705">
        <f t="shared" si="31"/>
        <v>2209265</v>
      </c>
      <c r="Y405" s="705"/>
      <c r="AA405" t="s">
        <v>124</v>
      </c>
      <c r="AB405" t="s">
        <v>228</v>
      </c>
      <c r="AC405" s="705" t="s">
        <v>666</v>
      </c>
      <c r="AD405" s="705">
        <v>30</v>
      </c>
      <c r="AE405" s="705">
        <v>2684</v>
      </c>
      <c r="AF405" s="705">
        <v>21301</v>
      </c>
      <c r="AG405" s="705">
        <v>1400119</v>
      </c>
      <c r="AH405" s="705">
        <v>518563</v>
      </c>
      <c r="AI405" s="706">
        <v>100</v>
      </c>
      <c r="AJ405" s="705">
        <v>137656</v>
      </c>
      <c r="AK405" s="705">
        <v>127859</v>
      </c>
      <c r="AL405" s="705">
        <v>59847</v>
      </c>
      <c r="AM405" s="705">
        <v>22166</v>
      </c>
      <c r="AN405" s="705">
        <v>1755</v>
      </c>
      <c r="AO405" s="705">
        <v>650</v>
      </c>
      <c r="AP405" s="705">
        <v>206736</v>
      </c>
      <c r="AQ405" s="705">
        <v>187942</v>
      </c>
      <c r="AR405" s="705">
        <v>60531</v>
      </c>
      <c r="AS405" s="705">
        <v>22419</v>
      </c>
      <c r="AT405" s="705">
        <v>879599</v>
      </c>
      <c r="AU405" s="705">
        <f t="shared" si="28"/>
        <v>879599</v>
      </c>
      <c r="AV405" s="705">
        <f t="shared" si="29"/>
        <v>1866644</v>
      </c>
    </row>
    <row r="406" spans="2:48" hidden="1">
      <c r="B406" t="s">
        <v>537</v>
      </c>
      <c r="C406" t="s">
        <v>114</v>
      </c>
      <c r="D406" t="s">
        <v>583</v>
      </c>
      <c r="E406" t="s">
        <v>664</v>
      </c>
      <c r="F406">
        <v>1</v>
      </c>
      <c r="G406" s="705">
        <v>239</v>
      </c>
      <c r="H406" s="705">
        <v>147</v>
      </c>
      <c r="I406" s="705">
        <v>16438</v>
      </c>
      <c r="J406" s="705">
        <v>14943</v>
      </c>
      <c r="K406">
        <v>86</v>
      </c>
      <c r="L406" s="705">
        <v>5217</v>
      </c>
      <c r="M406" s="705">
        <v>4743</v>
      </c>
      <c r="N406" s="705">
        <v>5833</v>
      </c>
      <c r="O406" s="705">
        <v>2160</v>
      </c>
      <c r="P406" s="705">
        <v>621</v>
      </c>
      <c r="Q406" s="705">
        <v>230</v>
      </c>
      <c r="R406" s="705">
        <v>7045</v>
      </c>
      <c r="S406" s="705">
        <v>6405</v>
      </c>
      <c r="T406" s="705">
        <v>0</v>
      </c>
      <c r="U406" s="705">
        <v>0</v>
      </c>
      <c r="V406" s="705">
        <v>28482</v>
      </c>
      <c r="W406" s="705">
        <f t="shared" si="30"/>
        <v>28481</v>
      </c>
      <c r="X406" s="705">
        <f t="shared" si="31"/>
        <v>35154</v>
      </c>
      <c r="Y406" s="705"/>
      <c r="AA406" t="s">
        <v>124</v>
      </c>
      <c r="AB406" t="s">
        <v>228</v>
      </c>
      <c r="AC406" s="705" t="s">
        <v>584</v>
      </c>
      <c r="AD406" s="705">
        <v>1</v>
      </c>
      <c r="AE406" s="705">
        <v>68</v>
      </c>
      <c r="AF406" s="705">
        <v>904</v>
      </c>
      <c r="AG406" s="705">
        <v>45668</v>
      </c>
      <c r="AH406" s="705">
        <v>16914</v>
      </c>
      <c r="AI406" s="706">
        <v>100</v>
      </c>
      <c r="AJ406" s="705">
        <v>10944</v>
      </c>
      <c r="AK406" s="705">
        <v>9949</v>
      </c>
      <c r="AL406" s="705">
        <v>1651</v>
      </c>
      <c r="AM406" s="705">
        <v>611</v>
      </c>
      <c r="AN406" s="705">
        <v>0</v>
      </c>
      <c r="AO406" s="705">
        <v>0</v>
      </c>
      <c r="AP406" s="705">
        <v>2949</v>
      </c>
      <c r="AQ406" s="705">
        <v>2681</v>
      </c>
      <c r="AR406" s="705">
        <v>0</v>
      </c>
      <c r="AS406" s="705">
        <v>0</v>
      </c>
      <c r="AT406" s="705">
        <v>30156</v>
      </c>
      <c r="AU406" s="705">
        <f t="shared" si="28"/>
        <v>30155</v>
      </c>
      <c r="AV406" s="705">
        <f t="shared" si="29"/>
        <v>61212</v>
      </c>
    </row>
    <row r="407" spans="2:48" hidden="1">
      <c r="B407" t="s">
        <v>537</v>
      </c>
      <c r="C407" t="s">
        <v>114</v>
      </c>
      <c r="D407" t="s">
        <v>583</v>
      </c>
      <c r="E407" t="s">
        <v>228</v>
      </c>
      <c r="F407">
        <v>9</v>
      </c>
      <c r="G407" s="705">
        <v>2123</v>
      </c>
      <c r="H407" s="705">
        <v>1232</v>
      </c>
      <c r="I407" s="705">
        <v>152410</v>
      </c>
      <c r="J407" s="705">
        <v>138554</v>
      </c>
      <c r="K407">
        <v>92</v>
      </c>
      <c r="L407" s="705">
        <v>36347</v>
      </c>
      <c r="M407" s="705">
        <v>33043</v>
      </c>
      <c r="N407" s="705">
        <v>37975</v>
      </c>
      <c r="O407" s="705">
        <v>14065</v>
      </c>
      <c r="P407" s="705">
        <v>5940</v>
      </c>
      <c r="Q407" s="705">
        <v>2200</v>
      </c>
      <c r="R407" s="705">
        <v>55923</v>
      </c>
      <c r="S407" s="705">
        <v>20712</v>
      </c>
      <c r="T407" s="705">
        <v>2301</v>
      </c>
      <c r="U407">
        <v>852</v>
      </c>
      <c r="V407" s="705">
        <v>209426</v>
      </c>
      <c r="W407" s="705">
        <f t="shared" si="30"/>
        <v>209426</v>
      </c>
      <c r="X407" s="705">
        <f t="shared" si="31"/>
        <v>290896</v>
      </c>
      <c r="Y407" s="705"/>
      <c r="AA407" t="s">
        <v>124</v>
      </c>
      <c r="AB407" t="s">
        <v>228</v>
      </c>
      <c r="AC407" s="705" t="s">
        <v>669</v>
      </c>
      <c r="AD407" s="705">
        <v>11</v>
      </c>
      <c r="AE407" s="705">
        <v>908</v>
      </c>
      <c r="AF407" s="705">
        <v>7624</v>
      </c>
      <c r="AG407" s="705">
        <v>437252</v>
      </c>
      <c r="AH407" s="705">
        <v>161945</v>
      </c>
      <c r="AI407" s="706">
        <v>100</v>
      </c>
      <c r="AJ407" s="705">
        <v>70898</v>
      </c>
      <c r="AK407" s="705">
        <v>59264</v>
      </c>
      <c r="AL407" s="705">
        <v>19009</v>
      </c>
      <c r="AM407" s="705">
        <v>7040</v>
      </c>
      <c r="AN407" s="705">
        <v>2376</v>
      </c>
      <c r="AO407" s="705">
        <v>880</v>
      </c>
      <c r="AP407" s="705">
        <v>64807</v>
      </c>
      <c r="AQ407" s="705">
        <v>54006</v>
      </c>
      <c r="AR407" s="705">
        <v>16109</v>
      </c>
      <c r="AS407" s="705">
        <v>5966</v>
      </c>
      <c r="AT407" s="705">
        <v>289102</v>
      </c>
      <c r="AU407" s="705">
        <f t="shared" si="28"/>
        <v>289101</v>
      </c>
      <c r="AV407" s="705">
        <f t="shared" si="29"/>
        <v>610451</v>
      </c>
    </row>
    <row r="408" spans="2:48" hidden="1">
      <c r="B408" t="s">
        <v>537</v>
      </c>
      <c r="C408" t="s">
        <v>114</v>
      </c>
      <c r="D408" t="s">
        <v>583</v>
      </c>
      <c r="E408" t="s">
        <v>583</v>
      </c>
      <c r="F408" s="705">
        <v>2034</v>
      </c>
      <c r="G408" s="705">
        <v>408282</v>
      </c>
      <c r="H408" s="705">
        <v>284659</v>
      </c>
      <c r="I408" s="705">
        <v>32606283</v>
      </c>
      <c r="J408" s="705">
        <v>29642075</v>
      </c>
      <c r="K408">
        <v>89</v>
      </c>
      <c r="L408" s="705">
        <v>7180963</v>
      </c>
      <c r="M408" s="705">
        <v>6400893</v>
      </c>
      <c r="N408" s="705">
        <v>8202962</v>
      </c>
      <c r="O408" s="705">
        <v>3038134</v>
      </c>
      <c r="P408" s="705">
        <v>1425148</v>
      </c>
      <c r="Q408" s="705">
        <v>527833</v>
      </c>
      <c r="R408" s="705">
        <v>11124275</v>
      </c>
      <c r="S408" s="705">
        <v>10112978</v>
      </c>
      <c r="T408" s="705">
        <v>398989</v>
      </c>
      <c r="U408" s="705">
        <v>147774</v>
      </c>
      <c r="V408" s="705">
        <v>49869686</v>
      </c>
      <c r="W408" s="705">
        <f t="shared" si="30"/>
        <v>49869687</v>
      </c>
      <c r="X408" s="705">
        <f t="shared" si="31"/>
        <v>60938620</v>
      </c>
      <c r="Y408" s="705"/>
      <c r="AA408" t="s">
        <v>124</v>
      </c>
      <c r="AB408" t="s">
        <v>228</v>
      </c>
      <c r="AC408" s="705" t="s">
        <v>667</v>
      </c>
      <c r="AD408" s="705">
        <v>2</v>
      </c>
      <c r="AE408" s="705">
        <v>246</v>
      </c>
      <c r="AF408" s="705">
        <v>1184</v>
      </c>
      <c r="AG408" s="705">
        <v>108304</v>
      </c>
      <c r="AH408" s="705">
        <v>40113</v>
      </c>
      <c r="AI408" s="706">
        <v>100</v>
      </c>
      <c r="AJ408" s="705">
        <v>13057</v>
      </c>
      <c r="AK408" s="705">
        <v>11870</v>
      </c>
      <c r="AL408" s="705">
        <v>4642</v>
      </c>
      <c r="AM408" s="705">
        <v>1719</v>
      </c>
      <c r="AN408" s="705">
        <v>0</v>
      </c>
      <c r="AO408" s="705">
        <v>0</v>
      </c>
      <c r="AP408" s="705">
        <v>20442</v>
      </c>
      <c r="AQ408" s="705">
        <v>18583</v>
      </c>
      <c r="AR408" s="705">
        <v>2644</v>
      </c>
      <c r="AS408" s="705">
        <v>979</v>
      </c>
      <c r="AT408" s="705">
        <v>73265</v>
      </c>
      <c r="AU408" s="705">
        <f t="shared" si="28"/>
        <v>73264</v>
      </c>
      <c r="AV408" s="705">
        <f t="shared" si="29"/>
        <v>149089</v>
      </c>
    </row>
    <row r="409" spans="2:48" hidden="1">
      <c r="B409" t="s">
        <v>537</v>
      </c>
      <c r="C409" t="s">
        <v>114</v>
      </c>
      <c r="D409" t="s">
        <v>583</v>
      </c>
      <c r="E409" t="s">
        <v>666</v>
      </c>
      <c r="F409">
        <v>2</v>
      </c>
      <c r="G409">
        <v>443</v>
      </c>
      <c r="H409">
        <v>262</v>
      </c>
      <c r="I409" s="705">
        <v>28476</v>
      </c>
      <c r="J409" s="705">
        <v>25887</v>
      </c>
      <c r="K409">
        <v>97</v>
      </c>
      <c r="L409" s="705">
        <v>7863</v>
      </c>
      <c r="M409" s="705">
        <v>7148</v>
      </c>
      <c r="N409" s="705">
        <v>9332</v>
      </c>
      <c r="O409" s="705">
        <v>3456</v>
      </c>
      <c r="P409" s="705">
        <v>1242</v>
      </c>
      <c r="Q409">
        <v>460</v>
      </c>
      <c r="R409" s="705">
        <v>10604</v>
      </c>
      <c r="S409" s="705">
        <v>9640</v>
      </c>
      <c r="T409" s="705">
        <v>0</v>
      </c>
      <c r="U409" s="705">
        <v>0</v>
      </c>
      <c r="V409" s="705">
        <v>46591</v>
      </c>
      <c r="W409" s="705">
        <f t="shared" si="30"/>
        <v>46591</v>
      </c>
      <c r="X409" s="705">
        <f t="shared" si="31"/>
        <v>57517</v>
      </c>
      <c r="Y409" s="705"/>
      <c r="AA409" t="s">
        <v>124</v>
      </c>
      <c r="AB409" t="s">
        <v>228</v>
      </c>
      <c r="AC409" s="705" t="s">
        <v>671</v>
      </c>
      <c r="AD409" s="705">
        <v>25</v>
      </c>
      <c r="AE409" s="705">
        <v>2279</v>
      </c>
      <c r="AF409" s="705">
        <v>18453</v>
      </c>
      <c r="AG409" s="705">
        <v>1299438</v>
      </c>
      <c r="AH409" s="705">
        <v>481273</v>
      </c>
      <c r="AI409" s="706">
        <v>99</v>
      </c>
      <c r="AJ409" s="705">
        <v>144538</v>
      </c>
      <c r="AK409" s="705">
        <v>131399</v>
      </c>
      <c r="AL409" s="705">
        <v>48606</v>
      </c>
      <c r="AM409" s="705">
        <v>18002</v>
      </c>
      <c r="AN409" s="705">
        <v>1323</v>
      </c>
      <c r="AO409" s="705">
        <v>490</v>
      </c>
      <c r="AP409" s="705">
        <v>169121</v>
      </c>
      <c r="AQ409" s="705">
        <v>153747</v>
      </c>
      <c r="AR409" s="705">
        <v>49107</v>
      </c>
      <c r="AS409" s="705">
        <v>18188</v>
      </c>
      <c r="AT409" s="705">
        <v>803099</v>
      </c>
      <c r="AU409" s="705">
        <f t="shared" si="28"/>
        <v>803099</v>
      </c>
      <c r="AV409" s="705">
        <f t="shared" si="29"/>
        <v>1712133</v>
      </c>
    </row>
    <row r="410" spans="2:48" hidden="1">
      <c r="B410" t="s">
        <v>537</v>
      </c>
      <c r="C410" t="s">
        <v>114</v>
      </c>
      <c r="D410" t="s">
        <v>583</v>
      </c>
      <c r="E410" t="s">
        <v>665</v>
      </c>
      <c r="F410">
        <v>2</v>
      </c>
      <c r="G410" s="705">
        <v>427</v>
      </c>
      <c r="H410" s="705">
        <v>292</v>
      </c>
      <c r="I410" s="705">
        <v>32322</v>
      </c>
      <c r="J410" s="705">
        <v>29383</v>
      </c>
      <c r="K410">
        <v>89</v>
      </c>
      <c r="L410" s="705">
        <v>6566</v>
      </c>
      <c r="M410" s="705">
        <v>5969</v>
      </c>
      <c r="N410" s="705">
        <v>7653</v>
      </c>
      <c r="O410" s="705">
        <v>2835</v>
      </c>
      <c r="P410" s="705">
        <v>1242</v>
      </c>
      <c r="Q410" s="705">
        <v>460</v>
      </c>
      <c r="R410" s="705">
        <v>10538</v>
      </c>
      <c r="S410" s="705">
        <v>9580</v>
      </c>
      <c r="T410" s="705">
        <v>3850</v>
      </c>
      <c r="U410" s="705">
        <v>1426</v>
      </c>
      <c r="V410" s="705">
        <v>49652</v>
      </c>
      <c r="W410" s="705">
        <f t="shared" si="30"/>
        <v>49653</v>
      </c>
      <c r="X410" s="705">
        <f t="shared" si="31"/>
        <v>62171</v>
      </c>
      <c r="Y410" s="705"/>
      <c r="AA410" t="s">
        <v>124</v>
      </c>
      <c r="AB410" t="s">
        <v>228</v>
      </c>
      <c r="AC410" s="705" t="s">
        <v>665</v>
      </c>
      <c r="AD410" s="705">
        <v>363</v>
      </c>
      <c r="AE410" s="705">
        <v>34652</v>
      </c>
      <c r="AF410" s="705">
        <v>260478</v>
      </c>
      <c r="AG410" s="705">
        <v>18365533</v>
      </c>
      <c r="AH410" s="705">
        <v>6802049</v>
      </c>
      <c r="AI410" s="706">
        <v>100</v>
      </c>
      <c r="AJ410" s="705">
        <v>2483031</v>
      </c>
      <c r="AK410" s="705">
        <v>2193628</v>
      </c>
      <c r="AL410" s="705">
        <v>761994</v>
      </c>
      <c r="AM410" s="705">
        <v>282220</v>
      </c>
      <c r="AN410" s="705">
        <v>27027</v>
      </c>
      <c r="AO410" s="705">
        <v>10010</v>
      </c>
      <c r="AP410" s="705">
        <v>2269803</v>
      </c>
      <c r="AQ410" s="705">
        <v>2063457</v>
      </c>
      <c r="AR410" s="705">
        <v>673004</v>
      </c>
      <c r="AS410" s="705">
        <v>249261</v>
      </c>
      <c r="AT410" s="705">
        <v>11600625</v>
      </c>
      <c r="AU410" s="705">
        <f t="shared" si="28"/>
        <v>11600625</v>
      </c>
      <c r="AV410" s="705">
        <f t="shared" si="29"/>
        <v>24580392</v>
      </c>
    </row>
    <row r="411" spans="2:48" hidden="1">
      <c r="B411" t="s">
        <v>537</v>
      </c>
      <c r="C411" t="s">
        <v>114</v>
      </c>
      <c r="D411" t="s">
        <v>584</v>
      </c>
      <c r="E411" t="s">
        <v>664</v>
      </c>
      <c r="F411">
        <v>1</v>
      </c>
      <c r="G411">
        <v>157</v>
      </c>
      <c r="H411" s="705">
        <v>149</v>
      </c>
      <c r="I411" s="705">
        <v>13285</v>
      </c>
      <c r="J411" s="705">
        <v>12077</v>
      </c>
      <c r="K411">
        <v>91</v>
      </c>
      <c r="L411" s="705">
        <v>2126</v>
      </c>
      <c r="M411" s="705">
        <v>1932</v>
      </c>
      <c r="N411" s="705">
        <v>2531</v>
      </c>
      <c r="O411" s="705">
        <v>937</v>
      </c>
      <c r="P411" s="705">
        <v>473</v>
      </c>
      <c r="Q411" s="705">
        <v>175</v>
      </c>
      <c r="R411" s="705">
        <v>5081</v>
      </c>
      <c r="S411" s="705">
        <v>4619</v>
      </c>
      <c r="T411">
        <v>0</v>
      </c>
      <c r="U411">
        <v>0</v>
      </c>
      <c r="V411" s="705">
        <v>19741</v>
      </c>
      <c r="W411" s="705">
        <f t="shared" si="30"/>
        <v>19740</v>
      </c>
      <c r="X411" s="705">
        <f t="shared" si="31"/>
        <v>23496</v>
      </c>
      <c r="Y411" s="705"/>
      <c r="AA411" t="s">
        <v>124</v>
      </c>
      <c r="AB411" t="s">
        <v>228</v>
      </c>
      <c r="AC411" s="705" t="s">
        <v>722</v>
      </c>
      <c r="AD411" s="705">
        <v>2</v>
      </c>
      <c r="AE411" s="705">
        <v>198</v>
      </c>
      <c r="AF411" s="705">
        <v>1549</v>
      </c>
      <c r="AG411" s="705">
        <v>109628</v>
      </c>
      <c r="AH411" s="705">
        <v>40603</v>
      </c>
      <c r="AI411" s="706">
        <v>100</v>
      </c>
      <c r="AJ411" s="705">
        <v>17647</v>
      </c>
      <c r="AK411" s="705">
        <v>16043</v>
      </c>
      <c r="AL411" s="705">
        <v>3817</v>
      </c>
      <c r="AM411" s="705">
        <v>1414</v>
      </c>
      <c r="AN411" s="705">
        <v>0</v>
      </c>
      <c r="AO411" s="705">
        <v>0</v>
      </c>
      <c r="AP411" s="705">
        <v>9054</v>
      </c>
      <c r="AQ411" s="705">
        <v>8231</v>
      </c>
      <c r="AR411" s="705">
        <v>2805</v>
      </c>
      <c r="AS411" s="705">
        <v>1039</v>
      </c>
      <c r="AT411" s="705">
        <v>67329</v>
      </c>
      <c r="AU411" s="705">
        <f t="shared" ref="AU411:AU442" si="32">SUM(ABS(AH411), ABS(AK411),ABS(AM411),ABS(AO411),ABS(AQ411),ABS(AS411))</f>
        <v>67330</v>
      </c>
      <c r="AV411" s="705">
        <f t="shared" ref="AV411:AV442" si="33">SUM(ABS(AG411),ABS(AJ411),ABS(AL411),ABS(AN411),ABS(AP411),ABS(AR411))</f>
        <v>142951</v>
      </c>
    </row>
    <row r="412" spans="2:48" hidden="1">
      <c r="B412" t="s">
        <v>537</v>
      </c>
      <c r="C412" t="s">
        <v>114</v>
      </c>
      <c r="D412" t="s">
        <v>584</v>
      </c>
      <c r="E412" t="s">
        <v>582</v>
      </c>
      <c r="F412">
        <v>4</v>
      </c>
      <c r="G412" s="705">
        <v>742</v>
      </c>
      <c r="H412" s="705">
        <v>576</v>
      </c>
      <c r="I412" s="705">
        <v>54615</v>
      </c>
      <c r="J412" s="705">
        <v>49650</v>
      </c>
      <c r="K412">
        <v>83</v>
      </c>
      <c r="L412" s="705">
        <v>12814</v>
      </c>
      <c r="M412" s="705">
        <v>11649</v>
      </c>
      <c r="N412" s="705">
        <v>13973</v>
      </c>
      <c r="O412" s="705">
        <v>5175</v>
      </c>
      <c r="P412" s="705">
        <v>1890</v>
      </c>
      <c r="Q412" s="705">
        <v>700</v>
      </c>
      <c r="R412" s="705">
        <v>23262</v>
      </c>
      <c r="S412" s="705">
        <v>21147</v>
      </c>
      <c r="T412" s="705">
        <v>0</v>
      </c>
      <c r="U412" s="705">
        <v>0</v>
      </c>
      <c r="V412" s="705">
        <v>88321</v>
      </c>
      <c r="W412" s="705">
        <f t="shared" si="30"/>
        <v>88321</v>
      </c>
      <c r="X412" s="705">
        <f t="shared" si="31"/>
        <v>106554</v>
      </c>
      <c r="Y412" s="705"/>
      <c r="AA412" t="s">
        <v>124</v>
      </c>
      <c r="AB412" t="s">
        <v>228</v>
      </c>
      <c r="AC412" s="705" t="s">
        <v>673</v>
      </c>
      <c r="AD412" s="705">
        <v>3</v>
      </c>
      <c r="AE412" s="705">
        <v>264</v>
      </c>
      <c r="AF412" s="705">
        <v>2490</v>
      </c>
      <c r="AG412" s="705">
        <v>163289</v>
      </c>
      <c r="AH412" s="705">
        <v>60477</v>
      </c>
      <c r="AI412" s="706">
        <v>100</v>
      </c>
      <c r="AJ412" s="705">
        <v>26894</v>
      </c>
      <c r="AK412" s="705">
        <v>24449</v>
      </c>
      <c r="AL412" s="705">
        <v>6294</v>
      </c>
      <c r="AM412" s="705">
        <v>2331</v>
      </c>
      <c r="AN412" s="705">
        <v>0</v>
      </c>
      <c r="AO412" s="705">
        <v>0</v>
      </c>
      <c r="AP412" s="705">
        <v>24978</v>
      </c>
      <c r="AQ412" s="705">
        <v>22707</v>
      </c>
      <c r="AR412" s="705">
        <v>2635</v>
      </c>
      <c r="AS412" s="705">
        <v>976</v>
      </c>
      <c r="AT412" s="705">
        <v>110941</v>
      </c>
      <c r="AU412" s="705">
        <f t="shared" si="32"/>
        <v>110940</v>
      </c>
      <c r="AV412" s="705">
        <f t="shared" si="33"/>
        <v>224090</v>
      </c>
    </row>
    <row r="413" spans="2:48" hidden="1">
      <c r="B413" t="s">
        <v>537</v>
      </c>
      <c r="C413" t="s">
        <v>114</v>
      </c>
      <c r="D413" t="s">
        <v>584</v>
      </c>
      <c r="E413" t="s">
        <v>584</v>
      </c>
      <c r="F413" s="705">
        <v>1084</v>
      </c>
      <c r="G413" s="705">
        <v>187216</v>
      </c>
      <c r="H413" s="705">
        <v>151745</v>
      </c>
      <c r="I413" s="705">
        <v>14212772</v>
      </c>
      <c r="J413" s="705">
        <v>12920701</v>
      </c>
      <c r="K413">
        <v>87</v>
      </c>
      <c r="L413" s="705">
        <v>3255391</v>
      </c>
      <c r="M413" s="705">
        <v>2876711</v>
      </c>
      <c r="N413" s="705">
        <v>3716641</v>
      </c>
      <c r="O413" s="705">
        <v>1376534</v>
      </c>
      <c r="P413" s="705">
        <v>561204</v>
      </c>
      <c r="Q413" s="705">
        <v>207853</v>
      </c>
      <c r="R413" s="705">
        <v>5645653</v>
      </c>
      <c r="S413" s="705">
        <v>5132412</v>
      </c>
      <c r="T413" s="705">
        <v>99899</v>
      </c>
      <c r="U413" s="705">
        <v>37000</v>
      </c>
      <c r="V413" s="705">
        <v>22551211</v>
      </c>
      <c r="W413" s="705">
        <f t="shared" si="30"/>
        <v>22551211</v>
      </c>
      <c r="X413" s="705">
        <f t="shared" si="31"/>
        <v>27491560</v>
      </c>
      <c r="Y413" s="705"/>
      <c r="AA413" t="s">
        <v>124</v>
      </c>
      <c r="AB413" t="s">
        <v>583</v>
      </c>
      <c r="AC413" s="705" t="s">
        <v>674</v>
      </c>
      <c r="AD413" s="705">
        <v>1</v>
      </c>
      <c r="AE413" s="705">
        <v>92</v>
      </c>
      <c r="AF413" s="705">
        <v>589</v>
      </c>
      <c r="AG413" s="705">
        <v>35429</v>
      </c>
      <c r="AH413" s="705">
        <v>32209</v>
      </c>
      <c r="AI413" s="706">
        <v>79</v>
      </c>
      <c r="AJ413" s="705">
        <v>9842</v>
      </c>
      <c r="AK413" s="705">
        <v>8947</v>
      </c>
      <c r="AL413" s="705">
        <v>2246</v>
      </c>
      <c r="AM413" s="705">
        <v>832</v>
      </c>
      <c r="AN413" s="705">
        <v>621</v>
      </c>
      <c r="AO413" s="705">
        <v>230</v>
      </c>
      <c r="AP413" s="705">
        <v>3763</v>
      </c>
      <c r="AQ413" s="705">
        <v>3421</v>
      </c>
      <c r="AR413" s="705">
        <v>2327</v>
      </c>
      <c r="AS413" s="705">
        <v>862</v>
      </c>
      <c r="AT413" s="705">
        <v>46500</v>
      </c>
      <c r="AU413" s="705">
        <f t="shared" si="32"/>
        <v>46501</v>
      </c>
      <c r="AV413" s="705">
        <f t="shared" si="33"/>
        <v>54228</v>
      </c>
    </row>
    <row r="414" spans="2:48" hidden="1">
      <c r="B414" t="s">
        <v>537</v>
      </c>
      <c r="C414" t="s">
        <v>114</v>
      </c>
      <c r="D414" t="s">
        <v>665</v>
      </c>
      <c r="E414" t="s">
        <v>583</v>
      </c>
      <c r="F414" s="705">
        <v>1</v>
      </c>
      <c r="G414" s="705">
        <v>257</v>
      </c>
      <c r="H414" s="705">
        <v>142</v>
      </c>
      <c r="I414" s="705">
        <v>18754</v>
      </c>
      <c r="J414" s="705">
        <v>17049</v>
      </c>
      <c r="K414">
        <v>86</v>
      </c>
      <c r="L414" s="705">
        <v>5953</v>
      </c>
      <c r="M414" s="705">
        <v>5411</v>
      </c>
      <c r="N414" s="705">
        <v>4673</v>
      </c>
      <c r="O414" s="705">
        <v>1731</v>
      </c>
      <c r="P414" s="705">
        <v>621</v>
      </c>
      <c r="Q414" s="705">
        <v>230</v>
      </c>
      <c r="R414" s="705">
        <v>6533</v>
      </c>
      <c r="S414" s="705">
        <v>5939</v>
      </c>
      <c r="T414" s="705">
        <v>0</v>
      </c>
      <c r="U414" s="705">
        <v>0</v>
      </c>
      <c r="V414" s="705">
        <v>30360</v>
      </c>
      <c r="W414" s="705">
        <f t="shared" si="30"/>
        <v>30360</v>
      </c>
      <c r="X414" s="705">
        <f t="shared" si="31"/>
        <v>36534</v>
      </c>
      <c r="Y414" s="705"/>
      <c r="AA414" t="s">
        <v>124</v>
      </c>
      <c r="AB414" t="s">
        <v>583</v>
      </c>
      <c r="AC414" s="705" t="s">
        <v>664</v>
      </c>
      <c r="AD414" s="705">
        <v>4</v>
      </c>
      <c r="AE414" s="705">
        <v>449</v>
      </c>
      <c r="AF414" s="705">
        <v>2259</v>
      </c>
      <c r="AG414" s="705">
        <v>173057</v>
      </c>
      <c r="AH414" s="705">
        <v>157325</v>
      </c>
      <c r="AI414" s="706">
        <v>70</v>
      </c>
      <c r="AJ414" s="705">
        <v>26630</v>
      </c>
      <c r="AK414" s="705">
        <v>23298</v>
      </c>
      <c r="AL414" s="705">
        <v>10048</v>
      </c>
      <c r="AM414" s="705">
        <v>3722</v>
      </c>
      <c r="AN414" s="705">
        <v>2214</v>
      </c>
      <c r="AO414" s="705">
        <v>820</v>
      </c>
      <c r="AP414" s="705">
        <v>21493</v>
      </c>
      <c r="AQ414" s="705">
        <v>19539</v>
      </c>
      <c r="AR414" s="705">
        <v>8821</v>
      </c>
      <c r="AS414" s="705">
        <v>3267</v>
      </c>
      <c r="AT414" s="705">
        <v>207971</v>
      </c>
      <c r="AU414" s="705">
        <f t="shared" si="32"/>
        <v>207971</v>
      </c>
      <c r="AV414" s="705">
        <f t="shared" si="33"/>
        <v>242263</v>
      </c>
    </row>
    <row r="415" spans="2:48" hidden="1">
      <c r="B415" t="s">
        <v>537</v>
      </c>
      <c r="C415" t="s">
        <v>114</v>
      </c>
      <c r="D415" t="s">
        <v>665</v>
      </c>
      <c r="E415" t="s">
        <v>665</v>
      </c>
      <c r="F415">
        <v>2</v>
      </c>
      <c r="G415">
        <v>337</v>
      </c>
      <c r="H415">
        <v>288</v>
      </c>
      <c r="I415" s="705">
        <v>29155</v>
      </c>
      <c r="J415" s="705">
        <v>26504</v>
      </c>
      <c r="K415">
        <v>72</v>
      </c>
      <c r="L415" s="705">
        <v>684</v>
      </c>
      <c r="M415" s="705">
        <v>622</v>
      </c>
      <c r="N415" s="705">
        <v>4106</v>
      </c>
      <c r="O415" s="705">
        <v>1521</v>
      </c>
      <c r="P415" s="705">
        <v>2124</v>
      </c>
      <c r="Q415">
        <v>787</v>
      </c>
      <c r="R415" s="705">
        <v>7581</v>
      </c>
      <c r="S415" s="705">
        <v>6892</v>
      </c>
      <c r="T415" s="705">
        <v>4174</v>
      </c>
      <c r="U415" s="705">
        <v>1546</v>
      </c>
      <c r="V415" s="705">
        <v>37871</v>
      </c>
      <c r="W415" s="705">
        <f t="shared" si="30"/>
        <v>37872</v>
      </c>
      <c r="X415" s="705">
        <f t="shared" si="31"/>
        <v>47824</v>
      </c>
      <c r="Y415" s="705"/>
      <c r="AA415" t="s">
        <v>124</v>
      </c>
      <c r="AB415" t="s">
        <v>583</v>
      </c>
      <c r="AC415" s="705" t="s">
        <v>582</v>
      </c>
      <c r="AD415" s="705">
        <v>1</v>
      </c>
      <c r="AE415" s="705">
        <v>753</v>
      </c>
      <c r="AF415" s="705">
        <v>514</v>
      </c>
      <c r="AG415" s="705">
        <v>286603</v>
      </c>
      <c r="AH415" s="705">
        <v>260549</v>
      </c>
      <c r="AI415" s="706">
        <v>70</v>
      </c>
      <c r="AJ415" s="705">
        <v>70589</v>
      </c>
      <c r="AK415" s="705">
        <v>64172</v>
      </c>
      <c r="AL415" s="705">
        <v>18341</v>
      </c>
      <c r="AM415" s="705">
        <v>6793</v>
      </c>
      <c r="AN415" s="705">
        <v>1323</v>
      </c>
      <c r="AO415" s="705">
        <v>490</v>
      </c>
      <c r="AP415" s="705">
        <v>9549</v>
      </c>
      <c r="AQ415" s="705">
        <v>8681</v>
      </c>
      <c r="AR415" s="705">
        <v>0</v>
      </c>
      <c r="AS415" s="705">
        <v>0</v>
      </c>
      <c r="AT415" s="705">
        <v>340685</v>
      </c>
      <c r="AU415" s="705">
        <f t="shared" si="32"/>
        <v>340685</v>
      </c>
      <c r="AV415" s="705">
        <f t="shared" si="33"/>
        <v>386405</v>
      </c>
    </row>
    <row r="416" spans="2:48" hidden="1">
      <c r="B416" t="s">
        <v>537</v>
      </c>
      <c r="C416" t="s">
        <v>114</v>
      </c>
      <c r="D416" t="s">
        <v>722</v>
      </c>
      <c r="E416" t="s">
        <v>722</v>
      </c>
      <c r="F416">
        <v>1</v>
      </c>
      <c r="G416" s="705">
        <v>260</v>
      </c>
      <c r="H416" s="705">
        <v>145</v>
      </c>
      <c r="I416" s="705">
        <v>20684</v>
      </c>
      <c r="J416" s="705">
        <v>18804</v>
      </c>
      <c r="K416">
        <v>73</v>
      </c>
      <c r="L416" s="705">
        <v>1958</v>
      </c>
      <c r="M416" s="705">
        <v>1780</v>
      </c>
      <c r="N416" s="705">
        <v>5507</v>
      </c>
      <c r="O416" s="705">
        <v>2040</v>
      </c>
      <c r="P416" s="705">
        <v>351</v>
      </c>
      <c r="Q416" s="705">
        <v>130</v>
      </c>
      <c r="R416" s="705">
        <v>9186</v>
      </c>
      <c r="S416" s="705">
        <v>8351</v>
      </c>
      <c r="T416" s="705">
        <v>0</v>
      </c>
      <c r="U416" s="705">
        <v>0</v>
      </c>
      <c r="V416" s="705">
        <v>31104</v>
      </c>
      <c r="W416" s="705">
        <f t="shared" si="30"/>
        <v>31105</v>
      </c>
      <c r="X416" s="705">
        <f t="shared" si="31"/>
        <v>37686</v>
      </c>
      <c r="Y416" s="705"/>
      <c r="AA416" t="s">
        <v>124</v>
      </c>
      <c r="AB416" t="s">
        <v>583</v>
      </c>
      <c r="AC416" s="705" t="s">
        <v>228</v>
      </c>
      <c r="AD416" s="705">
        <v>299</v>
      </c>
      <c r="AE416" s="705">
        <v>29732</v>
      </c>
      <c r="AF416" s="705">
        <v>180713</v>
      </c>
      <c r="AG416" s="705">
        <v>12159882</v>
      </c>
      <c r="AH416" s="705">
        <v>11054439</v>
      </c>
      <c r="AI416" s="706">
        <v>71</v>
      </c>
      <c r="AJ416" s="705">
        <v>2447561</v>
      </c>
      <c r="AK416" s="705">
        <v>2142467</v>
      </c>
      <c r="AL416" s="705">
        <v>676398</v>
      </c>
      <c r="AM416" s="705">
        <v>250518</v>
      </c>
      <c r="AN416" s="705">
        <v>173049</v>
      </c>
      <c r="AO416" s="705">
        <v>64092</v>
      </c>
      <c r="AP416" s="705">
        <v>2076689</v>
      </c>
      <c r="AQ416" s="705">
        <v>769144</v>
      </c>
      <c r="AR416" s="705">
        <v>14894</v>
      </c>
      <c r="AS416" s="705">
        <v>5516</v>
      </c>
      <c r="AT416" s="705">
        <v>14286176</v>
      </c>
      <c r="AU416" s="705">
        <f t="shared" si="32"/>
        <v>14286176</v>
      </c>
      <c r="AV416" s="705">
        <f t="shared" si="33"/>
        <v>17548473</v>
      </c>
    </row>
    <row r="417" spans="2:48" hidden="1">
      <c r="B417" t="s">
        <v>537</v>
      </c>
      <c r="C417" t="s">
        <v>114</v>
      </c>
      <c r="D417" t="s">
        <v>673</v>
      </c>
      <c r="E417" t="s">
        <v>673</v>
      </c>
      <c r="F417">
        <v>4</v>
      </c>
      <c r="G417" s="705">
        <v>853</v>
      </c>
      <c r="H417" s="705">
        <v>574</v>
      </c>
      <c r="I417" s="705">
        <v>80386</v>
      </c>
      <c r="J417" s="705">
        <v>73078</v>
      </c>
      <c r="K417">
        <v>77</v>
      </c>
      <c r="L417" s="705">
        <v>14099</v>
      </c>
      <c r="M417" s="705">
        <v>12817</v>
      </c>
      <c r="N417" s="705">
        <v>14139</v>
      </c>
      <c r="O417" s="705">
        <v>5237</v>
      </c>
      <c r="P417" s="705">
        <v>4572</v>
      </c>
      <c r="Q417" s="705">
        <v>1693</v>
      </c>
      <c r="R417" s="705">
        <v>9606</v>
      </c>
      <c r="S417" s="705">
        <v>8733</v>
      </c>
      <c r="T417" s="705">
        <v>-1110</v>
      </c>
      <c r="U417" s="705">
        <v>-411</v>
      </c>
      <c r="V417" s="705">
        <v>101146</v>
      </c>
      <c r="W417" s="705">
        <f t="shared" si="30"/>
        <v>101969</v>
      </c>
      <c r="X417" s="705">
        <f t="shared" si="31"/>
        <v>123912</v>
      </c>
      <c r="Y417" s="705"/>
      <c r="AA417" t="s">
        <v>124</v>
      </c>
      <c r="AB417" t="s">
        <v>583</v>
      </c>
      <c r="AC417" s="705" t="s">
        <v>583</v>
      </c>
      <c r="AD417" s="705">
        <v>10863</v>
      </c>
      <c r="AE417" s="705">
        <v>1124736</v>
      </c>
      <c r="AF417" s="705">
        <v>6101520</v>
      </c>
      <c r="AG417" s="705">
        <v>426312543</v>
      </c>
      <c r="AH417" s="705">
        <v>387556857</v>
      </c>
      <c r="AI417" s="706">
        <v>72</v>
      </c>
      <c r="AJ417" s="705">
        <v>97900539</v>
      </c>
      <c r="AK417" s="705">
        <v>85444482</v>
      </c>
      <c r="AL417" s="705">
        <v>24822013</v>
      </c>
      <c r="AM417" s="705">
        <v>9193338</v>
      </c>
      <c r="AN417" s="705">
        <v>6924425</v>
      </c>
      <c r="AO417" s="705">
        <v>2564602</v>
      </c>
      <c r="AP417" s="705">
        <v>56594414</v>
      </c>
      <c r="AQ417" s="705">
        <v>51449467</v>
      </c>
      <c r="AR417" s="705">
        <v>19308371</v>
      </c>
      <c r="AS417" s="705">
        <v>7151249</v>
      </c>
      <c r="AT417" s="705">
        <v>543359994</v>
      </c>
      <c r="AU417" s="705">
        <f t="shared" si="32"/>
        <v>543359995</v>
      </c>
      <c r="AV417" s="705">
        <f t="shared" si="33"/>
        <v>631862305</v>
      </c>
    </row>
    <row r="418" spans="2:48" hidden="1">
      <c r="B418" t="s">
        <v>537</v>
      </c>
      <c r="C418" t="s">
        <v>114</v>
      </c>
      <c r="D418" t="s">
        <v>585</v>
      </c>
      <c r="E418" t="s">
        <v>585</v>
      </c>
      <c r="F418">
        <v>22</v>
      </c>
      <c r="G418" s="705">
        <v>5072</v>
      </c>
      <c r="H418" s="705">
        <v>3054</v>
      </c>
      <c r="I418" s="705">
        <v>426426</v>
      </c>
      <c r="J418" s="705">
        <v>387660</v>
      </c>
      <c r="K418">
        <v>85</v>
      </c>
      <c r="L418" s="705">
        <v>78356</v>
      </c>
      <c r="M418" s="705">
        <v>71233</v>
      </c>
      <c r="N418" s="705">
        <v>93031</v>
      </c>
      <c r="O418" s="705">
        <v>34456</v>
      </c>
      <c r="P418" s="705">
        <v>14507</v>
      </c>
      <c r="Q418" s="705">
        <v>5373</v>
      </c>
      <c r="R418" s="705">
        <v>104576</v>
      </c>
      <c r="S418" s="705">
        <v>95069</v>
      </c>
      <c r="T418" s="705">
        <v>0</v>
      </c>
      <c r="U418" s="705">
        <v>0</v>
      </c>
      <c r="V418" s="705">
        <v>593791</v>
      </c>
      <c r="W418" s="705">
        <f t="shared" si="30"/>
        <v>593791</v>
      </c>
      <c r="X418" s="705">
        <f t="shared" si="31"/>
        <v>716896</v>
      </c>
      <c r="Y418" s="705"/>
      <c r="AA418" t="s">
        <v>124</v>
      </c>
      <c r="AB418" t="s">
        <v>583</v>
      </c>
      <c r="AC418" s="705" t="s">
        <v>666</v>
      </c>
      <c r="AD418" s="705">
        <v>11</v>
      </c>
      <c r="AE418" s="705">
        <v>1548</v>
      </c>
      <c r="AF418" s="705">
        <v>6266</v>
      </c>
      <c r="AG418" s="705">
        <v>603720</v>
      </c>
      <c r="AH418" s="705">
        <v>548836</v>
      </c>
      <c r="AI418" s="706">
        <v>70</v>
      </c>
      <c r="AJ418" s="705">
        <v>126663</v>
      </c>
      <c r="AK418" s="705">
        <v>115148</v>
      </c>
      <c r="AL418" s="705">
        <v>31900</v>
      </c>
      <c r="AM418" s="705">
        <v>11815</v>
      </c>
      <c r="AN418" s="705">
        <v>7182</v>
      </c>
      <c r="AO418" s="705">
        <v>2660</v>
      </c>
      <c r="AP418" s="705">
        <v>68539</v>
      </c>
      <c r="AQ418" s="705">
        <v>62309</v>
      </c>
      <c r="AR418" s="705">
        <v>18876</v>
      </c>
      <c r="AS418" s="705">
        <v>6991</v>
      </c>
      <c r="AT418" s="705">
        <v>747759</v>
      </c>
      <c r="AU418" s="705">
        <f t="shared" si="32"/>
        <v>747759</v>
      </c>
      <c r="AV418" s="705">
        <f t="shared" si="33"/>
        <v>856880</v>
      </c>
    </row>
    <row r="419" spans="2:48" hidden="1">
      <c r="B419" t="s">
        <v>537</v>
      </c>
      <c r="C419" t="s">
        <v>114</v>
      </c>
      <c r="D419" t="s">
        <v>585</v>
      </c>
      <c r="E419" t="s">
        <v>668</v>
      </c>
      <c r="F419">
        <v>1</v>
      </c>
      <c r="G419">
        <v>259</v>
      </c>
      <c r="H419">
        <v>145</v>
      </c>
      <c r="I419" s="705">
        <v>23650</v>
      </c>
      <c r="J419" s="705">
        <v>21500</v>
      </c>
      <c r="K419">
        <v>65</v>
      </c>
      <c r="L419" s="705">
        <v>2847</v>
      </c>
      <c r="M419" s="705">
        <v>2588</v>
      </c>
      <c r="N419" s="705">
        <v>3152</v>
      </c>
      <c r="O419" s="705">
        <v>1167</v>
      </c>
      <c r="P419" s="705">
        <v>351</v>
      </c>
      <c r="Q419">
        <v>130</v>
      </c>
      <c r="R419" s="705">
        <v>7599</v>
      </c>
      <c r="S419" s="705">
        <v>6908</v>
      </c>
      <c r="T419" s="705">
        <v>0</v>
      </c>
      <c r="U419" s="705">
        <v>0</v>
      </c>
      <c r="V419" s="705">
        <v>32293</v>
      </c>
      <c r="W419" s="705">
        <f t="shared" si="30"/>
        <v>32293</v>
      </c>
      <c r="X419" s="705">
        <f t="shared" si="31"/>
        <v>37599</v>
      </c>
      <c r="Y419" s="705"/>
      <c r="AA419" t="s">
        <v>124</v>
      </c>
      <c r="AB419" t="s">
        <v>583</v>
      </c>
      <c r="AC419" s="705" t="s">
        <v>584</v>
      </c>
      <c r="AD419" s="705">
        <v>5</v>
      </c>
      <c r="AE419" s="705">
        <v>335</v>
      </c>
      <c r="AF419" s="705">
        <v>2746</v>
      </c>
      <c r="AG419" s="705">
        <v>125621</v>
      </c>
      <c r="AH419" s="705">
        <v>114201</v>
      </c>
      <c r="AI419" s="706">
        <v>76</v>
      </c>
      <c r="AJ419" s="705">
        <v>20369</v>
      </c>
      <c r="AK419" s="705">
        <v>18518</v>
      </c>
      <c r="AL419" s="705">
        <v>6596</v>
      </c>
      <c r="AM419" s="705">
        <v>2443</v>
      </c>
      <c r="AN419" s="705">
        <v>3456</v>
      </c>
      <c r="AO419" s="705">
        <v>1280</v>
      </c>
      <c r="AP419" s="705">
        <v>18891</v>
      </c>
      <c r="AQ419" s="705">
        <v>17173</v>
      </c>
      <c r="AR419" s="705">
        <v>6874</v>
      </c>
      <c r="AS419" s="705">
        <v>2546</v>
      </c>
      <c r="AT419" s="705">
        <v>156160</v>
      </c>
      <c r="AU419" s="705">
        <f t="shared" si="32"/>
        <v>156161</v>
      </c>
      <c r="AV419" s="705">
        <f t="shared" si="33"/>
        <v>181807</v>
      </c>
    </row>
    <row r="420" spans="2:48" hidden="1">
      <c r="B420" t="s">
        <v>537</v>
      </c>
      <c r="C420" t="s">
        <v>116</v>
      </c>
      <c r="F420">
        <v>3</v>
      </c>
      <c r="G420" s="705">
        <v>616</v>
      </c>
      <c r="H420" s="705">
        <v>596</v>
      </c>
      <c r="I420" s="705"/>
      <c r="J420" s="705">
        <v>0</v>
      </c>
      <c r="L420" s="705"/>
      <c r="M420" s="705">
        <v>0</v>
      </c>
      <c r="N420" s="705">
        <v>16801</v>
      </c>
      <c r="O420" s="705">
        <v>6223</v>
      </c>
      <c r="P420" s="705">
        <v>1242</v>
      </c>
      <c r="Q420" s="705">
        <v>460</v>
      </c>
      <c r="R420" s="705"/>
      <c r="S420" s="705">
        <v>0</v>
      </c>
      <c r="T420" s="705">
        <v>2962</v>
      </c>
      <c r="U420" s="705">
        <v>1097</v>
      </c>
      <c r="V420" s="705">
        <v>7780</v>
      </c>
      <c r="W420" s="705">
        <f t="shared" si="30"/>
        <v>7780</v>
      </c>
      <c r="X420" s="705">
        <f t="shared" si="31"/>
        <v>21005</v>
      </c>
      <c r="Y420" s="705"/>
      <c r="AA420" t="s">
        <v>124</v>
      </c>
      <c r="AB420" t="s">
        <v>583</v>
      </c>
      <c r="AC420" s="705" t="s">
        <v>669</v>
      </c>
      <c r="AD420" s="705">
        <v>5</v>
      </c>
      <c r="AE420" s="705">
        <v>746</v>
      </c>
      <c r="AF420" s="705">
        <v>2818</v>
      </c>
      <c r="AG420" s="705">
        <v>267606</v>
      </c>
      <c r="AH420" s="705">
        <v>243278</v>
      </c>
      <c r="AI420" s="706">
        <v>76</v>
      </c>
      <c r="AJ420" s="705">
        <v>69730</v>
      </c>
      <c r="AK420" s="705">
        <v>61930</v>
      </c>
      <c r="AL420" s="705">
        <v>14633</v>
      </c>
      <c r="AM420" s="705">
        <v>5420</v>
      </c>
      <c r="AN420" s="705">
        <v>2754</v>
      </c>
      <c r="AO420" s="705">
        <v>1020</v>
      </c>
      <c r="AP420" s="705">
        <v>38542</v>
      </c>
      <c r="AQ420" s="705">
        <v>32118</v>
      </c>
      <c r="AR420" s="705">
        <v>4901</v>
      </c>
      <c r="AS420" s="705">
        <v>1815</v>
      </c>
      <c r="AT420" s="705">
        <v>345581</v>
      </c>
      <c r="AU420" s="705">
        <f t="shared" si="32"/>
        <v>345581</v>
      </c>
      <c r="AV420" s="705">
        <f t="shared" si="33"/>
        <v>398166</v>
      </c>
    </row>
    <row r="421" spans="2:48" hidden="1">
      <c r="B421" t="s">
        <v>537</v>
      </c>
      <c r="C421" t="s">
        <v>116</v>
      </c>
      <c r="D421" t="s">
        <v>674</v>
      </c>
      <c r="E421" t="s">
        <v>674</v>
      </c>
      <c r="F421">
        <v>1</v>
      </c>
      <c r="G421">
        <v>114</v>
      </c>
      <c r="H421" s="705">
        <v>206</v>
      </c>
      <c r="I421" s="705">
        <v>12117</v>
      </c>
      <c r="J421" s="705">
        <v>11016</v>
      </c>
      <c r="K421">
        <v>85</v>
      </c>
      <c r="L421" s="705">
        <v>3815</v>
      </c>
      <c r="M421" s="705">
        <v>3468</v>
      </c>
      <c r="N421" s="705">
        <v>1395</v>
      </c>
      <c r="O421" s="705">
        <v>517</v>
      </c>
      <c r="P421" s="705">
        <v>621</v>
      </c>
      <c r="Q421" s="705">
        <v>230</v>
      </c>
      <c r="R421" s="705">
        <v>5596</v>
      </c>
      <c r="S421" s="705">
        <v>5087</v>
      </c>
      <c r="T421" s="705">
        <v>0</v>
      </c>
      <c r="U421" s="705">
        <v>0</v>
      </c>
      <c r="V421" s="705">
        <v>20317</v>
      </c>
      <c r="W421" s="705">
        <f t="shared" si="30"/>
        <v>20318</v>
      </c>
      <c r="X421" s="705">
        <f t="shared" si="31"/>
        <v>23544</v>
      </c>
      <c r="Y421" s="705"/>
      <c r="AA421" t="s">
        <v>124</v>
      </c>
      <c r="AB421" t="s">
        <v>583</v>
      </c>
      <c r="AC421" s="705" t="s">
        <v>671</v>
      </c>
      <c r="AD421" s="705">
        <v>8</v>
      </c>
      <c r="AE421" s="705">
        <v>818</v>
      </c>
      <c r="AF421" s="705">
        <v>4394</v>
      </c>
      <c r="AG421" s="705">
        <v>294191</v>
      </c>
      <c r="AH421" s="705">
        <v>267446</v>
      </c>
      <c r="AI421" s="706">
        <v>71</v>
      </c>
      <c r="AJ421" s="705">
        <v>49360</v>
      </c>
      <c r="AK421" s="705">
        <v>44872</v>
      </c>
      <c r="AL421" s="705">
        <v>18774</v>
      </c>
      <c r="AM421" s="705">
        <v>6953</v>
      </c>
      <c r="AN421" s="705">
        <v>4968</v>
      </c>
      <c r="AO421" s="705">
        <v>1840</v>
      </c>
      <c r="AP421" s="705">
        <v>66131</v>
      </c>
      <c r="AQ421" s="705">
        <v>60119</v>
      </c>
      <c r="AR421" s="705">
        <v>11847</v>
      </c>
      <c r="AS421" s="705">
        <v>4388</v>
      </c>
      <c r="AT421" s="705">
        <v>385619</v>
      </c>
      <c r="AU421" s="705">
        <f t="shared" si="32"/>
        <v>385618</v>
      </c>
      <c r="AV421" s="705">
        <f t="shared" si="33"/>
        <v>445271</v>
      </c>
    </row>
    <row r="422" spans="2:48" hidden="1">
      <c r="B422" t="s">
        <v>537</v>
      </c>
      <c r="C422" t="s">
        <v>116</v>
      </c>
      <c r="D422" t="s">
        <v>664</v>
      </c>
      <c r="E422" t="s">
        <v>664</v>
      </c>
      <c r="F422">
        <v>8</v>
      </c>
      <c r="G422" s="705">
        <v>1056</v>
      </c>
      <c r="H422" s="705">
        <v>1520</v>
      </c>
      <c r="I422" s="705">
        <v>134483</v>
      </c>
      <c r="J422" s="705">
        <v>122257</v>
      </c>
      <c r="K422">
        <v>86</v>
      </c>
      <c r="L422" s="705">
        <v>25412</v>
      </c>
      <c r="M422" s="705">
        <v>23102</v>
      </c>
      <c r="N422" s="705">
        <v>22003</v>
      </c>
      <c r="O422" s="705">
        <v>8149</v>
      </c>
      <c r="P422" s="705">
        <v>3807</v>
      </c>
      <c r="Q422" s="705">
        <v>1410</v>
      </c>
      <c r="R422" s="705">
        <v>31504</v>
      </c>
      <c r="S422" s="705">
        <v>28640</v>
      </c>
      <c r="T422" s="705">
        <v>3941</v>
      </c>
      <c r="U422" s="705">
        <v>1460</v>
      </c>
      <c r="V422" s="705">
        <v>185018</v>
      </c>
      <c r="W422" s="705">
        <f t="shared" si="30"/>
        <v>185018</v>
      </c>
      <c r="X422" s="705">
        <f t="shared" si="31"/>
        <v>221150</v>
      </c>
      <c r="Y422" s="705"/>
      <c r="AA422" t="s">
        <v>124</v>
      </c>
      <c r="AB422" t="s">
        <v>583</v>
      </c>
      <c r="AC422" s="705" t="s">
        <v>665</v>
      </c>
      <c r="AD422" s="705">
        <v>29</v>
      </c>
      <c r="AE422" s="705">
        <v>3583</v>
      </c>
      <c r="AF422" s="705">
        <v>16286</v>
      </c>
      <c r="AG422" s="705">
        <v>1382364</v>
      </c>
      <c r="AH422" s="705">
        <v>1256694</v>
      </c>
      <c r="AI422" s="706">
        <v>71</v>
      </c>
      <c r="AJ422" s="705">
        <v>274854</v>
      </c>
      <c r="AK422" s="705">
        <v>249867</v>
      </c>
      <c r="AL422" s="705">
        <v>77370</v>
      </c>
      <c r="AM422" s="705">
        <v>28656</v>
      </c>
      <c r="AN422" s="705">
        <v>18711</v>
      </c>
      <c r="AO422" s="705">
        <v>6930</v>
      </c>
      <c r="AP422" s="705">
        <v>188688</v>
      </c>
      <c r="AQ422" s="705">
        <v>171534</v>
      </c>
      <c r="AR422" s="705">
        <v>58610</v>
      </c>
      <c r="AS422" s="705">
        <v>21708</v>
      </c>
      <c r="AT422" s="705">
        <v>1735389</v>
      </c>
      <c r="AU422" s="705">
        <f t="shared" si="32"/>
        <v>1735389</v>
      </c>
      <c r="AV422" s="705">
        <f t="shared" si="33"/>
        <v>2000597</v>
      </c>
    </row>
    <row r="423" spans="2:48" hidden="1">
      <c r="B423" t="s">
        <v>537</v>
      </c>
      <c r="C423" t="s">
        <v>116</v>
      </c>
      <c r="D423" t="s">
        <v>664</v>
      </c>
      <c r="E423" t="s">
        <v>582</v>
      </c>
      <c r="F423">
        <v>3</v>
      </c>
      <c r="G423" s="705">
        <v>564</v>
      </c>
      <c r="H423" s="705">
        <v>557</v>
      </c>
      <c r="I423" s="705">
        <v>62315</v>
      </c>
      <c r="J423" s="705">
        <v>56650</v>
      </c>
      <c r="K423">
        <v>82</v>
      </c>
      <c r="L423" s="705">
        <v>12660</v>
      </c>
      <c r="M423" s="705">
        <v>10515</v>
      </c>
      <c r="N423" s="705">
        <v>10175</v>
      </c>
      <c r="O423" s="705">
        <v>3769</v>
      </c>
      <c r="P423" s="705">
        <v>1418</v>
      </c>
      <c r="Q423" s="705">
        <v>525</v>
      </c>
      <c r="R423" s="705">
        <v>20522</v>
      </c>
      <c r="S423" s="705">
        <v>18656</v>
      </c>
      <c r="T423" s="705">
        <v>0</v>
      </c>
      <c r="U423" s="705">
        <v>0</v>
      </c>
      <c r="V423" s="705">
        <v>90115</v>
      </c>
      <c r="W423" s="705">
        <f t="shared" si="30"/>
        <v>90115</v>
      </c>
      <c r="X423" s="705">
        <f t="shared" si="31"/>
        <v>107090</v>
      </c>
      <c r="Y423" s="705"/>
      <c r="AA423" t="s">
        <v>124</v>
      </c>
      <c r="AB423" t="s">
        <v>583</v>
      </c>
      <c r="AC423" s="705" t="s">
        <v>673</v>
      </c>
      <c r="AD423" s="705">
        <v>1</v>
      </c>
      <c r="AE423" s="705">
        <v>93</v>
      </c>
      <c r="AF423" s="705">
        <v>638</v>
      </c>
      <c r="AG423" s="705">
        <v>39845</v>
      </c>
      <c r="AH423" s="705">
        <v>36223</v>
      </c>
      <c r="AI423" s="706">
        <v>85</v>
      </c>
      <c r="AJ423" s="705">
        <v>7940</v>
      </c>
      <c r="AK423" s="705">
        <v>7218</v>
      </c>
      <c r="AL423" s="705">
        <v>2263</v>
      </c>
      <c r="AM423" s="705">
        <v>838</v>
      </c>
      <c r="AN423" s="705">
        <v>621</v>
      </c>
      <c r="AO423" s="705">
        <v>230</v>
      </c>
      <c r="AP423" s="705">
        <v>8598</v>
      </c>
      <c r="AQ423" s="705">
        <v>7817</v>
      </c>
      <c r="AR423" s="705">
        <v>0</v>
      </c>
      <c r="AS423" s="705">
        <v>0</v>
      </c>
      <c r="AT423" s="705">
        <v>52325</v>
      </c>
      <c r="AU423" s="705">
        <f t="shared" si="32"/>
        <v>52326</v>
      </c>
      <c r="AV423" s="705">
        <f t="shared" si="33"/>
        <v>59267</v>
      </c>
    </row>
    <row r="424" spans="2:48" hidden="1">
      <c r="B424" t="s">
        <v>537</v>
      </c>
      <c r="C424" t="s">
        <v>116</v>
      </c>
      <c r="D424" t="s">
        <v>664</v>
      </c>
      <c r="E424" t="s">
        <v>583</v>
      </c>
      <c r="F424">
        <v>7</v>
      </c>
      <c r="G424" s="705">
        <v>1108</v>
      </c>
      <c r="H424" s="705">
        <v>1301</v>
      </c>
      <c r="I424" s="705">
        <v>110823</v>
      </c>
      <c r="J424" s="705">
        <v>100748</v>
      </c>
      <c r="K424">
        <v>87</v>
      </c>
      <c r="L424" s="705">
        <v>26383</v>
      </c>
      <c r="M424" s="705">
        <v>23985</v>
      </c>
      <c r="N424" s="705">
        <v>22774</v>
      </c>
      <c r="O424" s="705">
        <v>8435</v>
      </c>
      <c r="P424" s="705">
        <v>4698</v>
      </c>
      <c r="Q424" s="705">
        <v>1740</v>
      </c>
      <c r="R424" s="705">
        <v>37752</v>
      </c>
      <c r="S424" s="705">
        <v>34320</v>
      </c>
      <c r="T424" s="705">
        <v>1008</v>
      </c>
      <c r="U424" s="705">
        <v>373</v>
      </c>
      <c r="V424" s="705">
        <v>169601</v>
      </c>
      <c r="W424" s="705">
        <f t="shared" si="30"/>
        <v>169601</v>
      </c>
      <c r="X424" s="705">
        <f t="shared" si="31"/>
        <v>203438</v>
      </c>
      <c r="Y424" s="705"/>
      <c r="AA424" t="s">
        <v>124</v>
      </c>
      <c r="AB424" t="s">
        <v>666</v>
      </c>
      <c r="AC424" s="705" t="s">
        <v>674</v>
      </c>
      <c r="AD424" s="705">
        <v>1</v>
      </c>
      <c r="AE424" s="705">
        <v>50</v>
      </c>
      <c r="AF424" s="705">
        <v>1215</v>
      </c>
      <c r="AG424" s="705">
        <v>46596</v>
      </c>
      <c r="AH424" s="705">
        <v>42360</v>
      </c>
      <c r="AI424" s="706">
        <v>45</v>
      </c>
      <c r="AJ424" s="705">
        <v>0</v>
      </c>
      <c r="AK424" s="705">
        <v>0</v>
      </c>
      <c r="AL424" s="705">
        <v>1214</v>
      </c>
      <c r="AM424" s="705">
        <v>450</v>
      </c>
      <c r="AN424" s="705">
        <v>351</v>
      </c>
      <c r="AO424" s="705">
        <v>130</v>
      </c>
      <c r="AP424" s="705">
        <v>12387</v>
      </c>
      <c r="AQ424" s="705">
        <v>11261</v>
      </c>
      <c r="AR424" s="705">
        <v>0</v>
      </c>
      <c r="AS424" s="705">
        <v>0</v>
      </c>
      <c r="AT424" s="705">
        <v>54201</v>
      </c>
      <c r="AU424" s="705">
        <f t="shared" si="32"/>
        <v>54201</v>
      </c>
      <c r="AV424" s="705">
        <f t="shared" si="33"/>
        <v>60548</v>
      </c>
    </row>
    <row r="425" spans="2:48" hidden="1">
      <c r="B425" t="s">
        <v>537</v>
      </c>
      <c r="C425" t="s">
        <v>116</v>
      </c>
      <c r="D425" t="s">
        <v>664</v>
      </c>
      <c r="E425" t="s">
        <v>584</v>
      </c>
      <c r="F425" s="705">
        <v>1</v>
      </c>
      <c r="G425" s="705">
        <v>126</v>
      </c>
      <c r="H425" s="705">
        <v>224</v>
      </c>
      <c r="I425" s="705">
        <v>14188</v>
      </c>
      <c r="J425" s="705">
        <v>12898</v>
      </c>
      <c r="K425">
        <v>91</v>
      </c>
      <c r="L425" s="705">
        <v>7188</v>
      </c>
      <c r="M425" s="705">
        <v>6535</v>
      </c>
      <c r="N425" s="705">
        <v>1837</v>
      </c>
      <c r="O425" s="705">
        <v>680</v>
      </c>
      <c r="P425" s="705">
        <v>473</v>
      </c>
      <c r="Q425" s="705">
        <v>175</v>
      </c>
      <c r="R425" s="705">
        <v>4388</v>
      </c>
      <c r="S425" s="705">
        <v>3989</v>
      </c>
      <c r="T425" s="705">
        <v>0</v>
      </c>
      <c r="U425" s="705">
        <v>0</v>
      </c>
      <c r="V425" s="705">
        <v>24277</v>
      </c>
      <c r="W425" s="705">
        <f t="shared" si="30"/>
        <v>24277</v>
      </c>
      <c r="X425" s="705">
        <f t="shared" si="31"/>
        <v>28074</v>
      </c>
      <c r="Y425" s="705"/>
      <c r="AA425" t="s">
        <v>124</v>
      </c>
      <c r="AB425" t="s">
        <v>666</v>
      </c>
      <c r="AC425" s="705" t="s">
        <v>581</v>
      </c>
      <c r="AD425" s="705">
        <v>1</v>
      </c>
      <c r="AE425" s="705">
        <v>73</v>
      </c>
      <c r="AF425" s="705">
        <v>573</v>
      </c>
      <c r="AG425" s="705">
        <v>30251</v>
      </c>
      <c r="AH425" s="705">
        <v>27501</v>
      </c>
      <c r="AI425" s="706">
        <v>60</v>
      </c>
      <c r="AJ425" s="705">
        <v>4950</v>
      </c>
      <c r="AK425" s="705">
        <v>1833</v>
      </c>
      <c r="AL425" s="705">
        <v>1783</v>
      </c>
      <c r="AM425" s="705">
        <v>660</v>
      </c>
      <c r="AN425" s="705">
        <v>0</v>
      </c>
      <c r="AO425" s="705">
        <v>0</v>
      </c>
      <c r="AP425" s="705">
        <v>3305</v>
      </c>
      <c r="AQ425" s="705">
        <v>1224</v>
      </c>
      <c r="AR425" s="705">
        <v>1628</v>
      </c>
      <c r="AS425" s="705">
        <v>603</v>
      </c>
      <c r="AT425" s="705">
        <v>31822</v>
      </c>
      <c r="AU425" s="705">
        <f t="shared" si="32"/>
        <v>31821</v>
      </c>
      <c r="AV425" s="705">
        <f t="shared" si="33"/>
        <v>41917</v>
      </c>
    </row>
    <row r="426" spans="2:48" hidden="1">
      <c r="B426" t="s">
        <v>537</v>
      </c>
      <c r="C426" t="s">
        <v>116</v>
      </c>
      <c r="D426" t="s">
        <v>582</v>
      </c>
      <c r="E426" t="s">
        <v>664</v>
      </c>
      <c r="F426">
        <v>3</v>
      </c>
      <c r="G426">
        <v>476</v>
      </c>
      <c r="H426" s="705">
        <v>524</v>
      </c>
      <c r="I426" s="705">
        <v>43710</v>
      </c>
      <c r="J426" s="705">
        <v>39736</v>
      </c>
      <c r="K426">
        <v>88</v>
      </c>
      <c r="L426" s="705">
        <v>11122</v>
      </c>
      <c r="M426" s="705">
        <v>10111</v>
      </c>
      <c r="N426" s="705">
        <v>8230</v>
      </c>
      <c r="O426" s="705">
        <v>3048</v>
      </c>
      <c r="P426" s="705">
        <v>1296</v>
      </c>
      <c r="Q426">
        <v>480</v>
      </c>
      <c r="R426" s="705">
        <v>18189</v>
      </c>
      <c r="S426" s="705">
        <v>16535</v>
      </c>
      <c r="T426" s="705">
        <v>0</v>
      </c>
      <c r="U426" s="705">
        <v>0</v>
      </c>
      <c r="V426" s="705">
        <v>69910</v>
      </c>
      <c r="W426" s="705">
        <f t="shared" si="30"/>
        <v>69910</v>
      </c>
      <c r="X426" s="705">
        <f t="shared" si="31"/>
        <v>82547</v>
      </c>
      <c r="Y426" s="705"/>
      <c r="AA426" t="s">
        <v>124</v>
      </c>
      <c r="AB426" t="s">
        <v>666</v>
      </c>
      <c r="AC426" s="705" t="s">
        <v>228</v>
      </c>
      <c r="AD426" s="705">
        <v>143</v>
      </c>
      <c r="AE426" s="705">
        <v>13040</v>
      </c>
      <c r="AF426" s="705">
        <v>164268</v>
      </c>
      <c r="AG426" s="705">
        <v>11223910</v>
      </c>
      <c r="AH426" s="705">
        <v>10203555</v>
      </c>
      <c r="AI426" s="706">
        <v>39</v>
      </c>
      <c r="AJ426" s="705">
        <v>1098975</v>
      </c>
      <c r="AK426" s="705">
        <v>670244</v>
      </c>
      <c r="AL426" s="705">
        <v>307009</v>
      </c>
      <c r="AM426" s="705">
        <v>113707</v>
      </c>
      <c r="AN426" s="705">
        <v>7641</v>
      </c>
      <c r="AO426" s="705">
        <v>2830</v>
      </c>
      <c r="AP426" s="705">
        <v>1159428</v>
      </c>
      <c r="AQ426" s="705">
        <v>429418</v>
      </c>
      <c r="AR426" s="705">
        <v>9421</v>
      </c>
      <c r="AS426" s="705">
        <v>3489</v>
      </c>
      <c r="AT426" s="705">
        <v>11423243</v>
      </c>
      <c r="AU426" s="705">
        <f t="shared" si="32"/>
        <v>11423243</v>
      </c>
      <c r="AV426" s="705">
        <f t="shared" si="33"/>
        <v>13806384</v>
      </c>
    </row>
    <row r="427" spans="2:48" hidden="1">
      <c r="B427" t="s">
        <v>537</v>
      </c>
      <c r="C427" t="s">
        <v>116</v>
      </c>
      <c r="D427" t="s">
        <v>582</v>
      </c>
      <c r="E427" t="s">
        <v>582</v>
      </c>
      <c r="F427">
        <v>335</v>
      </c>
      <c r="G427" s="705">
        <v>51328</v>
      </c>
      <c r="H427" s="705">
        <v>62507</v>
      </c>
      <c r="I427" s="705">
        <v>5611403</v>
      </c>
      <c r="J427" s="705">
        <v>5101276</v>
      </c>
      <c r="K427">
        <v>86</v>
      </c>
      <c r="L427" s="705">
        <v>1280725</v>
      </c>
      <c r="M427" s="705">
        <v>1140219</v>
      </c>
      <c r="N427" s="705">
        <v>1096302</v>
      </c>
      <c r="O427" s="705">
        <v>406038</v>
      </c>
      <c r="P427" s="705">
        <v>172879</v>
      </c>
      <c r="Q427" s="705">
        <v>64029</v>
      </c>
      <c r="R427" s="705">
        <v>1747429</v>
      </c>
      <c r="S427" s="705">
        <v>1588571</v>
      </c>
      <c r="T427" s="705">
        <v>96625</v>
      </c>
      <c r="U427" s="705">
        <v>35787</v>
      </c>
      <c r="V427" s="705">
        <v>8335920</v>
      </c>
      <c r="W427" s="705">
        <f t="shared" si="30"/>
        <v>8335920</v>
      </c>
      <c r="X427" s="705">
        <f t="shared" si="31"/>
        <v>10005363</v>
      </c>
      <c r="Y427" s="705"/>
      <c r="AA427" t="s">
        <v>124</v>
      </c>
      <c r="AB427" t="s">
        <v>666</v>
      </c>
      <c r="AC427" s="705" t="s">
        <v>583</v>
      </c>
      <c r="AD427" s="705">
        <v>9</v>
      </c>
      <c r="AE427" s="705">
        <v>892</v>
      </c>
      <c r="AF427" s="705">
        <v>6392</v>
      </c>
      <c r="AG427" s="705">
        <v>525400</v>
      </c>
      <c r="AH427" s="705">
        <v>477636</v>
      </c>
      <c r="AI427" s="706">
        <v>46</v>
      </c>
      <c r="AJ427" s="705">
        <v>47096</v>
      </c>
      <c r="AK427" s="705">
        <v>36158</v>
      </c>
      <c r="AL427" s="705">
        <v>18088</v>
      </c>
      <c r="AM427" s="705">
        <v>6699</v>
      </c>
      <c r="AN427" s="705">
        <v>2727</v>
      </c>
      <c r="AO427" s="705">
        <v>1010</v>
      </c>
      <c r="AP427" s="705">
        <v>56287</v>
      </c>
      <c r="AQ427" s="705">
        <v>51170</v>
      </c>
      <c r="AR427" s="705">
        <v>20121</v>
      </c>
      <c r="AS427" s="705">
        <v>7452</v>
      </c>
      <c r="AT427" s="705">
        <v>580126</v>
      </c>
      <c r="AU427" s="705">
        <f t="shared" si="32"/>
        <v>580125</v>
      </c>
      <c r="AV427" s="705">
        <f t="shared" si="33"/>
        <v>669719</v>
      </c>
    </row>
    <row r="428" spans="2:48" hidden="1">
      <c r="B428" t="s">
        <v>537</v>
      </c>
      <c r="C428" t="s">
        <v>116</v>
      </c>
      <c r="D428" t="s">
        <v>582</v>
      </c>
      <c r="E428" t="s">
        <v>228</v>
      </c>
      <c r="F428">
        <v>1</v>
      </c>
      <c r="G428" s="705">
        <v>109</v>
      </c>
      <c r="H428" s="705">
        <v>224</v>
      </c>
      <c r="I428" s="705">
        <v>19333</v>
      </c>
      <c r="J428" s="705">
        <v>17575</v>
      </c>
      <c r="K428">
        <v>92</v>
      </c>
      <c r="L428" s="705">
        <v>6272</v>
      </c>
      <c r="M428" s="705">
        <v>5702</v>
      </c>
      <c r="N428" s="705">
        <v>4109</v>
      </c>
      <c r="O428" s="705">
        <v>1522</v>
      </c>
      <c r="P428" s="705">
        <v>473</v>
      </c>
      <c r="Q428" s="705">
        <v>175</v>
      </c>
      <c r="R428" s="705">
        <v>7516</v>
      </c>
      <c r="S428" s="705">
        <v>2784</v>
      </c>
      <c r="T428" s="705">
        <v>0</v>
      </c>
      <c r="U428" s="705">
        <v>0</v>
      </c>
      <c r="V428" s="705">
        <v>27758</v>
      </c>
      <c r="W428" s="705">
        <f t="shared" si="30"/>
        <v>27758</v>
      </c>
      <c r="X428" s="705">
        <f t="shared" si="31"/>
        <v>37703</v>
      </c>
      <c r="Y428" s="705"/>
      <c r="AA428" t="s">
        <v>124</v>
      </c>
      <c r="AB428" t="s">
        <v>666</v>
      </c>
      <c r="AC428" s="705" t="s">
        <v>666</v>
      </c>
      <c r="AD428" s="705">
        <v>333</v>
      </c>
      <c r="AE428" s="705">
        <v>28105</v>
      </c>
      <c r="AF428" s="705">
        <v>232011</v>
      </c>
      <c r="AG428" s="705">
        <v>14128096</v>
      </c>
      <c r="AH428" s="705">
        <v>12843723</v>
      </c>
      <c r="AI428" s="706">
        <v>54</v>
      </c>
      <c r="AJ428" s="705">
        <v>2152893</v>
      </c>
      <c r="AK428" s="705">
        <v>1750601</v>
      </c>
      <c r="AL428" s="705">
        <v>622163</v>
      </c>
      <c r="AM428" s="705">
        <v>230431</v>
      </c>
      <c r="AN428" s="705">
        <v>105003</v>
      </c>
      <c r="AO428" s="705">
        <v>38890</v>
      </c>
      <c r="AP428" s="705">
        <v>2089666</v>
      </c>
      <c r="AQ428" s="705">
        <v>1899696</v>
      </c>
      <c r="AR428" s="705">
        <v>548782</v>
      </c>
      <c r="AS428" s="705">
        <v>203252</v>
      </c>
      <c r="AT428" s="705">
        <v>16966594</v>
      </c>
      <c r="AU428" s="705">
        <f t="shared" si="32"/>
        <v>16966593</v>
      </c>
      <c r="AV428" s="705">
        <f t="shared" si="33"/>
        <v>19646603</v>
      </c>
    </row>
    <row r="429" spans="2:48" hidden="1">
      <c r="B429" t="s">
        <v>537</v>
      </c>
      <c r="C429" t="s">
        <v>116</v>
      </c>
      <c r="D429" t="s">
        <v>582</v>
      </c>
      <c r="E429" t="s">
        <v>584</v>
      </c>
      <c r="F429" s="705">
        <v>1</v>
      </c>
      <c r="G429" s="705">
        <v>99</v>
      </c>
      <c r="H429" s="705">
        <v>187</v>
      </c>
      <c r="I429" s="705">
        <v>8535</v>
      </c>
      <c r="J429" s="705">
        <v>7759</v>
      </c>
      <c r="K429">
        <v>80</v>
      </c>
      <c r="L429" s="705">
        <v>2529</v>
      </c>
      <c r="M429" s="705">
        <v>2299</v>
      </c>
      <c r="N429" s="705">
        <v>2417</v>
      </c>
      <c r="O429" s="705">
        <v>895</v>
      </c>
      <c r="P429" s="705">
        <v>473</v>
      </c>
      <c r="Q429" s="705">
        <v>175</v>
      </c>
      <c r="R429" s="705">
        <v>4569</v>
      </c>
      <c r="S429" s="705">
        <v>4154</v>
      </c>
      <c r="T429" s="705">
        <v>0</v>
      </c>
      <c r="U429" s="705">
        <v>0</v>
      </c>
      <c r="V429" s="705">
        <v>15282</v>
      </c>
      <c r="W429" s="705">
        <f t="shared" si="30"/>
        <v>15282</v>
      </c>
      <c r="X429" s="705">
        <f t="shared" si="31"/>
        <v>18523</v>
      </c>
      <c r="Y429" s="705"/>
      <c r="AA429" t="s">
        <v>124</v>
      </c>
      <c r="AB429" t="s">
        <v>666</v>
      </c>
      <c r="AC429" s="705" t="s">
        <v>671</v>
      </c>
      <c r="AD429" s="705">
        <v>1</v>
      </c>
      <c r="AE429" s="705">
        <v>124</v>
      </c>
      <c r="AF429" s="705">
        <v>502</v>
      </c>
      <c r="AG429" s="705">
        <v>43271</v>
      </c>
      <c r="AH429" s="705">
        <v>39337</v>
      </c>
      <c r="AI429" s="706">
        <v>55</v>
      </c>
      <c r="AJ429" s="705">
        <v>7555</v>
      </c>
      <c r="AK429" s="705">
        <v>6868</v>
      </c>
      <c r="AL429" s="705">
        <v>2425</v>
      </c>
      <c r="AM429" s="705">
        <v>898</v>
      </c>
      <c r="AN429" s="705">
        <v>351</v>
      </c>
      <c r="AO429" s="705">
        <v>130</v>
      </c>
      <c r="AP429" s="705">
        <v>8843</v>
      </c>
      <c r="AQ429" s="705">
        <v>8039</v>
      </c>
      <c r="AR429" s="705">
        <v>0</v>
      </c>
      <c r="AS429" s="705">
        <v>0</v>
      </c>
      <c r="AT429" s="705">
        <v>55272</v>
      </c>
      <c r="AU429" s="705">
        <f t="shared" si="32"/>
        <v>55272</v>
      </c>
      <c r="AV429" s="705">
        <f t="shared" si="33"/>
        <v>62445</v>
      </c>
    </row>
    <row r="430" spans="2:48" hidden="1">
      <c r="B430" t="s">
        <v>537</v>
      </c>
      <c r="C430" t="s">
        <v>116</v>
      </c>
      <c r="D430" t="s">
        <v>228</v>
      </c>
      <c r="E430" t="s">
        <v>228</v>
      </c>
      <c r="F430">
        <v>71</v>
      </c>
      <c r="G430" s="705">
        <v>13210</v>
      </c>
      <c r="H430" s="705">
        <v>13289</v>
      </c>
      <c r="I430" s="705">
        <v>1368814</v>
      </c>
      <c r="J430" s="705">
        <v>506968</v>
      </c>
      <c r="K430">
        <v>223</v>
      </c>
      <c r="L430" s="705">
        <v>287878</v>
      </c>
      <c r="M430" s="705">
        <v>250397</v>
      </c>
      <c r="N430" s="705">
        <v>276688</v>
      </c>
      <c r="O430" s="705">
        <v>102477</v>
      </c>
      <c r="P430" s="705">
        <v>33237</v>
      </c>
      <c r="Q430" s="705">
        <v>12310</v>
      </c>
      <c r="R430" s="705">
        <v>564444</v>
      </c>
      <c r="S430" s="705">
        <v>209054</v>
      </c>
      <c r="T430" s="705">
        <v>0</v>
      </c>
      <c r="U430" s="705">
        <v>0</v>
      </c>
      <c r="V430" s="705">
        <v>1081206</v>
      </c>
      <c r="W430" s="705">
        <f t="shared" si="30"/>
        <v>1081206</v>
      </c>
      <c r="X430" s="705">
        <f t="shared" si="31"/>
        <v>2531061</v>
      </c>
      <c r="Y430" s="705"/>
      <c r="AA430" t="s">
        <v>124</v>
      </c>
      <c r="AB430" t="s">
        <v>584</v>
      </c>
      <c r="AC430" s="705" t="s">
        <v>228</v>
      </c>
      <c r="AD430" s="705">
        <v>25</v>
      </c>
      <c r="AE430" s="705">
        <v>2689</v>
      </c>
      <c r="AF430" s="705">
        <v>14419</v>
      </c>
      <c r="AG430" s="705">
        <v>1060265</v>
      </c>
      <c r="AH430" s="705">
        <v>963877</v>
      </c>
      <c r="AI430" s="706">
        <v>68</v>
      </c>
      <c r="AJ430" s="705">
        <v>201222</v>
      </c>
      <c r="AK430" s="705">
        <v>162020</v>
      </c>
      <c r="AL430" s="705">
        <v>61005</v>
      </c>
      <c r="AM430" s="705">
        <v>22594</v>
      </c>
      <c r="AN430" s="705">
        <v>8731</v>
      </c>
      <c r="AO430" s="705">
        <v>3234</v>
      </c>
      <c r="AP430" s="705">
        <v>210637</v>
      </c>
      <c r="AQ430" s="705">
        <v>78014</v>
      </c>
      <c r="AR430" s="705">
        <v>8773</v>
      </c>
      <c r="AS430" s="705">
        <v>3249</v>
      </c>
      <c r="AT430" s="705">
        <v>1232989</v>
      </c>
      <c r="AU430" s="705">
        <f t="shared" si="32"/>
        <v>1232988</v>
      </c>
      <c r="AV430" s="705">
        <f t="shared" si="33"/>
        <v>1550633</v>
      </c>
    </row>
    <row r="431" spans="2:48" hidden="1">
      <c r="B431" t="s">
        <v>537</v>
      </c>
      <c r="C431" t="s">
        <v>116</v>
      </c>
      <c r="D431" t="s">
        <v>228</v>
      </c>
      <c r="E431" t="s">
        <v>583</v>
      </c>
      <c r="F431">
        <v>1</v>
      </c>
      <c r="G431" s="705">
        <v>232</v>
      </c>
      <c r="H431" s="705">
        <v>167</v>
      </c>
      <c r="I431" s="705">
        <v>22060</v>
      </c>
      <c r="J431" s="705">
        <v>8171</v>
      </c>
      <c r="K431">
        <v>100</v>
      </c>
      <c r="L431" s="705">
        <v>3745</v>
      </c>
      <c r="M431" s="705">
        <v>3404</v>
      </c>
      <c r="N431" s="705">
        <v>3029</v>
      </c>
      <c r="O431" s="705">
        <v>1122</v>
      </c>
      <c r="P431" s="705">
        <v>1901</v>
      </c>
      <c r="Q431" s="705">
        <v>704</v>
      </c>
      <c r="R431" s="705">
        <v>8066</v>
      </c>
      <c r="S431" s="705">
        <v>7333</v>
      </c>
      <c r="T431" s="705">
        <v>0</v>
      </c>
      <c r="U431" s="705">
        <v>0</v>
      </c>
      <c r="V431" s="705">
        <v>20734</v>
      </c>
      <c r="W431" s="705">
        <f t="shared" si="30"/>
        <v>20734</v>
      </c>
      <c r="X431" s="705">
        <f t="shared" si="31"/>
        <v>38801</v>
      </c>
      <c r="Y431" s="705"/>
      <c r="AA431" t="s">
        <v>124</v>
      </c>
      <c r="AB431" t="s">
        <v>584</v>
      </c>
      <c r="AC431" s="705" t="s">
        <v>584</v>
      </c>
      <c r="AD431" s="705">
        <v>838</v>
      </c>
      <c r="AE431" s="705">
        <v>96424</v>
      </c>
      <c r="AF431" s="705">
        <v>454523</v>
      </c>
      <c r="AG431" s="705">
        <v>34358533</v>
      </c>
      <c r="AH431" s="705">
        <v>31235030</v>
      </c>
      <c r="AI431" s="706">
        <v>73</v>
      </c>
      <c r="AJ431" s="705">
        <v>9837320</v>
      </c>
      <c r="AK431" s="705">
        <v>11502937</v>
      </c>
      <c r="AL431" s="705">
        <v>2143634</v>
      </c>
      <c r="AM431" s="705">
        <v>793939</v>
      </c>
      <c r="AN431" s="705">
        <v>393537</v>
      </c>
      <c r="AO431" s="705">
        <v>145754</v>
      </c>
      <c r="AP431" s="705">
        <v>4609254</v>
      </c>
      <c r="AQ431" s="705">
        <v>4190231</v>
      </c>
      <c r="AR431" s="705">
        <v>1527916</v>
      </c>
      <c r="AS431" s="705">
        <v>565895</v>
      </c>
      <c r="AT431" s="705">
        <v>48433785</v>
      </c>
      <c r="AU431" s="705">
        <f t="shared" si="32"/>
        <v>48433786</v>
      </c>
      <c r="AV431" s="705">
        <f t="shared" si="33"/>
        <v>52870194</v>
      </c>
    </row>
    <row r="432" spans="2:48" hidden="1">
      <c r="B432" t="s">
        <v>537</v>
      </c>
      <c r="C432" t="s">
        <v>116</v>
      </c>
      <c r="D432" t="s">
        <v>583</v>
      </c>
      <c r="E432" t="s">
        <v>664</v>
      </c>
      <c r="F432">
        <v>4</v>
      </c>
      <c r="G432">
        <v>494</v>
      </c>
      <c r="H432" s="705">
        <v>745</v>
      </c>
      <c r="I432" s="705">
        <v>47184</v>
      </c>
      <c r="J432" s="705">
        <v>42894</v>
      </c>
      <c r="K432">
        <v>85</v>
      </c>
      <c r="L432" s="705">
        <v>11973</v>
      </c>
      <c r="M432" s="705">
        <v>10885</v>
      </c>
      <c r="N432" s="705">
        <v>8627</v>
      </c>
      <c r="O432" s="705">
        <v>3195</v>
      </c>
      <c r="P432" s="705">
        <v>2835</v>
      </c>
      <c r="Q432" s="705">
        <v>1050</v>
      </c>
      <c r="R432" s="705">
        <v>21404</v>
      </c>
      <c r="S432" s="705">
        <v>19458</v>
      </c>
      <c r="T432" s="705">
        <v>0</v>
      </c>
      <c r="U432" s="705">
        <v>0</v>
      </c>
      <c r="V432" s="705">
        <v>77482</v>
      </c>
      <c r="W432" s="705">
        <f t="shared" si="30"/>
        <v>77482</v>
      </c>
      <c r="X432" s="705">
        <f t="shared" si="31"/>
        <v>92023</v>
      </c>
      <c r="Y432" s="705"/>
      <c r="AA432" t="s">
        <v>124</v>
      </c>
      <c r="AB432" t="s">
        <v>584</v>
      </c>
      <c r="AC432" s="705" t="s">
        <v>673</v>
      </c>
      <c r="AD432" s="705">
        <v>1</v>
      </c>
      <c r="AE432" s="705">
        <v>45</v>
      </c>
      <c r="AF432" s="705">
        <v>616</v>
      </c>
      <c r="AG432" s="705">
        <v>19950</v>
      </c>
      <c r="AH432" s="705">
        <v>18137</v>
      </c>
      <c r="AI432" s="706">
        <v>78</v>
      </c>
      <c r="AJ432" s="705">
        <v>2340</v>
      </c>
      <c r="AK432" s="705">
        <v>2127</v>
      </c>
      <c r="AL432" s="705">
        <v>1097</v>
      </c>
      <c r="AM432" s="705">
        <v>406</v>
      </c>
      <c r="AN432" s="705">
        <v>473</v>
      </c>
      <c r="AO432" s="705">
        <v>175</v>
      </c>
      <c r="AP432" s="705">
        <v>3867</v>
      </c>
      <c r="AQ432" s="705">
        <v>3516</v>
      </c>
      <c r="AR432" s="705">
        <v>0</v>
      </c>
      <c r="AS432" s="705">
        <v>0</v>
      </c>
      <c r="AT432" s="705">
        <v>24361</v>
      </c>
      <c r="AU432" s="705">
        <f t="shared" si="32"/>
        <v>24361</v>
      </c>
      <c r="AV432" s="705">
        <f t="shared" si="33"/>
        <v>27727</v>
      </c>
    </row>
    <row r="433" spans="2:48" hidden="1">
      <c r="B433" t="s">
        <v>537</v>
      </c>
      <c r="C433" t="s">
        <v>116</v>
      </c>
      <c r="D433" t="s">
        <v>583</v>
      </c>
      <c r="E433" t="s">
        <v>582</v>
      </c>
      <c r="F433">
        <v>3</v>
      </c>
      <c r="G433" s="705">
        <v>676</v>
      </c>
      <c r="H433">
        <v>529</v>
      </c>
      <c r="I433" s="705">
        <v>81161</v>
      </c>
      <c r="J433" s="705">
        <v>73783</v>
      </c>
      <c r="K433">
        <v>87</v>
      </c>
      <c r="L433" s="705">
        <v>15389</v>
      </c>
      <c r="M433" s="705">
        <v>13990</v>
      </c>
      <c r="N433" s="705">
        <v>17360</v>
      </c>
      <c r="O433" s="705">
        <v>6430</v>
      </c>
      <c r="P433" s="705">
        <v>2106</v>
      </c>
      <c r="Q433">
        <v>780</v>
      </c>
      <c r="R433" s="705">
        <v>19348</v>
      </c>
      <c r="S433" s="705">
        <v>17589</v>
      </c>
      <c r="T433" s="705">
        <v>3632</v>
      </c>
      <c r="U433" s="705">
        <v>1345</v>
      </c>
      <c r="V433" s="705">
        <v>113917</v>
      </c>
      <c r="W433" s="705">
        <f t="shared" si="30"/>
        <v>113917</v>
      </c>
      <c r="X433" s="705">
        <f t="shared" si="31"/>
        <v>138996</v>
      </c>
      <c r="Y433" s="705"/>
      <c r="AA433" t="s">
        <v>124</v>
      </c>
      <c r="AB433" t="s">
        <v>669</v>
      </c>
      <c r="AC433" s="705" t="s">
        <v>664</v>
      </c>
      <c r="AD433" s="705">
        <v>1</v>
      </c>
      <c r="AE433" s="705">
        <v>67</v>
      </c>
      <c r="AF433" s="705">
        <v>643</v>
      </c>
      <c r="AG433" s="705">
        <v>25177</v>
      </c>
      <c r="AH433" s="705">
        <v>20981</v>
      </c>
      <c r="AI433" s="706">
        <v>86</v>
      </c>
      <c r="AJ433" s="705">
        <v>11528</v>
      </c>
      <c r="AK433" s="705">
        <v>4270</v>
      </c>
      <c r="AL433" s="705">
        <v>1626</v>
      </c>
      <c r="AM433" s="705">
        <v>602</v>
      </c>
      <c r="AN433" s="705">
        <v>621</v>
      </c>
      <c r="AO433" s="705">
        <v>230</v>
      </c>
      <c r="AP433" s="705">
        <v>3982</v>
      </c>
      <c r="AQ433" s="705">
        <v>3620</v>
      </c>
      <c r="AR433" s="705">
        <v>0</v>
      </c>
      <c r="AS433" s="705">
        <v>0</v>
      </c>
      <c r="AT433" s="705">
        <v>29703</v>
      </c>
      <c r="AU433" s="705">
        <f t="shared" si="32"/>
        <v>29703</v>
      </c>
      <c r="AV433" s="705">
        <f t="shared" si="33"/>
        <v>42934</v>
      </c>
    </row>
    <row r="434" spans="2:48" hidden="1">
      <c r="B434" t="s">
        <v>537</v>
      </c>
      <c r="C434" t="s">
        <v>116</v>
      </c>
      <c r="D434" t="s">
        <v>583</v>
      </c>
      <c r="E434" t="s">
        <v>228</v>
      </c>
      <c r="F434">
        <v>36</v>
      </c>
      <c r="G434" s="705">
        <v>6040</v>
      </c>
      <c r="H434" s="705">
        <v>6944</v>
      </c>
      <c r="I434" s="705">
        <v>667774</v>
      </c>
      <c r="J434" s="705">
        <v>607067</v>
      </c>
      <c r="K434">
        <v>85</v>
      </c>
      <c r="L434" s="705">
        <v>129807</v>
      </c>
      <c r="M434" s="705">
        <v>115238</v>
      </c>
      <c r="N434" s="705">
        <v>112023</v>
      </c>
      <c r="O434" s="705">
        <v>41490</v>
      </c>
      <c r="P434" s="705">
        <v>26607</v>
      </c>
      <c r="Q434" s="705">
        <v>9854</v>
      </c>
      <c r="R434" s="705">
        <v>235475</v>
      </c>
      <c r="S434" s="705">
        <v>87213</v>
      </c>
      <c r="T434" s="705">
        <v>0</v>
      </c>
      <c r="U434" s="705">
        <v>0</v>
      </c>
      <c r="V434" s="705">
        <v>860862</v>
      </c>
      <c r="W434" s="705">
        <f t="shared" si="30"/>
        <v>860862</v>
      </c>
      <c r="X434" s="705">
        <f t="shared" si="31"/>
        <v>1171686</v>
      </c>
      <c r="Y434" s="705"/>
      <c r="AA434" t="s">
        <v>124</v>
      </c>
      <c r="AB434" t="s">
        <v>669</v>
      </c>
      <c r="AC434" s="705" t="s">
        <v>228</v>
      </c>
      <c r="AD434" s="705">
        <v>95</v>
      </c>
      <c r="AE434" s="705">
        <v>9974</v>
      </c>
      <c r="AF434" s="705">
        <v>116444</v>
      </c>
      <c r="AG434" s="705">
        <v>10033760</v>
      </c>
      <c r="AH434" s="705">
        <v>8361466</v>
      </c>
      <c r="AI434" s="706">
        <v>36</v>
      </c>
      <c r="AJ434" s="705">
        <v>648688</v>
      </c>
      <c r="AK434" s="705">
        <v>325787</v>
      </c>
      <c r="AL434" s="705">
        <v>227389</v>
      </c>
      <c r="AM434" s="705">
        <v>84218</v>
      </c>
      <c r="AN434" s="705">
        <v>4212</v>
      </c>
      <c r="AO434" s="705">
        <v>1560</v>
      </c>
      <c r="AP434" s="705">
        <v>746670</v>
      </c>
      <c r="AQ434" s="705">
        <v>276544</v>
      </c>
      <c r="AR434" s="705">
        <v>4577</v>
      </c>
      <c r="AS434" s="705">
        <v>1695</v>
      </c>
      <c r="AT434" s="705">
        <v>9051271</v>
      </c>
      <c r="AU434" s="705">
        <f t="shared" si="32"/>
        <v>9051270</v>
      </c>
      <c r="AV434" s="705">
        <f t="shared" si="33"/>
        <v>11665296</v>
      </c>
    </row>
    <row r="435" spans="2:48" hidden="1">
      <c r="B435" t="s">
        <v>537</v>
      </c>
      <c r="C435" t="s">
        <v>116</v>
      </c>
      <c r="D435" t="s">
        <v>583</v>
      </c>
      <c r="E435" t="s">
        <v>583</v>
      </c>
      <c r="F435" s="705">
        <v>7976</v>
      </c>
      <c r="G435" s="705">
        <v>1304240</v>
      </c>
      <c r="H435" s="705">
        <v>1510477</v>
      </c>
      <c r="I435" s="705">
        <v>143841110</v>
      </c>
      <c r="J435" s="705">
        <v>130764645</v>
      </c>
      <c r="K435">
        <v>85</v>
      </c>
      <c r="L435" s="705">
        <v>32377359</v>
      </c>
      <c r="M435" s="705">
        <v>29267104</v>
      </c>
      <c r="N435" s="705">
        <v>27446841</v>
      </c>
      <c r="O435" s="705">
        <v>10165497</v>
      </c>
      <c r="P435" s="705">
        <v>5295784</v>
      </c>
      <c r="Q435" s="705">
        <v>1961402</v>
      </c>
      <c r="R435" s="705">
        <v>43889212</v>
      </c>
      <c r="S435" s="705">
        <v>39899284</v>
      </c>
      <c r="T435" s="705">
        <v>5559105</v>
      </c>
      <c r="U435" s="705">
        <v>2058928</v>
      </c>
      <c r="V435" s="705">
        <v>214116858</v>
      </c>
      <c r="W435" s="705">
        <f t="shared" si="30"/>
        <v>214116860</v>
      </c>
      <c r="X435" s="705">
        <f t="shared" si="31"/>
        <v>258409411</v>
      </c>
      <c r="Y435" s="705"/>
      <c r="AA435" t="s">
        <v>124</v>
      </c>
      <c r="AB435" t="s">
        <v>669</v>
      </c>
      <c r="AC435" s="705" t="s">
        <v>583</v>
      </c>
      <c r="AD435" s="705">
        <v>7</v>
      </c>
      <c r="AE435" s="705">
        <v>1698</v>
      </c>
      <c r="AF435" s="705">
        <v>7549</v>
      </c>
      <c r="AG435" s="705">
        <v>1523145</v>
      </c>
      <c r="AH435" s="705">
        <v>1269287</v>
      </c>
      <c r="AI435" s="706">
        <v>30</v>
      </c>
      <c r="AJ435" s="705">
        <v>107650</v>
      </c>
      <c r="AK435" s="705">
        <v>48581</v>
      </c>
      <c r="AL435" s="705">
        <v>36879</v>
      </c>
      <c r="AM435" s="705">
        <v>13659</v>
      </c>
      <c r="AN435" s="705">
        <v>270</v>
      </c>
      <c r="AO435" s="705">
        <v>100</v>
      </c>
      <c r="AP435" s="705">
        <v>57086</v>
      </c>
      <c r="AQ435" s="705">
        <v>51896</v>
      </c>
      <c r="AR435" s="705">
        <v>22791</v>
      </c>
      <c r="AS435" s="705">
        <v>8441</v>
      </c>
      <c r="AT435" s="705">
        <v>1391965</v>
      </c>
      <c r="AU435" s="705">
        <f t="shared" si="32"/>
        <v>1391964</v>
      </c>
      <c r="AV435" s="705">
        <f t="shared" si="33"/>
        <v>1747821</v>
      </c>
    </row>
    <row r="436" spans="2:48" hidden="1">
      <c r="B436" t="s">
        <v>537</v>
      </c>
      <c r="C436" t="s">
        <v>116</v>
      </c>
      <c r="D436" t="s">
        <v>583</v>
      </c>
      <c r="E436" t="s">
        <v>666</v>
      </c>
      <c r="F436">
        <v>7</v>
      </c>
      <c r="G436" s="705">
        <v>1092</v>
      </c>
      <c r="H436" s="705">
        <v>1344</v>
      </c>
      <c r="I436" s="705">
        <v>121389</v>
      </c>
      <c r="J436" s="705">
        <v>110354</v>
      </c>
      <c r="K436">
        <v>84</v>
      </c>
      <c r="L436" s="705">
        <v>25941</v>
      </c>
      <c r="M436" s="705">
        <v>28958</v>
      </c>
      <c r="N436" s="705">
        <v>20132</v>
      </c>
      <c r="O436" s="705">
        <v>7456</v>
      </c>
      <c r="P436" s="705">
        <v>4347</v>
      </c>
      <c r="Q436" s="705">
        <v>1610</v>
      </c>
      <c r="R436" s="705">
        <v>34009</v>
      </c>
      <c r="S436" s="705">
        <v>30917</v>
      </c>
      <c r="T436" s="705">
        <v>2914</v>
      </c>
      <c r="U436" s="705">
        <v>1079</v>
      </c>
      <c r="V436" s="705">
        <v>180374</v>
      </c>
      <c r="W436" s="705">
        <f t="shared" si="30"/>
        <v>180374</v>
      </c>
      <c r="X436" s="705">
        <f t="shared" si="31"/>
        <v>208732</v>
      </c>
      <c r="Y436" s="705"/>
      <c r="AA436" t="s">
        <v>124</v>
      </c>
      <c r="AB436" t="s">
        <v>669</v>
      </c>
      <c r="AC436" s="705" t="s">
        <v>669</v>
      </c>
      <c r="AD436" s="705">
        <v>239</v>
      </c>
      <c r="AE436" s="705">
        <v>22421</v>
      </c>
      <c r="AF436" s="705">
        <v>181077</v>
      </c>
      <c r="AG436" s="705">
        <v>12607234</v>
      </c>
      <c r="AH436" s="705">
        <v>10506029</v>
      </c>
      <c r="AI436" s="706">
        <v>53</v>
      </c>
      <c r="AJ436" s="705">
        <v>1652029</v>
      </c>
      <c r="AK436" s="705">
        <v>1303820</v>
      </c>
      <c r="AL436" s="705">
        <v>471924</v>
      </c>
      <c r="AM436" s="705">
        <v>174787</v>
      </c>
      <c r="AN436" s="705">
        <v>77112</v>
      </c>
      <c r="AO436" s="705">
        <v>28560</v>
      </c>
      <c r="AP436" s="705">
        <v>1519837</v>
      </c>
      <c r="AQ436" s="705">
        <v>1266531</v>
      </c>
      <c r="AR436" s="705">
        <v>461601</v>
      </c>
      <c r="AS436" s="705">
        <v>170963</v>
      </c>
      <c r="AT436" s="705">
        <v>13450690</v>
      </c>
      <c r="AU436" s="705">
        <f t="shared" si="32"/>
        <v>13450690</v>
      </c>
      <c r="AV436" s="705">
        <f t="shared" si="33"/>
        <v>16789737</v>
      </c>
    </row>
    <row r="437" spans="2:48" hidden="1">
      <c r="B437" t="s">
        <v>537</v>
      </c>
      <c r="C437" t="s">
        <v>116</v>
      </c>
      <c r="D437" t="s">
        <v>583</v>
      </c>
      <c r="E437" t="s">
        <v>584</v>
      </c>
      <c r="F437">
        <v>4</v>
      </c>
      <c r="G437" s="705">
        <v>754</v>
      </c>
      <c r="H437" s="705">
        <v>782</v>
      </c>
      <c r="I437" s="705">
        <v>88456</v>
      </c>
      <c r="J437" s="705">
        <v>80415</v>
      </c>
      <c r="K437">
        <v>86</v>
      </c>
      <c r="L437" s="705">
        <v>14969</v>
      </c>
      <c r="M437" s="705">
        <v>13608</v>
      </c>
      <c r="N437" s="705">
        <v>14272</v>
      </c>
      <c r="O437" s="705">
        <v>5286</v>
      </c>
      <c r="P437" s="705">
        <v>2214</v>
      </c>
      <c r="Q437" s="705">
        <v>820</v>
      </c>
      <c r="R437" s="705">
        <v>24245</v>
      </c>
      <c r="S437" s="705">
        <v>22041</v>
      </c>
      <c r="T437" s="705">
        <v>4370</v>
      </c>
      <c r="U437" s="705">
        <v>1619</v>
      </c>
      <c r="V437" s="705">
        <v>123788</v>
      </c>
      <c r="W437" s="705">
        <f t="shared" si="30"/>
        <v>123789</v>
      </c>
      <c r="X437" s="705">
        <f t="shared" si="31"/>
        <v>148526</v>
      </c>
      <c r="Y437" s="705"/>
      <c r="AA437" t="s">
        <v>124</v>
      </c>
      <c r="AB437" t="s">
        <v>669</v>
      </c>
      <c r="AC437" s="705" t="s">
        <v>665</v>
      </c>
      <c r="AD437" s="705">
        <v>2</v>
      </c>
      <c r="AE437" s="705">
        <v>139</v>
      </c>
      <c r="AF437" s="705">
        <v>1589</v>
      </c>
      <c r="AG437" s="705">
        <v>82989</v>
      </c>
      <c r="AH437" s="705">
        <v>69157</v>
      </c>
      <c r="AI437" s="706">
        <v>55</v>
      </c>
      <c r="AJ437" s="705">
        <v>11930</v>
      </c>
      <c r="AK437" s="705">
        <v>9941</v>
      </c>
      <c r="AL437" s="705">
        <v>3385</v>
      </c>
      <c r="AM437" s="705">
        <v>1254</v>
      </c>
      <c r="AN437" s="705">
        <v>702</v>
      </c>
      <c r="AO437" s="705">
        <v>260</v>
      </c>
      <c r="AP437" s="705">
        <v>6075</v>
      </c>
      <c r="AQ437" s="705">
        <v>5523</v>
      </c>
      <c r="AR437" s="705">
        <v>1549</v>
      </c>
      <c r="AS437" s="705">
        <v>574</v>
      </c>
      <c r="AT437" s="705">
        <v>86709</v>
      </c>
      <c r="AU437" s="705">
        <f t="shared" si="32"/>
        <v>86709</v>
      </c>
      <c r="AV437" s="705">
        <f t="shared" si="33"/>
        <v>106630</v>
      </c>
    </row>
    <row r="438" spans="2:48" hidden="1">
      <c r="B438" t="s">
        <v>537</v>
      </c>
      <c r="C438" t="s">
        <v>116</v>
      </c>
      <c r="D438" t="s">
        <v>583</v>
      </c>
      <c r="E438" t="s">
        <v>665</v>
      </c>
      <c r="F438">
        <v>6</v>
      </c>
      <c r="G438" s="705">
        <v>1246</v>
      </c>
      <c r="H438" s="705">
        <v>1149</v>
      </c>
      <c r="I438" s="705">
        <v>135324</v>
      </c>
      <c r="J438" s="705">
        <v>123022</v>
      </c>
      <c r="K438">
        <v>83</v>
      </c>
      <c r="L438" s="705">
        <v>35209</v>
      </c>
      <c r="M438" s="705">
        <v>32008</v>
      </c>
      <c r="N438" s="705">
        <v>26827</v>
      </c>
      <c r="O438" s="705">
        <v>9936</v>
      </c>
      <c r="P438" s="705">
        <v>7155</v>
      </c>
      <c r="Q438" s="705">
        <v>2650</v>
      </c>
      <c r="R438" s="705">
        <v>48783</v>
      </c>
      <c r="S438" s="705">
        <v>44348</v>
      </c>
      <c r="T438" s="705">
        <v>3479</v>
      </c>
      <c r="U438" s="705">
        <v>1289</v>
      </c>
      <c r="V438" s="705">
        <v>213253</v>
      </c>
      <c r="W438" s="705">
        <f t="shared" si="30"/>
        <v>213253</v>
      </c>
      <c r="X438" s="705">
        <f t="shared" si="31"/>
        <v>256777</v>
      </c>
      <c r="Y438" s="705"/>
      <c r="AA438" t="s">
        <v>124</v>
      </c>
      <c r="AB438" t="s">
        <v>667</v>
      </c>
      <c r="AC438" s="705" t="s">
        <v>228</v>
      </c>
      <c r="AD438" s="705">
        <v>5</v>
      </c>
      <c r="AE438" s="705">
        <v>377</v>
      </c>
      <c r="AF438" s="705">
        <v>5235</v>
      </c>
      <c r="AG438" s="705">
        <v>292618</v>
      </c>
      <c r="AH438" s="705">
        <v>266016</v>
      </c>
      <c r="AI438" s="706">
        <v>48</v>
      </c>
      <c r="AJ438" s="705">
        <v>39852</v>
      </c>
      <c r="AK438" s="705">
        <v>17806</v>
      </c>
      <c r="AL438" s="705">
        <v>9979</v>
      </c>
      <c r="AM438" s="705">
        <v>3696</v>
      </c>
      <c r="AN438" s="705">
        <v>0</v>
      </c>
      <c r="AO438" s="705">
        <v>0</v>
      </c>
      <c r="AP438" s="705">
        <v>35407</v>
      </c>
      <c r="AQ438" s="705">
        <v>13114</v>
      </c>
      <c r="AR438" s="705">
        <v>3626</v>
      </c>
      <c r="AS438" s="705">
        <v>1343</v>
      </c>
      <c r="AT438" s="705">
        <v>301974</v>
      </c>
      <c r="AU438" s="705">
        <f t="shared" si="32"/>
        <v>301975</v>
      </c>
      <c r="AV438" s="705">
        <f t="shared" si="33"/>
        <v>381482</v>
      </c>
    </row>
    <row r="439" spans="2:48" hidden="1">
      <c r="B439" t="s">
        <v>537</v>
      </c>
      <c r="C439" t="s">
        <v>116</v>
      </c>
      <c r="D439" t="s">
        <v>666</v>
      </c>
      <c r="E439" t="s">
        <v>583</v>
      </c>
      <c r="F439">
        <v>4</v>
      </c>
      <c r="G439" s="705">
        <v>660</v>
      </c>
      <c r="H439" s="705">
        <v>743</v>
      </c>
      <c r="I439" s="705">
        <v>65202</v>
      </c>
      <c r="J439" s="705">
        <v>59275</v>
      </c>
      <c r="K439">
        <v>87</v>
      </c>
      <c r="L439" s="705">
        <v>11682</v>
      </c>
      <c r="M439" s="705">
        <v>10620</v>
      </c>
      <c r="N439" s="705">
        <v>13327</v>
      </c>
      <c r="O439" s="705">
        <v>4936</v>
      </c>
      <c r="P439" s="705">
        <v>2484</v>
      </c>
      <c r="Q439" s="705">
        <v>920</v>
      </c>
      <c r="R439" s="705">
        <v>24248</v>
      </c>
      <c r="S439" s="705">
        <v>22044</v>
      </c>
      <c r="T439" s="705">
        <v>3683</v>
      </c>
      <c r="U439" s="705">
        <v>1364</v>
      </c>
      <c r="V439" s="705">
        <v>99159</v>
      </c>
      <c r="W439" s="705">
        <f t="shared" si="30"/>
        <v>99159</v>
      </c>
      <c r="X439" s="705">
        <f t="shared" si="31"/>
        <v>120626</v>
      </c>
      <c r="Y439" s="705"/>
      <c r="AA439" t="s">
        <v>124</v>
      </c>
      <c r="AB439" t="s">
        <v>667</v>
      </c>
      <c r="AC439" s="705" t="s">
        <v>667</v>
      </c>
      <c r="AD439" s="705">
        <v>44</v>
      </c>
      <c r="AE439" s="705">
        <v>4044</v>
      </c>
      <c r="AF439" s="705">
        <v>29948</v>
      </c>
      <c r="AG439" s="705">
        <v>1992570</v>
      </c>
      <c r="AH439" s="705">
        <v>1811427</v>
      </c>
      <c r="AI439" s="706">
        <v>50</v>
      </c>
      <c r="AJ439" s="705">
        <v>245301</v>
      </c>
      <c r="AK439" s="705">
        <v>208924</v>
      </c>
      <c r="AL439" s="705">
        <v>84154</v>
      </c>
      <c r="AM439" s="705">
        <v>31168</v>
      </c>
      <c r="AN439" s="705">
        <v>15201</v>
      </c>
      <c r="AO439" s="705">
        <v>5630</v>
      </c>
      <c r="AP439" s="705">
        <v>293684</v>
      </c>
      <c r="AQ439" s="705">
        <v>266985</v>
      </c>
      <c r="AR439" s="705">
        <v>77042</v>
      </c>
      <c r="AS439" s="705">
        <v>28534</v>
      </c>
      <c r="AT439" s="705">
        <v>2352669</v>
      </c>
      <c r="AU439" s="705">
        <f t="shared" si="32"/>
        <v>2352668</v>
      </c>
      <c r="AV439" s="705">
        <f t="shared" si="33"/>
        <v>2707952</v>
      </c>
    </row>
    <row r="440" spans="2:48" hidden="1">
      <c r="B440" t="s">
        <v>537</v>
      </c>
      <c r="C440" t="s">
        <v>116</v>
      </c>
      <c r="D440" t="s">
        <v>584</v>
      </c>
      <c r="E440" t="s">
        <v>582</v>
      </c>
      <c r="F440" s="705">
        <v>1</v>
      </c>
      <c r="G440" s="705">
        <v>134</v>
      </c>
      <c r="H440" s="705">
        <v>224</v>
      </c>
      <c r="I440" s="705">
        <v>16233</v>
      </c>
      <c r="J440" s="705">
        <v>14758</v>
      </c>
      <c r="K440">
        <v>78</v>
      </c>
      <c r="L440" s="705">
        <v>4479</v>
      </c>
      <c r="M440" s="705">
        <v>4072</v>
      </c>
      <c r="N440" s="705">
        <v>1698</v>
      </c>
      <c r="O440" s="705">
        <v>629</v>
      </c>
      <c r="P440" s="705">
        <v>473</v>
      </c>
      <c r="Q440" s="705">
        <v>175</v>
      </c>
      <c r="R440" s="705">
        <v>7086</v>
      </c>
      <c r="S440" s="705">
        <v>6441</v>
      </c>
      <c r="T440" s="705">
        <v>0</v>
      </c>
      <c r="U440" s="705">
        <v>0</v>
      </c>
      <c r="V440" s="705">
        <v>26075</v>
      </c>
      <c r="W440" s="705">
        <f t="shared" si="30"/>
        <v>26075</v>
      </c>
      <c r="X440" s="705">
        <f t="shared" si="31"/>
        <v>29969</v>
      </c>
      <c r="Y440" s="705"/>
      <c r="AA440" t="s">
        <v>124</v>
      </c>
      <c r="AB440" t="s">
        <v>667</v>
      </c>
      <c r="AC440" s="705" t="s">
        <v>671</v>
      </c>
      <c r="AD440" s="705">
        <v>1</v>
      </c>
      <c r="AE440" s="705">
        <v>108</v>
      </c>
      <c r="AF440" s="705">
        <v>736</v>
      </c>
      <c r="AG440" s="705">
        <v>82982</v>
      </c>
      <c r="AH440" s="705">
        <v>75438</v>
      </c>
      <c r="AI440" s="706">
        <v>55</v>
      </c>
      <c r="AJ440" s="705">
        <v>19769</v>
      </c>
      <c r="AK440" s="705">
        <v>7322</v>
      </c>
      <c r="AL440" s="705">
        <v>3999</v>
      </c>
      <c r="AM440" s="705">
        <v>1481</v>
      </c>
      <c r="AN440" s="705">
        <v>0</v>
      </c>
      <c r="AO440" s="705">
        <v>0</v>
      </c>
      <c r="AP440" s="705">
        <v>9139</v>
      </c>
      <c r="AQ440" s="705">
        <v>8308</v>
      </c>
      <c r="AR440" s="705">
        <v>4989</v>
      </c>
      <c r="AS440" s="705">
        <v>1848</v>
      </c>
      <c r="AT440" s="705">
        <v>94397</v>
      </c>
      <c r="AU440" s="705">
        <f t="shared" si="32"/>
        <v>94397</v>
      </c>
      <c r="AV440" s="705">
        <f t="shared" si="33"/>
        <v>120878</v>
      </c>
    </row>
    <row r="441" spans="2:48" hidden="1">
      <c r="B441" t="s">
        <v>537</v>
      </c>
      <c r="C441" t="s">
        <v>116</v>
      </c>
      <c r="D441" t="s">
        <v>584</v>
      </c>
      <c r="E441" t="s">
        <v>228</v>
      </c>
      <c r="F441" s="705">
        <v>3</v>
      </c>
      <c r="G441" s="705">
        <v>474</v>
      </c>
      <c r="H441" s="705">
        <v>525</v>
      </c>
      <c r="I441" s="705">
        <v>42555</v>
      </c>
      <c r="J441" s="705">
        <v>38687</v>
      </c>
      <c r="K441">
        <v>82</v>
      </c>
      <c r="L441" s="705">
        <v>7076</v>
      </c>
      <c r="M441" s="705">
        <v>6433</v>
      </c>
      <c r="N441" s="705">
        <v>8909</v>
      </c>
      <c r="O441" s="705">
        <v>3300</v>
      </c>
      <c r="P441" s="705">
        <v>2471</v>
      </c>
      <c r="Q441" s="705">
        <v>915</v>
      </c>
      <c r="R441" s="705">
        <v>22710</v>
      </c>
      <c r="S441" s="705">
        <v>8411</v>
      </c>
      <c r="T441" s="705">
        <v>0</v>
      </c>
      <c r="U441" s="705">
        <v>0</v>
      </c>
      <c r="V441" s="705">
        <v>57746</v>
      </c>
      <c r="W441" s="705">
        <f t="shared" si="30"/>
        <v>57746</v>
      </c>
      <c r="X441" s="705">
        <f t="shared" si="31"/>
        <v>83721</v>
      </c>
      <c r="Y441" s="705"/>
      <c r="AA441" t="s">
        <v>124</v>
      </c>
      <c r="AB441" t="s">
        <v>667</v>
      </c>
      <c r="AC441" s="705" t="s">
        <v>665</v>
      </c>
      <c r="AD441" s="705">
        <v>1</v>
      </c>
      <c r="AE441" s="705">
        <v>65</v>
      </c>
      <c r="AF441" s="705">
        <v>691</v>
      </c>
      <c r="AG441" s="705">
        <v>30861</v>
      </c>
      <c r="AH441" s="705">
        <v>28056</v>
      </c>
      <c r="AI441" s="706">
        <v>65</v>
      </c>
      <c r="AJ441" s="705">
        <v>5471</v>
      </c>
      <c r="AK441" s="705">
        <v>2026</v>
      </c>
      <c r="AL441" s="705">
        <v>1584</v>
      </c>
      <c r="AM441" s="705">
        <v>587</v>
      </c>
      <c r="AN441" s="705">
        <v>351</v>
      </c>
      <c r="AO441" s="705">
        <v>130</v>
      </c>
      <c r="AP441" s="705">
        <v>6634</v>
      </c>
      <c r="AQ441" s="705">
        <v>6031</v>
      </c>
      <c r="AR441" s="705">
        <v>0</v>
      </c>
      <c r="AS441" s="705">
        <v>0</v>
      </c>
      <c r="AT441" s="705">
        <v>36829</v>
      </c>
      <c r="AU441" s="705">
        <f t="shared" si="32"/>
        <v>36830</v>
      </c>
      <c r="AV441" s="705">
        <f t="shared" si="33"/>
        <v>44901</v>
      </c>
    </row>
    <row r="442" spans="2:48" hidden="1">
      <c r="B442" t="s">
        <v>537</v>
      </c>
      <c r="C442" t="s">
        <v>116</v>
      </c>
      <c r="D442" t="s">
        <v>584</v>
      </c>
      <c r="E442" t="s">
        <v>583</v>
      </c>
      <c r="F442">
        <v>3</v>
      </c>
      <c r="G442" s="705">
        <v>483</v>
      </c>
      <c r="H442" s="705">
        <v>542</v>
      </c>
      <c r="I442" s="705">
        <v>43276</v>
      </c>
      <c r="J442" s="705">
        <v>39342</v>
      </c>
      <c r="K442">
        <v>83</v>
      </c>
      <c r="L442" s="705">
        <v>13898</v>
      </c>
      <c r="M442" s="705">
        <v>11285</v>
      </c>
      <c r="N442" s="705">
        <v>11319</v>
      </c>
      <c r="O442" s="705">
        <v>4192</v>
      </c>
      <c r="P442" s="705">
        <v>1566</v>
      </c>
      <c r="Q442" s="705">
        <v>580</v>
      </c>
      <c r="R442" s="705">
        <v>14816</v>
      </c>
      <c r="S442" s="705">
        <v>13469</v>
      </c>
      <c r="T442" s="705">
        <v>2553</v>
      </c>
      <c r="U442" s="705">
        <v>945</v>
      </c>
      <c r="V442" s="705">
        <v>69814</v>
      </c>
      <c r="W442" s="705">
        <f t="shared" si="30"/>
        <v>69813</v>
      </c>
      <c r="X442" s="705">
        <f t="shared" si="31"/>
        <v>87428</v>
      </c>
      <c r="Y442" s="705"/>
      <c r="AA442" t="s">
        <v>124</v>
      </c>
      <c r="AB442" t="s">
        <v>671</v>
      </c>
      <c r="AC442" s="705" t="s">
        <v>664</v>
      </c>
      <c r="AD442" s="705">
        <v>3</v>
      </c>
      <c r="AE442" s="705">
        <v>859</v>
      </c>
      <c r="AF442" s="705">
        <v>2684</v>
      </c>
      <c r="AG442" s="705">
        <v>831627</v>
      </c>
      <c r="AH442" s="705">
        <v>756024</v>
      </c>
      <c r="AI442" s="706">
        <v>30</v>
      </c>
      <c r="AJ442" s="705">
        <v>20913</v>
      </c>
      <c r="AK442" s="705">
        <v>19011</v>
      </c>
      <c r="AL442" s="705">
        <v>22893</v>
      </c>
      <c r="AM442" s="705">
        <v>8479</v>
      </c>
      <c r="AN442" s="705">
        <v>0</v>
      </c>
      <c r="AO442" s="705">
        <v>0</v>
      </c>
      <c r="AP442" s="705">
        <v>12802</v>
      </c>
      <c r="AQ442" s="705">
        <v>11638</v>
      </c>
      <c r="AR442" s="705">
        <v>0</v>
      </c>
      <c r="AS442" s="705">
        <v>0</v>
      </c>
      <c r="AT442" s="705">
        <v>795153</v>
      </c>
      <c r="AU442" s="705">
        <f t="shared" si="32"/>
        <v>795152</v>
      </c>
      <c r="AV442" s="705">
        <f t="shared" si="33"/>
        <v>888235</v>
      </c>
    </row>
    <row r="443" spans="2:48" hidden="1">
      <c r="B443" t="s">
        <v>537</v>
      </c>
      <c r="C443" t="s">
        <v>116</v>
      </c>
      <c r="D443" t="s">
        <v>584</v>
      </c>
      <c r="E443" t="s">
        <v>666</v>
      </c>
      <c r="F443">
        <v>1</v>
      </c>
      <c r="G443" s="705">
        <v>132</v>
      </c>
      <c r="H443" s="705">
        <v>215</v>
      </c>
      <c r="I443" s="705">
        <v>15952</v>
      </c>
      <c r="J443" s="705">
        <v>14502</v>
      </c>
      <c r="K443">
        <v>78</v>
      </c>
      <c r="L443" s="705">
        <v>4372</v>
      </c>
      <c r="M443" s="705">
        <v>3975</v>
      </c>
      <c r="N443" s="705">
        <v>1963</v>
      </c>
      <c r="O443" s="705">
        <v>727</v>
      </c>
      <c r="P443" s="705">
        <v>473</v>
      </c>
      <c r="Q443" s="705">
        <v>175</v>
      </c>
      <c r="R443" s="705">
        <v>5607</v>
      </c>
      <c r="S443" s="705">
        <v>5097</v>
      </c>
      <c r="T443" s="705">
        <v>0</v>
      </c>
      <c r="U443" s="705">
        <v>0</v>
      </c>
      <c r="V443" s="705">
        <v>24476</v>
      </c>
      <c r="W443" s="705">
        <f t="shared" si="30"/>
        <v>24476</v>
      </c>
      <c r="X443" s="705">
        <f t="shared" si="31"/>
        <v>28367</v>
      </c>
      <c r="Y443" s="705"/>
      <c r="AA443" t="s">
        <v>124</v>
      </c>
      <c r="AB443" t="s">
        <v>671</v>
      </c>
      <c r="AC443" s="705" t="s">
        <v>582</v>
      </c>
      <c r="AD443" s="705">
        <v>1</v>
      </c>
      <c r="AE443" s="705">
        <v>57</v>
      </c>
      <c r="AF443" s="705">
        <v>1491</v>
      </c>
      <c r="AG443" s="705">
        <v>71744</v>
      </c>
      <c r="AH443" s="705">
        <v>65222</v>
      </c>
      <c r="AI443" s="706">
        <v>30</v>
      </c>
      <c r="AJ443" s="705">
        <v>7573</v>
      </c>
      <c r="AK443" s="705">
        <v>6885</v>
      </c>
      <c r="AL443" s="705">
        <v>1169</v>
      </c>
      <c r="AM443" s="705">
        <v>433</v>
      </c>
      <c r="AN443" s="705">
        <v>0</v>
      </c>
      <c r="AO443" s="705">
        <v>0</v>
      </c>
      <c r="AP443" s="705">
        <v>5185</v>
      </c>
      <c r="AQ443" s="705">
        <v>4714</v>
      </c>
      <c r="AR443" s="705">
        <v>0</v>
      </c>
      <c r="AS443" s="705">
        <v>0</v>
      </c>
      <c r="AT443" s="705">
        <v>77253</v>
      </c>
      <c r="AU443" s="705">
        <f t="shared" ref="AU443:AU465" si="34">SUM(ABS(AH443), ABS(AK443),ABS(AM443),ABS(AO443),ABS(AQ443),ABS(AS443))</f>
        <v>77254</v>
      </c>
      <c r="AV443" s="705">
        <f t="shared" ref="AV443:AV465" si="35">SUM(ABS(AG443),ABS(AJ443),ABS(AL443),ABS(AN443),ABS(AP443),ABS(AR443))</f>
        <v>85671</v>
      </c>
    </row>
    <row r="444" spans="2:48" hidden="1">
      <c r="B444" t="s">
        <v>537</v>
      </c>
      <c r="C444" t="s">
        <v>116</v>
      </c>
      <c r="D444" t="s">
        <v>584</v>
      </c>
      <c r="E444" t="s">
        <v>584</v>
      </c>
      <c r="F444" s="705">
        <v>3528</v>
      </c>
      <c r="G444" s="705">
        <v>512390</v>
      </c>
      <c r="H444" s="705">
        <v>651967</v>
      </c>
      <c r="I444" s="705">
        <v>51381194</v>
      </c>
      <c r="J444" s="705">
        <v>46710176</v>
      </c>
      <c r="K444">
        <v>83</v>
      </c>
      <c r="L444" s="705">
        <v>13244158</v>
      </c>
      <c r="M444" s="705">
        <v>11628460</v>
      </c>
      <c r="N444" s="705">
        <v>10550853</v>
      </c>
      <c r="O444" s="705">
        <v>3907723</v>
      </c>
      <c r="P444" s="705">
        <v>1744965</v>
      </c>
      <c r="Q444" s="705">
        <v>646283</v>
      </c>
      <c r="R444" s="705">
        <v>18779345</v>
      </c>
      <c r="S444" s="705">
        <v>17072132</v>
      </c>
      <c r="T444" s="705">
        <v>1391567</v>
      </c>
      <c r="U444" s="705">
        <v>515395</v>
      </c>
      <c r="V444" s="705">
        <v>80480170</v>
      </c>
      <c r="W444" s="705">
        <f t="shared" si="30"/>
        <v>80480169</v>
      </c>
      <c r="X444" s="705">
        <f t="shared" si="31"/>
        <v>97092082</v>
      </c>
      <c r="Y444" s="705"/>
      <c r="AA444" t="s">
        <v>124</v>
      </c>
      <c r="AB444" t="s">
        <v>671</v>
      </c>
      <c r="AC444" s="705" t="s">
        <v>228</v>
      </c>
      <c r="AD444" s="705">
        <v>41</v>
      </c>
      <c r="AE444" s="705">
        <v>2901</v>
      </c>
      <c r="AF444" s="705">
        <v>51632</v>
      </c>
      <c r="AG444" s="705">
        <v>2847825</v>
      </c>
      <c r="AH444" s="705">
        <v>2588932</v>
      </c>
      <c r="AI444" s="706">
        <v>38</v>
      </c>
      <c r="AJ444" s="705">
        <v>277654</v>
      </c>
      <c r="AK444" s="705">
        <v>159001</v>
      </c>
      <c r="AL444" s="705">
        <v>68149</v>
      </c>
      <c r="AM444" s="705">
        <v>25240</v>
      </c>
      <c r="AN444" s="705">
        <v>1053</v>
      </c>
      <c r="AO444" s="705">
        <v>390</v>
      </c>
      <c r="AP444" s="705">
        <v>269398</v>
      </c>
      <c r="AQ444" s="705">
        <v>99777</v>
      </c>
      <c r="AR444" s="705">
        <v>0</v>
      </c>
      <c r="AS444" s="705">
        <v>0</v>
      </c>
      <c r="AT444" s="705">
        <v>2873340</v>
      </c>
      <c r="AU444" s="705">
        <f t="shared" si="34"/>
        <v>2873340</v>
      </c>
      <c r="AV444" s="705">
        <f t="shared" si="35"/>
        <v>3464079</v>
      </c>
    </row>
    <row r="445" spans="2:48" hidden="1">
      <c r="B445" t="s">
        <v>537</v>
      </c>
      <c r="C445" t="s">
        <v>116</v>
      </c>
      <c r="D445" t="s">
        <v>584</v>
      </c>
      <c r="E445" t="s">
        <v>667</v>
      </c>
      <c r="F445">
        <v>1</v>
      </c>
      <c r="G445">
        <v>242</v>
      </c>
      <c r="H445" s="705">
        <v>174</v>
      </c>
      <c r="I445" s="705">
        <v>21748</v>
      </c>
      <c r="J445" s="705">
        <v>19771</v>
      </c>
      <c r="K445">
        <v>91</v>
      </c>
      <c r="L445" s="705">
        <v>7289</v>
      </c>
      <c r="M445" s="705">
        <v>6627</v>
      </c>
      <c r="N445" s="705">
        <v>4725</v>
      </c>
      <c r="O445" s="705">
        <v>1750</v>
      </c>
      <c r="P445" s="705">
        <v>351</v>
      </c>
      <c r="Q445">
        <v>130</v>
      </c>
      <c r="R445" s="705">
        <v>3790</v>
      </c>
      <c r="S445" s="705">
        <v>3446</v>
      </c>
      <c r="T445" s="705">
        <v>4147</v>
      </c>
      <c r="U445" s="705">
        <v>1536</v>
      </c>
      <c r="V445" s="705">
        <v>33259</v>
      </c>
      <c r="W445" s="705">
        <f t="shared" si="30"/>
        <v>33260</v>
      </c>
      <c r="X445" s="705">
        <f t="shared" si="31"/>
        <v>42050</v>
      </c>
      <c r="Y445" s="705"/>
      <c r="AA445" t="s">
        <v>124</v>
      </c>
      <c r="AB445" t="s">
        <v>671</v>
      </c>
      <c r="AC445" s="705" t="s">
        <v>667</v>
      </c>
      <c r="AD445" s="705">
        <v>1</v>
      </c>
      <c r="AE445" s="705">
        <v>47</v>
      </c>
      <c r="AF445" s="705">
        <v>716</v>
      </c>
      <c r="AG445" s="705">
        <v>21487</v>
      </c>
      <c r="AH445" s="705">
        <v>19534</v>
      </c>
      <c r="AI445" s="706">
        <v>65</v>
      </c>
      <c r="AJ445" s="705">
        <v>5173</v>
      </c>
      <c r="AK445" s="705">
        <v>4703</v>
      </c>
      <c r="AL445" s="705">
        <v>1083</v>
      </c>
      <c r="AM445" s="705">
        <v>401</v>
      </c>
      <c r="AN445" s="705">
        <v>351</v>
      </c>
      <c r="AO445" s="705">
        <v>130</v>
      </c>
      <c r="AP445" s="705">
        <v>3542</v>
      </c>
      <c r="AQ445" s="705">
        <v>3220</v>
      </c>
      <c r="AR445" s="705">
        <v>1696</v>
      </c>
      <c r="AS445" s="705">
        <v>628</v>
      </c>
      <c r="AT445" s="705">
        <v>28616</v>
      </c>
      <c r="AU445" s="705">
        <f t="shared" si="34"/>
        <v>28616</v>
      </c>
      <c r="AV445" s="705">
        <f t="shared" si="35"/>
        <v>33332</v>
      </c>
    </row>
    <row r="446" spans="2:48" hidden="1">
      <c r="B446" t="s">
        <v>537</v>
      </c>
      <c r="C446" t="s">
        <v>116</v>
      </c>
      <c r="D446" t="s">
        <v>584</v>
      </c>
      <c r="E446" t="s">
        <v>665</v>
      </c>
      <c r="F446">
        <v>1</v>
      </c>
      <c r="G446">
        <v>108</v>
      </c>
      <c r="H446" s="705">
        <v>215</v>
      </c>
      <c r="I446" s="705">
        <v>12471</v>
      </c>
      <c r="J446" s="705">
        <v>11337</v>
      </c>
      <c r="K446">
        <v>73</v>
      </c>
      <c r="L446" s="705">
        <v>3206</v>
      </c>
      <c r="M446" s="705">
        <v>2914</v>
      </c>
      <c r="N446" s="705">
        <v>2241</v>
      </c>
      <c r="O446" s="705">
        <v>830</v>
      </c>
      <c r="P446" s="705">
        <v>473</v>
      </c>
      <c r="Q446">
        <v>175</v>
      </c>
      <c r="R446" s="705">
        <v>4838</v>
      </c>
      <c r="S446" s="705">
        <v>4398</v>
      </c>
      <c r="T446" s="705">
        <v>0</v>
      </c>
      <c r="U446" s="705">
        <v>0</v>
      </c>
      <c r="V446" s="705">
        <v>19655</v>
      </c>
      <c r="W446" s="705">
        <f t="shared" si="30"/>
        <v>19654</v>
      </c>
      <c r="X446" s="705">
        <f t="shared" si="31"/>
        <v>23229</v>
      </c>
      <c r="Y446" s="705"/>
      <c r="AA446" t="s">
        <v>124</v>
      </c>
      <c r="AB446" t="s">
        <v>671</v>
      </c>
      <c r="AC446" s="705" t="s">
        <v>671</v>
      </c>
      <c r="AD446" s="705">
        <v>331</v>
      </c>
      <c r="AE446" s="705">
        <v>30225</v>
      </c>
      <c r="AF446" s="705">
        <v>229683</v>
      </c>
      <c r="AG446" s="705">
        <v>14642660</v>
      </c>
      <c r="AH446" s="705">
        <v>13311509</v>
      </c>
      <c r="AI446" s="706">
        <v>50</v>
      </c>
      <c r="AJ446" s="705">
        <v>2128309</v>
      </c>
      <c r="AK446" s="705">
        <v>1816449</v>
      </c>
      <c r="AL446" s="705">
        <v>636669</v>
      </c>
      <c r="AM446" s="705">
        <v>235803</v>
      </c>
      <c r="AN446" s="705">
        <v>106845</v>
      </c>
      <c r="AO446" s="705">
        <v>39572</v>
      </c>
      <c r="AP446" s="705">
        <v>2348282</v>
      </c>
      <c r="AQ446" s="705">
        <v>2134802</v>
      </c>
      <c r="AR446" s="705">
        <v>602250</v>
      </c>
      <c r="AS446" s="705">
        <v>223056</v>
      </c>
      <c r="AT446" s="705">
        <v>17761191</v>
      </c>
      <c r="AU446" s="705">
        <f t="shared" si="34"/>
        <v>17761191</v>
      </c>
      <c r="AV446" s="705">
        <f t="shared" si="35"/>
        <v>20465015</v>
      </c>
    </row>
    <row r="447" spans="2:48" hidden="1">
      <c r="B447" t="s">
        <v>537</v>
      </c>
      <c r="C447" t="s">
        <v>116</v>
      </c>
      <c r="D447" t="s">
        <v>665</v>
      </c>
      <c r="E447" t="s">
        <v>228</v>
      </c>
      <c r="F447">
        <v>1</v>
      </c>
      <c r="G447" s="705">
        <v>86</v>
      </c>
      <c r="H447" s="705">
        <v>209</v>
      </c>
      <c r="I447" s="705">
        <v>23177</v>
      </c>
      <c r="J447" s="705">
        <v>21070</v>
      </c>
      <c r="K447">
        <v>60</v>
      </c>
      <c r="L447" s="705">
        <v>0</v>
      </c>
      <c r="M447" s="705">
        <v>0</v>
      </c>
      <c r="N447" s="705">
        <v>2266</v>
      </c>
      <c r="O447" s="705">
        <v>839</v>
      </c>
      <c r="P447" s="705">
        <v>1497</v>
      </c>
      <c r="Q447" s="705">
        <v>554</v>
      </c>
      <c r="R447" s="705">
        <v>6886</v>
      </c>
      <c r="S447" s="705">
        <v>2550</v>
      </c>
      <c r="T447" s="705">
        <v>0</v>
      </c>
      <c r="U447" s="705">
        <v>0</v>
      </c>
      <c r="V447" s="705">
        <v>25014</v>
      </c>
      <c r="W447" s="705">
        <f t="shared" si="30"/>
        <v>25013</v>
      </c>
      <c r="X447" s="705">
        <f t="shared" si="31"/>
        <v>33826</v>
      </c>
      <c r="Y447" s="705"/>
      <c r="AA447" t="s">
        <v>124</v>
      </c>
      <c r="AB447" t="s">
        <v>665</v>
      </c>
      <c r="AC447" s="705" t="s">
        <v>664</v>
      </c>
      <c r="AD447" s="705">
        <v>4</v>
      </c>
      <c r="AE447" s="705">
        <v>300</v>
      </c>
      <c r="AF447" s="705">
        <v>3209</v>
      </c>
      <c r="AG447" s="705">
        <v>175621</v>
      </c>
      <c r="AH447" s="705">
        <v>159655</v>
      </c>
      <c r="AI447" s="706">
        <v>53</v>
      </c>
      <c r="AJ447" s="705">
        <v>16849</v>
      </c>
      <c r="AK447" s="705">
        <v>12985</v>
      </c>
      <c r="AL447" s="705">
        <v>6408</v>
      </c>
      <c r="AM447" s="705">
        <v>2373</v>
      </c>
      <c r="AN447" s="705">
        <v>0</v>
      </c>
      <c r="AO447" s="705">
        <v>0</v>
      </c>
      <c r="AP447" s="705">
        <v>13242</v>
      </c>
      <c r="AQ447" s="705">
        <v>12038</v>
      </c>
      <c r="AR447" s="705">
        <v>0</v>
      </c>
      <c r="AS447" s="705">
        <v>0</v>
      </c>
      <c r="AT447" s="705">
        <v>187052</v>
      </c>
      <c r="AU447" s="705">
        <f t="shared" si="34"/>
        <v>187051</v>
      </c>
      <c r="AV447" s="705">
        <f t="shared" si="35"/>
        <v>212120</v>
      </c>
    </row>
    <row r="448" spans="2:48" hidden="1">
      <c r="B448" t="s">
        <v>537</v>
      </c>
      <c r="C448" t="s">
        <v>116</v>
      </c>
      <c r="D448" t="s">
        <v>665</v>
      </c>
      <c r="E448" t="s">
        <v>583</v>
      </c>
      <c r="F448">
        <v>1</v>
      </c>
      <c r="G448">
        <v>312</v>
      </c>
      <c r="H448" s="705">
        <v>185</v>
      </c>
      <c r="I448" s="705">
        <v>35162</v>
      </c>
      <c r="J448" s="705">
        <v>31966</v>
      </c>
      <c r="K448">
        <v>60</v>
      </c>
      <c r="L448" s="705">
        <v>7423</v>
      </c>
      <c r="M448" s="705">
        <v>6748</v>
      </c>
      <c r="N448" s="705">
        <v>5701</v>
      </c>
      <c r="O448" s="705">
        <v>2112</v>
      </c>
      <c r="P448" s="705">
        <v>1053</v>
      </c>
      <c r="Q448">
        <v>390</v>
      </c>
      <c r="R448" s="705">
        <v>8275</v>
      </c>
      <c r="S448" s="705">
        <v>7523</v>
      </c>
      <c r="T448" s="705">
        <v>0</v>
      </c>
      <c r="U448" s="705">
        <v>0</v>
      </c>
      <c r="V448" s="705">
        <v>48739</v>
      </c>
      <c r="W448" s="705">
        <f t="shared" si="30"/>
        <v>48739</v>
      </c>
      <c r="X448" s="705">
        <f t="shared" si="31"/>
        <v>57614</v>
      </c>
      <c r="Y448" s="705"/>
      <c r="AA448" t="s">
        <v>124</v>
      </c>
      <c r="AB448" t="s">
        <v>665</v>
      </c>
      <c r="AC448" s="705" t="s">
        <v>582</v>
      </c>
      <c r="AD448" s="705">
        <v>1</v>
      </c>
      <c r="AE448" s="705">
        <v>82</v>
      </c>
      <c r="AF448" s="705">
        <v>1189</v>
      </c>
      <c r="AG448" s="705">
        <v>84832</v>
      </c>
      <c r="AH448" s="705">
        <v>77120</v>
      </c>
      <c r="AI448" s="706">
        <v>30</v>
      </c>
      <c r="AJ448" s="705">
        <v>6941</v>
      </c>
      <c r="AK448" s="705">
        <v>2571</v>
      </c>
      <c r="AL448" s="705">
        <v>1989</v>
      </c>
      <c r="AM448" s="705">
        <v>737</v>
      </c>
      <c r="AN448" s="705">
        <v>0</v>
      </c>
      <c r="AO448" s="705">
        <v>0</v>
      </c>
      <c r="AP448" s="705">
        <v>3309</v>
      </c>
      <c r="AQ448" s="705">
        <v>3008</v>
      </c>
      <c r="AR448" s="705">
        <v>0</v>
      </c>
      <c r="AS448" s="705">
        <v>0</v>
      </c>
      <c r="AT448" s="705">
        <v>83436</v>
      </c>
      <c r="AU448" s="705">
        <f t="shared" si="34"/>
        <v>83436</v>
      </c>
      <c r="AV448" s="705">
        <f t="shared" si="35"/>
        <v>97071</v>
      </c>
    </row>
    <row r="449" spans="2:48" hidden="1">
      <c r="B449" t="s">
        <v>537</v>
      </c>
      <c r="C449" t="s">
        <v>116</v>
      </c>
      <c r="D449" t="s">
        <v>665</v>
      </c>
      <c r="E449" t="s">
        <v>665</v>
      </c>
      <c r="F449">
        <v>14</v>
      </c>
      <c r="G449" s="705">
        <v>2449</v>
      </c>
      <c r="H449" s="705">
        <v>2876</v>
      </c>
      <c r="I449" s="705">
        <v>318156</v>
      </c>
      <c r="J449" s="705">
        <v>289233</v>
      </c>
      <c r="K449">
        <v>67</v>
      </c>
      <c r="L449" s="705">
        <v>36195</v>
      </c>
      <c r="M449" s="705">
        <v>27933</v>
      </c>
      <c r="N449" s="705">
        <v>41845</v>
      </c>
      <c r="O449" s="705">
        <v>15498</v>
      </c>
      <c r="P449" s="705">
        <v>9722</v>
      </c>
      <c r="Q449" s="705">
        <v>3601</v>
      </c>
      <c r="R449" s="705">
        <v>77909</v>
      </c>
      <c r="S449" s="705">
        <v>70826</v>
      </c>
      <c r="T449" s="705">
        <v>28738</v>
      </c>
      <c r="U449" s="705">
        <v>10644</v>
      </c>
      <c r="V449" s="705">
        <v>417735</v>
      </c>
      <c r="W449" s="705">
        <f t="shared" si="30"/>
        <v>417735</v>
      </c>
      <c r="X449" s="705">
        <f t="shared" si="31"/>
        <v>512565</v>
      </c>
      <c r="Y449" s="705"/>
      <c r="AA449" t="s">
        <v>124</v>
      </c>
      <c r="AB449" t="s">
        <v>665</v>
      </c>
      <c r="AC449" s="705" t="s">
        <v>228</v>
      </c>
      <c r="AD449" s="705">
        <v>1419</v>
      </c>
      <c r="AE449" s="705">
        <v>122764</v>
      </c>
      <c r="AF449" s="705">
        <v>1633273</v>
      </c>
      <c r="AG449" s="705">
        <v>109657313</v>
      </c>
      <c r="AH449" s="705">
        <v>99688466</v>
      </c>
      <c r="AI449" s="706">
        <v>40</v>
      </c>
      <c r="AJ449" s="705">
        <v>12794456</v>
      </c>
      <c r="AK449" s="705">
        <v>12525746</v>
      </c>
      <c r="AL449" s="705">
        <v>2829331</v>
      </c>
      <c r="AM449" s="705">
        <v>1047900</v>
      </c>
      <c r="AN449" s="705">
        <v>56004</v>
      </c>
      <c r="AO449" s="705">
        <v>20742</v>
      </c>
      <c r="AP449" s="705">
        <v>9103956</v>
      </c>
      <c r="AQ449" s="705">
        <v>3371836</v>
      </c>
      <c r="AR449" s="705">
        <v>61218</v>
      </c>
      <c r="AS449" s="705">
        <v>22673</v>
      </c>
      <c r="AT449" s="705">
        <v>116677364</v>
      </c>
      <c r="AU449" s="705">
        <f t="shared" si="34"/>
        <v>116677363</v>
      </c>
      <c r="AV449" s="705">
        <f t="shared" si="35"/>
        <v>134502278</v>
      </c>
    </row>
    <row r="450" spans="2:48" hidden="1">
      <c r="B450" t="s">
        <v>537</v>
      </c>
      <c r="C450" t="s">
        <v>116</v>
      </c>
      <c r="D450" t="s">
        <v>673</v>
      </c>
      <c r="E450" t="s">
        <v>673</v>
      </c>
      <c r="F450">
        <v>3</v>
      </c>
      <c r="G450" s="705">
        <v>441</v>
      </c>
      <c r="H450" s="705">
        <v>601</v>
      </c>
      <c r="I450" s="705">
        <v>62700</v>
      </c>
      <c r="J450" s="705">
        <v>57000</v>
      </c>
      <c r="K450">
        <v>74</v>
      </c>
      <c r="L450" s="705">
        <v>7575</v>
      </c>
      <c r="M450" s="705">
        <v>6886</v>
      </c>
      <c r="N450" s="705">
        <v>7749</v>
      </c>
      <c r="O450" s="705">
        <v>2870</v>
      </c>
      <c r="P450" s="705">
        <v>2552</v>
      </c>
      <c r="Q450" s="705">
        <v>945</v>
      </c>
      <c r="R450" s="705">
        <v>7210</v>
      </c>
      <c r="S450" s="705">
        <v>6554</v>
      </c>
      <c r="T450" s="705">
        <v>2583</v>
      </c>
      <c r="U450" s="705">
        <v>957</v>
      </c>
      <c r="V450" s="705">
        <v>75213</v>
      </c>
      <c r="W450" s="705">
        <f t="shared" si="30"/>
        <v>75212</v>
      </c>
      <c r="X450" s="705">
        <f t="shared" si="31"/>
        <v>90369</v>
      </c>
      <c r="Y450" s="705"/>
      <c r="AA450" t="s">
        <v>124</v>
      </c>
      <c r="AB450" t="s">
        <v>665</v>
      </c>
      <c r="AC450" s="705" t="s">
        <v>583</v>
      </c>
      <c r="AD450" s="705">
        <v>20</v>
      </c>
      <c r="AE450" s="705">
        <v>3624</v>
      </c>
      <c r="AF450" s="705">
        <v>18941</v>
      </c>
      <c r="AG450" s="705">
        <v>2893820</v>
      </c>
      <c r="AH450" s="705">
        <v>2630745</v>
      </c>
      <c r="AI450" s="706">
        <v>38</v>
      </c>
      <c r="AJ450" s="705">
        <v>231946</v>
      </c>
      <c r="AK450" s="705">
        <v>113192</v>
      </c>
      <c r="AL450" s="705">
        <v>80129</v>
      </c>
      <c r="AM450" s="705">
        <v>29677</v>
      </c>
      <c r="AN450" s="705">
        <v>6912</v>
      </c>
      <c r="AO450" s="705">
        <v>2560</v>
      </c>
      <c r="AP450" s="705">
        <v>137706</v>
      </c>
      <c r="AQ450" s="705">
        <v>125187</v>
      </c>
      <c r="AR450" s="705">
        <v>42200</v>
      </c>
      <c r="AS450" s="705">
        <v>15630</v>
      </c>
      <c r="AT450" s="705">
        <v>2916992</v>
      </c>
      <c r="AU450" s="705">
        <f t="shared" si="34"/>
        <v>2916991</v>
      </c>
      <c r="AV450" s="705">
        <f t="shared" si="35"/>
        <v>3392713</v>
      </c>
    </row>
    <row r="451" spans="2:48" hidden="1">
      <c r="B451" t="s">
        <v>537</v>
      </c>
      <c r="C451" t="s">
        <v>116</v>
      </c>
      <c r="D451" t="s">
        <v>585</v>
      </c>
      <c r="E451" t="s">
        <v>585</v>
      </c>
      <c r="F451">
        <v>29</v>
      </c>
      <c r="G451" s="705">
        <v>4834</v>
      </c>
      <c r="H451" s="705">
        <v>5816</v>
      </c>
      <c r="I451" s="705">
        <v>605958</v>
      </c>
      <c r="J451" s="705">
        <v>550871</v>
      </c>
      <c r="K451">
        <v>71</v>
      </c>
      <c r="L451" s="705">
        <v>105728</v>
      </c>
      <c r="M451" s="705">
        <v>95000</v>
      </c>
      <c r="N451" s="705">
        <v>94353</v>
      </c>
      <c r="O451" s="705">
        <v>34946</v>
      </c>
      <c r="P451" s="705">
        <v>13682</v>
      </c>
      <c r="Q451" s="705">
        <v>5067</v>
      </c>
      <c r="R451" s="705">
        <v>183524</v>
      </c>
      <c r="S451" s="705">
        <v>166840</v>
      </c>
      <c r="T451" s="705">
        <v>13180</v>
      </c>
      <c r="U451" s="705">
        <v>4881</v>
      </c>
      <c r="V451" s="705">
        <v>857605</v>
      </c>
      <c r="W451" s="705">
        <f t="shared" si="30"/>
        <v>857605</v>
      </c>
      <c r="X451" s="705">
        <f t="shared" si="31"/>
        <v>1016425</v>
      </c>
      <c r="Y451" s="705"/>
      <c r="AA451" t="s">
        <v>124</v>
      </c>
      <c r="AB451" t="s">
        <v>665</v>
      </c>
      <c r="AC451" s="705" t="s">
        <v>669</v>
      </c>
      <c r="AD451" s="705">
        <v>1</v>
      </c>
      <c r="AE451" s="705">
        <v>63</v>
      </c>
      <c r="AF451" s="705">
        <v>866</v>
      </c>
      <c r="AG451" s="705">
        <v>37783</v>
      </c>
      <c r="AH451" s="705">
        <v>34348</v>
      </c>
      <c r="AI451" s="706">
        <v>74</v>
      </c>
      <c r="AJ451" s="705">
        <v>8924</v>
      </c>
      <c r="AK451" s="705">
        <v>8113</v>
      </c>
      <c r="AL451" s="705">
        <v>1525</v>
      </c>
      <c r="AM451" s="705">
        <v>565</v>
      </c>
      <c r="AN451" s="705">
        <v>351</v>
      </c>
      <c r="AO451" s="705">
        <v>130</v>
      </c>
      <c r="AP451" s="705">
        <v>3655</v>
      </c>
      <c r="AQ451" s="705">
        <v>3046</v>
      </c>
      <c r="AR451" s="705">
        <v>1926</v>
      </c>
      <c r="AS451" s="705">
        <v>713</v>
      </c>
      <c r="AT451" s="705">
        <v>46914</v>
      </c>
      <c r="AU451" s="705">
        <f t="shared" si="34"/>
        <v>46915</v>
      </c>
      <c r="AV451" s="705">
        <f t="shared" si="35"/>
        <v>54164</v>
      </c>
    </row>
    <row r="452" spans="2:48" hidden="1">
      <c r="B452" t="s">
        <v>537</v>
      </c>
      <c r="C452" t="s">
        <v>116</v>
      </c>
      <c r="D452" t="s">
        <v>668</v>
      </c>
      <c r="E452" t="s">
        <v>668</v>
      </c>
      <c r="F452">
        <v>1</v>
      </c>
      <c r="G452" s="705">
        <v>135</v>
      </c>
      <c r="H452" s="705">
        <v>209</v>
      </c>
      <c r="I452" s="705">
        <v>21182</v>
      </c>
      <c r="J452" s="705">
        <v>19257</v>
      </c>
      <c r="K452">
        <v>65</v>
      </c>
      <c r="L452" s="705">
        <v>2550</v>
      </c>
      <c r="M452" s="705">
        <v>2318</v>
      </c>
      <c r="N452" s="705">
        <v>3295</v>
      </c>
      <c r="O452" s="705">
        <v>1220</v>
      </c>
      <c r="P452" s="705">
        <v>351</v>
      </c>
      <c r="Q452" s="705">
        <v>130</v>
      </c>
      <c r="R452" s="705">
        <v>831</v>
      </c>
      <c r="S452" s="705">
        <v>755</v>
      </c>
      <c r="T452" s="705">
        <v>0</v>
      </c>
      <c r="U452" s="705">
        <v>0</v>
      </c>
      <c r="V452" s="705">
        <v>23680</v>
      </c>
      <c r="W452" s="705">
        <f t="shared" si="30"/>
        <v>23680</v>
      </c>
      <c r="X452" s="705">
        <f t="shared" si="31"/>
        <v>28209</v>
      </c>
      <c r="Y452" s="705"/>
      <c r="AA452" t="s">
        <v>124</v>
      </c>
      <c r="AB452" t="s">
        <v>665</v>
      </c>
      <c r="AC452" s="705" t="s">
        <v>665</v>
      </c>
      <c r="AD452" s="705">
        <v>4616</v>
      </c>
      <c r="AE452" s="705">
        <v>412283</v>
      </c>
      <c r="AF452" s="705">
        <v>3277997</v>
      </c>
      <c r="AG452" s="705">
        <v>211361487</v>
      </c>
      <c r="AH452" s="705">
        <v>192146806</v>
      </c>
      <c r="AI452" s="706">
        <v>52</v>
      </c>
      <c r="AJ452" s="705">
        <v>30018962</v>
      </c>
      <c r="AK452" s="705">
        <v>24556430</v>
      </c>
      <c r="AL452" s="705">
        <v>8903534</v>
      </c>
      <c r="AM452" s="705">
        <v>3297605</v>
      </c>
      <c r="AN452" s="705">
        <v>1537504</v>
      </c>
      <c r="AO452" s="705">
        <v>569446</v>
      </c>
      <c r="AP452" s="705">
        <v>28038612</v>
      </c>
      <c r="AQ452" s="705">
        <v>25489647</v>
      </c>
      <c r="AR452" s="705">
        <v>9308804</v>
      </c>
      <c r="AS452" s="705">
        <v>3447705</v>
      </c>
      <c r="AT452" s="705">
        <v>249507640</v>
      </c>
      <c r="AU452" s="705">
        <f t="shared" si="34"/>
        <v>249507639</v>
      </c>
      <c r="AV452" s="705">
        <f t="shared" si="35"/>
        <v>289168903</v>
      </c>
    </row>
    <row r="453" spans="2:48" hidden="1">
      <c r="B453" t="s">
        <v>537</v>
      </c>
      <c r="C453" t="s">
        <v>118</v>
      </c>
      <c r="F453">
        <v>3</v>
      </c>
      <c r="G453" s="705">
        <v>470</v>
      </c>
      <c r="H453" s="705">
        <v>749</v>
      </c>
      <c r="I453" s="705"/>
      <c r="J453" s="705">
        <v>0</v>
      </c>
      <c r="L453" s="705"/>
      <c r="M453" s="705">
        <v>0</v>
      </c>
      <c r="N453" s="705">
        <v>7232</v>
      </c>
      <c r="O453" s="705">
        <v>2678</v>
      </c>
      <c r="P453" s="705">
        <v>1593</v>
      </c>
      <c r="Q453" s="705">
        <v>590</v>
      </c>
      <c r="R453" s="705"/>
      <c r="S453" s="705">
        <v>0</v>
      </c>
      <c r="T453" s="705">
        <v>0</v>
      </c>
      <c r="U453" s="705">
        <v>0</v>
      </c>
      <c r="V453" s="705">
        <v>3268</v>
      </c>
      <c r="W453" s="705">
        <f t="shared" si="30"/>
        <v>3268</v>
      </c>
      <c r="X453" s="705">
        <f t="shared" si="31"/>
        <v>8825</v>
      </c>
      <c r="Y453" s="705"/>
      <c r="AA453" t="s">
        <v>124</v>
      </c>
      <c r="AB453" t="s">
        <v>665</v>
      </c>
      <c r="AC453" s="705" t="s">
        <v>722</v>
      </c>
      <c r="AD453" s="705">
        <v>4</v>
      </c>
      <c r="AE453" s="705">
        <v>327</v>
      </c>
      <c r="AF453" s="705">
        <v>2669</v>
      </c>
      <c r="AG453" s="705">
        <v>156214</v>
      </c>
      <c r="AH453" s="705">
        <v>142013</v>
      </c>
      <c r="AI453" s="706">
        <v>55</v>
      </c>
      <c r="AJ453" s="705">
        <v>17457</v>
      </c>
      <c r="AK453" s="705">
        <v>15870</v>
      </c>
      <c r="AL453" s="705">
        <v>7149</v>
      </c>
      <c r="AM453" s="705">
        <v>2648</v>
      </c>
      <c r="AN453" s="705">
        <v>1404</v>
      </c>
      <c r="AO453" s="705">
        <v>520</v>
      </c>
      <c r="AP453" s="705">
        <v>21161</v>
      </c>
      <c r="AQ453" s="705">
        <v>19237</v>
      </c>
      <c r="AR453" s="705">
        <v>5827</v>
      </c>
      <c r="AS453" s="705">
        <v>2158</v>
      </c>
      <c r="AT453" s="705">
        <v>182446</v>
      </c>
      <c r="AU453" s="705">
        <f t="shared" si="34"/>
        <v>182446</v>
      </c>
      <c r="AV453" s="705">
        <f t="shared" si="35"/>
        <v>209212</v>
      </c>
    </row>
    <row r="454" spans="2:48" hidden="1">
      <c r="B454" t="s">
        <v>537</v>
      </c>
      <c r="C454" t="s">
        <v>118</v>
      </c>
      <c r="D454" t="s">
        <v>664</v>
      </c>
      <c r="E454" t="s">
        <v>664</v>
      </c>
      <c r="F454">
        <v>14</v>
      </c>
      <c r="G454" s="705">
        <v>1646</v>
      </c>
      <c r="H454" s="705">
        <v>3759</v>
      </c>
      <c r="I454" s="705">
        <v>261963</v>
      </c>
      <c r="J454" s="705">
        <v>238148</v>
      </c>
      <c r="K454">
        <v>77</v>
      </c>
      <c r="L454" s="705">
        <v>64871</v>
      </c>
      <c r="M454" s="705">
        <v>57525</v>
      </c>
      <c r="N454" s="705">
        <v>34666</v>
      </c>
      <c r="O454" s="705">
        <v>12839</v>
      </c>
      <c r="P454" s="705">
        <v>6494</v>
      </c>
      <c r="Q454" s="705">
        <v>2405</v>
      </c>
      <c r="R454" s="705">
        <v>74704</v>
      </c>
      <c r="S454" s="705">
        <v>67913</v>
      </c>
      <c r="T454" s="705">
        <v>9091</v>
      </c>
      <c r="U454" s="705">
        <v>3367</v>
      </c>
      <c r="V454" s="705">
        <v>382198</v>
      </c>
      <c r="W454" s="705">
        <f t="shared" si="30"/>
        <v>382197</v>
      </c>
      <c r="X454" s="705">
        <f t="shared" si="31"/>
        <v>451789</v>
      </c>
      <c r="Y454" s="705"/>
      <c r="AA454" t="s">
        <v>124</v>
      </c>
      <c r="AB454" t="s">
        <v>722</v>
      </c>
      <c r="AC454" s="705" t="s">
        <v>228</v>
      </c>
      <c r="AD454" s="705">
        <v>2</v>
      </c>
      <c r="AE454" s="705">
        <v>262</v>
      </c>
      <c r="AF454" s="705">
        <v>1763</v>
      </c>
      <c r="AG454" s="705">
        <v>187999</v>
      </c>
      <c r="AH454" s="705">
        <v>170908</v>
      </c>
      <c r="AI454" s="706">
        <v>30</v>
      </c>
      <c r="AJ454" s="705">
        <v>20620</v>
      </c>
      <c r="AK454" s="705">
        <v>7637</v>
      </c>
      <c r="AL454" s="705">
        <v>6382</v>
      </c>
      <c r="AM454" s="705">
        <v>2364</v>
      </c>
      <c r="AN454" s="705">
        <v>0</v>
      </c>
      <c r="AO454" s="705">
        <v>0</v>
      </c>
      <c r="AP454" s="705">
        <v>12144</v>
      </c>
      <c r="AQ454" s="705">
        <v>4498</v>
      </c>
      <c r="AR454" s="705">
        <v>0</v>
      </c>
      <c r="AS454" s="705">
        <v>0</v>
      </c>
      <c r="AT454" s="705">
        <v>185406</v>
      </c>
      <c r="AU454" s="705">
        <f t="shared" si="34"/>
        <v>185407</v>
      </c>
      <c r="AV454" s="705">
        <f t="shared" si="35"/>
        <v>227145</v>
      </c>
    </row>
    <row r="455" spans="2:48" hidden="1">
      <c r="B455" t="s">
        <v>537</v>
      </c>
      <c r="C455" t="s">
        <v>118</v>
      </c>
      <c r="D455" t="s">
        <v>664</v>
      </c>
      <c r="E455" t="s">
        <v>583</v>
      </c>
      <c r="F455">
        <v>2</v>
      </c>
      <c r="G455" s="705">
        <v>191</v>
      </c>
      <c r="H455" s="705">
        <v>470</v>
      </c>
      <c r="I455" s="705">
        <v>25698</v>
      </c>
      <c r="J455" s="705">
        <v>23362</v>
      </c>
      <c r="K455">
        <v>85</v>
      </c>
      <c r="L455" s="705">
        <v>3848</v>
      </c>
      <c r="M455" s="705">
        <v>3498</v>
      </c>
      <c r="N455" s="705">
        <v>3236</v>
      </c>
      <c r="O455" s="705">
        <v>1198</v>
      </c>
      <c r="P455" s="705">
        <v>1242</v>
      </c>
      <c r="Q455" s="705">
        <v>460</v>
      </c>
      <c r="R455" s="705">
        <v>8441</v>
      </c>
      <c r="S455" s="705">
        <v>7674</v>
      </c>
      <c r="T455" s="705">
        <v>2245</v>
      </c>
      <c r="U455" s="705">
        <v>832</v>
      </c>
      <c r="V455" s="705">
        <v>37024</v>
      </c>
      <c r="W455" s="705">
        <f t="shared" ref="W455:W518" si="36">SUM(ABS(J455),ABS(M455),ABS(O455),ABS(Q455),ABS(S455),ABS(U455))</f>
        <v>37024</v>
      </c>
      <c r="X455" s="705">
        <f t="shared" ref="X455:X518" si="37">SUM(ABS(I455),ABS(N455),ABS(P455),ABS(R455),ABS(T455),ABS(L455))</f>
        <v>44710</v>
      </c>
      <c r="Y455" s="705"/>
      <c r="AA455" t="s">
        <v>124</v>
      </c>
      <c r="AB455" t="s">
        <v>722</v>
      </c>
      <c r="AC455" s="705" t="s">
        <v>665</v>
      </c>
      <c r="AD455" s="705">
        <v>2</v>
      </c>
      <c r="AE455" s="705">
        <v>172</v>
      </c>
      <c r="AF455" s="705">
        <v>1241</v>
      </c>
      <c r="AG455" s="705">
        <v>70091</v>
      </c>
      <c r="AH455" s="705">
        <v>63719</v>
      </c>
      <c r="AI455" s="706">
        <v>63</v>
      </c>
      <c r="AJ455" s="705">
        <v>16253</v>
      </c>
      <c r="AK455" s="705">
        <v>14776</v>
      </c>
      <c r="AL455" s="705">
        <v>3458</v>
      </c>
      <c r="AM455" s="705">
        <v>1281</v>
      </c>
      <c r="AN455" s="705">
        <v>351</v>
      </c>
      <c r="AO455" s="705">
        <v>130</v>
      </c>
      <c r="AP455" s="705">
        <v>10899</v>
      </c>
      <c r="AQ455" s="705">
        <v>9908</v>
      </c>
      <c r="AR455" s="705">
        <v>2482</v>
      </c>
      <c r="AS455" s="705">
        <v>919</v>
      </c>
      <c r="AT455" s="705">
        <v>90733</v>
      </c>
      <c r="AU455" s="705">
        <f t="shared" si="34"/>
        <v>90733</v>
      </c>
      <c r="AV455" s="705">
        <f t="shared" si="35"/>
        <v>103534</v>
      </c>
    </row>
    <row r="456" spans="2:48" hidden="1">
      <c r="B456" t="s">
        <v>537</v>
      </c>
      <c r="C456" t="s">
        <v>118</v>
      </c>
      <c r="D456" t="s">
        <v>582</v>
      </c>
      <c r="E456" t="s">
        <v>582</v>
      </c>
      <c r="F456">
        <v>155</v>
      </c>
      <c r="G456" s="705">
        <v>23332</v>
      </c>
      <c r="H456" s="705">
        <v>40677</v>
      </c>
      <c r="I456" s="705">
        <v>3910057</v>
      </c>
      <c r="J456" s="705">
        <v>3554598</v>
      </c>
      <c r="K456">
        <v>80</v>
      </c>
      <c r="L456" s="705">
        <v>886543</v>
      </c>
      <c r="M456" s="705">
        <v>776672</v>
      </c>
      <c r="N456" s="705">
        <v>513470</v>
      </c>
      <c r="O456" s="705">
        <v>190174</v>
      </c>
      <c r="P456" s="705">
        <v>77681</v>
      </c>
      <c r="Q456" s="705">
        <v>28771</v>
      </c>
      <c r="R456" s="705">
        <v>829767</v>
      </c>
      <c r="S456" s="705">
        <v>754333</v>
      </c>
      <c r="T456" s="705">
        <v>157757</v>
      </c>
      <c r="U456" s="705">
        <v>58429</v>
      </c>
      <c r="V456" s="705">
        <v>5362977</v>
      </c>
      <c r="W456" s="705">
        <f t="shared" si="36"/>
        <v>5362977</v>
      </c>
      <c r="X456" s="705">
        <f t="shared" si="37"/>
        <v>6375275</v>
      </c>
      <c r="Y456" s="705"/>
      <c r="AA456" t="s">
        <v>124</v>
      </c>
      <c r="AB456" t="s">
        <v>673</v>
      </c>
      <c r="AC456" s="705" t="s">
        <v>664</v>
      </c>
      <c r="AD456" s="705">
        <v>1</v>
      </c>
      <c r="AE456" s="705">
        <v>51</v>
      </c>
      <c r="AF456" s="705">
        <v>1033</v>
      </c>
      <c r="AG456" s="705">
        <v>44377</v>
      </c>
      <c r="AH456" s="705">
        <v>40343</v>
      </c>
      <c r="AI456" s="706">
        <v>30</v>
      </c>
      <c r="AJ456" s="705">
        <v>3631</v>
      </c>
      <c r="AK456" s="705">
        <v>1345</v>
      </c>
      <c r="AL456" s="705">
        <v>1251</v>
      </c>
      <c r="AM456" s="705">
        <v>463</v>
      </c>
      <c r="AN456" s="705">
        <v>0</v>
      </c>
      <c r="AO456" s="705">
        <v>0</v>
      </c>
      <c r="AP456" s="705">
        <v>3743</v>
      </c>
      <c r="AQ456" s="705">
        <v>3403</v>
      </c>
      <c r="AR456" s="705">
        <v>0</v>
      </c>
      <c r="AS456" s="705">
        <v>0</v>
      </c>
      <c r="AT456" s="705">
        <v>45554</v>
      </c>
      <c r="AU456" s="705">
        <f t="shared" si="34"/>
        <v>45554</v>
      </c>
      <c r="AV456" s="705">
        <f t="shared" si="35"/>
        <v>53002</v>
      </c>
    </row>
    <row r="457" spans="2:48" hidden="1">
      <c r="B457" t="s">
        <v>537</v>
      </c>
      <c r="C457" t="s">
        <v>118</v>
      </c>
      <c r="D457" t="s">
        <v>582</v>
      </c>
      <c r="E457" t="s">
        <v>228</v>
      </c>
      <c r="F457">
        <v>7</v>
      </c>
      <c r="G457" s="705">
        <v>1154</v>
      </c>
      <c r="H457" s="705">
        <v>1806</v>
      </c>
      <c r="I457" s="705">
        <v>176956</v>
      </c>
      <c r="J457" s="705">
        <v>160869</v>
      </c>
      <c r="K457">
        <v>79</v>
      </c>
      <c r="L457" s="705">
        <v>16228</v>
      </c>
      <c r="M457" s="705">
        <v>14753</v>
      </c>
      <c r="N457" s="705">
        <v>22429</v>
      </c>
      <c r="O457" s="705">
        <v>8307</v>
      </c>
      <c r="P457" s="705">
        <v>3308</v>
      </c>
      <c r="Q457" s="705">
        <v>1225</v>
      </c>
      <c r="R457" s="705">
        <v>72580</v>
      </c>
      <c r="S457" s="705">
        <v>26881</v>
      </c>
      <c r="T457">
        <v>0</v>
      </c>
      <c r="U457">
        <v>0</v>
      </c>
      <c r="V457" s="705">
        <v>212035</v>
      </c>
      <c r="W457" s="705">
        <f t="shared" si="36"/>
        <v>212035</v>
      </c>
      <c r="X457" s="705">
        <f t="shared" si="37"/>
        <v>291501</v>
      </c>
      <c r="Y457" s="705"/>
      <c r="AA457" t="s">
        <v>124</v>
      </c>
      <c r="AB457" t="s">
        <v>673</v>
      </c>
      <c r="AC457" s="705" t="s">
        <v>228</v>
      </c>
      <c r="AD457" s="705">
        <v>20</v>
      </c>
      <c r="AE457" s="705">
        <v>1692</v>
      </c>
      <c r="AF457" s="705">
        <v>19842</v>
      </c>
      <c r="AG457" s="705">
        <v>1271697</v>
      </c>
      <c r="AH457" s="705">
        <v>1156089</v>
      </c>
      <c r="AI457" s="706">
        <v>42</v>
      </c>
      <c r="AJ457" s="705">
        <v>147836</v>
      </c>
      <c r="AK457" s="705">
        <v>84243</v>
      </c>
      <c r="AL457" s="705">
        <v>37812</v>
      </c>
      <c r="AM457" s="705">
        <v>14004</v>
      </c>
      <c r="AN457" s="705">
        <v>351</v>
      </c>
      <c r="AO457" s="705">
        <v>130</v>
      </c>
      <c r="AP457" s="705">
        <v>158536</v>
      </c>
      <c r="AQ457" s="705">
        <v>58717</v>
      </c>
      <c r="AR457" s="705">
        <v>1685</v>
      </c>
      <c r="AS457" s="705">
        <v>624</v>
      </c>
      <c r="AT457" s="705">
        <v>1313807</v>
      </c>
      <c r="AU457" s="705">
        <f t="shared" si="34"/>
        <v>1313807</v>
      </c>
      <c r="AV457" s="705">
        <f t="shared" si="35"/>
        <v>1617917</v>
      </c>
    </row>
    <row r="458" spans="2:48" hidden="1">
      <c r="B458" t="s">
        <v>537</v>
      </c>
      <c r="C458" t="s">
        <v>118</v>
      </c>
      <c r="D458" t="s">
        <v>582</v>
      </c>
      <c r="E458" t="s">
        <v>584</v>
      </c>
      <c r="F458">
        <v>1</v>
      </c>
      <c r="G458">
        <v>132</v>
      </c>
      <c r="H458" s="705">
        <v>287</v>
      </c>
      <c r="I458" s="705">
        <v>22907</v>
      </c>
      <c r="J458" s="705">
        <v>20825</v>
      </c>
      <c r="K458">
        <v>75</v>
      </c>
      <c r="L458" s="705">
        <v>3629</v>
      </c>
      <c r="M458" s="705">
        <v>3300</v>
      </c>
      <c r="N458" s="705">
        <v>2252</v>
      </c>
      <c r="O458" s="705">
        <v>834</v>
      </c>
      <c r="P458">
        <v>473</v>
      </c>
      <c r="Q458">
        <v>175</v>
      </c>
      <c r="R458" s="705">
        <v>4929</v>
      </c>
      <c r="S458" s="705">
        <v>4481</v>
      </c>
      <c r="T458" s="705">
        <v>3708</v>
      </c>
      <c r="U458" s="705">
        <v>1373</v>
      </c>
      <c r="V458" s="705">
        <v>30987</v>
      </c>
      <c r="W458" s="705">
        <f t="shared" si="36"/>
        <v>30988</v>
      </c>
      <c r="X458" s="705">
        <f t="shared" si="37"/>
        <v>37898</v>
      </c>
      <c r="Y458" s="705"/>
      <c r="AA458" t="s">
        <v>124</v>
      </c>
      <c r="AB458" t="s">
        <v>673</v>
      </c>
      <c r="AC458" s="705" t="s">
        <v>583</v>
      </c>
      <c r="AD458" s="705">
        <v>2</v>
      </c>
      <c r="AE458" s="705">
        <v>386</v>
      </c>
      <c r="AF458" s="705">
        <v>1206</v>
      </c>
      <c r="AG458" s="705">
        <v>185507</v>
      </c>
      <c r="AH458" s="705">
        <v>168643</v>
      </c>
      <c r="AI458" s="706">
        <v>58</v>
      </c>
      <c r="AJ458" s="705">
        <v>18350</v>
      </c>
      <c r="AK458" s="705">
        <v>16682</v>
      </c>
      <c r="AL458" s="705">
        <v>8293</v>
      </c>
      <c r="AM458" s="705">
        <v>3071</v>
      </c>
      <c r="AN458" s="705">
        <v>351</v>
      </c>
      <c r="AO458" s="705">
        <v>130</v>
      </c>
      <c r="AP458" s="705">
        <v>13527</v>
      </c>
      <c r="AQ458" s="705">
        <v>12297</v>
      </c>
      <c r="AR458" s="705">
        <v>5436</v>
      </c>
      <c r="AS458" s="705">
        <v>2013</v>
      </c>
      <c r="AT458" s="705">
        <v>202837</v>
      </c>
      <c r="AU458" s="705">
        <f t="shared" si="34"/>
        <v>202836</v>
      </c>
      <c r="AV458" s="705">
        <f t="shared" si="35"/>
        <v>231464</v>
      </c>
    </row>
    <row r="459" spans="2:48" hidden="1">
      <c r="B459" t="s">
        <v>537</v>
      </c>
      <c r="C459" t="s">
        <v>118</v>
      </c>
      <c r="D459" t="s">
        <v>228</v>
      </c>
      <c r="E459" t="s">
        <v>228</v>
      </c>
      <c r="F459">
        <v>198</v>
      </c>
      <c r="G459" s="705">
        <v>25556</v>
      </c>
      <c r="H459" s="705">
        <v>53417</v>
      </c>
      <c r="I459" s="705">
        <v>4251135</v>
      </c>
      <c r="J459" s="705">
        <v>1574495</v>
      </c>
      <c r="K459">
        <v>108</v>
      </c>
      <c r="L459" s="705">
        <v>621372</v>
      </c>
      <c r="M459" s="705">
        <v>494662</v>
      </c>
      <c r="N459" s="705">
        <v>545899</v>
      </c>
      <c r="O459" s="705">
        <v>202185</v>
      </c>
      <c r="P459" s="705">
        <v>7006</v>
      </c>
      <c r="Q459" s="705">
        <v>2595</v>
      </c>
      <c r="R459" s="705">
        <v>1636918</v>
      </c>
      <c r="S459" s="705">
        <v>606266</v>
      </c>
      <c r="T459" s="705">
        <v>39860</v>
      </c>
      <c r="U459" s="705">
        <v>14763</v>
      </c>
      <c r="V459" s="705">
        <v>2894964</v>
      </c>
      <c r="W459" s="705">
        <f t="shared" si="36"/>
        <v>2894966</v>
      </c>
      <c r="X459" s="705">
        <f t="shared" si="37"/>
        <v>7102190</v>
      </c>
      <c r="Y459" s="705"/>
      <c r="AA459" t="s">
        <v>124</v>
      </c>
      <c r="AB459" t="s">
        <v>673</v>
      </c>
      <c r="AC459" s="705" t="s">
        <v>666</v>
      </c>
      <c r="AD459" s="705">
        <v>1</v>
      </c>
      <c r="AE459" s="705">
        <v>75</v>
      </c>
      <c r="AF459" s="705">
        <v>711</v>
      </c>
      <c r="AG459" s="705">
        <v>37353</v>
      </c>
      <c r="AH459" s="705">
        <v>33957</v>
      </c>
      <c r="AI459" s="706">
        <v>45</v>
      </c>
      <c r="AJ459" s="705">
        <v>6225</v>
      </c>
      <c r="AK459" s="705">
        <v>5660</v>
      </c>
      <c r="AL459" s="705">
        <v>1238</v>
      </c>
      <c r="AM459" s="705">
        <v>458</v>
      </c>
      <c r="AN459" s="705">
        <v>351</v>
      </c>
      <c r="AO459" s="705">
        <v>130</v>
      </c>
      <c r="AP459" s="705">
        <v>5847</v>
      </c>
      <c r="AQ459" s="705">
        <v>5316</v>
      </c>
      <c r="AR459" s="705">
        <v>2094</v>
      </c>
      <c r="AS459" s="705">
        <v>776</v>
      </c>
      <c r="AT459" s="705">
        <v>46296</v>
      </c>
      <c r="AU459" s="705">
        <f t="shared" si="34"/>
        <v>46297</v>
      </c>
      <c r="AV459" s="705">
        <f t="shared" si="35"/>
        <v>53108</v>
      </c>
    </row>
    <row r="460" spans="2:48" hidden="1">
      <c r="B460" t="s">
        <v>537</v>
      </c>
      <c r="C460" t="s">
        <v>118</v>
      </c>
      <c r="D460" t="s">
        <v>228</v>
      </c>
      <c r="E460" t="s">
        <v>583</v>
      </c>
      <c r="F460">
        <v>2</v>
      </c>
      <c r="G460" s="705">
        <v>333</v>
      </c>
      <c r="H460" s="705">
        <v>493</v>
      </c>
      <c r="I460" s="705">
        <v>78457</v>
      </c>
      <c r="J460" s="705">
        <v>29058</v>
      </c>
      <c r="K460">
        <v>100</v>
      </c>
      <c r="L460" s="705">
        <v>8997</v>
      </c>
      <c r="M460" s="705">
        <v>8179</v>
      </c>
      <c r="N460" s="705">
        <v>10516</v>
      </c>
      <c r="O460" s="705">
        <v>3895</v>
      </c>
      <c r="P460" s="705">
        <v>0</v>
      </c>
      <c r="Q460" s="705">
        <v>0</v>
      </c>
      <c r="R460" s="705">
        <v>13915</v>
      </c>
      <c r="S460" s="705">
        <v>12650</v>
      </c>
      <c r="T460" s="705">
        <v>0</v>
      </c>
      <c r="U460" s="705">
        <v>0</v>
      </c>
      <c r="V460" s="705">
        <v>53782</v>
      </c>
      <c r="W460" s="705">
        <f t="shared" si="36"/>
        <v>53782</v>
      </c>
      <c r="X460" s="705">
        <f t="shared" si="37"/>
        <v>111885</v>
      </c>
      <c r="Y460" s="705"/>
      <c r="AA460" t="s">
        <v>124</v>
      </c>
      <c r="AB460" t="s">
        <v>673</v>
      </c>
      <c r="AC460" s="705" t="s">
        <v>665</v>
      </c>
      <c r="AD460" s="705">
        <v>1</v>
      </c>
      <c r="AE460" s="705">
        <v>69</v>
      </c>
      <c r="AF460" s="705">
        <v>631</v>
      </c>
      <c r="AG460" s="705">
        <v>63522</v>
      </c>
      <c r="AH460" s="705">
        <v>57747</v>
      </c>
      <c r="AI460" s="706">
        <v>55</v>
      </c>
      <c r="AJ460" s="705">
        <v>6470</v>
      </c>
      <c r="AK460" s="705">
        <v>5882</v>
      </c>
      <c r="AL460" s="705">
        <v>3165</v>
      </c>
      <c r="AM460" s="705">
        <v>1172</v>
      </c>
      <c r="AN460" s="705">
        <v>351</v>
      </c>
      <c r="AO460" s="705">
        <v>130</v>
      </c>
      <c r="AP460" s="705">
        <v>8488</v>
      </c>
      <c r="AQ460" s="705">
        <v>7716</v>
      </c>
      <c r="AR460" s="705">
        <v>0</v>
      </c>
      <c r="AS460" s="705">
        <v>0</v>
      </c>
      <c r="AT460" s="705">
        <v>72647</v>
      </c>
      <c r="AU460" s="705">
        <f t="shared" si="34"/>
        <v>72647</v>
      </c>
      <c r="AV460" s="705">
        <f t="shared" si="35"/>
        <v>81996</v>
      </c>
    </row>
    <row r="461" spans="2:48" hidden="1">
      <c r="B461" t="s">
        <v>537</v>
      </c>
      <c r="C461" t="s">
        <v>118</v>
      </c>
      <c r="D461" t="s">
        <v>228</v>
      </c>
      <c r="E461" t="s">
        <v>665</v>
      </c>
      <c r="F461">
        <v>1</v>
      </c>
      <c r="G461" s="705">
        <v>141</v>
      </c>
      <c r="H461" s="705">
        <v>299</v>
      </c>
      <c r="I461" s="705">
        <v>29748</v>
      </c>
      <c r="J461" s="705">
        <v>11018</v>
      </c>
      <c r="K461">
        <v>100</v>
      </c>
      <c r="L461" s="705">
        <v>2448</v>
      </c>
      <c r="M461" s="705">
        <v>2226</v>
      </c>
      <c r="N461" s="705">
        <v>1720</v>
      </c>
      <c r="O461" s="705">
        <v>637</v>
      </c>
      <c r="P461" s="705">
        <v>351</v>
      </c>
      <c r="Q461" s="705">
        <v>130</v>
      </c>
      <c r="R461" s="705">
        <v>5077</v>
      </c>
      <c r="S461" s="705">
        <v>4616</v>
      </c>
      <c r="T461" s="705">
        <v>2832</v>
      </c>
      <c r="U461" s="705">
        <v>1049</v>
      </c>
      <c r="V461" s="705">
        <v>19675</v>
      </c>
      <c r="W461" s="705">
        <f t="shared" si="36"/>
        <v>19676</v>
      </c>
      <c r="X461" s="705">
        <f t="shared" si="37"/>
        <v>42176</v>
      </c>
      <c r="Y461" s="705"/>
      <c r="AA461" t="s">
        <v>124</v>
      </c>
      <c r="AB461" t="s">
        <v>673</v>
      </c>
      <c r="AC461" s="705" t="s">
        <v>673</v>
      </c>
      <c r="AD461" s="705">
        <v>96</v>
      </c>
      <c r="AE461" s="705">
        <v>9134</v>
      </c>
      <c r="AF461" s="705">
        <v>66890</v>
      </c>
      <c r="AG461" s="705">
        <v>4467469</v>
      </c>
      <c r="AH461" s="705">
        <v>4061336</v>
      </c>
      <c r="AI461" s="706">
        <v>54</v>
      </c>
      <c r="AJ461" s="705">
        <v>579146</v>
      </c>
      <c r="AK461" s="705">
        <v>486086</v>
      </c>
      <c r="AL461" s="705">
        <v>198039</v>
      </c>
      <c r="AM461" s="705">
        <v>73348</v>
      </c>
      <c r="AN461" s="705">
        <v>32171</v>
      </c>
      <c r="AO461" s="705">
        <v>11915</v>
      </c>
      <c r="AP461" s="705">
        <v>608318</v>
      </c>
      <c r="AQ461" s="705">
        <v>553017</v>
      </c>
      <c r="AR461" s="705">
        <v>186638</v>
      </c>
      <c r="AS461" s="705">
        <v>69125</v>
      </c>
      <c r="AT461" s="705">
        <v>5254826</v>
      </c>
      <c r="AU461" s="705">
        <f t="shared" si="34"/>
        <v>5254827</v>
      </c>
      <c r="AV461" s="705">
        <f t="shared" si="35"/>
        <v>6071781</v>
      </c>
    </row>
    <row r="462" spans="2:48" hidden="1">
      <c r="B462" t="s">
        <v>537</v>
      </c>
      <c r="C462" t="s">
        <v>118</v>
      </c>
      <c r="D462" t="s">
        <v>583</v>
      </c>
      <c r="E462" t="s">
        <v>664</v>
      </c>
      <c r="F462">
        <v>3</v>
      </c>
      <c r="G462">
        <v>304</v>
      </c>
      <c r="H462">
        <v>774</v>
      </c>
      <c r="I462" s="705">
        <v>42204</v>
      </c>
      <c r="J462" s="705">
        <v>38368</v>
      </c>
      <c r="K462">
        <v>75</v>
      </c>
      <c r="L462" s="705">
        <v>7772</v>
      </c>
      <c r="M462" s="705">
        <v>7066</v>
      </c>
      <c r="N462" s="705">
        <v>6290</v>
      </c>
      <c r="O462" s="705">
        <v>2330</v>
      </c>
      <c r="P462" s="705">
        <v>1863</v>
      </c>
      <c r="Q462">
        <v>690</v>
      </c>
      <c r="R462" s="705">
        <v>14637</v>
      </c>
      <c r="S462" s="705">
        <v>13307</v>
      </c>
      <c r="T462" s="705">
        <v>5569</v>
      </c>
      <c r="U462" s="705">
        <v>2063</v>
      </c>
      <c r="V462" s="705">
        <v>63822</v>
      </c>
      <c r="W462" s="705">
        <f t="shared" si="36"/>
        <v>63824</v>
      </c>
      <c r="X462" s="705">
        <f t="shared" si="37"/>
        <v>78335</v>
      </c>
      <c r="Y462" s="705"/>
      <c r="AA462" t="s">
        <v>124</v>
      </c>
      <c r="AB462" t="s">
        <v>585</v>
      </c>
      <c r="AC462" s="705" t="s">
        <v>228</v>
      </c>
      <c r="AD462" s="705">
        <v>3</v>
      </c>
      <c r="AE462" s="705">
        <v>153</v>
      </c>
      <c r="AF462" s="705">
        <v>1804</v>
      </c>
      <c r="AG462" s="705">
        <v>57090</v>
      </c>
      <c r="AH462" s="705">
        <v>51900</v>
      </c>
      <c r="AI462" s="706">
        <v>65</v>
      </c>
      <c r="AJ462" s="705">
        <v>11457</v>
      </c>
      <c r="AK462" s="705">
        <v>6974</v>
      </c>
      <c r="AL462" s="705">
        <v>3136</v>
      </c>
      <c r="AM462" s="705">
        <v>1161</v>
      </c>
      <c r="AN462" s="705">
        <v>702</v>
      </c>
      <c r="AO462" s="705">
        <v>260</v>
      </c>
      <c r="AP462" s="705">
        <v>15971</v>
      </c>
      <c r="AQ462" s="705">
        <v>5915</v>
      </c>
      <c r="AR462" s="705">
        <v>0</v>
      </c>
      <c r="AS462" s="705">
        <v>0</v>
      </c>
      <c r="AT462" s="705">
        <v>66211</v>
      </c>
      <c r="AU462" s="705">
        <f t="shared" si="34"/>
        <v>66210</v>
      </c>
      <c r="AV462" s="705">
        <f t="shared" si="35"/>
        <v>88356</v>
      </c>
    </row>
    <row r="463" spans="2:48" hidden="1">
      <c r="B463" t="s">
        <v>537</v>
      </c>
      <c r="C463" t="s">
        <v>118</v>
      </c>
      <c r="D463" t="s">
        <v>583</v>
      </c>
      <c r="E463" t="s">
        <v>582</v>
      </c>
      <c r="F463">
        <v>1</v>
      </c>
      <c r="G463" s="705">
        <v>243</v>
      </c>
      <c r="H463" s="705">
        <v>270</v>
      </c>
      <c r="I463" s="705">
        <v>38130</v>
      </c>
      <c r="J463" s="705">
        <v>34664</v>
      </c>
      <c r="K463">
        <v>70</v>
      </c>
      <c r="L463" s="705">
        <v>14087</v>
      </c>
      <c r="M463" s="705">
        <v>12806</v>
      </c>
      <c r="N463" s="705">
        <v>5931</v>
      </c>
      <c r="O463" s="705">
        <v>2197</v>
      </c>
      <c r="P463" s="705">
        <v>351</v>
      </c>
      <c r="Q463" s="705">
        <v>130</v>
      </c>
      <c r="R463" s="705">
        <v>7127</v>
      </c>
      <c r="S463" s="705">
        <v>6479</v>
      </c>
      <c r="T463" s="705">
        <v>0</v>
      </c>
      <c r="U463" s="705">
        <v>0</v>
      </c>
      <c r="V463" s="705">
        <v>56275</v>
      </c>
      <c r="W463" s="705">
        <f t="shared" si="36"/>
        <v>56276</v>
      </c>
      <c r="X463" s="705">
        <f t="shared" si="37"/>
        <v>65626</v>
      </c>
      <c r="Y463" s="705"/>
      <c r="AA463" t="s">
        <v>124</v>
      </c>
      <c r="AB463" t="s">
        <v>585</v>
      </c>
      <c r="AC463" s="705" t="s">
        <v>583</v>
      </c>
      <c r="AD463" s="705">
        <v>1</v>
      </c>
      <c r="AE463" s="705">
        <v>83</v>
      </c>
      <c r="AF463" s="705">
        <v>490</v>
      </c>
      <c r="AG463" s="705">
        <v>24970</v>
      </c>
      <c r="AH463" s="705">
        <v>22700</v>
      </c>
      <c r="AI463" s="706">
        <v>85</v>
      </c>
      <c r="AJ463" s="705">
        <v>7463</v>
      </c>
      <c r="AK463" s="705">
        <v>6785</v>
      </c>
      <c r="AL463" s="705">
        <v>2023</v>
      </c>
      <c r="AM463" s="705">
        <v>749</v>
      </c>
      <c r="AN463" s="705">
        <v>621</v>
      </c>
      <c r="AO463" s="705">
        <v>230</v>
      </c>
      <c r="AP463" s="705">
        <v>3374</v>
      </c>
      <c r="AQ463" s="705">
        <v>3067</v>
      </c>
      <c r="AR463" s="705">
        <v>2207</v>
      </c>
      <c r="AS463" s="705">
        <v>817</v>
      </c>
      <c r="AT463" s="705">
        <v>34349</v>
      </c>
      <c r="AU463" s="705">
        <f t="shared" si="34"/>
        <v>34348</v>
      </c>
      <c r="AV463" s="705">
        <f t="shared" si="35"/>
        <v>40658</v>
      </c>
    </row>
    <row r="464" spans="2:48" hidden="1">
      <c r="B464" t="s">
        <v>537</v>
      </c>
      <c r="C464" t="s">
        <v>118</v>
      </c>
      <c r="D464" t="s">
        <v>583</v>
      </c>
      <c r="E464" t="s">
        <v>228</v>
      </c>
      <c r="F464">
        <v>31</v>
      </c>
      <c r="G464" s="705">
        <v>3575</v>
      </c>
      <c r="H464" s="705">
        <v>8097</v>
      </c>
      <c r="I464" s="705">
        <v>538316</v>
      </c>
      <c r="J464" s="705">
        <v>489378</v>
      </c>
      <c r="K464">
        <v>84</v>
      </c>
      <c r="L464" s="705">
        <v>105358</v>
      </c>
      <c r="M464" s="705">
        <v>84951</v>
      </c>
      <c r="N464" s="705">
        <v>69745</v>
      </c>
      <c r="O464" s="705">
        <v>25831</v>
      </c>
      <c r="P464" s="705">
        <v>18360</v>
      </c>
      <c r="Q464" s="705">
        <v>6800</v>
      </c>
      <c r="R464" s="705">
        <v>232505</v>
      </c>
      <c r="S464" s="705">
        <v>86113</v>
      </c>
      <c r="T464" s="705">
        <v>3927</v>
      </c>
      <c r="U464" s="705">
        <v>1455</v>
      </c>
      <c r="V464" s="705">
        <v>694528</v>
      </c>
      <c r="W464" s="705">
        <f t="shared" si="36"/>
        <v>694528</v>
      </c>
      <c r="X464" s="705">
        <f t="shared" si="37"/>
        <v>968211</v>
      </c>
      <c r="Y464" s="705"/>
      <c r="AA464" t="s">
        <v>124</v>
      </c>
      <c r="AB464" t="s">
        <v>585</v>
      </c>
      <c r="AC464" s="705" t="s">
        <v>585</v>
      </c>
      <c r="AD464" s="705">
        <v>12</v>
      </c>
      <c r="AE464" s="705">
        <v>1451</v>
      </c>
      <c r="AF464" s="705">
        <v>7029</v>
      </c>
      <c r="AG464" s="705">
        <v>602601</v>
      </c>
      <c r="AH464" s="705">
        <v>547819</v>
      </c>
      <c r="AI464" s="706">
        <v>64</v>
      </c>
      <c r="AJ464" s="705">
        <v>115659</v>
      </c>
      <c r="AK464" s="705">
        <v>104014</v>
      </c>
      <c r="AL464" s="705">
        <v>29411</v>
      </c>
      <c r="AM464" s="705">
        <v>10893</v>
      </c>
      <c r="AN464" s="705">
        <v>4685</v>
      </c>
      <c r="AO464" s="705">
        <v>1735</v>
      </c>
      <c r="AP464" s="705">
        <v>61410</v>
      </c>
      <c r="AQ464" s="705">
        <v>55828</v>
      </c>
      <c r="AR464" s="705">
        <v>27748</v>
      </c>
      <c r="AS464" s="705">
        <v>10277</v>
      </c>
      <c r="AT464" s="705">
        <v>730566</v>
      </c>
      <c r="AU464" s="705">
        <f t="shared" si="34"/>
        <v>730566</v>
      </c>
      <c r="AV464" s="705">
        <f t="shared" si="35"/>
        <v>841514</v>
      </c>
    </row>
    <row r="465" spans="2:48" hidden="1">
      <c r="B465" t="s">
        <v>537</v>
      </c>
      <c r="C465" t="s">
        <v>118</v>
      </c>
      <c r="D465" t="s">
        <v>583</v>
      </c>
      <c r="E465" t="s">
        <v>583</v>
      </c>
      <c r="F465" s="705">
        <v>4876</v>
      </c>
      <c r="G465" s="705">
        <v>654731</v>
      </c>
      <c r="H465" s="705">
        <v>1272534</v>
      </c>
      <c r="I465" s="705">
        <v>102397749</v>
      </c>
      <c r="J465" s="705">
        <v>93088862</v>
      </c>
      <c r="K465">
        <v>80</v>
      </c>
      <c r="L465" s="705">
        <v>21910315</v>
      </c>
      <c r="M465" s="705">
        <v>19345737</v>
      </c>
      <c r="N465" s="705">
        <v>13780723</v>
      </c>
      <c r="O465" s="705">
        <v>5103971</v>
      </c>
      <c r="P465" s="705">
        <v>3170808</v>
      </c>
      <c r="Q465" s="705">
        <v>1174373</v>
      </c>
      <c r="R465" s="705">
        <v>26364184</v>
      </c>
      <c r="S465" s="705">
        <v>23967440</v>
      </c>
      <c r="T465" s="705">
        <v>6680566</v>
      </c>
      <c r="U465" s="705">
        <v>2474284</v>
      </c>
      <c r="V465" s="705">
        <v>145154668</v>
      </c>
      <c r="W465" s="705">
        <f t="shared" si="36"/>
        <v>145154667</v>
      </c>
      <c r="X465" s="705">
        <f t="shared" si="37"/>
        <v>174304345</v>
      </c>
      <c r="Y465" s="705"/>
      <c r="AA465" t="s">
        <v>124</v>
      </c>
      <c r="AB465" t="s">
        <v>668</v>
      </c>
      <c r="AC465" s="705" t="s">
        <v>668</v>
      </c>
      <c r="AD465" s="705">
        <v>2</v>
      </c>
      <c r="AE465" s="705">
        <v>189</v>
      </c>
      <c r="AF465" s="705">
        <v>1131</v>
      </c>
      <c r="AG465" s="705">
        <v>74941</v>
      </c>
      <c r="AH465" s="705">
        <v>68128</v>
      </c>
      <c r="AI465" s="706">
        <v>65</v>
      </c>
      <c r="AJ465" s="705">
        <v>14206</v>
      </c>
      <c r="AK465" s="705">
        <v>12914</v>
      </c>
      <c r="AL465" s="705">
        <v>4023</v>
      </c>
      <c r="AM465" s="705">
        <v>1490</v>
      </c>
      <c r="AN465" s="705">
        <v>702</v>
      </c>
      <c r="AO465" s="705">
        <v>260</v>
      </c>
      <c r="AP465" s="705">
        <v>8873</v>
      </c>
      <c r="AQ465" s="705">
        <v>8067</v>
      </c>
      <c r="AR465" s="705">
        <v>4799</v>
      </c>
      <c r="AS465" s="705">
        <v>1777</v>
      </c>
      <c r="AT465" s="705">
        <v>92636</v>
      </c>
      <c r="AU465" s="705">
        <f t="shared" si="34"/>
        <v>92636</v>
      </c>
      <c r="AV465" s="705">
        <f t="shared" si="35"/>
        <v>107544</v>
      </c>
    </row>
    <row r="466" spans="2:48">
      <c r="B466" t="s">
        <v>537</v>
      </c>
      <c r="C466" t="s">
        <v>118</v>
      </c>
      <c r="D466" t="s">
        <v>583</v>
      </c>
      <c r="E466" t="s">
        <v>666</v>
      </c>
      <c r="F466">
        <v>5</v>
      </c>
      <c r="G466">
        <v>556</v>
      </c>
      <c r="H466" s="705">
        <v>1376</v>
      </c>
      <c r="I466" s="705">
        <v>94422</v>
      </c>
      <c r="J466" s="705">
        <v>85838</v>
      </c>
      <c r="K466">
        <v>81</v>
      </c>
      <c r="L466" s="705">
        <v>16967</v>
      </c>
      <c r="M466" s="705">
        <v>19200</v>
      </c>
      <c r="N466" s="705">
        <v>10674</v>
      </c>
      <c r="O466" s="705">
        <v>3953</v>
      </c>
      <c r="P466" s="705">
        <v>3105</v>
      </c>
      <c r="Q466" s="705">
        <v>1150</v>
      </c>
      <c r="R466" s="705">
        <v>23702</v>
      </c>
      <c r="S466" s="705">
        <v>21548</v>
      </c>
      <c r="T466" s="705">
        <v>6709</v>
      </c>
      <c r="U466" s="705">
        <v>2485</v>
      </c>
      <c r="V466" s="705">
        <v>134173</v>
      </c>
      <c r="W466" s="705">
        <f t="shared" si="36"/>
        <v>134174</v>
      </c>
      <c r="X466" s="705">
        <f t="shared" si="37"/>
        <v>155579</v>
      </c>
      <c r="Y466" s="705"/>
    </row>
    <row r="467" spans="2:48">
      <c r="B467" t="s">
        <v>537</v>
      </c>
      <c r="C467" t="s">
        <v>118</v>
      </c>
      <c r="D467" t="s">
        <v>583</v>
      </c>
      <c r="E467" t="s">
        <v>665</v>
      </c>
      <c r="F467" s="705">
        <v>1</v>
      </c>
      <c r="G467" s="705">
        <v>154</v>
      </c>
      <c r="H467" s="705">
        <v>238</v>
      </c>
      <c r="I467" s="705">
        <v>22033</v>
      </c>
      <c r="J467" s="705">
        <v>20030</v>
      </c>
      <c r="K467">
        <v>65</v>
      </c>
      <c r="L467" s="705">
        <v>3026</v>
      </c>
      <c r="M467" s="705">
        <v>2751</v>
      </c>
      <c r="N467" s="705">
        <v>3740</v>
      </c>
      <c r="O467" s="705">
        <v>1385</v>
      </c>
      <c r="P467" s="705">
        <v>621</v>
      </c>
      <c r="Q467" s="705">
        <v>230</v>
      </c>
      <c r="R467" s="705">
        <v>7111</v>
      </c>
      <c r="S467" s="705">
        <v>6464</v>
      </c>
      <c r="T467" s="705">
        <v>0</v>
      </c>
      <c r="U467" s="705">
        <v>0</v>
      </c>
      <c r="V467" s="705">
        <v>30860</v>
      </c>
      <c r="W467" s="705">
        <f t="shared" si="36"/>
        <v>30860</v>
      </c>
      <c r="X467" s="705">
        <f t="shared" si="37"/>
        <v>36531</v>
      </c>
      <c r="Y467" s="705"/>
    </row>
    <row r="468" spans="2:48">
      <c r="B468" t="s">
        <v>537</v>
      </c>
      <c r="C468" t="s">
        <v>118</v>
      </c>
      <c r="D468" t="s">
        <v>666</v>
      </c>
      <c r="E468" t="s">
        <v>228</v>
      </c>
      <c r="F468">
        <v>1</v>
      </c>
      <c r="G468" s="705">
        <v>106</v>
      </c>
      <c r="H468" s="705">
        <v>282</v>
      </c>
      <c r="I468" s="705">
        <v>25155</v>
      </c>
      <c r="J468" s="705">
        <v>22868</v>
      </c>
      <c r="K468">
        <v>65</v>
      </c>
      <c r="L468" s="705">
        <v>4459</v>
      </c>
      <c r="M468" s="705">
        <v>1652</v>
      </c>
      <c r="N468" s="705">
        <v>3706</v>
      </c>
      <c r="O468" s="705">
        <v>1373</v>
      </c>
      <c r="P468" s="705">
        <v>351</v>
      </c>
      <c r="Q468" s="705">
        <v>130</v>
      </c>
      <c r="R468" s="705">
        <v>14165</v>
      </c>
      <c r="S468" s="705">
        <v>5246</v>
      </c>
      <c r="T468" s="705">
        <v>0</v>
      </c>
      <c r="U468" s="705">
        <v>0</v>
      </c>
      <c r="V468" s="705">
        <v>31268</v>
      </c>
      <c r="W468" s="705">
        <f t="shared" si="36"/>
        <v>31269</v>
      </c>
      <c r="X468" s="705">
        <f t="shared" si="37"/>
        <v>47836</v>
      </c>
      <c r="Y468" s="705"/>
    </row>
    <row r="469" spans="2:48">
      <c r="B469" t="s">
        <v>537</v>
      </c>
      <c r="C469" t="s">
        <v>118</v>
      </c>
      <c r="D469" t="s">
        <v>666</v>
      </c>
      <c r="E469" t="s">
        <v>666</v>
      </c>
      <c r="F469" s="705">
        <v>3</v>
      </c>
      <c r="G469" s="705">
        <v>366</v>
      </c>
      <c r="H469" s="705">
        <v>741</v>
      </c>
      <c r="I469" s="705">
        <v>52112</v>
      </c>
      <c r="J469" s="705">
        <v>47375</v>
      </c>
      <c r="K469">
        <v>65</v>
      </c>
      <c r="L469" s="705">
        <v>7757</v>
      </c>
      <c r="M469" s="705">
        <v>7052</v>
      </c>
      <c r="N469" s="705">
        <v>8190</v>
      </c>
      <c r="O469" s="705">
        <v>3034</v>
      </c>
      <c r="P469" s="705">
        <v>1323</v>
      </c>
      <c r="Q469" s="705">
        <v>490</v>
      </c>
      <c r="R469" s="705">
        <v>17418</v>
      </c>
      <c r="S469" s="705">
        <v>15835</v>
      </c>
      <c r="T469" s="705">
        <v>2659</v>
      </c>
      <c r="U469" s="705">
        <v>985</v>
      </c>
      <c r="V469" s="705">
        <v>74770</v>
      </c>
      <c r="W469" s="705">
        <f t="shared" si="36"/>
        <v>74771</v>
      </c>
      <c r="X469" s="705">
        <f t="shared" si="37"/>
        <v>89459</v>
      </c>
      <c r="Y469" s="705"/>
    </row>
    <row r="470" spans="2:48">
      <c r="B470" t="s">
        <v>537</v>
      </c>
      <c r="C470" t="s">
        <v>118</v>
      </c>
      <c r="D470" t="s">
        <v>584</v>
      </c>
      <c r="E470" t="s">
        <v>582</v>
      </c>
      <c r="F470">
        <v>1</v>
      </c>
      <c r="G470" s="705">
        <v>86</v>
      </c>
      <c r="H470" s="705">
        <v>239</v>
      </c>
      <c r="I470" s="705">
        <v>10052</v>
      </c>
      <c r="J470" s="705">
        <v>9139</v>
      </c>
      <c r="K470">
        <v>79</v>
      </c>
      <c r="L470" s="705">
        <v>3046</v>
      </c>
      <c r="M470" s="705">
        <v>2538</v>
      </c>
      <c r="N470" s="705">
        <v>1576</v>
      </c>
      <c r="O470" s="705">
        <v>584</v>
      </c>
      <c r="P470" s="705">
        <v>473</v>
      </c>
      <c r="Q470" s="705">
        <v>175</v>
      </c>
      <c r="R470" s="705">
        <v>5487</v>
      </c>
      <c r="S470" s="705">
        <v>4988</v>
      </c>
      <c r="T470" s="705">
        <v>0</v>
      </c>
      <c r="U470" s="705">
        <v>0</v>
      </c>
      <c r="V470" s="705">
        <v>17424</v>
      </c>
      <c r="W470" s="705">
        <f t="shared" si="36"/>
        <v>17424</v>
      </c>
      <c r="X470" s="705">
        <f t="shared" si="37"/>
        <v>20634</v>
      </c>
      <c r="Y470" s="705"/>
    </row>
    <row r="471" spans="2:48">
      <c r="B471" t="s">
        <v>537</v>
      </c>
      <c r="C471" t="s">
        <v>118</v>
      </c>
      <c r="D471" t="s">
        <v>584</v>
      </c>
      <c r="E471" t="s">
        <v>228</v>
      </c>
      <c r="F471">
        <v>3</v>
      </c>
      <c r="G471" s="705">
        <v>436</v>
      </c>
      <c r="H471" s="705">
        <v>767</v>
      </c>
      <c r="I471" s="705">
        <v>61473</v>
      </c>
      <c r="J471" s="705">
        <v>55885</v>
      </c>
      <c r="K471">
        <v>87</v>
      </c>
      <c r="L471" s="705">
        <v>13666</v>
      </c>
      <c r="M471" s="705">
        <v>11883</v>
      </c>
      <c r="N471" s="705">
        <v>9943</v>
      </c>
      <c r="O471" s="705">
        <v>3683</v>
      </c>
      <c r="P471" s="705">
        <v>1418</v>
      </c>
      <c r="Q471" s="705">
        <v>525</v>
      </c>
      <c r="R471" s="705">
        <v>25734</v>
      </c>
      <c r="S471" s="705">
        <v>9531</v>
      </c>
      <c r="T471" s="705">
        <v>0</v>
      </c>
      <c r="U471" s="705">
        <v>0</v>
      </c>
      <c r="V471" s="705">
        <v>81506</v>
      </c>
      <c r="W471" s="705">
        <f t="shared" si="36"/>
        <v>81507</v>
      </c>
      <c r="X471" s="705">
        <f t="shared" si="37"/>
        <v>112234</v>
      </c>
      <c r="Y471" s="705"/>
    </row>
    <row r="472" spans="2:48">
      <c r="B472" t="s">
        <v>537</v>
      </c>
      <c r="C472" t="s">
        <v>118</v>
      </c>
      <c r="D472" t="s">
        <v>584</v>
      </c>
      <c r="E472" t="s">
        <v>583</v>
      </c>
      <c r="F472">
        <v>2</v>
      </c>
      <c r="G472">
        <v>354</v>
      </c>
      <c r="H472" s="705">
        <v>542</v>
      </c>
      <c r="I472" s="705">
        <v>59405</v>
      </c>
      <c r="J472" s="705">
        <v>54004</v>
      </c>
      <c r="K472">
        <v>65</v>
      </c>
      <c r="L472" s="705">
        <v>8911</v>
      </c>
      <c r="M472" s="705">
        <v>8101</v>
      </c>
      <c r="N472" s="705">
        <v>7566</v>
      </c>
      <c r="O472" s="705">
        <v>2802</v>
      </c>
      <c r="P472">
        <v>945</v>
      </c>
      <c r="Q472">
        <v>350</v>
      </c>
      <c r="R472" s="705">
        <v>11298</v>
      </c>
      <c r="S472" s="705">
        <v>10271</v>
      </c>
      <c r="T472" s="705">
        <v>6804</v>
      </c>
      <c r="U472" s="705">
        <v>2520</v>
      </c>
      <c r="V472" s="705">
        <v>78048</v>
      </c>
      <c r="W472" s="705">
        <f t="shared" si="36"/>
        <v>78048</v>
      </c>
      <c r="X472" s="705">
        <f t="shared" si="37"/>
        <v>94929</v>
      </c>
      <c r="Y472" s="705"/>
    </row>
    <row r="473" spans="2:48">
      <c r="B473" t="s">
        <v>537</v>
      </c>
      <c r="C473" t="s">
        <v>118</v>
      </c>
      <c r="D473" t="s">
        <v>584</v>
      </c>
      <c r="E473" t="s">
        <v>584</v>
      </c>
      <c r="F473" s="705">
        <v>1272</v>
      </c>
      <c r="G473" s="705">
        <v>153569</v>
      </c>
      <c r="H473" s="705">
        <v>329829</v>
      </c>
      <c r="I473" s="705">
        <v>22732597</v>
      </c>
      <c r="J473" s="705">
        <v>20665997</v>
      </c>
      <c r="K473">
        <v>79</v>
      </c>
      <c r="L473" s="705">
        <v>5843571</v>
      </c>
      <c r="M473" s="705">
        <v>5072331</v>
      </c>
      <c r="N473" s="705">
        <v>3204564</v>
      </c>
      <c r="O473" s="705">
        <v>1186876</v>
      </c>
      <c r="P473" s="705">
        <v>620726</v>
      </c>
      <c r="Q473" s="705">
        <v>229898</v>
      </c>
      <c r="R473" s="705">
        <v>6754361</v>
      </c>
      <c r="S473" s="705">
        <v>6140328</v>
      </c>
      <c r="T473" s="705">
        <v>1378240</v>
      </c>
      <c r="U473" s="705">
        <v>510459</v>
      </c>
      <c r="V473" s="705">
        <v>33805889</v>
      </c>
      <c r="W473" s="705">
        <f t="shared" si="36"/>
        <v>33805889</v>
      </c>
      <c r="X473" s="705">
        <f t="shared" si="37"/>
        <v>40534059</v>
      </c>
      <c r="Y473" s="705"/>
    </row>
    <row r="474" spans="2:48">
      <c r="B474" t="s">
        <v>537</v>
      </c>
      <c r="C474" t="s">
        <v>118</v>
      </c>
      <c r="D474" t="s">
        <v>584</v>
      </c>
      <c r="E474" t="s">
        <v>665</v>
      </c>
      <c r="F474">
        <v>2</v>
      </c>
      <c r="G474" s="705">
        <v>306</v>
      </c>
      <c r="H474" s="705">
        <v>578</v>
      </c>
      <c r="I474" s="705">
        <v>57304</v>
      </c>
      <c r="J474" s="705">
        <v>52095</v>
      </c>
      <c r="K474">
        <v>77</v>
      </c>
      <c r="L474" s="705">
        <v>9364</v>
      </c>
      <c r="M474" s="705">
        <v>8513</v>
      </c>
      <c r="N474" s="705">
        <v>6784</v>
      </c>
      <c r="O474" s="705">
        <v>2512</v>
      </c>
      <c r="P474" s="705">
        <v>945</v>
      </c>
      <c r="Q474" s="705">
        <v>350</v>
      </c>
      <c r="R474" s="705">
        <v>11954</v>
      </c>
      <c r="S474" s="705">
        <v>10867</v>
      </c>
      <c r="T474" s="705">
        <v>2055</v>
      </c>
      <c r="U474" s="705">
        <v>761</v>
      </c>
      <c r="V474" s="705">
        <v>75098</v>
      </c>
      <c r="W474" s="705">
        <f t="shared" si="36"/>
        <v>75098</v>
      </c>
      <c r="X474" s="705">
        <f t="shared" si="37"/>
        <v>88406</v>
      </c>
      <c r="Y474" s="705"/>
    </row>
    <row r="475" spans="2:48">
      <c r="B475" t="s">
        <v>537</v>
      </c>
      <c r="C475" t="s">
        <v>118</v>
      </c>
      <c r="D475" t="s">
        <v>669</v>
      </c>
      <c r="E475" t="s">
        <v>669</v>
      </c>
      <c r="F475" s="705">
        <v>2</v>
      </c>
      <c r="G475" s="705">
        <v>335</v>
      </c>
      <c r="H475" s="705">
        <v>585</v>
      </c>
      <c r="I475" s="705">
        <v>64939</v>
      </c>
      <c r="J475" s="705">
        <v>54116</v>
      </c>
      <c r="K475">
        <v>69</v>
      </c>
      <c r="L475" s="705">
        <v>8180</v>
      </c>
      <c r="M475" s="705">
        <v>6817</v>
      </c>
      <c r="N475" s="705">
        <v>7261</v>
      </c>
      <c r="O475" s="705">
        <v>2689</v>
      </c>
      <c r="P475" s="705">
        <v>702</v>
      </c>
      <c r="Q475" s="705">
        <v>260</v>
      </c>
      <c r="R475" s="705">
        <v>12971</v>
      </c>
      <c r="S475" s="705">
        <v>10809</v>
      </c>
      <c r="T475" s="705">
        <v>3509</v>
      </c>
      <c r="U475" s="705">
        <v>1300</v>
      </c>
      <c r="V475" s="705">
        <v>75991</v>
      </c>
      <c r="W475" s="705">
        <f t="shared" si="36"/>
        <v>75991</v>
      </c>
      <c r="X475" s="705">
        <f t="shared" si="37"/>
        <v>97562</v>
      </c>
      <c r="Y475" s="705"/>
    </row>
    <row r="476" spans="2:48">
      <c r="B476" t="s">
        <v>537</v>
      </c>
      <c r="C476" t="s">
        <v>118</v>
      </c>
      <c r="D476" t="s">
        <v>665</v>
      </c>
      <c r="E476" t="s">
        <v>228</v>
      </c>
      <c r="F476">
        <v>3</v>
      </c>
      <c r="G476" s="705">
        <v>375</v>
      </c>
      <c r="H476" s="705">
        <v>829</v>
      </c>
      <c r="I476" s="705">
        <v>60010</v>
      </c>
      <c r="J476" s="705">
        <v>54554</v>
      </c>
      <c r="K476">
        <v>62</v>
      </c>
      <c r="L476" s="705">
        <v>13130</v>
      </c>
      <c r="M476" s="705">
        <v>4863</v>
      </c>
      <c r="N476" s="705">
        <v>6533</v>
      </c>
      <c r="O476" s="705">
        <v>2420</v>
      </c>
      <c r="P476" s="705">
        <v>702</v>
      </c>
      <c r="Q476" s="705">
        <v>260</v>
      </c>
      <c r="R476" s="705">
        <v>22648</v>
      </c>
      <c r="S476" s="705">
        <v>8388</v>
      </c>
      <c r="T476" s="705">
        <v>0</v>
      </c>
      <c r="U476" s="705">
        <v>0</v>
      </c>
      <c r="V476" s="705">
        <v>70485</v>
      </c>
      <c r="W476" s="705">
        <f t="shared" si="36"/>
        <v>70485</v>
      </c>
      <c r="X476" s="705">
        <f t="shared" si="37"/>
        <v>103023</v>
      </c>
      <c r="Y476" s="705"/>
    </row>
    <row r="477" spans="2:48">
      <c r="B477" t="s">
        <v>537</v>
      </c>
      <c r="C477" t="s">
        <v>118</v>
      </c>
      <c r="D477" t="s">
        <v>665</v>
      </c>
      <c r="E477" t="s">
        <v>583</v>
      </c>
      <c r="F477">
        <v>1</v>
      </c>
      <c r="G477" s="705">
        <v>125</v>
      </c>
      <c r="H477" s="705">
        <v>276</v>
      </c>
      <c r="I477" s="705">
        <v>19807</v>
      </c>
      <c r="J477" s="705">
        <v>18006</v>
      </c>
      <c r="K477">
        <v>55</v>
      </c>
      <c r="L477" s="705">
        <v>2089</v>
      </c>
      <c r="M477" s="705">
        <v>1899</v>
      </c>
      <c r="N477" s="705">
        <v>2139</v>
      </c>
      <c r="O477" s="705">
        <v>792</v>
      </c>
      <c r="P477" s="705">
        <v>621</v>
      </c>
      <c r="Q477" s="705">
        <v>230</v>
      </c>
      <c r="R477" s="705">
        <v>6763</v>
      </c>
      <c r="S477" s="705">
        <v>6148</v>
      </c>
      <c r="T477" s="705">
        <v>3185</v>
      </c>
      <c r="U477" s="705">
        <v>1180</v>
      </c>
      <c r="V477" s="705">
        <v>28255</v>
      </c>
      <c r="W477" s="705">
        <f t="shared" si="36"/>
        <v>28255</v>
      </c>
      <c r="X477" s="705">
        <f t="shared" si="37"/>
        <v>34604</v>
      </c>
      <c r="Y477" s="705"/>
    </row>
    <row r="478" spans="2:48">
      <c r="B478" t="s">
        <v>537</v>
      </c>
      <c r="C478" t="s">
        <v>118</v>
      </c>
      <c r="D478" t="s">
        <v>665</v>
      </c>
      <c r="E478" t="s">
        <v>665</v>
      </c>
      <c r="F478">
        <v>80</v>
      </c>
      <c r="G478" s="705">
        <v>9495</v>
      </c>
      <c r="H478" s="705">
        <v>21854</v>
      </c>
      <c r="I478" s="705">
        <v>1675152</v>
      </c>
      <c r="J478" s="705">
        <v>1522865</v>
      </c>
      <c r="K478">
        <v>65</v>
      </c>
      <c r="L478" s="705">
        <v>200061</v>
      </c>
      <c r="M478" s="705">
        <v>148880</v>
      </c>
      <c r="N478" s="705">
        <v>189025</v>
      </c>
      <c r="O478" s="705">
        <v>70009</v>
      </c>
      <c r="P478" s="705">
        <v>33696</v>
      </c>
      <c r="Q478" s="705">
        <v>12480</v>
      </c>
      <c r="R478" s="705">
        <v>408670</v>
      </c>
      <c r="S478" s="705">
        <v>371518</v>
      </c>
      <c r="T478" s="705">
        <v>168701</v>
      </c>
      <c r="U478" s="705">
        <v>62482</v>
      </c>
      <c r="V478" s="705">
        <v>2188235</v>
      </c>
      <c r="W478" s="705">
        <f t="shared" si="36"/>
        <v>2188234</v>
      </c>
      <c r="X478" s="705">
        <f t="shared" si="37"/>
        <v>2675305</v>
      </c>
      <c r="Y478" s="705"/>
    </row>
    <row r="479" spans="2:48">
      <c r="B479" t="s">
        <v>537</v>
      </c>
      <c r="C479" t="s">
        <v>118</v>
      </c>
      <c r="D479" t="s">
        <v>722</v>
      </c>
      <c r="E479" t="s">
        <v>665</v>
      </c>
      <c r="F479">
        <v>1</v>
      </c>
      <c r="G479" s="705">
        <v>136</v>
      </c>
      <c r="H479" s="705">
        <v>239</v>
      </c>
      <c r="I479" s="705">
        <v>17385</v>
      </c>
      <c r="J479" s="705">
        <v>15805</v>
      </c>
      <c r="K479">
        <v>65</v>
      </c>
      <c r="L479" s="705">
        <v>4185</v>
      </c>
      <c r="M479" s="705">
        <v>3805</v>
      </c>
      <c r="N479" s="705">
        <v>3320</v>
      </c>
      <c r="O479" s="705">
        <v>1230</v>
      </c>
      <c r="P479" s="705">
        <v>351</v>
      </c>
      <c r="Q479" s="705">
        <v>130</v>
      </c>
      <c r="R479" s="705">
        <v>7322</v>
      </c>
      <c r="S479" s="705">
        <v>6656</v>
      </c>
      <c r="T479" s="705">
        <v>0</v>
      </c>
      <c r="U479" s="705">
        <v>0</v>
      </c>
      <c r="V479" s="705">
        <v>27625</v>
      </c>
      <c r="W479" s="705">
        <f t="shared" si="36"/>
        <v>27626</v>
      </c>
      <c r="X479" s="705">
        <f t="shared" si="37"/>
        <v>32563</v>
      </c>
      <c r="Y479" s="705"/>
    </row>
    <row r="480" spans="2:48">
      <c r="B480" t="s">
        <v>537</v>
      </c>
      <c r="C480" t="s">
        <v>118</v>
      </c>
      <c r="D480" t="s">
        <v>673</v>
      </c>
      <c r="E480" t="s">
        <v>228</v>
      </c>
      <c r="F480">
        <v>1</v>
      </c>
      <c r="G480" s="705">
        <v>203</v>
      </c>
      <c r="H480" s="705">
        <v>256</v>
      </c>
      <c r="I480" s="705">
        <v>35226</v>
      </c>
      <c r="J480" s="705">
        <v>32024</v>
      </c>
      <c r="K480">
        <v>60</v>
      </c>
      <c r="L480" s="705">
        <v>5764</v>
      </c>
      <c r="M480" s="705">
        <v>2135</v>
      </c>
      <c r="N480" s="705">
        <v>4132</v>
      </c>
      <c r="O480" s="705">
        <v>1531</v>
      </c>
      <c r="P480" s="705">
        <v>1640</v>
      </c>
      <c r="Q480" s="705">
        <v>607</v>
      </c>
      <c r="R480" s="705">
        <v>5285</v>
      </c>
      <c r="S480" s="705">
        <v>1957</v>
      </c>
      <c r="T480" s="705">
        <v>0</v>
      </c>
      <c r="U480" s="705">
        <v>0</v>
      </c>
      <c r="V480" s="705">
        <v>38254</v>
      </c>
      <c r="W480" s="705">
        <f t="shared" si="36"/>
        <v>38254</v>
      </c>
      <c r="X480" s="705">
        <f t="shared" si="37"/>
        <v>52047</v>
      </c>
      <c r="Y480" s="705"/>
    </row>
    <row r="481" spans="2:25">
      <c r="B481" t="s">
        <v>537</v>
      </c>
      <c r="C481" t="s">
        <v>118</v>
      </c>
      <c r="D481" t="s">
        <v>673</v>
      </c>
      <c r="E481" t="s">
        <v>583</v>
      </c>
      <c r="F481">
        <v>1</v>
      </c>
      <c r="G481" s="705">
        <v>172</v>
      </c>
      <c r="H481" s="705">
        <v>294</v>
      </c>
      <c r="I481" s="705">
        <v>31462</v>
      </c>
      <c r="J481" s="705">
        <v>28602</v>
      </c>
      <c r="K481">
        <v>70</v>
      </c>
      <c r="L481" s="705">
        <v>6642</v>
      </c>
      <c r="M481" s="705">
        <v>6038</v>
      </c>
      <c r="N481" s="705">
        <v>2091</v>
      </c>
      <c r="O481" s="705">
        <v>775</v>
      </c>
      <c r="P481" s="705">
        <v>621</v>
      </c>
      <c r="Q481" s="705">
        <v>230</v>
      </c>
      <c r="R481" s="705">
        <v>5978</v>
      </c>
      <c r="S481" s="705">
        <v>5435</v>
      </c>
      <c r="T481" s="705">
        <v>3719</v>
      </c>
      <c r="U481" s="705">
        <v>1377</v>
      </c>
      <c r="V481" s="705">
        <v>42457</v>
      </c>
      <c r="W481" s="705">
        <f t="shared" si="36"/>
        <v>42457</v>
      </c>
      <c r="X481" s="705">
        <f t="shared" si="37"/>
        <v>50513</v>
      </c>
      <c r="Y481" s="705"/>
    </row>
    <row r="482" spans="2:25">
      <c r="B482" t="s">
        <v>537</v>
      </c>
      <c r="C482" t="s">
        <v>118</v>
      </c>
      <c r="D482" t="s">
        <v>673</v>
      </c>
      <c r="E482" t="s">
        <v>673</v>
      </c>
      <c r="F482">
        <v>11</v>
      </c>
      <c r="G482" s="705">
        <v>1904</v>
      </c>
      <c r="H482" s="705">
        <v>2978</v>
      </c>
      <c r="I482" s="705">
        <v>357718</v>
      </c>
      <c r="J482" s="705">
        <v>325198</v>
      </c>
      <c r="K482">
        <v>69</v>
      </c>
      <c r="L482" s="705">
        <v>38328</v>
      </c>
      <c r="M482" s="705">
        <v>34295</v>
      </c>
      <c r="N482" s="705">
        <v>41556</v>
      </c>
      <c r="O482" s="705">
        <v>15391</v>
      </c>
      <c r="P482" s="705">
        <v>5805</v>
      </c>
      <c r="Q482" s="705">
        <v>2150</v>
      </c>
      <c r="R482" s="705">
        <v>51384</v>
      </c>
      <c r="S482" s="705">
        <v>46713</v>
      </c>
      <c r="T482" s="705">
        <v>7794</v>
      </c>
      <c r="U482" s="705">
        <v>2887</v>
      </c>
      <c r="V482" s="705">
        <v>426634</v>
      </c>
      <c r="W482" s="705">
        <f t="shared" si="36"/>
        <v>426634</v>
      </c>
      <c r="X482" s="705">
        <f t="shared" si="37"/>
        <v>502585</v>
      </c>
      <c r="Y482" s="705"/>
    </row>
    <row r="483" spans="2:25">
      <c r="B483" t="s">
        <v>537</v>
      </c>
      <c r="C483" t="s">
        <v>118</v>
      </c>
      <c r="D483" t="s">
        <v>585</v>
      </c>
      <c r="E483" t="s">
        <v>585</v>
      </c>
      <c r="F483">
        <v>8</v>
      </c>
      <c r="G483" s="705">
        <v>1043</v>
      </c>
      <c r="H483" s="705">
        <v>2068</v>
      </c>
      <c r="I483" s="705">
        <v>163535</v>
      </c>
      <c r="J483" s="705">
        <v>148668</v>
      </c>
      <c r="K483">
        <v>74</v>
      </c>
      <c r="L483" s="705">
        <v>31266</v>
      </c>
      <c r="M483" s="705">
        <v>28423</v>
      </c>
      <c r="N483" s="705">
        <v>19488</v>
      </c>
      <c r="O483" s="705">
        <v>7218</v>
      </c>
      <c r="P483" s="705">
        <v>3510</v>
      </c>
      <c r="Q483" s="705">
        <v>1300</v>
      </c>
      <c r="R483" s="705">
        <v>40898</v>
      </c>
      <c r="S483" s="705">
        <v>37180</v>
      </c>
      <c r="T483" s="705">
        <v>10141</v>
      </c>
      <c r="U483" s="705">
        <v>3756</v>
      </c>
      <c r="V483" s="705">
        <v>226545</v>
      </c>
      <c r="W483" s="705">
        <f t="shared" si="36"/>
        <v>226545</v>
      </c>
      <c r="X483" s="705">
        <f t="shared" si="37"/>
        <v>268838</v>
      </c>
      <c r="Y483" s="705"/>
    </row>
    <row r="484" spans="2:25">
      <c r="B484" t="s">
        <v>537</v>
      </c>
      <c r="C484" t="s">
        <v>118</v>
      </c>
      <c r="D484" t="s">
        <v>585</v>
      </c>
      <c r="E484" t="s">
        <v>668</v>
      </c>
      <c r="F484">
        <v>1</v>
      </c>
      <c r="G484" s="705">
        <v>179</v>
      </c>
      <c r="H484" s="705">
        <v>253</v>
      </c>
      <c r="I484" s="705">
        <v>30829</v>
      </c>
      <c r="J484" s="705">
        <v>28026</v>
      </c>
      <c r="K484">
        <v>86</v>
      </c>
      <c r="L484" s="705">
        <v>3542</v>
      </c>
      <c r="M484" s="705">
        <v>3220</v>
      </c>
      <c r="N484" s="705">
        <v>3265</v>
      </c>
      <c r="O484" s="705">
        <v>1209</v>
      </c>
      <c r="P484" s="705">
        <v>621</v>
      </c>
      <c r="Q484" s="705">
        <v>230</v>
      </c>
      <c r="R484" s="705">
        <v>6859</v>
      </c>
      <c r="S484" s="705">
        <v>6236</v>
      </c>
      <c r="T484" s="705">
        <v>0</v>
      </c>
      <c r="U484" s="705">
        <v>0</v>
      </c>
      <c r="V484" s="705">
        <v>38922</v>
      </c>
      <c r="W484" s="705">
        <f t="shared" si="36"/>
        <v>38921</v>
      </c>
      <c r="X484" s="705">
        <f t="shared" si="37"/>
        <v>45116</v>
      </c>
      <c r="Y484" s="705"/>
    </row>
    <row r="485" spans="2:25">
      <c r="B485" t="s">
        <v>537</v>
      </c>
      <c r="C485" t="s">
        <v>118</v>
      </c>
      <c r="D485" t="s">
        <v>668</v>
      </c>
      <c r="E485" t="s">
        <v>668</v>
      </c>
      <c r="F485">
        <v>2</v>
      </c>
      <c r="G485" s="705">
        <v>330</v>
      </c>
      <c r="H485" s="705">
        <v>528</v>
      </c>
      <c r="I485" s="705">
        <v>56926</v>
      </c>
      <c r="J485" s="705">
        <v>51751</v>
      </c>
      <c r="K485">
        <v>72</v>
      </c>
      <c r="L485" s="705">
        <v>7810</v>
      </c>
      <c r="M485" s="705">
        <v>6827</v>
      </c>
      <c r="N485" s="705">
        <v>7706</v>
      </c>
      <c r="O485" s="705">
        <v>2854</v>
      </c>
      <c r="P485" s="705">
        <v>2025</v>
      </c>
      <c r="Q485" s="705">
        <v>750</v>
      </c>
      <c r="R485" s="705">
        <v>8770</v>
      </c>
      <c r="S485" s="705">
        <v>7973</v>
      </c>
      <c r="T485" s="705">
        <v>4878</v>
      </c>
      <c r="U485" s="705">
        <v>1807</v>
      </c>
      <c r="V485" s="705">
        <v>71962</v>
      </c>
      <c r="W485" s="705">
        <f t="shared" si="36"/>
        <v>71962</v>
      </c>
      <c r="X485" s="705">
        <f t="shared" si="37"/>
        <v>88115</v>
      </c>
      <c r="Y485" s="705"/>
    </row>
    <row r="486" spans="2:25">
      <c r="B486" t="s">
        <v>537</v>
      </c>
      <c r="C486" t="s">
        <v>120</v>
      </c>
      <c r="D486" t="s">
        <v>664</v>
      </c>
      <c r="E486" t="s">
        <v>664</v>
      </c>
      <c r="F486">
        <v>11</v>
      </c>
      <c r="G486" s="705">
        <v>1267</v>
      </c>
      <c r="H486" s="705">
        <v>3766</v>
      </c>
      <c r="I486" s="705">
        <v>292900</v>
      </c>
      <c r="J486" s="705">
        <v>266273</v>
      </c>
      <c r="K486">
        <v>78</v>
      </c>
      <c r="L486" s="705">
        <v>43350</v>
      </c>
      <c r="M486" s="705">
        <v>37989</v>
      </c>
      <c r="N486" s="705">
        <v>29024</v>
      </c>
      <c r="O486" s="705">
        <v>10750</v>
      </c>
      <c r="P486" s="705">
        <v>5103</v>
      </c>
      <c r="Q486" s="705">
        <v>1890</v>
      </c>
      <c r="R486" s="705">
        <v>58381</v>
      </c>
      <c r="S486" s="705">
        <v>53073</v>
      </c>
      <c r="T486" s="705">
        <v>19617</v>
      </c>
      <c r="U486" s="705">
        <v>7266</v>
      </c>
      <c r="V486" s="705">
        <v>377241</v>
      </c>
      <c r="W486" s="705">
        <f t="shared" si="36"/>
        <v>377241</v>
      </c>
      <c r="X486" s="705">
        <f t="shared" si="37"/>
        <v>448375</v>
      </c>
      <c r="Y486" s="705"/>
    </row>
    <row r="487" spans="2:25">
      <c r="B487" t="s">
        <v>537</v>
      </c>
      <c r="C487" t="s">
        <v>120</v>
      </c>
      <c r="D487" t="s">
        <v>582</v>
      </c>
      <c r="E487" t="s">
        <v>664</v>
      </c>
      <c r="F487">
        <v>2</v>
      </c>
      <c r="G487" s="705">
        <v>386</v>
      </c>
      <c r="H487" s="705">
        <v>635</v>
      </c>
      <c r="I487" s="705">
        <v>86105</v>
      </c>
      <c r="J487" s="705">
        <v>78278</v>
      </c>
      <c r="K487">
        <v>68</v>
      </c>
      <c r="L487" s="705">
        <v>11266</v>
      </c>
      <c r="M487" s="705">
        <v>9817</v>
      </c>
      <c r="N487" s="705">
        <v>7538</v>
      </c>
      <c r="O487" s="705">
        <v>2792</v>
      </c>
      <c r="P487" s="705">
        <v>945</v>
      </c>
      <c r="Q487" s="705">
        <v>350</v>
      </c>
      <c r="R487" s="705">
        <v>19406</v>
      </c>
      <c r="S487" s="705">
        <v>17642</v>
      </c>
      <c r="T487" s="705">
        <v>0</v>
      </c>
      <c r="U487" s="705">
        <v>0</v>
      </c>
      <c r="V487" s="705">
        <v>108879</v>
      </c>
      <c r="W487" s="705">
        <f t="shared" si="36"/>
        <v>108879</v>
      </c>
      <c r="X487" s="705">
        <f t="shared" si="37"/>
        <v>125260</v>
      </c>
      <c r="Y487" s="705"/>
    </row>
    <row r="488" spans="2:25">
      <c r="B488" t="s">
        <v>537</v>
      </c>
      <c r="C488" t="s">
        <v>120</v>
      </c>
      <c r="D488" t="s">
        <v>582</v>
      </c>
      <c r="E488" t="s">
        <v>582</v>
      </c>
      <c r="F488" s="705">
        <v>60</v>
      </c>
      <c r="G488" s="705">
        <v>7588</v>
      </c>
      <c r="H488" s="705">
        <v>20254</v>
      </c>
      <c r="I488" s="705">
        <v>1662444</v>
      </c>
      <c r="J488" s="705">
        <v>1511312</v>
      </c>
      <c r="K488">
        <v>77</v>
      </c>
      <c r="L488" s="705">
        <v>346263</v>
      </c>
      <c r="M488" s="705">
        <v>298524</v>
      </c>
      <c r="N488" s="705">
        <v>163528</v>
      </c>
      <c r="O488" s="705">
        <v>60566</v>
      </c>
      <c r="P488" s="705">
        <v>30699</v>
      </c>
      <c r="Q488" s="705">
        <v>11370</v>
      </c>
      <c r="R488" s="705">
        <v>299580</v>
      </c>
      <c r="S488" s="705">
        <v>272345</v>
      </c>
      <c r="T488" s="705">
        <v>72729</v>
      </c>
      <c r="U488" s="705">
        <v>26937</v>
      </c>
      <c r="V488" s="705">
        <v>2181054</v>
      </c>
      <c r="W488" s="705">
        <f t="shared" si="36"/>
        <v>2181054</v>
      </c>
      <c r="X488" s="705">
        <f t="shared" si="37"/>
        <v>2575243</v>
      </c>
      <c r="Y488" s="705"/>
    </row>
    <row r="489" spans="2:25">
      <c r="B489" t="s">
        <v>537</v>
      </c>
      <c r="C489" t="s">
        <v>120</v>
      </c>
      <c r="D489" t="s">
        <v>582</v>
      </c>
      <c r="E489" t="s">
        <v>228</v>
      </c>
      <c r="F489" s="705">
        <v>1</v>
      </c>
      <c r="G489" s="705">
        <v>153</v>
      </c>
      <c r="H489" s="705">
        <v>367</v>
      </c>
      <c r="I489" s="705">
        <v>39028</v>
      </c>
      <c r="J489" s="705">
        <v>35480</v>
      </c>
      <c r="K489">
        <v>73</v>
      </c>
      <c r="L489" s="705">
        <v>5016</v>
      </c>
      <c r="M489" s="705">
        <v>4560</v>
      </c>
      <c r="N489" s="705">
        <v>3531</v>
      </c>
      <c r="O489" s="705">
        <v>1308</v>
      </c>
      <c r="P489" s="705">
        <v>473</v>
      </c>
      <c r="Q489" s="705">
        <v>175</v>
      </c>
      <c r="R489" s="705">
        <v>7884</v>
      </c>
      <c r="S489" s="705">
        <v>2920</v>
      </c>
      <c r="T489" s="705">
        <v>0</v>
      </c>
      <c r="U489" s="705">
        <v>0</v>
      </c>
      <c r="V489" s="705">
        <v>44443</v>
      </c>
      <c r="W489" s="705">
        <f t="shared" si="36"/>
        <v>44443</v>
      </c>
      <c r="X489" s="705">
        <f t="shared" si="37"/>
        <v>55932</v>
      </c>
      <c r="Y489" s="705"/>
    </row>
    <row r="490" spans="2:25">
      <c r="B490" t="s">
        <v>537</v>
      </c>
      <c r="C490" t="s">
        <v>120</v>
      </c>
      <c r="D490" t="s">
        <v>582</v>
      </c>
      <c r="E490" t="s">
        <v>583</v>
      </c>
      <c r="F490">
        <v>1</v>
      </c>
      <c r="G490" s="705">
        <v>91</v>
      </c>
      <c r="H490" s="705">
        <v>324</v>
      </c>
      <c r="I490" s="705">
        <v>19789</v>
      </c>
      <c r="J490" s="705">
        <v>17990</v>
      </c>
      <c r="K490">
        <v>87</v>
      </c>
      <c r="L490" s="705">
        <v>3188</v>
      </c>
      <c r="M490" s="705">
        <v>2898</v>
      </c>
      <c r="N490" s="705">
        <v>1970</v>
      </c>
      <c r="O490" s="705">
        <v>730</v>
      </c>
      <c r="P490" s="705">
        <v>621</v>
      </c>
      <c r="Q490" s="705">
        <v>230</v>
      </c>
      <c r="R490" s="705">
        <v>4059</v>
      </c>
      <c r="S490" s="705">
        <v>3690</v>
      </c>
      <c r="T490" s="705">
        <v>0</v>
      </c>
      <c r="U490" s="705">
        <v>0</v>
      </c>
      <c r="V490" s="705">
        <v>25538</v>
      </c>
      <c r="W490" s="705">
        <f t="shared" si="36"/>
        <v>25538</v>
      </c>
      <c r="X490" s="705">
        <f t="shared" si="37"/>
        <v>29627</v>
      </c>
      <c r="Y490" s="705"/>
    </row>
    <row r="491" spans="2:25">
      <c r="B491" t="s">
        <v>537</v>
      </c>
      <c r="C491" t="s">
        <v>120</v>
      </c>
      <c r="D491" t="s">
        <v>228</v>
      </c>
      <c r="E491" t="s">
        <v>228</v>
      </c>
      <c r="F491" s="705">
        <v>191</v>
      </c>
      <c r="G491" s="705">
        <v>21555</v>
      </c>
      <c r="H491" s="705">
        <v>65293</v>
      </c>
      <c r="I491" s="705">
        <v>4926152</v>
      </c>
      <c r="J491" s="705">
        <v>1824501</v>
      </c>
      <c r="K491">
        <v>103</v>
      </c>
      <c r="L491" s="705">
        <v>725574</v>
      </c>
      <c r="M491" s="705">
        <v>592250</v>
      </c>
      <c r="N491" s="705">
        <v>469070</v>
      </c>
      <c r="O491" s="705">
        <v>173729</v>
      </c>
      <c r="P491" s="705">
        <v>6898</v>
      </c>
      <c r="Q491" s="705">
        <v>2555</v>
      </c>
      <c r="R491" s="705">
        <v>1547159</v>
      </c>
      <c r="S491" s="705">
        <v>573022</v>
      </c>
      <c r="T491" s="705">
        <v>11353</v>
      </c>
      <c r="U491" s="705">
        <v>4205</v>
      </c>
      <c r="V491" s="705">
        <v>3170262</v>
      </c>
      <c r="W491" s="705">
        <f t="shared" si="36"/>
        <v>3170262</v>
      </c>
      <c r="X491" s="705">
        <f t="shared" si="37"/>
        <v>7686206</v>
      </c>
      <c r="Y491" s="705"/>
    </row>
    <row r="492" spans="2:25">
      <c r="B492" t="s">
        <v>537</v>
      </c>
      <c r="C492" t="s">
        <v>120</v>
      </c>
      <c r="D492" t="s">
        <v>228</v>
      </c>
      <c r="E492" t="s">
        <v>583</v>
      </c>
      <c r="F492">
        <v>4</v>
      </c>
      <c r="G492">
        <v>514</v>
      </c>
      <c r="H492" s="705">
        <v>1371</v>
      </c>
      <c r="I492" s="705">
        <v>113978</v>
      </c>
      <c r="J492" s="705">
        <v>42214</v>
      </c>
      <c r="K492">
        <v>100</v>
      </c>
      <c r="L492" s="705">
        <v>18166</v>
      </c>
      <c r="M492" s="705">
        <v>17946</v>
      </c>
      <c r="N492" s="705">
        <v>12515</v>
      </c>
      <c r="O492" s="705">
        <v>4635</v>
      </c>
      <c r="P492" s="705">
        <v>540</v>
      </c>
      <c r="Q492">
        <v>200</v>
      </c>
      <c r="R492" s="705">
        <v>24198</v>
      </c>
      <c r="S492" s="705">
        <v>21998</v>
      </c>
      <c r="T492" s="705">
        <v>4711</v>
      </c>
      <c r="U492" s="705">
        <v>1745</v>
      </c>
      <c r="V492" s="705">
        <v>88738</v>
      </c>
      <c r="W492" s="705">
        <f t="shared" si="36"/>
        <v>88738</v>
      </c>
      <c r="X492" s="705">
        <f t="shared" si="37"/>
        <v>174108</v>
      </c>
      <c r="Y492" s="705"/>
    </row>
    <row r="493" spans="2:25">
      <c r="B493" t="s">
        <v>537</v>
      </c>
      <c r="C493" t="s">
        <v>120</v>
      </c>
      <c r="D493" t="s">
        <v>228</v>
      </c>
      <c r="E493" t="s">
        <v>584</v>
      </c>
      <c r="F493">
        <v>2</v>
      </c>
      <c r="G493">
        <v>379</v>
      </c>
      <c r="H493">
        <v>635</v>
      </c>
      <c r="I493" s="705">
        <v>96687</v>
      </c>
      <c r="J493" s="705">
        <v>35810</v>
      </c>
      <c r="K493">
        <v>100</v>
      </c>
      <c r="L493" s="705">
        <v>6593</v>
      </c>
      <c r="M493" s="705">
        <v>5994</v>
      </c>
      <c r="N493" s="705">
        <v>8887</v>
      </c>
      <c r="O493" s="705">
        <v>3292</v>
      </c>
      <c r="P493">
        <v>945</v>
      </c>
      <c r="Q493">
        <v>350</v>
      </c>
      <c r="R493" s="705">
        <v>8167</v>
      </c>
      <c r="S493" s="705">
        <v>7425</v>
      </c>
      <c r="T493">
        <v>0</v>
      </c>
      <c r="U493">
        <v>0</v>
      </c>
      <c r="V493" s="705">
        <v>52870</v>
      </c>
      <c r="W493" s="705">
        <f t="shared" si="36"/>
        <v>52871</v>
      </c>
      <c r="X493" s="705">
        <f t="shared" si="37"/>
        <v>121279</v>
      </c>
      <c r="Y493" s="705"/>
    </row>
    <row r="494" spans="2:25">
      <c r="B494" t="s">
        <v>537</v>
      </c>
      <c r="C494" t="s">
        <v>120</v>
      </c>
      <c r="D494" t="s">
        <v>228</v>
      </c>
      <c r="E494" t="s">
        <v>665</v>
      </c>
      <c r="F494">
        <v>2</v>
      </c>
      <c r="G494" s="705">
        <v>164</v>
      </c>
      <c r="H494" s="705">
        <v>720</v>
      </c>
      <c r="I494" s="705">
        <v>39150</v>
      </c>
      <c r="J494" s="705">
        <v>14500</v>
      </c>
      <c r="K494">
        <v>100</v>
      </c>
      <c r="L494" s="705">
        <v>3029</v>
      </c>
      <c r="M494" s="705">
        <v>2754</v>
      </c>
      <c r="N494" s="705">
        <v>3994</v>
      </c>
      <c r="O494" s="705">
        <v>1479</v>
      </c>
      <c r="P494" s="705">
        <v>0</v>
      </c>
      <c r="Q494" s="705">
        <v>0</v>
      </c>
      <c r="R494" s="705">
        <v>8789</v>
      </c>
      <c r="S494" s="705">
        <v>7990</v>
      </c>
      <c r="T494" s="705">
        <v>3841</v>
      </c>
      <c r="U494" s="705">
        <v>1423</v>
      </c>
      <c r="V494" s="705">
        <v>28146</v>
      </c>
      <c r="W494" s="705">
        <f t="shared" si="36"/>
        <v>28146</v>
      </c>
      <c r="X494" s="705">
        <f t="shared" si="37"/>
        <v>58803</v>
      </c>
      <c r="Y494" s="705"/>
    </row>
    <row r="495" spans="2:25">
      <c r="B495" t="s">
        <v>537</v>
      </c>
      <c r="C495" t="s">
        <v>120</v>
      </c>
      <c r="D495" t="s">
        <v>228</v>
      </c>
      <c r="E495" t="s">
        <v>673</v>
      </c>
      <c r="F495">
        <v>2</v>
      </c>
      <c r="G495" s="705">
        <v>257</v>
      </c>
      <c r="H495" s="705">
        <v>696</v>
      </c>
      <c r="I495" s="705">
        <v>55154</v>
      </c>
      <c r="J495" s="705">
        <v>20427</v>
      </c>
      <c r="K495">
        <v>100</v>
      </c>
      <c r="L495" s="705">
        <v>8294</v>
      </c>
      <c r="M495" s="705">
        <v>7540</v>
      </c>
      <c r="N495" s="705">
        <v>4843</v>
      </c>
      <c r="O495" s="705">
        <v>1794</v>
      </c>
      <c r="P495" s="705">
        <v>0</v>
      </c>
      <c r="Q495" s="705">
        <v>0</v>
      </c>
      <c r="R495" s="705">
        <v>13361</v>
      </c>
      <c r="S495" s="705">
        <v>12146</v>
      </c>
      <c r="T495" s="705">
        <v>7333</v>
      </c>
      <c r="U495" s="705">
        <v>2716</v>
      </c>
      <c r="V495" s="705">
        <v>44623</v>
      </c>
      <c r="W495" s="705">
        <f t="shared" si="36"/>
        <v>44623</v>
      </c>
      <c r="X495" s="705">
        <f t="shared" si="37"/>
        <v>88985</v>
      </c>
      <c r="Y495" s="705"/>
    </row>
    <row r="496" spans="2:25">
      <c r="B496" t="s">
        <v>537</v>
      </c>
      <c r="C496" t="s">
        <v>120</v>
      </c>
      <c r="D496" t="s">
        <v>583</v>
      </c>
      <c r="E496" t="s">
        <v>582</v>
      </c>
      <c r="F496">
        <v>1</v>
      </c>
      <c r="G496">
        <v>434</v>
      </c>
      <c r="H496" s="705">
        <v>311</v>
      </c>
      <c r="I496" s="705">
        <v>102431</v>
      </c>
      <c r="J496" s="705">
        <v>93119</v>
      </c>
      <c r="K496">
        <v>85</v>
      </c>
      <c r="L496" s="705">
        <v>14200</v>
      </c>
      <c r="M496" s="705">
        <v>12909</v>
      </c>
      <c r="N496" s="705">
        <v>9892</v>
      </c>
      <c r="O496" s="705">
        <v>3664</v>
      </c>
      <c r="P496" s="705">
        <v>621</v>
      </c>
      <c r="Q496" s="705">
        <v>230</v>
      </c>
      <c r="R496" s="705">
        <v>7936</v>
      </c>
      <c r="S496" s="705">
        <v>7214</v>
      </c>
      <c r="T496" s="705">
        <v>0</v>
      </c>
      <c r="U496" s="705">
        <v>0</v>
      </c>
      <c r="V496" s="705">
        <v>117137</v>
      </c>
      <c r="W496" s="705">
        <f t="shared" si="36"/>
        <v>117136</v>
      </c>
      <c r="X496" s="705">
        <f t="shared" si="37"/>
        <v>135080</v>
      </c>
      <c r="Y496" s="705"/>
    </row>
    <row r="497" spans="2:25">
      <c r="B497" t="s">
        <v>537</v>
      </c>
      <c r="C497" t="s">
        <v>120</v>
      </c>
      <c r="D497" t="s">
        <v>583</v>
      </c>
      <c r="E497" t="s">
        <v>228</v>
      </c>
      <c r="F497">
        <v>36</v>
      </c>
      <c r="G497" s="705">
        <v>4076</v>
      </c>
      <c r="H497" s="705">
        <v>12386</v>
      </c>
      <c r="I497" s="705">
        <v>898033</v>
      </c>
      <c r="J497" s="705">
        <v>816394</v>
      </c>
      <c r="K497">
        <v>82</v>
      </c>
      <c r="L497" s="705">
        <v>182365</v>
      </c>
      <c r="M497" s="705">
        <v>156715</v>
      </c>
      <c r="N497" s="705">
        <v>90035</v>
      </c>
      <c r="O497" s="705">
        <v>33346</v>
      </c>
      <c r="P497" s="705">
        <v>22850</v>
      </c>
      <c r="Q497" s="705">
        <v>8463</v>
      </c>
      <c r="R497" s="705">
        <v>267832</v>
      </c>
      <c r="S497" s="705">
        <v>99197</v>
      </c>
      <c r="T497" s="705">
        <v>2612</v>
      </c>
      <c r="U497" s="705">
        <v>967</v>
      </c>
      <c r="V497" s="705">
        <v>1115082</v>
      </c>
      <c r="W497" s="705">
        <f t="shared" si="36"/>
        <v>1115082</v>
      </c>
      <c r="X497" s="705">
        <f t="shared" si="37"/>
        <v>1463727</v>
      </c>
      <c r="Y497" s="705"/>
    </row>
    <row r="498" spans="2:25">
      <c r="B498" t="s">
        <v>537</v>
      </c>
      <c r="C498" t="s">
        <v>120</v>
      </c>
      <c r="D498" t="s">
        <v>583</v>
      </c>
      <c r="E498" t="s">
        <v>583</v>
      </c>
      <c r="F498" s="705">
        <v>1942</v>
      </c>
      <c r="G498" s="705">
        <v>248743</v>
      </c>
      <c r="H498" s="705">
        <v>654814</v>
      </c>
      <c r="I498" s="705">
        <v>53270285</v>
      </c>
      <c r="J498" s="705">
        <v>48427532</v>
      </c>
      <c r="K498">
        <v>77</v>
      </c>
      <c r="L498" s="705">
        <v>11273321</v>
      </c>
      <c r="M498" s="705">
        <v>9916591</v>
      </c>
      <c r="N498" s="705">
        <v>5299480</v>
      </c>
      <c r="O498" s="705">
        <v>1962770</v>
      </c>
      <c r="P498" s="705">
        <v>1256722</v>
      </c>
      <c r="Q498" s="705">
        <v>465453</v>
      </c>
      <c r="R498" s="705">
        <v>10647540</v>
      </c>
      <c r="S498" s="705">
        <v>9679582</v>
      </c>
      <c r="T498" s="705">
        <v>2997773</v>
      </c>
      <c r="U498" s="705">
        <v>1110286</v>
      </c>
      <c r="V498" s="705">
        <v>71562214</v>
      </c>
      <c r="W498" s="705">
        <f t="shared" si="36"/>
        <v>71562214</v>
      </c>
      <c r="X498" s="705">
        <f t="shared" si="37"/>
        <v>84745121</v>
      </c>
      <c r="Y498" s="705"/>
    </row>
    <row r="499" spans="2:25">
      <c r="B499" t="s">
        <v>537</v>
      </c>
      <c r="C499" t="s">
        <v>120</v>
      </c>
      <c r="D499" t="s">
        <v>583</v>
      </c>
      <c r="E499" t="s">
        <v>584</v>
      </c>
      <c r="F499">
        <v>1</v>
      </c>
      <c r="G499" s="705">
        <v>138</v>
      </c>
      <c r="H499" s="705">
        <v>329</v>
      </c>
      <c r="I499" s="705">
        <v>30354</v>
      </c>
      <c r="J499" s="705">
        <v>27595</v>
      </c>
      <c r="K499">
        <v>86</v>
      </c>
      <c r="L499" s="705">
        <v>5491</v>
      </c>
      <c r="M499" s="705">
        <v>4992</v>
      </c>
      <c r="N499" s="705">
        <v>2943</v>
      </c>
      <c r="O499" s="705">
        <v>1090</v>
      </c>
      <c r="P499" s="705">
        <v>621</v>
      </c>
      <c r="Q499" s="705">
        <v>230</v>
      </c>
      <c r="R499" s="705">
        <v>3584</v>
      </c>
      <c r="S499" s="705">
        <v>3258</v>
      </c>
      <c r="T499" s="705">
        <v>2440</v>
      </c>
      <c r="U499" s="705">
        <v>904</v>
      </c>
      <c r="V499" s="705">
        <v>38068</v>
      </c>
      <c r="W499" s="705">
        <f t="shared" si="36"/>
        <v>38069</v>
      </c>
      <c r="X499" s="705">
        <f t="shared" si="37"/>
        <v>45433</v>
      </c>
      <c r="Y499" s="705"/>
    </row>
    <row r="500" spans="2:25">
      <c r="B500" t="s">
        <v>537</v>
      </c>
      <c r="C500" t="s">
        <v>120</v>
      </c>
      <c r="D500" t="s">
        <v>583</v>
      </c>
      <c r="E500" t="s">
        <v>665</v>
      </c>
      <c r="F500">
        <v>2</v>
      </c>
      <c r="G500" s="705">
        <v>578</v>
      </c>
      <c r="H500" s="705">
        <v>728</v>
      </c>
      <c r="I500" s="705">
        <v>155775</v>
      </c>
      <c r="J500" s="705">
        <v>141614</v>
      </c>
      <c r="K500">
        <v>75</v>
      </c>
      <c r="L500" s="705">
        <v>18694</v>
      </c>
      <c r="M500" s="705">
        <v>16994</v>
      </c>
      <c r="N500" s="705">
        <v>11960</v>
      </c>
      <c r="O500" s="705">
        <v>4430</v>
      </c>
      <c r="P500" s="705">
        <v>1242</v>
      </c>
      <c r="Q500" s="705">
        <v>460</v>
      </c>
      <c r="R500" s="705">
        <v>15105</v>
      </c>
      <c r="S500" s="705">
        <v>13732</v>
      </c>
      <c r="T500" s="705">
        <v>9368</v>
      </c>
      <c r="U500" s="705">
        <v>3470</v>
      </c>
      <c r="V500" s="705">
        <v>180699</v>
      </c>
      <c r="W500" s="705">
        <f t="shared" si="36"/>
        <v>180700</v>
      </c>
      <c r="X500" s="705">
        <f t="shared" si="37"/>
        <v>212144</v>
      </c>
      <c r="Y500" s="705"/>
    </row>
    <row r="501" spans="2:25">
      <c r="B501" t="s">
        <v>537</v>
      </c>
      <c r="C501" t="s">
        <v>120</v>
      </c>
      <c r="D501" t="s">
        <v>666</v>
      </c>
      <c r="E501" t="s">
        <v>228</v>
      </c>
      <c r="F501">
        <v>2</v>
      </c>
      <c r="G501">
        <v>197</v>
      </c>
      <c r="H501" s="705">
        <v>691</v>
      </c>
      <c r="I501" s="705">
        <v>42743</v>
      </c>
      <c r="J501" s="705">
        <v>38857</v>
      </c>
      <c r="K501">
        <v>58</v>
      </c>
      <c r="L501" s="705">
        <v>5954</v>
      </c>
      <c r="M501" s="705">
        <v>5413</v>
      </c>
      <c r="N501" s="705">
        <v>3637</v>
      </c>
      <c r="O501" s="705">
        <v>1347</v>
      </c>
      <c r="P501" s="705">
        <v>351</v>
      </c>
      <c r="Q501" s="705">
        <v>130</v>
      </c>
      <c r="R501" s="705">
        <v>13944</v>
      </c>
      <c r="S501" s="705">
        <v>5165</v>
      </c>
      <c r="T501" s="705">
        <v>0</v>
      </c>
      <c r="U501" s="705">
        <v>0</v>
      </c>
      <c r="V501" s="705">
        <v>50912</v>
      </c>
      <c r="W501" s="705">
        <f t="shared" si="36"/>
        <v>50912</v>
      </c>
      <c r="X501" s="705">
        <f t="shared" si="37"/>
        <v>66629</v>
      </c>
      <c r="Y501" s="705"/>
    </row>
    <row r="502" spans="2:25">
      <c r="B502" t="s">
        <v>537</v>
      </c>
      <c r="C502" t="s">
        <v>120</v>
      </c>
      <c r="D502" t="s">
        <v>666</v>
      </c>
      <c r="E502" t="s">
        <v>583</v>
      </c>
      <c r="F502">
        <v>1</v>
      </c>
      <c r="G502">
        <v>103</v>
      </c>
      <c r="H502" s="705">
        <v>332</v>
      </c>
      <c r="I502" s="705">
        <v>19842</v>
      </c>
      <c r="J502" s="705">
        <v>18038</v>
      </c>
      <c r="K502">
        <v>70</v>
      </c>
      <c r="L502" s="705">
        <v>4887</v>
      </c>
      <c r="M502" s="705">
        <v>4443</v>
      </c>
      <c r="N502" s="705">
        <v>2102</v>
      </c>
      <c r="O502" s="705">
        <v>779</v>
      </c>
      <c r="P502" s="705">
        <v>621</v>
      </c>
      <c r="Q502" s="705">
        <v>230</v>
      </c>
      <c r="R502" s="705">
        <v>6851</v>
      </c>
      <c r="S502" s="705">
        <v>6228</v>
      </c>
      <c r="T502" s="705">
        <v>0</v>
      </c>
      <c r="U502" s="705">
        <v>0</v>
      </c>
      <c r="V502" s="705">
        <v>29718</v>
      </c>
      <c r="W502" s="705">
        <f t="shared" si="36"/>
        <v>29718</v>
      </c>
      <c r="X502" s="705">
        <f t="shared" si="37"/>
        <v>34303</v>
      </c>
      <c r="Y502" s="705"/>
    </row>
    <row r="503" spans="2:25">
      <c r="B503" t="s">
        <v>537</v>
      </c>
      <c r="C503" t="s">
        <v>120</v>
      </c>
      <c r="D503" t="s">
        <v>666</v>
      </c>
      <c r="E503" t="s">
        <v>666</v>
      </c>
      <c r="F503">
        <v>13</v>
      </c>
      <c r="G503" s="705">
        <v>1309</v>
      </c>
      <c r="H503" s="705">
        <v>4409</v>
      </c>
      <c r="I503" s="705">
        <v>274113</v>
      </c>
      <c r="J503" s="705">
        <v>249194</v>
      </c>
      <c r="K503">
        <v>58</v>
      </c>
      <c r="L503" s="705">
        <v>43263</v>
      </c>
      <c r="M503" s="705">
        <v>33073</v>
      </c>
      <c r="N503" s="705">
        <v>26430</v>
      </c>
      <c r="O503" s="705">
        <v>9789</v>
      </c>
      <c r="P503" s="705">
        <v>4833</v>
      </c>
      <c r="Q503" s="705">
        <v>1790</v>
      </c>
      <c r="R503" s="705">
        <v>72304</v>
      </c>
      <c r="S503" s="705">
        <v>65731</v>
      </c>
      <c r="T503" s="705">
        <v>25261</v>
      </c>
      <c r="U503" s="705">
        <v>9356</v>
      </c>
      <c r="V503" s="705">
        <v>368933</v>
      </c>
      <c r="W503" s="705">
        <f t="shared" si="36"/>
        <v>368933</v>
      </c>
      <c r="X503" s="705">
        <f t="shared" si="37"/>
        <v>446204</v>
      </c>
      <c r="Y503" s="705"/>
    </row>
    <row r="504" spans="2:25">
      <c r="B504" t="s">
        <v>537</v>
      </c>
      <c r="C504" t="s">
        <v>120</v>
      </c>
      <c r="D504" t="s">
        <v>584</v>
      </c>
      <c r="E504" t="s">
        <v>228</v>
      </c>
      <c r="F504">
        <v>4</v>
      </c>
      <c r="G504" s="705">
        <v>384</v>
      </c>
      <c r="H504" s="705">
        <v>1364</v>
      </c>
      <c r="I504" s="705">
        <v>91103</v>
      </c>
      <c r="J504" s="705">
        <v>82821</v>
      </c>
      <c r="K504">
        <v>82</v>
      </c>
      <c r="L504" s="705">
        <v>19374</v>
      </c>
      <c r="M504" s="705">
        <v>17613</v>
      </c>
      <c r="N504" s="705">
        <v>7526</v>
      </c>
      <c r="O504" s="705">
        <v>2787</v>
      </c>
      <c r="P504" s="705">
        <v>1890</v>
      </c>
      <c r="Q504" s="705">
        <v>700</v>
      </c>
      <c r="R504" s="705">
        <v>28101</v>
      </c>
      <c r="S504" s="705">
        <v>10408</v>
      </c>
      <c r="T504" s="705">
        <v>0</v>
      </c>
      <c r="U504" s="705">
        <v>0</v>
      </c>
      <c r="V504" s="705">
        <v>114329</v>
      </c>
      <c r="W504" s="705">
        <f t="shared" si="36"/>
        <v>114329</v>
      </c>
      <c r="X504" s="705">
        <f t="shared" si="37"/>
        <v>147994</v>
      </c>
      <c r="Y504" s="705"/>
    </row>
    <row r="505" spans="2:25">
      <c r="B505" t="s">
        <v>537</v>
      </c>
      <c r="C505" t="s">
        <v>120</v>
      </c>
      <c r="D505" t="s">
        <v>584</v>
      </c>
      <c r="E505" t="s">
        <v>584</v>
      </c>
      <c r="F505">
        <v>430</v>
      </c>
      <c r="G505" s="705">
        <v>52104</v>
      </c>
      <c r="H505" s="705">
        <v>143156</v>
      </c>
      <c r="I505" s="705">
        <v>10764092</v>
      </c>
      <c r="J505" s="705">
        <v>9785538</v>
      </c>
      <c r="K505">
        <v>78</v>
      </c>
      <c r="L505" s="705">
        <v>2749313</v>
      </c>
      <c r="M505" s="705">
        <v>2346767</v>
      </c>
      <c r="N505" s="705">
        <v>1111875</v>
      </c>
      <c r="O505" s="705">
        <v>411806</v>
      </c>
      <c r="P505" s="705">
        <v>207009</v>
      </c>
      <c r="Q505" s="705">
        <v>76670</v>
      </c>
      <c r="R505" s="705">
        <v>2232017</v>
      </c>
      <c r="S505" s="705">
        <v>2029107</v>
      </c>
      <c r="T505" s="705">
        <v>553308</v>
      </c>
      <c r="U505" s="705">
        <v>204929</v>
      </c>
      <c r="V505" s="705">
        <v>14854816</v>
      </c>
      <c r="W505" s="705">
        <f t="shared" si="36"/>
        <v>14854817</v>
      </c>
      <c r="X505" s="705">
        <f t="shared" si="37"/>
        <v>17617614</v>
      </c>
      <c r="Y505" s="705"/>
    </row>
    <row r="506" spans="2:25">
      <c r="B506" t="s">
        <v>537</v>
      </c>
      <c r="C506" t="s">
        <v>120</v>
      </c>
      <c r="D506" t="s">
        <v>669</v>
      </c>
      <c r="E506" t="s">
        <v>228</v>
      </c>
      <c r="F506">
        <v>1</v>
      </c>
      <c r="G506" s="705">
        <v>56</v>
      </c>
      <c r="H506" s="705">
        <v>378</v>
      </c>
      <c r="I506" s="705">
        <v>11086</v>
      </c>
      <c r="J506" s="705">
        <v>9238</v>
      </c>
      <c r="K506">
        <v>65</v>
      </c>
      <c r="L506" s="705">
        <v>3002</v>
      </c>
      <c r="M506" s="705">
        <v>2502</v>
      </c>
      <c r="N506" s="705">
        <v>1356</v>
      </c>
      <c r="O506" s="705">
        <v>502</v>
      </c>
      <c r="P506" s="705">
        <v>351</v>
      </c>
      <c r="Q506" s="705">
        <v>130</v>
      </c>
      <c r="R506" s="705">
        <v>5270</v>
      </c>
      <c r="S506" s="705">
        <v>1952</v>
      </c>
      <c r="T506" s="705">
        <v>0</v>
      </c>
      <c r="U506" s="705">
        <v>0</v>
      </c>
      <c r="V506" s="705">
        <v>14324</v>
      </c>
      <c r="W506" s="705">
        <f t="shared" si="36"/>
        <v>14324</v>
      </c>
      <c r="X506" s="705">
        <f t="shared" si="37"/>
        <v>21065</v>
      </c>
      <c r="Y506" s="705"/>
    </row>
    <row r="507" spans="2:25">
      <c r="B507" t="s">
        <v>537</v>
      </c>
      <c r="C507" t="s">
        <v>120</v>
      </c>
      <c r="D507" t="s">
        <v>669</v>
      </c>
      <c r="E507" t="s">
        <v>669</v>
      </c>
      <c r="F507">
        <v>9</v>
      </c>
      <c r="G507" s="705">
        <v>970</v>
      </c>
      <c r="H507" s="705">
        <v>3078</v>
      </c>
      <c r="I507" s="705">
        <v>203572</v>
      </c>
      <c r="J507" s="705">
        <v>169643</v>
      </c>
      <c r="K507">
        <v>67</v>
      </c>
      <c r="L507" s="705">
        <v>40536</v>
      </c>
      <c r="M507" s="705">
        <v>25620</v>
      </c>
      <c r="N507" s="705">
        <v>19183</v>
      </c>
      <c r="O507" s="705">
        <v>7105</v>
      </c>
      <c r="P507" s="705">
        <v>3632</v>
      </c>
      <c r="Q507" s="705">
        <v>1345</v>
      </c>
      <c r="R507" s="705">
        <v>47606</v>
      </c>
      <c r="S507" s="705">
        <v>39672</v>
      </c>
      <c r="T507" s="705">
        <v>16718</v>
      </c>
      <c r="U507" s="705">
        <v>6192</v>
      </c>
      <c r="V507" s="705">
        <v>249577</v>
      </c>
      <c r="W507" s="705">
        <f t="shared" si="36"/>
        <v>249577</v>
      </c>
      <c r="X507" s="705">
        <f t="shared" si="37"/>
        <v>331247</v>
      </c>
      <c r="Y507" s="705"/>
    </row>
    <row r="508" spans="2:25">
      <c r="B508" t="s">
        <v>537</v>
      </c>
      <c r="C508" t="s">
        <v>120</v>
      </c>
      <c r="D508" t="s">
        <v>671</v>
      </c>
      <c r="E508" t="s">
        <v>671</v>
      </c>
      <c r="F508">
        <v>1</v>
      </c>
      <c r="G508">
        <v>124</v>
      </c>
      <c r="H508" s="705">
        <v>378</v>
      </c>
      <c r="I508" s="705">
        <v>33340</v>
      </c>
      <c r="J508" s="705">
        <v>30309</v>
      </c>
      <c r="K508">
        <v>55</v>
      </c>
      <c r="L508" s="705">
        <v>3135</v>
      </c>
      <c r="M508" s="705">
        <v>2850</v>
      </c>
      <c r="N508" s="705">
        <v>1507</v>
      </c>
      <c r="O508" s="705">
        <v>558</v>
      </c>
      <c r="P508" s="705">
        <v>351</v>
      </c>
      <c r="Q508">
        <v>130</v>
      </c>
      <c r="R508" s="705">
        <v>5725</v>
      </c>
      <c r="S508" s="705">
        <v>5205</v>
      </c>
      <c r="T508" s="705">
        <v>2720</v>
      </c>
      <c r="U508" s="705">
        <v>1007</v>
      </c>
      <c r="V508" s="705">
        <v>40059</v>
      </c>
      <c r="W508" s="705">
        <f t="shared" si="36"/>
        <v>40059</v>
      </c>
      <c r="X508" s="705">
        <f t="shared" si="37"/>
        <v>46778</v>
      </c>
      <c r="Y508" s="705"/>
    </row>
    <row r="509" spans="2:25">
      <c r="B509" t="s">
        <v>537</v>
      </c>
      <c r="C509" t="s">
        <v>120</v>
      </c>
      <c r="D509" t="s">
        <v>665</v>
      </c>
      <c r="E509" t="s">
        <v>664</v>
      </c>
      <c r="F509">
        <v>1</v>
      </c>
      <c r="G509">
        <v>120</v>
      </c>
      <c r="H509">
        <v>306</v>
      </c>
      <c r="I509" s="705">
        <v>26081</v>
      </c>
      <c r="J509" s="705">
        <v>23710</v>
      </c>
      <c r="K509">
        <v>65</v>
      </c>
      <c r="L509" s="705">
        <v>3139</v>
      </c>
      <c r="M509" s="705">
        <v>2854</v>
      </c>
      <c r="N509" s="705">
        <v>2922</v>
      </c>
      <c r="O509" s="705">
        <v>1082</v>
      </c>
      <c r="P509" s="705">
        <v>351</v>
      </c>
      <c r="Q509" s="705">
        <v>130</v>
      </c>
      <c r="R509" s="705">
        <v>4232</v>
      </c>
      <c r="S509" s="705">
        <v>3848</v>
      </c>
      <c r="T509">
        <v>0</v>
      </c>
      <c r="U509">
        <v>0</v>
      </c>
      <c r="V509" s="705">
        <v>31624</v>
      </c>
      <c r="W509" s="705">
        <f t="shared" si="36"/>
        <v>31624</v>
      </c>
      <c r="X509" s="705">
        <f t="shared" si="37"/>
        <v>36725</v>
      </c>
      <c r="Y509" s="705"/>
    </row>
    <row r="510" spans="2:25">
      <c r="B510" t="s">
        <v>537</v>
      </c>
      <c r="C510" t="s">
        <v>120</v>
      </c>
      <c r="D510" t="s">
        <v>665</v>
      </c>
      <c r="E510" t="s">
        <v>228</v>
      </c>
      <c r="F510">
        <v>9</v>
      </c>
      <c r="G510" s="705">
        <v>847</v>
      </c>
      <c r="H510" s="705">
        <v>3086</v>
      </c>
      <c r="I510" s="705">
        <v>175059</v>
      </c>
      <c r="J510" s="705">
        <v>159144</v>
      </c>
      <c r="K510">
        <v>62</v>
      </c>
      <c r="L510" s="705">
        <v>28947</v>
      </c>
      <c r="M510" s="705">
        <v>12561</v>
      </c>
      <c r="N510" s="705">
        <v>17447</v>
      </c>
      <c r="O510" s="705">
        <v>6462</v>
      </c>
      <c r="P510" s="705">
        <v>0</v>
      </c>
      <c r="Q510" s="705">
        <v>0</v>
      </c>
      <c r="R510" s="705">
        <v>67406</v>
      </c>
      <c r="S510" s="705">
        <v>24965</v>
      </c>
      <c r="T510" s="705">
        <v>0</v>
      </c>
      <c r="U510" s="705">
        <v>0</v>
      </c>
      <c r="V510" s="705">
        <v>203132</v>
      </c>
      <c r="W510" s="705">
        <f t="shared" si="36"/>
        <v>203132</v>
      </c>
      <c r="X510" s="705">
        <f t="shared" si="37"/>
        <v>288859</v>
      </c>
      <c r="Y510" s="705"/>
    </row>
    <row r="511" spans="2:25">
      <c r="B511" t="s">
        <v>537</v>
      </c>
      <c r="C511" t="s">
        <v>120</v>
      </c>
      <c r="D511" t="s">
        <v>665</v>
      </c>
      <c r="E511" t="s">
        <v>665</v>
      </c>
      <c r="F511">
        <v>123</v>
      </c>
      <c r="G511" s="705">
        <v>12437</v>
      </c>
      <c r="H511" s="705">
        <v>42376</v>
      </c>
      <c r="I511" s="705">
        <v>2737633</v>
      </c>
      <c r="J511" s="705">
        <v>2488757</v>
      </c>
      <c r="K511">
        <v>60</v>
      </c>
      <c r="L511" s="705">
        <v>380294</v>
      </c>
      <c r="M511" s="705">
        <v>294138</v>
      </c>
      <c r="N511" s="705">
        <v>256920</v>
      </c>
      <c r="O511" s="705">
        <v>95155</v>
      </c>
      <c r="P511" s="705">
        <v>47384</v>
      </c>
      <c r="Q511" s="705">
        <v>17550</v>
      </c>
      <c r="R511" s="705">
        <v>678261</v>
      </c>
      <c r="S511" s="705">
        <v>616601</v>
      </c>
      <c r="T511" s="705">
        <v>259217</v>
      </c>
      <c r="U511" s="705">
        <v>96006</v>
      </c>
      <c r="V511" s="705">
        <v>3608208</v>
      </c>
      <c r="W511" s="705">
        <f t="shared" si="36"/>
        <v>3608207</v>
      </c>
      <c r="X511" s="705">
        <f t="shared" si="37"/>
        <v>4359709</v>
      </c>
      <c r="Y511" s="705"/>
    </row>
    <row r="512" spans="2:25">
      <c r="B512" t="s">
        <v>537</v>
      </c>
      <c r="C512" t="s">
        <v>120</v>
      </c>
      <c r="D512" t="s">
        <v>673</v>
      </c>
      <c r="E512" t="s">
        <v>228</v>
      </c>
      <c r="F512">
        <v>1</v>
      </c>
      <c r="G512" s="705">
        <v>109</v>
      </c>
      <c r="H512" s="705">
        <v>337</v>
      </c>
      <c r="I512" s="705">
        <v>22725</v>
      </c>
      <c r="J512" s="705">
        <v>20659</v>
      </c>
      <c r="K512">
        <v>60</v>
      </c>
      <c r="L512" s="705">
        <v>3719</v>
      </c>
      <c r="M512" s="705">
        <v>1377</v>
      </c>
      <c r="N512" s="705">
        <v>2265</v>
      </c>
      <c r="O512" s="705">
        <v>839</v>
      </c>
      <c r="P512" s="705">
        <v>351</v>
      </c>
      <c r="Q512" s="705">
        <v>130</v>
      </c>
      <c r="R512" s="705">
        <v>7553</v>
      </c>
      <c r="S512" s="705">
        <v>2798</v>
      </c>
      <c r="T512">
        <v>0</v>
      </c>
      <c r="U512">
        <v>0</v>
      </c>
      <c r="V512" s="705">
        <v>25802</v>
      </c>
      <c r="W512" s="705">
        <f t="shared" si="36"/>
        <v>25803</v>
      </c>
      <c r="X512" s="705">
        <f t="shared" si="37"/>
        <v>36613</v>
      </c>
      <c r="Y512" s="705"/>
    </row>
    <row r="513" spans="2:25">
      <c r="B513" t="s">
        <v>537</v>
      </c>
      <c r="C513" t="s">
        <v>120</v>
      </c>
      <c r="D513" t="s">
        <v>673</v>
      </c>
      <c r="E513" t="s">
        <v>583</v>
      </c>
      <c r="F513">
        <v>1</v>
      </c>
      <c r="G513" s="705">
        <v>211</v>
      </c>
      <c r="H513" s="705">
        <v>348</v>
      </c>
      <c r="I513" s="705">
        <v>57354</v>
      </c>
      <c r="J513" s="705">
        <v>52140</v>
      </c>
      <c r="K513">
        <v>60</v>
      </c>
      <c r="L513" s="705">
        <v>12745</v>
      </c>
      <c r="M513" s="705">
        <v>11587</v>
      </c>
      <c r="N513" s="705">
        <v>5516</v>
      </c>
      <c r="O513" s="705">
        <v>2043</v>
      </c>
      <c r="P513" s="705">
        <v>351</v>
      </c>
      <c r="Q513" s="705">
        <v>130</v>
      </c>
      <c r="R513" s="705">
        <v>7309</v>
      </c>
      <c r="S513" s="705">
        <v>6645</v>
      </c>
      <c r="T513">
        <v>0</v>
      </c>
      <c r="U513">
        <v>0</v>
      </c>
      <c r="V513" s="705">
        <v>72544</v>
      </c>
      <c r="W513" s="705">
        <f t="shared" si="36"/>
        <v>72545</v>
      </c>
      <c r="X513" s="705">
        <f t="shared" si="37"/>
        <v>83275</v>
      </c>
      <c r="Y513" s="705"/>
    </row>
    <row r="514" spans="2:25">
      <c r="B514" t="s">
        <v>537</v>
      </c>
      <c r="C514" t="s">
        <v>120</v>
      </c>
      <c r="D514" t="s">
        <v>673</v>
      </c>
      <c r="E514" t="s">
        <v>673</v>
      </c>
      <c r="F514">
        <v>5</v>
      </c>
      <c r="G514" s="705">
        <v>589</v>
      </c>
      <c r="H514" s="705">
        <v>1749</v>
      </c>
      <c r="I514" s="705">
        <v>132416</v>
      </c>
      <c r="J514" s="705">
        <v>120379</v>
      </c>
      <c r="K514">
        <v>57</v>
      </c>
      <c r="L514" s="705">
        <v>17201</v>
      </c>
      <c r="M514" s="705">
        <v>13907</v>
      </c>
      <c r="N514" s="705">
        <v>11118</v>
      </c>
      <c r="O514" s="705">
        <v>4118</v>
      </c>
      <c r="P514" s="705">
        <v>1755</v>
      </c>
      <c r="Q514" s="705">
        <v>650</v>
      </c>
      <c r="R514" s="705">
        <v>39693</v>
      </c>
      <c r="S514" s="705">
        <v>36084</v>
      </c>
      <c r="T514" s="705">
        <v>3722</v>
      </c>
      <c r="U514" s="705">
        <v>1379</v>
      </c>
      <c r="V514" s="705">
        <v>176516</v>
      </c>
      <c r="W514" s="705">
        <f t="shared" si="36"/>
        <v>176517</v>
      </c>
      <c r="X514" s="705">
        <f t="shared" si="37"/>
        <v>205905</v>
      </c>
      <c r="Y514" s="705"/>
    </row>
    <row r="515" spans="2:25">
      <c r="B515" t="s">
        <v>537</v>
      </c>
      <c r="C515" t="s">
        <v>120</v>
      </c>
      <c r="D515" t="s">
        <v>585</v>
      </c>
      <c r="E515" t="s">
        <v>228</v>
      </c>
      <c r="F515">
        <v>1</v>
      </c>
      <c r="G515" s="705">
        <v>66</v>
      </c>
      <c r="H515" s="705">
        <v>354</v>
      </c>
      <c r="I515" s="705">
        <v>18600</v>
      </c>
      <c r="J515" s="705">
        <v>16910</v>
      </c>
      <c r="K515">
        <v>65</v>
      </c>
      <c r="L515" s="705">
        <v>0</v>
      </c>
      <c r="M515" s="705">
        <v>0</v>
      </c>
      <c r="N515" s="705">
        <v>1160</v>
      </c>
      <c r="O515" s="705">
        <v>430</v>
      </c>
      <c r="P515" s="705">
        <v>351</v>
      </c>
      <c r="Q515" s="705">
        <v>130</v>
      </c>
      <c r="R515" s="705">
        <v>3134</v>
      </c>
      <c r="S515" s="705">
        <v>1161</v>
      </c>
      <c r="T515" s="705">
        <v>0</v>
      </c>
      <c r="U515" s="705">
        <v>0</v>
      </c>
      <c r="V515" s="705">
        <v>18630</v>
      </c>
      <c r="W515" s="705">
        <f t="shared" si="36"/>
        <v>18631</v>
      </c>
      <c r="X515" s="705">
        <f t="shared" si="37"/>
        <v>23245</v>
      </c>
      <c r="Y515" s="705"/>
    </row>
    <row r="516" spans="2:25">
      <c r="B516" t="s">
        <v>537</v>
      </c>
      <c r="C516" t="s">
        <v>120</v>
      </c>
      <c r="D516" t="s">
        <v>585</v>
      </c>
      <c r="E516" t="s">
        <v>585</v>
      </c>
      <c r="F516">
        <v>2</v>
      </c>
      <c r="G516" s="705">
        <v>219</v>
      </c>
      <c r="H516" s="705">
        <v>699</v>
      </c>
      <c r="I516" s="705">
        <v>54688</v>
      </c>
      <c r="J516" s="705">
        <v>49717</v>
      </c>
      <c r="K516">
        <v>76</v>
      </c>
      <c r="L516" s="705">
        <v>2401</v>
      </c>
      <c r="M516" s="705">
        <v>2183</v>
      </c>
      <c r="N516" s="705">
        <v>5184</v>
      </c>
      <c r="O516" s="705">
        <v>1920</v>
      </c>
      <c r="P516" s="705">
        <v>702</v>
      </c>
      <c r="Q516" s="705">
        <v>260</v>
      </c>
      <c r="R516" s="705">
        <v>8535</v>
      </c>
      <c r="S516" s="705">
        <v>7759</v>
      </c>
      <c r="T516" s="705">
        <v>5490</v>
      </c>
      <c r="U516" s="705">
        <v>2033</v>
      </c>
      <c r="V516" s="705">
        <v>63872</v>
      </c>
      <c r="W516" s="705">
        <f t="shared" si="36"/>
        <v>63872</v>
      </c>
      <c r="X516" s="705">
        <f t="shared" si="37"/>
        <v>77000</v>
      </c>
      <c r="Y516" s="705"/>
    </row>
    <row r="517" spans="2:25">
      <c r="B517" t="s">
        <v>537</v>
      </c>
      <c r="C517" t="s">
        <v>120</v>
      </c>
      <c r="D517" t="s">
        <v>585</v>
      </c>
      <c r="E517" t="s">
        <v>668</v>
      </c>
      <c r="F517">
        <v>1</v>
      </c>
      <c r="G517" s="705">
        <v>133</v>
      </c>
      <c r="H517" s="705">
        <v>311</v>
      </c>
      <c r="I517" s="705">
        <v>27335</v>
      </c>
      <c r="J517" s="705">
        <v>24850</v>
      </c>
      <c r="K517">
        <v>65</v>
      </c>
      <c r="L517" s="705">
        <v>3037</v>
      </c>
      <c r="M517" s="705">
        <v>2761</v>
      </c>
      <c r="N517" s="705">
        <v>2915</v>
      </c>
      <c r="O517" s="705">
        <v>1080</v>
      </c>
      <c r="P517" s="705">
        <v>351</v>
      </c>
      <c r="Q517" s="705">
        <v>130</v>
      </c>
      <c r="R517" s="705">
        <v>4925</v>
      </c>
      <c r="S517" s="705">
        <v>4477</v>
      </c>
      <c r="T517" s="705">
        <v>2783</v>
      </c>
      <c r="U517" s="705">
        <v>1031</v>
      </c>
      <c r="V517" s="705">
        <v>34329</v>
      </c>
      <c r="W517" s="705">
        <f t="shared" si="36"/>
        <v>34329</v>
      </c>
      <c r="X517" s="705">
        <f t="shared" si="37"/>
        <v>41346</v>
      </c>
      <c r="Y517" s="705"/>
    </row>
    <row r="518" spans="2:25">
      <c r="B518" t="s">
        <v>537</v>
      </c>
      <c r="C518" t="s">
        <v>120</v>
      </c>
      <c r="D518" t="s">
        <v>668</v>
      </c>
      <c r="E518" t="s">
        <v>668</v>
      </c>
      <c r="F518">
        <v>1</v>
      </c>
      <c r="G518">
        <v>107</v>
      </c>
      <c r="H518">
        <v>338</v>
      </c>
      <c r="I518" s="705">
        <v>22965</v>
      </c>
      <c r="J518" s="705">
        <v>20877</v>
      </c>
      <c r="K518">
        <v>65</v>
      </c>
      <c r="L518" s="705">
        <v>2628</v>
      </c>
      <c r="M518" s="705">
        <v>2389</v>
      </c>
      <c r="N518" s="705">
        <v>2380</v>
      </c>
      <c r="O518" s="705">
        <v>881</v>
      </c>
      <c r="P518" s="705">
        <v>351</v>
      </c>
      <c r="Q518">
        <v>130</v>
      </c>
      <c r="R518" s="705">
        <v>5190</v>
      </c>
      <c r="S518" s="705">
        <v>4718</v>
      </c>
      <c r="T518" s="705">
        <v>2787</v>
      </c>
      <c r="U518" s="705">
        <v>1032</v>
      </c>
      <c r="V518" s="705">
        <v>30028</v>
      </c>
      <c r="W518" s="705">
        <f t="shared" si="36"/>
        <v>30027</v>
      </c>
      <c r="X518" s="705">
        <f t="shared" si="37"/>
        <v>36301</v>
      </c>
      <c r="Y518" s="705"/>
    </row>
    <row r="519" spans="2:25">
      <c r="B519" t="s">
        <v>537</v>
      </c>
      <c r="C519" t="s">
        <v>122</v>
      </c>
      <c r="F519">
        <v>1</v>
      </c>
      <c r="G519" s="705">
        <v>100</v>
      </c>
      <c r="H519" s="705">
        <v>409</v>
      </c>
      <c r="I519" s="705"/>
      <c r="J519" s="705">
        <v>0</v>
      </c>
      <c r="L519" s="705"/>
      <c r="M519" s="705">
        <v>0</v>
      </c>
      <c r="N519" s="705">
        <v>1957</v>
      </c>
      <c r="O519" s="705">
        <v>725</v>
      </c>
      <c r="P519" s="705">
        <v>0</v>
      </c>
      <c r="Q519" s="705">
        <v>0</v>
      </c>
      <c r="R519" s="705"/>
      <c r="S519" s="705">
        <v>0</v>
      </c>
      <c r="T519" s="705">
        <v>1979</v>
      </c>
      <c r="U519" s="705">
        <v>733</v>
      </c>
      <c r="V519" s="705">
        <v>1458</v>
      </c>
      <c r="W519" s="705">
        <f t="shared" ref="W519:W582" si="38">SUM(ABS(J519),ABS(M519),ABS(O519),ABS(Q519),ABS(S519),ABS(U519))</f>
        <v>1458</v>
      </c>
      <c r="X519" s="705">
        <f t="shared" ref="X519:X582" si="39">SUM(ABS(I519),ABS(N519),ABS(P519),ABS(R519),ABS(T519),ABS(L519))</f>
        <v>3936</v>
      </c>
      <c r="Y519" s="705"/>
    </row>
    <row r="520" spans="2:25">
      <c r="B520" t="s">
        <v>537</v>
      </c>
      <c r="C520" t="s">
        <v>122</v>
      </c>
      <c r="D520" t="s">
        <v>664</v>
      </c>
      <c r="E520" t="s">
        <v>664</v>
      </c>
      <c r="F520">
        <v>7</v>
      </c>
      <c r="G520" s="705">
        <v>671</v>
      </c>
      <c r="H520" s="705">
        <v>2991</v>
      </c>
      <c r="I520" s="705">
        <v>218226</v>
      </c>
      <c r="J520" s="705">
        <v>198387</v>
      </c>
      <c r="K520">
        <v>72</v>
      </c>
      <c r="L520" s="705">
        <v>24470</v>
      </c>
      <c r="M520" s="705">
        <v>37490</v>
      </c>
      <c r="N520" s="705">
        <v>15956</v>
      </c>
      <c r="O520" s="705">
        <v>5909</v>
      </c>
      <c r="P520" s="705">
        <v>3065</v>
      </c>
      <c r="Q520" s="705">
        <v>1135</v>
      </c>
      <c r="R520" s="705">
        <v>35867</v>
      </c>
      <c r="S520" s="705">
        <v>32606</v>
      </c>
      <c r="T520" s="705">
        <v>14058</v>
      </c>
      <c r="U520" s="705">
        <v>5207</v>
      </c>
      <c r="V520" s="705">
        <v>280734</v>
      </c>
      <c r="W520" s="705">
        <f t="shared" si="38"/>
        <v>280734</v>
      </c>
      <c r="X520" s="705">
        <f t="shared" si="39"/>
        <v>311642</v>
      </c>
      <c r="Y520" s="705"/>
    </row>
    <row r="521" spans="2:25">
      <c r="B521" t="s">
        <v>537</v>
      </c>
      <c r="C521" t="s">
        <v>122</v>
      </c>
      <c r="D521" t="s">
        <v>582</v>
      </c>
      <c r="E521" t="s">
        <v>664</v>
      </c>
      <c r="F521">
        <v>1</v>
      </c>
      <c r="G521" s="705">
        <v>130</v>
      </c>
      <c r="H521" s="705">
        <v>417</v>
      </c>
      <c r="I521" s="705">
        <v>38670</v>
      </c>
      <c r="J521" s="705">
        <v>35155</v>
      </c>
      <c r="K521">
        <v>80</v>
      </c>
      <c r="L521" s="705">
        <v>5736</v>
      </c>
      <c r="M521" s="705">
        <v>5215</v>
      </c>
      <c r="N521" s="705">
        <v>2901</v>
      </c>
      <c r="O521" s="705">
        <v>1074</v>
      </c>
      <c r="P521" s="705">
        <v>473</v>
      </c>
      <c r="Q521" s="705">
        <v>175</v>
      </c>
      <c r="R521" s="705">
        <v>3585</v>
      </c>
      <c r="S521" s="705">
        <v>3259</v>
      </c>
      <c r="T521" s="705">
        <v>2928</v>
      </c>
      <c r="U521" s="705">
        <v>1085</v>
      </c>
      <c r="V521" s="705">
        <v>45963</v>
      </c>
      <c r="W521" s="705">
        <f t="shared" si="38"/>
        <v>45963</v>
      </c>
      <c r="X521" s="705">
        <f t="shared" si="39"/>
        <v>54293</v>
      </c>
      <c r="Y521" s="705"/>
    </row>
    <row r="522" spans="2:25">
      <c r="B522" t="s">
        <v>537</v>
      </c>
      <c r="C522" t="s">
        <v>122</v>
      </c>
      <c r="D522" t="s">
        <v>582</v>
      </c>
      <c r="E522" t="s">
        <v>582</v>
      </c>
      <c r="F522" s="705">
        <v>21</v>
      </c>
      <c r="G522" s="705">
        <v>3275</v>
      </c>
      <c r="H522" s="705">
        <v>8748</v>
      </c>
      <c r="I522" s="705">
        <v>927330</v>
      </c>
      <c r="J522" s="705">
        <v>843027</v>
      </c>
      <c r="K522">
        <v>78</v>
      </c>
      <c r="L522" s="705">
        <v>223484</v>
      </c>
      <c r="M522" s="705">
        <v>197857</v>
      </c>
      <c r="N522" s="705">
        <v>76428</v>
      </c>
      <c r="O522" s="705">
        <v>28307</v>
      </c>
      <c r="P522" s="705">
        <v>12434</v>
      </c>
      <c r="Q522" s="705">
        <v>4605</v>
      </c>
      <c r="R522" s="705">
        <v>110186</v>
      </c>
      <c r="S522" s="705">
        <v>100169</v>
      </c>
      <c r="T522" s="705">
        <v>26834</v>
      </c>
      <c r="U522" s="705">
        <v>9939</v>
      </c>
      <c r="V522" s="705">
        <v>1183903</v>
      </c>
      <c r="W522" s="705">
        <f t="shared" si="38"/>
        <v>1183904</v>
      </c>
      <c r="X522" s="705">
        <f t="shared" si="39"/>
        <v>1376696</v>
      </c>
      <c r="Y522" s="705"/>
    </row>
    <row r="523" spans="2:25">
      <c r="B523" t="s">
        <v>537</v>
      </c>
      <c r="C523" t="s">
        <v>122</v>
      </c>
      <c r="D523" t="s">
        <v>228</v>
      </c>
      <c r="E523" t="s">
        <v>228</v>
      </c>
      <c r="F523">
        <v>124</v>
      </c>
      <c r="G523" s="705">
        <v>13013</v>
      </c>
      <c r="H523" s="705">
        <v>51545</v>
      </c>
      <c r="I523" s="705">
        <v>3677732</v>
      </c>
      <c r="J523" s="705">
        <v>1362123</v>
      </c>
      <c r="K523">
        <v>102</v>
      </c>
      <c r="L523" s="705">
        <v>553737</v>
      </c>
      <c r="M523" s="705">
        <v>460728</v>
      </c>
      <c r="N523" s="705">
        <v>279086</v>
      </c>
      <c r="O523" s="705">
        <v>103365</v>
      </c>
      <c r="P523" s="705">
        <v>3612</v>
      </c>
      <c r="Q523" s="705">
        <v>1338</v>
      </c>
      <c r="R523" s="705">
        <v>970450</v>
      </c>
      <c r="S523" s="705">
        <v>359426</v>
      </c>
      <c r="T523" s="705">
        <v>2409</v>
      </c>
      <c r="U523" s="705">
        <v>892</v>
      </c>
      <c r="V523" s="705">
        <v>2287872</v>
      </c>
      <c r="W523" s="705">
        <f t="shared" si="38"/>
        <v>2287872</v>
      </c>
      <c r="X523" s="705">
        <f t="shared" si="39"/>
        <v>5487026</v>
      </c>
      <c r="Y523" s="705"/>
    </row>
    <row r="524" spans="2:25">
      <c r="B524" t="s">
        <v>537</v>
      </c>
      <c r="C524" t="s">
        <v>122</v>
      </c>
      <c r="D524" t="s">
        <v>228</v>
      </c>
      <c r="E524" t="s">
        <v>583</v>
      </c>
      <c r="F524">
        <v>1</v>
      </c>
      <c r="G524" s="705">
        <v>144</v>
      </c>
      <c r="H524" s="705">
        <v>381</v>
      </c>
      <c r="I524" s="705">
        <v>41045</v>
      </c>
      <c r="J524" s="705">
        <v>15202</v>
      </c>
      <c r="K524">
        <v>100</v>
      </c>
      <c r="L524" s="705">
        <v>3716</v>
      </c>
      <c r="M524" s="705">
        <v>3378</v>
      </c>
      <c r="N524" s="705">
        <v>3301</v>
      </c>
      <c r="O524" s="705">
        <v>1222</v>
      </c>
      <c r="P524" s="705">
        <v>0</v>
      </c>
      <c r="Q524" s="705">
        <v>0</v>
      </c>
      <c r="R524" s="705">
        <v>3858</v>
      </c>
      <c r="S524" s="705">
        <v>3507</v>
      </c>
      <c r="T524" s="705">
        <v>2955</v>
      </c>
      <c r="U524" s="705">
        <v>1094</v>
      </c>
      <c r="V524" s="705">
        <v>24404</v>
      </c>
      <c r="W524" s="705">
        <f t="shared" si="38"/>
        <v>24403</v>
      </c>
      <c r="X524" s="705">
        <f t="shared" si="39"/>
        <v>54875</v>
      </c>
      <c r="Y524" s="705"/>
    </row>
    <row r="525" spans="2:25">
      <c r="B525" t="s">
        <v>537</v>
      </c>
      <c r="C525" t="s">
        <v>122</v>
      </c>
      <c r="D525" t="s">
        <v>228</v>
      </c>
      <c r="E525" t="s">
        <v>665</v>
      </c>
      <c r="F525">
        <v>6</v>
      </c>
      <c r="G525" s="705">
        <v>641</v>
      </c>
      <c r="H525" s="705">
        <v>2585</v>
      </c>
      <c r="I525" s="705">
        <v>192674</v>
      </c>
      <c r="J525" s="705">
        <v>71361</v>
      </c>
      <c r="K525">
        <v>100</v>
      </c>
      <c r="L525" s="705">
        <v>25223</v>
      </c>
      <c r="M525" s="705">
        <v>22930</v>
      </c>
      <c r="N525" s="705">
        <v>11244</v>
      </c>
      <c r="O525" s="705">
        <v>4164</v>
      </c>
      <c r="P525" s="705">
        <v>702</v>
      </c>
      <c r="Q525" s="705">
        <v>260</v>
      </c>
      <c r="R525" s="705">
        <v>38003</v>
      </c>
      <c r="S525" s="705">
        <v>34548</v>
      </c>
      <c r="T525" s="705">
        <v>8518</v>
      </c>
      <c r="U525" s="705">
        <v>3155</v>
      </c>
      <c r="V525" s="705">
        <v>136418</v>
      </c>
      <c r="W525" s="705">
        <f t="shared" si="38"/>
        <v>136418</v>
      </c>
      <c r="X525" s="705">
        <f t="shared" si="39"/>
        <v>276364</v>
      </c>
      <c r="Y525" s="705"/>
    </row>
    <row r="526" spans="2:25">
      <c r="B526" t="s">
        <v>537</v>
      </c>
      <c r="C526" t="s">
        <v>122</v>
      </c>
      <c r="D526" t="s">
        <v>583</v>
      </c>
      <c r="E526" t="s">
        <v>664</v>
      </c>
      <c r="F526">
        <v>1</v>
      </c>
      <c r="G526" s="705">
        <v>101</v>
      </c>
      <c r="H526" s="705">
        <v>431</v>
      </c>
      <c r="I526" s="705">
        <v>28753</v>
      </c>
      <c r="J526" s="705">
        <v>26139</v>
      </c>
      <c r="K526">
        <v>79</v>
      </c>
      <c r="L526" s="705">
        <v>7987</v>
      </c>
      <c r="M526" s="705">
        <v>7261</v>
      </c>
      <c r="N526" s="705">
        <v>2466</v>
      </c>
      <c r="O526" s="705">
        <v>913</v>
      </c>
      <c r="P526" s="705">
        <v>621</v>
      </c>
      <c r="Q526" s="705">
        <v>230</v>
      </c>
      <c r="R526" s="705">
        <v>3794</v>
      </c>
      <c r="S526" s="705">
        <v>3449</v>
      </c>
      <c r="T526">
        <v>0</v>
      </c>
      <c r="U526">
        <v>0</v>
      </c>
      <c r="V526" s="705">
        <v>37992</v>
      </c>
      <c r="W526" s="705">
        <f t="shared" si="38"/>
        <v>37992</v>
      </c>
      <c r="X526" s="705">
        <f t="shared" si="39"/>
        <v>43621</v>
      </c>
      <c r="Y526" s="705"/>
    </row>
    <row r="527" spans="2:25">
      <c r="B527" t="s">
        <v>537</v>
      </c>
      <c r="C527" t="s">
        <v>122</v>
      </c>
      <c r="D527" t="s">
        <v>583</v>
      </c>
      <c r="E527" t="s">
        <v>228</v>
      </c>
      <c r="F527">
        <v>19</v>
      </c>
      <c r="G527" s="705">
        <v>2239</v>
      </c>
      <c r="H527" s="705">
        <v>7944</v>
      </c>
      <c r="I527" s="705">
        <v>641500</v>
      </c>
      <c r="J527" s="705">
        <v>583182</v>
      </c>
      <c r="K527">
        <v>80</v>
      </c>
      <c r="L527" s="705">
        <v>134652</v>
      </c>
      <c r="M527" s="705">
        <v>115111</v>
      </c>
      <c r="N527" s="705">
        <v>49798</v>
      </c>
      <c r="O527" s="705">
        <v>18444</v>
      </c>
      <c r="P527" s="705">
        <v>12150</v>
      </c>
      <c r="Q527" s="705">
        <v>4500</v>
      </c>
      <c r="R527" s="705">
        <v>125235</v>
      </c>
      <c r="S527" s="705">
        <v>46383</v>
      </c>
      <c r="T527" s="705">
        <v>0</v>
      </c>
      <c r="U527" s="705">
        <v>0</v>
      </c>
      <c r="V527" s="705">
        <v>767619</v>
      </c>
      <c r="W527" s="705">
        <f t="shared" si="38"/>
        <v>767620</v>
      </c>
      <c r="X527" s="705">
        <f t="shared" si="39"/>
        <v>963335</v>
      </c>
      <c r="Y527" s="705"/>
    </row>
    <row r="528" spans="2:25">
      <c r="B528" t="s">
        <v>537</v>
      </c>
      <c r="C528" t="s">
        <v>122</v>
      </c>
      <c r="D528" t="s">
        <v>583</v>
      </c>
      <c r="E528" t="s">
        <v>583</v>
      </c>
      <c r="F528">
        <v>871</v>
      </c>
      <c r="G528" s="705">
        <v>104645</v>
      </c>
      <c r="H528" s="705">
        <v>361520</v>
      </c>
      <c r="I528" s="705">
        <v>29052699</v>
      </c>
      <c r="J528" s="705">
        <v>26411544</v>
      </c>
      <c r="K528">
        <v>76</v>
      </c>
      <c r="L528" s="705">
        <v>5979852</v>
      </c>
      <c r="M528" s="705">
        <v>5291810</v>
      </c>
      <c r="N528" s="705">
        <v>2289189</v>
      </c>
      <c r="O528" s="705">
        <v>847848</v>
      </c>
      <c r="P528" s="705">
        <v>557791</v>
      </c>
      <c r="Q528" s="705">
        <v>206589</v>
      </c>
      <c r="R528" s="705">
        <v>4585974</v>
      </c>
      <c r="S528" s="705">
        <v>4169067</v>
      </c>
      <c r="T528" s="705">
        <v>1422922</v>
      </c>
      <c r="U528" s="705">
        <v>527008</v>
      </c>
      <c r="V528" s="705">
        <v>37453866</v>
      </c>
      <c r="W528" s="705">
        <f t="shared" si="38"/>
        <v>37453866</v>
      </c>
      <c r="X528" s="705">
        <f t="shared" si="39"/>
        <v>43888427</v>
      </c>
      <c r="Y528" s="705"/>
    </row>
    <row r="529" spans="2:25">
      <c r="B529" t="s">
        <v>537</v>
      </c>
      <c r="C529" t="s">
        <v>122</v>
      </c>
      <c r="D529" t="s">
        <v>583</v>
      </c>
      <c r="E529" t="s">
        <v>666</v>
      </c>
      <c r="F529">
        <v>1</v>
      </c>
      <c r="G529" s="705">
        <v>80</v>
      </c>
      <c r="H529" s="705">
        <v>387</v>
      </c>
      <c r="I529" s="705">
        <v>20884</v>
      </c>
      <c r="J529" s="705">
        <v>18985</v>
      </c>
      <c r="K529">
        <v>86</v>
      </c>
      <c r="L529" s="705">
        <v>3148</v>
      </c>
      <c r="M529" s="705">
        <v>2862</v>
      </c>
      <c r="N529" s="705">
        <v>1939</v>
      </c>
      <c r="O529" s="705">
        <v>718</v>
      </c>
      <c r="P529" s="705">
        <v>621</v>
      </c>
      <c r="Q529" s="705">
        <v>230</v>
      </c>
      <c r="R529" s="705">
        <v>4248</v>
      </c>
      <c r="S529" s="705">
        <v>3862</v>
      </c>
      <c r="T529" s="705">
        <v>0</v>
      </c>
      <c r="U529" s="705">
        <v>0</v>
      </c>
      <c r="V529" s="705">
        <v>26658</v>
      </c>
      <c r="W529" s="705">
        <f t="shared" si="38"/>
        <v>26657</v>
      </c>
      <c r="X529" s="705">
        <f t="shared" si="39"/>
        <v>30840</v>
      </c>
      <c r="Y529" s="705"/>
    </row>
    <row r="530" spans="2:25">
      <c r="B530" t="s">
        <v>537</v>
      </c>
      <c r="C530" t="s">
        <v>122</v>
      </c>
      <c r="D530" t="s">
        <v>583</v>
      </c>
      <c r="E530" t="s">
        <v>584</v>
      </c>
      <c r="F530">
        <v>2</v>
      </c>
      <c r="G530" s="705">
        <v>1167</v>
      </c>
      <c r="H530">
        <v>773</v>
      </c>
      <c r="I530" s="705">
        <v>307898</v>
      </c>
      <c r="J530" s="705">
        <v>279907</v>
      </c>
      <c r="K530">
        <v>82</v>
      </c>
      <c r="L530" s="705">
        <v>98542</v>
      </c>
      <c r="M530" s="705">
        <v>89584</v>
      </c>
      <c r="N530" s="705">
        <v>25611</v>
      </c>
      <c r="O530" s="705">
        <v>9485</v>
      </c>
      <c r="P530" s="705">
        <v>1364</v>
      </c>
      <c r="Q530" s="705">
        <v>505</v>
      </c>
      <c r="R530" s="705">
        <v>17575</v>
      </c>
      <c r="S530" s="705">
        <v>15977</v>
      </c>
      <c r="T530" s="705">
        <v>0</v>
      </c>
      <c r="U530" s="705">
        <v>0</v>
      </c>
      <c r="V530" s="705">
        <v>395458</v>
      </c>
      <c r="W530" s="705">
        <f t="shared" si="38"/>
        <v>395458</v>
      </c>
      <c r="X530" s="705">
        <f t="shared" si="39"/>
        <v>450990</v>
      </c>
      <c r="Y530" s="705"/>
    </row>
    <row r="531" spans="2:25">
      <c r="B531" t="s">
        <v>537</v>
      </c>
      <c r="C531" t="s">
        <v>122</v>
      </c>
      <c r="D531" t="s">
        <v>583</v>
      </c>
      <c r="E531" t="s">
        <v>665</v>
      </c>
      <c r="F531">
        <v>1</v>
      </c>
      <c r="G531" s="705">
        <v>102</v>
      </c>
      <c r="H531" s="705">
        <v>439</v>
      </c>
      <c r="I531" s="705">
        <v>35479</v>
      </c>
      <c r="J531" s="705">
        <v>32253</v>
      </c>
      <c r="K531">
        <v>65</v>
      </c>
      <c r="L531" s="705">
        <v>4060</v>
      </c>
      <c r="M531" s="705">
        <v>3691</v>
      </c>
      <c r="N531" s="705">
        <v>2483</v>
      </c>
      <c r="O531" s="705">
        <v>920</v>
      </c>
      <c r="P531" s="705">
        <v>621</v>
      </c>
      <c r="Q531">
        <v>230</v>
      </c>
      <c r="R531" s="705">
        <v>2105</v>
      </c>
      <c r="S531" s="705">
        <v>1914</v>
      </c>
      <c r="T531" s="705">
        <v>0</v>
      </c>
      <c r="U531" s="705">
        <v>0</v>
      </c>
      <c r="V531" s="705">
        <v>39008</v>
      </c>
      <c r="W531" s="705">
        <f t="shared" si="38"/>
        <v>39008</v>
      </c>
      <c r="X531" s="705">
        <f t="shared" si="39"/>
        <v>44748</v>
      </c>
      <c r="Y531" s="705"/>
    </row>
    <row r="532" spans="2:25">
      <c r="B532" t="s">
        <v>537</v>
      </c>
      <c r="C532" t="s">
        <v>122</v>
      </c>
      <c r="D532" t="s">
        <v>666</v>
      </c>
      <c r="E532" t="s">
        <v>228</v>
      </c>
      <c r="F532">
        <v>2</v>
      </c>
      <c r="G532" s="705">
        <v>175</v>
      </c>
      <c r="H532" s="705">
        <v>816</v>
      </c>
      <c r="I532" s="705">
        <v>58362</v>
      </c>
      <c r="J532" s="705">
        <v>53057</v>
      </c>
      <c r="K532">
        <v>60</v>
      </c>
      <c r="L532" s="705">
        <v>3283</v>
      </c>
      <c r="M532" s="705">
        <v>12230</v>
      </c>
      <c r="N532" s="705">
        <v>4852</v>
      </c>
      <c r="O532" s="705">
        <v>1797</v>
      </c>
      <c r="P532" s="705">
        <v>351</v>
      </c>
      <c r="Q532" s="705">
        <v>130</v>
      </c>
      <c r="R532" s="705">
        <v>15108</v>
      </c>
      <c r="S532" s="705">
        <v>5595</v>
      </c>
      <c r="T532" s="705">
        <v>0</v>
      </c>
      <c r="U532" s="705">
        <v>0</v>
      </c>
      <c r="V532" s="705">
        <v>72810</v>
      </c>
      <c r="W532" s="705">
        <f t="shared" si="38"/>
        <v>72809</v>
      </c>
      <c r="X532" s="705">
        <f t="shared" si="39"/>
        <v>81956</v>
      </c>
      <c r="Y532" s="705"/>
    </row>
    <row r="533" spans="2:25">
      <c r="B533" t="s">
        <v>537</v>
      </c>
      <c r="C533" t="s">
        <v>122</v>
      </c>
      <c r="D533" t="s">
        <v>666</v>
      </c>
      <c r="E533" t="s">
        <v>666</v>
      </c>
      <c r="F533">
        <v>10</v>
      </c>
      <c r="G533">
        <v>998</v>
      </c>
      <c r="H533" s="705">
        <v>4129</v>
      </c>
      <c r="I533" s="705">
        <v>273789</v>
      </c>
      <c r="J533" s="705">
        <v>248899</v>
      </c>
      <c r="K533">
        <v>59</v>
      </c>
      <c r="L533" s="705">
        <v>33064</v>
      </c>
      <c r="M533" s="705">
        <v>25195</v>
      </c>
      <c r="N533" s="705">
        <v>20944</v>
      </c>
      <c r="O533" s="705">
        <v>7757</v>
      </c>
      <c r="P533" s="705">
        <v>3510</v>
      </c>
      <c r="Q533" s="705">
        <v>1300</v>
      </c>
      <c r="R533" s="705">
        <v>55830</v>
      </c>
      <c r="S533" s="705">
        <v>50754</v>
      </c>
      <c r="T533" s="705">
        <v>25325</v>
      </c>
      <c r="U533" s="705">
        <v>9380</v>
      </c>
      <c r="V533" s="705">
        <v>343284</v>
      </c>
      <c r="W533" s="705">
        <f t="shared" si="38"/>
        <v>343285</v>
      </c>
      <c r="X533" s="705">
        <f t="shared" si="39"/>
        <v>412462</v>
      </c>
      <c r="Y533" s="705"/>
    </row>
    <row r="534" spans="2:25">
      <c r="B534" t="s">
        <v>537</v>
      </c>
      <c r="C534" t="s">
        <v>122</v>
      </c>
      <c r="D534" t="s">
        <v>584</v>
      </c>
      <c r="E534" t="s">
        <v>228</v>
      </c>
      <c r="F534">
        <v>3</v>
      </c>
      <c r="G534">
        <v>432</v>
      </c>
      <c r="H534" s="705">
        <v>1208</v>
      </c>
      <c r="I534" s="705">
        <v>105222</v>
      </c>
      <c r="J534" s="705">
        <v>95656</v>
      </c>
      <c r="K534">
        <v>83</v>
      </c>
      <c r="L534" s="705">
        <v>27893</v>
      </c>
      <c r="M534" s="705">
        <v>18432</v>
      </c>
      <c r="N534" s="705">
        <v>8199</v>
      </c>
      <c r="O534" s="705">
        <v>3037</v>
      </c>
      <c r="P534" s="705">
        <v>1418</v>
      </c>
      <c r="Q534">
        <v>525</v>
      </c>
      <c r="R534" s="705">
        <v>30215</v>
      </c>
      <c r="S534" s="705">
        <v>11191</v>
      </c>
      <c r="T534" s="705">
        <v>0</v>
      </c>
      <c r="U534" s="705">
        <v>0</v>
      </c>
      <c r="V534" s="705">
        <v>128841</v>
      </c>
      <c r="W534" s="705">
        <f t="shared" si="38"/>
        <v>128841</v>
      </c>
      <c r="X534" s="705">
        <f t="shared" si="39"/>
        <v>172947</v>
      </c>
      <c r="Y534" s="705"/>
    </row>
    <row r="535" spans="2:25">
      <c r="B535" t="s">
        <v>537</v>
      </c>
      <c r="C535" t="s">
        <v>122</v>
      </c>
      <c r="D535" t="s">
        <v>584</v>
      </c>
      <c r="E535" t="s">
        <v>583</v>
      </c>
      <c r="F535">
        <v>1</v>
      </c>
      <c r="G535" s="705">
        <v>290</v>
      </c>
      <c r="H535" s="705">
        <v>410</v>
      </c>
      <c r="I535" s="705">
        <v>88966</v>
      </c>
      <c r="J535" s="705">
        <v>80878</v>
      </c>
      <c r="K535">
        <v>73</v>
      </c>
      <c r="L535" s="705">
        <v>9800</v>
      </c>
      <c r="M535" s="705">
        <v>8909</v>
      </c>
      <c r="N535" s="705">
        <v>6360</v>
      </c>
      <c r="O535" s="705">
        <v>2356</v>
      </c>
      <c r="P535" s="705">
        <v>972</v>
      </c>
      <c r="Q535" s="705">
        <v>360</v>
      </c>
      <c r="R535" s="705">
        <v>7691</v>
      </c>
      <c r="S535" s="705">
        <v>6992</v>
      </c>
      <c r="T535" s="705">
        <v>5096</v>
      </c>
      <c r="U535" s="705">
        <v>1888</v>
      </c>
      <c r="V535" s="705">
        <v>101383</v>
      </c>
      <c r="W535" s="705">
        <f t="shared" si="38"/>
        <v>101383</v>
      </c>
      <c r="X535" s="705">
        <f t="shared" si="39"/>
        <v>118885</v>
      </c>
      <c r="Y535" s="705"/>
    </row>
    <row r="536" spans="2:25">
      <c r="B536" t="s">
        <v>537</v>
      </c>
      <c r="C536" t="s">
        <v>122</v>
      </c>
      <c r="D536" t="s">
        <v>584</v>
      </c>
      <c r="E536" t="s">
        <v>584</v>
      </c>
      <c r="F536">
        <v>160</v>
      </c>
      <c r="G536" s="705">
        <v>18909</v>
      </c>
      <c r="H536" s="705">
        <v>66875</v>
      </c>
      <c r="I536" s="705">
        <v>5093157</v>
      </c>
      <c r="J536" s="705">
        <v>4630143</v>
      </c>
      <c r="K536">
        <v>77</v>
      </c>
      <c r="L536" s="705">
        <v>1309676</v>
      </c>
      <c r="M536" s="705">
        <v>1116363</v>
      </c>
      <c r="N536" s="705">
        <v>407555</v>
      </c>
      <c r="O536" s="705">
        <v>150946</v>
      </c>
      <c r="P536" s="705">
        <v>75141</v>
      </c>
      <c r="Q536" s="705">
        <v>27830</v>
      </c>
      <c r="R536" s="705">
        <v>848456</v>
      </c>
      <c r="S536" s="705">
        <v>771323</v>
      </c>
      <c r="T536" s="705">
        <v>236881</v>
      </c>
      <c r="U536" s="705">
        <v>87734</v>
      </c>
      <c r="V536" s="705">
        <v>6784339</v>
      </c>
      <c r="W536" s="705">
        <f t="shared" si="38"/>
        <v>6784339</v>
      </c>
      <c r="X536" s="705">
        <f t="shared" si="39"/>
        <v>7970866</v>
      </c>
      <c r="Y536" s="705"/>
    </row>
    <row r="537" spans="2:25">
      <c r="B537" t="s">
        <v>537</v>
      </c>
      <c r="C537" t="s">
        <v>122</v>
      </c>
      <c r="D537" t="s">
        <v>669</v>
      </c>
      <c r="E537" t="s">
        <v>669</v>
      </c>
      <c r="F537">
        <v>5</v>
      </c>
      <c r="G537" s="705">
        <v>467</v>
      </c>
      <c r="H537" s="705">
        <v>2028</v>
      </c>
      <c r="I537" s="705">
        <v>122000</v>
      </c>
      <c r="J537" s="705">
        <v>101667</v>
      </c>
      <c r="K537">
        <v>62</v>
      </c>
      <c r="L537" s="705">
        <v>26167</v>
      </c>
      <c r="M537" s="705">
        <v>20645</v>
      </c>
      <c r="N537" s="705">
        <v>8923</v>
      </c>
      <c r="O537" s="705">
        <v>3305</v>
      </c>
      <c r="P537" s="705">
        <v>1755</v>
      </c>
      <c r="Q537" s="705">
        <v>650</v>
      </c>
      <c r="R537" s="705">
        <v>22412</v>
      </c>
      <c r="S537" s="705">
        <v>18677</v>
      </c>
      <c r="T537" s="705">
        <v>9347</v>
      </c>
      <c r="U537" s="705">
        <v>3462</v>
      </c>
      <c r="V537" s="705">
        <v>148405</v>
      </c>
      <c r="W537" s="705">
        <f t="shared" si="38"/>
        <v>148406</v>
      </c>
      <c r="X537" s="705">
        <f t="shared" si="39"/>
        <v>190604</v>
      </c>
      <c r="Y537" s="705"/>
    </row>
    <row r="538" spans="2:25">
      <c r="B538" t="s">
        <v>537</v>
      </c>
      <c r="C538" t="s">
        <v>122</v>
      </c>
      <c r="D538" t="s">
        <v>665</v>
      </c>
      <c r="E538" t="s">
        <v>228</v>
      </c>
      <c r="F538">
        <v>12</v>
      </c>
      <c r="G538" s="705">
        <v>1401</v>
      </c>
      <c r="H538" s="705">
        <v>5088</v>
      </c>
      <c r="I538" s="705">
        <v>400461</v>
      </c>
      <c r="J538" s="705">
        <v>364056</v>
      </c>
      <c r="K538">
        <v>58</v>
      </c>
      <c r="L538" s="705">
        <v>54891</v>
      </c>
      <c r="M538" s="705">
        <v>26166</v>
      </c>
      <c r="N538" s="705">
        <v>26044</v>
      </c>
      <c r="O538" s="705">
        <v>9646</v>
      </c>
      <c r="P538" s="705">
        <v>1755</v>
      </c>
      <c r="Q538" s="705">
        <v>650</v>
      </c>
      <c r="R538" s="705">
        <v>113831</v>
      </c>
      <c r="S538" s="705">
        <v>42160</v>
      </c>
      <c r="T538" s="705">
        <v>3453</v>
      </c>
      <c r="U538" s="705">
        <v>1279</v>
      </c>
      <c r="V538" s="705">
        <v>443956</v>
      </c>
      <c r="W538" s="705">
        <f t="shared" si="38"/>
        <v>443957</v>
      </c>
      <c r="X538" s="705">
        <f t="shared" si="39"/>
        <v>600435</v>
      </c>
      <c r="Y538" s="705"/>
    </row>
    <row r="539" spans="2:25">
      <c r="B539" t="s">
        <v>537</v>
      </c>
      <c r="C539" t="s">
        <v>122</v>
      </c>
      <c r="D539" t="s">
        <v>665</v>
      </c>
      <c r="E539" t="s">
        <v>665</v>
      </c>
      <c r="F539">
        <v>82</v>
      </c>
      <c r="G539" s="705">
        <v>8573</v>
      </c>
      <c r="H539" s="705">
        <v>33860</v>
      </c>
      <c r="I539" s="705">
        <v>2415624</v>
      </c>
      <c r="J539" s="705">
        <v>2196021</v>
      </c>
      <c r="K539">
        <v>59</v>
      </c>
      <c r="L539" s="705">
        <v>353632</v>
      </c>
      <c r="M539" s="705">
        <v>296559</v>
      </c>
      <c r="N539" s="705">
        <v>181423</v>
      </c>
      <c r="O539" s="705">
        <v>67194</v>
      </c>
      <c r="P539" s="705">
        <v>28701</v>
      </c>
      <c r="Q539" s="705">
        <v>10630</v>
      </c>
      <c r="R539" s="705">
        <v>474314</v>
      </c>
      <c r="S539" s="705">
        <v>431195</v>
      </c>
      <c r="T539" s="705">
        <v>168096</v>
      </c>
      <c r="U539" s="705">
        <v>62258</v>
      </c>
      <c r="V539" s="705">
        <v>3063856</v>
      </c>
      <c r="W539" s="705">
        <f t="shared" si="38"/>
        <v>3063857</v>
      </c>
      <c r="X539" s="705">
        <f t="shared" si="39"/>
        <v>3621790</v>
      </c>
      <c r="Y539" s="705"/>
    </row>
    <row r="540" spans="2:25">
      <c r="B540" t="s">
        <v>537</v>
      </c>
      <c r="C540" t="s">
        <v>122</v>
      </c>
      <c r="D540" t="s">
        <v>673</v>
      </c>
      <c r="E540" t="s">
        <v>228</v>
      </c>
      <c r="F540">
        <v>1</v>
      </c>
      <c r="G540" s="705">
        <v>85</v>
      </c>
      <c r="H540" s="705">
        <v>383</v>
      </c>
      <c r="I540" s="705">
        <v>25913</v>
      </c>
      <c r="J540" s="705">
        <v>23557</v>
      </c>
      <c r="K540">
        <v>60</v>
      </c>
      <c r="L540" s="705">
        <v>0</v>
      </c>
      <c r="M540" s="705">
        <v>5235</v>
      </c>
      <c r="N540" s="705">
        <v>2071</v>
      </c>
      <c r="O540" s="705">
        <v>767</v>
      </c>
      <c r="P540" s="705">
        <v>0</v>
      </c>
      <c r="Q540" s="705">
        <v>0</v>
      </c>
      <c r="R540" s="705">
        <v>4602</v>
      </c>
      <c r="S540" s="705">
        <v>1704</v>
      </c>
      <c r="T540" s="705">
        <v>0</v>
      </c>
      <c r="U540" s="705">
        <v>0</v>
      </c>
      <c r="V540" s="705">
        <v>31263</v>
      </c>
      <c r="W540" s="705">
        <f t="shared" si="38"/>
        <v>31263</v>
      </c>
      <c r="X540" s="705">
        <f t="shared" si="39"/>
        <v>32586</v>
      </c>
      <c r="Y540" s="705"/>
    </row>
    <row r="541" spans="2:25">
      <c r="B541" t="s">
        <v>537</v>
      </c>
      <c r="C541" t="s">
        <v>122</v>
      </c>
      <c r="D541" t="s">
        <v>673</v>
      </c>
      <c r="E541" t="s">
        <v>673</v>
      </c>
      <c r="F541" s="705">
        <v>3</v>
      </c>
      <c r="G541" s="705">
        <v>533</v>
      </c>
      <c r="H541" s="705">
        <v>1224</v>
      </c>
      <c r="I541" s="705">
        <v>159787</v>
      </c>
      <c r="J541" s="705">
        <v>145261</v>
      </c>
      <c r="K541">
        <v>67</v>
      </c>
      <c r="L541" s="705">
        <v>21227</v>
      </c>
      <c r="M541" s="705">
        <v>19297</v>
      </c>
      <c r="N541" s="705">
        <v>9386</v>
      </c>
      <c r="O541" s="705">
        <v>3476</v>
      </c>
      <c r="P541" s="705">
        <v>2376</v>
      </c>
      <c r="Q541" s="705">
        <v>880</v>
      </c>
      <c r="R541" s="705">
        <v>20772</v>
      </c>
      <c r="S541" s="705">
        <v>18883</v>
      </c>
      <c r="T541" s="705">
        <v>3031</v>
      </c>
      <c r="U541" s="705">
        <v>1122</v>
      </c>
      <c r="V541" s="705">
        <v>188920</v>
      </c>
      <c r="W541" s="705">
        <f t="shared" si="38"/>
        <v>188919</v>
      </c>
      <c r="X541" s="705">
        <f t="shared" si="39"/>
        <v>216579</v>
      </c>
      <c r="Y541" s="705"/>
    </row>
    <row r="542" spans="2:25">
      <c r="B542" t="s">
        <v>537</v>
      </c>
      <c r="C542" t="s">
        <v>122</v>
      </c>
      <c r="D542" t="s">
        <v>585</v>
      </c>
      <c r="E542" t="s">
        <v>585</v>
      </c>
      <c r="F542">
        <v>2</v>
      </c>
      <c r="G542" s="705">
        <v>226</v>
      </c>
      <c r="H542" s="705">
        <v>840</v>
      </c>
      <c r="I542" s="705">
        <v>62342</v>
      </c>
      <c r="J542" s="705">
        <v>56674</v>
      </c>
      <c r="K542">
        <v>71</v>
      </c>
      <c r="L542" s="705">
        <v>15754</v>
      </c>
      <c r="M542" s="705">
        <v>13886</v>
      </c>
      <c r="N542" s="705">
        <v>4686</v>
      </c>
      <c r="O542" s="705">
        <v>1735</v>
      </c>
      <c r="P542" s="705">
        <v>702</v>
      </c>
      <c r="Q542" s="705">
        <v>260</v>
      </c>
      <c r="R542" s="705">
        <v>12462</v>
      </c>
      <c r="S542" s="705">
        <v>11330</v>
      </c>
      <c r="T542" s="705">
        <v>0</v>
      </c>
      <c r="U542" s="705">
        <v>0</v>
      </c>
      <c r="V542" s="705">
        <v>83885</v>
      </c>
      <c r="W542" s="705">
        <f t="shared" si="38"/>
        <v>83885</v>
      </c>
      <c r="X542" s="705">
        <f t="shared" si="39"/>
        <v>95946</v>
      </c>
      <c r="Y542" s="705"/>
    </row>
    <row r="543" spans="2:25">
      <c r="B543" t="s">
        <v>537</v>
      </c>
      <c r="C543" t="s">
        <v>124</v>
      </c>
      <c r="F543">
        <v>2</v>
      </c>
      <c r="G543" s="705">
        <v>297</v>
      </c>
      <c r="H543" s="705">
        <v>1159</v>
      </c>
      <c r="I543" s="705"/>
      <c r="J543" s="705">
        <v>0</v>
      </c>
      <c r="L543" s="705"/>
      <c r="M543" s="705">
        <v>0</v>
      </c>
      <c r="N543" s="705">
        <v>6608</v>
      </c>
      <c r="O543" s="705">
        <v>2448</v>
      </c>
      <c r="P543" s="705">
        <v>1242</v>
      </c>
      <c r="Q543" s="705">
        <v>460</v>
      </c>
      <c r="R543" s="705"/>
      <c r="S543" s="705">
        <v>0</v>
      </c>
      <c r="T543" s="705">
        <v>0</v>
      </c>
      <c r="U543" s="705">
        <v>0</v>
      </c>
      <c r="V543" s="705">
        <v>2908</v>
      </c>
      <c r="W543" s="705">
        <f t="shared" si="38"/>
        <v>2908</v>
      </c>
      <c r="X543" s="705">
        <f t="shared" si="39"/>
        <v>7850</v>
      </c>
      <c r="Y543" s="705"/>
    </row>
    <row r="544" spans="2:25">
      <c r="B544" t="s">
        <v>537</v>
      </c>
      <c r="C544" t="s">
        <v>124</v>
      </c>
      <c r="D544" t="s">
        <v>674</v>
      </c>
      <c r="E544" t="s">
        <v>674</v>
      </c>
      <c r="F544">
        <v>1</v>
      </c>
      <c r="G544" s="705">
        <v>181</v>
      </c>
      <c r="H544" s="705">
        <v>598</v>
      </c>
      <c r="I544" s="705">
        <v>78766</v>
      </c>
      <c r="J544" s="705">
        <v>71606</v>
      </c>
      <c r="K544">
        <v>55</v>
      </c>
      <c r="L544" s="705">
        <v>16045</v>
      </c>
      <c r="M544" s="705">
        <v>14586</v>
      </c>
      <c r="N544" s="705">
        <v>4013</v>
      </c>
      <c r="O544" s="705">
        <v>1486</v>
      </c>
      <c r="P544" s="705">
        <v>351</v>
      </c>
      <c r="Q544" s="705">
        <v>130</v>
      </c>
      <c r="R544" s="705">
        <v>8942</v>
      </c>
      <c r="S544" s="705">
        <v>8129</v>
      </c>
      <c r="T544" s="705">
        <v>0</v>
      </c>
      <c r="U544" s="705">
        <v>0</v>
      </c>
      <c r="V544" s="705">
        <v>95937</v>
      </c>
      <c r="W544" s="705">
        <f t="shared" si="38"/>
        <v>95937</v>
      </c>
      <c r="X544" s="705">
        <f t="shared" si="39"/>
        <v>108117</v>
      </c>
      <c r="Y544" s="705"/>
    </row>
    <row r="545" spans="2:25">
      <c r="B545" t="s">
        <v>537</v>
      </c>
      <c r="C545" t="s">
        <v>124</v>
      </c>
      <c r="D545" t="s">
        <v>664</v>
      </c>
      <c r="E545" t="s">
        <v>664</v>
      </c>
      <c r="F545">
        <v>6</v>
      </c>
      <c r="G545">
        <v>600</v>
      </c>
      <c r="H545" s="705">
        <v>3541</v>
      </c>
      <c r="I545" s="705">
        <v>256390</v>
      </c>
      <c r="J545" s="705">
        <v>233082</v>
      </c>
      <c r="K545">
        <v>66</v>
      </c>
      <c r="L545" s="705">
        <v>31276</v>
      </c>
      <c r="M545" s="705">
        <v>28433</v>
      </c>
      <c r="N545" s="705">
        <v>13751</v>
      </c>
      <c r="O545" s="705">
        <v>5093</v>
      </c>
      <c r="P545" s="705">
        <v>3537</v>
      </c>
      <c r="Q545" s="705">
        <v>1310</v>
      </c>
      <c r="R545" s="705">
        <v>29733</v>
      </c>
      <c r="S545" s="705">
        <v>27030</v>
      </c>
      <c r="T545" s="705">
        <v>4237</v>
      </c>
      <c r="U545" s="705">
        <v>1569</v>
      </c>
      <c r="V545" s="705">
        <v>296517</v>
      </c>
      <c r="W545" s="705">
        <f t="shared" si="38"/>
        <v>296517</v>
      </c>
      <c r="X545" s="705">
        <f t="shared" si="39"/>
        <v>338924</v>
      </c>
      <c r="Y545" s="705"/>
    </row>
    <row r="546" spans="2:25">
      <c r="B546" t="s">
        <v>537</v>
      </c>
      <c r="C546" t="s">
        <v>124</v>
      </c>
      <c r="D546" t="s">
        <v>664</v>
      </c>
      <c r="E546" t="s">
        <v>582</v>
      </c>
      <c r="F546">
        <v>1</v>
      </c>
      <c r="G546" s="705">
        <v>128</v>
      </c>
      <c r="H546" s="705">
        <v>549</v>
      </c>
      <c r="I546" s="705">
        <v>46809</v>
      </c>
      <c r="J546" s="705">
        <v>42554</v>
      </c>
      <c r="K546">
        <v>68</v>
      </c>
      <c r="L546" s="705">
        <v>11789</v>
      </c>
      <c r="M546" s="705">
        <v>10717</v>
      </c>
      <c r="N546" s="705">
        <v>3109</v>
      </c>
      <c r="O546" s="705">
        <v>1151</v>
      </c>
      <c r="P546" s="705">
        <v>473</v>
      </c>
      <c r="Q546" s="705">
        <v>175</v>
      </c>
      <c r="R546" s="705">
        <v>7803</v>
      </c>
      <c r="S546" s="705">
        <v>7093</v>
      </c>
      <c r="T546" s="705">
        <v>0</v>
      </c>
      <c r="U546" s="705">
        <v>0</v>
      </c>
      <c r="V546" s="705">
        <v>61691</v>
      </c>
      <c r="W546" s="705">
        <f t="shared" si="38"/>
        <v>61690</v>
      </c>
      <c r="X546" s="705">
        <f t="shared" si="39"/>
        <v>69983</v>
      </c>
      <c r="Y546" s="705"/>
    </row>
    <row r="547" spans="2:25">
      <c r="B547" t="s">
        <v>537</v>
      </c>
      <c r="C547" t="s">
        <v>124</v>
      </c>
      <c r="D547" t="s">
        <v>664</v>
      </c>
      <c r="E547" t="s">
        <v>228</v>
      </c>
      <c r="F547">
        <v>3</v>
      </c>
      <c r="G547" s="705">
        <v>407</v>
      </c>
      <c r="H547" s="705">
        <v>1619</v>
      </c>
      <c r="I547" s="705">
        <v>140052</v>
      </c>
      <c r="J547" s="705">
        <v>127320</v>
      </c>
      <c r="K547">
        <v>57</v>
      </c>
      <c r="L547" s="705">
        <v>28049</v>
      </c>
      <c r="M547" s="705">
        <v>25036</v>
      </c>
      <c r="N547" s="705">
        <v>9813</v>
      </c>
      <c r="O547" s="705">
        <v>3634</v>
      </c>
      <c r="P547" s="705">
        <v>1154</v>
      </c>
      <c r="Q547" s="705">
        <v>428</v>
      </c>
      <c r="R547" s="705">
        <v>32454</v>
      </c>
      <c r="S547" s="705">
        <v>12020</v>
      </c>
      <c r="T547" s="705">
        <v>0</v>
      </c>
      <c r="U547" s="705">
        <v>0</v>
      </c>
      <c r="V547" s="705">
        <v>168438</v>
      </c>
      <c r="W547" s="705">
        <f t="shared" si="38"/>
        <v>168438</v>
      </c>
      <c r="X547" s="705">
        <f t="shared" si="39"/>
        <v>211522</v>
      </c>
      <c r="Y547" s="705"/>
    </row>
    <row r="548" spans="2:25">
      <c r="B548" t="s">
        <v>537</v>
      </c>
      <c r="C548" t="s">
        <v>124</v>
      </c>
      <c r="D548" t="s">
        <v>664</v>
      </c>
      <c r="E548" t="s">
        <v>583</v>
      </c>
      <c r="F548">
        <v>1</v>
      </c>
      <c r="G548" s="705">
        <v>112</v>
      </c>
      <c r="H548" s="705">
        <v>525</v>
      </c>
      <c r="I548" s="705">
        <v>41048</v>
      </c>
      <c r="J548" s="705">
        <v>37316</v>
      </c>
      <c r="K548">
        <v>65</v>
      </c>
      <c r="L548" s="705">
        <v>6918</v>
      </c>
      <c r="M548" s="705">
        <v>2562</v>
      </c>
      <c r="N548" s="705">
        <v>1968</v>
      </c>
      <c r="O548" s="705">
        <v>729</v>
      </c>
      <c r="P548" s="705">
        <v>621</v>
      </c>
      <c r="Q548" s="705">
        <v>230</v>
      </c>
      <c r="R548" s="705">
        <v>5389</v>
      </c>
      <c r="S548" s="705">
        <v>4899</v>
      </c>
      <c r="T548" s="705">
        <v>2936</v>
      </c>
      <c r="U548" s="705">
        <v>1087</v>
      </c>
      <c r="V548" s="705">
        <v>46824</v>
      </c>
      <c r="W548" s="705">
        <f t="shared" si="38"/>
        <v>46823</v>
      </c>
      <c r="X548" s="705">
        <f t="shared" si="39"/>
        <v>58880</v>
      </c>
      <c r="Y548" s="705"/>
    </row>
    <row r="549" spans="2:25">
      <c r="B549" t="s">
        <v>537</v>
      </c>
      <c r="C549" t="s">
        <v>124</v>
      </c>
      <c r="D549" t="s">
        <v>582</v>
      </c>
      <c r="E549" t="s">
        <v>582</v>
      </c>
      <c r="F549" s="705">
        <v>15</v>
      </c>
      <c r="G549" s="705">
        <v>2188</v>
      </c>
      <c r="H549" s="705">
        <v>8656</v>
      </c>
      <c r="I549" s="705">
        <v>847575</v>
      </c>
      <c r="J549" s="705">
        <v>770523</v>
      </c>
      <c r="K549">
        <v>67</v>
      </c>
      <c r="L549" s="705">
        <v>183765</v>
      </c>
      <c r="M549" s="705">
        <v>158551</v>
      </c>
      <c r="N549" s="705">
        <v>50612</v>
      </c>
      <c r="O549" s="705">
        <v>18745</v>
      </c>
      <c r="P549" s="705">
        <v>6872</v>
      </c>
      <c r="Q549" s="705">
        <v>2545</v>
      </c>
      <c r="R549" s="705">
        <v>83884</v>
      </c>
      <c r="S549" s="705">
        <v>76258</v>
      </c>
      <c r="T549" s="705">
        <v>25206</v>
      </c>
      <c r="U549" s="705">
        <v>9336</v>
      </c>
      <c r="V549" s="705">
        <v>1035957</v>
      </c>
      <c r="W549" s="705">
        <f t="shared" si="38"/>
        <v>1035958</v>
      </c>
      <c r="X549" s="705">
        <f t="shared" si="39"/>
        <v>1197914</v>
      </c>
      <c r="Y549" s="705"/>
    </row>
    <row r="550" spans="2:25">
      <c r="B550" t="s">
        <v>537</v>
      </c>
      <c r="C550" t="s">
        <v>124</v>
      </c>
      <c r="D550" t="s">
        <v>582</v>
      </c>
      <c r="E550" t="s">
        <v>228</v>
      </c>
      <c r="F550">
        <v>1</v>
      </c>
      <c r="G550" s="705">
        <v>102</v>
      </c>
      <c r="H550" s="705">
        <v>466</v>
      </c>
      <c r="I550" s="705">
        <v>24016</v>
      </c>
      <c r="J550" s="705">
        <v>21833</v>
      </c>
      <c r="K550">
        <v>65</v>
      </c>
      <c r="L550" s="705">
        <v>3298</v>
      </c>
      <c r="M550" s="705">
        <v>2998</v>
      </c>
      <c r="N550" s="705">
        <v>2468</v>
      </c>
      <c r="O550" s="705">
        <v>914</v>
      </c>
      <c r="P550" s="705">
        <v>473</v>
      </c>
      <c r="Q550" s="705">
        <v>175</v>
      </c>
      <c r="R550" s="705">
        <v>13974</v>
      </c>
      <c r="S550" s="705">
        <v>5176</v>
      </c>
      <c r="T550" s="705">
        <v>3163</v>
      </c>
      <c r="U550" s="705">
        <v>1172</v>
      </c>
      <c r="V550" s="705">
        <v>32267</v>
      </c>
      <c r="W550" s="705">
        <f t="shared" si="38"/>
        <v>32268</v>
      </c>
      <c r="X550" s="705">
        <f t="shared" si="39"/>
        <v>47392</v>
      </c>
      <c r="Y550" s="705"/>
    </row>
    <row r="551" spans="2:25">
      <c r="B551" t="s">
        <v>537</v>
      </c>
      <c r="C551" t="s">
        <v>124</v>
      </c>
      <c r="D551" t="s">
        <v>228</v>
      </c>
      <c r="E551" t="s">
        <v>664</v>
      </c>
      <c r="F551">
        <v>3</v>
      </c>
      <c r="G551" s="705">
        <v>165</v>
      </c>
      <c r="H551" s="705">
        <v>2364</v>
      </c>
      <c r="I551" s="705">
        <v>104008</v>
      </c>
      <c r="J551" s="705">
        <v>38522</v>
      </c>
      <c r="K551">
        <v>100</v>
      </c>
      <c r="L551" s="705">
        <v>8595</v>
      </c>
      <c r="M551" s="705">
        <v>7814</v>
      </c>
      <c r="N551" s="705">
        <v>3094</v>
      </c>
      <c r="O551" s="705">
        <v>1146</v>
      </c>
      <c r="P551" s="705">
        <v>0</v>
      </c>
      <c r="Q551" s="705">
        <v>0</v>
      </c>
      <c r="R551" s="705">
        <v>9882</v>
      </c>
      <c r="S551" s="705">
        <v>8983</v>
      </c>
      <c r="T551">
        <v>0</v>
      </c>
      <c r="U551">
        <v>0</v>
      </c>
      <c r="V551" s="705">
        <v>56465</v>
      </c>
      <c r="W551" s="705">
        <f t="shared" si="38"/>
        <v>56465</v>
      </c>
      <c r="X551" s="705">
        <f t="shared" si="39"/>
        <v>125579</v>
      </c>
      <c r="Y551" s="705"/>
    </row>
    <row r="552" spans="2:25">
      <c r="B552" t="s">
        <v>537</v>
      </c>
      <c r="C552" t="s">
        <v>124</v>
      </c>
      <c r="D552" t="s">
        <v>228</v>
      </c>
      <c r="E552" t="s">
        <v>228</v>
      </c>
      <c r="F552" s="705">
        <v>707</v>
      </c>
      <c r="G552" s="705">
        <v>65720</v>
      </c>
      <c r="H552" s="705">
        <v>515724</v>
      </c>
      <c r="I552" s="705">
        <v>34259867</v>
      </c>
      <c r="J552" s="705">
        <v>12688840</v>
      </c>
      <c r="K552">
        <v>100</v>
      </c>
      <c r="L552" s="705">
        <v>6091860</v>
      </c>
      <c r="M552" s="705">
        <v>5264258</v>
      </c>
      <c r="N552" s="705">
        <v>1488064</v>
      </c>
      <c r="O552" s="705">
        <v>551135</v>
      </c>
      <c r="P552" s="705">
        <v>8034</v>
      </c>
      <c r="Q552" s="705">
        <v>2976</v>
      </c>
      <c r="R552" s="705">
        <v>5023685</v>
      </c>
      <c r="S552" s="705">
        <v>1860624</v>
      </c>
      <c r="T552" s="705">
        <v>18322</v>
      </c>
      <c r="U552" s="705">
        <v>6786</v>
      </c>
      <c r="V552" s="705">
        <v>20374618</v>
      </c>
      <c r="W552" s="705">
        <f t="shared" si="38"/>
        <v>20374619</v>
      </c>
      <c r="X552" s="705">
        <f t="shared" si="39"/>
        <v>46889832</v>
      </c>
      <c r="Y552" s="705"/>
    </row>
    <row r="553" spans="2:25">
      <c r="B553" t="s">
        <v>537</v>
      </c>
      <c r="C553" t="s">
        <v>124</v>
      </c>
      <c r="D553" t="s">
        <v>228</v>
      </c>
      <c r="E553" t="s">
        <v>583</v>
      </c>
      <c r="F553">
        <v>8</v>
      </c>
      <c r="G553" s="705">
        <v>1253</v>
      </c>
      <c r="H553" s="705">
        <v>5184</v>
      </c>
      <c r="I553" s="705">
        <v>622386</v>
      </c>
      <c r="J553" s="705">
        <v>230513</v>
      </c>
      <c r="K553">
        <v>100</v>
      </c>
      <c r="L553" s="705">
        <v>88214</v>
      </c>
      <c r="M553" s="705">
        <v>78959</v>
      </c>
      <c r="N553" s="705">
        <v>29286</v>
      </c>
      <c r="O553" s="705">
        <v>10847</v>
      </c>
      <c r="P553" s="705">
        <v>1863</v>
      </c>
      <c r="Q553" s="705">
        <v>690</v>
      </c>
      <c r="R553" s="705">
        <v>49098</v>
      </c>
      <c r="S553" s="705">
        <v>44634</v>
      </c>
      <c r="T553" s="705">
        <v>19555</v>
      </c>
      <c r="U553" s="705">
        <v>7243</v>
      </c>
      <c r="V553" s="705">
        <v>372887</v>
      </c>
      <c r="W553" s="705">
        <f t="shared" si="38"/>
        <v>372886</v>
      </c>
      <c r="X553" s="705">
        <f t="shared" si="39"/>
        <v>810402</v>
      </c>
      <c r="Y553" s="705"/>
    </row>
    <row r="554" spans="2:25">
      <c r="B554" t="s">
        <v>537</v>
      </c>
      <c r="C554" t="s">
        <v>124</v>
      </c>
      <c r="D554" t="s">
        <v>228</v>
      </c>
      <c r="E554" t="s">
        <v>666</v>
      </c>
      <c r="F554">
        <v>1</v>
      </c>
      <c r="G554">
        <v>65</v>
      </c>
      <c r="H554">
        <v>804</v>
      </c>
      <c r="I554" s="705">
        <v>38311</v>
      </c>
      <c r="J554" s="705">
        <v>14189</v>
      </c>
      <c r="K554">
        <v>100</v>
      </c>
      <c r="L554" s="705">
        <v>3468</v>
      </c>
      <c r="M554" s="705">
        <v>3153</v>
      </c>
      <c r="N554" s="705">
        <v>1583</v>
      </c>
      <c r="O554" s="705">
        <v>586</v>
      </c>
      <c r="P554" s="705">
        <v>0</v>
      </c>
      <c r="Q554">
        <v>0</v>
      </c>
      <c r="R554" s="705">
        <v>6220</v>
      </c>
      <c r="S554" s="705">
        <v>5654</v>
      </c>
      <c r="T554" s="705">
        <v>2673</v>
      </c>
      <c r="U554" s="705">
        <v>990</v>
      </c>
      <c r="V554" s="705">
        <v>24573</v>
      </c>
      <c r="W554" s="705">
        <f t="shared" si="38"/>
        <v>24572</v>
      </c>
      <c r="X554" s="705">
        <f t="shared" si="39"/>
        <v>52255</v>
      </c>
      <c r="Y554" s="705"/>
    </row>
    <row r="555" spans="2:25">
      <c r="B555" t="s">
        <v>537</v>
      </c>
      <c r="C555" t="s">
        <v>124</v>
      </c>
      <c r="D555" t="s">
        <v>228</v>
      </c>
      <c r="E555" t="s">
        <v>669</v>
      </c>
      <c r="F555">
        <v>1</v>
      </c>
      <c r="G555" s="705">
        <v>69</v>
      </c>
      <c r="H555" s="705">
        <v>743</v>
      </c>
      <c r="I555" s="705">
        <v>41327</v>
      </c>
      <c r="J555" s="705">
        <v>15306</v>
      </c>
      <c r="K555">
        <v>100</v>
      </c>
      <c r="L555" s="705">
        <v>3140</v>
      </c>
      <c r="M555" s="705">
        <v>2616</v>
      </c>
      <c r="N555" s="705">
        <v>1514</v>
      </c>
      <c r="O555" s="705">
        <v>561</v>
      </c>
      <c r="P555" s="705">
        <v>351</v>
      </c>
      <c r="Q555" s="705">
        <v>130</v>
      </c>
      <c r="R555" s="705">
        <v>3698</v>
      </c>
      <c r="S555" s="705">
        <v>3081</v>
      </c>
      <c r="T555" s="705">
        <v>1576</v>
      </c>
      <c r="U555" s="705">
        <v>584</v>
      </c>
      <c r="V555" s="705">
        <v>22279</v>
      </c>
      <c r="W555" s="705">
        <f t="shared" si="38"/>
        <v>22278</v>
      </c>
      <c r="X555" s="705">
        <f t="shared" si="39"/>
        <v>51606</v>
      </c>
      <c r="Y555" s="705"/>
    </row>
    <row r="556" spans="2:25">
      <c r="B556" t="s">
        <v>537</v>
      </c>
      <c r="C556" t="s">
        <v>124</v>
      </c>
      <c r="D556" t="s">
        <v>228</v>
      </c>
      <c r="E556" t="s">
        <v>665</v>
      </c>
      <c r="F556">
        <v>42</v>
      </c>
      <c r="G556" s="705">
        <v>4841</v>
      </c>
      <c r="H556" s="705">
        <v>28016</v>
      </c>
      <c r="I556" s="705">
        <v>2302784</v>
      </c>
      <c r="J556" s="705">
        <v>852883</v>
      </c>
      <c r="K556">
        <v>100</v>
      </c>
      <c r="L556" s="705">
        <v>322538</v>
      </c>
      <c r="M556" s="705">
        <v>280320</v>
      </c>
      <c r="N556" s="705">
        <v>106060</v>
      </c>
      <c r="O556" s="705">
        <v>39281</v>
      </c>
      <c r="P556" s="705">
        <v>3078</v>
      </c>
      <c r="Q556" s="705">
        <v>1140</v>
      </c>
      <c r="R556" s="705">
        <v>273037</v>
      </c>
      <c r="S556" s="705">
        <v>248216</v>
      </c>
      <c r="T556" s="705">
        <v>87716</v>
      </c>
      <c r="U556" s="705">
        <v>32487</v>
      </c>
      <c r="V556" s="705">
        <v>1454327</v>
      </c>
      <c r="W556" s="705">
        <f t="shared" si="38"/>
        <v>1454327</v>
      </c>
      <c r="X556" s="705">
        <f t="shared" si="39"/>
        <v>3095213</v>
      </c>
      <c r="Y556" s="705"/>
    </row>
    <row r="557" spans="2:25">
      <c r="B557" t="s">
        <v>537</v>
      </c>
      <c r="C557" t="s">
        <v>124</v>
      </c>
      <c r="D557" t="s">
        <v>228</v>
      </c>
      <c r="E557" t="s">
        <v>673</v>
      </c>
      <c r="F557">
        <v>1</v>
      </c>
      <c r="G557" s="705">
        <v>128</v>
      </c>
      <c r="H557" s="705">
        <v>880</v>
      </c>
      <c r="I557" s="705">
        <v>81990</v>
      </c>
      <c r="J557" s="705">
        <v>30367</v>
      </c>
      <c r="K557">
        <v>100</v>
      </c>
      <c r="L557" s="705">
        <v>19649</v>
      </c>
      <c r="M557" s="705">
        <v>17863</v>
      </c>
      <c r="N557" s="705">
        <v>3126</v>
      </c>
      <c r="O557" s="705">
        <v>1158</v>
      </c>
      <c r="P557" s="705">
        <v>0</v>
      </c>
      <c r="Q557" s="705">
        <v>0</v>
      </c>
      <c r="R557" s="705">
        <v>8143</v>
      </c>
      <c r="S557" s="705">
        <v>7403</v>
      </c>
      <c r="T557" s="705">
        <v>0</v>
      </c>
      <c r="U557" s="705">
        <v>0</v>
      </c>
      <c r="V557" s="705">
        <v>56790</v>
      </c>
      <c r="W557" s="705">
        <f t="shared" si="38"/>
        <v>56791</v>
      </c>
      <c r="X557" s="705">
        <f t="shared" si="39"/>
        <v>112908</v>
      </c>
      <c r="Y557" s="705"/>
    </row>
    <row r="558" spans="2:25">
      <c r="B558" t="s">
        <v>537</v>
      </c>
      <c r="C558" t="s">
        <v>124</v>
      </c>
      <c r="D558" t="s">
        <v>583</v>
      </c>
      <c r="E558" t="s">
        <v>664</v>
      </c>
      <c r="F558">
        <v>1</v>
      </c>
      <c r="G558">
        <v>148</v>
      </c>
      <c r="H558">
        <v>491</v>
      </c>
      <c r="I558" s="705">
        <v>48180</v>
      </c>
      <c r="J558" s="705">
        <v>43800</v>
      </c>
      <c r="K558">
        <v>65</v>
      </c>
      <c r="L558" s="705">
        <v>12030</v>
      </c>
      <c r="M558" s="705">
        <v>10025</v>
      </c>
      <c r="N558" s="705">
        <v>3442</v>
      </c>
      <c r="O558" s="705">
        <v>1275</v>
      </c>
      <c r="P558" s="705">
        <v>621</v>
      </c>
      <c r="Q558">
        <v>230</v>
      </c>
      <c r="R558" s="705">
        <v>5410</v>
      </c>
      <c r="S558" s="705">
        <v>4919</v>
      </c>
      <c r="T558" s="705">
        <v>2952</v>
      </c>
      <c r="U558" s="705">
        <v>1093</v>
      </c>
      <c r="V558" s="705">
        <v>61341</v>
      </c>
      <c r="W558" s="705">
        <f t="shared" si="38"/>
        <v>61342</v>
      </c>
      <c r="X558" s="705">
        <f t="shared" si="39"/>
        <v>72635</v>
      </c>
      <c r="Y558" s="705"/>
    </row>
    <row r="559" spans="2:25">
      <c r="B559" t="s">
        <v>537</v>
      </c>
      <c r="C559" t="s">
        <v>124</v>
      </c>
      <c r="D559" t="s">
        <v>583</v>
      </c>
      <c r="E559" t="s">
        <v>582</v>
      </c>
      <c r="F559">
        <v>1</v>
      </c>
      <c r="G559">
        <v>753</v>
      </c>
      <c r="H559" s="705">
        <v>514</v>
      </c>
      <c r="I559" s="705">
        <v>286603</v>
      </c>
      <c r="J559" s="705">
        <v>260549</v>
      </c>
      <c r="K559">
        <v>70</v>
      </c>
      <c r="L559" s="705">
        <v>70589</v>
      </c>
      <c r="M559" s="705">
        <v>64172</v>
      </c>
      <c r="N559" s="705">
        <v>18341</v>
      </c>
      <c r="O559" s="705">
        <v>6793</v>
      </c>
      <c r="P559" s="705">
        <v>1323</v>
      </c>
      <c r="Q559" s="705">
        <v>490</v>
      </c>
      <c r="R559" s="705">
        <v>9549</v>
      </c>
      <c r="S559" s="705">
        <v>8681</v>
      </c>
      <c r="T559" s="705">
        <v>0</v>
      </c>
      <c r="U559" s="705">
        <v>0</v>
      </c>
      <c r="V559" s="705">
        <v>340685</v>
      </c>
      <c r="W559" s="705">
        <f t="shared" si="38"/>
        <v>340685</v>
      </c>
      <c r="X559" s="705">
        <f t="shared" si="39"/>
        <v>386405</v>
      </c>
      <c r="Y559" s="705"/>
    </row>
    <row r="560" spans="2:25">
      <c r="B560" t="s">
        <v>537</v>
      </c>
      <c r="C560" t="s">
        <v>124</v>
      </c>
      <c r="D560" t="s">
        <v>583</v>
      </c>
      <c r="E560" t="s">
        <v>228</v>
      </c>
      <c r="F560">
        <v>47</v>
      </c>
      <c r="G560" s="705">
        <v>4304</v>
      </c>
      <c r="H560" s="705">
        <v>27516</v>
      </c>
      <c r="I560" s="705">
        <v>1646467</v>
      </c>
      <c r="J560" s="705">
        <v>1496788</v>
      </c>
      <c r="K560">
        <v>73</v>
      </c>
      <c r="L560" s="705">
        <v>368543</v>
      </c>
      <c r="M560" s="705">
        <v>329096</v>
      </c>
      <c r="N560" s="705">
        <v>96129</v>
      </c>
      <c r="O560" s="705">
        <v>35603</v>
      </c>
      <c r="P560" s="705">
        <v>28917</v>
      </c>
      <c r="Q560" s="705">
        <v>10710</v>
      </c>
      <c r="R560" s="705">
        <v>322155</v>
      </c>
      <c r="S560" s="705">
        <v>119317</v>
      </c>
      <c r="T560" s="705">
        <v>6133</v>
      </c>
      <c r="U560" s="705">
        <v>2271</v>
      </c>
      <c r="V560" s="705">
        <v>1993786</v>
      </c>
      <c r="W560" s="705">
        <f t="shared" si="38"/>
        <v>1993785</v>
      </c>
      <c r="X560" s="705">
        <f t="shared" si="39"/>
        <v>2468344</v>
      </c>
      <c r="Y560" s="705"/>
    </row>
    <row r="561" spans="2:35">
      <c r="B561" t="s">
        <v>537</v>
      </c>
      <c r="C561" t="s">
        <v>124</v>
      </c>
      <c r="D561" t="s">
        <v>583</v>
      </c>
      <c r="E561" t="s">
        <v>583</v>
      </c>
      <c r="F561" s="705">
        <v>1049</v>
      </c>
      <c r="G561" s="705">
        <v>113535</v>
      </c>
      <c r="H561" s="705">
        <v>579107</v>
      </c>
      <c r="I561" s="705">
        <v>42143051</v>
      </c>
      <c r="J561" s="705">
        <v>38311865</v>
      </c>
      <c r="K561">
        <v>72</v>
      </c>
      <c r="L561" s="705">
        <v>9613379</v>
      </c>
      <c r="M561" s="705">
        <v>8551386</v>
      </c>
      <c r="N561" s="705">
        <v>2518863</v>
      </c>
      <c r="O561" s="705">
        <v>932912</v>
      </c>
      <c r="P561" s="705">
        <v>665240</v>
      </c>
      <c r="Q561" s="705">
        <v>246385</v>
      </c>
      <c r="R561" s="705">
        <v>5518966</v>
      </c>
      <c r="S561" s="705">
        <v>5017242</v>
      </c>
      <c r="T561" s="705">
        <v>1789508</v>
      </c>
      <c r="U561" s="705">
        <v>662781</v>
      </c>
      <c r="V561" s="705">
        <v>53722571</v>
      </c>
      <c r="W561" s="705">
        <f t="shared" si="38"/>
        <v>53722571</v>
      </c>
      <c r="X561" s="705">
        <f t="shared" si="39"/>
        <v>62249007</v>
      </c>
      <c r="Y561" s="705"/>
    </row>
    <row r="562" spans="2:35">
      <c r="B562" t="s">
        <v>537</v>
      </c>
      <c r="C562" t="s">
        <v>124</v>
      </c>
      <c r="D562" t="s">
        <v>583</v>
      </c>
      <c r="E562" t="s">
        <v>666</v>
      </c>
      <c r="F562" s="705">
        <v>1</v>
      </c>
      <c r="G562" s="705">
        <v>96</v>
      </c>
      <c r="H562" s="705">
        <v>669</v>
      </c>
      <c r="I562" s="705">
        <v>44921</v>
      </c>
      <c r="J562" s="705">
        <v>40837</v>
      </c>
      <c r="K562">
        <v>65</v>
      </c>
      <c r="L562" s="705">
        <v>10282</v>
      </c>
      <c r="M562" s="705">
        <v>9347</v>
      </c>
      <c r="N562" s="705">
        <v>2339</v>
      </c>
      <c r="O562" s="705">
        <v>866</v>
      </c>
      <c r="P562" s="705">
        <v>621</v>
      </c>
      <c r="Q562" s="705">
        <v>230</v>
      </c>
      <c r="R562" s="705">
        <v>6033</v>
      </c>
      <c r="S562" s="705">
        <v>5485</v>
      </c>
      <c r="T562" s="705">
        <v>0</v>
      </c>
      <c r="U562" s="705">
        <v>0</v>
      </c>
      <c r="V562" s="705">
        <v>56766</v>
      </c>
      <c r="W562" s="705">
        <f t="shared" si="38"/>
        <v>56765</v>
      </c>
      <c r="X562" s="705">
        <f t="shared" si="39"/>
        <v>64196</v>
      </c>
      <c r="Y562" s="705"/>
    </row>
    <row r="563" spans="2:35">
      <c r="B563" t="s">
        <v>537</v>
      </c>
      <c r="C563" t="s">
        <v>124</v>
      </c>
      <c r="D563" t="s">
        <v>583</v>
      </c>
      <c r="E563" t="s">
        <v>584</v>
      </c>
      <c r="F563">
        <v>1</v>
      </c>
      <c r="G563" s="705">
        <v>63</v>
      </c>
      <c r="H563" s="705">
        <v>453</v>
      </c>
      <c r="I563" s="705">
        <v>24004</v>
      </c>
      <c r="J563" s="705">
        <v>21821</v>
      </c>
      <c r="K563">
        <v>83</v>
      </c>
      <c r="L563" s="705">
        <v>0</v>
      </c>
      <c r="M563" s="705">
        <v>0</v>
      </c>
      <c r="N563" s="705">
        <v>1530</v>
      </c>
      <c r="O563" s="705">
        <v>567</v>
      </c>
      <c r="P563" s="705">
        <v>621</v>
      </c>
      <c r="Q563" s="705">
        <v>230</v>
      </c>
      <c r="R563" s="705">
        <v>2332</v>
      </c>
      <c r="S563" s="705">
        <v>2120</v>
      </c>
      <c r="T563" s="705">
        <v>0</v>
      </c>
      <c r="U563" s="705">
        <v>0</v>
      </c>
      <c r="V563" s="705">
        <v>24738</v>
      </c>
      <c r="W563" s="705">
        <f t="shared" si="38"/>
        <v>24738</v>
      </c>
      <c r="X563" s="705">
        <f t="shared" si="39"/>
        <v>28487</v>
      </c>
      <c r="Y563" s="705"/>
    </row>
    <row r="564" spans="2:35">
      <c r="B564" t="s">
        <v>537</v>
      </c>
      <c r="C564" t="s">
        <v>124</v>
      </c>
      <c r="D564" t="s">
        <v>583</v>
      </c>
      <c r="E564" t="s">
        <v>665</v>
      </c>
      <c r="F564">
        <v>1</v>
      </c>
      <c r="G564" s="705">
        <v>131</v>
      </c>
      <c r="H564" s="705">
        <v>576</v>
      </c>
      <c r="I564" s="705">
        <v>51843</v>
      </c>
      <c r="J564" s="705">
        <v>47130</v>
      </c>
      <c r="K564">
        <v>86</v>
      </c>
      <c r="L564" s="705">
        <v>7796</v>
      </c>
      <c r="M564" s="705">
        <v>7087</v>
      </c>
      <c r="N564" s="705">
        <v>2168</v>
      </c>
      <c r="O564" s="705">
        <v>803</v>
      </c>
      <c r="P564" s="705">
        <v>621</v>
      </c>
      <c r="Q564" s="705">
        <v>230</v>
      </c>
      <c r="R564" s="705">
        <v>9252</v>
      </c>
      <c r="S564" s="705">
        <v>8411</v>
      </c>
      <c r="T564" s="705">
        <v>3695</v>
      </c>
      <c r="U564" s="705">
        <v>1368</v>
      </c>
      <c r="V564" s="705">
        <v>65030</v>
      </c>
      <c r="W564" s="705">
        <f t="shared" si="38"/>
        <v>65029</v>
      </c>
      <c r="X564" s="705">
        <f t="shared" si="39"/>
        <v>75375</v>
      </c>
      <c r="Y564" s="705"/>
    </row>
    <row r="565" spans="2:35">
      <c r="B565" t="s">
        <v>537</v>
      </c>
      <c r="C565" t="s">
        <v>124</v>
      </c>
      <c r="D565" t="s">
        <v>666</v>
      </c>
      <c r="E565" t="s">
        <v>228</v>
      </c>
      <c r="F565">
        <v>26</v>
      </c>
      <c r="G565" s="705">
        <v>2167</v>
      </c>
      <c r="H565" s="705">
        <v>30159</v>
      </c>
      <c r="I565" s="705">
        <v>1864061</v>
      </c>
      <c r="J565" s="705">
        <v>1694601</v>
      </c>
      <c r="K565">
        <v>37</v>
      </c>
      <c r="L565" s="705">
        <v>150300</v>
      </c>
      <c r="M565" s="705">
        <v>85954</v>
      </c>
      <c r="N565" s="705">
        <v>51008</v>
      </c>
      <c r="O565" s="705">
        <v>18892</v>
      </c>
      <c r="P565" s="705">
        <v>1053</v>
      </c>
      <c r="Q565">
        <v>390</v>
      </c>
      <c r="R565" s="705">
        <v>304958</v>
      </c>
      <c r="S565" s="705">
        <v>112948</v>
      </c>
      <c r="T565" s="705">
        <v>2000</v>
      </c>
      <c r="U565" s="705">
        <v>741</v>
      </c>
      <c r="V565" s="705">
        <v>1913526</v>
      </c>
      <c r="W565" s="705">
        <f t="shared" si="38"/>
        <v>1913526</v>
      </c>
      <c r="X565" s="705">
        <f t="shared" si="39"/>
        <v>2373380</v>
      </c>
      <c r="Y565" s="705"/>
    </row>
    <row r="566" spans="2:35">
      <c r="B566" t="s">
        <v>537</v>
      </c>
      <c r="C566" t="s">
        <v>124</v>
      </c>
      <c r="D566" t="s">
        <v>666</v>
      </c>
      <c r="E566" t="s">
        <v>666</v>
      </c>
      <c r="F566">
        <v>36</v>
      </c>
      <c r="G566" s="705">
        <v>2988</v>
      </c>
      <c r="H566" s="705">
        <v>24786</v>
      </c>
      <c r="I566" s="705">
        <v>1573307</v>
      </c>
      <c r="J566" s="705">
        <v>1430279</v>
      </c>
      <c r="K566">
        <v>55</v>
      </c>
      <c r="L566" s="705">
        <v>202892</v>
      </c>
      <c r="M566" s="705">
        <v>151032</v>
      </c>
      <c r="N566" s="705">
        <v>71362</v>
      </c>
      <c r="O566" s="705">
        <v>26430</v>
      </c>
      <c r="P566" s="705">
        <v>10881</v>
      </c>
      <c r="Q566" s="705">
        <v>4030</v>
      </c>
      <c r="R566" s="705">
        <v>220980</v>
      </c>
      <c r="S566" s="705">
        <v>200891</v>
      </c>
      <c r="T566" s="705">
        <v>73738</v>
      </c>
      <c r="U566" s="705">
        <v>27310</v>
      </c>
      <c r="V566" s="705">
        <v>1839972</v>
      </c>
      <c r="W566" s="705">
        <f t="shared" si="38"/>
        <v>1839972</v>
      </c>
      <c r="X566" s="705">
        <f t="shared" si="39"/>
        <v>2153160</v>
      </c>
      <c r="Y566" s="705"/>
    </row>
    <row r="567" spans="2:35">
      <c r="B567" t="s">
        <v>537</v>
      </c>
      <c r="C567" t="s">
        <v>124</v>
      </c>
      <c r="D567" t="s">
        <v>584</v>
      </c>
      <c r="E567" t="s">
        <v>228</v>
      </c>
      <c r="F567">
        <v>7</v>
      </c>
      <c r="G567">
        <v>764</v>
      </c>
      <c r="H567" s="705">
        <v>4101</v>
      </c>
      <c r="I567" s="705">
        <v>282947</v>
      </c>
      <c r="J567" s="705">
        <v>257224</v>
      </c>
      <c r="K567">
        <v>72</v>
      </c>
      <c r="L567" s="705">
        <v>64164</v>
      </c>
      <c r="M567" s="705">
        <v>54888</v>
      </c>
      <c r="N567" s="705">
        <v>16791</v>
      </c>
      <c r="O567" s="705">
        <v>6219</v>
      </c>
      <c r="P567" s="705">
        <v>3456</v>
      </c>
      <c r="Q567" s="705">
        <v>1280</v>
      </c>
      <c r="R567" s="705">
        <v>59261</v>
      </c>
      <c r="S567" s="705">
        <v>21949</v>
      </c>
      <c r="T567" s="705">
        <v>4989</v>
      </c>
      <c r="U567" s="705">
        <v>1848</v>
      </c>
      <c r="V567" s="705">
        <v>343408</v>
      </c>
      <c r="W567" s="705">
        <f t="shared" si="38"/>
        <v>343408</v>
      </c>
      <c r="X567" s="705">
        <f t="shared" si="39"/>
        <v>431608</v>
      </c>
      <c r="Y567" s="705"/>
    </row>
    <row r="568" spans="2:35">
      <c r="B568" t="s">
        <v>537</v>
      </c>
      <c r="C568" t="s">
        <v>124</v>
      </c>
      <c r="D568" t="s">
        <v>584</v>
      </c>
      <c r="E568" t="s">
        <v>584</v>
      </c>
      <c r="F568">
        <v>138</v>
      </c>
      <c r="G568" s="705">
        <v>14202</v>
      </c>
      <c r="H568" s="705">
        <v>75049</v>
      </c>
      <c r="I568" s="705">
        <v>5227101</v>
      </c>
      <c r="J568" s="705">
        <v>4751910</v>
      </c>
      <c r="K568">
        <v>73</v>
      </c>
      <c r="L568" s="705">
        <v>1307934</v>
      </c>
      <c r="M568" s="705">
        <v>1149693</v>
      </c>
      <c r="N568" s="705">
        <v>325200</v>
      </c>
      <c r="O568" s="705">
        <v>120444</v>
      </c>
      <c r="P568" s="705">
        <v>65597</v>
      </c>
      <c r="Q568" s="705">
        <v>24295</v>
      </c>
      <c r="R568" s="705">
        <v>702350</v>
      </c>
      <c r="S568" s="705">
        <v>638500</v>
      </c>
      <c r="T568" s="705">
        <v>233346</v>
      </c>
      <c r="U568" s="705">
        <v>86424</v>
      </c>
      <c r="V568" s="705">
        <v>6771266</v>
      </c>
      <c r="W568" s="705">
        <f t="shared" si="38"/>
        <v>6771266</v>
      </c>
      <c r="X568" s="705">
        <f t="shared" si="39"/>
        <v>7861528</v>
      </c>
      <c r="Y568" s="705"/>
    </row>
    <row r="569" spans="2:35">
      <c r="B569" t="s">
        <v>537</v>
      </c>
      <c r="C569" t="s">
        <v>124</v>
      </c>
      <c r="D569" t="s">
        <v>669</v>
      </c>
      <c r="E569" t="s">
        <v>664</v>
      </c>
      <c r="F569">
        <v>1</v>
      </c>
      <c r="G569" s="705">
        <v>67</v>
      </c>
      <c r="H569" s="705">
        <v>643</v>
      </c>
      <c r="I569" s="705">
        <v>25177</v>
      </c>
      <c r="J569" s="705">
        <v>20981</v>
      </c>
      <c r="K569">
        <v>86</v>
      </c>
      <c r="L569" s="705">
        <v>11528</v>
      </c>
      <c r="M569" s="705">
        <v>4270</v>
      </c>
      <c r="N569" s="705">
        <v>1626</v>
      </c>
      <c r="O569" s="705">
        <v>602</v>
      </c>
      <c r="P569" s="705">
        <v>621</v>
      </c>
      <c r="Q569" s="705">
        <v>230</v>
      </c>
      <c r="R569" s="705">
        <v>3982</v>
      </c>
      <c r="S569" s="705">
        <v>3620</v>
      </c>
      <c r="T569" s="705">
        <v>0</v>
      </c>
      <c r="U569" s="705">
        <v>0</v>
      </c>
      <c r="V569" s="705">
        <v>29703</v>
      </c>
      <c r="W569" s="705">
        <f t="shared" si="38"/>
        <v>29703</v>
      </c>
      <c r="X569" s="705">
        <f t="shared" si="39"/>
        <v>42934</v>
      </c>
      <c r="Y569" s="705"/>
    </row>
    <row r="570" spans="2:35">
      <c r="B570" t="s">
        <v>537</v>
      </c>
      <c r="C570" t="s">
        <v>124</v>
      </c>
      <c r="D570" t="s">
        <v>669</v>
      </c>
      <c r="E570" t="s">
        <v>228</v>
      </c>
      <c r="F570" s="705">
        <v>13</v>
      </c>
      <c r="G570" s="705">
        <v>1329</v>
      </c>
      <c r="H570" s="705">
        <v>14634</v>
      </c>
      <c r="I570" s="705">
        <v>1220002</v>
      </c>
      <c r="J570" s="705">
        <v>1016668</v>
      </c>
      <c r="K570">
        <v>39</v>
      </c>
      <c r="L570" s="705">
        <v>110883</v>
      </c>
      <c r="M570" s="705">
        <v>54242</v>
      </c>
      <c r="N570" s="705">
        <v>30964</v>
      </c>
      <c r="O570" s="705">
        <v>11468</v>
      </c>
      <c r="P570" s="705">
        <v>1053</v>
      </c>
      <c r="Q570" s="705">
        <v>390</v>
      </c>
      <c r="R570" s="705">
        <v>91692</v>
      </c>
      <c r="S570" s="705">
        <v>33960</v>
      </c>
      <c r="T570" s="705">
        <v>0</v>
      </c>
      <c r="U570" s="705">
        <v>0</v>
      </c>
      <c r="V570" s="705">
        <v>1116729</v>
      </c>
      <c r="W570" s="705">
        <f t="shared" si="38"/>
        <v>1116728</v>
      </c>
      <c r="X570" s="705">
        <f t="shared" si="39"/>
        <v>1454594</v>
      </c>
      <c r="Y570" s="705"/>
    </row>
    <row r="571" spans="2:35">
      <c r="B571" t="s">
        <v>537</v>
      </c>
      <c r="C571" t="s">
        <v>124</v>
      </c>
      <c r="D571" t="s">
        <v>669</v>
      </c>
      <c r="E571" t="s">
        <v>669</v>
      </c>
      <c r="F571">
        <v>12</v>
      </c>
      <c r="G571" s="705">
        <v>1068</v>
      </c>
      <c r="H571" s="705">
        <v>8279</v>
      </c>
      <c r="I571" s="705">
        <v>543980</v>
      </c>
      <c r="J571" s="705">
        <v>453317</v>
      </c>
      <c r="K571">
        <v>55</v>
      </c>
      <c r="L571" s="705">
        <v>79992</v>
      </c>
      <c r="M571" s="705">
        <v>54601</v>
      </c>
      <c r="N571" s="705">
        <v>19430</v>
      </c>
      <c r="O571" s="705">
        <v>7196</v>
      </c>
      <c r="P571" s="705">
        <v>3780</v>
      </c>
      <c r="Q571" s="705">
        <v>1400</v>
      </c>
      <c r="R571" s="705">
        <v>67192</v>
      </c>
      <c r="S571" s="705">
        <v>55993</v>
      </c>
      <c r="T571" s="705">
        <v>22230</v>
      </c>
      <c r="U571" s="705">
        <v>8233</v>
      </c>
      <c r="V571" s="705">
        <v>580740</v>
      </c>
      <c r="W571" s="705">
        <f t="shared" si="38"/>
        <v>580740</v>
      </c>
      <c r="X571" s="705">
        <f t="shared" si="39"/>
        <v>736604</v>
      </c>
      <c r="Y571" s="705"/>
    </row>
    <row r="572" spans="2:35">
      <c r="B572" t="s">
        <v>537</v>
      </c>
      <c r="C572" t="s">
        <v>124</v>
      </c>
      <c r="D572" t="s">
        <v>667</v>
      </c>
      <c r="E572" t="s">
        <v>667</v>
      </c>
      <c r="F572">
        <v>1</v>
      </c>
      <c r="G572">
        <v>154</v>
      </c>
      <c r="H572" s="705">
        <v>477</v>
      </c>
      <c r="I572" s="705">
        <v>54731</v>
      </c>
      <c r="J572" s="705">
        <v>49756</v>
      </c>
      <c r="K572">
        <v>45</v>
      </c>
      <c r="L572" s="705">
        <v>4561</v>
      </c>
      <c r="M572" s="705">
        <v>4146</v>
      </c>
      <c r="N572" s="705">
        <v>3174</v>
      </c>
      <c r="O572" s="705">
        <v>1175</v>
      </c>
      <c r="P572" s="705">
        <v>351</v>
      </c>
      <c r="Q572" s="705">
        <v>130</v>
      </c>
      <c r="R572" s="705">
        <v>7631</v>
      </c>
      <c r="S572" s="705">
        <v>6938</v>
      </c>
      <c r="T572" s="705">
        <v>3065</v>
      </c>
      <c r="U572" s="705">
        <v>1135</v>
      </c>
      <c r="V572" s="705">
        <v>63280</v>
      </c>
      <c r="W572" s="705">
        <f t="shared" si="38"/>
        <v>63280</v>
      </c>
      <c r="X572" s="705">
        <f t="shared" si="39"/>
        <v>73513</v>
      </c>
      <c r="Y572" s="705"/>
      <c r="AI572" s="429"/>
    </row>
    <row r="573" spans="2:35">
      <c r="B573" t="s">
        <v>537</v>
      </c>
      <c r="C573" t="s">
        <v>124</v>
      </c>
      <c r="D573" t="s">
        <v>671</v>
      </c>
      <c r="E573" t="s">
        <v>228</v>
      </c>
      <c r="F573">
        <v>1</v>
      </c>
      <c r="G573" s="705">
        <v>89</v>
      </c>
      <c r="H573" s="705">
        <v>1283</v>
      </c>
      <c r="I573" s="705">
        <v>107534</v>
      </c>
      <c r="J573" s="705">
        <v>97758</v>
      </c>
      <c r="K573">
        <v>30</v>
      </c>
      <c r="L573" s="705">
        <v>0</v>
      </c>
      <c r="M573" s="705">
        <v>0</v>
      </c>
      <c r="N573" s="705">
        <v>2174</v>
      </c>
      <c r="O573" s="705">
        <v>805</v>
      </c>
      <c r="P573" s="705">
        <v>0</v>
      </c>
      <c r="Q573" s="705">
        <v>0</v>
      </c>
      <c r="R573" s="705">
        <v>4746</v>
      </c>
      <c r="S573" s="705">
        <v>1758</v>
      </c>
      <c r="T573" s="705">
        <v>0</v>
      </c>
      <c r="U573">
        <v>0</v>
      </c>
      <c r="V573" s="705">
        <v>100321</v>
      </c>
      <c r="W573" s="705">
        <f t="shared" si="38"/>
        <v>100321</v>
      </c>
      <c r="X573" s="705">
        <f t="shared" si="39"/>
        <v>114454</v>
      </c>
      <c r="Y573" s="705"/>
      <c r="AI573" s="429"/>
    </row>
    <row r="574" spans="2:35">
      <c r="B574" t="s">
        <v>537</v>
      </c>
      <c r="C574" t="s">
        <v>124</v>
      </c>
      <c r="D574" t="s">
        <v>671</v>
      </c>
      <c r="E574" t="s">
        <v>671</v>
      </c>
      <c r="F574">
        <v>1</v>
      </c>
      <c r="G574" s="705">
        <v>95</v>
      </c>
      <c r="H574" s="705">
        <v>504</v>
      </c>
      <c r="I574" s="705">
        <v>33723</v>
      </c>
      <c r="J574" s="705">
        <v>30657</v>
      </c>
      <c r="K574">
        <v>65</v>
      </c>
      <c r="L574" s="705">
        <v>5978</v>
      </c>
      <c r="M574" s="705">
        <v>2214</v>
      </c>
      <c r="N574" s="705">
        <v>2204</v>
      </c>
      <c r="O574" s="705">
        <v>816</v>
      </c>
      <c r="P574" s="705">
        <v>351</v>
      </c>
      <c r="Q574" s="705">
        <v>130</v>
      </c>
      <c r="R574" s="705">
        <v>3828</v>
      </c>
      <c r="S574" s="705">
        <v>3480</v>
      </c>
      <c r="T574" s="705">
        <v>1921</v>
      </c>
      <c r="U574" s="705">
        <v>711</v>
      </c>
      <c r="V574" s="705">
        <v>38009</v>
      </c>
      <c r="W574" s="705">
        <f t="shared" si="38"/>
        <v>38008</v>
      </c>
      <c r="X574" s="705">
        <f t="shared" si="39"/>
        <v>48005</v>
      </c>
      <c r="Y574" s="705"/>
      <c r="AI574" s="429"/>
    </row>
    <row r="575" spans="2:35">
      <c r="B575" t="s">
        <v>537</v>
      </c>
      <c r="C575" t="s">
        <v>124</v>
      </c>
      <c r="D575" t="s">
        <v>665</v>
      </c>
      <c r="E575" t="s">
        <v>582</v>
      </c>
      <c r="F575">
        <v>1</v>
      </c>
      <c r="G575" s="705">
        <v>82</v>
      </c>
      <c r="H575" s="705">
        <v>1189</v>
      </c>
      <c r="I575" s="705">
        <v>84832</v>
      </c>
      <c r="J575" s="705">
        <v>77120</v>
      </c>
      <c r="K575">
        <v>30</v>
      </c>
      <c r="L575" s="705">
        <v>6941</v>
      </c>
      <c r="M575" s="705">
        <v>2571</v>
      </c>
      <c r="N575" s="705">
        <v>1989</v>
      </c>
      <c r="O575" s="705">
        <v>737</v>
      </c>
      <c r="P575" s="705">
        <v>0</v>
      </c>
      <c r="Q575">
        <v>0</v>
      </c>
      <c r="R575" s="705">
        <v>3309</v>
      </c>
      <c r="S575" s="705">
        <v>3008</v>
      </c>
      <c r="T575" s="705">
        <v>0</v>
      </c>
      <c r="U575" s="705">
        <v>0</v>
      </c>
      <c r="V575" s="705">
        <v>83436</v>
      </c>
      <c r="W575" s="705">
        <f t="shared" si="38"/>
        <v>83436</v>
      </c>
      <c r="X575" s="705">
        <f t="shared" si="39"/>
        <v>97071</v>
      </c>
      <c r="Y575" s="705"/>
      <c r="AI575" s="429"/>
    </row>
    <row r="576" spans="2:35">
      <c r="B576" t="s">
        <v>537</v>
      </c>
      <c r="C576" t="s">
        <v>124</v>
      </c>
      <c r="D576" t="s">
        <v>665</v>
      </c>
      <c r="E576" t="s">
        <v>228</v>
      </c>
      <c r="F576">
        <v>227</v>
      </c>
      <c r="G576" s="705">
        <v>20843</v>
      </c>
      <c r="H576" s="705">
        <v>240879</v>
      </c>
      <c r="I576" s="705">
        <v>17442348</v>
      </c>
      <c r="J576" s="705">
        <v>15856680</v>
      </c>
      <c r="K576">
        <v>39</v>
      </c>
      <c r="L576" s="705">
        <v>1612703</v>
      </c>
      <c r="M576" s="705">
        <v>850261</v>
      </c>
      <c r="N576" s="705">
        <v>479027</v>
      </c>
      <c r="O576" s="705">
        <v>177417</v>
      </c>
      <c r="P576" s="705">
        <v>7151</v>
      </c>
      <c r="Q576" s="705">
        <v>2649</v>
      </c>
      <c r="R576" s="705">
        <v>1598545</v>
      </c>
      <c r="S576" s="705">
        <v>592054</v>
      </c>
      <c r="T576" s="705">
        <v>6037</v>
      </c>
      <c r="U576" s="705">
        <v>2236</v>
      </c>
      <c r="V576" s="705">
        <v>17481296</v>
      </c>
      <c r="W576" s="705">
        <f t="shared" si="38"/>
        <v>17481297</v>
      </c>
      <c r="X576" s="705">
        <f t="shared" si="39"/>
        <v>21145811</v>
      </c>
      <c r="Y576" s="705"/>
      <c r="AI576" s="429"/>
    </row>
    <row r="577" spans="2:35">
      <c r="B577" t="s">
        <v>537</v>
      </c>
      <c r="C577" t="s">
        <v>124</v>
      </c>
      <c r="D577" t="s">
        <v>665</v>
      </c>
      <c r="E577" t="s">
        <v>583</v>
      </c>
      <c r="F577">
        <v>4</v>
      </c>
      <c r="G577" s="705">
        <v>779</v>
      </c>
      <c r="H577" s="705">
        <v>4239</v>
      </c>
      <c r="I577" s="705">
        <v>608488</v>
      </c>
      <c r="J577" s="705">
        <v>553171</v>
      </c>
      <c r="K577">
        <v>39</v>
      </c>
      <c r="L577" s="705">
        <v>69106</v>
      </c>
      <c r="M577" s="705">
        <v>25595</v>
      </c>
      <c r="N577" s="705">
        <v>18076</v>
      </c>
      <c r="O577" s="705">
        <v>6695</v>
      </c>
      <c r="P577" s="705">
        <v>621</v>
      </c>
      <c r="Q577" s="705">
        <v>230</v>
      </c>
      <c r="R577" s="705">
        <v>28891</v>
      </c>
      <c r="S577" s="705">
        <v>26265</v>
      </c>
      <c r="T577" s="705">
        <v>8564</v>
      </c>
      <c r="U577" s="705">
        <v>3172</v>
      </c>
      <c r="V577" s="705">
        <v>615128</v>
      </c>
      <c r="W577" s="705">
        <f t="shared" si="38"/>
        <v>615128</v>
      </c>
      <c r="X577" s="705">
        <f t="shared" si="39"/>
        <v>733746</v>
      </c>
      <c r="Y577" s="705"/>
      <c r="AI577" s="429"/>
    </row>
    <row r="578" spans="2:35">
      <c r="B578" t="s">
        <v>537</v>
      </c>
      <c r="C578" t="s">
        <v>124</v>
      </c>
      <c r="D578" t="s">
        <v>665</v>
      </c>
      <c r="E578" t="s">
        <v>665</v>
      </c>
      <c r="F578">
        <v>328</v>
      </c>
      <c r="G578" s="705">
        <v>31792</v>
      </c>
      <c r="H578" s="705">
        <v>235506</v>
      </c>
      <c r="I578" s="705">
        <v>16492312</v>
      </c>
      <c r="J578" s="705">
        <v>14993011</v>
      </c>
      <c r="K578">
        <v>54</v>
      </c>
      <c r="L578" s="705">
        <v>2330667</v>
      </c>
      <c r="M578" s="705">
        <v>1677584</v>
      </c>
      <c r="N578" s="705">
        <v>706196</v>
      </c>
      <c r="O578" s="705">
        <v>261554</v>
      </c>
      <c r="P578" s="705">
        <v>101493</v>
      </c>
      <c r="Q578" s="705">
        <v>37590</v>
      </c>
      <c r="R578" s="705">
        <v>1887979</v>
      </c>
      <c r="S578" s="705">
        <v>1716344</v>
      </c>
      <c r="T578" s="705">
        <v>641355</v>
      </c>
      <c r="U578" s="705">
        <v>237539</v>
      </c>
      <c r="V578" s="705">
        <v>18923622</v>
      </c>
      <c r="W578" s="705">
        <f t="shared" si="38"/>
        <v>18923622</v>
      </c>
      <c r="X578" s="705">
        <f t="shared" si="39"/>
        <v>22160002</v>
      </c>
      <c r="Y578" s="705"/>
      <c r="AI578" s="429"/>
    </row>
    <row r="579" spans="2:35">
      <c r="B579" t="s">
        <v>537</v>
      </c>
      <c r="C579" t="s">
        <v>124</v>
      </c>
      <c r="D579" t="s">
        <v>673</v>
      </c>
      <c r="E579" t="s">
        <v>228</v>
      </c>
      <c r="F579">
        <v>4</v>
      </c>
      <c r="G579" s="705">
        <v>390</v>
      </c>
      <c r="H579" s="705">
        <v>3042</v>
      </c>
      <c r="I579" s="705">
        <v>208929</v>
      </c>
      <c r="J579" s="705">
        <v>189936</v>
      </c>
      <c r="K579">
        <v>53</v>
      </c>
      <c r="L579" s="705">
        <v>24018</v>
      </c>
      <c r="M579" s="705">
        <v>22679</v>
      </c>
      <c r="N579" s="705">
        <v>8738</v>
      </c>
      <c r="O579" s="705">
        <v>3236</v>
      </c>
      <c r="P579" s="705">
        <v>0</v>
      </c>
      <c r="Q579" s="705">
        <v>0</v>
      </c>
      <c r="R579" s="705">
        <v>42423</v>
      </c>
      <c r="S579" s="705">
        <v>15712</v>
      </c>
      <c r="T579" s="705">
        <v>0</v>
      </c>
      <c r="U579" s="705">
        <v>0</v>
      </c>
      <c r="V579" s="705">
        <v>231563</v>
      </c>
      <c r="W579" s="705">
        <f t="shared" si="38"/>
        <v>231563</v>
      </c>
      <c r="X579" s="705">
        <f t="shared" si="39"/>
        <v>284108</v>
      </c>
      <c r="Y579" s="705"/>
      <c r="AI579" s="429"/>
    </row>
    <row r="580" spans="2:35">
      <c r="B580" t="s">
        <v>537</v>
      </c>
      <c r="C580" t="s">
        <v>124</v>
      </c>
      <c r="D580" t="s">
        <v>673</v>
      </c>
      <c r="E580" t="s">
        <v>665</v>
      </c>
      <c r="F580">
        <v>1</v>
      </c>
      <c r="G580" s="705">
        <v>69</v>
      </c>
      <c r="H580" s="705">
        <v>631</v>
      </c>
      <c r="I580" s="705">
        <v>63522</v>
      </c>
      <c r="J580" s="705">
        <v>57747</v>
      </c>
      <c r="K580">
        <v>55</v>
      </c>
      <c r="L580" s="705">
        <v>6470</v>
      </c>
      <c r="M580" s="705">
        <v>5882</v>
      </c>
      <c r="N580" s="705">
        <v>3165</v>
      </c>
      <c r="O580" s="705">
        <v>1172</v>
      </c>
      <c r="P580" s="705">
        <v>351</v>
      </c>
      <c r="Q580" s="705">
        <v>130</v>
      </c>
      <c r="R580" s="705">
        <v>8488</v>
      </c>
      <c r="S580" s="705">
        <v>7716</v>
      </c>
      <c r="T580" s="705">
        <v>0</v>
      </c>
      <c r="U580" s="705">
        <v>0</v>
      </c>
      <c r="V580" s="705">
        <v>72647</v>
      </c>
      <c r="W580" s="705">
        <f t="shared" si="38"/>
        <v>72647</v>
      </c>
      <c r="X580" s="705">
        <f t="shared" si="39"/>
        <v>81996</v>
      </c>
      <c r="Y580" s="705"/>
      <c r="AI580" s="429"/>
    </row>
    <row r="581" spans="2:35">
      <c r="B581" t="s">
        <v>537</v>
      </c>
      <c r="C581" t="s">
        <v>124</v>
      </c>
      <c r="D581" t="s">
        <v>673</v>
      </c>
      <c r="E581" t="s">
        <v>673</v>
      </c>
      <c r="F581">
        <v>10</v>
      </c>
      <c r="G581">
        <v>922</v>
      </c>
      <c r="H581" s="705">
        <v>8003</v>
      </c>
      <c r="I581" s="705">
        <v>500933</v>
      </c>
      <c r="J581" s="705">
        <v>455394</v>
      </c>
      <c r="K581">
        <v>59</v>
      </c>
      <c r="L581" s="705">
        <v>77922</v>
      </c>
      <c r="M581" s="705">
        <v>53120</v>
      </c>
      <c r="N581" s="705">
        <v>21040</v>
      </c>
      <c r="O581" s="705">
        <v>7793</v>
      </c>
      <c r="P581" s="705">
        <v>2808</v>
      </c>
      <c r="Q581" s="705">
        <v>1040</v>
      </c>
      <c r="R581" s="705">
        <v>61199</v>
      </c>
      <c r="S581" s="705">
        <v>55635</v>
      </c>
      <c r="T581" s="705">
        <v>19568</v>
      </c>
      <c r="U581" s="705">
        <v>7247</v>
      </c>
      <c r="V581" s="705">
        <v>580229</v>
      </c>
      <c r="W581" s="705">
        <f t="shared" si="38"/>
        <v>580229</v>
      </c>
      <c r="X581" s="705">
        <f t="shared" si="39"/>
        <v>683470</v>
      </c>
      <c r="Y581" s="705"/>
      <c r="AI581" s="429"/>
    </row>
    <row r="582" spans="2:35">
      <c r="B582" t="s">
        <v>537</v>
      </c>
      <c r="C582" t="s">
        <v>124</v>
      </c>
      <c r="D582" t="s">
        <v>585</v>
      </c>
      <c r="E582" t="s">
        <v>583</v>
      </c>
      <c r="F582" s="705">
        <v>1</v>
      </c>
      <c r="G582" s="705">
        <v>83</v>
      </c>
      <c r="H582" s="705">
        <v>490</v>
      </c>
      <c r="I582" s="705">
        <v>24970</v>
      </c>
      <c r="J582" s="705">
        <v>22700</v>
      </c>
      <c r="K582">
        <v>85</v>
      </c>
      <c r="L582" s="705">
        <v>7463</v>
      </c>
      <c r="M582" s="705">
        <v>6785</v>
      </c>
      <c r="N582" s="705">
        <v>2023</v>
      </c>
      <c r="O582" s="705">
        <v>749</v>
      </c>
      <c r="P582" s="705">
        <v>621</v>
      </c>
      <c r="Q582" s="705">
        <v>230</v>
      </c>
      <c r="R582" s="705">
        <v>3374</v>
      </c>
      <c r="S582" s="705">
        <v>3067</v>
      </c>
      <c r="T582" s="705">
        <v>2207</v>
      </c>
      <c r="U582" s="705">
        <v>817</v>
      </c>
      <c r="V582" s="705">
        <v>34349</v>
      </c>
      <c r="W582" s="705">
        <f t="shared" si="38"/>
        <v>34348</v>
      </c>
      <c r="X582" s="705">
        <f t="shared" si="39"/>
        <v>40658</v>
      </c>
      <c r="Y582" s="705"/>
      <c r="AI582" s="429"/>
    </row>
    <row r="583" spans="2:35">
      <c r="B583" t="s">
        <v>537</v>
      </c>
      <c r="C583" t="s">
        <v>124</v>
      </c>
      <c r="D583" t="s">
        <v>585</v>
      </c>
      <c r="E583" t="s">
        <v>585</v>
      </c>
      <c r="F583">
        <v>1</v>
      </c>
      <c r="G583" s="705">
        <v>99</v>
      </c>
      <c r="H583" s="705">
        <v>569</v>
      </c>
      <c r="I583" s="705">
        <v>36376</v>
      </c>
      <c r="J583" s="705">
        <v>33069</v>
      </c>
      <c r="K583">
        <v>65</v>
      </c>
      <c r="L583" s="705">
        <v>8757</v>
      </c>
      <c r="M583" s="705">
        <v>7961</v>
      </c>
      <c r="N583" s="705">
        <v>2408</v>
      </c>
      <c r="O583" s="705">
        <v>892</v>
      </c>
      <c r="P583" s="705">
        <v>351</v>
      </c>
      <c r="Q583" s="705">
        <v>130</v>
      </c>
      <c r="R583" s="705">
        <v>8340</v>
      </c>
      <c r="S583" s="705">
        <v>7581</v>
      </c>
      <c r="T583" s="705">
        <v>0</v>
      </c>
      <c r="U583" s="705">
        <v>0</v>
      </c>
      <c r="V583" s="705">
        <v>49634</v>
      </c>
      <c r="W583" s="705">
        <f t="shared" ref="W583:W646" si="40">SUM(ABS(J583),ABS(M583),ABS(O583),ABS(Q583),ABS(S583),ABS(U583))</f>
        <v>49633</v>
      </c>
      <c r="X583" s="705">
        <f t="shared" ref="X583:X646" si="41">SUM(ABS(I583),ABS(N583),ABS(P583),ABS(R583),ABS(T583),ABS(L583))</f>
        <v>56232</v>
      </c>
      <c r="Y583" s="705"/>
      <c r="AI583" s="429"/>
    </row>
    <row r="584" spans="2:35">
      <c r="B584" t="s">
        <v>538</v>
      </c>
      <c r="C584" t="s">
        <v>108</v>
      </c>
      <c r="D584" t="s">
        <v>582</v>
      </c>
      <c r="E584" t="s">
        <v>582</v>
      </c>
      <c r="F584">
        <v>1</v>
      </c>
      <c r="G584">
        <v>344</v>
      </c>
      <c r="H584">
        <v>57</v>
      </c>
      <c r="I584" s="705">
        <v>11558</v>
      </c>
      <c r="J584" s="705">
        <v>10507</v>
      </c>
      <c r="K584">
        <v>92</v>
      </c>
      <c r="L584" s="705">
        <v>0</v>
      </c>
      <c r="M584" s="705">
        <v>0</v>
      </c>
      <c r="N584" s="705">
        <v>4188</v>
      </c>
      <c r="O584" s="705">
        <v>1551</v>
      </c>
      <c r="P584">
        <v>473</v>
      </c>
      <c r="Q584">
        <v>175</v>
      </c>
      <c r="R584" s="705">
        <v>3524</v>
      </c>
      <c r="S584" s="705">
        <v>3204</v>
      </c>
      <c r="T584" s="705">
        <v>0</v>
      </c>
      <c r="U584" s="705">
        <v>0</v>
      </c>
      <c r="V584" s="705">
        <v>15437</v>
      </c>
      <c r="W584" s="705">
        <f t="shared" si="40"/>
        <v>15437</v>
      </c>
      <c r="X584" s="705">
        <f t="shared" si="41"/>
        <v>19743</v>
      </c>
      <c r="Y584" s="705"/>
      <c r="AI584" s="429"/>
    </row>
    <row r="585" spans="2:35">
      <c r="B585" t="s">
        <v>538</v>
      </c>
      <c r="C585" t="s">
        <v>108</v>
      </c>
      <c r="D585" t="s">
        <v>228</v>
      </c>
      <c r="E585" t="s">
        <v>228</v>
      </c>
      <c r="F585">
        <v>161</v>
      </c>
      <c r="G585" s="705">
        <v>35059</v>
      </c>
      <c r="H585" s="705">
        <v>9049</v>
      </c>
      <c r="I585" s="705">
        <v>253431</v>
      </c>
      <c r="J585" s="705">
        <v>93863</v>
      </c>
      <c r="K585">
        <v>468</v>
      </c>
      <c r="L585" s="705">
        <v>68096</v>
      </c>
      <c r="M585" s="705">
        <v>58972</v>
      </c>
      <c r="N585" s="705">
        <v>495895</v>
      </c>
      <c r="O585" s="705">
        <v>183665</v>
      </c>
      <c r="P585" s="705">
        <v>179760</v>
      </c>
      <c r="Q585" s="705">
        <v>66578</v>
      </c>
      <c r="R585" s="705">
        <v>974052</v>
      </c>
      <c r="S585" s="705">
        <v>360760</v>
      </c>
      <c r="T585">
        <v>0</v>
      </c>
      <c r="U585">
        <v>0</v>
      </c>
      <c r="V585" s="705">
        <v>763838</v>
      </c>
      <c r="W585" s="705">
        <f t="shared" si="40"/>
        <v>763838</v>
      </c>
      <c r="X585" s="705">
        <f t="shared" si="41"/>
        <v>1971234</v>
      </c>
      <c r="Y585" s="705"/>
      <c r="AI585" s="429"/>
    </row>
    <row r="586" spans="2:35">
      <c r="B586" t="s">
        <v>538</v>
      </c>
      <c r="C586" t="s">
        <v>108</v>
      </c>
      <c r="D586" t="s">
        <v>583</v>
      </c>
      <c r="E586" t="s">
        <v>228</v>
      </c>
      <c r="F586">
        <v>3</v>
      </c>
      <c r="G586" s="705">
        <v>699</v>
      </c>
      <c r="H586" s="705">
        <v>144</v>
      </c>
      <c r="I586" s="705">
        <v>7511</v>
      </c>
      <c r="J586" s="705">
        <v>6828</v>
      </c>
      <c r="K586">
        <v>95</v>
      </c>
      <c r="L586" s="705">
        <v>0</v>
      </c>
      <c r="M586" s="705">
        <v>0</v>
      </c>
      <c r="N586" s="705">
        <v>8515</v>
      </c>
      <c r="O586" s="705">
        <v>3154</v>
      </c>
      <c r="P586" s="705">
        <v>4048</v>
      </c>
      <c r="Q586" s="705">
        <v>1499</v>
      </c>
      <c r="R586" s="705">
        <v>13131</v>
      </c>
      <c r="S586" s="705">
        <v>4863</v>
      </c>
      <c r="T586" s="705">
        <v>0</v>
      </c>
      <c r="U586" s="705">
        <v>0</v>
      </c>
      <c r="V586" s="705">
        <v>16344</v>
      </c>
      <c r="W586" s="705">
        <f t="shared" si="40"/>
        <v>16344</v>
      </c>
      <c r="X586" s="705">
        <f t="shared" si="41"/>
        <v>33205</v>
      </c>
      <c r="Y586" s="705"/>
      <c r="AI586" s="429"/>
    </row>
    <row r="587" spans="2:35">
      <c r="B587" t="s">
        <v>538</v>
      </c>
      <c r="C587" t="s">
        <v>108</v>
      </c>
      <c r="D587" t="s">
        <v>583</v>
      </c>
      <c r="E587" t="s">
        <v>583</v>
      </c>
      <c r="F587">
        <v>81</v>
      </c>
      <c r="G587" s="705">
        <v>11953</v>
      </c>
      <c r="H587" s="705">
        <v>4950</v>
      </c>
      <c r="I587" s="705">
        <v>186840</v>
      </c>
      <c r="J587" s="705">
        <v>169854</v>
      </c>
      <c r="K587">
        <v>100</v>
      </c>
      <c r="L587" s="705">
        <v>26498</v>
      </c>
      <c r="M587" s="705">
        <v>23843</v>
      </c>
      <c r="N587" s="705">
        <v>159160</v>
      </c>
      <c r="O587" s="705">
        <v>58948</v>
      </c>
      <c r="P587" s="705">
        <v>63741</v>
      </c>
      <c r="Q587" s="705">
        <v>23608</v>
      </c>
      <c r="R587" s="705">
        <v>283964</v>
      </c>
      <c r="S587" s="705">
        <v>258149</v>
      </c>
      <c r="T587" s="705">
        <v>0</v>
      </c>
      <c r="U587" s="705">
        <v>0</v>
      </c>
      <c r="V587" s="705">
        <v>534403</v>
      </c>
      <c r="W587" s="705">
        <f t="shared" si="40"/>
        <v>534402</v>
      </c>
      <c r="X587" s="705">
        <f t="shared" si="41"/>
        <v>720203</v>
      </c>
      <c r="Y587" s="705"/>
      <c r="AI587" s="429"/>
    </row>
    <row r="588" spans="2:35">
      <c r="B588" t="s">
        <v>538</v>
      </c>
      <c r="C588" t="s">
        <v>108</v>
      </c>
      <c r="D588" t="s">
        <v>665</v>
      </c>
      <c r="E588" t="s">
        <v>665</v>
      </c>
      <c r="F588">
        <v>1</v>
      </c>
      <c r="G588" s="705">
        <v>110</v>
      </c>
      <c r="H588" s="705">
        <v>61</v>
      </c>
      <c r="I588" s="705">
        <v>1194</v>
      </c>
      <c r="J588" s="705">
        <v>1085</v>
      </c>
      <c r="K588">
        <v>385</v>
      </c>
      <c r="L588" s="705">
        <v>786</v>
      </c>
      <c r="M588" s="705">
        <v>714</v>
      </c>
      <c r="N588" s="705">
        <v>1851</v>
      </c>
      <c r="O588" s="705">
        <v>685</v>
      </c>
      <c r="P588" s="705">
        <v>1254</v>
      </c>
      <c r="Q588">
        <v>464</v>
      </c>
      <c r="R588" s="705">
        <v>1668</v>
      </c>
      <c r="S588" s="705">
        <v>1516</v>
      </c>
      <c r="T588" s="705">
        <v>0</v>
      </c>
      <c r="U588" s="705">
        <v>0</v>
      </c>
      <c r="V588" s="705">
        <v>4465</v>
      </c>
      <c r="W588" s="705">
        <f t="shared" si="40"/>
        <v>4464</v>
      </c>
      <c r="X588" s="705">
        <f t="shared" si="41"/>
        <v>6753</v>
      </c>
      <c r="Y588" s="705"/>
      <c r="AI588" s="429"/>
    </row>
    <row r="589" spans="2:35">
      <c r="B589" t="s">
        <v>538</v>
      </c>
      <c r="C589" t="s">
        <v>108</v>
      </c>
      <c r="D589" t="s">
        <v>673</v>
      </c>
      <c r="E589" t="s">
        <v>228</v>
      </c>
      <c r="F589">
        <v>1</v>
      </c>
      <c r="G589">
        <v>174</v>
      </c>
      <c r="H589" s="705">
        <v>4</v>
      </c>
      <c r="I589" s="705">
        <v>-7268</v>
      </c>
      <c r="J589" s="705">
        <v>-6607</v>
      </c>
      <c r="K589">
        <v>60</v>
      </c>
      <c r="L589" s="705">
        <v>-1189</v>
      </c>
      <c r="M589" s="705">
        <v>-440</v>
      </c>
      <c r="N589" s="705">
        <v>2115</v>
      </c>
      <c r="O589" s="705">
        <v>783</v>
      </c>
      <c r="P589" s="705">
        <v>1672</v>
      </c>
      <c r="Q589">
        <v>619</v>
      </c>
      <c r="R589" s="705">
        <v>5345</v>
      </c>
      <c r="S589" s="705">
        <v>1980</v>
      </c>
      <c r="T589" s="705">
        <v>0</v>
      </c>
      <c r="U589" s="705">
        <v>0</v>
      </c>
      <c r="V589" s="705">
        <v>-3665</v>
      </c>
      <c r="W589" s="705">
        <f t="shared" si="40"/>
        <v>10429</v>
      </c>
      <c r="X589" s="705">
        <f t="shared" si="41"/>
        <v>17589</v>
      </c>
      <c r="Y589" s="705"/>
      <c r="AI589" s="429"/>
    </row>
    <row r="590" spans="2:35">
      <c r="B590" t="s">
        <v>538</v>
      </c>
      <c r="C590" t="s">
        <v>110</v>
      </c>
      <c r="D590" t="s">
        <v>582</v>
      </c>
      <c r="E590" t="s">
        <v>582</v>
      </c>
      <c r="F590">
        <v>1</v>
      </c>
      <c r="G590" s="705">
        <v>240</v>
      </c>
      <c r="H590" s="705">
        <v>91</v>
      </c>
      <c r="I590" s="705">
        <v>11232</v>
      </c>
      <c r="J590" s="705">
        <v>10211</v>
      </c>
      <c r="K590">
        <v>92</v>
      </c>
      <c r="L590" s="705">
        <v>1920</v>
      </c>
      <c r="M590" s="705">
        <v>1745</v>
      </c>
      <c r="N590" s="705">
        <v>5055</v>
      </c>
      <c r="O590" s="705">
        <v>1872</v>
      </c>
      <c r="P590" s="705">
        <v>473</v>
      </c>
      <c r="Q590" s="705">
        <v>175</v>
      </c>
      <c r="R590" s="705">
        <v>3119</v>
      </c>
      <c r="S590" s="705">
        <v>2836</v>
      </c>
      <c r="T590" s="705">
        <v>0</v>
      </c>
      <c r="U590" s="705">
        <v>0</v>
      </c>
      <c r="V590" s="705">
        <v>16839</v>
      </c>
      <c r="W590" s="705">
        <f t="shared" si="40"/>
        <v>16839</v>
      </c>
      <c r="X590" s="705">
        <f t="shared" si="41"/>
        <v>21799</v>
      </c>
      <c r="Y590" s="705"/>
      <c r="AI590" s="429"/>
    </row>
    <row r="591" spans="2:35">
      <c r="B591" t="s">
        <v>538</v>
      </c>
      <c r="C591" t="s">
        <v>110</v>
      </c>
      <c r="D591" t="s">
        <v>228</v>
      </c>
      <c r="E591" t="s">
        <v>228</v>
      </c>
      <c r="F591" s="705">
        <v>44</v>
      </c>
      <c r="G591" s="705">
        <v>10639</v>
      </c>
      <c r="H591" s="705">
        <v>3861</v>
      </c>
      <c r="I591" s="705">
        <v>340932</v>
      </c>
      <c r="J591" s="705">
        <v>126271</v>
      </c>
      <c r="K591">
        <v>418</v>
      </c>
      <c r="L591" s="705">
        <v>112456</v>
      </c>
      <c r="M591" s="705">
        <v>94406</v>
      </c>
      <c r="N591" s="705">
        <v>195551</v>
      </c>
      <c r="O591" s="705">
        <v>72426</v>
      </c>
      <c r="P591" s="705">
        <v>44204</v>
      </c>
      <c r="Q591" s="705">
        <v>16372</v>
      </c>
      <c r="R591" s="705">
        <v>293334</v>
      </c>
      <c r="S591" s="705">
        <v>108642</v>
      </c>
      <c r="T591" s="705">
        <v>0</v>
      </c>
      <c r="U591" s="705">
        <v>0</v>
      </c>
      <c r="V591" s="705">
        <v>418118</v>
      </c>
      <c r="W591" s="705">
        <f t="shared" si="40"/>
        <v>418117</v>
      </c>
      <c r="X591" s="705">
        <f t="shared" si="41"/>
        <v>986477</v>
      </c>
      <c r="Y591" s="705"/>
      <c r="AI591" s="429"/>
    </row>
    <row r="592" spans="2:35">
      <c r="B592" t="s">
        <v>538</v>
      </c>
      <c r="C592" t="s">
        <v>110</v>
      </c>
      <c r="D592" t="s">
        <v>583</v>
      </c>
      <c r="E592" t="s">
        <v>228</v>
      </c>
      <c r="F592">
        <v>3</v>
      </c>
      <c r="G592">
        <v>623</v>
      </c>
      <c r="H592">
        <v>288</v>
      </c>
      <c r="I592" s="705">
        <v>28229</v>
      </c>
      <c r="J592" s="705">
        <v>25663</v>
      </c>
      <c r="K592">
        <v>94</v>
      </c>
      <c r="L592" s="705">
        <v>4675</v>
      </c>
      <c r="M592" s="705">
        <v>4250</v>
      </c>
      <c r="N592" s="705">
        <v>9838</v>
      </c>
      <c r="O592" s="705">
        <v>3644</v>
      </c>
      <c r="P592" s="705">
        <v>2214</v>
      </c>
      <c r="Q592">
        <v>820</v>
      </c>
      <c r="R592" s="705">
        <v>14990</v>
      </c>
      <c r="S592" s="705">
        <v>5552</v>
      </c>
      <c r="T592" s="705">
        <v>0</v>
      </c>
      <c r="U592" s="705">
        <v>0</v>
      </c>
      <c r="V592" s="705">
        <v>39928</v>
      </c>
      <c r="W592" s="705">
        <f t="shared" si="40"/>
        <v>39929</v>
      </c>
      <c r="X592" s="705">
        <f t="shared" si="41"/>
        <v>59946</v>
      </c>
      <c r="Y592" s="705"/>
      <c r="AI592" s="429"/>
    </row>
    <row r="593" spans="2:35">
      <c r="B593" t="s">
        <v>538</v>
      </c>
      <c r="C593" t="s">
        <v>110</v>
      </c>
      <c r="D593" t="s">
        <v>583</v>
      </c>
      <c r="E593" t="s">
        <v>583</v>
      </c>
      <c r="F593">
        <v>71</v>
      </c>
      <c r="G593" s="705">
        <v>12098</v>
      </c>
      <c r="H593" s="705">
        <v>6488</v>
      </c>
      <c r="I593" s="705">
        <v>541184</v>
      </c>
      <c r="J593" s="705">
        <v>491985</v>
      </c>
      <c r="K593">
        <v>94</v>
      </c>
      <c r="L593" s="705">
        <v>89971</v>
      </c>
      <c r="M593" s="705">
        <v>81556</v>
      </c>
      <c r="N593" s="705">
        <v>166822</v>
      </c>
      <c r="O593" s="705">
        <v>61786</v>
      </c>
      <c r="P593" s="705">
        <v>57773</v>
      </c>
      <c r="Q593" s="705">
        <v>21397</v>
      </c>
      <c r="R593" s="705">
        <v>252803</v>
      </c>
      <c r="S593" s="705">
        <v>229820</v>
      </c>
      <c r="T593" s="705">
        <v>2962</v>
      </c>
      <c r="U593" s="705">
        <v>1097</v>
      </c>
      <c r="V593" s="705">
        <v>887642</v>
      </c>
      <c r="W593" s="705">
        <f t="shared" si="40"/>
        <v>887641</v>
      </c>
      <c r="X593" s="705">
        <f t="shared" si="41"/>
        <v>1111515</v>
      </c>
      <c r="Y593" s="705"/>
      <c r="AI593" s="429"/>
    </row>
    <row r="594" spans="2:35">
      <c r="B594" t="s">
        <v>538</v>
      </c>
      <c r="C594" t="s">
        <v>110</v>
      </c>
      <c r="D594" t="s">
        <v>585</v>
      </c>
      <c r="E594" t="s">
        <v>585</v>
      </c>
      <c r="F594">
        <v>1</v>
      </c>
      <c r="G594" s="705">
        <v>221</v>
      </c>
      <c r="H594" s="705">
        <v>98</v>
      </c>
      <c r="I594" s="705">
        <v>15590</v>
      </c>
      <c r="J594" s="705">
        <v>14173</v>
      </c>
      <c r="K594">
        <v>92</v>
      </c>
      <c r="L594" s="705">
        <v>2650</v>
      </c>
      <c r="M594" s="705">
        <v>2409</v>
      </c>
      <c r="N594" s="705">
        <v>3393</v>
      </c>
      <c r="O594" s="705">
        <v>1257</v>
      </c>
      <c r="P594" s="705">
        <v>351</v>
      </c>
      <c r="Q594" s="705">
        <v>130</v>
      </c>
      <c r="R594" s="705">
        <v>5254</v>
      </c>
      <c r="S594" s="705">
        <v>4776</v>
      </c>
      <c r="T594" s="705">
        <v>0</v>
      </c>
      <c r="U594" s="705">
        <v>0</v>
      </c>
      <c r="V594" s="705">
        <v>22745</v>
      </c>
      <c r="W594" s="705">
        <f t="shared" si="40"/>
        <v>22745</v>
      </c>
      <c r="X594" s="705">
        <f t="shared" si="41"/>
        <v>27238</v>
      </c>
      <c r="Y594" s="705"/>
      <c r="AI594" s="429"/>
    </row>
    <row r="595" spans="2:35">
      <c r="B595" t="s">
        <v>538</v>
      </c>
      <c r="C595" t="s">
        <v>112</v>
      </c>
      <c r="D595" t="s">
        <v>582</v>
      </c>
      <c r="E595" t="s">
        <v>582</v>
      </c>
      <c r="F595">
        <v>1</v>
      </c>
      <c r="G595" s="705">
        <v>286</v>
      </c>
      <c r="H595">
        <v>122</v>
      </c>
      <c r="I595" s="705">
        <v>19106</v>
      </c>
      <c r="J595" s="705">
        <v>17369</v>
      </c>
      <c r="K595">
        <v>90</v>
      </c>
      <c r="L595" s="705">
        <v>2660</v>
      </c>
      <c r="M595" s="705">
        <v>2418</v>
      </c>
      <c r="N595" s="705">
        <v>6334</v>
      </c>
      <c r="O595" s="705">
        <v>2346</v>
      </c>
      <c r="P595" s="705">
        <v>824</v>
      </c>
      <c r="Q595" s="705">
        <v>305</v>
      </c>
      <c r="R595" s="705">
        <v>5854</v>
      </c>
      <c r="S595" s="705">
        <v>5322</v>
      </c>
      <c r="T595" s="705">
        <v>0</v>
      </c>
      <c r="U595">
        <v>0</v>
      </c>
      <c r="V595" s="705">
        <v>27759</v>
      </c>
      <c r="W595" s="705">
        <f t="shared" si="40"/>
        <v>27760</v>
      </c>
      <c r="X595" s="705">
        <f t="shared" si="41"/>
        <v>34778</v>
      </c>
      <c r="Y595" s="705"/>
      <c r="AI595" s="429"/>
    </row>
    <row r="596" spans="2:35">
      <c r="B596" t="s">
        <v>538</v>
      </c>
      <c r="C596" t="s">
        <v>112</v>
      </c>
      <c r="D596" t="s">
        <v>228</v>
      </c>
      <c r="E596" t="s">
        <v>228</v>
      </c>
      <c r="F596">
        <v>65</v>
      </c>
      <c r="G596" s="705">
        <v>15777</v>
      </c>
      <c r="H596" s="705">
        <v>7383</v>
      </c>
      <c r="I596" s="705">
        <v>785770</v>
      </c>
      <c r="J596" s="705">
        <v>291026</v>
      </c>
      <c r="K596">
        <v>342</v>
      </c>
      <c r="L596" s="705">
        <v>255616</v>
      </c>
      <c r="M596" s="705">
        <v>229605</v>
      </c>
      <c r="N596" s="705">
        <v>304104</v>
      </c>
      <c r="O596" s="705">
        <v>112631</v>
      </c>
      <c r="P596" s="705">
        <v>53816</v>
      </c>
      <c r="Q596" s="705">
        <v>19932</v>
      </c>
      <c r="R596" s="705">
        <v>449309</v>
      </c>
      <c r="S596" s="705">
        <v>166411</v>
      </c>
      <c r="T596" s="705">
        <v>24298</v>
      </c>
      <c r="U596" s="705">
        <v>8999</v>
      </c>
      <c r="V596" s="705">
        <v>828604</v>
      </c>
      <c r="W596" s="705">
        <f t="shared" si="40"/>
        <v>828604</v>
      </c>
      <c r="X596" s="705">
        <f t="shared" si="41"/>
        <v>1872913</v>
      </c>
      <c r="Y596" s="705"/>
      <c r="AI596" s="429"/>
    </row>
    <row r="597" spans="2:35">
      <c r="B597" t="s">
        <v>538</v>
      </c>
      <c r="C597" t="s">
        <v>112</v>
      </c>
      <c r="D597" t="s">
        <v>583</v>
      </c>
      <c r="E597" t="s">
        <v>228</v>
      </c>
      <c r="F597">
        <v>1</v>
      </c>
      <c r="G597" s="705">
        <v>193</v>
      </c>
      <c r="H597" s="705">
        <v>113</v>
      </c>
      <c r="I597" s="705">
        <v>11048</v>
      </c>
      <c r="J597" s="705">
        <v>10044</v>
      </c>
      <c r="K597">
        <v>93</v>
      </c>
      <c r="L597" s="705">
        <v>1895</v>
      </c>
      <c r="M597" s="705">
        <v>1722</v>
      </c>
      <c r="N597" s="705">
        <v>3709</v>
      </c>
      <c r="O597" s="705">
        <v>1374</v>
      </c>
      <c r="P597" s="705">
        <v>621</v>
      </c>
      <c r="Q597" s="705">
        <v>230</v>
      </c>
      <c r="R597" s="705">
        <v>4457</v>
      </c>
      <c r="S597" s="705">
        <v>1651</v>
      </c>
      <c r="T597" s="705">
        <v>0</v>
      </c>
      <c r="U597" s="705">
        <v>0</v>
      </c>
      <c r="V597" s="705">
        <v>15021</v>
      </c>
      <c r="W597" s="705">
        <f t="shared" si="40"/>
        <v>15021</v>
      </c>
      <c r="X597" s="705">
        <f t="shared" si="41"/>
        <v>21730</v>
      </c>
      <c r="Y597" s="705"/>
      <c r="AI597" s="429"/>
    </row>
    <row r="598" spans="2:35">
      <c r="B598" t="s">
        <v>538</v>
      </c>
      <c r="C598" t="s">
        <v>112</v>
      </c>
      <c r="D598" t="s">
        <v>583</v>
      </c>
      <c r="E598" t="s">
        <v>583</v>
      </c>
      <c r="F598">
        <v>205</v>
      </c>
      <c r="G598" s="705">
        <v>44484</v>
      </c>
      <c r="H598" s="705">
        <v>23846</v>
      </c>
      <c r="I598" s="705">
        <v>2890669</v>
      </c>
      <c r="J598" s="705">
        <v>2627881</v>
      </c>
      <c r="K598">
        <v>92</v>
      </c>
      <c r="L598" s="705">
        <v>523774</v>
      </c>
      <c r="M598" s="705">
        <v>473938</v>
      </c>
      <c r="N598" s="705">
        <v>748528</v>
      </c>
      <c r="O598" s="705">
        <v>277233</v>
      </c>
      <c r="P598" s="705">
        <v>154901</v>
      </c>
      <c r="Q598" s="705">
        <v>57371</v>
      </c>
      <c r="R598" s="705">
        <v>1057575</v>
      </c>
      <c r="S598" s="705">
        <v>961431</v>
      </c>
      <c r="T598" s="705">
        <v>20821</v>
      </c>
      <c r="U598" s="705">
        <v>7712</v>
      </c>
      <c r="V598" s="705">
        <v>4405565</v>
      </c>
      <c r="W598" s="705">
        <f t="shared" si="40"/>
        <v>4405566</v>
      </c>
      <c r="X598" s="705">
        <f t="shared" si="41"/>
        <v>5396268</v>
      </c>
      <c r="Y598" s="705"/>
      <c r="AI598" s="429"/>
    </row>
    <row r="599" spans="2:35">
      <c r="B599" t="s">
        <v>538</v>
      </c>
      <c r="C599" t="s">
        <v>112</v>
      </c>
      <c r="D599" t="s">
        <v>583</v>
      </c>
      <c r="E599" t="s">
        <v>666</v>
      </c>
      <c r="F599">
        <v>1</v>
      </c>
      <c r="G599" s="705">
        <v>250</v>
      </c>
      <c r="H599" s="705">
        <v>114</v>
      </c>
      <c r="I599" s="705">
        <v>14898</v>
      </c>
      <c r="J599" s="705">
        <v>13543</v>
      </c>
      <c r="K599">
        <v>92</v>
      </c>
      <c r="L599" s="705">
        <v>3059</v>
      </c>
      <c r="M599" s="705">
        <v>2781</v>
      </c>
      <c r="N599" s="705">
        <v>4569</v>
      </c>
      <c r="O599" s="705">
        <v>1692</v>
      </c>
      <c r="P599" s="705">
        <v>621</v>
      </c>
      <c r="Q599">
        <v>230</v>
      </c>
      <c r="R599" s="705">
        <v>5440</v>
      </c>
      <c r="S599" s="705">
        <v>4945</v>
      </c>
      <c r="T599" s="705">
        <v>0</v>
      </c>
      <c r="U599" s="705">
        <v>0</v>
      </c>
      <c r="V599" s="705">
        <v>23191</v>
      </c>
      <c r="W599" s="705">
        <f t="shared" si="40"/>
        <v>23191</v>
      </c>
      <c r="X599" s="705">
        <f t="shared" si="41"/>
        <v>28587</v>
      </c>
      <c r="Y599" s="705"/>
      <c r="AI599" s="429"/>
    </row>
    <row r="600" spans="2:35">
      <c r="B600" t="s">
        <v>538</v>
      </c>
      <c r="C600" t="s">
        <v>112</v>
      </c>
      <c r="D600" t="s">
        <v>583</v>
      </c>
      <c r="E600" t="s">
        <v>665</v>
      </c>
      <c r="F600">
        <v>2</v>
      </c>
      <c r="G600">
        <v>277</v>
      </c>
      <c r="H600" s="705">
        <v>231</v>
      </c>
      <c r="I600" s="705">
        <v>12693</v>
      </c>
      <c r="J600" s="705">
        <v>11539</v>
      </c>
      <c r="K600">
        <v>85</v>
      </c>
      <c r="L600" s="705">
        <v>4010</v>
      </c>
      <c r="M600" s="705">
        <v>3646</v>
      </c>
      <c r="N600" s="705">
        <v>3371</v>
      </c>
      <c r="O600" s="705">
        <v>1248</v>
      </c>
      <c r="P600" s="705">
        <v>2646</v>
      </c>
      <c r="Q600">
        <v>980</v>
      </c>
      <c r="R600" s="705">
        <v>9292</v>
      </c>
      <c r="S600" s="705">
        <v>8448</v>
      </c>
      <c r="T600" s="705">
        <v>0</v>
      </c>
      <c r="U600">
        <v>0</v>
      </c>
      <c r="V600" s="705">
        <v>25861</v>
      </c>
      <c r="W600" s="705">
        <f t="shared" si="40"/>
        <v>25861</v>
      </c>
      <c r="X600" s="705">
        <f t="shared" si="41"/>
        <v>32012</v>
      </c>
      <c r="Y600" s="705"/>
      <c r="AI600" s="429"/>
    </row>
    <row r="601" spans="2:35">
      <c r="B601" t="s">
        <v>538</v>
      </c>
      <c r="C601" t="s">
        <v>112</v>
      </c>
      <c r="D601" t="s">
        <v>583</v>
      </c>
      <c r="E601" t="s">
        <v>668</v>
      </c>
      <c r="F601">
        <v>4</v>
      </c>
      <c r="G601" s="705">
        <v>761</v>
      </c>
      <c r="H601" s="705">
        <v>461</v>
      </c>
      <c r="I601" s="705">
        <v>44796</v>
      </c>
      <c r="J601" s="705">
        <v>40724</v>
      </c>
      <c r="K601">
        <v>85</v>
      </c>
      <c r="L601" s="705">
        <v>5965</v>
      </c>
      <c r="M601" s="705">
        <v>5422</v>
      </c>
      <c r="N601" s="705">
        <v>9278</v>
      </c>
      <c r="O601" s="705">
        <v>3436</v>
      </c>
      <c r="P601" s="705">
        <v>3186</v>
      </c>
      <c r="Q601" s="705">
        <v>1180</v>
      </c>
      <c r="R601" s="705">
        <v>24537</v>
      </c>
      <c r="S601" s="705">
        <v>22306</v>
      </c>
      <c r="T601" s="705">
        <v>0</v>
      </c>
      <c r="U601" s="705">
        <v>0</v>
      </c>
      <c r="V601" s="705">
        <v>73069</v>
      </c>
      <c r="W601" s="705">
        <f t="shared" si="40"/>
        <v>73068</v>
      </c>
      <c r="X601" s="705">
        <f t="shared" si="41"/>
        <v>87762</v>
      </c>
      <c r="Y601" s="705"/>
      <c r="AI601" s="429"/>
    </row>
    <row r="602" spans="2:35">
      <c r="B602" t="s">
        <v>538</v>
      </c>
      <c r="C602" t="s">
        <v>112</v>
      </c>
      <c r="D602" t="s">
        <v>585</v>
      </c>
      <c r="E602" t="s">
        <v>585</v>
      </c>
      <c r="F602">
        <v>1</v>
      </c>
      <c r="G602" s="705">
        <v>285</v>
      </c>
      <c r="H602" s="705">
        <v>121</v>
      </c>
      <c r="I602" s="705">
        <v>26046</v>
      </c>
      <c r="J602" s="705">
        <v>23678</v>
      </c>
      <c r="K602">
        <v>85</v>
      </c>
      <c r="L602" s="705">
        <v>3784</v>
      </c>
      <c r="M602" s="705">
        <v>3440</v>
      </c>
      <c r="N602" s="705">
        <v>5024</v>
      </c>
      <c r="O602" s="705">
        <v>1861</v>
      </c>
      <c r="P602" s="705">
        <v>351</v>
      </c>
      <c r="Q602" s="705">
        <v>130</v>
      </c>
      <c r="R602" s="705">
        <v>6436</v>
      </c>
      <c r="S602" s="705">
        <v>5851</v>
      </c>
      <c r="T602" s="705">
        <v>0</v>
      </c>
      <c r="U602" s="705">
        <v>0</v>
      </c>
      <c r="V602" s="705">
        <v>34960</v>
      </c>
      <c r="W602" s="705">
        <f t="shared" si="40"/>
        <v>34960</v>
      </c>
      <c r="X602" s="705">
        <f t="shared" si="41"/>
        <v>41641</v>
      </c>
      <c r="Y602" s="705"/>
      <c r="AI602" s="429"/>
    </row>
    <row r="603" spans="2:35">
      <c r="B603" t="s">
        <v>538</v>
      </c>
      <c r="C603" t="s">
        <v>114</v>
      </c>
      <c r="F603">
        <v>1</v>
      </c>
      <c r="G603" s="705">
        <v>145</v>
      </c>
      <c r="H603" s="705">
        <v>147</v>
      </c>
      <c r="I603" s="705"/>
      <c r="J603" s="705">
        <v>0</v>
      </c>
      <c r="L603" s="705"/>
      <c r="M603" s="705">
        <v>0</v>
      </c>
      <c r="N603" s="705">
        <v>2821</v>
      </c>
      <c r="O603" s="705">
        <v>1045</v>
      </c>
      <c r="P603" s="705">
        <v>1323</v>
      </c>
      <c r="Q603" s="705">
        <v>490</v>
      </c>
      <c r="R603" s="705"/>
      <c r="S603" s="705">
        <v>0</v>
      </c>
      <c r="T603" s="705">
        <v>0</v>
      </c>
      <c r="U603">
        <v>0</v>
      </c>
      <c r="V603" s="705">
        <v>1535</v>
      </c>
      <c r="W603" s="705">
        <f t="shared" si="40"/>
        <v>1535</v>
      </c>
      <c r="X603" s="705">
        <f t="shared" si="41"/>
        <v>4144</v>
      </c>
      <c r="Y603" s="705"/>
      <c r="AI603" s="429"/>
    </row>
    <row r="604" spans="2:35">
      <c r="B604" t="s">
        <v>538</v>
      </c>
      <c r="C604" t="s">
        <v>114</v>
      </c>
      <c r="D604" t="s">
        <v>582</v>
      </c>
      <c r="E604" t="s">
        <v>582</v>
      </c>
      <c r="F604">
        <v>9</v>
      </c>
      <c r="G604" s="705">
        <v>2241</v>
      </c>
      <c r="H604" s="705">
        <v>1270</v>
      </c>
      <c r="I604" s="705">
        <v>186963</v>
      </c>
      <c r="J604" s="705">
        <v>169967</v>
      </c>
      <c r="K604">
        <v>90</v>
      </c>
      <c r="L604" s="705">
        <v>38209</v>
      </c>
      <c r="M604" s="705">
        <v>34735</v>
      </c>
      <c r="N604" s="705">
        <v>42155</v>
      </c>
      <c r="O604" s="705">
        <v>15613</v>
      </c>
      <c r="P604" s="705">
        <v>5765</v>
      </c>
      <c r="Q604" s="705">
        <v>2135</v>
      </c>
      <c r="R604" s="705">
        <v>54639</v>
      </c>
      <c r="S604" s="705">
        <v>49672</v>
      </c>
      <c r="T604" s="705">
        <v>0</v>
      </c>
      <c r="U604" s="705">
        <v>0</v>
      </c>
      <c r="V604" s="705">
        <v>272121</v>
      </c>
      <c r="W604" s="705">
        <f t="shared" si="40"/>
        <v>272122</v>
      </c>
      <c r="X604" s="705">
        <f t="shared" si="41"/>
        <v>327731</v>
      </c>
      <c r="Y604" s="705"/>
      <c r="AI604" s="429"/>
    </row>
    <row r="605" spans="2:35">
      <c r="B605" t="s">
        <v>538</v>
      </c>
      <c r="C605" t="s">
        <v>114</v>
      </c>
      <c r="D605" t="s">
        <v>228</v>
      </c>
      <c r="E605" t="s">
        <v>228</v>
      </c>
      <c r="F605">
        <v>29</v>
      </c>
      <c r="G605" s="705">
        <v>6782</v>
      </c>
      <c r="H605" s="705">
        <v>3972</v>
      </c>
      <c r="I605" s="705">
        <v>399030</v>
      </c>
      <c r="J605" s="705">
        <v>147789</v>
      </c>
      <c r="K605">
        <v>324</v>
      </c>
      <c r="L605" s="705">
        <v>127183</v>
      </c>
      <c r="M605" s="705">
        <v>106211</v>
      </c>
      <c r="N605" s="705">
        <v>138919</v>
      </c>
      <c r="O605" s="705">
        <v>51451</v>
      </c>
      <c r="P605" s="705">
        <v>21813</v>
      </c>
      <c r="Q605" s="705">
        <v>8079</v>
      </c>
      <c r="R605" s="705">
        <v>259550</v>
      </c>
      <c r="S605" s="705">
        <v>96130</v>
      </c>
      <c r="T605" s="705">
        <v>0</v>
      </c>
      <c r="U605">
        <v>0</v>
      </c>
      <c r="V605" s="705">
        <v>409660</v>
      </c>
      <c r="W605" s="705">
        <f t="shared" si="40"/>
        <v>409660</v>
      </c>
      <c r="X605" s="705">
        <f t="shared" si="41"/>
        <v>946495</v>
      </c>
      <c r="Y605" s="705"/>
      <c r="AI605" s="429"/>
    </row>
    <row r="606" spans="2:35">
      <c r="B606" t="s">
        <v>538</v>
      </c>
      <c r="C606" t="s">
        <v>114</v>
      </c>
      <c r="D606" t="s">
        <v>583</v>
      </c>
      <c r="E606" t="s">
        <v>664</v>
      </c>
      <c r="F606">
        <v>2</v>
      </c>
      <c r="G606" s="705">
        <v>425</v>
      </c>
      <c r="H606" s="705">
        <v>282</v>
      </c>
      <c r="I606" s="705">
        <v>40494</v>
      </c>
      <c r="J606" s="705">
        <v>36813</v>
      </c>
      <c r="K606">
        <v>91</v>
      </c>
      <c r="L606" s="705">
        <v>6775</v>
      </c>
      <c r="M606" s="705">
        <v>6159</v>
      </c>
      <c r="N606" s="705">
        <v>12147</v>
      </c>
      <c r="O606" s="705">
        <v>4499</v>
      </c>
      <c r="P606" s="705">
        <v>1593</v>
      </c>
      <c r="Q606" s="705">
        <v>590</v>
      </c>
      <c r="R606" s="705">
        <v>15211</v>
      </c>
      <c r="S606" s="705">
        <v>13828</v>
      </c>
      <c r="T606">
        <v>0</v>
      </c>
      <c r="U606">
        <v>0</v>
      </c>
      <c r="V606" s="705">
        <v>61888</v>
      </c>
      <c r="W606" s="705">
        <f t="shared" si="40"/>
        <v>61889</v>
      </c>
      <c r="X606" s="705">
        <f t="shared" si="41"/>
        <v>76220</v>
      </c>
      <c r="Y606" s="705"/>
      <c r="AI606" s="429"/>
    </row>
    <row r="607" spans="2:35">
      <c r="B607" t="s">
        <v>538</v>
      </c>
      <c r="C607" t="s">
        <v>114</v>
      </c>
      <c r="D607" t="s">
        <v>583</v>
      </c>
      <c r="E607" t="s">
        <v>228</v>
      </c>
      <c r="F607">
        <v>3</v>
      </c>
      <c r="G607" s="705">
        <v>801</v>
      </c>
      <c r="H607" s="705">
        <v>435</v>
      </c>
      <c r="I607" s="705">
        <v>77527</v>
      </c>
      <c r="J607" s="705">
        <v>70479</v>
      </c>
      <c r="K607">
        <v>93</v>
      </c>
      <c r="L607" s="705">
        <v>10280</v>
      </c>
      <c r="M607" s="705">
        <v>9345</v>
      </c>
      <c r="N607" s="705">
        <v>17834</v>
      </c>
      <c r="O607" s="705">
        <v>6605</v>
      </c>
      <c r="P607" s="705">
        <v>2214</v>
      </c>
      <c r="Q607" s="705">
        <v>820</v>
      </c>
      <c r="R607" s="705">
        <v>22503</v>
      </c>
      <c r="S607" s="705">
        <v>8335</v>
      </c>
      <c r="T607" s="705">
        <v>0</v>
      </c>
      <c r="U607" s="705">
        <v>0</v>
      </c>
      <c r="V607" s="705">
        <v>95584</v>
      </c>
      <c r="W607" s="705">
        <f t="shared" si="40"/>
        <v>95584</v>
      </c>
      <c r="X607" s="705">
        <f t="shared" si="41"/>
        <v>130358</v>
      </c>
      <c r="Y607" s="705"/>
      <c r="AI607" s="429"/>
    </row>
    <row r="608" spans="2:35">
      <c r="B608" t="s">
        <v>538</v>
      </c>
      <c r="C608" t="s">
        <v>114</v>
      </c>
      <c r="D608" t="s">
        <v>583</v>
      </c>
      <c r="E608" t="s">
        <v>583</v>
      </c>
      <c r="F608">
        <v>800</v>
      </c>
      <c r="G608" s="705">
        <v>164885</v>
      </c>
      <c r="H608" s="705">
        <v>112664</v>
      </c>
      <c r="I608" s="705">
        <v>13216791</v>
      </c>
      <c r="J608" s="705">
        <v>12015264</v>
      </c>
      <c r="K608">
        <v>89</v>
      </c>
      <c r="L608" s="705">
        <v>2573177</v>
      </c>
      <c r="M608" s="705">
        <v>2282548</v>
      </c>
      <c r="N608" s="705">
        <v>3215382</v>
      </c>
      <c r="O608" s="705">
        <v>1190882</v>
      </c>
      <c r="P608" s="705">
        <v>573301</v>
      </c>
      <c r="Q608" s="705">
        <v>212334</v>
      </c>
      <c r="R608" s="705">
        <v>4531801</v>
      </c>
      <c r="S608" s="705">
        <v>4119819</v>
      </c>
      <c r="T608" s="705">
        <v>293949</v>
      </c>
      <c r="U608" s="705">
        <v>108870</v>
      </c>
      <c r="V608" s="705">
        <v>19929717</v>
      </c>
      <c r="W608" s="705">
        <f t="shared" si="40"/>
        <v>19929717</v>
      </c>
      <c r="X608" s="705">
        <f t="shared" si="41"/>
        <v>24404401</v>
      </c>
      <c r="Y608" s="705"/>
      <c r="AI608" s="429"/>
    </row>
    <row r="609" spans="2:35">
      <c r="B609" t="s">
        <v>538</v>
      </c>
      <c r="C609" t="s">
        <v>114</v>
      </c>
      <c r="D609" t="s">
        <v>583</v>
      </c>
      <c r="E609" t="s">
        <v>666</v>
      </c>
      <c r="F609">
        <v>1</v>
      </c>
      <c r="G609" s="705">
        <v>241</v>
      </c>
      <c r="H609" s="705">
        <v>149</v>
      </c>
      <c r="I609" s="705">
        <v>19602</v>
      </c>
      <c r="J609" s="705">
        <v>17820</v>
      </c>
      <c r="K609">
        <v>86</v>
      </c>
      <c r="L609" s="705">
        <v>9322</v>
      </c>
      <c r="M609" s="705">
        <v>8474</v>
      </c>
      <c r="N609" s="705">
        <v>5714</v>
      </c>
      <c r="O609" s="705">
        <v>2116</v>
      </c>
      <c r="P609" s="705">
        <v>621</v>
      </c>
      <c r="Q609" s="705">
        <v>230</v>
      </c>
      <c r="R609" s="705">
        <v>479</v>
      </c>
      <c r="S609" s="705">
        <v>436</v>
      </c>
      <c r="T609" s="705">
        <v>0</v>
      </c>
      <c r="U609" s="705">
        <v>0</v>
      </c>
      <c r="V609" s="705">
        <v>29076</v>
      </c>
      <c r="W609" s="705">
        <f t="shared" si="40"/>
        <v>29076</v>
      </c>
      <c r="X609" s="705">
        <f t="shared" si="41"/>
        <v>35738</v>
      </c>
      <c r="Y609" s="705"/>
      <c r="AI609" s="429"/>
    </row>
    <row r="610" spans="2:35">
      <c r="B610" t="s">
        <v>538</v>
      </c>
      <c r="C610" t="s">
        <v>114</v>
      </c>
      <c r="D610" t="s">
        <v>583</v>
      </c>
      <c r="E610" t="s">
        <v>668</v>
      </c>
      <c r="F610">
        <v>1</v>
      </c>
      <c r="G610" s="705">
        <v>224</v>
      </c>
      <c r="H610" s="705">
        <v>128</v>
      </c>
      <c r="I610" s="705">
        <v>14367</v>
      </c>
      <c r="J610" s="705">
        <v>13061</v>
      </c>
      <c r="K610">
        <v>94</v>
      </c>
      <c r="L610" s="705">
        <v>2203</v>
      </c>
      <c r="M610" s="705">
        <v>2003</v>
      </c>
      <c r="N610" s="705">
        <v>3008</v>
      </c>
      <c r="O610" s="705">
        <v>1114</v>
      </c>
      <c r="P610" s="705">
        <v>1323</v>
      </c>
      <c r="Q610">
        <v>490</v>
      </c>
      <c r="R610" s="705">
        <v>7790</v>
      </c>
      <c r="S610" s="705">
        <v>7081</v>
      </c>
      <c r="T610" s="705">
        <v>0</v>
      </c>
      <c r="U610">
        <v>0</v>
      </c>
      <c r="V610" s="705">
        <v>23749</v>
      </c>
      <c r="W610" s="705">
        <f t="shared" si="40"/>
        <v>23749</v>
      </c>
      <c r="X610" s="705">
        <f t="shared" si="41"/>
        <v>28691</v>
      </c>
      <c r="Y610" s="705"/>
      <c r="AI610" s="429"/>
    </row>
    <row r="611" spans="2:35">
      <c r="B611" t="s">
        <v>538</v>
      </c>
      <c r="C611" t="s">
        <v>114</v>
      </c>
      <c r="D611" t="s">
        <v>666</v>
      </c>
      <c r="E611" t="s">
        <v>583</v>
      </c>
      <c r="F611">
        <v>1</v>
      </c>
      <c r="G611">
        <v>172</v>
      </c>
      <c r="H611">
        <v>149</v>
      </c>
      <c r="I611" s="705">
        <v>12209</v>
      </c>
      <c r="J611" s="705">
        <v>11099</v>
      </c>
      <c r="K611">
        <v>85</v>
      </c>
      <c r="L611" s="705">
        <v>3844</v>
      </c>
      <c r="M611" s="705">
        <v>3494</v>
      </c>
      <c r="N611" s="705">
        <v>2094</v>
      </c>
      <c r="O611" s="705">
        <v>776</v>
      </c>
      <c r="P611">
        <v>621</v>
      </c>
      <c r="Q611">
        <v>230</v>
      </c>
      <c r="R611" s="705">
        <v>6806</v>
      </c>
      <c r="S611" s="705">
        <v>6187</v>
      </c>
      <c r="T611">
        <v>0</v>
      </c>
      <c r="U611">
        <v>0</v>
      </c>
      <c r="V611" s="705">
        <v>21786</v>
      </c>
      <c r="W611" s="705">
        <f t="shared" si="40"/>
        <v>21786</v>
      </c>
      <c r="X611" s="705">
        <f t="shared" si="41"/>
        <v>25574</v>
      </c>
      <c r="Y611" s="705"/>
      <c r="AI611" s="429"/>
    </row>
    <row r="612" spans="2:35">
      <c r="B612" t="s">
        <v>538</v>
      </c>
      <c r="C612" t="s">
        <v>114</v>
      </c>
      <c r="D612" t="s">
        <v>666</v>
      </c>
      <c r="E612" t="s">
        <v>666</v>
      </c>
      <c r="F612">
        <v>1</v>
      </c>
      <c r="G612" s="705">
        <v>311</v>
      </c>
      <c r="H612" s="705">
        <v>148</v>
      </c>
      <c r="I612" s="705">
        <v>26298</v>
      </c>
      <c r="J612" s="705">
        <v>23907</v>
      </c>
      <c r="K612">
        <v>83</v>
      </c>
      <c r="L612" s="705">
        <v>8104</v>
      </c>
      <c r="M612" s="705">
        <v>7367</v>
      </c>
      <c r="N612" s="705">
        <v>3789</v>
      </c>
      <c r="O612" s="705">
        <v>1403</v>
      </c>
      <c r="P612" s="705">
        <v>351</v>
      </c>
      <c r="Q612" s="705">
        <v>130</v>
      </c>
      <c r="R612" s="705">
        <v>7363</v>
      </c>
      <c r="S612" s="705">
        <v>6694</v>
      </c>
      <c r="T612" s="705">
        <v>0</v>
      </c>
      <c r="U612">
        <v>0</v>
      </c>
      <c r="V612" s="705">
        <v>39501</v>
      </c>
      <c r="W612" s="705">
        <f t="shared" si="40"/>
        <v>39501</v>
      </c>
      <c r="X612" s="705">
        <f t="shared" si="41"/>
        <v>45905</v>
      </c>
      <c r="Y612" s="705"/>
      <c r="AI612" s="429"/>
    </row>
    <row r="613" spans="2:35">
      <c r="B613" t="s">
        <v>538</v>
      </c>
      <c r="C613" t="s">
        <v>114</v>
      </c>
      <c r="D613" t="s">
        <v>584</v>
      </c>
      <c r="E613" t="s">
        <v>584</v>
      </c>
      <c r="F613">
        <v>2</v>
      </c>
      <c r="G613" s="705">
        <v>352</v>
      </c>
      <c r="H613" s="705">
        <v>291</v>
      </c>
      <c r="I613" s="705">
        <v>53265</v>
      </c>
      <c r="J613" s="705">
        <v>48423</v>
      </c>
      <c r="K613">
        <v>83</v>
      </c>
      <c r="L613" s="705">
        <v>4918</v>
      </c>
      <c r="M613" s="705">
        <v>4471</v>
      </c>
      <c r="N613" s="705">
        <v>11939</v>
      </c>
      <c r="O613" s="705">
        <v>4422</v>
      </c>
      <c r="P613" s="705">
        <v>945</v>
      </c>
      <c r="Q613" s="705">
        <v>350</v>
      </c>
      <c r="R613" s="705">
        <v>11352</v>
      </c>
      <c r="S613" s="705">
        <v>10320</v>
      </c>
      <c r="T613" s="705">
        <v>0</v>
      </c>
      <c r="U613" s="705">
        <v>0</v>
      </c>
      <c r="V613" s="705">
        <v>67986</v>
      </c>
      <c r="W613" s="705">
        <f t="shared" si="40"/>
        <v>67986</v>
      </c>
      <c r="X613" s="705">
        <f t="shared" si="41"/>
        <v>82419</v>
      </c>
      <c r="Y613" s="705"/>
      <c r="AI613" s="429"/>
    </row>
    <row r="614" spans="2:35">
      <c r="B614" t="s">
        <v>538</v>
      </c>
      <c r="C614" t="s">
        <v>114</v>
      </c>
      <c r="D614" t="s">
        <v>585</v>
      </c>
      <c r="E614" t="s">
        <v>583</v>
      </c>
      <c r="F614">
        <v>1</v>
      </c>
      <c r="G614" s="705">
        <v>272</v>
      </c>
      <c r="H614" s="705">
        <v>148</v>
      </c>
      <c r="I614" s="705">
        <v>19681</v>
      </c>
      <c r="J614" s="705">
        <v>17891</v>
      </c>
      <c r="K614">
        <v>94</v>
      </c>
      <c r="L614" s="705">
        <v>6852</v>
      </c>
      <c r="M614" s="705">
        <v>6229</v>
      </c>
      <c r="N614" s="705">
        <v>6459</v>
      </c>
      <c r="O614" s="705">
        <v>2392</v>
      </c>
      <c r="P614" s="705">
        <v>621</v>
      </c>
      <c r="Q614" s="705">
        <v>230</v>
      </c>
      <c r="R614" s="705">
        <v>6715</v>
      </c>
      <c r="S614" s="705">
        <v>6105</v>
      </c>
      <c r="T614" s="705">
        <v>0</v>
      </c>
      <c r="U614" s="705">
        <v>0</v>
      </c>
      <c r="V614" s="705">
        <v>32848</v>
      </c>
      <c r="W614" s="705">
        <f t="shared" si="40"/>
        <v>32847</v>
      </c>
      <c r="X614" s="705">
        <f t="shared" si="41"/>
        <v>40328</v>
      </c>
      <c r="Y614" s="705"/>
      <c r="AI614" s="429"/>
    </row>
    <row r="615" spans="2:35">
      <c r="B615" t="s">
        <v>538</v>
      </c>
      <c r="C615" t="s">
        <v>114</v>
      </c>
      <c r="D615" t="s">
        <v>585</v>
      </c>
      <c r="E615" t="s">
        <v>722</v>
      </c>
      <c r="F615">
        <v>1</v>
      </c>
      <c r="G615" s="705">
        <v>265</v>
      </c>
      <c r="H615" s="705">
        <v>149</v>
      </c>
      <c r="I615" s="705">
        <v>22631</v>
      </c>
      <c r="J615" s="705">
        <v>20574</v>
      </c>
      <c r="K615">
        <v>65</v>
      </c>
      <c r="L615" s="705">
        <v>2724</v>
      </c>
      <c r="M615" s="705">
        <v>2476</v>
      </c>
      <c r="N615" s="705">
        <v>5842</v>
      </c>
      <c r="O615" s="705">
        <v>2164</v>
      </c>
      <c r="P615" s="705">
        <v>351</v>
      </c>
      <c r="Q615" s="705">
        <v>130</v>
      </c>
      <c r="R615" s="705">
        <v>7942</v>
      </c>
      <c r="S615" s="705">
        <v>7220</v>
      </c>
      <c r="T615" s="705">
        <v>0</v>
      </c>
      <c r="U615" s="705">
        <v>0</v>
      </c>
      <c r="V615" s="705">
        <v>32563</v>
      </c>
      <c r="W615" s="705">
        <f t="shared" si="40"/>
        <v>32564</v>
      </c>
      <c r="X615" s="705">
        <f t="shared" si="41"/>
        <v>39490</v>
      </c>
      <c r="Y615" s="705"/>
      <c r="AI615" s="429"/>
    </row>
    <row r="616" spans="2:35">
      <c r="B616" t="s">
        <v>538</v>
      </c>
      <c r="C616" t="s">
        <v>114</v>
      </c>
      <c r="D616" t="s">
        <v>585</v>
      </c>
      <c r="E616" t="s">
        <v>585</v>
      </c>
      <c r="F616">
        <v>4</v>
      </c>
      <c r="G616" s="705">
        <v>860</v>
      </c>
      <c r="H616" s="705">
        <v>576</v>
      </c>
      <c r="I616" s="705">
        <v>78784</v>
      </c>
      <c r="J616" s="705">
        <v>71622</v>
      </c>
      <c r="K616">
        <v>81</v>
      </c>
      <c r="L616" s="705">
        <v>16726</v>
      </c>
      <c r="M616" s="705">
        <v>15205</v>
      </c>
      <c r="N616" s="705">
        <v>16277</v>
      </c>
      <c r="O616" s="705">
        <v>6029</v>
      </c>
      <c r="P616" s="705">
        <v>1404</v>
      </c>
      <c r="Q616" s="705">
        <v>520</v>
      </c>
      <c r="R616" s="705">
        <v>23630</v>
      </c>
      <c r="S616" s="705">
        <v>21481</v>
      </c>
      <c r="T616" s="705">
        <v>4047</v>
      </c>
      <c r="U616" s="705">
        <v>1499</v>
      </c>
      <c r="V616" s="705">
        <v>116356</v>
      </c>
      <c r="W616" s="705">
        <f t="shared" si="40"/>
        <v>116356</v>
      </c>
      <c r="X616" s="705">
        <f t="shared" si="41"/>
        <v>140868</v>
      </c>
      <c r="Y616" s="705"/>
      <c r="AI616" s="429"/>
    </row>
    <row r="617" spans="2:35">
      <c r="B617" t="s">
        <v>538</v>
      </c>
      <c r="C617" t="s">
        <v>116</v>
      </c>
      <c r="F617">
        <v>6</v>
      </c>
      <c r="G617">
        <v>830</v>
      </c>
      <c r="H617" s="705">
        <v>1141</v>
      </c>
      <c r="I617" s="705"/>
      <c r="J617" s="705">
        <v>0</v>
      </c>
      <c r="L617" s="705"/>
      <c r="M617" s="705">
        <v>0</v>
      </c>
      <c r="N617" s="705">
        <v>18499</v>
      </c>
      <c r="O617" s="705">
        <v>6852</v>
      </c>
      <c r="P617" s="705">
        <v>3537</v>
      </c>
      <c r="Q617" s="705">
        <v>1310</v>
      </c>
      <c r="R617" s="705"/>
      <c r="S617" s="705">
        <v>0</v>
      </c>
      <c r="T617" s="705">
        <v>6766</v>
      </c>
      <c r="U617" s="705">
        <v>2506</v>
      </c>
      <c r="V617" s="705">
        <v>10667</v>
      </c>
      <c r="W617" s="705">
        <f t="shared" si="40"/>
        <v>10668</v>
      </c>
      <c r="X617" s="705">
        <f t="shared" si="41"/>
        <v>28802</v>
      </c>
      <c r="Y617" s="705"/>
      <c r="AI617" s="429"/>
    </row>
    <row r="618" spans="2:35">
      <c r="B618" t="s">
        <v>538</v>
      </c>
      <c r="C618" t="s">
        <v>116</v>
      </c>
      <c r="D618" t="s">
        <v>664</v>
      </c>
      <c r="E618" t="s">
        <v>664</v>
      </c>
      <c r="F618">
        <v>5</v>
      </c>
      <c r="G618" s="705">
        <v>719</v>
      </c>
      <c r="H618" s="705">
        <v>996</v>
      </c>
      <c r="I618" s="705">
        <v>86018</v>
      </c>
      <c r="J618" s="705">
        <v>78198</v>
      </c>
      <c r="K618">
        <v>89</v>
      </c>
      <c r="L618" s="705">
        <v>14644</v>
      </c>
      <c r="M618" s="705">
        <v>13313</v>
      </c>
      <c r="N618" s="705">
        <v>14143</v>
      </c>
      <c r="O618" s="705">
        <v>5238</v>
      </c>
      <c r="P618" s="705">
        <v>2862</v>
      </c>
      <c r="Q618" s="705">
        <v>1060</v>
      </c>
      <c r="R618" s="705">
        <v>24917</v>
      </c>
      <c r="S618" s="705">
        <v>22652</v>
      </c>
      <c r="T618" s="705">
        <v>2357</v>
      </c>
      <c r="U618" s="705">
        <v>873</v>
      </c>
      <c r="V618" s="705">
        <v>121334</v>
      </c>
      <c r="W618" s="705">
        <f t="shared" si="40"/>
        <v>121334</v>
      </c>
      <c r="X618" s="705">
        <f t="shared" si="41"/>
        <v>144941</v>
      </c>
      <c r="Y618" s="705"/>
      <c r="AI618" s="429"/>
    </row>
    <row r="619" spans="2:35">
      <c r="B619" t="s">
        <v>538</v>
      </c>
      <c r="C619" t="s">
        <v>116</v>
      </c>
      <c r="D619" t="s">
        <v>664</v>
      </c>
      <c r="E619" t="s">
        <v>582</v>
      </c>
      <c r="F619">
        <v>1</v>
      </c>
      <c r="G619" s="705">
        <v>103</v>
      </c>
      <c r="H619" s="705">
        <v>204</v>
      </c>
      <c r="I619" s="705">
        <v>8395</v>
      </c>
      <c r="J619" s="705">
        <v>7632</v>
      </c>
      <c r="K619">
        <v>82</v>
      </c>
      <c r="L619" s="705">
        <v>2413</v>
      </c>
      <c r="M619" s="705">
        <v>2193</v>
      </c>
      <c r="N619" s="705">
        <v>2505</v>
      </c>
      <c r="O619" s="705">
        <v>928</v>
      </c>
      <c r="P619" s="705">
        <v>473</v>
      </c>
      <c r="Q619" s="705">
        <v>175</v>
      </c>
      <c r="R619" s="705">
        <v>4258</v>
      </c>
      <c r="S619" s="705">
        <v>3871</v>
      </c>
      <c r="T619" s="705">
        <v>2909</v>
      </c>
      <c r="U619" s="705">
        <v>1077</v>
      </c>
      <c r="V619" s="705">
        <v>15876</v>
      </c>
      <c r="W619" s="705">
        <f t="shared" si="40"/>
        <v>15876</v>
      </c>
      <c r="X619" s="705">
        <f t="shared" si="41"/>
        <v>20953</v>
      </c>
      <c r="Y619" s="705"/>
      <c r="AI619" s="429"/>
    </row>
    <row r="620" spans="2:35">
      <c r="B620" t="s">
        <v>538</v>
      </c>
      <c r="C620" t="s">
        <v>116</v>
      </c>
      <c r="D620" t="s">
        <v>664</v>
      </c>
      <c r="E620" t="s">
        <v>583</v>
      </c>
      <c r="F620" s="705">
        <v>2</v>
      </c>
      <c r="G620" s="705">
        <v>320</v>
      </c>
      <c r="H620" s="705">
        <v>387</v>
      </c>
      <c r="I620" s="705">
        <v>31828</v>
      </c>
      <c r="J620" s="705">
        <v>28934</v>
      </c>
      <c r="K620">
        <v>89</v>
      </c>
      <c r="L620" s="705">
        <v>5478</v>
      </c>
      <c r="M620" s="705">
        <v>4980</v>
      </c>
      <c r="N620" s="705">
        <v>6910</v>
      </c>
      <c r="O620" s="705">
        <v>2559</v>
      </c>
      <c r="P620" s="705">
        <v>1593</v>
      </c>
      <c r="Q620" s="705">
        <v>590</v>
      </c>
      <c r="R620" s="705">
        <v>8696</v>
      </c>
      <c r="S620" s="705">
        <v>7905</v>
      </c>
      <c r="T620" s="705">
        <v>1973</v>
      </c>
      <c r="U620" s="705">
        <v>731</v>
      </c>
      <c r="V620" s="705">
        <v>45700</v>
      </c>
      <c r="W620" s="705">
        <f t="shared" si="40"/>
        <v>45699</v>
      </c>
      <c r="X620" s="705">
        <f t="shared" si="41"/>
        <v>56478</v>
      </c>
      <c r="Y620" s="705"/>
      <c r="AI620" s="429"/>
    </row>
    <row r="621" spans="2:35">
      <c r="B621" t="s">
        <v>538</v>
      </c>
      <c r="C621" t="s">
        <v>116</v>
      </c>
      <c r="D621" t="s">
        <v>582</v>
      </c>
      <c r="E621" t="s">
        <v>582</v>
      </c>
      <c r="F621">
        <v>49</v>
      </c>
      <c r="G621" s="705">
        <v>7597</v>
      </c>
      <c r="H621" s="705">
        <v>9564</v>
      </c>
      <c r="I621" s="705">
        <v>941235</v>
      </c>
      <c r="J621" s="705">
        <v>855668</v>
      </c>
      <c r="K621">
        <v>83</v>
      </c>
      <c r="L621" s="705">
        <v>187218</v>
      </c>
      <c r="M621" s="705">
        <v>162590</v>
      </c>
      <c r="N621" s="705">
        <v>168292</v>
      </c>
      <c r="O621" s="705">
        <v>62330</v>
      </c>
      <c r="P621" s="705">
        <v>24341</v>
      </c>
      <c r="Q621" s="705">
        <v>9015</v>
      </c>
      <c r="R621" s="705">
        <v>232824</v>
      </c>
      <c r="S621" s="705">
        <v>211658</v>
      </c>
      <c r="T621" s="705">
        <v>25312</v>
      </c>
      <c r="U621" s="705">
        <v>9375</v>
      </c>
      <c r="V621" s="705">
        <v>1310636</v>
      </c>
      <c r="W621" s="705">
        <f t="shared" si="40"/>
        <v>1310636</v>
      </c>
      <c r="X621" s="705">
        <f t="shared" si="41"/>
        <v>1579222</v>
      </c>
      <c r="Y621" s="705"/>
      <c r="AI621" s="429"/>
    </row>
    <row r="622" spans="2:35">
      <c r="B622" t="s">
        <v>538</v>
      </c>
      <c r="C622" t="s">
        <v>116</v>
      </c>
      <c r="D622" t="s">
        <v>582</v>
      </c>
      <c r="E622" t="s">
        <v>228</v>
      </c>
      <c r="F622">
        <v>1</v>
      </c>
      <c r="G622">
        <v>350</v>
      </c>
      <c r="H622" s="705">
        <v>182</v>
      </c>
      <c r="I622" s="705">
        <v>37737</v>
      </c>
      <c r="J622" s="705">
        <v>34306</v>
      </c>
      <c r="K622">
        <v>93</v>
      </c>
      <c r="L622" s="705">
        <v>9108</v>
      </c>
      <c r="M622" s="705">
        <v>3373</v>
      </c>
      <c r="N622" s="705">
        <v>4436</v>
      </c>
      <c r="O622" s="705">
        <v>1643</v>
      </c>
      <c r="P622" s="705">
        <v>945</v>
      </c>
      <c r="Q622">
        <v>350</v>
      </c>
      <c r="R622" s="705">
        <v>11481</v>
      </c>
      <c r="S622" s="705">
        <v>4252</v>
      </c>
      <c r="T622" s="705">
        <v>0</v>
      </c>
      <c r="U622" s="705">
        <v>0</v>
      </c>
      <c r="V622" s="705">
        <v>43924</v>
      </c>
      <c r="W622" s="705">
        <f t="shared" si="40"/>
        <v>43924</v>
      </c>
      <c r="X622" s="705">
        <f t="shared" si="41"/>
        <v>63707</v>
      </c>
      <c r="Y622" s="705"/>
      <c r="AI622" s="429"/>
    </row>
    <row r="623" spans="2:35">
      <c r="B623" t="s">
        <v>538</v>
      </c>
      <c r="C623" t="s">
        <v>116</v>
      </c>
      <c r="D623" t="s">
        <v>228</v>
      </c>
      <c r="E623" t="s">
        <v>228</v>
      </c>
      <c r="F623">
        <v>20</v>
      </c>
      <c r="G623" s="705">
        <v>4429</v>
      </c>
      <c r="H623" s="705">
        <v>3733</v>
      </c>
      <c r="I623" s="705">
        <v>454467</v>
      </c>
      <c r="J623" s="705">
        <v>168321</v>
      </c>
      <c r="K623">
        <v>201</v>
      </c>
      <c r="L623" s="705">
        <v>84028</v>
      </c>
      <c r="M623" s="705">
        <v>68520</v>
      </c>
      <c r="N623" s="705">
        <v>100115</v>
      </c>
      <c r="O623" s="705">
        <v>37079</v>
      </c>
      <c r="P623" s="705">
        <v>6910</v>
      </c>
      <c r="Q623" s="705">
        <v>2559</v>
      </c>
      <c r="R623" s="705">
        <v>187404</v>
      </c>
      <c r="S623" s="705">
        <v>69409</v>
      </c>
      <c r="T623" s="705">
        <v>0</v>
      </c>
      <c r="U623" s="705">
        <v>0</v>
      </c>
      <c r="V623" s="705">
        <v>345889</v>
      </c>
      <c r="W623" s="705">
        <f t="shared" si="40"/>
        <v>345888</v>
      </c>
      <c r="X623" s="705">
        <f t="shared" si="41"/>
        <v>832924</v>
      </c>
      <c r="Y623" s="705"/>
      <c r="AI623" s="429"/>
    </row>
    <row r="624" spans="2:35">
      <c r="B624" t="s">
        <v>538</v>
      </c>
      <c r="C624" t="s">
        <v>116</v>
      </c>
      <c r="D624" t="s">
        <v>583</v>
      </c>
      <c r="E624" t="s">
        <v>664</v>
      </c>
      <c r="F624">
        <v>1</v>
      </c>
      <c r="G624" s="705">
        <v>217</v>
      </c>
      <c r="H624" s="705">
        <v>194</v>
      </c>
      <c r="I624" s="705">
        <v>19854</v>
      </c>
      <c r="J624" s="705">
        <v>18049</v>
      </c>
      <c r="K624">
        <v>85</v>
      </c>
      <c r="L624" s="705">
        <v>9734</v>
      </c>
      <c r="M624" s="705">
        <v>8112</v>
      </c>
      <c r="N624" s="705">
        <v>3762</v>
      </c>
      <c r="O624" s="705">
        <v>1393</v>
      </c>
      <c r="P624" s="705">
        <v>621</v>
      </c>
      <c r="Q624" s="705">
        <v>230</v>
      </c>
      <c r="R624" s="705">
        <v>4451</v>
      </c>
      <c r="S624" s="705">
        <v>4046</v>
      </c>
      <c r="T624" s="705">
        <v>3812</v>
      </c>
      <c r="U624" s="705">
        <v>1412</v>
      </c>
      <c r="V624" s="705">
        <v>33242</v>
      </c>
      <c r="W624" s="705">
        <f t="shared" si="40"/>
        <v>33242</v>
      </c>
      <c r="X624" s="705">
        <f t="shared" si="41"/>
        <v>42234</v>
      </c>
      <c r="Y624" s="705"/>
      <c r="AI624" s="429"/>
    </row>
    <row r="625" spans="2:35">
      <c r="B625" t="s">
        <v>538</v>
      </c>
      <c r="C625" t="s">
        <v>116</v>
      </c>
      <c r="D625" t="s">
        <v>583</v>
      </c>
      <c r="E625" t="s">
        <v>228</v>
      </c>
      <c r="F625">
        <v>12</v>
      </c>
      <c r="G625" s="705">
        <v>2156</v>
      </c>
      <c r="H625" s="705">
        <v>2381</v>
      </c>
      <c r="I625" s="705">
        <v>220819</v>
      </c>
      <c r="J625" s="705">
        <v>200745</v>
      </c>
      <c r="K625">
        <v>83</v>
      </c>
      <c r="L625" s="705">
        <v>48804</v>
      </c>
      <c r="M625" s="705">
        <v>41597</v>
      </c>
      <c r="N625" s="705">
        <v>49994</v>
      </c>
      <c r="O625" s="705">
        <v>18516</v>
      </c>
      <c r="P625" s="705">
        <v>7452</v>
      </c>
      <c r="Q625" s="705">
        <v>2760</v>
      </c>
      <c r="R625" s="705">
        <v>93937</v>
      </c>
      <c r="S625" s="705">
        <v>34791</v>
      </c>
      <c r="T625" s="705">
        <v>0</v>
      </c>
      <c r="U625" s="705">
        <v>0</v>
      </c>
      <c r="V625" s="705">
        <v>298409</v>
      </c>
      <c r="W625" s="705">
        <f t="shared" si="40"/>
        <v>298409</v>
      </c>
      <c r="X625" s="705">
        <f t="shared" si="41"/>
        <v>421006</v>
      </c>
      <c r="Y625" s="705"/>
      <c r="AI625" s="429"/>
    </row>
    <row r="626" spans="2:35">
      <c r="B626" t="s">
        <v>538</v>
      </c>
      <c r="C626" t="s">
        <v>116</v>
      </c>
      <c r="D626" t="s">
        <v>583</v>
      </c>
      <c r="E626" t="s">
        <v>583</v>
      </c>
      <c r="F626" s="705">
        <v>5098</v>
      </c>
      <c r="G626" s="705">
        <v>817330</v>
      </c>
      <c r="H626" s="705">
        <v>971161</v>
      </c>
      <c r="I626" s="705">
        <v>90809067</v>
      </c>
      <c r="J626" s="705">
        <v>82553697</v>
      </c>
      <c r="K626">
        <v>85</v>
      </c>
      <c r="L626" s="705">
        <v>19592016</v>
      </c>
      <c r="M626" s="705">
        <v>17452388</v>
      </c>
      <c r="N626" s="705">
        <v>17879166</v>
      </c>
      <c r="O626" s="705">
        <v>6621913</v>
      </c>
      <c r="P626" s="705">
        <v>3438185</v>
      </c>
      <c r="Q626" s="705">
        <v>1273402</v>
      </c>
      <c r="R626" s="705">
        <v>27961217</v>
      </c>
      <c r="S626" s="705">
        <v>25419288</v>
      </c>
      <c r="T626" s="705">
        <v>5612000</v>
      </c>
      <c r="U626" s="705">
        <v>2078519</v>
      </c>
      <c r="V626" s="705">
        <v>135399207</v>
      </c>
      <c r="W626" s="705">
        <f t="shared" si="40"/>
        <v>135399207</v>
      </c>
      <c r="X626" s="705">
        <f t="shared" si="41"/>
        <v>165291651</v>
      </c>
      <c r="Y626" s="705"/>
      <c r="AI626" s="429"/>
    </row>
    <row r="627" spans="2:35">
      <c r="B627" t="s">
        <v>538</v>
      </c>
      <c r="C627" t="s">
        <v>116</v>
      </c>
      <c r="D627" t="s">
        <v>583</v>
      </c>
      <c r="E627" t="s">
        <v>666</v>
      </c>
      <c r="F627">
        <v>10</v>
      </c>
      <c r="G627" s="705">
        <v>1629</v>
      </c>
      <c r="H627" s="705">
        <v>1929</v>
      </c>
      <c r="I627" s="705">
        <v>181663</v>
      </c>
      <c r="J627" s="705">
        <v>165148</v>
      </c>
      <c r="K627">
        <v>81</v>
      </c>
      <c r="L627" s="705">
        <v>40350</v>
      </c>
      <c r="M627" s="705">
        <v>36682</v>
      </c>
      <c r="N627" s="705">
        <v>32499</v>
      </c>
      <c r="O627" s="705">
        <v>12037</v>
      </c>
      <c r="P627" s="705">
        <v>5940</v>
      </c>
      <c r="Q627" s="705">
        <v>2200</v>
      </c>
      <c r="R627" s="705">
        <v>66196</v>
      </c>
      <c r="S627" s="705">
        <v>60178</v>
      </c>
      <c r="T627" s="705">
        <v>8593</v>
      </c>
      <c r="U627" s="705">
        <v>3183</v>
      </c>
      <c r="V627" s="705">
        <v>279428</v>
      </c>
      <c r="W627" s="705">
        <f t="shared" si="40"/>
        <v>279428</v>
      </c>
      <c r="X627" s="705">
        <f t="shared" si="41"/>
        <v>335241</v>
      </c>
      <c r="Y627" s="705"/>
      <c r="AI627" s="429"/>
    </row>
    <row r="628" spans="2:35">
      <c r="B628" t="s">
        <v>538</v>
      </c>
      <c r="C628" t="s">
        <v>116</v>
      </c>
      <c r="D628" t="s">
        <v>583</v>
      </c>
      <c r="E628" t="s">
        <v>665</v>
      </c>
      <c r="F628">
        <v>6</v>
      </c>
      <c r="G628" s="705">
        <v>1132</v>
      </c>
      <c r="H628" s="705">
        <v>1117</v>
      </c>
      <c r="I628" s="705">
        <v>123265</v>
      </c>
      <c r="J628" s="705">
        <v>112059</v>
      </c>
      <c r="K628">
        <v>88</v>
      </c>
      <c r="L628" s="705">
        <v>23892</v>
      </c>
      <c r="M628" s="705">
        <v>21455</v>
      </c>
      <c r="N628" s="705">
        <v>20119</v>
      </c>
      <c r="O628" s="705">
        <v>7452</v>
      </c>
      <c r="P628" s="705">
        <v>4077</v>
      </c>
      <c r="Q628" s="705">
        <v>1510</v>
      </c>
      <c r="R628" s="705">
        <v>33222</v>
      </c>
      <c r="S628" s="705">
        <v>30202</v>
      </c>
      <c r="T628" s="705">
        <v>9831</v>
      </c>
      <c r="U628" s="705">
        <v>3641</v>
      </c>
      <c r="V628" s="705">
        <v>176319</v>
      </c>
      <c r="W628" s="705">
        <f t="shared" si="40"/>
        <v>176319</v>
      </c>
      <c r="X628" s="705">
        <f t="shared" si="41"/>
        <v>214406</v>
      </c>
      <c r="Y628" s="705"/>
      <c r="AI628" s="429"/>
    </row>
    <row r="629" spans="2:35">
      <c r="B629" t="s">
        <v>538</v>
      </c>
      <c r="C629" t="s">
        <v>116</v>
      </c>
      <c r="D629" t="s">
        <v>666</v>
      </c>
      <c r="E629" t="s">
        <v>583</v>
      </c>
      <c r="F629">
        <v>1</v>
      </c>
      <c r="G629" s="705">
        <v>140</v>
      </c>
      <c r="H629" s="705">
        <v>185</v>
      </c>
      <c r="I629" s="705">
        <v>14263</v>
      </c>
      <c r="J629" s="705">
        <v>12966</v>
      </c>
      <c r="K629">
        <v>85</v>
      </c>
      <c r="L629" s="705">
        <v>1968</v>
      </c>
      <c r="M629" s="705">
        <v>1789</v>
      </c>
      <c r="N629" s="705">
        <v>3110</v>
      </c>
      <c r="O629" s="705">
        <v>1152</v>
      </c>
      <c r="P629" s="705">
        <v>621</v>
      </c>
      <c r="Q629" s="705">
        <v>230</v>
      </c>
      <c r="R629" s="705">
        <v>5977</v>
      </c>
      <c r="S629" s="705">
        <v>5433</v>
      </c>
      <c r="T629">
        <v>0</v>
      </c>
      <c r="U629">
        <v>0</v>
      </c>
      <c r="V629" s="705">
        <v>21570</v>
      </c>
      <c r="W629" s="705">
        <f t="shared" si="40"/>
        <v>21570</v>
      </c>
      <c r="X629" s="705">
        <f t="shared" si="41"/>
        <v>25939</v>
      </c>
      <c r="Y629" s="705"/>
      <c r="AI629" s="429"/>
    </row>
    <row r="630" spans="2:35">
      <c r="B630" t="s">
        <v>538</v>
      </c>
      <c r="C630" t="s">
        <v>116</v>
      </c>
      <c r="D630" t="s">
        <v>584</v>
      </c>
      <c r="E630" t="s">
        <v>584</v>
      </c>
      <c r="F630">
        <v>1</v>
      </c>
      <c r="G630" s="705">
        <v>122</v>
      </c>
      <c r="H630" s="705">
        <v>178</v>
      </c>
      <c r="I630" s="705">
        <v>11159</v>
      </c>
      <c r="J630" s="705">
        <v>10144</v>
      </c>
      <c r="K630">
        <v>90</v>
      </c>
      <c r="L630" s="705">
        <v>3546</v>
      </c>
      <c r="M630" s="705">
        <v>3224</v>
      </c>
      <c r="N630" s="705">
        <v>2180</v>
      </c>
      <c r="O630" s="705">
        <v>808</v>
      </c>
      <c r="P630" s="705">
        <v>473</v>
      </c>
      <c r="Q630" s="705">
        <v>175</v>
      </c>
      <c r="R630" s="705">
        <v>4342</v>
      </c>
      <c r="S630" s="705">
        <v>3947</v>
      </c>
      <c r="T630" s="705">
        <v>0</v>
      </c>
      <c r="U630" s="705">
        <v>0</v>
      </c>
      <c r="V630" s="705">
        <v>18297</v>
      </c>
      <c r="W630" s="705">
        <f t="shared" si="40"/>
        <v>18298</v>
      </c>
      <c r="X630" s="705">
        <f t="shared" si="41"/>
        <v>21700</v>
      </c>
      <c r="Y630" s="705"/>
      <c r="AI630" s="429"/>
    </row>
    <row r="631" spans="2:35">
      <c r="B631" t="s">
        <v>538</v>
      </c>
      <c r="C631" t="s">
        <v>116</v>
      </c>
      <c r="D631" t="s">
        <v>669</v>
      </c>
      <c r="E631" t="s">
        <v>669</v>
      </c>
      <c r="F631">
        <v>2</v>
      </c>
      <c r="G631">
        <v>462</v>
      </c>
      <c r="H631" s="705">
        <v>407</v>
      </c>
      <c r="I631" s="705">
        <v>56473</v>
      </c>
      <c r="J631" s="705">
        <v>47061</v>
      </c>
      <c r="K631">
        <v>67</v>
      </c>
      <c r="L631" s="705">
        <v>4729</v>
      </c>
      <c r="M631" s="705">
        <v>4299</v>
      </c>
      <c r="N631" s="705">
        <v>8558</v>
      </c>
      <c r="O631" s="705">
        <v>3170</v>
      </c>
      <c r="P631" s="705">
        <v>1323</v>
      </c>
      <c r="Q631" s="705">
        <v>490</v>
      </c>
      <c r="R631" s="705">
        <v>14196</v>
      </c>
      <c r="S631" s="705">
        <v>11830</v>
      </c>
      <c r="T631" s="705">
        <v>8428</v>
      </c>
      <c r="U631" s="705">
        <v>3121</v>
      </c>
      <c r="V631" s="705">
        <v>69971</v>
      </c>
      <c r="W631" s="705">
        <f t="shared" si="40"/>
        <v>69971</v>
      </c>
      <c r="X631" s="705">
        <f t="shared" si="41"/>
        <v>93707</v>
      </c>
      <c r="Y631" s="705"/>
      <c r="AI631" s="429"/>
    </row>
    <row r="632" spans="2:35">
      <c r="B632" t="s">
        <v>538</v>
      </c>
      <c r="C632" t="s">
        <v>116</v>
      </c>
      <c r="D632" t="s">
        <v>665</v>
      </c>
      <c r="E632" t="s">
        <v>665</v>
      </c>
      <c r="F632">
        <v>10</v>
      </c>
      <c r="G632" s="705">
        <v>1906</v>
      </c>
      <c r="H632" s="705">
        <v>2044</v>
      </c>
      <c r="I632" s="705">
        <v>278711</v>
      </c>
      <c r="J632" s="705">
        <v>253373</v>
      </c>
      <c r="K632">
        <v>67</v>
      </c>
      <c r="L632" s="705">
        <v>27605</v>
      </c>
      <c r="M632" s="705">
        <v>25096</v>
      </c>
      <c r="N632" s="705">
        <v>40572</v>
      </c>
      <c r="O632" s="705">
        <v>15027</v>
      </c>
      <c r="P632" s="705">
        <v>5994</v>
      </c>
      <c r="Q632" s="705">
        <v>2220</v>
      </c>
      <c r="R632" s="705">
        <v>66702</v>
      </c>
      <c r="S632" s="705">
        <v>60638</v>
      </c>
      <c r="T632" s="705">
        <v>23340</v>
      </c>
      <c r="U632" s="705">
        <v>8645</v>
      </c>
      <c r="V632" s="705">
        <v>364998</v>
      </c>
      <c r="W632" s="705">
        <f t="shared" si="40"/>
        <v>364999</v>
      </c>
      <c r="X632" s="705">
        <f t="shared" si="41"/>
        <v>442924</v>
      </c>
      <c r="Y632" s="705"/>
      <c r="AI632" s="429"/>
    </row>
    <row r="633" spans="2:35">
      <c r="B633" t="s">
        <v>538</v>
      </c>
      <c r="C633" t="s">
        <v>116</v>
      </c>
      <c r="D633" t="s">
        <v>722</v>
      </c>
      <c r="E633" t="s">
        <v>722</v>
      </c>
      <c r="F633">
        <v>1</v>
      </c>
      <c r="G633" s="705">
        <v>391</v>
      </c>
      <c r="H633" s="705">
        <v>162</v>
      </c>
      <c r="I633" s="705">
        <v>40665</v>
      </c>
      <c r="J633" s="705">
        <v>36968</v>
      </c>
      <c r="K633">
        <v>83</v>
      </c>
      <c r="L633" s="705">
        <v>6273</v>
      </c>
      <c r="M633" s="705">
        <v>5703</v>
      </c>
      <c r="N633" s="705">
        <v>8329</v>
      </c>
      <c r="O633" s="705">
        <v>3085</v>
      </c>
      <c r="P633" s="705">
        <v>351</v>
      </c>
      <c r="Q633" s="705">
        <v>130</v>
      </c>
      <c r="R633" s="705">
        <v>7505</v>
      </c>
      <c r="S633" s="705">
        <v>6822</v>
      </c>
      <c r="T633" s="705">
        <v>0</v>
      </c>
      <c r="U633" s="705">
        <v>0</v>
      </c>
      <c r="V633" s="705">
        <v>52708</v>
      </c>
      <c r="W633" s="705">
        <f t="shared" si="40"/>
        <v>52708</v>
      </c>
      <c r="X633" s="705">
        <f t="shared" si="41"/>
        <v>63123</v>
      </c>
      <c r="Y633" s="705"/>
      <c r="AI633" s="429"/>
    </row>
    <row r="634" spans="2:35">
      <c r="B634" t="s">
        <v>538</v>
      </c>
      <c r="C634" t="s">
        <v>116</v>
      </c>
      <c r="D634" t="s">
        <v>673</v>
      </c>
      <c r="E634" t="s">
        <v>665</v>
      </c>
      <c r="F634">
        <v>1</v>
      </c>
      <c r="G634" s="705">
        <v>113</v>
      </c>
      <c r="H634" s="705">
        <v>221</v>
      </c>
      <c r="I634" s="705">
        <v>24220</v>
      </c>
      <c r="J634" s="705">
        <v>22019</v>
      </c>
      <c r="K634">
        <v>65</v>
      </c>
      <c r="L634" s="705">
        <v>5831</v>
      </c>
      <c r="M634" s="705">
        <v>5301</v>
      </c>
      <c r="N634" s="705">
        <v>2118</v>
      </c>
      <c r="O634" s="705">
        <v>785</v>
      </c>
      <c r="P634" s="705">
        <v>702</v>
      </c>
      <c r="Q634" s="705">
        <v>260</v>
      </c>
      <c r="R634" s="705">
        <v>4028</v>
      </c>
      <c r="S634" s="705">
        <v>3662</v>
      </c>
      <c r="T634" s="705">
        <v>1606</v>
      </c>
      <c r="U634">
        <v>595</v>
      </c>
      <c r="V634" s="705">
        <v>32621</v>
      </c>
      <c r="W634" s="705">
        <f t="shared" si="40"/>
        <v>32622</v>
      </c>
      <c r="X634" s="705">
        <f t="shared" si="41"/>
        <v>38505</v>
      </c>
      <c r="Y634" s="705"/>
      <c r="AI634" s="429"/>
    </row>
    <row r="635" spans="2:35">
      <c r="B635" t="s">
        <v>538</v>
      </c>
      <c r="C635" t="s">
        <v>116</v>
      </c>
      <c r="D635" t="s">
        <v>673</v>
      </c>
      <c r="E635" t="s">
        <v>673</v>
      </c>
      <c r="F635">
        <v>7</v>
      </c>
      <c r="G635" s="705">
        <v>1263</v>
      </c>
      <c r="H635" s="705">
        <v>1316</v>
      </c>
      <c r="I635" s="705">
        <v>155654</v>
      </c>
      <c r="J635" s="705">
        <v>141504</v>
      </c>
      <c r="K635">
        <v>80</v>
      </c>
      <c r="L635" s="705">
        <v>24702</v>
      </c>
      <c r="M635" s="705">
        <v>22457</v>
      </c>
      <c r="N635" s="705">
        <v>27706</v>
      </c>
      <c r="O635" s="705">
        <v>10262</v>
      </c>
      <c r="P635" s="705">
        <v>4239</v>
      </c>
      <c r="Q635" s="705">
        <v>1570</v>
      </c>
      <c r="R635" s="705">
        <v>58609</v>
      </c>
      <c r="S635" s="705">
        <v>53281</v>
      </c>
      <c r="T635" s="705">
        <v>0</v>
      </c>
      <c r="U635" s="705">
        <v>0</v>
      </c>
      <c r="V635" s="705">
        <v>229073</v>
      </c>
      <c r="W635" s="705">
        <f t="shared" si="40"/>
        <v>229074</v>
      </c>
      <c r="X635" s="705">
        <f t="shared" si="41"/>
        <v>270910</v>
      </c>
      <c r="Y635" s="705"/>
      <c r="AI635" s="429"/>
    </row>
    <row r="636" spans="2:35">
      <c r="B636" t="s">
        <v>538</v>
      </c>
      <c r="C636" t="s">
        <v>116</v>
      </c>
      <c r="D636" t="s">
        <v>585</v>
      </c>
      <c r="E636" t="s">
        <v>585</v>
      </c>
      <c r="F636">
        <v>23</v>
      </c>
      <c r="G636" s="705">
        <v>5475</v>
      </c>
      <c r="H636" s="705">
        <v>4327</v>
      </c>
      <c r="I636" s="705">
        <v>670565</v>
      </c>
      <c r="J636" s="705">
        <v>609604</v>
      </c>
      <c r="K636">
        <v>70</v>
      </c>
      <c r="L636" s="705">
        <v>122292</v>
      </c>
      <c r="M636" s="705">
        <v>111058</v>
      </c>
      <c r="N636" s="705">
        <v>105551</v>
      </c>
      <c r="O636" s="705">
        <v>39093</v>
      </c>
      <c r="P636" s="705">
        <v>14243</v>
      </c>
      <c r="Q636" s="705">
        <v>5275</v>
      </c>
      <c r="R636" s="705">
        <v>148673</v>
      </c>
      <c r="S636" s="705">
        <v>135157</v>
      </c>
      <c r="T636" s="705">
        <v>8938</v>
      </c>
      <c r="U636" s="705">
        <v>3311</v>
      </c>
      <c r="V636" s="705">
        <v>903498</v>
      </c>
      <c r="W636" s="705">
        <f t="shared" si="40"/>
        <v>903498</v>
      </c>
      <c r="X636" s="705">
        <f t="shared" si="41"/>
        <v>1070262</v>
      </c>
      <c r="Y636" s="705"/>
      <c r="AI636" s="429"/>
    </row>
    <row r="637" spans="2:35">
      <c r="B637" t="s">
        <v>538</v>
      </c>
      <c r="C637" t="s">
        <v>116</v>
      </c>
      <c r="D637" t="s">
        <v>668</v>
      </c>
      <c r="E637" t="s">
        <v>228</v>
      </c>
      <c r="F637">
        <v>3</v>
      </c>
      <c r="G637">
        <v>316</v>
      </c>
      <c r="H637">
        <v>517</v>
      </c>
      <c r="I637" s="705">
        <v>39901</v>
      </c>
      <c r="J637" s="705">
        <v>36274</v>
      </c>
      <c r="K637">
        <v>85</v>
      </c>
      <c r="L637" s="705">
        <v>0</v>
      </c>
      <c r="M637" s="705">
        <v>0</v>
      </c>
      <c r="N637" s="705">
        <v>4268</v>
      </c>
      <c r="O637" s="705">
        <v>1581</v>
      </c>
      <c r="P637" s="705">
        <v>0</v>
      </c>
      <c r="Q637">
        <v>0</v>
      </c>
      <c r="R637" s="705">
        <v>6665</v>
      </c>
      <c r="S637" s="705">
        <v>2468</v>
      </c>
      <c r="T637" s="705">
        <v>3587</v>
      </c>
      <c r="U637" s="705">
        <v>1328</v>
      </c>
      <c r="V637" s="705">
        <v>41651</v>
      </c>
      <c r="W637" s="705">
        <f t="shared" si="40"/>
        <v>41651</v>
      </c>
      <c r="X637" s="705">
        <f t="shared" si="41"/>
        <v>54421</v>
      </c>
      <c r="Y637" s="705"/>
      <c r="AI637" s="429"/>
    </row>
    <row r="638" spans="2:35">
      <c r="B638" t="s">
        <v>538</v>
      </c>
      <c r="C638" t="s">
        <v>118</v>
      </c>
      <c r="F638">
        <v>5</v>
      </c>
      <c r="G638" s="705">
        <v>783</v>
      </c>
      <c r="H638" s="705">
        <v>1253</v>
      </c>
      <c r="I638" s="705"/>
      <c r="J638" s="705">
        <v>0</v>
      </c>
      <c r="L638" s="705"/>
      <c r="M638" s="705">
        <v>0</v>
      </c>
      <c r="N638" s="705">
        <v>17009</v>
      </c>
      <c r="O638" s="705">
        <v>6300</v>
      </c>
      <c r="P638" s="705">
        <v>4050</v>
      </c>
      <c r="Q638" s="705">
        <v>1500</v>
      </c>
      <c r="R638" s="705"/>
      <c r="S638" s="705">
        <v>0</v>
      </c>
      <c r="T638" s="705">
        <v>4565</v>
      </c>
      <c r="U638" s="705">
        <v>1691</v>
      </c>
      <c r="V638" s="705">
        <v>9490</v>
      </c>
      <c r="W638" s="705">
        <f t="shared" si="40"/>
        <v>9491</v>
      </c>
      <c r="X638" s="705">
        <f t="shared" si="41"/>
        <v>25624</v>
      </c>
      <c r="Y638" s="705"/>
      <c r="AI638" s="429"/>
    </row>
    <row r="639" spans="2:35">
      <c r="B639" t="s">
        <v>538</v>
      </c>
      <c r="C639" t="s">
        <v>118</v>
      </c>
      <c r="D639" t="s">
        <v>664</v>
      </c>
      <c r="E639" t="s">
        <v>664</v>
      </c>
      <c r="F639">
        <v>3</v>
      </c>
      <c r="G639" s="705">
        <v>344</v>
      </c>
      <c r="H639" s="705">
        <v>821</v>
      </c>
      <c r="I639" s="705">
        <v>57467</v>
      </c>
      <c r="J639" s="705">
        <v>52243</v>
      </c>
      <c r="K639">
        <v>73</v>
      </c>
      <c r="L639" s="705">
        <v>6605</v>
      </c>
      <c r="M639" s="705">
        <v>6004</v>
      </c>
      <c r="N639" s="705">
        <v>7910</v>
      </c>
      <c r="O639" s="705">
        <v>2929</v>
      </c>
      <c r="P639" s="705">
        <v>2039</v>
      </c>
      <c r="Q639" s="705">
        <v>755</v>
      </c>
      <c r="R639" s="705">
        <v>15249</v>
      </c>
      <c r="S639" s="705">
        <v>13863</v>
      </c>
      <c r="T639" s="705">
        <v>2756</v>
      </c>
      <c r="U639" s="705">
        <v>1021</v>
      </c>
      <c r="V639" s="705">
        <v>76815</v>
      </c>
      <c r="W639" s="705">
        <f t="shared" si="40"/>
        <v>76815</v>
      </c>
      <c r="X639" s="705">
        <f t="shared" si="41"/>
        <v>92026</v>
      </c>
      <c r="Y639" s="705"/>
      <c r="AI639" s="429"/>
    </row>
    <row r="640" spans="2:35">
      <c r="B640" t="s">
        <v>538</v>
      </c>
      <c r="C640" t="s">
        <v>118</v>
      </c>
      <c r="D640" t="s">
        <v>664</v>
      </c>
      <c r="E640" t="s">
        <v>583</v>
      </c>
      <c r="F640">
        <v>4</v>
      </c>
      <c r="G640" s="705">
        <v>418</v>
      </c>
      <c r="H640" s="705">
        <v>1057</v>
      </c>
      <c r="I640" s="705">
        <v>65116</v>
      </c>
      <c r="J640" s="705">
        <v>59196</v>
      </c>
      <c r="K640">
        <v>80</v>
      </c>
      <c r="L640" s="705">
        <v>12828</v>
      </c>
      <c r="M640" s="705">
        <v>11132</v>
      </c>
      <c r="N640" s="705">
        <v>10347</v>
      </c>
      <c r="O640" s="705">
        <v>3832</v>
      </c>
      <c r="P640" s="705">
        <v>2835</v>
      </c>
      <c r="Q640" s="705">
        <v>1050</v>
      </c>
      <c r="R640" s="705">
        <v>22572</v>
      </c>
      <c r="S640" s="705">
        <v>20520</v>
      </c>
      <c r="T640" s="705">
        <v>6977</v>
      </c>
      <c r="U640" s="705">
        <v>2584</v>
      </c>
      <c r="V640" s="705">
        <v>98315</v>
      </c>
      <c r="W640" s="705">
        <f t="shared" si="40"/>
        <v>98314</v>
      </c>
      <c r="X640" s="705">
        <f t="shared" si="41"/>
        <v>120675</v>
      </c>
      <c r="Y640" s="705"/>
      <c r="AI640" s="429"/>
    </row>
    <row r="641" spans="2:35">
      <c r="B641" t="s">
        <v>538</v>
      </c>
      <c r="C641" t="s">
        <v>118</v>
      </c>
      <c r="D641" t="s">
        <v>582</v>
      </c>
      <c r="E641" t="s">
        <v>664</v>
      </c>
      <c r="F641">
        <v>2</v>
      </c>
      <c r="G641">
        <v>246</v>
      </c>
      <c r="H641" s="705">
        <v>557</v>
      </c>
      <c r="I641" s="705">
        <v>38532</v>
      </c>
      <c r="J641" s="705">
        <v>35029</v>
      </c>
      <c r="K641">
        <v>67</v>
      </c>
      <c r="L641" s="705">
        <v>7411</v>
      </c>
      <c r="M641" s="705">
        <v>6561</v>
      </c>
      <c r="N641" s="705">
        <v>3693</v>
      </c>
      <c r="O641" s="705">
        <v>1368</v>
      </c>
      <c r="P641" s="705">
        <v>2592</v>
      </c>
      <c r="Q641" s="705">
        <v>960</v>
      </c>
      <c r="R641" s="705">
        <v>13958</v>
      </c>
      <c r="S641" s="705">
        <v>12689</v>
      </c>
      <c r="T641" s="705">
        <v>2602</v>
      </c>
      <c r="U641" s="705">
        <v>964</v>
      </c>
      <c r="V641" s="705">
        <v>57571</v>
      </c>
      <c r="W641" s="705">
        <f t="shared" si="40"/>
        <v>57571</v>
      </c>
      <c r="X641" s="705">
        <f t="shared" si="41"/>
        <v>68788</v>
      </c>
      <c r="Y641" s="705"/>
      <c r="AI641" s="429"/>
    </row>
    <row r="642" spans="2:35">
      <c r="B642" t="s">
        <v>538</v>
      </c>
      <c r="C642" t="s">
        <v>118</v>
      </c>
      <c r="D642" t="s">
        <v>582</v>
      </c>
      <c r="E642" t="s">
        <v>582</v>
      </c>
      <c r="F642">
        <v>61</v>
      </c>
      <c r="G642" s="705">
        <v>7490</v>
      </c>
      <c r="H642" s="705">
        <v>15883</v>
      </c>
      <c r="I642" s="705">
        <v>1221869</v>
      </c>
      <c r="J642" s="705">
        <v>1110790</v>
      </c>
      <c r="K642">
        <v>75</v>
      </c>
      <c r="L642" s="705">
        <v>255802</v>
      </c>
      <c r="M642" s="705">
        <v>220143</v>
      </c>
      <c r="N642" s="705">
        <v>174312</v>
      </c>
      <c r="O642" s="705">
        <v>64560</v>
      </c>
      <c r="P642" s="705">
        <v>30466</v>
      </c>
      <c r="Q642" s="705">
        <v>11284</v>
      </c>
      <c r="R642" s="705">
        <v>318157</v>
      </c>
      <c r="S642" s="705">
        <v>289233</v>
      </c>
      <c r="T642" s="705">
        <v>72345</v>
      </c>
      <c r="U642" s="705">
        <v>26795</v>
      </c>
      <c r="V642" s="705">
        <v>1722804</v>
      </c>
      <c r="W642" s="705">
        <f t="shared" si="40"/>
        <v>1722805</v>
      </c>
      <c r="X642" s="705">
        <f t="shared" si="41"/>
        <v>2072951</v>
      </c>
      <c r="Y642" s="705"/>
      <c r="AI642" s="429"/>
    </row>
    <row r="643" spans="2:35">
      <c r="B643" t="s">
        <v>538</v>
      </c>
      <c r="C643" t="s">
        <v>118</v>
      </c>
      <c r="D643" t="s">
        <v>228</v>
      </c>
      <c r="E643" t="s">
        <v>228</v>
      </c>
      <c r="F643" s="705">
        <v>58</v>
      </c>
      <c r="G643" s="705">
        <v>10256</v>
      </c>
      <c r="H643" s="705">
        <v>15307</v>
      </c>
      <c r="I643" s="705">
        <v>1724672</v>
      </c>
      <c r="J643" s="705">
        <v>638767</v>
      </c>
      <c r="K643">
        <v>100</v>
      </c>
      <c r="L643" s="705">
        <v>275731</v>
      </c>
      <c r="M643" s="705">
        <v>245068</v>
      </c>
      <c r="N643" s="705">
        <v>242072</v>
      </c>
      <c r="O643" s="705">
        <v>89656</v>
      </c>
      <c r="P643" s="705">
        <v>2197</v>
      </c>
      <c r="Q643" s="705">
        <v>814</v>
      </c>
      <c r="R643" s="705">
        <v>493589</v>
      </c>
      <c r="S643" s="705">
        <v>182811</v>
      </c>
      <c r="T643" s="705">
        <v>0</v>
      </c>
      <c r="U643" s="705">
        <v>0</v>
      </c>
      <c r="V643" s="705">
        <v>1157117</v>
      </c>
      <c r="W643" s="705">
        <f t="shared" si="40"/>
        <v>1157116</v>
      </c>
      <c r="X643" s="705">
        <f t="shared" si="41"/>
        <v>2738261</v>
      </c>
      <c r="Y643" s="705"/>
      <c r="AI643" s="429"/>
    </row>
    <row r="644" spans="2:35">
      <c r="B644" t="s">
        <v>538</v>
      </c>
      <c r="C644" t="s">
        <v>118</v>
      </c>
      <c r="D644" t="s">
        <v>228</v>
      </c>
      <c r="E644" t="s">
        <v>583</v>
      </c>
      <c r="F644">
        <v>1</v>
      </c>
      <c r="G644">
        <v>87</v>
      </c>
      <c r="H644">
        <v>247</v>
      </c>
      <c r="I644" s="705">
        <v>27026</v>
      </c>
      <c r="J644" s="705">
        <v>10010</v>
      </c>
      <c r="K644">
        <v>100</v>
      </c>
      <c r="L644" s="705">
        <v>1631</v>
      </c>
      <c r="M644" s="705">
        <v>1483</v>
      </c>
      <c r="N644" s="705">
        <v>2261</v>
      </c>
      <c r="O644" s="705">
        <v>837</v>
      </c>
      <c r="P644" s="705">
        <v>270</v>
      </c>
      <c r="Q644">
        <v>100</v>
      </c>
      <c r="R644" s="705">
        <v>3985</v>
      </c>
      <c r="S644" s="705">
        <v>3623</v>
      </c>
      <c r="T644" s="705">
        <v>3070</v>
      </c>
      <c r="U644" s="705">
        <v>1137</v>
      </c>
      <c r="V644" s="705">
        <v>17190</v>
      </c>
      <c r="W644" s="705">
        <f t="shared" si="40"/>
        <v>17190</v>
      </c>
      <c r="X644" s="705">
        <f t="shared" si="41"/>
        <v>38243</v>
      </c>
      <c r="Y644" s="705"/>
      <c r="AI644" s="429"/>
    </row>
    <row r="645" spans="2:35">
      <c r="B645" t="s">
        <v>538</v>
      </c>
      <c r="C645" t="s">
        <v>118</v>
      </c>
      <c r="D645" t="s">
        <v>583</v>
      </c>
      <c r="E645" t="s">
        <v>228</v>
      </c>
      <c r="F645">
        <v>11</v>
      </c>
      <c r="G645" s="705">
        <v>1632</v>
      </c>
      <c r="H645" s="705">
        <v>2887</v>
      </c>
      <c r="I645" s="705">
        <v>245061</v>
      </c>
      <c r="J645" s="705">
        <v>222783</v>
      </c>
      <c r="K645">
        <v>79</v>
      </c>
      <c r="L645" s="705">
        <v>66720</v>
      </c>
      <c r="M645" s="705">
        <v>53944</v>
      </c>
      <c r="N645" s="705">
        <v>38429</v>
      </c>
      <c r="O645" s="705">
        <v>14233</v>
      </c>
      <c r="P645" s="705">
        <v>7533</v>
      </c>
      <c r="Q645" s="705">
        <v>2790</v>
      </c>
      <c r="R645" s="705">
        <v>84499</v>
      </c>
      <c r="S645" s="705">
        <v>31296</v>
      </c>
      <c r="T645" s="705">
        <v>0</v>
      </c>
      <c r="U645" s="705">
        <v>0</v>
      </c>
      <c r="V645" s="705">
        <v>325046</v>
      </c>
      <c r="W645" s="705">
        <f t="shared" si="40"/>
        <v>325046</v>
      </c>
      <c r="X645" s="705">
        <f t="shared" si="41"/>
        <v>442242</v>
      </c>
      <c r="Y645" s="705"/>
      <c r="AI645" s="429"/>
    </row>
    <row r="646" spans="2:35">
      <c r="B646" t="s">
        <v>538</v>
      </c>
      <c r="C646" t="s">
        <v>118</v>
      </c>
      <c r="D646" t="s">
        <v>583</v>
      </c>
      <c r="E646" t="s">
        <v>583</v>
      </c>
      <c r="F646" s="705">
        <v>3045</v>
      </c>
      <c r="G646" s="705">
        <v>375623</v>
      </c>
      <c r="H646" s="705">
        <v>792181</v>
      </c>
      <c r="I646" s="705">
        <v>58140201</v>
      </c>
      <c r="J646" s="705">
        <v>52854728</v>
      </c>
      <c r="K646">
        <v>80</v>
      </c>
      <c r="L646" s="705">
        <v>11966492</v>
      </c>
      <c r="M646" s="705">
        <v>10551693</v>
      </c>
      <c r="N646" s="705">
        <v>8074456</v>
      </c>
      <c r="O646" s="705">
        <v>2990539</v>
      </c>
      <c r="P646" s="705">
        <v>2009047</v>
      </c>
      <c r="Q646" s="705">
        <v>744092</v>
      </c>
      <c r="R646" s="705">
        <v>15736295</v>
      </c>
      <c r="S646" s="705">
        <v>14305723</v>
      </c>
      <c r="T646" s="705">
        <v>4842519</v>
      </c>
      <c r="U646" s="705">
        <v>1793525</v>
      </c>
      <c r="V646" s="705">
        <v>83240300</v>
      </c>
      <c r="W646" s="705">
        <f t="shared" si="40"/>
        <v>83240300</v>
      </c>
      <c r="X646" s="705">
        <f t="shared" si="41"/>
        <v>100769010</v>
      </c>
      <c r="Y646" s="705"/>
      <c r="AI646" s="429"/>
    </row>
    <row r="647" spans="2:35">
      <c r="B647" t="s">
        <v>538</v>
      </c>
      <c r="C647" t="s">
        <v>118</v>
      </c>
      <c r="D647" t="s">
        <v>583</v>
      </c>
      <c r="E647" t="s">
        <v>666</v>
      </c>
      <c r="F647">
        <v>6</v>
      </c>
      <c r="G647">
        <v>793</v>
      </c>
      <c r="H647" s="705">
        <v>1528</v>
      </c>
      <c r="I647" s="705">
        <v>121266</v>
      </c>
      <c r="J647" s="705">
        <v>110241</v>
      </c>
      <c r="K647">
        <v>82</v>
      </c>
      <c r="L647" s="705">
        <v>32206</v>
      </c>
      <c r="M647" s="705">
        <v>27069</v>
      </c>
      <c r="N647" s="705">
        <v>17500</v>
      </c>
      <c r="O647" s="705">
        <v>6481</v>
      </c>
      <c r="P647" s="705">
        <v>4077</v>
      </c>
      <c r="Q647" s="705">
        <v>1510</v>
      </c>
      <c r="R647" s="705">
        <v>35619</v>
      </c>
      <c r="S647" s="705">
        <v>32381</v>
      </c>
      <c r="T647" s="705">
        <v>11059</v>
      </c>
      <c r="U647" s="705">
        <v>4096</v>
      </c>
      <c r="V647" s="705">
        <v>181779</v>
      </c>
      <c r="W647" s="705">
        <f t="shared" ref="W647:W710" si="42">SUM(ABS(J647),ABS(M647),ABS(O647),ABS(Q647),ABS(S647),ABS(U647))</f>
        <v>181778</v>
      </c>
      <c r="X647" s="705">
        <f t="shared" ref="X647:X710" si="43">SUM(ABS(I647),ABS(N647),ABS(P647),ABS(R647),ABS(T647),ABS(L647))</f>
        <v>221727</v>
      </c>
      <c r="Y647" s="705"/>
      <c r="AI647" s="429"/>
    </row>
    <row r="648" spans="2:35">
      <c r="B648" t="s">
        <v>538</v>
      </c>
      <c r="C648" t="s">
        <v>118</v>
      </c>
      <c r="D648" t="s">
        <v>583</v>
      </c>
      <c r="E648" t="s">
        <v>669</v>
      </c>
      <c r="F648">
        <v>1</v>
      </c>
      <c r="G648">
        <v>136</v>
      </c>
      <c r="H648">
        <v>236</v>
      </c>
      <c r="I648" s="705">
        <v>16595</v>
      </c>
      <c r="J648" s="705">
        <v>15087</v>
      </c>
      <c r="K648">
        <v>85</v>
      </c>
      <c r="L648" s="705">
        <v>4960</v>
      </c>
      <c r="M648" s="705">
        <v>4509</v>
      </c>
      <c r="N648" s="705">
        <v>2924</v>
      </c>
      <c r="O648" s="705">
        <v>1083</v>
      </c>
      <c r="P648" s="705">
        <v>621</v>
      </c>
      <c r="Q648">
        <v>230</v>
      </c>
      <c r="R648" s="705">
        <v>7040</v>
      </c>
      <c r="S648" s="705">
        <v>5867</v>
      </c>
      <c r="T648">
        <v>0</v>
      </c>
      <c r="U648">
        <v>0</v>
      </c>
      <c r="V648" s="705">
        <v>26776</v>
      </c>
      <c r="W648" s="705">
        <f t="shared" si="42"/>
        <v>26776</v>
      </c>
      <c r="X648" s="705">
        <f t="shared" si="43"/>
        <v>32140</v>
      </c>
      <c r="Y648" s="705"/>
      <c r="AI648" s="429"/>
    </row>
    <row r="649" spans="2:35">
      <c r="B649" t="s">
        <v>538</v>
      </c>
      <c r="C649" t="s">
        <v>118</v>
      </c>
      <c r="D649" t="s">
        <v>583</v>
      </c>
      <c r="E649" t="s">
        <v>665</v>
      </c>
      <c r="F649">
        <v>3</v>
      </c>
      <c r="G649" s="705">
        <v>295</v>
      </c>
      <c r="H649" s="705">
        <v>755</v>
      </c>
      <c r="I649" s="705">
        <v>37047</v>
      </c>
      <c r="J649" s="705">
        <v>33679</v>
      </c>
      <c r="K649">
        <v>83</v>
      </c>
      <c r="L649" s="705">
        <v>7950</v>
      </c>
      <c r="M649" s="705">
        <v>7227</v>
      </c>
      <c r="N649" s="705">
        <v>7184</v>
      </c>
      <c r="O649" s="705">
        <v>2661</v>
      </c>
      <c r="P649" s="705">
        <v>2214</v>
      </c>
      <c r="Q649" s="705">
        <v>820</v>
      </c>
      <c r="R649" s="705">
        <v>19139</v>
      </c>
      <c r="S649" s="705">
        <v>17399</v>
      </c>
      <c r="T649" s="705">
        <v>0</v>
      </c>
      <c r="U649" s="705">
        <v>0</v>
      </c>
      <c r="V649" s="705">
        <v>61786</v>
      </c>
      <c r="W649" s="705">
        <f t="shared" si="42"/>
        <v>61786</v>
      </c>
      <c r="X649" s="705">
        <f t="shared" si="43"/>
        <v>73534</v>
      </c>
      <c r="Y649" s="705"/>
      <c r="AI649" s="429"/>
    </row>
    <row r="650" spans="2:35">
      <c r="B650" t="s">
        <v>538</v>
      </c>
      <c r="C650" t="s">
        <v>118</v>
      </c>
      <c r="D650" t="s">
        <v>666</v>
      </c>
      <c r="E650" t="s">
        <v>666</v>
      </c>
      <c r="F650">
        <v>3</v>
      </c>
      <c r="G650" s="705">
        <v>836</v>
      </c>
      <c r="H650" s="705">
        <v>818</v>
      </c>
      <c r="I650" s="705">
        <v>135462</v>
      </c>
      <c r="J650" s="705">
        <v>123147</v>
      </c>
      <c r="K650">
        <v>60</v>
      </c>
      <c r="L650" s="705">
        <v>36803</v>
      </c>
      <c r="M650" s="705">
        <v>33458</v>
      </c>
      <c r="N650" s="705">
        <v>18797</v>
      </c>
      <c r="O650" s="705">
        <v>6962</v>
      </c>
      <c r="P650" s="705">
        <v>1404</v>
      </c>
      <c r="Q650" s="705">
        <v>520</v>
      </c>
      <c r="R650" s="705">
        <v>30987</v>
      </c>
      <c r="S650" s="705">
        <v>28170</v>
      </c>
      <c r="T650" s="705">
        <v>0</v>
      </c>
      <c r="U650" s="705">
        <v>0</v>
      </c>
      <c r="V650" s="705">
        <v>192256</v>
      </c>
      <c r="W650" s="705">
        <f t="shared" si="42"/>
        <v>192257</v>
      </c>
      <c r="X650" s="705">
        <f t="shared" si="43"/>
        <v>223453</v>
      </c>
      <c r="Y650" s="705"/>
      <c r="AI650" s="429"/>
    </row>
    <row r="651" spans="2:35">
      <c r="B651" t="s">
        <v>538</v>
      </c>
      <c r="C651" t="s">
        <v>118</v>
      </c>
      <c r="D651" t="s">
        <v>584</v>
      </c>
      <c r="E651" t="s">
        <v>584</v>
      </c>
      <c r="F651">
        <v>3</v>
      </c>
      <c r="G651" s="705">
        <v>325</v>
      </c>
      <c r="H651" s="705">
        <v>814</v>
      </c>
      <c r="I651" s="705">
        <v>49557</v>
      </c>
      <c r="J651" s="705">
        <v>45051</v>
      </c>
      <c r="K651">
        <v>66</v>
      </c>
      <c r="L651" s="705">
        <v>7792</v>
      </c>
      <c r="M651" s="705">
        <v>7084</v>
      </c>
      <c r="N651" s="705">
        <v>6748</v>
      </c>
      <c r="O651" s="705">
        <v>2499</v>
      </c>
      <c r="P651" s="705">
        <v>1418</v>
      </c>
      <c r="Q651" s="705">
        <v>525</v>
      </c>
      <c r="R651" s="705">
        <v>16501</v>
      </c>
      <c r="S651" s="705">
        <v>15001</v>
      </c>
      <c r="T651" s="705">
        <v>5409</v>
      </c>
      <c r="U651" s="705">
        <v>2003</v>
      </c>
      <c r="V651" s="705">
        <v>72163</v>
      </c>
      <c r="W651" s="705">
        <f t="shared" si="42"/>
        <v>72163</v>
      </c>
      <c r="X651" s="705">
        <f t="shared" si="43"/>
        <v>87425</v>
      </c>
      <c r="Y651" s="705"/>
      <c r="AI651" s="429"/>
    </row>
    <row r="652" spans="2:35">
      <c r="B652" t="s">
        <v>538</v>
      </c>
      <c r="C652" t="s">
        <v>118</v>
      </c>
      <c r="D652" t="s">
        <v>669</v>
      </c>
      <c r="E652" t="s">
        <v>669</v>
      </c>
      <c r="F652">
        <v>1</v>
      </c>
      <c r="G652">
        <v>112</v>
      </c>
      <c r="H652" s="705">
        <v>248</v>
      </c>
      <c r="I652" s="705">
        <v>26377</v>
      </c>
      <c r="J652" s="705">
        <v>21981</v>
      </c>
      <c r="K652">
        <v>65</v>
      </c>
      <c r="L652" s="705">
        <v>4286</v>
      </c>
      <c r="M652" s="705">
        <v>1588</v>
      </c>
      <c r="N652" s="705">
        <v>4090</v>
      </c>
      <c r="O652" s="705">
        <v>1515</v>
      </c>
      <c r="P652" s="705">
        <v>351</v>
      </c>
      <c r="Q652" s="705">
        <v>130</v>
      </c>
      <c r="R652" s="705">
        <v>5991</v>
      </c>
      <c r="S652" s="705">
        <v>4993</v>
      </c>
      <c r="T652" s="705">
        <v>3229</v>
      </c>
      <c r="U652" s="705">
        <v>1196</v>
      </c>
      <c r="V652" s="705">
        <v>31402</v>
      </c>
      <c r="W652" s="705">
        <f t="shared" si="42"/>
        <v>31403</v>
      </c>
      <c r="X652" s="705">
        <f t="shared" si="43"/>
        <v>44324</v>
      </c>
      <c r="Y652" s="705"/>
      <c r="AI652" s="429"/>
    </row>
    <row r="653" spans="2:35">
      <c r="B653" t="s">
        <v>538</v>
      </c>
      <c r="C653" t="s">
        <v>118</v>
      </c>
      <c r="D653" t="s">
        <v>671</v>
      </c>
      <c r="E653" t="s">
        <v>671</v>
      </c>
      <c r="F653">
        <v>4</v>
      </c>
      <c r="G653" s="705">
        <v>515</v>
      </c>
      <c r="H653" s="705">
        <v>1084</v>
      </c>
      <c r="I653" s="705">
        <v>98394</v>
      </c>
      <c r="J653" s="705">
        <v>89449</v>
      </c>
      <c r="K653">
        <v>63</v>
      </c>
      <c r="L653" s="705">
        <v>13710</v>
      </c>
      <c r="M653" s="705">
        <v>9355</v>
      </c>
      <c r="N653" s="705">
        <v>12145</v>
      </c>
      <c r="O653" s="705">
        <v>4498</v>
      </c>
      <c r="P653" s="705">
        <v>2025</v>
      </c>
      <c r="Q653" s="705">
        <v>750</v>
      </c>
      <c r="R653" s="705">
        <v>30741</v>
      </c>
      <c r="S653" s="705">
        <v>27947</v>
      </c>
      <c r="T653" s="705">
        <v>3211</v>
      </c>
      <c r="U653" s="705">
        <v>1189</v>
      </c>
      <c r="V653" s="705">
        <v>133189</v>
      </c>
      <c r="W653" s="705">
        <f t="shared" si="42"/>
        <v>133188</v>
      </c>
      <c r="X653" s="705">
        <f t="shared" si="43"/>
        <v>160226</v>
      </c>
      <c r="Y653" s="705"/>
      <c r="AI653" s="429"/>
    </row>
    <row r="654" spans="2:35">
      <c r="B654" t="s">
        <v>538</v>
      </c>
      <c r="C654" t="s">
        <v>118</v>
      </c>
      <c r="D654" t="s">
        <v>665</v>
      </c>
      <c r="E654" t="s">
        <v>665</v>
      </c>
      <c r="F654">
        <v>77</v>
      </c>
      <c r="G654" s="705">
        <v>9761</v>
      </c>
      <c r="H654" s="705">
        <v>21065</v>
      </c>
      <c r="I654" s="705">
        <v>1729512</v>
      </c>
      <c r="J654" s="705">
        <v>1572283</v>
      </c>
      <c r="K654">
        <v>64</v>
      </c>
      <c r="L654" s="705">
        <v>211832</v>
      </c>
      <c r="M654" s="705">
        <v>185870</v>
      </c>
      <c r="N654" s="705">
        <v>213515</v>
      </c>
      <c r="O654" s="705">
        <v>79080</v>
      </c>
      <c r="P654" s="705">
        <v>33467</v>
      </c>
      <c r="Q654" s="705">
        <v>12395</v>
      </c>
      <c r="R654" s="705">
        <v>399036</v>
      </c>
      <c r="S654" s="705">
        <v>362760</v>
      </c>
      <c r="T654" s="705">
        <v>194602</v>
      </c>
      <c r="U654" s="705">
        <v>72075</v>
      </c>
      <c r="V654" s="705">
        <v>2284462</v>
      </c>
      <c r="W654" s="705">
        <f t="shared" si="42"/>
        <v>2284463</v>
      </c>
      <c r="X654" s="705">
        <f t="shared" si="43"/>
        <v>2781964</v>
      </c>
      <c r="Y654" s="705"/>
      <c r="AI654" s="429"/>
    </row>
    <row r="655" spans="2:35">
      <c r="B655" t="s">
        <v>538</v>
      </c>
      <c r="C655" t="s">
        <v>118</v>
      </c>
      <c r="D655" t="s">
        <v>673</v>
      </c>
      <c r="E655" t="s">
        <v>673</v>
      </c>
      <c r="F655">
        <v>4</v>
      </c>
      <c r="G655" s="705">
        <v>633</v>
      </c>
      <c r="H655" s="705">
        <v>978</v>
      </c>
      <c r="I655" s="705">
        <v>98101</v>
      </c>
      <c r="J655" s="705">
        <v>89183</v>
      </c>
      <c r="K655">
        <v>62</v>
      </c>
      <c r="L655" s="705">
        <v>13012</v>
      </c>
      <c r="M655" s="705">
        <v>11829</v>
      </c>
      <c r="N655" s="705">
        <v>11806</v>
      </c>
      <c r="O655" s="705">
        <v>4373</v>
      </c>
      <c r="P655" s="705">
        <v>3267</v>
      </c>
      <c r="Q655" s="705">
        <v>1210</v>
      </c>
      <c r="R655" s="705">
        <v>21215</v>
      </c>
      <c r="S655" s="705">
        <v>19286</v>
      </c>
      <c r="T655" s="705">
        <v>7024</v>
      </c>
      <c r="U655" s="705">
        <v>2601</v>
      </c>
      <c r="V655" s="705">
        <v>128482</v>
      </c>
      <c r="W655" s="705">
        <f t="shared" si="42"/>
        <v>128482</v>
      </c>
      <c r="X655" s="705">
        <f t="shared" si="43"/>
        <v>154425</v>
      </c>
      <c r="Y655" s="705"/>
      <c r="AI655" s="429"/>
    </row>
    <row r="656" spans="2:35">
      <c r="B656" t="s">
        <v>538</v>
      </c>
      <c r="C656" t="s">
        <v>118</v>
      </c>
      <c r="D656" t="s">
        <v>585</v>
      </c>
      <c r="E656" t="s">
        <v>585</v>
      </c>
      <c r="F656">
        <v>3</v>
      </c>
      <c r="G656" s="705">
        <v>376</v>
      </c>
      <c r="H656" s="705">
        <v>871</v>
      </c>
      <c r="I656" s="705">
        <v>66006</v>
      </c>
      <c r="J656" s="705">
        <v>60005</v>
      </c>
      <c r="K656">
        <v>69</v>
      </c>
      <c r="L656" s="705">
        <v>11725</v>
      </c>
      <c r="M656" s="705">
        <v>10659</v>
      </c>
      <c r="N656" s="705">
        <v>7184</v>
      </c>
      <c r="O656" s="705">
        <v>2661</v>
      </c>
      <c r="P656" s="705">
        <v>1404</v>
      </c>
      <c r="Q656" s="705">
        <v>520</v>
      </c>
      <c r="R656" s="705">
        <v>15889</v>
      </c>
      <c r="S656" s="705">
        <v>14445</v>
      </c>
      <c r="T656" s="705">
        <v>6547</v>
      </c>
      <c r="U656" s="705">
        <v>2425</v>
      </c>
      <c r="V656" s="705">
        <v>90714</v>
      </c>
      <c r="W656" s="705">
        <f t="shared" si="42"/>
        <v>90715</v>
      </c>
      <c r="X656" s="705">
        <f t="shared" si="43"/>
        <v>108755</v>
      </c>
      <c r="Y656" s="705"/>
      <c r="AI656" s="429"/>
    </row>
    <row r="657" spans="2:35">
      <c r="B657" t="s">
        <v>538</v>
      </c>
      <c r="C657" t="s">
        <v>120</v>
      </c>
      <c r="F657">
        <v>2</v>
      </c>
      <c r="G657" s="705">
        <v>140</v>
      </c>
      <c r="H657" s="705">
        <v>645</v>
      </c>
      <c r="I657" s="705"/>
      <c r="J657" s="705">
        <v>0</v>
      </c>
      <c r="L657" s="705"/>
      <c r="M657" s="705">
        <v>0</v>
      </c>
      <c r="N657" s="705">
        <v>3333</v>
      </c>
      <c r="O657" s="705">
        <v>1235</v>
      </c>
      <c r="P657" s="705">
        <v>1242</v>
      </c>
      <c r="Q657" s="705">
        <v>460</v>
      </c>
      <c r="R657" s="705"/>
      <c r="S657" s="705">
        <v>0</v>
      </c>
      <c r="T657" s="705">
        <v>0</v>
      </c>
      <c r="U657" s="705">
        <v>0</v>
      </c>
      <c r="V657" s="705">
        <v>1695</v>
      </c>
      <c r="W657" s="705">
        <f t="shared" si="42"/>
        <v>1695</v>
      </c>
      <c r="X657" s="705">
        <f t="shared" si="43"/>
        <v>4575</v>
      </c>
      <c r="Y657" s="705"/>
      <c r="AI657" s="429"/>
    </row>
    <row r="658" spans="2:35">
      <c r="B658" t="s">
        <v>538</v>
      </c>
      <c r="C658" t="s">
        <v>120</v>
      </c>
      <c r="D658" t="s">
        <v>664</v>
      </c>
      <c r="E658" t="s">
        <v>664</v>
      </c>
      <c r="F658">
        <v>1</v>
      </c>
      <c r="G658" s="705">
        <v>60</v>
      </c>
      <c r="H658" s="705">
        <v>368</v>
      </c>
      <c r="I658" s="705">
        <v>15560</v>
      </c>
      <c r="J658" s="705">
        <v>14145</v>
      </c>
      <c r="K658">
        <v>93</v>
      </c>
      <c r="L658" s="705">
        <v>3756</v>
      </c>
      <c r="M658" s="705">
        <v>1391</v>
      </c>
      <c r="N658" s="705">
        <v>733</v>
      </c>
      <c r="O658" s="705">
        <v>272</v>
      </c>
      <c r="P658" s="705">
        <v>351</v>
      </c>
      <c r="Q658" s="705">
        <v>130</v>
      </c>
      <c r="R658" s="705">
        <v>1715</v>
      </c>
      <c r="S658" s="705">
        <v>1559</v>
      </c>
      <c r="T658" s="705">
        <v>0</v>
      </c>
      <c r="U658" s="705">
        <v>0</v>
      </c>
      <c r="V658" s="705">
        <v>17497</v>
      </c>
      <c r="W658" s="705">
        <f t="shared" si="42"/>
        <v>17497</v>
      </c>
      <c r="X658" s="705">
        <f t="shared" si="43"/>
        <v>22115</v>
      </c>
      <c r="Y658" s="705"/>
      <c r="AI658" s="429"/>
    </row>
    <row r="659" spans="2:35">
      <c r="B659" t="s">
        <v>538</v>
      </c>
      <c r="C659" t="s">
        <v>120</v>
      </c>
      <c r="D659" t="s">
        <v>664</v>
      </c>
      <c r="E659" t="s">
        <v>583</v>
      </c>
      <c r="F659">
        <v>1</v>
      </c>
      <c r="G659" s="705">
        <v>149</v>
      </c>
      <c r="H659" s="705">
        <v>349</v>
      </c>
      <c r="I659" s="705">
        <v>31341</v>
      </c>
      <c r="J659" s="705">
        <v>28492</v>
      </c>
      <c r="K659">
        <v>85</v>
      </c>
      <c r="L659" s="705">
        <v>9890</v>
      </c>
      <c r="M659" s="705">
        <v>8991</v>
      </c>
      <c r="N659" s="705">
        <v>3222</v>
      </c>
      <c r="O659" s="705">
        <v>1193</v>
      </c>
      <c r="P659" s="705">
        <v>621</v>
      </c>
      <c r="Q659" s="705">
        <v>230</v>
      </c>
      <c r="R659" s="705">
        <v>3981</v>
      </c>
      <c r="S659" s="705">
        <v>3619</v>
      </c>
      <c r="T659" s="705">
        <v>3013</v>
      </c>
      <c r="U659" s="705">
        <v>1116</v>
      </c>
      <c r="V659" s="705">
        <v>43641</v>
      </c>
      <c r="W659" s="705">
        <f t="shared" si="42"/>
        <v>43641</v>
      </c>
      <c r="X659" s="705">
        <f t="shared" si="43"/>
        <v>52068</v>
      </c>
      <c r="Y659" s="705"/>
      <c r="AI659" s="429"/>
    </row>
    <row r="660" spans="2:35">
      <c r="B660" t="s">
        <v>538</v>
      </c>
      <c r="C660" t="s">
        <v>120</v>
      </c>
      <c r="D660" t="s">
        <v>582</v>
      </c>
      <c r="E660" t="s">
        <v>582</v>
      </c>
      <c r="F660">
        <v>23</v>
      </c>
      <c r="G660" s="705">
        <v>2947</v>
      </c>
      <c r="H660" s="705">
        <v>7766</v>
      </c>
      <c r="I660" s="705">
        <v>631636</v>
      </c>
      <c r="J660" s="705">
        <v>574214</v>
      </c>
      <c r="K660">
        <v>74</v>
      </c>
      <c r="L660" s="705">
        <v>154330</v>
      </c>
      <c r="M660" s="705">
        <v>137212</v>
      </c>
      <c r="N660" s="705">
        <v>64417</v>
      </c>
      <c r="O660" s="705">
        <v>23858</v>
      </c>
      <c r="P660" s="705">
        <v>10679</v>
      </c>
      <c r="Q660" s="705">
        <v>3955</v>
      </c>
      <c r="R660" s="705">
        <v>126740</v>
      </c>
      <c r="S660" s="705">
        <v>115218</v>
      </c>
      <c r="T660" s="705">
        <v>32057</v>
      </c>
      <c r="U660" s="705">
        <v>11873</v>
      </c>
      <c r="V660" s="705">
        <v>866330</v>
      </c>
      <c r="W660" s="705">
        <f t="shared" si="42"/>
        <v>866330</v>
      </c>
      <c r="X660" s="705">
        <f t="shared" si="43"/>
        <v>1019859</v>
      </c>
      <c r="Y660" s="705"/>
      <c r="AI660" s="429"/>
    </row>
    <row r="661" spans="2:35">
      <c r="B661" t="s">
        <v>538</v>
      </c>
      <c r="C661" t="s">
        <v>120</v>
      </c>
      <c r="D661" t="s">
        <v>228</v>
      </c>
      <c r="E661" t="s">
        <v>228</v>
      </c>
      <c r="F661">
        <v>44</v>
      </c>
      <c r="G661" s="705">
        <v>6180</v>
      </c>
      <c r="H661" s="705">
        <v>14691</v>
      </c>
      <c r="I661" s="705">
        <v>1364358</v>
      </c>
      <c r="J661" s="705">
        <v>505318</v>
      </c>
      <c r="K661">
        <v>100</v>
      </c>
      <c r="L661" s="705">
        <v>280269</v>
      </c>
      <c r="M661" s="705">
        <v>254790</v>
      </c>
      <c r="N661" s="705">
        <v>148929</v>
      </c>
      <c r="O661" s="705">
        <v>55159</v>
      </c>
      <c r="P661" s="705">
        <v>351</v>
      </c>
      <c r="Q661" s="705">
        <v>130</v>
      </c>
      <c r="R661" s="705">
        <v>371314</v>
      </c>
      <c r="S661" s="705">
        <v>137524</v>
      </c>
      <c r="T661" s="705">
        <v>0</v>
      </c>
      <c r="U661" s="705">
        <v>0</v>
      </c>
      <c r="V661" s="705">
        <v>952920</v>
      </c>
      <c r="W661" s="705">
        <f t="shared" si="42"/>
        <v>952921</v>
      </c>
      <c r="X661" s="705">
        <f t="shared" si="43"/>
        <v>2165221</v>
      </c>
      <c r="Y661" s="705"/>
      <c r="AI661" s="429"/>
    </row>
    <row r="662" spans="2:35">
      <c r="B662" t="s">
        <v>538</v>
      </c>
      <c r="C662" t="s">
        <v>120</v>
      </c>
      <c r="D662" t="s">
        <v>228</v>
      </c>
      <c r="E662" t="s">
        <v>666</v>
      </c>
      <c r="F662" s="705">
        <v>1</v>
      </c>
      <c r="G662" s="705">
        <v>66</v>
      </c>
      <c r="H662" s="705">
        <v>373</v>
      </c>
      <c r="I662" s="705">
        <v>14301</v>
      </c>
      <c r="J662" s="705">
        <v>5297</v>
      </c>
      <c r="K662">
        <v>100</v>
      </c>
      <c r="L662" s="705">
        <v>1439</v>
      </c>
      <c r="M662" s="705">
        <v>1308</v>
      </c>
      <c r="N662" s="705">
        <v>1440</v>
      </c>
      <c r="O662" s="705">
        <v>533</v>
      </c>
      <c r="P662" s="705">
        <v>0</v>
      </c>
      <c r="Q662" s="705">
        <v>0</v>
      </c>
      <c r="R662" s="705">
        <v>5637</v>
      </c>
      <c r="S662" s="705">
        <v>5124</v>
      </c>
      <c r="T662" s="705">
        <v>1980</v>
      </c>
      <c r="U662" s="705">
        <v>733</v>
      </c>
      <c r="V662" s="705">
        <v>12995</v>
      </c>
      <c r="W662" s="705">
        <f t="shared" si="42"/>
        <v>12995</v>
      </c>
      <c r="X662" s="705">
        <f t="shared" si="43"/>
        <v>24797</v>
      </c>
      <c r="Y662" s="705"/>
      <c r="AI662" s="429"/>
    </row>
    <row r="663" spans="2:35">
      <c r="B663" t="s">
        <v>538</v>
      </c>
      <c r="C663" t="s">
        <v>120</v>
      </c>
      <c r="D663" t="s">
        <v>228</v>
      </c>
      <c r="E663" t="s">
        <v>665</v>
      </c>
      <c r="F663">
        <v>3</v>
      </c>
      <c r="G663">
        <v>239</v>
      </c>
      <c r="H663" s="705">
        <v>1056</v>
      </c>
      <c r="I663" s="705">
        <v>53241</v>
      </c>
      <c r="J663" s="705">
        <v>19719</v>
      </c>
      <c r="K663">
        <v>100</v>
      </c>
      <c r="L663" s="705">
        <v>4336</v>
      </c>
      <c r="M663" s="705">
        <v>3942</v>
      </c>
      <c r="N663" s="705">
        <v>4415</v>
      </c>
      <c r="O663" s="705">
        <v>1635</v>
      </c>
      <c r="P663" s="705">
        <v>0</v>
      </c>
      <c r="Q663">
        <v>0</v>
      </c>
      <c r="R663" s="705">
        <v>17735</v>
      </c>
      <c r="S663" s="705">
        <v>16123</v>
      </c>
      <c r="T663" s="705">
        <v>4520</v>
      </c>
      <c r="U663" s="705">
        <v>1674</v>
      </c>
      <c r="V663" s="705">
        <v>43093</v>
      </c>
      <c r="W663" s="705">
        <f t="shared" si="42"/>
        <v>43093</v>
      </c>
      <c r="X663" s="705">
        <f t="shared" si="43"/>
        <v>84247</v>
      </c>
      <c r="Y663" s="705"/>
      <c r="AI663" s="429"/>
    </row>
    <row r="664" spans="2:35">
      <c r="B664" t="s">
        <v>538</v>
      </c>
      <c r="C664" t="s">
        <v>120</v>
      </c>
      <c r="D664" t="s">
        <v>583</v>
      </c>
      <c r="E664" t="s">
        <v>228</v>
      </c>
      <c r="F664">
        <v>6</v>
      </c>
      <c r="G664" s="705">
        <v>609</v>
      </c>
      <c r="H664" s="705">
        <v>2031</v>
      </c>
      <c r="I664" s="705">
        <v>111488</v>
      </c>
      <c r="J664" s="705">
        <v>101352</v>
      </c>
      <c r="K664">
        <v>80</v>
      </c>
      <c r="L664" s="705">
        <v>26437</v>
      </c>
      <c r="M664" s="705">
        <v>24034</v>
      </c>
      <c r="N664" s="705">
        <v>14328</v>
      </c>
      <c r="O664" s="705">
        <v>5307</v>
      </c>
      <c r="P664" s="705">
        <v>3726</v>
      </c>
      <c r="Q664" s="705">
        <v>1380</v>
      </c>
      <c r="R664" s="705">
        <v>62148</v>
      </c>
      <c r="S664" s="705">
        <v>23018</v>
      </c>
      <c r="T664" s="705">
        <v>0</v>
      </c>
      <c r="U664" s="705">
        <v>0</v>
      </c>
      <c r="V664" s="705">
        <v>155090</v>
      </c>
      <c r="W664" s="705">
        <f t="shared" si="42"/>
        <v>155091</v>
      </c>
      <c r="X664" s="705">
        <f t="shared" si="43"/>
        <v>218127</v>
      </c>
      <c r="Y664" s="705"/>
      <c r="AI664" s="429"/>
    </row>
    <row r="665" spans="2:35">
      <c r="B665" t="s">
        <v>538</v>
      </c>
      <c r="C665" t="s">
        <v>120</v>
      </c>
      <c r="D665" t="s">
        <v>583</v>
      </c>
      <c r="E665" t="s">
        <v>583</v>
      </c>
      <c r="F665" s="705">
        <v>1297</v>
      </c>
      <c r="G665" s="705">
        <v>147704</v>
      </c>
      <c r="H665" s="705">
        <v>436937</v>
      </c>
      <c r="I665" s="705">
        <v>31596098</v>
      </c>
      <c r="J665" s="705">
        <v>28723725</v>
      </c>
      <c r="K665">
        <v>76</v>
      </c>
      <c r="L665" s="705">
        <v>5970997</v>
      </c>
      <c r="M665" s="705">
        <v>5255864</v>
      </c>
      <c r="N665" s="705">
        <v>3148984</v>
      </c>
      <c r="O665" s="705">
        <v>1166291</v>
      </c>
      <c r="P665" s="705">
        <v>861793</v>
      </c>
      <c r="Q665" s="705">
        <v>319183</v>
      </c>
      <c r="R665" s="705">
        <v>6711549</v>
      </c>
      <c r="S665" s="705">
        <v>6101408</v>
      </c>
      <c r="T665" s="705">
        <v>2240359</v>
      </c>
      <c r="U665" s="705">
        <v>829763</v>
      </c>
      <c r="V665" s="705">
        <v>42396233</v>
      </c>
      <c r="W665" s="705">
        <f t="shared" si="42"/>
        <v>42396234</v>
      </c>
      <c r="X665" s="705">
        <f t="shared" si="43"/>
        <v>50529780</v>
      </c>
      <c r="Y665" s="705"/>
      <c r="AI665" s="429"/>
    </row>
    <row r="666" spans="2:35">
      <c r="B666" t="s">
        <v>538</v>
      </c>
      <c r="C666" t="s">
        <v>120</v>
      </c>
      <c r="D666" t="s">
        <v>583</v>
      </c>
      <c r="E666" t="s">
        <v>666</v>
      </c>
      <c r="F666">
        <v>3</v>
      </c>
      <c r="G666" s="705">
        <v>326</v>
      </c>
      <c r="H666" s="705">
        <v>1016</v>
      </c>
      <c r="I666" s="705">
        <v>72170</v>
      </c>
      <c r="J666" s="705">
        <v>65609</v>
      </c>
      <c r="K666">
        <v>73</v>
      </c>
      <c r="L666" s="705">
        <v>11871</v>
      </c>
      <c r="M666" s="705">
        <v>10791</v>
      </c>
      <c r="N666" s="705">
        <v>7121</v>
      </c>
      <c r="O666" s="705">
        <v>2637</v>
      </c>
      <c r="P666" s="705">
        <v>1863</v>
      </c>
      <c r="Q666" s="705">
        <v>690</v>
      </c>
      <c r="R666" s="705">
        <v>13746</v>
      </c>
      <c r="S666" s="705">
        <v>12497</v>
      </c>
      <c r="T666" s="705">
        <v>3696</v>
      </c>
      <c r="U666" s="705">
        <v>1369</v>
      </c>
      <c r="V666" s="705">
        <v>93593</v>
      </c>
      <c r="W666" s="705">
        <f t="shared" si="42"/>
        <v>93593</v>
      </c>
      <c r="X666" s="705">
        <f t="shared" si="43"/>
        <v>110467</v>
      </c>
      <c r="Y666" s="705"/>
      <c r="AI666" s="429"/>
    </row>
    <row r="667" spans="2:35">
      <c r="B667" t="s">
        <v>538</v>
      </c>
      <c r="C667" t="s">
        <v>120</v>
      </c>
      <c r="D667" t="s">
        <v>583</v>
      </c>
      <c r="E667" t="s">
        <v>665</v>
      </c>
      <c r="F667">
        <v>2</v>
      </c>
      <c r="G667">
        <v>219</v>
      </c>
      <c r="H667" s="705">
        <v>722</v>
      </c>
      <c r="I667" s="705">
        <v>48441</v>
      </c>
      <c r="J667" s="705">
        <v>44037</v>
      </c>
      <c r="K667">
        <v>77</v>
      </c>
      <c r="L667" s="705">
        <v>8995</v>
      </c>
      <c r="M667" s="705">
        <v>8177</v>
      </c>
      <c r="N667" s="705">
        <v>4785</v>
      </c>
      <c r="O667" s="705">
        <v>1772</v>
      </c>
      <c r="P667" s="705">
        <v>1242</v>
      </c>
      <c r="Q667" s="705">
        <v>460</v>
      </c>
      <c r="R667" s="705">
        <v>13923</v>
      </c>
      <c r="S667" s="705">
        <v>12657</v>
      </c>
      <c r="T667" s="705">
        <v>2244</v>
      </c>
      <c r="U667" s="705">
        <v>831</v>
      </c>
      <c r="V667" s="705">
        <v>67934</v>
      </c>
      <c r="W667" s="705">
        <f t="shared" si="42"/>
        <v>67934</v>
      </c>
      <c r="X667" s="705">
        <f t="shared" si="43"/>
        <v>79630</v>
      </c>
      <c r="Y667" s="705"/>
      <c r="AI667" s="429"/>
    </row>
    <row r="668" spans="2:35">
      <c r="B668" t="s">
        <v>538</v>
      </c>
      <c r="C668" t="s">
        <v>120</v>
      </c>
      <c r="D668" t="s">
        <v>666</v>
      </c>
      <c r="E668" t="s">
        <v>228</v>
      </c>
      <c r="F668">
        <v>2</v>
      </c>
      <c r="G668" s="705">
        <v>277</v>
      </c>
      <c r="H668" s="705">
        <v>696</v>
      </c>
      <c r="I668" s="705">
        <v>65630</v>
      </c>
      <c r="J668" s="705">
        <v>59663</v>
      </c>
      <c r="K668">
        <v>30</v>
      </c>
      <c r="L668" s="705">
        <v>4107</v>
      </c>
      <c r="M668" s="705">
        <v>3733</v>
      </c>
      <c r="N668" s="705">
        <v>6754</v>
      </c>
      <c r="O668" s="705">
        <v>2501</v>
      </c>
      <c r="P668" s="705">
        <v>0</v>
      </c>
      <c r="Q668" s="705">
        <v>0</v>
      </c>
      <c r="R668" s="705">
        <v>18220</v>
      </c>
      <c r="S668" s="705">
        <v>6748</v>
      </c>
      <c r="T668" s="705">
        <v>2584</v>
      </c>
      <c r="U668" s="705">
        <v>957</v>
      </c>
      <c r="V668" s="705">
        <v>73603</v>
      </c>
      <c r="W668" s="705">
        <f t="shared" si="42"/>
        <v>73602</v>
      </c>
      <c r="X668" s="705">
        <f t="shared" si="43"/>
        <v>97295</v>
      </c>
      <c r="Y668" s="705"/>
      <c r="AI668" s="429"/>
    </row>
    <row r="669" spans="2:35">
      <c r="B669" t="s">
        <v>538</v>
      </c>
      <c r="C669" t="s">
        <v>120</v>
      </c>
      <c r="D669" t="s">
        <v>666</v>
      </c>
      <c r="E669" t="s">
        <v>666</v>
      </c>
      <c r="F669">
        <v>8</v>
      </c>
      <c r="G669" s="705">
        <v>665</v>
      </c>
      <c r="H669" s="705">
        <v>2698</v>
      </c>
      <c r="I669" s="705">
        <v>138734</v>
      </c>
      <c r="J669" s="705">
        <v>126122</v>
      </c>
      <c r="K669">
        <v>58</v>
      </c>
      <c r="L669" s="705">
        <v>13478</v>
      </c>
      <c r="M669" s="705">
        <v>12252</v>
      </c>
      <c r="N669" s="705">
        <v>13500</v>
      </c>
      <c r="O669" s="705">
        <v>5000</v>
      </c>
      <c r="P669" s="705">
        <v>3078</v>
      </c>
      <c r="Q669" s="705">
        <v>1140</v>
      </c>
      <c r="R669" s="705">
        <v>36462</v>
      </c>
      <c r="S669" s="705">
        <v>33147</v>
      </c>
      <c r="T669" s="705">
        <v>19022</v>
      </c>
      <c r="U669" s="705">
        <v>7045</v>
      </c>
      <c r="V669" s="705">
        <v>184707</v>
      </c>
      <c r="W669" s="705">
        <f t="shared" si="42"/>
        <v>184706</v>
      </c>
      <c r="X669" s="705">
        <f t="shared" si="43"/>
        <v>224274</v>
      </c>
      <c r="Y669" s="705"/>
      <c r="AI669" s="429"/>
    </row>
    <row r="670" spans="2:35">
      <c r="B670" t="s">
        <v>538</v>
      </c>
      <c r="C670" t="s">
        <v>120</v>
      </c>
      <c r="D670" t="s">
        <v>669</v>
      </c>
      <c r="E670" t="s">
        <v>669</v>
      </c>
      <c r="F670">
        <v>4</v>
      </c>
      <c r="G670" s="705">
        <v>501</v>
      </c>
      <c r="H670" s="705">
        <v>1281</v>
      </c>
      <c r="I670" s="705">
        <v>102499</v>
      </c>
      <c r="J670" s="705">
        <v>85416</v>
      </c>
      <c r="K670">
        <v>59</v>
      </c>
      <c r="L670" s="705">
        <v>9391</v>
      </c>
      <c r="M670" s="705">
        <v>7177</v>
      </c>
      <c r="N670" s="705">
        <v>8540</v>
      </c>
      <c r="O670" s="705">
        <v>3163</v>
      </c>
      <c r="P670" s="705">
        <v>1944</v>
      </c>
      <c r="Q670" s="705">
        <v>720</v>
      </c>
      <c r="R670" s="705">
        <v>24881</v>
      </c>
      <c r="S670" s="705">
        <v>20734</v>
      </c>
      <c r="T670" s="705">
        <v>11648</v>
      </c>
      <c r="U670" s="705">
        <v>4314</v>
      </c>
      <c r="V670" s="705">
        <v>121524</v>
      </c>
      <c r="W670" s="705">
        <f t="shared" si="42"/>
        <v>121524</v>
      </c>
      <c r="X670" s="705">
        <f t="shared" si="43"/>
        <v>158903</v>
      </c>
      <c r="Y670" s="705"/>
      <c r="AI670" s="429"/>
    </row>
    <row r="671" spans="2:35">
      <c r="B671" t="s">
        <v>538</v>
      </c>
      <c r="C671" t="s">
        <v>120</v>
      </c>
      <c r="D671" t="s">
        <v>671</v>
      </c>
      <c r="E671" t="s">
        <v>671</v>
      </c>
      <c r="F671">
        <v>3</v>
      </c>
      <c r="G671" s="705">
        <v>295</v>
      </c>
      <c r="H671" s="705">
        <v>1028</v>
      </c>
      <c r="I671" s="705">
        <v>62714</v>
      </c>
      <c r="J671" s="705">
        <v>57013</v>
      </c>
      <c r="K671">
        <v>58</v>
      </c>
      <c r="L671" s="705">
        <v>8087</v>
      </c>
      <c r="M671" s="705">
        <v>7352</v>
      </c>
      <c r="N671" s="705">
        <v>5959</v>
      </c>
      <c r="O671" s="705">
        <v>2207</v>
      </c>
      <c r="P671" s="705">
        <v>1053</v>
      </c>
      <c r="Q671" s="705">
        <v>390</v>
      </c>
      <c r="R671" s="705">
        <v>17749</v>
      </c>
      <c r="S671" s="705">
        <v>16135</v>
      </c>
      <c r="T671" s="705">
        <v>6219</v>
      </c>
      <c r="U671" s="705">
        <v>2303</v>
      </c>
      <c r="V671" s="705">
        <v>85401</v>
      </c>
      <c r="W671" s="705">
        <f t="shared" si="42"/>
        <v>85400</v>
      </c>
      <c r="X671" s="705">
        <f t="shared" si="43"/>
        <v>101781</v>
      </c>
      <c r="Y671" s="705"/>
      <c r="AI671" s="429"/>
    </row>
    <row r="672" spans="2:35">
      <c r="B672" t="s">
        <v>538</v>
      </c>
      <c r="C672" t="s">
        <v>120</v>
      </c>
      <c r="D672" t="s">
        <v>665</v>
      </c>
      <c r="E672" t="s">
        <v>228</v>
      </c>
      <c r="F672">
        <v>2</v>
      </c>
      <c r="G672">
        <v>148</v>
      </c>
      <c r="H672" s="705">
        <v>674</v>
      </c>
      <c r="I672" s="705">
        <v>30682</v>
      </c>
      <c r="J672" s="705">
        <v>27892</v>
      </c>
      <c r="K672">
        <v>58</v>
      </c>
      <c r="L672" s="705">
        <v>7332</v>
      </c>
      <c r="M672" s="705">
        <v>2716</v>
      </c>
      <c r="N672" s="705">
        <v>2542</v>
      </c>
      <c r="O672" s="705">
        <v>942</v>
      </c>
      <c r="P672" s="705">
        <v>0</v>
      </c>
      <c r="Q672" s="705">
        <v>0</v>
      </c>
      <c r="R672" s="705">
        <v>9173</v>
      </c>
      <c r="S672" s="705">
        <v>3397</v>
      </c>
      <c r="T672" s="705">
        <v>0</v>
      </c>
      <c r="U672" s="705">
        <v>0</v>
      </c>
      <c r="V672" s="705">
        <v>34947</v>
      </c>
      <c r="W672" s="705">
        <f t="shared" si="42"/>
        <v>34947</v>
      </c>
      <c r="X672" s="705">
        <f t="shared" si="43"/>
        <v>49729</v>
      </c>
      <c r="Y672" s="705"/>
      <c r="AI672" s="429"/>
    </row>
    <row r="673" spans="2:35">
      <c r="B673" t="s">
        <v>538</v>
      </c>
      <c r="C673" t="s">
        <v>120</v>
      </c>
      <c r="D673" t="s">
        <v>665</v>
      </c>
      <c r="E673" t="s">
        <v>665</v>
      </c>
      <c r="F673">
        <v>119</v>
      </c>
      <c r="G673" s="705">
        <v>11885</v>
      </c>
      <c r="H673" s="705">
        <v>41326</v>
      </c>
      <c r="I673" s="705">
        <v>2593863</v>
      </c>
      <c r="J673" s="705">
        <v>2358057</v>
      </c>
      <c r="K673">
        <v>59</v>
      </c>
      <c r="L673" s="705">
        <v>329177</v>
      </c>
      <c r="M673" s="705">
        <v>292329</v>
      </c>
      <c r="N673" s="705">
        <v>245878</v>
      </c>
      <c r="O673" s="705">
        <v>91066</v>
      </c>
      <c r="P673" s="705">
        <v>48978</v>
      </c>
      <c r="Q673" s="705">
        <v>18140</v>
      </c>
      <c r="R673" s="705">
        <v>638019</v>
      </c>
      <c r="S673" s="705">
        <v>580017</v>
      </c>
      <c r="T673" s="705">
        <v>281896</v>
      </c>
      <c r="U673" s="705">
        <v>104406</v>
      </c>
      <c r="V673" s="705">
        <v>3444015</v>
      </c>
      <c r="W673" s="705">
        <f t="shared" si="42"/>
        <v>3444015</v>
      </c>
      <c r="X673" s="705">
        <f t="shared" si="43"/>
        <v>4137811</v>
      </c>
      <c r="Y673" s="705"/>
      <c r="AI673" s="429"/>
    </row>
    <row r="674" spans="2:35">
      <c r="B674" t="s">
        <v>538</v>
      </c>
      <c r="C674" t="s">
        <v>120</v>
      </c>
      <c r="D674" t="s">
        <v>673</v>
      </c>
      <c r="E674" t="s">
        <v>673</v>
      </c>
      <c r="F674">
        <v>1</v>
      </c>
      <c r="G674" s="705">
        <v>116</v>
      </c>
      <c r="H674" s="705">
        <v>311</v>
      </c>
      <c r="I674" s="705">
        <v>22232</v>
      </c>
      <c r="J674" s="705">
        <v>20211</v>
      </c>
      <c r="K674">
        <v>65</v>
      </c>
      <c r="L674" s="705">
        <v>5352</v>
      </c>
      <c r="M674" s="705">
        <v>4866</v>
      </c>
      <c r="N674" s="705">
        <v>1410</v>
      </c>
      <c r="O674" s="705">
        <v>522</v>
      </c>
      <c r="P674" s="705">
        <v>351</v>
      </c>
      <c r="Q674" s="705">
        <v>130</v>
      </c>
      <c r="R674" s="705">
        <v>4030</v>
      </c>
      <c r="S674" s="705">
        <v>3664</v>
      </c>
      <c r="T674" s="705">
        <v>2623</v>
      </c>
      <c r="U674">
        <v>972</v>
      </c>
      <c r="V674" s="705">
        <v>30364</v>
      </c>
      <c r="W674" s="705">
        <f t="shared" si="42"/>
        <v>30365</v>
      </c>
      <c r="X674" s="705">
        <f t="shared" si="43"/>
        <v>35998</v>
      </c>
      <c r="Y674" s="705"/>
      <c r="AI674" s="429"/>
    </row>
    <row r="675" spans="2:35">
      <c r="B675" t="s">
        <v>538</v>
      </c>
      <c r="C675" t="s">
        <v>120</v>
      </c>
      <c r="D675" t="s">
        <v>585</v>
      </c>
      <c r="E675" t="s">
        <v>585</v>
      </c>
      <c r="F675">
        <v>1</v>
      </c>
      <c r="G675" s="705">
        <v>188</v>
      </c>
      <c r="H675" s="705">
        <v>337</v>
      </c>
      <c r="I675" s="705">
        <v>47290</v>
      </c>
      <c r="J675" s="705">
        <v>42991</v>
      </c>
      <c r="K675">
        <v>65</v>
      </c>
      <c r="L675" s="705">
        <v>6831</v>
      </c>
      <c r="M675" s="705">
        <v>6210</v>
      </c>
      <c r="N675" s="705">
        <v>3898</v>
      </c>
      <c r="O675" s="705">
        <v>1444</v>
      </c>
      <c r="P675" s="705">
        <v>621</v>
      </c>
      <c r="Q675" s="705">
        <v>230</v>
      </c>
      <c r="R675" s="705">
        <v>3546</v>
      </c>
      <c r="S675" s="705">
        <v>3224</v>
      </c>
      <c r="T675" s="705">
        <v>1152</v>
      </c>
      <c r="U675" s="705">
        <v>427</v>
      </c>
      <c r="V675" s="705">
        <v>54525</v>
      </c>
      <c r="W675" s="705">
        <f t="shared" si="42"/>
        <v>54526</v>
      </c>
      <c r="X675" s="705">
        <f t="shared" si="43"/>
        <v>63338</v>
      </c>
      <c r="Y675" s="705"/>
      <c r="AI675" s="429"/>
    </row>
    <row r="676" spans="2:35">
      <c r="B676" t="s">
        <v>538</v>
      </c>
      <c r="C676" t="s">
        <v>122</v>
      </c>
      <c r="D676" t="s">
        <v>674</v>
      </c>
      <c r="E676" t="s">
        <v>674</v>
      </c>
      <c r="F676">
        <v>1</v>
      </c>
      <c r="G676" s="705">
        <v>91</v>
      </c>
      <c r="H676" s="705">
        <v>435</v>
      </c>
      <c r="I676" s="705">
        <v>27136</v>
      </c>
      <c r="J676" s="705">
        <v>24669</v>
      </c>
      <c r="K676">
        <v>45</v>
      </c>
      <c r="L676" s="705">
        <v>2467</v>
      </c>
      <c r="M676" s="705">
        <v>2243</v>
      </c>
      <c r="N676" s="705">
        <v>2227</v>
      </c>
      <c r="O676" s="705">
        <v>825</v>
      </c>
      <c r="P676" s="705">
        <v>351</v>
      </c>
      <c r="Q676" s="705">
        <v>130</v>
      </c>
      <c r="R676" s="705">
        <v>5257</v>
      </c>
      <c r="S676" s="705">
        <v>4779</v>
      </c>
      <c r="T676" s="705">
        <v>2317</v>
      </c>
      <c r="U676" s="705">
        <v>858</v>
      </c>
      <c r="V676" s="705">
        <v>33503</v>
      </c>
      <c r="W676" s="705">
        <f t="shared" si="42"/>
        <v>33504</v>
      </c>
      <c r="X676" s="705">
        <f t="shared" si="43"/>
        <v>39755</v>
      </c>
      <c r="Y676" s="705"/>
      <c r="AI676" s="429"/>
    </row>
    <row r="677" spans="2:35">
      <c r="B677" t="s">
        <v>538</v>
      </c>
      <c r="C677" t="s">
        <v>122</v>
      </c>
      <c r="D677" t="s">
        <v>664</v>
      </c>
      <c r="E677" t="s">
        <v>583</v>
      </c>
      <c r="F677">
        <v>1</v>
      </c>
      <c r="G677" s="705">
        <v>102</v>
      </c>
      <c r="H677" s="705">
        <v>380</v>
      </c>
      <c r="I677" s="705">
        <v>26974</v>
      </c>
      <c r="J677" s="705">
        <v>24522</v>
      </c>
      <c r="K677">
        <v>85</v>
      </c>
      <c r="L677" s="705">
        <v>4837</v>
      </c>
      <c r="M677" s="705">
        <v>4398</v>
      </c>
      <c r="N677" s="705">
        <v>2394</v>
      </c>
      <c r="O677" s="705">
        <v>887</v>
      </c>
      <c r="P677" s="705">
        <v>621</v>
      </c>
      <c r="Q677" s="705">
        <v>230</v>
      </c>
      <c r="R677" s="705">
        <v>4089</v>
      </c>
      <c r="S677" s="705">
        <v>3717</v>
      </c>
      <c r="T677" s="705">
        <v>0</v>
      </c>
      <c r="U677" s="705">
        <v>0</v>
      </c>
      <c r="V677" s="705">
        <v>33753</v>
      </c>
      <c r="W677" s="705">
        <f t="shared" si="42"/>
        <v>33754</v>
      </c>
      <c r="X677" s="705">
        <f t="shared" si="43"/>
        <v>38915</v>
      </c>
      <c r="Y677" s="705"/>
      <c r="AI677" s="429"/>
    </row>
    <row r="678" spans="2:35">
      <c r="B678" t="s">
        <v>538</v>
      </c>
      <c r="C678" t="s">
        <v>122</v>
      </c>
      <c r="D678" t="s">
        <v>582</v>
      </c>
      <c r="E678" t="s">
        <v>582</v>
      </c>
      <c r="F678">
        <v>7</v>
      </c>
      <c r="G678">
        <v>716</v>
      </c>
      <c r="H678" s="705">
        <v>2898</v>
      </c>
      <c r="I678" s="705">
        <v>199156</v>
      </c>
      <c r="J678" s="705">
        <v>181051</v>
      </c>
      <c r="K678">
        <v>76</v>
      </c>
      <c r="L678" s="705">
        <v>36801</v>
      </c>
      <c r="M678" s="705">
        <v>32973</v>
      </c>
      <c r="N678" s="705">
        <v>15934</v>
      </c>
      <c r="O678" s="705">
        <v>5902</v>
      </c>
      <c r="P678" s="705">
        <v>3564</v>
      </c>
      <c r="Q678" s="705">
        <v>1320</v>
      </c>
      <c r="R678" s="705">
        <v>30128</v>
      </c>
      <c r="S678" s="705">
        <v>27389</v>
      </c>
      <c r="T678" s="705">
        <v>11509</v>
      </c>
      <c r="U678" s="705">
        <v>4263</v>
      </c>
      <c r="V678" s="705">
        <v>252897</v>
      </c>
      <c r="W678" s="705">
        <f t="shared" si="42"/>
        <v>252898</v>
      </c>
      <c r="X678" s="705">
        <f t="shared" si="43"/>
        <v>297092</v>
      </c>
      <c r="Y678" s="705"/>
      <c r="AI678" s="429"/>
    </row>
    <row r="679" spans="2:35">
      <c r="B679" t="s">
        <v>538</v>
      </c>
      <c r="C679" t="s">
        <v>122</v>
      </c>
      <c r="D679" t="s">
        <v>228</v>
      </c>
      <c r="E679" t="s">
        <v>228</v>
      </c>
      <c r="F679">
        <v>19</v>
      </c>
      <c r="G679" s="705">
        <v>2537</v>
      </c>
      <c r="H679" s="705">
        <v>7848</v>
      </c>
      <c r="I679" s="705">
        <v>713672</v>
      </c>
      <c r="J679" s="705">
        <v>264323</v>
      </c>
      <c r="K679">
        <v>100</v>
      </c>
      <c r="L679" s="705">
        <v>123707</v>
      </c>
      <c r="M679" s="705">
        <v>109570</v>
      </c>
      <c r="N679" s="705">
        <v>59229</v>
      </c>
      <c r="O679" s="705">
        <v>21937</v>
      </c>
      <c r="P679" s="705">
        <v>3692</v>
      </c>
      <c r="Q679" s="705">
        <v>1367</v>
      </c>
      <c r="R679" s="705">
        <v>169718</v>
      </c>
      <c r="S679" s="705">
        <v>62858</v>
      </c>
      <c r="T679" s="705">
        <v>0</v>
      </c>
      <c r="U679" s="705">
        <v>0</v>
      </c>
      <c r="V679" s="705">
        <v>460055</v>
      </c>
      <c r="W679" s="705">
        <f t="shared" si="42"/>
        <v>460055</v>
      </c>
      <c r="X679" s="705">
        <f t="shared" si="43"/>
        <v>1070018</v>
      </c>
      <c r="Y679" s="705"/>
      <c r="AI679" s="429"/>
    </row>
    <row r="680" spans="2:35">
      <c r="B680" t="s">
        <v>538</v>
      </c>
      <c r="C680" t="s">
        <v>122</v>
      </c>
      <c r="D680" t="s">
        <v>228</v>
      </c>
      <c r="E680" t="s">
        <v>666</v>
      </c>
      <c r="F680">
        <v>1</v>
      </c>
      <c r="G680" s="705">
        <v>89</v>
      </c>
      <c r="H680" s="705">
        <v>391</v>
      </c>
      <c r="I680" s="705">
        <v>22072</v>
      </c>
      <c r="J680" s="705">
        <v>8175</v>
      </c>
      <c r="K680">
        <v>100</v>
      </c>
      <c r="L680" s="705">
        <v>2220</v>
      </c>
      <c r="M680" s="705">
        <v>2018</v>
      </c>
      <c r="N680" s="705">
        <v>1926</v>
      </c>
      <c r="O680" s="705">
        <v>713</v>
      </c>
      <c r="P680" s="705">
        <v>0</v>
      </c>
      <c r="Q680" s="705">
        <v>0</v>
      </c>
      <c r="R680" s="705">
        <v>6194</v>
      </c>
      <c r="S680" s="705">
        <v>5631</v>
      </c>
      <c r="T680" s="705">
        <v>2283</v>
      </c>
      <c r="U680" s="705">
        <v>845</v>
      </c>
      <c r="V680" s="705">
        <v>17383</v>
      </c>
      <c r="W680" s="705">
        <f t="shared" si="42"/>
        <v>17382</v>
      </c>
      <c r="X680" s="705">
        <f t="shared" si="43"/>
        <v>34695</v>
      </c>
      <c r="Y680" s="705"/>
      <c r="AI680" s="429"/>
    </row>
    <row r="681" spans="2:35">
      <c r="B681" t="s">
        <v>538</v>
      </c>
      <c r="C681" t="s">
        <v>122</v>
      </c>
      <c r="D681" t="s">
        <v>228</v>
      </c>
      <c r="E681" t="s">
        <v>665</v>
      </c>
      <c r="F681">
        <v>2</v>
      </c>
      <c r="G681" s="705">
        <v>143</v>
      </c>
      <c r="H681" s="705">
        <v>850</v>
      </c>
      <c r="I681" s="705">
        <v>42819</v>
      </c>
      <c r="J681" s="705">
        <v>15859</v>
      </c>
      <c r="K681">
        <v>100</v>
      </c>
      <c r="L681" s="705">
        <v>3749</v>
      </c>
      <c r="M681" s="705">
        <v>3408</v>
      </c>
      <c r="N681" s="705">
        <v>2196</v>
      </c>
      <c r="O681" s="705">
        <v>813</v>
      </c>
      <c r="P681" s="705">
        <v>0</v>
      </c>
      <c r="Q681">
        <v>0</v>
      </c>
      <c r="R681" s="705">
        <v>8179</v>
      </c>
      <c r="S681" s="705">
        <v>7436</v>
      </c>
      <c r="T681" s="705">
        <v>4058</v>
      </c>
      <c r="U681" s="705">
        <v>1503</v>
      </c>
      <c r="V681" s="705">
        <v>29019</v>
      </c>
      <c r="W681" s="705">
        <f t="shared" si="42"/>
        <v>29019</v>
      </c>
      <c r="X681" s="705">
        <f t="shared" si="43"/>
        <v>61001</v>
      </c>
      <c r="Y681" s="705"/>
      <c r="AI681" s="429"/>
    </row>
    <row r="682" spans="2:35">
      <c r="B682" t="s">
        <v>538</v>
      </c>
      <c r="C682" t="s">
        <v>122</v>
      </c>
      <c r="D682" t="s">
        <v>583</v>
      </c>
      <c r="E682" t="s">
        <v>228</v>
      </c>
      <c r="F682">
        <v>3</v>
      </c>
      <c r="G682" s="705">
        <v>297</v>
      </c>
      <c r="H682" s="705">
        <v>1195</v>
      </c>
      <c r="I682" s="705">
        <v>78827</v>
      </c>
      <c r="J682" s="705">
        <v>71661</v>
      </c>
      <c r="K682">
        <v>77</v>
      </c>
      <c r="L682" s="705">
        <v>13809</v>
      </c>
      <c r="M682" s="705">
        <v>12554</v>
      </c>
      <c r="N682" s="705">
        <v>6377</v>
      </c>
      <c r="O682" s="705">
        <v>2362</v>
      </c>
      <c r="P682" s="705">
        <v>1863</v>
      </c>
      <c r="Q682" s="705">
        <v>690</v>
      </c>
      <c r="R682" s="705">
        <v>17667</v>
      </c>
      <c r="S682" s="705">
        <v>6543</v>
      </c>
      <c r="T682" s="705">
        <v>0</v>
      </c>
      <c r="U682" s="705">
        <v>0</v>
      </c>
      <c r="V682" s="705">
        <v>93810</v>
      </c>
      <c r="W682" s="705">
        <f t="shared" si="42"/>
        <v>93810</v>
      </c>
      <c r="X682" s="705">
        <f t="shared" si="43"/>
        <v>118543</v>
      </c>
      <c r="Y682" s="705"/>
      <c r="AI682" s="429"/>
    </row>
    <row r="683" spans="2:35">
      <c r="B683" t="s">
        <v>538</v>
      </c>
      <c r="C683" t="s">
        <v>122</v>
      </c>
      <c r="D683" t="s">
        <v>583</v>
      </c>
      <c r="E683" t="s">
        <v>583</v>
      </c>
      <c r="F683">
        <v>550</v>
      </c>
      <c r="G683" s="705">
        <v>59648</v>
      </c>
      <c r="H683" s="705">
        <v>228839</v>
      </c>
      <c r="I683" s="705">
        <v>16483848</v>
      </c>
      <c r="J683" s="705">
        <v>14985316</v>
      </c>
      <c r="K683">
        <v>75</v>
      </c>
      <c r="L683" s="705">
        <v>3162578</v>
      </c>
      <c r="M683" s="705">
        <v>3042563</v>
      </c>
      <c r="N683" s="705">
        <v>1291310</v>
      </c>
      <c r="O683" s="705">
        <v>478263</v>
      </c>
      <c r="P683" s="705">
        <v>361409</v>
      </c>
      <c r="Q683" s="705">
        <v>133855</v>
      </c>
      <c r="R683" s="705">
        <v>2822306</v>
      </c>
      <c r="S683" s="705">
        <v>2565733</v>
      </c>
      <c r="T683" s="705">
        <v>981321</v>
      </c>
      <c r="U683" s="705">
        <v>363452</v>
      </c>
      <c r="V683" s="705">
        <v>21569182</v>
      </c>
      <c r="W683" s="705">
        <f t="shared" si="42"/>
        <v>21569182</v>
      </c>
      <c r="X683" s="705">
        <f t="shared" si="43"/>
        <v>25102772</v>
      </c>
      <c r="Y683" s="705"/>
      <c r="AI683" s="429"/>
    </row>
    <row r="684" spans="2:35">
      <c r="B684" t="s">
        <v>538</v>
      </c>
      <c r="C684" t="s">
        <v>122</v>
      </c>
      <c r="D684" t="s">
        <v>583</v>
      </c>
      <c r="E684" t="s">
        <v>666</v>
      </c>
      <c r="F684">
        <v>2</v>
      </c>
      <c r="G684" s="705">
        <v>199</v>
      </c>
      <c r="H684" s="705">
        <v>842</v>
      </c>
      <c r="I684" s="705">
        <v>52438</v>
      </c>
      <c r="J684" s="705">
        <v>47671</v>
      </c>
      <c r="K684">
        <v>73</v>
      </c>
      <c r="L684" s="705">
        <v>13358</v>
      </c>
      <c r="M684" s="705">
        <v>12143</v>
      </c>
      <c r="N684" s="705">
        <v>4631</v>
      </c>
      <c r="O684" s="705">
        <v>1715</v>
      </c>
      <c r="P684" s="705">
        <v>972</v>
      </c>
      <c r="Q684" s="705">
        <v>360</v>
      </c>
      <c r="R684" s="705">
        <v>7887</v>
      </c>
      <c r="S684" s="705">
        <v>7170</v>
      </c>
      <c r="T684" s="705">
        <v>4396</v>
      </c>
      <c r="U684" s="705">
        <v>1628</v>
      </c>
      <c r="V684" s="705">
        <v>70688</v>
      </c>
      <c r="W684" s="705">
        <f t="shared" si="42"/>
        <v>70687</v>
      </c>
      <c r="X684" s="705">
        <f t="shared" si="43"/>
        <v>83682</v>
      </c>
      <c r="Y684" s="705"/>
      <c r="AI684" s="429"/>
    </row>
    <row r="685" spans="2:35">
      <c r="B685" t="s">
        <v>538</v>
      </c>
      <c r="C685" t="s">
        <v>122</v>
      </c>
      <c r="D685" t="s">
        <v>666</v>
      </c>
      <c r="E685" t="s">
        <v>666</v>
      </c>
      <c r="F685">
        <v>23</v>
      </c>
      <c r="G685" s="705">
        <v>1681</v>
      </c>
      <c r="H685" s="705">
        <v>9433</v>
      </c>
      <c r="I685" s="705">
        <v>470457</v>
      </c>
      <c r="J685" s="705">
        <v>427688</v>
      </c>
      <c r="K685">
        <v>50</v>
      </c>
      <c r="L685" s="705">
        <v>24613</v>
      </c>
      <c r="M685" s="705">
        <v>22376</v>
      </c>
      <c r="N685" s="705">
        <v>39361</v>
      </c>
      <c r="O685" s="705">
        <v>14578</v>
      </c>
      <c r="P685" s="705">
        <v>8073</v>
      </c>
      <c r="Q685" s="705">
        <v>2990</v>
      </c>
      <c r="R685" s="705">
        <v>130248</v>
      </c>
      <c r="S685" s="705">
        <v>118407</v>
      </c>
      <c r="T685" s="705">
        <v>43426</v>
      </c>
      <c r="U685" s="705">
        <v>16084</v>
      </c>
      <c r="V685" s="705">
        <v>602122</v>
      </c>
      <c r="W685" s="705">
        <f t="shared" si="42"/>
        <v>602123</v>
      </c>
      <c r="X685" s="705">
        <f t="shared" si="43"/>
        <v>716178</v>
      </c>
      <c r="Y685" s="705"/>
      <c r="AI685" s="429"/>
    </row>
    <row r="686" spans="2:35">
      <c r="B686" t="s">
        <v>538</v>
      </c>
      <c r="C686" t="s">
        <v>122</v>
      </c>
      <c r="D686" t="s">
        <v>669</v>
      </c>
      <c r="E686" t="s">
        <v>669</v>
      </c>
      <c r="F686">
        <v>2</v>
      </c>
      <c r="G686">
        <v>240</v>
      </c>
      <c r="H686" s="705">
        <v>815</v>
      </c>
      <c r="I686" s="705">
        <v>69950</v>
      </c>
      <c r="J686" s="705">
        <v>58292</v>
      </c>
      <c r="K686">
        <v>55</v>
      </c>
      <c r="L686" s="705">
        <v>7076</v>
      </c>
      <c r="M686" s="705">
        <v>6109</v>
      </c>
      <c r="N686" s="705">
        <v>4863</v>
      </c>
      <c r="O686" s="705">
        <v>1801</v>
      </c>
      <c r="P686" s="705">
        <v>702</v>
      </c>
      <c r="Q686">
        <v>260</v>
      </c>
      <c r="R686" s="705">
        <v>10891</v>
      </c>
      <c r="S686" s="705">
        <v>9076</v>
      </c>
      <c r="T686" s="705">
        <v>4464</v>
      </c>
      <c r="U686" s="705">
        <v>1653</v>
      </c>
      <c r="V686" s="705">
        <v>77191</v>
      </c>
      <c r="W686" s="705">
        <f t="shared" si="42"/>
        <v>77191</v>
      </c>
      <c r="X686" s="705">
        <f t="shared" si="43"/>
        <v>97946</v>
      </c>
      <c r="Y686" s="705"/>
      <c r="AI686" s="429"/>
    </row>
    <row r="687" spans="2:35">
      <c r="B687" t="s">
        <v>538</v>
      </c>
      <c r="C687" t="s">
        <v>122</v>
      </c>
      <c r="D687" t="s">
        <v>671</v>
      </c>
      <c r="E687" t="s">
        <v>671</v>
      </c>
      <c r="F687">
        <v>4</v>
      </c>
      <c r="G687" s="705">
        <v>297</v>
      </c>
      <c r="H687" s="705">
        <v>1669</v>
      </c>
      <c r="I687" s="705">
        <v>75602</v>
      </c>
      <c r="J687" s="705">
        <v>68729</v>
      </c>
      <c r="K687">
        <v>55</v>
      </c>
      <c r="L687" s="705">
        <v>6907</v>
      </c>
      <c r="M687" s="705">
        <v>5056</v>
      </c>
      <c r="N687" s="705">
        <v>5290</v>
      </c>
      <c r="O687" s="705">
        <v>1959</v>
      </c>
      <c r="P687" s="705">
        <v>1404</v>
      </c>
      <c r="Q687" s="705">
        <v>520</v>
      </c>
      <c r="R687" s="705">
        <v>24313</v>
      </c>
      <c r="S687" s="705">
        <v>22103</v>
      </c>
      <c r="T687" s="705">
        <v>8142</v>
      </c>
      <c r="U687" s="705">
        <v>3015</v>
      </c>
      <c r="V687" s="705">
        <v>101382</v>
      </c>
      <c r="W687" s="705">
        <f t="shared" si="42"/>
        <v>101382</v>
      </c>
      <c r="X687" s="705">
        <f t="shared" si="43"/>
        <v>121658</v>
      </c>
      <c r="Y687" s="705"/>
      <c r="AI687" s="429"/>
    </row>
    <row r="688" spans="2:35">
      <c r="B688" t="s">
        <v>538</v>
      </c>
      <c r="C688" t="s">
        <v>122</v>
      </c>
      <c r="D688" t="s">
        <v>665</v>
      </c>
      <c r="E688" t="s">
        <v>228</v>
      </c>
      <c r="F688">
        <v>2</v>
      </c>
      <c r="G688" s="705">
        <v>250</v>
      </c>
      <c r="H688" s="705">
        <v>835</v>
      </c>
      <c r="I688" s="705">
        <v>70304</v>
      </c>
      <c r="J688" s="705">
        <v>63912</v>
      </c>
      <c r="K688">
        <v>45</v>
      </c>
      <c r="L688" s="705">
        <v>16869</v>
      </c>
      <c r="M688" s="705">
        <v>6248</v>
      </c>
      <c r="N688" s="705">
        <v>5098</v>
      </c>
      <c r="O688" s="705">
        <v>1888</v>
      </c>
      <c r="P688" s="705">
        <v>0</v>
      </c>
      <c r="Q688" s="705">
        <v>0</v>
      </c>
      <c r="R688" s="705">
        <v>14257</v>
      </c>
      <c r="S688" s="705">
        <v>5281</v>
      </c>
      <c r="T688" s="705">
        <v>0</v>
      </c>
      <c r="U688" s="705">
        <v>0</v>
      </c>
      <c r="V688" s="705">
        <v>77329</v>
      </c>
      <c r="W688" s="705">
        <f t="shared" si="42"/>
        <v>77329</v>
      </c>
      <c r="X688" s="705">
        <f t="shared" si="43"/>
        <v>106528</v>
      </c>
      <c r="Y688" s="705"/>
      <c r="AI688" s="429"/>
    </row>
    <row r="689" spans="2:35">
      <c r="B689" t="s">
        <v>538</v>
      </c>
      <c r="C689" t="s">
        <v>122</v>
      </c>
      <c r="D689" t="s">
        <v>665</v>
      </c>
      <c r="E689" t="s">
        <v>665</v>
      </c>
      <c r="F689">
        <v>114</v>
      </c>
      <c r="G689" s="705">
        <v>10353</v>
      </c>
      <c r="H689" s="705">
        <v>47460</v>
      </c>
      <c r="I689" s="705">
        <v>2847686</v>
      </c>
      <c r="J689" s="705">
        <v>2588806</v>
      </c>
      <c r="K689">
        <v>53</v>
      </c>
      <c r="L689" s="705">
        <v>337280</v>
      </c>
      <c r="M689" s="705">
        <v>288007</v>
      </c>
      <c r="N689" s="705">
        <v>217317</v>
      </c>
      <c r="O689" s="705">
        <v>80488</v>
      </c>
      <c r="P689" s="705">
        <v>42876</v>
      </c>
      <c r="Q689" s="705">
        <v>15880</v>
      </c>
      <c r="R689" s="705">
        <v>660214</v>
      </c>
      <c r="S689" s="705">
        <v>600195</v>
      </c>
      <c r="T689" s="705">
        <v>260102</v>
      </c>
      <c r="U689" s="705">
        <v>96334</v>
      </c>
      <c r="V689" s="705">
        <v>3669709</v>
      </c>
      <c r="W689" s="705">
        <f t="shared" si="42"/>
        <v>3669710</v>
      </c>
      <c r="X689" s="705">
        <f t="shared" si="43"/>
        <v>4365475</v>
      </c>
      <c r="Y689" s="705"/>
      <c r="AI689" s="429"/>
    </row>
    <row r="690" spans="2:35">
      <c r="B690" t="s">
        <v>538</v>
      </c>
      <c r="C690" t="s">
        <v>122</v>
      </c>
      <c r="D690" t="s">
        <v>673</v>
      </c>
      <c r="E690" t="s">
        <v>673</v>
      </c>
      <c r="F690">
        <v>1</v>
      </c>
      <c r="G690">
        <v>69</v>
      </c>
      <c r="H690" s="705">
        <v>447</v>
      </c>
      <c r="I690" s="705">
        <v>20541</v>
      </c>
      <c r="J690" s="705">
        <v>18674</v>
      </c>
      <c r="K690">
        <v>65</v>
      </c>
      <c r="L690" s="705">
        <v>3641</v>
      </c>
      <c r="M690" s="705">
        <v>1349</v>
      </c>
      <c r="N690" s="705">
        <v>948</v>
      </c>
      <c r="O690" s="705">
        <v>351</v>
      </c>
      <c r="P690" s="705">
        <v>351</v>
      </c>
      <c r="Q690" s="705">
        <v>130</v>
      </c>
      <c r="R690" s="705">
        <v>5282</v>
      </c>
      <c r="S690" s="705">
        <v>4802</v>
      </c>
      <c r="T690" s="705">
        <v>0</v>
      </c>
      <c r="U690" s="705">
        <v>0</v>
      </c>
      <c r="V690" s="705">
        <v>25305</v>
      </c>
      <c r="W690" s="705">
        <f t="shared" si="42"/>
        <v>25306</v>
      </c>
      <c r="X690" s="705">
        <f t="shared" si="43"/>
        <v>30763</v>
      </c>
      <c r="Y690" s="705"/>
      <c r="AI690" s="429"/>
    </row>
    <row r="691" spans="2:35">
      <c r="B691" t="s">
        <v>538</v>
      </c>
      <c r="C691" t="s">
        <v>124</v>
      </c>
      <c r="F691">
        <v>2</v>
      </c>
      <c r="G691" s="705">
        <v>158</v>
      </c>
      <c r="H691" s="705">
        <v>1127</v>
      </c>
      <c r="I691" s="705"/>
      <c r="J691" s="705">
        <v>0</v>
      </c>
      <c r="L691" s="705"/>
      <c r="M691" s="705">
        <v>0</v>
      </c>
      <c r="N691" s="705">
        <v>3403</v>
      </c>
      <c r="O691" s="705">
        <v>1260</v>
      </c>
      <c r="P691" s="705">
        <v>1242</v>
      </c>
      <c r="Q691" s="705">
        <v>460</v>
      </c>
      <c r="R691" s="705"/>
      <c r="S691" s="705">
        <v>0</v>
      </c>
      <c r="T691" s="705">
        <v>4112</v>
      </c>
      <c r="U691" s="705">
        <v>1523</v>
      </c>
      <c r="V691" s="705">
        <v>3243</v>
      </c>
      <c r="W691" s="705">
        <f t="shared" si="42"/>
        <v>3243</v>
      </c>
      <c r="X691" s="705">
        <f t="shared" si="43"/>
        <v>8757</v>
      </c>
      <c r="Y691" s="705"/>
      <c r="AI691" s="429"/>
    </row>
    <row r="692" spans="2:35">
      <c r="B692" t="s">
        <v>538</v>
      </c>
      <c r="C692" t="s">
        <v>124</v>
      </c>
      <c r="D692" t="s">
        <v>664</v>
      </c>
      <c r="E692" t="s">
        <v>228</v>
      </c>
      <c r="F692">
        <v>1</v>
      </c>
      <c r="G692">
        <v>72</v>
      </c>
      <c r="H692" s="705">
        <v>675</v>
      </c>
      <c r="I692" s="705">
        <v>29658</v>
      </c>
      <c r="J692" s="705">
        <v>26962</v>
      </c>
      <c r="K692">
        <v>90</v>
      </c>
      <c r="L692" s="705">
        <v>9886</v>
      </c>
      <c r="M692" s="705">
        <v>8987</v>
      </c>
      <c r="N692" s="705">
        <v>1762</v>
      </c>
      <c r="O692" s="705">
        <v>653</v>
      </c>
      <c r="P692" s="705">
        <v>0</v>
      </c>
      <c r="Q692">
        <v>0</v>
      </c>
      <c r="R692" s="705">
        <v>7456</v>
      </c>
      <c r="S692" s="705">
        <v>2762</v>
      </c>
      <c r="T692" s="705">
        <v>0</v>
      </c>
      <c r="U692">
        <v>0</v>
      </c>
      <c r="V692" s="705">
        <v>39363</v>
      </c>
      <c r="W692" s="705">
        <f t="shared" si="42"/>
        <v>39364</v>
      </c>
      <c r="X692" s="705">
        <f t="shared" si="43"/>
        <v>48762</v>
      </c>
      <c r="Y692" s="705"/>
      <c r="AI692" s="429"/>
    </row>
    <row r="693" spans="2:35">
      <c r="B693" t="s">
        <v>538</v>
      </c>
      <c r="C693" t="s">
        <v>124</v>
      </c>
      <c r="D693" t="s">
        <v>582</v>
      </c>
      <c r="E693" t="s">
        <v>582</v>
      </c>
      <c r="F693">
        <v>7</v>
      </c>
      <c r="G693">
        <v>588</v>
      </c>
      <c r="H693" s="705">
        <v>3793</v>
      </c>
      <c r="I693" s="705">
        <v>222216</v>
      </c>
      <c r="J693" s="705">
        <v>202015</v>
      </c>
      <c r="K693">
        <v>69</v>
      </c>
      <c r="L693" s="705">
        <v>39616</v>
      </c>
      <c r="M693" s="705">
        <v>36014</v>
      </c>
      <c r="N693" s="705">
        <v>13524</v>
      </c>
      <c r="O693" s="705">
        <v>5009</v>
      </c>
      <c r="P693" s="705">
        <v>3173</v>
      </c>
      <c r="Q693" s="705">
        <v>1175</v>
      </c>
      <c r="R693" s="705">
        <v>38540</v>
      </c>
      <c r="S693" s="705">
        <v>35036</v>
      </c>
      <c r="T693" s="705">
        <v>6281</v>
      </c>
      <c r="U693" s="705">
        <v>2326</v>
      </c>
      <c r="V693" s="705">
        <v>281576</v>
      </c>
      <c r="W693" s="705">
        <f t="shared" si="42"/>
        <v>281575</v>
      </c>
      <c r="X693" s="705">
        <f t="shared" si="43"/>
        <v>323350</v>
      </c>
      <c r="Y693" s="705"/>
      <c r="AI693" s="429"/>
    </row>
    <row r="694" spans="2:35">
      <c r="B694" t="s">
        <v>538</v>
      </c>
      <c r="C694" t="s">
        <v>124</v>
      </c>
      <c r="D694" t="s">
        <v>228</v>
      </c>
      <c r="E694" t="s">
        <v>228</v>
      </c>
      <c r="F694">
        <v>188</v>
      </c>
      <c r="G694" s="705">
        <v>16829</v>
      </c>
      <c r="H694" s="705">
        <v>134331</v>
      </c>
      <c r="I694" s="705">
        <v>8416360</v>
      </c>
      <c r="J694" s="705">
        <v>3117170</v>
      </c>
      <c r="K694">
        <v>100</v>
      </c>
      <c r="L694" s="705">
        <v>1567204</v>
      </c>
      <c r="M694" s="705">
        <v>1375807</v>
      </c>
      <c r="N694" s="705">
        <v>391757</v>
      </c>
      <c r="O694" s="705">
        <v>145095</v>
      </c>
      <c r="P694" s="705">
        <v>1674</v>
      </c>
      <c r="Q694" s="705">
        <v>620</v>
      </c>
      <c r="R694" s="705">
        <v>1205991</v>
      </c>
      <c r="S694" s="705">
        <v>446663</v>
      </c>
      <c r="T694" s="705">
        <v>3937</v>
      </c>
      <c r="U694" s="705">
        <v>1458</v>
      </c>
      <c r="V694" s="705">
        <v>5086815</v>
      </c>
      <c r="W694" s="705">
        <f t="shared" si="42"/>
        <v>5086813</v>
      </c>
      <c r="X694" s="705">
        <f t="shared" si="43"/>
        <v>11586923</v>
      </c>
      <c r="Y694" s="705"/>
      <c r="AI694" s="429"/>
    </row>
    <row r="695" spans="2:35">
      <c r="B695" t="s">
        <v>538</v>
      </c>
      <c r="C695" t="s">
        <v>124</v>
      </c>
      <c r="D695" t="s">
        <v>228</v>
      </c>
      <c r="E695" t="s">
        <v>583</v>
      </c>
      <c r="F695" s="705">
        <v>1</v>
      </c>
      <c r="G695" s="705">
        <v>80</v>
      </c>
      <c r="H695" s="705">
        <v>893</v>
      </c>
      <c r="I695" s="705">
        <v>61562</v>
      </c>
      <c r="J695" s="705">
        <v>22801</v>
      </c>
      <c r="K695">
        <v>100</v>
      </c>
      <c r="L695" s="705">
        <v>4645</v>
      </c>
      <c r="M695" s="705">
        <v>4222</v>
      </c>
      <c r="N695" s="705">
        <v>1368</v>
      </c>
      <c r="O695" s="705">
        <v>507</v>
      </c>
      <c r="P695" s="705">
        <v>0</v>
      </c>
      <c r="Q695" s="705">
        <v>0</v>
      </c>
      <c r="R695" s="705">
        <v>2324</v>
      </c>
      <c r="S695" s="705">
        <v>2113</v>
      </c>
      <c r="T695" s="705">
        <v>1723</v>
      </c>
      <c r="U695">
        <v>638</v>
      </c>
      <c r="V695" s="705">
        <v>30281</v>
      </c>
      <c r="W695" s="705">
        <f t="shared" si="42"/>
        <v>30281</v>
      </c>
      <c r="X695" s="705">
        <f t="shared" si="43"/>
        <v>71622</v>
      </c>
      <c r="Y695" s="705"/>
      <c r="AI695" s="429"/>
    </row>
    <row r="696" spans="2:35">
      <c r="B696" t="s">
        <v>538</v>
      </c>
      <c r="C696" t="s">
        <v>124</v>
      </c>
      <c r="D696" t="s">
        <v>228</v>
      </c>
      <c r="E696" t="s">
        <v>666</v>
      </c>
      <c r="F696">
        <v>4</v>
      </c>
      <c r="G696" s="705">
        <v>295</v>
      </c>
      <c r="H696" s="705">
        <v>2430</v>
      </c>
      <c r="I696" s="705">
        <v>125090</v>
      </c>
      <c r="J696" s="705">
        <v>46330</v>
      </c>
      <c r="K696">
        <v>100</v>
      </c>
      <c r="L696" s="705">
        <v>7576</v>
      </c>
      <c r="M696" s="705">
        <v>9605</v>
      </c>
      <c r="N696" s="705">
        <v>7182</v>
      </c>
      <c r="O696" s="705">
        <v>2660</v>
      </c>
      <c r="P696" s="705">
        <v>0</v>
      </c>
      <c r="Q696" s="705">
        <v>0</v>
      </c>
      <c r="R696" s="705">
        <v>23949</v>
      </c>
      <c r="S696" s="705">
        <v>21772</v>
      </c>
      <c r="T696" s="705">
        <v>4798</v>
      </c>
      <c r="U696" s="705">
        <v>1777</v>
      </c>
      <c r="V696" s="705">
        <v>82143</v>
      </c>
      <c r="W696" s="705">
        <f t="shared" si="42"/>
        <v>82144</v>
      </c>
      <c r="X696" s="705">
        <f t="shared" si="43"/>
        <v>168595</v>
      </c>
      <c r="Y696" s="705"/>
      <c r="AI696" s="429"/>
    </row>
    <row r="697" spans="2:35">
      <c r="B697" t="s">
        <v>538</v>
      </c>
      <c r="C697" t="s">
        <v>124</v>
      </c>
      <c r="D697" t="s">
        <v>228</v>
      </c>
      <c r="E697" t="s">
        <v>671</v>
      </c>
      <c r="F697">
        <v>1</v>
      </c>
      <c r="G697" s="705">
        <v>67</v>
      </c>
      <c r="H697" s="705">
        <v>549</v>
      </c>
      <c r="I697" s="705">
        <v>18307</v>
      </c>
      <c r="J697" s="705">
        <v>6781</v>
      </c>
      <c r="K697">
        <v>100</v>
      </c>
      <c r="L697" s="705">
        <v>2072</v>
      </c>
      <c r="M697" s="705">
        <v>1883</v>
      </c>
      <c r="N697" s="705">
        <v>1310</v>
      </c>
      <c r="O697" s="705">
        <v>485</v>
      </c>
      <c r="P697" s="705">
        <v>0</v>
      </c>
      <c r="Q697" s="705">
        <v>0</v>
      </c>
      <c r="R697" s="705">
        <v>10971</v>
      </c>
      <c r="S697" s="705">
        <v>9974</v>
      </c>
      <c r="T697" s="705">
        <v>4218</v>
      </c>
      <c r="U697" s="705">
        <v>1562</v>
      </c>
      <c r="V697" s="705">
        <v>20685</v>
      </c>
      <c r="W697" s="705">
        <f t="shared" si="42"/>
        <v>20685</v>
      </c>
      <c r="X697" s="705">
        <f t="shared" si="43"/>
        <v>36878</v>
      </c>
      <c r="Y697" s="705"/>
      <c r="AI697" s="429"/>
    </row>
    <row r="698" spans="2:35">
      <c r="B698" t="s">
        <v>538</v>
      </c>
      <c r="C698" t="s">
        <v>124</v>
      </c>
      <c r="D698" t="s">
        <v>228</v>
      </c>
      <c r="E698" t="s">
        <v>665</v>
      </c>
      <c r="F698" s="705">
        <v>14</v>
      </c>
      <c r="G698" s="705">
        <v>1160</v>
      </c>
      <c r="H698" s="705">
        <v>10549</v>
      </c>
      <c r="I698" s="705">
        <v>649991</v>
      </c>
      <c r="J698" s="705">
        <v>240738</v>
      </c>
      <c r="K698">
        <v>100</v>
      </c>
      <c r="L698" s="705">
        <v>95219</v>
      </c>
      <c r="M698" s="705">
        <v>86563</v>
      </c>
      <c r="N698" s="705">
        <v>26593</v>
      </c>
      <c r="O698" s="705">
        <v>9849</v>
      </c>
      <c r="P698" s="705">
        <v>972</v>
      </c>
      <c r="Q698" s="705">
        <v>360</v>
      </c>
      <c r="R698" s="705">
        <v>92600</v>
      </c>
      <c r="S698" s="705">
        <v>84182</v>
      </c>
      <c r="T698" s="705">
        <v>25059</v>
      </c>
      <c r="U698" s="705">
        <v>9281</v>
      </c>
      <c r="V698" s="705">
        <v>430973</v>
      </c>
      <c r="W698" s="705">
        <f t="shared" si="42"/>
        <v>430973</v>
      </c>
      <c r="X698" s="705">
        <f t="shared" si="43"/>
        <v>890434</v>
      </c>
      <c r="Y698" s="705"/>
      <c r="AI698" s="429"/>
    </row>
    <row r="699" spans="2:35">
      <c r="B699" t="s">
        <v>538</v>
      </c>
      <c r="C699" t="s">
        <v>124</v>
      </c>
      <c r="D699" t="s">
        <v>228</v>
      </c>
      <c r="E699" t="s">
        <v>673</v>
      </c>
      <c r="F699">
        <v>1</v>
      </c>
      <c r="G699" s="705">
        <v>62</v>
      </c>
      <c r="H699" s="705">
        <v>621</v>
      </c>
      <c r="I699" s="705">
        <v>27115</v>
      </c>
      <c r="J699" s="705">
        <v>10043</v>
      </c>
      <c r="K699">
        <v>100</v>
      </c>
      <c r="L699" s="705">
        <v>2785</v>
      </c>
      <c r="M699" s="705">
        <v>2532</v>
      </c>
      <c r="N699" s="705">
        <v>1381</v>
      </c>
      <c r="O699" s="705">
        <v>512</v>
      </c>
      <c r="P699" s="705">
        <v>0</v>
      </c>
      <c r="Q699" s="705">
        <v>0</v>
      </c>
      <c r="R699" s="705">
        <v>4737</v>
      </c>
      <c r="S699" s="705">
        <v>4306</v>
      </c>
      <c r="T699" s="705">
        <v>2635</v>
      </c>
      <c r="U699" s="705">
        <v>976</v>
      </c>
      <c r="V699" s="705">
        <v>18368</v>
      </c>
      <c r="W699" s="705">
        <f t="shared" si="42"/>
        <v>18369</v>
      </c>
      <c r="X699" s="705">
        <f t="shared" si="43"/>
        <v>38653</v>
      </c>
      <c r="Y699" s="705"/>
      <c r="AI699" s="429"/>
    </row>
    <row r="700" spans="2:35">
      <c r="B700" t="s">
        <v>538</v>
      </c>
      <c r="C700" t="s">
        <v>124</v>
      </c>
      <c r="D700" t="s">
        <v>583</v>
      </c>
      <c r="E700" t="s">
        <v>664</v>
      </c>
      <c r="F700">
        <v>1</v>
      </c>
      <c r="G700" s="705">
        <v>94</v>
      </c>
      <c r="H700" s="705">
        <v>677</v>
      </c>
      <c r="I700" s="705">
        <v>55089</v>
      </c>
      <c r="J700" s="705">
        <v>50081</v>
      </c>
      <c r="K700">
        <v>65</v>
      </c>
      <c r="L700" s="705">
        <v>0</v>
      </c>
      <c r="M700" s="705">
        <v>0</v>
      </c>
      <c r="N700" s="705">
        <v>2054</v>
      </c>
      <c r="O700" s="705">
        <v>761</v>
      </c>
      <c r="P700" s="705">
        <v>351</v>
      </c>
      <c r="Q700" s="705">
        <v>130</v>
      </c>
      <c r="R700" s="705">
        <v>4003</v>
      </c>
      <c r="S700" s="705">
        <v>3639</v>
      </c>
      <c r="T700" s="705">
        <v>1901</v>
      </c>
      <c r="U700" s="705">
        <v>704</v>
      </c>
      <c r="V700" s="705">
        <v>55315</v>
      </c>
      <c r="W700" s="705">
        <f t="shared" si="42"/>
        <v>55315</v>
      </c>
      <c r="X700" s="705">
        <f t="shared" si="43"/>
        <v>63398</v>
      </c>
      <c r="Y700" s="705"/>
      <c r="AI700" s="429"/>
    </row>
    <row r="701" spans="2:35">
      <c r="B701" t="s">
        <v>538</v>
      </c>
      <c r="C701" t="s">
        <v>124</v>
      </c>
      <c r="D701" t="s">
        <v>583</v>
      </c>
      <c r="E701" t="s">
        <v>228</v>
      </c>
      <c r="F701">
        <v>21</v>
      </c>
      <c r="G701" s="705">
        <v>1706</v>
      </c>
      <c r="H701" s="705">
        <v>12496</v>
      </c>
      <c r="I701" s="705">
        <v>681783</v>
      </c>
      <c r="J701" s="705">
        <v>619802</v>
      </c>
      <c r="K701">
        <v>71</v>
      </c>
      <c r="L701" s="705">
        <v>130768</v>
      </c>
      <c r="M701" s="705">
        <v>111987</v>
      </c>
      <c r="N701" s="705">
        <v>38787</v>
      </c>
      <c r="O701" s="705">
        <v>14366</v>
      </c>
      <c r="P701" s="705">
        <v>11799</v>
      </c>
      <c r="Q701" s="705">
        <v>4370</v>
      </c>
      <c r="R701" s="705">
        <v>129804</v>
      </c>
      <c r="S701" s="705">
        <v>48076</v>
      </c>
      <c r="T701" s="705">
        <v>0</v>
      </c>
      <c r="U701" s="705">
        <v>0</v>
      </c>
      <c r="V701" s="705">
        <v>798600</v>
      </c>
      <c r="W701" s="705">
        <f t="shared" si="42"/>
        <v>798601</v>
      </c>
      <c r="X701" s="705">
        <f t="shared" si="43"/>
        <v>992941</v>
      </c>
      <c r="Y701" s="705"/>
      <c r="AI701" s="429"/>
    </row>
    <row r="702" spans="2:35">
      <c r="B702" t="s">
        <v>538</v>
      </c>
      <c r="C702" t="s">
        <v>124</v>
      </c>
      <c r="D702" t="s">
        <v>583</v>
      </c>
      <c r="E702" t="s">
        <v>583</v>
      </c>
      <c r="F702">
        <v>730</v>
      </c>
      <c r="G702" s="705">
        <v>69629</v>
      </c>
      <c r="H702" s="705">
        <v>410516</v>
      </c>
      <c r="I702" s="705">
        <v>26399059</v>
      </c>
      <c r="J702" s="705">
        <v>23999144</v>
      </c>
      <c r="K702">
        <v>71</v>
      </c>
      <c r="L702" s="705">
        <v>6453567</v>
      </c>
      <c r="M702" s="705">
        <v>5774224</v>
      </c>
      <c r="N702" s="705">
        <v>1560550</v>
      </c>
      <c r="O702" s="705">
        <v>577982</v>
      </c>
      <c r="P702" s="705">
        <v>465750</v>
      </c>
      <c r="Q702" s="705">
        <v>172500</v>
      </c>
      <c r="R702" s="705">
        <v>3682361</v>
      </c>
      <c r="S702" s="705">
        <v>3347600</v>
      </c>
      <c r="T702" s="705">
        <v>1227621</v>
      </c>
      <c r="U702" s="705">
        <v>454675</v>
      </c>
      <c r="V702" s="705">
        <v>34326125</v>
      </c>
      <c r="W702" s="705">
        <f t="shared" si="42"/>
        <v>34326125</v>
      </c>
      <c r="X702" s="705">
        <f t="shared" si="43"/>
        <v>39788908</v>
      </c>
      <c r="Y702" s="705"/>
      <c r="AI702" s="429"/>
    </row>
    <row r="703" spans="2:35">
      <c r="B703" t="s">
        <v>538</v>
      </c>
      <c r="C703" t="s">
        <v>124</v>
      </c>
      <c r="D703" t="s">
        <v>583</v>
      </c>
      <c r="E703" t="s">
        <v>666</v>
      </c>
      <c r="F703">
        <v>3</v>
      </c>
      <c r="G703" s="705">
        <v>289</v>
      </c>
      <c r="H703" s="705">
        <v>1672</v>
      </c>
      <c r="I703" s="705">
        <v>116947</v>
      </c>
      <c r="J703" s="705">
        <v>106316</v>
      </c>
      <c r="K703">
        <v>65</v>
      </c>
      <c r="L703" s="705">
        <v>14239</v>
      </c>
      <c r="M703" s="705">
        <v>12944</v>
      </c>
      <c r="N703" s="705">
        <v>5820</v>
      </c>
      <c r="O703" s="705">
        <v>2155</v>
      </c>
      <c r="P703" s="705">
        <v>2214</v>
      </c>
      <c r="Q703" s="705">
        <v>820</v>
      </c>
      <c r="R703" s="705">
        <v>13849</v>
      </c>
      <c r="S703" s="705">
        <v>12590</v>
      </c>
      <c r="T703" s="705">
        <v>4193</v>
      </c>
      <c r="U703" s="705">
        <v>1553</v>
      </c>
      <c r="V703" s="705">
        <v>136379</v>
      </c>
      <c r="W703" s="705">
        <f t="shared" si="42"/>
        <v>136378</v>
      </c>
      <c r="X703" s="705">
        <f t="shared" si="43"/>
        <v>157262</v>
      </c>
      <c r="Y703" s="705"/>
      <c r="AI703" s="429"/>
    </row>
    <row r="704" spans="2:35">
      <c r="B704" t="s">
        <v>538</v>
      </c>
      <c r="C704" t="s">
        <v>124</v>
      </c>
      <c r="D704" t="s">
        <v>583</v>
      </c>
      <c r="E704" t="s">
        <v>665</v>
      </c>
      <c r="F704">
        <v>3</v>
      </c>
      <c r="G704" s="705">
        <v>513</v>
      </c>
      <c r="H704" s="705">
        <v>1638</v>
      </c>
      <c r="I704" s="705">
        <v>198196</v>
      </c>
      <c r="J704" s="705">
        <v>180178</v>
      </c>
      <c r="K704">
        <v>65</v>
      </c>
      <c r="L704" s="705">
        <v>45365</v>
      </c>
      <c r="M704" s="705">
        <v>41241</v>
      </c>
      <c r="N704" s="705">
        <v>11071</v>
      </c>
      <c r="O704" s="705">
        <v>4100</v>
      </c>
      <c r="P704" s="705">
        <v>1863</v>
      </c>
      <c r="Q704" s="705">
        <v>690</v>
      </c>
      <c r="R704" s="705">
        <v>20056</v>
      </c>
      <c r="S704" s="705">
        <v>18233</v>
      </c>
      <c r="T704" s="705">
        <v>3278</v>
      </c>
      <c r="U704" s="705">
        <v>1214</v>
      </c>
      <c r="V704" s="705">
        <v>245656</v>
      </c>
      <c r="W704" s="705">
        <f t="shared" si="42"/>
        <v>245656</v>
      </c>
      <c r="X704" s="705">
        <f t="shared" si="43"/>
        <v>279829</v>
      </c>
      <c r="Y704" s="705"/>
      <c r="AI704" s="429"/>
    </row>
    <row r="705" spans="2:35">
      <c r="B705" t="s">
        <v>538</v>
      </c>
      <c r="C705" t="s">
        <v>124</v>
      </c>
      <c r="D705" t="s">
        <v>666</v>
      </c>
      <c r="E705" t="s">
        <v>228</v>
      </c>
      <c r="F705" s="705">
        <v>1</v>
      </c>
      <c r="G705" s="705">
        <v>65</v>
      </c>
      <c r="H705" s="705">
        <v>1685</v>
      </c>
      <c r="I705" s="705">
        <v>90480</v>
      </c>
      <c r="J705" s="705">
        <v>82254</v>
      </c>
      <c r="K705">
        <v>30</v>
      </c>
      <c r="L705" s="705">
        <v>10053</v>
      </c>
      <c r="M705" s="705">
        <v>9139</v>
      </c>
      <c r="N705" s="705">
        <v>1591</v>
      </c>
      <c r="O705" s="705">
        <v>589</v>
      </c>
      <c r="P705" s="705">
        <v>0</v>
      </c>
      <c r="Q705" s="705">
        <v>0</v>
      </c>
      <c r="R705" s="705">
        <v>7896</v>
      </c>
      <c r="S705" s="705">
        <v>2925</v>
      </c>
      <c r="T705" s="705">
        <v>0</v>
      </c>
      <c r="U705" s="705">
        <v>0</v>
      </c>
      <c r="V705" s="705">
        <v>94908</v>
      </c>
      <c r="W705" s="705">
        <f t="shared" si="42"/>
        <v>94907</v>
      </c>
      <c r="X705" s="705">
        <f t="shared" si="43"/>
        <v>110020</v>
      </c>
      <c r="Y705" s="705"/>
      <c r="AI705" s="429"/>
    </row>
    <row r="706" spans="2:35">
      <c r="B706" t="s">
        <v>538</v>
      </c>
      <c r="C706" t="s">
        <v>124</v>
      </c>
      <c r="D706" t="s">
        <v>666</v>
      </c>
      <c r="E706" t="s">
        <v>583</v>
      </c>
      <c r="F706">
        <v>1</v>
      </c>
      <c r="G706" s="705">
        <v>79</v>
      </c>
      <c r="H706" s="705">
        <v>924</v>
      </c>
      <c r="I706" s="705">
        <v>50749</v>
      </c>
      <c r="J706" s="705">
        <v>46136</v>
      </c>
      <c r="K706">
        <v>45</v>
      </c>
      <c r="L706" s="705">
        <v>8026</v>
      </c>
      <c r="M706" s="705">
        <v>7296</v>
      </c>
      <c r="N706" s="705">
        <v>1924</v>
      </c>
      <c r="O706" s="705">
        <v>713</v>
      </c>
      <c r="P706" s="705">
        <v>351</v>
      </c>
      <c r="Q706" s="705">
        <v>130</v>
      </c>
      <c r="R706" s="705">
        <v>11926</v>
      </c>
      <c r="S706" s="705">
        <v>10842</v>
      </c>
      <c r="T706" s="705">
        <v>0</v>
      </c>
      <c r="U706" s="705">
        <v>0</v>
      </c>
      <c r="V706" s="705">
        <v>65117</v>
      </c>
      <c r="W706" s="705">
        <f t="shared" si="42"/>
        <v>65117</v>
      </c>
      <c r="X706" s="705">
        <f t="shared" si="43"/>
        <v>72976</v>
      </c>
      <c r="Y706" s="705"/>
      <c r="AI706" s="429"/>
    </row>
    <row r="707" spans="2:35">
      <c r="B707" t="s">
        <v>538</v>
      </c>
      <c r="C707" t="s">
        <v>124</v>
      </c>
      <c r="D707" t="s">
        <v>666</v>
      </c>
      <c r="E707" t="s">
        <v>666</v>
      </c>
      <c r="F707">
        <v>17</v>
      </c>
      <c r="G707" s="705">
        <v>1262</v>
      </c>
      <c r="H707" s="705">
        <v>9814</v>
      </c>
      <c r="I707" s="705">
        <v>507935</v>
      </c>
      <c r="J707" s="705">
        <v>461759</v>
      </c>
      <c r="K707">
        <v>49</v>
      </c>
      <c r="L707" s="705">
        <v>62717</v>
      </c>
      <c r="M707" s="705">
        <v>62890</v>
      </c>
      <c r="N707" s="705">
        <v>28069</v>
      </c>
      <c r="O707" s="705">
        <v>10396</v>
      </c>
      <c r="P707" s="705">
        <v>5265</v>
      </c>
      <c r="Q707" s="705">
        <v>1950</v>
      </c>
      <c r="R707" s="705">
        <v>107972</v>
      </c>
      <c r="S707" s="705">
        <v>98157</v>
      </c>
      <c r="T707" s="705">
        <v>36448</v>
      </c>
      <c r="U707" s="705">
        <v>13499</v>
      </c>
      <c r="V707" s="705">
        <v>648651</v>
      </c>
      <c r="W707" s="705">
        <f t="shared" si="42"/>
        <v>648651</v>
      </c>
      <c r="X707" s="705">
        <f t="shared" si="43"/>
        <v>748406</v>
      </c>
      <c r="Y707" s="705"/>
      <c r="AI707" s="429"/>
    </row>
    <row r="708" spans="2:35">
      <c r="B708" t="s">
        <v>538</v>
      </c>
      <c r="C708" t="s">
        <v>124</v>
      </c>
      <c r="D708" t="s">
        <v>669</v>
      </c>
      <c r="E708" t="s">
        <v>228</v>
      </c>
      <c r="F708">
        <v>1</v>
      </c>
      <c r="G708" s="705">
        <v>214</v>
      </c>
      <c r="H708" s="705">
        <v>1236</v>
      </c>
      <c r="I708" s="705">
        <v>231995</v>
      </c>
      <c r="J708" s="705">
        <v>193329</v>
      </c>
      <c r="K708">
        <v>30</v>
      </c>
      <c r="L708" s="705">
        <v>17400</v>
      </c>
      <c r="M708" s="705">
        <v>6444</v>
      </c>
      <c r="N708" s="705">
        <v>5211</v>
      </c>
      <c r="O708" s="705">
        <v>1930</v>
      </c>
      <c r="P708" s="705">
        <v>0</v>
      </c>
      <c r="Q708" s="705">
        <v>0</v>
      </c>
      <c r="R708" s="705">
        <v>9701</v>
      </c>
      <c r="S708" s="705">
        <v>3593</v>
      </c>
      <c r="T708" s="705">
        <v>0</v>
      </c>
      <c r="U708" s="705">
        <v>0</v>
      </c>
      <c r="V708" s="705">
        <v>205296</v>
      </c>
      <c r="W708" s="705">
        <f t="shared" si="42"/>
        <v>205296</v>
      </c>
      <c r="X708" s="705">
        <f t="shared" si="43"/>
        <v>264307</v>
      </c>
      <c r="Y708" s="705"/>
      <c r="AI708" s="429"/>
    </row>
    <row r="709" spans="2:35">
      <c r="B709" t="s">
        <v>538</v>
      </c>
      <c r="C709" t="s">
        <v>124</v>
      </c>
      <c r="D709" t="s">
        <v>669</v>
      </c>
      <c r="E709" t="s">
        <v>669</v>
      </c>
      <c r="F709">
        <v>4</v>
      </c>
      <c r="G709" s="705">
        <v>415</v>
      </c>
      <c r="H709" s="705">
        <v>2494</v>
      </c>
      <c r="I709" s="705">
        <v>194165</v>
      </c>
      <c r="J709" s="705">
        <v>161804</v>
      </c>
      <c r="K709">
        <v>58</v>
      </c>
      <c r="L709" s="705">
        <v>16250</v>
      </c>
      <c r="M709" s="705">
        <v>13722</v>
      </c>
      <c r="N709" s="705">
        <v>8749</v>
      </c>
      <c r="O709" s="705">
        <v>3240</v>
      </c>
      <c r="P709" s="705">
        <v>1674</v>
      </c>
      <c r="Q709" s="705">
        <v>620</v>
      </c>
      <c r="R709" s="705">
        <v>23360</v>
      </c>
      <c r="S709" s="705">
        <v>19466</v>
      </c>
      <c r="T709" s="705">
        <v>4694</v>
      </c>
      <c r="U709" s="705">
        <v>1738</v>
      </c>
      <c r="V709" s="705">
        <v>200591</v>
      </c>
      <c r="W709" s="705">
        <f t="shared" si="42"/>
        <v>200590</v>
      </c>
      <c r="X709" s="705">
        <f t="shared" si="43"/>
        <v>248892</v>
      </c>
      <c r="Y709" s="705"/>
      <c r="AI709" s="429"/>
    </row>
    <row r="710" spans="2:35">
      <c r="B710" t="s">
        <v>538</v>
      </c>
      <c r="C710" t="s">
        <v>124</v>
      </c>
      <c r="D710" t="s">
        <v>671</v>
      </c>
      <c r="E710" t="s">
        <v>228</v>
      </c>
      <c r="F710">
        <v>5</v>
      </c>
      <c r="G710">
        <v>383</v>
      </c>
      <c r="H710" s="705">
        <v>5390</v>
      </c>
      <c r="I710" s="705">
        <v>341619</v>
      </c>
      <c r="J710" s="705">
        <v>310563</v>
      </c>
      <c r="K710">
        <v>39</v>
      </c>
      <c r="L710" s="705">
        <v>32116</v>
      </c>
      <c r="M710" s="705">
        <v>22384</v>
      </c>
      <c r="N710" s="705">
        <v>9329</v>
      </c>
      <c r="O710" s="705">
        <v>3455</v>
      </c>
      <c r="P710" s="705">
        <v>0</v>
      </c>
      <c r="Q710" s="705">
        <v>0</v>
      </c>
      <c r="R710" s="705">
        <v>30399</v>
      </c>
      <c r="S710" s="705">
        <v>11259</v>
      </c>
      <c r="T710" s="705">
        <v>0</v>
      </c>
      <c r="U710" s="705">
        <v>0</v>
      </c>
      <c r="V710" s="705">
        <v>347662</v>
      </c>
      <c r="W710" s="705">
        <f t="shared" si="42"/>
        <v>347661</v>
      </c>
      <c r="X710" s="705">
        <f t="shared" si="43"/>
        <v>413463</v>
      </c>
      <c r="Y710" s="705"/>
      <c r="AI710" s="429"/>
    </row>
    <row r="711" spans="2:35">
      <c r="B711" t="s">
        <v>538</v>
      </c>
      <c r="C711" t="s">
        <v>124</v>
      </c>
      <c r="D711" t="s">
        <v>671</v>
      </c>
      <c r="E711" t="s">
        <v>671</v>
      </c>
      <c r="F711">
        <v>14</v>
      </c>
      <c r="G711" s="705">
        <v>987</v>
      </c>
      <c r="H711" s="705">
        <v>8887</v>
      </c>
      <c r="I711" s="705">
        <v>403858</v>
      </c>
      <c r="J711" s="705">
        <v>367143</v>
      </c>
      <c r="K711">
        <v>50</v>
      </c>
      <c r="L711" s="705">
        <v>32710</v>
      </c>
      <c r="M711" s="705">
        <v>25482</v>
      </c>
      <c r="N711" s="705">
        <v>22207</v>
      </c>
      <c r="O711" s="705">
        <v>8225</v>
      </c>
      <c r="P711" s="705">
        <v>4833</v>
      </c>
      <c r="Q711" s="705">
        <v>1790</v>
      </c>
      <c r="R711" s="705">
        <v>109223</v>
      </c>
      <c r="S711" s="705">
        <v>99294</v>
      </c>
      <c r="T711" s="705">
        <v>31686</v>
      </c>
      <c r="U711" s="705">
        <v>11735</v>
      </c>
      <c r="V711" s="705">
        <v>513669</v>
      </c>
      <c r="W711" s="705">
        <f t="shared" ref="W711:W774" si="44">SUM(ABS(J711),ABS(M711),ABS(O711),ABS(Q711),ABS(S711),ABS(U711))</f>
        <v>513669</v>
      </c>
      <c r="X711" s="705">
        <f t="shared" ref="X711:X774" si="45">SUM(ABS(I711),ABS(N711),ABS(P711),ABS(R711),ABS(T711),ABS(L711))</f>
        <v>604517</v>
      </c>
      <c r="Y711" s="705"/>
      <c r="AI711" s="429"/>
    </row>
    <row r="712" spans="2:35">
      <c r="B712" t="s">
        <v>538</v>
      </c>
      <c r="C712" t="s">
        <v>124</v>
      </c>
      <c r="D712" t="s">
        <v>665</v>
      </c>
      <c r="E712" t="s">
        <v>228</v>
      </c>
      <c r="F712">
        <v>47</v>
      </c>
      <c r="G712" s="705">
        <v>3938</v>
      </c>
      <c r="H712" s="705">
        <v>55429</v>
      </c>
      <c r="I712" s="705">
        <v>3537366</v>
      </c>
      <c r="J712" s="705">
        <v>3215787</v>
      </c>
      <c r="K712">
        <v>36</v>
      </c>
      <c r="L712" s="705">
        <v>350601</v>
      </c>
      <c r="M712" s="705">
        <v>179128</v>
      </c>
      <c r="N712" s="705">
        <v>93569</v>
      </c>
      <c r="O712" s="705">
        <v>34655</v>
      </c>
      <c r="P712" s="705">
        <v>2727</v>
      </c>
      <c r="Q712" s="705">
        <v>1010</v>
      </c>
      <c r="R712" s="705">
        <v>276764</v>
      </c>
      <c r="S712" s="705">
        <v>102505</v>
      </c>
      <c r="T712" s="705">
        <v>4324</v>
      </c>
      <c r="U712" s="705">
        <v>1601</v>
      </c>
      <c r="V712" s="705">
        <v>3534687</v>
      </c>
      <c r="W712" s="705">
        <f t="shared" si="44"/>
        <v>3534686</v>
      </c>
      <c r="X712" s="705">
        <f t="shared" si="45"/>
        <v>4265351</v>
      </c>
      <c r="Y712" s="705"/>
      <c r="AI712" s="429"/>
    </row>
    <row r="713" spans="2:35">
      <c r="B713" t="s">
        <v>538</v>
      </c>
      <c r="C713" t="s">
        <v>124</v>
      </c>
      <c r="D713" t="s">
        <v>665</v>
      </c>
      <c r="E713" t="s">
        <v>583</v>
      </c>
      <c r="F713">
        <v>2</v>
      </c>
      <c r="G713">
        <v>253</v>
      </c>
      <c r="H713" s="705">
        <v>2130</v>
      </c>
      <c r="I713" s="705">
        <v>242651</v>
      </c>
      <c r="J713" s="705">
        <v>220591</v>
      </c>
      <c r="K713">
        <v>30</v>
      </c>
      <c r="L713" s="705">
        <v>8901</v>
      </c>
      <c r="M713" s="705">
        <v>8092</v>
      </c>
      <c r="N713" s="705">
        <v>6094</v>
      </c>
      <c r="O713" s="705">
        <v>2257</v>
      </c>
      <c r="P713" s="705">
        <v>1242</v>
      </c>
      <c r="Q713">
        <v>460</v>
      </c>
      <c r="R713" s="705">
        <v>6520</v>
      </c>
      <c r="S713" s="705">
        <v>5927</v>
      </c>
      <c r="T713" s="705">
        <v>4613</v>
      </c>
      <c r="U713" s="705">
        <v>1708</v>
      </c>
      <c r="V713" s="705">
        <v>239036</v>
      </c>
      <c r="W713" s="705">
        <f t="shared" si="44"/>
        <v>239035</v>
      </c>
      <c r="X713" s="705">
        <f t="shared" si="45"/>
        <v>270021</v>
      </c>
      <c r="Y713" s="705"/>
      <c r="AI713" s="429"/>
    </row>
    <row r="714" spans="2:35">
      <c r="B714" t="s">
        <v>538</v>
      </c>
      <c r="C714" t="s">
        <v>124</v>
      </c>
      <c r="D714" t="s">
        <v>665</v>
      </c>
      <c r="E714" t="s">
        <v>665</v>
      </c>
      <c r="F714">
        <v>205</v>
      </c>
      <c r="G714" s="705">
        <v>17889</v>
      </c>
      <c r="H714" s="705">
        <v>141440</v>
      </c>
      <c r="I714" s="705">
        <v>8912220</v>
      </c>
      <c r="J714" s="705">
        <v>8102018</v>
      </c>
      <c r="K714">
        <v>51</v>
      </c>
      <c r="L714" s="705">
        <v>1232913</v>
      </c>
      <c r="M714" s="705">
        <v>1057526</v>
      </c>
      <c r="N714" s="705">
        <v>398018</v>
      </c>
      <c r="O714" s="705">
        <v>147414</v>
      </c>
      <c r="P714" s="705">
        <v>69111</v>
      </c>
      <c r="Q714" s="705">
        <v>25597</v>
      </c>
      <c r="R714" s="705">
        <v>1231540</v>
      </c>
      <c r="S714" s="705">
        <v>1119582</v>
      </c>
      <c r="T714" s="705">
        <v>466021</v>
      </c>
      <c r="U714" s="705">
        <v>172600</v>
      </c>
      <c r="V714" s="705">
        <v>10624736</v>
      </c>
      <c r="W714" s="705">
        <f t="shared" si="44"/>
        <v>10624737</v>
      </c>
      <c r="X714" s="705">
        <f t="shared" si="45"/>
        <v>12309823</v>
      </c>
      <c r="Y714" s="705"/>
      <c r="AI714" s="429"/>
    </row>
    <row r="715" spans="2:35">
      <c r="B715" t="s">
        <v>538</v>
      </c>
      <c r="C715" t="s">
        <v>124</v>
      </c>
      <c r="D715" t="s">
        <v>673</v>
      </c>
      <c r="E715" t="s">
        <v>673</v>
      </c>
      <c r="F715">
        <v>2</v>
      </c>
      <c r="G715" s="705">
        <v>313</v>
      </c>
      <c r="H715" s="705">
        <v>952</v>
      </c>
      <c r="I715" s="705">
        <v>105286</v>
      </c>
      <c r="J715" s="705">
        <v>95715</v>
      </c>
      <c r="K715">
        <v>50</v>
      </c>
      <c r="L715" s="705">
        <v>18214</v>
      </c>
      <c r="M715" s="705">
        <v>16559</v>
      </c>
      <c r="N715" s="705">
        <v>6997</v>
      </c>
      <c r="O715" s="705">
        <v>2592</v>
      </c>
      <c r="P715" s="705">
        <v>702</v>
      </c>
      <c r="Q715" s="705">
        <v>260</v>
      </c>
      <c r="R715" s="705">
        <v>12297</v>
      </c>
      <c r="S715" s="705">
        <v>11179</v>
      </c>
      <c r="T715" s="705">
        <v>4027</v>
      </c>
      <c r="U715" s="705">
        <v>1491</v>
      </c>
      <c r="V715" s="705">
        <v>127796</v>
      </c>
      <c r="W715" s="705">
        <f t="shared" si="44"/>
        <v>127796</v>
      </c>
      <c r="X715" s="705">
        <f t="shared" si="45"/>
        <v>147523</v>
      </c>
      <c r="Y715" s="705"/>
      <c r="AI715" s="429"/>
    </row>
    <row r="716" spans="2:35">
      <c r="B716" t="s">
        <v>539</v>
      </c>
      <c r="C716" t="s">
        <v>108</v>
      </c>
      <c r="D716" t="s">
        <v>582</v>
      </c>
      <c r="E716" t="s">
        <v>582</v>
      </c>
      <c r="F716">
        <v>8</v>
      </c>
      <c r="G716" s="705">
        <v>1584</v>
      </c>
      <c r="H716" s="705">
        <v>521</v>
      </c>
      <c r="I716" s="705">
        <v>45063</v>
      </c>
      <c r="J716" s="705">
        <v>40967</v>
      </c>
      <c r="K716">
        <v>92</v>
      </c>
      <c r="L716" s="705">
        <v>1122</v>
      </c>
      <c r="M716" s="705">
        <v>1020</v>
      </c>
      <c r="N716" s="705">
        <v>25091</v>
      </c>
      <c r="O716" s="705">
        <v>9293</v>
      </c>
      <c r="P716" s="705">
        <v>10768</v>
      </c>
      <c r="Q716" s="705">
        <v>3988</v>
      </c>
      <c r="R716" s="705">
        <v>32602</v>
      </c>
      <c r="S716" s="705">
        <v>29638</v>
      </c>
      <c r="T716" s="705">
        <v>0</v>
      </c>
      <c r="U716" s="705">
        <v>0</v>
      </c>
      <c r="V716" s="705">
        <v>84906</v>
      </c>
      <c r="W716" s="705">
        <f t="shared" si="44"/>
        <v>84906</v>
      </c>
      <c r="X716" s="705">
        <f t="shared" si="45"/>
        <v>114646</v>
      </c>
      <c r="Y716" s="705"/>
      <c r="AI716" s="429"/>
    </row>
    <row r="717" spans="2:35">
      <c r="B717" t="s">
        <v>539</v>
      </c>
      <c r="C717" t="s">
        <v>108</v>
      </c>
      <c r="D717" t="s">
        <v>228</v>
      </c>
      <c r="E717" t="s">
        <v>228</v>
      </c>
      <c r="F717">
        <v>950</v>
      </c>
      <c r="G717" s="705">
        <v>198800</v>
      </c>
      <c r="H717" s="705">
        <v>50223</v>
      </c>
      <c r="I717" s="705">
        <v>1258248</v>
      </c>
      <c r="J717" s="705">
        <v>466018</v>
      </c>
      <c r="K717">
        <v>450</v>
      </c>
      <c r="L717" s="705">
        <v>315601</v>
      </c>
      <c r="M717" s="705">
        <v>262480</v>
      </c>
      <c r="N717" s="705">
        <v>2557102</v>
      </c>
      <c r="O717" s="705">
        <v>947075</v>
      </c>
      <c r="P717" s="705">
        <v>1335675</v>
      </c>
      <c r="Q717" s="705">
        <v>494694</v>
      </c>
      <c r="R717" s="705">
        <v>4868659</v>
      </c>
      <c r="S717" s="705">
        <v>1803207</v>
      </c>
      <c r="T717" s="705">
        <v>2955</v>
      </c>
      <c r="U717" s="705">
        <v>1094</v>
      </c>
      <c r="V717" s="705">
        <v>3974568</v>
      </c>
      <c r="W717" s="705">
        <f t="shared" si="44"/>
        <v>3974568</v>
      </c>
      <c r="X717" s="705">
        <f t="shared" si="45"/>
        <v>10338240</v>
      </c>
      <c r="Y717" s="705"/>
      <c r="AI717" s="429"/>
    </row>
    <row r="718" spans="2:35">
      <c r="B718" t="s">
        <v>539</v>
      </c>
      <c r="C718" t="s">
        <v>108</v>
      </c>
      <c r="D718" t="s">
        <v>228</v>
      </c>
      <c r="E718" t="s">
        <v>584</v>
      </c>
      <c r="F718">
        <v>7</v>
      </c>
      <c r="G718" s="705">
        <v>1879</v>
      </c>
      <c r="H718" s="705">
        <v>367</v>
      </c>
      <c r="I718" s="705">
        <v>27314</v>
      </c>
      <c r="J718" s="705">
        <v>10116</v>
      </c>
      <c r="K718">
        <v>383</v>
      </c>
      <c r="L718" s="705">
        <v>5360</v>
      </c>
      <c r="M718" s="705">
        <v>4872</v>
      </c>
      <c r="N718" s="705">
        <v>22892</v>
      </c>
      <c r="O718" s="705">
        <v>8479</v>
      </c>
      <c r="P718" s="705">
        <v>16456</v>
      </c>
      <c r="Q718" s="705">
        <v>6095</v>
      </c>
      <c r="R718" s="705">
        <v>25355</v>
      </c>
      <c r="S718" s="705">
        <v>23050</v>
      </c>
      <c r="T718" s="705">
        <v>0</v>
      </c>
      <c r="U718" s="705">
        <v>0</v>
      </c>
      <c r="V718" s="705">
        <v>52612</v>
      </c>
      <c r="W718" s="705">
        <f t="shared" si="44"/>
        <v>52612</v>
      </c>
      <c r="X718" s="705">
        <f t="shared" si="45"/>
        <v>97377</v>
      </c>
      <c r="Y718" s="705"/>
      <c r="AI718" s="429"/>
    </row>
    <row r="719" spans="2:35">
      <c r="B719" t="s">
        <v>539</v>
      </c>
      <c r="C719" t="s">
        <v>108</v>
      </c>
      <c r="D719" t="s">
        <v>583</v>
      </c>
      <c r="E719" t="s">
        <v>583</v>
      </c>
      <c r="F719">
        <v>22</v>
      </c>
      <c r="G719" s="705">
        <v>5084</v>
      </c>
      <c r="H719" s="705">
        <v>1291</v>
      </c>
      <c r="I719" s="705">
        <v>89724</v>
      </c>
      <c r="J719" s="705">
        <v>81567</v>
      </c>
      <c r="K719">
        <v>95</v>
      </c>
      <c r="L719" s="705">
        <v>13349</v>
      </c>
      <c r="M719" s="705">
        <v>11137</v>
      </c>
      <c r="N719" s="705">
        <v>72959</v>
      </c>
      <c r="O719" s="705">
        <v>27022</v>
      </c>
      <c r="P719" s="705">
        <v>34700</v>
      </c>
      <c r="Q719" s="705">
        <v>12852</v>
      </c>
      <c r="R719" s="705">
        <v>96637</v>
      </c>
      <c r="S719" s="705">
        <v>87852</v>
      </c>
      <c r="T719" s="705">
        <v>0</v>
      </c>
      <c r="U719" s="705">
        <v>0</v>
      </c>
      <c r="V719" s="705">
        <v>220429</v>
      </c>
      <c r="W719" s="705">
        <f t="shared" si="44"/>
        <v>220430</v>
      </c>
      <c r="X719" s="705">
        <f t="shared" si="45"/>
        <v>307369</v>
      </c>
      <c r="Y719" s="705"/>
      <c r="AI719" s="429"/>
    </row>
    <row r="720" spans="2:35">
      <c r="B720" t="s">
        <v>539</v>
      </c>
      <c r="C720" t="s">
        <v>108</v>
      </c>
      <c r="D720" t="s">
        <v>584</v>
      </c>
      <c r="E720" t="s">
        <v>228</v>
      </c>
      <c r="F720">
        <v>5</v>
      </c>
      <c r="G720" s="705">
        <v>741</v>
      </c>
      <c r="H720" s="705">
        <v>339</v>
      </c>
      <c r="I720" s="705">
        <v>15212</v>
      </c>
      <c r="J720" s="705">
        <v>13829</v>
      </c>
      <c r="K720">
        <v>91</v>
      </c>
      <c r="L720" s="705">
        <v>843</v>
      </c>
      <c r="M720" s="705">
        <v>767</v>
      </c>
      <c r="N720" s="705">
        <v>9030</v>
      </c>
      <c r="O720" s="705">
        <v>3345</v>
      </c>
      <c r="P720" s="705">
        <v>4431</v>
      </c>
      <c r="Q720" s="705">
        <v>1641</v>
      </c>
      <c r="R720" s="705">
        <v>21425</v>
      </c>
      <c r="S720" s="705">
        <v>7935</v>
      </c>
      <c r="T720" s="705">
        <v>0</v>
      </c>
      <c r="U720" s="705">
        <v>0</v>
      </c>
      <c r="V720" s="705">
        <v>27517</v>
      </c>
      <c r="W720" s="705">
        <f t="shared" si="44"/>
        <v>27517</v>
      </c>
      <c r="X720" s="705">
        <f t="shared" si="45"/>
        <v>50941</v>
      </c>
      <c r="Y720" s="705"/>
      <c r="AI720" s="429"/>
    </row>
    <row r="721" spans="2:35">
      <c r="B721" t="s">
        <v>539</v>
      </c>
      <c r="C721" t="s">
        <v>108</v>
      </c>
      <c r="D721" t="s">
        <v>584</v>
      </c>
      <c r="E721" t="s">
        <v>584</v>
      </c>
      <c r="F721" s="705">
        <v>1031</v>
      </c>
      <c r="G721" s="705">
        <v>172175</v>
      </c>
      <c r="H721" s="705">
        <v>61062</v>
      </c>
      <c r="I721" s="705">
        <v>2098960</v>
      </c>
      <c r="J721" s="705">
        <v>1908145</v>
      </c>
      <c r="K721">
        <v>91</v>
      </c>
      <c r="L721" s="705">
        <v>175580</v>
      </c>
      <c r="M721" s="705">
        <v>133501</v>
      </c>
      <c r="N721" s="705">
        <v>2173758</v>
      </c>
      <c r="O721" s="705">
        <v>805096</v>
      </c>
      <c r="P721" s="705">
        <v>1549796</v>
      </c>
      <c r="Q721" s="705">
        <v>573999</v>
      </c>
      <c r="R721" s="705">
        <v>4052231</v>
      </c>
      <c r="S721" s="705">
        <v>3683846</v>
      </c>
      <c r="T721" s="705">
        <v>3375</v>
      </c>
      <c r="U721" s="705">
        <v>1250</v>
      </c>
      <c r="V721" s="705">
        <v>7105836</v>
      </c>
      <c r="W721" s="705">
        <f t="shared" si="44"/>
        <v>7105837</v>
      </c>
      <c r="X721" s="705">
        <f t="shared" si="45"/>
        <v>10053700</v>
      </c>
      <c r="Y721" s="705"/>
      <c r="AI721" s="429"/>
    </row>
    <row r="722" spans="2:35">
      <c r="B722" t="s">
        <v>539</v>
      </c>
      <c r="C722" t="s">
        <v>108</v>
      </c>
      <c r="D722" t="s">
        <v>584</v>
      </c>
      <c r="E722" t="s">
        <v>665</v>
      </c>
      <c r="F722">
        <v>1</v>
      </c>
      <c r="G722">
        <v>205</v>
      </c>
      <c r="H722" s="705">
        <v>73</v>
      </c>
      <c r="I722" s="705">
        <v>4538</v>
      </c>
      <c r="J722" s="705">
        <v>4125</v>
      </c>
      <c r="K722">
        <v>90</v>
      </c>
      <c r="L722" s="705">
        <v>779</v>
      </c>
      <c r="M722" s="705">
        <v>708</v>
      </c>
      <c r="N722" s="705">
        <v>2824</v>
      </c>
      <c r="O722" s="705">
        <v>1046</v>
      </c>
      <c r="P722" s="705">
        <v>2353</v>
      </c>
      <c r="Q722" s="705">
        <v>871</v>
      </c>
      <c r="R722" s="705">
        <v>4509</v>
      </c>
      <c r="S722" s="705">
        <v>4099</v>
      </c>
      <c r="T722" s="705">
        <v>0</v>
      </c>
      <c r="U722" s="705">
        <v>0</v>
      </c>
      <c r="V722" s="705">
        <v>10850</v>
      </c>
      <c r="W722" s="705">
        <f t="shared" si="44"/>
        <v>10849</v>
      </c>
      <c r="X722" s="705">
        <f t="shared" si="45"/>
        <v>15003</v>
      </c>
      <c r="Y722" s="705"/>
      <c r="AI722" s="429"/>
    </row>
    <row r="723" spans="2:35">
      <c r="B723" t="s">
        <v>539</v>
      </c>
      <c r="C723" t="s">
        <v>108</v>
      </c>
      <c r="D723" t="s">
        <v>673</v>
      </c>
      <c r="E723" t="s">
        <v>228</v>
      </c>
      <c r="F723">
        <v>1</v>
      </c>
      <c r="G723">
        <v>152</v>
      </c>
      <c r="H723" s="705">
        <v>73</v>
      </c>
      <c r="I723" s="705">
        <v>3101</v>
      </c>
      <c r="J723" s="705">
        <v>2819</v>
      </c>
      <c r="K723">
        <v>71</v>
      </c>
      <c r="L723" s="705">
        <v>0</v>
      </c>
      <c r="M723" s="705">
        <v>0</v>
      </c>
      <c r="N723" s="705">
        <v>1848</v>
      </c>
      <c r="O723" s="705">
        <v>685</v>
      </c>
      <c r="P723" s="705">
        <v>1234</v>
      </c>
      <c r="Q723" s="705">
        <v>457</v>
      </c>
      <c r="R723" s="705">
        <v>4833</v>
      </c>
      <c r="S723" s="705">
        <v>1790</v>
      </c>
      <c r="T723" s="705">
        <v>0</v>
      </c>
      <c r="U723" s="705">
        <v>0</v>
      </c>
      <c r="V723" s="705">
        <v>5751</v>
      </c>
      <c r="W723" s="705">
        <f t="shared" si="44"/>
        <v>5751</v>
      </c>
      <c r="X723" s="705">
        <f t="shared" si="45"/>
        <v>11016</v>
      </c>
      <c r="Y723" s="705"/>
      <c r="AI723" s="429"/>
    </row>
    <row r="724" spans="2:35">
      <c r="B724" t="s">
        <v>539</v>
      </c>
      <c r="C724" t="s">
        <v>110</v>
      </c>
      <c r="F724">
        <v>2</v>
      </c>
      <c r="G724" s="705">
        <v>151</v>
      </c>
      <c r="H724" s="705">
        <v>152</v>
      </c>
      <c r="I724" s="705"/>
      <c r="J724" s="705">
        <v>0</v>
      </c>
      <c r="L724" s="705"/>
      <c r="M724" s="705">
        <v>0</v>
      </c>
      <c r="N724" s="705">
        <v>1845</v>
      </c>
      <c r="O724" s="705">
        <v>683</v>
      </c>
      <c r="P724" s="705">
        <v>1197</v>
      </c>
      <c r="Q724" s="705">
        <v>443</v>
      </c>
      <c r="R724" s="705"/>
      <c r="S724" s="705">
        <v>0</v>
      </c>
      <c r="T724" s="705">
        <v>0</v>
      </c>
      <c r="U724" s="705">
        <v>0</v>
      </c>
      <c r="V724" s="705">
        <v>1126</v>
      </c>
      <c r="W724" s="705">
        <f t="shared" si="44"/>
        <v>1126</v>
      </c>
      <c r="X724" s="705">
        <f t="shared" si="45"/>
        <v>3042</v>
      </c>
      <c r="Y724" s="705"/>
      <c r="AI724" s="429"/>
    </row>
    <row r="725" spans="2:35">
      <c r="B725" t="s">
        <v>539</v>
      </c>
      <c r="C725" t="s">
        <v>110</v>
      </c>
      <c r="D725" t="s">
        <v>664</v>
      </c>
      <c r="E725" t="s">
        <v>664</v>
      </c>
      <c r="F725" s="705">
        <v>1</v>
      </c>
      <c r="G725" s="705">
        <v>277</v>
      </c>
      <c r="H725" s="705">
        <v>82</v>
      </c>
      <c r="I725" s="705">
        <v>12136</v>
      </c>
      <c r="J725" s="705">
        <v>11033</v>
      </c>
      <c r="K725">
        <v>92</v>
      </c>
      <c r="L725" s="705">
        <v>1478</v>
      </c>
      <c r="M725" s="705">
        <v>1344</v>
      </c>
      <c r="N725" s="705">
        <v>3369</v>
      </c>
      <c r="O725" s="705">
        <v>1248</v>
      </c>
      <c r="P725" s="705">
        <v>473</v>
      </c>
      <c r="Q725" s="705">
        <v>175</v>
      </c>
      <c r="R725" s="705">
        <v>5280</v>
      </c>
      <c r="S725" s="705">
        <v>4800</v>
      </c>
      <c r="T725" s="705">
        <v>0</v>
      </c>
      <c r="U725" s="705">
        <v>0</v>
      </c>
      <c r="V725" s="705">
        <v>18599</v>
      </c>
      <c r="W725" s="705">
        <f t="shared" si="44"/>
        <v>18600</v>
      </c>
      <c r="X725" s="705">
        <f t="shared" si="45"/>
        <v>22736</v>
      </c>
      <c r="Y725" s="705"/>
      <c r="AI725" s="429"/>
    </row>
    <row r="726" spans="2:35">
      <c r="B726" t="s">
        <v>539</v>
      </c>
      <c r="C726" t="s">
        <v>110</v>
      </c>
      <c r="D726" t="s">
        <v>582</v>
      </c>
      <c r="E726" t="s">
        <v>582</v>
      </c>
      <c r="F726">
        <v>12</v>
      </c>
      <c r="G726" s="705">
        <v>2576</v>
      </c>
      <c r="H726" s="705">
        <v>1068</v>
      </c>
      <c r="I726" s="705">
        <v>93759</v>
      </c>
      <c r="J726" s="705">
        <v>85236</v>
      </c>
      <c r="K726">
        <v>91</v>
      </c>
      <c r="L726" s="705">
        <v>17759</v>
      </c>
      <c r="M726" s="705">
        <v>9966</v>
      </c>
      <c r="N726" s="705">
        <v>34447</v>
      </c>
      <c r="O726" s="705">
        <v>12758</v>
      </c>
      <c r="P726" s="705">
        <v>12371</v>
      </c>
      <c r="Q726" s="705">
        <v>4582</v>
      </c>
      <c r="R726" s="705">
        <v>71221</v>
      </c>
      <c r="S726" s="705">
        <v>64746</v>
      </c>
      <c r="T726" s="705">
        <v>0</v>
      </c>
      <c r="U726" s="705">
        <v>0</v>
      </c>
      <c r="V726" s="705">
        <v>177288</v>
      </c>
      <c r="W726" s="705">
        <f t="shared" si="44"/>
        <v>177288</v>
      </c>
      <c r="X726" s="705">
        <f t="shared" si="45"/>
        <v>229557</v>
      </c>
      <c r="Y726" s="705"/>
      <c r="AI726" s="429"/>
    </row>
    <row r="727" spans="2:35">
      <c r="B727" t="s">
        <v>539</v>
      </c>
      <c r="C727" t="s">
        <v>110</v>
      </c>
      <c r="D727" t="s">
        <v>228</v>
      </c>
      <c r="E727" t="s">
        <v>228</v>
      </c>
      <c r="F727">
        <v>62</v>
      </c>
      <c r="G727" s="705">
        <v>16330</v>
      </c>
      <c r="H727" s="705">
        <v>5607</v>
      </c>
      <c r="I727" s="705">
        <v>587491</v>
      </c>
      <c r="J727" s="705">
        <v>217589</v>
      </c>
      <c r="K727">
        <v>372</v>
      </c>
      <c r="L727" s="705">
        <v>166708</v>
      </c>
      <c r="M727" s="705">
        <v>141172</v>
      </c>
      <c r="N727" s="705">
        <v>280665</v>
      </c>
      <c r="O727" s="705">
        <v>103950</v>
      </c>
      <c r="P727" s="705">
        <v>84766</v>
      </c>
      <c r="Q727" s="705">
        <v>31395</v>
      </c>
      <c r="R727" s="705">
        <v>405251</v>
      </c>
      <c r="S727" s="705">
        <v>150093</v>
      </c>
      <c r="T727" s="705">
        <v>0</v>
      </c>
      <c r="U727" s="705">
        <v>0</v>
      </c>
      <c r="V727" s="705">
        <v>644198</v>
      </c>
      <c r="W727" s="705">
        <f t="shared" si="44"/>
        <v>644199</v>
      </c>
      <c r="X727" s="705">
        <f t="shared" si="45"/>
        <v>1524881</v>
      </c>
      <c r="Y727" s="705"/>
      <c r="AI727" s="429"/>
    </row>
    <row r="728" spans="2:35">
      <c r="B728" t="s">
        <v>539</v>
      </c>
      <c r="C728" t="s">
        <v>110</v>
      </c>
      <c r="D728" t="s">
        <v>228</v>
      </c>
      <c r="E728" t="s">
        <v>584</v>
      </c>
      <c r="F728">
        <v>1</v>
      </c>
      <c r="G728" s="705">
        <v>203</v>
      </c>
      <c r="H728" s="705">
        <v>97</v>
      </c>
      <c r="I728" s="705">
        <v>19086</v>
      </c>
      <c r="J728" s="705">
        <v>7069</v>
      </c>
      <c r="K728">
        <v>250</v>
      </c>
      <c r="L728" s="705">
        <v>0</v>
      </c>
      <c r="M728" s="705">
        <v>604</v>
      </c>
      <c r="N728" s="705">
        <v>3767</v>
      </c>
      <c r="O728" s="705">
        <v>1395</v>
      </c>
      <c r="P728" s="705">
        <v>3030</v>
      </c>
      <c r="Q728" s="705">
        <v>1122</v>
      </c>
      <c r="R728" s="705">
        <v>4031</v>
      </c>
      <c r="S728" s="705">
        <v>3665</v>
      </c>
      <c r="T728" s="705">
        <v>0</v>
      </c>
      <c r="U728" s="705">
        <v>0</v>
      </c>
      <c r="V728" s="705">
        <v>13855</v>
      </c>
      <c r="W728" s="705">
        <f t="shared" si="44"/>
        <v>13855</v>
      </c>
      <c r="X728" s="705">
        <f t="shared" si="45"/>
        <v>29914</v>
      </c>
      <c r="Y728" s="705"/>
      <c r="AI728" s="429"/>
    </row>
    <row r="729" spans="2:35">
      <c r="B729" t="s">
        <v>539</v>
      </c>
      <c r="C729" t="s">
        <v>110</v>
      </c>
      <c r="D729" t="s">
        <v>583</v>
      </c>
      <c r="E729" t="s">
        <v>583</v>
      </c>
      <c r="F729">
        <v>20</v>
      </c>
      <c r="G729" s="705">
        <v>4836</v>
      </c>
      <c r="H729" s="705">
        <v>1863</v>
      </c>
      <c r="I729" s="705">
        <v>227857</v>
      </c>
      <c r="J729" s="705">
        <v>207142</v>
      </c>
      <c r="K729">
        <v>93</v>
      </c>
      <c r="L729" s="705">
        <v>29704</v>
      </c>
      <c r="M729" s="705">
        <v>26189</v>
      </c>
      <c r="N729" s="705">
        <v>74444</v>
      </c>
      <c r="O729" s="705">
        <v>27572</v>
      </c>
      <c r="P729" s="705">
        <v>24790</v>
      </c>
      <c r="Q729" s="705">
        <v>9182</v>
      </c>
      <c r="R729" s="705">
        <v>95225</v>
      </c>
      <c r="S729" s="705">
        <v>86568</v>
      </c>
      <c r="T729" s="705">
        <v>3014</v>
      </c>
      <c r="U729" s="705">
        <v>1116</v>
      </c>
      <c r="V729" s="705">
        <v>357770</v>
      </c>
      <c r="W729" s="705">
        <f t="shared" si="44"/>
        <v>357769</v>
      </c>
      <c r="X729" s="705">
        <f t="shared" si="45"/>
        <v>455034</v>
      </c>
      <c r="Y729" s="705"/>
      <c r="AI729" s="429"/>
    </row>
    <row r="730" spans="2:35">
      <c r="B730" t="s">
        <v>539</v>
      </c>
      <c r="C730" t="s">
        <v>110</v>
      </c>
      <c r="D730" t="s">
        <v>584</v>
      </c>
      <c r="E730" t="s">
        <v>228</v>
      </c>
      <c r="F730">
        <v>3</v>
      </c>
      <c r="G730" s="705">
        <v>560</v>
      </c>
      <c r="H730" s="705">
        <v>283</v>
      </c>
      <c r="I730" s="705">
        <v>26473</v>
      </c>
      <c r="J730" s="705">
        <v>24067</v>
      </c>
      <c r="K730">
        <v>90</v>
      </c>
      <c r="L730" s="705">
        <v>3869</v>
      </c>
      <c r="M730" s="705">
        <v>3474</v>
      </c>
      <c r="N730" s="705">
        <v>6885</v>
      </c>
      <c r="O730" s="705">
        <v>2550</v>
      </c>
      <c r="P730" s="705">
        <v>2549</v>
      </c>
      <c r="Q730" s="705">
        <v>944</v>
      </c>
      <c r="R730" s="705">
        <v>12403</v>
      </c>
      <c r="S730" s="705">
        <v>4594</v>
      </c>
      <c r="T730" s="705">
        <v>0</v>
      </c>
      <c r="U730" s="705">
        <v>0</v>
      </c>
      <c r="V730" s="705">
        <v>35629</v>
      </c>
      <c r="W730" s="705">
        <f t="shared" si="44"/>
        <v>35629</v>
      </c>
      <c r="X730" s="705">
        <f t="shared" si="45"/>
        <v>52179</v>
      </c>
      <c r="Y730" s="705"/>
      <c r="AI730" s="429"/>
    </row>
    <row r="731" spans="2:35">
      <c r="B731" t="s">
        <v>539</v>
      </c>
      <c r="C731" t="s">
        <v>110</v>
      </c>
      <c r="D731" t="s">
        <v>584</v>
      </c>
      <c r="E731" t="s">
        <v>584</v>
      </c>
      <c r="F731">
        <v>240</v>
      </c>
      <c r="G731" s="705">
        <v>49720</v>
      </c>
      <c r="H731" s="705">
        <v>21921</v>
      </c>
      <c r="I731" s="705">
        <v>2319469</v>
      </c>
      <c r="J731" s="705">
        <v>2108608</v>
      </c>
      <c r="K731">
        <v>91</v>
      </c>
      <c r="L731" s="705">
        <v>350273</v>
      </c>
      <c r="M731" s="705">
        <v>315418</v>
      </c>
      <c r="N731" s="705">
        <v>759011</v>
      </c>
      <c r="O731" s="705">
        <v>281115</v>
      </c>
      <c r="P731" s="705">
        <v>210253</v>
      </c>
      <c r="Q731" s="705">
        <v>77872</v>
      </c>
      <c r="R731" s="705">
        <v>1047390</v>
      </c>
      <c r="S731" s="705">
        <v>952173</v>
      </c>
      <c r="T731" s="705">
        <v>10078</v>
      </c>
      <c r="U731" s="705">
        <v>3733</v>
      </c>
      <c r="V731" s="705">
        <v>3738919</v>
      </c>
      <c r="W731" s="705">
        <f t="shared" si="44"/>
        <v>3738919</v>
      </c>
      <c r="X731" s="705">
        <f t="shared" si="45"/>
        <v>4696474</v>
      </c>
      <c r="Y731" s="705"/>
      <c r="AI731" s="429"/>
    </row>
    <row r="732" spans="2:35">
      <c r="B732" t="s">
        <v>539</v>
      </c>
      <c r="C732" t="s">
        <v>110</v>
      </c>
      <c r="D732" t="s">
        <v>669</v>
      </c>
      <c r="E732" t="s">
        <v>228</v>
      </c>
      <c r="F732">
        <v>1</v>
      </c>
      <c r="G732">
        <v>123</v>
      </c>
      <c r="H732" s="705">
        <v>80</v>
      </c>
      <c r="I732" s="705">
        <v>-323</v>
      </c>
      <c r="J732" s="705">
        <v>-269</v>
      </c>
      <c r="K732">
        <v>417</v>
      </c>
      <c r="L732" s="705">
        <v>-174</v>
      </c>
      <c r="M732" s="705">
        <v>-158</v>
      </c>
      <c r="N732" s="705">
        <v>2800</v>
      </c>
      <c r="O732" s="705">
        <v>1037</v>
      </c>
      <c r="P732" s="705">
        <v>1376</v>
      </c>
      <c r="Q732">
        <v>510</v>
      </c>
      <c r="R732" s="705">
        <v>6123</v>
      </c>
      <c r="S732" s="705">
        <v>2268</v>
      </c>
      <c r="T732" s="705">
        <v>0</v>
      </c>
      <c r="U732" s="705">
        <v>0</v>
      </c>
      <c r="V732" s="705">
        <v>3388</v>
      </c>
      <c r="W732" s="705">
        <f t="shared" si="44"/>
        <v>4242</v>
      </c>
      <c r="X732" s="705">
        <f t="shared" si="45"/>
        <v>10796</v>
      </c>
      <c r="Y732" s="705"/>
      <c r="AI732" s="429"/>
    </row>
    <row r="733" spans="2:35">
      <c r="B733" t="s">
        <v>539</v>
      </c>
      <c r="C733" t="s">
        <v>110</v>
      </c>
      <c r="D733" t="s">
        <v>722</v>
      </c>
      <c r="E733" t="s">
        <v>722</v>
      </c>
      <c r="F733">
        <v>1</v>
      </c>
      <c r="G733" s="705">
        <v>265</v>
      </c>
      <c r="H733" s="705">
        <v>86</v>
      </c>
      <c r="I733" s="705">
        <v>7763</v>
      </c>
      <c r="J733" s="705">
        <v>7057</v>
      </c>
      <c r="K733">
        <v>94</v>
      </c>
      <c r="L733" s="705">
        <v>2703</v>
      </c>
      <c r="M733" s="705">
        <v>2457</v>
      </c>
      <c r="N733" s="705">
        <v>3552</v>
      </c>
      <c r="O733" s="705">
        <v>1315</v>
      </c>
      <c r="P733" s="705">
        <v>3727</v>
      </c>
      <c r="Q733" s="705">
        <v>1381</v>
      </c>
      <c r="R733" s="705">
        <v>5148</v>
      </c>
      <c r="S733" s="705">
        <v>4680</v>
      </c>
      <c r="T733" s="705">
        <v>0</v>
      </c>
      <c r="U733" s="705">
        <v>0</v>
      </c>
      <c r="V733" s="705">
        <v>16890</v>
      </c>
      <c r="W733" s="705">
        <f t="shared" si="44"/>
        <v>16890</v>
      </c>
      <c r="X733" s="705">
        <f t="shared" si="45"/>
        <v>22893</v>
      </c>
      <c r="Y733" s="705"/>
      <c r="AI733" s="429"/>
    </row>
    <row r="734" spans="2:35">
      <c r="B734" t="s">
        <v>539</v>
      </c>
      <c r="C734" t="s">
        <v>110</v>
      </c>
      <c r="D734" t="s">
        <v>585</v>
      </c>
      <c r="E734" t="s">
        <v>585</v>
      </c>
      <c r="F734" s="705">
        <v>1</v>
      </c>
      <c r="G734" s="705">
        <v>270</v>
      </c>
      <c r="H734" s="705">
        <v>89</v>
      </c>
      <c r="I734" s="705">
        <v>12048</v>
      </c>
      <c r="J734" s="705">
        <v>10953</v>
      </c>
      <c r="K734">
        <v>86</v>
      </c>
      <c r="L734" s="705">
        <v>1914</v>
      </c>
      <c r="M734" s="705">
        <v>1740</v>
      </c>
      <c r="N734" s="705">
        <v>3286</v>
      </c>
      <c r="O734" s="705">
        <v>1217</v>
      </c>
      <c r="P734" s="705">
        <v>351</v>
      </c>
      <c r="Q734" s="705">
        <v>130</v>
      </c>
      <c r="R734" s="705">
        <v>6327</v>
      </c>
      <c r="S734" s="705">
        <v>5752</v>
      </c>
      <c r="T734" s="705">
        <v>0</v>
      </c>
      <c r="U734" s="705">
        <v>0</v>
      </c>
      <c r="V734" s="705">
        <v>19792</v>
      </c>
      <c r="W734" s="705">
        <f t="shared" si="44"/>
        <v>19792</v>
      </c>
      <c r="X734" s="705">
        <f t="shared" si="45"/>
        <v>23926</v>
      </c>
      <c r="Y734" s="705"/>
      <c r="AI734" s="429"/>
    </row>
    <row r="735" spans="2:35">
      <c r="B735" t="s">
        <v>539</v>
      </c>
      <c r="C735" t="s">
        <v>112</v>
      </c>
      <c r="D735" t="s">
        <v>582</v>
      </c>
      <c r="E735" t="s">
        <v>582</v>
      </c>
      <c r="F735">
        <v>7</v>
      </c>
      <c r="G735" s="705">
        <v>1719</v>
      </c>
      <c r="H735" s="705">
        <v>758</v>
      </c>
      <c r="I735" s="705">
        <v>112991</v>
      </c>
      <c r="J735" s="705">
        <v>102719</v>
      </c>
      <c r="K735">
        <v>92</v>
      </c>
      <c r="L735" s="705">
        <v>18828</v>
      </c>
      <c r="M735" s="705">
        <v>15690</v>
      </c>
      <c r="N735" s="705">
        <v>33446</v>
      </c>
      <c r="O735" s="705">
        <v>12388</v>
      </c>
      <c r="P735" s="705">
        <v>5184</v>
      </c>
      <c r="Q735" s="705">
        <v>1920</v>
      </c>
      <c r="R735" s="705">
        <v>35141</v>
      </c>
      <c r="S735" s="705">
        <v>31946</v>
      </c>
      <c r="T735" s="705">
        <v>0</v>
      </c>
      <c r="U735" s="705">
        <v>0</v>
      </c>
      <c r="V735" s="705">
        <v>164662</v>
      </c>
      <c r="W735" s="705">
        <f t="shared" si="44"/>
        <v>164663</v>
      </c>
      <c r="X735" s="705">
        <f t="shared" si="45"/>
        <v>205590</v>
      </c>
      <c r="Y735" s="705"/>
      <c r="AI735" s="429"/>
    </row>
    <row r="736" spans="2:35">
      <c r="B736" t="s">
        <v>539</v>
      </c>
      <c r="C736" t="s">
        <v>112</v>
      </c>
      <c r="D736" t="s">
        <v>228</v>
      </c>
      <c r="E736" t="s">
        <v>228</v>
      </c>
      <c r="F736">
        <v>43</v>
      </c>
      <c r="G736" s="705">
        <v>16349</v>
      </c>
      <c r="H736" s="705">
        <v>4761</v>
      </c>
      <c r="I736" s="705">
        <v>838338</v>
      </c>
      <c r="J736" s="705">
        <v>310496</v>
      </c>
      <c r="K736">
        <v>342</v>
      </c>
      <c r="L736" s="705">
        <v>317797</v>
      </c>
      <c r="M736" s="705">
        <v>284210</v>
      </c>
      <c r="N736" s="705">
        <v>359617</v>
      </c>
      <c r="O736" s="705">
        <v>133192</v>
      </c>
      <c r="P736" s="705">
        <v>59391</v>
      </c>
      <c r="Q736" s="705">
        <v>21997</v>
      </c>
      <c r="R736" s="705">
        <v>352556</v>
      </c>
      <c r="S736" s="705">
        <v>130576</v>
      </c>
      <c r="T736" s="705">
        <v>4431</v>
      </c>
      <c r="U736" s="705">
        <v>1641</v>
      </c>
      <c r="V736" s="705">
        <v>882111</v>
      </c>
      <c r="W736" s="705">
        <f t="shared" si="44"/>
        <v>882112</v>
      </c>
      <c r="X736" s="705">
        <f t="shared" si="45"/>
        <v>1932130</v>
      </c>
      <c r="Y736" s="705"/>
      <c r="AI736" s="429"/>
    </row>
    <row r="737" spans="2:35">
      <c r="B737" t="s">
        <v>539</v>
      </c>
      <c r="C737" t="s">
        <v>112</v>
      </c>
      <c r="D737" t="s">
        <v>228</v>
      </c>
      <c r="E737" t="s">
        <v>584</v>
      </c>
      <c r="F737">
        <v>1</v>
      </c>
      <c r="G737" s="705">
        <v>334</v>
      </c>
      <c r="H737" s="705">
        <v>120</v>
      </c>
      <c r="I737" s="705">
        <v>21938</v>
      </c>
      <c r="J737" s="705">
        <v>8125</v>
      </c>
      <c r="K737">
        <v>330</v>
      </c>
      <c r="L737" s="705">
        <v>2941</v>
      </c>
      <c r="M737" s="705">
        <v>2674</v>
      </c>
      <c r="N737" s="705">
        <v>9372</v>
      </c>
      <c r="O737" s="705">
        <v>3471</v>
      </c>
      <c r="P737" s="705">
        <v>473</v>
      </c>
      <c r="Q737" s="705">
        <v>175</v>
      </c>
      <c r="R737" s="705">
        <v>11751</v>
      </c>
      <c r="S737" s="705">
        <v>10683</v>
      </c>
      <c r="T737" s="705">
        <v>0</v>
      </c>
      <c r="U737" s="705">
        <v>0</v>
      </c>
      <c r="V737" s="705">
        <v>25128</v>
      </c>
      <c r="W737" s="705">
        <f t="shared" si="44"/>
        <v>25128</v>
      </c>
      <c r="X737" s="705">
        <f t="shared" si="45"/>
        <v>46475</v>
      </c>
      <c r="Y737" s="705"/>
      <c r="AI737" s="429"/>
    </row>
    <row r="738" spans="2:35">
      <c r="B738" t="s">
        <v>539</v>
      </c>
      <c r="C738" t="s">
        <v>112</v>
      </c>
      <c r="D738" t="s">
        <v>583</v>
      </c>
      <c r="E738" t="s">
        <v>228</v>
      </c>
      <c r="F738">
        <v>1</v>
      </c>
      <c r="G738" s="705">
        <v>122</v>
      </c>
      <c r="H738" s="705">
        <v>118</v>
      </c>
      <c r="I738" s="705">
        <v>5663</v>
      </c>
      <c r="J738" s="705">
        <v>5148</v>
      </c>
      <c r="K738">
        <v>93</v>
      </c>
      <c r="L738" s="705">
        <v>1064</v>
      </c>
      <c r="M738" s="705">
        <v>887</v>
      </c>
      <c r="N738" s="705">
        <v>2417</v>
      </c>
      <c r="O738" s="705">
        <v>895</v>
      </c>
      <c r="P738" s="705">
        <v>621</v>
      </c>
      <c r="Q738" s="705">
        <v>230</v>
      </c>
      <c r="R738" s="705">
        <v>4542</v>
      </c>
      <c r="S738" s="705">
        <v>1682</v>
      </c>
      <c r="T738" s="705">
        <v>0</v>
      </c>
      <c r="U738" s="705">
        <v>0</v>
      </c>
      <c r="V738" s="705">
        <v>8842</v>
      </c>
      <c r="W738" s="705">
        <f t="shared" si="44"/>
        <v>8842</v>
      </c>
      <c r="X738" s="705">
        <f t="shared" si="45"/>
        <v>14307</v>
      </c>
      <c r="Y738" s="705"/>
      <c r="AI738" s="429"/>
    </row>
    <row r="739" spans="2:35">
      <c r="B739" t="s">
        <v>539</v>
      </c>
      <c r="C739" t="s">
        <v>112</v>
      </c>
      <c r="D739" t="s">
        <v>583</v>
      </c>
      <c r="E739" t="s">
        <v>583</v>
      </c>
      <c r="F739">
        <v>88</v>
      </c>
      <c r="G739" s="705">
        <v>19107</v>
      </c>
      <c r="H739" s="705">
        <v>10263</v>
      </c>
      <c r="I739" s="705">
        <v>1376959</v>
      </c>
      <c r="J739" s="705">
        <v>1251781</v>
      </c>
      <c r="K739">
        <v>93</v>
      </c>
      <c r="L739" s="705">
        <v>242594</v>
      </c>
      <c r="M739" s="705">
        <v>214595</v>
      </c>
      <c r="N739" s="705">
        <v>352335</v>
      </c>
      <c r="O739" s="705">
        <v>130494</v>
      </c>
      <c r="P739" s="705">
        <v>81050</v>
      </c>
      <c r="Q739" s="705">
        <v>30018</v>
      </c>
      <c r="R739" s="705">
        <v>452683</v>
      </c>
      <c r="S739" s="705">
        <v>411530</v>
      </c>
      <c r="T739" s="705">
        <v>1944</v>
      </c>
      <c r="U739" s="705">
        <v>720</v>
      </c>
      <c r="V739" s="705">
        <v>2039139</v>
      </c>
      <c r="W739" s="705">
        <f t="shared" si="44"/>
        <v>2039138</v>
      </c>
      <c r="X739" s="705">
        <f t="shared" si="45"/>
        <v>2507565</v>
      </c>
      <c r="Y739" s="705"/>
      <c r="AI739" s="429"/>
    </row>
    <row r="740" spans="2:35">
      <c r="B740" t="s">
        <v>539</v>
      </c>
      <c r="C740" t="s">
        <v>112</v>
      </c>
      <c r="D740" t="s">
        <v>584</v>
      </c>
      <c r="E740" t="s">
        <v>582</v>
      </c>
      <c r="F740">
        <v>1</v>
      </c>
      <c r="G740" s="705">
        <v>152</v>
      </c>
      <c r="H740" s="705">
        <v>106</v>
      </c>
      <c r="I740" s="705">
        <v>16134</v>
      </c>
      <c r="J740" s="705">
        <v>14667</v>
      </c>
      <c r="K740">
        <v>90</v>
      </c>
      <c r="L740" s="705">
        <v>0</v>
      </c>
      <c r="M740" s="705">
        <v>0</v>
      </c>
      <c r="N740" s="705">
        <v>3583</v>
      </c>
      <c r="O740" s="705">
        <v>1327</v>
      </c>
      <c r="P740" s="705">
        <v>473</v>
      </c>
      <c r="Q740" s="705">
        <v>175</v>
      </c>
      <c r="R740" s="705">
        <v>6125</v>
      </c>
      <c r="S740" s="705">
        <v>5568</v>
      </c>
      <c r="T740" s="705">
        <v>0</v>
      </c>
      <c r="U740" s="705">
        <v>0</v>
      </c>
      <c r="V740" s="705">
        <v>21738</v>
      </c>
      <c r="W740" s="705">
        <f t="shared" si="44"/>
        <v>21737</v>
      </c>
      <c r="X740" s="705">
        <f t="shared" si="45"/>
        <v>26315</v>
      </c>
      <c r="Y740" s="705"/>
      <c r="AI740" s="429"/>
    </row>
    <row r="741" spans="2:35">
      <c r="B741" t="s">
        <v>539</v>
      </c>
      <c r="C741" t="s">
        <v>112</v>
      </c>
      <c r="D741" t="s">
        <v>584</v>
      </c>
      <c r="E741" t="s">
        <v>228</v>
      </c>
      <c r="F741">
        <v>3</v>
      </c>
      <c r="G741" s="705">
        <v>818</v>
      </c>
      <c r="H741" s="705">
        <v>334</v>
      </c>
      <c r="I741" s="705">
        <v>49547</v>
      </c>
      <c r="J741" s="705">
        <v>45042</v>
      </c>
      <c r="K741">
        <v>91</v>
      </c>
      <c r="L741" s="705">
        <v>17011</v>
      </c>
      <c r="M741" s="705">
        <v>14910</v>
      </c>
      <c r="N741" s="705">
        <v>14332</v>
      </c>
      <c r="O741" s="705">
        <v>5308</v>
      </c>
      <c r="P741" s="705">
        <v>3298</v>
      </c>
      <c r="Q741" s="705">
        <v>1221</v>
      </c>
      <c r="R741" s="705">
        <v>11004</v>
      </c>
      <c r="S741" s="705">
        <v>4075</v>
      </c>
      <c r="T741" s="705">
        <v>0</v>
      </c>
      <c r="U741" s="705">
        <v>0</v>
      </c>
      <c r="V741" s="705">
        <v>70557</v>
      </c>
      <c r="W741" s="705">
        <f t="shared" si="44"/>
        <v>70556</v>
      </c>
      <c r="X741" s="705">
        <f t="shared" si="45"/>
        <v>95192</v>
      </c>
      <c r="Y741" s="705"/>
      <c r="AI741" s="429"/>
    </row>
    <row r="742" spans="2:35">
      <c r="B742" t="s">
        <v>539</v>
      </c>
      <c r="C742" t="s">
        <v>112</v>
      </c>
      <c r="D742" t="s">
        <v>584</v>
      </c>
      <c r="E742" t="s">
        <v>584</v>
      </c>
      <c r="F742">
        <v>586</v>
      </c>
      <c r="G742" s="705">
        <v>129631</v>
      </c>
      <c r="H742" s="705">
        <v>67866</v>
      </c>
      <c r="I742" s="705">
        <v>8351491</v>
      </c>
      <c r="J742" s="705">
        <v>7592265</v>
      </c>
      <c r="K742">
        <v>90</v>
      </c>
      <c r="L742" s="705">
        <v>1589206</v>
      </c>
      <c r="M742" s="705">
        <v>1395163</v>
      </c>
      <c r="N742" s="705">
        <v>2293357</v>
      </c>
      <c r="O742" s="705">
        <v>849392</v>
      </c>
      <c r="P742" s="705">
        <v>391138</v>
      </c>
      <c r="Q742" s="705">
        <v>144866</v>
      </c>
      <c r="R742" s="705">
        <v>3030860</v>
      </c>
      <c r="S742" s="705">
        <v>2755327</v>
      </c>
      <c r="T742" s="705">
        <v>39887</v>
      </c>
      <c r="U742" s="705">
        <v>14773</v>
      </c>
      <c r="V742" s="705">
        <v>12751785</v>
      </c>
      <c r="W742" s="705">
        <f t="shared" si="44"/>
        <v>12751786</v>
      </c>
      <c r="X742" s="705">
        <f t="shared" si="45"/>
        <v>15695939</v>
      </c>
      <c r="Y742" s="705"/>
      <c r="AI742" s="429"/>
    </row>
    <row r="743" spans="2:35">
      <c r="B743" t="s">
        <v>539</v>
      </c>
      <c r="C743" t="s">
        <v>112</v>
      </c>
      <c r="D743" t="s">
        <v>585</v>
      </c>
      <c r="E743" t="s">
        <v>585</v>
      </c>
      <c r="F743">
        <v>2</v>
      </c>
      <c r="G743">
        <v>431</v>
      </c>
      <c r="H743" s="705">
        <v>230</v>
      </c>
      <c r="I743" s="705">
        <v>31929</v>
      </c>
      <c r="J743" s="705">
        <v>29027</v>
      </c>
      <c r="K743">
        <v>77</v>
      </c>
      <c r="L743" s="705">
        <v>4131</v>
      </c>
      <c r="M743" s="705">
        <v>3755</v>
      </c>
      <c r="N743" s="705">
        <v>6122</v>
      </c>
      <c r="O743" s="705">
        <v>2268</v>
      </c>
      <c r="P743" s="705">
        <v>4974</v>
      </c>
      <c r="Q743" s="705">
        <v>1842</v>
      </c>
      <c r="R743" s="705">
        <v>10577</v>
      </c>
      <c r="S743" s="705">
        <v>9616</v>
      </c>
      <c r="T743" s="705">
        <v>0</v>
      </c>
      <c r="U743" s="705">
        <v>0</v>
      </c>
      <c r="V743" s="705">
        <v>46507</v>
      </c>
      <c r="W743" s="705">
        <f t="shared" si="44"/>
        <v>46508</v>
      </c>
      <c r="X743" s="705">
        <f t="shared" si="45"/>
        <v>57733</v>
      </c>
      <c r="Y743" s="705"/>
      <c r="AI743" s="429"/>
    </row>
    <row r="744" spans="2:35">
      <c r="B744" t="s">
        <v>539</v>
      </c>
      <c r="C744" t="s">
        <v>114</v>
      </c>
      <c r="F744">
        <v>1</v>
      </c>
      <c r="G744">
        <v>236</v>
      </c>
      <c r="H744" s="705">
        <v>128</v>
      </c>
      <c r="I744" s="705"/>
      <c r="J744" s="705">
        <v>0</v>
      </c>
      <c r="L744" s="705"/>
      <c r="M744" s="705">
        <v>0</v>
      </c>
      <c r="N744" s="705">
        <v>2875</v>
      </c>
      <c r="O744" s="705">
        <v>1065</v>
      </c>
      <c r="P744" s="705">
        <v>473</v>
      </c>
      <c r="Q744" s="705">
        <v>175</v>
      </c>
      <c r="R744" s="705"/>
      <c r="S744" s="705">
        <v>0</v>
      </c>
      <c r="T744" s="705">
        <v>0</v>
      </c>
      <c r="U744" s="705">
        <v>0</v>
      </c>
      <c r="V744" s="705">
        <v>1240</v>
      </c>
      <c r="W744" s="705">
        <f t="shared" si="44"/>
        <v>1240</v>
      </c>
      <c r="X744" s="705">
        <f t="shared" si="45"/>
        <v>3348</v>
      </c>
      <c r="Y744" s="705"/>
      <c r="AI744" s="429"/>
    </row>
    <row r="745" spans="2:35">
      <c r="B745" t="s">
        <v>539</v>
      </c>
      <c r="C745" t="s">
        <v>114</v>
      </c>
      <c r="D745" t="s">
        <v>664</v>
      </c>
      <c r="E745" t="s">
        <v>664</v>
      </c>
      <c r="F745">
        <v>2</v>
      </c>
      <c r="G745">
        <v>568</v>
      </c>
      <c r="H745" s="705">
        <v>282</v>
      </c>
      <c r="I745" s="705">
        <v>53921</v>
      </c>
      <c r="J745" s="705">
        <v>49019</v>
      </c>
      <c r="K745">
        <v>86</v>
      </c>
      <c r="L745" s="705">
        <v>8782</v>
      </c>
      <c r="M745" s="705">
        <v>7689</v>
      </c>
      <c r="N745" s="705">
        <v>12655</v>
      </c>
      <c r="O745" s="705">
        <v>4687</v>
      </c>
      <c r="P745" s="705">
        <v>945</v>
      </c>
      <c r="Q745" s="705">
        <v>350</v>
      </c>
      <c r="R745" s="705">
        <v>16441</v>
      </c>
      <c r="S745" s="705">
        <v>14946</v>
      </c>
      <c r="T745" s="705">
        <v>0</v>
      </c>
      <c r="U745" s="705">
        <v>0</v>
      </c>
      <c r="V745" s="705">
        <v>76691</v>
      </c>
      <c r="W745" s="705">
        <f t="shared" si="44"/>
        <v>76691</v>
      </c>
      <c r="X745" s="705">
        <f t="shared" si="45"/>
        <v>92744</v>
      </c>
      <c r="Y745" s="705"/>
      <c r="AI745" s="429"/>
    </row>
    <row r="746" spans="2:35">
      <c r="B746" t="s">
        <v>539</v>
      </c>
      <c r="C746" t="s">
        <v>114</v>
      </c>
      <c r="D746" t="s">
        <v>582</v>
      </c>
      <c r="E746" t="s">
        <v>664</v>
      </c>
      <c r="F746">
        <v>1</v>
      </c>
      <c r="G746">
        <v>400</v>
      </c>
      <c r="H746">
        <v>132</v>
      </c>
      <c r="I746" s="705">
        <v>30819</v>
      </c>
      <c r="J746" s="705">
        <v>28017</v>
      </c>
      <c r="K746">
        <v>78</v>
      </c>
      <c r="L746" s="705">
        <v>3904</v>
      </c>
      <c r="M746" s="705">
        <v>3549</v>
      </c>
      <c r="N746" s="705">
        <v>9736</v>
      </c>
      <c r="O746" s="705">
        <v>3606</v>
      </c>
      <c r="P746" s="705">
        <v>473</v>
      </c>
      <c r="Q746">
        <v>175</v>
      </c>
      <c r="R746" s="705">
        <v>7917</v>
      </c>
      <c r="S746" s="705">
        <v>7197</v>
      </c>
      <c r="T746" s="705">
        <v>0</v>
      </c>
      <c r="U746">
        <v>0</v>
      </c>
      <c r="V746" s="705">
        <v>42544</v>
      </c>
      <c r="W746" s="705">
        <f t="shared" si="44"/>
        <v>42544</v>
      </c>
      <c r="X746" s="705">
        <f t="shared" si="45"/>
        <v>52849</v>
      </c>
      <c r="Y746" s="705"/>
      <c r="AI746" s="429"/>
    </row>
    <row r="747" spans="2:35">
      <c r="B747" t="s">
        <v>539</v>
      </c>
      <c r="C747" t="s">
        <v>114</v>
      </c>
      <c r="D747" t="s">
        <v>582</v>
      </c>
      <c r="E747" t="s">
        <v>582</v>
      </c>
      <c r="F747">
        <v>14</v>
      </c>
      <c r="G747" s="705">
        <v>3277</v>
      </c>
      <c r="H747" s="705">
        <v>1989</v>
      </c>
      <c r="I747" s="705">
        <v>287136</v>
      </c>
      <c r="J747" s="705">
        <v>261033</v>
      </c>
      <c r="K747">
        <v>89</v>
      </c>
      <c r="L747" s="705">
        <v>56284</v>
      </c>
      <c r="M747" s="705">
        <v>49606</v>
      </c>
      <c r="N747" s="705">
        <v>65483</v>
      </c>
      <c r="O747" s="705">
        <v>24253</v>
      </c>
      <c r="P747" s="705">
        <v>7466</v>
      </c>
      <c r="Q747" s="705">
        <v>2765</v>
      </c>
      <c r="R747" s="705">
        <v>73671</v>
      </c>
      <c r="S747" s="705">
        <v>66973</v>
      </c>
      <c r="T747" s="705">
        <v>4707</v>
      </c>
      <c r="U747" s="705">
        <v>1743</v>
      </c>
      <c r="V747" s="705">
        <v>406373</v>
      </c>
      <c r="W747" s="705">
        <f t="shared" si="44"/>
        <v>406373</v>
      </c>
      <c r="X747" s="705">
        <f t="shared" si="45"/>
        <v>494747</v>
      </c>
      <c r="Y747" s="705"/>
      <c r="AI747" s="429"/>
    </row>
    <row r="748" spans="2:35">
      <c r="B748" t="s">
        <v>539</v>
      </c>
      <c r="C748" t="s">
        <v>114</v>
      </c>
      <c r="D748" t="s">
        <v>228</v>
      </c>
      <c r="E748" t="s">
        <v>228</v>
      </c>
      <c r="F748">
        <v>32</v>
      </c>
      <c r="G748" s="705">
        <v>7932</v>
      </c>
      <c r="H748" s="705">
        <v>4456</v>
      </c>
      <c r="I748" s="705">
        <v>527820</v>
      </c>
      <c r="J748" s="705">
        <v>195489</v>
      </c>
      <c r="K748">
        <v>288</v>
      </c>
      <c r="L748" s="705">
        <v>168182</v>
      </c>
      <c r="M748" s="705">
        <v>149865</v>
      </c>
      <c r="N748" s="705">
        <v>154644</v>
      </c>
      <c r="O748" s="705">
        <v>57276</v>
      </c>
      <c r="P748" s="705">
        <v>40746</v>
      </c>
      <c r="Q748" s="705">
        <v>15091</v>
      </c>
      <c r="R748" s="705">
        <v>242062</v>
      </c>
      <c r="S748" s="705">
        <v>89653</v>
      </c>
      <c r="T748" s="705">
        <v>3887</v>
      </c>
      <c r="U748" s="705">
        <v>1440</v>
      </c>
      <c r="V748" s="705">
        <v>508813</v>
      </c>
      <c r="W748" s="705">
        <f t="shared" si="44"/>
        <v>508814</v>
      </c>
      <c r="X748" s="705">
        <f t="shared" si="45"/>
        <v>1137341</v>
      </c>
      <c r="Y748" s="705"/>
      <c r="AI748" s="429"/>
    </row>
    <row r="749" spans="2:35">
      <c r="B749" t="s">
        <v>539</v>
      </c>
      <c r="C749" t="s">
        <v>114</v>
      </c>
      <c r="D749" t="s">
        <v>228</v>
      </c>
      <c r="E749" t="s">
        <v>584</v>
      </c>
      <c r="F749">
        <v>1</v>
      </c>
      <c r="G749" s="705">
        <v>440</v>
      </c>
      <c r="H749" s="705">
        <v>144</v>
      </c>
      <c r="I749" s="705">
        <v>33726</v>
      </c>
      <c r="J749" s="705">
        <v>12491</v>
      </c>
      <c r="K749">
        <v>250</v>
      </c>
      <c r="L749" s="705">
        <v>9542</v>
      </c>
      <c r="M749" s="705">
        <v>8674</v>
      </c>
      <c r="N749" s="705">
        <v>10442</v>
      </c>
      <c r="O749" s="705">
        <v>3867</v>
      </c>
      <c r="P749" s="705">
        <v>4956</v>
      </c>
      <c r="Q749" s="705">
        <v>1836</v>
      </c>
      <c r="R749" s="705">
        <v>4675</v>
      </c>
      <c r="S749" s="705">
        <v>4250</v>
      </c>
      <c r="T749" s="705">
        <v>0</v>
      </c>
      <c r="U749" s="705">
        <v>0</v>
      </c>
      <c r="V749" s="705">
        <v>31118</v>
      </c>
      <c r="W749" s="705">
        <f t="shared" si="44"/>
        <v>31118</v>
      </c>
      <c r="X749" s="705">
        <f t="shared" si="45"/>
        <v>63341</v>
      </c>
      <c r="Y749" s="705"/>
      <c r="AI749" s="429"/>
    </row>
    <row r="750" spans="2:35">
      <c r="B750" t="s">
        <v>539</v>
      </c>
      <c r="C750" t="s">
        <v>114</v>
      </c>
      <c r="D750" t="s">
        <v>583</v>
      </c>
      <c r="E750" t="s">
        <v>664</v>
      </c>
      <c r="F750">
        <v>1</v>
      </c>
      <c r="G750">
        <v>245</v>
      </c>
      <c r="H750" s="705">
        <v>147</v>
      </c>
      <c r="I750" s="705">
        <v>22319</v>
      </c>
      <c r="J750" s="705">
        <v>20290</v>
      </c>
      <c r="K750">
        <v>83</v>
      </c>
      <c r="L750" s="705">
        <v>3918</v>
      </c>
      <c r="M750" s="705">
        <v>3562</v>
      </c>
      <c r="N750" s="705">
        <v>2980</v>
      </c>
      <c r="O750" s="705">
        <v>1104</v>
      </c>
      <c r="P750" s="705">
        <v>621</v>
      </c>
      <c r="Q750" s="705">
        <v>230</v>
      </c>
      <c r="R750" s="705">
        <v>6240</v>
      </c>
      <c r="S750" s="705">
        <v>5673</v>
      </c>
      <c r="T750" s="705">
        <v>0</v>
      </c>
      <c r="U750" s="705">
        <v>0</v>
      </c>
      <c r="V750" s="705">
        <v>30859</v>
      </c>
      <c r="W750" s="705">
        <f t="shared" si="44"/>
        <v>30859</v>
      </c>
      <c r="X750" s="705">
        <f t="shared" si="45"/>
        <v>36078</v>
      </c>
      <c r="Y750" s="705"/>
      <c r="AI750" s="429"/>
    </row>
    <row r="751" spans="2:35">
      <c r="B751" t="s">
        <v>539</v>
      </c>
      <c r="C751" t="s">
        <v>114</v>
      </c>
      <c r="D751" t="s">
        <v>583</v>
      </c>
      <c r="E751" t="s">
        <v>228</v>
      </c>
      <c r="F751">
        <v>2</v>
      </c>
      <c r="G751" s="705">
        <v>388</v>
      </c>
      <c r="H751" s="705">
        <v>289</v>
      </c>
      <c r="I751" s="705">
        <v>38905</v>
      </c>
      <c r="J751" s="705">
        <v>35368</v>
      </c>
      <c r="K751">
        <v>92</v>
      </c>
      <c r="L751" s="705">
        <v>13743</v>
      </c>
      <c r="M751" s="705">
        <v>11966</v>
      </c>
      <c r="N751" s="705">
        <v>7459</v>
      </c>
      <c r="O751" s="705">
        <v>2763</v>
      </c>
      <c r="P751" s="705">
        <v>1242</v>
      </c>
      <c r="Q751" s="705">
        <v>460</v>
      </c>
      <c r="R751" s="705">
        <v>7082</v>
      </c>
      <c r="S751" s="705">
        <v>2623</v>
      </c>
      <c r="T751" s="705">
        <v>0</v>
      </c>
      <c r="U751" s="705">
        <v>0</v>
      </c>
      <c r="V751" s="705">
        <v>53180</v>
      </c>
      <c r="W751" s="705">
        <f t="shared" si="44"/>
        <v>53180</v>
      </c>
      <c r="X751" s="705">
        <f t="shared" si="45"/>
        <v>68431</v>
      </c>
      <c r="Y751" s="705"/>
      <c r="AI751" s="429"/>
    </row>
    <row r="752" spans="2:35">
      <c r="B752" t="s">
        <v>539</v>
      </c>
      <c r="C752" t="s">
        <v>114</v>
      </c>
      <c r="D752" t="s">
        <v>583</v>
      </c>
      <c r="E752" t="s">
        <v>583</v>
      </c>
      <c r="F752">
        <v>233</v>
      </c>
      <c r="G752" s="705">
        <v>52583</v>
      </c>
      <c r="H752" s="705">
        <v>32665</v>
      </c>
      <c r="I752" s="705">
        <v>4551257</v>
      </c>
      <c r="J752" s="705">
        <v>4137506</v>
      </c>
      <c r="K752">
        <v>91</v>
      </c>
      <c r="L752" s="705">
        <v>1044834</v>
      </c>
      <c r="M752" s="705">
        <v>944718</v>
      </c>
      <c r="N752" s="705">
        <v>1059295</v>
      </c>
      <c r="O752" s="705">
        <v>392331</v>
      </c>
      <c r="P752" s="705">
        <v>177426</v>
      </c>
      <c r="Q752" s="705">
        <v>65713</v>
      </c>
      <c r="R752" s="705">
        <v>1239468</v>
      </c>
      <c r="S752" s="705">
        <v>1126789</v>
      </c>
      <c r="T752" s="705">
        <v>70590</v>
      </c>
      <c r="U752" s="705">
        <v>26145</v>
      </c>
      <c r="V752" s="705">
        <v>6693202</v>
      </c>
      <c r="W752" s="705">
        <f t="shared" si="44"/>
        <v>6693202</v>
      </c>
      <c r="X752" s="705">
        <f t="shared" si="45"/>
        <v>8142870</v>
      </c>
      <c r="Y752" s="705"/>
      <c r="AI752" s="429"/>
    </row>
    <row r="753" spans="2:35">
      <c r="B753" t="s">
        <v>539</v>
      </c>
      <c r="C753" t="s">
        <v>114</v>
      </c>
      <c r="D753" t="s">
        <v>584</v>
      </c>
      <c r="E753" t="s">
        <v>228</v>
      </c>
      <c r="F753">
        <v>4</v>
      </c>
      <c r="G753" s="705">
        <v>993</v>
      </c>
      <c r="H753" s="705">
        <v>557</v>
      </c>
      <c r="I753" s="705">
        <v>75144</v>
      </c>
      <c r="J753" s="705">
        <v>68313</v>
      </c>
      <c r="K753">
        <v>87</v>
      </c>
      <c r="L753" s="705">
        <v>13477</v>
      </c>
      <c r="M753" s="705">
        <v>11675</v>
      </c>
      <c r="N753" s="705">
        <v>18186</v>
      </c>
      <c r="O753" s="705">
        <v>6736</v>
      </c>
      <c r="P753" s="705">
        <v>6144</v>
      </c>
      <c r="Q753" s="705">
        <v>2276</v>
      </c>
      <c r="R753" s="705">
        <v>27424</v>
      </c>
      <c r="S753" s="705">
        <v>10157</v>
      </c>
      <c r="T753" s="705">
        <v>0</v>
      </c>
      <c r="U753">
        <v>0</v>
      </c>
      <c r="V753" s="705">
        <v>99156</v>
      </c>
      <c r="W753" s="705">
        <f t="shared" si="44"/>
        <v>99157</v>
      </c>
      <c r="X753" s="705">
        <f t="shared" si="45"/>
        <v>140375</v>
      </c>
      <c r="Y753" s="705"/>
      <c r="AI753" s="429"/>
    </row>
    <row r="754" spans="2:35">
      <c r="B754" t="s">
        <v>539</v>
      </c>
      <c r="C754" t="s">
        <v>114</v>
      </c>
      <c r="D754" t="s">
        <v>584</v>
      </c>
      <c r="E754" t="s">
        <v>584</v>
      </c>
      <c r="F754" s="705">
        <v>1283</v>
      </c>
      <c r="G754" s="705">
        <v>248496</v>
      </c>
      <c r="H754" s="705">
        <v>180035</v>
      </c>
      <c r="I754" s="705">
        <v>20068687</v>
      </c>
      <c r="J754" s="705">
        <v>18244261</v>
      </c>
      <c r="K754">
        <v>89</v>
      </c>
      <c r="L754" s="705">
        <v>4279377</v>
      </c>
      <c r="M754" s="705">
        <v>3733877</v>
      </c>
      <c r="N754" s="705">
        <v>4828021</v>
      </c>
      <c r="O754" s="705">
        <v>1788156</v>
      </c>
      <c r="P754" s="705">
        <v>745085</v>
      </c>
      <c r="Q754" s="705">
        <v>275957</v>
      </c>
      <c r="R754" s="705">
        <v>6623650</v>
      </c>
      <c r="S754" s="705">
        <v>6021500</v>
      </c>
      <c r="T754" s="705">
        <v>188942</v>
      </c>
      <c r="U754" s="705">
        <v>69979</v>
      </c>
      <c r="V754" s="705">
        <v>30133730</v>
      </c>
      <c r="W754" s="705">
        <f t="shared" si="44"/>
        <v>30133730</v>
      </c>
      <c r="X754" s="705">
        <f t="shared" si="45"/>
        <v>36733762</v>
      </c>
      <c r="Y754" s="705"/>
      <c r="AI754" s="429"/>
    </row>
    <row r="755" spans="2:35">
      <c r="B755" t="s">
        <v>539</v>
      </c>
      <c r="C755" t="s">
        <v>114</v>
      </c>
      <c r="D755" t="s">
        <v>584</v>
      </c>
      <c r="E755" t="s">
        <v>665</v>
      </c>
      <c r="F755" s="705">
        <v>1</v>
      </c>
      <c r="G755" s="705">
        <v>169</v>
      </c>
      <c r="H755" s="705">
        <v>130</v>
      </c>
      <c r="I755" s="705">
        <v>11925</v>
      </c>
      <c r="J755" s="705">
        <v>10841</v>
      </c>
      <c r="K755">
        <v>90</v>
      </c>
      <c r="L755" s="705">
        <v>1843</v>
      </c>
      <c r="M755" s="705">
        <v>1675</v>
      </c>
      <c r="N755" s="705">
        <v>3184</v>
      </c>
      <c r="O755" s="705">
        <v>1179</v>
      </c>
      <c r="P755" s="705">
        <v>473</v>
      </c>
      <c r="Q755" s="705">
        <v>175</v>
      </c>
      <c r="R755" s="705">
        <v>4527</v>
      </c>
      <c r="S755" s="705">
        <v>4116</v>
      </c>
      <c r="T755" s="705">
        <v>0</v>
      </c>
      <c r="U755" s="705">
        <v>0</v>
      </c>
      <c r="V755" s="705">
        <v>17986</v>
      </c>
      <c r="W755" s="705">
        <f t="shared" si="44"/>
        <v>17986</v>
      </c>
      <c r="X755" s="705">
        <f t="shared" si="45"/>
        <v>21952</v>
      </c>
      <c r="Y755" s="705"/>
      <c r="AI755" s="429"/>
    </row>
    <row r="756" spans="2:35">
      <c r="B756" t="s">
        <v>539</v>
      </c>
      <c r="C756" t="s">
        <v>114</v>
      </c>
      <c r="D756" t="s">
        <v>669</v>
      </c>
      <c r="E756" t="s">
        <v>669</v>
      </c>
      <c r="F756">
        <v>1</v>
      </c>
      <c r="G756">
        <v>478</v>
      </c>
      <c r="H756">
        <v>143</v>
      </c>
      <c r="I756" s="705">
        <v>42845</v>
      </c>
      <c r="J756" s="705">
        <v>35704</v>
      </c>
      <c r="K756">
        <v>55</v>
      </c>
      <c r="L756" s="705">
        <v>0</v>
      </c>
      <c r="M756" s="705">
        <v>0</v>
      </c>
      <c r="N756" s="705">
        <v>11652</v>
      </c>
      <c r="O756" s="705">
        <v>4315</v>
      </c>
      <c r="P756" s="705">
        <v>5052</v>
      </c>
      <c r="Q756" s="705">
        <v>1871</v>
      </c>
      <c r="R756" s="705">
        <v>6578</v>
      </c>
      <c r="S756" s="705">
        <v>5482</v>
      </c>
      <c r="T756" s="705">
        <v>2042</v>
      </c>
      <c r="U756" s="705">
        <v>756</v>
      </c>
      <c r="V756" s="705">
        <v>48129</v>
      </c>
      <c r="W756" s="705">
        <f t="shared" si="44"/>
        <v>48128</v>
      </c>
      <c r="X756" s="705">
        <f t="shared" si="45"/>
        <v>68169</v>
      </c>
      <c r="Y756" s="705"/>
      <c r="AI756" s="429"/>
    </row>
    <row r="757" spans="2:35">
      <c r="B757" t="s">
        <v>539</v>
      </c>
      <c r="C757" t="s">
        <v>114</v>
      </c>
      <c r="D757" t="s">
        <v>665</v>
      </c>
      <c r="E757" t="s">
        <v>665</v>
      </c>
      <c r="F757">
        <v>1</v>
      </c>
      <c r="G757">
        <v>295</v>
      </c>
      <c r="H757" s="705">
        <v>143</v>
      </c>
      <c r="I757" s="705">
        <v>28482</v>
      </c>
      <c r="J757" s="705">
        <v>25893</v>
      </c>
      <c r="K757">
        <v>70</v>
      </c>
      <c r="L757" s="705">
        <v>0</v>
      </c>
      <c r="M757" s="705">
        <v>0</v>
      </c>
      <c r="N757" s="705">
        <v>3592</v>
      </c>
      <c r="O757" s="705">
        <v>1330</v>
      </c>
      <c r="P757" s="705">
        <v>3282</v>
      </c>
      <c r="Q757" s="705">
        <v>1215</v>
      </c>
      <c r="R757" s="705">
        <v>4659</v>
      </c>
      <c r="S757" s="705">
        <v>4235</v>
      </c>
      <c r="T757" s="705">
        <v>2049</v>
      </c>
      <c r="U757">
        <v>759</v>
      </c>
      <c r="V757" s="705">
        <v>33432</v>
      </c>
      <c r="W757" s="705">
        <f t="shared" si="44"/>
        <v>33432</v>
      </c>
      <c r="X757" s="705">
        <f t="shared" si="45"/>
        <v>42064</v>
      </c>
      <c r="Y757" s="705"/>
      <c r="AI757" s="429"/>
    </row>
    <row r="758" spans="2:35">
      <c r="B758" t="s">
        <v>539</v>
      </c>
      <c r="C758" t="s">
        <v>114</v>
      </c>
      <c r="D758" t="s">
        <v>585</v>
      </c>
      <c r="E758" t="s">
        <v>585</v>
      </c>
      <c r="F758">
        <v>7</v>
      </c>
      <c r="G758" s="705">
        <v>1697</v>
      </c>
      <c r="H758" s="705">
        <v>977</v>
      </c>
      <c r="I758" s="705">
        <v>159373</v>
      </c>
      <c r="J758" s="705">
        <v>144885</v>
      </c>
      <c r="K758">
        <v>82</v>
      </c>
      <c r="L758" s="705">
        <v>20347</v>
      </c>
      <c r="M758" s="705">
        <v>17646</v>
      </c>
      <c r="N758" s="705">
        <v>35520</v>
      </c>
      <c r="O758" s="705">
        <v>13155</v>
      </c>
      <c r="P758" s="705">
        <v>6319</v>
      </c>
      <c r="Q758" s="705">
        <v>2340</v>
      </c>
      <c r="R758" s="705">
        <v>42407</v>
      </c>
      <c r="S758" s="705">
        <v>38552</v>
      </c>
      <c r="T758" s="705">
        <v>0</v>
      </c>
      <c r="U758" s="705">
        <v>0</v>
      </c>
      <c r="V758" s="705">
        <v>216578</v>
      </c>
      <c r="W758" s="705">
        <f t="shared" si="44"/>
        <v>216578</v>
      </c>
      <c r="X758" s="705">
        <f t="shared" si="45"/>
        <v>263966</v>
      </c>
      <c r="Y758" s="705"/>
      <c r="AI758" s="429"/>
    </row>
    <row r="759" spans="2:35">
      <c r="B759" t="s">
        <v>539</v>
      </c>
      <c r="C759" t="s">
        <v>114</v>
      </c>
      <c r="D759" t="s">
        <v>585</v>
      </c>
      <c r="E759" t="s">
        <v>668</v>
      </c>
      <c r="F759">
        <v>1</v>
      </c>
      <c r="G759">
        <v>88</v>
      </c>
      <c r="H759">
        <v>142</v>
      </c>
      <c r="I759" s="705">
        <v>5536</v>
      </c>
      <c r="J759" s="705">
        <v>5033</v>
      </c>
      <c r="K759">
        <v>85</v>
      </c>
      <c r="L759" s="705">
        <v>1494</v>
      </c>
      <c r="M759" s="705">
        <v>1358</v>
      </c>
      <c r="N759" s="705">
        <v>1076</v>
      </c>
      <c r="O759" s="705">
        <v>399</v>
      </c>
      <c r="P759" s="705">
        <v>351</v>
      </c>
      <c r="Q759">
        <v>130</v>
      </c>
      <c r="R759" s="705">
        <v>4096</v>
      </c>
      <c r="S759" s="705">
        <v>3724</v>
      </c>
      <c r="T759">
        <v>0</v>
      </c>
      <c r="U759">
        <v>0</v>
      </c>
      <c r="V759" s="705">
        <v>10643</v>
      </c>
      <c r="W759" s="705">
        <f t="shared" si="44"/>
        <v>10644</v>
      </c>
      <c r="X759" s="705">
        <f t="shared" si="45"/>
        <v>12553</v>
      </c>
      <c r="Y759" s="705"/>
      <c r="AI759" s="429"/>
    </row>
    <row r="760" spans="2:35">
      <c r="B760" t="s">
        <v>539</v>
      </c>
      <c r="C760" t="s">
        <v>116</v>
      </c>
      <c r="F760">
        <v>2</v>
      </c>
      <c r="G760" s="705">
        <v>507</v>
      </c>
      <c r="H760" s="705">
        <v>387</v>
      </c>
      <c r="I760" s="705"/>
      <c r="J760" s="705">
        <v>0</v>
      </c>
      <c r="L760" s="705"/>
      <c r="M760" s="705">
        <v>0</v>
      </c>
      <c r="N760" s="705">
        <v>12146</v>
      </c>
      <c r="O760" s="705">
        <v>4499</v>
      </c>
      <c r="P760" s="705">
        <v>473</v>
      </c>
      <c r="Q760" s="705">
        <v>175</v>
      </c>
      <c r="R760" s="705"/>
      <c r="S760" s="705">
        <v>0</v>
      </c>
      <c r="T760" s="705">
        <v>0</v>
      </c>
      <c r="U760" s="705">
        <v>0</v>
      </c>
      <c r="V760" s="705">
        <v>4674</v>
      </c>
      <c r="W760" s="705">
        <f t="shared" si="44"/>
        <v>4674</v>
      </c>
      <c r="X760" s="705">
        <f t="shared" si="45"/>
        <v>12619</v>
      </c>
      <c r="Y760" s="705"/>
      <c r="AI760" s="429"/>
    </row>
    <row r="761" spans="2:35">
      <c r="B761" t="s">
        <v>539</v>
      </c>
      <c r="C761" t="s">
        <v>116</v>
      </c>
      <c r="D761" t="s">
        <v>674</v>
      </c>
      <c r="E761" t="s">
        <v>584</v>
      </c>
      <c r="F761">
        <v>1</v>
      </c>
      <c r="G761" s="705">
        <v>161</v>
      </c>
      <c r="H761" s="705">
        <v>180</v>
      </c>
      <c r="I761" s="705">
        <v>17104</v>
      </c>
      <c r="J761" s="705">
        <v>15549</v>
      </c>
      <c r="K761">
        <v>93</v>
      </c>
      <c r="L761" s="705">
        <v>2725</v>
      </c>
      <c r="M761" s="705">
        <v>2477</v>
      </c>
      <c r="N761" s="705">
        <v>2625</v>
      </c>
      <c r="O761" s="705">
        <v>972</v>
      </c>
      <c r="P761" s="705">
        <v>473</v>
      </c>
      <c r="Q761" s="705">
        <v>175</v>
      </c>
      <c r="R761" s="705">
        <v>2989</v>
      </c>
      <c r="S761" s="705">
        <v>2717</v>
      </c>
      <c r="T761" s="705">
        <v>3047</v>
      </c>
      <c r="U761" s="705">
        <v>1129</v>
      </c>
      <c r="V761" s="705">
        <v>23019</v>
      </c>
      <c r="W761" s="705">
        <f t="shared" si="44"/>
        <v>23019</v>
      </c>
      <c r="X761" s="705">
        <f t="shared" si="45"/>
        <v>28963</v>
      </c>
      <c r="Y761" s="705"/>
      <c r="AI761" s="429"/>
    </row>
    <row r="762" spans="2:35">
      <c r="B762" t="s">
        <v>539</v>
      </c>
      <c r="C762" t="s">
        <v>116</v>
      </c>
      <c r="D762" t="s">
        <v>582</v>
      </c>
      <c r="E762" t="s">
        <v>582</v>
      </c>
      <c r="F762">
        <v>36</v>
      </c>
      <c r="G762" s="705">
        <v>8114</v>
      </c>
      <c r="H762" s="705">
        <v>6714</v>
      </c>
      <c r="I762" s="705">
        <v>913185</v>
      </c>
      <c r="J762" s="705">
        <v>830168</v>
      </c>
      <c r="K762">
        <v>86</v>
      </c>
      <c r="L762" s="705">
        <v>227892</v>
      </c>
      <c r="M762" s="705">
        <v>199823</v>
      </c>
      <c r="N762" s="705">
        <v>176152</v>
      </c>
      <c r="O762" s="705">
        <v>65241</v>
      </c>
      <c r="P762" s="705">
        <v>22679</v>
      </c>
      <c r="Q762" s="705">
        <v>8400</v>
      </c>
      <c r="R762" s="705">
        <v>214896</v>
      </c>
      <c r="S762" s="705">
        <v>195360</v>
      </c>
      <c r="T762" s="705">
        <v>5507</v>
      </c>
      <c r="U762" s="705">
        <v>2040</v>
      </c>
      <c r="V762" s="705">
        <v>1301032</v>
      </c>
      <c r="W762" s="705">
        <f t="shared" si="44"/>
        <v>1301032</v>
      </c>
      <c r="X762" s="705">
        <f t="shared" si="45"/>
        <v>1560311</v>
      </c>
      <c r="Y762" s="705"/>
      <c r="AI762" s="429"/>
    </row>
    <row r="763" spans="2:35">
      <c r="B763" t="s">
        <v>539</v>
      </c>
      <c r="C763" t="s">
        <v>116</v>
      </c>
      <c r="D763" t="s">
        <v>582</v>
      </c>
      <c r="E763" t="s">
        <v>228</v>
      </c>
      <c r="F763">
        <v>1</v>
      </c>
      <c r="G763" s="705">
        <v>145</v>
      </c>
      <c r="H763" s="705">
        <v>210</v>
      </c>
      <c r="I763" s="705">
        <v>14994</v>
      </c>
      <c r="J763" s="705">
        <v>13631</v>
      </c>
      <c r="K763">
        <v>91</v>
      </c>
      <c r="L763" s="705">
        <v>2879</v>
      </c>
      <c r="M763" s="705">
        <v>2617</v>
      </c>
      <c r="N763" s="705">
        <v>3330</v>
      </c>
      <c r="O763" s="705">
        <v>1233</v>
      </c>
      <c r="P763" s="705">
        <v>351</v>
      </c>
      <c r="Q763" s="705">
        <v>130</v>
      </c>
      <c r="R763" s="705">
        <v>8835</v>
      </c>
      <c r="S763" s="705">
        <v>3272</v>
      </c>
      <c r="T763" s="705">
        <v>0</v>
      </c>
      <c r="U763" s="705">
        <v>0</v>
      </c>
      <c r="V763" s="705">
        <v>20883</v>
      </c>
      <c r="W763" s="705">
        <f t="shared" si="44"/>
        <v>20883</v>
      </c>
      <c r="X763" s="705">
        <f t="shared" si="45"/>
        <v>30389</v>
      </c>
      <c r="Y763" s="705"/>
      <c r="AI763" s="429"/>
    </row>
    <row r="764" spans="2:35">
      <c r="B764" t="s">
        <v>539</v>
      </c>
      <c r="C764" t="s">
        <v>116</v>
      </c>
      <c r="D764" t="s">
        <v>582</v>
      </c>
      <c r="E764" t="s">
        <v>584</v>
      </c>
      <c r="F764">
        <v>1</v>
      </c>
      <c r="G764" s="705">
        <v>64</v>
      </c>
      <c r="H764" s="705">
        <v>193</v>
      </c>
      <c r="I764" s="705">
        <v>6753</v>
      </c>
      <c r="J764" s="705">
        <v>6139</v>
      </c>
      <c r="K764">
        <v>92</v>
      </c>
      <c r="L764" s="705">
        <v>1122</v>
      </c>
      <c r="M764" s="705">
        <v>1020</v>
      </c>
      <c r="N764" s="705">
        <v>1408</v>
      </c>
      <c r="O764" s="705">
        <v>521</v>
      </c>
      <c r="P764" s="705">
        <v>473</v>
      </c>
      <c r="Q764" s="705">
        <v>175</v>
      </c>
      <c r="R764" s="705">
        <v>2609</v>
      </c>
      <c r="S764" s="705">
        <v>2372</v>
      </c>
      <c r="T764" s="705">
        <v>0</v>
      </c>
      <c r="U764" s="705">
        <v>0</v>
      </c>
      <c r="V764" s="705">
        <v>10228</v>
      </c>
      <c r="W764" s="705">
        <f t="shared" si="44"/>
        <v>10227</v>
      </c>
      <c r="X764" s="705">
        <f t="shared" si="45"/>
        <v>12365</v>
      </c>
      <c r="Y764" s="705"/>
      <c r="AI764" s="429"/>
    </row>
    <row r="765" spans="2:35">
      <c r="B765" t="s">
        <v>539</v>
      </c>
      <c r="C765" t="s">
        <v>116</v>
      </c>
      <c r="D765" t="s">
        <v>228</v>
      </c>
      <c r="E765" t="s">
        <v>228</v>
      </c>
      <c r="F765">
        <v>22</v>
      </c>
      <c r="G765" s="705">
        <v>5223</v>
      </c>
      <c r="H765" s="705">
        <v>4119</v>
      </c>
      <c r="I765" s="705">
        <v>580704</v>
      </c>
      <c r="J765" s="705">
        <v>215076</v>
      </c>
      <c r="K765">
        <v>203</v>
      </c>
      <c r="L765" s="705">
        <v>109487</v>
      </c>
      <c r="M765" s="705">
        <v>92648</v>
      </c>
      <c r="N765" s="705">
        <v>104143</v>
      </c>
      <c r="O765" s="705">
        <v>38571</v>
      </c>
      <c r="P765" s="705">
        <v>10186</v>
      </c>
      <c r="Q765" s="705">
        <v>3773</v>
      </c>
      <c r="R765" s="705">
        <v>175532</v>
      </c>
      <c r="S765" s="705">
        <v>65012</v>
      </c>
      <c r="T765" s="705">
        <v>0</v>
      </c>
      <c r="U765" s="705">
        <v>0</v>
      </c>
      <c r="V765" s="705">
        <v>415079</v>
      </c>
      <c r="W765" s="705">
        <f t="shared" si="44"/>
        <v>415080</v>
      </c>
      <c r="X765" s="705">
        <f t="shared" si="45"/>
        <v>980052</v>
      </c>
      <c r="Y765" s="705"/>
      <c r="AI765" s="429"/>
    </row>
    <row r="766" spans="2:35">
      <c r="B766" t="s">
        <v>539</v>
      </c>
      <c r="C766" t="s">
        <v>116</v>
      </c>
      <c r="D766" t="s">
        <v>583</v>
      </c>
      <c r="E766" t="s">
        <v>674</v>
      </c>
      <c r="F766">
        <v>1</v>
      </c>
      <c r="G766" s="705">
        <v>123</v>
      </c>
      <c r="H766" s="705">
        <v>181</v>
      </c>
      <c r="I766" s="705">
        <v>18606</v>
      </c>
      <c r="J766" s="705">
        <v>16915</v>
      </c>
      <c r="K766">
        <v>79</v>
      </c>
      <c r="L766" s="705">
        <v>5168</v>
      </c>
      <c r="M766" s="705">
        <v>4698</v>
      </c>
      <c r="N766" s="705">
        <v>4022</v>
      </c>
      <c r="O766" s="705">
        <v>1489</v>
      </c>
      <c r="P766" s="705">
        <v>621</v>
      </c>
      <c r="Q766" s="705">
        <v>230</v>
      </c>
      <c r="R766" s="705">
        <v>5291</v>
      </c>
      <c r="S766" s="705">
        <v>4810</v>
      </c>
      <c r="T766" s="705">
        <v>3714</v>
      </c>
      <c r="U766" s="705">
        <v>1376</v>
      </c>
      <c r="V766" s="705">
        <v>29518</v>
      </c>
      <c r="W766" s="705">
        <f t="shared" si="44"/>
        <v>29518</v>
      </c>
      <c r="X766" s="705">
        <f t="shared" si="45"/>
        <v>37422</v>
      </c>
      <c r="Y766" s="705"/>
      <c r="AI766" s="429"/>
    </row>
    <row r="767" spans="2:35">
      <c r="B767" t="s">
        <v>539</v>
      </c>
      <c r="C767" t="s">
        <v>116</v>
      </c>
      <c r="D767" t="s">
        <v>583</v>
      </c>
      <c r="E767" t="s">
        <v>582</v>
      </c>
      <c r="F767">
        <v>1</v>
      </c>
      <c r="G767" s="705">
        <v>150</v>
      </c>
      <c r="H767" s="705">
        <v>180</v>
      </c>
      <c r="I767" s="705">
        <v>30879</v>
      </c>
      <c r="J767" s="705">
        <v>28072</v>
      </c>
      <c r="K767">
        <v>70</v>
      </c>
      <c r="L767" s="705">
        <v>4148</v>
      </c>
      <c r="M767" s="705">
        <v>3457</v>
      </c>
      <c r="N767" s="705">
        <v>4795</v>
      </c>
      <c r="O767" s="705">
        <v>1776</v>
      </c>
      <c r="P767" s="705">
        <v>621</v>
      </c>
      <c r="Q767" s="705">
        <v>230</v>
      </c>
      <c r="R767" s="705">
        <v>7349</v>
      </c>
      <c r="S767" s="705">
        <v>6681</v>
      </c>
      <c r="T767" s="705">
        <v>0</v>
      </c>
      <c r="U767" s="705">
        <v>0</v>
      </c>
      <c r="V767" s="705">
        <v>40216</v>
      </c>
      <c r="W767" s="705">
        <f t="shared" si="44"/>
        <v>40216</v>
      </c>
      <c r="X767" s="705">
        <f t="shared" si="45"/>
        <v>47792</v>
      </c>
      <c r="Y767" s="705"/>
      <c r="AI767" s="429"/>
    </row>
    <row r="768" spans="2:35">
      <c r="B768" t="s">
        <v>539</v>
      </c>
      <c r="C768" t="s">
        <v>116</v>
      </c>
      <c r="D768" t="s">
        <v>583</v>
      </c>
      <c r="E768" t="s">
        <v>228</v>
      </c>
      <c r="F768">
        <v>3</v>
      </c>
      <c r="G768">
        <v>606</v>
      </c>
      <c r="H768" s="705">
        <v>527</v>
      </c>
      <c r="I768" s="705">
        <v>56464</v>
      </c>
      <c r="J768" s="705">
        <v>51331</v>
      </c>
      <c r="K768">
        <v>83</v>
      </c>
      <c r="L768" s="705">
        <v>10199</v>
      </c>
      <c r="M768" s="705">
        <v>9029</v>
      </c>
      <c r="N768" s="705">
        <v>11399</v>
      </c>
      <c r="O768" s="705">
        <v>4222</v>
      </c>
      <c r="P768" s="705">
        <v>2214</v>
      </c>
      <c r="Q768">
        <v>820</v>
      </c>
      <c r="R768" s="705">
        <v>23888</v>
      </c>
      <c r="S768" s="705">
        <v>8848</v>
      </c>
      <c r="T768" s="705">
        <v>0</v>
      </c>
      <c r="U768" s="705">
        <v>0</v>
      </c>
      <c r="V768" s="705">
        <v>74250</v>
      </c>
      <c r="W768" s="705">
        <f t="shared" si="44"/>
        <v>74250</v>
      </c>
      <c r="X768" s="705">
        <f t="shared" si="45"/>
        <v>104164</v>
      </c>
      <c r="Y768" s="705"/>
      <c r="AI768" s="429"/>
    </row>
    <row r="769" spans="2:35">
      <c r="B769" t="s">
        <v>539</v>
      </c>
      <c r="C769" t="s">
        <v>116</v>
      </c>
      <c r="D769" t="s">
        <v>583</v>
      </c>
      <c r="E769" t="s">
        <v>583</v>
      </c>
      <c r="F769" s="705">
        <v>1515</v>
      </c>
      <c r="G769" s="705">
        <v>280483</v>
      </c>
      <c r="H769" s="705">
        <v>290601</v>
      </c>
      <c r="I769" s="705">
        <v>32183679</v>
      </c>
      <c r="J769" s="705">
        <v>29257890</v>
      </c>
      <c r="K769">
        <v>87</v>
      </c>
      <c r="L769" s="705">
        <v>8124873</v>
      </c>
      <c r="M769" s="705">
        <v>6948078</v>
      </c>
      <c r="N769" s="705">
        <v>5981044</v>
      </c>
      <c r="O769" s="705">
        <v>2215202</v>
      </c>
      <c r="P769" s="705">
        <v>1000758</v>
      </c>
      <c r="Q769" s="705">
        <v>370651</v>
      </c>
      <c r="R769" s="705">
        <v>8211190</v>
      </c>
      <c r="S769" s="705">
        <v>7464718</v>
      </c>
      <c r="T769" s="705">
        <v>1374333</v>
      </c>
      <c r="U769" s="705">
        <v>509012</v>
      </c>
      <c r="V769" s="705">
        <v>46765552</v>
      </c>
      <c r="W769" s="705">
        <f t="shared" si="44"/>
        <v>46765551</v>
      </c>
      <c r="X769" s="705">
        <f t="shared" si="45"/>
        <v>56875877</v>
      </c>
      <c r="Y769" s="705"/>
      <c r="AI769" s="429"/>
    </row>
    <row r="770" spans="2:35">
      <c r="B770" t="s">
        <v>539</v>
      </c>
      <c r="C770" t="s">
        <v>116</v>
      </c>
      <c r="D770" t="s">
        <v>583</v>
      </c>
      <c r="E770" t="s">
        <v>584</v>
      </c>
      <c r="F770">
        <v>4</v>
      </c>
      <c r="G770" s="705">
        <v>801</v>
      </c>
      <c r="H770" s="705">
        <v>741</v>
      </c>
      <c r="I770" s="705">
        <v>90967</v>
      </c>
      <c r="J770" s="705">
        <v>82697</v>
      </c>
      <c r="K770">
        <v>88</v>
      </c>
      <c r="L770" s="705">
        <v>18205</v>
      </c>
      <c r="M770" s="705">
        <v>15921</v>
      </c>
      <c r="N770" s="705">
        <v>16512</v>
      </c>
      <c r="O770" s="705">
        <v>6115</v>
      </c>
      <c r="P770" s="705">
        <v>6166</v>
      </c>
      <c r="Q770" s="705">
        <v>2284</v>
      </c>
      <c r="R770" s="705">
        <v>25491</v>
      </c>
      <c r="S770" s="705">
        <v>23174</v>
      </c>
      <c r="T770" s="705">
        <v>0</v>
      </c>
      <c r="U770" s="705">
        <v>0</v>
      </c>
      <c r="V770" s="705">
        <v>130191</v>
      </c>
      <c r="W770" s="705">
        <f t="shared" si="44"/>
        <v>130191</v>
      </c>
      <c r="X770" s="705">
        <f t="shared" si="45"/>
        <v>157341</v>
      </c>
      <c r="Y770" s="705"/>
      <c r="AI770" s="429"/>
    </row>
    <row r="771" spans="2:35">
      <c r="B771" t="s">
        <v>539</v>
      </c>
      <c r="C771" t="s">
        <v>116</v>
      </c>
      <c r="D771" t="s">
        <v>584</v>
      </c>
      <c r="E771" t="s">
        <v>228</v>
      </c>
      <c r="F771">
        <v>12</v>
      </c>
      <c r="G771" s="705">
        <v>2556</v>
      </c>
      <c r="H771" s="705">
        <v>2355</v>
      </c>
      <c r="I771" s="705">
        <v>386589</v>
      </c>
      <c r="J771" s="705">
        <v>351444</v>
      </c>
      <c r="K771">
        <v>84</v>
      </c>
      <c r="L771" s="705">
        <v>78526</v>
      </c>
      <c r="M771" s="705">
        <v>69893</v>
      </c>
      <c r="N771" s="705">
        <v>56344</v>
      </c>
      <c r="O771" s="705">
        <v>20868</v>
      </c>
      <c r="P771" s="705">
        <v>7163</v>
      </c>
      <c r="Q771" s="705">
        <v>2653</v>
      </c>
      <c r="R771" s="705">
        <v>50205</v>
      </c>
      <c r="S771" s="705">
        <v>18595</v>
      </c>
      <c r="T771" s="705">
        <v>0</v>
      </c>
      <c r="U771" s="705">
        <v>0</v>
      </c>
      <c r="V771" s="705">
        <v>463453</v>
      </c>
      <c r="W771" s="705">
        <f t="shared" si="44"/>
        <v>463453</v>
      </c>
      <c r="X771" s="705">
        <f t="shared" si="45"/>
        <v>578827</v>
      </c>
      <c r="Y771" s="705"/>
      <c r="AI771" s="429"/>
    </row>
    <row r="772" spans="2:35">
      <c r="B772" t="s">
        <v>539</v>
      </c>
      <c r="C772" t="s">
        <v>116</v>
      </c>
      <c r="D772" t="s">
        <v>584</v>
      </c>
      <c r="E772" t="s">
        <v>583</v>
      </c>
      <c r="F772">
        <v>3</v>
      </c>
      <c r="G772">
        <v>527</v>
      </c>
      <c r="H772">
        <v>593</v>
      </c>
      <c r="I772" s="705">
        <v>61023</v>
      </c>
      <c r="J772" s="705">
        <v>55476</v>
      </c>
      <c r="K772">
        <v>82</v>
      </c>
      <c r="L772" s="705">
        <v>18982</v>
      </c>
      <c r="M772" s="705">
        <v>17257</v>
      </c>
      <c r="N772" s="705">
        <v>12880</v>
      </c>
      <c r="O772" s="705">
        <v>4770</v>
      </c>
      <c r="P772" s="705">
        <v>1418</v>
      </c>
      <c r="Q772">
        <v>525</v>
      </c>
      <c r="R772" s="705">
        <v>14806</v>
      </c>
      <c r="S772" s="705">
        <v>13460</v>
      </c>
      <c r="T772" s="705">
        <v>0</v>
      </c>
      <c r="U772">
        <v>0</v>
      </c>
      <c r="V772" s="705">
        <v>91487</v>
      </c>
      <c r="W772" s="705">
        <f t="shared" si="44"/>
        <v>91488</v>
      </c>
      <c r="X772" s="705">
        <f t="shared" si="45"/>
        <v>109109</v>
      </c>
      <c r="Y772" s="705"/>
      <c r="AI772" s="429"/>
    </row>
    <row r="773" spans="2:35">
      <c r="B773" t="s">
        <v>539</v>
      </c>
      <c r="C773" t="s">
        <v>116</v>
      </c>
      <c r="D773" t="s">
        <v>584</v>
      </c>
      <c r="E773" t="s">
        <v>584</v>
      </c>
      <c r="F773" s="705">
        <v>5665</v>
      </c>
      <c r="G773" s="705">
        <v>897163</v>
      </c>
      <c r="H773" s="705">
        <v>1073211</v>
      </c>
      <c r="I773" s="705">
        <v>96228511</v>
      </c>
      <c r="J773" s="705">
        <v>87480465</v>
      </c>
      <c r="K773">
        <v>86</v>
      </c>
      <c r="L773" s="705">
        <v>25825096</v>
      </c>
      <c r="M773" s="705">
        <v>22588753</v>
      </c>
      <c r="N773" s="705">
        <v>18902350</v>
      </c>
      <c r="O773" s="705">
        <v>7000870</v>
      </c>
      <c r="P773" s="705">
        <v>2880035</v>
      </c>
      <c r="Q773" s="705">
        <v>1066680</v>
      </c>
      <c r="R773" s="705">
        <v>29771001</v>
      </c>
      <c r="S773" s="705">
        <v>27064546</v>
      </c>
      <c r="T773" s="705">
        <v>2774431</v>
      </c>
      <c r="U773" s="705">
        <v>1027567</v>
      </c>
      <c r="V773" s="705">
        <v>146228881</v>
      </c>
      <c r="W773" s="705">
        <f t="shared" si="44"/>
        <v>146228881</v>
      </c>
      <c r="X773" s="705">
        <f t="shared" si="45"/>
        <v>176381424</v>
      </c>
      <c r="Y773" s="705"/>
      <c r="AI773" s="429"/>
    </row>
    <row r="774" spans="2:35">
      <c r="B774" t="s">
        <v>539</v>
      </c>
      <c r="C774" t="s">
        <v>116</v>
      </c>
      <c r="D774" t="s">
        <v>584</v>
      </c>
      <c r="E774" t="s">
        <v>665</v>
      </c>
      <c r="F774">
        <v>1</v>
      </c>
      <c r="G774" s="705">
        <v>250</v>
      </c>
      <c r="H774" s="705">
        <v>190</v>
      </c>
      <c r="I774" s="705">
        <v>31465</v>
      </c>
      <c r="J774" s="705">
        <v>28605</v>
      </c>
      <c r="K774">
        <v>78</v>
      </c>
      <c r="L774" s="705">
        <v>9102</v>
      </c>
      <c r="M774" s="705">
        <v>8274</v>
      </c>
      <c r="N774" s="705">
        <v>6336</v>
      </c>
      <c r="O774" s="705">
        <v>2347</v>
      </c>
      <c r="P774" s="705">
        <v>945</v>
      </c>
      <c r="Q774" s="705">
        <v>350</v>
      </c>
      <c r="R774" s="705">
        <v>7144</v>
      </c>
      <c r="S774" s="705">
        <v>6494</v>
      </c>
      <c r="T774" s="705">
        <v>0</v>
      </c>
      <c r="U774" s="705">
        <v>0</v>
      </c>
      <c r="V774" s="705">
        <v>46070</v>
      </c>
      <c r="W774" s="705">
        <f t="shared" si="44"/>
        <v>46070</v>
      </c>
      <c r="X774" s="705">
        <f t="shared" si="45"/>
        <v>54992</v>
      </c>
      <c r="Y774" s="705"/>
      <c r="AI774" s="429"/>
    </row>
    <row r="775" spans="2:35">
      <c r="B775" t="s">
        <v>539</v>
      </c>
      <c r="C775" t="s">
        <v>116</v>
      </c>
      <c r="D775" t="s">
        <v>669</v>
      </c>
      <c r="E775" t="s">
        <v>669</v>
      </c>
      <c r="F775">
        <v>2</v>
      </c>
      <c r="G775" s="705">
        <v>1002</v>
      </c>
      <c r="H775" s="705">
        <v>381</v>
      </c>
      <c r="I775" s="705">
        <v>149338</v>
      </c>
      <c r="J775" s="705">
        <v>124448</v>
      </c>
      <c r="K775">
        <v>70</v>
      </c>
      <c r="L775" s="705">
        <v>13747</v>
      </c>
      <c r="M775" s="705">
        <v>12497</v>
      </c>
      <c r="N775" s="705">
        <v>20740</v>
      </c>
      <c r="O775" s="705">
        <v>7681</v>
      </c>
      <c r="P775" s="705">
        <v>1323</v>
      </c>
      <c r="Q775" s="705">
        <v>490</v>
      </c>
      <c r="R775" s="705">
        <v>17594</v>
      </c>
      <c r="S775" s="705">
        <v>14662</v>
      </c>
      <c r="T775" s="705">
        <v>3805</v>
      </c>
      <c r="U775" s="705">
        <v>1409</v>
      </c>
      <c r="V775" s="705">
        <v>161188</v>
      </c>
      <c r="W775" s="705">
        <f t="shared" ref="W775:W838" si="46">SUM(ABS(J775),ABS(M775),ABS(O775),ABS(Q775),ABS(S775),ABS(U775))</f>
        <v>161187</v>
      </c>
      <c r="X775" s="705">
        <f t="shared" ref="X775:X838" si="47">SUM(ABS(I775),ABS(N775),ABS(P775),ABS(R775),ABS(T775),ABS(L775))</f>
        <v>206547</v>
      </c>
      <c r="Y775" s="705"/>
      <c r="AI775" s="429"/>
    </row>
    <row r="776" spans="2:35">
      <c r="B776" t="s">
        <v>539</v>
      </c>
      <c r="C776" t="s">
        <v>116</v>
      </c>
      <c r="D776" t="s">
        <v>665</v>
      </c>
      <c r="E776" t="s">
        <v>583</v>
      </c>
      <c r="F776">
        <v>1</v>
      </c>
      <c r="G776" s="705">
        <v>156</v>
      </c>
      <c r="H776" s="705">
        <v>220</v>
      </c>
      <c r="I776" s="705">
        <v>25763</v>
      </c>
      <c r="J776" s="705">
        <v>23421</v>
      </c>
      <c r="K776">
        <v>79</v>
      </c>
      <c r="L776" s="705">
        <v>11857</v>
      </c>
      <c r="M776" s="705">
        <v>4391</v>
      </c>
      <c r="N776" s="705">
        <v>5425</v>
      </c>
      <c r="O776" s="705">
        <v>2009</v>
      </c>
      <c r="P776" s="705">
        <v>621</v>
      </c>
      <c r="Q776" s="705">
        <v>230</v>
      </c>
      <c r="R776" s="705">
        <v>5996</v>
      </c>
      <c r="S776" s="705">
        <v>5451</v>
      </c>
      <c r="T776" s="705">
        <v>4353</v>
      </c>
      <c r="U776" s="705">
        <v>1612</v>
      </c>
      <c r="V776" s="705">
        <v>37114</v>
      </c>
      <c r="W776" s="705">
        <f t="shared" si="46"/>
        <v>37114</v>
      </c>
      <c r="X776" s="705">
        <f t="shared" si="47"/>
        <v>54015</v>
      </c>
      <c r="Y776" s="705"/>
      <c r="AI776" s="429"/>
    </row>
    <row r="777" spans="2:35">
      <c r="B777" t="s">
        <v>539</v>
      </c>
      <c r="C777" t="s">
        <v>116</v>
      </c>
      <c r="D777" t="s">
        <v>665</v>
      </c>
      <c r="E777" t="s">
        <v>584</v>
      </c>
      <c r="F777">
        <v>1</v>
      </c>
      <c r="G777" s="705">
        <v>157</v>
      </c>
      <c r="H777" s="705">
        <v>212</v>
      </c>
      <c r="I777" s="705">
        <v>21491</v>
      </c>
      <c r="J777" s="705">
        <v>19538</v>
      </c>
      <c r="K777">
        <v>60</v>
      </c>
      <c r="L777" s="705">
        <v>1734</v>
      </c>
      <c r="M777" s="705">
        <v>1576</v>
      </c>
      <c r="N777" s="705">
        <v>2434</v>
      </c>
      <c r="O777" s="705">
        <v>901</v>
      </c>
      <c r="P777" s="705">
        <v>473</v>
      </c>
      <c r="Q777" s="705">
        <v>175</v>
      </c>
      <c r="R777" s="705">
        <v>4040</v>
      </c>
      <c r="S777" s="705">
        <v>3673</v>
      </c>
      <c r="T777" s="705">
        <v>3099</v>
      </c>
      <c r="U777" s="705">
        <v>1148</v>
      </c>
      <c r="V777" s="705">
        <v>27011</v>
      </c>
      <c r="W777" s="705">
        <f t="shared" si="46"/>
        <v>27011</v>
      </c>
      <c r="X777" s="705">
        <f t="shared" si="47"/>
        <v>33271</v>
      </c>
      <c r="Y777" s="705"/>
      <c r="AI777" s="429"/>
    </row>
    <row r="778" spans="2:35">
      <c r="B778" t="s">
        <v>539</v>
      </c>
      <c r="C778" t="s">
        <v>116</v>
      </c>
      <c r="D778" t="s">
        <v>585</v>
      </c>
      <c r="E778" t="s">
        <v>585</v>
      </c>
      <c r="F778">
        <v>6</v>
      </c>
      <c r="G778" s="705">
        <v>1324</v>
      </c>
      <c r="H778" s="705">
        <v>1081</v>
      </c>
      <c r="I778" s="705">
        <v>143875</v>
      </c>
      <c r="J778" s="705">
        <v>130795</v>
      </c>
      <c r="K778">
        <v>75</v>
      </c>
      <c r="L778" s="705">
        <v>29530</v>
      </c>
      <c r="M778" s="705">
        <v>25532</v>
      </c>
      <c r="N778" s="705">
        <v>28990</v>
      </c>
      <c r="O778" s="705">
        <v>10737</v>
      </c>
      <c r="P778" s="705">
        <v>5009</v>
      </c>
      <c r="Q778" s="705">
        <v>1855</v>
      </c>
      <c r="R778" s="705">
        <v>37450</v>
      </c>
      <c r="S778" s="705">
        <v>34046</v>
      </c>
      <c r="T778" s="705">
        <v>2831</v>
      </c>
      <c r="U778" s="705">
        <v>1048</v>
      </c>
      <c r="V778" s="705">
        <v>204014</v>
      </c>
      <c r="W778" s="705">
        <f t="shared" si="46"/>
        <v>204013</v>
      </c>
      <c r="X778" s="705">
        <f t="shared" si="47"/>
        <v>247685</v>
      </c>
      <c r="Y778" s="705"/>
      <c r="AI778" s="429"/>
    </row>
    <row r="779" spans="2:35">
      <c r="B779" t="s">
        <v>539</v>
      </c>
      <c r="C779" t="s">
        <v>116</v>
      </c>
      <c r="D779" t="s">
        <v>668</v>
      </c>
      <c r="E779" t="s">
        <v>668</v>
      </c>
      <c r="F779">
        <v>2</v>
      </c>
      <c r="G779" s="705">
        <v>474</v>
      </c>
      <c r="H779" s="705">
        <v>419</v>
      </c>
      <c r="I779" s="705">
        <v>60120</v>
      </c>
      <c r="J779" s="705">
        <v>54654</v>
      </c>
      <c r="K779">
        <v>65</v>
      </c>
      <c r="L779" s="705">
        <v>9456</v>
      </c>
      <c r="M779" s="705">
        <v>7880</v>
      </c>
      <c r="N779" s="705">
        <v>9964</v>
      </c>
      <c r="O779" s="705">
        <v>3691</v>
      </c>
      <c r="P779" s="705">
        <v>1053</v>
      </c>
      <c r="Q779" s="705">
        <v>390</v>
      </c>
      <c r="R779" s="705">
        <v>15795</v>
      </c>
      <c r="S779" s="705">
        <v>14359</v>
      </c>
      <c r="T779" s="705">
        <v>0</v>
      </c>
      <c r="U779" s="705">
        <v>0</v>
      </c>
      <c r="V779" s="705">
        <v>80974</v>
      </c>
      <c r="W779" s="705">
        <f t="shared" si="46"/>
        <v>80974</v>
      </c>
      <c r="X779" s="705">
        <f t="shared" si="47"/>
        <v>96388</v>
      </c>
      <c r="Y779" s="705"/>
      <c r="AI779" s="429"/>
    </row>
    <row r="780" spans="2:35">
      <c r="B780" t="s">
        <v>539</v>
      </c>
      <c r="C780" t="s">
        <v>118</v>
      </c>
      <c r="F780">
        <v>3</v>
      </c>
      <c r="G780">
        <v>603</v>
      </c>
      <c r="H780">
        <v>810</v>
      </c>
      <c r="I780" s="705"/>
      <c r="J780" s="705">
        <v>0</v>
      </c>
      <c r="L780" s="705"/>
      <c r="M780" s="705">
        <v>0</v>
      </c>
      <c r="N780" s="705">
        <v>13233</v>
      </c>
      <c r="O780" s="705">
        <v>4901</v>
      </c>
      <c r="P780" s="705">
        <v>1323</v>
      </c>
      <c r="Q780" s="705">
        <v>490</v>
      </c>
      <c r="R780" s="705"/>
      <c r="S780" s="705">
        <v>0</v>
      </c>
      <c r="T780" s="705">
        <v>2849</v>
      </c>
      <c r="U780" s="705">
        <v>1055</v>
      </c>
      <c r="V780" s="705">
        <v>6446</v>
      </c>
      <c r="W780" s="705">
        <f t="shared" si="46"/>
        <v>6446</v>
      </c>
      <c r="X780" s="705">
        <f t="shared" si="47"/>
        <v>17405</v>
      </c>
      <c r="Y780" s="705"/>
      <c r="AI780" s="429"/>
    </row>
    <row r="781" spans="2:35">
      <c r="B781" t="s">
        <v>539</v>
      </c>
      <c r="C781" t="s">
        <v>118</v>
      </c>
      <c r="D781" t="s">
        <v>664</v>
      </c>
      <c r="E781" t="s">
        <v>664</v>
      </c>
      <c r="F781">
        <v>3</v>
      </c>
      <c r="G781" s="705">
        <v>963</v>
      </c>
      <c r="H781" s="705">
        <v>804</v>
      </c>
      <c r="I781" s="705">
        <v>164783</v>
      </c>
      <c r="J781" s="705">
        <v>149803</v>
      </c>
      <c r="K781">
        <v>80</v>
      </c>
      <c r="L781" s="705">
        <v>55529</v>
      </c>
      <c r="M781" s="705">
        <v>50481</v>
      </c>
      <c r="N781" s="705">
        <v>20669</v>
      </c>
      <c r="O781" s="705">
        <v>7655</v>
      </c>
      <c r="P781" s="705">
        <v>3173</v>
      </c>
      <c r="Q781" s="705">
        <v>1175</v>
      </c>
      <c r="R781" s="705">
        <v>23712</v>
      </c>
      <c r="S781" s="705">
        <v>21556</v>
      </c>
      <c r="T781">
        <v>0</v>
      </c>
      <c r="U781">
        <v>0</v>
      </c>
      <c r="V781" s="705">
        <v>230670</v>
      </c>
      <c r="W781" s="705">
        <f t="shared" si="46"/>
        <v>230670</v>
      </c>
      <c r="X781" s="705">
        <f t="shared" si="47"/>
        <v>267866</v>
      </c>
      <c r="Y781" s="705"/>
      <c r="AI781" s="429"/>
    </row>
    <row r="782" spans="2:35">
      <c r="B782" t="s">
        <v>539</v>
      </c>
      <c r="C782" t="s">
        <v>118</v>
      </c>
      <c r="D782" t="s">
        <v>582</v>
      </c>
      <c r="E782" t="s">
        <v>664</v>
      </c>
      <c r="F782">
        <v>1</v>
      </c>
      <c r="G782" s="705">
        <v>132</v>
      </c>
      <c r="H782">
        <v>267</v>
      </c>
      <c r="I782" s="705">
        <v>19866</v>
      </c>
      <c r="J782" s="705">
        <v>18060</v>
      </c>
      <c r="K782">
        <v>78</v>
      </c>
      <c r="L782" s="705">
        <v>5459</v>
      </c>
      <c r="M782" s="705">
        <v>4963</v>
      </c>
      <c r="N782" s="705">
        <v>2896</v>
      </c>
      <c r="O782" s="705">
        <v>1073</v>
      </c>
      <c r="P782" s="705">
        <v>473</v>
      </c>
      <c r="Q782" s="705">
        <v>175</v>
      </c>
      <c r="R782" s="705">
        <v>3747</v>
      </c>
      <c r="S782" s="705">
        <v>3406</v>
      </c>
      <c r="T782" s="705">
        <v>2817</v>
      </c>
      <c r="U782" s="705">
        <v>1043</v>
      </c>
      <c r="V782" s="705">
        <v>28721</v>
      </c>
      <c r="W782" s="705">
        <f t="shared" si="46"/>
        <v>28720</v>
      </c>
      <c r="X782" s="705">
        <f t="shared" si="47"/>
        <v>35258</v>
      </c>
      <c r="Y782" s="705"/>
      <c r="AI782" s="429"/>
    </row>
    <row r="783" spans="2:35">
      <c r="B783" t="s">
        <v>539</v>
      </c>
      <c r="C783" t="s">
        <v>118</v>
      </c>
      <c r="D783" t="s">
        <v>582</v>
      </c>
      <c r="E783" t="s">
        <v>582</v>
      </c>
      <c r="F783">
        <v>10</v>
      </c>
      <c r="G783" s="705">
        <v>1548</v>
      </c>
      <c r="H783" s="705">
        <v>2553</v>
      </c>
      <c r="I783" s="705">
        <v>241468</v>
      </c>
      <c r="J783" s="705">
        <v>219517</v>
      </c>
      <c r="K783">
        <v>80</v>
      </c>
      <c r="L783" s="705">
        <v>48156</v>
      </c>
      <c r="M783" s="705">
        <v>42415</v>
      </c>
      <c r="N783" s="705">
        <v>33981</v>
      </c>
      <c r="O783" s="705">
        <v>12585</v>
      </c>
      <c r="P783" s="705">
        <v>4752</v>
      </c>
      <c r="Q783" s="705">
        <v>1760</v>
      </c>
      <c r="R783" s="705">
        <v>47753</v>
      </c>
      <c r="S783" s="705">
        <v>43412</v>
      </c>
      <c r="T783" s="705">
        <v>16736</v>
      </c>
      <c r="U783" s="705">
        <v>6199</v>
      </c>
      <c r="V783" s="705">
        <v>325887</v>
      </c>
      <c r="W783" s="705">
        <f t="shared" si="46"/>
        <v>325888</v>
      </c>
      <c r="X783" s="705">
        <f t="shared" si="47"/>
        <v>392846</v>
      </c>
      <c r="Y783" s="705"/>
      <c r="AI783" s="429"/>
    </row>
    <row r="784" spans="2:35">
      <c r="B784" t="s">
        <v>539</v>
      </c>
      <c r="C784" t="s">
        <v>118</v>
      </c>
      <c r="D784" t="s">
        <v>228</v>
      </c>
      <c r="E784" t="s">
        <v>228</v>
      </c>
      <c r="F784">
        <v>40</v>
      </c>
      <c r="G784" s="705">
        <v>6832</v>
      </c>
      <c r="H784" s="705">
        <v>10840</v>
      </c>
      <c r="I784" s="705">
        <v>1295864</v>
      </c>
      <c r="J784" s="705">
        <v>479950</v>
      </c>
      <c r="K784">
        <v>108</v>
      </c>
      <c r="L784" s="705">
        <v>187239</v>
      </c>
      <c r="M784" s="705">
        <v>138766</v>
      </c>
      <c r="N784" s="705">
        <v>168210</v>
      </c>
      <c r="O784" s="705">
        <v>62300</v>
      </c>
      <c r="P784" s="705">
        <v>3230</v>
      </c>
      <c r="Q784" s="705">
        <v>1196</v>
      </c>
      <c r="R784" s="705">
        <v>328249</v>
      </c>
      <c r="S784" s="705">
        <v>121574</v>
      </c>
      <c r="T784" s="705">
        <v>2488</v>
      </c>
      <c r="U784">
        <v>921</v>
      </c>
      <c r="V784" s="705">
        <v>804707</v>
      </c>
      <c r="W784" s="705">
        <f t="shared" si="46"/>
        <v>804707</v>
      </c>
      <c r="X784" s="705">
        <f t="shared" si="47"/>
        <v>1985280</v>
      </c>
      <c r="Y784" s="705"/>
      <c r="AI784" s="429"/>
    </row>
    <row r="785" spans="2:35">
      <c r="B785" t="s">
        <v>539</v>
      </c>
      <c r="C785" t="s">
        <v>118</v>
      </c>
      <c r="D785" t="s">
        <v>228</v>
      </c>
      <c r="E785" t="s">
        <v>583</v>
      </c>
      <c r="F785">
        <v>1</v>
      </c>
      <c r="G785" s="705">
        <v>289</v>
      </c>
      <c r="H785" s="705">
        <v>257</v>
      </c>
      <c r="I785" s="705">
        <v>53738</v>
      </c>
      <c r="J785" s="705">
        <v>19903</v>
      </c>
      <c r="K785">
        <v>100</v>
      </c>
      <c r="L785" s="705">
        <v>3475</v>
      </c>
      <c r="M785" s="705">
        <v>3159</v>
      </c>
      <c r="N785" s="705">
        <v>7052</v>
      </c>
      <c r="O785" s="705">
        <v>2612</v>
      </c>
      <c r="P785" s="705">
        <v>621</v>
      </c>
      <c r="Q785" s="705">
        <v>230</v>
      </c>
      <c r="R785" s="705">
        <v>5723</v>
      </c>
      <c r="S785" s="705">
        <v>5203</v>
      </c>
      <c r="T785" s="705">
        <v>3756</v>
      </c>
      <c r="U785" s="705">
        <v>1391</v>
      </c>
      <c r="V785" s="705">
        <v>32497</v>
      </c>
      <c r="W785" s="705">
        <f t="shared" si="46"/>
        <v>32498</v>
      </c>
      <c r="X785" s="705">
        <f t="shared" si="47"/>
        <v>74365</v>
      </c>
      <c r="Y785" s="705"/>
      <c r="AI785" s="429"/>
    </row>
    <row r="786" spans="2:35">
      <c r="B786" t="s">
        <v>539</v>
      </c>
      <c r="C786" t="s">
        <v>118</v>
      </c>
      <c r="D786" t="s">
        <v>583</v>
      </c>
      <c r="E786" t="s">
        <v>664</v>
      </c>
      <c r="F786">
        <v>2</v>
      </c>
      <c r="G786" s="705">
        <v>386</v>
      </c>
      <c r="H786" s="705">
        <v>558</v>
      </c>
      <c r="I786" s="705">
        <v>64531</v>
      </c>
      <c r="J786" s="705">
        <v>58664</v>
      </c>
      <c r="K786">
        <v>78</v>
      </c>
      <c r="L786" s="705">
        <v>18833</v>
      </c>
      <c r="M786" s="705">
        <v>16234</v>
      </c>
      <c r="N786" s="705">
        <v>5557</v>
      </c>
      <c r="O786" s="705">
        <v>2058</v>
      </c>
      <c r="P786" s="705">
        <v>1242</v>
      </c>
      <c r="Q786" s="705">
        <v>460</v>
      </c>
      <c r="R786" s="705">
        <v>11811</v>
      </c>
      <c r="S786" s="705">
        <v>10737</v>
      </c>
      <c r="T786" s="705">
        <v>4087</v>
      </c>
      <c r="U786" s="705">
        <v>1514</v>
      </c>
      <c r="V786" s="705">
        <v>89668</v>
      </c>
      <c r="W786" s="705">
        <f t="shared" si="46"/>
        <v>89667</v>
      </c>
      <c r="X786" s="705">
        <f t="shared" si="47"/>
        <v>106061</v>
      </c>
      <c r="Y786" s="705"/>
      <c r="AI786" s="429"/>
    </row>
    <row r="787" spans="2:35">
      <c r="B787" t="s">
        <v>539</v>
      </c>
      <c r="C787" t="s">
        <v>118</v>
      </c>
      <c r="D787" t="s">
        <v>583</v>
      </c>
      <c r="E787" t="s">
        <v>228</v>
      </c>
      <c r="F787">
        <v>6</v>
      </c>
      <c r="G787" s="705">
        <v>1020</v>
      </c>
      <c r="H787" s="705">
        <v>1448</v>
      </c>
      <c r="I787" s="705">
        <v>146811</v>
      </c>
      <c r="J787" s="705">
        <v>133465</v>
      </c>
      <c r="K787">
        <v>81</v>
      </c>
      <c r="L787" s="705">
        <v>39445</v>
      </c>
      <c r="M787" s="705">
        <v>35008</v>
      </c>
      <c r="N787" s="705">
        <v>20667</v>
      </c>
      <c r="O787" s="705">
        <v>7654</v>
      </c>
      <c r="P787" s="705">
        <v>3375</v>
      </c>
      <c r="Q787" s="705">
        <v>1250</v>
      </c>
      <c r="R787" s="705">
        <v>56718</v>
      </c>
      <c r="S787" s="705">
        <v>21007</v>
      </c>
      <c r="T787">
        <v>0</v>
      </c>
      <c r="U787">
        <v>0</v>
      </c>
      <c r="V787" s="705">
        <v>198384</v>
      </c>
      <c r="W787" s="705">
        <f t="shared" si="46"/>
        <v>198384</v>
      </c>
      <c r="X787" s="705">
        <f t="shared" si="47"/>
        <v>267016</v>
      </c>
      <c r="Y787" s="705"/>
      <c r="AI787" s="429"/>
    </row>
    <row r="788" spans="2:35">
      <c r="B788" t="s">
        <v>539</v>
      </c>
      <c r="C788" t="s">
        <v>118</v>
      </c>
      <c r="D788" t="s">
        <v>583</v>
      </c>
      <c r="E788" t="s">
        <v>583</v>
      </c>
      <c r="F788" s="705">
        <v>1373</v>
      </c>
      <c r="G788" s="705">
        <v>219077</v>
      </c>
      <c r="H788" s="705">
        <v>360655</v>
      </c>
      <c r="I788" s="705">
        <v>35094701</v>
      </c>
      <c r="J788" s="705">
        <v>31904274</v>
      </c>
      <c r="K788">
        <v>81</v>
      </c>
      <c r="L788" s="705">
        <v>8780238</v>
      </c>
      <c r="M788" s="705">
        <v>7496712</v>
      </c>
      <c r="N788" s="705">
        <v>4745735</v>
      </c>
      <c r="O788" s="705">
        <v>1757680</v>
      </c>
      <c r="P788" s="705">
        <v>868556</v>
      </c>
      <c r="Q788" s="705">
        <v>321687</v>
      </c>
      <c r="R788" s="705">
        <v>7825329</v>
      </c>
      <c r="S788" s="705">
        <v>7113935</v>
      </c>
      <c r="T788" s="705">
        <v>2073075</v>
      </c>
      <c r="U788" s="705">
        <v>767805</v>
      </c>
      <c r="V788" s="705">
        <v>49362093</v>
      </c>
      <c r="W788" s="705">
        <f t="shared" si="46"/>
        <v>49362093</v>
      </c>
      <c r="X788" s="705">
        <f t="shared" si="47"/>
        <v>59387634</v>
      </c>
      <c r="Y788" s="705"/>
      <c r="AI788" s="429"/>
    </row>
    <row r="789" spans="2:35">
      <c r="B789" t="s">
        <v>539</v>
      </c>
      <c r="C789" t="s">
        <v>118</v>
      </c>
      <c r="D789" t="s">
        <v>583</v>
      </c>
      <c r="E789" t="s">
        <v>584</v>
      </c>
      <c r="F789">
        <v>5</v>
      </c>
      <c r="G789" s="705">
        <v>824</v>
      </c>
      <c r="H789" s="705">
        <v>1353</v>
      </c>
      <c r="I789" s="705">
        <v>123687</v>
      </c>
      <c r="J789" s="705">
        <v>112443</v>
      </c>
      <c r="K789">
        <v>85</v>
      </c>
      <c r="L789" s="705">
        <v>37540</v>
      </c>
      <c r="M789" s="705">
        <v>32388</v>
      </c>
      <c r="N789" s="705">
        <v>17744</v>
      </c>
      <c r="O789" s="705">
        <v>6572</v>
      </c>
      <c r="P789" s="705">
        <v>2835</v>
      </c>
      <c r="Q789" s="705">
        <v>1050</v>
      </c>
      <c r="R789" s="705">
        <v>30956</v>
      </c>
      <c r="S789" s="705">
        <v>28142</v>
      </c>
      <c r="T789" s="705">
        <v>6821</v>
      </c>
      <c r="U789" s="705">
        <v>2526</v>
      </c>
      <c r="V789" s="705">
        <v>183121</v>
      </c>
      <c r="W789" s="705">
        <f t="shared" si="46"/>
        <v>183121</v>
      </c>
      <c r="X789" s="705">
        <f t="shared" si="47"/>
        <v>219583</v>
      </c>
      <c r="Y789" s="705"/>
      <c r="AI789" s="429"/>
    </row>
    <row r="790" spans="2:35">
      <c r="B790" t="s">
        <v>539</v>
      </c>
      <c r="C790" t="s">
        <v>118</v>
      </c>
      <c r="D790" t="s">
        <v>583</v>
      </c>
      <c r="E790" t="s">
        <v>669</v>
      </c>
      <c r="F790">
        <v>1</v>
      </c>
      <c r="G790" s="705">
        <v>108</v>
      </c>
      <c r="H790" s="705">
        <v>295</v>
      </c>
      <c r="I790" s="705">
        <v>19211</v>
      </c>
      <c r="J790" s="705">
        <v>17464</v>
      </c>
      <c r="K790">
        <v>70</v>
      </c>
      <c r="L790" s="705">
        <v>2366</v>
      </c>
      <c r="M790" s="705">
        <v>2151</v>
      </c>
      <c r="N790" s="705">
        <v>2302</v>
      </c>
      <c r="O790" s="705">
        <v>853</v>
      </c>
      <c r="P790" s="705">
        <v>621</v>
      </c>
      <c r="Q790" s="705">
        <v>230</v>
      </c>
      <c r="R790" s="705">
        <v>7321</v>
      </c>
      <c r="S790" s="705">
        <v>6101</v>
      </c>
      <c r="T790" s="705">
        <v>0</v>
      </c>
      <c r="U790" s="705">
        <v>0</v>
      </c>
      <c r="V790" s="705">
        <v>26798</v>
      </c>
      <c r="W790" s="705">
        <f t="shared" si="46"/>
        <v>26799</v>
      </c>
      <c r="X790" s="705">
        <f t="shared" si="47"/>
        <v>31821</v>
      </c>
      <c r="Y790" s="705"/>
      <c r="AI790" s="429"/>
    </row>
    <row r="791" spans="2:35">
      <c r="B791" t="s">
        <v>539</v>
      </c>
      <c r="C791" t="s">
        <v>118</v>
      </c>
      <c r="D791" t="s">
        <v>584</v>
      </c>
      <c r="E791" t="s">
        <v>664</v>
      </c>
      <c r="F791">
        <v>1</v>
      </c>
      <c r="G791" s="705">
        <v>169</v>
      </c>
      <c r="H791" s="705">
        <v>226</v>
      </c>
      <c r="I791" s="705">
        <v>23683</v>
      </c>
      <c r="J791" s="705">
        <v>21530</v>
      </c>
      <c r="K791">
        <v>77</v>
      </c>
      <c r="L791" s="705">
        <v>2531</v>
      </c>
      <c r="M791" s="705">
        <v>2301</v>
      </c>
      <c r="N791" s="705">
        <v>3740</v>
      </c>
      <c r="O791" s="705">
        <v>1385</v>
      </c>
      <c r="P791" s="705">
        <v>473</v>
      </c>
      <c r="Q791" s="705">
        <v>175</v>
      </c>
      <c r="R791" s="705">
        <v>7727</v>
      </c>
      <c r="S791" s="705">
        <v>7025</v>
      </c>
      <c r="T791" s="705">
        <v>0</v>
      </c>
      <c r="U791" s="705">
        <v>0</v>
      </c>
      <c r="V791" s="705">
        <v>32416</v>
      </c>
      <c r="W791" s="705">
        <f t="shared" si="46"/>
        <v>32416</v>
      </c>
      <c r="X791" s="705">
        <f t="shared" si="47"/>
        <v>38154</v>
      </c>
      <c r="Y791" s="705"/>
      <c r="AI791" s="429"/>
    </row>
    <row r="792" spans="2:35">
      <c r="B792" t="s">
        <v>539</v>
      </c>
      <c r="C792" t="s">
        <v>118</v>
      </c>
      <c r="D792" t="s">
        <v>584</v>
      </c>
      <c r="E792" t="s">
        <v>582</v>
      </c>
      <c r="F792">
        <v>2</v>
      </c>
      <c r="G792">
        <v>356</v>
      </c>
      <c r="H792">
        <v>518</v>
      </c>
      <c r="I792" s="705">
        <v>59448</v>
      </c>
      <c r="J792" s="705">
        <v>54044</v>
      </c>
      <c r="K792">
        <v>83</v>
      </c>
      <c r="L792" s="705">
        <v>11420</v>
      </c>
      <c r="M792" s="705">
        <v>10382</v>
      </c>
      <c r="N792" s="705">
        <v>5869</v>
      </c>
      <c r="O792" s="705">
        <v>2174</v>
      </c>
      <c r="P792" s="705">
        <v>945</v>
      </c>
      <c r="Q792">
        <v>350</v>
      </c>
      <c r="R792" s="705">
        <v>13908</v>
      </c>
      <c r="S792" s="705">
        <v>12644</v>
      </c>
      <c r="T792" s="705">
        <v>0</v>
      </c>
      <c r="U792" s="705">
        <v>0</v>
      </c>
      <c r="V792" s="705">
        <v>79593</v>
      </c>
      <c r="W792" s="705">
        <f t="shared" si="46"/>
        <v>79594</v>
      </c>
      <c r="X792" s="705">
        <f t="shared" si="47"/>
        <v>91590</v>
      </c>
      <c r="Y792" s="705"/>
      <c r="AI792" s="429"/>
    </row>
    <row r="793" spans="2:35">
      <c r="B793" t="s">
        <v>539</v>
      </c>
      <c r="C793" t="s">
        <v>118</v>
      </c>
      <c r="D793" t="s">
        <v>584</v>
      </c>
      <c r="E793" t="s">
        <v>228</v>
      </c>
      <c r="F793">
        <v>12</v>
      </c>
      <c r="G793" s="705">
        <v>1569</v>
      </c>
      <c r="H793" s="705">
        <v>3103</v>
      </c>
      <c r="I793" s="705">
        <v>232959</v>
      </c>
      <c r="J793" s="705">
        <v>211781</v>
      </c>
      <c r="K793">
        <v>85</v>
      </c>
      <c r="L793" s="705">
        <v>53320</v>
      </c>
      <c r="M793" s="705">
        <v>45901</v>
      </c>
      <c r="N793" s="705">
        <v>29468</v>
      </c>
      <c r="O793" s="705">
        <v>10914</v>
      </c>
      <c r="P793" s="705">
        <v>5670</v>
      </c>
      <c r="Q793" s="705">
        <v>2100</v>
      </c>
      <c r="R793" s="705">
        <v>92401</v>
      </c>
      <c r="S793" s="705">
        <v>34223</v>
      </c>
      <c r="T793" s="705">
        <v>0</v>
      </c>
      <c r="U793" s="705">
        <v>0</v>
      </c>
      <c r="V793" s="705">
        <v>304919</v>
      </c>
      <c r="W793" s="705">
        <f t="shared" si="46"/>
        <v>304919</v>
      </c>
      <c r="X793" s="705">
        <f t="shared" si="47"/>
        <v>413818</v>
      </c>
      <c r="Y793" s="705"/>
      <c r="AI793" s="429"/>
    </row>
    <row r="794" spans="2:35">
      <c r="B794" t="s">
        <v>539</v>
      </c>
      <c r="C794" t="s">
        <v>118</v>
      </c>
      <c r="D794" t="s">
        <v>584</v>
      </c>
      <c r="E794" t="s">
        <v>583</v>
      </c>
      <c r="F794">
        <v>2</v>
      </c>
      <c r="G794" s="705">
        <v>271</v>
      </c>
      <c r="H794" s="705">
        <v>475</v>
      </c>
      <c r="I794" s="705">
        <v>48163</v>
      </c>
      <c r="J794" s="705">
        <v>43785</v>
      </c>
      <c r="K794">
        <v>78</v>
      </c>
      <c r="L794" s="705">
        <v>8864</v>
      </c>
      <c r="M794" s="705">
        <v>7846</v>
      </c>
      <c r="N794" s="705">
        <v>7018</v>
      </c>
      <c r="O794" s="705">
        <v>2599</v>
      </c>
      <c r="P794" s="705">
        <v>1215</v>
      </c>
      <c r="Q794" s="705">
        <v>450</v>
      </c>
      <c r="R794" s="705">
        <v>14267</v>
      </c>
      <c r="S794" s="705">
        <v>12970</v>
      </c>
      <c r="T794" s="705">
        <v>0</v>
      </c>
      <c r="U794" s="705">
        <v>0</v>
      </c>
      <c r="V794" s="705">
        <v>67651</v>
      </c>
      <c r="W794" s="705">
        <f t="shared" si="46"/>
        <v>67650</v>
      </c>
      <c r="X794" s="705">
        <f t="shared" si="47"/>
        <v>79527</v>
      </c>
      <c r="Y794" s="705"/>
      <c r="AI794" s="429"/>
    </row>
    <row r="795" spans="2:35">
      <c r="B795" t="s">
        <v>539</v>
      </c>
      <c r="C795" t="s">
        <v>118</v>
      </c>
      <c r="D795" t="s">
        <v>584</v>
      </c>
      <c r="E795" t="s">
        <v>666</v>
      </c>
      <c r="F795">
        <v>2</v>
      </c>
      <c r="G795" s="705">
        <v>190</v>
      </c>
      <c r="H795" s="705">
        <v>462</v>
      </c>
      <c r="I795" s="705">
        <v>22066</v>
      </c>
      <c r="J795" s="705">
        <v>20060</v>
      </c>
      <c r="K795">
        <v>79</v>
      </c>
      <c r="L795" s="705">
        <v>6412</v>
      </c>
      <c r="M795" s="705">
        <v>5829</v>
      </c>
      <c r="N795" s="705">
        <v>4558</v>
      </c>
      <c r="O795" s="705">
        <v>1688</v>
      </c>
      <c r="P795" s="705">
        <v>945</v>
      </c>
      <c r="Q795" s="705">
        <v>350</v>
      </c>
      <c r="R795" s="705">
        <v>9930</v>
      </c>
      <c r="S795" s="705">
        <v>9027</v>
      </c>
      <c r="T795" s="705">
        <v>0</v>
      </c>
      <c r="U795" s="705">
        <v>0</v>
      </c>
      <c r="V795" s="705">
        <v>36954</v>
      </c>
      <c r="W795" s="705">
        <f t="shared" si="46"/>
        <v>36954</v>
      </c>
      <c r="X795" s="705">
        <f t="shared" si="47"/>
        <v>43911</v>
      </c>
      <c r="Y795" s="705"/>
      <c r="AI795" s="429"/>
    </row>
    <row r="796" spans="2:35">
      <c r="B796" t="s">
        <v>539</v>
      </c>
      <c r="C796" t="s">
        <v>118</v>
      </c>
      <c r="D796" t="s">
        <v>584</v>
      </c>
      <c r="E796" t="s">
        <v>584</v>
      </c>
      <c r="F796" s="705">
        <v>3687</v>
      </c>
      <c r="G796" s="705">
        <v>527397</v>
      </c>
      <c r="H796" s="705">
        <v>961266</v>
      </c>
      <c r="I796" s="705">
        <v>81319779</v>
      </c>
      <c r="J796" s="705">
        <v>73927071</v>
      </c>
      <c r="K796">
        <v>82</v>
      </c>
      <c r="L796" s="705">
        <v>22962361</v>
      </c>
      <c r="M796" s="705">
        <v>20033014</v>
      </c>
      <c r="N796" s="705">
        <v>11358063</v>
      </c>
      <c r="O796" s="705">
        <v>4206690</v>
      </c>
      <c r="P796" s="705">
        <v>1792099</v>
      </c>
      <c r="Q796" s="705">
        <v>663740</v>
      </c>
      <c r="R796" s="705">
        <v>19803295</v>
      </c>
      <c r="S796" s="705">
        <v>18002995</v>
      </c>
      <c r="T796" s="705">
        <v>3971184</v>
      </c>
      <c r="U796" s="705">
        <v>1470809</v>
      </c>
      <c r="V796" s="705">
        <v>118304320</v>
      </c>
      <c r="W796" s="705">
        <f t="shared" si="46"/>
        <v>118304319</v>
      </c>
      <c r="X796" s="705">
        <f t="shared" si="47"/>
        <v>141206781</v>
      </c>
      <c r="Y796" s="705"/>
      <c r="AI796" s="429"/>
    </row>
    <row r="797" spans="2:35">
      <c r="B797" t="s">
        <v>539</v>
      </c>
      <c r="C797" t="s">
        <v>118</v>
      </c>
      <c r="D797" t="s">
        <v>584</v>
      </c>
      <c r="E797" t="s">
        <v>665</v>
      </c>
      <c r="F797" s="705">
        <v>1</v>
      </c>
      <c r="G797" s="705">
        <v>70</v>
      </c>
      <c r="H797" s="705">
        <v>294</v>
      </c>
      <c r="I797" s="705">
        <v>19525</v>
      </c>
      <c r="J797" s="705">
        <v>17750</v>
      </c>
      <c r="K797">
        <v>91</v>
      </c>
      <c r="L797" s="705">
        <v>6704</v>
      </c>
      <c r="M797" s="705">
        <v>6094</v>
      </c>
      <c r="N797" s="705">
        <v>2918</v>
      </c>
      <c r="O797" s="705">
        <v>1081</v>
      </c>
      <c r="P797" s="705">
        <v>473</v>
      </c>
      <c r="Q797" s="705">
        <v>175</v>
      </c>
      <c r="R797" s="705">
        <v>5620</v>
      </c>
      <c r="S797" s="705">
        <v>5109</v>
      </c>
      <c r="T797" s="705">
        <v>0</v>
      </c>
      <c r="U797" s="705">
        <v>0</v>
      </c>
      <c r="V797" s="705">
        <v>30209</v>
      </c>
      <c r="W797" s="705">
        <f t="shared" si="46"/>
        <v>30209</v>
      </c>
      <c r="X797" s="705">
        <f t="shared" si="47"/>
        <v>35240</v>
      </c>
      <c r="Y797" s="705"/>
      <c r="AI797" s="429"/>
    </row>
    <row r="798" spans="2:35">
      <c r="B798" t="s">
        <v>539</v>
      </c>
      <c r="C798" t="s">
        <v>118</v>
      </c>
      <c r="D798" t="s">
        <v>669</v>
      </c>
      <c r="E798" t="s">
        <v>228</v>
      </c>
      <c r="F798" s="705">
        <v>1</v>
      </c>
      <c r="G798" s="705">
        <v>57</v>
      </c>
      <c r="H798" s="705">
        <v>297</v>
      </c>
      <c r="I798" s="705">
        <v>9184</v>
      </c>
      <c r="J798" s="705">
        <v>7653</v>
      </c>
      <c r="K798">
        <v>60</v>
      </c>
      <c r="L798" s="705">
        <v>1378</v>
      </c>
      <c r="M798" s="705">
        <v>510</v>
      </c>
      <c r="N798" s="705">
        <v>692</v>
      </c>
      <c r="O798" s="705">
        <v>256</v>
      </c>
      <c r="P798" s="705">
        <v>0</v>
      </c>
      <c r="Q798" s="705">
        <v>0</v>
      </c>
      <c r="R798" s="705">
        <v>5589</v>
      </c>
      <c r="S798" s="705">
        <v>2070</v>
      </c>
      <c r="T798" s="705">
        <v>0</v>
      </c>
      <c r="U798">
        <v>0</v>
      </c>
      <c r="V798" s="705">
        <v>10490</v>
      </c>
      <c r="W798" s="705">
        <f t="shared" si="46"/>
        <v>10489</v>
      </c>
      <c r="X798" s="705">
        <f t="shared" si="47"/>
        <v>16843</v>
      </c>
      <c r="Y798" s="705"/>
      <c r="AI798" s="429"/>
    </row>
    <row r="799" spans="2:35">
      <c r="B799" t="s">
        <v>539</v>
      </c>
      <c r="C799" t="s">
        <v>118</v>
      </c>
      <c r="D799" t="s">
        <v>669</v>
      </c>
      <c r="E799" t="s">
        <v>669</v>
      </c>
      <c r="F799">
        <v>2</v>
      </c>
      <c r="G799" s="705">
        <v>240</v>
      </c>
      <c r="H799" s="705">
        <v>506</v>
      </c>
      <c r="I799" s="705">
        <v>43376</v>
      </c>
      <c r="J799" s="705">
        <v>36146</v>
      </c>
      <c r="K799">
        <v>73</v>
      </c>
      <c r="L799" s="705">
        <v>4834</v>
      </c>
      <c r="M799" s="705">
        <v>4222</v>
      </c>
      <c r="N799" s="705">
        <v>3047</v>
      </c>
      <c r="O799" s="705">
        <v>1129</v>
      </c>
      <c r="P799" s="705">
        <v>1323</v>
      </c>
      <c r="Q799" s="705">
        <v>490</v>
      </c>
      <c r="R799" s="705">
        <v>7164</v>
      </c>
      <c r="S799" s="705">
        <v>5970</v>
      </c>
      <c r="T799" s="705">
        <v>815</v>
      </c>
      <c r="U799" s="705">
        <v>302</v>
      </c>
      <c r="V799" s="705">
        <v>48259</v>
      </c>
      <c r="W799" s="705">
        <f t="shared" si="46"/>
        <v>48259</v>
      </c>
      <c r="X799" s="705">
        <f t="shared" si="47"/>
        <v>60559</v>
      </c>
      <c r="Y799" s="705"/>
      <c r="AI799" s="429"/>
    </row>
    <row r="800" spans="2:35">
      <c r="B800" t="s">
        <v>539</v>
      </c>
      <c r="C800" t="s">
        <v>118</v>
      </c>
      <c r="D800" t="s">
        <v>665</v>
      </c>
      <c r="E800" t="s">
        <v>665</v>
      </c>
      <c r="F800">
        <v>2</v>
      </c>
      <c r="G800" s="705">
        <v>216</v>
      </c>
      <c r="H800" s="705">
        <v>528</v>
      </c>
      <c r="I800" s="705">
        <v>36011</v>
      </c>
      <c r="J800" s="705">
        <v>32737</v>
      </c>
      <c r="K800">
        <v>60</v>
      </c>
      <c r="L800" s="705">
        <v>4813</v>
      </c>
      <c r="M800" s="705">
        <v>3070</v>
      </c>
      <c r="N800" s="705">
        <v>5368</v>
      </c>
      <c r="O800" s="705">
        <v>1988</v>
      </c>
      <c r="P800" s="705">
        <v>702</v>
      </c>
      <c r="Q800" s="705">
        <v>260</v>
      </c>
      <c r="R800" s="705">
        <v>10883</v>
      </c>
      <c r="S800" s="705">
        <v>9893</v>
      </c>
      <c r="T800" s="705">
        <v>3191</v>
      </c>
      <c r="U800" s="705">
        <v>1182</v>
      </c>
      <c r="V800" s="705">
        <v>49131</v>
      </c>
      <c r="W800" s="705">
        <f t="shared" si="46"/>
        <v>49130</v>
      </c>
      <c r="X800" s="705">
        <f t="shared" si="47"/>
        <v>60968</v>
      </c>
      <c r="Y800" s="705"/>
      <c r="AI800" s="429"/>
    </row>
    <row r="801" spans="2:35">
      <c r="B801" t="s">
        <v>539</v>
      </c>
      <c r="C801" t="s">
        <v>118</v>
      </c>
      <c r="D801" t="s">
        <v>673</v>
      </c>
      <c r="E801" t="s">
        <v>673</v>
      </c>
      <c r="F801">
        <v>1</v>
      </c>
      <c r="G801" s="705">
        <v>141</v>
      </c>
      <c r="H801" s="705">
        <v>278</v>
      </c>
      <c r="I801" s="705">
        <v>23799</v>
      </c>
      <c r="J801" s="705">
        <v>21635</v>
      </c>
      <c r="K801">
        <v>65</v>
      </c>
      <c r="L801" s="705">
        <v>4219</v>
      </c>
      <c r="M801" s="705">
        <v>1563</v>
      </c>
      <c r="N801" s="705">
        <v>2467</v>
      </c>
      <c r="O801" s="705">
        <v>914</v>
      </c>
      <c r="P801" s="705">
        <v>351</v>
      </c>
      <c r="Q801">
        <v>130</v>
      </c>
      <c r="R801" s="705">
        <v>5263</v>
      </c>
      <c r="S801" s="705">
        <v>4785</v>
      </c>
      <c r="T801" s="705">
        <v>3049</v>
      </c>
      <c r="U801" s="705">
        <v>1129</v>
      </c>
      <c r="V801" s="705">
        <v>30155</v>
      </c>
      <c r="W801" s="705">
        <f t="shared" si="46"/>
        <v>30156</v>
      </c>
      <c r="X801" s="705">
        <f t="shared" si="47"/>
        <v>39148</v>
      </c>
      <c r="Y801" s="705"/>
      <c r="AI801" s="429"/>
    </row>
    <row r="802" spans="2:35">
      <c r="B802" t="s">
        <v>539</v>
      </c>
      <c r="C802" t="s">
        <v>118</v>
      </c>
      <c r="D802" t="s">
        <v>585</v>
      </c>
      <c r="E802" t="s">
        <v>585</v>
      </c>
      <c r="F802">
        <v>2</v>
      </c>
      <c r="G802">
        <v>272</v>
      </c>
      <c r="H802">
        <v>494</v>
      </c>
      <c r="I802" s="705">
        <v>41017</v>
      </c>
      <c r="J802" s="705">
        <v>37288</v>
      </c>
      <c r="K802">
        <v>74</v>
      </c>
      <c r="L802" s="705">
        <v>5353</v>
      </c>
      <c r="M802" s="705">
        <v>4647</v>
      </c>
      <c r="N802" s="705">
        <v>6625</v>
      </c>
      <c r="O802" s="705">
        <v>2454</v>
      </c>
      <c r="P802">
        <v>702</v>
      </c>
      <c r="Q802">
        <v>260</v>
      </c>
      <c r="R802" s="705">
        <v>8541</v>
      </c>
      <c r="S802" s="705">
        <v>7765</v>
      </c>
      <c r="T802" s="705">
        <v>4920</v>
      </c>
      <c r="U802" s="705">
        <v>1822</v>
      </c>
      <c r="V802" s="705">
        <v>54235</v>
      </c>
      <c r="W802" s="705">
        <f t="shared" si="46"/>
        <v>54236</v>
      </c>
      <c r="X802" s="705">
        <f t="shared" si="47"/>
        <v>67158</v>
      </c>
      <c r="Y802" s="705"/>
      <c r="AI802" s="429"/>
    </row>
    <row r="803" spans="2:35">
      <c r="B803" t="s">
        <v>539</v>
      </c>
      <c r="C803" t="s">
        <v>118</v>
      </c>
      <c r="D803" t="s">
        <v>668</v>
      </c>
      <c r="E803" t="s">
        <v>668</v>
      </c>
      <c r="F803">
        <v>1</v>
      </c>
      <c r="G803">
        <v>155</v>
      </c>
      <c r="H803" s="705">
        <v>247</v>
      </c>
      <c r="I803" s="705">
        <v>23385</v>
      </c>
      <c r="J803" s="705">
        <v>21259</v>
      </c>
      <c r="K803">
        <v>65</v>
      </c>
      <c r="L803" s="705">
        <v>3071</v>
      </c>
      <c r="M803" s="705">
        <v>2559</v>
      </c>
      <c r="N803" s="705">
        <v>2204</v>
      </c>
      <c r="O803" s="705">
        <v>816</v>
      </c>
      <c r="P803" s="705">
        <v>351</v>
      </c>
      <c r="Q803">
        <v>130</v>
      </c>
      <c r="R803" s="705">
        <v>9250</v>
      </c>
      <c r="S803" s="705">
        <v>8409</v>
      </c>
      <c r="T803" s="705">
        <v>0</v>
      </c>
      <c r="U803" s="705">
        <v>0</v>
      </c>
      <c r="V803" s="705">
        <v>33173</v>
      </c>
      <c r="W803" s="705">
        <f t="shared" si="46"/>
        <v>33173</v>
      </c>
      <c r="X803" s="705">
        <f t="shared" si="47"/>
        <v>38261</v>
      </c>
      <c r="Y803" s="705"/>
      <c r="AI803" s="429"/>
    </row>
    <row r="804" spans="2:35">
      <c r="B804" t="s">
        <v>539</v>
      </c>
      <c r="C804" t="s">
        <v>120</v>
      </c>
      <c r="F804">
        <v>2</v>
      </c>
      <c r="G804" s="705">
        <v>149</v>
      </c>
      <c r="H804" s="705">
        <v>649</v>
      </c>
      <c r="I804" s="705"/>
      <c r="J804" s="705">
        <v>0</v>
      </c>
      <c r="L804" s="705"/>
      <c r="M804" s="705">
        <v>0</v>
      </c>
      <c r="N804" s="705">
        <v>4089</v>
      </c>
      <c r="O804" s="705">
        <v>1515</v>
      </c>
      <c r="P804" s="705">
        <v>945</v>
      </c>
      <c r="Q804" s="705">
        <v>350</v>
      </c>
      <c r="R804" s="705"/>
      <c r="S804" s="705">
        <v>0</v>
      </c>
      <c r="T804" s="705">
        <v>0</v>
      </c>
      <c r="U804" s="705">
        <v>0</v>
      </c>
      <c r="V804" s="705">
        <v>1865</v>
      </c>
      <c r="W804" s="705">
        <f t="shared" si="46"/>
        <v>1865</v>
      </c>
      <c r="X804" s="705">
        <f t="shared" si="47"/>
        <v>5034</v>
      </c>
      <c r="Y804" s="705"/>
      <c r="AI804" s="429"/>
    </row>
    <row r="805" spans="2:35">
      <c r="B805" t="s">
        <v>539</v>
      </c>
      <c r="C805" t="s">
        <v>120</v>
      </c>
      <c r="D805" t="s">
        <v>582</v>
      </c>
      <c r="E805" t="s">
        <v>582</v>
      </c>
      <c r="F805">
        <v>9</v>
      </c>
      <c r="G805" s="705">
        <v>1674</v>
      </c>
      <c r="H805" s="705">
        <v>3109</v>
      </c>
      <c r="I805" s="705">
        <v>400758</v>
      </c>
      <c r="J805" s="705">
        <v>364325</v>
      </c>
      <c r="K805">
        <v>81</v>
      </c>
      <c r="L805" s="705">
        <v>107445</v>
      </c>
      <c r="M805" s="705">
        <v>90876</v>
      </c>
      <c r="N805" s="705">
        <v>31729</v>
      </c>
      <c r="O805" s="705">
        <v>11751</v>
      </c>
      <c r="P805" s="705">
        <v>4280</v>
      </c>
      <c r="Q805" s="705">
        <v>1585</v>
      </c>
      <c r="R805" s="705">
        <v>57699</v>
      </c>
      <c r="S805" s="705">
        <v>52454</v>
      </c>
      <c r="T805" s="705">
        <v>3652</v>
      </c>
      <c r="U805" s="705">
        <v>1353</v>
      </c>
      <c r="V805" s="705">
        <v>522344</v>
      </c>
      <c r="W805" s="705">
        <f t="shared" si="46"/>
        <v>522344</v>
      </c>
      <c r="X805" s="705">
        <f t="shared" si="47"/>
        <v>605563</v>
      </c>
      <c r="Y805" s="705"/>
      <c r="AI805" s="429"/>
    </row>
    <row r="806" spans="2:35">
      <c r="B806" t="s">
        <v>539</v>
      </c>
      <c r="C806" t="s">
        <v>120</v>
      </c>
      <c r="D806" t="s">
        <v>228</v>
      </c>
      <c r="E806" t="s">
        <v>228</v>
      </c>
      <c r="F806" s="705">
        <v>52</v>
      </c>
      <c r="G806" s="705">
        <v>5340</v>
      </c>
      <c r="H806" s="705">
        <v>17933</v>
      </c>
      <c r="I806" s="705">
        <v>1148206</v>
      </c>
      <c r="J806" s="705">
        <v>425262</v>
      </c>
      <c r="K806">
        <v>104</v>
      </c>
      <c r="L806" s="705">
        <v>209494</v>
      </c>
      <c r="M806" s="705">
        <v>148207</v>
      </c>
      <c r="N806" s="705">
        <v>117385</v>
      </c>
      <c r="O806" s="705">
        <v>43476</v>
      </c>
      <c r="P806" s="705">
        <v>351</v>
      </c>
      <c r="Q806" s="705">
        <v>130</v>
      </c>
      <c r="R806" s="705">
        <v>391893</v>
      </c>
      <c r="S806" s="705">
        <v>145145</v>
      </c>
      <c r="T806" s="705">
        <v>0</v>
      </c>
      <c r="U806" s="705">
        <v>0</v>
      </c>
      <c r="V806" s="705">
        <v>762219</v>
      </c>
      <c r="W806" s="705">
        <f t="shared" si="46"/>
        <v>762220</v>
      </c>
      <c r="X806" s="705">
        <f t="shared" si="47"/>
        <v>1867329</v>
      </c>
      <c r="Y806" s="705"/>
      <c r="AI806" s="429"/>
    </row>
    <row r="807" spans="2:35">
      <c r="B807" t="s">
        <v>539</v>
      </c>
      <c r="C807" t="s">
        <v>120</v>
      </c>
      <c r="D807" t="s">
        <v>228</v>
      </c>
      <c r="E807" t="s">
        <v>669</v>
      </c>
      <c r="F807">
        <v>1</v>
      </c>
      <c r="G807">
        <v>188</v>
      </c>
      <c r="H807" s="705">
        <v>327</v>
      </c>
      <c r="I807" s="705">
        <v>49809</v>
      </c>
      <c r="J807" s="705">
        <v>18448</v>
      </c>
      <c r="K807">
        <v>100</v>
      </c>
      <c r="L807" s="705">
        <v>3904</v>
      </c>
      <c r="M807" s="705">
        <v>3254</v>
      </c>
      <c r="N807" s="705">
        <v>2289</v>
      </c>
      <c r="O807" s="705">
        <v>848</v>
      </c>
      <c r="P807" s="705">
        <v>0</v>
      </c>
      <c r="Q807">
        <v>0</v>
      </c>
      <c r="R807" s="705">
        <v>5455</v>
      </c>
      <c r="S807" s="705">
        <v>4546</v>
      </c>
      <c r="T807" s="705">
        <v>0</v>
      </c>
      <c r="U807" s="705">
        <v>0</v>
      </c>
      <c r="V807" s="705">
        <v>27095</v>
      </c>
      <c r="W807" s="705">
        <f t="shared" si="46"/>
        <v>27096</v>
      </c>
      <c r="X807" s="705">
        <f t="shared" si="47"/>
        <v>61457</v>
      </c>
      <c r="Y807" s="705"/>
      <c r="AI807" s="429"/>
    </row>
    <row r="808" spans="2:35">
      <c r="B808" t="s">
        <v>539</v>
      </c>
      <c r="C808" t="s">
        <v>120</v>
      </c>
      <c r="D808" t="s">
        <v>583</v>
      </c>
      <c r="E808" t="s">
        <v>228</v>
      </c>
      <c r="F808">
        <v>9</v>
      </c>
      <c r="G808" s="705">
        <v>1413</v>
      </c>
      <c r="H808" s="705">
        <v>3167</v>
      </c>
      <c r="I808" s="705">
        <v>301908</v>
      </c>
      <c r="J808" s="705">
        <v>274462</v>
      </c>
      <c r="K808">
        <v>75</v>
      </c>
      <c r="L808" s="705">
        <v>78236</v>
      </c>
      <c r="M808" s="705">
        <v>68105</v>
      </c>
      <c r="N808" s="705">
        <v>28799</v>
      </c>
      <c r="O808" s="705">
        <v>10666</v>
      </c>
      <c r="P808" s="705">
        <v>7346</v>
      </c>
      <c r="Q808" s="705">
        <v>2721</v>
      </c>
      <c r="R808" s="705">
        <v>85931</v>
      </c>
      <c r="S808" s="705">
        <v>31826</v>
      </c>
      <c r="T808">
        <v>0</v>
      </c>
      <c r="U808">
        <v>0</v>
      </c>
      <c r="V808" s="705">
        <v>387780</v>
      </c>
      <c r="W808" s="705">
        <f t="shared" si="46"/>
        <v>387780</v>
      </c>
      <c r="X808" s="705">
        <f t="shared" si="47"/>
        <v>502220</v>
      </c>
      <c r="Y808" s="705"/>
      <c r="AI808" s="429"/>
    </row>
    <row r="809" spans="2:35">
      <c r="B809" t="s">
        <v>539</v>
      </c>
      <c r="C809" t="s">
        <v>120</v>
      </c>
      <c r="D809" t="s">
        <v>583</v>
      </c>
      <c r="E809" t="s">
        <v>583</v>
      </c>
      <c r="F809">
        <v>891</v>
      </c>
      <c r="G809" s="705">
        <v>137008</v>
      </c>
      <c r="H809" s="705">
        <v>303009</v>
      </c>
      <c r="I809" s="705">
        <v>29780076</v>
      </c>
      <c r="J809" s="705">
        <v>27072796</v>
      </c>
      <c r="K809">
        <v>77</v>
      </c>
      <c r="L809" s="705">
        <v>7504036</v>
      </c>
      <c r="M809" s="705">
        <v>6386190</v>
      </c>
      <c r="N809" s="705">
        <v>2989690</v>
      </c>
      <c r="O809" s="705">
        <v>1107293</v>
      </c>
      <c r="P809" s="705">
        <v>557781</v>
      </c>
      <c r="Q809" s="705">
        <v>206586</v>
      </c>
      <c r="R809" s="705">
        <v>5200339</v>
      </c>
      <c r="S809" s="705">
        <v>4727581</v>
      </c>
      <c r="T809" s="705">
        <v>1546268</v>
      </c>
      <c r="U809" s="705">
        <v>572692</v>
      </c>
      <c r="V809" s="705">
        <v>40073137</v>
      </c>
      <c r="W809" s="705">
        <f t="shared" si="46"/>
        <v>40073138</v>
      </c>
      <c r="X809" s="705">
        <f t="shared" si="47"/>
        <v>47578190</v>
      </c>
      <c r="Y809" s="705"/>
      <c r="AI809" s="429"/>
    </row>
    <row r="810" spans="2:35">
      <c r="B810" t="s">
        <v>539</v>
      </c>
      <c r="C810" t="s">
        <v>120</v>
      </c>
      <c r="D810" t="s">
        <v>583</v>
      </c>
      <c r="E810" t="s">
        <v>666</v>
      </c>
      <c r="F810">
        <v>1</v>
      </c>
      <c r="G810" s="705">
        <v>115</v>
      </c>
      <c r="H810" s="705">
        <v>306</v>
      </c>
      <c r="I810" s="705">
        <v>14256</v>
      </c>
      <c r="J810" s="705">
        <v>12960</v>
      </c>
      <c r="K810">
        <v>80</v>
      </c>
      <c r="L810" s="705">
        <v>2404</v>
      </c>
      <c r="M810" s="705">
        <v>2186</v>
      </c>
      <c r="N810" s="705">
        <v>2642</v>
      </c>
      <c r="O810" s="705">
        <v>978</v>
      </c>
      <c r="P810" s="705">
        <v>621</v>
      </c>
      <c r="Q810" s="705">
        <v>230</v>
      </c>
      <c r="R810" s="705">
        <v>10319</v>
      </c>
      <c r="S810" s="705">
        <v>9381</v>
      </c>
      <c r="T810" s="705">
        <v>4839</v>
      </c>
      <c r="U810" s="705">
        <v>1792</v>
      </c>
      <c r="V810" s="705">
        <v>27527</v>
      </c>
      <c r="W810" s="705">
        <f t="shared" si="46"/>
        <v>27527</v>
      </c>
      <c r="X810" s="705">
        <f t="shared" si="47"/>
        <v>35081</v>
      </c>
      <c r="Y810" s="705"/>
      <c r="AI810" s="429"/>
    </row>
    <row r="811" spans="2:35">
      <c r="B811" t="s">
        <v>539</v>
      </c>
      <c r="C811" t="s">
        <v>120</v>
      </c>
      <c r="D811" t="s">
        <v>583</v>
      </c>
      <c r="E811" t="s">
        <v>584</v>
      </c>
      <c r="F811">
        <v>2</v>
      </c>
      <c r="G811">
        <v>298</v>
      </c>
      <c r="H811">
        <v>667</v>
      </c>
      <c r="I811" s="705">
        <v>70244</v>
      </c>
      <c r="J811" s="705">
        <v>63858</v>
      </c>
      <c r="K811">
        <v>75</v>
      </c>
      <c r="L811" s="705">
        <v>7514</v>
      </c>
      <c r="M811" s="705">
        <v>6831</v>
      </c>
      <c r="N811" s="705">
        <v>6869</v>
      </c>
      <c r="O811" s="705">
        <v>2544</v>
      </c>
      <c r="P811" s="705">
        <v>1364</v>
      </c>
      <c r="Q811">
        <v>505</v>
      </c>
      <c r="R811" s="705">
        <v>9747</v>
      </c>
      <c r="S811" s="705">
        <v>8861</v>
      </c>
      <c r="T811" s="705">
        <v>1745</v>
      </c>
      <c r="U811">
        <v>646</v>
      </c>
      <c r="V811" s="705">
        <v>83245</v>
      </c>
      <c r="W811" s="705">
        <f t="shared" si="46"/>
        <v>83245</v>
      </c>
      <c r="X811" s="705">
        <f t="shared" si="47"/>
        <v>97483</v>
      </c>
      <c r="Y811" s="705"/>
      <c r="AI811" s="429"/>
    </row>
    <row r="812" spans="2:35">
      <c r="B812" t="s">
        <v>539</v>
      </c>
      <c r="C812" t="s">
        <v>120</v>
      </c>
      <c r="D812" t="s">
        <v>666</v>
      </c>
      <c r="E812" t="s">
        <v>666</v>
      </c>
      <c r="F812">
        <v>2</v>
      </c>
      <c r="G812" s="705">
        <v>208</v>
      </c>
      <c r="H812" s="705">
        <v>744</v>
      </c>
      <c r="I812" s="705">
        <v>51521</v>
      </c>
      <c r="J812" s="705">
        <v>46837</v>
      </c>
      <c r="K812">
        <v>53</v>
      </c>
      <c r="L812" s="705">
        <v>4798</v>
      </c>
      <c r="M812" s="705">
        <v>1777</v>
      </c>
      <c r="N812" s="705">
        <v>4522</v>
      </c>
      <c r="O812" s="705">
        <v>1675</v>
      </c>
      <c r="P812" s="705">
        <v>351</v>
      </c>
      <c r="Q812" s="705">
        <v>130</v>
      </c>
      <c r="R812" s="705">
        <v>10725</v>
      </c>
      <c r="S812" s="705">
        <v>9750</v>
      </c>
      <c r="T812" s="705">
        <v>5512</v>
      </c>
      <c r="U812" s="705">
        <v>2041</v>
      </c>
      <c r="V812" s="705">
        <v>62210</v>
      </c>
      <c r="W812" s="705">
        <f t="shared" si="46"/>
        <v>62210</v>
      </c>
      <c r="X812" s="705">
        <f t="shared" si="47"/>
        <v>77429</v>
      </c>
      <c r="Y812" s="705"/>
      <c r="AI812" s="429"/>
    </row>
    <row r="813" spans="2:35">
      <c r="B813" t="s">
        <v>539</v>
      </c>
      <c r="C813" t="s">
        <v>120</v>
      </c>
      <c r="D813" t="s">
        <v>584</v>
      </c>
      <c r="E813" t="s">
        <v>582</v>
      </c>
      <c r="F813" s="705">
        <v>1</v>
      </c>
      <c r="G813" s="705">
        <v>118</v>
      </c>
      <c r="H813" s="705">
        <v>319</v>
      </c>
      <c r="I813" s="705">
        <v>22147</v>
      </c>
      <c r="J813" s="705">
        <v>20134</v>
      </c>
      <c r="K813">
        <v>78</v>
      </c>
      <c r="L813" s="705">
        <v>6415</v>
      </c>
      <c r="M813" s="705">
        <v>5831</v>
      </c>
      <c r="N813" s="705">
        <v>2444</v>
      </c>
      <c r="O813" s="705">
        <v>905</v>
      </c>
      <c r="P813" s="705">
        <v>473</v>
      </c>
      <c r="Q813" s="705">
        <v>175</v>
      </c>
      <c r="R813" s="705">
        <v>6098</v>
      </c>
      <c r="S813" s="705">
        <v>5544</v>
      </c>
      <c r="T813" s="705">
        <v>0</v>
      </c>
      <c r="U813" s="705">
        <v>0</v>
      </c>
      <c r="V813" s="705">
        <v>32590</v>
      </c>
      <c r="W813" s="705">
        <f t="shared" si="46"/>
        <v>32589</v>
      </c>
      <c r="X813" s="705">
        <f t="shared" si="47"/>
        <v>37577</v>
      </c>
      <c r="Y813" s="705"/>
      <c r="AI813" s="429"/>
    </row>
    <row r="814" spans="2:35">
      <c r="B814" t="s">
        <v>539</v>
      </c>
      <c r="C814" t="s">
        <v>120</v>
      </c>
      <c r="D814" t="s">
        <v>584</v>
      </c>
      <c r="E814" t="s">
        <v>228</v>
      </c>
      <c r="F814">
        <v>5</v>
      </c>
      <c r="G814" s="705">
        <v>1346</v>
      </c>
      <c r="H814" s="705">
        <v>1718</v>
      </c>
      <c r="I814" s="705">
        <v>328939</v>
      </c>
      <c r="J814" s="705">
        <v>299035</v>
      </c>
      <c r="K814">
        <v>76</v>
      </c>
      <c r="L814" s="705">
        <v>77411</v>
      </c>
      <c r="M814" s="705">
        <v>68217</v>
      </c>
      <c r="N814" s="705">
        <v>23030</v>
      </c>
      <c r="O814" s="705">
        <v>8530</v>
      </c>
      <c r="P814" s="705">
        <v>15084</v>
      </c>
      <c r="Q814" s="705">
        <v>5587</v>
      </c>
      <c r="R814" s="705">
        <v>44421</v>
      </c>
      <c r="S814" s="705">
        <v>16452</v>
      </c>
      <c r="T814" s="705">
        <v>0</v>
      </c>
      <c r="U814" s="705">
        <v>0</v>
      </c>
      <c r="V814" s="705">
        <v>397821</v>
      </c>
      <c r="W814" s="705">
        <f t="shared" si="46"/>
        <v>397821</v>
      </c>
      <c r="X814" s="705">
        <f t="shared" si="47"/>
        <v>488885</v>
      </c>
      <c r="Y814" s="705"/>
      <c r="AI814" s="429"/>
    </row>
    <row r="815" spans="2:35">
      <c r="B815" t="s">
        <v>539</v>
      </c>
      <c r="C815" t="s">
        <v>120</v>
      </c>
      <c r="D815" t="s">
        <v>584</v>
      </c>
      <c r="E815" t="s">
        <v>583</v>
      </c>
      <c r="F815">
        <v>2</v>
      </c>
      <c r="G815" s="705">
        <v>365</v>
      </c>
      <c r="H815" s="705">
        <v>710</v>
      </c>
      <c r="I815" s="705">
        <v>74750</v>
      </c>
      <c r="J815" s="705">
        <v>67955</v>
      </c>
      <c r="K815">
        <v>84</v>
      </c>
      <c r="L815" s="705">
        <v>28395</v>
      </c>
      <c r="M815" s="705">
        <v>24855</v>
      </c>
      <c r="N815" s="705">
        <v>8782</v>
      </c>
      <c r="O815" s="705">
        <v>3253</v>
      </c>
      <c r="P815" s="705">
        <v>945</v>
      </c>
      <c r="Q815" s="705">
        <v>350</v>
      </c>
      <c r="R815" s="705">
        <v>16525</v>
      </c>
      <c r="S815" s="705">
        <v>15023</v>
      </c>
      <c r="T815" s="705">
        <v>0</v>
      </c>
      <c r="U815" s="705">
        <v>0</v>
      </c>
      <c r="V815" s="705">
        <v>111435</v>
      </c>
      <c r="W815" s="705">
        <f t="shared" si="46"/>
        <v>111436</v>
      </c>
      <c r="X815" s="705">
        <f t="shared" si="47"/>
        <v>129397</v>
      </c>
      <c r="Y815" s="705"/>
      <c r="AI815" s="429"/>
    </row>
    <row r="816" spans="2:35">
      <c r="B816" t="s">
        <v>539</v>
      </c>
      <c r="C816" t="s">
        <v>120</v>
      </c>
      <c r="D816" t="s">
        <v>584</v>
      </c>
      <c r="E816" t="s">
        <v>666</v>
      </c>
      <c r="F816">
        <v>1</v>
      </c>
      <c r="G816" s="705">
        <v>128</v>
      </c>
      <c r="H816" s="705">
        <v>379</v>
      </c>
      <c r="I816" s="705">
        <v>36807</v>
      </c>
      <c r="J816" s="705">
        <v>33461</v>
      </c>
      <c r="K816">
        <v>78</v>
      </c>
      <c r="L816" s="705">
        <v>10101</v>
      </c>
      <c r="M816" s="705">
        <v>9183</v>
      </c>
      <c r="N816" s="705">
        <v>3567</v>
      </c>
      <c r="O816" s="705">
        <v>1321</v>
      </c>
      <c r="P816" s="705">
        <v>473</v>
      </c>
      <c r="Q816" s="705">
        <v>175</v>
      </c>
      <c r="R816" s="705">
        <v>6887</v>
      </c>
      <c r="S816" s="705">
        <v>6261</v>
      </c>
      <c r="T816" s="705">
        <v>0</v>
      </c>
      <c r="U816" s="705">
        <v>0</v>
      </c>
      <c r="V816" s="705">
        <v>50401</v>
      </c>
      <c r="W816" s="705">
        <f t="shared" si="46"/>
        <v>50401</v>
      </c>
      <c r="X816" s="705">
        <f t="shared" si="47"/>
        <v>57835</v>
      </c>
      <c r="Y816" s="705"/>
      <c r="AI816" s="429"/>
    </row>
    <row r="817" spans="2:35">
      <c r="B817" t="s">
        <v>539</v>
      </c>
      <c r="C817" t="s">
        <v>120</v>
      </c>
      <c r="D817" t="s">
        <v>584</v>
      </c>
      <c r="E817" t="s">
        <v>584</v>
      </c>
      <c r="F817" s="705">
        <v>1660</v>
      </c>
      <c r="G817" s="705">
        <v>236350</v>
      </c>
      <c r="H817" s="705">
        <v>563910</v>
      </c>
      <c r="I817" s="705">
        <v>50897539</v>
      </c>
      <c r="J817" s="705">
        <v>46270490</v>
      </c>
      <c r="K817">
        <v>80</v>
      </c>
      <c r="L817" s="705">
        <v>14142004</v>
      </c>
      <c r="M817" s="705">
        <v>12402466</v>
      </c>
      <c r="N817" s="705">
        <v>5189811</v>
      </c>
      <c r="O817" s="705">
        <v>1922152</v>
      </c>
      <c r="P817" s="705">
        <v>796553</v>
      </c>
      <c r="Q817" s="705">
        <v>295020</v>
      </c>
      <c r="R817" s="705">
        <v>9124214</v>
      </c>
      <c r="S817" s="705">
        <v>8294740</v>
      </c>
      <c r="T817" s="705">
        <v>2295178</v>
      </c>
      <c r="U817" s="705">
        <v>850066</v>
      </c>
      <c r="V817" s="705">
        <v>70034934</v>
      </c>
      <c r="W817" s="705">
        <f t="shared" si="46"/>
        <v>70034934</v>
      </c>
      <c r="X817" s="705">
        <f t="shared" si="47"/>
        <v>82445299</v>
      </c>
      <c r="Y817" s="705"/>
      <c r="AI817" s="429"/>
    </row>
    <row r="818" spans="2:35">
      <c r="B818" t="s">
        <v>539</v>
      </c>
      <c r="C818" t="s">
        <v>120</v>
      </c>
      <c r="D818" t="s">
        <v>584</v>
      </c>
      <c r="E818" t="s">
        <v>665</v>
      </c>
      <c r="F818">
        <v>1</v>
      </c>
      <c r="G818" s="705">
        <v>98</v>
      </c>
      <c r="H818" s="705">
        <v>311</v>
      </c>
      <c r="I818" s="705">
        <v>18789</v>
      </c>
      <c r="J818" s="705">
        <v>17081</v>
      </c>
      <c r="K818">
        <v>73</v>
      </c>
      <c r="L818" s="705">
        <v>4830</v>
      </c>
      <c r="M818" s="705">
        <v>4391</v>
      </c>
      <c r="N818" s="705">
        <v>1191</v>
      </c>
      <c r="O818" s="705">
        <v>441</v>
      </c>
      <c r="P818" s="705">
        <v>473</v>
      </c>
      <c r="Q818" s="705">
        <v>175</v>
      </c>
      <c r="R818" s="705">
        <v>2754</v>
      </c>
      <c r="S818" s="705">
        <v>2504</v>
      </c>
      <c r="T818" s="705">
        <v>2309</v>
      </c>
      <c r="U818" s="705">
        <v>855</v>
      </c>
      <c r="V818" s="705">
        <v>25447</v>
      </c>
      <c r="W818" s="705">
        <f t="shared" si="46"/>
        <v>25447</v>
      </c>
      <c r="X818" s="705">
        <f t="shared" si="47"/>
        <v>30346</v>
      </c>
      <c r="Y818" s="705"/>
      <c r="AI818" s="429"/>
    </row>
    <row r="819" spans="2:35">
      <c r="B819" t="s">
        <v>539</v>
      </c>
      <c r="C819" t="s">
        <v>120</v>
      </c>
      <c r="D819" t="s">
        <v>669</v>
      </c>
      <c r="E819" t="s">
        <v>228</v>
      </c>
      <c r="F819">
        <v>1</v>
      </c>
      <c r="G819" s="705">
        <v>54</v>
      </c>
      <c r="H819" s="705">
        <v>356</v>
      </c>
      <c r="I819" s="705">
        <v>10853</v>
      </c>
      <c r="J819" s="705">
        <v>9044</v>
      </c>
      <c r="K819">
        <v>60</v>
      </c>
      <c r="L819" s="705">
        <v>1628</v>
      </c>
      <c r="M819" s="705">
        <v>603</v>
      </c>
      <c r="N819" s="705">
        <v>1320</v>
      </c>
      <c r="O819" s="705">
        <v>489</v>
      </c>
      <c r="P819" s="705">
        <v>0</v>
      </c>
      <c r="Q819" s="705">
        <v>0</v>
      </c>
      <c r="R819" s="705">
        <v>5475</v>
      </c>
      <c r="S819" s="705">
        <v>2028</v>
      </c>
      <c r="T819" s="705">
        <v>0</v>
      </c>
      <c r="U819" s="705">
        <v>0</v>
      </c>
      <c r="V819" s="705">
        <v>12164</v>
      </c>
      <c r="W819" s="705">
        <f t="shared" si="46"/>
        <v>12164</v>
      </c>
      <c r="X819" s="705">
        <f t="shared" si="47"/>
        <v>19276</v>
      </c>
      <c r="Y819" s="705"/>
      <c r="AI819" s="429"/>
    </row>
    <row r="820" spans="2:35">
      <c r="B820" t="s">
        <v>539</v>
      </c>
      <c r="C820" t="s">
        <v>120</v>
      </c>
      <c r="D820" t="s">
        <v>669</v>
      </c>
      <c r="E820" t="s">
        <v>669</v>
      </c>
      <c r="F820">
        <v>8</v>
      </c>
      <c r="G820">
        <v>862</v>
      </c>
      <c r="H820" s="705">
        <v>2741</v>
      </c>
      <c r="I820" s="705">
        <v>180282</v>
      </c>
      <c r="J820" s="705">
        <v>150235</v>
      </c>
      <c r="K820">
        <v>63</v>
      </c>
      <c r="L820" s="705">
        <v>25891</v>
      </c>
      <c r="M820" s="705">
        <v>18633</v>
      </c>
      <c r="N820" s="705">
        <v>17626</v>
      </c>
      <c r="O820" s="705">
        <v>6528</v>
      </c>
      <c r="P820" s="705">
        <v>4590</v>
      </c>
      <c r="Q820" s="705">
        <v>1700</v>
      </c>
      <c r="R820" s="705">
        <v>44204</v>
      </c>
      <c r="S820" s="705">
        <v>36837</v>
      </c>
      <c r="T820" s="705">
        <v>21830</v>
      </c>
      <c r="U820" s="705">
        <v>8085</v>
      </c>
      <c r="V820" s="705">
        <v>222018</v>
      </c>
      <c r="W820" s="705">
        <f t="shared" si="46"/>
        <v>222018</v>
      </c>
      <c r="X820" s="705">
        <f t="shared" si="47"/>
        <v>294423</v>
      </c>
      <c r="Y820" s="705"/>
      <c r="AI820" s="429"/>
    </row>
    <row r="821" spans="2:35">
      <c r="B821" t="s">
        <v>539</v>
      </c>
      <c r="C821" t="s">
        <v>120</v>
      </c>
      <c r="D821" t="s">
        <v>665</v>
      </c>
      <c r="E821" t="s">
        <v>228</v>
      </c>
      <c r="F821">
        <v>1</v>
      </c>
      <c r="G821" s="705">
        <v>123</v>
      </c>
      <c r="H821" s="705">
        <v>375</v>
      </c>
      <c r="I821" s="705">
        <v>30743</v>
      </c>
      <c r="J821" s="705">
        <v>27949</v>
      </c>
      <c r="K821">
        <v>60</v>
      </c>
      <c r="L821" s="705">
        <v>6832</v>
      </c>
      <c r="M821" s="705">
        <v>6211</v>
      </c>
      <c r="N821" s="705">
        <v>1498</v>
      </c>
      <c r="O821" s="705">
        <v>555</v>
      </c>
      <c r="P821" s="705">
        <v>0</v>
      </c>
      <c r="Q821" s="705">
        <v>0</v>
      </c>
      <c r="R821" s="705">
        <v>7050</v>
      </c>
      <c r="S821" s="705">
        <v>2611</v>
      </c>
      <c r="T821" s="705">
        <v>0</v>
      </c>
      <c r="U821" s="705">
        <v>0</v>
      </c>
      <c r="V821" s="705">
        <v>37325</v>
      </c>
      <c r="W821" s="705">
        <f t="shared" si="46"/>
        <v>37326</v>
      </c>
      <c r="X821" s="705">
        <f t="shared" si="47"/>
        <v>46123</v>
      </c>
      <c r="Y821" s="705"/>
      <c r="AI821" s="429"/>
    </row>
    <row r="822" spans="2:35">
      <c r="B822" t="s">
        <v>539</v>
      </c>
      <c r="C822" t="s">
        <v>120</v>
      </c>
      <c r="D822" t="s">
        <v>665</v>
      </c>
      <c r="E822" t="s">
        <v>665</v>
      </c>
      <c r="F822">
        <v>2</v>
      </c>
      <c r="G822">
        <v>150</v>
      </c>
      <c r="H822" s="705">
        <v>648</v>
      </c>
      <c r="I822" s="705">
        <v>27112</v>
      </c>
      <c r="J822" s="705">
        <v>24647</v>
      </c>
      <c r="K822">
        <v>60</v>
      </c>
      <c r="L822" s="705">
        <v>3511</v>
      </c>
      <c r="M822" s="705">
        <v>2156</v>
      </c>
      <c r="N822" s="705">
        <v>3503</v>
      </c>
      <c r="O822" s="705">
        <v>1297</v>
      </c>
      <c r="P822" s="705">
        <v>972</v>
      </c>
      <c r="Q822" s="705">
        <v>360</v>
      </c>
      <c r="R822" s="705">
        <v>9107</v>
      </c>
      <c r="S822" s="705">
        <v>8279</v>
      </c>
      <c r="T822" s="705">
        <v>4375</v>
      </c>
      <c r="U822" s="705">
        <v>1620</v>
      </c>
      <c r="V822" s="705">
        <v>38359</v>
      </c>
      <c r="W822" s="705">
        <f t="shared" si="46"/>
        <v>38359</v>
      </c>
      <c r="X822" s="705">
        <f t="shared" si="47"/>
        <v>48580</v>
      </c>
      <c r="Y822" s="705"/>
      <c r="AI822" s="429"/>
    </row>
    <row r="823" spans="2:35">
      <c r="B823" t="s">
        <v>539</v>
      </c>
      <c r="C823" t="s">
        <v>120</v>
      </c>
      <c r="D823" t="s">
        <v>673</v>
      </c>
      <c r="E823" t="s">
        <v>673</v>
      </c>
      <c r="F823">
        <v>3</v>
      </c>
      <c r="G823">
        <v>403</v>
      </c>
      <c r="H823" s="705">
        <v>1040</v>
      </c>
      <c r="I823" s="705">
        <v>102727</v>
      </c>
      <c r="J823" s="705">
        <v>93389</v>
      </c>
      <c r="K823">
        <v>55</v>
      </c>
      <c r="L823" s="705">
        <v>8593</v>
      </c>
      <c r="M823" s="705">
        <v>7812</v>
      </c>
      <c r="N823" s="705">
        <v>9181</v>
      </c>
      <c r="O823" s="705">
        <v>3400</v>
      </c>
      <c r="P823" s="705">
        <v>1404</v>
      </c>
      <c r="Q823" s="705">
        <v>520</v>
      </c>
      <c r="R823" s="705">
        <v>17846</v>
      </c>
      <c r="S823" s="705">
        <v>16224</v>
      </c>
      <c r="T823" s="705">
        <v>5800</v>
      </c>
      <c r="U823" s="705">
        <v>2148</v>
      </c>
      <c r="V823" s="705">
        <v>123492</v>
      </c>
      <c r="W823" s="705">
        <f t="shared" si="46"/>
        <v>123493</v>
      </c>
      <c r="X823" s="705">
        <f t="shared" si="47"/>
        <v>145551</v>
      </c>
      <c r="Y823" s="705"/>
      <c r="AI823" s="429"/>
    </row>
    <row r="824" spans="2:35">
      <c r="B824" t="s">
        <v>539</v>
      </c>
      <c r="C824" t="s">
        <v>122</v>
      </c>
      <c r="F824">
        <v>2</v>
      </c>
      <c r="G824" s="705">
        <v>294</v>
      </c>
      <c r="H824" s="705">
        <v>872</v>
      </c>
      <c r="I824" s="705"/>
      <c r="J824" s="705">
        <v>0</v>
      </c>
      <c r="L824" s="705"/>
      <c r="M824" s="705">
        <v>0</v>
      </c>
      <c r="N824" s="705">
        <v>5890</v>
      </c>
      <c r="O824" s="705">
        <v>2181</v>
      </c>
      <c r="P824" s="705">
        <v>972</v>
      </c>
      <c r="Q824" s="705">
        <v>360</v>
      </c>
      <c r="R824" s="705"/>
      <c r="S824" s="705">
        <v>0</v>
      </c>
      <c r="T824" s="705">
        <v>0</v>
      </c>
      <c r="U824" s="705">
        <v>0</v>
      </c>
      <c r="V824" s="705">
        <v>2541</v>
      </c>
      <c r="W824" s="705">
        <f t="shared" si="46"/>
        <v>2541</v>
      </c>
      <c r="X824" s="705">
        <f t="shared" si="47"/>
        <v>6862</v>
      </c>
      <c r="Y824" s="705"/>
      <c r="AI824" s="429"/>
    </row>
    <row r="825" spans="2:35">
      <c r="B825" t="s">
        <v>539</v>
      </c>
      <c r="C825" t="s">
        <v>122</v>
      </c>
      <c r="D825" t="s">
        <v>674</v>
      </c>
      <c r="E825" t="s">
        <v>674</v>
      </c>
      <c r="F825">
        <v>1</v>
      </c>
      <c r="G825" s="705">
        <v>85</v>
      </c>
      <c r="H825" s="705">
        <v>390</v>
      </c>
      <c r="I825" s="705">
        <v>18392</v>
      </c>
      <c r="J825" s="705">
        <v>16720</v>
      </c>
      <c r="K825">
        <v>60</v>
      </c>
      <c r="L825" s="705">
        <v>4459</v>
      </c>
      <c r="M825" s="705">
        <v>3716</v>
      </c>
      <c r="N825" s="705">
        <v>1344</v>
      </c>
      <c r="O825" s="705">
        <v>498</v>
      </c>
      <c r="P825" s="705">
        <v>351</v>
      </c>
      <c r="Q825" s="705">
        <v>130</v>
      </c>
      <c r="R825" s="705">
        <v>5556</v>
      </c>
      <c r="S825" s="705">
        <v>5051</v>
      </c>
      <c r="T825" s="705">
        <v>2944</v>
      </c>
      <c r="U825" s="705">
        <v>1090</v>
      </c>
      <c r="V825" s="705">
        <v>27205</v>
      </c>
      <c r="W825" s="705">
        <f t="shared" si="46"/>
        <v>27205</v>
      </c>
      <c r="X825" s="705">
        <f t="shared" si="47"/>
        <v>33046</v>
      </c>
      <c r="Y825" s="705"/>
      <c r="AI825" s="429"/>
    </row>
    <row r="826" spans="2:35">
      <c r="B826" t="s">
        <v>539</v>
      </c>
      <c r="C826" t="s">
        <v>122</v>
      </c>
      <c r="D826" t="s">
        <v>664</v>
      </c>
      <c r="E826" t="s">
        <v>664</v>
      </c>
      <c r="F826">
        <v>3</v>
      </c>
      <c r="G826">
        <v>339</v>
      </c>
      <c r="H826" s="705">
        <v>1232</v>
      </c>
      <c r="I826" s="705">
        <v>83904</v>
      </c>
      <c r="J826" s="705">
        <v>76276</v>
      </c>
      <c r="K826">
        <v>76</v>
      </c>
      <c r="L826" s="705">
        <v>23598</v>
      </c>
      <c r="M826" s="705">
        <v>19962</v>
      </c>
      <c r="N826" s="705">
        <v>6726</v>
      </c>
      <c r="O826" s="705">
        <v>2491</v>
      </c>
      <c r="P826" s="705">
        <v>1769</v>
      </c>
      <c r="Q826">
        <v>655</v>
      </c>
      <c r="R826" s="705">
        <v>23479</v>
      </c>
      <c r="S826" s="705">
        <v>21344</v>
      </c>
      <c r="T826" s="705">
        <v>0</v>
      </c>
      <c r="U826" s="705">
        <v>0</v>
      </c>
      <c r="V826" s="705">
        <v>120729</v>
      </c>
      <c r="W826" s="705">
        <f t="shared" si="46"/>
        <v>120728</v>
      </c>
      <c r="X826" s="705">
        <f t="shared" si="47"/>
        <v>139476</v>
      </c>
      <c r="Y826" s="705"/>
      <c r="AI826" s="429"/>
    </row>
    <row r="827" spans="2:35">
      <c r="B827" t="s">
        <v>539</v>
      </c>
      <c r="C827" t="s">
        <v>122</v>
      </c>
      <c r="D827" t="s">
        <v>664</v>
      </c>
      <c r="E827" t="s">
        <v>583</v>
      </c>
      <c r="F827">
        <v>1</v>
      </c>
      <c r="G827">
        <v>94</v>
      </c>
      <c r="H827" s="705">
        <v>438</v>
      </c>
      <c r="I827" s="705">
        <v>24817</v>
      </c>
      <c r="J827" s="705">
        <v>22561</v>
      </c>
      <c r="K827">
        <v>79</v>
      </c>
      <c r="L827" s="705">
        <v>6894</v>
      </c>
      <c r="M827" s="705">
        <v>6267</v>
      </c>
      <c r="N827" s="705">
        <v>1527</v>
      </c>
      <c r="O827" s="705">
        <v>565</v>
      </c>
      <c r="P827" s="705">
        <v>621</v>
      </c>
      <c r="Q827">
        <v>230</v>
      </c>
      <c r="R827" s="705">
        <v>4273</v>
      </c>
      <c r="S827" s="705">
        <v>3884</v>
      </c>
      <c r="T827" s="705">
        <v>2790</v>
      </c>
      <c r="U827" s="705">
        <v>1033</v>
      </c>
      <c r="V827" s="705">
        <v>34541</v>
      </c>
      <c r="W827" s="705">
        <f t="shared" si="46"/>
        <v>34540</v>
      </c>
      <c r="X827" s="705">
        <f t="shared" si="47"/>
        <v>40922</v>
      </c>
      <c r="Y827" s="705"/>
      <c r="AI827" s="429"/>
    </row>
    <row r="828" spans="2:35">
      <c r="B828" t="s">
        <v>539</v>
      </c>
      <c r="C828" t="s">
        <v>122</v>
      </c>
      <c r="D828" t="s">
        <v>582</v>
      </c>
      <c r="E828" t="s">
        <v>582</v>
      </c>
      <c r="F828">
        <v>1</v>
      </c>
      <c r="G828" s="705">
        <v>194</v>
      </c>
      <c r="H828" s="705">
        <v>394</v>
      </c>
      <c r="I828" s="705">
        <v>58709</v>
      </c>
      <c r="J828" s="705">
        <v>53372</v>
      </c>
      <c r="K828">
        <v>82</v>
      </c>
      <c r="L828" s="705">
        <v>16895</v>
      </c>
      <c r="M828" s="705">
        <v>15359</v>
      </c>
      <c r="N828" s="705">
        <v>5404</v>
      </c>
      <c r="O828" s="705">
        <v>2001</v>
      </c>
      <c r="P828" s="705">
        <v>473</v>
      </c>
      <c r="Q828" s="705">
        <v>175</v>
      </c>
      <c r="R828" s="705">
        <v>9960</v>
      </c>
      <c r="S828" s="705">
        <v>9054</v>
      </c>
      <c r="T828" s="705">
        <v>0</v>
      </c>
      <c r="U828" s="705">
        <v>0</v>
      </c>
      <c r="V828" s="705">
        <v>79961</v>
      </c>
      <c r="W828" s="705">
        <f t="shared" si="46"/>
        <v>79961</v>
      </c>
      <c r="X828" s="705">
        <f t="shared" si="47"/>
        <v>91441</v>
      </c>
      <c r="Y828" s="705"/>
      <c r="AI828" s="429"/>
    </row>
    <row r="829" spans="2:35">
      <c r="B829" t="s">
        <v>539</v>
      </c>
      <c r="C829" t="s">
        <v>122</v>
      </c>
      <c r="D829" t="s">
        <v>228</v>
      </c>
      <c r="E829" t="s">
        <v>228</v>
      </c>
      <c r="F829">
        <v>42</v>
      </c>
      <c r="G829" s="705">
        <v>4387</v>
      </c>
      <c r="H829" s="705">
        <v>17544</v>
      </c>
      <c r="I829" s="705">
        <v>1241725</v>
      </c>
      <c r="J829" s="705">
        <v>459898</v>
      </c>
      <c r="K829">
        <v>105</v>
      </c>
      <c r="L829" s="705">
        <v>208884</v>
      </c>
      <c r="M829" s="705">
        <v>129170</v>
      </c>
      <c r="N829" s="705">
        <v>90318</v>
      </c>
      <c r="O829" s="705">
        <v>33451</v>
      </c>
      <c r="P829" s="705">
        <v>1715</v>
      </c>
      <c r="Q829" s="705">
        <v>635</v>
      </c>
      <c r="R829" s="705">
        <v>303823</v>
      </c>
      <c r="S829" s="705">
        <v>112527</v>
      </c>
      <c r="T829" s="705">
        <v>0</v>
      </c>
      <c r="U829" s="705">
        <v>0</v>
      </c>
      <c r="V829" s="705">
        <v>735681</v>
      </c>
      <c r="W829" s="705">
        <f t="shared" si="46"/>
        <v>735681</v>
      </c>
      <c r="X829" s="705">
        <f t="shared" si="47"/>
        <v>1846465</v>
      </c>
      <c r="Y829" s="705"/>
      <c r="AI829" s="429"/>
    </row>
    <row r="830" spans="2:35">
      <c r="B830" t="s">
        <v>539</v>
      </c>
      <c r="C830" t="s">
        <v>122</v>
      </c>
      <c r="D830" t="s">
        <v>228</v>
      </c>
      <c r="E830" t="s">
        <v>665</v>
      </c>
      <c r="F830">
        <v>1</v>
      </c>
      <c r="G830" s="705">
        <v>131</v>
      </c>
      <c r="H830" s="705">
        <v>440</v>
      </c>
      <c r="I830" s="705">
        <v>45328</v>
      </c>
      <c r="J830" s="705">
        <v>16788</v>
      </c>
      <c r="K830">
        <v>100</v>
      </c>
      <c r="L830" s="705">
        <v>6840</v>
      </c>
      <c r="M830" s="705">
        <v>6218</v>
      </c>
      <c r="N830" s="705">
        <v>2606</v>
      </c>
      <c r="O830" s="705">
        <v>965</v>
      </c>
      <c r="P830" s="705">
        <v>0</v>
      </c>
      <c r="Q830" s="705">
        <v>0</v>
      </c>
      <c r="R830" s="705">
        <v>2916</v>
      </c>
      <c r="S830" s="705">
        <v>2651</v>
      </c>
      <c r="T830">
        <v>0</v>
      </c>
      <c r="U830">
        <v>0</v>
      </c>
      <c r="V830" s="705">
        <v>26622</v>
      </c>
      <c r="W830" s="705">
        <f t="shared" si="46"/>
        <v>26622</v>
      </c>
      <c r="X830" s="705">
        <f t="shared" si="47"/>
        <v>57690</v>
      </c>
      <c r="Y830" s="705"/>
      <c r="AI830" s="429"/>
    </row>
    <row r="831" spans="2:35">
      <c r="B831" t="s">
        <v>539</v>
      </c>
      <c r="C831" t="s">
        <v>122</v>
      </c>
      <c r="D831" t="s">
        <v>583</v>
      </c>
      <c r="E831" t="s">
        <v>228</v>
      </c>
      <c r="F831">
        <v>3</v>
      </c>
      <c r="G831" s="705">
        <v>353</v>
      </c>
      <c r="H831" s="705">
        <v>1179</v>
      </c>
      <c r="I831" s="705">
        <v>82156</v>
      </c>
      <c r="J831" s="705">
        <v>74688</v>
      </c>
      <c r="K831">
        <v>81</v>
      </c>
      <c r="L831" s="705">
        <v>24268</v>
      </c>
      <c r="M831" s="705">
        <v>21281</v>
      </c>
      <c r="N831" s="705">
        <v>6938</v>
      </c>
      <c r="O831" s="705">
        <v>2570</v>
      </c>
      <c r="P831" s="705">
        <v>1863</v>
      </c>
      <c r="Q831" s="705">
        <v>690</v>
      </c>
      <c r="R831" s="705">
        <v>23905</v>
      </c>
      <c r="S831" s="705">
        <v>8854</v>
      </c>
      <c r="T831" s="705">
        <v>0</v>
      </c>
      <c r="U831" s="705">
        <v>0</v>
      </c>
      <c r="V831" s="705">
        <v>108082</v>
      </c>
      <c r="W831" s="705">
        <f t="shared" si="46"/>
        <v>108083</v>
      </c>
      <c r="X831" s="705">
        <f t="shared" si="47"/>
        <v>139130</v>
      </c>
      <c r="Y831" s="705"/>
      <c r="AI831" s="429"/>
    </row>
    <row r="832" spans="2:35">
      <c r="B832" t="s">
        <v>539</v>
      </c>
      <c r="C832" t="s">
        <v>122</v>
      </c>
      <c r="D832" t="s">
        <v>583</v>
      </c>
      <c r="E832" t="s">
        <v>583</v>
      </c>
      <c r="F832">
        <v>526</v>
      </c>
      <c r="G832" s="705">
        <v>84473</v>
      </c>
      <c r="H832" s="705">
        <v>219358</v>
      </c>
      <c r="I832" s="705">
        <v>23800688</v>
      </c>
      <c r="J832" s="705">
        <v>21636989</v>
      </c>
      <c r="K832">
        <v>74</v>
      </c>
      <c r="L832" s="705">
        <v>5734746</v>
      </c>
      <c r="M832" s="705">
        <v>4893655</v>
      </c>
      <c r="N832" s="705">
        <v>1868481</v>
      </c>
      <c r="O832" s="705">
        <v>692030</v>
      </c>
      <c r="P832" s="705">
        <v>335716</v>
      </c>
      <c r="Q832" s="705">
        <v>124339</v>
      </c>
      <c r="R832" s="705">
        <v>3207254</v>
      </c>
      <c r="S832" s="705">
        <v>2915686</v>
      </c>
      <c r="T832" s="705">
        <v>1140442</v>
      </c>
      <c r="U832" s="705">
        <v>422386</v>
      </c>
      <c r="V832" s="705">
        <v>30685084</v>
      </c>
      <c r="W832" s="705">
        <f t="shared" si="46"/>
        <v>30685085</v>
      </c>
      <c r="X832" s="705">
        <f t="shared" si="47"/>
        <v>36087327</v>
      </c>
      <c r="Y832" s="705"/>
      <c r="AI832" s="429"/>
    </row>
    <row r="833" spans="2:35">
      <c r="B833" t="s">
        <v>539</v>
      </c>
      <c r="C833" t="s">
        <v>122</v>
      </c>
      <c r="D833" t="s">
        <v>583</v>
      </c>
      <c r="E833" t="s">
        <v>584</v>
      </c>
      <c r="F833" s="705">
        <v>2</v>
      </c>
      <c r="G833" s="705">
        <v>274</v>
      </c>
      <c r="H833" s="705">
        <v>854</v>
      </c>
      <c r="I833" s="705">
        <v>78494</v>
      </c>
      <c r="J833" s="705">
        <v>71358</v>
      </c>
      <c r="K833">
        <v>65</v>
      </c>
      <c r="L833" s="705">
        <v>11878</v>
      </c>
      <c r="M833" s="705">
        <v>6968</v>
      </c>
      <c r="N833" s="705">
        <v>6160</v>
      </c>
      <c r="O833" s="705">
        <v>2281</v>
      </c>
      <c r="P833" s="705">
        <v>1242</v>
      </c>
      <c r="Q833" s="705">
        <v>460</v>
      </c>
      <c r="R833" s="705">
        <v>15017</v>
      </c>
      <c r="S833" s="705">
        <v>13652</v>
      </c>
      <c r="T833" s="705">
        <v>3785</v>
      </c>
      <c r="U833" s="705">
        <v>1402</v>
      </c>
      <c r="V833" s="705">
        <v>96121</v>
      </c>
      <c r="W833" s="705">
        <f t="shared" si="46"/>
        <v>96121</v>
      </c>
      <c r="X833" s="705">
        <f t="shared" si="47"/>
        <v>116576</v>
      </c>
      <c r="Y833" s="705"/>
      <c r="AI833" s="429"/>
    </row>
    <row r="834" spans="2:35">
      <c r="B834" t="s">
        <v>539</v>
      </c>
      <c r="C834" t="s">
        <v>122</v>
      </c>
      <c r="D834" t="s">
        <v>666</v>
      </c>
      <c r="E834" t="s">
        <v>666</v>
      </c>
      <c r="F834">
        <v>2</v>
      </c>
      <c r="G834" s="705">
        <v>131</v>
      </c>
      <c r="H834" s="705">
        <v>860</v>
      </c>
      <c r="I834" s="705">
        <v>36425</v>
      </c>
      <c r="J834" s="705">
        <v>33114</v>
      </c>
      <c r="K834">
        <v>45</v>
      </c>
      <c r="L834" s="705">
        <v>0</v>
      </c>
      <c r="M834" s="705">
        <v>0</v>
      </c>
      <c r="N834" s="705">
        <v>3185</v>
      </c>
      <c r="O834" s="705">
        <v>1180</v>
      </c>
      <c r="P834" s="705">
        <v>702</v>
      </c>
      <c r="Q834" s="705">
        <v>260</v>
      </c>
      <c r="R834" s="705">
        <v>11712</v>
      </c>
      <c r="S834" s="705">
        <v>10648</v>
      </c>
      <c r="T834" s="705">
        <v>4198</v>
      </c>
      <c r="U834" s="705">
        <v>1555</v>
      </c>
      <c r="V834" s="705">
        <v>46756</v>
      </c>
      <c r="W834" s="705">
        <f t="shared" si="46"/>
        <v>46757</v>
      </c>
      <c r="X834" s="705">
        <f t="shared" si="47"/>
        <v>56222</v>
      </c>
      <c r="Y834" s="705"/>
      <c r="AI834" s="429"/>
    </row>
    <row r="835" spans="2:35">
      <c r="B835" t="s">
        <v>539</v>
      </c>
      <c r="C835" t="s">
        <v>122</v>
      </c>
      <c r="D835" t="s">
        <v>584</v>
      </c>
      <c r="E835" t="s">
        <v>228</v>
      </c>
      <c r="F835">
        <v>12</v>
      </c>
      <c r="G835" s="705">
        <v>1375</v>
      </c>
      <c r="H835" s="705">
        <v>4936</v>
      </c>
      <c r="I835" s="705">
        <v>375055</v>
      </c>
      <c r="J835" s="705">
        <v>340959</v>
      </c>
      <c r="K835">
        <v>74</v>
      </c>
      <c r="L835" s="705">
        <v>66787</v>
      </c>
      <c r="M835" s="705">
        <v>56064</v>
      </c>
      <c r="N835" s="705">
        <v>26249</v>
      </c>
      <c r="O835" s="705">
        <v>9722</v>
      </c>
      <c r="P835" s="705">
        <v>5114</v>
      </c>
      <c r="Q835" s="705">
        <v>1894</v>
      </c>
      <c r="R835" s="705">
        <v>110701</v>
      </c>
      <c r="S835" s="705">
        <v>41000</v>
      </c>
      <c r="T835" s="705">
        <v>0</v>
      </c>
      <c r="U835" s="705">
        <v>0</v>
      </c>
      <c r="V835" s="705">
        <v>449639</v>
      </c>
      <c r="W835" s="705">
        <f t="shared" si="46"/>
        <v>449639</v>
      </c>
      <c r="X835" s="705">
        <f t="shared" si="47"/>
        <v>583906</v>
      </c>
      <c r="Y835" s="705"/>
      <c r="AI835" s="429"/>
    </row>
    <row r="836" spans="2:35">
      <c r="B836" t="s">
        <v>539</v>
      </c>
      <c r="C836" t="s">
        <v>122</v>
      </c>
      <c r="D836" t="s">
        <v>584</v>
      </c>
      <c r="E836" t="s">
        <v>583</v>
      </c>
      <c r="F836">
        <v>1</v>
      </c>
      <c r="G836" s="705">
        <v>207</v>
      </c>
      <c r="H836" s="705">
        <v>430</v>
      </c>
      <c r="I836" s="705">
        <v>66797</v>
      </c>
      <c r="J836" s="705">
        <v>60724</v>
      </c>
      <c r="K836">
        <v>65</v>
      </c>
      <c r="L836" s="705">
        <v>9173</v>
      </c>
      <c r="M836" s="705">
        <v>8339</v>
      </c>
      <c r="N836" s="705">
        <v>4819</v>
      </c>
      <c r="O836" s="705">
        <v>1785</v>
      </c>
      <c r="P836" s="705">
        <v>473</v>
      </c>
      <c r="Q836" s="705">
        <v>175</v>
      </c>
      <c r="R836" s="705">
        <v>7813</v>
      </c>
      <c r="S836" s="705">
        <v>7103</v>
      </c>
      <c r="T836" s="705">
        <v>0</v>
      </c>
      <c r="U836" s="705">
        <v>0</v>
      </c>
      <c r="V836" s="705">
        <v>78127</v>
      </c>
      <c r="W836" s="705">
        <f t="shared" si="46"/>
        <v>78126</v>
      </c>
      <c r="X836" s="705">
        <f t="shared" si="47"/>
        <v>89075</v>
      </c>
      <c r="Y836" s="705"/>
      <c r="AI836" s="429"/>
    </row>
    <row r="837" spans="2:35">
      <c r="B837" t="s">
        <v>539</v>
      </c>
      <c r="C837" t="s">
        <v>122</v>
      </c>
      <c r="D837" t="s">
        <v>584</v>
      </c>
      <c r="E837" t="s">
        <v>584</v>
      </c>
      <c r="F837">
        <v>676</v>
      </c>
      <c r="G837" s="705">
        <v>92454</v>
      </c>
      <c r="H837" s="705">
        <v>280115</v>
      </c>
      <c r="I837" s="705">
        <v>25015556</v>
      </c>
      <c r="J837" s="705">
        <v>22741414</v>
      </c>
      <c r="K837">
        <v>77</v>
      </c>
      <c r="L837" s="705">
        <v>6664637</v>
      </c>
      <c r="M837" s="705">
        <v>5735945</v>
      </c>
      <c r="N837" s="705">
        <v>2040206</v>
      </c>
      <c r="O837" s="705">
        <v>755632</v>
      </c>
      <c r="P837" s="705">
        <v>320464</v>
      </c>
      <c r="Q837" s="705">
        <v>118690</v>
      </c>
      <c r="R837" s="705">
        <v>3934492</v>
      </c>
      <c r="S837" s="705">
        <v>3576811</v>
      </c>
      <c r="T837" s="705">
        <v>1011573</v>
      </c>
      <c r="U837" s="705">
        <v>374657</v>
      </c>
      <c r="V837" s="705">
        <v>33303149</v>
      </c>
      <c r="W837" s="705">
        <f t="shared" si="46"/>
        <v>33303149</v>
      </c>
      <c r="X837" s="705">
        <f t="shared" si="47"/>
        <v>38986928</v>
      </c>
      <c r="Y837" s="705"/>
      <c r="AI837" s="429"/>
    </row>
    <row r="838" spans="2:35">
      <c r="B838" t="s">
        <v>539</v>
      </c>
      <c r="C838" t="s">
        <v>122</v>
      </c>
      <c r="D838" t="s">
        <v>669</v>
      </c>
      <c r="E838" t="s">
        <v>669</v>
      </c>
      <c r="F838">
        <v>11</v>
      </c>
      <c r="G838" s="705">
        <v>1454</v>
      </c>
      <c r="H838" s="705">
        <v>4539</v>
      </c>
      <c r="I838" s="705">
        <v>449532</v>
      </c>
      <c r="J838" s="705">
        <v>374610</v>
      </c>
      <c r="K838">
        <v>54</v>
      </c>
      <c r="L838" s="705">
        <v>24119</v>
      </c>
      <c r="M838" s="705">
        <v>24524</v>
      </c>
      <c r="N838" s="705">
        <v>28666</v>
      </c>
      <c r="O838" s="705">
        <v>10617</v>
      </c>
      <c r="P838" s="705">
        <v>4482</v>
      </c>
      <c r="Q838" s="705">
        <v>1660</v>
      </c>
      <c r="R838" s="705">
        <v>71693</v>
      </c>
      <c r="S838" s="705">
        <v>59745</v>
      </c>
      <c r="T838" s="705">
        <v>30661</v>
      </c>
      <c r="U838" s="705">
        <v>11356</v>
      </c>
      <c r="V838" s="705">
        <v>482512</v>
      </c>
      <c r="W838" s="705">
        <f t="shared" si="46"/>
        <v>482512</v>
      </c>
      <c r="X838" s="705">
        <f t="shared" si="47"/>
        <v>609153</v>
      </c>
      <c r="Y838" s="705"/>
      <c r="AI838" s="429"/>
    </row>
    <row r="839" spans="2:35">
      <c r="B839" t="s">
        <v>539</v>
      </c>
      <c r="C839" t="s">
        <v>122</v>
      </c>
      <c r="D839" t="s">
        <v>667</v>
      </c>
      <c r="E839" t="s">
        <v>667</v>
      </c>
      <c r="F839" s="705">
        <v>1</v>
      </c>
      <c r="G839" s="705">
        <v>90</v>
      </c>
      <c r="H839" s="705">
        <v>422</v>
      </c>
      <c r="I839" s="705">
        <v>26015</v>
      </c>
      <c r="J839" s="705">
        <v>23650</v>
      </c>
      <c r="K839">
        <v>55</v>
      </c>
      <c r="L839" s="705">
        <v>0</v>
      </c>
      <c r="M839" s="705">
        <v>0</v>
      </c>
      <c r="N839" s="705">
        <v>2204</v>
      </c>
      <c r="O839" s="705">
        <v>816</v>
      </c>
      <c r="P839" s="705">
        <v>351</v>
      </c>
      <c r="Q839" s="705">
        <v>130</v>
      </c>
      <c r="R839" s="705">
        <v>9612</v>
      </c>
      <c r="S839" s="705">
        <v>8738</v>
      </c>
      <c r="T839" s="705">
        <v>0</v>
      </c>
      <c r="U839" s="705">
        <v>0</v>
      </c>
      <c r="V839" s="705">
        <v>33335</v>
      </c>
      <c r="W839" s="705">
        <f t="shared" ref="W839:W902" si="48">SUM(ABS(J839),ABS(M839),ABS(O839),ABS(Q839),ABS(S839),ABS(U839))</f>
        <v>33334</v>
      </c>
      <c r="X839" s="705">
        <f t="shared" ref="X839:X902" si="49">SUM(ABS(I839),ABS(N839),ABS(P839),ABS(R839),ABS(T839),ABS(L839))</f>
        <v>38182</v>
      </c>
      <c r="Y839" s="705"/>
      <c r="AI839" s="429"/>
    </row>
    <row r="840" spans="2:35">
      <c r="B840" t="s">
        <v>539</v>
      </c>
      <c r="C840" t="s">
        <v>122</v>
      </c>
      <c r="D840" t="s">
        <v>665</v>
      </c>
      <c r="E840" t="s">
        <v>665</v>
      </c>
      <c r="F840">
        <v>8</v>
      </c>
      <c r="G840" s="705">
        <v>989</v>
      </c>
      <c r="H840" s="705">
        <v>3389</v>
      </c>
      <c r="I840" s="705">
        <v>297879</v>
      </c>
      <c r="J840" s="705">
        <v>270799</v>
      </c>
      <c r="K840">
        <v>55</v>
      </c>
      <c r="L840" s="705">
        <v>31618</v>
      </c>
      <c r="M840" s="705">
        <v>22696</v>
      </c>
      <c r="N840" s="705">
        <v>21032</v>
      </c>
      <c r="O840" s="705">
        <v>7790</v>
      </c>
      <c r="P840" s="705">
        <v>2457</v>
      </c>
      <c r="Q840" s="705">
        <v>910</v>
      </c>
      <c r="R840" s="705">
        <v>44102</v>
      </c>
      <c r="S840" s="705">
        <v>40093</v>
      </c>
      <c r="T840" s="705">
        <v>22282</v>
      </c>
      <c r="U840" s="705">
        <v>8253</v>
      </c>
      <c r="V840" s="705">
        <v>350541</v>
      </c>
      <c r="W840" s="705">
        <f t="shared" si="48"/>
        <v>350541</v>
      </c>
      <c r="X840" s="705">
        <f t="shared" si="49"/>
        <v>419370</v>
      </c>
      <c r="Y840" s="705"/>
      <c r="AI840" s="429"/>
    </row>
    <row r="841" spans="2:35">
      <c r="B841" t="s">
        <v>539</v>
      </c>
      <c r="C841" t="s">
        <v>124</v>
      </c>
      <c r="F841">
        <v>4</v>
      </c>
      <c r="G841" s="705">
        <v>362</v>
      </c>
      <c r="H841" s="705">
        <v>3153</v>
      </c>
      <c r="I841" s="705"/>
      <c r="J841" s="705">
        <v>0</v>
      </c>
      <c r="L841" s="705"/>
      <c r="M841" s="705">
        <v>0</v>
      </c>
      <c r="N841" s="705">
        <v>8560</v>
      </c>
      <c r="O841" s="705">
        <v>3170</v>
      </c>
      <c r="P841" s="705">
        <v>2214</v>
      </c>
      <c r="Q841" s="705">
        <v>820</v>
      </c>
      <c r="R841" s="705"/>
      <c r="S841" s="705">
        <v>0</v>
      </c>
      <c r="T841" s="705">
        <v>2778</v>
      </c>
      <c r="U841" s="705">
        <v>1029</v>
      </c>
      <c r="V841" s="705">
        <v>5019</v>
      </c>
      <c r="W841" s="705">
        <f t="shared" si="48"/>
        <v>5019</v>
      </c>
      <c r="X841" s="705">
        <f t="shared" si="49"/>
        <v>13552</v>
      </c>
      <c r="Y841" s="705"/>
      <c r="AI841" s="429"/>
    </row>
    <row r="842" spans="2:35">
      <c r="B842" t="s">
        <v>539</v>
      </c>
      <c r="C842" t="s">
        <v>124</v>
      </c>
      <c r="D842" t="s">
        <v>674</v>
      </c>
      <c r="E842" t="s">
        <v>674</v>
      </c>
      <c r="F842">
        <v>1</v>
      </c>
      <c r="G842" s="705">
        <v>134</v>
      </c>
      <c r="H842" s="705">
        <v>508</v>
      </c>
      <c r="I842" s="705">
        <v>40885</v>
      </c>
      <c r="J842" s="705">
        <v>37169</v>
      </c>
      <c r="K842">
        <v>65</v>
      </c>
      <c r="L842" s="705">
        <v>14764</v>
      </c>
      <c r="M842" s="705">
        <v>13422</v>
      </c>
      <c r="N842" s="705">
        <v>3253</v>
      </c>
      <c r="O842" s="705">
        <v>1205</v>
      </c>
      <c r="P842" s="705">
        <v>351</v>
      </c>
      <c r="Q842" s="705">
        <v>130</v>
      </c>
      <c r="R842" s="705">
        <v>5443</v>
      </c>
      <c r="S842" s="705">
        <v>4949</v>
      </c>
      <c r="T842" s="705">
        <v>3191</v>
      </c>
      <c r="U842" s="705">
        <v>1182</v>
      </c>
      <c r="V842" s="705">
        <v>58056</v>
      </c>
      <c r="W842" s="705">
        <f t="shared" si="48"/>
        <v>58057</v>
      </c>
      <c r="X842" s="705">
        <f t="shared" si="49"/>
        <v>67887</v>
      </c>
      <c r="Y842" s="705"/>
      <c r="AI842" s="429"/>
    </row>
    <row r="843" spans="2:35">
      <c r="B843" t="s">
        <v>539</v>
      </c>
      <c r="C843" t="s">
        <v>124</v>
      </c>
      <c r="D843" t="s">
        <v>664</v>
      </c>
      <c r="E843" t="s">
        <v>664</v>
      </c>
      <c r="F843">
        <v>2</v>
      </c>
      <c r="G843" s="705">
        <v>240</v>
      </c>
      <c r="H843" s="705">
        <v>1093</v>
      </c>
      <c r="I843" s="705">
        <v>84385</v>
      </c>
      <c r="J843" s="705">
        <v>76714</v>
      </c>
      <c r="K843">
        <v>79</v>
      </c>
      <c r="L843" s="705">
        <v>22230</v>
      </c>
      <c r="M843" s="705">
        <v>19594</v>
      </c>
      <c r="N843" s="705">
        <v>5266</v>
      </c>
      <c r="O843" s="705">
        <v>1950</v>
      </c>
      <c r="P843" s="705">
        <v>824</v>
      </c>
      <c r="Q843" s="705">
        <v>305</v>
      </c>
      <c r="R843" s="705">
        <v>9939</v>
      </c>
      <c r="S843" s="705">
        <v>9036</v>
      </c>
      <c r="T843" s="705">
        <v>2204</v>
      </c>
      <c r="U843" s="705">
        <v>816</v>
      </c>
      <c r="V843" s="705">
        <v>108415</v>
      </c>
      <c r="W843" s="705">
        <f t="shared" si="48"/>
        <v>108415</v>
      </c>
      <c r="X843" s="705">
        <f t="shared" si="49"/>
        <v>124848</v>
      </c>
      <c r="Y843" s="705"/>
      <c r="AI843" s="429"/>
    </row>
    <row r="844" spans="2:35">
      <c r="B844" t="s">
        <v>539</v>
      </c>
      <c r="C844" t="s">
        <v>124</v>
      </c>
      <c r="D844" t="s">
        <v>582</v>
      </c>
      <c r="E844" t="s">
        <v>582</v>
      </c>
      <c r="F844">
        <v>1</v>
      </c>
      <c r="G844">
        <v>68</v>
      </c>
      <c r="H844" s="705">
        <v>658</v>
      </c>
      <c r="I844" s="705">
        <v>29541</v>
      </c>
      <c r="J844" s="705">
        <v>26855</v>
      </c>
      <c r="K844">
        <v>65</v>
      </c>
      <c r="L844" s="705">
        <v>7376</v>
      </c>
      <c r="M844" s="705">
        <v>6147</v>
      </c>
      <c r="N844" s="705">
        <v>1647</v>
      </c>
      <c r="O844" s="705">
        <v>610</v>
      </c>
      <c r="P844">
        <v>621</v>
      </c>
      <c r="Q844">
        <v>230</v>
      </c>
      <c r="R844" s="705">
        <v>5274</v>
      </c>
      <c r="S844" s="705">
        <v>4794</v>
      </c>
      <c r="T844" s="705">
        <v>0</v>
      </c>
      <c r="U844" s="705">
        <v>0</v>
      </c>
      <c r="V844" s="705">
        <v>38637</v>
      </c>
      <c r="W844" s="705">
        <f t="shared" si="48"/>
        <v>38636</v>
      </c>
      <c r="X844" s="705">
        <f t="shared" si="49"/>
        <v>44459</v>
      </c>
      <c r="Y844" s="705"/>
      <c r="AI844" s="429"/>
    </row>
    <row r="845" spans="2:35">
      <c r="B845" t="s">
        <v>539</v>
      </c>
      <c r="C845" t="s">
        <v>124</v>
      </c>
      <c r="D845" t="s">
        <v>228</v>
      </c>
      <c r="E845" t="s">
        <v>228</v>
      </c>
      <c r="F845">
        <v>227</v>
      </c>
      <c r="G845" s="705">
        <v>24166</v>
      </c>
      <c r="H845" s="705">
        <v>163981</v>
      </c>
      <c r="I845" s="705">
        <v>12856086</v>
      </c>
      <c r="J845" s="705">
        <v>4761513</v>
      </c>
      <c r="K845">
        <v>100</v>
      </c>
      <c r="L845" s="705">
        <v>2314979</v>
      </c>
      <c r="M845" s="705">
        <v>1774135</v>
      </c>
      <c r="N845" s="705">
        <v>541505</v>
      </c>
      <c r="O845" s="705">
        <v>200557</v>
      </c>
      <c r="P845" s="705">
        <v>3149</v>
      </c>
      <c r="Q845" s="705">
        <v>1166</v>
      </c>
      <c r="R845" s="705">
        <v>1804114</v>
      </c>
      <c r="S845" s="705">
        <v>668190</v>
      </c>
      <c r="T845" s="705">
        <v>2493</v>
      </c>
      <c r="U845">
        <v>923</v>
      </c>
      <c r="V845" s="705">
        <v>7406485</v>
      </c>
      <c r="W845" s="705">
        <f t="shared" si="48"/>
        <v>7406484</v>
      </c>
      <c r="X845" s="705">
        <f t="shared" si="49"/>
        <v>17522326</v>
      </c>
      <c r="Y845" s="705"/>
      <c r="AI845" s="429"/>
    </row>
    <row r="846" spans="2:35">
      <c r="B846" t="s">
        <v>539</v>
      </c>
      <c r="C846" t="s">
        <v>124</v>
      </c>
      <c r="D846" t="s">
        <v>228</v>
      </c>
      <c r="E846" t="s">
        <v>583</v>
      </c>
      <c r="F846">
        <v>5</v>
      </c>
      <c r="G846" s="705">
        <v>862</v>
      </c>
      <c r="H846" s="705">
        <v>3554</v>
      </c>
      <c r="I846" s="705">
        <v>439790</v>
      </c>
      <c r="J846" s="705">
        <v>162885</v>
      </c>
      <c r="K846">
        <v>100</v>
      </c>
      <c r="L846" s="705">
        <v>63095</v>
      </c>
      <c r="M846" s="705">
        <v>54705</v>
      </c>
      <c r="N846" s="705">
        <v>20445</v>
      </c>
      <c r="O846" s="705">
        <v>7572</v>
      </c>
      <c r="P846" s="705">
        <v>575</v>
      </c>
      <c r="Q846" s="705">
        <v>213</v>
      </c>
      <c r="R846" s="705">
        <v>54489</v>
      </c>
      <c r="S846" s="705">
        <v>49535</v>
      </c>
      <c r="T846" s="705">
        <v>5038</v>
      </c>
      <c r="U846" s="705">
        <v>1866</v>
      </c>
      <c r="V846" s="705">
        <v>276777</v>
      </c>
      <c r="W846" s="705">
        <f t="shared" si="48"/>
        <v>276776</v>
      </c>
      <c r="X846" s="705">
        <f t="shared" si="49"/>
        <v>583432</v>
      </c>
      <c r="Y846" s="705"/>
      <c r="AI846" s="429"/>
    </row>
    <row r="847" spans="2:35">
      <c r="B847" t="s">
        <v>539</v>
      </c>
      <c r="C847" t="s">
        <v>124</v>
      </c>
      <c r="D847" t="s">
        <v>228</v>
      </c>
      <c r="E847" t="s">
        <v>584</v>
      </c>
      <c r="F847">
        <v>1</v>
      </c>
      <c r="G847" s="705">
        <v>68</v>
      </c>
      <c r="H847" s="705">
        <v>904</v>
      </c>
      <c r="I847" s="705">
        <v>45668</v>
      </c>
      <c r="J847" s="705">
        <v>16914</v>
      </c>
      <c r="K847">
        <v>100</v>
      </c>
      <c r="L847" s="705">
        <v>10944</v>
      </c>
      <c r="M847" s="705">
        <v>9949</v>
      </c>
      <c r="N847" s="705">
        <v>1651</v>
      </c>
      <c r="O847" s="705">
        <v>611</v>
      </c>
      <c r="P847" s="705">
        <v>0</v>
      </c>
      <c r="Q847" s="705">
        <v>0</v>
      </c>
      <c r="R847" s="705">
        <v>2949</v>
      </c>
      <c r="S847" s="705">
        <v>2681</v>
      </c>
      <c r="T847" s="705">
        <v>0</v>
      </c>
      <c r="U847" s="705">
        <v>0</v>
      </c>
      <c r="V847" s="705">
        <v>30156</v>
      </c>
      <c r="W847" s="705">
        <f t="shared" si="48"/>
        <v>30155</v>
      </c>
      <c r="X847" s="705">
        <f t="shared" si="49"/>
        <v>61212</v>
      </c>
      <c r="Y847" s="705"/>
      <c r="AI847" s="429"/>
    </row>
    <row r="848" spans="2:35">
      <c r="B848" t="s">
        <v>539</v>
      </c>
      <c r="C848" t="s">
        <v>124</v>
      </c>
      <c r="D848" t="s">
        <v>228</v>
      </c>
      <c r="E848" t="s">
        <v>669</v>
      </c>
      <c r="F848">
        <v>1</v>
      </c>
      <c r="G848">
        <v>159</v>
      </c>
      <c r="H848" s="705">
        <v>665</v>
      </c>
      <c r="I848" s="705">
        <v>67713</v>
      </c>
      <c r="J848" s="705">
        <v>25079</v>
      </c>
      <c r="K848">
        <v>100</v>
      </c>
      <c r="L848" s="705">
        <v>25079</v>
      </c>
      <c r="M848" s="705">
        <v>20899</v>
      </c>
      <c r="N848" s="705">
        <v>2800</v>
      </c>
      <c r="O848" s="705">
        <v>1037</v>
      </c>
      <c r="P848">
        <v>0</v>
      </c>
      <c r="Q848">
        <v>0</v>
      </c>
      <c r="R848" s="705">
        <v>6323</v>
      </c>
      <c r="S848" s="705">
        <v>5269</v>
      </c>
      <c r="T848" s="705">
        <v>3468</v>
      </c>
      <c r="U848" s="705">
        <v>1284</v>
      </c>
      <c r="V848" s="705">
        <v>53569</v>
      </c>
      <c r="W848" s="705">
        <f t="shared" si="48"/>
        <v>53568</v>
      </c>
      <c r="X848" s="705">
        <f t="shared" si="49"/>
        <v>105383</v>
      </c>
      <c r="Y848" s="705"/>
      <c r="AI848" s="429"/>
    </row>
    <row r="849" spans="2:35">
      <c r="B849" t="s">
        <v>539</v>
      </c>
      <c r="C849" t="s">
        <v>124</v>
      </c>
      <c r="D849" t="s">
        <v>583</v>
      </c>
      <c r="E849" t="s">
        <v>228</v>
      </c>
      <c r="F849">
        <v>17</v>
      </c>
      <c r="G849" s="705">
        <v>2636</v>
      </c>
      <c r="H849" s="705">
        <v>10282</v>
      </c>
      <c r="I849" s="705">
        <v>1133417</v>
      </c>
      <c r="J849" s="705">
        <v>1030379</v>
      </c>
      <c r="K849">
        <v>67</v>
      </c>
      <c r="L849" s="705">
        <v>264870</v>
      </c>
      <c r="M849" s="705">
        <v>226735</v>
      </c>
      <c r="N849" s="705">
        <v>65448</v>
      </c>
      <c r="O849" s="705">
        <v>24240</v>
      </c>
      <c r="P849" s="705">
        <v>10275</v>
      </c>
      <c r="Q849" s="705">
        <v>3806</v>
      </c>
      <c r="R849" s="705">
        <v>144825</v>
      </c>
      <c r="S849" s="705">
        <v>53639</v>
      </c>
      <c r="T849" s="705">
        <v>3329</v>
      </c>
      <c r="U849" s="705">
        <v>1233</v>
      </c>
      <c r="V849" s="705">
        <v>1340031</v>
      </c>
      <c r="W849" s="705">
        <f t="shared" si="48"/>
        <v>1340032</v>
      </c>
      <c r="X849" s="705">
        <f t="shared" si="49"/>
        <v>1622164</v>
      </c>
      <c r="Y849" s="705"/>
      <c r="AI849" s="429"/>
    </row>
    <row r="850" spans="2:35">
      <c r="B850" t="s">
        <v>539</v>
      </c>
      <c r="C850" t="s">
        <v>124</v>
      </c>
      <c r="D850" t="s">
        <v>583</v>
      </c>
      <c r="E850" t="s">
        <v>583</v>
      </c>
      <c r="F850">
        <v>521</v>
      </c>
      <c r="G850" s="705">
        <v>71405</v>
      </c>
      <c r="H850" s="705">
        <v>289768</v>
      </c>
      <c r="I850" s="705">
        <v>26013853</v>
      </c>
      <c r="J850" s="705">
        <v>23648958</v>
      </c>
      <c r="K850">
        <v>69</v>
      </c>
      <c r="L850" s="705">
        <v>7460718</v>
      </c>
      <c r="M850" s="705">
        <v>6408675</v>
      </c>
      <c r="N850" s="705">
        <v>1617483</v>
      </c>
      <c r="O850" s="705">
        <v>599068</v>
      </c>
      <c r="P850" s="705">
        <v>327413</v>
      </c>
      <c r="Q850" s="705">
        <v>121264</v>
      </c>
      <c r="R850" s="705">
        <v>3190111</v>
      </c>
      <c r="S850" s="705">
        <v>2900101</v>
      </c>
      <c r="T850" s="705">
        <v>1128762</v>
      </c>
      <c r="U850" s="705">
        <v>418060</v>
      </c>
      <c r="V850" s="705">
        <v>34096125</v>
      </c>
      <c r="W850" s="705">
        <f t="shared" si="48"/>
        <v>34096126</v>
      </c>
      <c r="X850" s="705">
        <f t="shared" si="49"/>
        <v>39738340</v>
      </c>
      <c r="Y850" s="705"/>
      <c r="AI850" s="429"/>
    </row>
    <row r="851" spans="2:35">
      <c r="B851" t="s">
        <v>539</v>
      </c>
      <c r="C851" t="s">
        <v>124</v>
      </c>
      <c r="D851" t="s">
        <v>583</v>
      </c>
      <c r="E851" t="s">
        <v>584</v>
      </c>
      <c r="F851">
        <v>1</v>
      </c>
      <c r="G851" s="705">
        <v>89</v>
      </c>
      <c r="H851" s="705">
        <v>450</v>
      </c>
      <c r="I851" s="705">
        <v>25908</v>
      </c>
      <c r="J851" s="705">
        <v>23553</v>
      </c>
      <c r="K851">
        <v>79</v>
      </c>
      <c r="L851" s="705">
        <v>7581</v>
      </c>
      <c r="M851" s="705">
        <v>6891</v>
      </c>
      <c r="N851" s="705">
        <v>1399</v>
      </c>
      <c r="O851" s="705">
        <v>518</v>
      </c>
      <c r="P851" s="705">
        <v>621</v>
      </c>
      <c r="Q851" s="705">
        <v>230</v>
      </c>
      <c r="R851" s="705">
        <v>4574</v>
      </c>
      <c r="S851" s="705">
        <v>4158</v>
      </c>
      <c r="T851" s="705">
        <v>0</v>
      </c>
      <c r="U851" s="705">
        <v>0</v>
      </c>
      <c r="V851" s="705">
        <v>35351</v>
      </c>
      <c r="W851" s="705">
        <f t="shared" si="48"/>
        <v>35350</v>
      </c>
      <c r="X851" s="705">
        <f t="shared" si="49"/>
        <v>40083</v>
      </c>
      <c r="Y851" s="705"/>
      <c r="AI851" s="429"/>
    </row>
    <row r="852" spans="2:35">
      <c r="B852" t="s">
        <v>539</v>
      </c>
      <c r="C852" t="s">
        <v>124</v>
      </c>
      <c r="D852" t="s">
        <v>583</v>
      </c>
      <c r="E852" t="s">
        <v>669</v>
      </c>
      <c r="F852">
        <v>2</v>
      </c>
      <c r="G852">
        <v>536</v>
      </c>
      <c r="H852" s="705">
        <v>1052</v>
      </c>
      <c r="I852" s="705">
        <v>182552</v>
      </c>
      <c r="J852" s="705">
        <v>165957</v>
      </c>
      <c r="K852">
        <v>68</v>
      </c>
      <c r="L852" s="705">
        <v>60519</v>
      </c>
      <c r="M852" s="705">
        <v>54254</v>
      </c>
      <c r="N852" s="705">
        <v>10179</v>
      </c>
      <c r="O852" s="705">
        <v>3770</v>
      </c>
      <c r="P852" s="705">
        <v>1242</v>
      </c>
      <c r="Q852">
        <v>460</v>
      </c>
      <c r="R852" s="705">
        <v>14880</v>
      </c>
      <c r="S852" s="705">
        <v>12400</v>
      </c>
      <c r="T852" s="705">
        <v>1400</v>
      </c>
      <c r="U852">
        <v>518</v>
      </c>
      <c r="V852" s="705">
        <v>237359</v>
      </c>
      <c r="W852" s="705">
        <f t="shared" si="48"/>
        <v>237359</v>
      </c>
      <c r="X852" s="705">
        <f t="shared" si="49"/>
        <v>270772</v>
      </c>
      <c r="Y852" s="705"/>
      <c r="AI852" s="429"/>
    </row>
    <row r="853" spans="2:35">
      <c r="B853" t="s">
        <v>539</v>
      </c>
      <c r="C853" t="s">
        <v>124</v>
      </c>
      <c r="D853" t="s">
        <v>583</v>
      </c>
      <c r="E853" t="s">
        <v>665</v>
      </c>
      <c r="F853">
        <v>2</v>
      </c>
      <c r="G853" s="705">
        <v>288</v>
      </c>
      <c r="H853" s="705">
        <v>1302</v>
      </c>
      <c r="I853" s="705">
        <v>140215</v>
      </c>
      <c r="J853" s="705">
        <v>127468</v>
      </c>
      <c r="K853">
        <v>65</v>
      </c>
      <c r="L853" s="705">
        <v>32094</v>
      </c>
      <c r="M853" s="705">
        <v>29176</v>
      </c>
      <c r="N853" s="705">
        <v>6876</v>
      </c>
      <c r="O853" s="705">
        <v>2547</v>
      </c>
      <c r="P853" s="705">
        <v>1242</v>
      </c>
      <c r="Q853" s="705">
        <v>460</v>
      </c>
      <c r="R853" s="705">
        <v>13517</v>
      </c>
      <c r="S853" s="705">
        <v>12288</v>
      </c>
      <c r="T853" s="705">
        <v>6059</v>
      </c>
      <c r="U853" s="705">
        <v>2244</v>
      </c>
      <c r="V853" s="705">
        <v>174183</v>
      </c>
      <c r="W853" s="705">
        <f t="shared" si="48"/>
        <v>174183</v>
      </c>
      <c r="X853" s="705">
        <f t="shared" si="49"/>
        <v>200003</v>
      </c>
      <c r="Y853" s="705"/>
      <c r="AI853" s="429"/>
    </row>
    <row r="854" spans="2:35">
      <c r="B854" t="s">
        <v>539</v>
      </c>
      <c r="C854" t="s">
        <v>124</v>
      </c>
      <c r="D854" t="s">
        <v>666</v>
      </c>
      <c r="E854" t="s">
        <v>228</v>
      </c>
      <c r="F854">
        <v>8</v>
      </c>
      <c r="G854">
        <v>879</v>
      </c>
      <c r="H854" s="705">
        <v>8104</v>
      </c>
      <c r="I854" s="705">
        <v>757887</v>
      </c>
      <c r="J854" s="705">
        <v>688989</v>
      </c>
      <c r="K854">
        <v>36</v>
      </c>
      <c r="L854" s="705">
        <v>14321</v>
      </c>
      <c r="M854" s="705">
        <v>20969</v>
      </c>
      <c r="N854" s="705">
        <v>21221</v>
      </c>
      <c r="O854" s="705">
        <v>7860</v>
      </c>
      <c r="P854" s="705">
        <v>702</v>
      </c>
      <c r="Q854" s="705">
        <v>260</v>
      </c>
      <c r="R854" s="705">
        <v>81903</v>
      </c>
      <c r="S854" s="705">
        <v>30334</v>
      </c>
      <c r="T854" s="705">
        <v>0</v>
      </c>
      <c r="U854" s="705">
        <v>0</v>
      </c>
      <c r="V854" s="705">
        <v>748412</v>
      </c>
      <c r="W854" s="705">
        <f t="shared" si="48"/>
        <v>748412</v>
      </c>
      <c r="X854" s="705">
        <f t="shared" si="49"/>
        <v>876034</v>
      </c>
      <c r="Y854" s="705"/>
      <c r="AI854" s="429"/>
    </row>
    <row r="855" spans="2:35">
      <c r="B855" t="s">
        <v>539</v>
      </c>
      <c r="C855" t="s">
        <v>124</v>
      </c>
      <c r="D855" t="s">
        <v>666</v>
      </c>
      <c r="E855" t="s">
        <v>583</v>
      </c>
      <c r="F855">
        <v>1</v>
      </c>
      <c r="G855" s="705">
        <v>62</v>
      </c>
      <c r="H855" s="705">
        <v>575</v>
      </c>
      <c r="I855" s="705">
        <v>27769</v>
      </c>
      <c r="J855" s="705">
        <v>25244</v>
      </c>
      <c r="K855">
        <v>65</v>
      </c>
      <c r="L855" s="705">
        <v>0</v>
      </c>
      <c r="M855" s="705">
        <v>0</v>
      </c>
      <c r="N855" s="705">
        <v>857</v>
      </c>
      <c r="O855" s="705">
        <v>318</v>
      </c>
      <c r="P855" s="705">
        <v>351</v>
      </c>
      <c r="Q855" s="705">
        <v>130</v>
      </c>
      <c r="R855" s="705">
        <v>4273</v>
      </c>
      <c r="S855" s="705">
        <v>3885</v>
      </c>
      <c r="T855" s="705">
        <v>2271</v>
      </c>
      <c r="U855" s="705">
        <v>841</v>
      </c>
      <c r="V855" s="705">
        <v>30417</v>
      </c>
      <c r="W855" s="705">
        <f t="shared" si="48"/>
        <v>30418</v>
      </c>
      <c r="X855" s="705">
        <f t="shared" si="49"/>
        <v>35521</v>
      </c>
      <c r="Y855" s="705"/>
      <c r="AI855" s="429"/>
    </row>
    <row r="856" spans="2:35">
      <c r="B856" t="s">
        <v>539</v>
      </c>
      <c r="C856" t="s">
        <v>124</v>
      </c>
      <c r="D856" t="s">
        <v>666</v>
      </c>
      <c r="E856" t="s">
        <v>666</v>
      </c>
      <c r="F856">
        <v>6</v>
      </c>
      <c r="G856">
        <v>544</v>
      </c>
      <c r="H856" s="705">
        <v>4817</v>
      </c>
      <c r="I856" s="705">
        <v>345855</v>
      </c>
      <c r="J856" s="705">
        <v>314414</v>
      </c>
      <c r="K856">
        <v>49</v>
      </c>
      <c r="L856" s="705">
        <v>36313</v>
      </c>
      <c r="M856" s="705">
        <v>33012</v>
      </c>
      <c r="N856" s="705">
        <v>13066</v>
      </c>
      <c r="O856" s="705">
        <v>4839</v>
      </c>
      <c r="P856" s="705">
        <v>702</v>
      </c>
      <c r="Q856">
        <v>260</v>
      </c>
      <c r="R856" s="705">
        <v>37779</v>
      </c>
      <c r="S856" s="705">
        <v>34344</v>
      </c>
      <c r="T856" s="705">
        <v>13421</v>
      </c>
      <c r="U856" s="705">
        <v>4971</v>
      </c>
      <c r="V856" s="705">
        <v>391840</v>
      </c>
      <c r="W856" s="705">
        <f t="shared" si="48"/>
        <v>391840</v>
      </c>
      <c r="X856" s="705">
        <f t="shared" si="49"/>
        <v>447136</v>
      </c>
      <c r="Y856" s="705"/>
      <c r="AI856" s="429"/>
    </row>
    <row r="857" spans="2:35">
      <c r="B857" t="s">
        <v>539</v>
      </c>
      <c r="C857" t="s">
        <v>124</v>
      </c>
      <c r="D857" t="s">
        <v>584</v>
      </c>
      <c r="E857" t="s">
        <v>228</v>
      </c>
      <c r="F857">
        <v>14</v>
      </c>
      <c r="G857" s="705">
        <v>1535</v>
      </c>
      <c r="H857" s="705">
        <v>8283</v>
      </c>
      <c r="I857" s="705">
        <v>635731</v>
      </c>
      <c r="J857" s="705">
        <v>577937</v>
      </c>
      <c r="K857">
        <v>66</v>
      </c>
      <c r="L857" s="705">
        <v>115542</v>
      </c>
      <c r="M857" s="705">
        <v>88089</v>
      </c>
      <c r="N857" s="705">
        <v>35782</v>
      </c>
      <c r="O857" s="705">
        <v>13253</v>
      </c>
      <c r="P857" s="705">
        <v>3857</v>
      </c>
      <c r="Q857" s="705">
        <v>1429</v>
      </c>
      <c r="R857" s="705">
        <v>125398</v>
      </c>
      <c r="S857" s="705">
        <v>46444</v>
      </c>
      <c r="T857" s="705">
        <v>3783</v>
      </c>
      <c r="U857" s="705">
        <v>1401</v>
      </c>
      <c r="V857" s="705">
        <v>728552</v>
      </c>
      <c r="W857" s="705">
        <f t="shared" si="48"/>
        <v>728553</v>
      </c>
      <c r="X857" s="705">
        <f t="shared" si="49"/>
        <v>920093</v>
      </c>
      <c r="Y857" s="705"/>
      <c r="AI857" s="429"/>
    </row>
    <row r="858" spans="2:35">
      <c r="B858" t="s">
        <v>539</v>
      </c>
      <c r="C858" t="s">
        <v>124</v>
      </c>
      <c r="D858" t="s">
        <v>584</v>
      </c>
      <c r="E858" t="s">
        <v>584</v>
      </c>
      <c r="F858">
        <v>523</v>
      </c>
      <c r="G858" s="705">
        <v>63296</v>
      </c>
      <c r="H858" s="705">
        <v>285440</v>
      </c>
      <c r="I858" s="705">
        <v>22385383</v>
      </c>
      <c r="J858" s="705">
        <v>20350348</v>
      </c>
      <c r="K858">
        <v>72</v>
      </c>
      <c r="L858" s="705">
        <v>6873949</v>
      </c>
      <c r="M858" s="705">
        <v>8960557</v>
      </c>
      <c r="N858" s="705">
        <v>1411248</v>
      </c>
      <c r="O858" s="705">
        <v>522684</v>
      </c>
      <c r="P858" s="705">
        <v>244613</v>
      </c>
      <c r="Q858" s="705">
        <v>90597</v>
      </c>
      <c r="R858" s="705">
        <v>2967980</v>
      </c>
      <c r="S858" s="705">
        <v>2698164</v>
      </c>
      <c r="T858" s="705">
        <v>1003818</v>
      </c>
      <c r="U858" s="705">
        <v>371784</v>
      </c>
      <c r="V858" s="705">
        <v>32994135</v>
      </c>
      <c r="W858" s="705">
        <f t="shared" si="48"/>
        <v>32994134</v>
      </c>
      <c r="X858" s="705">
        <f t="shared" si="49"/>
        <v>34886991</v>
      </c>
      <c r="Y858" s="705"/>
      <c r="AI858" s="429"/>
    </row>
    <row r="859" spans="2:35">
      <c r="B859" t="s">
        <v>539</v>
      </c>
      <c r="C859" t="s">
        <v>124</v>
      </c>
      <c r="D859" t="s">
        <v>584</v>
      </c>
      <c r="E859" t="s">
        <v>673</v>
      </c>
      <c r="F859">
        <v>1</v>
      </c>
      <c r="G859" s="705">
        <v>45</v>
      </c>
      <c r="H859" s="705">
        <v>616</v>
      </c>
      <c r="I859" s="705">
        <v>19950</v>
      </c>
      <c r="J859" s="705">
        <v>18137</v>
      </c>
      <c r="K859">
        <v>78</v>
      </c>
      <c r="L859" s="705">
        <v>2340</v>
      </c>
      <c r="M859" s="705">
        <v>2127</v>
      </c>
      <c r="N859" s="705">
        <v>1097</v>
      </c>
      <c r="O859" s="705">
        <v>406</v>
      </c>
      <c r="P859" s="705">
        <v>473</v>
      </c>
      <c r="Q859" s="705">
        <v>175</v>
      </c>
      <c r="R859" s="705">
        <v>3867</v>
      </c>
      <c r="S859" s="705">
        <v>3516</v>
      </c>
      <c r="T859">
        <v>0</v>
      </c>
      <c r="U859">
        <v>0</v>
      </c>
      <c r="V859" s="705">
        <v>24361</v>
      </c>
      <c r="W859" s="705">
        <f t="shared" si="48"/>
        <v>24361</v>
      </c>
      <c r="X859" s="705">
        <f t="shared" si="49"/>
        <v>27727</v>
      </c>
      <c r="Y859" s="705"/>
      <c r="AI859" s="429"/>
    </row>
    <row r="860" spans="2:35">
      <c r="B860" t="s">
        <v>539</v>
      </c>
      <c r="C860" t="s">
        <v>124</v>
      </c>
      <c r="D860" t="s">
        <v>669</v>
      </c>
      <c r="E860" t="s">
        <v>228</v>
      </c>
      <c r="F860">
        <v>39</v>
      </c>
      <c r="G860" s="705">
        <v>4087</v>
      </c>
      <c r="H860" s="705">
        <v>47967</v>
      </c>
      <c r="I860" s="705">
        <v>4163143</v>
      </c>
      <c r="J860" s="705">
        <v>3469285</v>
      </c>
      <c r="K860">
        <v>36</v>
      </c>
      <c r="L860" s="705">
        <v>278763</v>
      </c>
      <c r="M860" s="705">
        <v>129867</v>
      </c>
      <c r="N860" s="705">
        <v>93781</v>
      </c>
      <c r="O860" s="705">
        <v>34734</v>
      </c>
      <c r="P860" s="705">
        <v>1404</v>
      </c>
      <c r="Q860" s="705">
        <v>520</v>
      </c>
      <c r="R860" s="705">
        <v>338091</v>
      </c>
      <c r="S860" s="705">
        <v>125219</v>
      </c>
      <c r="T860">
        <v>0</v>
      </c>
      <c r="U860">
        <v>0</v>
      </c>
      <c r="V860" s="705">
        <v>3759625</v>
      </c>
      <c r="W860" s="705">
        <f t="shared" si="48"/>
        <v>3759625</v>
      </c>
      <c r="X860" s="705">
        <f t="shared" si="49"/>
        <v>4875182</v>
      </c>
      <c r="Y860" s="705"/>
      <c r="AI860" s="429"/>
    </row>
    <row r="861" spans="2:35">
      <c r="B861" t="s">
        <v>539</v>
      </c>
      <c r="C861" t="s">
        <v>124</v>
      </c>
      <c r="D861" t="s">
        <v>669</v>
      </c>
      <c r="E861" t="s">
        <v>583</v>
      </c>
      <c r="F861">
        <v>4</v>
      </c>
      <c r="G861" s="705">
        <v>1027</v>
      </c>
      <c r="H861" s="705">
        <v>4450</v>
      </c>
      <c r="I861" s="705">
        <v>951199</v>
      </c>
      <c r="J861" s="705">
        <v>792666</v>
      </c>
      <c r="K861">
        <v>30</v>
      </c>
      <c r="L861" s="705">
        <v>64754</v>
      </c>
      <c r="M861" s="705">
        <v>32694</v>
      </c>
      <c r="N861" s="705">
        <v>21825</v>
      </c>
      <c r="O861" s="705">
        <v>8083</v>
      </c>
      <c r="P861" s="705">
        <v>0</v>
      </c>
      <c r="Q861" s="705">
        <v>0</v>
      </c>
      <c r="R861" s="705">
        <v>35036</v>
      </c>
      <c r="S861" s="705">
        <v>31851</v>
      </c>
      <c r="T861" s="705">
        <v>18360</v>
      </c>
      <c r="U861" s="705">
        <v>6800</v>
      </c>
      <c r="V861" s="705">
        <v>872094</v>
      </c>
      <c r="W861" s="705">
        <f t="shared" si="48"/>
        <v>872094</v>
      </c>
      <c r="X861" s="705">
        <f t="shared" si="49"/>
        <v>1091174</v>
      </c>
      <c r="Y861" s="705"/>
      <c r="AI861" s="429"/>
    </row>
    <row r="862" spans="2:35">
      <c r="B862" t="s">
        <v>539</v>
      </c>
      <c r="C862" t="s">
        <v>124</v>
      </c>
      <c r="D862" t="s">
        <v>669</v>
      </c>
      <c r="E862" t="s">
        <v>669</v>
      </c>
      <c r="F862">
        <v>36</v>
      </c>
      <c r="G862" s="705">
        <v>3589</v>
      </c>
      <c r="H862" s="705">
        <v>29175</v>
      </c>
      <c r="I862" s="705">
        <v>2327618</v>
      </c>
      <c r="J862" s="705">
        <v>1939682</v>
      </c>
      <c r="K862">
        <v>52</v>
      </c>
      <c r="L862" s="705">
        <v>307564</v>
      </c>
      <c r="M862" s="705">
        <v>226106</v>
      </c>
      <c r="N862" s="705">
        <v>79734</v>
      </c>
      <c r="O862" s="705">
        <v>29531</v>
      </c>
      <c r="P862" s="705">
        <v>10719</v>
      </c>
      <c r="Q862" s="705">
        <v>3970</v>
      </c>
      <c r="R862" s="705">
        <v>232541</v>
      </c>
      <c r="S862" s="705">
        <v>193784</v>
      </c>
      <c r="T862" s="705">
        <v>76342</v>
      </c>
      <c r="U862" s="705">
        <v>28275</v>
      </c>
      <c r="V862" s="705">
        <v>2421348</v>
      </c>
      <c r="W862" s="705">
        <f t="shared" si="48"/>
        <v>2421348</v>
      </c>
      <c r="X862" s="705">
        <f t="shared" si="49"/>
        <v>3034518</v>
      </c>
      <c r="Y862" s="705"/>
      <c r="AI862" s="429"/>
    </row>
    <row r="863" spans="2:35">
      <c r="B863" t="s">
        <v>539</v>
      </c>
      <c r="C863" t="s">
        <v>124</v>
      </c>
      <c r="D863" t="s">
        <v>669</v>
      </c>
      <c r="E863" t="s">
        <v>665</v>
      </c>
      <c r="F863">
        <v>1</v>
      </c>
      <c r="G863" s="705">
        <v>102</v>
      </c>
      <c r="H863" s="705">
        <v>738</v>
      </c>
      <c r="I863" s="705">
        <v>58564</v>
      </c>
      <c r="J863" s="705">
        <v>48804</v>
      </c>
      <c r="K863">
        <v>55</v>
      </c>
      <c r="L863" s="705">
        <v>11930</v>
      </c>
      <c r="M863" s="705">
        <v>9941</v>
      </c>
      <c r="N863" s="705">
        <v>2492</v>
      </c>
      <c r="O863" s="705">
        <v>923</v>
      </c>
      <c r="P863" s="705">
        <v>351</v>
      </c>
      <c r="Q863" s="705">
        <v>130</v>
      </c>
      <c r="R863" s="705">
        <v>2110</v>
      </c>
      <c r="S863" s="705">
        <v>1918</v>
      </c>
      <c r="T863">
        <v>0</v>
      </c>
      <c r="U863">
        <v>0</v>
      </c>
      <c r="V863" s="705">
        <v>61716</v>
      </c>
      <c r="W863" s="705">
        <f t="shared" si="48"/>
        <v>61716</v>
      </c>
      <c r="X863" s="705">
        <f t="shared" si="49"/>
        <v>75447</v>
      </c>
      <c r="Y863" s="705"/>
      <c r="AI863" s="429"/>
    </row>
    <row r="864" spans="2:35">
      <c r="B864" t="s">
        <v>539</v>
      </c>
      <c r="C864" t="s">
        <v>124</v>
      </c>
      <c r="D864" t="s">
        <v>665</v>
      </c>
      <c r="E864" t="s">
        <v>228</v>
      </c>
      <c r="F864">
        <v>18</v>
      </c>
      <c r="G864" s="705">
        <v>2204</v>
      </c>
      <c r="H864" s="705">
        <v>22124</v>
      </c>
      <c r="I864" s="705">
        <v>2063629</v>
      </c>
      <c r="J864" s="705">
        <v>1876026</v>
      </c>
      <c r="K864">
        <v>33</v>
      </c>
      <c r="L864" s="705">
        <v>155605</v>
      </c>
      <c r="M864" s="705">
        <v>74621</v>
      </c>
      <c r="N864" s="705">
        <v>51091</v>
      </c>
      <c r="O864" s="705">
        <v>18922</v>
      </c>
      <c r="P864" s="705">
        <v>1053</v>
      </c>
      <c r="Q864" s="705">
        <v>390</v>
      </c>
      <c r="R864" s="705">
        <v>185813</v>
      </c>
      <c r="S864" s="705">
        <v>68820</v>
      </c>
      <c r="T864" s="705">
        <v>2278</v>
      </c>
      <c r="U864" s="705">
        <v>844</v>
      </c>
      <c r="V864" s="705">
        <v>2039623</v>
      </c>
      <c r="W864" s="705">
        <f t="shared" si="48"/>
        <v>2039623</v>
      </c>
      <c r="X864" s="705">
        <f t="shared" si="49"/>
        <v>2459469</v>
      </c>
      <c r="Y864" s="705"/>
      <c r="AI864" s="429"/>
    </row>
    <row r="865" spans="2:35">
      <c r="B865" t="s">
        <v>539</v>
      </c>
      <c r="C865" t="s">
        <v>124</v>
      </c>
      <c r="D865" t="s">
        <v>665</v>
      </c>
      <c r="E865" t="s">
        <v>665</v>
      </c>
      <c r="F865">
        <v>18</v>
      </c>
      <c r="G865" s="705">
        <v>1532</v>
      </c>
      <c r="H865" s="705">
        <v>13806</v>
      </c>
      <c r="I865" s="705">
        <v>863190</v>
      </c>
      <c r="J865" s="705">
        <v>784718</v>
      </c>
      <c r="K865">
        <v>54</v>
      </c>
      <c r="L865" s="705">
        <v>128419</v>
      </c>
      <c r="M865" s="705">
        <v>96987</v>
      </c>
      <c r="N865" s="705">
        <v>35113</v>
      </c>
      <c r="O865" s="705">
        <v>13005</v>
      </c>
      <c r="P865" s="705">
        <v>5265</v>
      </c>
      <c r="Q865" s="705">
        <v>1950</v>
      </c>
      <c r="R865" s="705">
        <v>114164</v>
      </c>
      <c r="S865" s="705">
        <v>103786</v>
      </c>
      <c r="T865" s="705">
        <v>33460</v>
      </c>
      <c r="U865" s="705">
        <v>12393</v>
      </c>
      <c r="V865" s="705">
        <v>1012838</v>
      </c>
      <c r="W865" s="705">
        <f t="shared" si="48"/>
        <v>1012839</v>
      </c>
      <c r="X865" s="705">
        <f t="shared" si="49"/>
        <v>1179611</v>
      </c>
      <c r="Y865" s="705"/>
      <c r="AI865" s="429"/>
    </row>
    <row r="866" spans="2:35">
      <c r="B866" t="s">
        <v>539</v>
      </c>
      <c r="C866" t="s">
        <v>124</v>
      </c>
      <c r="D866" t="s">
        <v>673</v>
      </c>
      <c r="E866" t="s">
        <v>228</v>
      </c>
      <c r="F866">
        <v>1</v>
      </c>
      <c r="G866" s="705">
        <v>105</v>
      </c>
      <c r="H866">
        <v>815</v>
      </c>
      <c r="I866" s="705">
        <v>65370</v>
      </c>
      <c r="J866" s="705">
        <v>59428</v>
      </c>
      <c r="K866">
        <v>30</v>
      </c>
      <c r="L866" s="705">
        <v>8495</v>
      </c>
      <c r="M866" s="705">
        <v>3146</v>
      </c>
      <c r="N866" s="705">
        <v>2312</v>
      </c>
      <c r="O866" s="705">
        <v>856</v>
      </c>
      <c r="P866" s="705">
        <v>0</v>
      </c>
      <c r="Q866" s="705">
        <v>0</v>
      </c>
      <c r="R866" s="705">
        <v>9723</v>
      </c>
      <c r="S866" s="705">
        <v>3601</v>
      </c>
      <c r="T866">
        <v>0</v>
      </c>
      <c r="U866">
        <v>0</v>
      </c>
      <c r="V866" s="705">
        <v>67031</v>
      </c>
      <c r="W866" s="705">
        <f t="shared" si="48"/>
        <v>67031</v>
      </c>
      <c r="X866" s="705">
        <f t="shared" si="49"/>
        <v>85900</v>
      </c>
      <c r="Y866" s="705"/>
      <c r="AI866" s="429"/>
    </row>
    <row r="867" spans="2:35">
      <c r="B867" t="s">
        <v>539</v>
      </c>
      <c r="C867" t="s">
        <v>124</v>
      </c>
      <c r="D867" t="s">
        <v>673</v>
      </c>
      <c r="E867" t="s">
        <v>673</v>
      </c>
      <c r="F867">
        <v>3</v>
      </c>
      <c r="G867" s="705">
        <v>368</v>
      </c>
      <c r="H867" s="705">
        <v>1705</v>
      </c>
      <c r="I867" s="705">
        <v>125677</v>
      </c>
      <c r="J867" s="705">
        <v>114252</v>
      </c>
      <c r="K867">
        <v>55</v>
      </c>
      <c r="L867" s="705">
        <v>26027</v>
      </c>
      <c r="M867" s="705">
        <v>23661</v>
      </c>
      <c r="N867" s="705">
        <v>8891</v>
      </c>
      <c r="O867" s="705">
        <v>3293</v>
      </c>
      <c r="P867" s="705">
        <v>1445</v>
      </c>
      <c r="Q867" s="705">
        <v>535</v>
      </c>
      <c r="R867" s="705">
        <v>19135</v>
      </c>
      <c r="S867" s="705">
        <v>17396</v>
      </c>
      <c r="T867" s="705">
        <v>6706</v>
      </c>
      <c r="U867" s="705">
        <v>2484</v>
      </c>
      <c r="V867" s="705">
        <v>161619</v>
      </c>
      <c r="W867" s="705">
        <f t="shared" si="48"/>
        <v>161621</v>
      </c>
      <c r="X867" s="705">
        <f t="shared" si="49"/>
        <v>187881</v>
      </c>
      <c r="Y867" s="705"/>
      <c r="AI867" s="429"/>
    </row>
    <row r="868" spans="2:35">
      <c r="B868" t="s">
        <v>539</v>
      </c>
      <c r="C868" t="s">
        <v>124</v>
      </c>
      <c r="D868" t="s">
        <v>585</v>
      </c>
      <c r="E868" t="s">
        <v>585</v>
      </c>
      <c r="F868">
        <v>1</v>
      </c>
      <c r="G868" s="705">
        <v>122</v>
      </c>
      <c r="H868" s="705">
        <v>568</v>
      </c>
      <c r="I868" s="705">
        <v>53402</v>
      </c>
      <c r="J868" s="705">
        <v>48548</v>
      </c>
      <c r="K868">
        <v>65</v>
      </c>
      <c r="L868" s="705">
        <v>5934</v>
      </c>
      <c r="M868" s="705">
        <v>5394</v>
      </c>
      <c r="N868" s="705">
        <v>2551</v>
      </c>
      <c r="O868" s="705">
        <v>945</v>
      </c>
      <c r="P868" s="705">
        <v>351</v>
      </c>
      <c r="Q868" s="705">
        <v>130</v>
      </c>
      <c r="R868" s="705">
        <v>4711</v>
      </c>
      <c r="S868" s="705">
        <v>4283</v>
      </c>
      <c r="T868" s="705">
        <v>2615</v>
      </c>
      <c r="U868" s="705">
        <v>969</v>
      </c>
      <c r="V868" s="705">
        <v>60268</v>
      </c>
      <c r="W868" s="705">
        <f t="shared" si="48"/>
        <v>60269</v>
      </c>
      <c r="X868" s="705">
        <f t="shared" si="49"/>
        <v>69564</v>
      </c>
      <c r="Y868" s="705"/>
      <c r="AI868" s="429"/>
    </row>
    <row r="869" spans="2:35">
      <c r="B869" t="s">
        <v>540</v>
      </c>
      <c r="C869" t="s">
        <v>108</v>
      </c>
      <c r="D869" t="s">
        <v>582</v>
      </c>
      <c r="E869" t="s">
        <v>582</v>
      </c>
      <c r="F869">
        <v>12</v>
      </c>
      <c r="G869" s="705">
        <v>1731</v>
      </c>
      <c r="H869">
        <v>684</v>
      </c>
      <c r="I869" s="705">
        <v>13168</v>
      </c>
      <c r="J869" s="705">
        <v>11971</v>
      </c>
      <c r="K869">
        <v>92</v>
      </c>
      <c r="L869" s="705">
        <v>2341</v>
      </c>
      <c r="M869" s="705">
        <v>2128</v>
      </c>
      <c r="N869" s="705">
        <v>27576</v>
      </c>
      <c r="O869" s="705">
        <v>10214</v>
      </c>
      <c r="P869" s="705">
        <v>21460</v>
      </c>
      <c r="Q869" s="705">
        <v>7948</v>
      </c>
      <c r="R869" s="705">
        <v>33509</v>
      </c>
      <c r="S869" s="705">
        <v>30463</v>
      </c>
      <c r="T869">
        <v>0</v>
      </c>
      <c r="U869">
        <v>0</v>
      </c>
      <c r="V869" s="705">
        <v>62723</v>
      </c>
      <c r="W869" s="705">
        <f t="shared" si="48"/>
        <v>62724</v>
      </c>
      <c r="X869" s="705">
        <f t="shared" si="49"/>
        <v>98054</v>
      </c>
      <c r="Y869" s="705"/>
      <c r="AI869" s="429"/>
    </row>
    <row r="870" spans="2:35">
      <c r="B870" t="s">
        <v>540</v>
      </c>
      <c r="C870" t="s">
        <v>108</v>
      </c>
      <c r="D870" t="s">
        <v>582</v>
      </c>
      <c r="E870" t="s">
        <v>228</v>
      </c>
      <c r="F870">
        <v>1</v>
      </c>
      <c r="G870" s="705">
        <v>208</v>
      </c>
      <c r="H870" s="705">
        <v>54</v>
      </c>
      <c r="I870" s="705">
        <v>956</v>
      </c>
      <c r="J870" s="705">
        <v>869</v>
      </c>
      <c r="K870">
        <v>90</v>
      </c>
      <c r="L870" s="705">
        <v>118</v>
      </c>
      <c r="M870" s="705">
        <v>108</v>
      </c>
      <c r="N870" s="705">
        <v>2533</v>
      </c>
      <c r="O870" s="705">
        <v>938</v>
      </c>
      <c r="P870" s="705">
        <v>2251</v>
      </c>
      <c r="Q870" s="705">
        <v>834</v>
      </c>
      <c r="R870" s="705">
        <v>5283</v>
      </c>
      <c r="S870" s="705">
        <v>1957</v>
      </c>
      <c r="T870" s="705">
        <v>0</v>
      </c>
      <c r="U870" s="705">
        <v>0</v>
      </c>
      <c r="V870" s="705">
        <v>4705</v>
      </c>
      <c r="W870" s="705">
        <f t="shared" si="48"/>
        <v>4706</v>
      </c>
      <c r="X870" s="705">
        <f t="shared" si="49"/>
        <v>11141</v>
      </c>
      <c r="Y870" s="705"/>
      <c r="AI870" s="429"/>
    </row>
    <row r="871" spans="2:35">
      <c r="B871" t="s">
        <v>540</v>
      </c>
      <c r="C871" t="s">
        <v>108</v>
      </c>
      <c r="D871" t="s">
        <v>228</v>
      </c>
      <c r="E871" t="s">
        <v>582</v>
      </c>
      <c r="F871">
        <v>1</v>
      </c>
      <c r="G871" s="705">
        <v>419</v>
      </c>
      <c r="H871" s="705">
        <v>45</v>
      </c>
      <c r="I871" s="705">
        <v>3177</v>
      </c>
      <c r="J871" s="705">
        <v>1177</v>
      </c>
      <c r="K871">
        <v>364</v>
      </c>
      <c r="L871" s="705">
        <v>697</v>
      </c>
      <c r="M871" s="705">
        <v>634</v>
      </c>
      <c r="N871" s="705">
        <v>6436</v>
      </c>
      <c r="O871" s="705">
        <v>2384</v>
      </c>
      <c r="P871" s="705">
        <v>4418</v>
      </c>
      <c r="Q871" s="705">
        <v>1636</v>
      </c>
      <c r="R871" s="705">
        <v>4015</v>
      </c>
      <c r="S871" s="705">
        <v>3650</v>
      </c>
      <c r="T871" s="705">
        <v>0</v>
      </c>
      <c r="U871" s="705">
        <v>0</v>
      </c>
      <c r="V871" s="705">
        <v>9481</v>
      </c>
      <c r="W871" s="705">
        <f t="shared" si="48"/>
        <v>9481</v>
      </c>
      <c r="X871" s="705">
        <f t="shared" si="49"/>
        <v>18743</v>
      </c>
      <c r="Y871" s="705"/>
      <c r="AI871" s="429"/>
    </row>
    <row r="872" spans="2:35">
      <c r="B872" t="s">
        <v>540</v>
      </c>
      <c r="C872" t="s">
        <v>108</v>
      </c>
      <c r="D872" t="s">
        <v>228</v>
      </c>
      <c r="E872" t="s">
        <v>228</v>
      </c>
      <c r="F872" s="705">
        <v>503</v>
      </c>
      <c r="G872" s="705">
        <v>118494</v>
      </c>
      <c r="H872" s="705">
        <v>26602</v>
      </c>
      <c r="I872" s="705">
        <v>534163</v>
      </c>
      <c r="J872" s="705">
        <v>197838</v>
      </c>
      <c r="K872">
        <v>479</v>
      </c>
      <c r="L872" s="705">
        <v>151157</v>
      </c>
      <c r="M872" s="705">
        <v>137290</v>
      </c>
      <c r="N872" s="705">
        <v>1672851</v>
      </c>
      <c r="O872" s="705">
        <v>619574</v>
      </c>
      <c r="P872" s="705">
        <v>1057945</v>
      </c>
      <c r="Q872" s="705">
        <v>391831</v>
      </c>
      <c r="R872" s="705">
        <v>2856569</v>
      </c>
      <c r="S872" s="705">
        <v>1057989</v>
      </c>
      <c r="T872" s="705">
        <v>3460</v>
      </c>
      <c r="U872" s="705">
        <v>1281</v>
      </c>
      <c r="V872" s="705">
        <v>2405804</v>
      </c>
      <c r="W872" s="705">
        <f t="shared" si="48"/>
        <v>2405803</v>
      </c>
      <c r="X872" s="705">
        <f t="shared" si="49"/>
        <v>6276145</v>
      </c>
      <c r="Y872" s="705"/>
      <c r="AI872" s="429"/>
    </row>
    <row r="873" spans="2:35">
      <c r="B873" t="s">
        <v>540</v>
      </c>
      <c r="C873" t="s">
        <v>108</v>
      </c>
      <c r="D873" t="s">
        <v>228</v>
      </c>
      <c r="E873" t="s">
        <v>584</v>
      </c>
      <c r="F873">
        <v>1</v>
      </c>
      <c r="G873" s="705">
        <v>737</v>
      </c>
      <c r="H873" s="705">
        <v>67</v>
      </c>
      <c r="I873" s="705">
        <v>31678</v>
      </c>
      <c r="J873" s="705">
        <v>11733</v>
      </c>
      <c r="K873">
        <v>250</v>
      </c>
      <c r="L873" s="705">
        <v>0</v>
      </c>
      <c r="M873" s="705">
        <v>0</v>
      </c>
      <c r="N873" s="705">
        <v>10500</v>
      </c>
      <c r="O873" s="705">
        <v>3889</v>
      </c>
      <c r="P873" s="705">
        <v>1526</v>
      </c>
      <c r="Q873" s="705">
        <v>565</v>
      </c>
      <c r="R873" s="705">
        <v>5383</v>
      </c>
      <c r="S873" s="705">
        <v>4894</v>
      </c>
      <c r="T873" s="705">
        <v>0</v>
      </c>
      <c r="U873" s="705">
        <v>0</v>
      </c>
      <c r="V873" s="705">
        <v>21080</v>
      </c>
      <c r="W873" s="705">
        <f t="shared" si="48"/>
        <v>21081</v>
      </c>
      <c r="X873" s="705">
        <f t="shared" si="49"/>
        <v>49087</v>
      </c>
      <c r="Y873" s="705"/>
      <c r="AI873" s="429"/>
    </row>
    <row r="874" spans="2:35">
      <c r="B874" t="s">
        <v>540</v>
      </c>
      <c r="C874" t="s">
        <v>108</v>
      </c>
      <c r="D874" t="s">
        <v>228</v>
      </c>
      <c r="E874" t="s">
        <v>665</v>
      </c>
      <c r="F874">
        <v>1</v>
      </c>
      <c r="G874">
        <v>256</v>
      </c>
      <c r="H874" s="705">
        <v>38</v>
      </c>
      <c r="I874" s="705">
        <v>1434</v>
      </c>
      <c r="J874" s="705">
        <v>531</v>
      </c>
      <c r="K874">
        <v>568</v>
      </c>
      <c r="L874" s="705">
        <v>490</v>
      </c>
      <c r="M874" s="705">
        <v>446</v>
      </c>
      <c r="N874" s="705">
        <v>3122</v>
      </c>
      <c r="O874" s="705">
        <v>1156</v>
      </c>
      <c r="P874" s="705">
        <v>2671</v>
      </c>
      <c r="Q874" s="705">
        <v>989</v>
      </c>
      <c r="R874" s="705">
        <v>2041</v>
      </c>
      <c r="S874" s="705">
        <v>1855</v>
      </c>
      <c r="T874" s="705">
        <v>0</v>
      </c>
      <c r="U874" s="705">
        <v>0</v>
      </c>
      <c r="V874" s="705">
        <v>4978</v>
      </c>
      <c r="W874" s="705">
        <f t="shared" si="48"/>
        <v>4977</v>
      </c>
      <c r="X874" s="705">
        <f t="shared" si="49"/>
        <v>9758</v>
      </c>
      <c r="Y874" s="705"/>
      <c r="AI874" s="429"/>
    </row>
    <row r="875" spans="2:35">
      <c r="B875" t="s">
        <v>540</v>
      </c>
      <c r="C875" t="s">
        <v>108</v>
      </c>
      <c r="D875" t="s">
        <v>583</v>
      </c>
      <c r="E875" t="s">
        <v>228</v>
      </c>
      <c r="F875">
        <v>1</v>
      </c>
      <c r="G875" s="705">
        <v>216</v>
      </c>
      <c r="H875" s="705">
        <v>51</v>
      </c>
      <c r="I875" s="705">
        <v>794</v>
      </c>
      <c r="J875" s="705">
        <v>722</v>
      </c>
      <c r="K875">
        <v>97</v>
      </c>
      <c r="L875" s="705">
        <v>0</v>
      </c>
      <c r="M875" s="705">
        <v>103</v>
      </c>
      <c r="N875" s="705">
        <v>3474</v>
      </c>
      <c r="O875" s="705">
        <v>1287</v>
      </c>
      <c r="P875" s="705">
        <v>2541</v>
      </c>
      <c r="Q875" s="705">
        <v>941</v>
      </c>
      <c r="R875" s="705">
        <v>4100</v>
      </c>
      <c r="S875" s="705">
        <v>1518</v>
      </c>
      <c r="T875" s="705">
        <v>0</v>
      </c>
      <c r="U875" s="705">
        <v>0</v>
      </c>
      <c r="V875" s="705">
        <v>4571</v>
      </c>
      <c r="W875" s="705">
        <f t="shared" si="48"/>
        <v>4571</v>
      </c>
      <c r="X875" s="705">
        <f t="shared" si="49"/>
        <v>10909</v>
      </c>
      <c r="Y875" s="705"/>
      <c r="AI875" s="429"/>
    </row>
    <row r="876" spans="2:35">
      <c r="B876" t="s">
        <v>540</v>
      </c>
      <c r="C876" t="s">
        <v>108</v>
      </c>
      <c r="D876" t="s">
        <v>583</v>
      </c>
      <c r="E876" t="s">
        <v>583</v>
      </c>
      <c r="F876">
        <v>84</v>
      </c>
      <c r="G876" s="705">
        <v>18042</v>
      </c>
      <c r="H876" s="705">
        <v>5235</v>
      </c>
      <c r="I876" s="705">
        <v>340171</v>
      </c>
      <c r="J876" s="705">
        <v>309246</v>
      </c>
      <c r="K876">
        <v>95</v>
      </c>
      <c r="L876" s="705">
        <v>50816</v>
      </c>
      <c r="M876" s="705">
        <v>46217</v>
      </c>
      <c r="N876" s="705">
        <v>244291</v>
      </c>
      <c r="O876" s="705">
        <v>90478</v>
      </c>
      <c r="P876" s="705">
        <v>168377</v>
      </c>
      <c r="Q876" s="705">
        <v>62362</v>
      </c>
      <c r="R876" s="705">
        <v>298835</v>
      </c>
      <c r="S876" s="705">
        <v>271668</v>
      </c>
      <c r="T876" s="705">
        <v>7357</v>
      </c>
      <c r="U876" s="705">
        <v>2725</v>
      </c>
      <c r="V876" s="705">
        <v>782696</v>
      </c>
      <c r="W876" s="705">
        <f t="shared" si="48"/>
        <v>782696</v>
      </c>
      <c r="X876" s="705">
        <f t="shared" si="49"/>
        <v>1109847</v>
      </c>
      <c r="Y876" s="705"/>
      <c r="AI876" s="429"/>
    </row>
    <row r="877" spans="2:35">
      <c r="B877" t="s">
        <v>540</v>
      </c>
      <c r="C877" t="s">
        <v>108</v>
      </c>
      <c r="D877" t="s">
        <v>584</v>
      </c>
      <c r="E877" t="s">
        <v>584</v>
      </c>
      <c r="F877">
        <v>24</v>
      </c>
      <c r="G877" s="705">
        <v>3343</v>
      </c>
      <c r="H877" s="705">
        <v>1360</v>
      </c>
      <c r="I877" s="705">
        <v>8475</v>
      </c>
      <c r="J877" s="705">
        <v>7705</v>
      </c>
      <c r="K877">
        <v>91</v>
      </c>
      <c r="L877" s="705">
        <v>766</v>
      </c>
      <c r="M877" s="705">
        <v>1501</v>
      </c>
      <c r="N877" s="705">
        <v>42853</v>
      </c>
      <c r="O877" s="705">
        <v>15871</v>
      </c>
      <c r="P877" s="705">
        <v>32732</v>
      </c>
      <c r="Q877" s="705">
        <v>12123</v>
      </c>
      <c r="R877" s="705">
        <v>99318</v>
      </c>
      <c r="S877" s="705">
        <v>90289</v>
      </c>
      <c r="T877" s="705">
        <v>0</v>
      </c>
      <c r="U877">
        <v>0</v>
      </c>
      <c r="V877" s="705">
        <v>127489</v>
      </c>
      <c r="W877" s="705">
        <f t="shared" si="48"/>
        <v>127489</v>
      </c>
      <c r="X877" s="705">
        <f t="shared" si="49"/>
        <v>184144</v>
      </c>
      <c r="Y877" s="705"/>
      <c r="AI877" s="429"/>
    </row>
    <row r="878" spans="2:35">
      <c r="B878" t="s">
        <v>540</v>
      </c>
      <c r="C878" t="s">
        <v>108</v>
      </c>
      <c r="D878" t="s">
        <v>665</v>
      </c>
      <c r="E878" t="s">
        <v>665</v>
      </c>
      <c r="F878">
        <v>1</v>
      </c>
      <c r="G878">
        <v>226</v>
      </c>
      <c r="H878">
        <v>64</v>
      </c>
      <c r="I878" s="705">
        <v>6721</v>
      </c>
      <c r="J878" s="705">
        <v>6110</v>
      </c>
      <c r="K878">
        <v>80</v>
      </c>
      <c r="L878" s="705">
        <v>994</v>
      </c>
      <c r="M878" s="705">
        <v>904</v>
      </c>
      <c r="N878" s="705">
        <v>2750</v>
      </c>
      <c r="O878" s="705">
        <v>1018</v>
      </c>
      <c r="P878">
        <v>702</v>
      </c>
      <c r="Q878">
        <v>260</v>
      </c>
      <c r="R878" s="705">
        <v>3309</v>
      </c>
      <c r="S878" s="705">
        <v>3008</v>
      </c>
      <c r="T878" s="705">
        <v>0</v>
      </c>
      <c r="U878" s="705">
        <v>0</v>
      </c>
      <c r="V878" s="705">
        <v>11301</v>
      </c>
      <c r="W878" s="705">
        <f t="shared" si="48"/>
        <v>11300</v>
      </c>
      <c r="X878" s="705">
        <f t="shared" si="49"/>
        <v>14476</v>
      </c>
      <c r="Y878" s="705"/>
      <c r="AI878" s="429"/>
    </row>
    <row r="879" spans="2:35">
      <c r="B879" t="s">
        <v>540</v>
      </c>
      <c r="C879" t="s">
        <v>108</v>
      </c>
      <c r="D879" t="s">
        <v>673</v>
      </c>
      <c r="E879" t="s">
        <v>228</v>
      </c>
      <c r="F879" s="705">
        <v>3</v>
      </c>
      <c r="G879" s="705">
        <v>585</v>
      </c>
      <c r="H879" s="705">
        <v>190</v>
      </c>
      <c r="I879" s="705">
        <v>2280</v>
      </c>
      <c r="J879" s="705">
        <v>2073</v>
      </c>
      <c r="K879">
        <v>74</v>
      </c>
      <c r="L879" s="705">
        <v>306</v>
      </c>
      <c r="M879" s="705">
        <v>113</v>
      </c>
      <c r="N879" s="705">
        <v>7133</v>
      </c>
      <c r="O879" s="705">
        <v>2642</v>
      </c>
      <c r="P879" s="705">
        <v>6128</v>
      </c>
      <c r="Q879" s="705">
        <v>2269</v>
      </c>
      <c r="R879" s="705">
        <v>21145</v>
      </c>
      <c r="S879" s="705">
        <v>7832</v>
      </c>
      <c r="T879" s="705">
        <v>0</v>
      </c>
      <c r="U879" s="705">
        <v>0</v>
      </c>
      <c r="V879" s="705">
        <v>14929</v>
      </c>
      <c r="W879" s="705">
        <f t="shared" si="48"/>
        <v>14929</v>
      </c>
      <c r="X879" s="705">
        <f t="shared" si="49"/>
        <v>36992</v>
      </c>
      <c r="Y879" s="705"/>
      <c r="AI879" s="429"/>
    </row>
    <row r="880" spans="2:35">
      <c r="B880" t="s">
        <v>540</v>
      </c>
      <c r="C880" t="s">
        <v>108</v>
      </c>
      <c r="D880" t="s">
        <v>673</v>
      </c>
      <c r="E880" t="s">
        <v>673</v>
      </c>
      <c r="F880">
        <v>2</v>
      </c>
      <c r="G880" s="705">
        <v>476</v>
      </c>
      <c r="H880" s="705">
        <v>121</v>
      </c>
      <c r="I880" s="705">
        <v>9359</v>
      </c>
      <c r="J880" s="705">
        <v>8508</v>
      </c>
      <c r="K880">
        <v>82</v>
      </c>
      <c r="L880" s="705">
        <v>0</v>
      </c>
      <c r="M880" s="705">
        <v>0</v>
      </c>
      <c r="N880" s="705">
        <v>5796</v>
      </c>
      <c r="O880" s="705">
        <v>2147</v>
      </c>
      <c r="P880" s="705">
        <v>4843</v>
      </c>
      <c r="Q880" s="705">
        <v>1794</v>
      </c>
      <c r="R880" s="705">
        <v>9961</v>
      </c>
      <c r="S880" s="705">
        <v>9055</v>
      </c>
      <c r="T880" s="705">
        <v>0</v>
      </c>
      <c r="U880" s="705">
        <v>0</v>
      </c>
      <c r="V880" s="705">
        <v>21503</v>
      </c>
      <c r="W880" s="705">
        <f t="shared" si="48"/>
        <v>21504</v>
      </c>
      <c r="X880" s="705">
        <f t="shared" si="49"/>
        <v>29959</v>
      </c>
      <c r="Y880" s="705"/>
      <c r="AI880" s="429"/>
    </row>
    <row r="881" spans="2:35">
      <c r="B881" t="s">
        <v>540</v>
      </c>
      <c r="C881" t="s">
        <v>108</v>
      </c>
      <c r="D881" t="s">
        <v>585</v>
      </c>
      <c r="E881" t="s">
        <v>585</v>
      </c>
      <c r="F881">
        <v>4</v>
      </c>
      <c r="G881" s="705">
        <v>1266</v>
      </c>
      <c r="H881" s="705">
        <v>268</v>
      </c>
      <c r="I881" s="705">
        <v>29540</v>
      </c>
      <c r="J881" s="705">
        <v>26854</v>
      </c>
      <c r="K881">
        <v>86</v>
      </c>
      <c r="L881" s="705">
        <v>3518</v>
      </c>
      <c r="M881" s="705">
        <v>2420</v>
      </c>
      <c r="N881" s="705">
        <v>16907</v>
      </c>
      <c r="O881" s="705">
        <v>6262</v>
      </c>
      <c r="P881" s="705">
        <v>13744</v>
      </c>
      <c r="Q881" s="705">
        <v>5091</v>
      </c>
      <c r="R881" s="705">
        <v>20889</v>
      </c>
      <c r="S881" s="705">
        <v>18990</v>
      </c>
      <c r="T881" s="705">
        <v>0</v>
      </c>
      <c r="U881" s="705">
        <v>0</v>
      </c>
      <c r="V881" s="705">
        <v>59616</v>
      </c>
      <c r="W881" s="705">
        <f t="shared" si="48"/>
        <v>59617</v>
      </c>
      <c r="X881" s="705">
        <f t="shared" si="49"/>
        <v>84598</v>
      </c>
      <c r="Y881" s="705"/>
      <c r="AI881" s="429"/>
    </row>
    <row r="882" spans="2:35">
      <c r="B882" t="s">
        <v>540</v>
      </c>
      <c r="C882" t="s">
        <v>110</v>
      </c>
      <c r="F882">
        <v>1</v>
      </c>
      <c r="G882" s="705">
        <v>241</v>
      </c>
      <c r="H882" s="705">
        <v>85</v>
      </c>
      <c r="I882" s="705"/>
      <c r="J882" s="705">
        <v>0</v>
      </c>
      <c r="L882" s="705"/>
      <c r="M882" s="705">
        <v>0</v>
      </c>
      <c r="N882" s="705">
        <v>2935</v>
      </c>
      <c r="O882" s="705">
        <v>1087</v>
      </c>
      <c r="P882" s="705">
        <v>2453</v>
      </c>
      <c r="Q882" s="705">
        <v>909</v>
      </c>
      <c r="R882" s="705"/>
      <c r="S882" s="705">
        <v>0</v>
      </c>
      <c r="T882" s="705">
        <v>0</v>
      </c>
      <c r="U882" s="705">
        <v>0</v>
      </c>
      <c r="V882" s="705">
        <v>1996</v>
      </c>
      <c r="W882" s="705">
        <f t="shared" si="48"/>
        <v>1996</v>
      </c>
      <c r="X882" s="705">
        <f t="shared" si="49"/>
        <v>5388</v>
      </c>
      <c r="Y882" s="705"/>
      <c r="AI882" s="429"/>
    </row>
    <row r="883" spans="2:35">
      <c r="B883" t="s">
        <v>540</v>
      </c>
      <c r="C883" t="s">
        <v>110</v>
      </c>
      <c r="D883" t="s">
        <v>582</v>
      </c>
      <c r="E883" t="s">
        <v>582</v>
      </c>
      <c r="F883">
        <v>6</v>
      </c>
      <c r="G883" s="705">
        <v>1690</v>
      </c>
      <c r="H883" s="705">
        <v>584</v>
      </c>
      <c r="I883" s="705">
        <v>85146</v>
      </c>
      <c r="J883" s="705">
        <v>77405</v>
      </c>
      <c r="K883">
        <v>91</v>
      </c>
      <c r="L883" s="705">
        <v>11605</v>
      </c>
      <c r="M883" s="705">
        <v>11223</v>
      </c>
      <c r="N883" s="705">
        <v>30449</v>
      </c>
      <c r="O883" s="705">
        <v>11277</v>
      </c>
      <c r="P883" s="705">
        <v>3537</v>
      </c>
      <c r="Q883" s="705">
        <v>1310</v>
      </c>
      <c r="R883" s="705">
        <v>33849</v>
      </c>
      <c r="S883" s="705">
        <v>30772</v>
      </c>
      <c r="T883" s="705">
        <v>0</v>
      </c>
      <c r="U883" s="705">
        <v>0</v>
      </c>
      <c r="V883" s="705">
        <v>131987</v>
      </c>
      <c r="W883" s="705">
        <f t="shared" si="48"/>
        <v>131987</v>
      </c>
      <c r="X883" s="705">
        <f t="shared" si="49"/>
        <v>164586</v>
      </c>
      <c r="Y883" s="705"/>
      <c r="AI883" s="429"/>
    </row>
    <row r="884" spans="2:35">
      <c r="B884" t="s">
        <v>540</v>
      </c>
      <c r="C884" t="s">
        <v>110</v>
      </c>
      <c r="D884" t="s">
        <v>582</v>
      </c>
      <c r="E884" t="s">
        <v>228</v>
      </c>
      <c r="F884">
        <v>1</v>
      </c>
      <c r="G884" s="705">
        <v>227</v>
      </c>
      <c r="H884" s="705">
        <v>99</v>
      </c>
      <c r="I884" s="705">
        <v>9403</v>
      </c>
      <c r="J884" s="705">
        <v>8548</v>
      </c>
      <c r="K884">
        <v>83</v>
      </c>
      <c r="L884" s="705">
        <v>1108</v>
      </c>
      <c r="M884" s="705">
        <v>1007</v>
      </c>
      <c r="N884" s="705">
        <v>3533</v>
      </c>
      <c r="O884" s="705">
        <v>1308</v>
      </c>
      <c r="P884" s="705">
        <v>824</v>
      </c>
      <c r="Q884" s="705">
        <v>305</v>
      </c>
      <c r="R884" s="705">
        <v>7534</v>
      </c>
      <c r="S884" s="705">
        <v>2790</v>
      </c>
      <c r="T884" s="705">
        <v>0</v>
      </c>
      <c r="U884" s="705">
        <v>0</v>
      </c>
      <c r="V884" s="705">
        <v>13959</v>
      </c>
      <c r="W884" s="705">
        <f t="shared" si="48"/>
        <v>13958</v>
      </c>
      <c r="X884" s="705">
        <f t="shared" si="49"/>
        <v>22402</v>
      </c>
      <c r="Y884" s="705"/>
      <c r="AI884" s="429"/>
    </row>
    <row r="885" spans="2:35">
      <c r="B885" t="s">
        <v>540</v>
      </c>
      <c r="C885" t="s">
        <v>110</v>
      </c>
      <c r="D885" t="s">
        <v>228</v>
      </c>
      <c r="E885" t="s">
        <v>582</v>
      </c>
      <c r="F885">
        <v>1</v>
      </c>
      <c r="G885" s="705">
        <v>467</v>
      </c>
      <c r="H885" s="705">
        <v>89</v>
      </c>
      <c r="I885" s="705">
        <v>31978</v>
      </c>
      <c r="J885" s="705">
        <v>11844</v>
      </c>
      <c r="K885">
        <v>320</v>
      </c>
      <c r="L885" s="705">
        <v>15441</v>
      </c>
      <c r="M885" s="705">
        <v>14037</v>
      </c>
      <c r="N885" s="705">
        <v>18956</v>
      </c>
      <c r="O885" s="705">
        <v>7021</v>
      </c>
      <c r="P885" s="705">
        <v>351</v>
      </c>
      <c r="Q885" s="705">
        <v>130</v>
      </c>
      <c r="R885" s="705">
        <v>2802</v>
      </c>
      <c r="S885" s="705">
        <v>2548</v>
      </c>
      <c r="T885" s="705">
        <v>0</v>
      </c>
      <c r="U885" s="705">
        <v>0</v>
      </c>
      <c r="V885" s="705">
        <v>35579</v>
      </c>
      <c r="W885" s="705">
        <f t="shared" si="48"/>
        <v>35580</v>
      </c>
      <c r="X885" s="705">
        <f t="shared" si="49"/>
        <v>69528</v>
      </c>
      <c r="Y885" s="705"/>
      <c r="AI885" s="429"/>
    </row>
    <row r="886" spans="2:35">
      <c r="B886" t="s">
        <v>540</v>
      </c>
      <c r="C886" t="s">
        <v>110</v>
      </c>
      <c r="D886" t="s">
        <v>228</v>
      </c>
      <c r="E886" t="s">
        <v>228</v>
      </c>
      <c r="F886">
        <v>90</v>
      </c>
      <c r="G886" s="705">
        <v>21000</v>
      </c>
      <c r="H886" s="705">
        <v>7937</v>
      </c>
      <c r="I886" s="705">
        <v>752921</v>
      </c>
      <c r="J886" s="705">
        <v>278860</v>
      </c>
      <c r="K886">
        <v>363</v>
      </c>
      <c r="L886" s="705">
        <v>159330</v>
      </c>
      <c r="M886" s="705">
        <v>143598</v>
      </c>
      <c r="N886" s="705">
        <v>361840</v>
      </c>
      <c r="O886" s="705">
        <v>134015</v>
      </c>
      <c r="P886" s="705">
        <v>100495</v>
      </c>
      <c r="Q886" s="705">
        <v>37220</v>
      </c>
      <c r="R886" s="705">
        <v>535028</v>
      </c>
      <c r="S886" s="705">
        <v>198159</v>
      </c>
      <c r="T886" s="705">
        <v>0</v>
      </c>
      <c r="U886" s="705">
        <v>0</v>
      </c>
      <c r="V886" s="705">
        <v>791851</v>
      </c>
      <c r="W886" s="705">
        <f t="shared" si="48"/>
        <v>791852</v>
      </c>
      <c r="X886" s="705">
        <f t="shared" si="49"/>
        <v>1909614</v>
      </c>
      <c r="Y886" s="705"/>
      <c r="AI886" s="429"/>
    </row>
    <row r="887" spans="2:35">
      <c r="B887" t="s">
        <v>540</v>
      </c>
      <c r="C887" t="s">
        <v>110</v>
      </c>
      <c r="D887" t="s">
        <v>228</v>
      </c>
      <c r="E887" t="s">
        <v>583</v>
      </c>
      <c r="F887">
        <v>1</v>
      </c>
      <c r="G887">
        <v>276</v>
      </c>
      <c r="H887" s="705">
        <v>95</v>
      </c>
      <c r="I887" s="705">
        <v>12608</v>
      </c>
      <c r="J887" s="705">
        <v>4670</v>
      </c>
      <c r="K887">
        <v>250</v>
      </c>
      <c r="L887" s="705">
        <v>2378</v>
      </c>
      <c r="M887" s="705">
        <v>2162</v>
      </c>
      <c r="N887" s="705">
        <v>3462</v>
      </c>
      <c r="O887" s="705">
        <v>1282</v>
      </c>
      <c r="P887" s="705">
        <v>351</v>
      </c>
      <c r="Q887">
        <v>130</v>
      </c>
      <c r="R887" s="705">
        <v>7283</v>
      </c>
      <c r="S887" s="705">
        <v>6621</v>
      </c>
      <c r="T887" s="705">
        <v>0</v>
      </c>
      <c r="U887">
        <v>0</v>
      </c>
      <c r="V887" s="705">
        <v>14865</v>
      </c>
      <c r="W887" s="705">
        <f t="shared" si="48"/>
        <v>14865</v>
      </c>
      <c r="X887" s="705">
        <f t="shared" si="49"/>
        <v>26082</v>
      </c>
      <c r="Y887" s="705"/>
      <c r="AI887" s="429"/>
    </row>
    <row r="888" spans="2:35">
      <c r="B888" t="s">
        <v>540</v>
      </c>
      <c r="C888" t="s">
        <v>110</v>
      </c>
      <c r="D888" t="s">
        <v>583</v>
      </c>
      <c r="E888" t="s">
        <v>583</v>
      </c>
      <c r="F888">
        <v>118</v>
      </c>
      <c r="G888" s="705">
        <v>27389</v>
      </c>
      <c r="H888" s="705">
        <v>10753</v>
      </c>
      <c r="I888" s="705">
        <v>1269609</v>
      </c>
      <c r="J888" s="705">
        <v>1154190</v>
      </c>
      <c r="K888">
        <v>94</v>
      </c>
      <c r="L888" s="705">
        <v>214578</v>
      </c>
      <c r="M888" s="705">
        <v>192700</v>
      </c>
      <c r="N888" s="705">
        <v>418222</v>
      </c>
      <c r="O888" s="705">
        <v>154897</v>
      </c>
      <c r="P888" s="705">
        <v>150852</v>
      </c>
      <c r="Q888" s="705">
        <v>55871</v>
      </c>
      <c r="R888" s="705">
        <v>513597</v>
      </c>
      <c r="S888" s="705">
        <v>466907</v>
      </c>
      <c r="T888" s="705">
        <v>3426</v>
      </c>
      <c r="U888" s="705">
        <v>1269</v>
      </c>
      <c r="V888" s="705">
        <v>2025834</v>
      </c>
      <c r="W888" s="705">
        <f t="shared" si="48"/>
        <v>2025834</v>
      </c>
      <c r="X888" s="705">
        <f t="shared" si="49"/>
        <v>2570284</v>
      </c>
      <c r="Y888" s="705"/>
      <c r="AI888" s="429"/>
    </row>
    <row r="889" spans="2:35">
      <c r="B889" t="s">
        <v>540</v>
      </c>
      <c r="C889" t="s">
        <v>110</v>
      </c>
      <c r="D889" t="s">
        <v>584</v>
      </c>
      <c r="E889" t="s">
        <v>584</v>
      </c>
      <c r="F889">
        <v>9</v>
      </c>
      <c r="G889" s="705">
        <v>1991</v>
      </c>
      <c r="H889" s="705">
        <v>824</v>
      </c>
      <c r="I889" s="705">
        <v>104842</v>
      </c>
      <c r="J889" s="705">
        <v>95311</v>
      </c>
      <c r="K889">
        <v>91</v>
      </c>
      <c r="L889" s="705">
        <v>15853</v>
      </c>
      <c r="M889" s="705">
        <v>13865</v>
      </c>
      <c r="N889" s="705">
        <v>28352</v>
      </c>
      <c r="O889" s="705">
        <v>10501</v>
      </c>
      <c r="P889" s="705">
        <v>4955</v>
      </c>
      <c r="Q889" s="705">
        <v>1835</v>
      </c>
      <c r="R889" s="705">
        <v>28138</v>
      </c>
      <c r="S889" s="705">
        <v>25580</v>
      </c>
      <c r="T889" s="705">
        <v>0</v>
      </c>
      <c r="U889" s="705">
        <v>0</v>
      </c>
      <c r="V889" s="705">
        <v>147092</v>
      </c>
      <c r="W889" s="705">
        <f t="shared" si="48"/>
        <v>147092</v>
      </c>
      <c r="X889" s="705">
        <f t="shared" si="49"/>
        <v>182140</v>
      </c>
      <c r="Y889" s="705"/>
      <c r="AI889" s="429"/>
    </row>
    <row r="890" spans="2:35">
      <c r="B890" t="s">
        <v>540</v>
      </c>
      <c r="C890" t="s">
        <v>110</v>
      </c>
      <c r="D890" t="s">
        <v>669</v>
      </c>
      <c r="E890" t="s">
        <v>228</v>
      </c>
      <c r="F890">
        <v>1</v>
      </c>
      <c r="G890">
        <v>282</v>
      </c>
      <c r="H890" s="705">
        <v>91</v>
      </c>
      <c r="I890" s="705">
        <v>6086</v>
      </c>
      <c r="J890" s="705">
        <v>5072</v>
      </c>
      <c r="K890">
        <v>78</v>
      </c>
      <c r="L890" s="705">
        <v>1191</v>
      </c>
      <c r="M890" s="705">
        <v>441</v>
      </c>
      <c r="N890" s="705">
        <v>3433</v>
      </c>
      <c r="O890" s="705">
        <v>1271</v>
      </c>
      <c r="P890" s="705">
        <v>2460</v>
      </c>
      <c r="Q890">
        <v>911</v>
      </c>
      <c r="R890" s="705">
        <v>12590</v>
      </c>
      <c r="S890" s="705">
        <v>4663</v>
      </c>
      <c r="T890" s="705">
        <v>0</v>
      </c>
      <c r="U890" s="705">
        <v>0</v>
      </c>
      <c r="V890" s="705">
        <v>12358</v>
      </c>
      <c r="W890" s="705">
        <f t="shared" si="48"/>
        <v>12358</v>
      </c>
      <c r="X890" s="705">
        <f t="shared" si="49"/>
        <v>25760</v>
      </c>
      <c r="Y890" s="705"/>
      <c r="AI890" s="429"/>
    </row>
    <row r="891" spans="2:35">
      <c r="B891" t="s">
        <v>540</v>
      </c>
      <c r="C891" t="s">
        <v>110</v>
      </c>
      <c r="D891" t="s">
        <v>673</v>
      </c>
      <c r="E891" t="s">
        <v>673</v>
      </c>
      <c r="F891">
        <v>2</v>
      </c>
      <c r="G891" s="705">
        <v>599</v>
      </c>
      <c r="H891" s="705">
        <v>184</v>
      </c>
      <c r="I891" s="705">
        <v>28022</v>
      </c>
      <c r="J891" s="705">
        <v>25474</v>
      </c>
      <c r="K891">
        <v>87</v>
      </c>
      <c r="L891" s="705">
        <v>3890</v>
      </c>
      <c r="M891" s="705">
        <v>3536</v>
      </c>
      <c r="N891" s="705">
        <v>10753</v>
      </c>
      <c r="O891" s="705">
        <v>3983</v>
      </c>
      <c r="P891" s="705">
        <v>2859</v>
      </c>
      <c r="Q891" s="705">
        <v>1059</v>
      </c>
      <c r="R891" s="705">
        <v>8474</v>
      </c>
      <c r="S891" s="705">
        <v>7703</v>
      </c>
      <c r="T891" s="705">
        <v>2944</v>
      </c>
      <c r="U891" s="705">
        <v>1090</v>
      </c>
      <c r="V891" s="705">
        <v>42845</v>
      </c>
      <c r="W891" s="705">
        <f t="shared" si="48"/>
        <v>42845</v>
      </c>
      <c r="X891" s="705">
        <f t="shared" si="49"/>
        <v>56942</v>
      </c>
      <c r="Y891" s="705"/>
      <c r="AI891" s="429"/>
    </row>
    <row r="892" spans="2:35">
      <c r="B892" t="s">
        <v>540</v>
      </c>
      <c r="C892" t="s">
        <v>110</v>
      </c>
      <c r="D892" t="s">
        <v>585</v>
      </c>
      <c r="E892" t="s">
        <v>585</v>
      </c>
      <c r="F892">
        <v>4</v>
      </c>
      <c r="G892" s="705">
        <v>959</v>
      </c>
      <c r="H892" s="705">
        <v>385</v>
      </c>
      <c r="I892" s="705">
        <v>45106</v>
      </c>
      <c r="J892" s="705">
        <v>41005</v>
      </c>
      <c r="K892">
        <v>81</v>
      </c>
      <c r="L892" s="705">
        <v>3570</v>
      </c>
      <c r="M892" s="705">
        <v>3245</v>
      </c>
      <c r="N892" s="705">
        <v>15330</v>
      </c>
      <c r="O892" s="705">
        <v>5678</v>
      </c>
      <c r="P892" s="705">
        <v>7600</v>
      </c>
      <c r="Q892" s="705">
        <v>2815</v>
      </c>
      <c r="R892" s="705">
        <v>20869</v>
      </c>
      <c r="S892" s="705">
        <v>18972</v>
      </c>
      <c r="T892" s="705">
        <v>0</v>
      </c>
      <c r="U892" s="705">
        <v>0</v>
      </c>
      <c r="V892" s="705">
        <v>71715</v>
      </c>
      <c r="W892" s="705">
        <f t="shared" si="48"/>
        <v>71715</v>
      </c>
      <c r="X892" s="705">
        <f t="shared" si="49"/>
        <v>92475</v>
      </c>
      <c r="Y892" s="705"/>
      <c r="AI892" s="429"/>
    </row>
    <row r="893" spans="2:35">
      <c r="B893" t="s">
        <v>540</v>
      </c>
      <c r="C893" t="s">
        <v>112</v>
      </c>
      <c r="D893" t="s">
        <v>582</v>
      </c>
      <c r="E893" t="s">
        <v>582</v>
      </c>
      <c r="F893">
        <v>38</v>
      </c>
      <c r="G893" s="705">
        <v>10261</v>
      </c>
      <c r="H893" s="705">
        <v>4448</v>
      </c>
      <c r="I893" s="705">
        <v>714768</v>
      </c>
      <c r="J893" s="705">
        <v>649789</v>
      </c>
      <c r="K893">
        <v>91</v>
      </c>
      <c r="L893" s="705">
        <v>123685</v>
      </c>
      <c r="M893" s="705">
        <v>109800</v>
      </c>
      <c r="N893" s="705">
        <v>181877</v>
      </c>
      <c r="O893" s="705">
        <v>67362</v>
      </c>
      <c r="P893" s="705">
        <v>42002</v>
      </c>
      <c r="Q893" s="705">
        <v>15556</v>
      </c>
      <c r="R893" s="705">
        <v>198471</v>
      </c>
      <c r="S893" s="705">
        <v>180428</v>
      </c>
      <c r="T893" s="705">
        <v>0</v>
      </c>
      <c r="U893" s="705">
        <v>0</v>
      </c>
      <c r="V893" s="705">
        <v>1022936</v>
      </c>
      <c r="W893" s="705">
        <f t="shared" si="48"/>
        <v>1022935</v>
      </c>
      <c r="X893" s="705">
        <f t="shared" si="49"/>
        <v>1260803</v>
      </c>
      <c r="Y893" s="705"/>
      <c r="AI893" s="429"/>
    </row>
    <row r="894" spans="2:35">
      <c r="B894" t="s">
        <v>540</v>
      </c>
      <c r="C894" t="s">
        <v>112</v>
      </c>
      <c r="D894" t="s">
        <v>582</v>
      </c>
      <c r="E894" t="s">
        <v>228</v>
      </c>
      <c r="F894">
        <v>2</v>
      </c>
      <c r="G894" s="705">
        <v>303</v>
      </c>
      <c r="H894" s="705">
        <v>225</v>
      </c>
      <c r="I894" s="705">
        <v>12529</v>
      </c>
      <c r="J894" s="705">
        <v>11390</v>
      </c>
      <c r="K894">
        <v>93</v>
      </c>
      <c r="L894" s="705">
        <v>1984</v>
      </c>
      <c r="M894" s="705">
        <v>1804</v>
      </c>
      <c r="N894" s="705">
        <v>5229</v>
      </c>
      <c r="O894" s="705">
        <v>1937</v>
      </c>
      <c r="P894" s="705">
        <v>1647</v>
      </c>
      <c r="Q894" s="705">
        <v>610</v>
      </c>
      <c r="R894" s="705">
        <v>12666</v>
      </c>
      <c r="S894" s="705">
        <v>4691</v>
      </c>
      <c r="T894" s="705">
        <v>0</v>
      </c>
      <c r="U894" s="705">
        <v>0</v>
      </c>
      <c r="V894" s="705">
        <v>20431</v>
      </c>
      <c r="W894" s="705">
        <f t="shared" si="48"/>
        <v>20432</v>
      </c>
      <c r="X894" s="705">
        <f t="shared" si="49"/>
        <v>34055</v>
      </c>
      <c r="Y894" s="705"/>
      <c r="AI894" s="429"/>
    </row>
    <row r="895" spans="2:35">
      <c r="B895" t="s">
        <v>540</v>
      </c>
      <c r="C895" t="s">
        <v>112</v>
      </c>
      <c r="D895" t="s">
        <v>228</v>
      </c>
      <c r="E895" t="s">
        <v>228</v>
      </c>
      <c r="F895">
        <v>71</v>
      </c>
      <c r="G895" s="705">
        <v>18962</v>
      </c>
      <c r="H895" s="705">
        <v>8055</v>
      </c>
      <c r="I895" s="705">
        <v>996108</v>
      </c>
      <c r="J895" s="705">
        <v>368929</v>
      </c>
      <c r="K895">
        <v>321</v>
      </c>
      <c r="L895" s="705">
        <v>271986</v>
      </c>
      <c r="M895" s="705">
        <v>243704</v>
      </c>
      <c r="N895" s="705">
        <v>380843</v>
      </c>
      <c r="O895" s="705">
        <v>141053</v>
      </c>
      <c r="P895" s="705">
        <v>78774</v>
      </c>
      <c r="Q895" s="705">
        <v>29176</v>
      </c>
      <c r="R895" s="705">
        <v>512893</v>
      </c>
      <c r="S895" s="705">
        <v>189960</v>
      </c>
      <c r="T895" s="705">
        <v>9842</v>
      </c>
      <c r="U895" s="705">
        <v>3645</v>
      </c>
      <c r="V895" s="705">
        <v>976467</v>
      </c>
      <c r="W895" s="705">
        <f t="shared" si="48"/>
        <v>976467</v>
      </c>
      <c r="X895" s="705">
        <f t="shared" si="49"/>
        <v>2250446</v>
      </c>
      <c r="Y895" s="705"/>
      <c r="AI895" s="429"/>
    </row>
    <row r="896" spans="2:35">
      <c r="B896" t="s">
        <v>540</v>
      </c>
      <c r="C896" t="s">
        <v>112</v>
      </c>
      <c r="D896" t="s">
        <v>228</v>
      </c>
      <c r="E896" t="s">
        <v>583</v>
      </c>
      <c r="F896">
        <v>2</v>
      </c>
      <c r="G896">
        <v>882</v>
      </c>
      <c r="H896">
        <v>219</v>
      </c>
      <c r="I896" s="705">
        <v>56480</v>
      </c>
      <c r="J896" s="705">
        <v>20919</v>
      </c>
      <c r="K896">
        <v>263</v>
      </c>
      <c r="L896" s="705">
        <v>9019</v>
      </c>
      <c r="M896" s="705">
        <v>8199</v>
      </c>
      <c r="N896" s="705">
        <v>17816</v>
      </c>
      <c r="O896" s="705">
        <v>6598</v>
      </c>
      <c r="P896" s="705">
        <v>1593</v>
      </c>
      <c r="Q896">
        <v>590</v>
      </c>
      <c r="R896" s="705">
        <v>12350</v>
      </c>
      <c r="S896" s="705">
        <v>11227</v>
      </c>
      <c r="T896" s="705">
        <v>0</v>
      </c>
      <c r="U896" s="705">
        <v>0</v>
      </c>
      <c r="V896" s="705">
        <v>47534</v>
      </c>
      <c r="W896" s="705">
        <f t="shared" si="48"/>
        <v>47533</v>
      </c>
      <c r="X896" s="705">
        <f t="shared" si="49"/>
        <v>97258</v>
      </c>
      <c r="Y896" s="705"/>
      <c r="AI896" s="429"/>
    </row>
    <row r="897" spans="2:35">
      <c r="B897" t="s">
        <v>540</v>
      </c>
      <c r="C897" t="s">
        <v>112</v>
      </c>
      <c r="D897" t="s">
        <v>228</v>
      </c>
      <c r="E897" t="s">
        <v>665</v>
      </c>
      <c r="F897">
        <v>2</v>
      </c>
      <c r="G897" s="705">
        <v>464</v>
      </c>
      <c r="H897" s="705">
        <v>234</v>
      </c>
      <c r="I897" s="705">
        <v>21038</v>
      </c>
      <c r="J897" s="705">
        <v>7792</v>
      </c>
      <c r="K897">
        <v>275</v>
      </c>
      <c r="L897" s="705">
        <v>6053</v>
      </c>
      <c r="M897" s="705">
        <v>5503</v>
      </c>
      <c r="N897" s="705">
        <v>9087</v>
      </c>
      <c r="O897" s="705">
        <v>3365</v>
      </c>
      <c r="P897" s="705">
        <v>2033</v>
      </c>
      <c r="Q897" s="705">
        <v>753</v>
      </c>
      <c r="R897" s="705">
        <v>14844</v>
      </c>
      <c r="S897" s="705">
        <v>13494</v>
      </c>
      <c r="T897" s="705">
        <v>1341</v>
      </c>
      <c r="U897" s="705">
        <v>497</v>
      </c>
      <c r="V897" s="705">
        <v>31404</v>
      </c>
      <c r="W897" s="705">
        <f t="shared" si="48"/>
        <v>31404</v>
      </c>
      <c r="X897" s="705">
        <f t="shared" si="49"/>
        <v>54396</v>
      </c>
      <c r="Y897" s="705"/>
      <c r="AI897" s="429"/>
    </row>
    <row r="898" spans="2:35">
      <c r="B898" t="s">
        <v>540</v>
      </c>
      <c r="C898" t="s">
        <v>112</v>
      </c>
      <c r="D898" t="s">
        <v>583</v>
      </c>
      <c r="E898" t="s">
        <v>664</v>
      </c>
      <c r="F898">
        <v>1</v>
      </c>
      <c r="G898" s="705">
        <v>262</v>
      </c>
      <c r="H898" s="705">
        <v>119</v>
      </c>
      <c r="I898" s="705">
        <v>16476</v>
      </c>
      <c r="J898" s="705">
        <v>14979</v>
      </c>
      <c r="K898">
        <v>93</v>
      </c>
      <c r="L898" s="705">
        <v>2255</v>
      </c>
      <c r="M898" s="705">
        <v>2050</v>
      </c>
      <c r="N898" s="705">
        <v>6379</v>
      </c>
      <c r="O898" s="705">
        <v>2363</v>
      </c>
      <c r="P898" s="705">
        <v>621</v>
      </c>
      <c r="Q898" s="705">
        <v>230</v>
      </c>
      <c r="R898" s="705">
        <v>5423</v>
      </c>
      <c r="S898" s="705">
        <v>4930</v>
      </c>
      <c r="T898" s="705">
        <v>0</v>
      </c>
      <c r="U898" s="705">
        <v>0</v>
      </c>
      <c r="V898" s="705">
        <v>24552</v>
      </c>
      <c r="W898" s="705">
        <f t="shared" si="48"/>
        <v>24552</v>
      </c>
      <c r="X898" s="705">
        <f t="shared" si="49"/>
        <v>31154</v>
      </c>
      <c r="Y898" s="705"/>
      <c r="AI898" s="429"/>
    </row>
    <row r="899" spans="2:35">
      <c r="B899" t="s">
        <v>540</v>
      </c>
      <c r="C899" t="s">
        <v>112</v>
      </c>
      <c r="D899" t="s">
        <v>583</v>
      </c>
      <c r="E899" t="s">
        <v>582</v>
      </c>
      <c r="F899">
        <v>1</v>
      </c>
      <c r="G899">
        <v>250</v>
      </c>
      <c r="H899" s="705">
        <v>120</v>
      </c>
      <c r="I899" s="705">
        <v>18532</v>
      </c>
      <c r="J899" s="705">
        <v>16848</v>
      </c>
      <c r="K899">
        <v>90</v>
      </c>
      <c r="L899" s="705">
        <v>2080</v>
      </c>
      <c r="M899" s="705">
        <v>1891</v>
      </c>
      <c r="N899" s="705">
        <v>3050</v>
      </c>
      <c r="O899" s="705">
        <v>1130</v>
      </c>
      <c r="P899">
        <v>621</v>
      </c>
      <c r="Q899">
        <v>230</v>
      </c>
      <c r="R899" s="705">
        <v>5740</v>
      </c>
      <c r="S899" s="705">
        <v>5219</v>
      </c>
      <c r="T899">
        <v>0</v>
      </c>
      <c r="U899">
        <v>0</v>
      </c>
      <c r="V899" s="705">
        <v>25317</v>
      </c>
      <c r="W899" s="705">
        <f t="shared" si="48"/>
        <v>25318</v>
      </c>
      <c r="X899" s="705">
        <f t="shared" si="49"/>
        <v>30023</v>
      </c>
      <c r="Y899" s="705"/>
      <c r="AI899" s="429"/>
    </row>
    <row r="900" spans="2:35">
      <c r="B900" t="s">
        <v>540</v>
      </c>
      <c r="C900" t="s">
        <v>112</v>
      </c>
      <c r="D900" t="s">
        <v>583</v>
      </c>
      <c r="E900" t="s">
        <v>228</v>
      </c>
      <c r="F900">
        <v>3</v>
      </c>
      <c r="G900" s="705">
        <v>639</v>
      </c>
      <c r="H900" s="705">
        <v>343</v>
      </c>
      <c r="I900" s="705">
        <v>36364</v>
      </c>
      <c r="J900" s="705">
        <v>33058</v>
      </c>
      <c r="K900">
        <v>89</v>
      </c>
      <c r="L900" s="705">
        <v>6570</v>
      </c>
      <c r="M900" s="705">
        <v>4013</v>
      </c>
      <c r="N900" s="705">
        <v>10671</v>
      </c>
      <c r="O900" s="705">
        <v>3952</v>
      </c>
      <c r="P900" s="705">
        <v>2214</v>
      </c>
      <c r="Q900" s="705">
        <v>820</v>
      </c>
      <c r="R900" s="705">
        <v>17012</v>
      </c>
      <c r="S900" s="705">
        <v>6301</v>
      </c>
      <c r="T900" s="705">
        <v>0</v>
      </c>
      <c r="U900" s="705">
        <v>0</v>
      </c>
      <c r="V900" s="705">
        <v>48144</v>
      </c>
      <c r="W900" s="705">
        <f t="shared" si="48"/>
        <v>48144</v>
      </c>
      <c r="X900" s="705">
        <f t="shared" si="49"/>
        <v>72831</v>
      </c>
      <c r="Y900" s="705"/>
      <c r="AI900" s="429"/>
    </row>
    <row r="901" spans="2:35">
      <c r="B901" t="s">
        <v>540</v>
      </c>
      <c r="C901" t="s">
        <v>112</v>
      </c>
      <c r="D901" t="s">
        <v>583</v>
      </c>
      <c r="E901" t="s">
        <v>583</v>
      </c>
      <c r="F901" s="705">
        <v>404</v>
      </c>
      <c r="G901" s="705">
        <v>93241</v>
      </c>
      <c r="H901" s="705">
        <v>47240</v>
      </c>
      <c r="I901" s="705">
        <v>6243657</v>
      </c>
      <c r="J901" s="705">
        <v>5676052</v>
      </c>
      <c r="K901">
        <v>93</v>
      </c>
      <c r="L901" s="705">
        <v>1134282</v>
      </c>
      <c r="M901" s="705">
        <v>1030761</v>
      </c>
      <c r="N901" s="705">
        <v>1689627</v>
      </c>
      <c r="O901" s="705">
        <v>625788</v>
      </c>
      <c r="P901" s="705">
        <v>367708</v>
      </c>
      <c r="Q901" s="705">
        <v>136188</v>
      </c>
      <c r="R901" s="705">
        <v>2068560</v>
      </c>
      <c r="S901" s="705">
        <v>1880509</v>
      </c>
      <c r="T901" s="705">
        <v>67308</v>
      </c>
      <c r="U901" s="705">
        <v>24929</v>
      </c>
      <c r="V901" s="705">
        <v>9374226</v>
      </c>
      <c r="W901" s="705">
        <f t="shared" si="48"/>
        <v>9374227</v>
      </c>
      <c r="X901" s="705">
        <f t="shared" si="49"/>
        <v>11571142</v>
      </c>
      <c r="Y901" s="705"/>
      <c r="AI901" s="429"/>
    </row>
    <row r="902" spans="2:35">
      <c r="B902" t="s">
        <v>540</v>
      </c>
      <c r="C902" t="s">
        <v>112</v>
      </c>
      <c r="D902" t="s">
        <v>583</v>
      </c>
      <c r="E902" t="s">
        <v>666</v>
      </c>
      <c r="F902">
        <v>1</v>
      </c>
      <c r="G902" s="705">
        <v>265</v>
      </c>
      <c r="H902" s="705">
        <v>116</v>
      </c>
      <c r="I902" s="705">
        <v>14312</v>
      </c>
      <c r="J902" s="705">
        <v>13010</v>
      </c>
      <c r="K902">
        <v>93</v>
      </c>
      <c r="L902" s="705">
        <v>4680</v>
      </c>
      <c r="M902" s="705">
        <v>4255</v>
      </c>
      <c r="N902" s="705">
        <v>4197</v>
      </c>
      <c r="O902" s="705">
        <v>1555</v>
      </c>
      <c r="P902" s="705">
        <v>972</v>
      </c>
      <c r="Q902" s="705">
        <v>360</v>
      </c>
      <c r="R902" s="705">
        <v>6598</v>
      </c>
      <c r="S902" s="705">
        <v>5998</v>
      </c>
      <c r="T902" s="705">
        <v>0</v>
      </c>
      <c r="U902" s="705">
        <v>0</v>
      </c>
      <c r="V902" s="705">
        <v>25178</v>
      </c>
      <c r="W902" s="705">
        <f t="shared" si="48"/>
        <v>25178</v>
      </c>
      <c r="X902" s="705">
        <f t="shared" si="49"/>
        <v>30759</v>
      </c>
      <c r="Y902" s="705"/>
      <c r="AI902" s="429"/>
    </row>
    <row r="903" spans="2:35">
      <c r="B903" t="s">
        <v>540</v>
      </c>
      <c r="C903" t="s">
        <v>112</v>
      </c>
      <c r="D903" t="s">
        <v>584</v>
      </c>
      <c r="E903" t="s">
        <v>584</v>
      </c>
      <c r="F903">
        <v>27</v>
      </c>
      <c r="G903" s="705">
        <v>6545</v>
      </c>
      <c r="H903" s="705">
        <v>3199</v>
      </c>
      <c r="I903" s="705">
        <v>420229</v>
      </c>
      <c r="J903" s="705">
        <v>382026</v>
      </c>
      <c r="K903">
        <v>91</v>
      </c>
      <c r="L903" s="705">
        <v>70804</v>
      </c>
      <c r="M903" s="705">
        <v>63327</v>
      </c>
      <c r="N903" s="705">
        <v>124573</v>
      </c>
      <c r="O903" s="705">
        <v>46138</v>
      </c>
      <c r="P903" s="705">
        <v>31019</v>
      </c>
      <c r="Q903" s="705">
        <v>11488</v>
      </c>
      <c r="R903" s="705">
        <v>148632</v>
      </c>
      <c r="S903" s="705">
        <v>135120</v>
      </c>
      <c r="T903" s="705">
        <v>0</v>
      </c>
      <c r="U903" s="705">
        <v>0</v>
      </c>
      <c r="V903" s="705">
        <v>638099</v>
      </c>
      <c r="W903" s="705">
        <f t="shared" ref="W903:W966" si="50">SUM(ABS(J903),ABS(M903),ABS(O903),ABS(Q903),ABS(S903),ABS(U903))</f>
        <v>638099</v>
      </c>
      <c r="X903" s="705">
        <f t="shared" ref="X903:X966" si="51">SUM(ABS(I903),ABS(N903),ABS(P903),ABS(R903),ABS(T903),ABS(L903))</f>
        <v>795257</v>
      </c>
      <c r="Y903" s="705"/>
      <c r="AI903" s="429"/>
    </row>
    <row r="904" spans="2:35">
      <c r="B904" t="s">
        <v>540</v>
      </c>
      <c r="C904" t="s">
        <v>112</v>
      </c>
      <c r="D904" t="s">
        <v>665</v>
      </c>
      <c r="E904" t="s">
        <v>665</v>
      </c>
      <c r="F904">
        <v>2</v>
      </c>
      <c r="G904" s="705">
        <v>596</v>
      </c>
      <c r="H904" s="705">
        <v>227</v>
      </c>
      <c r="I904" s="705">
        <v>36925</v>
      </c>
      <c r="J904" s="705">
        <v>33568</v>
      </c>
      <c r="K904">
        <v>72</v>
      </c>
      <c r="L904" s="705">
        <v>3575</v>
      </c>
      <c r="M904" s="705">
        <v>1324</v>
      </c>
      <c r="N904" s="705">
        <v>8123</v>
      </c>
      <c r="O904" s="705">
        <v>3008</v>
      </c>
      <c r="P904" s="705">
        <v>6274</v>
      </c>
      <c r="Q904" s="705">
        <v>2324</v>
      </c>
      <c r="R904" s="705">
        <v>12722</v>
      </c>
      <c r="S904" s="705">
        <v>11565</v>
      </c>
      <c r="T904" s="705">
        <v>0</v>
      </c>
      <c r="U904" s="705">
        <v>0</v>
      </c>
      <c r="V904" s="705">
        <v>51790</v>
      </c>
      <c r="W904" s="705">
        <f t="shared" si="50"/>
        <v>51789</v>
      </c>
      <c r="X904" s="705">
        <f t="shared" si="51"/>
        <v>67619</v>
      </c>
      <c r="Y904" s="705"/>
      <c r="AI904" s="429"/>
    </row>
    <row r="905" spans="2:35">
      <c r="B905" t="s">
        <v>540</v>
      </c>
      <c r="C905" t="s">
        <v>112</v>
      </c>
      <c r="D905" t="s">
        <v>673</v>
      </c>
      <c r="E905" t="s">
        <v>673</v>
      </c>
      <c r="F905">
        <v>1</v>
      </c>
      <c r="G905" s="705">
        <v>153</v>
      </c>
      <c r="H905" s="705">
        <v>124</v>
      </c>
      <c r="I905" s="705">
        <v>19579</v>
      </c>
      <c r="J905" s="705">
        <v>17799</v>
      </c>
      <c r="K905">
        <v>83</v>
      </c>
      <c r="L905" s="705">
        <v>3009</v>
      </c>
      <c r="M905" s="705">
        <v>2736</v>
      </c>
      <c r="N905" s="705">
        <v>3171</v>
      </c>
      <c r="O905" s="705">
        <v>1175</v>
      </c>
      <c r="P905" s="705">
        <v>351</v>
      </c>
      <c r="Q905" s="705">
        <v>130</v>
      </c>
      <c r="R905" s="705">
        <v>6113</v>
      </c>
      <c r="S905" s="705">
        <v>5558</v>
      </c>
      <c r="T905" s="705">
        <v>0</v>
      </c>
      <c r="U905" s="705">
        <v>0</v>
      </c>
      <c r="V905" s="705">
        <v>27397</v>
      </c>
      <c r="W905" s="705">
        <f t="shared" si="50"/>
        <v>27398</v>
      </c>
      <c r="X905" s="705">
        <f t="shared" si="51"/>
        <v>32223</v>
      </c>
      <c r="Y905" s="705"/>
      <c r="AI905" s="429"/>
    </row>
    <row r="906" spans="2:35">
      <c r="B906" t="s">
        <v>540</v>
      </c>
      <c r="C906" t="s">
        <v>112</v>
      </c>
      <c r="D906" t="s">
        <v>585</v>
      </c>
      <c r="E906" t="s">
        <v>585</v>
      </c>
      <c r="F906">
        <v>6</v>
      </c>
      <c r="G906" s="705">
        <v>1363</v>
      </c>
      <c r="H906" s="705">
        <v>705</v>
      </c>
      <c r="I906" s="705">
        <v>101193</v>
      </c>
      <c r="J906" s="705">
        <v>91994</v>
      </c>
      <c r="K906">
        <v>84</v>
      </c>
      <c r="L906" s="705">
        <v>16933</v>
      </c>
      <c r="M906" s="705">
        <v>13065</v>
      </c>
      <c r="N906" s="705">
        <v>24910</v>
      </c>
      <c r="O906" s="705">
        <v>9226</v>
      </c>
      <c r="P906" s="705">
        <v>9680</v>
      </c>
      <c r="Q906" s="705">
        <v>3585</v>
      </c>
      <c r="R906" s="705">
        <v>19431</v>
      </c>
      <c r="S906" s="705">
        <v>17665</v>
      </c>
      <c r="T906">
        <v>0</v>
      </c>
      <c r="U906">
        <v>0</v>
      </c>
      <c r="V906" s="705">
        <v>135534</v>
      </c>
      <c r="W906" s="705">
        <f t="shared" si="50"/>
        <v>135535</v>
      </c>
      <c r="X906" s="705">
        <f t="shared" si="51"/>
        <v>172147</v>
      </c>
      <c r="Y906" s="705"/>
      <c r="AI906" s="429"/>
    </row>
    <row r="907" spans="2:35">
      <c r="B907" t="s">
        <v>540</v>
      </c>
      <c r="C907" t="s">
        <v>112</v>
      </c>
      <c r="D907" t="s">
        <v>668</v>
      </c>
      <c r="E907" t="s">
        <v>668</v>
      </c>
      <c r="F907">
        <v>1</v>
      </c>
      <c r="G907" s="705">
        <v>184</v>
      </c>
      <c r="H907" s="705">
        <v>112</v>
      </c>
      <c r="I907" s="705">
        <v>15319</v>
      </c>
      <c r="J907" s="705">
        <v>13926</v>
      </c>
      <c r="K907">
        <v>65</v>
      </c>
      <c r="L907" s="705">
        <v>0</v>
      </c>
      <c r="M907" s="705">
        <v>0</v>
      </c>
      <c r="N907" s="705">
        <v>2236</v>
      </c>
      <c r="O907" s="705">
        <v>828</v>
      </c>
      <c r="P907" s="705">
        <v>2002</v>
      </c>
      <c r="Q907" s="705">
        <v>741</v>
      </c>
      <c r="R907" s="705">
        <v>934</v>
      </c>
      <c r="S907" s="705">
        <v>849</v>
      </c>
      <c r="T907" s="705">
        <v>0</v>
      </c>
      <c r="U907" s="705">
        <v>0</v>
      </c>
      <c r="V907" s="705">
        <v>16345</v>
      </c>
      <c r="W907" s="705">
        <f t="shared" si="50"/>
        <v>16344</v>
      </c>
      <c r="X907" s="705">
        <f t="shared" si="51"/>
        <v>20491</v>
      </c>
      <c r="Y907" s="705"/>
      <c r="AI907" s="429"/>
    </row>
    <row r="908" spans="2:35">
      <c r="B908" t="s">
        <v>540</v>
      </c>
      <c r="C908" t="s">
        <v>114</v>
      </c>
      <c r="F908">
        <v>2</v>
      </c>
      <c r="G908">
        <v>129</v>
      </c>
      <c r="H908">
        <v>285</v>
      </c>
      <c r="I908" s="705"/>
      <c r="J908" s="705">
        <v>0</v>
      </c>
      <c r="L908" s="705"/>
      <c r="M908" s="705">
        <v>0</v>
      </c>
      <c r="N908" s="705">
        <v>1573</v>
      </c>
      <c r="O908" s="705">
        <v>583</v>
      </c>
      <c r="P908" s="705">
        <v>1404</v>
      </c>
      <c r="Q908">
        <v>520</v>
      </c>
      <c r="R908" s="705"/>
      <c r="S908" s="705">
        <v>0</v>
      </c>
      <c r="T908" s="705">
        <v>0</v>
      </c>
      <c r="U908" s="705">
        <v>0</v>
      </c>
      <c r="V908" s="705">
        <v>1103</v>
      </c>
      <c r="W908" s="705">
        <f t="shared" si="50"/>
        <v>1103</v>
      </c>
      <c r="X908" s="705">
        <f t="shared" si="51"/>
        <v>2977</v>
      </c>
      <c r="Y908" s="705"/>
      <c r="AI908" s="429"/>
    </row>
    <row r="909" spans="2:35">
      <c r="B909" t="s">
        <v>540</v>
      </c>
      <c r="C909" t="s">
        <v>114</v>
      </c>
      <c r="D909" t="s">
        <v>664</v>
      </c>
      <c r="E909" t="s">
        <v>664</v>
      </c>
      <c r="F909" s="705">
        <v>6</v>
      </c>
      <c r="G909" s="705">
        <v>1582</v>
      </c>
      <c r="H909" s="705">
        <v>825</v>
      </c>
      <c r="I909" s="705">
        <v>153542</v>
      </c>
      <c r="J909" s="705">
        <v>139583</v>
      </c>
      <c r="K909">
        <v>89</v>
      </c>
      <c r="L909" s="705">
        <v>23385</v>
      </c>
      <c r="M909" s="705">
        <v>21259</v>
      </c>
      <c r="N909" s="705">
        <v>26468</v>
      </c>
      <c r="O909" s="705">
        <v>9803</v>
      </c>
      <c r="P909" s="705">
        <v>3416</v>
      </c>
      <c r="Q909" s="705">
        <v>1265</v>
      </c>
      <c r="R909" s="705">
        <v>33453</v>
      </c>
      <c r="S909" s="705">
        <v>30412</v>
      </c>
      <c r="T909" s="705">
        <v>0</v>
      </c>
      <c r="U909" s="705">
        <v>0</v>
      </c>
      <c r="V909" s="705">
        <v>202322</v>
      </c>
      <c r="W909" s="705">
        <f t="shared" si="50"/>
        <v>202322</v>
      </c>
      <c r="X909" s="705">
        <f t="shared" si="51"/>
        <v>240264</v>
      </c>
      <c r="Y909" s="705"/>
      <c r="AI909" s="429"/>
    </row>
    <row r="910" spans="2:35">
      <c r="B910" t="s">
        <v>540</v>
      </c>
      <c r="C910" t="s">
        <v>114</v>
      </c>
      <c r="D910" t="s">
        <v>664</v>
      </c>
      <c r="E910" t="s">
        <v>582</v>
      </c>
      <c r="F910">
        <v>1</v>
      </c>
      <c r="G910" s="705">
        <v>144</v>
      </c>
      <c r="H910">
        <v>134</v>
      </c>
      <c r="I910" s="705">
        <v>19365</v>
      </c>
      <c r="J910" s="705">
        <v>17604</v>
      </c>
      <c r="K910">
        <v>91</v>
      </c>
      <c r="L910" s="705">
        <v>3263</v>
      </c>
      <c r="M910" s="705">
        <v>2967</v>
      </c>
      <c r="N910" s="705">
        <v>4951</v>
      </c>
      <c r="O910" s="705">
        <v>1834</v>
      </c>
      <c r="P910" s="705">
        <v>824</v>
      </c>
      <c r="Q910" s="705">
        <v>305</v>
      </c>
      <c r="R910" s="705">
        <v>5696</v>
      </c>
      <c r="S910" s="705">
        <v>5178</v>
      </c>
      <c r="T910">
        <v>0</v>
      </c>
      <c r="U910">
        <v>0</v>
      </c>
      <c r="V910" s="705">
        <v>27888</v>
      </c>
      <c r="W910" s="705">
        <f t="shared" si="50"/>
        <v>27888</v>
      </c>
      <c r="X910" s="705">
        <f t="shared" si="51"/>
        <v>34099</v>
      </c>
      <c r="Y910" s="705"/>
      <c r="AI910" s="429"/>
    </row>
    <row r="911" spans="2:35">
      <c r="B911" t="s">
        <v>540</v>
      </c>
      <c r="C911" t="s">
        <v>114</v>
      </c>
      <c r="D911" t="s">
        <v>582</v>
      </c>
      <c r="E911" t="s">
        <v>664</v>
      </c>
      <c r="F911">
        <v>1</v>
      </c>
      <c r="G911" s="705">
        <v>126</v>
      </c>
      <c r="H911" s="705">
        <v>147</v>
      </c>
      <c r="I911" s="705">
        <v>18039</v>
      </c>
      <c r="J911" s="705">
        <v>16399</v>
      </c>
      <c r="K911">
        <v>92</v>
      </c>
      <c r="L911" s="705">
        <v>2793</v>
      </c>
      <c r="M911" s="705">
        <v>2539</v>
      </c>
      <c r="N911" s="705">
        <v>4600</v>
      </c>
      <c r="O911" s="705">
        <v>1704</v>
      </c>
      <c r="P911" s="705">
        <v>824</v>
      </c>
      <c r="Q911" s="705">
        <v>305</v>
      </c>
      <c r="R911" s="705">
        <v>5503</v>
      </c>
      <c r="S911" s="705">
        <v>5003</v>
      </c>
      <c r="T911" s="705">
        <v>0</v>
      </c>
      <c r="U911" s="705">
        <v>0</v>
      </c>
      <c r="V911" s="705">
        <v>25950</v>
      </c>
      <c r="W911" s="705">
        <f t="shared" si="50"/>
        <v>25950</v>
      </c>
      <c r="X911" s="705">
        <f t="shared" si="51"/>
        <v>31759</v>
      </c>
      <c r="Y911" s="705"/>
      <c r="AI911" s="429"/>
    </row>
    <row r="912" spans="2:35">
      <c r="B912" t="s">
        <v>540</v>
      </c>
      <c r="C912" t="s">
        <v>114</v>
      </c>
      <c r="D912" t="s">
        <v>582</v>
      </c>
      <c r="E912" t="s">
        <v>582</v>
      </c>
      <c r="F912">
        <v>163</v>
      </c>
      <c r="G912" s="705">
        <v>30929</v>
      </c>
      <c r="H912" s="705">
        <v>22823</v>
      </c>
      <c r="I912" s="705">
        <v>2444907</v>
      </c>
      <c r="J912" s="705">
        <v>2222643</v>
      </c>
      <c r="K912">
        <v>90</v>
      </c>
      <c r="L912" s="705">
        <v>526027</v>
      </c>
      <c r="M912" s="705">
        <v>472162</v>
      </c>
      <c r="N912" s="705">
        <v>579994</v>
      </c>
      <c r="O912" s="705">
        <v>214813</v>
      </c>
      <c r="P912" s="705">
        <v>91007</v>
      </c>
      <c r="Q912" s="705">
        <v>33706</v>
      </c>
      <c r="R912" s="705">
        <v>849479</v>
      </c>
      <c r="S912" s="705">
        <v>772254</v>
      </c>
      <c r="T912" s="705">
        <v>17311</v>
      </c>
      <c r="U912" s="705">
        <v>6411</v>
      </c>
      <c r="V912" s="705">
        <v>3721989</v>
      </c>
      <c r="W912" s="705">
        <f t="shared" si="50"/>
        <v>3721989</v>
      </c>
      <c r="X912" s="705">
        <f t="shared" si="51"/>
        <v>4508725</v>
      </c>
      <c r="Y912" s="705"/>
      <c r="AI912" s="429"/>
    </row>
    <row r="913" spans="2:35">
      <c r="B913" t="s">
        <v>540</v>
      </c>
      <c r="C913" t="s">
        <v>114</v>
      </c>
      <c r="D913" t="s">
        <v>228</v>
      </c>
      <c r="E913" t="s">
        <v>228</v>
      </c>
      <c r="F913">
        <v>39</v>
      </c>
      <c r="G913" s="705">
        <v>8404</v>
      </c>
      <c r="H913" s="705">
        <v>5325</v>
      </c>
      <c r="I913" s="705">
        <v>577432</v>
      </c>
      <c r="J913" s="705">
        <v>213864</v>
      </c>
      <c r="K913">
        <v>304</v>
      </c>
      <c r="L913" s="705">
        <v>136932</v>
      </c>
      <c r="M913" s="705">
        <v>120592</v>
      </c>
      <c r="N913" s="705">
        <v>162661</v>
      </c>
      <c r="O913" s="705">
        <v>60245</v>
      </c>
      <c r="P913" s="705">
        <v>28951</v>
      </c>
      <c r="Q913" s="705">
        <v>10723</v>
      </c>
      <c r="R913" s="705">
        <v>307037</v>
      </c>
      <c r="S913" s="705">
        <v>113717</v>
      </c>
      <c r="T913">
        <v>0</v>
      </c>
      <c r="U913">
        <v>0</v>
      </c>
      <c r="V913" s="705">
        <v>519140</v>
      </c>
      <c r="W913" s="705">
        <f t="shared" si="50"/>
        <v>519141</v>
      </c>
      <c r="X913" s="705">
        <f t="shared" si="51"/>
        <v>1213013</v>
      </c>
      <c r="Y913" s="705"/>
      <c r="AI913" s="429"/>
    </row>
    <row r="914" spans="2:35">
      <c r="B914" t="s">
        <v>540</v>
      </c>
      <c r="C914" t="s">
        <v>114</v>
      </c>
      <c r="D914" t="s">
        <v>228</v>
      </c>
      <c r="E914" t="s">
        <v>583</v>
      </c>
      <c r="F914">
        <v>1</v>
      </c>
      <c r="G914">
        <v>508</v>
      </c>
      <c r="H914">
        <v>133</v>
      </c>
      <c r="I914" s="705">
        <v>30647</v>
      </c>
      <c r="J914" s="705">
        <v>11351</v>
      </c>
      <c r="K914">
        <v>351</v>
      </c>
      <c r="L914" s="705">
        <v>17043</v>
      </c>
      <c r="M914" s="705">
        <v>15494</v>
      </c>
      <c r="N914" s="705">
        <v>10466</v>
      </c>
      <c r="O914" s="705">
        <v>3876</v>
      </c>
      <c r="P914" s="705">
        <v>1674</v>
      </c>
      <c r="Q914">
        <v>620</v>
      </c>
      <c r="R914" s="705">
        <v>7789</v>
      </c>
      <c r="S914" s="705">
        <v>7081</v>
      </c>
      <c r="T914" s="705">
        <v>0</v>
      </c>
      <c r="U914" s="705">
        <v>0</v>
      </c>
      <c r="V914" s="705">
        <v>38422</v>
      </c>
      <c r="W914" s="705">
        <f t="shared" si="50"/>
        <v>38422</v>
      </c>
      <c r="X914" s="705">
        <f t="shared" si="51"/>
        <v>67619</v>
      </c>
      <c r="Y914" s="705"/>
      <c r="AI914" s="429"/>
    </row>
    <row r="915" spans="2:35">
      <c r="B915" t="s">
        <v>540</v>
      </c>
      <c r="C915" t="s">
        <v>114</v>
      </c>
      <c r="D915" t="s">
        <v>583</v>
      </c>
      <c r="E915" t="s">
        <v>664</v>
      </c>
      <c r="F915">
        <v>1</v>
      </c>
      <c r="G915" s="705">
        <v>115</v>
      </c>
      <c r="H915" s="705">
        <v>145</v>
      </c>
      <c r="I915" s="705">
        <v>14403</v>
      </c>
      <c r="J915" s="705">
        <v>13094</v>
      </c>
      <c r="K915">
        <v>95</v>
      </c>
      <c r="L915" s="705">
        <v>2534</v>
      </c>
      <c r="M915" s="705">
        <v>2303</v>
      </c>
      <c r="N915" s="705">
        <v>3907</v>
      </c>
      <c r="O915" s="705">
        <v>1447</v>
      </c>
      <c r="P915" s="705">
        <v>621</v>
      </c>
      <c r="Q915" s="705">
        <v>230</v>
      </c>
      <c r="R915" s="705">
        <v>5265</v>
      </c>
      <c r="S915" s="705">
        <v>4787</v>
      </c>
      <c r="T915" s="705">
        <v>0</v>
      </c>
      <c r="U915" s="705">
        <v>0</v>
      </c>
      <c r="V915" s="705">
        <v>21861</v>
      </c>
      <c r="W915" s="705">
        <f t="shared" si="50"/>
        <v>21861</v>
      </c>
      <c r="X915" s="705">
        <f t="shared" si="51"/>
        <v>26730</v>
      </c>
      <c r="Y915" s="705"/>
      <c r="AI915" s="429"/>
    </row>
    <row r="916" spans="2:35">
      <c r="B916" t="s">
        <v>540</v>
      </c>
      <c r="C916" t="s">
        <v>114</v>
      </c>
      <c r="D916" t="s">
        <v>583</v>
      </c>
      <c r="E916" t="s">
        <v>228</v>
      </c>
      <c r="F916">
        <v>10</v>
      </c>
      <c r="G916" s="705">
        <v>2305</v>
      </c>
      <c r="H916" s="705">
        <v>1398</v>
      </c>
      <c r="I916" s="705">
        <v>186509</v>
      </c>
      <c r="J916" s="705">
        <v>169554</v>
      </c>
      <c r="K916">
        <v>86</v>
      </c>
      <c r="L916" s="705">
        <v>27835</v>
      </c>
      <c r="M916" s="705">
        <v>25304</v>
      </c>
      <c r="N916" s="705">
        <v>44599</v>
      </c>
      <c r="O916" s="705">
        <v>16518</v>
      </c>
      <c r="P916" s="705">
        <v>6210</v>
      </c>
      <c r="Q916" s="705">
        <v>2300</v>
      </c>
      <c r="R916" s="705">
        <v>54237</v>
      </c>
      <c r="S916" s="705">
        <v>20088</v>
      </c>
      <c r="T916">
        <v>0</v>
      </c>
      <c r="U916">
        <v>0</v>
      </c>
      <c r="V916" s="705">
        <v>233764</v>
      </c>
      <c r="W916" s="705">
        <f t="shared" si="50"/>
        <v>233764</v>
      </c>
      <c r="X916" s="705">
        <f t="shared" si="51"/>
        <v>319390</v>
      </c>
      <c r="Y916" s="705"/>
      <c r="AI916" s="429"/>
    </row>
    <row r="917" spans="2:35">
      <c r="B917" t="s">
        <v>540</v>
      </c>
      <c r="C917" t="s">
        <v>114</v>
      </c>
      <c r="D917" t="s">
        <v>583</v>
      </c>
      <c r="E917" t="s">
        <v>583</v>
      </c>
      <c r="F917" s="705">
        <v>1432</v>
      </c>
      <c r="G917" s="705">
        <v>303297</v>
      </c>
      <c r="H917" s="705">
        <v>201321</v>
      </c>
      <c r="I917" s="705">
        <v>24633771</v>
      </c>
      <c r="J917" s="705">
        <v>22394337</v>
      </c>
      <c r="K917">
        <v>89</v>
      </c>
      <c r="L917" s="705">
        <v>4854553</v>
      </c>
      <c r="M917" s="705">
        <v>4351448</v>
      </c>
      <c r="N917" s="705">
        <v>5939956</v>
      </c>
      <c r="O917" s="705">
        <v>2199984</v>
      </c>
      <c r="P917" s="705">
        <v>1122423</v>
      </c>
      <c r="Q917" s="705">
        <v>415712</v>
      </c>
      <c r="R917" s="705">
        <v>8078881</v>
      </c>
      <c r="S917" s="705">
        <v>7344437</v>
      </c>
      <c r="T917" s="705">
        <v>516340</v>
      </c>
      <c r="U917" s="705">
        <v>191237</v>
      </c>
      <c r="V917" s="705">
        <v>36897155</v>
      </c>
      <c r="W917" s="705">
        <f t="shared" si="50"/>
        <v>36897155</v>
      </c>
      <c r="X917" s="705">
        <f t="shared" si="51"/>
        <v>45145924</v>
      </c>
      <c r="Y917" s="705"/>
      <c r="AI917" s="429"/>
    </row>
    <row r="918" spans="2:35">
      <c r="B918" t="s">
        <v>540</v>
      </c>
      <c r="C918" t="s">
        <v>114</v>
      </c>
      <c r="D918" t="s">
        <v>583</v>
      </c>
      <c r="E918" t="s">
        <v>665</v>
      </c>
      <c r="F918">
        <v>1</v>
      </c>
      <c r="G918" s="705">
        <v>202</v>
      </c>
      <c r="H918" s="705">
        <v>147</v>
      </c>
      <c r="I918" s="705">
        <v>15671</v>
      </c>
      <c r="J918" s="705">
        <v>14246</v>
      </c>
      <c r="K918">
        <v>95</v>
      </c>
      <c r="L918" s="705">
        <v>5514</v>
      </c>
      <c r="M918" s="705">
        <v>5013</v>
      </c>
      <c r="N918" s="705">
        <v>2465</v>
      </c>
      <c r="O918" s="705">
        <v>913</v>
      </c>
      <c r="P918" s="705">
        <v>621</v>
      </c>
      <c r="Q918">
        <v>230</v>
      </c>
      <c r="R918" s="705">
        <v>5486</v>
      </c>
      <c r="S918" s="705">
        <v>4987</v>
      </c>
      <c r="T918">
        <v>0</v>
      </c>
      <c r="U918">
        <v>0</v>
      </c>
      <c r="V918" s="705">
        <v>25389</v>
      </c>
      <c r="W918" s="705">
        <f t="shared" si="50"/>
        <v>25389</v>
      </c>
      <c r="X918" s="705">
        <f t="shared" si="51"/>
        <v>29757</v>
      </c>
      <c r="Y918" s="705"/>
      <c r="AI918" s="429"/>
    </row>
    <row r="919" spans="2:35">
      <c r="B919" t="s">
        <v>540</v>
      </c>
      <c r="C919" t="s">
        <v>114</v>
      </c>
      <c r="D919" t="s">
        <v>584</v>
      </c>
      <c r="E919" t="s">
        <v>584</v>
      </c>
      <c r="F919">
        <v>86</v>
      </c>
      <c r="G919" s="705">
        <v>17032</v>
      </c>
      <c r="H919" s="705">
        <v>12074</v>
      </c>
      <c r="I919" s="705">
        <v>1309312</v>
      </c>
      <c r="J919" s="705">
        <v>1190284</v>
      </c>
      <c r="K919">
        <v>89</v>
      </c>
      <c r="L919" s="705">
        <v>286534</v>
      </c>
      <c r="M919" s="705">
        <v>257197</v>
      </c>
      <c r="N919" s="705">
        <v>346250</v>
      </c>
      <c r="O919" s="705">
        <v>128241</v>
      </c>
      <c r="P919" s="705">
        <v>44367</v>
      </c>
      <c r="Q919" s="705">
        <v>16432</v>
      </c>
      <c r="R919" s="705">
        <v>497370</v>
      </c>
      <c r="S919" s="705">
        <v>452155</v>
      </c>
      <c r="T919" s="705">
        <v>9894</v>
      </c>
      <c r="U919" s="705">
        <v>3665</v>
      </c>
      <c r="V919" s="705">
        <v>2047973</v>
      </c>
      <c r="W919" s="705">
        <f t="shared" si="50"/>
        <v>2047974</v>
      </c>
      <c r="X919" s="705">
        <f t="shared" si="51"/>
        <v>2493727</v>
      </c>
      <c r="Y919" s="705"/>
      <c r="AI919" s="429"/>
    </row>
    <row r="920" spans="2:35">
      <c r="B920" t="s">
        <v>540</v>
      </c>
      <c r="C920" t="s">
        <v>114</v>
      </c>
      <c r="D920" t="s">
        <v>669</v>
      </c>
      <c r="E920" t="s">
        <v>669</v>
      </c>
      <c r="F920">
        <v>1</v>
      </c>
      <c r="G920">
        <v>94</v>
      </c>
      <c r="H920">
        <v>143</v>
      </c>
      <c r="I920" s="705">
        <v>13988</v>
      </c>
      <c r="J920" s="705">
        <v>11657</v>
      </c>
      <c r="K920">
        <v>100</v>
      </c>
      <c r="L920" s="705">
        <v>0</v>
      </c>
      <c r="M920" s="705">
        <v>0</v>
      </c>
      <c r="N920" s="705">
        <v>1801</v>
      </c>
      <c r="O920" s="705">
        <v>667</v>
      </c>
      <c r="P920" s="705">
        <v>1912</v>
      </c>
      <c r="Q920">
        <v>708</v>
      </c>
      <c r="R920" s="705">
        <v>3399</v>
      </c>
      <c r="S920" s="705">
        <v>2833</v>
      </c>
      <c r="T920" s="705">
        <v>0</v>
      </c>
      <c r="U920" s="705">
        <v>0</v>
      </c>
      <c r="V920" s="705">
        <v>15865</v>
      </c>
      <c r="W920" s="705">
        <f t="shared" si="50"/>
        <v>15865</v>
      </c>
      <c r="X920" s="705">
        <f t="shared" si="51"/>
        <v>21100</v>
      </c>
      <c r="Y920" s="705"/>
      <c r="AI920" s="429"/>
    </row>
    <row r="921" spans="2:35">
      <c r="B921" t="s">
        <v>540</v>
      </c>
      <c r="C921" t="s">
        <v>114</v>
      </c>
      <c r="D921" t="s">
        <v>665</v>
      </c>
      <c r="E921" t="s">
        <v>228</v>
      </c>
      <c r="F921">
        <v>2</v>
      </c>
      <c r="G921" s="705">
        <v>317</v>
      </c>
      <c r="H921" s="705">
        <v>287</v>
      </c>
      <c r="I921" s="705">
        <v>23613</v>
      </c>
      <c r="J921" s="705">
        <v>21467</v>
      </c>
      <c r="K921">
        <v>70</v>
      </c>
      <c r="L921" s="705">
        <v>3625</v>
      </c>
      <c r="M921" s="705">
        <v>2410</v>
      </c>
      <c r="N921" s="705">
        <v>3864</v>
      </c>
      <c r="O921" s="705">
        <v>1431</v>
      </c>
      <c r="P921" s="705">
        <v>1478</v>
      </c>
      <c r="Q921" s="705">
        <v>547</v>
      </c>
      <c r="R921" s="705">
        <v>12873</v>
      </c>
      <c r="S921" s="705">
        <v>4768</v>
      </c>
      <c r="T921" s="705">
        <v>0</v>
      </c>
      <c r="U921" s="705">
        <v>0</v>
      </c>
      <c r="V921" s="705">
        <v>30623</v>
      </c>
      <c r="W921" s="705">
        <f t="shared" si="50"/>
        <v>30623</v>
      </c>
      <c r="X921" s="705">
        <f t="shared" si="51"/>
        <v>45453</v>
      </c>
      <c r="Y921" s="705"/>
      <c r="AI921" s="429"/>
    </row>
    <row r="922" spans="2:35">
      <c r="B922" t="s">
        <v>540</v>
      </c>
      <c r="C922" t="s">
        <v>114</v>
      </c>
      <c r="D922" t="s">
        <v>673</v>
      </c>
      <c r="E922" t="s">
        <v>673</v>
      </c>
      <c r="F922">
        <v>1</v>
      </c>
      <c r="G922" s="705">
        <v>215</v>
      </c>
      <c r="H922" s="705">
        <v>130</v>
      </c>
      <c r="I922" s="705">
        <v>18770</v>
      </c>
      <c r="J922" s="705">
        <v>17063</v>
      </c>
      <c r="K922">
        <v>83</v>
      </c>
      <c r="L922" s="705">
        <v>2650</v>
      </c>
      <c r="M922" s="705">
        <v>2409</v>
      </c>
      <c r="N922" s="705">
        <v>5390</v>
      </c>
      <c r="O922" s="705">
        <v>1996</v>
      </c>
      <c r="P922" s="705">
        <v>351</v>
      </c>
      <c r="Q922" s="705">
        <v>130</v>
      </c>
      <c r="R922" s="705">
        <v>7555</v>
      </c>
      <c r="S922" s="705">
        <v>6868</v>
      </c>
      <c r="T922" s="705">
        <v>0</v>
      </c>
      <c r="U922" s="705">
        <v>0</v>
      </c>
      <c r="V922" s="705">
        <v>28467</v>
      </c>
      <c r="W922" s="705">
        <f t="shared" si="50"/>
        <v>28466</v>
      </c>
      <c r="X922" s="705">
        <f t="shared" si="51"/>
        <v>34716</v>
      </c>
      <c r="Y922" s="705"/>
      <c r="AI922" s="429"/>
    </row>
    <row r="923" spans="2:35">
      <c r="B923" t="s">
        <v>540</v>
      </c>
      <c r="C923" t="s">
        <v>114</v>
      </c>
      <c r="D923" t="s">
        <v>585</v>
      </c>
      <c r="E923" t="s">
        <v>585</v>
      </c>
      <c r="F923">
        <v>11</v>
      </c>
      <c r="G923" s="705">
        <v>2801</v>
      </c>
      <c r="H923" s="705">
        <v>1554</v>
      </c>
      <c r="I923" s="705">
        <v>250554</v>
      </c>
      <c r="J923" s="705">
        <v>227776</v>
      </c>
      <c r="K923">
        <v>82</v>
      </c>
      <c r="L923" s="705">
        <v>37041</v>
      </c>
      <c r="M923" s="705">
        <v>30930</v>
      </c>
      <c r="N923" s="705">
        <v>54336</v>
      </c>
      <c r="O923" s="705">
        <v>20125</v>
      </c>
      <c r="P923" s="705">
        <v>7128</v>
      </c>
      <c r="Q923" s="705">
        <v>2640</v>
      </c>
      <c r="R923" s="705">
        <v>66093</v>
      </c>
      <c r="S923" s="705">
        <v>60085</v>
      </c>
      <c r="T923" s="705">
        <v>0</v>
      </c>
      <c r="U923" s="705">
        <v>0</v>
      </c>
      <c r="V923" s="705">
        <v>341556</v>
      </c>
      <c r="W923" s="705">
        <f t="shared" si="50"/>
        <v>341556</v>
      </c>
      <c r="X923" s="705">
        <f t="shared" si="51"/>
        <v>415152</v>
      </c>
      <c r="Y923" s="705"/>
      <c r="AI923" s="429"/>
    </row>
    <row r="924" spans="2:35">
      <c r="B924" t="s">
        <v>540</v>
      </c>
      <c r="C924" t="s">
        <v>116</v>
      </c>
      <c r="F924">
        <v>5</v>
      </c>
      <c r="G924" s="705">
        <v>990</v>
      </c>
      <c r="H924" s="705">
        <v>1011</v>
      </c>
      <c r="I924" s="705"/>
      <c r="J924" s="705">
        <v>0</v>
      </c>
      <c r="L924" s="705"/>
      <c r="M924" s="705">
        <v>0</v>
      </c>
      <c r="N924" s="705">
        <v>15935</v>
      </c>
      <c r="O924" s="705">
        <v>5902</v>
      </c>
      <c r="P924" s="705">
        <v>4482</v>
      </c>
      <c r="Q924" s="705">
        <v>1660</v>
      </c>
      <c r="R924" s="705"/>
      <c r="S924" s="705">
        <v>0</v>
      </c>
      <c r="T924" s="705">
        <v>7005</v>
      </c>
      <c r="U924" s="705">
        <v>2594</v>
      </c>
      <c r="V924" s="705">
        <v>10156</v>
      </c>
      <c r="W924" s="705">
        <f t="shared" si="50"/>
        <v>10156</v>
      </c>
      <c r="X924" s="705">
        <f t="shared" si="51"/>
        <v>27422</v>
      </c>
      <c r="Y924" s="705"/>
      <c r="AI924" s="429"/>
    </row>
    <row r="925" spans="2:35">
      <c r="B925" t="s">
        <v>540</v>
      </c>
      <c r="C925" t="s">
        <v>116</v>
      </c>
      <c r="D925" t="s">
        <v>664</v>
      </c>
      <c r="E925" t="s">
        <v>664</v>
      </c>
      <c r="F925">
        <v>19</v>
      </c>
      <c r="G925" s="705">
        <v>2774</v>
      </c>
      <c r="H925" s="705">
        <v>3690</v>
      </c>
      <c r="I925" s="705">
        <v>371075</v>
      </c>
      <c r="J925" s="705">
        <v>337341</v>
      </c>
      <c r="K925">
        <v>84</v>
      </c>
      <c r="L925" s="705">
        <v>66165</v>
      </c>
      <c r="M925" s="705">
        <v>60150</v>
      </c>
      <c r="N925" s="705">
        <v>61402</v>
      </c>
      <c r="O925" s="705">
        <v>22741</v>
      </c>
      <c r="P925" s="705">
        <v>10292</v>
      </c>
      <c r="Q925" s="705">
        <v>3812</v>
      </c>
      <c r="R925" s="705">
        <v>102090</v>
      </c>
      <c r="S925" s="705">
        <v>92810</v>
      </c>
      <c r="T925" s="705">
        <v>22179</v>
      </c>
      <c r="U925" s="705">
        <v>8215</v>
      </c>
      <c r="V925" s="705">
        <v>525069</v>
      </c>
      <c r="W925" s="705">
        <f t="shared" si="50"/>
        <v>525069</v>
      </c>
      <c r="X925" s="705">
        <f t="shared" si="51"/>
        <v>633203</v>
      </c>
      <c r="Y925" s="705"/>
      <c r="AI925" s="429"/>
    </row>
    <row r="926" spans="2:35">
      <c r="B926" t="s">
        <v>540</v>
      </c>
      <c r="C926" t="s">
        <v>116</v>
      </c>
      <c r="D926" t="s">
        <v>664</v>
      </c>
      <c r="E926" t="s">
        <v>228</v>
      </c>
      <c r="F926">
        <v>1</v>
      </c>
      <c r="G926" s="705">
        <v>114</v>
      </c>
      <c r="H926" s="705">
        <v>224</v>
      </c>
      <c r="I926" s="705">
        <v>14161</v>
      </c>
      <c r="J926" s="705">
        <v>12873</v>
      </c>
      <c r="K926">
        <v>81</v>
      </c>
      <c r="L926" s="705">
        <v>4044</v>
      </c>
      <c r="M926" s="705">
        <v>3676</v>
      </c>
      <c r="N926" s="705">
        <v>1393</v>
      </c>
      <c r="O926" s="705">
        <v>516</v>
      </c>
      <c r="P926" s="705">
        <v>473</v>
      </c>
      <c r="Q926" s="705">
        <v>175</v>
      </c>
      <c r="R926" s="705">
        <v>5565</v>
      </c>
      <c r="S926" s="705">
        <v>2061</v>
      </c>
      <c r="T926" s="705">
        <v>0</v>
      </c>
      <c r="U926">
        <v>0</v>
      </c>
      <c r="V926" s="705">
        <v>19302</v>
      </c>
      <c r="W926" s="705">
        <f t="shared" si="50"/>
        <v>19301</v>
      </c>
      <c r="X926" s="705">
        <f t="shared" si="51"/>
        <v>25636</v>
      </c>
      <c r="Y926" s="705"/>
      <c r="AI926" s="429"/>
    </row>
    <row r="927" spans="2:35">
      <c r="B927" t="s">
        <v>540</v>
      </c>
      <c r="C927" t="s">
        <v>116</v>
      </c>
      <c r="D927" t="s">
        <v>664</v>
      </c>
      <c r="E927" t="s">
        <v>583</v>
      </c>
      <c r="F927" s="705">
        <v>3</v>
      </c>
      <c r="G927" s="705">
        <v>521</v>
      </c>
      <c r="H927" s="705">
        <v>600</v>
      </c>
      <c r="I927" s="705">
        <v>60532</v>
      </c>
      <c r="J927" s="705">
        <v>55029</v>
      </c>
      <c r="K927">
        <v>85</v>
      </c>
      <c r="L927" s="705">
        <v>14925</v>
      </c>
      <c r="M927" s="705">
        <v>13568</v>
      </c>
      <c r="N927" s="705">
        <v>11607</v>
      </c>
      <c r="O927" s="705">
        <v>4299</v>
      </c>
      <c r="P927" s="705">
        <v>1863</v>
      </c>
      <c r="Q927" s="705">
        <v>690</v>
      </c>
      <c r="R927" s="705">
        <v>18645</v>
      </c>
      <c r="S927" s="705">
        <v>16950</v>
      </c>
      <c r="T927" s="705">
        <v>3307</v>
      </c>
      <c r="U927" s="705">
        <v>1225</v>
      </c>
      <c r="V927" s="705">
        <v>91761</v>
      </c>
      <c r="W927" s="705">
        <f t="shared" si="50"/>
        <v>91761</v>
      </c>
      <c r="X927" s="705">
        <f t="shared" si="51"/>
        <v>110879</v>
      </c>
      <c r="Y927" s="705"/>
      <c r="AI927" s="429"/>
    </row>
    <row r="928" spans="2:35">
      <c r="B928" t="s">
        <v>540</v>
      </c>
      <c r="C928" t="s">
        <v>116</v>
      </c>
      <c r="D928" t="s">
        <v>582</v>
      </c>
      <c r="E928" t="s">
        <v>664</v>
      </c>
      <c r="F928">
        <v>3</v>
      </c>
      <c r="G928" s="705">
        <v>314</v>
      </c>
      <c r="H928" s="705">
        <v>565</v>
      </c>
      <c r="I928" s="705">
        <v>43243</v>
      </c>
      <c r="J928" s="705">
        <v>39312</v>
      </c>
      <c r="K928">
        <v>81</v>
      </c>
      <c r="L928" s="705">
        <v>9644</v>
      </c>
      <c r="M928" s="705">
        <v>8767</v>
      </c>
      <c r="N928" s="705">
        <v>6731</v>
      </c>
      <c r="O928" s="705">
        <v>2493</v>
      </c>
      <c r="P928" s="705">
        <v>1769</v>
      </c>
      <c r="Q928" s="705">
        <v>655</v>
      </c>
      <c r="R928" s="705">
        <v>18894</v>
      </c>
      <c r="S928" s="705">
        <v>17176</v>
      </c>
      <c r="T928" s="705">
        <v>0</v>
      </c>
      <c r="U928" s="705">
        <v>0</v>
      </c>
      <c r="V928" s="705">
        <v>68403</v>
      </c>
      <c r="W928" s="705">
        <f t="shared" si="50"/>
        <v>68403</v>
      </c>
      <c r="X928" s="705">
        <f t="shared" si="51"/>
        <v>80281</v>
      </c>
      <c r="Y928" s="705"/>
      <c r="AI928" s="429"/>
    </row>
    <row r="929" spans="2:35">
      <c r="B929" t="s">
        <v>540</v>
      </c>
      <c r="C929" t="s">
        <v>116</v>
      </c>
      <c r="D929" t="s">
        <v>582</v>
      </c>
      <c r="E929" t="s">
        <v>582</v>
      </c>
      <c r="F929">
        <v>273</v>
      </c>
      <c r="G929" s="705">
        <v>45494</v>
      </c>
      <c r="H929" s="705">
        <v>51350</v>
      </c>
      <c r="I929" s="705">
        <v>5056510</v>
      </c>
      <c r="J929" s="705">
        <v>4596827</v>
      </c>
      <c r="K929">
        <v>85</v>
      </c>
      <c r="L929" s="705">
        <v>1127271</v>
      </c>
      <c r="M929" s="705">
        <v>1009712</v>
      </c>
      <c r="N929" s="705">
        <v>954929</v>
      </c>
      <c r="O929" s="705">
        <v>353677</v>
      </c>
      <c r="P929" s="705">
        <v>152879</v>
      </c>
      <c r="Q929" s="705">
        <v>56622</v>
      </c>
      <c r="R929" s="705">
        <v>1419903</v>
      </c>
      <c r="S929" s="705">
        <v>1290821</v>
      </c>
      <c r="T929" s="705">
        <v>190228</v>
      </c>
      <c r="U929" s="705">
        <v>70455</v>
      </c>
      <c r="V929" s="705">
        <v>7378114</v>
      </c>
      <c r="W929" s="705">
        <f t="shared" si="50"/>
        <v>7378114</v>
      </c>
      <c r="X929" s="705">
        <f t="shared" si="51"/>
        <v>8901720</v>
      </c>
      <c r="Y929" s="705"/>
      <c r="AI929" s="429"/>
    </row>
    <row r="930" spans="2:35">
      <c r="B930" t="s">
        <v>540</v>
      </c>
      <c r="C930" t="s">
        <v>116</v>
      </c>
      <c r="D930" t="s">
        <v>582</v>
      </c>
      <c r="E930" t="s">
        <v>228</v>
      </c>
      <c r="F930">
        <v>1</v>
      </c>
      <c r="G930">
        <v>235</v>
      </c>
      <c r="H930" s="705">
        <v>197</v>
      </c>
      <c r="I930" s="705">
        <v>22068</v>
      </c>
      <c r="J930" s="705">
        <v>20062</v>
      </c>
      <c r="K930">
        <v>90</v>
      </c>
      <c r="L930" s="705">
        <v>7005</v>
      </c>
      <c r="M930" s="705">
        <v>6368</v>
      </c>
      <c r="N930" s="705">
        <v>5382</v>
      </c>
      <c r="O930" s="705">
        <v>1993</v>
      </c>
      <c r="P930" s="705">
        <v>473</v>
      </c>
      <c r="Q930">
        <v>175</v>
      </c>
      <c r="R930" s="705">
        <v>11312</v>
      </c>
      <c r="S930" s="705">
        <v>4190</v>
      </c>
      <c r="T930" s="705">
        <v>0</v>
      </c>
      <c r="U930" s="705">
        <v>0</v>
      </c>
      <c r="V930" s="705">
        <v>32788</v>
      </c>
      <c r="W930" s="705">
        <f t="shared" si="50"/>
        <v>32788</v>
      </c>
      <c r="X930" s="705">
        <f t="shared" si="51"/>
        <v>46240</v>
      </c>
      <c r="Y930" s="705"/>
      <c r="AI930" s="429"/>
    </row>
    <row r="931" spans="2:35">
      <c r="B931" t="s">
        <v>540</v>
      </c>
      <c r="C931" t="s">
        <v>116</v>
      </c>
      <c r="D931" t="s">
        <v>582</v>
      </c>
      <c r="E931" t="s">
        <v>584</v>
      </c>
      <c r="F931">
        <v>3</v>
      </c>
      <c r="G931">
        <v>553</v>
      </c>
      <c r="H931" s="705">
        <v>549</v>
      </c>
      <c r="I931" s="705">
        <v>62950</v>
      </c>
      <c r="J931" s="705">
        <v>57227</v>
      </c>
      <c r="K931">
        <v>78</v>
      </c>
      <c r="L931" s="705">
        <v>14244</v>
      </c>
      <c r="M931" s="705">
        <v>12949</v>
      </c>
      <c r="N931" s="705">
        <v>13741</v>
      </c>
      <c r="O931" s="705">
        <v>5089</v>
      </c>
      <c r="P931" s="705">
        <v>1418</v>
      </c>
      <c r="Q931" s="705">
        <v>525</v>
      </c>
      <c r="R931" s="705">
        <v>21632</v>
      </c>
      <c r="S931" s="705">
        <v>19665</v>
      </c>
      <c r="T931" s="705">
        <v>0</v>
      </c>
      <c r="U931" s="705">
        <v>0</v>
      </c>
      <c r="V931" s="705">
        <v>95456</v>
      </c>
      <c r="W931" s="705">
        <f t="shared" si="50"/>
        <v>95455</v>
      </c>
      <c r="X931" s="705">
        <f t="shared" si="51"/>
        <v>113985</v>
      </c>
      <c r="Y931" s="705"/>
      <c r="AI931" s="429"/>
    </row>
    <row r="932" spans="2:35">
      <c r="B932" t="s">
        <v>540</v>
      </c>
      <c r="C932" t="s">
        <v>116</v>
      </c>
      <c r="D932" t="s">
        <v>228</v>
      </c>
      <c r="E932" t="s">
        <v>228</v>
      </c>
      <c r="F932">
        <v>65</v>
      </c>
      <c r="G932" s="705">
        <v>12023</v>
      </c>
      <c r="H932" s="705">
        <v>12379</v>
      </c>
      <c r="I932" s="705">
        <v>1288320</v>
      </c>
      <c r="J932" s="705">
        <v>477156</v>
      </c>
      <c r="K932">
        <v>199</v>
      </c>
      <c r="L932" s="705">
        <v>225161</v>
      </c>
      <c r="M932" s="705">
        <v>194656</v>
      </c>
      <c r="N932" s="705">
        <v>249573</v>
      </c>
      <c r="O932" s="705">
        <v>92434</v>
      </c>
      <c r="P932" s="705">
        <v>43486</v>
      </c>
      <c r="Q932" s="705">
        <v>16106</v>
      </c>
      <c r="R932" s="705">
        <v>560405</v>
      </c>
      <c r="S932" s="705">
        <v>207557</v>
      </c>
      <c r="T932" s="705">
        <v>0</v>
      </c>
      <c r="U932" s="705">
        <v>0</v>
      </c>
      <c r="V932" s="705">
        <v>987909</v>
      </c>
      <c r="W932" s="705">
        <f t="shared" si="50"/>
        <v>987909</v>
      </c>
      <c r="X932" s="705">
        <f t="shared" si="51"/>
        <v>2366945</v>
      </c>
      <c r="Y932" s="705"/>
      <c r="AI932" s="429"/>
    </row>
    <row r="933" spans="2:35">
      <c r="B933" t="s">
        <v>540</v>
      </c>
      <c r="C933" t="s">
        <v>116</v>
      </c>
      <c r="D933" t="s">
        <v>228</v>
      </c>
      <c r="E933" t="s">
        <v>583</v>
      </c>
      <c r="F933">
        <v>2</v>
      </c>
      <c r="G933" s="705">
        <v>414</v>
      </c>
      <c r="H933" s="705">
        <v>418</v>
      </c>
      <c r="I933" s="705">
        <v>55610</v>
      </c>
      <c r="J933" s="705">
        <v>20596</v>
      </c>
      <c r="K933">
        <v>285</v>
      </c>
      <c r="L933" s="705">
        <v>3347</v>
      </c>
      <c r="M933" s="705">
        <v>3043</v>
      </c>
      <c r="N933" s="705">
        <v>9121</v>
      </c>
      <c r="O933" s="705">
        <v>3378</v>
      </c>
      <c r="P933" s="705">
        <v>3197</v>
      </c>
      <c r="Q933" s="705">
        <v>1184</v>
      </c>
      <c r="R933" s="705">
        <v>11687</v>
      </c>
      <c r="S933" s="705">
        <v>10625</v>
      </c>
      <c r="T933" s="705">
        <v>3457</v>
      </c>
      <c r="U933" s="705">
        <v>1281</v>
      </c>
      <c r="V933" s="705">
        <v>40107</v>
      </c>
      <c r="W933" s="705">
        <f t="shared" si="50"/>
        <v>40107</v>
      </c>
      <c r="X933" s="705">
        <f t="shared" si="51"/>
        <v>86419</v>
      </c>
      <c r="Y933" s="705"/>
      <c r="AI933" s="429"/>
    </row>
    <row r="934" spans="2:35">
      <c r="B934" t="s">
        <v>540</v>
      </c>
      <c r="C934" t="s">
        <v>116</v>
      </c>
      <c r="D934" t="s">
        <v>583</v>
      </c>
      <c r="E934" t="s">
        <v>664</v>
      </c>
      <c r="F934">
        <v>4</v>
      </c>
      <c r="G934" s="705">
        <v>638</v>
      </c>
      <c r="H934" s="705">
        <v>787</v>
      </c>
      <c r="I934" s="705">
        <v>81761</v>
      </c>
      <c r="J934" s="705">
        <v>74329</v>
      </c>
      <c r="K934">
        <v>83</v>
      </c>
      <c r="L934" s="705">
        <v>18509</v>
      </c>
      <c r="M934" s="705">
        <v>16826</v>
      </c>
      <c r="N934" s="705">
        <v>12913</v>
      </c>
      <c r="O934" s="705">
        <v>4783</v>
      </c>
      <c r="P934" s="705">
        <v>2484</v>
      </c>
      <c r="Q934" s="705">
        <v>920</v>
      </c>
      <c r="R934" s="705">
        <v>25542</v>
      </c>
      <c r="S934" s="705">
        <v>23220</v>
      </c>
      <c r="T934" s="705">
        <v>0</v>
      </c>
      <c r="U934" s="705">
        <v>0</v>
      </c>
      <c r="V934" s="705">
        <v>120078</v>
      </c>
      <c r="W934" s="705">
        <f t="shared" si="50"/>
        <v>120078</v>
      </c>
      <c r="X934" s="705">
        <f t="shared" si="51"/>
        <v>141209</v>
      </c>
      <c r="Y934" s="705"/>
      <c r="AI934" s="429"/>
    </row>
    <row r="935" spans="2:35">
      <c r="B935" t="s">
        <v>540</v>
      </c>
      <c r="C935" t="s">
        <v>116</v>
      </c>
      <c r="D935" t="s">
        <v>583</v>
      </c>
      <c r="E935" t="s">
        <v>228</v>
      </c>
      <c r="F935">
        <v>24</v>
      </c>
      <c r="G935" s="705">
        <v>4395</v>
      </c>
      <c r="H935" s="705">
        <v>4597</v>
      </c>
      <c r="I935" s="705">
        <v>435838</v>
      </c>
      <c r="J935" s="705">
        <v>396216</v>
      </c>
      <c r="K935">
        <v>86</v>
      </c>
      <c r="L935" s="705">
        <v>93347</v>
      </c>
      <c r="M935" s="705">
        <v>84169</v>
      </c>
      <c r="N935" s="705">
        <v>85437</v>
      </c>
      <c r="O935" s="705">
        <v>31643</v>
      </c>
      <c r="P935" s="705">
        <v>18567</v>
      </c>
      <c r="Q935" s="705">
        <v>6877</v>
      </c>
      <c r="R935" s="705">
        <v>200980</v>
      </c>
      <c r="S935" s="705">
        <v>74437</v>
      </c>
      <c r="T935" s="705">
        <v>0</v>
      </c>
      <c r="U935" s="705">
        <v>0</v>
      </c>
      <c r="V935" s="705">
        <v>593342</v>
      </c>
      <c r="W935" s="705">
        <f t="shared" si="50"/>
        <v>593342</v>
      </c>
      <c r="X935" s="705">
        <f t="shared" si="51"/>
        <v>834169</v>
      </c>
      <c r="Y935" s="705"/>
      <c r="AI935" s="429"/>
    </row>
    <row r="936" spans="2:35">
      <c r="B936" t="s">
        <v>540</v>
      </c>
      <c r="C936" t="s">
        <v>116</v>
      </c>
      <c r="D936" t="s">
        <v>583</v>
      </c>
      <c r="E936" t="s">
        <v>583</v>
      </c>
      <c r="F936" s="705">
        <v>7156</v>
      </c>
      <c r="G936" s="705">
        <v>1213818</v>
      </c>
      <c r="H936" s="705">
        <v>1356608</v>
      </c>
      <c r="I936" s="705">
        <v>133028270</v>
      </c>
      <c r="J936" s="705">
        <v>120934791</v>
      </c>
      <c r="K936">
        <v>85</v>
      </c>
      <c r="L936" s="705">
        <v>27876858</v>
      </c>
      <c r="M936" s="705">
        <v>24798559</v>
      </c>
      <c r="N936" s="705">
        <v>25136005</v>
      </c>
      <c r="O936" s="705">
        <v>9309631</v>
      </c>
      <c r="P936" s="705">
        <v>4905221</v>
      </c>
      <c r="Q936" s="705">
        <v>1816748</v>
      </c>
      <c r="R936" s="705">
        <v>40361278</v>
      </c>
      <c r="S936" s="705">
        <v>36692070</v>
      </c>
      <c r="T936" s="705">
        <v>7414777</v>
      </c>
      <c r="U936" s="705">
        <v>2746214</v>
      </c>
      <c r="V936" s="705">
        <v>196298013</v>
      </c>
      <c r="W936" s="705">
        <f t="shared" si="50"/>
        <v>196298013</v>
      </c>
      <c r="X936" s="705">
        <f t="shared" si="51"/>
        <v>238722409</v>
      </c>
      <c r="Y936" s="705"/>
      <c r="AI936" s="429"/>
    </row>
    <row r="937" spans="2:35">
      <c r="B937" t="s">
        <v>540</v>
      </c>
      <c r="C937" t="s">
        <v>116</v>
      </c>
      <c r="D937" t="s">
        <v>583</v>
      </c>
      <c r="E937" t="s">
        <v>666</v>
      </c>
      <c r="F937">
        <v>1</v>
      </c>
      <c r="G937" s="705">
        <v>138</v>
      </c>
      <c r="H937" s="705">
        <v>215</v>
      </c>
      <c r="I937" s="705">
        <v>24460</v>
      </c>
      <c r="J937" s="705">
        <v>22236</v>
      </c>
      <c r="K937">
        <v>70</v>
      </c>
      <c r="L937" s="705">
        <v>2927</v>
      </c>
      <c r="M937" s="705">
        <v>2661</v>
      </c>
      <c r="N937" s="705">
        <v>4482</v>
      </c>
      <c r="O937" s="705">
        <v>1660</v>
      </c>
      <c r="P937" s="705">
        <v>1323</v>
      </c>
      <c r="Q937" s="705">
        <v>490</v>
      </c>
      <c r="R937" s="705">
        <v>5570</v>
      </c>
      <c r="S937" s="705">
        <v>5064</v>
      </c>
      <c r="T937" s="705">
        <v>3627</v>
      </c>
      <c r="U937" s="705">
        <v>1343</v>
      </c>
      <c r="V937" s="705">
        <v>33454</v>
      </c>
      <c r="W937" s="705">
        <f t="shared" si="50"/>
        <v>33454</v>
      </c>
      <c r="X937" s="705">
        <f t="shared" si="51"/>
        <v>42389</v>
      </c>
      <c r="Y937" s="705"/>
      <c r="AI937" s="429"/>
    </row>
    <row r="938" spans="2:35">
      <c r="B938" t="s">
        <v>540</v>
      </c>
      <c r="C938" t="s">
        <v>116</v>
      </c>
      <c r="D938" t="s">
        <v>583</v>
      </c>
      <c r="E938" t="s">
        <v>584</v>
      </c>
      <c r="F938">
        <v>2</v>
      </c>
      <c r="G938" s="705">
        <v>289</v>
      </c>
      <c r="H938" s="705">
        <v>379</v>
      </c>
      <c r="I938" s="705">
        <v>30560</v>
      </c>
      <c r="J938" s="705">
        <v>27782</v>
      </c>
      <c r="K938">
        <v>91</v>
      </c>
      <c r="L938" s="705">
        <v>4430</v>
      </c>
      <c r="M938" s="705">
        <v>4027</v>
      </c>
      <c r="N938" s="705">
        <v>7366</v>
      </c>
      <c r="O938" s="705">
        <v>2728</v>
      </c>
      <c r="P938" s="705">
        <v>1944</v>
      </c>
      <c r="Q938">
        <v>720</v>
      </c>
      <c r="R938" s="705">
        <v>6975</v>
      </c>
      <c r="S938" s="705">
        <v>6341</v>
      </c>
      <c r="T938" s="705">
        <v>6259</v>
      </c>
      <c r="U938" s="705">
        <v>2318</v>
      </c>
      <c r="V938" s="705">
        <v>43916</v>
      </c>
      <c r="W938" s="705">
        <f t="shared" si="50"/>
        <v>43916</v>
      </c>
      <c r="X938" s="705">
        <f t="shared" si="51"/>
        <v>57534</v>
      </c>
      <c r="Y938" s="705"/>
      <c r="AI938" s="429"/>
    </row>
    <row r="939" spans="2:35">
      <c r="B939" t="s">
        <v>540</v>
      </c>
      <c r="C939" t="s">
        <v>116</v>
      </c>
      <c r="D939" t="s">
        <v>583</v>
      </c>
      <c r="E939" t="s">
        <v>671</v>
      </c>
      <c r="F939" s="705">
        <v>2</v>
      </c>
      <c r="G939" s="705">
        <v>393</v>
      </c>
      <c r="H939" s="705">
        <v>378</v>
      </c>
      <c r="I939" s="705">
        <v>49139</v>
      </c>
      <c r="J939" s="705">
        <v>44672</v>
      </c>
      <c r="K939" s="705">
        <v>70</v>
      </c>
      <c r="L939" s="705">
        <v>5586</v>
      </c>
      <c r="M939" s="705">
        <v>5078</v>
      </c>
      <c r="N939" s="705">
        <v>5618</v>
      </c>
      <c r="O939" s="705">
        <v>2081</v>
      </c>
      <c r="P939" s="705">
        <v>1242</v>
      </c>
      <c r="Q939" s="705">
        <v>460</v>
      </c>
      <c r="R939" s="705">
        <v>19265</v>
      </c>
      <c r="S939" s="705">
        <v>17514</v>
      </c>
      <c r="T939" s="705">
        <v>0</v>
      </c>
      <c r="U939" s="705">
        <v>0</v>
      </c>
      <c r="V939" s="705">
        <v>69804</v>
      </c>
      <c r="W939" s="705">
        <f t="shared" si="50"/>
        <v>69805</v>
      </c>
      <c r="X939" s="705">
        <f t="shared" si="51"/>
        <v>80850</v>
      </c>
      <c r="AI939" s="429"/>
    </row>
    <row r="940" spans="2:35">
      <c r="B940" t="s">
        <v>540</v>
      </c>
      <c r="C940" t="s">
        <v>116</v>
      </c>
      <c r="D940" t="s">
        <v>583</v>
      </c>
      <c r="E940" t="s">
        <v>665</v>
      </c>
      <c r="F940" s="705">
        <v>3</v>
      </c>
      <c r="G940" s="705">
        <v>599</v>
      </c>
      <c r="H940" s="705">
        <v>540</v>
      </c>
      <c r="I940" s="705">
        <v>54982</v>
      </c>
      <c r="J940" s="705">
        <v>49984</v>
      </c>
      <c r="K940" s="705">
        <v>89</v>
      </c>
      <c r="L940" s="705">
        <v>11602</v>
      </c>
      <c r="M940" s="705">
        <v>10547</v>
      </c>
      <c r="N940" s="705">
        <v>11595</v>
      </c>
      <c r="O940" s="705">
        <v>4295</v>
      </c>
      <c r="P940" s="705">
        <v>1863</v>
      </c>
      <c r="Q940" s="705">
        <v>690</v>
      </c>
      <c r="R940" s="705">
        <v>19918</v>
      </c>
      <c r="S940" s="705">
        <v>18107</v>
      </c>
      <c r="T940" s="705">
        <v>3911</v>
      </c>
      <c r="U940" s="705">
        <v>1449</v>
      </c>
      <c r="V940" s="705">
        <v>85071</v>
      </c>
      <c r="W940" s="705">
        <f t="shared" si="50"/>
        <v>85072</v>
      </c>
      <c r="X940" s="705">
        <f t="shared" si="51"/>
        <v>103871</v>
      </c>
      <c r="AI940" s="429"/>
    </row>
    <row r="941" spans="2:35">
      <c r="B941" t="s">
        <v>540</v>
      </c>
      <c r="C941" t="s">
        <v>116</v>
      </c>
      <c r="D941" t="s">
        <v>583</v>
      </c>
      <c r="E941" t="s">
        <v>673</v>
      </c>
      <c r="F941" s="705">
        <v>1</v>
      </c>
      <c r="G941" s="705">
        <v>155</v>
      </c>
      <c r="H941" s="705">
        <v>190</v>
      </c>
      <c r="I941" s="705">
        <v>24141</v>
      </c>
      <c r="J941" s="705">
        <v>21946</v>
      </c>
      <c r="K941" s="705">
        <v>79</v>
      </c>
      <c r="L941" s="705">
        <v>3095</v>
      </c>
      <c r="M941" s="705">
        <v>2814</v>
      </c>
      <c r="N941" s="705">
        <v>4521</v>
      </c>
      <c r="O941" s="705">
        <v>1674</v>
      </c>
      <c r="P941" s="705">
        <v>621</v>
      </c>
      <c r="Q941" s="705">
        <v>230</v>
      </c>
      <c r="R941" s="705">
        <v>8389</v>
      </c>
      <c r="S941" s="705">
        <v>7626</v>
      </c>
      <c r="T941" s="705">
        <v>0</v>
      </c>
      <c r="U941" s="705">
        <v>0</v>
      </c>
      <c r="V941" s="705">
        <v>34290</v>
      </c>
      <c r="W941" s="705">
        <f t="shared" si="50"/>
        <v>34290</v>
      </c>
      <c r="X941" s="705">
        <f t="shared" si="51"/>
        <v>40767</v>
      </c>
      <c r="AI941" s="429"/>
    </row>
    <row r="942" spans="2:35">
      <c r="B942" t="s">
        <v>540</v>
      </c>
      <c r="C942" t="s">
        <v>116</v>
      </c>
      <c r="D942" t="s">
        <v>666</v>
      </c>
      <c r="E942" t="s">
        <v>666</v>
      </c>
      <c r="F942" s="705">
        <v>1</v>
      </c>
      <c r="G942" s="705">
        <v>160</v>
      </c>
      <c r="H942" s="705">
        <v>222</v>
      </c>
      <c r="I942" s="705">
        <v>29475</v>
      </c>
      <c r="J942" s="705">
        <v>26795</v>
      </c>
      <c r="K942" s="705">
        <v>65</v>
      </c>
      <c r="L942" s="705">
        <v>0</v>
      </c>
      <c r="M942" s="705">
        <v>0</v>
      </c>
      <c r="N942" s="705">
        <v>2356</v>
      </c>
      <c r="O942" s="705">
        <v>873</v>
      </c>
      <c r="P942" s="705">
        <v>351</v>
      </c>
      <c r="Q942" s="705">
        <v>130</v>
      </c>
      <c r="R942" s="705">
        <v>3354</v>
      </c>
      <c r="S942" s="705">
        <v>3050</v>
      </c>
      <c r="T942" s="705">
        <v>0</v>
      </c>
      <c r="U942" s="705">
        <v>0</v>
      </c>
      <c r="V942" s="705">
        <v>30848</v>
      </c>
      <c r="W942" s="705">
        <f t="shared" si="50"/>
        <v>30848</v>
      </c>
      <c r="X942" s="705">
        <f t="shared" si="51"/>
        <v>35536</v>
      </c>
      <c r="AI942" s="429"/>
    </row>
    <row r="943" spans="2:35">
      <c r="B943" t="s">
        <v>540</v>
      </c>
      <c r="C943" t="s">
        <v>116</v>
      </c>
      <c r="D943" t="s">
        <v>584</v>
      </c>
      <c r="E943" t="s">
        <v>228</v>
      </c>
      <c r="F943" s="705">
        <v>1</v>
      </c>
      <c r="G943" s="705">
        <v>235</v>
      </c>
      <c r="H943" s="705">
        <v>198</v>
      </c>
      <c r="I943" s="705">
        <v>33163</v>
      </c>
      <c r="J943" s="705">
        <v>30148</v>
      </c>
      <c r="K943" s="705">
        <v>78</v>
      </c>
      <c r="L943" s="705">
        <v>4575</v>
      </c>
      <c r="M943" s="705">
        <v>4159</v>
      </c>
      <c r="N943" s="705">
        <v>3436</v>
      </c>
      <c r="O943" s="705">
        <v>1273</v>
      </c>
      <c r="P943" s="705">
        <v>473</v>
      </c>
      <c r="Q943" s="705">
        <v>175</v>
      </c>
      <c r="R943" s="705">
        <v>4912</v>
      </c>
      <c r="S943" s="705">
        <v>1819</v>
      </c>
      <c r="T943" s="705">
        <v>0</v>
      </c>
      <c r="U943" s="705">
        <v>0</v>
      </c>
      <c r="V943" s="705">
        <v>37574</v>
      </c>
      <c r="W943" s="705">
        <f t="shared" si="50"/>
        <v>37574</v>
      </c>
      <c r="X943" s="705">
        <f t="shared" si="51"/>
        <v>46559</v>
      </c>
      <c r="AI943" s="429"/>
    </row>
    <row r="944" spans="2:35">
      <c r="B944" t="s">
        <v>540</v>
      </c>
      <c r="C944" t="s">
        <v>116</v>
      </c>
      <c r="D944" t="s">
        <v>584</v>
      </c>
      <c r="E944" t="s">
        <v>583</v>
      </c>
      <c r="F944" s="705">
        <v>2</v>
      </c>
      <c r="G944" s="705">
        <v>294</v>
      </c>
      <c r="H944" s="705">
        <v>329</v>
      </c>
      <c r="I944" s="705">
        <v>25498</v>
      </c>
      <c r="J944" s="705">
        <v>23180</v>
      </c>
      <c r="K944" s="705">
        <v>83</v>
      </c>
      <c r="L944" s="705">
        <v>3096</v>
      </c>
      <c r="M944" s="705">
        <v>2670</v>
      </c>
      <c r="N944" s="705">
        <v>5646</v>
      </c>
      <c r="O944" s="705">
        <v>2091</v>
      </c>
      <c r="P944" s="705">
        <v>945</v>
      </c>
      <c r="Q944" s="705">
        <v>350</v>
      </c>
      <c r="R944" s="705">
        <v>9615</v>
      </c>
      <c r="S944" s="705">
        <v>8741</v>
      </c>
      <c r="T944" s="705">
        <v>3216</v>
      </c>
      <c r="U944" s="705">
        <v>1191</v>
      </c>
      <c r="V944" s="705">
        <v>38222</v>
      </c>
      <c r="W944" s="705">
        <f t="shared" si="50"/>
        <v>38223</v>
      </c>
      <c r="X944" s="705">
        <f t="shared" si="51"/>
        <v>48016</v>
      </c>
      <c r="AI944" s="429"/>
    </row>
    <row r="945" spans="2:35">
      <c r="B945" t="s">
        <v>540</v>
      </c>
      <c r="C945" t="s">
        <v>116</v>
      </c>
      <c r="D945" t="s">
        <v>584</v>
      </c>
      <c r="E945" t="s">
        <v>584</v>
      </c>
      <c r="F945" s="705">
        <v>433</v>
      </c>
      <c r="G945" s="705">
        <v>64472</v>
      </c>
      <c r="H945" s="705">
        <v>81446</v>
      </c>
      <c r="I945" s="705">
        <v>6458727</v>
      </c>
      <c r="J945" s="705">
        <v>5871570</v>
      </c>
      <c r="K945" s="705">
        <v>82</v>
      </c>
      <c r="L945" s="705">
        <v>1571618</v>
      </c>
      <c r="M945" s="705">
        <v>1384144</v>
      </c>
      <c r="N945" s="705">
        <v>1256815</v>
      </c>
      <c r="O945" s="705">
        <v>465487</v>
      </c>
      <c r="P945" s="705">
        <v>218758</v>
      </c>
      <c r="Q945" s="705">
        <v>81021</v>
      </c>
      <c r="R945" s="705">
        <v>2402190</v>
      </c>
      <c r="S945" s="705">
        <v>2183809</v>
      </c>
      <c r="T945" s="705">
        <v>241505</v>
      </c>
      <c r="U945" s="705">
        <v>89446</v>
      </c>
      <c r="V945" s="705">
        <v>10075478</v>
      </c>
      <c r="W945" s="705">
        <f t="shared" si="50"/>
        <v>10075477</v>
      </c>
      <c r="X945" s="705">
        <f t="shared" si="51"/>
        <v>12149613</v>
      </c>
      <c r="AI945" s="429"/>
    </row>
    <row r="946" spans="2:35">
      <c r="B946" t="s">
        <v>540</v>
      </c>
      <c r="C946" t="s">
        <v>116</v>
      </c>
      <c r="D946" t="s">
        <v>671</v>
      </c>
      <c r="E946" t="s">
        <v>583</v>
      </c>
      <c r="F946" s="705">
        <v>1</v>
      </c>
      <c r="G946" s="705">
        <v>207</v>
      </c>
      <c r="H946" s="705">
        <v>221</v>
      </c>
      <c r="I946" s="705">
        <v>30735</v>
      </c>
      <c r="J946" s="705">
        <v>27941</v>
      </c>
      <c r="K946" s="705">
        <v>65</v>
      </c>
      <c r="L946" s="705">
        <v>2810</v>
      </c>
      <c r="M946" s="705">
        <v>2554</v>
      </c>
      <c r="N946" s="705">
        <v>4037</v>
      </c>
      <c r="O946" s="705">
        <v>1495</v>
      </c>
      <c r="P946" s="705">
        <v>972</v>
      </c>
      <c r="Q946" s="705">
        <v>360</v>
      </c>
      <c r="R946" s="705">
        <v>7305</v>
      </c>
      <c r="S946" s="705">
        <v>6641</v>
      </c>
      <c r="T946" s="705">
        <v>0</v>
      </c>
      <c r="U946" s="705">
        <v>0</v>
      </c>
      <c r="V946" s="705">
        <v>38991</v>
      </c>
      <c r="W946" s="705">
        <f t="shared" si="50"/>
        <v>38991</v>
      </c>
      <c r="X946" s="705">
        <f t="shared" si="51"/>
        <v>45859</v>
      </c>
      <c r="AI946" s="429"/>
    </row>
    <row r="947" spans="2:35">
      <c r="B947" t="s">
        <v>540</v>
      </c>
      <c r="C947" t="s">
        <v>116</v>
      </c>
      <c r="D947" t="s">
        <v>671</v>
      </c>
      <c r="E947" t="s">
        <v>671</v>
      </c>
      <c r="F947" s="705">
        <v>8</v>
      </c>
      <c r="G947" s="705">
        <v>1762</v>
      </c>
      <c r="H947" s="705">
        <v>1566</v>
      </c>
      <c r="I947" s="705">
        <v>217768</v>
      </c>
      <c r="J947" s="705">
        <v>197971</v>
      </c>
      <c r="K947" s="705">
        <v>69</v>
      </c>
      <c r="L947" s="705">
        <v>21988</v>
      </c>
      <c r="M947" s="705">
        <v>19989</v>
      </c>
      <c r="N947" s="705">
        <v>28803</v>
      </c>
      <c r="O947" s="705">
        <v>10668</v>
      </c>
      <c r="P947" s="705">
        <v>4901</v>
      </c>
      <c r="Q947" s="705">
        <v>1815</v>
      </c>
      <c r="R947" s="705">
        <v>61747</v>
      </c>
      <c r="S947" s="705">
        <v>56133</v>
      </c>
      <c r="T947" s="705">
        <v>10131</v>
      </c>
      <c r="U947" s="705">
        <v>3752</v>
      </c>
      <c r="V947" s="705">
        <v>290328</v>
      </c>
      <c r="W947" s="705">
        <f t="shared" si="50"/>
        <v>290328</v>
      </c>
      <c r="X947" s="705">
        <f t="shared" si="51"/>
        <v>345338</v>
      </c>
      <c r="AI947" s="429"/>
    </row>
    <row r="948" spans="2:35">
      <c r="B948" t="s">
        <v>540</v>
      </c>
      <c r="C948" t="s">
        <v>116</v>
      </c>
      <c r="D948" t="s">
        <v>665</v>
      </c>
      <c r="E948" t="s">
        <v>228</v>
      </c>
      <c r="F948" s="705">
        <v>2</v>
      </c>
      <c r="G948" s="705">
        <v>248</v>
      </c>
      <c r="H948" s="705">
        <v>406</v>
      </c>
      <c r="I948" s="705">
        <v>32657</v>
      </c>
      <c r="J948" s="705">
        <v>29688</v>
      </c>
      <c r="K948" s="705">
        <v>68</v>
      </c>
      <c r="L948" s="705">
        <v>5731</v>
      </c>
      <c r="M948" s="705">
        <v>3602</v>
      </c>
      <c r="N948" s="705">
        <v>3656</v>
      </c>
      <c r="O948" s="705">
        <v>1354</v>
      </c>
      <c r="P948" s="705">
        <v>1157</v>
      </c>
      <c r="Q948" s="705">
        <v>428</v>
      </c>
      <c r="R948" s="705">
        <v>14818</v>
      </c>
      <c r="S948" s="705">
        <v>5488</v>
      </c>
      <c r="T948" s="705">
        <v>0</v>
      </c>
      <c r="U948" s="705">
        <v>0</v>
      </c>
      <c r="V948" s="705">
        <v>40560</v>
      </c>
      <c r="W948" s="705">
        <f t="shared" si="50"/>
        <v>40560</v>
      </c>
      <c r="X948" s="705">
        <f t="shared" si="51"/>
        <v>58019</v>
      </c>
      <c r="AI948" s="429"/>
    </row>
    <row r="949" spans="2:35">
      <c r="B949" t="s">
        <v>540</v>
      </c>
      <c r="C949" t="s">
        <v>116</v>
      </c>
      <c r="D949" t="s">
        <v>665</v>
      </c>
      <c r="E949" t="s">
        <v>669</v>
      </c>
      <c r="F949" s="705">
        <v>1</v>
      </c>
      <c r="G949" s="705">
        <v>224</v>
      </c>
      <c r="H949" s="705">
        <v>200</v>
      </c>
      <c r="I949" s="705">
        <v>28270</v>
      </c>
      <c r="J949" s="705">
        <v>25700</v>
      </c>
      <c r="K949" s="705">
        <v>65</v>
      </c>
      <c r="L949" s="705">
        <v>3712</v>
      </c>
      <c r="M949" s="705">
        <v>3375</v>
      </c>
      <c r="N949" s="705">
        <v>4097</v>
      </c>
      <c r="O949" s="705">
        <v>1517</v>
      </c>
      <c r="P949" s="705">
        <v>473</v>
      </c>
      <c r="Q949" s="705">
        <v>175</v>
      </c>
      <c r="R949" s="705">
        <v>5130</v>
      </c>
      <c r="S949" s="705">
        <v>4275</v>
      </c>
      <c r="T949" s="705">
        <v>3152</v>
      </c>
      <c r="U949" s="705">
        <v>1167</v>
      </c>
      <c r="V949" s="705">
        <v>36210</v>
      </c>
      <c r="W949" s="705">
        <f t="shared" si="50"/>
        <v>36209</v>
      </c>
      <c r="X949" s="705">
        <f t="shared" si="51"/>
        <v>44834</v>
      </c>
      <c r="AI949" s="429"/>
    </row>
    <row r="950" spans="2:35">
      <c r="B950" t="s">
        <v>540</v>
      </c>
      <c r="C950" t="s">
        <v>116</v>
      </c>
      <c r="D950" t="s">
        <v>665</v>
      </c>
      <c r="E950" t="s">
        <v>665</v>
      </c>
      <c r="F950" s="705">
        <v>20</v>
      </c>
      <c r="G950" s="705">
        <v>3991</v>
      </c>
      <c r="H950" s="705">
        <v>4015</v>
      </c>
      <c r="I950" s="705">
        <v>531841</v>
      </c>
      <c r="J950" s="705">
        <v>483492</v>
      </c>
      <c r="K950" s="705">
        <v>68</v>
      </c>
      <c r="L950" s="705">
        <v>65363</v>
      </c>
      <c r="M950" s="705">
        <v>58566</v>
      </c>
      <c r="N950" s="705">
        <v>80365</v>
      </c>
      <c r="O950" s="705">
        <v>29765</v>
      </c>
      <c r="P950" s="705">
        <v>12986</v>
      </c>
      <c r="Q950" s="705">
        <v>4810</v>
      </c>
      <c r="R950" s="705">
        <v>139113</v>
      </c>
      <c r="S950" s="705">
        <v>126466</v>
      </c>
      <c r="T950" s="705">
        <v>35430</v>
      </c>
      <c r="U950" s="705">
        <v>13122</v>
      </c>
      <c r="V950" s="705">
        <v>716221</v>
      </c>
      <c r="W950" s="705">
        <f t="shared" si="50"/>
        <v>716221</v>
      </c>
      <c r="X950" s="705">
        <f t="shared" si="51"/>
        <v>865098</v>
      </c>
      <c r="AI950" s="429"/>
    </row>
    <row r="951" spans="2:35">
      <c r="B951" t="s">
        <v>540</v>
      </c>
      <c r="C951" t="s">
        <v>116</v>
      </c>
      <c r="D951" t="s">
        <v>722</v>
      </c>
      <c r="E951" t="s">
        <v>722</v>
      </c>
      <c r="F951" s="705">
        <v>1</v>
      </c>
      <c r="G951" s="705">
        <v>420</v>
      </c>
      <c r="H951" s="705">
        <v>152</v>
      </c>
      <c r="I951" s="705">
        <v>40115</v>
      </c>
      <c r="J951" s="705">
        <v>36468</v>
      </c>
      <c r="K951" s="705">
        <v>65</v>
      </c>
      <c r="L951" s="705">
        <v>7243</v>
      </c>
      <c r="M951" s="705">
        <v>6585</v>
      </c>
      <c r="N951" s="705">
        <v>8197</v>
      </c>
      <c r="O951" s="705">
        <v>3036</v>
      </c>
      <c r="P951" s="705">
        <v>351</v>
      </c>
      <c r="Q951" s="705">
        <v>130</v>
      </c>
      <c r="R951" s="705">
        <v>7827</v>
      </c>
      <c r="S951" s="705">
        <v>7115</v>
      </c>
      <c r="T951" s="705">
        <v>0</v>
      </c>
      <c r="U951" s="705">
        <v>0</v>
      </c>
      <c r="V951" s="705">
        <v>53334</v>
      </c>
      <c r="W951" s="705">
        <f t="shared" si="50"/>
        <v>53334</v>
      </c>
      <c r="X951" s="705">
        <f t="shared" si="51"/>
        <v>63733</v>
      </c>
      <c r="AI951" s="429"/>
    </row>
    <row r="952" spans="2:35">
      <c r="B952" t="s">
        <v>540</v>
      </c>
      <c r="C952" t="s">
        <v>116</v>
      </c>
      <c r="D952" t="s">
        <v>673</v>
      </c>
      <c r="E952" t="s">
        <v>673</v>
      </c>
      <c r="F952" s="705">
        <v>1</v>
      </c>
      <c r="G952" s="705">
        <v>302</v>
      </c>
      <c r="H952" s="705">
        <v>171</v>
      </c>
      <c r="I952" s="705">
        <v>37221</v>
      </c>
      <c r="J952" s="705">
        <v>33837</v>
      </c>
      <c r="K952" s="705">
        <v>60</v>
      </c>
      <c r="L952" s="705">
        <v>4136</v>
      </c>
      <c r="M952" s="705">
        <v>3760</v>
      </c>
      <c r="N952" s="705">
        <v>3674</v>
      </c>
      <c r="O952" s="705">
        <v>1361</v>
      </c>
      <c r="P952" s="705">
        <v>351</v>
      </c>
      <c r="Q952" s="705">
        <v>130</v>
      </c>
      <c r="R952" s="705">
        <v>6241</v>
      </c>
      <c r="S952" s="705">
        <v>5674</v>
      </c>
      <c r="T952" s="705">
        <v>0</v>
      </c>
      <c r="U952" s="705">
        <v>0</v>
      </c>
      <c r="V952" s="705">
        <v>44761</v>
      </c>
      <c r="W952" s="705">
        <f t="shared" si="50"/>
        <v>44762</v>
      </c>
      <c r="X952" s="705">
        <f t="shared" si="51"/>
        <v>51623</v>
      </c>
      <c r="AI952" s="429"/>
    </row>
    <row r="953" spans="2:35">
      <c r="B953" t="s">
        <v>540</v>
      </c>
      <c r="C953" t="s">
        <v>116</v>
      </c>
      <c r="D953" t="s">
        <v>585</v>
      </c>
      <c r="E953" t="s">
        <v>585</v>
      </c>
      <c r="F953" s="705">
        <v>22</v>
      </c>
      <c r="G953" s="705">
        <v>4947</v>
      </c>
      <c r="H953" s="705">
        <v>4010</v>
      </c>
      <c r="I953" s="705">
        <v>557683</v>
      </c>
      <c r="J953" s="705">
        <v>506984</v>
      </c>
      <c r="K953" s="705">
        <v>72</v>
      </c>
      <c r="L953" s="705">
        <v>83974</v>
      </c>
      <c r="M953" s="705">
        <v>76340</v>
      </c>
      <c r="N953" s="705">
        <v>100773</v>
      </c>
      <c r="O953" s="705">
        <v>37323</v>
      </c>
      <c r="P953" s="705">
        <v>18767</v>
      </c>
      <c r="Q953" s="705">
        <v>6951</v>
      </c>
      <c r="R953" s="705">
        <v>150221</v>
      </c>
      <c r="S953" s="705">
        <v>136565</v>
      </c>
      <c r="T953" s="705">
        <v>7800</v>
      </c>
      <c r="U953" s="705">
        <v>2889</v>
      </c>
      <c r="V953" s="705">
        <v>767052</v>
      </c>
      <c r="W953" s="705">
        <f t="shared" si="50"/>
        <v>767052</v>
      </c>
      <c r="X953" s="705">
        <f t="shared" si="51"/>
        <v>919218</v>
      </c>
      <c r="AI953" s="429"/>
    </row>
    <row r="954" spans="2:35">
      <c r="B954" t="s">
        <v>540</v>
      </c>
      <c r="C954" t="s">
        <v>116</v>
      </c>
      <c r="D954" t="s">
        <v>585</v>
      </c>
      <c r="E954" t="s">
        <v>668</v>
      </c>
      <c r="F954" s="705">
        <v>1</v>
      </c>
      <c r="G954" s="705">
        <v>209</v>
      </c>
      <c r="H954" s="705">
        <v>205</v>
      </c>
      <c r="I954" s="705">
        <v>29279</v>
      </c>
      <c r="J954" s="705">
        <v>26617</v>
      </c>
      <c r="K954" s="705">
        <v>75</v>
      </c>
      <c r="L954" s="705">
        <v>4066</v>
      </c>
      <c r="M954" s="705">
        <v>3697</v>
      </c>
      <c r="N954" s="705">
        <v>3359</v>
      </c>
      <c r="O954" s="705">
        <v>1244</v>
      </c>
      <c r="P954" s="705">
        <v>351</v>
      </c>
      <c r="Q954" s="705">
        <v>130</v>
      </c>
      <c r="R954" s="705">
        <v>5726</v>
      </c>
      <c r="S954" s="705">
        <v>5206</v>
      </c>
      <c r="T954" s="705">
        <v>0</v>
      </c>
      <c r="U954" s="705">
        <v>0</v>
      </c>
      <c r="V954" s="705">
        <v>36894</v>
      </c>
      <c r="W954" s="705">
        <f t="shared" si="50"/>
        <v>36894</v>
      </c>
      <c r="X954" s="705">
        <f t="shared" si="51"/>
        <v>42781</v>
      </c>
      <c r="AI954" s="429"/>
    </row>
    <row r="955" spans="2:35">
      <c r="B955" t="s">
        <v>540</v>
      </c>
      <c r="C955" t="s">
        <v>116</v>
      </c>
      <c r="D955" t="s">
        <v>668</v>
      </c>
      <c r="E955" t="s">
        <v>668</v>
      </c>
      <c r="F955" s="705">
        <v>1</v>
      </c>
      <c r="G955" s="705">
        <v>125</v>
      </c>
      <c r="H955" s="705">
        <v>222</v>
      </c>
      <c r="I955" s="705">
        <v>14799</v>
      </c>
      <c r="J955" s="705">
        <v>13453</v>
      </c>
      <c r="K955" s="705">
        <v>83</v>
      </c>
      <c r="L955" s="705">
        <v>4560</v>
      </c>
      <c r="M955" s="705">
        <v>4146</v>
      </c>
      <c r="N955" s="705">
        <v>2195</v>
      </c>
      <c r="O955" s="705">
        <v>813</v>
      </c>
      <c r="P955" s="705">
        <v>621</v>
      </c>
      <c r="Q955" s="705">
        <v>230</v>
      </c>
      <c r="R955" s="705">
        <v>5527</v>
      </c>
      <c r="S955" s="705">
        <v>5025</v>
      </c>
      <c r="T955" s="705">
        <v>0</v>
      </c>
      <c r="U955" s="705">
        <v>0</v>
      </c>
      <c r="V955" s="705">
        <v>23667</v>
      </c>
      <c r="W955" s="705">
        <f t="shared" si="50"/>
        <v>23667</v>
      </c>
      <c r="X955" s="705">
        <f t="shared" si="51"/>
        <v>27702</v>
      </c>
      <c r="AI955" s="429"/>
    </row>
    <row r="956" spans="2:35">
      <c r="B956" t="s">
        <v>540</v>
      </c>
      <c r="C956" t="s">
        <v>118</v>
      </c>
      <c r="F956" s="705">
        <v>5</v>
      </c>
      <c r="G956" s="705">
        <v>665</v>
      </c>
      <c r="H956" s="705">
        <v>1286</v>
      </c>
      <c r="I956" s="705"/>
      <c r="J956" s="705">
        <v>0</v>
      </c>
      <c r="K956" s="705"/>
      <c r="L956" s="705"/>
      <c r="M956" s="705">
        <v>0</v>
      </c>
      <c r="N956" s="705">
        <v>11942</v>
      </c>
      <c r="O956" s="705">
        <v>4423</v>
      </c>
      <c r="P956" s="705">
        <v>2484</v>
      </c>
      <c r="Q956" s="705">
        <v>920</v>
      </c>
      <c r="R956" s="705"/>
      <c r="S956" s="705">
        <v>0</v>
      </c>
      <c r="T956" s="705">
        <v>6073</v>
      </c>
      <c r="U956" s="705">
        <v>2249</v>
      </c>
      <c r="V956" s="705">
        <v>7592</v>
      </c>
      <c r="W956" s="705">
        <f t="shared" si="50"/>
        <v>7592</v>
      </c>
      <c r="X956" s="705">
        <f t="shared" si="51"/>
        <v>20499</v>
      </c>
      <c r="AI956" s="429"/>
    </row>
    <row r="957" spans="2:35">
      <c r="B957" t="s">
        <v>540</v>
      </c>
      <c r="C957" t="s">
        <v>118</v>
      </c>
      <c r="D957" t="s">
        <v>664</v>
      </c>
      <c r="E957" t="s">
        <v>664</v>
      </c>
      <c r="F957" s="705">
        <v>16</v>
      </c>
      <c r="G957" s="705">
        <v>2316</v>
      </c>
      <c r="H957" s="705">
        <v>4150</v>
      </c>
      <c r="I957" s="705">
        <v>376796</v>
      </c>
      <c r="J957" s="705">
        <v>342542</v>
      </c>
      <c r="K957" s="705">
        <v>82</v>
      </c>
      <c r="L957" s="705">
        <v>80763</v>
      </c>
      <c r="M957" s="705">
        <v>73421</v>
      </c>
      <c r="N957" s="705">
        <v>44123</v>
      </c>
      <c r="O957" s="705">
        <v>16342</v>
      </c>
      <c r="P957" s="705">
        <v>10490</v>
      </c>
      <c r="Q957" s="705">
        <v>3885</v>
      </c>
      <c r="R957" s="705">
        <v>84721</v>
      </c>
      <c r="S957" s="705">
        <v>77019</v>
      </c>
      <c r="T957" s="705">
        <v>13233</v>
      </c>
      <c r="U957" s="705">
        <v>4901</v>
      </c>
      <c r="V957" s="705">
        <v>518110</v>
      </c>
      <c r="W957" s="705">
        <f t="shared" si="50"/>
        <v>518110</v>
      </c>
      <c r="X957" s="705">
        <f t="shared" si="51"/>
        <v>610126</v>
      </c>
      <c r="AI957" s="429"/>
    </row>
    <row r="958" spans="2:35">
      <c r="B958" t="s">
        <v>540</v>
      </c>
      <c r="C958" t="s">
        <v>118</v>
      </c>
      <c r="D958" t="s">
        <v>664</v>
      </c>
      <c r="E958" t="s">
        <v>583</v>
      </c>
      <c r="F958" s="705">
        <v>1</v>
      </c>
      <c r="G958" s="705">
        <v>167</v>
      </c>
      <c r="H958" s="705">
        <v>289</v>
      </c>
      <c r="I958" s="705">
        <v>27665</v>
      </c>
      <c r="J958" s="705">
        <v>25150</v>
      </c>
      <c r="K958" s="705">
        <v>65</v>
      </c>
      <c r="L958" s="705">
        <v>6908</v>
      </c>
      <c r="M958" s="705">
        <v>5757</v>
      </c>
      <c r="N958" s="705">
        <v>2985</v>
      </c>
      <c r="O958" s="705">
        <v>1106</v>
      </c>
      <c r="P958" s="705">
        <v>621</v>
      </c>
      <c r="Q958" s="705">
        <v>230</v>
      </c>
      <c r="R958" s="705">
        <v>6336</v>
      </c>
      <c r="S958" s="705">
        <v>5760</v>
      </c>
      <c r="T958" s="705">
        <v>3643</v>
      </c>
      <c r="U958" s="705">
        <v>1349</v>
      </c>
      <c r="V958" s="705">
        <v>39351</v>
      </c>
      <c r="W958" s="705">
        <f t="shared" si="50"/>
        <v>39352</v>
      </c>
      <c r="X958" s="705">
        <f t="shared" si="51"/>
        <v>48158</v>
      </c>
      <c r="AI958" s="429"/>
    </row>
    <row r="959" spans="2:35">
      <c r="B959" t="s">
        <v>540</v>
      </c>
      <c r="C959" t="s">
        <v>118</v>
      </c>
      <c r="D959" t="s">
        <v>582</v>
      </c>
      <c r="E959" t="s">
        <v>664</v>
      </c>
      <c r="F959" s="705">
        <v>2</v>
      </c>
      <c r="G959" s="705">
        <v>287</v>
      </c>
      <c r="H959" s="705">
        <v>520</v>
      </c>
      <c r="I959" s="705">
        <v>45491</v>
      </c>
      <c r="J959" s="705">
        <v>41355</v>
      </c>
      <c r="K959" s="705">
        <v>82</v>
      </c>
      <c r="L959" s="705">
        <v>8890</v>
      </c>
      <c r="M959" s="705">
        <v>8082</v>
      </c>
      <c r="N959" s="705">
        <v>6044</v>
      </c>
      <c r="O959" s="705">
        <v>2238</v>
      </c>
      <c r="P959" s="705">
        <v>945</v>
      </c>
      <c r="Q959" s="705">
        <v>350</v>
      </c>
      <c r="R959" s="705">
        <v>13399</v>
      </c>
      <c r="S959" s="705">
        <v>12181</v>
      </c>
      <c r="T959" s="705">
        <v>0</v>
      </c>
      <c r="U959" s="705">
        <v>0</v>
      </c>
      <c r="V959" s="705">
        <v>64207</v>
      </c>
      <c r="W959" s="705">
        <f t="shared" si="50"/>
        <v>64206</v>
      </c>
      <c r="X959" s="705">
        <f t="shared" si="51"/>
        <v>74769</v>
      </c>
      <c r="AI959" s="429"/>
    </row>
    <row r="960" spans="2:35">
      <c r="B960" t="s">
        <v>540</v>
      </c>
      <c r="C960" t="s">
        <v>118</v>
      </c>
      <c r="D960" t="s">
        <v>582</v>
      </c>
      <c r="E960" t="s">
        <v>582</v>
      </c>
      <c r="F960" s="705">
        <v>85</v>
      </c>
      <c r="G960" s="705">
        <v>10858</v>
      </c>
      <c r="H960" s="705">
        <v>21569</v>
      </c>
      <c r="I960" s="705">
        <v>1634770</v>
      </c>
      <c r="J960" s="705">
        <v>1486155</v>
      </c>
      <c r="K960" s="705">
        <v>79</v>
      </c>
      <c r="L960" s="705">
        <v>355937</v>
      </c>
      <c r="M960" s="705">
        <v>322065</v>
      </c>
      <c r="N960" s="705">
        <v>233462</v>
      </c>
      <c r="O960" s="705">
        <v>86467</v>
      </c>
      <c r="P960" s="705">
        <v>42012</v>
      </c>
      <c r="Q960" s="705">
        <v>15560</v>
      </c>
      <c r="R960" s="705">
        <v>449846</v>
      </c>
      <c r="S960" s="705">
        <v>408951</v>
      </c>
      <c r="T960" s="705">
        <v>105874</v>
      </c>
      <c r="U960" s="705">
        <v>39212</v>
      </c>
      <c r="V960" s="705">
        <v>2358410</v>
      </c>
      <c r="W960" s="705">
        <f t="shared" si="50"/>
        <v>2358410</v>
      </c>
      <c r="X960" s="705">
        <f t="shared" si="51"/>
        <v>2821901</v>
      </c>
      <c r="AI960" s="429"/>
    </row>
    <row r="961" spans="2:35">
      <c r="B961" t="s">
        <v>540</v>
      </c>
      <c r="C961" t="s">
        <v>118</v>
      </c>
      <c r="D961" t="s">
        <v>228</v>
      </c>
      <c r="E961" t="s">
        <v>228</v>
      </c>
      <c r="F961" s="705">
        <v>137</v>
      </c>
      <c r="G961" s="705">
        <v>20673</v>
      </c>
      <c r="H961" s="705">
        <v>36846</v>
      </c>
      <c r="I961" s="705">
        <v>3571947</v>
      </c>
      <c r="J961" s="705">
        <v>1322943</v>
      </c>
      <c r="K961" s="705">
        <v>110</v>
      </c>
      <c r="L961" s="705">
        <v>516099</v>
      </c>
      <c r="M961" s="705">
        <v>356027</v>
      </c>
      <c r="N961" s="705">
        <v>456727</v>
      </c>
      <c r="O961" s="705">
        <v>169158</v>
      </c>
      <c r="P961" s="705">
        <v>13943</v>
      </c>
      <c r="Q961" s="705">
        <v>5164</v>
      </c>
      <c r="R961" s="705">
        <v>1160734</v>
      </c>
      <c r="S961" s="705">
        <v>429902</v>
      </c>
      <c r="T961" s="705">
        <v>4223</v>
      </c>
      <c r="U961" s="705">
        <v>1564</v>
      </c>
      <c r="V961" s="705">
        <v>2284758</v>
      </c>
      <c r="W961" s="705">
        <f t="shared" si="50"/>
        <v>2284758</v>
      </c>
      <c r="X961" s="705">
        <f t="shared" si="51"/>
        <v>5723673</v>
      </c>
      <c r="AI961" s="429"/>
    </row>
    <row r="962" spans="2:35">
      <c r="B962" t="s">
        <v>540</v>
      </c>
      <c r="C962" t="s">
        <v>118</v>
      </c>
      <c r="D962" t="s">
        <v>583</v>
      </c>
      <c r="E962" t="s">
        <v>664</v>
      </c>
      <c r="F962" s="705">
        <v>2</v>
      </c>
      <c r="G962" s="705">
        <v>224</v>
      </c>
      <c r="H962" s="705">
        <v>524</v>
      </c>
      <c r="I962" s="705">
        <v>40443</v>
      </c>
      <c r="J962" s="705">
        <v>36766</v>
      </c>
      <c r="K962" s="705">
        <v>75</v>
      </c>
      <c r="L962" s="705">
        <v>10634</v>
      </c>
      <c r="M962" s="705">
        <v>9667</v>
      </c>
      <c r="N962" s="705">
        <v>6097</v>
      </c>
      <c r="O962" s="705">
        <v>2258</v>
      </c>
      <c r="P962" s="705">
        <v>1242</v>
      </c>
      <c r="Q962" s="705">
        <v>460</v>
      </c>
      <c r="R962" s="705">
        <v>13844</v>
      </c>
      <c r="S962" s="705">
        <v>12585</v>
      </c>
      <c r="T962" s="705">
        <v>3691</v>
      </c>
      <c r="U962" s="705">
        <v>1367</v>
      </c>
      <c r="V962" s="705">
        <v>63104</v>
      </c>
      <c r="W962" s="705">
        <f t="shared" si="50"/>
        <v>63103</v>
      </c>
      <c r="X962" s="705">
        <f t="shared" si="51"/>
        <v>75951</v>
      </c>
      <c r="AI962" s="429"/>
    </row>
    <row r="963" spans="2:35">
      <c r="B963" t="s">
        <v>540</v>
      </c>
      <c r="C963" t="s">
        <v>118</v>
      </c>
      <c r="D963" t="s">
        <v>583</v>
      </c>
      <c r="E963" t="s">
        <v>228</v>
      </c>
      <c r="F963" s="705">
        <v>17</v>
      </c>
      <c r="G963" s="705">
        <v>2483</v>
      </c>
      <c r="H963" s="705">
        <v>4423</v>
      </c>
      <c r="I963" s="705">
        <v>359299</v>
      </c>
      <c r="J963" s="705">
        <v>326636</v>
      </c>
      <c r="K963" s="705">
        <v>81</v>
      </c>
      <c r="L963" s="705">
        <v>89848</v>
      </c>
      <c r="M963" s="705">
        <v>77145</v>
      </c>
      <c r="N963" s="705">
        <v>54404</v>
      </c>
      <c r="O963" s="705">
        <v>20149</v>
      </c>
      <c r="P963" s="705">
        <v>10908</v>
      </c>
      <c r="Q963" s="705">
        <v>4040</v>
      </c>
      <c r="R963" s="705">
        <v>149895</v>
      </c>
      <c r="S963" s="705">
        <v>55517</v>
      </c>
      <c r="T963" s="705">
        <v>0</v>
      </c>
      <c r="U963" s="705">
        <v>0</v>
      </c>
      <c r="V963" s="705">
        <v>483487</v>
      </c>
      <c r="W963" s="705">
        <f t="shared" si="50"/>
        <v>483487</v>
      </c>
      <c r="X963" s="705">
        <f t="shared" si="51"/>
        <v>664354</v>
      </c>
      <c r="AI963" s="429"/>
    </row>
    <row r="964" spans="2:35">
      <c r="B964" t="s">
        <v>540</v>
      </c>
      <c r="C964" t="s">
        <v>118</v>
      </c>
      <c r="D964" t="s">
        <v>583</v>
      </c>
      <c r="E964" t="s">
        <v>583</v>
      </c>
      <c r="F964" s="705">
        <v>4342</v>
      </c>
      <c r="G964" s="705">
        <v>569958</v>
      </c>
      <c r="H964" s="705">
        <v>1124583</v>
      </c>
      <c r="I964" s="705">
        <v>87935958</v>
      </c>
      <c r="J964" s="705">
        <v>79941780</v>
      </c>
      <c r="K964" s="705">
        <v>79</v>
      </c>
      <c r="L964" s="705">
        <v>17603275</v>
      </c>
      <c r="M964" s="705">
        <v>15647712</v>
      </c>
      <c r="N964" s="705">
        <v>11770989</v>
      </c>
      <c r="O964" s="705">
        <v>4359626</v>
      </c>
      <c r="P964" s="705">
        <v>2897168</v>
      </c>
      <c r="Q964" s="705">
        <v>1073025</v>
      </c>
      <c r="R964" s="705">
        <v>23371225</v>
      </c>
      <c r="S964" s="705">
        <v>21246568</v>
      </c>
      <c r="T964" s="705">
        <v>6892469</v>
      </c>
      <c r="U964" s="705">
        <v>2552766</v>
      </c>
      <c r="V964" s="705">
        <v>124821478</v>
      </c>
      <c r="W964" s="705">
        <f t="shared" si="50"/>
        <v>124821477</v>
      </c>
      <c r="X964" s="705">
        <f t="shared" si="51"/>
        <v>150471084</v>
      </c>
      <c r="AI964" s="429"/>
    </row>
    <row r="965" spans="2:35">
      <c r="B965" t="s">
        <v>540</v>
      </c>
      <c r="C965" t="s">
        <v>118</v>
      </c>
      <c r="D965" t="s">
        <v>583</v>
      </c>
      <c r="E965" t="s">
        <v>666</v>
      </c>
      <c r="F965" s="705">
        <v>1</v>
      </c>
      <c r="G965" s="705">
        <v>95</v>
      </c>
      <c r="H965" s="705">
        <v>227</v>
      </c>
      <c r="I965" s="705">
        <v>12660</v>
      </c>
      <c r="J965" s="705">
        <v>11509</v>
      </c>
      <c r="K965" s="705">
        <v>94</v>
      </c>
      <c r="L965" s="705">
        <v>2199</v>
      </c>
      <c r="M965" s="705">
        <v>1999</v>
      </c>
      <c r="N965" s="705">
        <v>2319</v>
      </c>
      <c r="O965" s="705">
        <v>859</v>
      </c>
      <c r="P965" s="705">
        <v>621</v>
      </c>
      <c r="Q965" s="705">
        <v>230</v>
      </c>
      <c r="R965" s="705">
        <v>3829</v>
      </c>
      <c r="S965" s="705">
        <v>3481</v>
      </c>
      <c r="T965" s="705">
        <v>0</v>
      </c>
      <c r="U965" s="705">
        <v>0</v>
      </c>
      <c r="V965" s="705">
        <v>18078</v>
      </c>
      <c r="W965" s="705">
        <f t="shared" si="50"/>
        <v>18078</v>
      </c>
      <c r="X965" s="705">
        <f t="shared" si="51"/>
        <v>21628</v>
      </c>
      <c r="AI965" s="429"/>
    </row>
    <row r="966" spans="2:35">
      <c r="B966" t="s">
        <v>540</v>
      </c>
      <c r="C966" t="s">
        <v>118</v>
      </c>
      <c r="D966" t="s">
        <v>583</v>
      </c>
      <c r="E966" t="s">
        <v>671</v>
      </c>
      <c r="F966" s="705">
        <v>7</v>
      </c>
      <c r="G966" s="705">
        <v>899</v>
      </c>
      <c r="H966" s="705">
        <v>1853</v>
      </c>
      <c r="I966" s="705">
        <v>126422</v>
      </c>
      <c r="J966" s="705">
        <v>114929</v>
      </c>
      <c r="K966" s="705">
        <v>81</v>
      </c>
      <c r="L966" s="705">
        <v>26713</v>
      </c>
      <c r="M966" s="705">
        <v>24284</v>
      </c>
      <c r="N966" s="705">
        <v>19040</v>
      </c>
      <c r="O966" s="705">
        <v>7052</v>
      </c>
      <c r="P966" s="705">
        <v>4698</v>
      </c>
      <c r="Q966" s="705">
        <v>1740</v>
      </c>
      <c r="R966" s="705">
        <v>47879</v>
      </c>
      <c r="S966" s="705">
        <v>43527</v>
      </c>
      <c r="T966" s="705">
        <v>13210</v>
      </c>
      <c r="U966" s="705">
        <v>4893</v>
      </c>
      <c r="V966" s="705">
        <v>196425</v>
      </c>
      <c r="W966" s="705">
        <f t="shared" si="50"/>
        <v>196425</v>
      </c>
      <c r="X966" s="705">
        <f t="shared" si="51"/>
        <v>237962</v>
      </c>
      <c r="AI966" s="429"/>
    </row>
    <row r="967" spans="2:35">
      <c r="B967" t="s">
        <v>540</v>
      </c>
      <c r="C967" t="s">
        <v>118</v>
      </c>
      <c r="D967" t="s">
        <v>583</v>
      </c>
      <c r="E967" t="s">
        <v>665</v>
      </c>
      <c r="F967" s="705">
        <v>7</v>
      </c>
      <c r="G967" s="705">
        <v>862</v>
      </c>
      <c r="H967" s="705">
        <v>1936</v>
      </c>
      <c r="I967" s="705">
        <v>130997</v>
      </c>
      <c r="J967" s="705">
        <v>119089</v>
      </c>
      <c r="K967" s="705">
        <v>76</v>
      </c>
      <c r="L967" s="705">
        <v>28114</v>
      </c>
      <c r="M967" s="705">
        <v>25558</v>
      </c>
      <c r="N967" s="705">
        <v>18058</v>
      </c>
      <c r="O967" s="705">
        <v>6688</v>
      </c>
      <c r="P967" s="705">
        <v>4347</v>
      </c>
      <c r="Q967" s="705">
        <v>1610</v>
      </c>
      <c r="R967" s="705">
        <v>42190</v>
      </c>
      <c r="S967" s="705">
        <v>38355</v>
      </c>
      <c r="T967" s="705">
        <v>14296</v>
      </c>
      <c r="U967" s="705">
        <v>5295</v>
      </c>
      <c r="V967" s="705">
        <v>196594</v>
      </c>
      <c r="W967" s="705">
        <f t="shared" ref="W967:W1030" si="52">SUM(ABS(J967),ABS(M967),ABS(O967),ABS(Q967),ABS(S967),ABS(U967))</f>
        <v>196595</v>
      </c>
      <c r="X967" s="705">
        <f t="shared" ref="X967:X1030" si="53">SUM(ABS(I967),ABS(N967),ABS(P967),ABS(R967),ABS(T967),ABS(L967))</f>
        <v>238002</v>
      </c>
      <c r="AI967" s="429"/>
    </row>
    <row r="968" spans="2:35">
      <c r="B968" t="s">
        <v>540</v>
      </c>
      <c r="C968" t="s">
        <v>118</v>
      </c>
      <c r="D968" t="s">
        <v>666</v>
      </c>
      <c r="E968" t="s">
        <v>666</v>
      </c>
      <c r="F968" s="705">
        <v>5</v>
      </c>
      <c r="G968" s="705">
        <v>883</v>
      </c>
      <c r="H968" s="705">
        <v>1318</v>
      </c>
      <c r="I968" s="705">
        <v>145831</v>
      </c>
      <c r="J968" s="705">
        <v>132574</v>
      </c>
      <c r="K968" s="705">
        <v>57</v>
      </c>
      <c r="L968" s="705">
        <v>19714</v>
      </c>
      <c r="M968" s="705">
        <v>17922</v>
      </c>
      <c r="N968" s="705">
        <v>16790</v>
      </c>
      <c r="O968" s="705">
        <v>6219</v>
      </c>
      <c r="P968" s="705">
        <v>2729</v>
      </c>
      <c r="Q968" s="705">
        <v>1011</v>
      </c>
      <c r="R968" s="705">
        <v>40658</v>
      </c>
      <c r="S968" s="705">
        <v>36962</v>
      </c>
      <c r="T968" s="705">
        <v>6115</v>
      </c>
      <c r="U968" s="705">
        <v>2265</v>
      </c>
      <c r="V968" s="705">
        <v>196952</v>
      </c>
      <c r="W968" s="705">
        <f t="shared" si="52"/>
        <v>196953</v>
      </c>
      <c r="X968" s="705">
        <f t="shared" si="53"/>
        <v>231837</v>
      </c>
      <c r="AI968" s="429"/>
    </row>
    <row r="969" spans="2:35">
      <c r="B969" t="s">
        <v>540</v>
      </c>
      <c r="C969" t="s">
        <v>118</v>
      </c>
      <c r="D969" t="s">
        <v>584</v>
      </c>
      <c r="E969" t="s">
        <v>584</v>
      </c>
      <c r="F969" s="705">
        <v>63</v>
      </c>
      <c r="G969" s="705">
        <v>7970</v>
      </c>
      <c r="H969" s="705">
        <v>15682</v>
      </c>
      <c r="I969" s="705">
        <v>1110627</v>
      </c>
      <c r="J969" s="705">
        <v>1009661</v>
      </c>
      <c r="K969" s="705">
        <v>79</v>
      </c>
      <c r="L969" s="705">
        <v>298889</v>
      </c>
      <c r="M969" s="705">
        <v>265798</v>
      </c>
      <c r="N969" s="705">
        <v>159949</v>
      </c>
      <c r="O969" s="705">
        <v>59240</v>
      </c>
      <c r="P969" s="705">
        <v>31644</v>
      </c>
      <c r="Q969" s="705">
        <v>11720</v>
      </c>
      <c r="R969" s="705">
        <v>341512</v>
      </c>
      <c r="S969" s="705">
        <v>310466</v>
      </c>
      <c r="T969" s="705">
        <v>42275</v>
      </c>
      <c r="U969" s="705">
        <v>15657</v>
      </c>
      <c r="V969" s="705">
        <v>1672542</v>
      </c>
      <c r="W969" s="705">
        <f t="shared" si="52"/>
        <v>1672542</v>
      </c>
      <c r="X969" s="705">
        <f t="shared" si="53"/>
        <v>1984896</v>
      </c>
      <c r="AI969" s="429"/>
    </row>
    <row r="970" spans="2:35">
      <c r="B970" t="s">
        <v>540</v>
      </c>
      <c r="C970" t="s">
        <v>118</v>
      </c>
      <c r="D970" t="s">
        <v>669</v>
      </c>
      <c r="E970" t="s">
        <v>669</v>
      </c>
      <c r="F970" s="705">
        <v>7</v>
      </c>
      <c r="G970" s="705">
        <v>673</v>
      </c>
      <c r="H970" s="705">
        <v>1900</v>
      </c>
      <c r="I970" s="705">
        <v>96444</v>
      </c>
      <c r="J970" s="705">
        <v>80370</v>
      </c>
      <c r="K970" s="705">
        <v>68</v>
      </c>
      <c r="L970" s="705">
        <v>15013</v>
      </c>
      <c r="M970" s="705">
        <v>11941</v>
      </c>
      <c r="N970" s="705">
        <v>13336</v>
      </c>
      <c r="O970" s="705">
        <v>4939</v>
      </c>
      <c r="P970" s="705">
        <v>3078</v>
      </c>
      <c r="Q970" s="705">
        <v>1140</v>
      </c>
      <c r="R970" s="705">
        <v>37562</v>
      </c>
      <c r="S970" s="705">
        <v>31302</v>
      </c>
      <c r="T970" s="705">
        <v>16383</v>
      </c>
      <c r="U970" s="705">
        <v>6068</v>
      </c>
      <c r="V970" s="705">
        <v>135759</v>
      </c>
      <c r="W970" s="705">
        <f t="shared" si="52"/>
        <v>135760</v>
      </c>
      <c r="X970" s="705">
        <f t="shared" si="53"/>
        <v>181816</v>
      </c>
      <c r="AI970" s="429"/>
    </row>
    <row r="971" spans="2:35">
      <c r="B971" t="s">
        <v>540</v>
      </c>
      <c r="C971" t="s">
        <v>118</v>
      </c>
      <c r="D971" t="s">
        <v>667</v>
      </c>
      <c r="E971" t="s">
        <v>228</v>
      </c>
      <c r="F971" s="705">
        <v>1</v>
      </c>
      <c r="G971" s="705">
        <v>67</v>
      </c>
      <c r="H971" s="705">
        <v>261</v>
      </c>
      <c r="I971" s="705">
        <v>18388</v>
      </c>
      <c r="J971" s="705">
        <v>16716</v>
      </c>
      <c r="K971" s="705">
        <v>65</v>
      </c>
      <c r="L971" s="705">
        <v>0</v>
      </c>
      <c r="M971" s="705">
        <v>0</v>
      </c>
      <c r="N971" s="705">
        <v>2737</v>
      </c>
      <c r="O971" s="705">
        <v>1014</v>
      </c>
      <c r="P971" s="705">
        <v>0</v>
      </c>
      <c r="Q971" s="705">
        <v>0</v>
      </c>
      <c r="R971" s="705">
        <v>8229</v>
      </c>
      <c r="S971" s="705">
        <v>3048</v>
      </c>
      <c r="T971" s="705">
        <v>0</v>
      </c>
      <c r="U971" s="705">
        <v>0</v>
      </c>
      <c r="V971" s="705">
        <v>20778</v>
      </c>
      <c r="W971" s="705">
        <f t="shared" si="52"/>
        <v>20778</v>
      </c>
      <c r="X971" s="705">
        <f t="shared" si="53"/>
        <v>29354</v>
      </c>
      <c r="AI971" s="429"/>
    </row>
    <row r="972" spans="2:35">
      <c r="B972" t="s">
        <v>540</v>
      </c>
      <c r="C972" t="s">
        <v>118</v>
      </c>
      <c r="D972" t="s">
        <v>667</v>
      </c>
      <c r="E972" t="s">
        <v>667</v>
      </c>
      <c r="F972" s="705">
        <v>1</v>
      </c>
      <c r="G972" s="705">
        <v>136</v>
      </c>
      <c r="H972" s="705">
        <v>252</v>
      </c>
      <c r="I972" s="705">
        <v>25742</v>
      </c>
      <c r="J972" s="705">
        <v>23402</v>
      </c>
      <c r="K972" s="705">
        <v>65</v>
      </c>
      <c r="L972" s="705">
        <v>0</v>
      </c>
      <c r="M972" s="705">
        <v>0</v>
      </c>
      <c r="N972" s="705">
        <v>1654</v>
      </c>
      <c r="O972" s="705">
        <v>613</v>
      </c>
      <c r="P972" s="705">
        <v>351</v>
      </c>
      <c r="Q972" s="705">
        <v>130</v>
      </c>
      <c r="R972" s="705">
        <v>6464</v>
      </c>
      <c r="S972" s="705">
        <v>5876</v>
      </c>
      <c r="T972" s="705">
        <v>0</v>
      </c>
      <c r="U972" s="705">
        <v>0</v>
      </c>
      <c r="V972" s="705">
        <v>30021</v>
      </c>
      <c r="W972" s="705">
        <f t="shared" si="52"/>
        <v>30021</v>
      </c>
      <c r="X972" s="705">
        <f t="shared" si="53"/>
        <v>34211</v>
      </c>
      <c r="AI972" s="429"/>
    </row>
    <row r="973" spans="2:35">
      <c r="B973" t="s">
        <v>540</v>
      </c>
      <c r="C973" t="s">
        <v>118</v>
      </c>
      <c r="D973" t="s">
        <v>671</v>
      </c>
      <c r="E973" t="s">
        <v>667</v>
      </c>
      <c r="F973" s="705">
        <v>1</v>
      </c>
      <c r="G973" s="705">
        <v>247</v>
      </c>
      <c r="H973" s="705">
        <v>297</v>
      </c>
      <c r="I973" s="705">
        <v>51840</v>
      </c>
      <c r="J973" s="705">
        <v>47128</v>
      </c>
      <c r="K973" s="705">
        <v>65</v>
      </c>
      <c r="L973" s="705">
        <v>4154</v>
      </c>
      <c r="M973" s="705">
        <v>3776</v>
      </c>
      <c r="N973" s="705">
        <v>6014</v>
      </c>
      <c r="O973" s="705">
        <v>2227</v>
      </c>
      <c r="P973" s="705">
        <v>1242</v>
      </c>
      <c r="Q973" s="705">
        <v>460</v>
      </c>
      <c r="R973" s="705">
        <v>9997</v>
      </c>
      <c r="S973" s="705">
        <v>9088</v>
      </c>
      <c r="T973" s="705">
        <v>0</v>
      </c>
      <c r="U973" s="705">
        <v>0</v>
      </c>
      <c r="V973" s="705">
        <v>62679</v>
      </c>
      <c r="W973" s="705">
        <f t="shared" si="52"/>
        <v>62679</v>
      </c>
      <c r="X973" s="705">
        <f t="shared" si="53"/>
        <v>73247</v>
      </c>
      <c r="AI973" s="429"/>
    </row>
    <row r="974" spans="2:35">
      <c r="B974" t="s">
        <v>540</v>
      </c>
      <c r="C974" t="s">
        <v>118</v>
      </c>
      <c r="D974" t="s">
        <v>671</v>
      </c>
      <c r="E974" t="s">
        <v>671</v>
      </c>
      <c r="F974" s="705">
        <v>16</v>
      </c>
      <c r="G974" s="705">
        <v>2345</v>
      </c>
      <c r="H974" s="705">
        <v>4409</v>
      </c>
      <c r="I974" s="705">
        <v>447883</v>
      </c>
      <c r="J974" s="705">
        <v>407166</v>
      </c>
      <c r="K974" s="705">
        <v>61</v>
      </c>
      <c r="L974" s="705">
        <v>57542</v>
      </c>
      <c r="M974" s="705">
        <v>58018</v>
      </c>
      <c r="N974" s="705">
        <v>51933</v>
      </c>
      <c r="O974" s="705">
        <v>19234</v>
      </c>
      <c r="P974" s="705">
        <v>7938</v>
      </c>
      <c r="Q974" s="705">
        <v>2940</v>
      </c>
      <c r="R974" s="705">
        <v>115462</v>
      </c>
      <c r="S974" s="705">
        <v>104966</v>
      </c>
      <c r="T974" s="705">
        <v>29460</v>
      </c>
      <c r="U974" s="705">
        <v>10911</v>
      </c>
      <c r="V974" s="705">
        <v>603236</v>
      </c>
      <c r="W974" s="705">
        <f t="shared" si="52"/>
        <v>603235</v>
      </c>
      <c r="X974" s="705">
        <f t="shared" si="53"/>
        <v>710218</v>
      </c>
      <c r="AI974" s="429"/>
    </row>
    <row r="975" spans="2:35">
      <c r="B975" t="s">
        <v>540</v>
      </c>
      <c r="C975" t="s">
        <v>118</v>
      </c>
      <c r="D975" t="s">
        <v>665</v>
      </c>
      <c r="E975" t="s">
        <v>228</v>
      </c>
      <c r="F975" s="705">
        <v>1</v>
      </c>
      <c r="G975" s="705">
        <v>103</v>
      </c>
      <c r="H975" s="705">
        <v>298</v>
      </c>
      <c r="I975" s="705">
        <v>16941</v>
      </c>
      <c r="J975" s="705">
        <v>15401</v>
      </c>
      <c r="K975" s="705">
        <v>65</v>
      </c>
      <c r="L975" s="705">
        <v>2225</v>
      </c>
      <c r="M975" s="705">
        <v>2022</v>
      </c>
      <c r="N975" s="705">
        <v>1253</v>
      </c>
      <c r="O975" s="705">
        <v>464</v>
      </c>
      <c r="P975" s="705">
        <v>351</v>
      </c>
      <c r="Q975" s="705">
        <v>130</v>
      </c>
      <c r="R975" s="705">
        <v>9922</v>
      </c>
      <c r="S975" s="705">
        <v>3675</v>
      </c>
      <c r="T975" s="705">
        <v>0</v>
      </c>
      <c r="U975" s="705">
        <v>0</v>
      </c>
      <c r="V975" s="705">
        <v>21692</v>
      </c>
      <c r="W975" s="705">
        <f t="shared" si="52"/>
        <v>21692</v>
      </c>
      <c r="X975" s="705">
        <f t="shared" si="53"/>
        <v>30692</v>
      </c>
      <c r="AI975" s="429"/>
    </row>
    <row r="976" spans="2:35">
      <c r="B976" t="s">
        <v>540</v>
      </c>
      <c r="C976" t="s">
        <v>118</v>
      </c>
      <c r="D976" t="s">
        <v>665</v>
      </c>
      <c r="E976" t="s">
        <v>665</v>
      </c>
      <c r="F976" s="705">
        <v>104</v>
      </c>
      <c r="G976" s="705">
        <v>15018</v>
      </c>
      <c r="H976" s="705">
        <v>28134</v>
      </c>
      <c r="I976" s="705">
        <v>2603406</v>
      </c>
      <c r="J976" s="705">
        <v>2366733</v>
      </c>
      <c r="K976" s="705">
        <v>64</v>
      </c>
      <c r="L976" s="705">
        <v>327686</v>
      </c>
      <c r="M976" s="705">
        <v>280694</v>
      </c>
      <c r="N976" s="705">
        <v>317420</v>
      </c>
      <c r="O976" s="705">
        <v>117563</v>
      </c>
      <c r="P976" s="705">
        <v>57908</v>
      </c>
      <c r="Q976" s="705">
        <v>21447</v>
      </c>
      <c r="R976" s="705">
        <v>605529</v>
      </c>
      <c r="S976" s="705">
        <v>550481</v>
      </c>
      <c r="T976" s="705">
        <v>247784</v>
      </c>
      <c r="U976" s="705">
        <v>91772</v>
      </c>
      <c r="V976" s="705">
        <v>3428689</v>
      </c>
      <c r="W976" s="705">
        <f t="shared" si="52"/>
        <v>3428690</v>
      </c>
      <c r="X976" s="705">
        <f t="shared" si="53"/>
        <v>4159733</v>
      </c>
      <c r="AI976" s="429"/>
    </row>
    <row r="977" spans="2:35">
      <c r="B977" t="s">
        <v>540</v>
      </c>
      <c r="C977" t="s">
        <v>118</v>
      </c>
      <c r="D977" t="s">
        <v>673</v>
      </c>
      <c r="E977" t="s">
        <v>228</v>
      </c>
      <c r="F977" s="705">
        <v>2</v>
      </c>
      <c r="G977" s="705">
        <v>146</v>
      </c>
      <c r="H977" s="705">
        <v>562</v>
      </c>
      <c r="I977" s="705">
        <v>20275</v>
      </c>
      <c r="J977" s="705">
        <v>18432</v>
      </c>
      <c r="K977" s="705">
        <v>69</v>
      </c>
      <c r="L977" s="705">
        <v>5495</v>
      </c>
      <c r="M977" s="705">
        <v>2035</v>
      </c>
      <c r="N977" s="705">
        <v>2643</v>
      </c>
      <c r="O977" s="705">
        <v>979</v>
      </c>
      <c r="P977" s="705">
        <v>314</v>
      </c>
      <c r="Q977" s="705">
        <v>116</v>
      </c>
      <c r="R977" s="705">
        <v>12435</v>
      </c>
      <c r="S977" s="705">
        <v>4606</v>
      </c>
      <c r="T977" s="705">
        <v>0</v>
      </c>
      <c r="U977" s="705">
        <v>0</v>
      </c>
      <c r="V977" s="705">
        <v>26168</v>
      </c>
      <c r="W977" s="705">
        <f t="shared" si="52"/>
        <v>26168</v>
      </c>
      <c r="X977" s="705">
        <f t="shared" si="53"/>
        <v>41162</v>
      </c>
      <c r="AI977" s="429"/>
    </row>
    <row r="978" spans="2:35">
      <c r="B978" t="s">
        <v>540</v>
      </c>
      <c r="C978" t="s">
        <v>118</v>
      </c>
      <c r="D978" t="s">
        <v>673</v>
      </c>
      <c r="E978" t="s">
        <v>673</v>
      </c>
      <c r="F978" s="705">
        <v>4</v>
      </c>
      <c r="G978" s="705">
        <v>536</v>
      </c>
      <c r="H978" s="705">
        <v>1113</v>
      </c>
      <c r="I978" s="705">
        <v>95401</v>
      </c>
      <c r="J978" s="705">
        <v>86728</v>
      </c>
      <c r="K978" s="705">
        <v>58</v>
      </c>
      <c r="L978" s="705">
        <v>14588</v>
      </c>
      <c r="M978" s="705">
        <v>13262</v>
      </c>
      <c r="N978" s="705">
        <v>8154</v>
      </c>
      <c r="O978" s="705">
        <v>3020</v>
      </c>
      <c r="P978" s="705">
        <v>2565</v>
      </c>
      <c r="Q978" s="705">
        <v>950</v>
      </c>
      <c r="R978" s="705">
        <v>24442</v>
      </c>
      <c r="S978" s="705">
        <v>22220</v>
      </c>
      <c r="T978" s="705">
        <v>2874</v>
      </c>
      <c r="U978" s="705">
        <v>1065</v>
      </c>
      <c r="V978" s="705">
        <v>127244</v>
      </c>
      <c r="W978" s="705">
        <f t="shared" si="52"/>
        <v>127245</v>
      </c>
      <c r="X978" s="705">
        <f t="shared" si="53"/>
        <v>148024</v>
      </c>
      <c r="AI978" s="429"/>
    </row>
    <row r="979" spans="2:35">
      <c r="B979" t="s">
        <v>540</v>
      </c>
      <c r="C979" t="s">
        <v>118</v>
      </c>
      <c r="D979" t="s">
        <v>585</v>
      </c>
      <c r="E979" t="s">
        <v>585</v>
      </c>
      <c r="F979" s="705">
        <v>5</v>
      </c>
      <c r="G979" s="705">
        <v>720</v>
      </c>
      <c r="H979" s="705">
        <v>1248</v>
      </c>
      <c r="I979" s="705">
        <v>112674</v>
      </c>
      <c r="J979" s="705">
        <v>102431</v>
      </c>
      <c r="K979" s="705">
        <v>72</v>
      </c>
      <c r="L979" s="705">
        <v>18162</v>
      </c>
      <c r="M979" s="705">
        <v>16511</v>
      </c>
      <c r="N979" s="705">
        <v>11656</v>
      </c>
      <c r="O979" s="705">
        <v>4317</v>
      </c>
      <c r="P979" s="705">
        <v>2106</v>
      </c>
      <c r="Q979" s="705">
        <v>780</v>
      </c>
      <c r="R979" s="705">
        <v>32371</v>
      </c>
      <c r="S979" s="705">
        <v>29428</v>
      </c>
      <c r="T979" s="705">
        <v>0</v>
      </c>
      <c r="U979" s="705">
        <v>0</v>
      </c>
      <c r="V979" s="705">
        <v>153467</v>
      </c>
      <c r="W979" s="705">
        <f t="shared" si="52"/>
        <v>153467</v>
      </c>
      <c r="X979" s="705">
        <f t="shared" si="53"/>
        <v>176969</v>
      </c>
      <c r="AI979" s="429"/>
    </row>
    <row r="980" spans="2:35">
      <c r="B980" t="s">
        <v>540</v>
      </c>
      <c r="C980" t="s">
        <v>118</v>
      </c>
      <c r="D980" t="s">
        <v>668</v>
      </c>
      <c r="E980" t="s">
        <v>668</v>
      </c>
      <c r="F980" s="705">
        <v>2</v>
      </c>
      <c r="G980" s="705">
        <v>196</v>
      </c>
      <c r="H980" s="705">
        <v>525</v>
      </c>
      <c r="I980" s="705">
        <v>30684</v>
      </c>
      <c r="J980" s="705">
        <v>27895</v>
      </c>
      <c r="K980" s="705">
        <v>65</v>
      </c>
      <c r="L980" s="705">
        <v>9426</v>
      </c>
      <c r="M980" s="705">
        <v>5798</v>
      </c>
      <c r="N980" s="705">
        <v>3616</v>
      </c>
      <c r="O980" s="705">
        <v>1339</v>
      </c>
      <c r="P980" s="705">
        <v>1404</v>
      </c>
      <c r="Q980" s="705">
        <v>520</v>
      </c>
      <c r="R980" s="705">
        <v>7513</v>
      </c>
      <c r="S980" s="705">
        <v>6830</v>
      </c>
      <c r="T980" s="705">
        <v>3505</v>
      </c>
      <c r="U980" s="705">
        <v>1298</v>
      </c>
      <c r="V980" s="705">
        <v>43681</v>
      </c>
      <c r="W980" s="705">
        <f t="shared" si="52"/>
        <v>43680</v>
      </c>
      <c r="X980" s="705">
        <f t="shared" si="53"/>
        <v>56148</v>
      </c>
      <c r="AI980" s="429"/>
    </row>
    <row r="981" spans="2:35">
      <c r="B981" t="s">
        <v>540</v>
      </c>
      <c r="C981" t="s">
        <v>120</v>
      </c>
      <c r="F981" s="705">
        <v>3</v>
      </c>
      <c r="G981" s="705">
        <v>491</v>
      </c>
      <c r="H981" s="705">
        <v>938</v>
      </c>
      <c r="I981" s="705"/>
      <c r="J981" s="705">
        <v>0</v>
      </c>
      <c r="K981" s="705"/>
      <c r="L981" s="705"/>
      <c r="M981" s="705">
        <v>0</v>
      </c>
      <c r="N981" s="705">
        <v>9003</v>
      </c>
      <c r="O981" s="705">
        <v>3335</v>
      </c>
      <c r="P981" s="705">
        <v>1863</v>
      </c>
      <c r="Q981" s="705">
        <v>690</v>
      </c>
      <c r="R981" s="705"/>
      <c r="S981" s="705">
        <v>0</v>
      </c>
      <c r="T981" s="705">
        <v>0</v>
      </c>
      <c r="U981" s="705">
        <v>0</v>
      </c>
      <c r="V981" s="705">
        <v>4025</v>
      </c>
      <c r="W981" s="705">
        <f t="shared" si="52"/>
        <v>4025</v>
      </c>
      <c r="X981" s="705">
        <f t="shared" si="53"/>
        <v>10866</v>
      </c>
      <c r="AI981" s="429"/>
    </row>
    <row r="982" spans="2:35">
      <c r="B982" t="s">
        <v>540</v>
      </c>
      <c r="C982" t="s">
        <v>120</v>
      </c>
      <c r="D982" t="s">
        <v>664</v>
      </c>
      <c r="E982" t="s">
        <v>664</v>
      </c>
      <c r="F982" s="705">
        <v>5</v>
      </c>
      <c r="G982" s="705">
        <v>541</v>
      </c>
      <c r="H982" s="705">
        <v>1715</v>
      </c>
      <c r="I982" s="705">
        <v>119172</v>
      </c>
      <c r="J982" s="705">
        <v>108338</v>
      </c>
      <c r="K982" s="705">
        <v>73</v>
      </c>
      <c r="L982" s="705">
        <v>30784</v>
      </c>
      <c r="M982" s="705">
        <v>27985</v>
      </c>
      <c r="N982" s="705">
        <v>13656</v>
      </c>
      <c r="O982" s="705">
        <v>5058</v>
      </c>
      <c r="P982" s="705">
        <v>2241</v>
      </c>
      <c r="Q982" s="705">
        <v>830</v>
      </c>
      <c r="R982" s="705">
        <v>22422</v>
      </c>
      <c r="S982" s="705">
        <v>20383</v>
      </c>
      <c r="T982" s="705">
        <v>11127</v>
      </c>
      <c r="U982" s="705">
        <v>4121</v>
      </c>
      <c r="V982" s="705">
        <v>166715</v>
      </c>
      <c r="W982" s="705">
        <f t="shared" si="52"/>
        <v>166715</v>
      </c>
      <c r="X982" s="705">
        <f t="shared" si="53"/>
        <v>199402</v>
      </c>
      <c r="AI982" s="429"/>
    </row>
    <row r="983" spans="2:35">
      <c r="B983" t="s">
        <v>540</v>
      </c>
      <c r="C983" t="s">
        <v>120</v>
      </c>
      <c r="D983" t="s">
        <v>582</v>
      </c>
      <c r="E983" t="s">
        <v>582</v>
      </c>
      <c r="F983" s="705">
        <v>39</v>
      </c>
      <c r="G983" s="705">
        <v>5399</v>
      </c>
      <c r="H983" s="705">
        <v>13391</v>
      </c>
      <c r="I983" s="705">
        <v>1210564</v>
      </c>
      <c r="J983" s="705">
        <v>1100513</v>
      </c>
      <c r="K983" s="705">
        <v>77</v>
      </c>
      <c r="L983" s="705">
        <v>257385</v>
      </c>
      <c r="M983" s="705">
        <v>229928</v>
      </c>
      <c r="N983" s="705">
        <v>115890</v>
      </c>
      <c r="O983" s="705">
        <v>42922</v>
      </c>
      <c r="P983" s="705">
        <v>21855</v>
      </c>
      <c r="Q983" s="705">
        <v>8094</v>
      </c>
      <c r="R983" s="705">
        <v>224962</v>
      </c>
      <c r="S983" s="705">
        <v>204511</v>
      </c>
      <c r="T983" s="705">
        <v>35989</v>
      </c>
      <c r="U983" s="705">
        <v>13329</v>
      </c>
      <c r="V983" s="705">
        <v>1599298</v>
      </c>
      <c r="W983" s="705">
        <f t="shared" si="52"/>
        <v>1599297</v>
      </c>
      <c r="X983" s="705">
        <f t="shared" si="53"/>
        <v>1866645</v>
      </c>
      <c r="AI983" s="429"/>
    </row>
    <row r="984" spans="2:35">
      <c r="B984" t="s">
        <v>540</v>
      </c>
      <c r="C984" t="s">
        <v>120</v>
      </c>
      <c r="D984" t="s">
        <v>582</v>
      </c>
      <c r="E984" t="s">
        <v>671</v>
      </c>
      <c r="F984" s="705">
        <v>1</v>
      </c>
      <c r="G984" s="705">
        <v>92</v>
      </c>
      <c r="H984" s="705">
        <v>373</v>
      </c>
      <c r="I984" s="705">
        <v>17920</v>
      </c>
      <c r="J984" s="705">
        <v>16291</v>
      </c>
      <c r="K984" s="705">
        <v>91</v>
      </c>
      <c r="L984" s="705">
        <v>5754</v>
      </c>
      <c r="M984" s="705">
        <v>5231</v>
      </c>
      <c r="N984" s="705">
        <v>1688</v>
      </c>
      <c r="O984" s="705">
        <v>625</v>
      </c>
      <c r="P984" s="705">
        <v>473</v>
      </c>
      <c r="Q984" s="705">
        <v>175</v>
      </c>
      <c r="R984" s="705">
        <v>6280</v>
      </c>
      <c r="S984" s="705">
        <v>5709</v>
      </c>
      <c r="T984" s="705">
        <v>2329</v>
      </c>
      <c r="U984" s="705">
        <v>863</v>
      </c>
      <c r="V984" s="705">
        <v>28894</v>
      </c>
      <c r="W984" s="705">
        <f t="shared" si="52"/>
        <v>28894</v>
      </c>
      <c r="X984" s="705">
        <f t="shared" si="53"/>
        <v>34444</v>
      </c>
      <c r="AI984" s="429"/>
    </row>
    <row r="985" spans="2:35">
      <c r="B985" t="s">
        <v>540</v>
      </c>
      <c r="C985" t="s">
        <v>120</v>
      </c>
      <c r="D985" t="s">
        <v>228</v>
      </c>
      <c r="E985" t="s">
        <v>228</v>
      </c>
      <c r="F985" s="705">
        <v>148</v>
      </c>
      <c r="G985" s="705">
        <v>16485</v>
      </c>
      <c r="H985" s="705">
        <v>49909</v>
      </c>
      <c r="I985" s="705">
        <v>3735738</v>
      </c>
      <c r="J985" s="705">
        <v>1383607</v>
      </c>
      <c r="K985" s="705">
        <v>103</v>
      </c>
      <c r="L985" s="705">
        <v>594238</v>
      </c>
      <c r="M985" s="705">
        <v>402783</v>
      </c>
      <c r="N985" s="705">
        <v>366470</v>
      </c>
      <c r="O985" s="705">
        <v>135730</v>
      </c>
      <c r="P985" s="705">
        <v>8667</v>
      </c>
      <c r="Q985" s="705">
        <v>3210</v>
      </c>
      <c r="R985" s="705">
        <v>1182274</v>
      </c>
      <c r="S985" s="705">
        <v>437879</v>
      </c>
      <c r="T985" s="705">
        <v>0</v>
      </c>
      <c r="U985" s="705">
        <v>0</v>
      </c>
      <c r="V985" s="705">
        <v>2363209</v>
      </c>
      <c r="W985" s="705">
        <f t="shared" si="52"/>
        <v>2363209</v>
      </c>
      <c r="X985" s="705">
        <f t="shared" si="53"/>
        <v>5887387</v>
      </c>
      <c r="AI985" s="429"/>
    </row>
    <row r="986" spans="2:35">
      <c r="B986" t="s">
        <v>540</v>
      </c>
      <c r="C986" t="s">
        <v>120</v>
      </c>
      <c r="D986" t="s">
        <v>228</v>
      </c>
      <c r="E986" t="s">
        <v>583</v>
      </c>
      <c r="F986" s="705">
        <v>2</v>
      </c>
      <c r="G986" s="705">
        <v>467</v>
      </c>
      <c r="H986" s="705">
        <v>613</v>
      </c>
      <c r="I986" s="705">
        <v>105151</v>
      </c>
      <c r="J986" s="705">
        <v>38945</v>
      </c>
      <c r="K986" s="705">
        <v>85</v>
      </c>
      <c r="L986" s="705">
        <v>11346</v>
      </c>
      <c r="M986" s="705">
        <v>10315</v>
      </c>
      <c r="N986" s="705">
        <v>8573</v>
      </c>
      <c r="O986" s="705">
        <v>3175</v>
      </c>
      <c r="P986" s="705">
        <v>1242</v>
      </c>
      <c r="Q986" s="705">
        <v>460</v>
      </c>
      <c r="R986" s="705">
        <v>13851</v>
      </c>
      <c r="S986" s="705">
        <v>12592</v>
      </c>
      <c r="T986" s="705">
        <v>3003</v>
      </c>
      <c r="U986" s="705">
        <v>1112</v>
      </c>
      <c r="V986" s="705">
        <v>66599</v>
      </c>
      <c r="W986" s="705">
        <f t="shared" si="52"/>
        <v>66599</v>
      </c>
      <c r="X986" s="705">
        <f t="shared" si="53"/>
        <v>143166</v>
      </c>
      <c r="AI986" s="429"/>
    </row>
    <row r="987" spans="2:35">
      <c r="B987" t="s">
        <v>540</v>
      </c>
      <c r="C987" t="s">
        <v>120</v>
      </c>
      <c r="D987" t="s">
        <v>228</v>
      </c>
      <c r="E987" t="s">
        <v>671</v>
      </c>
      <c r="F987" s="705">
        <v>2</v>
      </c>
      <c r="G987" s="705">
        <v>272</v>
      </c>
      <c r="H987" s="705">
        <v>700</v>
      </c>
      <c r="I987" s="705">
        <v>60461</v>
      </c>
      <c r="J987" s="705">
        <v>22393</v>
      </c>
      <c r="K987" s="705">
        <v>100</v>
      </c>
      <c r="L987" s="705">
        <v>5422</v>
      </c>
      <c r="M987" s="705">
        <v>4929</v>
      </c>
      <c r="N987" s="705">
        <v>6141</v>
      </c>
      <c r="O987" s="705">
        <v>2275</v>
      </c>
      <c r="P987" s="705">
        <v>0</v>
      </c>
      <c r="Q987" s="705">
        <v>0</v>
      </c>
      <c r="R987" s="705">
        <v>18286</v>
      </c>
      <c r="S987" s="705">
        <v>16624</v>
      </c>
      <c r="T987" s="705">
        <v>4992</v>
      </c>
      <c r="U987" s="705">
        <v>1849</v>
      </c>
      <c r="V987" s="705">
        <v>48070</v>
      </c>
      <c r="W987" s="705">
        <f t="shared" si="52"/>
        <v>48070</v>
      </c>
      <c r="X987" s="705">
        <f t="shared" si="53"/>
        <v>95302</v>
      </c>
      <c r="AI987" s="429"/>
    </row>
    <row r="988" spans="2:35">
      <c r="B988" t="s">
        <v>540</v>
      </c>
      <c r="C988" t="s">
        <v>120</v>
      </c>
      <c r="D988" t="s">
        <v>228</v>
      </c>
      <c r="E988" t="s">
        <v>665</v>
      </c>
      <c r="F988" s="705">
        <v>8</v>
      </c>
      <c r="G988" s="705">
        <v>824</v>
      </c>
      <c r="H988" s="705">
        <v>2802</v>
      </c>
      <c r="I988" s="705">
        <v>177756</v>
      </c>
      <c r="J988" s="705">
        <v>65836</v>
      </c>
      <c r="K988" s="705">
        <v>100</v>
      </c>
      <c r="L988" s="705">
        <v>18355</v>
      </c>
      <c r="M988" s="705">
        <v>16686</v>
      </c>
      <c r="N988" s="705">
        <v>16712</v>
      </c>
      <c r="O988" s="705">
        <v>6190</v>
      </c>
      <c r="P988" s="705">
        <v>1053</v>
      </c>
      <c r="Q988" s="705">
        <v>390</v>
      </c>
      <c r="R988" s="705">
        <v>47180</v>
      </c>
      <c r="S988" s="705">
        <v>42891</v>
      </c>
      <c r="T988" s="705">
        <v>20349</v>
      </c>
      <c r="U988" s="705">
        <v>7537</v>
      </c>
      <c r="V988" s="705">
        <v>139529</v>
      </c>
      <c r="W988" s="705">
        <f t="shared" si="52"/>
        <v>139530</v>
      </c>
      <c r="X988" s="705">
        <f t="shared" si="53"/>
        <v>281405</v>
      </c>
      <c r="AI988" s="429"/>
    </row>
    <row r="989" spans="2:35">
      <c r="B989" t="s">
        <v>540</v>
      </c>
      <c r="C989" t="s">
        <v>120</v>
      </c>
      <c r="D989" t="s">
        <v>583</v>
      </c>
      <c r="E989" t="s">
        <v>664</v>
      </c>
      <c r="F989" s="705">
        <v>3</v>
      </c>
      <c r="G989" s="705">
        <v>351</v>
      </c>
      <c r="H989" s="705">
        <v>980</v>
      </c>
      <c r="I989" s="705">
        <v>74440</v>
      </c>
      <c r="J989" s="705">
        <v>67673</v>
      </c>
      <c r="K989" s="705">
        <v>73</v>
      </c>
      <c r="L989" s="705">
        <v>13811</v>
      </c>
      <c r="M989" s="705">
        <v>12555</v>
      </c>
      <c r="N989" s="705">
        <v>5729</v>
      </c>
      <c r="O989" s="705">
        <v>2122</v>
      </c>
      <c r="P989" s="705">
        <v>2214</v>
      </c>
      <c r="Q989" s="705">
        <v>820</v>
      </c>
      <c r="R989" s="705">
        <v>18140</v>
      </c>
      <c r="S989" s="705">
        <v>16491</v>
      </c>
      <c r="T989" s="705">
        <v>2059</v>
      </c>
      <c r="U989" s="705">
        <v>763</v>
      </c>
      <c r="V989" s="705">
        <v>100424</v>
      </c>
      <c r="W989" s="705">
        <f t="shared" si="52"/>
        <v>100424</v>
      </c>
      <c r="X989" s="705">
        <f t="shared" si="53"/>
        <v>116393</v>
      </c>
      <c r="AI989" s="429"/>
    </row>
    <row r="990" spans="2:35">
      <c r="B990" t="s">
        <v>540</v>
      </c>
      <c r="C990" t="s">
        <v>120</v>
      </c>
      <c r="D990" t="s">
        <v>583</v>
      </c>
      <c r="E990" t="s">
        <v>228</v>
      </c>
      <c r="F990" s="705">
        <v>18</v>
      </c>
      <c r="G990" s="705">
        <v>2333</v>
      </c>
      <c r="H990" s="705">
        <v>6001</v>
      </c>
      <c r="I990" s="705">
        <v>477998</v>
      </c>
      <c r="J990" s="705">
        <v>434544</v>
      </c>
      <c r="K990" s="705">
        <v>80</v>
      </c>
      <c r="L990" s="705">
        <v>86238</v>
      </c>
      <c r="M990" s="705">
        <v>68728</v>
      </c>
      <c r="N990" s="705">
        <v>46630</v>
      </c>
      <c r="O990" s="705">
        <v>17270</v>
      </c>
      <c r="P990" s="705">
        <v>11447</v>
      </c>
      <c r="Q990" s="705">
        <v>4240</v>
      </c>
      <c r="R990" s="705">
        <v>150988</v>
      </c>
      <c r="S990" s="705">
        <v>55922</v>
      </c>
      <c r="T990" s="705">
        <v>0</v>
      </c>
      <c r="U990" s="705">
        <v>0</v>
      </c>
      <c r="V990" s="705">
        <v>580703</v>
      </c>
      <c r="W990" s="705">
        <f t="shared" si="52"/>
        <v>580704</v>
      </c>
      <c r="X990" s="705">
        <f t="shared" si="53"/>
        <v>773301</v>
      </c>
      <c r="AI990" s="429"/>
    </row>
    <row r="991" spans="2:35">
      <c r="B991" t="s">
        <v>540</v>
      </c>
      <c r="C991" t="s">
        <v>120</v>
      </c>
      <c r="D991" t="s">
        <v>583</v>
      </c>
      <c r="E991" t="s">
        <v>583</v>
      </c>
      <c r="F991" s="705">
        <v>1691</v>
      </c>
      <c r="G991" s="705">
        <v>201989</v>
      </c>
      <c r="H991" s="705">
        <v>568799</v>
      </c>
      <c r="I991" s="705">
        <v>43171850</v>
      </c>
      <c r="J991" s="705">
        <v>39247136</v>
      </c>
      <c r="K991" s="705">
        <v>76</v>
      </c>
      <c r="L991" s="705">
        <v>8195764</v>
      </c>
      <c r="M991" s="705">
        <v>7230748</v>
      </c>
      <c r="N991" s="705">
        <v>4246515</v>
      </c>
      <c r="O991" s="705">
        <v>1572783</v>
      </c>
      <c r="P991" s="705">
        <v>1110604</v>
      </c>
      <c r="Q991" s="705">
        <v>411335</v>
      </c>
      <c r="R991" s="705">
        <v>9184654</v>
      </c>
      <c r="S991" s="705">
        <v>8349685</v>
      </c>
      <c r="T991" s="705">
        <v>2894516</v>
      </c>
      <c r="U991" s="705">
        <v>1072043</v>
      </c>
      <c r="V991" s="705">
        <v>57883731</v>
      </c>
      <c r="W991" s="705">
        <f t="shared" si="52"/>
        <v>57883730</v>
      </c>
      <c r="X991" s="705">
        <f t="shared" si="53"/>
        <v>68803903</v>
      </c>
      <c r="AI991" s="429"/>
    </row>
    <row r="992" spans="2:35">
      <c r="B992" t="s">
        <v>540</v>
      </c>
      <c r="C992" t="s">
        <v>120</v>
      </c>
      <c r="D992" t="s">
        <v>583</v>
      </c>
      <c r="E992" t="s">
        <v>666</v>
      </c>
      <c r="F992" s="705">
        <v>1</v>
      </c>
      <c r="G992" s="705">
        <v>125</v>
      </c>
      <c r="H992" s="705">
        <v>322</v>
      </c>
      <c r="I992" s="705">
        <v>22963</v>
      </c>
      <c r="J992" s="705">
        <v>20875</v>
      </c>
      <c r="K992" s="705">
        <v>65</v>
      </c>
      <c r="L992" s="705">
        <v>5256</v>
      </c>
      <c r="M992" s="705">
        <v>4778</v>
      </c>
      <c r="N992" s="705">
        <v>2807</v>
      </c>
      <c r="O992" s="705">
        <v>1040</v>
      </c>
      <c r="P992" s="705">
        <v>621</v>
      </c>
      <c r="Q992" s="705">
        <v>230</v>
      </c>
      <c r="R992" s="705">
        <v>5600</v>
      </c>
      <c r="S992" s="705">
        <v>5091</v>
      </c>
      <c r="T992" s="705">
        <v>3094</v>
      </c>
      <c r="U992" s="705">
        <v>1146</v>
      </c>
      <c r="V992" s="705">
        <v>33160</v>
      </c>
      <c r="W992" s="705">
        <f t="shared" si="52"/>
        <v>33160</v>
      </c>
      <c r="X992" s="705">
        <f t="shared" si="53"/>
        <v>40341</v>
      </c>
      <c r="AI992" s="429"/>
    </row>
    <row r="993" spans="2:35">
      <c r="B993" t="s">
        <v>540</v>
      </c>
      <c r="C993" t="s">
        <v>120</v>
      </c>
      <c r="D993" t="s">
        <v>583</v>
      </c>
      <c r="E993" t="s">
        <v>671</v>
      </c>
      <c r="F993" s="705">
        <v>2</v>
      </c>
      <c r="G993" s="705">
        <v>220</v>
      </c>
      <c r="H993" s="705">
        <v>626</v>
      </c>
      <c r="I993" s="705">
        <v>39260</v>
      </c>
      <c r="J993" s="705">
        <v>35691</v>
      </c>
      <c r="K993" s="705">
        <v>82</v>
      </c>
      <c r="L993" s="705">
        <v>6967</v>
      </c>
      <c r="M993" s="705">
        <v>6334</v>
      </c>
      <c r="N993" s="705">
        <v>4017</v>
      </c>
      <c r="O993" s="705">
        <v>1488</v>
      </c>
      <c r="P993" s="705">
        <v>1242</v>
      </c>
      <c r="Q993" s="705">
        <v>460</v>
      </c>
      <c r="R993" s="705">
        <v>17682</v>
      </c>
      <c r="S993" s="705">
        <v>16075</v>
      </c>
      <c r="T993" s="705">
        <v>0</v>
      </c>
      <c r="U993" s="705">
        <v>0</v>
      </c>
      <c r="V993" s="705">
        <v>60048</v>
      </c>
      <c r="W993" s="705">
        <f t="shared" si="52"/>
        <v>60048</v>
      </c>
      <c r="X993" s="705">
        <f t="shared" si="53"/>
        <v>69168</v>
      </c>
      <c r="AI993" s="429"/>
    </row>
    <row r="994" spans="2:35">
      <c r="B994" t="s">
        <v>540</v>
      </c>
      <c r="C994" t="s">
        <v>120</v>
      </c>
      <c r="D994" t="s">
        <v>583</v>
      </c>
      <c r="E994" t="s">
        <v>665</v>
      </c>
      <c r="F994" s="705">
        <v>3</v>
      </c>
      <c r="G994" s="705">
        <v>336</v>
      </c>
      <c r="H994" s="705">
        <v>1013</v>
      </c>
      <c r="I994" s="705">
        <v>53427</v>
      </c>
      <c r="J994" s="705">
        <v>48570</v>
      </c>
      <c r="K994" s="705">
        <v>88</v>
      </c>
      <c r="L994" s="705">
        <v>11446</v>
      </c>
      <c r="M994" s="705">
        <v>10406</v>
      </c>
      <c r="N994" s="705">
        <v>5973</v>
      </c>
      <c r="O994" s="705">
        <v>2212</v>
      </c>
      <c r="P994" s="705">
        <v>2214</v>
      </c>
      <c r="Q994" s="705">
        <v>820</v>
      </c>
      <c r="R994" s="705">
        <v>40477</v>
      </c>
      <c r="S994" s="705">
        <v>36797</v>
      </c>
      <c r="T994" s="705">
        <v>0</v>
      </c>
      <c r="U994" s="705">
        <v>0</v>
      </c>
      <c r="V994" s="705">
        <v>98805</v>
      </c>
      <c r="W994" s="705">
        <f t="shared" si="52"/>
        <v>98805</v>
      </c>
      <c r="X994" s="705">
        <f t="shared" si="53"/>
        <v>113537</v>
      </c>
      <c r="AI994" s="429"/>
    </row>
    <row r="995" spans="2:35">
      <c r="B995" t="s">
        <v>540</v>
      </c>
      <c r="C995" t="s">
        <v>120</v>
      </c>
      <c r="D995" t="s">
        <v>583</v>
      </c>
      <c r="E995" t="s">
        <v>668</v>
      </c>
      <c r="F995" s="705">
        <v>1</v>
      </c>
      <c r="G995" s="705">
        <v>128</v>
      </c>
      <c r="H995" s="705">
        <v>332</v>
      </c>
      <c r="I995" s="705">
        <v>33963</v>
      </c>
      <c r="J995" s="705">
        <v>30875</v>
      </c>
      <c r="K995" s="705">
        <v>95</v>
      </c>
      <c r="L995" s="705">
        <v>0</v>
      </c>
      <c r="M995" s="705">
        <v>4761</v>
      </c>
      <c r="N995" s="705">
        <v>3109</v>
      </c>
      <c r="O995" s="705">
        <v>1151</v>
      </c>
      <c r="P995" s="705">
        <v>621</v>
      </c>
      <c r="Q995" s="705">
        <v>230</v>
      </c>
      <c r="R995" s="705">
        <v>4660</v>
      </c>
      <c r="S995" s="705">
        <v>4236</v>
      </c>
      <c r="T995" s="705">
        <v>0</v>
      </c>
      <c r="U995" s="705">
        <v>0</v>
      </c>
      <c r="V995" s="705">
        <v>41254</v>
      </c>
      <c r="W995" s="705">
        <f t="shared" si="52"/>
        <v>41253</v>
      </c>
      <c r="X995" s="705">
        <f t="shared" si="53"/>
        <v>42353</v>
      </c>
      <c r="AI995" s="429"/>
    </row>
    <row r="996" spans="2:35">
      <c r="B996" t="s">
        <v>540</v>
      </c>
      <c r="C996" t="s">
        <v>120</v>
      </c>
      <c r="D996" t="s">
        <v>666</v>
      </c>
      <c r="E996" t="s">
        <v>666</v>
      </c>
      <c r="F996" s="705">
        <v>9</v>
      </c>
      <c r="G996" s="705">
        <v>1127</v>
      </c>
      <c r="H996" s="705">
        <v>3043</v>
      </c>
      <c r="I996" s="705">
        <v>232379</v>
      </c>
      <c r="J996" s="705">
        <v>211254</v>
      </c>
      <c r="K996" s="705">
        <v>56</v>
      </c>
      <c r="L996" s="705">
        <v>37526</v>
      </c>
      <c r="M996" s="705">
        <v>27896</v>
      </c>
      <c r="N996" s="705">
        <v>22191</v>
      </c>
      <c r="O996" s="705">
        <v>8219</v>
      </c>
      <c r="P996" s="705">
        <v>4401</v>
      </c>
      <c r="Q996" s="705">
        <v>1630</v>
      </c>
      <c r="R996" s="705">
        <v>61956</v>
      </c>
      <c r="S996" s="705">
        <v>56324</v>
      </c>
      <c r="T996" s="705">
        <v>19888</v>
      </c>
      <c r="U996" s="705">
        <v>7366</v>
      </c>
      <c r="V996" s="705">
        <v>312688</v>
      </c>
      <c r="W996" s="705">
        <f t="shared" si="52"/>
        <v>312689</v>
      </c>
      <c r="X996" s="705">
        <f t="shared" si="53"/>
        <v>378341</v>
      </c>
      <c r="AI996" s="429"/>
    </row>
    <row r="997" spans="2:35">
      <c r="B997" t="s">
        <v>540</v>
      </c>
      <c r="C997" t="s">
        <v>120</v>
      </c>
      <c r="D997" t="s">
        <v>584</v>
      </c>
      <c r="E997" t="s">
        <v>584</v>
      </c>
      <c r="F997" s="705">
        <v>3</v>
      </c>
      <c r="G997" s="705">
        <v>392</v>
      </c>
      <c r="H997" s="705">
        <v>1020</v>
      </c>
      <c r="I997" s="705">
        <v>82945</v>
      </c>
      <c r="J997" s="705">
        <v>75405</v>
      </c>
      <c r="K997" s="705">
        <v>83</v>
      </c>
      <c r="L997" s="705">
        <v>23632</v>
      </c>
      <c r="M997" s="705">
        <v>19988</v>
      </c>
      <c r="N997" s="705">
        <v>7604</v>
      </c>
      <c r="O997" s="705">
        <v>2816</v>
      </c>
      <c r="P997" s="705">
        <v>1418</v>
      </c>
      <c r="Q997" s="705">
        <v>525</v>
      </c>
      <c r="R997" s="705">
        <v>16866</v>
      </c>
      <c r="S997" s="705">
        <v>15333</v>
      </c>
      <c r="T997" s="705">
        <v>0</v>
      </c>
      <c r="U997" s="705">
        <v>0</v>
      </c>
      <c r="V997" s="705">
        <v>114067</v>
      </c>
      <c r="W997" s="705">
        <f t="shared" si="52"/>
        <v>114067</v>
      </c>
      <c r="X997" s="705">
        <f t="shared" si="53"/>
        <v>132465</v>
      </c>
      <c r="AI997" s="429"/>
    </row>
    <row r="998" spans="2:35">
      <c r="B998" t="s">
        <v>540</v>
      </c>
      <c r="C998" t="s">
        <v>120</v>
      </c>
      <c r="D998" t="s">
        <v>669</v>
      </c>
      <c r="E998" t="s">
        <v>669</v>
      </c>
      <c r="F998" s="705">
        <v>7</v>
      </c>
      <c r="G998" s="705">
        <v>777</v>
      </c>
      <c r="H998" s="705">
        <v>2253</v>
      </c>
      <c r="I998" s="705">
        <v>153371</v>
      </c>
      <c r="J998" s="705">
        <v>127809</v>
      </c>
      <c r="K998" s="705">
        <v>62</v>
      </c>
      <c r="L998" s="705">
        <v>21010</v>
      </c>
      <c r="M998" s="705">
        <v>15258</v>
      </c>
      <c r="N998" s="705">
        <v>16306</v>
      </c>
      <c r="O998" s="705">
        <v>6039</v>
      </c>
      <c r="P998" s="705">
        <v>4049</v>
      </c>
      <c r="Q998" s="705">
        <v>1500</v>
      </c>
      <c r="R998" s="705">
        <v>39873</v>
      </c>
      <c r="S998" s="705">
        <v>33227</v>
      </c>
      <c r="T998" s="705">
        <v>18075</v>
      </c>
      <c r="U998" s="705">
        <v>6694</v>
      </c>
      <c r="V998" s="705">
        <v>190527</v>
      </c>
      <c r="W998" s="705">
        <f t="shared" si="52"/>
        <v>190527</v>
      </c>
      <c r="X998" s="705">
        <f t="shared" si="53"/>
        <v>252684</v>
      </c>
      <c r="AI998" s="429"/>
    </row>
    <row r="999" spans="2:35">
      <c r="B999" t="s">
        <v>540</v>
      </c>
      <c r="C999" t="s">
        <v>120</v>
      </c>
      <c r="D999" t="s">
        <v>667</v>
      </c>
      <c r="E999" t="s">
        <v>667</v>
      </c>
      <c r="F999" s="705">
        <v>2</v>
      </c>
      <c r="G999" s="705">
        <v>220</v>
      </c>
      <c r="H999" s="705">
        <v>677</v>
      </c>
      <c r="I999" s="705">
        <v>38531</v>
      </c>
      <c r="J999" s="705">
        <v>35028</v>
      </c>
      <c r="K999" s="705">
        <v>60</v>
      </c>
      <c r="L999" s="705">
        <v>4961</v>
      </c>
      <c r="M999" s="705">
        <v>4510</v>
      </c>
      <c r="N999" s="705">
        <v>5359</v>
      </c>
      <c r="O999" s="705">
        <v>1985</v>
      </c>
      <c r="P999" s="705">
        <v>1053</v>
      </c>
      <c r="Q999" s="705">
        <v>390</v>
      </c>
      <c r="R999" s="705">
        <v>13455</v>
      </c>
      <c r="S999" s="705">
        <v>12232</v>
      </c>
      <c r="T999" s="705">
        <v>7212</v>
      </c>
      <c r="U999" s="705">
        <v>2671</v>
      </c>
      <c r="V999" s="705">
        <v>56816</v>
      </c>
      <c r="W999" s="705">
        <f t="shared" si="52"/>
        <v>56816</v>
      </c>
      <c r="X999" s="705">
        <f t="shared" si="53"/>
        <v>70571</v>
      </c>
      <c r="AI999" s="429"/>
    </row>
    <row r="1000" spans="2:35">
      <c r="B1000" t="s">
        <v>540</v>
      </c>
      <c r="C1000" t="s">
        <v>120</v>
      </c>
      <c r="D1000" t="s">
        <v>671</v>
      </c>
      <c r="E1000" t="s">
        <v>228</v>
      </c>
      <c r="F1000" s="705">
        <v>1</v>
      </c>
      <c r="G1000" s="705">
        <v>203</v>
      </c>
      <c r="H1000" s="705">
        <v>317</v>
      </c>
      <c r="I1000" s="705">
        <v>38973</v>
      </c>
      <c r="J1000" s="705">
        <v>35430</v>
      </c>
      <c r="K1000" s="705">
        <v>60</v>
      </c>
      <c r="L1000" s="705">
        <v>6377</v>
      </c>
      <c r="M1000" s="705">
        <v>2362</v>
      </c>
      <c r="N1000" s="705">
        <v>4812</v>
      </c>
      <c r="O1000" s="705">
        <v>1782</v>
      </c>
      <c r="P1000" s="705">
        <v>0</v>
      </c>
      <c r="Q1000" s="705">
        <v>0</v>
      </c>
      <c r="R1000" s="705">
        <v>14040</v>
      </c>
      <c r="S1000" s="705">
        <v>5200</v>
      </c>
      <c r="T1000" s="705">
        <v>0</v>
      </c>
      <c r="U1000" s="705">
        <v>0</v>
      </c>
      <c r="V1000" s="705">
        <v>44774</v>
      </c>
      <c r="W1000" s="705">
        <f t="shared" si="52"/>
        <v>44774</v>
      </c>
      <c r="X1000" s="705">
        <f t="shared" si="53"/>
        <v>64202</v>
      </c>
      <c r="AI1000" s="429"/>
    </row>
    <row r="1001" spans="2:35">
      <c r="B1001" t="s">
        <v>540</v>
      </c>
      <c r="C1001" t="s">
        <v>120</v>
      </c>
      <c r="D1001" t="s">
        <v>671</v>
      </c>
      <c r="E1001" t="s">
        <v>671</v>
      </c>
      <c r="F1001" s="705">
        <v>27</v>
      </c>
      <c r="G1001" s="705">
        <v>3174</v>
      </c>
      <c r="H1001" s="705">
        <v>9263</v>
      </c>
      <c r="I1001" s="705">
        <v>675101</v>
      </c>
      <c r="J1001" s="705">
        <v>613728</v>
      </c>
      <c r="K1001" s="705">
        <v>58</v>
      </c>
      <c r="L1001" s="705">
        <v>110187</v>
      </c>
      <c r="M1001" s="705">
        <v>95749</v>
      </c>
      <c r="N1001" s="705">
        <v>61260</v>
      </c>
      <c r="O1001" s="705">
        <v>22689</v>
      </c>
      <c r="P1001" s="705">
        <v>9666</v>
      </c>
      <c r="Q1001" s="705">
        <v>3580</v>
      </c>
      <c r="R1001" s="705">
        <v>175720</v>
      </c>
      <c r="S1001" s="705">
        <v>159746</v>
      </c>
      <c r="T1001" s="705">
        <v>52151</v>
      </c>
      <c r="U1001" s="705">
        <v>19315</v>
      </c>
      <c r="V1001" s="705">
        <v>914807</v>
      </c>
      <c r="W1001" s="705">
        <f t="shared" si="52"/>
        <v>914807</v>
      </c>
      <c r="X1001" s="705">
        <f t="shared" si="53"/>
        <v>1084085</v>
      </c>
      <c r="AI1001" s="429"/>
    </row>
    <row r="1002" spans="2:35">
      <c r="B1002" t="s">
        <v>540</v>
      </c>
      <c r="C1002" t="s">
        <v>120</v>
      </c>
      <c r="D1002" t="s">
        <v>665</v>
      </c>
      <c r="E1002" t="s">
        <v>228</v>
      </c>
      <c r="F1002" s="705">
        <v>8</v>
      </c>
      <c r="G1002" s="705">
        <v>891</v>
      </c>
      <c r="H1002" s="705">
        <v>2849</v>
      </c>
      <c r="I1002" s="705">
        <v>223579</v>
      </c>
      <c r="J1002" s="705">
        <v>203254</v>
      </c>
      <c r="K1002" s="705">
        <v>51</v>
      </c>
      <c r="L1002" s="705">
        <v>30420</v>
      </c>
      <c r="M1002" s="705">
        <v>17259</v>
      </c>
      <c r="N1002" s="705">
        <v>19465</v>
      </c>
      <c r="O1002" s="705">
        <v>7209</v>
      </c>
      <c r="P1002" s="705">
        <v>1404</v>
      </c>
      <c r="Q1002" s="705">
        <v>520</v>
      </c>
      <c r="R1002" s="705">
        <v>68976</v>
      </c>
      <c r="S1002" s="705">
        <v>25547</v>
      </c>
      <c r="T1002" s="705">
        <v>3375</v>
      </c>
      <c r="U1002" s="705">
        <v>1250</v>
      </c>
      <c r="V1002" s="705">
        <v>255040</v>
      </c>
      <c r="W1002" s="705">
        <f t="shared" si="52"/>
        <v>255039</v>
      </c>
      <c r="X1002" s="705">
        <f t="shared" si="53"/>
        <v>347219</v>
      </c>
      <c r="AI1002" s="429"/>
    </row>
    <row r="1003" spans="2:35">
      <c r="B1003" t="s">
        <v>540</v>
      </c>
      <c r="C1003" t="s">
        <v>120</v>
      </c>
      <c r="D1003" t="s">
        <v>665</v>
      </c>
      <c r="E1003" t="s">
        <v>583</v>
      </c>
      <c r="F1003" s="705">
        <v>1</v>
      </c>
      <c r="G1003" s="705">
        <v>71</v>
      </c>
      <c r="H1003" s="705">
        <v>316</v>
      </c>
      <c r="I1003" s="705">
        <v>24427</v>
      </c>
      <c r="J1003" s="705">
        <v>22207</v>
      </c>
      <c r="K1003" s="705">
        <v>65</v>
      </c>
      <c r="L1003" s="705">
        <v>4330</v>
      </c>
      <c r="M1003" s="705">
        <v>1604</v>
      </c>
      <c r="N1003" s="705">
        <v>2501</v>
      </c>
      <c r="O1003" s="705">
        <v>926</v>
      </c>
      <c r="P1003" s="705">
        <v>0</v>
      </c>
      <c r="Q1003" s="705">
        <v>0</v>
      </c>
      <c r="R1003" s="705">
        <v>4832</v>
      </c>
      <c r="S1003" s="705">
        <v>4393</v>
      </c>
      <c r="T1003" s="705">
        <v>2710</v>
      </c>
      <c r="U1003" s="705">
        <v>1004</v>
      </c>
      <c r="V1003" s="705">
        <v>30134</v>
      </c>
      <c r="W1003" s="705">
        <f t="shared" si="52"/>
        <v>30134</v>
      </c>
      <c r="X1003" s="705">
        <f t="shared" si="53"/>
        <v>38800</v>
      </c>
      <c r="AI1003" s="429"/>
    </row>
    <row r="1004" spans="2:35">
      <c r="B1004" t="s">
        <v>540</v>
      </c>
      <c r="C1004" t="s">
        <v>120</v>
      </c>
      <c r="D1004" t="s">
        <v>665</v>
      </c>
      <c r="E1004" t="s">
        <v>665</v>
      </c>
      <c r="F1004" s="705">
        <v>188</v>
      </c>
      <c r="G1004" s="705">
        <v>21688</v>
      </c>
      <c r="H1004" s="705">
        <v>64561</v>
      </c>
      <c r="I1004" s="705">
        <v>4759670</v>
      </c>
      <c r="J1004" s="705">
        <v>4326973</v>
      </c>
      <c r="K1004" s="705">
        <v>58</v>
      </c>
      <c r="L1004" s="705">
        <v>707929</v>
      </c>
      <c r="M1004" s="705">
        <v>597671</v>
      </c>
      <c r="N1004" s="705">
        <v>414480</v>
      </c>
      <c r="O1004" s="705">
        <v>153511</v>
      </c>
      <c r="P1004" s="705">
        <v>75358</v>
      </c>
      <c r="Q1004" s="705">
        <v>27910</v>
      </c>
      <c r="R1004" s="705">
        <v>1177675</v>
      </c>
      <c r="S1004" s="705">
        <v>1070614</v>
      </c>
      <c r="T1004" s="705">
        <v>420045</v>
      </c>
      <c r="U1004" s="705">
        <v>155572</v>
      </c>
      <c r="V1004" s="705">
        <v>6332251</v>
      </c>
      <c r="W1004" s="705">
        <f t="shared" si="52"/>
        <v>6332251</v>
      </c>
      <c r="X1004" s="705">
        <f t="shared" si="53"/>
        <v>7555157</v>
      </c>
      <c r="AI1004" s="429"/>
    </row>
    <row r="1005" spans="2:35">
      <c r="B1005" t="s">
        <v>540</v>
      </c>
      <c r="C1005" t="s">
        <v>120</v>
      </c>
      <c r="D1005" t="s">
        <v>665</v>
      </c>
      <c r="E1005" t="s">
        <v>722</v>
      </c>
      <c r="F1005" s="705">
        <v>1</v>
      </c>
      <c r="G1005" s="705">
        <v>149</v>
      </c>
      <c r="H1005" s="705">
        <v>311</v>
      </c>
      <c r="I1005" s="705">
        <v>26870</v>
      </c>
      <c r="J1005" s="705">
        <v>24427</v>
      </c>
      <c r="K1005" s="705">
        <v>60</v>
      </c>
      <c r="L1005" s="705">
        <v>5971</v>
      </c>
      <c r="M1005" s="705">
        <v>5428</v>
      </c>
      <c r="N1005" s="705">
        <v>3514</v>
      </c>
      <c r="O1005" s="705">
        <v>1301</v>
      </c>
      <c r="P1005" s="705">
        <v>351</v>
      </c>
      <c r="Q1005" s="705">
        <v>130</v>
      </c>
      <c r="R1005" s="705">
        <v>6267</v>
      </c>
      <c r="S1005" s="705">
        <v>5697</v>
      </c>
      <c r="T1005" s="705">
        <v>3459</v>
      </c>
      <c r="U1005" s="705">
        <v>1281</v>
      </c>
      <c r="V1005" s="705">
        <v>38265</v>
      </c>
      <c r="W1005" s="705">
        <f t="shared" si="52"/>
        <v>38264</v>
      </c>
      <c r="X1005" s="705">
        <f t="shared" si="53"/>
        <v>46432</v>
      </c>
      <c r="AI1005" s="429"/>
    </row>
    <row r="1006" spans="2:35">
      <c r="B1006" t="s">
        <v>540</v>
      </c>
      <c r="C1006" t="s">
        <v>120</v>
      </c>
      <c r="D1006" t="s">
        <v>673</v>
      </c>
      <c r="E1006" t="s">
        <v>228</v>
      </c>
      <c r="F1006" s="705">
        <v>3</v>
      </c>
      <c r="G1006" s="705">
        <v>178</v>
      </c>
      <c r="H1006" s="705">
        <v>1084</v>
      </c>
      <c r="I1006" s="705">
        <v>48374</v>
      </c>
      <c r="J1006" s="705">
        <v>43976</v>
      </c>
      <c r="K1006" s="705">
        <v>60</v>
      </c>
      <c r="L1006" s="705">
        <v>6235</v>
      </c>
      <c r="M1006" s="705">
        <v>2309</v>
      </c>
      <c r="N1006" s="705">
        <v>4109</v>
      </c>
      <c r="O1006" s="705">
        <v>1522</v>
      </c>
      <c r="P1006" s="705">
        <v>0</v>
      </c>
      <c r="Q1006" s="705">
        <v>0</v>
      </c>
      <c r="R1006" s="705">
        <v>20357</v>
      </c>
      <c r="S1006" s="705">
        <v>7540</v>
      </c>
      <c r="T1006" s="705">
        <v>0</v>
      </c>
      <c r="U1006" s="705">
        <v>0</v>
      </c>
      <c r="V1006" s="705">
        <v>55347</v>
      </c>
      <c r="W1006" s="705">
        <f t="shared" si="52"/>
        <v>55347</v>
      </c>
      <c r="X1006" s="705">
        <f t="shared" si="53"/>
        <v>79075</v>
      </c>
      <c r="AI1006" s="429"/>
    </row>
    <row r="1007" spans="2:35">
      <c r="B1007" t="s">
        <v>540</v>
      </c>
      <c r="C1007" t="s">
        <v>120</v>
      </c>
      <c r="D1007" t="s">
        <v>673</v>
      </c>
      <c r="E1007" t="s">
        <v>673</v>
      </c>
      <c r="F1007" s="705">
        <v>2</v>
      </c>
      <c r="G1007" s="705">
        <v>196</v>
      </c>
      <c r="H1007" s="705">
        <v>725</v>
      </c>
      <c r="I1007" s="705">
        <v>47178</v>
      </c>
      <c r="J1007" s="705">
        <v>42889</v>
      </c>
      <c r="K1007" s="705">
        <v>63</v>
      </c>
      <c r="L1007" s="705">
        <v>7280</v>
      </c>
      <c r="M1007" s="705">
        <v>6618</v>
      </c>
      <c r="N1007" s="705">
        <v>4017</v>
      </c>
      <c r="O1007" s="705">
        <v>1488</v>
      </c>
      <c r="P1007" s="705">
        <v>972</v>
      </c>
      <c r="Q1007" s="705">
        <v>360</v>
      </c>
      <c r="R1007" s="705">
        <v>9445</v>
      </c>
      <c r="S1007" s="705">
        <v>8586</v>
      </c>
      <c r="T1007" s="705">
        <v>2343</v>
      </c>
      <c r="U1007" s="705">
        <v>868</v>
      </c>
      <c r="V1007" s="705">
        <v>60809</v>
      </c>
      <c r="W1007" s="705">
        <f t="shared" si="52"/>
        <v>60809</v>
      </c>
      <c r="X1007" s="705">
        <f t="shared" si="53"/>
        <v>71235</v>
      </c>
      <c r="AI1007" s="429"/>
    </row>
    <row r="1008" spans="2:35">
      <c r="B1008" t="s">
        <v>540</v>
      </c>
      <c r="C1008" t="s">
        <v>122</v>
      </c>
      <c r="F1008" s="705">
        <v>1</v>
      </c>
      <c r="G1008" s="705">
        <v>55</v>
      </c>
      <c r="H1008" s="705">
        <v>416</v>
      </c>
      <c r="I1008" s="705"/>
      <c r="J1008" s="705">
        <v>0</v>
      </c>
      <c r="K1008" s="705"/>
      <c r="L1008" s="705"/>
      <c r="M1008" s="705">
        <v>0</v>
      </c>
      <c r="N1008" s="705">
        <v>1335</v>
      </c>
      <c r="O1008" s="705">
        <v>494</v>
      </c>
      <c r="P1008" s="705">
        <v>0</v>
      </c>
      <c r="Q1008" s="705">
        <v>0</v>
      </c>
      <c r="R1008" s="705"/>
      <c r="S1008" s="705">
        <v>0</v>
      </c>
      <c r="T1008" s="705">
        <v>0</v>
      </c>
      <c r="U1008" s="705">
        <v>0</v>
      </c>
      <c r="V1008" s="705">
        <v>494</v>
      </c>
      <c r="W1008" s="705">
        <f t="shared" si="52"/>
        <v>494</v>
      </c>
      <c r="X1008" s="705">
        <f t="shared" si="53"/>
        <v>1335</v>
      </c>
      <c r="AI1008" s="429"/>
    </row>
    <row r="1009" spans="2:35">
      <c r="B1009" t="s">
        <v>540</v>
      </c>
      <c r="C1009" t="s">
        <v>122</v>
      </c>
      <c r="D1009" t="s">
        <v>664</v>
      </c>
      <c r="E1009" t="s">
        <v>664</v>
      </c>
      <c r="F1009" s="705">
        <v>2</v>
      </c>
      <c r="G1009" s="705">
        <v>115</v>
      </c>
      <c r="H1009" s="705">
        <v>840</v>
      </c>
      <c r="I1009" s="705">
        <v>29420</v>
      </c>
      <c r="J1009" s="705">
        <v>26746</v>
      </c>
      <c r="K1009" s="705">
        <v>70</v>
      </c>
      <c r="L1009" s="705">
        <v>5944</v>
      </c>
      <c r="M1009" s="705">
        <v>5403</v>
      </c>
      <c r="N1009" s="705">
        <v>2638</v>
      </c>
      <c r="O1009" s="705">
        <v>977</v>
      </c>
      <c r="P1009" s="705">
        <v>945</v>
      </c>
      <c r="Q1009" s="705">
        <v>350</v>
      </c>
      <c r="R1009" s="705">
        <v>7890</v>
      </c>
      <c r="S1009" s="705">
        <v>7173</v>
      </c>
      <c r="T1009" s="705">
        <v>1374</v>
      </c>
      <c r="U1009" s="705">
        <v>509</v>
      </c>
      <c r="V1009" s="705">
        <v>41158</v>
      </c>
      <c r="W1009" s="705">
        <f t="shared" si="52"/>
        <v>41158</v>
      </c>
      <c r="X1009" s="705">
        <f t="shared" si="53"/>
        <v>48211</v>
      </c>
      <c r="AI1009" s="429"/>
    </row>
    <row r="1010" spans="2:35">
      <c r="B1010" t="s">
        <v>540</v>
      </c>
      <c r="C1010" t="s">
        <v>122</v>
      </c>
      <c r="D1010" t="s">
        <v>582</v>
      </c>
      <c r="E1010" t="s">
        <v>582</v>
      </c>
      <c r="F1010" s="705">
        <v>8</v>
      </c>
      <c r="G1010" s="705">
        <v>783</v>
      </c>
      <c r="H1010" s="705">
        <v>3219</v>
      </c>
      <c r="I1010" s="705">
        <v>215874</v>
      </c>
      <c r="J1010" s="705">
        <v>196249</v>
      </c>
      <c r="K1010" s="705">
        <v>87</v>
      </c>
      <c r="L1010" s="705">
        <v>40584</v>
      </c>
      <c r="M1010" s="705">
        <v>36895</v>
      </c>
      <c r="N1010" s="705">
        <v>15857</v>
      </c>
      <c r="O1010" s="705">
        <v>5873</v>
      </c>
      <c r="P1010" s="705">
        <v>3929</v>
      </c>
      <c r="Q1010" s="705">
        <v>1455</v>
      </c>
      <c r="R1010" s="705">
        <v>33577</v>
      </c>
      <c r="S1010" s="705">
        <v>30524</v>
      </c>
      <c r="T1010" s="705">
        <v>5285</v>
      </c>
      <c r="U1010" s="705">
        <v>1958</v>
      </c>
      <c r="V1010" s="705">
        <v>272954</v>
      </c>
      <c r="W1010" s="705">
        <f t="shared" si="52"/>
        <v>272954</v>
      </c>
      <c r="X1010" s="705">
        <f t="shared" si="53"/>
        <v>315106</v>
      </c>
      <c r="AI1010" s="429"/>
    </row>
    <row r="1011" spans="2:35">
      <c r="B1011" t="s">
        <v>540</v>
      </c>
      <c r="C1011" t="s">
        <v>122</v>
      </c>
      <c r="D1011" t="s">
        <v>228</v>
      </c>
      <c r="E1011" t="s">
        <v>228</v>
      </c>
      <c r="F1011" s="705">
        <v>86</v>
      </c>
      <c r="G1011" s="705">
        <v>8158</v>
      </c>
      <c r="H1011" s="705">
        <v>35682</v>
      </c>
      <c r="I1011" s="705">
        <v>2294944</v>
      </c>
      <c r="J1011" s="705">
        <v>849979</v>
      </c>
      <c r="K1011" s="705">
        <v>100</v>
      </c>
      <c r="L1011" s="705">
        <v>376409</v>
      </c>
      <c r="M1011" s="705">
        <v>275494</v>
      </c>
      <c r="N1011" s="705">
        <v>185224</v>
      </c>
      <c r="O1011" s="705">
        <v>68601</v>
      </c>
      <c r="P1011" s="705">
        <v>1879</v>
      </c>
      <c r="Q1011" s="705">
        <v>696</v>
      </c>
      <c r="R1011" s="705">
        <v>642671</v>
      </c>
      <c r="S1011" s="705">
        <v>238026</v>
      </c>
      <c r="T1011" s="705">
        <v>7330</v>
      </c>
      <c r="U1011" s="705">
        <v>2715</v>
      </c>
      <c r="V1011" s="705">
        <v>1435511</v>
      </c>
      <c r="W1011" s="705">
        <f t="shared" si="52"/>
        <v>1435511</v>
      </c>
      <c r="X1011" s="705">
        <f t="shared" si="53"/>
        <v>3508457</v>
      </c>
      <c r="AI1011" s="429"/>
    </row>
    <row r="1012" spans="2:35">
      <c r="B1012" t="s">
        <v>540</v>
      </c>
      <c r="C1012" t="s">
        <v>122</v>
      </c>
      <c r="D1012" t="s">
        <v>228</v>
      </c>
      <c r="E1012" t="s">
        <v>583</v>
      </c>
      <c r="F1012" s="705">
        <v>1</v>
      </c>
      <c r="G1012" s="705">
        <v>143</v>
      </c>
      <c r="H1012" s="705">
        <v>446</v>
      </c>
      <c r="I1012" s="705">
        <v>47114</v>
      </c>
      <c r="J1012" s="705">
        <v>17450</v>
      </c>
      <c r="K1012" s="705">
        <v>100</v>
      </c>
      <c r="L1012" s="705">
        <v>3555</v>
      </c>
      <c r="M1012" s="705">
        <v>3231</v>
      </c>
      <c r="N1012" s="705">
        <v>3331</v>
      </c>
      <c r="O1012" s="705">
        <v>1234</v>
      </c>
      <c r="P1012" s="705">
        <v>270</v>
      </c>
      <c r="Q1012" s="705">
        <v>100</v>
      </c>
      <c r="R1012" s="705">
        <v>6171</v>
      </c>
      <c r="S1012" s="705">
        <v>5610</v>
      </c>
      <c r="T1012" s="705">
        <v>3389</v>
      </c>
      <c r="U1012" s="705">
        <v>1255</v>
      </c>
      <c r="V1012" s="705">
        <v>28880</v>
      </c>
      <c r="W1012" s="705">
        <f t="shared" si="52"/>
        <v>28880</v>
      </c>
      <c r="X1012" s="705">
        <f t="shared" si="53"/>
        <v>63830</v>
      </c>
      <c r="AI1012" s="429"/>
    </row>
    <row r="1013" spans="2:35">
      <c r="B1013" t="s">
        <v>540</v>
      </c>
      <c r="C1013" t="s">
        <v>122</v>
      </c>
      <c r="D1013" t="s">
        <v>228</v>
      </c>
      <c r="E1013" t="s">
        <v>666</v>
      </c>
      <c r="F1013" s="705">
        <v>1</v>
      </c>
      <c r="G1013" s="705">
        <v>222</v>
      </c>
      <c r="H1013" s="705">
        <v>429</v>
      </c>
      <c r="I1013" s="705">
        <v>73820</v>
      </c>
      <c r="J1013" s="705">
        <v>27341</v>
      </c>
      <c r="K1013" s="705">
        <v>100</v>
      </c>
      <c r="L1013" s="705">
        <v>6076</v>
      </c>
      <c r="M1013" s="705">
        <v>5523</v>
      </c>
      <c r="N1013" s="705">
        <v>3706</v>
      </c>
      <c r="O1013" s="705">
        <v>1372</v>
      </c>
      <c r="P1013" s="705">
        <v>0</v>
      </c>
      <c r="Q1013" s="705">
        <v>0</v>
      </c>
      <c r="R1013" s="705">
        <v>7816</v>
      </c>
      <c r="S1013" s="705">
        <v>7105</v>
      </c>
      <c r="T1013" s="705">
        <v>3850</v>
      </c>
      <c r="U1013" s="705">
        <v>1426</v>
      </c>
      <c r="V1013" s="705">
        <v>42768</v>
      </c>
      <c r="W1013" s="705">
        <f t="shared" si="52"/>
        <v>42767</v>
      </c>
      <c r="X1013" s="705">
        <f t="shared" si="53"/>
        <v>95268</v>
      </c>
      <c r="AI1013" s="429"/>
    </row>
    <row r="1014" spans="2:35">
      <c r="B1014" t="s">
        <v>540</v>
      </c>
      <c r="C1014" t="s">
        <v>122</v>
      </c>
      <c r="D1014" t="s">
        <v>228</v>
      </c>
      <c r="E1014" t="s">
        <v>671</v>
      </c>
      <c r="F1014" s="705">
        <v>3</v>
      </c>
      <c r="G1014" s="705">
        <v>234</v>
      </c>
      <c r="H1014" s="705">
        <v>1261</v>
      </c>
      <c r="I1014" s="705">
        <v>56563</v>
      </c>
      <c r="J1014" s="705">
        <v>20949</v>
      </c>
      <c r="K1014" s="705">
        <v>100</v>
      </c>
      <c r="L1014" s="705">
        <v>13022</v>
      </c>
      <c r="M1014" s="705">
        <v>11839</v>
      </c>
      <c r="N1014" s="705">
        <v>3997</v>
      </c>
      <c r="O1014" s="705">
        <v>1480</v>
      </c>
      <c r="P1014" s="705">
        <v>0</v>
      </c>
      <c r="Q1014" s="705">
        <v>0</v>
      </c>
      <c r="R1014" s="705">
        <v>17779</v>
      </c>
      <c r="S1014" s="705">
        <v>16163</v>
      </c>
      <c r="T1014" s="705">
        <v>6411</v>
      </c>
      <c r="U1014" s="705">
        <v>2375</v>
      </c>
      <c r="V1014" s="705">
        <v>52806</v>
      </c>
      <c r="W1014" s="705">
        <f t="shared" si="52"/>
        <v>52806</v>
      </c>
      <c r="X1014" s="705">
        <f t="shared" si="53"/>
        <v>97772</v>
      </c>
      <c r="AI1014" s="429"/>
    </row>
    <row r="1015" spans="2:35">
      <c r="B1015" t="s">
        <v>540</v>
      </c>
      <c r="C1015" t="s">
        <v>122</v>
      </c>
      <c r="D1015" t="s">
        <v>228</v>
      </c>
      <c r="E1015" t="s">
        <v>665</v>
      </c>
      <c r="F1015" s="705">
        <v>10</v>
      </c>
      <c r="G1015" s="705">
        <v>731</v>
      </c>
      <c r="H1015" s="705">
        <v>4093</v>
      </c>
      <c r="I1015" s="705">
        <v>185939</v>
      </c>
      <c r="J1015" s="705">
        <v>68866</v>
      </c>
      <c r="K1015" s="705">
        <v>100</v>
      </c>
      <c r="L1015" s="705">
        <v>29494</v>
      </c>
      <c r="M1015" s="705">
        <v>24622</v>
      </c>
      <c r="N1015" s="705">
        <v>14688</v>
      </c>
      <c r="O1015" s="705">
        <v>5440</v>
      </c>
      <c r="P1015" s="705">
        <v>351</v>
      </c>
      <c r="Q1015" s="705">
        <v>130</v>
      </c>
      <c r="R1015" s="705">
        <v>55395</v>
      </c>
      <c r="S1015" s="705">
        <v>50359</v>
      </c>
      <c r="T1015" s="705">
        <v>13189</v>
      </c>
      <c r="U1015" s="705">
        <v>4885</v>
      </c>
      <c r="V1015" s="705">
        <v>154302</v>
      </c>
      <c r="W1015" s="705">
        <f t="shared" si="52"/>
        <v>154302</v>
      </c>
      <c r="X1015" s="705">
        <f t="shared" si="53"/>
        <v>299056</v>
      </c>
      <c r="AI1015" s="429"/>
    </row>
    <row r="1016" spans="2:35">
      <c r="B1016" t="s">
        <v>540</v>
      </c>
      <c r="C1016" t="s">
        <v>122</v>
      </c>
      <c r="D1016" t="s">
        <v>583</v>
      </c>
      <c r="E1016" t="s">
        <v>228</v>
      </c>
      <c r="F1016" s="705">
        <v>3</v>
      </c>
      <c r="G1016" s="705">
        <v>411</v>
      </c>
      <c r="H1016" s="705">
        <v>1248</v>
      </c>
      <c r="I1016" s="705">
        <v>110468</v>
      </c>
      <c r="J1016" s="705">
        <v>100426</v>
      </c>
      <c r="K1016" s="705">
        <v>76</v>
      </c>
      <c r="L1016" s="705">
        <v>23908</v>
      </c>
      <c r="M1016" s="705">
        <v>21735</v>
      </c>
      <c r="N1016" s="705">
        <v>9686</v>
      </c>
      <c r="O1016" s="705">
        <v>3587</v>
      </c>
      <c r="P1016" s="705">
        <v>1863</v>
      </c>
      <c r="Q1016" s="705">
        <v>690</v>
      </c>
      <c r="R1016" s="705">
        <v>25869</v>
      </c>
      <c r="S1016" s="705">
        <v>9581</v>
      </c>
      <c r="T1016" s="705">
        <v>0</v>
      </c>
      <c r="U1016" s="705">
        <v>0</v>
      </c>
      <c r="V1016" s="705">
        <v>136019</v>
      </c>
      <c r="W1016" s="705">
        <f t="shared" si="52"/>
        <v>136019</v>
      </c>
      <c r="X1016" s="705">
        <f t="shared" si="53"/>
        <v>171794</v>
      </c>
      <c r="AI1016" s="429"/>
    </row>
    <row r="1017" spans="2:35">
      <c r="B1017" t="s">
        <v>540</v>
      </c>
      <c r="C1017" t="s">
        <v>122</v>
      </c>
      <c r="D1017" t="s">
        <v>583</v>
      </c>
      <c r="E1017" t="s">
        <v>583</v>
      </c>
      <c r="F1017" s="705">
        <v>682</v>
      </c>
      <c r="G1017" s="705">
        <v>77391</v>
      </c>
      <c r="H1017" s="705">
        <v>281953</v>
      </c>
      <c r="I1017" s="705">
        <v>21532225</v>
      </c>
      <c r="J1017" s="705">
        <v>19574750</v>
      </c>
      <c r="K1017" s="705">
        <v>76</v>
      </c>
      <c r="L1017" s="705">
        <v>4139024</v>
      </c>
      <c r="M1017" s="705">
        <v>3630854</v>
      </c>
      <c r="N1017" s="705">
        <v>1652748</v>
      </c>
      <c r="O1017" s="705">
        <v>612129</v>
      </c>
      <c r="P1017" s="705">
        <v>450376</v>
      </c>
      <c r="Q1017" s="705">
        <v>166806</v>
      </c>
      <c r="R1017" s="705">
        <v>3601192</v>
      </c>
      <c r="S1017" s="705">
        <v>3273811</v>
      </c>
      <c r="T1017" s="705">
        <v>1140297</v>
      </c>
      <c r="U1017" s="705">
        <v>422332</v>
      </c>
      <c r="V1017" s="705">
        <v>27680681</v>
      </c>
      <c r="W1017" s="705">
        <f t="shared" si="52"/>
        <v>27680682</v>
      </c>
      <c r="X1017" s="705">
        <f t="shared" si="53"/>
        <v>32515862</v>
      </c>
      <c r="AI1017" s="429"/>
    </row>
    <row r="1018" spans="2:35">
      <c r="B1018" t="s">
        <v>540</v>
      </c>
      <c r="C1018" t="s">
        <v>122</v>
      </c>
      <c r="D1018" t="s">
        <v>583</v>
      </c>
      <c r="E1018" t="s">
        <v>669</v>
      </c>
      <c r="F1018" s="705">
        <v>1</v>
      </c>
      <c r="G1018" s="705">
        <v>146</v>
      </c>
      <c r="H1018" s="705">
        <v>418</v>
      </c>
      <c r="I1018" s="705">
        <v>43995</v>
      </c>
      <c r="J1018" s="705">
        <v>39996</v>
      </c>
      <c r="K1018" s="705">
        <v>79</v>
      </c>
      <c r="L1018" s="705">
        <v>5640</v>
      </c>
      <c r="M1018" s="705">
        <v>5128</v>
      </c>
      <c r="N1018" s="705">
        <v>2995</v>
      </c>
      <c r="O1018" s="705">
        <v>1109</v>
      </c>
      <c r="P1018" s="705">
        <v>621</v>
      </c>
      <c r="Q1018" s="705">
        <v>230</v>
      </c>
      <c r="R1018" s="705">
        <v>4889</v>
      </c>
      <c r="S1018" s="705">
        <v>4074</v>
      </c>
      <c r="T1018" s="705">
        <v>2979</v>
      </c>
      <c r="U1018" s="705">
        <v>1103</v>
      </c>
      <c r="V1018" s="705">
        <v>51640</v>
      </c>
      <c r="W1018" s="705">
        <f t="shared" si="52"/>
        <v>51640</v>
      </c>
      <c r="X1018" s="705">
        <f t="shared" si="53"/>
        <v>61119</v>
      </c>
      <c r="AI1018" s="429"/>
    </row>
    <row r="1019" spans="2:35">
      <c r="B1019" t="s">
        <v>540</v>
      </c>
      <c r="C1019" t="s">
        <v>122</v>
      </c>
      <c r="D1019" t="s">
        <v>583</v>
      </c>
      <c r="E1019" t="s">
        <v>671</v>
      </c>
      <c r="F1019" s="705">
        <v>2</v>
      </c>
      <c r="G1019" s="705">
        <v>205</v>
      </c>
      <c r="H1019" s="705">
        <v>858</v>
      </c>
      <c r="I1019" s="705">
        <v>51218</v>
      </c>
      <c r="J1019" s="705">
        <v>46562</v>
      </c>
      <c r="K1019" s="705">
        <v>68</v>
      </c>
      <c r="L1019" s="705">
        <v>12113</v>
      </c>
      <c r="M1019" s="705">
        <v>11012</v>
      </c>
      <c r="N1019" s="705">
        <v>4594</v>
      </c>
      <c r="O1019" s="705">
        <v>1702</v>
      </c>
      <c r="P1019" s="705">
        <v>1242</v>
      </c>
      <c r="Q1019" s="705">
        <v>460</v>
      </c>
      <c r="R1019" s="705">
        <v>16171</v>
      </c>
      <c r="S1019" s="705">
        <v>14701</v>
      </c>
      <c r="T1019" s="705">
        <v>2522</v>
      </c>
      <c r="U1019" s="705">
        <v>934</v>
      </c>
      <c r="V1019" s="705">
        <v>75370</v>
      </c>
      <c r="W1019" s="705">
        <f t="shared" si="52"/>
        <v>75371</v>
      </c>
      <c r="X1019" s="705">
        <f t="shared" si="53"/>
        <v>87860</v>
      </c>
      <c r="AI1019" s="429"/>
    </row>
    <row r="1020" spans="2:35">
      <c r="B1020" t="s">
        <v>540</v>
      </c>
      <c r="C1020" t="s">
        <v>122</v>
      </c>
      <c r="D1020" t="s">
        <v>583</v>
      </c>
      <c r="E1020" t="s">
        <v>665</v>
      </c>
      <c r="F1020" s="705">
        <v>4</v>
      </c>
      <c r="G1020" s="705">
        <v>432</v>
      </c>
      <c r="H1020" s="705">
        <v>1643</v>
      </c>
      <c r="I1020" s="705">
        <v>110237</v>
      </c>
      <c r="J1020" s="705">
        <v>100216</v>
      </c>
      <c r="K1020" s="705">
        <v>78</v>
      </c>
      <c r="L1020" s="705">
        <v>24318</v>
      </c>
      <c r="M1020" s="705">
        <v>22107</v>
      </c>
      <c r="N1020" s="705">
        <v>9180</v>
      </c>
      <c r="O1020" s="705">
        <v>3400</v>
      </c>
      <c r="P1020" s="705">
        <v>2484</v>
      </c>
      <c r="Q1020" s="705">
        <v>920</v>
      </c>
      <c r="R1020" s="705">
        <v>22898</v>
      </c>
      <c r="S1020" s="705">
        <v>20816</v>
      </c>
      <c r="T1020" s="705">
        <v>7744</v>
      </c>
      <c r="U1020" s="705">
        <v>2868</v>
      </c>
      <c r="V1020" s="705">
        <v>150327</v>
      </c>
      <c r="W1020" s="705">
        <f t="shared" si="52"/>
        <v>150327</v>
      </c>
      <c r="X1020" s="705">
        <f t="shared" si="53"/>
        <v>176861</v>
      </c>
      <c r="AI1020" s="429"/>
    </row>
    <row r="1021" spans="2:35">
      <c r="B1021" t="s">
        <v>540</v>
      </c>
      <c r="C1021" t="s">
        <v>122</v>
      </c>
      <c r="D1021" t="s">
        <v>666</v>
      </c>
      <c r="E1021" t="s">
        <v>666</v>
      </c>
      <c r="F1021" s="705">
        <v>7</v>
      </c>
      <c r="G1021" s="705">
        <v>680</v>
      </c>
      <c r="H1021" s="705">
        <v>2954</v>
      </c>
      <c r="I1021" s="705">
        <v>221234</v>
      </c>
      <c r="J1021" s="705">
        <v>201122</v>
      </c>
      <c r="K1021" s="705">
        <v>61</v>
      </c>
      <c r="L1021" s="705">
        <v>42049</v>
      </c>
      <c r="M1021" s="705">
        <v>33361</v>
      </c>
      <c r="N1021" s="705">
        <v>17568</v>
      </c>
      <c r="O1021" s="705">
        <v>6507</v>
      </c>
      <c r="P1021" s="705">
        <v>2873</v>
      </c>
      <c r="Q1021" s="705">
        <v>1064</v>
      </c>
      <c r="R1021" s="705">
        <v>41534</v>
      </c>
      <c r="S1021" s="705">
        <v>37758</v>
      </c>
      <c r="T1021" s="705">
        <v>13030</v>
      </c>
      <c r="U1021" s="705">
        <v>4826</v>
      </c>
      <c r="V1021" s="705">
        <v>284638</v>
      </c>
      <c r="W1021" s="705">
        <f t="shared" si="52"/>
        <v>284638</v>
      </c>
      <c r="X1021" s="705">
        <f t="shared" si="53"/>
        <v>338288</v>
      </c>
      <c r="AI1021" s="429"/>
    </row>
    <row r="1022" spans="2:35">
      <c r="B1022" t="s">
        <v>540</v>
      </c>
      <c r="C1022" t="s">
        <v>122</v>
      </c>
      <c r="D1022" t="s">
        <v>584</v>
      </c>
      <c r="E1022" t="s">
        <v>584</v>
      </c>
      <c r="F1022" s="705">
        <v>2</v>
      </c>
      <c r="G1022" s="705">
        <v>218</v>
      </c>
      <c r="H1022" s="705">
        <v>852</v>
      </c>
      <c r="I1022" s="705">
        <v>61583</v>
      </c>
      <c r="J1022" s="705">
        <v>55985</v>
      </c>
      <c r="K1022" s="705">
        <v>85</v>
      </c>
      <c r="L1022" s="705">
        <v>12589</v>
      </c>
      <c r="M1022" s="705">
        <v>11445</v>
      </c>
      <c r="N1022" s="705">
        <v>4945</v>
      </c>
      <c r="O1022" s="705">
        <v>1831</v>
      </c>
      <c r="P1022" s="705">
        <v>945</v>
      </c>
      <c r="Q1022" s="705">
        <v>350</v>
      </c>
      <c r="R1022" s="705">
        <v>9564</v>
      </c>
      <c r="S1022" s="705">
        <v>8694</v>
      </c>
      <c r="T1022" s="705">
        <v>2661</v>
      </c>
      <c r="U1022" s="705">
        <v>985</v>
      </c>
      <c r="V1022" s="705">
        <v>79291</v>
      </c>
      <c r="W1022" s="705">
        <f t="shared" si="52"/>
        <v>79290</v>
      </c>
      <c r="X1022" s="705">
        <f t="shared" si="53"/>
        <v>92287</v>
      </c>
      <c r="AI1022" s="429"/>
    </row>
    <row r="1023" spans="2:35">
      <c r="B1023" t="s">
        <v>540</v>
      </c>
      <c r="C1023" t="s">
        <v>122</v>
      </c>
      <c r="D1023" t="s">
        <v>669</v>
      </c>
      <c r="E1023" t="s">
        <v>669</v>
      </c>
      <c r="F1023" s="705">
        <v>8</v>
      </c>
      <c r="G1023" s="705">
        <v>755</v>
      </c>
      <c r="H1023" s="705">
        <v>3424</v>
      </c>
      <c r="I1023" s="705">
        <v>222824</v>
      </c>
      <c r="J1023" s="705">
        <v>185686</v>
      </c>
      <c r="K1023" s="705">
        <v>53</v>
      </c>
      <c r="L1023" s="705">
        <v>21376</v>
      </c>
      <c r="M1023" s="705">
        <v>17192</v>
      </c>
      <c r="N1023" s="705">
        <v>12881</v>
      </c>
      <c r="O1023" s="705">
        <v>4771</v>
      </c>
      <c r="P1023" s="705">
        <v>2808</v>
      </c>
      <c r="Q1023" s="705">
        <v>1040</v>
      </c>
      <c r="R1023" s="705">
        <v>49199</v>
      </c>
      <c r="S1023" s="705">
        <v>40999</v>
      </c>
      <c r="T1023" s="705">
        <v>13184</v>
      </c>
      <c r="U1023" s="705">
        <v>4883</v>
      </c>
      <c r="V1023" s="705">
        <v>254571</v>
      </c>
      <c r="W1023" s="705">
        <f t="shared" si="52"/>
        <v>254571</v>
      </c>
      <c r="X1023" s="705">
        <f t="shared" si="53"/>
        <v>322272</v>
      </c>
      <c r="AI1023" s="429"/>
    </row>
    <row r="1024" spans="2:35">
      <c r="B1024" t="s">
        <v>540</v>
      </c>
      <c r="C1024" t="s">
        <v>122</v>
      </c>
      <c r="D1024" t="s">
        <v>667</v>
      </c>
      <c r="E1024" t="s">
        <v>667</v>
      </c>
      <c r="F1024" s="705">
        <v>3</v>
      </c>
      <c r="G1024" s="705">
        <v>273</v>
      </c>
      <c r="H1024" s="705">
        <v>1254</v>
      </c>
      <c r="I1024" s="705">
        <v>68324</v>
      </c>
      <c r="J1024" s="705">
        <v>62113</v>
      </c>
      <c r="K1024" s="705">
        <v>50</v>
      </c>
      <c r="L1024" s="705">
        <v>12757</v>
      </c>
      <c r="M1024" s="705">
        <v>11598</v>
      </c>
      <c r="N1024" s="705">
        <v>5788</v>
      </c>
      <c r="O1024" s="705">
        <v>2144</v>
      </c>
      <c r="P1024" s="705">
        <v>1053</v>
      </c>
      <c r="Q1024" s="705">
        <v>390</v>
      </c>
      <c r="R1024" s="705">
        <v>23827</v>
      </c>
      <c r="S1024" s="705">
        <v>21660</v>
      </c>
      <c r="T1024" s="705">
        <v>2171</v>
      </c>
      <c r="U1024" s="705">
        <v>804</v>
      </c>
      <c r="V1024" s="705">
        <v>98709</v>
      </c>
      <c r="W1024" s="705">
        <f t="shared" si="52"/>
        <v>98709</v>
      </c>
      <c r="X1024" s="705">
        <f t="shared" si="53"/>
        <v>113920</v>
      </c>
      <c r="AI1024" s="429"/>
    </row>
    <row r="1025" spans="2:35">
      <c r="B1025" t="s">
        <v>540</v>
      </c>
      <c r="C1025" t="s">
        <v>122</v>
      </c>
      <c r="D1025" t="s">
        <v>671</v>
      </c>
      <c r="E1025" t="s">
        <v>228</v>
      </c>
      <c r="F1025" s="705">
        <v>2</v>
      </c>
      <c r="G1025" s="705">
        <v>179</v>
      </c>
      <c r="H1025" s="705">
        <v>845</v>
      </c>
      <c r="I1025" s="705">
        <v>49779</v>
      </c>
      <c r="J1025" s="705">
        <v>45253</v>
      </c>
      <c r="K1025" s="705">
        <v>58</v>
      </c>
      <c r="L1025" s="705">
        <v>9513</v>
      </c>
      <c r="M1025" s="705">
        <v>6916</v>
      </c>
      <c r="N1025" s="705">
        <v>4367</v>
      </c>
      <c r="O1025" s="705">
        <v>1617</v>
      </c>
      <c r="P1025" s="705">
        <v>351</v>
      </c>
      <c r="Q1025" s="705">
        <v>130</v>
      </c>
      <c r="R1025" s="705">
        <v>9486</v>
      </c>
      <c r="S1025" s="705">
        <v>3513</v>
      </c>
      <c r="T1025" s="705">
        <v>2144</v>
      </c>
      <c r="U1025" s="705">
        <v>794</v>
      </c>
      <c r="V1025" s="705">
        <v>58224</v>
      </c>
      <c r="W1025" s="705">
        <f t="shared" si="52"/>
        <v>58223</v>
      </c>
      <c r="X1025" s="705">
        <f t="shared" si="53"/>
        <v>75640</v>
      </c>
      <c r="AI1025" s="429"/>
    </row>
    <row r="1026" spans="2:35">
      <c r="B1026" t="s">
        <v>540</v>
      </c>
      <c r="C1026" t="s">
        <v>122</v>
      </c>
      <c r="D1026" t="s">
        <v>671</v>
      </c>
      <c r="E1026" t="s">
        <v>671</v>
      </c>
      <c r="F1026" s="705">
        <v>37</v>
      </c>
      <c r="G1026" s="705">
        <v>4068</v>
      </c>
      <c r="H1026" s="705">
        <v>15315</v>
      </c>
      <c r="I1026" s="705">
        <v>1102707</v>
      </c>
      <c r="J1026" s="705">
        <v>1002461</v>
      </c>
      <c r="K1026" s="705">
        <v>51</v>
      </c>
      <c r="L1026" s="705">
        <v>154187</v>
      </c>
      <c r="M1026" s="705">
        <v>138149</v>
      </c>
      <c r="N1026" s="705">
        <v>79813</v>
      </c>
      <c r="O1026" s="705">
        <v>29561</v>
      </c>
      <c r="P1026" s="705">
        <v>13176</v>
      </c>
      <c r="Q1026" s="705">
        <v>4880</v>
      </c>
      <c r="R1026" s="705">
        <v>241603</v>
      </c>
      <c r="S1026" s="705">
        <v>219639</v>
      </c>
      <c r="T1026" s="705">
        <v>88432</v>
      </c>
      <c r="U1026" s="705">
        <v>32753</v>
      </c>
      <c r="V1026" s="705">
        <v>1427442</v>
      </c>
      <c r="W1026" s="705">
        <f t="shared" si="52"/>
        <v>1427443</v>
      </c>
      <c r="X1026" s="705">
        <f t="shared" si="53"/>
        <v>1679918</v>
      </c>
      <c r="AI1026" s="429"/>
    </row>
    <row r="1027" spans="2:35">
      <c r="B1027" t="s">
        <v>540</v>
      </c>
      <c r="C1027" t="s">
        <v>122</v>
      </c>
      <c r="D1027" t="s">
        <v>665</v>
      </c>
      <c r="E1027" t="s">
        <v>228</v>
      </c>
      <c r="F1027" s="705">
        <v>4</v>
      </c>
      <c r="G1027" s="705">
        <v>435</v>
      </c>
      <c r="H1027" s="705">
        <v>1685</v>
      </c>
      <c r="I1027" s="705">
        <v>114383</v>
      </c>
      <c r="J1027" s="705">
        <v>103985</v>
      </c>
      <c r="K1027" s="705">
        <v>54</v>
      </c>
      <c r="L1027" s="705">
        <v>19288</v>
      </c>
      <c r="M1027" s="705">
        <v>15672</v>
      </c>
      <c r="N1027" s="705">
        <v>8850</v>
      </c>
      <c r="O1027" s="705">
        <v>3278</v>
      </c>
      <c r="P1027" s="705">
        <v>1053</v>
      </c>
      <c r="Q1027" s="705">
        <v>390</v>
      </c>
      <c r="R1027" s="705">
        <v>38518</v>
      </c>
      <c r="S1027" s="705">
        <v>14266</v>
      </c>
      <c r="T1027" s="705">
        <v>2847</v>
      </c>
      <c r="U1027" s="705">
        <v>1055</v>
      </c>
      <c r="V1027" s="705">
        <v>138645</v>
      </c>
      <c r="W1027" s="705">
        <f t="shared" si="52"/>
        <v>138646</v>
      </c>
      <c r="X1027" s="705">
        <f t="shared" si="53"/>
        <v>184939</v>
      </c>
      <c r="AI1027" s="429"/>
    </row>
    <row r="1028" spans="2:35">
      <c r="B1028" t="s">
        <v>540</v>
      </c>
      <c r="C1028" t="s">
        <v>122</v>
      </c>
      <c r="D1028" t="s">
        <v>665</v>
      </c>
      <c r="E1028" t="s">
        <v>583</v>
      </c>
      <c r="F1028" s="705">
        <v>1</v>
      </c>
      <c r="G1028" s="705">
        <v>126</v>
      </c>
      <c r="H1028" s="705">
        <v>444</v>
      </c>
      <c r="I1028" s="705">
        <v>31885</v>
      </c>
      <c r="J1028" s="705">
        <v>28986</v>
      </c>
      <c r="K1028" s="705">
        <v>45</v>
      </c>
      <c r="L1028" s="705">
        <v>9283</v>
      </c>
      <c r="M1028" s="705">
        <v>3438</v>
      </c>
      <c r="N1028" s="705">
        <v>2301</v>
      </c>
      <c r="O1028" s="705">
        <v>852</v>
      </c>
      <c r="P1028" s="705">
        <v>621</v>
      </c>
      <c r="Q1028" s="705">
        <v>230</v>
      </c>
      <c r="R1028" s="705">
        <v>11841</v>
      </c>
      <c r="S1028" s="705">
        <v>10764</v>
      </c>
      <c r="T1028" s="705">
        <v>0</v>
      </c>
      <c r="U1028" s="705">
        <v>0</v>
      </c>
      <c r="V1028" s="705">
        <v>44271</v>
      </c>
      <c r="W1028" s="705">
        <f t="shared" si="52"/>
        <v>44270</v>
      </c>
      <c r="X1028" s="705">
        <f t="shared" si="53"/>
        <v>55931</v>
      </c>
      <c r="AI1028" s="429"/>
    </row>
    <row r="1029" spans="2:35">
      <c r="B1029" t="s">
        <v>540</v>
      </c>
      <c r="C1029" t="s">
        <v>122</v>
      </c>
      <c r="D1029" t="s">
        <v>665</v>
      </c>
      <c r="E1029" t="s">
        <v>665</v>
      </c>
      <c r="F1029" s="705">
        <v>150</v>
      </c>
      <c r="G1029" s="705">
        <v>15798</v>
      </c>
      <c r="H1029" s="705">
        <v>62616</v>
      </c>
      <c r="I1029" s="705">
        <v>4348658</v>
      </c>
      <c r="J1029" s="705">
        <v>3953325</v>
      </c>
      <c r="K1029" s="705">
        <v>52</v>
      </c>
      <c r="L1029" s="705">
        <v>638913</v>
      </c>
      <c r="M1029" s="705">
        <v>545511</v>
      </c>
      <c r="N1029" s="705">
        <v>311939</v>
      </c>
      <c r="O1029" s="705">
        <v>115533</v>
      </c>
      <c r="P1029" s="705">
        <v>55457</v>
      </c>
      <c r="Q1029" s="705">
        <v>20539</v>
      </c>
      <c r="R1029" s="705">
        <v>990727</v>
      </c>
      <c r="S1029" s="705">
        <v>900661</v>
      </c>
      <c r="T1029" s="705">
        <v>354085</v>
      </c>
      <c r="U1029" s="705">
        <v>131143</v>
      </c>
      <c r="V1029" s="705">
        <v>5666712</v>
      </c>
      <c r="W1029" s="705">
        <f t="shared" si="52"/>
        <v>5666712</v>
      </c>
      <c r="X1029" s="705">
        <f t="shared" si="53"/>
        <v>6699779</v>
      </c>
      <c r="AI1029" s="429"/>
    </row>
    <row r="1030" spans="2:35">
      <c r="B1030" t="s">
        <v>540</v>
      </c>
      <c r="C1030" t="s">
        <v>122</v>
      </c>
      <c r="D1030" t="s">
        <v>673</v>
      </c>
      <c r="E1030" t="s">
        <v>228</v>
      </c>
      <c r="F1030" s="705">
        <v>2</v>
      </c>
      <c r="G1030" s="705">
        <v>101</v>
      </c>
      <c r="H1030" s="705">
        <v>800</v>
      </c>
      <c r="I1030" s="705">
        <v>20432</v>
      </c>
      <c r="J1030" s="705">
        <v>18574</v>
      </c>
      <c r="K1030" s="705">
        <v>68</v>
      </c>
      <c r="L1030" s="705">
        <v>4590</v>
      </c>
      <c r="M1030" s="705">
        <v>3313</v>
      </c>
      <c r="N1030" s="705">
        <v>1308</v>
      </c>
      <c r="O1030" s="705">
        <v>484</v>
      </c>
      <c r="P1030" s="705">
        <v>414</v>
      </c>
      <c r="Q1030" s="705">
        <v>153</v>
      </c>
      <c r="R1030" s="705">
        <v>13489</v>
      </c>
      <c r="S1030" s="705">
        <v>4996</v>
      </c>
      <c r="T1030" s="705">
        <v>0</v>
      </c>
      <c r="U1030" s="705">
        <v>0</v>
      </c>
      <c r="V1030" s="705">
        <v>27521</v>
      </c>
      <c r="W1030" s="705">
        <f t="shared" si="52"/>
        <v>27520</v>
      </c>
      <c r="X1030" s="705">
        <f t="shared" si="53"/>
        <v>40233</v>
      </c>
      <c r="AI1030" s="429"/>
    </row>
    <row r="1031" spans="2:35">
      <c r="B1031" t="s">
        <v>540</v>
      </c>
      <c r="C1031" t="s">
        <v>122</v>
      </c>
      <c r="D1031" t="s">
        <v>673</v>
      </c>
      <c r="E1031" t="s">
        <v>673</v>
      </c>
      <c r="F1031" s="705">
        <v>4</v>
      </c>
      <c r="G1031" s="705">
        <v>352</v>
      </c>
      <c r="H1031" s="705">
        <v>1706</v>
      </c>
      <c r="I1031" s="705">
        <v>93479</v>
      </c>
      <c r="J1031" s="705">
        <v>84981</v>
      </c>
      <c r="K1031" s="705">
        <v>64</v>
      </c>
      <c r="L1031" s="705">
        <v>13635</v>
      </c>
      <c r="M1031" s="705">
        <v>12395</v>
      </c>
      <c r="N1031" s="705">
        <v>6895</v>
      </c>
      <c r="O1031" s="705">
        <v>2554</v>
      </c>
      <c r="P1031" s="705">
        <v>1053</v>
      </c>
      <c r="Q1031" s="705">
        <v>390</v>
      </c>
      <c r="R1031" s="705">
        <v>26468</v>
      </c>
      <c r="S1031" s="705">
        <v>24062</v>
      </c>
      <c r="T1031" s="705">
        <v>8787</v>
      </c>
      <c r="U1031" s="705">
        <v>3254</v>
      </c>
      <c r="V1031" s="705">
        <v>127636</v>
      </c>
      <c r="W1031" s="705">
        <f t="shared" ref="W1031:W1094" si="54">SUM(ABS(J1031),ABS(M1031),ABS(O1031),ABS(Q1031),ABS(S1031),ABS(U1031))</f>
        <v>127636</v>
      </c>
      <c r="X1031" s="705">
        <f t="shared" ref="X1031:X1094" si="55">SUM(ABS(I1031),ABS(N1031),ABS(P1031),ABS(R1031),ABS(T1031),ABS(L1031))</f>
        <v>150317</v>
      </c>
      <c r="AI1031" s="429"/>
    </row>
    <row r="1032" spans="2:35">
      <c r="B1032" t="s">
        <v>540</v>
      </c>
      <c r="C1032" t="s">
        <v>122</v>
      </c>
      <c r="D1032" t="s">
        <v>585</v>
      </c>
      <c r="E1032" t="s">
        <v>585</v>
      </c>
      <c r="F1032" s="705">
        <v>1</v>
      </c>
      <c r="G1032" s="705">
        <v>35</v>
      </c>
      <c r="H1032" s="705">
        <v>432</v>
      </c>
      <c r="I1032" s="705">
        <v>19440</v>
      </c>
      <c r="J1032" s="705">
        <v>17672</v>
      </c>
      <c r="K1032" s="705">
        <v>87</v>
      </c>
      <c r="L1032" s="705">
        <v>4612</v>
      </c>
      <c r="M1032" s="705">
        <v>1708</v>
      </c>
      <c r="N1032" s="705">
        <v>1681</v>
      </c>
      <c r="O1032" s="705">
        <v>622</v>
      </c>
      <c r="P1032" s="705">
        <v>351</v>
      </c>
      <c r="Q1032" s="705">
        <v>130</v>
      </c>
      <c r="R1032" s="705">
        <v>3828</v>
      </c>
      <c r="S1032" s="705">
        <v>3480</v>
      </c>
      <c r="T1032" s="705">
        <v>0</v>
      </c>
      <c r="U1032" s="705">
        <v>0</v>
      </c>
      <c r="V1032" s="705">
        <v>23613</v>
      </c>
      <c r="W1032" s="705">
        <f t="shared" si="54"/>
        <v>23612</v>
      </c>
      <c r="X1032" s="705">
        <f t="shared" si="55"/>
        <v>29912</v>
      </c>
      <c r="AI1032" s="429"/>
    </row>
    <row r="1033" spans="2:35">
      <c r="B1033" t="s">
        <v>540</v>
      </c>
      <c r="C1033" t="s">
        <v>124</v>
      </c>
      <c r="F1033" s="705">
        <v>3</v>
      </c>
      <c r="G1033" s="705">
        <v>324</v>
      </c>
      <c r="H1033" s="705">
        <v>1659</v>
      </c>
      <c r="I1033" s="705"/>
      <c r="J1033" s="705">
        <v>0</v>
      </c>
      <c r="K1033" s="705"/>
      <c r="L1033" s="705"/>
      <c r="M1033" s="705">
        <v>0</v>
      </c>
      <c r="N1033" s="705">
        <v>7968</v>
      </c>
      <c r="O1033" s="705">
        <v>2951</v>
      </c>
      <c r="P1033" s="705">
        <v>621</v>
      </c>
      <c r="Q1033" s="705">
        <v>230</v>
      </c>
      <c r="R1033" s="705"/>
      <c r="S1033" s="705">
        <v>0</v>
      </c>
      <c r="T1033" s="705">
        <v>0</v>
      </c>
      <c r="U1033" s="705">
        <v>0</v>
      </c>
      <c r="V1033" s="705">
        <v>3181</v>
      </c>
      <c r="W1033" s="705">
        <f t="shared" si="54"/>
        <v>3181</v>
      </c>
      <c r="X1033" s="705">
        <f t="shared" si="55"/>
        <v>8589</v>
      </c>
      <c r="AI1033" s="429"/>
    </row>
    <row r="1034" spans="2:35">
      <c r="B1034" t="s">
        <v>540</v>
      </c>
      <c r="C1034" t="s">
        <v>124</v>
      </c>
      <c r="D1034" t="s">
        <v>674</v>
      </c>
      <c r="E1034" t="s">
        <v>228</v>
      </c>
      <c r="F1034" s="705">
        <v>1</v>
      </c>
      <c r="G1034" s="705">
        <v>83</v>
      </c>
      <c r="H1034" s="705">
        <v>567</v>
      </c>
      <c r="I1034" s="705">
        <v>55425</v>
      </c>
      <c r="J1034" s="705">
        <v>50387</v>
      </c>
      <c r="K1034" s="705">
        <v>60</v>
      </c>
      <c r="L1034" s="705">
        <v>5685</v>
      </c>
      <c r="M1034" s="705">
        <v>5168</v>
      </c>
      <c r="N1034" s="705">
        <v>2941</v>
      </c>
      <c r="O1034" s="705">
        <v>1089</v>
      </c>
      <c r="P1034" s="705">
        <v>0</v>
      </c>
      <c r="Q1034" s="705">
        <v>0</v>
      </c>
      <c r="R1034" s="705">
        <v>8384</v>
      </c>
      <c r="S1034" s="705">
        <v>3105</v>
      </c>
      <c r="T1034" s="705">
        <v>0</v>
      </c>
      <c r="U1034" s="705">
        <v>0</v>
      </c>
      <c r="V1034" s="705">
        <v>59749</v>
      </c>
      <c r="W1034" s="705">
        <f t="shared" si="54"/>
        <v>59749</v>
      </c>
      <c r="X1034" s="705">
        <f t="shared" si="55"/>
        <v>72435</v>
      </c>
      <c r="AI1034" s="429"/>
    </row>
    <row r="1035" spans="2:35">
      <c r="B1035" t="s">
        <v>540</v>
      </c>
      <c r="C1035" t="s">
        <v>124</v>
      </c>
      <c r="D1035" t="s">
        <v>664</v>
      </c>
      <c r="E1035" t="s">
        <v>664</v>
      </c>
      <c r="F1035" s="705">
        <v>3</v>
      </c>
      <c r="G1035" s="705">
        <v>187</v>
      </c>
      <c r="H1035" s="705">
        <v>1667</v>
      </c>
      <c r="I1035" s="705">
        <v>89638</v>
      </c>
      <c r="J1035" s="705">
        <v>81489</v>
      </c>
      <c r="K1035" s="705">
        <v>81</v>
      </c>
      <c r="L1035" s="705">
        <v>21422</v>
      </c>
      <c r="M1035" s="705">
        <v>19474</v>
      </c>
      <c r="N1035" s="705">
        <v>5932</v>
      </c>
      <c r="O1035" s="705">
        <v>2197</v>
      </c>
      <c r="P1035" s="705">
        <v>1418</v>
      </c>
      <c r="Q1035" s="705">
        <v>525</v>
      </c>
      <c r="R1035" s="705">
        <v>8671</v>
      </c>
      <c r="S1035" s="705">
        <v>7883</v>
      </c>
      <c r="T1035" s="705">
        <v>3750</v>
      </c>
      <c r="U1035" s="705">
        <v>1389</v>
      </c>
      <c r="V1035" s="705">
        <v>112958</v>
      </c>
      <c r="W1035" s="705">
        <f t="shared" si="54"/>
        <v>112957</v>
      </c>
      <c r="X1035" s="705">
        <f t="shared" si="55"/>
        <v>130831</v>
      </c>
      <c r="AI1035" s="429"/>
    </row>
    <row r="1036" spans="2:35">
      <c r="B1036" t="s">
        <v>540</v>
      </c>
      <c r="C1036" t="s">
        <v>124</v>
      </c>
      <c r="D1036" t="s">
        <v>664</v>
      </c>
      <c r="E1036" t="s">
        <v>228</v>
      </c>
      <c r="F1036" s="705">
        <v>2</v>
      </c>
      <c r="G1036" s="705">
        <v>220</v>
      </c>
      <c r="H1036" s="705">
        <v>1007</v>
      </c>
      <c r="I1036" s="705">
        <v>80914</v>
      </c>
      <c r="J1036" s="705">
        <v>73558</v>
      </c>
      <c r="K1036" s="705">
        <v>85</v>
      </c>
      <c r="L1036" s="705">
        <v>13824</v>
      </c>
      <c r="M1036" s="705">
        <v>9202</v>
      </c>
      <c r="N1036" s="705">
        <v>4877</v>
      </c>
      <c r="O1036" s="705">
        <v>1806</v>
      </c>
      <c r="P1036" s="705">
        <v>945</v>
      </c>
      <c r="Q1036" s="705">
        <v>350</v>
      </c>
      <c r="R1036" s="705">
        <v>12284</v>
      </c>
      <c r="S1036" s="705">
        <v>4550</v>
      </c>
      <c r="T1036" s="705">
        <v>0</v>
      </c>
      <c r="U1036" s="705">
        <v>0</v>
      </c>
      <c r="V1036" s="705">
        <v>89466</v>
      </c>
      <c r="W1036" s="705">
        <f t="shared" si="54"/>
        <v>89466</v>
      </c>
      <c r="X1036" s="705">
        <f t="shared" si="55"/>
        <v>112844</v>
      </c>
      <c r="AI1036" s="429"/>
    </row>
    <row r="1037" spans="2:35">
      <c r="B1037" t="s">
        <v>540</v>
      </c>
      <c r="C1037" t="s">
        <v>124</v>
      </c>
      <c r="D1037" t="s">
        <v>582</v>
      </c>
      <c r="E1037" t="s">
        <v>582</v>
      </c>
      <c r="F1037" s="705">
        <v>8</v>
      </c>
      <c r="G1037" s="705">
        <v>827</v>
      </c>
      <c r="H1037" s="705">
        <v>4116</v>
      </c>
      <c r="I1037" s="705">
        <v>285371</v>
      </c>
      <c r="J1037" s="705">
        <v>259428</v>
      </c>
      <c r="K1037" s="705">
        <v>73</v>
      </c>
      <c r="L1037" s="705">
        <v>58309</v>
      </c>
      <c r="M1037" s="705">
        <v>50197</v>
      </c>
      <c r="N1037" s="705">
        <v>18482</v>
      </c>
      <c r="O1037" s="705">
        <v>6845</v>
      </c>
      <c r="P1037" s="705">
        <v>3416</v>
      </c>
      <c r="Q1037" s="705">
        <v>1265</v>
      </c>
      <c r="R1037" s="705">
        <v>41342</v>
      </c>
      <c r="S1037" s="705">
        <v>37583</v>
      </c>
      <c r="T1037" s="705">
        <v>11541</v>
      </c>
      <c r="U1037" s="705">
        <v>4275</v>
      </c>
      <c r="V1037" s="705">
        <v>359593</v>
      </c>
      <c r="W1037" s="705">
        <f t="shared" si="54"/>
        <v>359593</v>
      </c>
      <c r="X1037" s="705">
        <f t="shared" si="55"/>
        <v>418461</v>
      </c>
      <c r="AI1037" s="429"/>
    </row>
    <row r="1038" spans="2:35">
      <c r="B1038" t="s">
        <v>540</v>
      </c>
      <c r="C1038" t="s">
        <v>124</v>
      </c>
      <c r="D1038" t="s">
        <v>582</v>
      </c>
      <c r="E1038" t="s">
        <v>228</v>
      </c>
      <c r="F1038" s="705">
        <v>7</v>
      </c>
      <c r="G1038" s="705">
        <v>428</v>
      </c>
      <c r="H1038" s="705">
        <v>3818</v>
      </c>
      <c r="I1038" s="705">
        <v>147144</v>
      </c>
      <c r="J1038" s="705">
        <v>133767</v>
      </c>
      <c r="K1038" s="705">
        <v>50</v>
      </c>
      <c r="L1038" s="705">
        <v>31868</v>
      </c>
      <c r="M1038" s="705">
        <v>11803</v>
      </c>
      <c r="N1038" s="705">
        <v>6392</v>
      </c>
      <c r="O1038" s="705">
        <v>2367</v>
      </c>
      <c r="P1038" s="705">
        <v>0</v>
      </c>
      <c r="Q1038" s="705">
        <v>0</v>
      </c>
      <c r="R1038" s="705">
        <v>47989</v>
      </c>
      <c r="S1038" s="705">
        <v>17774</v>
      </c>
      <c r="T1038" s="705">
        <v>0</v>
      </c>
      <c r="U1038" s="705">
        <v>0</v>
      </c>
      <c r="V1038" s="705">
        <v>165711</v>
      </c>
      <c r="W1038" s="705">
        <f t="shared" si="54"/>
        <v>165711</v>
      </c>
      <c r="X1038" s="705">
        <f t="shared" si="55"/>
        <v>233393</v>
      </c>
      <c r="AI1038" s="429"/>
    </row>
    <row r="1039" spans="2:35">
      <c r="B1039" t="s">
        <v>540</v>
      </c>
      <c r="C1039" t="s">
        <v>124</v>
      </c>
      <c r="D1039" t="s">
        <v>228</v>
      </c>
      <c r="E1039" t="s">
        <v>580</v>
      </c>
      <c r="F1039" s="705">
        <v>1</v>
      </c>
      <c r="G1039" s="705">
        <v>93</v>
      </c>
      <c r="H1039" s="705">
        <v>519</v>
      </c>
      <c r="I1039" s="705">
        <v>33949</v>
      </c>
      <c r="J1039" s="705">
        <v>12574</v>
      </c>
      <c r="K1039" s="705">
        <v>100</v>
      </c>
      <c r="L1039" s="705">
        <v>4657</v>
      </c>
      <c r="M1039" s="705">
        <v>4234</v>
      </c>
      <c r="N1039" s="705">
        <v>2269</v>
      </c>
      <c r="O1039" s="705">
        <v>840</v>
      </c>
      <c r="P1039" s="705">
        <v>0</v>
      </c>
      <c r="Q1039" s="705">
        <v>0</v>
      </c>
      <c r="R1039" s="705">
        <v>7494</v>
      </c>
      <c r="S1039" s="705">
        <v>2775</v>
      </c>
      <c r="T1039" s="705">
        <v>0</v>
      </c>
      <c r="U1039" s="705">
        <v>0</v>
      </c>
      <c r="V1039" s="705">
        <v>20423</v>
      </c>
      <c r="W1039" s="705">
        <f t="shared" si="54"/>
        <v>20423</v>
      </c>
      <c r="X1039" s="705">
        <f t="shared" si="55"/>
        <v>48369</v>
      </c>
      <c r="AI1039" s="429"/>
    </row>
    <row r="1040" spans="2:35">
      <c r="B1040" t="s">
        <v>540</v>
      </c>
      <c r="C1040" t="s">
        <v>124</v>
      </c>
      <c r="D1040" t="s">
        <v>228</v>
      </c>
      <c r="E1040" t="s">
        <v>664</v>
      </c>
      <c r="F1040" s="705">
        <v>1</v>
      </c>
      <c r="G1040" s="705">
        <v>112</v>
      </c>
      <c r="H1040" s="705">
        <v>492</v>
      </c>
      <c r="I1040" s="705">
        <v>41987</v>
      </c>
      <c r="J1040" s="705">
        <v>15551</v>
      </c>
      <c r="K1040" s="705">
        <v>100</v>
      </c>
      <c r="L1040" s="705">
        <v>7127</v>
      </c>
      <c r="M1040" s="705">
        <v>6479</v>
      </c>
      <c r="N1040" s="705">
        <v>1985</v>
      </c>
      <c r="O1040" s="705">
        <v>735</v>
      </c>
      <c r="P1040" s="705">
        <v>122</v>
      </c>
      <c r="Q1040" s="705">
        <v>45</v>
      </c>
      <c r="R1040" s="705">
        <v>4058</v>
      </c>
      <c r="S1040" s="705">
        <v>3689</v>
      </c>
      <c r="T1040" s="705">
        <v>0</v>
      </c>
      <c r="U1040" s="705">
        <v>0</v>
      </c>
      <c r="V1040" s="705">
        <v>26499</v>
      </c>
      <c r="W1040" s="705">
        <f t="shared" si="54"/>
        <v>26499</v>
      </c>
      <c r="X1040" s="705">
        <f t="shared" si="55"/>
        <v>55279</v>
      </c>
      <c r="AI1040" s="429"/>
    </row>
    <row r="1041" spans="2:35">
      <c r="B1041" t="s">
        <v>540</v>
      </c>
      <c r="C1041" t="s">
        <v>124</v>
      </c>
      <c r="D1041" t="s">
        <v>228</v>
      </c>
      <c r="E1041" t="s">
        <v>228</v>
      </c>
      <c r="F1041" s="705">
        <v>371</v>
      </c>
      <c r="G1041" s="705">
        <v>33556</v>
      </c>
      <c r="H1041" s="705">
        <v>275506</v>
      </c>
      <c r="I1041" s="705">
        <v>18301041</v>
      </c>
      <c r="J1041" s="705">
        <v>6778163</v>
      </c>
      <c r="K1041" s="705">
        <v>100</v>
      </c>
      <c r="L1041" s="705">
        <v>2976733</v>
      </c>
      <c r="M1041" s="705">
        <v>3458989</v>
      </c>
      <c r="N1041" s="705">
        <v>776129</v>
      </c>
      <c r="O1041" s="705">
        <v>287455</v>
      </c>
      <c r="P1041" s="705">
        <v>1674</v>
      </c>
      <c r="Q1041" s="705">
        <v>620</v>
      </c>
      <c r="R1041" s="705">
        <v>2565284</v>
      </c>
      <c r="S1041" s="705">
        <v>950105</v>
      </c>
      <c r="T1041" s="705">
        <v>5653</v>
      </c>
      <c r="U1041" s="705">
        <v>2094</v>
      </c>
      <c r="V1041" s="705">
        <v>11477426</v>
      </c>
      <c r="W1041" s="705">
        <f t="shared" si="54"/>
        <v>11477426</v>
      </c>
      <c r="X1041" s="705">
        <f t="shared" si="55"/>
        <v>24626514</v>
      </c>
      <c r="AI1041" s="429"/>
    </row>
    <row r="1042" spans="2:35">
      <c r="B1042" t="s">
        <v>540</v>
      </c>
      <c r="C1042" t="s">
        <v>124</v>
      </c>
      <c r="D1042" t="s">
        <v>228</v>
      </c>
      <c r="E1042" t="s">
        <v>583</v>
      </c>
      <c r="F1042" s="705">
        <v>6</v>
      </c>
      <c r="G1042" s="705">
        <v>861</v>
      </c>
      <c r="H1042" s="705">
        <v>4035</v>
      </c>
      <c r="I1042" s="705">
        <v>405700</v>
      </c>
      <c r="J1042" s="705">
        <v>150259</v>
      </c>
      <c r="K1042" s="705">
        <v>100</v>
      </c>
      <c r="L1042" s="705">
        <v>49075</v>
      </c>
      <c r="M1042" s="705">
        <v>44614</v>
      </c>
      <c r="N1042" s="705">
        <v>17342</v>
      </c>
      <c r="O1042" s="705">
        <v>6423</v>
      </c>
      <c r="P1042" s="705">
        <v>2754</v>
      </c>
      <c r="Q1042" s="705">
        <v>1020</v>
      </c>
      <c r="R1042" s="705">
        <v>31855</v>
      </c>
      <c r="S1042" s="705">
        <v>28959</v>
      </c>
      <c r="T1042" s="705">
        <v>18062</v>
      </c>
      <c r="U1042" s="705">
        <v>6689</v>
      </c>
      <c r="V1042" s="705">
        <v>237964</v>
      </c>
      <c r="W1042" s="705">
        <f t="shared" si="54"/>
        <v>237964</v>
      </c>
      <c r="X1042" s="705">
        <f t="shared" si="55"/>
        <v>524788</v>
      </c>
      <c r="AI1042" s="429"/>
    </row>
    <row r="1043" spans="2:35">
      <c r="B1043" t="s">
        <v>540</v>
      </c>
      <c r="C1043" t="s">
        <v>124</v>
      </c>
      <c r="D1043" t="s">
        <v>228</v>
      </c>
      <c r="E1043" t="s">
        <v>666</v>
      </c>
      <c r="F1043" s="705">
        <v>1</v>
      </c>
      <c r="G1043" s="705">
        <v>129</v>
      </c>
      <c r="H1043" s="705">
        <v>584</v>
      </c>
      <c r="I1043" s="705">
        <v>56511</v>
      </c>
      <c r="J1043" s="705">
        <v>20930</v>
      </c>
      <c r="K1043" s="705">
        <v>100</v>
      </c>
      <c r="L1043" s="705">
        <v>5685</v>
      </c>
      <c r="M1043" s="705">
        <v>5168</v>
      </c>
      <c r="N1043" s="705">
        <v>2908</v>
      </c>
      <c r="O1043" s="705">
        <v>1077</v>
      </c>
      <c r="P1043" s="705">
        <v>0</v>
      </c>
      <c r="Q1043" s="705">
        <v>0</v>
      </c>
      <c r="R1043" s="705">
        <v>7486</v>
      </c>
      <c r="S1043" s="705">
        <v>6805</v>
      </c>
      <c r="T1043" s="705">
        <v>2782</v>
      </c>
      <c r="U1043" s="705">
        <v>1030</v>
      </c>
      <c r="V1043" s="705">
        <v>35010</v>
      </c>
      <c r="W1043" s="705">
        <f t="shared" si="54"/>
        <v>35010</v>
      </c>
      <c r="X1043" s="705">
        <f t="shared" si="55"/>
        <v>75372</v>
      </c>
      <c r="AI1043" s="429"/>
    </row>
    <row r="1044" spans="2:35">
      <c r="B1044" t="s">
        <v>540</v>
      </c>
      <c r="C1044" t="s">
        <v>124</v>
      </c>
      <c r="D1044" t="s">
        <v>228</v>
      </c>
      <c r="E1044" t="s">
        <v>667</v>
      </c>
      <c r="F1044" s="705">
        <v>1</v>
      </c>
      <c r="G1044" s="705">
        <v>150</v>
      </c>
      <c r="H1044" s="705">
        <v>656</v>
      </c>
      <c r="I1044" s="705">
        <v>75925</v>
      </c>
      <c r="J1044" s="705">
        <v>28120</v>
      </c>
      <c r="K1044" s="705">
        <v>100</v>
      </c>
      <c r="L1044" s="705">
        <v>5728</v>
      </c>
      <c r="M1044" s="705">
        <v>5207</v>
      </c>
      <c r="N1044" s="705">
        <v>3472</v>
      </c>
      <c r="O1044" s="705">
        <v>1286</v>
      </c>
      <c r="P1044" s="705">
        <v>0</v>
      </c>
      <c r="Q1044" s="705">
        <v>0</v>
      </c>
      <c r="R1044" s="705">
        <v>13222</v>
      </c>
      <c r="S1044" s="705">
        <v>12020</v>
      </c>
      <c r="T1044" s="705">
        <v>0</v>
      </c>
      <c r="U1044" s="705">
        <v>0</v>
      </c>
      <c r="V1044" s="705">
        <v>46634</v>
      </c>
      <c r="W1044" s="705">
        <f t="shared" si="54"/>
        <v>46633</v>
      </c>
      <c r="X1044" s="705">
        <f t="shared" si="55"/>
        <v>98347</v>
      </c>
      <c r="AI1044" s="429"/>
    </row>
    <row r="1045" spans="2:35">
      <c r="B1045" t="s">
        <v>540</v>
      </c>
      <c r="C1045" t="s">
        <v>124</v>
      </c>
      <c r="D1045" t="s">
        <v>228</v>
      </c>
      <c r="E1045" t="s">
        <v>671</v>
      </c>
      <c r="F1045" s="705">
        <v>8</v>
      </c>
      <c r="G1045" s="705">
        <v>685</v>
      </c>
      <c r="H1045" s="705">
        <v>5296</v>
      </c>
      <c r="I1045" s="705">
        <v>322944</v>
      </c>
      <c r="J1045" s="705">
        <v>119609</v>
      </c>
      <c r="K1045" s="705">
        <v>100</v>
      </c>
      <c r="L1045" s="705">
        <v>44165</v>
      </c>
      <c r="M1045" s="705">
        <v>40150</v>
      </c>
      <c r="N1045" s="705">
        <v>13353</v>
      </c>
      <c r="O1045" s="705">
        <v>4946</v>
      </c>
      <c r="P1045" s="705">
        <v>0</v>
      </c>
      <c r="Q1045" s="705">
        <v>0</v>
      </c>
      <c r="R1045" s="705">
        <v>55239</v>
      </c>
      <c r="S1045" s="705">
        <v>50217</v>
      </c>
      <c r="T1045" s="705">
        <v>14043</v>
      </c>
      <c r="U1045" s="705">
        <v>5201</v>
      </c>
      <c r="V1045" s="705">
        <v>220123</v>
      </c>
      <c r="W1045" s="705">
        <f t="shared" si="54"/>
        <v>220123</v>
      </c>
      <c r="X1045" s="705">
        <f t="shared" si="55"/>
        <v>449744</v>
      </c>
      <c r="AI1045" s="429"/>
    </row>
    <row r="1046" spans="2:35">
      <c r="B1046" t="s">
        <v>540</v>
      </c>
      <c r="C1046" t="s">
        <v>124</v>
      </c>
      <c r="D1046" t="s">
        <v>228</v>
      </c>
      <c r="E1046" t="s">
        <v>665</v>
      </c>
      <c r="F1046" s="705">
        <v>58</v>
      </c>
      <c r="G1046" s="705">
        <v>5615</v>
      </c>
      <c r="H1046" s="705">
        <v>40417</v>
      </c>
      <c r="I1046" s="705">
        <v>2942510</v>
      </c>
      <c r="J1046" s="705">
        <v>1089819</v>
      </c>
      <c r="K1046" s="705">
        <v>100</v>
      </c>
      <c r="L1046" s="705">
        <v>386102</v>
      </c>
      <c r="M1046" s="705">
        <v>344205</v>
      </c>
      <c r="N1046" s="705">
        <v>123853</v>
      </c>
      <c r="O1046" s="705">
        <v>45872</v>
      </c>
      <c r="P1046" s="705">
        <v>2579</v>
      </c>
      <c r="Q1046" s="705">
        <v>955</v>
      </c>
      <c r="R1046" s="705">
        <v>401405</v>
      </c>
      <c r="S1046" s="705">
        <v>364914</v>
      </c>
      <c r="T1046" s="705">
        <v>102459</v>
      </c>
      <c r="U1046" s="705">
        <v>37948</v>
      </c>
      <c r="V1046" s="705">
        <v>1883712</v>
      </c>
      <c r="W1046" s="705">
        <f t="shared" si="54"/>
        <v>1883713</v>
      </c>
      <c r="X1046" s="705">
        <f t="shared" si="55"/>
        <v>3958908</v>
      </c>
      <c r="AI1046" s="429"/>
    </row>
    <row r="1047" spans="2:35">
      <c r="B1047" t="s">
        <v>540</v>
      </c>
      <c r="C1047" t="s">
        <v>124</v>
      </c>
      <c r="D1047" t="s">
        <v>228</v>
      </c>
      <c r="E1047" t="s">
        <v>722</v>
      </c>
      <c r="F1047" s="705">
        <v>1</v>
      </c>
      <c r="G1047" s="705">
        <v>131</v>
      </c>
      <c r="H1047" s="705">
        <v>615</v>
      </c>
      <c r="I1047" s="705">
        <v>62029</v>
      </c>
      <c r="J1047" s="705">
        <v>22974</v>
      </c>
      <c r="K1047" s="705">
        <v>100</v>
      </c>
      <c r="L1047" s="705">
        <v>6240</v>
      </c>
      <c r="M1047" s="705">
        <v>5673</v>
      </c>
      <c r="N1047" s="705">
        <v>2394</v>
      </c>
      <c r="O1047" s="705">
        <v>887</v>
      </c>
      <c r="P1047" s="705">
        <v>0</v>
      </c>
      <c r="Q1047" s="705">
        <v>0</v>
      </c>
      <c r="R1047" s="705">
        <v>7154</v>
      </c>
      <c r="S1047" s="705">
        <v>6504</v>
      </c>
      <c r="T1047" s="705">
        <v>2805</v>
      </c>
      <c r="U1047" s="705">
        <v>1039</v>
      </c>
      <c r="V1047" s="705">
        <v>37076</v>
      </c>
      <c r="W1047" s="705">
        <f t="shared" si="54"/>
        <v>37077</v>
      </c>
      <c r="X1047" s="705">
        <f t="shared" si="55"/>
        <v>80622</v>
      </c>
      <c r="AI1047" s="429"/>
    </row>
    <row r="1048" spans="2:35">
      <c r="B1048" t="s">
        <v>540</v>
      </c>
      <c r="C1048" t="s">
        <v>124</v>
      </c>
      <c r="D1048" t="s">
        <v>583</v>
      </c>
      <c r="E1048" t="s">
        <v>228</v>
      </c>
      <c r="F1048" s="705">
        <v>18</v>
      </c>
      <c r="G1048" s="705">
        <v>1735</v>
      </c>
      <c r="H1048" s="705">
        <v>10705</v>
      </c>
      <c r="I1048" s="705">
        <v>728258</v>
      </c>
      <c r="J1048" s="705">
        <v>662052</v>
      </c>
      <c r="K1048" s="705">
        <v>72</v>
      </c>
      <c r="L1048" s="705">
        <v>143984</v>
      </c>
      <c r="M1048" s="705">
        <v>125081</v>
      </c>
      <c r="N1048" s="705">
        <v>39889</v>
      </c>
      <c r="O1048" s="705">
        <v>14774</v>
      </c>
      <c r="P1048" s="705">
        <v>10908</v>
      </c>
      <c r="Q1048" s="705">
        <v>4040</v>
      </c>
      <c r="R1048" s="705">
        <v>118144</v>
      </c>
      <c r="S1048" s="705">
        <v>43757</v>
      </c>
      <c r="T1048" s="705">
        <v>0</v>
      </c>
      <c r="U1048" s="705">
        <v>0</v>
      </c>
      <c r="V1048" s="705">
        <v>849704</v>
      </c>
      <c r="W1048" s="705">
        <f t="shared" si="54"/>
        <v>849704</v>
      </c>
      <c r="X1048" s="705">
        <f t="shared" si="55"/>
        <v>1041183</v>
      </c>
      <c r="AI1048" s="429"/>
    </row>
    <row r="1049" spans="2:35">
      <c r="B1049" t="s">
        <v>540</v>
      </c>
      <c r="C1049" t="s">
        <v>124</v>
      </c>
      <c r="D1049" t="s">
        <v>583</v>
      </c>
      <c r="E1049" t="s">
        <v>583</v>
      </c>
      <c r="F1049" s="705">
        <v>723</v>
      </c>
      <c r="G1049" s="705">
        <v>74013</v>
      </c>
      <c r="H1049" s="705">
        <v>402775</v>
      </c>
      <c r="I1049" s="705">
        <v>28319198</v>
      </c>
      <c r="J1049" s="705">
        <v>25744725</v>
      </c>
      <c r="K1049" s="705">
        <v>71</v>
      </c>
      <c r="L1049" s="705">
        <v>5606180</v>
      </c>
      <c r="M1049" s="705">
        <v>4941064</v>
      </c>
      <c r="N1049" s="705">
        <v>1617994</v>
      </c>
      <c r="O1049" s="705">
        <v>599257</v>
      </c>
      <c r="P1049" s="705">
        <v>467062</v>
      </c>
      <c r="Q1049" s="705">
        <v>172986</v>
      </c>
      <c r="R1049" s="705">
        <v>3820421</v>
      </c>
      <c r="S1049" s="705">
        <v>3473110</v>
      </c>
      <c r="T1049" s="705">
        <v>1197862</v>
      </c>
      <c r="U1049" s="705">
        <v>443652</v>
      </c>
      <c r="V1049" s="705">
        <v>35374794</v>
      </c>
      <c r="W1049" s="705">
        <f t="shared" si="54"/>
        <v>35374794</v>
      </c>
      <c r="X1049" s="705">
        <f t="shared" si="55"/>
        <v>41028717</v>
      </c>
      <c r="AI1049" s="429"/>
    </row>
    <row r="1050" spans="2:35">
      <c r="B1050" t="s">
        <v>540</v>
      </c>
      <c r="C1050" t="s">
        <v>124</v>
      </c>
      <c r="D1050" t="s">
        <v>583</v>
      </c>
      <c r="E1050" t="s">
        <v>666</v>
      </c>
      <c r="F1050" s="705">
        <v>1</v>
      </c>
      <c r="G1050" s="705">
        <v>210</v>
      </c>
      <c r="H1050" s="705">
        <v>530</v>
      </c>
      <c r="I1050" s="705">
        <v>85917</v>
      </c>
      <c r="J1050" s="705">
        <v>78106</v>
      </c>
      <c r="K1050" s="705">
        <v>60</v>
      </c>
      <c r="L1050" s="705">
        <v>9069</v>
      </c>
      <c r="M1050" s="705">
        <v>8245</v>
      </c>
      <c r="N1050" s="705">
        <v>3831</v>
      </c>
      <c r="O1050" s="705">
        <v>1419</v>
      </c>
      <c r="P1050" s="705">
        <v>621</v>
      </c>
      <c r="Q1050" s="705">
        <v>230</v>
      </c>
      <c r="R1050" s="705">
        <v>11716</v>
      </c>
      <c r="S1050" s="705">
        <v>10651</v>
      </c>
      <c r="T1050" s="705">
        <v>0</v>
      </c>
      <c r="U1050" s="705">
        <v>0</v>
      </c>
      <c r="V1050" s="705">
        <v>98650</v>
      </c>
      <c r="W1050" s="705">
        <f t="shared" si="54"/>
        <v>98651</v>
      </c>
      <c r="X1050" s="705">
        <f t="shared" si="55"/>
        <v>111154</v>
      </c>
      <c r="AI1050" s="429"/>
    </row>
    <row r="1051" spans="2:35">
      <c r="B1051" t="s">
        <v>540</v>
      </c>
      <c r="C1051" t="s">
        <v>124</v>
      </c>
      <c r="D1051" t="s">
        <v>583</v>
      </c>
      <c r="E1051" t="s">
        <v>671</v>
      </c>
      <c r="F1051" s="705">
        <v>3</v>
      </c>
      <c r="G1051" s="705">
        <v>334</v>
      </c>
      <c r="H1051" s="705">
        <v>1583</v>
      </c>
      <c r="I1051" s="705">
        <v>106722</v>
      </c>
      <c r="J1051" s="705">
        <v>97020</v>
      </c>
      <c r="K1051" s="705">
        <v>68</v>
      </c>
      <c r="L1051" s="705">
        <v>25641</v>
      </c>
      <c r="M1051" s="705">
        <v>23310</v>
      </c>
      <c r="N1051" s="705">
        <v>6792</v>
      </c>
      <c r="O1051" s="705">
        <v>2516</v>
      </c>
      <c r="P1051" s="705">
        <v>1863</v>
      </c>
      <c r="Q1051" s="705">
        <v>690</v>
      </c>
      <c r="R1051" s="705">
        <v>26542</v>
      </c>
      <c r="S1051" s="705">
        <v>24129</v>
      </c>
      <c r="T1051" s="705">
        <v>6227</v>
      </c>
      <c r="U1051" s="705">
        <v>2306</v>
      </c>
      <c r="V1051" s="705">
        <v>149971</v>
      </c>
      <c r="W1051" s="705">
        <f t="shared" si="54"/>
        <v>149971</v>
      </c>
      <c r="X1051" s="705">
        <f t="shared" si="55"/>
        <v>173787</v>
      </c>
      <c r="AI1051" s="429"/>
    </row>
    <row r="1052" spans="2:35">
      <c r="B1052" t="s">
        <v>540</v>
      </c>
      <c r="C1052" t="s">
        <v>124</v>
      </c>
      <c r="D1052" t="s">
        <v>583</v>
      </c>
      <c r="E1052" t="s">
        <v>665</v>
      </c>
      <c r="F1052" s="705">
        <v>4</v>
      </c>
      <c r="G1052" s="705">
        <v>477</v>
      </c>
      <c r="H1052" s="705">
        <v>2037</v>
      </c>
      <c r="I1052" s="705">
        <v>154458</v>
      </c>
      <c r="J1052" s="705">
        <v>140417</v>
      </c>
      <c r="K1052" s="705">
        <v>80</v>
      </c>
      <c r="L1052" s="705">
        <v>34248</v>
      </c>
      <c r="M1052" s="705">
        <v>31135</v>
      </c>
      <c r="N1052" s="705">
        <v>11259</v>
      </c>
      <c r="O1052" s="705">
        <v>4170</v>
      </c>
      <c r="P1052" s="705">
        <v>2484</v>
      </c>
      <c r="Q1052" s="705">
        <v>920</v>
      </c>
      <c r="R1052" s="705">
        <v>35269</v>
      </c>
      <c r="S1052" s="705">
        <v>32063</v>
      </c>
      <c r="T1052" s="705">
        <v>5332</v>
      </c>
      <c r="U1052" s="705">
        <v>1975</v>
      </c>
      <c r="V1052" s="705">
        <v>210679</v>
      </c>
      <c r="W1052" s="705">
        <f t="shared" si="54"/>
        <v>210680</v>
      </c>
      <c r="X1052" s="705">
        <f t="shared" si="55"/>
        <v>243050</v>
      </c>
      <c r="AI1052" s="429"/>
    </row>
    <row r="1053" spans="2:35">
      <c r="B1053" t="s">
        <v>540</v>
      </c>
      <c r="C1053" t="s">
        <v>124</v>
      </c>
      <c r="D1053" t="s">
        <v>666</v>
      </c>
      <c r="E1053" t="s">
        <v>674</v>
      </c>
      <c r="F1053" s="705">
        <v>1</v>
      </c>
      <c r="G1053" s="705">
        <v>50</v>
      </c>
      <c r="H1053" s="705">
        <v>1215</v>
      </c>
      <c r="I1053" s="705">
        <v>46596</v>
      </c>
      <c r="J1053" s="705">
        <v>42360</v>
      </c>
      <c r="K1053" s="705">
        <v>45</v>
      </c>
      <c r="L1053" s="705">
        <v>0</v>
      </c>
      <c r="M1053" s="705">
        <v>0</v>
      </c>
      <c r="N1053" s="705">
        <v>1214</v>
      </c>
      <c r="O1053" s="705">
        <v>450</v>
      </c>
      <c r="P1053" s="705">
        <v>351</v>
      </c>
      <c r="Q1053" s="705">
        <v>130</v>
      </c>
      <c r="R1053" s="705">
        <v>12387</v>
      </c>
      <c r="S1053" s="705">
        <v>11261</v>
      </c>
      <c r="T1053" s="705">
        <v>0</v>
      </c>
      <c r="U1053" s="705">
        <v>0</v>
      </c>
      <c r="V1053" s="705">
        <v>54201</v>
      </c>
      <c r="W1053" s="705">
        <f t="shared" si="54"/>
        <v>54201</v>
      </c>
      <c r="X1053" s="705">
        <f t="shared" si="55"/>
        <v>60548</v>
      </c>
      <c r="AI1053" s="429"/>
    </row>
    <row r="1054" spans="2:35">
      <c r="B1054" t="s">
        <v>540</v>
      </c>
      <c r="C1054" t="s">
        <v>124</v>
      </c>
      <c r="D1054" t="s">
        <v>666</v>
      </c>
      <c r="E1054" t="s">
        <v>228</v>
      </c>
      <c r="F1054" s="705">
        <v>4</v>
      </c>
      <c r="G1054" s="705">
        <v>235</v>
      </c>
      <c r="H1054" s="705">
        <v>6253</v>
      </c>
      <c r="I1054" s="705">
        <v>316672</v>
      </c>
      <c r="J1054" s="705">
        <v>287883</v>
      </c>
      <c r="K1054" s="705">
        <v>30</v>
      </c>
      <c r="L1054" s="705">
        <v>12763</v>
      </c>
      <c r="M1054" s="705">
        <v>11603</v>
      </c>
      <c r="N1054" s="705">
        <v>5256</v>
      </c>
      <c r="O1054" s="705">
        <v>1947</v>
      </c>
      <c r="P1054" s="705">
        <v>0</v>
      </c>
      <c r="Q1054" s="705">
        <v>0</v>
      </c>
      <c r="R1054" s="705">
        <v>17388</v>
      </c>
      <c r="S1054" s="705">
        <v>6440</v>
      </c>
      <c r="T1054" s="705">
        <v>0</v>
      </c>
      <c r="U1054" s="705">
        <v>0</v>
      </c>
      <c r="V1054" s="705">
        <v>307873</v>
      </c>
      <c r="W1054" s="705">
        <f t="shared" si="54"/>
        <v>307873</v>
      </c>
      <c r="X1054" s="705">
        <f t="shared" si="55"/>
        <v>352079</v>
      </c>
      <c r="AI1054" s="429"/>
    </row>
    <row r="1055" spans="2:35">
      <c r="B1055" t="s">
        <v>540</v>
      </c>
      <c r="C1055" t="s">
        <v>124</v>
      </c>
      <c r="D1055" t="s">
        <v>666</v>
      </c>
      <c r="E1055" t="s">
        <v>583</v>
      </c>
      <c r="F1055" s="705">
        <v>1</v>
      </c>
      <c r="G1055" s="705">
        <v>134</v>
      </c>
      <c r="H1055" s="705">
        <v>657</v>
      </c>
      <c r="I1055" s="705">
        <v>75455</v>
      </c>
      <c r="J1055" s="705">
        <v>68596</v>
      </c>
      <c r="K1055" s="705">
        <v>45</v>
      </c>
      <c r="L1055" s="705">
        <v>0</v>
      </c>
      <c r="M1055" s="705">
        <v>0</v>
      </c>
      <c r="N1055" s="705">
        <v>2978</v>
      </c>
      <c r="O1055" s="705">
        <v>1103</v>
      </c>
      <c r="P1055" s="705">
        <v>351</v>
      </c>
      <c r="Q1055" s="705">
        <v>130</v>
      </c>
      <c r="R1055" s="705">
        <v>6809</v>
      </c>
      <c r="S1055" s="705">
        <v>6190</v>
      </c>
      <c r="T1055" s="705">
        <v>2617</v>
      </c>
      <c r="U1055" s="705">
        <v>969</v>
      </c>
      <c r="V1055" s="705">
        <v>76988</v>
      </c>
      <c r="W1055" s="705">
        <f t="shared" si="54"/>
        <v>76988</v>
      </c>
      <c r="X1055" s="705">
        <f t="shared" si="55"/>
        <v>88210</v>
      </c>
      <c r="AI1055" s="429"/>
    </row>
    <row r="1056" spans="2:35">
      <c r="B1056" t="s">
        <v>540</v>
      </c>
      <c r="C1056" t="s">
        <v>124</v>
      </c>
      <c r="D1056" t="s">
        <v>666</v>
      </c>
      <c r="E1056" t="s">
        <v>666</v>
      </c>
      <c r="F1056" s="705">
        <v>13</v>
      </c>
      <c r="G1056" s="705">
        <v>1242</v>
      </c>
      <c r="H1056" s="705">
        <v>9561</v>
      </c>
      <c r="I1056" s="705">
        <v>650299</v>
      </c>
      <c r="J1056" s="705">
        <v>591181</v>
      </c>
      <c r="K1056" s="705">
        <v>52</v>
      </c>
      <c r="L1056" s="705">
        <v>117362</v>
      </c>
      <c r="M1056" s="705">
        <v>101083</v>
      </c>
      <c r="N1056" s="705">
        <v>25324</v>
      </c>
      <c r="O1056" s="705">
        <v>9379</v>
      </c>
      <c r="P1056" s="705">
        <v>4563</v>
      </c>
      <c r="Q1056" s="705">
        <v>1690</v>
      </c>
      <c r="R1056" s="705">
        <v>83159</v>
      </c>
      <c r="S1056" s="705">
        <v>75599</v>
      </c>
      <c r="T1056" s="705">
        <v>20357</v>
      </c>
      <c r="U1056" s="705">
        <v>7540</v>
      </c>
      <c r="V1056" s="705">
        <v>786472</v>
      </c>
      <c r="W1056" s="705">
        <f t="shared" si="54"/>
        <v>786472</v>
      </c>
      <c r="X1056" s="705">
        <f t="shared" si="55"/>
        <v>901064</v>
      </c>
      <c r="AI1056" s="429"/>
    </row>
    <row r="1057" spans="2:35">
      <c r="B1057" t="s">
        <v>540</v>
      </c>
      <c r="C1057" t="s">
        <v>124</v>
      </c>
      <c r="D1057" t="s">
        <v>584</v>
      </c>
      <c r="E1057" t="s">
        <v>584</v>
      </c>
      <c r="F1057" s="705">
        <v>4</v>
      </c>
      <c r="G1057" s="705">
        <v>490</v>
      </c>
      <c r="H1057" s="705">
        <v>2186</v>
      </c>
      <c r="I1057" s="705">
        <v>190902</v>
      </c>
      <c r="J1057" s="705">
        <v>173547</v>
      </c>
      <c r="K1057" s="705">
        <v>74</v>
      </c>
      <c r="L1057" s="705">
        <v>30000</v>
      </c>
      <c r="M1057" s="705">
        <v>26245</v>
      </c>
      <c r="N1057" s="705">
        <v>9392</v>
      </c>
      <c r="O1057" s="705">
        <v>3479</v>
      </c>
      <c r="P1057" s="705">
        <v>1890</v>
      </c>
      <c r="Q1057" s="705">
        <v>700</v>
      </c>
      <c r="R1057" s="705">
        <v>20294</v>
      </c>
      <c r="S1057" s="705">
        <v>18449</v>
      </c>
      <c r="T1057" s="705">
        <v>5496</v>
      </c>
      <c r="U1057" s="705">
        <v>2035</v>
      </c>
      <c r="V1057" s="705">
        <v>224455</v>
      </c>
      <c r="W1057" s="705">
        <f t="shared" si="54"/>
        <v>224455</v>
      </c>
      <c r="X1057" s="705">
        <f t="shared" si="55"/>
        <v>257974</v>
      </c>
      <c r="AI1057" s="429"/>
    </row>
    <row r="1058" spans="2:35">
      <c r="B1058" t="s">
        <v>540</v>
      </c>
      <c r="C1058" t="s">
        <v>124</v>
      </c>
      <c r="D1058" t="s">
        <v>669</v>
      </c>
      <c r="E1058" t="s">
        <v>228</v>
      </c>
      <c r="F1058" s="705">
        <v>3</v>
      </c>
      <c r="G1058" s="705">
        <v>236</v>
      </c>
      <c r="H1058" s="705">
        <v>4812</v>
      </c>
      <c r="I1058" s="705">
        <v>335558</v>
      </c>
      <c r="J1058" s="705">
        <v>279632</v>
      </c>
      <c r="K1058" s="705">
        <v>30</v>
      </c>
      <c r="L1058" s="705">
        <v>16852</v>
      </c>
      <c r="M1058" s="705">
        <v>11271</v>
      </c>
      <c r="N1058" s="705">
        <v>5753</v>
      </c>
      <c r="O1058" s="705">
        <v>2131</v>
      </c>
      <c r="P1058" s="705">
        <v>0</v>
      </c>
      <c r="Q1058" s="705">
        <v>0</v>
      </c>
      <c r="R1058" s="705">
        <v>13789</v>
      </c>
      <c r="S1058" s="705">
        <v>5107</v>
      </c>
      <c r="T1058" s="705">
        <v>0</v>
      </c>
      <c r="U1058" s="705">
        <v>0</v>
      </c>
      <c r="V1058" s="705">
        <v>298141</v>
      </c>
      <c r="W1058" s="705">
        <f t="shared" si="54"/>
        <v>298141</v>
      </c>
      <c r="X1058" s="705">
        <f t="shared" si="55"/>
        <v>371952</v>
      </c>
      <c r="AI1058" s="429"/>
    </row>
    <row r="1059" spans="2:35">
      <c r="B1059" t="s">
        <v>540</v>
      </c>
      <c r="C1059" t="s">
        <v>124</v>
      </c>
      <c r="D1059" t="s">
        <v>669</v>
      </c>
      <c r="E1059" t="s">
        <v>583</v>
      </c>
      <c r="F1059" s="705">
        <v>3</v>
      </c>
      <c r="G1059" s="705">
        <v>671</v>
      </c>
      <c r="H1059" s="705">
        <v>3099</v>
      </c>
      <c r="I1059" s="705">
        <v>571946</v>
      </c>
      <c r="J1059" s="705">
        <v>476621</v>
      </c>
      <c r="K1059" s="705">
        <v>30</v>
      </c>
      <c r="L1059" s="705">
        <v>42896</v>
      </c>
      <c r="M1059" s="705">
        <v>15887</v>
      </c>
      <c r="N1059" s="705">
        <v>15054</v>
      </c>
      <c r="O1059" s="705">
        <v>5576</v>
      </c>
      <c r="P1059" s="705">
        <v>270</v>
      </c>
      <c r="Q1059" s="705">
        <v>100</v>
      </c>
      <c r="R1059" s="705">
        <v>22050</v>
      </c>
      <c r="S1059" s="705">
        <v>20046</v>
      </c>
      <c r="T1059" s="705">
        <v>4431</v>
      </c>
      <c r="U1059" s="705">
        <v>1641</v>
      </c>
      <c r="V1059" s="705">
        <v>519871</v>
      </c>
      <c r="W1059" s="705">
        <f t="shared" si="54"/>
        <v>519871</v>
      </c>
      <c r="X1059" s="705">
        <f t="shared" si="55"/>
        <v>656647</v>
      </c>
      <c r="AI1059" s="429"/>
    </row>
    <row r="1060" spans="2:35">
      <c r="B1060" t="s">
        <v>540</v>
      </c>
      <c r="C1060" t="s">
        <v>124</v>
      </c>
      <c r="D1060" t="s">
        <v>669</v>
      </c>
      <c r="E1060" t="s">
        <v>669</v>
      </c>
      <c r="F1060" s="705">
        <v>11</v>
      </c>
      <c r="G1060" s="705">
        <v>908</v>
      </c>
      <c r="H1060" s="705">
        <v>8512</v>
      </c>
      <c r="I1060" s="705">
        <v>541302</v>
      </c>
      <c r="J1060" s="705">
        <v>451085</v>
      </c>
      <c r="K1060" s="705">
        <v>51</v>
      </c>
      <c r="L1060" s="705">
        <v>61728</v>
      </c>
      <c r="M1060" s="705">
        <v>42378</v>
      </c>
      <c r="N1060" s="705">
        <v>18901</v>
      </c>
      <c r="O1060" s="705">
        <v>7000</v>
      </c>
      <c r="P1060" s="705">
        <v>3510</v>
      </c>
      <c r="Q1060" s="705">
        <v>1300</v>
      </c>
      <c r="R1060" s="705">
        <v>69653</v>
      </c>
      <c r="S1060" s="705">
        <v>58044</v>
      </c>
      <c r="T1060" s="705">
        <v>20198</v>
      </c>
      <c r="U1060" s="705">
        <v>7481</v>
      </c>
      <c r="V1060" s="705">
        <v>567288</v>
      </c>
      <c r="W1060" s="705">
        <f t="shared" si="54"/>
        <v>567288</v>
      </c>
      <c r="X1060" s="705">
        <f t="shared" si="55"/>
        <v>715292</v>
      </c>
      <c r="AI1060" s="429"/>
    </row>
    <row r="1061" spans="2:35">
      <c r="B1061" t="s">
        <v>540</v>
      </c>
      <c r="C1061" t="s">
        <v>124</v>
      </c>
      <c r="D1061" t="s">
        <v>667</v>
      </c>
      <c r="E1061" t="s">
        <v>228</v>
      </c>
      <c r="F1061" s="705">
        <v>2</v>
      </c>
      <c r="G1061" s="705">
        <v>195</v>
      </c>
      <c r="H1061" s="705">
        <v>1946</v>
      </c>
      <c r="I1061" s="705">
        <v>164568</v>
      </c>
      <c r="J1061" s="705">
        <v>149608</v>
      </c>
      <c r="K1061" s="705">
        <v>45</v>
      </c>
      <c r="L1061" s="705">
        <v>6131</v>
      </c>
      <c r="M1061" s="705">
        <v>2271</v>
      </c>
      <c r="N1061" s="705">
        <v>5357</v>
      </c>
      <c r="O1061" s="705">
        <v>1984</v>
      </c>
      <c r="P1061" s="705">
        <v>0</v>
      </c>
      <c r="Q1061" s="705">
        <v>0</v>
      </c>
      <c r="R1061" s="705">
        <v>20883</v>
      </c>
      <c r="S1061" s="705">
        <v>7735</v>
      </c>
      <c r="T1061" s="705">
        <v>3626</v>
      </c>
      <c r="U1061" s="705">
        <v>1343</v>
      </c>
      <c r="V1061" s="705">
        <v>162940</v>
      </c>
      <c r="W1061" s="705">
        <f t="shared" si="54"/>
        <v>162941</v>
      </c>
      <c r="X1061" s="705">
        <f t="shared" si="55"/>
        <v>200565</v>
      </c>
      <c r="AI1061" s="429"/>
    </row>
    <row r="1062" spans="2:35">
      <c r="B1062" t="s">
        <v>540</v>
      </c>
      <c r="C1062" t="s">
        <v>124</v>
      </c>
      <c r="D1062" t="s">
        <v>667</v>
      </c>
      <c r="E1062" t="s">
        <v>667</v>
      </c>
      <c r="F1062" s="705">
        <v>3</v>
      </c>
      <c r="G1062" s="705">
        <v>310</v>
      </c>
      <c r="H1062" s="705">
        <v>1706</v>
      </c>
      <c r="I1062" s="705">
        <v>136436</v>
      </c>
      <c r="J1062" s="705">
        <v>124032</v>
      </c>
      <c r="K1062" s="705">
        <v>47</v>
      </c>
      <c r="L1062" s="705">
        <v>19112</v>
      </c>
      <c r="M1062" s="705">
        <v>17374</v>
      </c>
      <c r="N1062" s="705">
        <v>6788</v>
      </c>
      <c r="O1062" s="705">
        <v>2514</v>
      </c>
      <c r="P1062" s="705">
        <v>702</v>
      </c>
      <c r="Q1062" s="705">
        <v>260</v>
      </c>
      <c r="R1062" s="705">
        <v>25773</v>
      </c>
      <c r="S1062" s="705">
        <v>23430</v>
      </c>
      <c r="T1062" s="705">
        <v>4173</v>
      </c>
      <c r="U1062" s="705">
        <v>1545</v>
      </c>
      <c r="V1062" s="705">
        <v>169156</v>
      </c>
      <c r="W1062" s="705">
        <f t="shared" si="54"/>
        <v>169155</v>
      </c>
      <c r="X1062" s="705">
        <f t="shared" si="55"/>
        <v>192984</v>
      </c>
      <c r="AI1062" s="429"/>
    </row>
    <row r="1063" spans="2:35">
      <c r="B1063" t="s">
        <v>540</v>
      </c>
      <c r="C1063" t="s">
        <v>124</v>
      </c>
      <c r="D1063" t="s">
        <v>667</v>
      </c>
      <c r="E1063" t="s">
        <v>671</v>
      </c>
      <c r="F1063" s="705">
        <v>1</v>
      </c>
      <c r="G1063" s="705">
        <v>108</v>
      </c>
      <c r="H1063" s="705">
        <v>736</v>
      </c>
      <c r="I1063" s="705">
        <v>82982</v>
      </c>
      <c r="J1063" s="705">
        <v>75438</v>
      </c>
      <c r="K1063" s="705">
        <v>55</v>
      </c>
      <c r="L1063" s="705">
        <v>19769</v>
      </c>
      <c r="M1063" s="705">
        <v>7322</v>
      </c>
      <c r="N1063" s="705">
        <v>3999</v>
      </c>
      <c r="O1063" s="705">
        <v>1481</v>
      </c>
      <c r="P1063" s="705">
        <v>0</v>
      </c>
      <c r="Q1063" s="705">
        <v>0</v>
      </c>
      <c r="R1063" s="705">
        <v>9139</v>
      </c>
      <c r="S1063" s="705">
        <v>8308</v>
      </c>
      <c r="T1063" s="705">
        <v>4989</v>
      </c>
      <c r="U1063" s="705">
        <v>1848</v>
      </c>
      <c r="V1063" s="705">
        <v>94397</v>
      </c>
      <c r="W1063" s="705">
        <f t="shared" si="54"/>
        <v>94397</v>
      </c>
      <c r="X1063" s="705">
        <f t="shared" si="55"/>
        <v>120878</v>
      </c>
    </row>
    <row r="1064" spans="2:35">
      <c r="B1064" t="s">
        <v>540</v>
      </c>
      <c r="C1064" t="s">
        <v>124</v>
      </c>
      <c r="D1064" t="s">
        <v>671</v>
      </c>
      <c r="E1064" t="s">
        <v>228</v>
      </c>
      <c r="F1064" s="705">
        <v>7</v>
      </c>
      <c r="G1064" s="705">
        <v>499</v>
      </c>
      <c r="H1064" s="705">
        <v>6629</v>
      </c>
      <c r="I1064" s="705">
        <v>341368</v>
      </c>
      <c r="J1064" s="705">
        <v>310335</v>
      </c>
      <c r="K1064" s="705">
        <v>46</v>
      </c>
      <c r="L1064" s="705">
        <v>48663</v>
      </c>
      <c r="M1064" s="705">
        <v>31396</v>
      </c>
      <c r="N1064" s="705">
        <v>11393</v>
      </c>
      <c r="O1064" s="705">
        <v>4220</v>
      </c>
      <c r="P1064" s="705">
        <v>0</v>
      </c>
      <c r="Q1064" s="705">
        <v>0</v>
      </c>
      <c r="R1064" s="705">
        <v>44665</v>
      </c>
      <c r="S1064" s="705">
        <v>16542</v>
      </c>
      <c r="T1064" s="705">
        <v>0</v>
      </c>
      <c r="U1064" s="705">
        <v>0</v>
      </c>
      <c r="V1064" s="705">
        <v>362493</v>
      </c>
      <c r="W1064" s="705">
        <f t="shared" si="54"/>
        <v>362493</v>
      </c>
      <c r="X1064" s="705">
        <f t="shared" si="55"/>
        <v>446089</v>
      </c>
    </row>
    <row r="1065" spans="2:35">
      <c r="B1065" t="s">
        <v>540</v>
      </c>
      <c r="C1065" t="s">
        <v>124</v>
      </c>
      <c r="D1065" t="s">
        <v>671</v>
      </c>
      <c r="E1065" t="s">
        <v>667</v>
      </c>
      <c r="F1065" s="705">
        <v>1</v>
      </c>
      <c r="G1065" s="705">
        <v>47</v>
      </c>
      <c r="H1065" s="705">
        <v>716</v>
      </c>
      <c r="I1065" s="705">
        <v>21487</v>
      </c>
      <c r="J1065" s="705">
        <v>19534</v>
      </c>
      <c r="K1065" s="705">
        <v>65</v>
      </c>
      <c r="L1065" s="705">
        <v>5173</v>
      </c>
      <c r="M1065" s="705">
        <v>4703</v>
      </c>
      <c r="N1065" s="705">
        <v>1083</v>
      </c>
      <c r="O1065" s="705">
        <v>401</v>
      </c>
      <c r="P1065" s="705">
        <v>351</v>
      </c>
      <c r="Q1065" s="705">
        <v>130</v>
      </c>
      <c r="R1065" s="705">
        <v>3542</v>
      </c>
      <c r="S1065" s="705">
        <v>3220</v>
      </c>
      <c r="T1065" s="705">
        <v>1696</v>
      </c>
      <c r="U1065" s="705">
        <v>628</v>
      </c>
      <c r="V1065" s="705">
        <v>28616</v>
      </c>
      <c r="W1065" s="705">
        <f t="shared" si="54"/>
        <v>28616</v>
      </c>
      <c r="X1065" s="705">
        <f t="shared" si="55"/>
        <v>33332</v>
      </c>
    </row>
    <row r="1066" spans="2:35">
      <c r="B1066" t="s">
        <v>540</v>
      </c>
      <c r="C1066" t="s">
        <v>124</v>
      </c>
      <c r="D1066" t="s">
        <v>671</v>
      </c>
      <c r="E1066" t="s">
        <v>671</v>
      </c>
      <c r="F1066" s="705">
        <v>83</v>
      </c>
      <c r="G1066" s="705">
        <v>7842</v>
      </c>
      <c r="H1066" s="705">
        <v>55910</v>
      </c>
      <c r="I1066" s="705">
        <v>3702371</v>
      </c>
      <c r="J1066" s="705">
        <v>3365792</v>
      </c>
      <c r="K1066" s="705">
        <v>50</v>
      </c>
      <c r="L1066" s="705">
        <v>543048</v>
      </c>
      <c r="M1066" s="705">
        <v>460331</v>
      </c>
      <c r="N1066" s="705">
        <v>161523</v>
      </c>
      <c r="O1066" s="705">
        <v>59823</v>
      </c>
      <c r="P1066" s="705">
        <v>26744</v>
      </c>
      <c r="Q1066" s="705">
        <v>9905</v>
      </c>
      <c r="R1066" s="705">
        <v>617145</v>
      </c>
      <c r="S1066" s="705">
        <v>561041</v>
      </c>
      <c r="T1066" s="705">
        <v>140097</v>
      </c>
      <c r="U1066" s="705">
        <v>51888</v>
      </c>
      <c r="V1066" s="705">
        <v>4508779</v>
      </c>
      <c r="W1066" s="705">
        <f t="shared" si="54"/>
        <v>4508780</v>
      </c>
      <c r="X1066" s="705">
        <f t="shared" si="55"/>
        <v>5190928</v>
      </c>
    </row>
    <row r="1067" spans="2:35">
      <c r="B1067" t="s">
        <v>540</v>
      </c>
      <c r="C1067" t="s">
        <v>124</v>
      </c>
      <c r="D1067" t="s">
        <v>665</v>
      </c>
      <c r="E1067" t="s">
        <v>664</v>
      </c>
      <c r="F1067" s="705">
        <v>1</v>
      </c>
      <c r="G1067" s="705">
        <v>55</v>
      </c>
      <c r="H1067" s="705">
        <v>909</v>
      </c>
      <c r="I1067" s="705">
        <v>36573</v>
      </c>
      <c r="J1067" s="705">
        <v>33248</v>
      </c>
      <c r="K1067" s="705">
        <v>60</v>
      </c>
      <c r="L1067" s="705">
        <v>8127</v>
      </c>
      <c r="M1067" s="705">
        <v>7389</v>
      </c>
      <c r="N1067" s="705">
        <v>1333</v>
      </c>
      <c r="O1067" s="705">
        <v>494</v>
      </c>
      <c r="P1067" s="705">
        <v>0</v>
      </c>
      <c r="Q1067" s="705">
        <v>0</v>
      </c>
      <c r="R1067" s="705">
        <v>3701</v>
      </c>
      <c r="S1067" s="705">
        <v>3364</v>
      </c>
      <c r="T1067" s="705">
        <v>0</v>
      </c>
      <c r="U1067" s="705">
        <v>0</v>
      </c>
      <c r="V1067" s="705">
        <v>44495</v>
      </c>
      <c r="W1067" s="705">
        <f t="shared" si="54"/>
        <v>44495</v>
      </c>
      <c r="X1067" s="705">
        <f t="shared" si="55"/>
        <v>49734</v>
      </c>
    </row>
    <row r="1068" spans="2:35">
      <c r="B1068" t="s">
        <v>540</v>
      </c>
      <c r="C1068" t="s">
        <v>124</v>
      </c>
      <c r="D1068" t="s">
        <v>665</v>
      </c>
      <c r="E1068" t="s">
        <v>228</v>
      </c>
      <c r="F1068" s="705">
        <v>110</v>
      </c>
      <c r="G1068" s="705">
        <v>9469</v>
      </c>
      <c r="H1068" s="705">
        <v>118728</v>
      </c>
      <c r="I1068" s="705">
        <v>8180929</v>
      </c>
      <c r="J1068" s="705">
        <v>7437208</v>
      </c>
      <c r="K1068" s="705">
        <v>40</v>
      </c>
      <c r="L1068" s="705">
        <v>638752</v>
      </c>
      <c r="M1068" s="705">
        <v>410089</v>
      </c>
      <c r="N1068" s="705">
        <v>220417</v>
      </c>
      <c r="O1068" s="705">
        <v>81636</v>
      </c>
      <c r="P1068" s="705">
        <v>4413</v>
      </c>
      <c r="Q1068" s="705">
        <v>1634</v>
      </c>
      <c r="R1068" s="705">
        <v>684479</v>
      </c>
      <c r="S1068" s="705">
        <v>253511</v>
      </c>
      <c r="T1068" s="705">
        <v>3607</v>
      </c>
      <c r="U1068" s="705">
        <v>1336</v>
      </c>
      <c r="V1068" s="705">
        <v>8185414</v>
      </c>
      <c r="W1068" s="705">
        <f t="shared" si="54"/>
        <v>8185414</v>
      </c>
      <c r="X1068" s="705">
        <f t="shared" si="55"/>
        <v>9732597</v>
      </c>
    </row>
    <row r="1069" spans="2:35">
      <c r="B1069" t="s">
        <v>540</v>
      </c>
      <c r="C1069" t="s">
        <v>124</v>
      </c>
      <c r="D1069" t="s">
        <v>665</v>
      </c>
      <c r="E1069" t="s">
        <v>665</v>
      </c>
      <c r="F1069" s="705">
        <v>458</v>
      </c>
      <c r="G1069" s="705">
        <v>42110</v>
      </c>
      <c r="H1069" s="705">
        <v>315210</v>
      </c>
      <c r="I1069" s="705">
        <v>20847242</v>
      </c>
      <c r="J1069" s="705">
        <v>18952038</v>
      </c>
      <c r="K1069" s="705">
        <v>50</v>
      </c>
      <c r="L1069" s="705">
        <v>2980114</v>
      </c>
      <c r="M1069" s="705">
        <v>2476839</v>
      </c>
      <c r="N1069" s="705">
        <v>881611</v>
      </c>
      <c r="O1069" s="705">
        <v>326523</v>
      </c>
      <c r="P1069" s="705">
        <v>148379</v>
      </c>
      <c r="Q1069" s="705">
        <v>54955</v>
      </c>
      <c r="R1069" s="705">
        <v>2892748</v>
      </c>
      <c r="S1069" s="705">
        <v>2629771</v>
      </c>
      <c r="T1069" s="705">
        <v>913702</v>
      </c>
      <c r="U1069" s="705">
        <v>338408</v>
      </c>
      <c r="V1069" s="705">
        <v>24778534</v>
      </c>
      <c r="W1069" s="705">
        <f t="shared" si="54"/>
        <v>24778534</v>
      </c>
      <c r="X1069" s="705">
        <f t="shared" si="55"/>
        <v>28663796</v>
      </c>
    </row>
    <row r="1070" spans="2:35">
      <c r="B1070" t="s">
        <v>540</v>
      </c>
      <c r="C1070" t="s">
        <v>124</v>
      </c>
      <c r="D1070" t="s">
        <v>665</v>
      </c>
      <c r="E1070" t="s">
        <v>722</v>
      </c>
      <c r="F1070" s="705">
        <v>1</v>
      </c>
      <c r="G1070" s="705">
        <v>62</v>
      </c>
      <c r="H1070" s="705">
        <v>467</v>
      </c>
      <c r="I1070" s="705">
        <v>16575</v>
      </c>
      <c r="J1070" s="705">
        <v>15068</v>
      </c>
      <c r="K1070" s="705">
        <v>45</v>
      </c>
      <c r="L1070" s="705">
        <v>2621</v>
      </c>
      <c r="M1070" s="705">
        <v>2383</v>
      </c>
      <c r="N1070" s="705">
        <v>1284</v>
      </c>
      <c r="O1070" s="705">
        <v>476</v>
      </c>
      <c r="P1070" s="705">
        <v>351</v>
      </c>
      <c r="Q1070" s="705">
        <v>130</v>
      </c>
      <c r="R1070" s="705">
        <v>6074</v>
      </c>
      <c r="S1070" s="705">
        <v>5522</v>
      </c>
      <c r="T1070" s="705">
        <v>2052</v>
      </c>
      <c r="U1070" s="705">
        <v>760</v>
      </c>
      <c r="V1070" s="705">
        <v>24339</v>
      </c>
      <c r="W1070" s="705">
        <f t="shared" si="54"/>
        <v>24339</v>
      </c>
      <c r="X1070" s="705">
        <f t="shared" si="55"/>
        <v>28957</v>
      </c>
    </row>
    <row r="1071" spans="2:35">
      <c r="B1071" t="s">
        <v>540</v>
      </c>
      <c r="C1071" t="s">
        <v>124</v>
      </c>
      <c r="D1071" t="s">
        <v>722</v>
      </c>
      <c r="E1071" t="s">
        <v>665</v>
      </c>
      <c r="F1071" s="705">
        <v>1</v>
      </c>
      <c r="G1071" s="705">
        <v>68</v>
      </c>
      <c r="H1071" s="705">
        <v>715</v>
      </c>
      <c r="I1071" s="705">
        <v>33501</v>
      </c>
      <c r="J1071" s="705">
        <v>30455</v>
      </c>
      <c r="K1071" s="705">
        <v>60</v>
      </c>
      <c r="L1071" s="705">
        <v>7445</v>
      </c>
      <c r="M1071" s="705">
        <v>6768</v>
      </c>
      <c r="N1071" s="705">
        <v>1284</v>
      </c>
      <c r="O1071" s="705">
        <v>476</v>
      </c>
      <c r="P1071" s="705">
        <v>0</v>
      </c>
      <c r="Q1071" s="705">
        <v>0</v>
      </c>
      <c r="R1071" s="705">
        <v>6357</v>
      </c>
      <c r="S1071" s="705">
        <v>5779</v>
      </c>
      <c r="T1071" s="705">
        <v>0</v>
      </c>
      <c r="U1071" s="705">
        <v>0</v>
      </c>
      <c r="V1071" s="705">
        <v>43477</v>
      </c>
      <c r="W1071" s="705">
        <f t="shared" si="54"/>
        <v>43478</v>
      </c>
      <c r="X1071" s="705">
        <f t="shared" si="55"/>
        <v>48587</v>
      </c>
    </row>
    <row r="1072" spans="2:35">
      <c r="B1072" t="s">
        <v>540</v>
      </c>
      <c r="C1072" t="s">
        <v>124</v>
      </c>
      <c r="D1072" t="s">
        <v>673</v>
      </c>
      <c r="E1072" t="s">
        <v>664</v>
      </c>
      <c r="F1072" s="705">
        <v>1</v>
      </c>
      <c r="G1072" s="705">
        <v>51</v>
      </c>
      <c r="H1072" s="705">
        <v>1033</v>
      </c>
      <c r="I1072" s="705">
        <v>44377</v>
      </c>
      <c r="J1072" s="705">
        <v>40343</v>
      </c>
      <c r="K1072" s="705">
        <v>30</v>
      </c>
      <c r="L1072" s="705">
        <v>3631</v>
      </c>
      <c r="M1072" s="705">
        <v>1345</v>
      </c>
      <c r="N1072" s="705">
        <v>1251</v>
      </c>
      <c r="O1072" s="705">
        <v>463</v>
      </c>
      <c r="P1072" s="705">
        <v>0</v>
      </c>
      <c r="Q1072" s="705">
        <v>0</v>
      </c>
      <c r="R1072" s="705">
        <v>3743</v>
      </c>
      <c r="S1072" s="705">
        <v>3403</v>
      </c>
      <c r="T1072" s="705">
        <v>0</v>
      </c>
      <c r="U1072" s="705">
        <v>0</v>
      </c>
      <c r="V1072" s="705">
        <v>45554</v>
      </c>
      <c r="W1072" s="705">
        <f t="shared" si="54"/>
        <v>45554</v>
      </c>
      <c r="X1072" s="705">
        <f t="shared" si="55"/>
        <v>53002</v>
      </c>
    </row>
    <row r="1073" spans="2:24">
      <c r="B1073" t="s">
        <v>540</v>
      </c>
      <c r="C1073" t="s">
        <v>124</v>
      </c>
      <c r="D1073" t="s">
        <v>673</v>
      </c>
      <c r="E1073" t="s">
        <v>228</v>
      </c>
      <c r="F1073" s="705">
        <v>1</v>
      </c>
      <c r="G1073" s="705">
        <v>95</v>
      </c>
      <c r="H1073" s="705">
        <v>633</v>
      </c>
      <c r="I1073" s="705">
        <v>39579</v>
      </c>
      <c r="J1073" s="705">
        <v>35981</v>
      </c>
      <c r="K1073" s="705">
        <v>60</v>
      </c>
      <c r="L1073" s="705">
        <v>8795</v>
      </c>
      <c r="M1073" s="705">
        <v>7996</v>
      </c>
      <c r="N1073" s="705">
        <v>2128</v>
      </c>
      <c r="O1073" s="705">
        <v>788</v>
      </c>
      <c r="P1073" s="705">
        <v>0</v>
      </c>
      <c r="Q1073" s="705">
        <v>0</v>
      </c>
      <c r="R1073" s="705">
        <v>9878</v>
      </c>
      <c r="S1073" s="705">
        <v>3659</v>
      </c>
      <c r="T1073" s="705">
        <v>0</v>
      </c>
      <c r="U1073" s="705">
        <v>0</v>
      </c>
      <c r="V1073" s="705">
        <v>48423</v>
      </c>
      <c r="W1073" s="705">
        <f t="shared" si="54"/>
        <v>48424</v>
      </c>
      <c r="X1073" s="705">
        <f t="shared" si="55"/>
        <v>60380</v>
      </c>
    </row>
    <row r="1074" spans="2:24">
      <c r="B1074" t="s">
        <v>540</v>
      </c>
      <c r="C1074" t="s">
        <v>124</v>
      </c>
      <c r="D1074" t="s">
        <v>673</v>
      </c>
      <c r="E1074" t="s">
        <v>673</v>
      </c>
      <c r="F1074" s="705">
        <v>5</v>
      </c>
      <c r="G1074" s="705">
        <v>479</v>
      </c>
      <c r="H1074" s="705">
        <v>3779</v>
      </c>
      <c r="I1074" s="705">
        <v>257240</v>
      </c>
      <c r="J1074" s="705">
        <v>233855</v>
      </c>
      <c r="K1074" s="705">
        <v>54</v>
      </c>
      <c r="L1074" s="705">
        <v>38389</v>
      </c>
      <c r="M1074" s="705">
        <v>34899</v>
      </c>
      <c r="N1074" s="705">
        <v>9630</v>
      </c>
      <c r="O1074" s="705">
        <v>3567</v>
      </c>
      <c r="P1074" s="705">
        <v>2025</v>
      </c>
      <c r="Q1074" s="705">
        <v>750</v>
      </c>
      <c r="R1074" s="705">
        <v>37113</v>
      </c>
      <c r="S1074" s="705">
        <v>33739</v>
      </c>
      <c r="T1074" s="705">
        <v>13209</v>
      </c>
      <c r="U1074" s="705">
        <v>4892</v>
      </c>
      <c r="V1074" s="705">
        <v>311702</v>
      </c>
      <c r="W1074" s="705">
        <f t="shared" si="54"/>
        <v>311702</v>
      </c>
      <c r="X1074" s="705">
        <f t="shared" si="55"/>
        <v>357606</v>
      </c>
    </row>
    <row r="1075" spans="2:24">
      <c r="B1075" t="s">
        <v>540</v>
      </c>
      <c r="C1075" t="s">
        <v>124</v>
      </c>
      <c r="D1075" t="s">
        <v>585</v>
      </c>
      <c r="E1075" t="s">
        <v>228</v>
      </c>
      <c r="F1075" s="705">
        <v>1</v>
      </c>
      <c r="G1075" s="705">
        <v>41</v>
      </c>
      <c r="H1075" s="705">
        <v>843</v>
      </c>
      <c r="I1075" s="705">
        <v>24141</v>
      </c>
      <c r="J1075" s="705">
        <v>21947</v>
      </c>
      <c r="K1075" s="705">
        <v>65</v>
      </c>
      <c r="L1075" s="705">
        <v>4280</v>
      </c>
      <c r="M1075" s="705">
        <v>1585</v>
      </c>
      <c r="N1075" s="705">
        <v>864</v>
      </c>
      <c r="O1075" s="705">
        <v>320</v>
      </c>
      <c r="P1075" s="705">
        <v>0</v>
      </c>
      <c r="Q1075" s="705">
        <v>0</v>
      </c>
      <c r="R1075" s="705">
        <v>4873</v>
      </c>
      <c r="S1075" s="705">
        <v>1805</v>
      </c>
      <c r="T1075" s="705">
        <v>0</v>
      </c>
      <c r="U1075" s="705">
        <v>0</v>
      </c>
      <c r="V1075" s="705">
        <v>25657</v>
      </c>
      <c r="W1075" s="705">
        <f t="shared" si="54"/>
        <v>25657</v>
      </c>
      <c r="X1075" s="705">
        <f t="shared" si="55"/>
        <v>34158</v>
      </c>
    </row>
    <row r="1076" spans="2:24">
      <c r="B1076" t="s">
        <v>540</v>
      </c>
      <c r="C1076" t="s">
        <v>124</v>
      </c>
      <c r="D1076" t="s">
        <v>585</v>
      </c>
      <c r="E1076" t="s">
        <v>585</v>
      </c>
      <c r="F1076" s="705">
        <v>2</v>
      </c>
      <c r="G1076" s="705">
        <v>232</v>
      </c>
      <c r="H1076" s="705">
        <v>1100</v>
      </c>
      <c r="I1076" s="705">
        <v>91162</v>
      </c>
      <c r="J1076" s="705">
        <v>82874</v>
      </c>
      <c r="K1076" s="705">
        <v>65</v>
      </c>
      <c r="L1076" s="705">
        <v>16188</v>
      </c>
      <c r="M1076" s="705">
        <v>14717</v>
      </c>
      <c r="N1076" s="705">
        <v>4824</v>
      </c>
      <c r="O1076" s="705">
        <v>1787</v>
      </c>
      <c r="P1076" s="705">
        <v>702</v>
      </c>
      <c r="Q1076" s="705">
        <v>260</v>
      </c>
      <c r="R1076" s="705">
        <v>8751</v>
      </c>
      <c r="S1076" s="705">
        <v>7956</v>
      </c>
      <c r="T1076" s="705">
        <v>5246</v>
      </c>
      <c r="U1076" s="705">
        <v>1943</v>
      </c>
      <c r="V1076" s="705">
        <v>109537</v>
      </c>
      <c r="W1076" s="705">
        <f t="shared" si="54"/>
        <v>109537</v>
      </c>
      <c r="X1076" s="705">
        <f t="shared" si="55"/>
        <v>126873</v>
      </c>
    </row>
    <row r="1077" spans="2:24">
      <c r="B1077" t="s">
        <v>540</v>
      </c>
      <c r="C1077" t="s">
        <v>124</v>
      </c>
      <c r="D1077" t="s">
        <v>668</v>
      </c>
      <c r="E1077" t="s">
        <v>668</v>
      </c>
      <c r="F1077" s="705">
        <v>1</v>
      </c>
      <c r="G1077" s="705">
        <v>108</v>
      </c>
      <c r="H1077" s="705">
        <v>588</v>
      </c>
      <c r="I1077" s="705">
        <v>43074</v>
      </c>
      <c r="J1077" s="705">
        <v>39158</v>
      </c>
      <c r="K1077" s="705">
        <v>65</v>
      </c>
      <c r="L1077" s="705">
        <v>10370</v>
      </c>
      <c r="M1077" s="705">
        <v>9427</v>
      </c>
      <c r="N1077" s="705">
        <v>2346</v>
      </c>
      <c r="O1077" s="705">
        <v>869</v>
      </c>
      <c r="P1077" s="705">
        <v>351</v>
      </c>
      <c r="Q1077" s="705">
        <v>130</v>
      </c>
      <c r="R1077" s="705">
        <v>4773</v>
      </c>
      <c r="S1077" s="705">
        <v>4339</v>
      </c>
      <c r="T1077" s="705">
        <v>2664</v>
      </c>
      <c r="U1077" s="705">
        <v>987</v>
      </c>
      <c r="V1077" s="705">
        <v>54910</v>
      </c>
      <c r="W1077" s="705">
        <f t="shared" si="54"/>
        <v>54910</v>
      </c>
      <c r="X1077" s="705">
        <f t="shared" si="55"/>
        <v>63578</v>
      </c>
    </row>
    <row r="1078" spans="2:24">
      <c r="B1078" t="s">
        <v>541</v>
      </c>
      <c r="C1078" t="s">
        <v>108</v>
      </c>
      <c r="D1078" t="s">
        <v>582</v>
      </c>
      <c r="E1078" t="s">
        <v>582</v>
      </c>
      <c r="F1078" s="705">
        <v>2</v>
      </c>
      <c r="G1078" s="705">
        <v>366</v>
      </c>
      <c r="H1078" s="705">
        <v>111</v>
      </c>
      <c r="I1078" s="705">
        <v>2404</v>
      </c>
      <c r="J1078" s="705">
        <v>2185</v>
      </c>
      <c r="K1078" s="705">
        <v>91</v>
      </c>
      <c r="L1078" s="705">
        <v>234</v>
      </c>
      <c r="M1078" s="705">
        <v>213</v>
      </c>
      <c r="N1078" s="705">
        <v>4454</v>
      </c>
      <c r="O1078" s="705">
        <v>1650</v>
      </c>
      <c r="P1078" s="705">
        <v>4042</v>
      </c>
      <c r="Q1078" s="705">
        <v>1497</v>
      </c>
      <c r="R1078" s="705">
        <v>9891</v>
      </c>
      <c r="S1078" s="705">
        <v>8992</v>
      </c>
      <c r="T1078" s="705">
        <v>0</v>
      </c>
      <c r="U1078" s="705">
        <v>0</v>
      </c>
      <c r="V1078" s="705">
        <v>14537</v>
      </c>
      <c r="W1078" s="705">
        <f t="shared" si="54"/>
        <v>14537</v>
      </c>
      <c r="X1078" s="705">
        <f t="shared" si="55"/>
        <v>21025</v>
      </c>
    </row>
    <row r="1079" spans="2:24">
      <c r="B1079" t="s">
        <v>541</v>
      </c>
      <c r="C1079" t="s">
        <v>108</v>
      </c>
      <c r="D1079" t="s">
        <v>228</v>
      </c>
      <c r="E1079" t="s">
        <v>228</v>
      </c>
      <c r="F1079" s="705">
        <v>281</v>
      </c>
      <c r="G1079" s="705">
        <v>61054</v>
      </c>
      <c r="H1079" s="705">
        <v>16407</v>
      </c>
      <c r="I1079" s="705">
        <v>568519</v>
      </c>
      <c r="J1079" s="705">
        <v>210563</v>
      </c>
      <c r="K1079" s="705">
        <v>456</v>
      </c>
      <c r="L1079" s="705">
        <v>143089</v>
      </c>
      <c r="M1079" s="705">
        <v>130864</v>
      </c>
      <c r="N1079" s="705">
        <v>832329</v>
      </c>
      <c r="O1079" s="705">
        <v>308270</v>
      </c>
      <c r="P1079" s="705">
        <v>447441</v>
      </c>
      <c r="Q1079" s="705">
        <v>165719</v>
      </c>
      <c r="R1079" s="705">
        <v>1569125</v>
      </c>
      <c r="S1079" s="705">
        <v>581157</v>
      </c>
      <c r="T1079" s="705">
        <v>0</v>
      </c>
      <c r="U1079" s="705">
        <v>0</v>
      </c>
      <c r="V1079" s="705">
        <v>1396573</v>
      </c>
      <c r="W1079" s="705">
        <f t="shared" si="54"/>
        <v>1396573</v>
      </c>
      <c r="X1079" s="705">
        <f t="shared" si="55"/>
        <v>3560503</v>
      </c>
    </row>
    <row r="1080" spans="2:24">
      <c r="B1080" t="s">
        <v>541</v>
      </c>
      <c r="C1080" t="s">
        <v>108</v>
      </c>
      <c r="D1080" t="s">
        <v>228</v>
      </c>
      <c r="E1080" t="s">
        <v>583</v>
      </c>
      <c r="F1080" s="705">
        <v>1</v>
      </c>
      <c r="G1080" s="705">
        <v>362</v>
      </c>
      <c r="H1080" s="705">
        <v>75</v>
      </c>
      <c r="I1080" s="705">
        <v>11226</v>
      </c>
      <c r="J1080" s="705">
        <v>4158</v>
      </c>
      <c r="K1080" s="705">
        <v>412</v>
      </c>
      <c r="L1080" s="705">
        <v>3489</v>
      </c>
      <c r="M1080" s="705">
        <v>3172</v>
      </c>
      <c r="N1080" s="705">
        <v>6351</v>
      </c>
      <c r="O1080" s="705">
        <v>2352</v>
      </c>
      <c r="P1080" s="705">
        <v>2025</v>
      </c>
      <c r="Q1080" s="705">
        <v>750</v>
      </c>
      <c r="R1080" s="705">
        <v>4029</v>
      </c>
      <c r="S1080" s="705">
        <v>3663</v>
      </c>
      <c r="T1080" s="705">
        <v>0</v>
      </c>
      <c r="U1080" s="705">
        <v>0</v>
      </c>
      <c r="V1080" s="705">
        <v>14095</v>
      </c>
      <c r="W1080" s="705">
        <f t="shared" si="54"/>
        <v>14095</v>
      </c>
      <c r="X1080" s="705">
        <f t="shared" si="55"/>
        <v>27120</v>
      </c>
    </row>
    <row r="1081" spans="2:24">
      <c r="B1081" t="s">
        <v>541</v>
      </c>
      <c r="C1081" t="s">
        <v>108</v>
      </c>
      <c r="D1081" t="s">
        <v>583</v>
      </c>
      <c r="E1081" t="s">
        <v>228</v>
      </c>
      <c r="F1081" s="705">
        <v>5</v>
      </c>
      <c r="G1081" s="705">
        <v>888</v>
      </c>
      <c r="H1081" s="705">
        <v>326</v>
      </c>
      <c r="I1081" s="705">
        <v>13259</v>
      </c>
      <c r="J1081" s="705">
        <v>12054</v>
      </c>
      <c r="K1081" s="705">
        <v>95</v>
      </c>
      <c r="L1081" s="705">
        <v>3428</v>
      </c>
      <c r="M1081" s="705">
        <v>3116</v>
      </c>
      <c r="N1081" s="705">
        <v>14072</v>
      </c>
      <c r="O1081" s="705">
        <v>5212</v>
      </c>
      <c r="P1081" s="705">
        <v>9639</v>
      </c>
      <c r="Q1081" s="705">
        <v>3570</v>
      </c>
      <c r="R1081" s="705">
        <v>17009</v>
      </c>
      <c r="S1081" s="705">
        <v>6299</v>
      </c>
      <c r="T1081" s="705">
        <v>0</v>
      </c>
      <c r="U1081" s="705">
        <v>0</v>
      </c>
      <c r="V1081" s="705">
        <v>30252</v>
      </c>
      <c r="W1081" s="705">
        <f t="shared" si="54"/>
        <v>30251</v>
      </c>
      <c r="X1081" s="705">
        <f t="shared" si="55"/>
        <v>57407</v>
      </c>
    </row>
    <row r="1082" spans="2:24">
      <c r="B1082" t="s">
        <v>541</v>
      </c>
      <c r="C1082" t="s">
        <v>108</v>
      </c>
      <c r="D1082" t="s">
        <v>583</v>
      </c>
      <c r="E1082" t="s">
        <v>583</v>
      </c>
      <c r="F1082" s="705">
        <v>38</v>
      </c>
      <c r="G1082" s="705">
        <v>7617</v>
      </c>
      <c r="H1082" s="705">
        <v>2548</v>
      </c>
      <c r="I1082" s="705">
        <v>176092</v>
      </c>
      <c r="J1082" s="705">
        <v>160084</v>
      </c>
      <c r="K1082" s="705">
        <v>95</v>
      </c>
      <c r="L1082" s="705">
        <v>26888</v>
      </c>
      <c r="M1082" s="705">
        <v>23903</v>
      </c>
      <c r="N1082" s="705">
        <v>105423</v>
      </c>
      <c r="O1082" s="705">
        <v>39046</v>
      </c>
      <c r="P1082" s="705">
        <v>57910</v>
      </c>
      <c r="Q1082" s="705">
        <v>21448</v>
      </c>
      <c r="R1082" s="705">
        <v>141344</v>
      </c>
      <c r="S1082" s="705">
        <v>128494</v>
      </c>
      <c r="T1082" s="705">
        <v>3781</v>
      </c>
      <c r="U1082" s="705">
        <v>1401</v>
      </c>
      <c r="V1082" s="705">
        <v>374375</v>
      </c>
      <c r="W1082" s="705">
        <f t="shared" si="54"/>
        <v>374376</v>
      </c>
      <c r="X1082" s="705">
        <f t="shared" si="55"/>
        <v>511438</v>
      </c>
    </row>
    <row r="1083" spans="2:24">
      <c r="B1083" t="s">
        <v>541</v>
      </c>
      <c r="C1083" t="s">
        <v>108</v>
      </c>
      <c r="D1083" t="s">
        <v>673</v>
      </c>
      <c r="E1083" t="s">
        <v>228</v>
      </c>
      <c r="F1083" s="705">
        <v>1</v>
      </c>
      <c r="G1083" s="705">
        <v>251</v>
      </c>
      <c r="H1083" s="705">
        <v>69</v>
      </c>
      <c r="I1083" s="705">
        <v>6871</v>
      </c>
      <c r="J1083" s="705">
        <v>6246</v>
      </c>
      <c r="K1083" s="705">
        <v>85</v>
      </c>
      <c r="L1083" s="705">
        <v>1082</v>
      </c>
      <c r="M1083" s="705">
        <v>983</v>
      </c>
      <c r="N1083" s="705">
        <v>3055</v>
      </c>
      <c r="O1083" s="705">
        <v>1131</v>
      </c>
      <c r="P1083" s="705">
        <v>2561</v>
      </c>
      <c r="Q1083" s="705">
        <v>949</v>
      </c>
      <c r="R1083" s="705">
        <v>3674</v>
      </c>
      <c r="S1083" s="705">
        <v>1361</v>
      </c>
      <c r="T1083" s="705">
        <v>0</v>
      </c>
      <c r="U1083" s="705">
        <v>0</v>
      </c>
      <c r="V1083" s="705">
        <v>10670</v>
      </c>
      <c r="W1083" s="705">
        <f t="shared" si="54"/>
        <v>10670</v>
      </c>
      <c r="X1083" s="705">
        <f t="shared" si="55"/>
        <v>17243</v>
      </c>
    </row>
    <row r="1084" spans="2:24">
      <c r="B1084" t="s">
        <v>541</v>
      </c>
      <c r="C1084" t="s">
        <v>108</v>
      </c>
      <c r="D1084" t="s">
        <v>673</v>
      </c>
      <c r="E1084" t="s">
        <v>673</v>
      </c>
      <c r="F1084" s="705">
        <v>1</v>
      </c>
      <c r="G1084" s="705">
        <v>360</v>
      </c>
      <c r="H1084" s="705">
        <v>44</v>
      </c>
      <c r="I1084" s="705">
        <v>3851</v>
      </c>
      <c r="J1084" s="705">
        <v>3501</v>
      </c>
      <c r="K1084" s="705">
        <v>84</v>
      </c>
      <c r="L1084" s="705">
        <v>371</v>
      </c>
      <c r="M1084" s="705">
        <v>337</v>
      </c>
      <c r="N1084" s="705">
        <v>4380</v>
      </c>
      <c r="O1084" s="705">
        <v>1622</v>
      </c>
      <c r="P1084" s="705">
        <v>4691</v>
      </c>
      <c r="Q1084" s="705">
        <v>1737</v>
      </c>
      <c r="R1084" s="705">
        <v>2389</v>
      </c>
      <c r="S1084" s="705">
        <v>2172</v>
      </c>
      <c r="T1084" s="705">
        <v>0</v>
      </c>
      <c r="U1084" s="705">
        <v>0</v>
      </c>
      <c r="V1084" s="705">
        <v>9369</v>
      </c>
      <c r="W1084" s="705">
        <f t="shared" si="54"/>
        <v>9369</v>
      </c>
      <c r="X1084" s="705">
        <f t="shared" si="55"/>
        <v>15682</v>
      </c>
    </row>
    <row r="1085" spans="2:24">
      <c r="B1085" t="s">
        <v>541</v>
      </c>
      <c r="C1085" t="s">
        <v>108</v>
      </c>
      <c r="D1085" t="s">
        <v>585</v>
      </c>
      <c r="E1085" t="s">
        <v>585</v>
      </c>
      <c r="F1085" s="705">
        <v>1</v>
      </c>
      <c r="G1085" s="705">
        <v>284</v>
      </c>
      <c r="H1085" s="705">
        <v>65</v>
      </c>
      <c r="I1085" s="705">
        <v>4900</v>
      </c>
      <c r="J1085" s="705">
        <v>4454</v>
      </c>
      <c r="K1085" s="705">
        <v>90</v>
      </c>
      <c r="L1085" s="705">
        <v>698</v>
      </c>
      <c r="M1085" s="705">
        <v>634</v>
      </c>
      <c r="N1085" s="705">
        <v>3454</v>
      </c>
      <c r="O1085" s="705">
        <v>1279</v>
      </c>
      <c r="P1085" s="705">
        <v>3254</v>
      </c>
      <c r="Q1085" s="705">
        <v>1205</v>
      </c>
      <c r="R1085" s="705">
        <v>6224</v>
      </c>
      <c r="S1085" s="705">
        <v>5658</v>
      </c>
      <c r="T1085" s="705">
        <v>0</v>
      </c>
      <c r="U1085" s="705">
        <v>0</v>
      </c>
      <c r="V1085" s="705">
        <v>13231</v>
      </c>
      <c r="W1085" s="705">
        <f t="shared" si="54"/>
        <v>13230</v>
      </c>
      <c r="X1085" s="705">
        <f t="shared" si="55"/>
        <v>18530</v>
      </c>
    </row>
    <row r="1086" spans="2:24">
      <c r="B1086" t="s">
        <v>541</v>
      </c>
      <c r="C1086" t="s">
        <v>110</v>
      </c>
      <c r="D1086" t="s">
        <v>664</v>
      </c>
      <c r="E1086" t="s">
        <v>664</v>
      </c>
      <c r="F1086" s="705">
        <v>2</v>
      </c>
      <c r="G1086" s="705">
        <v>433</v>
      </c>
      <c r="H1086" s="705">
        <v>162</v>
      </c>
      <c r="I1086" s="705">
        <v>16439</v>
      </c>
      <c r="J1086" s="705">
        <v>14945</v>
      </c>
      <c r="K1086" s="705">
        <v>196</v>
      </c>
      <c r="L1086" s="705">
        <v>4021</v>
      </c>
      <c r="M1086" s="705">
        <v>3656</v>
      </c>
      <c r="N1086" s="705">
        <v>5274</v>
      </c>
      <c r="O1086" s="705">
        <v>1953</v>
      </c>
      <c r="P1086" s="705">
        <v>3481</v>
      </c>
      <c r="Q1086" s="705">
        <v>1289</v>
      </c>
      <c r="R1086" s="705">
        <v>5898</v>
      </c>
      <c r="S1086" s="705">
        <v>5362</v>
      </c>
      <c r="T1086" s="705">
        <v>0</v>
      </c>
      <c r="U1086" s="705">
        <v>0</v>
      </c>
      <c r="V1086" s="705">
        <v>27206</v>
      </c>
      <c r="W1086" s="705">
        <f t="shared" si="54"/>
        <v>27205</v>
      </c>
      <c r="X1086" s="705">
        <f t="shared" si="55"/>
        <v>35113</v>
      </c>
    </row>
    <row r="1087" spans="2:24">
      <c r="B1087" t="s">
        <v>541</v>
      </c>
      <c r="C1087" t="s">
        <v>110</v>
      </c>
      <c r="D1087" t="s">
        <v>664</v>
      </c>
      <c r="E1087" t="s">
        <v>582</v>
      </c>
      <c r="F1087" s="705">
        <v>1</v>
      </c>
      <c r="G1087" s="705">
        <v>198</v>
      </c>
      <c r="H1087" s="705">
        <v>93</v>
      </c>
      <c r="I1087" s="705">
        <v>8368</v>
      </c>
      <c r="J1087" s="705">
        <v>7608</v>
      </c>
      <c r="K1087" s="705">
        <v>91</v>
      </c>
      <c r="L1087" s="705">
        <v>1464</v>
      </c>
      <c r="M1087" s="705">
        <v>1331</v>
      </c>
      <c r="N1087" s="705">
        <v>2410</v>
      </c>
      <c r="O1087" s="705">
        <v>893</v>
      </c>
      <c r="P1087" s="705">
        <v>2167</v>
      </c>
      <c r="Q1087" s="705">
        <v>803</v>
      </c>
      <c r="R1087" s="705">
        <v>3958</v>
      </c>
      <c r="S1087" s="705">
        <v>3598</v>
      </c>
      <c r="T1087" s="705">
        <v>0</v>
      </c>
      <c r="U1087" s="705">
        <v>0</v>
      </c>
      <c r="V1087" s="705">
        <v>14231</v>
      </c>
      <c r="W1087" s="705">
        <f t="shared" si="54"/>
        <v>14233</v>
      </c>
      <c r="X1087" s="705">
        <f t="shared" si="55"/>
        <v>18367</v>
      </c>
    </row>
    <row r="1088" spans="2:24">
      <c r="B1088" t="s">
        <v>541</v>
      </c>
      <c r="C1088" t="s">
        <v>110</v>
      </c>
      <c r="D1088" t="s">
        <v>582</v>
      </c>
      <c r="E1088" t="s">
        <v>582</v>
      </c>
      <c r="F1088" s="705">
        <v>16</v>
      </c>
      <c r="G1088" s="705">
        <v>4261</v>
      </c>
      <c r="H1088" s="705">
        <v>1444</v>
      </c>
      <c r="I1088" s="705">
        <v>207100</v>
      </c>
      <c r="J1088" s="705">
        <v>188272</v>
      </c>
      <c r="K1088" s="705">
        <v>91</v>
      </c>
      <c r="L1088" s="705">
        <v>28980</v>
      </c>
      <c r="M1088" s="705">
        <v>26345</v>
      </c>
      <c r="N1088" s="705">
        <v>77759</v>
      </c>
      <c r="O1088" s="705">
        <v>28799</v>
      </c>
      <c r="P1088" s="705">
        <v>24420</v>
      </c>
      <c r="Q1088" s="705">
        <v>9044</v>
      </c>
      <c r="R1088" s="705">
        <v>82019</v>
      </c>
      <c r="S1088" s="705">
        <v>74563</v>
      </c>
      <c r="T1088" s="705">
        <v>0</v>
      </c>
      <c r="U1088" s="705">
        <v>0</v>
      </c>
      <c r="V1088" s="705">
        <v>327025</v>
      </c>
      <c r="W1088" s="705">
        <f t="shared" si="54"/>
        <v>327023</v>
      </c>
      <c r="X1088" s="705">
        <f t="shared" si="55"/>
        <v>420278</v>
      </c>
    </row>
    <row r="1089" spans="2:24">
      <c r="B1089" t="s">
        <v>541</v>
      </c>
      <c r="C1089" t="s">
        <v>110</v>
      </c>
      <c r="D1089" t="s">
        <v>582</v>
      </c>
      <c r="E1089" t="s">
        <v>228</v>
      </c>
      <c r="F1089" s="705">
        <v>1</v>
      </c>
      <c r="G1089" s="705">
        <v>154</v>
      </c>
      <c r="H1089" s="705">
        <v>89</v>
      </c>
      <c r="I1089" s="705">
        <v>4124</v>
      </c>
      <c r="J1089" s="705">
        <v>3749</v>
      </c>
      <c r="K1089" s="705">
        <v>91</v>
      </c>
      <c r="L1089" s="705">
        <v>584</v>
      </c>
      <c r="M1089" s="705">
        <v>531</v>
      </c>
      <c r="N1089" s="705">
        <v>1881</v>
      </c>
      <c r="O1089" s="705">
        <v>697</v>
      </c>
      <c r="P1089" s="705">
        <v>2909</v>
      </c>
      <c r="Q1089" s="705">
        <v>1077</v>
      </c>
      <c r="R1089" s="705">
        <v>4269</v>
      </c>
      <c r="S1089" s="705">
        <v>1581</v>
      </c>
      <c r="T1089" s="705">
        <v>0</v>
      </c>
      <c r="U1089" s="705">
        <v>0</v>
      </c>
      <c r="V1089" s="705">
        <v>7635</v>
      </c>
      <c r="W1089" s="705">
        <f t="shared" si="54"/>
        <v>7635</v>
      </c>
      <c r="X1089" s="705">
        <f t="shared" si="55"/>
        <v>13767</v>
      </c>
    </row>
    <row r="1090" spans="2:24">
      <c r="B1090" t="s">
        <v>541</v>
      </c>
      <c r="C1090" t="s">
        <v>110</v>
      </c>
      <c r="D1090" t="s">
        <v>228</v>
      </c>
      <c r="E1090" t="s">
        <v>228</v>
      </c>
      <c r="F1090" s="705">
        <v>100</v>
      </c>
      <c r="G1090" s="705">
        <v>23521</v>
      </c>
      <c r="H1090" s="705">
        <v>8863</v>
      </c>
      <c r="I1090" s="705">
        <v>787085</v>
      </c>
      <c r="J1090" s="705">
        <v>291513</v>
      </c>
      <c r="K1090" s="705">
        <v>383</v>
      </c>
      <c r="L1090" s="705">
        <v>233171</v>
      </c>
      <c r="M1090" s="705">
        <v>201774</v>
      </c>
      <c r="N1090" s="705">
        <v>372376</v>
      </c>
      <c r="O1090" s="705">
        <v>137917</v>
      </c>
      <c r="P1090" s="705">
        <v>112933</v>
      </c>
      <c r="Q1090" s="705">
        <v>41827</v>
      </c>
      <c r="R1090" s="705">
        <v>604573</v>
      </c>
      <c r="S1090" s="705">
        <v>223916</v>
      </c>
      <c r="T1090" s="705">
        <v>0</v>
      </c>
      <c r="U1090" s="705">
        <v>0</v>
      </c>
      <c r="V1090" s="705">
        <v>896947</v>
      </c>
      <c r="W1090" s="705">
        <f t="shared" si="54"/>
        <v>896947</v>
      </c>
      <c r="X1090" s="705">
        <f t="shared" si="55"/>
        <v>2110138</v>
      </c>
    </row>
    <row r="1091" spans="2:24">
      <c r="B1091" t="s">
        <v>541</v>
      </c>
      <c r="C1091" t="s">
        <v>110</v>
      </c>
      <c r="D1091" t="s">
        <v>583</v>
      </c>
      <c r="E1091" t="s">
        <v>228</v>
      </c>
      <c r="F1091" s="705">
        <v>3</v>
      </c>
      <c r="G1091" s="705">
        <v>776</v>
      </c>
      <c r="H1091" s="705">
        <v>286</v>
      </c>
      <c r="I1091" s="705">
        <v>36810</v>
      </c>
      <c r="J1091" s="705">
        <v>33463</v>
      </c>
      <c r="K1091" s="705">
        <v>96</v>
      </c>
      <c r="L1091" s="705">
        <v>5516</v>
      </c>
      <c r="M1091" s="705">
        <v>5015</v>
      </c>
      <c r="N1091" s="705">
        <v>10540</v>
      </c>
      <c r="O1091" s="705">
        <v>3904</v>
      </c>
      <c r="P1091" s="705">
        <v>6052</v>
      </c>
      <c r="Q1091" s="705">
        <v>2241</v>
      </c>
      <c r="R1091" s="705">
        <v>15439</v>
      </c>
      <c r="S1091" s="705">
        <v>5718</v>
      </c>
      <c r="T1091" s="705">
        <v>0</v>
      </c>
      <c r="U1091" s="705">
        <v>0</v>
      </c>
      <c r="V1091" s="705">
        <v>50341</v>
      </c>
      <c r="W1091" s="705">
        <f t="shared" si="54"/>
        <v>50341</v>
      </c>
      <c r="X1091" s="705">
        <f t="shared" si="55"/>
        <v>74357</v>
      </c>
    </row>
    <row r="1092" spans="2:24">
      <c r="B1092" t="s">
        <v>541</v>
      </c>
      <c r="C1092" t="s">
        <v>110</v>
      </c>
      <c r="D1092" t="s">
        <v>583</v>
      </c>
      <c r="E1092" t="s">
        <v>583</v>
      </c>
      <c r="F1092" s="705">
        <v>125</v>
      </c>
      <c r="G1092" s="705">
        <v>30687</v>
      </c>
      <c r="H1092" s="705">
        <v>11560</v>
      </c>
      <c r="I1092" s="705">
        <v>1479508</v>
      </c>
      <c r="J1092" s="705">
        <v>1345007</v>
      </c>
      <c r="K1092" s="705">
        <v>94</v>
      </c>
      <c r="L1092" s="705">
        <v>247093</v>
      </c>
      <c r="M1092" s="705">
        <v>230881</v>
      </c>
      <c r="N1092" s="705">
        <v>464214</v>
      </c>
      <c r="O1092" s="705">
        <v>171931</v>
      </c>
      <c r="P1092" s="705">
        <v>143609</v>
      </c>
      <c r="Q1092" s="705">
        <v>53188</v>
      </c>
      <c r="R1092" s="705">
        <v>599261</v>
      </c>
      <c r="S1092" s="705">
        <v>544783</v>
      </c>
      <c r="T1092" s="705">
        <v>9312</v>
      </c>
      <c r="U1092" s="705">
        <v>3449</v>
      </c>
      <c r="V1092" s="705">
        <v>2349239</v>
      </c>
      <c r="W1092" s="705">
        <f t="shared" si="54"/>
        <v>2349239</v>
      </c>
      <c r="X1092" s="705">
        <f t="shared" si="55"/>
        <v>2942997</v>
      </c>
    </row>
    <row r="1093" spans="2:24">
      <c r="B1093" t="s">
        <v>541</v>
      </c>
      <c r="C1093" t="s">
        <v>110</v>
      </c>
      <c r="D1093" t="s">
        <v>722</v>
      </c>
      <c r="E1093" t="s">
        <v>722</v>
      </c>
      <c r="F1093" s="705">
        <v>1</v>
      </c>
      <c r="G1093" s="705">
        <v>268</v>
      </c>
      <c r="H1093" s="705">
        <v>100</v>
      </c>
      <c r="I1093" s="705">
        <v>13104</v>
      </c>
      <c r="J1093" s="705">
        <v>11913</v>
      </c>
      <c r="K1093" s="705">
        <v>84</v>
      </c>
      <c r="L1093" s="705">
        <v>2048</v>
      </c>
      <c r="M1093" s="705">
        <v>1862</v>
      </c>
      <c r="N1093" s="705">
        <v>3365</v>
      </c>
      <c r="O1093" s="705">
        <v>1246</v>
      </c>
      <c r="P1093" s="705">
        <v>1404</v>
      </c>
      <c r="Q1093" s="705">
        <v>520</v>
      </c>
      <c r="R1093" s="705">
        <v>6804</v>
      </c>
      <c r="S1093" s="705">
        <v>6186</v>
      </c>
      <c r="T1093" s="705">
        <v>0</v>
      </c>
      <c r="U1093" s="705">
        <v>0</v>
      </c>
      <c r="V1093" s="705">
        <v>21727</v>
      </c>
      <c r="W1093" s="705">
        <f t="shared" si="54"/>
        <v>21727</v>
      </c>
      <c r="X1093" s="705">
        <f t="shared" si="55"/>
        <v>26725</v>
      </c>
    </row>
    <row r="1094" spans="2:24">
      <c r="B1094" t="s">
        <v>541</v>
      </c>
      <c r="C1094" t="s">
        <v>110</v>
      </c>
      <c r="D1094" t="s">
        <v>585</v>
      </c>
      <c r="E1094" t="s">
        <v>585</v>
      </c>
      <c r="F1094" s="705">
        <v>2</v>
      </c>
      <c r="G1094" s="705">
        <v>521</v>
      </c>
      <c r="H1094" s="705">
        <v>195</v>
      </c>
      <c r="I1094" s="705">
        <v>27078</v>
      </c>
      <c r="J1094" s="705">
        <v>24617</v>
      </c>
      <c r="K1094" s="705">
        <v>88</v>
      </c>
      <c r="L1094" s="705">
        <v>0</v>
      </c>
      <c r="M1094" s="705">
        <v>5327</v>
      </c>
      <c r="N1094" s="705">
        <v>9602</v>
      </c>
      <c r="O1094" s="705">
        <v>3556</v>
      </c>
      <c r="P1094" s="705">
        <v>5289</v>
      </c>
      <c r="Q1094" s="705">
        <v>1959</v>
      </c>
      <c r="R1094" s="705">
        <v>8977</v>
      </c>
      <c r="S1094" s="705">
        <v>8161</v>
      </c>
      <c r="T1094" s="705">
        <v>0</v>
      </c>
      <c r="U1094" s="705">
        <v>0</v>
      </c>
      <c r="V1094" s="705">
        <v>43620</v>
      </c>
      <c r="W1094" s="705">
        <f t="shared" si="54"/>
        <v>43620</v>
      </c>
      <c r="X1094" s="705">
        <f t="shared" si="55"/>
        <v>50946</v>
      </c>
    </row>
    <row r="1095" spans="2:24">
      <c r="B1095" t="s">
        <v>541</v>
      </c>
      <c r="C1095" t="s">
        <v>112</v>
      </c>
      <c r="D1095" t="s">
        <v>664</v>
      </c>
      <c r="E1095" t="s">
        <v>664</v>
      </c>
      <c r="F1095" s="705">
        <v>5</v>
      </c>
      <c r="G1095" s="705">
        <v>1043</v>
      </c>
      <c r="H1095" s="705">
        <v>567</v>
      </c>
      <c r="I1095" s="705">
        <v>70818</v>
      </c>
      <c r="J1095" s="705">
        <v>64380</v>
      </c>
      <c r="K1095" s="705">
        <v>93</v>
      </c>
      <c r="L1095" s="705">
        <v>9975</v>
      </c>
      <c r="M1095" s="705">
        <v>9068</v>
      </c>
      <c r="N1095" s="705">
        <v>19755</v>
      </c>
      <c r="O1095" s="705">
        <v>7317</v>
      </c>
      <c r="P1095" s="705">
        <v>3996</v>
      </c>
      <c r="Q1095" s="705">
        <v>1480</v>
      </c>
      <c r="R1095" s="705">
        <v>24414</v>
      </c>
      <c r="S1095" s="705">
        <v>22194</v>
      </c>
      <c r="T1095" s="705">
        <v>0</v>
      </c>
      <c r="U1095" s="705">
        <v>0</v>
      </c>
      <c r="V1095" s="705">
        <v>104439</v>
      </c>
      <c r="W1095" s="705">
        <f t="shared" ref="W1095:W1158" si="56">SUM(ABS(J1095),ABS(M1095),ABS(O1095),ABS(Q1095),ABS(S1095),ABS(U1095))</f>
        <v>104439</v>
      </c>
      <c r="X1095" s="705">
        <f t="shared" ref="X1095:X1158" si="57">SUM(ABS(I1095),ABS(N1095),ABS(P1095),ABS(R1095),ABS(T1095),ABS(L1095))</f>
        <v>128958</v>
      </c>
    </row>
    <row r="1096" spans="2:24">
      <c r="B1096" t="s">
        <v>541</v>
      </c>
      <c r="C1096" t="s">
        <v>112</v>
      </c>
      <c r="D1096" t="s">
        <v>582</v>
      </c>
      <c r="E1096" t="s">
        <v>582</v>
      </c>
      <c r="F1096" s="705">
        <v>40</v>
      </c>
      <c r="G1096" s="705">
        <v>8717</v>
      </c>
      <c r="H1096" s="705">
        <v>4663</v>
      </c>
      <c r="I1096" s="705">
        <v>621658</v>
      </c>
      <c r="J1096" s="705">
        <v>565144</v>
      </c>
      <c r="K1096" s="705">
        <v>90</v>
      </c>
      <c r="L1096" s="705">
        <v>98588</v>
      </c>
      <c r="M1096" s="705">
        <v>89126</v>
      </c>
      <c r="N1096" s="705">
        <v>178833</v>
      </c>
      <c r="O1096" s="705">
        <v>66234</v>
      </c>
      <c r="P1096" s="705">
        <v>49231</v>
      </c>
      <c r="Q1096" s="705">
        <v>18234</v>
      </c>
      <c r="R1096" s="705">
        <v>193372</v>
      </c>
      <c r="S1096" s="705">
        <v>175793</v>
      </c>
      <c r="T1096" s="705">
        <v>2628</v>
      </c>
      <c r="U1096" s="705">
        <v>973</v>
      </c>
      <c r="V1096" s="705">
        <v>915505</v>
      </c>
      <c r="W1096" s="705">
        <f t="shared" si="56"/>
        <v>915504</v>
      </c>
      <c r="X1096" s="705">
        <f t="shared" si="57"/>
        <v>1144310</v>
      </c>
    </row>
    <row r="1097" spans="2:24">
      <c r="B1097" t="s">
        <v>541</v>
      </c>
      <c r="C1097" t="s">
        <v>112</v>
      </c>
      <c r="D1097" t="s">
        <v>228</v>
      </c>
      <c r="E1097" t="s">
        <v>664</v>
      </c>
      <c r="F1097" s="705">
        <v>1</v>
      </c>
      <c r="G1097" s="705">
        <v>310</v>
      </c>
      <c r="H1097" s="705">
        <v>122</v>
      </c>
      <c r="I1097" s="705">
        <v>23009</v>
      </c>
      <c r="J1097" s="705">
        <v>8522</v>
      </c>
      <c r="K1097" s="705">
        <v>250</v>
      </c>
      <c r="L1097" s="705">
        <v>4340</v>
      </c>
      <c r="M1097" s="705">
        <v>3945</v>
      </c>
      <c r="N1097" s="705">
        <v>6043</v>
      </c>
      <c r="O1097" s="705">
        <v>2238</v>
      </c>
      <c r="P1097" s="705">
        <v>1053</v>
      </c>
      <c r="Q1097" s="705">
        <v>390</v>
      </c>
      <c r="R1097" s="705">
        <v>3467</v>
      </c>
      <c r="S1097" s="705">
        <v>3152</v>
      </c>
      <c r="T1097" s="705">
        <v>0</v>
      </c>
      <c r="U1097" s="705">
        <v>0</v>
      </c>
      <c r="V1097" s="705">
        <v>18247</v>
      </c>
      <c r="W1097" s="705">
        <f t="shared" si="56"/>
        <v>18247</v>
      </c>
      <c r="X1097" s="705">
        <f t="shared" si="57"/>
        <v>37912</v>
      </c>
    </row>
    <row r="1098" spans="2:24">
      <c r="B1098" t="s">
        <v>541</v>
      </c>
      <c r="C1098" t="s">
        <v>112</v>
      </c>
      <c r="D1098" t="s">
        <v>228</v>
      </c>
      <c r="E1098" t="s">
        <v>582</v>
      </c>
      <c r="F1098" s="705">
        <v>1</v>
      </c>
      <c r="G1098" s="705">
        <v>364</v>
      </c>
      <c r="H1098" s="705">
        <v>122</v>
      </c>
      <c r="I1098" s="705">
        <v>22440</v>
      </c>
      <c r="J1098" s="705">
        <v>8311</v>
      </c>
      <c r="K1098" s="705">
        <v>315</v>
      </c>
      <c r="L1098" s="705">
        <v>10666</v>
      </c>
      <c r="M1098" s="705">
        <v>9696</v>
      </c>
      <c r="N1098" s="705">
        <v>5548</v>
      </c>
      <c r="O1098" s="705">
        <v>2055</v>
      </c>
      <c r="P1098" s="705">
        <v>351</v>
      </c>
      <c r="Q1098" s="705">
        <v>130</v>
      </c>
      <c r="R1098" s="705">
        <v>5498</v>
      </c>
      <c r="S1098" s="705">
        <v>4998</v>
      </c>
      <c r="T1098" s="705">
        <v>0</v>
      </c>
      <c r="U1098" s="705">
        <v>0</v>
      </c>
      <c r="V1098" s="705">
        <v>25190</v>
      </c>
      <c r="W1098" s="705">
        <f t="shared" si="56"/>
        <v>25190</v>
      </c>
      <c r="X1098" s="705">
        <f t="shared" si="57"/>
        <v>44503</v>
      </c>
    </row>
    <row r="1099" spans="2:24">
      <c r="B1099" t="s">
        <v>541</v>
      </c>
      <c r="C1099" t="s">
        <v>112</v>
      </c>
      <c r="D1099" t="s">
        <v>228</v>
      </c>
      <c r="E1099" t="s">
        <v>228</v>
      </c>
      <c r="F1099" s="705">
        <v>49</v>
      </c>
      <c r="G1099" s="705">
        <v>10333</v>
      </c>
      <c r="H1099" s="705">
        <v>5488</v>
      </c>
      <c r="I1099" s="705">
        <v>469151</v>
      </c>
      <c r="J1099" s="705">
        <v>173759</v>
      </c>
      <c r="K1099" s="705">
        <v>355</v>
      </c>
      <c r="L1099" s="705">
        <v>141693</v>
      </c>
      <c r="M1099" s="705">
        <v>124048</v>
      </c>
      <c r="N1099" s="705">
        <v>189594</v>
      </c>
      <c r="O1099" s="705">
        <v>70220</v>
      </c>
      <c r="P1099" s="705">
        <v>43818</v>
      </c>
      <c r="Q1099" s="705">
        <v>16229</v>
      </c>
      <c r="R1099" s="705">
        <v>356314</v>
      </c>
      <c r="S1099" s="705">
        <v>131968</v>
      </c>
      <c r="T1099" s="705">
        <v>4377</v>
      </c>
      <c r="U1099" s="705">
        <v>1621</v>
      </c>
      <c r="V1099" s="705">
        <v>517846</v>
      </c>
      <c r="W1099" s="705">
        <f t="shared" si="56"/>
        <v>517845</v>
      </c>
      <c r="X1099" s="705">
        <f t="shared" si="57"/>
        <v>1204947</v>
      </c>
    </row>
    <row r="1100" spans="2:24">
      <c r="B1100" t="s">
        <v>541</v>
      </c>
      <c r="C1100" t="s">
        <v>112</v>
      </c>
      <c r="D1100" t="s">
        <v>583</v>
      </c>
      <c r="E1100" t="s">
        <v>228</v>
      </c>
      <c r="F1100" s="705">
        <v>2</v>
      </c>
      <c r="G1100" s="705">
        <v>391</v>
      </c>
      <c r="H1100" s="705">
        <v>209</v>
      </c>
      <c r="I1100" s="705">
        <v>15519</v>
      </c>
      <c r="J1100" s="705">
        <v>14108</v>
      </c>
      <c r="K1100" s="705">
        <v>95</v>
      </c>
      <c r="L1100" s="705">
        <v>3762</v>
      </c>
      <c r="M1100" s="705">
        <v>3420</v>
      </c>
      <c r="N1100" s="705">
        <v>8511</v>
      </c>
      <c r="O1100" s="705">
        <v>3152</v>
      </c>
      <c r="P1100" s="705">
        <v>1242</v>
      </c>
      <c r="Q1100" s="705">
        <v>460</v>
      </c>
      <c r="R1100" s="705">
        <v>11890</v>
      </c>
      <c r="S1100" s="705">
        <v>4404</v>
      </c>
      <c r="T1100" s="705">
        <v>0</v>
      </c>
      <c r="U1100" s="705">
        <v>0</v>
      </c>
      <c r="V1100" s="705">
        <v>25545</v>
      </c>
      <c r="W1100" s="705">
        <f t="shared" si="56"/>
        <v>25544</v>
      </c>
      <c r="X1100" s="705">
        <f t="shared" si="57"/>
        <v>40924</v>
      </c>
    </row>
    <row r="1101" spans="2:24">
      <c r="B1101" t="s">
        <v>541</v>
      </c>
      <c r="C1101" t="s">
        <v>112</v>
      </c>
      <c r="D1101" t="s">
        <v>583</v>
      </c>
      <c r="E1101" t="s">
        <v>583</v>
      </c>
      <c r="F1101" s="705">
        <v>388</v>
      </c>
      <c r="G1101" s="705">
        <v>87695</v>
      </c>
      <c r="H1101" s="705">
        <v>44953</v>
      </c>
      <c r="I1101" s="705">
        <v>5797417</v>
      </c>
      <c r="J1101" s="705">
        <v>5270379</v>
      </c>
      <c r="K1101" s="705">
        <v>92</v>
      </c>
      <c r="L1101" s="705">
        <v>1079020</v>
      </c>
      <c r="M1101" s="705">
        <v>1595697</v>
      </c>
      <c r="N1101" s="705">
        <v>1550731</v>
      </c>
      <c r="O1101" s="705">
        <v>574345</v>
      </c>
      <c r="P1101" s="705">
        <v>350074</v>
      </c>
      <c r="Q1101" s="705">
        <v>129657</v>
      </c>
      <c r="R1101" s="705">
        <v>2013070</v>
      </c>
      <c r="S1101" s="705">
        <v>1830064</v>
      </c>
      <c r="T1101" s="705">
        <v>63463</v>
      </c>
      <c r="U1101" s="705">
        <v>23505</v>
      </c>
      <c r="V1101" s="705">
        <v>9423647</v>
      </c>
      <c r="W1101" s="705">
        <f t="shared" si="56"/>
        <v>9423647</v>
      </c>
      <c r="X1101" s="705">
        <f t="shared" si="57"/>
        <v>10853775</v>
      </c>
    </row>
    <row r="1102" spans="2:24">
      <c r="B1102" t="s">
        <v>541</v>
      </c>
      <c r="C1102" t="s">
        <v>112</v>
      </c>
      <c r="D1102" t="s">
        <v>583</v>
      </c>
      <c r="E1102" t="s">
        <v>666</v>
      </c>
      <c r="F1102" s="705">
        <v>1</v>
      </c>
      <c r="G1102" s="705">
        <v>250</v>
      </c>
      <c r="H1102" s="705">
        <v>110</v>
      </c>
      <c r="I1102" s="705">
        <v>20743</v>
      </c>
      <c r="J1102" s="705">
        <v>18857</v>
      </c>
      <c r="K1102" s="705">
        <v>92</v>
      </c>
      <c r="L1102" s="705">
        <v>0</v>
      </c>
      <c r="M1102" s="705">
        <v>321615</v>
      </c>
      <c r="N1102" s="705">
        <v>3767</v>
      </c>
      <c r="O1102" s="705">
        <v>1395</v>
      </c>
      <c r="P1102" s="705">
        <v>1323</v>
      </c>
      <c r="Q1102" s="705">
        <v>490</v>
      </c>
      <c r="R1102" s="705">
        <v>4042</v>
      </c>
      <c r="S1102" s="705">
        <v>3675</v>
      </c>
      <c r="T1102" s="705">
        <v>4180</v>
      </c>
      <c r="U1102" s="705">
        <v>1548</v>
      </c>
      <c r="V1102" s="705">
        <v>347580</v>
      </c>
      <c r="W1102" s="705">
        <f t="shared" si="56"/>
        <v>347580</v>
      </c>
      <c r="X1102" s="705">
        <f t="shared" si="57"/>
        <v>34055</v>
      </c>
    </row>
    <row r="1103" spans="2:24">
      <c r="B1103" t="s">
        <v>541</v>
      </c>
      <c r="C1103" t="s">
        <v>112</v>
      </c>
      <c r="D1103" t="s">
        <v>584</v>
      </c>
      <c r="E1103" t="s">
        <v>584</v>
      </c>
      <c r="F1103" s="705">
        <v>2</v>
      </c>
      <c r="G1103" s="705">
        <v>840</v>
      </c>
      <c r="H1103" s="705">
        <v>219</v>
      </c>
      <c r="I1103" s="705">
        <v>55752</v>
      </c>
      <c r="J1103" s="705">
        <v>50683</v>
      </c>
      <c r="K1103" s="705">
        <v>92</v>
      </c>
      <c r="L1103" s="705">
        <v>8039</v>
      </c>
      <c r="M1103" s="705">
        <v>7309</v>
      </c>
      <c r="N1103" s="705">
        <v>13521</v>
      </c>
      <c r="O1103" s="705">
        <v>5008</v>
      </c>
      <c r="P1103" s="705">
        <v>1067</v>
      </c>
      <c r="Q1103" s="705">
        <v>395</v>
      </c>
      <c r="R1103" s="705">
        <v>13692</v>
      </c>
      <c r="S1103" s="705">
        <v>12447</v>
      </c>
      <c r="T1103" s="705">
        <v>0</v>
      </c>
      <c r="U1103" s="705">
        <v>0</v>
      </c>
      <c r="V1103" s="705">
        <v>75842</v>
      </c>
      <c r="W1103" s="705">
        <f t="shared" si="56"/>
        <v>75842</v>
      </c>
      <c r="X1103" s="705">
        <f t="shared" si="57"/>
        <v>92071</v>
      </c>
    </row>
    <row r="1104" spans="2:24">
      <c r="B1104" t="s">
        <v>541</v>
      </c>
      <c r="C1104" t="s">
        <v>112</v>
      </c>
      <c r="D1104" t="s">
        <v>673</v>
      </c>
      <c r="E1104" t="s">
        <v>228</v>
      </c>
      <c r="F1104" s="705">
        <v>1</v>
      </c>
      <c r="G1104" s="705">
        <v>170</v>
      </c>
      <c r="H1104" s="705">
        <v>109</v>
      </c>
      <c r="I1104" s="705">
        <v>9010</v>
      </c>
      <c r="J1104" s="705">
        <v>8191</v>
      </c>
      <c r="K1104" s="705">
        <v>79</v>
      </c>
      <c r="L1104" s="705">
        <v>1941</v>
      </c>
      <c r="M1104" s="705">
        <v>719</v>
      </c>
      <c r="N1104" s="705">
        <v>2070</v>
      </c>
      <c r="O1104" s="705">
        <v>767</v>
      </c>
      <c r="P1104" s="705">
        <v>1449</v>
      </c>
      <c r="Q1104" s="705">
        <v>537</v>
      </c>
      <c r="R1104" s="705">
        <v>4031</v>
      </c>
      <c r="S1104" s="705">
        <v>1493</v>
      </c>
      <c r="T1104" s="705">
        <v>0</v>
      </c>
      <c r="U1104" s="705">
        <v>0</v>
      </c>
      <c r="V1104" s="705">
        <v>11706</v>
      </c>
      <c r="W1104" s="705">
        <f t="shared" si="56"/>
        <v>11707</v>
      </c>
      <c r="X1104" s="705">
        <f t="shared" si="57"/>
        <v>18501</v>
      </c>
    </row>
    <row r="1105" spans="2:24">
      <c r="B1105" t="s">
        <v>541</v>
      </c>
      <c r="C1105" t="s">
        <v>112</v>
      </c>
      <c r="D1105" t="s">
        <v>585</v>
      </c>
      <c r="E1105" t="s">
        <v>585</v>
      </c>
      <c r="F1105" s="705">
        <v>5</v>
      </c>
      <c r="G1105" s="705">
        <v>1095</v>
      </c>
      <c r="H1105" s="705">
        <v>582</v>
      </c>
      <c r="I1105" s="705">
        <v>70996</v>
      </c>
      <c r="J1105" s="705">
        <v>64542</v>
      </c>
      <c r="K1105" s="705">
        <v>85</v>
      </c>
      <c r="L1105" s="705">
        <v>11184</v>
      </c>
      <c r="M1105" s="705">
        <v>10168</v>
      </c>
      <c r="N1105" s="705">
        <v>23137</v>
      </c>
      <c r="O1105" s="705">
        <v>8569</v>
      </c>
      <c r="P1105" s="705">
        <v>10450</v>
      </c>
      <c r="Q1105" s="705">
        <v>3870</v>
      </c>
      <c r="R1105" s="705">
        <v>19995</v>
      </c>
      <c r="S1105" s="705">
        <v>18177</v>
      </c>
      <c r="T1105" s="705">
        <v>0</v>
      </c>
      <c r="U1105" s="705">
        <v>0</v>
      </c>
      <c r="V1105" s="705">
        <v>105326</v>
      </c>
      <c r="W1105" s="705">
        <f t="shared" si="56"/>
        <v>105326</v>
      </c>
      <c r="X1105" s="705">
        <f t="shared" si="57"/>
        <v>135762</v>
      </c>
    </row>
    <row r="1106" spans="2:24">
      <c r="B1106" t="s">
        <v>541</v>
      </c>
      <c r="C1106" t="s">
        <v>114</v>
      </c>
      <c r="D1106" t="s">
        <v>664</v>
      </c>
      <c r="E1106" t="s">
        <v>664</v>
      </c>
      <c r="F1106" s="705">
        <v>5</v>
      </c>
      <c r="G1106" s="705">
        <v>882</v>
      </c>
      <c r="H1106" s="705">
        <v>697</v>
      </c>
      <c r="I1106" s="705">
        <v>83572</v>
      </c>
      <c r="J1106" s="705">
        <v>75974</v>
      </c>
      <c r="K1106" s="705">
        <v>85</v>
      </c>
      <c r="L1106" s="705">
        <v>15819</v>
      </c>
      <c r="M1106" s="705">
        <v>14381</v>
      </c>
      <c r="N1106" s="705">
        <v>16458</v>
      </c>
      <c r="O1106" s="705">
        <v>6095</v>
      </c>
      <c r="P1106" s="705">
        <v>3645</v>
      </c>
      <c r="Q1106" s="705">
        <v>1350</v>
      </c>
      <c r="R1106" s="705">
        <v>25293</v>
      </c>
      <c r="S1106" s="705">
        <v>22994</v>
      </c>
      <c r="T1106" s="705">
        <v>0</v>
      </c>
      <c r="U1106" s="705">
        <v>0</v>
      </c>
      <c r="V1106" s="705">
        <v>120795</v>
      </c>
      <c r="W1106" s="705">
        <f t="shared" si="56"/>
        <v>120794</v>
      </c>
      <c r="X1106" s="705">
        <f t="shared" si="57"/>
        <v>144787</v>
      </c>
    </row>
    <row r="1107" spans="2:24">
      <c r="B1107" t="s">
        <v>541</v>
      </c>
      <c r="C1107" t="s">
        <v>114</v>
      </c>
      <c r="D1107" t="s">
        <v>582</v>
      </c>
      <c r="E1107" t="s">
        <v>582</v>
      </c>
      <c r="F1107" s="705">
        <v>95</v>
      </c>
      <c r="G1107" s="705">
        <v>17810</v>
      </c>
      <c r="H1107" s="705">
        <v>13256</v>
      </c>
      <c r="I1107" s="705">
        <v>1423398</v>
      </c>
      <c r="J1107" s="705">
        <v>1293998</v>
      </c>
      <c r="K1107" s="705">
        <v>90</v>
      </c>
      <c r="L1107" s="705">
        <v>303441</v>
      </c>
      <c r="M1107" s="705">
        <v>270550</v>
      </c>
      <c r="N1107" s="705">
        <v>359634</v>
      </c>
      <c r="O1107" s="705">
        <v>133198</v>
      </c>
      <c r="P1107" s="705">
        <v>70003</v>
      </c>
      <c r="Q1107" s="705">
        <v>25927</v>
      </c>
      <c r="R1107" s="705">
        <v>469620</v>
      </c>
      <c r="S1107" s="705">
        <v>426928</v>
      </c>
      <c r="T1107" s="705">
        <v>7923</v>
      </c>
      <c r="U1107" s="705">
        <v>2935</v>
      </c>
      <c r="V1107" s="705">
        <v>2153534</v>
      </c>
      <c r="W1107" s="705">
        <f t="shared" si="56"/>
        <v>2153536</v>
      </c>
      <c r="X1107" s="705">
        <f t="shared" si="57"/>
        <v>2634019</v>
      </c>
    </row>
    <row r="1108" spans="2:24">
      <c r="B1108" t="s">
        <v>541</v>
      </c>
      <c r="C1108" t="s">
        <v>114</v>
      </c>
      <c r="D1108" t="s">
        <v>582</v>
      </c>
      <c r="E1108" t="s">
        <v>228</v>
      </c>
      <c r="F1108" s="705">
        <v>1</v>
      </c>
      <c r="G1108" s="705">
        <v>302</v>
      </c>
      <c r="H1108" s="705">
        <v>131</v>
      </c>
      <c r="I1108" s="705">
        <v>22909</v>
      </c>
      <c r="J1108" s="705">
        <v>20826</v>
      </c>
      <c r="K1108" s="705">
        <v>69</v>
      </c>
      <c r="L1108" s="705">
        <v>2927</v>
      </c>
      <c r="M1108" s="705">
        <v>2661</v>
      </c>
      <c r="N1108" s="705">
        <v>3685</v>
      </c>
      <c r="O1108" s="705">
        <v>1365</v>
      </c>
      <c r="P1108" s="705">
        <v>1175</v>
      </c>
      <c r="Q1108" s="705">
        <v>435</v>
      </c>
      <c r="R1108" s="705">
        <v>9031</v>
      </c>
      <c r="S1108" s="705">
        <v>3345</v>
      </c>
      <c r="T1108" s="705">
        <v>0</v>
      </c>
      <c r="U1108" s="705">
        <v>0</v>
      </c>
      <c r="V1108" s="705">
        <v>28632</v>
      </c>
      <c r="W1108" s="705">
        <f t="shared" si="56"/>
        <v>28632</v>
      </c>
      <c r="X1108" s="705">
        <f t="shared" si="57"/>
        <v>39727</v>
      </c>
    </row>
    <row r="1109" spans="2:24">
      <c r="B1109" t="s">
        <v>541</v>
      </c>
      <c r="C1109" t="s">
        <v>114</v>
      </c>
      <c r="D1109" t="s">
        <v>228</v>
      </c>
      <c r="E1109" t="s">
        <v>582</v>
      </c>
      <c r="F1109" s="705">
        <v>1</v>
      </c>
      <c r="G1109" s="705">
        <v>386</v>
      </c>
      <c r="H1109" s="705">
        <v>134</v>
      </c>
      <c r="I1109" s="705">
        <v>26740</v>
      </c>
      <c r="J1109" s="705">
        <v>9904</v>
      </c>
      <c r="K1109" s="705">
        <v>320</v>
      </c>
      <c r="L1109" s="705">
        <v>7747</v>
      </c>
      <c r="M1109" s="705">
        <v>7043</v>
      </c>
      <c r="N1109" s="705">
        <v>9124</v>
      </c>
      <c r="O1109" s="705">
        <v>3379</v>
      </c>
      <c r="P1109" s="705">
        <v>824</v>
      </c>
      <c r="Q1109" s="705">
        <v>305</v>
      </c>
      <c r="R1109" s="705">
        <v>7303</v>
      </c>
      <c r="S1109" s="705">
        <v>6639</v>
      </c>
      <c r="T1109" s="705">
        <v>0</v>
      </c>
      <c r="U1109" s="705">
        <v>0</v>
      </c>
      <c r="V1109" s="705">
        <v>27270</v>
      </c>
      <c r="W1109" s="705">
        <f t="shared" si="56"/>
        <v>27270</v>
      </c>
      <c r="X1109" s="705">
        <f t="shared" si="57"/>
        <v>51738</v>
      </c>
    </row>
    <row r="1110" spans="2:24">
      <c r="B1110" t="s">
        <v>541</v>
      </c>
      <c r="C1110" t="s">
        <v>114</v>
      </c>
      <c r="D1110" t="s">
        <v>228</v>
      </c>
      <c r="E1110" t="s">
        <v>228</v>
      </c>
      <c r="F1110" s="705">
        <v>46</v>
      </c>
      <c r="G1110" s="705">
        <v>10397</v>
      </c>
      <c r="H1110" s="705">
        <v>6321</v>
      </c>
      <c r="I1110" s="705">
        <v>693107</v>
      </c>
      <c r="J1110" s="705">
        <v>256706</v>
      </c>
      <c r="K1110" s="705">
        <v>307</v>
      </c>
      <c r="L1110" s="705">
        <v>206700</v>
      </c>
      <c r="M1110" s="705">
        <v>174719</v>
      </c>
      <c r="N1110" s="705">
        <v>220661</v>
      </c>
      <c r="O1110" s="705">
        <v>81726</v>
      </c>
      <c r="P1110" s="705">
        <v>52554</v>
      </c>
      <c r="Q1110" s="705">
        <v>19465</v>
      </c>
      <c r="R1110" s="705">
        <v>358658</v>
      </c>
      <c r="S1110" s="705">
        <v>132836</v>
      </c>
      <c r="T1110" s="705">
        <v>4876</v>
      </c>
      <c r="U1110" s="705">
        <v>1806</v>
      </c>
      <c r="V1110" s="705">
        <v>667259</v>
      </c>
      <c r="W1110" s="705">
        <f t="shared" si="56"/>
        <v>667258</v>
      </c>
      <c r="X1110" s="705">
        <f t="shared" si="57"/>
        <v>1536556</v>
      </c>
    </row>
    <row r="1111" spans="2:24">
      <c r="B1111" t="s">
        <v>541</v>
      </c>
      <c r="C1111" t="s">
        <v>114</v>
      </c>
      <c r="D1111" t="s">
        <v>583</v>
      </c>
      <c r="E1111" t="s">
        <v>228</v>
      </c>
      <c r="F1111" s="705">
        <v>5</v>
      </c>
      <c r="G1111" s="705">
        <v>1129</v>
      </c>
      <c r="H1111" s="705">
        <v>700</v>
      </c>
      <c r="I1111" s="705">
        <v>86903</v>
      </c>
      <c r="J1111" s="705">
        <v>79003</v>
      </c>
      <c r="K1111" s="705">
        <v>85</v>
      </c>
      <c r="L1111" s="705">
        <v>12345</v>
      </c>
      <c r="M1111" s="705">
        <v>11223</v>
      </c>
      <c r="N1111" s="705">
        <v>17596</v>
      </c>
      <c r="O1111" s="705">
        <v>6517</v>
      </c>
      <c r="P1111" s="705">
        <v>3105</v>
      </c>
      <c r="Q1111" s="705">
        <v>1150</v>
      </c>
      <c r="R1111" s="705">
        <v>38252</v>
      </c>
      <c r="S1111" s="705">
        <v>14167</v>
      </c>
      <c r="T1111" s="705">
        <v>0</v>
      </c>
      <c r="U1111" s="705">
        <v>0</v>
      </c>
      <c r="V1111" s="705">
        <v>112060</v>
      </c>
      <c r="W1111" s="705">
        <f t="shared" si="56"/>
        <v>112060</v>
      </c>
      <c r="X1111" s="705">
        <f t="shared" si="57"/>
        <v>158201</v>
      </c>
    </row>
    <row r="1112" spans="2:24">
      <c r="B1112" t="s">
        <v>541</v>
      </c>
      <c r="C1112" t="s">
        <v>114</v>
      </c>
      <c r="D1112" t="s">
        <v>583</v>
      </c>
      <c r="E1112" t="s">
        <v>583</v>
      </c>
      <c r="F1112" s="705">
        <v>952</v>
      </c>
      <c r="G1112" s="705">
        <v>187890</v>
      </c>
      <c r="H1112" s="705">
        <v>133501</v>
      </c>
      <c r="I1112" s="705">
        <v>15663817</v>
      </c>
      <c r="J1112" s="705">
        <v>14239833</v>
      </c>
      <c r="K1112" s="705">
        <v>89</v>
      </c>
      <c r="L1112" s="705">
        <v>3253416</v>
      </c>
      <c r="M1112" s="705">
        <v>3163913</v>
      </c>
      <c r="N1112" s="705">
        <v>3590961</v>
      </c>
      <c r="O1112" s="705">
        <v>1329986</v>
      </c>
      <c r="P1112" s="705">
        <v>764455</v>
      </c>
      <c r="Q1112" s="705">
        <v>283131</v>
      </c>
      <c r="R1112" s="705">
        <v>5388811</v>
      </c>
      <c r="S1112" s="705">
        <v>4898919</v>
      </c>
      <c r="T1112" s="705">
        <v>209794</v>
      </c>
      <c r="U1112" s="705">
        <v>77701</v>
      </c>
      <c r="V1112" s="705">
        <v>23993484</v>
      </c>
      <c r="W1112" s="705">
        <f t="shared" si="56"/>
        <v>23993483</v>
      </c>
      <c r="X1112" s="705">
        <f t="shared" si="57"/>
        <v>28871254</v>
      </c>
    </row>
    <row r="1113" spans="2:24">
      <c r="B1113" t="s">
        <v>541</v>
      </c>
      <c r="C1113" t="s">
        <v>114</v>
      </c>
      <c r="D1113" t="s">
        <v>583</v>
      </c>
      <c r="E1113" t="s">
        <v>666</v>
      </c>
      <c r="F1113" s="705">
        <v>3</v>
      </c>
      <c r="G1113" s="705">
        <v>414</v>
      </c>
      <c r="H1113" s="705">
        <v>429</v>
      </c>
      <c r="I1113" s="705">
        <v>34538</v>
      </c>
      <c r="J1113" s="705">
        <v>31398</v>
      </c>
      <c r="K1113" s="705">
        <v>92</v>
      </c>
      <c r="L1113" s="705">
        <v>11279</v>
      </c>
      <c r="M1113" s="705">
        <v>10254</v>
      </c>
      <c r="N1113" s="705">
        <v>11641</v>
      </c>
      <c r="O1113" s="705">
        <v>4311</v>
      </c>
      <c r="P1113" s="705">
        <v>1863</v>
      </c>
      <c r="Q1113" s="705">
        <v>690</v>
      </c>
      <c r="R1113" s="705">
        <v>14485</v>
      </c>
      <c r="S1113" s="705">
        <v>13169</v>
      </c>
      <c r="T1113" s="705">
        <v>0</v>
      </c>
      <c r="U1113" s="705">
        <v>0</v>
      </c>
      <c r="V1113" s="705">
        <v>59822</v>
      </c>
      <c r="W1113" s="705">
        <f t="shared" si="56"/>
        <v>59822</v>
      </c>
      <c r="X1113" s="705">
        <f t="shared" si="57"/>
        <v>73806</v>
      </c>
    </row>
    <row r="1114" spans="2:24">
      <c r="B1114" t="s">
        <v>541</v>
      </c>
      <c r="C1114" t="s">
        <v>114</v>
      </c>
      <c r="D1114" t="s">
        <v>583</v>
      </c>
      <c r="E1114" t="s">
        <v>668</v>
      </c>
      <c r="F1114" s="705">
        <v>1</v>
      </c>
      <c r="G1114" s="705">
        <v>212</v>
      </c>
      <c r="H1114" s="705">
        <v>130</v>
      </c>
      <c r="I1114" s="705">
        <v>11499</v>
      </c>
      <c r="J1114" s="705">
        <v>10454</v>
      </c>
      <c r="K1114" s="705">
        <v>85</v>
      </c>
      <c r="L1114" s="705">
        <v>1671</v>
      </c>
      <c r="M1114" s="705">
        <v>1519</v>
      </c>
      <c r="N1114" s="705">
        <v>2713</v>
      </c>
      <c r="O1114" s="705">
        <v>1005</v>
      </c>
      <c r="P1114" s="705">
        <v>2389</v>
      </c>
      <c r="Q1114" s="705">
        <v>885</v>
      </c>
      <c r="R1114" s="705">
        <v>9299</v>
      </c>
      <c r="S1114" s="705">
        <v>8454</v>
      </c>
      <c r="T1114" s="705">
        <v>0</v>
      </c>
      <c r="U1114" s="705">
        <v>0</v>
      </c>
      <c r="V1114" s="705">
        <v>22316</v>
      </c>
      <c r="W1114" s="705">
        <f t="shared" si="56"/>
        <v>22317</v>
      </c>
      <c r="X1114" s="705">
        <f t="shared" si="57"/>
        <v>27571</v>
      </c>
    </row>
    <row r="1115" spans="2:24">
      <c r="B1115" t="s">
        <v>541</v>
      </c>
      <c r="C1115" t="s">
        <v>114</v>
      </c>
      <c r="D1115" t="s">
        <v>584</v>
      </c>
      <c r="E1115" t="s">
        <v>584</v>
      </c>
      <c r="F1115" s="705">
        <v>19</v>
      </c>
      <c r="G1115" s="705">
        <v>3232</v>
      </c>
      <c r="H1115" s="705">
        <v>2668</v>
      </c>
      <c r="I1115" s="705">
        <v>260497</v>
      </c>
      <c r="J1115" s="705">
        <v>236815</v>
      </c>
      <c r="K1115" s="705">
        <v>90</v>
      </c>
      <c r="L1115" s="705">
        <v>57374</v>
      </c>
      <c r="M1115" s="705">
        <v>55316</v>
      </c>
      <c r="N1115" s="705">
        <v>56880</v>
      </c>
      <c r="O1115" s="705">
        <v>21067</v>
      </c>
      <c r="P1115" s="705">
        <v>12245</v>
      </c>
      <c r="Q1115" s="705">
        <v>4535</v>
      </c>
      <c r="R1115" s="705">
        <v>89810</v>
      </c>
      <c r="S1115" s="705">
        <v>81646</v>
      </c>
      <c r="T1115" s="705">
        <v>3954</v>
      </c>
      <c r="U1115" s="705">
        <v>1464</v>
      </c>
      <c r="V1115" s="705">
        <v>400843</v>
      </c>
      <c r="W1115" s="705">
        <f t="shared" si="56"/>
        <v>400843</v>
      </c>
      <c r="X1115" s="705">
        <f t="shared" si="57"/>
        <v>480760</v>
      </c>
    </row>
    <row r="1116" spans="2:24">
      <c r="B1116" t="s">
        <v>541</v>
      </c>
      <c r="C1116" t="s">
        <v>114</v>
      </c>
      <c r="D1116" t="s">
        <v>665</v>
      </c>
      <c r="E1116" t="s">
        <v>228</v>
      </c>
      <c r="F1116" s="705">
        <v>1</v>
      </c>
      <c r="G1116" s="705">
        <v>252</v>
      </c>
      <c r="H1116" s="705">
        <v>142</v>
      </c>
      <c r="I1116" s="705">
        <v>23668</v>
      </c>
      <c r="J1116" s="705">
        <v>21516</v>
      </c>
      <c r="K1116" s="705">
        <v>65</v>
      </c>
      <c r="L1116" s="705">
        <v>5698</v>
      </c>
      <c r="M1116" s="705">
        <v>5180</v>
      </c>
      <c r="N1116" s="705">
        <v>3070</v>
      </c>
      <c r="O1116" s="705">
        <v>1137</v>
      </c>
      <c r="P1116" s="705">
        <v>351</v>
      </c>
      <c r="Q1116" s="705">
        <v>130</v>
      </c>
      <c r="R1116" s="705">
        <v>3101</v>
      </c>
      <c r="S1116" s="705">
        <v>1149</v>
      </c>
      <c r="T1116" s="705">
        <v>0</v>
      </c>
      <c r="U1116" s="705">
        <v>0</v>
      </c>
      <c r="V1116" s="705">
        <v>29112</v>
      </c>
      <c r="W1116" s="705">
        <f t="shared" si="56"/>
        <v>29112</v>
      </c>
      <c r="X1116" s="705">
        <f t="shared" si="57"/>
        <v>35888</v>
      </c>
    </row>
    <row r="1117" spans="2:24">
      <c r="B1117" t="s">
        <v>541</v>
      </c>
      <c r="C1117" t="s">
        <v>114</v>
      </c>
      <c r="D1117" t="s">
        <v>665</v>
      </c>
      <c r="E1117" t="s">
        <v>665</v>
      </c>
      <c r="F1117" s="705">
        <v>1</v>
      </c>
      <c r="G1117" s="705">
        <v>230</v>
      </c>
      <c r="H1117" s="705">
        <v>141</v>
      </c>
      <c r="I1117" s="705">
        <v>18481</v>
      </c>
      <c r="J1117" s="705">
        <v>16801</v>
      </c>
      <c r="K1117" s="705">
        <v>65</v>
      </c>
      <c r="L1117" s="705">
        <v>3276</v>
      </c>
      <c r="M1117" s="705">
        <v>1213</v>
      </c>
      <c r="N1117" s="705">
        <v>5607</v>
      </c>
      <c r="O1117" s="705">
        <v>2077</v>
      </c>
      <c r="P1117" s="705">
        <v>2315</v>
      </c>
      <c r="Q1117" s="705">
        <v>858</v>
      </c>
      <c r="R1117" s="705">
        <v>2653</v>
      </c>
      <c r="S1117" s="705">
        <v>2411</v>
      </c>
      <c r="T1117" s="705">
        <v>0</v>
      </c>
      <c r="U1117" s="705">
        <v>0</v>
      </c>
      <c r="V1117" s="705">
        <v>23360</v>
      </c>
      <c r="W1117" s="705">
        <f t="shared" si="56"/>
        <v>23360</v>
      </c>
      <c r="X1117" s="705">
        <f t="shared" si="57"/>
        <v>32332</v>
      </c>
    </row>
    <row r="1118" spans="2:24">
      <c r="B1118" t="s">
        <v>541</v>
      </c>
      <c r="C1118" t="s">
        <v>114</v>
      </c>
      <c r="D1118" t="s">
        <v>673</v>
      </c>
      <c r="E1118" t="s">
        <v>228</v>
      </c>
      <c r="F1118" s="705">
        <v>1</v>
      </c>
      <c r="G1118" s="705">
        <v>133</v>
      </c>
      <c r="H1118" s="705">
        <v>138</v>
      </c>
      <c r="I1118" s="705">
        <v>6817</v>
      </c>
      <c r="J1118" s="705">
        <v>6198</v>
      </c>
      <c r="K1118" s="705">
        <v>80</v>
      </c>
      <c r="L1118" s="705">
        <v>1487</v>
      </c>
      <c r="M1118" s="705">
        <v>551</v>
      </c>
      <c r="N1118" s="705">
        <v>1699</v>
      </c>
      <c r="O1118" s="705">
        <v>629</v>
      </c>
      <c r="P1118" s="705">
        <v>0</v>
      </c>
      <c r="Q1118" s="705">
        <v>0</v>
      </c>
      <c r="R1118" s="705">
        <v>8295</v>
      </c>
      <c r="S1118" s="705">
        <v>3072</v>
      </c>
      <c r="T1118" s="705">
        <v>0</v>
      </c>
      <c r="U1118" s="705">
        <v>0</v>
      </c>
      <c r="V1118" s="705">
        <v>10450</v>
      </c>
      <c r="W1118" s="705">
        <f t="shared" si="56"/>
        <v>10450</v>
      </c>
      <c r="X1118" s="705">
        <f t="shared" si="57"/>
        <v>18298</v>
      </c>
    </row>
    <row r="1119" spans="2:24">
      <c r="B1119" t="s">
        <v>541</v>
      </c>
      <c r="C1119" t="s">
        <v>114</v>
      </c>
      <c r="D1119" t="s">
        <v>673</v>
      </c>
      <c r="E1119" t="s">
        <v>673</v>
      </c>
      <c r="F1119" s="705">
        <v>1</v>
      </c>
      <c r="G1119" s="705">
        <v>195</v>
      </c>
      <c r="H1119" s="705">
        <v>146</v>
      </c>
      <c r="I1119" s="705">
        <v>17042</v>
      </c>
      <c r="J1119" s="705">
        <v>15493</v>
      </c>
      <c r="K1119" s="705">
        <v>65</v>
      </c>
      <c r="L1119" s="705">
        <v>2051</v>
      </c>
      <c r="M1119" s="705">
        <v>1865</v>
      </c>
      <c r="N1119" s="705">
        <v>2564</v>
      </c>
      <c r="O1119" s="705">
        <v>950</v>
      </c>
      <c r="P1119" s="705">
        <v>1940</v>
      </c>
      <c r="Q1119" s="705">
        <v>718</v>
      </c>
      <c r="R1119" s="705">
        <v>3572</v>
      </c>
      <c r="S1119" s="705">
        <v>3247</v>
      </c>
      <c r="T1119" s="705">
        <v>1217</v>
      </c>
      <c r="U1119" s="705">
        <v>451</v>
      </c>
      <c r="V1119" s="705">
        <v>22724</v>
      </c>
      <c r="W1119" s="705">
        <f t="shared" si="56"/>
        <v>22724</v>
      </c>
      <c r="X1119" s="705">
        <f t="shared" si="57"/>
        <v>28386</v>
      </c>
    </row>
    <row r="1120" spans="2:24">
      <c r="B1120" t="s">
        <v>541</v>
      </c>
      <c r="C1120" t="s">
        <v>114</v>
      </c>
      <c r="D1120" t="s">
        <v>585</v>
      </c>
      <c r="E1120" t="s">
        <v>228</v>
      </c>
      <c r="F1120" s="705">
        <v>1</v>
      </c>
      <c r="G1120" s="705">
        <v>285</v>
      </c>
      <c r="H1120" s="705">
        <v>150</v>
      </c>
      <c r="I1120" s="705">
        <v>26523</v>
      </c>
      <c r="J1120" s="705">
        <v>24112</v>
      </c>
      <c r="K1120" s="705">
        <v>80</v>
      </c>
      <c r="L1120" s="705">
        <v>3627</v>
      </c>
      <c r="M1120" s="705">
        <v>3297</v>
      </c>
      <c r="N1120" s="705">
        <v>3820</v>
      </c>
      <c r="O1120" s="705">
        <v>1415</v>
      </c>
      <c r="P1120" s="705">
        <v>702</v>
      </c>
      <c r="Q1120" s="705">
        <v>260</v>
      </c>
      <c r="R1120" s="705">
        <v>8061</v>
      </c>
      <c r="S1120" s="705">
        <v>2986</v>
      </c>
      <c r="T1120" s="705">
        <v>0</v>
      </c>
      <c r="U1120" s="705">
        <v>0</v>
      </c>
      <c r="V1120" s="705">
        <v>32069</v>
      </c>
      <c r="W1120" s="705">
        <f t="shared" si="56"/>
        <v>32070</v>
      </c>
      <c r="X1120" s="705">
        <f t="shared" si="57"/>
        <v>42733</v>
      </c>
    </row>
    <row r="1121" spans="2:24">
      <c r="B1121" t="s">
        <v>541</v>
      </c>
      <c r="C1121" t="s">
        <v>114</v>
      </c>
      <c r="D1121" t="s">
        <v>585</v>
      </c>
      <c r="E1121" t="s">
        <v>585</v>
      </c>
      <c r="F1121" s="705">
        <v>4</v>
      </c>
      <c r="G1121" s="705">
        <v>543</v>
      </c>
      <c r="H1121" s="705">
        <v>560</v>
      </c>
      <c r="I1121" s="705">
        <v>54077</v>
      </c>
      <c r="J1121" s="705">
        <v>49161</v>
      </c>
      <c r="K1121" s="705">
        <v>83</v>
      </c>
      <c r="L1121" s="705">
        <v>13244</v>
      </c>
      <c r="M1121" s="705">
        <v>10751</v>
      </c>
      <c r="N1121" s="705">
        <v>8468</v>
      </c>
      <c r="O1121" s="705">
        <v>3136</v>
      </c>
      <c r="P1121" s="705">
        <v>2106</v>
      </c>
      <c r="Q1121" s="705">
        <v>780</v>
      </c>
      <c r="R1121" s="705">
        <v>19358</v>
      </c>
      <c r="S1121" s="705">
        <v>17598</v>
      </c>
      <c r="T1121" s="705">
        <v>0</v>
      </c>
      <c r="U1121" s="705">
        <v>0</v>
      </c>
      <c r="V1121" s="705">
        <v>81428</v>
      </c>
      <c r="W1121" s="705">
        <f t="shared" si="56"/>
        <v>81426</v>
      </c>
      <c r="X1121" s="705">
        <f t="shared" si="57"/>
        <v>97253</v>
      </c>
    </row>
    <row r="1122" spans="2:24">
      <c r="B1122" t="s">
        <v>541</v>
      </c>
      <c r="C1122" t="s">
        <v>116</v>
      </c>
      <c r="F1122" s="705">
        <v>1</v>
      </c>
      <c r="G1122" s="705">
        <v>151</v>
      </c>
      <c r="H1122" s="705">
        <v>152</v>
      </c>
      <c r="I1122" s="705"/>
      <c r="J1122" s="705">
        <v>0</v>
      </c>
      <c r="K1122" s="705"/>
      <c r="L1122" s="705"/>
      <c r="M1122" s="705">
        <v>0</v>
      </c>
      <c r="N1122" s="705">
        <v>2874</v>
      </c>
      <c r="O1122" s="705">
        <v>1064</v>
      </c>
      <c r="P1122" s="705">
        <v>621</v>
      </c>
      <c r="Q1122" s="705">
        <v>230</v>
      </c>
      <c r="R1122" s="705"/>
      <c r="S1122" s="705">
        <v>0</v>
      </c>
      <c r="T1122" s="705">
        <v>0</v>
      </c>
      <c r="U1122" s="705">
        <v>0</v>
      </c>
      <c r="V1122" s="705">
        <v>1294</v>
      </c>
      <c r="W1122" s="705">
        <f t="shared" si="56"/>
        <v>1294</v>
      </c>
      <c r="X1122" s="705">
        <f t="shared" si="57"/>
        <v>3495</v>
      </c>
    </row>
    <row r="1123" spans="2:24">
      <c r="B1123" t="s">
        <v>541</v>
      </c>
      <c r="C1123" t="s">
        <v>116</v>
      </c>
      <c r="D1123" t="s">
        <v>674</v>
      </c>
      <c r="E1123" t="s">
        <v>674</v>
      </c>
      <c r="F1123" s="705">
        <v>1</v>
      </c>
      <c r="G1123" s="705">
        <v>187</v>
      </c>
      <c r="H1123" s="705">
        <v>215</v>
      </c>
      <c r="I1123" s="705">
        <v>22995</v>
      </c>
      <c r="J1123" s="705">
        <v>20905</v>
      </c>
      <c r="K1123" s="705">
        <v>70</v>
      </c>
      <c r="L1123" s="705">
        <v>2732</v>
      </c>
      <c r="M1123" s="705">
        <v>2484</v>
      </c>
      <c r="N1123" s="705">
        <v>4557</v>
      </c>
      <c r="O1123" s="705">
        <v>1688</v>
      </c>
      <c r="P1123" s="705">
        <v>351</v>
      </c>
      <c r="Q1123" s="705">
        <v>130</v>
      </c>
      <c r="R1123" s="705">
        <v>9555</v>
      </c>
      <c r="S1123" s="705">
        <v>8687</v>
      </c>
      <c r="T1123" s="705">
        <v>0</v>
      </c>
      <c r="U1123" s="705">
        <v>0</v>
      </c>
      <c r="V1123" s="705">
        <v>33893</v>
      </c>
      <c r="W1123" s="705">
        <f t="shared" si="56"/>
        <v>33894</v>
      </c>
      <c r="X1123" s="705">
        <f t="shared" si="57"/>
        <v>40190</v>
      </c>
    </row>
    <row r="1124" spans="2:24">
      <c r="B1124" t="s">
        <v>541</v>
      </c>
      <c r="C1124" t="s">
        <v>116</v>
      </c>
      <c r="D1124" t="s">
        <v>664</v>
      </c>
      <c r="E1124" t="s">
        <v>664</v>
      </c>
      <c r="F1124" s="705">
        <v>27</v>
      </c>
      <c r="G1124" s="705">
        <v>4454</v>
      </c>
      <c r="H1124" s="705">
        <v>5288</v>
      </c>
      <c r="I1124" s="705">
        <v>591418</v>
      </c>
      <c r="J1124" s="705">
        <v>537653</v>
      </c>
      <c r="K1124" s="705">
        <v>83</v>
      </c>
      <c r="L1124" s="705">
        <v>131421</v>
      </c>
      <c r="M1124" s="705">
        <v>115947</v>
      </c>
      <c r="N1124" s="705">
        <v>103345</v>
      </c>
      <c r="O1124" s="705">
        <v>38276</v>
      </c>
      <c r="P1124" s="705">
        <v>16133</v>
      </c>
      <c r="Q1124" s="705">
        <v>5975</v>
      </c>
      <c r="R1124" s="705">
        <v>169620</v>
      </c>
      <c r="S1124" s="705">
        <v>154200</v>
      </c>
      <c r="T1124" s="705">
        <v>10403</v>
      </c>
      <c r="U1124" s="705">
        <v>3853</v>
      </c>
      <c r="V1124" s="705">
        <v>855904</v>
      </c>
      <c r="W1124" s="705">
        <f t="shared" si="56"/>
        <v>855904</v>
      </c>
      <c r="X1124" s="705">
        <f t="shared" si="57"/>
        <v>1022340</v>
      </c>
    </row>
    <row r="1125" spans="2:24">
      <c r="B1125" t="s">
        <v>541</v>
      </c>
      <c r="C1125" t="s">
        <v>116</v>
      </c>
      <c r="D1125" t="s">
        <v>664</v>
      </c>
      <c r="E1125" t="s">
        <v>583</v>
      </c>
      <c r="F1125" s="705">
        <v>2</v>
      </c>
      <c r="G1125" s="705">
        <v>290</v>
      </c>
      <c r="H1125" s="705">
        <v>341</v>
      </c>
      <c r="I1125" s="705">
        <v>27538</v>
      </c>
      <c r="J1125" s="705">
        <v>25035</v>
      </c>
      <c r="K1125" s="705">
        <v>86</v>
      </c>
      <c r="L1125" s="705">
        <v>4938</v>
      </c>
      <c r="M1125" s="705">
        <v>4489</v>
      </c>
      <c r="N1125" s="705">
        <v>4833</v>
      </c>
      <c r="O1125" s="705">
        <v>1790</v>
      </c>
      <c r="P1125" s="705">
        <v>1242</v>
      </c>
      <c r="Q1125" s="705">
        <v>460</v>
      </c>
      <c r="R1125" s="705">
        <v>10712</v>
      </c>
      <c r="S1125" s="705">
        <v>9738</v>
      </c>
      <c r="T1125" s="705">
        <v>0</v>
      </c>
      <c r="U1125" s="705">
        <v>0</v>
      </c>
      <c r="V1125" s="705">
        <v>41512</v>
      </c>
      <c r="W1125" s="705">
        <f t="shared" si="56"/>
        <v>41512</v>
      </c>
      <c r="X1125" s="705">
        <f t="shared" si="57"/>
        <v>49263</v>
      </c>
    </row>
    <row r="1126" spans="2:24">
      <c r="B1126" t="s">
        <v>541</v>
      </c>
      <c r="C1126" t="s">
        <v>116</v>
      </c>
      <c r="D1126" t="s">
        <v>582</v>
      </c>
      <c r="E1126" t="s">
        <v>664</v>
      </c>
      <c r="F1126" s="705">
        <v>8</v>
      </c>
      <c r="G1126" s="705">
        <v>1226</v>
      </c>
      <c r="H1126" s="705">
        <v>1585</v>
      </c>
      <c r="I1126" s="705">
        <v>156471</v>
      </c>
      <c r="J1126" s="705">
        <v>142246</v>
      </c>
      <c r="K1126" s="705">
        <v>83</v>
      </c>
      <c r="L1126" s="705">
        <v>24979</v>
      </c>
      <c r="M1126" s="705">
        <v>22412</v>
      </c>
      <c r="N1126" s="705">
        <v>24507</v>
      </c>
      <c r="O1126" s="705">
        <v>9076</v>
      </c>
      <c r="P1126" s="705">
        <v>4158</v>
      </c>
      <c r="Q1126" s="705">
        <v>1540</v>
      </c>
      <c r="R1126" s="705">
        <v>47942</v>
      </c>
      <c r="S1126" s="705">
        <v>43583</v>
      </c>
      <c r="T1126" s="705">
        <v>0</v>
      </c>
      <c r="U1126" s="705">
        <v>0</v>
      </c>
      <c r="V1126" s="705">
        <v>218858</v>
      </c>
      <c r="W1126" s="705">
        <f t="shared" si="56"/>
        <v>218857</v>
      </c>
      <c r="X1126" s="705">
        <f t="shared" si="57"/>
        <v>258057</v>
      </c>
    </row>
    <row r="1127" spans="2:24">
      <c r="B1127" t="s">
        <v>541</v>
      </c>
      <c r="C1127" t="s">
        <v>116</v>
      </c>
      <c r="D1127" t="s">
        <v>582</v>
      </c>
      <c r="E1127" t="s">
        <v>582</v>
      </c>
      <c r="F1127" s="705">
        <v>254</v>
      </c>
      <c r="G1127" s="705">
        <v>42701</v>
      </c>
      <c r="H1127" s="705">
        <v>47174</v>
      </c>
      <c r="I1127" s="705">
        <v>4775653</v>
      </c>
      <c r="J1127" s="705">
        <v>4341502</v>
      </c>
      <c r="K1127" s="705">
        <v>87</v>
      </c>
      <c r="L1127" s="705">
        <v>1084691</v>
      </c>
      <c r="M1127" s="705">
        <v>1179552</v>
      </c>
      <c r="N1127" s="705">
        <v>865059</v>
      </c>
      <c r="O1127" s="705">
        <v>320392</v>
      </c>
      <c r="P1127" s="705">
        <v>164191</v>
      </c>
      <c r="Q1127" s="705">
        <v>60811</v>
      </c>
      <c r="R1127" s="705">
        <v>1387727</v>
      </c>
      <c r="S1127" s="705">
        <v>1261570</v>
      </c>
      <c r="T1127" s="705">
        <v>72546</v>
      </c>
      <c r="U1127" s="705">
        <v>26869</v>
      </c>
      <c r="V1127" s="705">
        <v>7190697</v>
      </c>
      <c r="W1127" s="705">
        <f t="shared" si="56"/>
        <v>7190696</v>
      </c>
      <c r="X1127" s="705">
        <f t="shared" si="57"/>
        <v>8349867</v>
      </c>
    </row>
    <row r="1128" spans="2:24">
      <c r="B1128" t="s">
        <v>541</v>
      </c>
      <c r="C1128" t="s">
        <v>116</v>
      </c>
      <c r="D1128" t="s">
        <v>582</v>
      </c>
      <c r="E1128" t="s">
        <v>228</v>
      </c>
      <c r="F1128" s="705">
        <v>1</v>
      </c>
      <c r="G1128" s="705">
        <v>192</v>
      </c>
      <c r="H1128" s="705">
        <v>160</v>
      </c>
      <c r="I1128" s="705">
        <v>21418</v>
      </c>
      <c r="J1128" s="705">
        <v>19471</v>
      </c>
      <c r="K1128" s="705">
        <v>83</v>
      </c>
      <c r="L1128" s="705">
        <v>3125</v>
      </c>
      <c r="M1128" s="705">
        <v>2841</v>
      </c>
      <c r="N1128" s="705">
        <v>2334</v>
      </c>
      <c r="O1128" s="705">
        <v>864</v>
      </c>
      <c r="P1128" s="705">
        <v>473</v>
      </c>
      <c r="Q1128" s="705">
        <v>175</v>
      </c>
      <c r="R1128" s="705">
        <v>3263</v>
      </c>
      <c r="S1128" s="705">
        <v>1208</v>
      </c>
      <c r="T1128" s="705">
        <v>0</v>
      </c>
      <c r="U1128" s="705">
        <v>0</v>
      </c>
      <c r="V1128" s="705">
        <v>24560</v>
      </c>
      <c r="W1128" s="705">
        <f t="shared" si="56"/>
        <v>24559</v>
      </c>
      <c r="X1128" s="705">
        <f t="shared" si="57"/>
        <v>30613</v>
      </c>
    </row>
    <row r="1129" spans="2:24">
      <c r="B1129" t="s">
        <v>541</v>
      </c>
      <c r="C1129" t="s">
        <v>116</v>
      </c>
      <c r="D1129" t="s">
        <v>582</v>
      </c>
      <c r="E1129" t="s">
        <v>666</v>
      </c>
      <c r="F1129" s="705">
        <v>1</v>
      </c>
      <c r="G1129" s="705">
        <v>122</v>
      </c>
      <c r="H1129" s="705">
        <v>190</v>
      </c>
      <c r="I1129" s="705">
        <v>11180</v>
      </c>
      <c r="J1129" s="705">
        <v>10163</v>
      </c>
      <c r="K1129" s="705">
        <v>73</v>
      </c>
      <c r="L1129" s="705">
        <v>2874</v>
      </c>
      <c r="M1129" s="705">
        <v>2612</v>
      </c>
      <c r="N1129" s="705">
        <v>1850</v>
      </c>
      <c r="O1129" s="705">
        <v>685</v>
      </c>
      <c r="P1129" s="705">
        <v>473</v>
      </c>
      <c r="Q1129" s="705">
        <v>175</v>
      </c>
      <c r="R1129" s="705">
        <v>6729</v>
      </c>
      <c r="S1129" s="705">
        <v>6118</v>
      </c>
      <c r="T1129" s="705">
        <v>0</v>
      </c>
      <c r="U1129" s="705">
        <v>0</v>
      </c>
      <c r="V1129" s="705">
        <v>19753</v>
      </c>
      <c r="W1129" s="705">
        <f t="shared" si="56"/>
        <v>19753</v>
      </c>
      <c r="X1129" s="705">
        <f t="shared" si="57"/>
        <v>23106</v>
      </c>
    </row>
    <row r="1130" spans="2:24">
      <c r="B1130" t="s">
        <v>541</v>
      </c>
      <c r="C1130" t="s">
        <v>116</v>
      </c>
      <c r="D1130" t="s">
        <v>582</v>
      </c>
      <c r="E1130" t="s">
        <v>584</v>
      </c>
      <c r="F1130" s="705">
        <v>2</v>
      </c>
      <c r="G1130" s="705">
        <v>638</v>
      </c>
      <c r="H1130" s="705">
        <v>356</v>
      </c>
      <c r="I1130" s="705">
        <v>63658</v>
      </c>
      <c r="J1130" s="705">
        <v>57871</v>
      </c>
      <c r="K1130" s="705">
        <v>91</v>
      </c>
      <c r="L1130" s="705">
        <v>20806</v>
      </c>
      <c r="M1130" s="705">
        <v>18914</v>
      </c>
      <c r="N1130" s="705">
        <v>13770</v>
      </c>
      <c r="O1130" s="705">
        <v>5100</v>
      </c>
      <c r="P1130" s="705">
        <v>1094</v>
      </c>
      <c r="Q1130" s="705">
        <v>405</v>
      </c>
      <c r="R1130" s="705">
        <v>14245</v>
      </c>
      <c r="S1130" s="705">
        <v>12950</v>
      </c>
      <c r="T1130" s="705">
        <v>0</v>
      </c>
      <c r="U1130" s="705">
        <v>0</v>
      </c>
      <c r="V1130" s="705">
        <v>95241</v>
      </c>
      <c r="W1130" s="705">
        <f t="shared" si="56"/>
        <v>95240</v>
      </c>
      <c r="X1130" s="705">
        <f t="shared" si="57"/>
        <v>113573</v>
      </c>
    </row>
    <row r="1131" spans="2:24">
      <c r="B1131" t="s">
        <v>541</v>
      </c>
      <c r="C1131" t="s">
        <v>116</v>
      </c>
      <c r="D1131" t="s">
        <v>228</v>
      </c>
      <c r="E1131" t="s">
        <v>228</v>
      </c>
      <c r="F1131" s="705">
        <v>39</v>
      </c>
      <c r="G1131" s="705">
        <v>7699</v>
      </c>
      <c r="H1131" s="705">
        <v>7467</v>
      </c>
      <c r="I1131" s="705">
        <v>839283</v>
      </c>
      <c r="J1131" s="705">
        <v>310846</v>
      </c>
      <c r="K1131" s="705">
        <v>190</v>
      </c>
      <c r="L1131" s="705">
        <v>157660</v>
      </c>
      <c r="M1131" s="705">
        <v>132524</v>
      </c>
      <c r="N1131" s="705">
        <v>155774</v>
      </c>
      <c r="O1131" s="705">
        <v>57694</v>
      </c>
      <c r="P1131" s="705">
        <v>14934</v>
      </c>
      <c r="Q1131" s="705">
        <v>5531</v>
      </c>
      <c r="R1131" s="705">
        <v>333530</v>
      </c>
      <c r="S1131" s="705">
        <v>123530</v>
      </c>
      <c r="T1131" s="705">
        <v>0</v>
      </c>
      <c r="U1131" s="705">
        <v>0</v>
      </c>
      <c r="V1131" s="705">
        <v>630124</v>
      </c>
      <c r="W1131" s="705">
        <f t="shared" si="56"/>
        <v>630125</v>
      </c>
      <c r="X1131" s="705">
        <f t="shared" si="57"/>
        <v>1501181</v>
      </c>
    </row>
    <row r="1132" spans="2:24">
      <c r="B1132" t="s">
        <v>541</v>
      </c>
      <c r="C1132" t="s">
        <v>116</v>
      </c>
      <c r="D1132" t="s">
        <v>228</v>
      </c>
      <c r="E1132" t="s">
        <v>665</v>
      </c>
      <c r="F1132" s="705">
        <v>1</v>
      </c>
      <c r="G1132" s="705">
        <v>149</v>
      </c>
      <c r="H1132" s="705">
        <v>150</v>
      </c>
      <c r="I1132" s="705">
        <v>9227</v>
      </c>
      <c r="J1132" s="705">
        <v>3417</v>
      </c>
      <c r="K1132" s="705">
        <v>250</v>
      </c>
      <c r="L1132" s="705">
        <v>1606</v>
      </c>
      <c r="M1132" s="705">
        <v>1460</v>
      </c>
      <c r="N1132" s="705">
        <v>2507</v>
      </c>
      <c r="O1132" s="705">
        <v>929</v>
      </c>
      <c r="P1132" s="705">
        <v>932</v>
      </c>
      <c r="Q1132" s="705">
        <v>345</v>
      </c>
      <c r="R1132" s="705">
        <v>5157</v>
      </c>
      <c r="S1132" s="705">
        <v>4689</v>
      </c>
      <c r="T1132" s="705">
        <v>2966</v>
      </c>
      <c r="U1132" s="705">
        <v>1098</v>
      </c>
      <c r="V1132" s="705">
        <v>11938</v>
      </c>
      <c r="W1132" s="705">
        <f t="shared" si="56"/>
        <v>11938</v>
      </c>
      <c r="X1132" s="705">
        <f t="shared" si="57"/>
        <v>22395</v>
      </c>
    </row>
    <row r="1133" spans="2:24">
      <c r="B1133" t="s">
        <v>541</v>
      </c>
      <c r="C1133" t="s">
        <v>116</v>
      </c>
      <c r="D1133" t="s">
        <v>583</v>
      </c>
      <c r="E1133" t="s">
        <v>664</v>
      </c>
      <c r="F1133" s="705">
        <v>5</v>
      </c>
      <c r="G1133" s="705">
        <v>686</v>
      </c>
      <c r="H1133" s="705">
        <v>914</v>
      </c>
      <c r="I1133" s="705">
        <v>67068</v>
      </c>
      <c r="J1133" s="705">
        <v>60971</v>
      </c>
      <c r="K1133" s="705">
        <v>91</v>
      </c>
      <c r="L1133" s="705">
        <v>11844</v>
      </c>
      <c r="M1133" s="705">
        <v>10767</v>
      </c>
      <c r="N1133" s="705">
        <v>11087</v>
      </c>
      <c r="O1133" s="705">
        <v>4106</v>
      </c>
      <c r="P1133" s="705">
        <v>3456</v>
      </c>
      <c r="Q1133" s="705">
        <v>1280</v>
      </c>
      <c r="R1133" s="705">
        <v>23285</v>
      </c>
      <c r="S1133" s="705">
        <v>21168</v>
      </c>
      <c r="T1133" s="705">
        <v>6377</v>
      </c>
      <c r="U1133" s="705">
        <v>2362</v>
      </c>
      <c r="V1133" s="705">
        <v>100654</v>
      </c>
      <c r="W1133" s="705">
        <f t="shared" si="56"/>
        <v>100654</v>
      </c>
      <c r="X1133" s="705">
        <f t="shared" si="57"/>
        <v>123117</v>
      </c>
    </row>
    <row r="1134" spans="2:24">
      <c r="B1134" t="s">
        <v>541</v>
      </c>
      <c r="C1134" t="s">
        <v>116</v>
      </c>
      <c r="D1134" t="s">
        <v>583</v>
      </c>
      <c r="E1134" t="s">
        <v>582</v>
      </c>
      <c r="F1134" s="705">
        <v>3</v>
      </c>
      <c r="G1134" s="705">
        <v>553</v>
      </c>
      <c r="H1134" s="705">
        <v>617</v>
      </c>
      <c r="I1134" s="705">
        <v>77319</v>
      </c>
      <c r="J1134" s="705">
        <v>70290</v>
      </c>
      <c r="K1134" s="705">
        <v>83</v>
      </c>
      <c r="L1134" s="705">
        <v>16401</v>
      </c>
      <c r="M1134" s="705">
        <v>14910</v>
      </c>
      <c r="N1134" s="705">
        <v>13094</v>
      </c>
      <c r="O1134" s="705">
        <v>4850</v>
      </c>
      <c r="P1134" s="705">
        <v>2214</v>
      </c>
      <c r="Q1134" s="705">
        <v>820</v>
      </c>
      <c r="R1134" s="705">
        <v>22243</v>
      </c>
      <c r="S1134" s="705">
        <v>20221</v>
      </c>
      <c r="T1134" s="705">
        <v>0</v>
      </c>
      <c r="U1134" s="705">
        <v>0</v>
      </c>
      <c r="V1134" s="705">
        <v>111091</v>
      </c>
      <c r="W1134" s="705">
        <f t="shared" si="56"/>
        <v>111091</v>
      </c>
      <c r="X1134" s="705">
        <f t="shared" si="57"/>
        <v>131271</v>
      </c>
    </row>
    <row r="1135" spans="2:24">
      <c r="B1135" t="s">
        <v>541</v>
      </c>
      <c r="C1135" t="s">
        <v>116</v>
      </c>
      <c r="D1135" t="s">
        <v>583</v>
      </c>
      <c r="E1135" t="s">
        <v>228</v>
      </c>
      <c r="F1135" s="705">
        <v>14</v>
      </c>
      <c r="G1135" s="705">
        <v>2518</v>
      </c>
      <c r="H1135" s="705">
        <v>2607</v>
      </c>
      <c r="I1135" s="705">
        <v>270210</v>
      </c>
      <c r="J1135" s="705">
        <v>245645</v>
      </c>
      <c r="K1135" s="705">
        <v>89</v>
      </c>
      <c r="L1135" s="705">
        <v>54930</v>
      </c>
      <c r="M1135" s="705">
        <v>49936</v>
      </c>
      <c r="N1135" s="705">
        <v>53811</v>
      </c>
      <c r="O1135" s="705">
        <v>19930</v>
      </c>
      <c r="P1135" s="705">
        <v>10502</v>
      </c>
      <c r="Q1135" s="705">
        <v>3890</v>
      </c>
      <c r="R1135" s="705">
        <v>105468</v>
      </c>
      <c r="S1135" s="705">
        <v>39062</v>
      </c>
      <c r="T1135" s="705">
        <v>0</v>
      </c>
      <c r="U1135" s="705">
        <v>0</v>
      </c>
      <c r="V1135" s="705">
        <v>358463</v>
      </c>
      <c r="W1135" s="705">
        <f t="shared" si="56"/>
        <v>358463</v>
      </c>
      <c r="X1135" s="705">
        <f t="shared" si="57"/>
        <v>494921</v>
      </c>
    </row>
    <row r="1136" spans="2:24">
      <c r="B1136" t="s">
        <v>541</v>
      </c>
      <c r="C1136" t="s">
        <v>116</v>
      </c>
      <c r="D1136" t="s">
        <v>583</v>
      </c>
      <c r="E1136" t="s">
        <v>583</v>
      </c>
      <c r="F1136" s="705">
        <v>4634</v>
      </c>
      <c r="G1136" s="705">
        <v>741401</v>
      </c>
      <c r="H1136" s="705">
        <v>884225</v>
      </c>
      <c r="I1136" s="705">
        <v>81957317</v>
      </c>
      <c r="J1136" s="705">
        <v>74506651</v>
      </c>
      <c r="K1136" s="705">
        <v>85</v>
      </c>
      <c r="L1136" s="705">
        <v>18024467</v>
      </c>
      <c r="M1136" s="705">
        <v>17679976</v>
      </c>
      <c r="N1136" s="705">
        <v>14821635</v>
      </c>
      <c r="O1136" s="705">
        <v>5489494</v>
      </c>
      <c r="P1136" s="705">
        <v>3268546</v>
      </c>
      <c r="Q1136" s="705">
        <v>1210573</v>
      </c>
      <c r="R1136" s="705">
        <v>27317919</v>
      </c>
      <c r="S1136" s="705">
        <v>24834472</v>
      </c>
      <c r="T1136" s="705">
        <v>2420722</v>
      </c>
      <c r="U1136" s="705">
        <v>896564</v>
      </c>
      <c r="V1136" s="705">
        <v>124617730</v>
      </c>
      <c r="W1136" s="705">
        <f t="shared" si="56"/>
        <v>124617730</v>
      </c>
      <c r="X1136" s="705">
        <f t="shared" si="57"/>
        <v>147810606</v>
      </c>
    </row>
    <row r="1137" spans="2:24">
      <c r="B1137" t="s">
        <v>541</v>
      </c>
      <c r="C1137" t="s">
        <v>116</v>
      </c>
      <c r="D1137" t="s">
        <v>583</v>
      </c>
      <c r="E1137" t="s">
        <v>666</v>
      </c>
      <c r="F1137" s="705">
        <v>4</v>
      </c>
      <c r="G1137" s="705">
        <v>861</v>
      </c>
      <c r="H1137" s="705">
        <v>659</v>
      </c>
      <c r="I1137" s="705">
        <v>83677</v>
      </c>
      <c r="J1137" s="705">
        <v>76070</v>
      </c>
      <c r="K1137" s="705">
        <v>86</v>
      </c>
      <c r="L1137" s="705">
        <v>19704</v>
      </c>
      <c r="M1137" s="705">
        <v>17912</v>
      </c>
      <c r="N1137" s="705">
        <v>13224</v>
      </c>
      <c r="O1137" s="705">
        <v>4898</v>
      </c>
      <c r="P1137" s="705">
        <v>2484</v>
      </c>
      <c r="Q1137" s="705">
        <v>920</v>
      </c>
      <c r="R1137" s="705">
        <v>22614</v>
      </c>
      <c r="S1137" s="705">
        <v>20558</v>
      </c>
      <c r="T1137" s="705">
        <v>0</v>
      </c>
      <c r="U1137" s="705">
        <v>0</v>
      </c>
      <c r="V1137" s="705">
        <v>120359</v>
      </c>
      <c r="W1137" s="705">
        <f t="shared" si="56"/>
        <v>120358</v>
      </c>
      <c r="X1137" s="705">
        <f t="shared" si="57"/>
        <v>141703</v>
      </c>
    </row>
    <row r="1138" spans="2:24">
      <c r="B1138" t="s">
        <v>541</v>
      </c>
      <c r="C1138" t="s">
        <v>116</v>
      </c>
      <c r="D1138" t="s">
        <v>583</v>
      </c>
      <c r="E1138" t="s">
        <v>665</v>
      </c>
      <c r="F1138" s="705">
        <v>3</v>
      </c>
      <c r="G1138" s="705">
        <v>415</v>
      </c>
      <c r="H1138" s="705">
        <v>607</v>
      </c>
      <c r="I1138" s="705">
        <v>38725</v>
      </c>
      <c r="J1138" s="705">
        <v>35204</v>
      </c>
      <c r="K1138" s="705">
        <v>91</v>
      </c>
      <c r="L1138" s="705">
        <v>11309</v>
      </c>
      <c r="M1138" s="705">
        <v>10281</v>
      </c>
      <c r="N1138" s="705">
        <v>9307</v>
      </c>
      <c r="O1138" s="705">
        <v>3447</v>
      </c>
      <c r="P1138" s="705">
        <v>2916</v>
      </c>
      <c r="Q1138" s="705">
        <v>1080</v>
      </c>
      <c r="R1138" s="705">
        <v>16865</v>
      </c>
      <c r="S1138" s="705">
        <v>15332</v>
      </c>
      <c r="T1138" s="705">
        <v>3137</v>
      </c>
      <c r="U1138" s="705">
        <v>1162</v>
      </c>
      <c r="V1138" s="705">
        <v>66505</v>
      </c>
      <c r="W1138" s="705">
        <f t="shared" si="56"/>
        <v>66506</v>
      </c>
      <c r="X1138" s="705">
        <f t="shared" si="57"/>
        <v>82259</v>
      </c>
    </row>
    <row r="1139" spans="2:24">
      <c r="B1139" t="s">
        <v>541</v>
      </c>
      <c r="C1139" t="s">
        <v>116</v>
      </c>
      <c r="D1139" t="s">
        <v>583</v>
      </c>
      <c r="E1139" t="s">
        <v>673</v>
      </c>
      <c r="F1139" s="705">
        <v>1</v>
      </c>
      <c r="G1139" s="705">
        <v>255</v>
      </c>
      <c r="H1139" s="705">
        <v>171</v>
      </c>
      <c r="I1139" s="705">
        <v>22434</v>
      </c>
      <c r="J1139" s="705">
        <v>20395</v>
      </c>
      <c r="K1139" s="705">
        <v>86</v>
      </c>
      <c r="L1139" s="705">
        <v>6763</v>
      </c>
      <c r="M1139" s="705">
        <v>6149</v>
      </c>
      <c r="N1139" s="705">
        <v>6215</v>
      </c>
      <c r="O1139" s="705">
        <v>2302</v>
      </c>
      <c r="P1139" s="705">
        <v>621</v>
      </c>
      <c r="Q1139" s="705">
        <v>230</v>
      </c>
      <c r="R1139" s="705">
        <v>7594</v>
      </c>
      <c r="S1139" s="705">
        <v>6904</v>
      </c>
      <c r="T1139" s="705">
        <v>0</v>
      </c>
      <c r="U1139" s="705">
        <v>0</v>
      </c>
      <c r="V1139" s="705">
        <v>35979</v>
      </c>
      <c r="W1139" s="705">
        <f t="shared" si="56"/>
        <v>35980</v>
      </c>
      <c r="X1139" s="705">
        <f t="shared" si="57"/>
        <v>43627</v>
      </c>
    </row>
    <row r="1140" spans="2:24">
      <c r="B1140" t="s">
        <v>541</v>
      </c>
      <c r="C1140" t="s">
        <v>116</v>
      </c>
      <c r="D1140" t="s">
        <v>666</v>
      </c>
      <c r="E1140" t="s">
        <v>583</v>
      </c>
      <c r="F1140" s="705">
        <v>2</v>
      </c>
      <c r="G1140" s="705">
        <v>238</v>
      </c>
      <c r="H1140" s="705">
        <v>366</v>
      </c>
      <c r="I1140" s="705">
        <v>21616</v>
      </c>
      <c r="J1140" s="705">
        <v>19651</v>
      </c>
      <c r="K1140" s="705">
        <v>90</v>
      </c>
      <c r="L1140" s="705">
        <v>3318</v>
      </c>
      <c r="M1140" s="705">
        <v>3016</v>
      </c>
      <c r="N1140" s="705">
        <v>4353</v>
      </c>
      <c r="O1140" s="705">
        <v>1612</v>
      </c>
      <c r="P1140" s="705">
        <v>1242</v>
      </c>
      <c r="Q1140" s="705">
        <v>460</v>
      </c>
      <c r="R1140" s="705">
        <v>7243</v>
      </c>
      <c r="S1140" s="705">
        <v>6585</v>
      </c>
      <c r="T1140" s="705">
        <v>5312</v>
      </c>
      <c r="U1140" s="705">
        <v>1967</v>
      </c>
      <c r="V1140" s="705">
        <v>33292</v>
      </c>
      <c r="W1140" s="705">
        <f t="shared" si="56"/>
        <v>33291</v>
      </c>
      <c r="X1140" s="705">
        <f t="shared" si="57"/>
        <v>43084</v>
      </c>
    </row>
    <row r="1141" spans="2:24">
      <c r="B1141" t="s">
        <v>541</v>
      </c>
      <c r="C1141" t="s">
        <v>116</v>
      </c>
      <c r="D1141" t="s">
        <v>666</v>
      </c>
      <c r="E1141" t="s">
        <v>666</v>
      </c>
      <c r="F1141" s="705">
        <v>1</v>
      </c>
      <c r="G1141" s="705">
        <v>141</v>
      </c>
      <c r="H1141" s="705">
        <v>200</v>
      </c>
      <c r="I1141" s="705">
        <v>17927</v>
      </c>
      <c r="J1141" s="705">
        <v>16297</v>
      </c>
      <c r="K1141" s="705">
        <v>65</v>
      </c>
      <c r="L1141" s="705">
        <v>2072</v>
      </c>
      <c r="M1141" s="705">
        <v>1883</v>
      </c>
      <c r="N1141" s="705">
        <v>2490</v>
      </c>
      <c r="O1141" s="705">
        <v>922</v>
      </c>
      <c r="P1141" s="705">
        <v>351</v>
      </c>
      <c r="Q1141" s="705">
        <v>130</v>
      </c>
      <c r="R1141" s="705">
        <v>5303</v>
      </c>
      <c r="S1141" s="705">
        <v>4821</v>
      </c>
      <c r="T1141" s="705">
        <v>0</v>
      </c>
      <c r="U1141" s="705">
        <v>0</v>
      </c>
      <c r="V1141" s="705">
        <v>24054</v>
      </c>
      <c r="W1141" s="705">
        <f t="shared" si="56"/>
        <v>24053</v>
      </c>
      <c r="X1141" s="705">
        <f t="shared" si="57"/>
        <v>28143</v>
      </c>
    </row>
    <row r="1142" spans="2:24">
      <c r="B1142" t="s">
        <v>541</v>
      </c>
      <c r="C1142" t="s">
        <v>116</v>
      </c>
      <c r="D1142" t="s">
        <v>584</v>
      </c>
      <c r="E1142" t="s">
        <v>584</v>
      </c>
      <c r="F1142" s="705">
        <v>30</v>
      </c>
      <c r="G1142" s="705">
        <v>5550</v>
      </c>
      <c r="H1142" s="705">
        <v>5306</v>
      </c>
      <c r="I1142" s="705">
        <v>543932</v>
      </c>
      <c r="J1142" s="705">
        <v>494484</v>
      </c>
      <c r="K1142" s="705">
        <v>84</v>
      </c>
      <c r="L1142" s="705">
        <v>136526</v>
      </c>
      <c r="M1142" s="705">
        <v>116130</v>
      </c>
      <c r="N1142" s="705">
        <v>111420</v>
      </c>
      <c r="O1142" s="705">
        <v>41267</v>
      </c>
      <c r="P1142" s="705">
        <v>17771</v>
      </c>
      <c r="Q1142" s="705">
        <v>6582</v>
      </c>
      <c r="R1142" s="705">
        <v>174743</v>
      </c>
      <c r="S1142" s="705">
        <v>158857</v>
      </c>
      <c r="T1142" s="705">
        <v>9957</v>
      </c>
      <c r="U1142" s="705">
        <v>3688</v>
      </c>
      <c r="V1142" s="705">
        <v>821007</v>
      </c>
      <c r="W1142" s="705">
        <f t="shared" si="56"/>
        <v>821008</v>
      </c>
      <c r="X1142" s="705">
        <f t="shared" si="57"/>
        <v>994349</v>
      </c>
    </row>
    <row r="1143" spans="2:24">
      <c r="B1143" t="s">
        <v>541</v>
      </c>
      <c r="C1143" t="s">
        <v>116</v>
      </c>
      <c r="D1143" t="s">
        <v>671</v>
      </c>
      <c r="E1143" t="s">
        <v>671</v>
      </c>
      <c r="F1143" s="705">
        <v>1</v>
      </c>
      <c r="G1143" s="705">
        <v>184</v>
      </c>
      <c r="H1143" s="705">
        <v>212</v>
      </c>
      <c r="I1143" s="705">
        <v>25970</v>
      </c>
      <c r="J1143" s="705">
        <v>23609</v>
      </c>
      <c r="K1143" s="705">
        <v>65</v>
      </c>
      <c r="L1143" s="705">
        <v>2257</v>
      </c>
      <c r="M1143" s="705">
        <v>2052</v>
      </c>
      <c r="N1143" s="705">
        <v>2237</v>
      </c>
      <c r="O1143" s="705">
        <v>828</v>
      </c>
      <c r="P1143" s="705">
        <v>621</v>
      </c>
      <c r="Q1143" s="705">
        <v>230</v>
      </c>
      <c r="R1143" s="705">
        <v>4831</v>
      </c>
      <c r="S1143" s="705">
        <v>4392</v>
      </c>
      <c r="T1143" s="705">
        <v>3063</v>
      </c>
      <c r="U1143" s="705">
        <v>1134</v>
      </c>
      <c r="V1143" s="705">
        <v>32246</v>
      </c>
      <c r="W1143" s="705">
        <f t="shared" si="56"/>
        <v>32245</v>
      </c>
      <c r="X1143" s="705">
        <f t="shared" si="57"/>
        <v>38979</v>
      </c>
    </row>
    <row r="1144" spans="2:24">
      <c r="B1144" t="s">
        <v>541</v>
      </c>
      <c r="C1144" t="s">
        <v>116</v>
      </c>
      <c r="D1144" t="s">
        <v>665</v>
      </c>
      <c r="E1144" t="s">
        <v>228</v>
      </c>
      <c r="F1144" s="705">
        <v>3</v>
      </c>
      <c r="G1144" s="705">
        <v>367</v>
      </c>
      <c r="H1144" s="705">
        <v>565</v>
      </c>
      <c r="I1144" s="705">
        <v>43387</v>
      </c>
      <c r="J1144" s="705">
        <v>39443</v>
      </c>
      <c r="K1144" s="705">
        <v>68</v>
      </c>
      <c r="L1144" s="705">
        <v>2201</v>
      </c>
      <c r="M1144" s="705">
        <v>815</v>
      </c>
      <c r="N1144" s="705">
        <v>7334</v>
      </c>
      <c r="O1144" s="705">
        <v>2716</v>
      </c>
      <c r="P1144" s="705">
        <v>0</v>
      </c>
      <c r="Q1144" s="705">
        <v>0</v>
      </c>
      <c r="R1144" s="705">
        <v>23842</v>
      </c>
      <c r="S1144" s="705">
        <v>8830</v>
      </c>
      <c r="T1144" s="705">
        <v>0</v>
      </c>
      <c r="U1144" s="705">
        <v>0</v>
      </c>
      <c r="V1144" s="705">
        <v>51805</v>
      </c>
      <c r="W1144" s="705">
        <f t="shared" si="56"/>
        <v>51804</v>
      </c>
      <c r="X1144" s="705">
        <f t="shared" si="57"/>
        <v>76764</v>
      </c>
    </row>
    <row r="1145" spans="2:24">
      <c r="B1145" t="s">
        <v>541</v>
      </c>
      <c r="C1145" t="s">
        <v>116</v>
      </c>
      <c r="D1145" t="s">
        <v>665</v>
      </c>
      <c r="E1145" t="s">
        <v>583</v>
      </c>
      <c r="F1145" s="705">
        <v>1</v>
      </c>
      <c r="G1145" s="705">
        <v>177</v>
      </c>
      <c r="H1145" s="705">
        <v>219</v>
      </c>
      <c r="I1145" s="705">
        <v>20613</v>
      </c>
      <c r="J1145" s="705">
        <v>18739</v>
      </c>
      <c r="K1145" s="705">
        <v>86</v>
      </c>
      <c r="L1145" s="705">
        <v>6214</v>
      </c>
      <c r="M1145" s="705">
        <v>5649</v>
      </c>
      <c r="N1145" s="705">
        <v>3232</v>
      </c>
      <c r="O1145" s="705">
        <v>1197</v>
      </c>
      <c r="P1145" s="705">
        <v>621</v>
      </c>
      <c r="Q1145" s="705">
        <v>230</v>
      </c>
      <c r="R1145" s="705">
        <v>8005</v>
      </c>
      <c r="S1145" s="705">
        <v>7277</v>
      </c>
      <c r="T1145" s="705">
        <v>0</v>
      </c>
      <c r="U1145" s="705">
        <v>0</v>
      </c>
      <c r="V1145" s="705">
        <v>33093</v>
      </c>
      <c r="W1145" s="705">
        <f t="shared" si="56"/>
        <v>33092</v>
      </c>
      <c r="X1145" s="705">
        <f t="shared" si="57"/>
        <v>38685</v>
      </c>
    </row>
    <row r="1146" spans="2:24">
      <c r="B1146" t="s">
        <v>541</v>
      </c>
      <c r="C1146" t="s">
        <v>116</v>
      </c>
      <c r="D1146" t="s">
        <v>665</v>
      </c>
      <c r="E1146" t="s">
        <v>665</v>
      </c>
      <c r="F1146" s="705">
        <v>22</v>
      </c>
      <c r="G1146" s="705">
        <v>2876</v>
      </c>
      <c r="H1146" s="705">
        <v>4582</v>
      </c>
      <c r="I1146" s="705">
        <v>364668</v>
      </c>
      <c r="J1146" s="705">
        <v>331516</v>
      </c>
      <c r="K1146" s="705">
        <v>68</v>
      </c>
      <c r="L1146" s="705">
        <v>61400</v>
      </c>
      <c r="M1146" s="705">
        <v>53404</v>
      </c>
      <c r="N1146" s="705">
        <v>45753</v>
      </c>
      <c r="O1146" s="705">
        <v>16946</v>
      </c>
      <c r="P1146" s="705">
        <v>8964</v>
      </c>
      <c r="Q1146" s="705">
        <v>3320</v>
      </c>
      <c r="R1146" s="705">
        <v>104298</v>
      </c>
      <c r="S1146" s="705">
        <v>94816</v>
      </c>
      <c r="T1146" s="705">
        <v>50308</v>
      </c>
      <c r="U1146" s="705">
        <v>18633</v>
      </c>
      <c r="V1146" s="705">
        <v>518635</v>
      </c>
      <c r="W1146" s="705">
        <f t="shared" si="56"/>
        <v>518635</v>
      </c>
      <c r="X1146" s="705">
        <f t="shared" si="57"/>
        <v>635391</v>
      </c>
    </row>
    <row r="1147" spans="2:24">
      <c r="B1147" t="s">
        <v>541</v>
      </c>
      <c r="C1147" t="s">
        <v>116</v>
      </c>
      <c r="D1147" t="s">
        <v>673</v>
      </c>
      <c r="E1147" t="s">
        <v>228</v>
      </c>
      <c r="F1147" s="705">
        <v>1</v>
      </c>
      <c r="G1147" s="705">
        <v>202</v>
      </c>
      <c r="H1147" s="705">
        <v>162</v>
      </c>
      <c r="I1147" s="705">
        <v>22187</v>
      </c>
      <c r="J1147" s="705">
        <v>20170</v>
      </c>
      <c r="K1147" s="705">
        <v>86</v>
      </c>
      <c r="L1147" s="705">
        <v>3517</v>
      </c>
      <c r="M1147" s="705">
        <v>3197</v>
      </c>
      <c r="N1147" s="705">
        <v>2834</v>
      </c>
      <c r="O1147" s="705">
        <v>1050</v>
      </c>
      <c r="P1147" s="705">
        <v>351</v>
      </c>
      <c r="Q1147" s="705">
        <v>130</v>
      </c>
      <c r="R1147" s="705">
        <v>3936</v>
      </c>
      <c r="S1147" s="705">
        <v>1458</v>
      </c>
      <c r="T1147" s="705">
        <v>0</v>
      </c>
      <c r="U1147" s="705">
        <v>0</v>
      </c>
      <c r="V1147" s="705">
        <v>26004</v>
      </c>
      <c r="W1147" s="705">
        <f t="shared" si="56"/>
        <v>26005</v>
      </c>
      <c r="X1147" s="705">
        <f t="shared" si="57"/>
        <v>32825</v>
      </c>
    </row>
    <row r="1148" spans="2:24">
      <c r="B1148" t="s">
        <v>541</v>
      </c>
      <c r="C1148" t="s">
        <v>116</v>
      </c>
      <c r="D1148" t="s">
        <v>673</v>
      </c>
      <c r="E1148" t="s">
        <v>673</v>
      </c>
      <c r="F1148" s="705">
        <v>3</v>
      </c>
      <c r="G1148" s="705">
        <v>503</v>
      </c>
      <c r="H1148" s="705">
        <v>600</v>
      </c>
      <c r="I1148" s="705">
        <v>59174</v>
      </c>
      <c r="J1148" s="705">
        <v>53795</v>
      </c>
      <c r="K1148" s="705">
        <v>77</v>
      </c>
      <c r="L1148" s="705">
        <v>8074</v>
      </c>
      <c r="M1148" s="705">
        <v>5413</v>
      </c>
      <c r="N1148" s="705">
        <v>8470</v>
      </c>
      <c r="O1148" s="705">
        <v>3137</v>
      </c>
      <c r="P1148" s="705">
        <v>1053</v>
      </c>
      <c r="Q1148" s="705">
        <v>390</v>
      </c>
      <c r="R1148" s="705">
        <v>15163</v>
      </c>
      <c r="S1148" s="705">
        <v>13785</v>
      </c>
      <c r="T1148" s="705">
        <v>6442</v>
      </c>
      <c r="U1148" s="705">
        <v>2386</v>
      </c>
      <c r="V1148" s="705">
        <v>78906</v>
      </c>
      <c r="W1148" s="705">
        <f t="shared" si="56"/>
        <v>78906</v>
      </c>
      <c r="X1148" s="705">
        <f t="shared" si="57"/>
        <v>98376</v>
      </c>
    </row>
    <row r="1149" spans="2:24">
      <c r="B1149" t="s">
        <v>541</v>
      </c>
      <c r="C1149" t="s">
        <v>116</v>
      </c>
      <c r="D1149" t="s">
        <v>585</v>
      </c>
      <c r="E1149" t="s">
        <v>228</v>
      </c>
      <c r="F1149" s="705">
        <v>1</v>
      </c>
      <c r="G1149" s="705">
        <v>88</v>
      </c>
      <c r="H1149" s="705">
        <v>206</v>
      </c>
      <c r="I1149" s="705">
        <v>9173</v>
      </c>
      <c r="J1149" s="705">
        <v>8339</v>
      </c>
      <c r="K1149" s="705">
        <v>73</v>
      </c>
      <c r="L1149" s="705">
        <v>0</v>
      </c>
      <c r="M1149" s="705">
        <v>0</v>
      </c>
      <c r="N1149" s="705">
        <v>2150</v>
      </c>
      <c r="O1149" s="705">
        <v>796</v>
      </c>
      <c r="P1149" s="705">
        <v>0</v>
      </c>
      <c r="Q1149" s="705">
        <v>0</v>
      </c>
      <c r="R1149" s="705">
        <v>6896</v>
      </c>
      <c r="S1149" s="705">
        <v>2554</v>
      </c>
      <c r="T1149" s="705">
        <v>0</v>
      </c>
      <c r="U1149" s="705">
        <v>0</v>
      </c>
      <c r="V1149" s="705">
        <v>11689</v>
      </c>
      <c r="W1149" s="705">
        <f t="shared" si="56"/>
        <v>11689</v>
      </c>
      <c r="X1149" s="705">
        <f t="shared" si="57"/>
        <v>18219</v>
      </c>
    </row>
    <row r="1150" spans="2:24">
      <c r="B1150" t="s">
        <v>541</v>
      </c>
      <c r="C1150" t="s">
        <v>116</v>
      </c>
      <c r="D1150" t="s">
        <v>585</v>
      </c>
      <c r="E1150" t="s">
        <v>585</v>
      </c>
      <c r="F1150" s="705">
        <v>15</v>
      </c>
      <c r="G1150" s="705">
        <v>2730</v>
      </c>
      <c r="H1150" s="705">
        <v>2913</v>
      </c>
      <c r="I1150" s="705">
        <v>354712</v>
      </c>
      <c r="J1150" s="705">
        <v>322466</v>
      </c>
      <c r="K1150" s="705">
        <v>78</v>
      </c>
      <c r="L1150" s="705">
        <v>55550</v>
      </c>
      <c r="M1150" s="705">
        <v>50500</v>
      </c>
      <c r="N1150" s="705">
        <v>57109</v>
      </c>
      <c r="O1150" s="705">
        <v>21151</v>
      </c>
      <c r="P1150" s="705">
        <v>5886</v>
      </c>
      <c r="Q1150" s="705">
        <v>2180</v>
      </c>
      <c r="R1150" s="705">
        <v>90012</v>
      </c>
      <c r="S1150" s="705">
        <v>81829</v>
      </c>
      <c r="T1150" s="705">
        <v>8692</v>
      </c>
      <c r="U1150" s="705">
        <v>3219</v>
      </c>
      <c r="V1150" s="705">
        <v>481346</v>
      </c>
      <c r="W1150" s="705">
        <f t="shared" si="56"/>
        <v>481345</v>
      </c>
      <c r="X1150" s="705">
        <f t="shared" si="57"/>
        <v>571961</v>
      </c>
    </row>
    <row r="1151" spans="2:24">
      <c r="B1151" t="s">
        <v>541</v>
      </c>
      <c r="C1151" t="s">
        <v>116</v>
      </c>
      <c r="D1151" t="s">
        <v>585</v>
      </c>
      <c r="E1151" t="s">
        <v>668</v>
      </c>
      <c r="F1151" s="705">
        <v>1</v>
      </c>
      <c r="G1151" s="705">
        <v>229</v>
      </c>
      <c r="H1151" s="705">
        <v>212</v>
      </c>
      <c r="I1151" s="705">
        <v>29867</v>
      </c>
      <c r="J1151" s="705">
        <v>27151</v>
      </c>
      <c r="K1151" s="705">
        <v>65</v>
      </c>
      <c r="L1151" s="705">
        <v>7844</v>
      </c>
      <c r="M1151" s="705">
        <v>6536</v>
      </c>
      <c r="N1151" s="705">
        <v>3485</v>
      </c>
      <c r="O1151" s="705">
        <v>1291</v>
      </c>
      <c r="P1151" s="705">
        <v>351</v>
      </c>
      <c r="Q1151" s="705">
        <v>130</v>
      </c>
      <c r="R1151" s="705">
        <v>6922</v>
      </c>
      <c r="S1151" s="705">
        <v>6293</v>
      </c>
      <c r="T1151" s="705">
        <v>0</v>
      </c>
      <c r="U1151" s="705">
        <v>0</v>
      </c>
      <c r="V1151" s="705">
        <v>41401</v>
      </c>
      <c r="W1151" s="705">
        <f t="shared" si="56"/>
        <v>41401</v>
      </c>
      <c r="X1151" s="705">
        <f t="shared" si="57"/>
        <v>48469</v>
      </c>
    </row>
    <row r="1152" spans="2:24">
      <c r="B1152" t="s">
        <v>541</v>
      </c>
      <c r="C1152" t="s">
        <v>116</v>
      </c>
      <c r="D1152" t="s">
        <v>668</v>
      </c>
      <c r="E1152" t="s">
        <v>228</v>
      </c>
      <c r="F1152" s="705">
        <v>1</v>
      </c>
      <c r="G1152" s="705">
        <v>92</v>
      </c>
      <c r="H1152" s="705">
        <v>184</v>
      </c>
      <c r="I1152" s="705">
        <v>7268</v>
      </c>
      <c r="J1152" s="705">
        <v>6607</v>
      </c>
      <c r="K1152" s="705">
        <v>89</v>
      </c>
      <c r="L1152" s="705">
        <v>1199</v>
      </c>
      <c r="M1152" s="705">
        <v>1090</v>
      </c>
      <c r="N1152" s="705">
        <v>1127</v>
      </c>
      <c r="O1152" s="705">
        <v>417</v>
      </c>
      <c r="P1152" s="705">
        <v>351</v>
      </c>
      <c r="Q1152" s="705">
        <v>130</v>
      </c>
      <c r="R1152" s="705">
        <v>7063</v>
      </c>
      <c r="S1152" s="705">
        <v>2616</v>
      </c>
      <c r="T1152" s="705">
        <v>0</v>
      </c>
      <c r="U1152" s="705">
        <v>0</v>
      </c>
      <c r="V1152" s="705">
        <v>10861</v>
      </c>
      <c r="W1152" s="705">
        <f t="shared" si="56"/>
        <v>10860</v>
      </c>
      <c r="X1152" s="705">
        <f t="shared" si="57"/>
        <v>17008</v>
      </c>
    </row>
    <row r="1153" spans="2:24">
      <c r="B1153" t="s">
        <v>541</v>
      </c>
      <c r="C1153" t="s">
        <v>116</v>
      </c>
      <c r="D1153" t="s">
        <v>668</v>
      </c>
      <c r="E1153" t="s">
        <v>668</v>
      </c>
      <c r="F1153" s="705">
        <v>1</v>
      </c>
      <c r="G1153" s="705">
        <v>117</v>
      </c>
      <c r="H1153" s="705">
        <v>217</v>
      </c>
      <c r="I1153" s="705">
        <v>15366</v>
      </c>
      <c r="J1153" s="705">
        <v>13969</v>
      </c>
      <c r="K1153" s="705">
        <v>84</v>
      </c>
      <c r="L1153" s="705">
        <v>3508</v>
      </c>
      <c r="M1153" s="705">
        <v>1299</v>
      </c>
      <c r="N1153" s="705">
        <v>1422</v>
      </c>
      <c r="O1153" s="705">
        <v>527</v>
      </c>
      <c r="P1153" s="705">
        <v>351</v>
      </c>
      <c r="Q1153" s="705">
        <v>130</v>
      </c>
      <c r="R1153" s="705">
        <v>4689</v>
      </c>
      <c r="S1153" s="705">
        <v>4263</v>
      </c>
      <c r="T1153" s="705">
        <v>0</v>
      </c>
      <c r="U1153" s="705">
        <v>0</v>
      </c>
      <c r="V1153" s="705">
        <v>20187</v>
      </c>
      <c r="W1153" s="705">
        <f t="shared" si="56"/>
        <v>20188</v>
      </c>
      <c r="X1153" s="705">
        <f t="shared" si="57"/>
        <v>25336</v>
      </c>
    </row>
    <row r="1154" spans="2:24">
      <c r="B1154" t="s">
        <v>541</v>
      </c>
      <c r="C1154" t="s">
        <v>118</v>
      </c>
      <c r="F1154" s="705">
        <v>1</v>
      </c>
      <c r="G1154" s="705">
        <v>280</v>
      </c>
      <c r="H1154" s="705">
        <v>241</v>
      </c>
      <c r="I1154" s="705"/>
      <c r="J1154" s="705">
        <v>0</v>
      </c>
      <c r="K1154" s="705"/>
      <c r="L1154" s="705"/>
      <c r="M1154" s="705">
        <v>0</v>
      </c>
      <c r="N1154" s="705">
        <v>5697</v>
      </c>
      <c r="O1154" s="705">
        <v>2110</v>
      </c>
      <c r="P1154" s="705">
        <v>1674</v>
      </c>
      <c r="Q1154" s="705">
        <v>620</v>
      </c>
      <c r="R1154" s="705"/>
      <c r="S1154" s="705">
        <v>0</v>
      </c>
      <c r="T1154" s="705">
        <v>0</v>
      </c>
      <c r="U1154" s="705">
        <v>0</v>
      </c>
      <c r="V1154" s="705">
        <v>2730</v>
      </c>
      <c r="W1154" s="705">
        <f t="shared" si="56"/>
        <v>2730</v>
      </c>
      <c r="X1154" s="705">
        <f t="shared" si="57"/>
        <v>7371</v>
      </c>
    </row>
    <row r="1155" spans="2:24">
      <c r="B1155" t="s">
        <v>541</v>
      </c>
      <c r="C1155" t="s">
        <v>118</v>
      </c>
      <c r="D1155" t="s">
        <v>664</v>
      </c>
      <c r="E1155" t="s">
        <v>664</v>
      </c>
      <c r="F1155" s="705">
        <v>10</v>
      </c>
      <c r="G1155" s="705">
        <v>1296</v>
      </c>
      <c r="H1155" s="705">
        <v>2546</v>
      </c>
      <c r="I1155" s="705">
        <v>199760</v>
      </c>
      <c r="J1155" s="705">
        <v>181600</v>
      </c>
      <c r="K1155" s="705">
        <v>80</v>
      </c>
      <c r="L1155" s="705">
        <v>42834</v>
      </c>
      <c r="M1155" s="705">
        <v>38940</v>
      </c>
      <c r="N1155" s="705">
        <v>30093</v>
      </c>
      <c r="O1155" s="705">
        <v>11146</v>
      </c>
      <c r="P1155" s="705">
        <v>4874</v>
      </c>
      <c r="Q1155" s="705">
        <v>1805</v>
      </c>
      <c r="R1155" s="705">
        <v>58707</v>
      </c>
      <c r="S1155" s="705">
        <v>53370</v>
      </c>
      <c r="T1155" s="705">
        <v>6598</v>
      </c>
      <c r="U1155" s="705">
        <v>2444</v>
      </c>
      <c r="V1155" s="705">
        <v>289304</v>
      </c>
      <c r="W1155" s="705">
        <f t="shared" si="56"/>
        <v>289305</v>
      </c>
      <c r="X1155" s="705">
        <f t="shared" si="57"/>
        <v>342866</v>
      </c>
    </row>
    <row r="1156" spans="2:24">
      <c r="B1156" t="s">
        <v>541</v>
      </c>
      <c r="C1156" t="s">
        <v>118</v>
      </c>
      <c r="D1156" t="s">
        <v>582</v>
      </c>
      <c r="E1156" t="s">
        <v>582</v>
      </c>
      <c r="F1156" s="705">
        <v>94</v>
      </c>
      <c r="G1156" s="705">
        <v>12912</v>
      </c>
      <c r="H1156" s="705">
        <v>24729</v>
      </c>
      <c r="I1156" s="705">
        <v>2109507</v>
      </c>
      <c r="J1156" s="705">
        <v>1917733</v>
      </c>
      <c r="K1156" s="705">
        <v>78</v>
      </c>
      <c r="L1156" s="705">
        <v>446736</v>
      </c>
      <c r="M1156" s="705">
        <v>391188</v>
      </c>
      <c r="N1156" s="705">
        <v>273668</v>
      </c>
      <c r="O1156" s="705">
        <v>101358</v>
      </c>
      <c r="P1156" s="705">
        <v>46602</v>
      </c>
      <c r="Q1156" s="705">
        <v>17260</v>
      </c>
      <c r="R1156" s="705">
        <v>555513</v>
      </c>
      <c r="S1156" s="705">
        <v>505012</v>
      </c>
      <c r="T1156" s="705">
        <v>78359</v>
      </c>
      <c r="U1156" s="705">
        <v>29022</v>
      </c>
      <c r="V1156" s="705">
        <v>2961574</v>
      </c>
      <c r="W1156" s="705">
        <f t="shared" si="56"/>
        <v>2961573</v>
      </c>
      <c r="X1156" s="705">
        <f t="shared" si="57"/>
        <v>3510385</v>
      </c>
    </row>
    <row r="1157" spans="2:24">
      <c r="B1157" t="s">
        <v>541</v>
      </c>
      <c r="C1157" t="s">
        <v>118</v>
      </c>
      <c r="D1157" t="s">
        <v>582</v>
      </c>
      <c r="E1157" t="s">
        <v>228</v>
      </c>
      <c r="F1157" s="705">
        <v>2</v>
      </c>
      <c r="G1157" s="705">
        <v>276</v>
      </c>
      <c r="H1157" s="705">
        <v>482</v>
      </c>
      <c r="I1157" s="705">
        <v>34176</v>
      </c>
      <c r="J1157" s="705">
        <v>31069</v>
      </c>
      <c r="K1157" s="705">
        <v>82</v>
      </c>
      <c r="L1157" s="705">
        <v>9886</v>
      </c>
      <c r="M1157" s="705">
        <v>8987</v>
      </c>
      <c r="N1157" s="705">
        <v>6720</v>
      </c>
      <c r="O1157" s="705">
        <v>2489</v>
      </c>
      <c r="P1157" s="705">
        <v>945</v>
      </c>
      <c r="Q1157" s="705">
        <v>350</v>
      </c>
      <c r="R1157" s="705">
        <v>14782</v>
      </c>
      <c r="S1157" s="705">
        <v>5475</v>
      </c>
      <c r="T1157" s="705">
        <v>0</v>
      </c>
      <c r="U1157" s="705">
        <v>0</v>
      </c>
      <c r="V1157" s="705">
        <v>48370</v>
      </c>
      <c r="W1157" s="705">
        <f t="shared" si="56"/>
        <v>48370</v>
      </c>
      <c r="X1157" s="705">
        <f t="shared" si="57"/>
        <v>66509</v>
      </c>
    </row>
    <row r="1158" spans="2:24">
      <c r="B1158" t="s">
        <v>541</v>
      </c>
      <c r="C1158" t="s">
        <v>118</v>
      </c>
      <c r="D1158" t="s">
        <v>228</v>
      </c>
      <c r="E1158" t="s">
        <v>582</v>
      </c>
      <c r="F1158" s="705">
        <v>1</v>
      </c>
      <c r="G1158" s="705">
        <v>129</v>
      </c>
      <c r="H1158" s="705">
        <v>280</v>
      </c>
      <c r="I1158" s="705">
        <v>26221</v>
      </c>
      <c r="J1158" s="705">
        <v>9711</v>
      </c>
      <c r="K1158" s="705">
        <v>250</v>
      </c>
      <c r="L1158" s="705">
        <v>2300</v>
      </c>
      <c r="M1158" s="705">
        <v>2091</v>
      </c>
      <c r="N1158" s="705">
        <v>2163</v>
      </c>
      <c r="O1158" s="705">
        <v>801</v>
      </c>
      <c r="P1158" s="705">
        <v>824</v>
      </c>
      <c r="Q1158" s="705">
        <v>305</v>
      </c>
      <c r="R1158" s="705">
        <v>4569</v>
      </c>
      <c r="S1158" s="705">
        <v>4153</v>
      </c>
      <c r="T1158" s="705">
        <v>0</v>
      </c>
      <c r="U1158" s="705">
        <v>0</v>
      </c>
      <c r="V1158" s="705">
        <v>17062</v>
      </c>
      <c r="W1158" s="705">
        <f t="shared" si="56"/>
        <v>17061</v>
      </c>
      <c r="X1158" s="705">
        <f t="shared" si="57"/>
        <v>36077</v>
      </c>
    </row>
    <row r="1159" spans="2:24">
      <c r="B1159" t="s">
        <v>541</v>
      </c>
      <c r="C1159" t="s">
        <v>118</v>
      </c>
      <c r="D1159" t="s">
        <v>228</v>
      </c>
      <c r="E1159" t="s">
        <v>228</v>
      </c>
      <c r="F1159" s="705">
        <v>181</v>
      </c>
      <c r="G1159" s="705">
        <v>24147</v>
      </c>
      <c r="H1159" s="705">
        <v>48694</v>
      </c>
      <c r="I1159" s="705">
        <v>4204577</v>
      </c>
      <c r="J1159" s="705">
        <v>1557251</v>
      </c>
      <c r="K1159" s="705">
        <v>102</v>
      </c>
      <c r="L1159" s="705">
        <v>621036</v>
      </c>
      <c r="M1159" s="705">
        <v>474512</v>
      </c>
      <c r="N1159" s="705">
        <v>508833</v>
      </c>
      <c r="O1159" s="705">
        <v>188457</v>
      </c>
      <c r="P1159" s="705">
        <v>5805</v>
      </c>
      <c r="Q1159" s="705">
        <v>2150</v>
      </c>
      <c r="R1159" s="705">
        <v>1527979</v>
      </c>
      <c r="S1159" s="705">
        <v>565918</v>
      </c>
      <c r="T1159" s="705">
        <v>2484</v>
      </c>
      <c r="U1159" s="705">
        <v>920</v>
      </c>
      <c r="V1159" s="705">
        <v>2789208</v>
      </c>
      <c r="W1159" s="705">
        <f t="shared" ref="W1159:W1222" si="58">SUM(ABS(J1159),ABS(M1159),ABS(O1159),ABS(Q1159),ABS(S1159),ABS(U1159))</f>
        <v>2789208</v>
      </c>
      <c r="X1159" s="705">
        <f t="shared" ref="X1159:X1222" si="59">SUM(ABS(I1159),ABS(N1159),ABS(P1159),ABS(R1159),ABS(T1159),ABS(L1159))</f>
        <v>6870714</v>
      </c>
    </row>
    <row r="1160" spans="2:24">
      <c r="B1160" t="s">
        <v>541</v>
      </c>
      <c r="C1160" t="s">
        <v>118</v>
      </c>
      <c r="D1160" t="s">
        <v>228</v>
      </c>
      <c r="E1160" t="s">
        <v>583</v>
      </c>
      <c r="F1160" s="705">
        <v>1</v>
      </c>
      <c r="G1160" s="705">
        <v>33</v>
      </c>
      <c r="H1160" s="705">
        <v>282</v>
      </c>
      <c r="I1160" s="705">
        <v>4978</v>
      </c>
      <c r="J1160" s="705">
        <v>1844</v>
      </c>
      <c r="K1160" s="705">
        <v>100</v>
      </c>
      <c r="L1160" s="705">
        <v>0</v>
      </c>
      <c r="M1160" s="705">
        <v>0</v>
      </c>
      <c r="N1160" s="705">
        <v>398</v>
      </c>
      <c r="O1160" s="705">
        <v>147</v>
      </c>
      <c r="P1160" s="705">
        <v>0</v>
      </c>
      <c r="Q1160" s="705">
        <v>0</v>
      </c>
      <c r="R1160" s="705">
        <v>3822</v>
      </c>
      <c r="S1160" s="705">
        <v>3475</v>
      </c>
      <c r="T1160" s="705">
        <v>0</v>
      </c>
      <c r="U1160" s="705">
        <v>0</v>
      </c>
      <c r="V1160" s="705">
        <v>5466</v>
      </c>
      <c r="W1160" s="705">
        <f t="shared" si="58"/>
        <v>5466</v>
      </c>
      <c r="X1160" s="705">
        <f t="shared" si="59"/>
        <v>9198</v>
      </c>
    </row>
    <row r="1161" spans="2:24">
      <c r="B1161" t="s">
        <v>541</v>
      </c>
      <c r="C1161" t="s">
        <v>118</v>
      </c>
      <c r="D1161" t="s">
        <v>228</v>
      </c>
      <c r="E1161" t="s">
        <v>665</v>
      </c>
      <c r="F1161" s="705">
        <v>1</v>
      </c>
      <c r="G1161" s="705">
        <v>34</v>
      </c>
      <c r="H1161" s="705">
        <v>256</v>
      </c>
      <c r="I1161" s="705">
        <v>5090</v>
      </c>
      <c r="J1161" s="705">
        <v>1885</v>
      </c>
      <c r="K1161" s="705">
        <v>250</v>
      </c>
      <c r="L1161" s="705">
        <v>886</v>
      </c>
      <c r="M1161" s="705">
        <v>806</v>
      </c>
      <c r="N1161" s="705">
        <v>417</v>
      </c>
      <c r="O1161" s="705">
        <v>154</v>
      </c>
      <c r="P1161" s="705">
        <v>136</v>
      </c>
      <c r="Q1161" s="705">
        <v>50</v>
      </c>
      <c r="R1161" s="705">
        <v>1666</v>
      </c>
      <c r="S1161" s="705">
        <v>1515</v>
      </c>
      <c r="T1161" s="705">
        <v>549</v>
      </c>
      <c r="U1161" s="705">
        <v>203</v>
      </c>
      <c r="V1161" s="705">
        <v>4613</v>
      </c>
      <c r="W1161" s="705">
        <f t="shared" si="58"/>
        <v>4613</v>
      </c>
      <c r="X1161" s="705">
        <f t="shared" si="59"/>
        <v>8744</v>
      </c>
    </row>
    <row r="1162" spans="2:24">
      <c r="B1162" t="s">
        <v>541</v>
      </c>
      <c r="C1162" t="s">
        <v>118</v>
      </c>
      <c r="D1162" t="s">
        <v>583</v>
      </c>
      <c r="E1162" t="s">
        <v>664</v>
      </c>
      <c r="F1162" s="705">
        <v>3</v>
      </c>
      <c r="G1162" s="705">
        <v>490</v>
      </c>
      <c r="H1162" s="705">
        <v>830</v>
      </c>
      <c r="I1162" s="705">
        <v>87582</v>
      </c>
      <c r="J1162" s="705">
        <v>79620</v>
      </c>
      <c r="K1162" s="705">
        <v>73</v>
      </c>
      <c r="L1162" s="705">
        <v>14044</v>
      </c>
      <c r="M1162" s="705">
        <v>12767</v>
      </c>
      <c r="N1162" s="705">
        <v>9194</v>
      </c>
      <c r="O1162" s="705">
        <v>3405</v>
      </c>
      <c r="P1162" s="705">
        <v>1863</v>
      </c>
      <c r="Q1162" s="705">
        <v>690</v>
      </c>
      <c r="R1162" s="705">
        <v>23499</v>
      </c>
      <c r="S1162" s="705">
        <v>21362</v>
      </c>
      <c r="T1162" s="705">
        <v>0</v>
      </c>
      <c r="U1162" s="705">
        <v>0</v>
      </c>
      <c r="V1162" s="705">
        <v>117845</v>
      </c>
      <c r="W1162" s="705">
        <f t="shared" si="58"/>
        <v>117844</v>
      </c>
      <c r="X1162" s="705">
        <f t="shared" si="59"/>
        <v>136182</v>
      </c>
    </row>
    <row r="1163" spans="2:24">
      <c r="B1163" t="s">
        <v>541</v>
      </c>
      <c r="C1163" t="s">
        <v>118</v>
      </c>
      <c r="D1163" t="s">
        <v>583</v>
      </c>
      <c r="E1163" t="s">
        <v>582</v>
      </c>
      <c r="F1163" s="705">
        <v>1</v>
      </c>
      <c r="G1163" s="705">
        <v>178</v>
      </c>
      <c r="H1163" s="705">
        <v>291</v>
      </c>
      <c r="I1163" s="705">
        <v>28271</v>
      </c>
      <c r="J1163" s="705">
        <v>25701</v>
      </c>
      <c r="K1163" s="705">
        <v>86</v>
      </c>
      <c r="L1163" s="705">
        <v>8502</v>
      </c>
      <c r="M1163" s="705">
        <v>7729</v>
      </c>
      <c r="N1163" s="705">
        <v>4344</v>
      </c>
      <c r="O1163" s="705">
        <v>1609</v>
      </c>
      <c r="P1163" s="705">
        <v>621</v>
      </c>
      <c r="Q1163" s="705">
        <v>230</v>
      </c>
      <c r="R1163" s="705">
        <v>10077</v>
      </c>
      <c r="S1163" s="705">
        <v>9161</v>
      </c>
      <c r="T1163" s="705">
        <v>0</v>
      </c>
      <c r="U1163" s="705">
        <v>0</v>
      </c>
      <c r="V1163" s="705">
        <v>44430</v>
      </c>
      <c r="W1163" s="705">
        <f t="shared" si="58"/>
        <v>44430</v>
      </c>
      <c r="X1163" s="705">
        <f t="shared" si="59"/>
        <v>51815</v>
      </c>
    </row>
    <row r="1164" spans="2:24">
      <c r="B1164" t="s">
        <v>541</v>
      </c>
      <c r="C1164" t="s">
        <v>118</v>
      </c>
      <c r="D1164" t="s">
        <v>583</v>
      </c>
      <c r="E1164" t="s">
        <v>228</v>
      </c>
      <c r="F1164" s="705">
        <v>13</v>
      </c>
      <c r="G1164" s="705">
        <v>1508</v>
      </c>
      <c r="H1164" s="705">
        <v>3349</v>
      </c>
      <c r="I1164" s="705">
        <v>212865</v>
      </c>
      <c r="J1164" s="705">
        <v>193513</v>
      </c>
      <c r="K1164" s="705">
        <v>86</v>
      </c>
      <c r="L1164" s="705">
        <v>44001</v>
      </c>
      <c r="M1164" s="705">
        <v>34984</v>
      </c>
      <c r="N1164" s="705">
        <v>32547</v>
      </c>
      <c r="O1164" s="705">
        <v>12054</v>
      </c>
      <c r="P1164" s="705">
        <v>8786</v>
      </c>
      <c r="Q1164" s="705">
        <v>3254</v>
      </c>
      <c r="R1164" s="705">
        <v>96728</v>
      </c>
      <c r="S1164" s="705">
        <v>35825</v>
      </c>
      <c r="T1164" s="705">
        <v>0</v>
      </c>
      <c r="U1164" s="705">
        <v>0</v>
      </c>
      <c r="V1164" s="705">
        <v>279631</v>
      </c>
      <c r="W1164" s="705">
        <f t="shared" si="58"/>
        <v>279630</v>
      </c>
      <c r="X1164" s="705">
        <f t="shared" si="59"/>
        <v>394927</v>
      </c>
    </row>
    <row r="1165" spans="2:24">
      <c r="B1165" t="s">
        <v>541</v>
      </c>
      <c r="C1165" t="s">
        <v>118</v>
      </c>
      <c r="D1165" t="s">
        <v>583</v>
      </c>
      <c r="E1165" t="s">
        <v>583</v>
      </c>
      <c r="F1165" s="705">
        <v>2942</v>
      </c>
      <c r="G1165" s="705">
        <v>370148</v>
      </c>
      <c r="H1165" s="705">
        <v>765321</v>
      </c>
      <c r="I1165" s="705">
        <v>56339503</v>
      </c>
      <c r="J1165" s="705">
        <v>51217730</v>
      </c>
      <c r="K1165" s="705">
        <v>80</v>
      </c>
      <c r="L1165" s="705">
        <v>11991772</v>
      </c>
      <c r="M1165" s="705">
        <v>11326818</v>
      </c>
      <c r="N1165" s="705">
        <v>7458920</v>
      </c>
      <c r="O1165" s="705">
        <v>2762563</v>
      </c>
      <c r="P1165" s="705">
        <v>1986971</v>
      </c>
      <c r="Q1165" s="705">
        <v>735915</v>
      </c>
      <c r="R1165" s="705">
        <v>16862762</v>
      </c>
      <c r="S1165" s="705">
        <v>15329784</v>
      </c>
      <c r="T1165" s="705">
        <v>2930387</v>
      </c>
      <c r="U1165" s="705">
        <v>1085328</v>
      </c>
      <c r="V1165" s="705">
        <v>82458138</v>
      </c>
      <c r="W1165" s="705">
        <f t="shared" si="58"/>
        <v>82458138</v>
      </c>
      <c r="X1165" s="705">
        <f t="shared" si="59"/>
        <v>97570315</v>
      </c>
    </row>
    <row r="1166" spans="2:24">
      <c r="B1166" t="s">
        <v>541</v>
      </c>
      <c r="C1166" t="s">
        <v>118</v>
      </c>
      <c r="D1166" t="s">
        <v>583</v>
      </c>
      <c r="E1166" t="s">
        <v>666</v>
      </c>
      <c r="F1166" s="705">
        <v>3</v>
      </c>
      <c r="G1166" s="705">
        <v>364</v>
      </c>
      <c r="H1166" s="705">
        <v>711</v>
      </c>
      <c r="I1166" s="705">
        <v>44372</v>
      </c>
      <c r="J1166" s="705">
        <v>40339</v>
      </c>
      <c r="K1166" s="705">
        <v>77</v>
      </c>
      <c r="L1166" s="705">
        <v>10033</v>
      </c>
      <c r="M1166" s="705">
        <v>9121</v>
      </c>
      <c r="N1166" s="705">
        <v>8777</v>
      </c>
      <c r="O1166" s="705">
        <v>3251</v>
      </c>
      <c r="P1166" s="705">
        <v>1863</v>
      </c>
      <c r="Q1166" s="705">
        <v>690</v>
      </c>
      <c r="R1166" s="705">
        <v>18668</v>
      </c>
      <c r="S1166" s="705">
        <v>16971</v>
      </c>
      <c r="T1166" s="705">
        <v>2523</v>
      </c>
      <c r="U1166" s="705">
        <v>934</v>
      </c>
      <c r="V1166" s="705">
        <v>71306</v>
      </c>
      <c r="W1166" s="705">
        <f t="shared" si="58"/>
        <v>71306</v>
      </c>
      <c r="X1166" s="705">
        <f t="shared" si="59"/>
        <v>86236</v>
      </c>
    </row>
    <row r="1167" spans="2:24">
      <c r="B1167" t="s">
        <v>541</v>
      </c>
      <c r="C1167" t="s">
        <v>118</v>
      </c>
      <c r="D1167" t="s">
        <v>583</v>
      </c>
      <c r="E1167" t="s">
        <v>667</v>
      </c>
      <c r="F1167" s="705">
        <v>2</v>
      </c>
      <c r="G1167" s="705">
        <v>288</v>
      </c>
      <c r="H1167" s="705">
        <v>483</v>
      </c>
      <c r="I1167" s="705">
        <v>42229</v>
      </c>
      <c r="J1167" s="705">
        <v>38390</v>
      </c>
      <c r="K1167" s="705">
        <v>84</v>
      </c>
      <c r="L1167" s="705">
        <v>8003</v>
      </c>
      <c r="M1167" s="705">
        <v>7275</v>
      </c>
      <c r="N1167" s="705">
        <v>3511</v>
      </c>
      <c r="O1167" s="705">
        <v>1301</v>
      </c>
      <c r="P1167" s="705">
        <v>1242</v>
      </c>
      <c r="Q1167" s="705">
        <v>460</v>
      </c>
      <c r="R1167" s="705">
        <v>8155</v>
      </c>
      <c r="S1167" s="705">
        <v>7414</v>
      </c>
      <c r="T1167" s="705">
        <v>6443</v>
      </c>
      <c r="U1167" s="705">
        <v>2386</v>
      </c>
      <c r="V1167" s="705">
        <v>57227</v>
      </c>
      <c r="W1167" s="705">
        <f t="shared" si="58"/>
        <v>57226</v>
      </c>
      <c r="X1167" s="705">
        <f t="shared" si="59"/>
        <v>69583</v>
      </c>
    </row>
    <row r="1168" spans="2:24">
      <c r="B1168" t="s">
        <v>541</v>
      </c>
      <c r="C1168" t="s">
        <v>118</v>
      </c>
      <c r="D1168" t="s">
        <v>583</v>
      </c>
      <c r="E1168" t="s">
        <v>665</v>
      </c>
      <c r="F1168" s="705">
        <v>4</v>
      </c>
      <c r="G1168" s="705">
        <v>639</v>
      </c>
      <c r="H1168" s="705">
        <v>1050</v>
      </c>
      <c r="I1168" s="705">
        <v>87791</v>
      </c>
      <c r="J1168" s="705">
        <v>79810</v>
      </c>
      <c r="K1168" s="705">
        <v>80</v>
      </c>
      <c r="L1168" s="705">
        <v>16907</v>
      </c>
      <c r="M1168" s="705">
        <v>15370</v>
      </c>
      <c r="N1168" s="705">
        <v>13282</v>
      </c>
      <c r="O1168" s="705">
        <v>4919</v>
      </c>
      <c r="P1168" s="705">
        <v>3186</v>
      </c>
      <c r="Q1168" s="705">
        <v>1180</v>
      </c>
      <c r="R1168" s="705">
        <v>36512</v>
      </c>
      <c r="S1168" s="705">
        <v>33193</v>
      </c>
      <c r="T1168" s="705">
        <v>10296</v>
      </c>
      <c r="U1168" s="705">
        <v>3813</v>
      </c>
      <c r="V1168" s="705">
        <v>138285</v>
      </c>
      <c r="W1168" s="705">
        <f t="shared" si="58"/>
        <v>138285</v>
      </c>
      <c r="X1168" s="705">
        <f t="shared" si="59"/>
        <v>167974</v>
      </c>
    </row>
    <row r="1169" spans="2:24">
      <c r="B1169" t="s">
        <v>541</v>
      </c>
      <c r="C1169" t="s">
        <v>118</v>
      </c>
      <c r="D1169" t="s">
        <v>666</v>
      </c>
      <c r="E1169" t="s">
        <v>228</v>
      </c>
      <c r="F1169" s="705">
        <v>1</v>
      </c>
      <c r="G1169" s="705">
        <v>112</v>
      </c>
      <c r="H1169" s="705">
        <v>278</v>
      </c>
      <c r="I1169" s="705">
        <v>19831</v>
      </c>
      <c r="J1169" s="705">
        <v>18028</v>
      </c>
      <c r="K1169" s="705">
        <v>55</v>
      </c>
      <c r="L1169" s="705">
        <v>2203</v>
      </c>
      <c r="M1169" s="705">
        <v>2003</v>
      </c>
      <c r="N1169" s="705">
        <v>1362</v>
      </c>
      <c r="O1169" s="705">
        <v>504</v>
      </c>
      <c r="P1169" s="705">
        <v>0</v>
      </c>
      <c r="Q1169" s="705">
        <v>0</v>
      </c>
      <c r="R1169" s="705">
        <v>7645</v>
      </c>
      <c r="S1169" s="705">
        <v>2832</v>
      </c>
      <c r="T1169" s="705">
        <v>0</v>
      </c>
      <c r="U1169" s="705">
        <v>0</v>
      </c>
      <c r="V1169" s="705">
        <v>23367</v>
      </c>
      <c r="W1169" s="705">
        <f t="shared" si="58"/>
        <v>23367</v>
      </c>
      <c r="X1169" s="705">
        <f t="shared" si="59"/>
        <v>31041</v>
      </c>
    </row>
    <row r="1170" spans="2:24">
      <c r="B1170" t="s">
        <v>541</v>
      </c>
      <c r="C1170" t="s">
        <v>118</v>
      </c>
      <c r="D1170" t="s">
        <v>666</v>
      </c>
      <c r="E1170" t="s">
        <v>583</v>
      </c>
      <c r="F1170" s="705">
        <v>1</v>
      </c>
      <c r="G1170" s="705">
        <v>131</v>
      </c>
      <c r="H1170" s="705">
        <v>275</v>
      </c>
      <c r="I1170" s="705">
        <v>22838</v>
      </c>
      <c r="J1170" s="705">
        <v>20762</v>
      </c>
      <c r="K1170" s="705">
        <v>65</v>
      </c>
      <c r="L1170" s="705">
        <v>4049</v>
      </c>
      <c r="M1170" s="705">
        <v>1499</v>
      </c>
      <c r="N1170" s="705">
        <v>1595</v>
      </c>
      <c r="O1170" s="705">
        <v>591</v>
      </c>
      <c r="P1170" s="705">
        <v>351</v>
      </c>
      <c r="Q1170" s="705">
        <v>130</v>
      </c>
      <c r="R1170" s="705">
        <v>7222</v>
      </c>
      <c r="S1170" s="705">
        <v>6566</v>
      </c>
      <c r="T1170" s="705">
        <v>0</v>
      </c>
      <c r="U1170" s="705">
        <v>0</v>
      </c>
      <c r="V1170" s="705">
        <v>29548</v>
      </c>
      <c r="W1170" s="705">
        <f t="shared" si="58"/>
        <v>29548</v>
      </c>
      <c r="X1170" s="705">
        <f t="shared" si="59"/>
        <v>36055</v>
      </c>
    </row>
    <row r="1171" spans="2:24">
      <c r="B1171" t="s">
        <v>541</v>
      </c>
      <c r="C1171" t="s">
        <v>118</v>
      </c>
      <c r="D1171" t="s">
        <v>666</v>
      </c>
      <c r="E1171" t="s">
        <v>666</v>
      </c>
      <c r="F1171" s="705">
        <v>2</v>
      </c>
      <c r="G1171" s="705">
        <v>283</v>
      </c>
      <c r="H1171" s="705">
        <v>495</v>
      </c>
      <c r="I1171" s="705">
        <v>38441</v>
      </c>
      <c r="J1171" s="705">
        <v>34947</v>
      </c>
      <c r="K1171" s="705">
        <v>55</v>
      </c>
      <c r="L1171" s="705">
        <v>4564</v>
      </c>
      <c r="M1171" s="705">
        <v>3297</v>
      </c>
      <c r="N1171" s="705">
        <v>4537</v>
      </c>
      <c r="O1171" s="705">
        <v>1680</v>
      </c>
      <c r="P1171" s="705">
        <v>702</v>
      </c>
      <c r="Q1171" s="705">
        <v>260</v>
      </c>
      <c r="R1171" s="705">
        <v>19538</v>
      </c>
      <c r="S1171" s="705">
        <v>17762</v>
      </c>
      <c r="T1171" s="705">
        <v>0</v>
      </c>
      <c r="U1171" s="705">
        <v>0</v>
      </c>
      <c r="V1171" s="705">
        <v>57945</v>
      </c>
      <c r="W1171" s="705">
        <f t="shared" si="58"/>
        <v>57946</v>
      </c>
      <c r="X1171" s="705">
        <f t="shared" si="59"/>
        <v>67782</v>
      </c>
    </row>
    <row r="1172" spans="2:24">
      <c r="B1172" t="s">
        <v>541</v>
      </c>
      <c r="C1172" t="s">
        <v>118</v>
      </c>
      <c r="D1172" t="s">
        <v>584</v>
      </c>
      <c r="E1172" t="s">
        <v>584</v>
      </c>
      <c r="F1172" s="705">
        <v>2</v>
      </c>
      <c r="G1172" s="705">
        <v>281</v>
      </c>
      <c r="H1172" s="705">
        <v>481</v>
      </c>
      <c r="I1172" s="705">
        <v>39441</v>
      </c>
      <c r="J1172" s="705">
        <v>35855</v>
      </c>
      <c r="K1172" s="705">
        <v>73</v>
      </c>
      <c r="L1172" s="705">
        <v>5035</v>
      </c>
      <c r="M1172" s="705">
        <v>4577</v>
      </c>
      <c r="N1172" s="705">
        <v>5233</v>
      </c>
      <c r="O1172" s="705">
        <v>1938</v>
      </c>
      <c r="P1172" s="705">
        <v>945</v>
      </c>
      <c r="Q1172" s="705">
        <v>350</v>
      </c>
      <c r="R1172" s="705">
        <v>10452</v>
      </c>
      <c r="S1172" s="705">
        <v>9502</v>
      </c>
      <c r="T1172" s="705">
        <v>6535</v>
      </c>
      <c r="U1172" s="705">
        <v>2420</v>
      </c>
      <c r="V1172" s="705">
        <v>54643</v>
      </c>
      <c r="W1172" s="705">
        <f t="shared" si="58"/>
        <v>54642</v>
      </c>
      <c r="X1172" s="705">
        <f t="shared" si="59"/>
        <v>67641</v>
      </c>
    </row>
    <row r="1173" spans="2:24">
      <c r="B1173" t="s">
        <v>541</v>
      </c>
      <c r="C1173" t="s">
        <v>118</v>
      </c>
      <c r="D1173" t="s">
        <v>669</v>
      </c>
      <c r="E1173" t="s">
        <v>669</v>
      </c>
      <c r="F1173" s="705">
        <v>4</v>
      </c>
      <c r="G1173" s="705">
        <v>447</v>
      </c>
      <c r="H1173" s="705">
        <v>1105</v>
      </c>
      <c r="I1173" s="705">
        <v>72237</v>
      </c>
      <c r="J1173" s="705">
        <v>60198</v>
      </c>
      <c r="K1173" s="705">
        <v>69</v>
      </c>
      <c r="L1173" s="705">
        <v>9279</v>
      </c>
      <c r="M1173" s="705">
        <v>7934</v>
      </c>
      <c r="N1173" s="705">
        <v>7912</v>
      </c>
      <c r="O1173" s="705">
        <v>2930</v>
      </c>
      <c r="P1173" s="705">
        <v>2376</v>
      </c>
      <c r="Q1173" s="705">
        <v>880</v>
      </c>
      <c r="R1173" s="705">
        <v>20199</v>
      </c>
      <c r="S1173" s="705">
        <v>16833</v>
      </c>
      <c r="T1173" s="705">
        <v>10996</v>
      </c>
      <c r="U1173" s="705">
        <v>4072</v>
      </c>
      <c r="V1173" s="705">
        <v>92847</v>
      </c>
      <c r="W1173" s="705">
        <f t="shared" si="58"/>
        <v>92847</v>
      </c>
      <c r="X1173" s="705">
        <f t="shared" si="59"/>
        <v>122999</v>
      </c>
    </row>
    <row r="1174" spans="2:24">
      <c r="B1174" t="s">
        <v>541</v>
      </c>
      <c r="C1174" t="s">
        <v>118</v>
      </c>
      <c r="D1174" t="s">
        <v>671</v>
      </c>
      <c r="E1174" t="s">
        <v>671</v>
      </c>
      <c r="F1174" s="705">
        <v>1</v>
      </c>
      <c r="G1174" s="705">
        <v>107</v>
      </c>
      <c r="H1174" s="705">
        <v>298</v>
      </c>
      <c r="I1174" s="705">
        <v>17834</v>
      </c>
      <c r="J1174" s="705">
        <v>16213</v>
      </c>
      <c r="K1174" s="705">
        <v>65</v>
      </c>
      <c r="L1174" s="705">
        <v>4293</v>
      </c>
      <c r="M1174" s="705">
        <v>3903</v>
      </c>
      <c r="N1174" s="705">
        <v>2209</v>
      </c>
      <c r="O1174" s="705">
        <v>818</v>
      </c>
      <c r="P1174" s="705">
        <v>351</v>
      </c>
      <c r="Q1174" s="705">
        <v>130</v>
      </c>
      <c r="R1174" s="705">
        <v>4579</v>
      </c>
      <c r="S1174" s="705">
        <v>4163</v>
      </c>
      <c r="T1174" s="705">
        <v>2511</v>
      </c>
      <c r="U1174" s="705">
        <v>930</v>
      </c>
      <c r="V1174" s="705">
        <v>26158</v>
      </c>
      <c r="W1174" s="705">
        <f t="shared" si="58"/>
        <v>26157</v>
      </c>
      <c r="X1174" s="705">
        <f t="shared" si="59"/>
        <v>31777</v>
      </c>
    </row>
    <row r="1175" spans="2:24">
      <c r="B1175" t="s">
        <v>541</v>
      </c>
      <c r="C1175" t="s">
        <v>118</v>
      </c>
      <c r="D1175" t="s">
        <v>665</v>
      </c>
      <c r="E1175" t="s">
        <v>228</v>
      </c>
      <c r="F1175" s="705">
        <v>4</v>
      </c>
      <c r="G1175" s="705">
        <v>475</v>
      </c>
      <c r="H1175" s="705">
        <v>1003</v>
      </c>
      <c r="I1175" s="705">
        <v>67556</v>
      </c>
      <c r="J1175" s="705">
        <v>61415</v>
      </c>
      <c r="K1175" s="705">
        <v>71</v>
      </c>
      <c r="L1175" s="705">
        <v>15503</v>
      </c>
      <c r="M1175" s="705">
        <v>9922</v>
      </c>
      <c r="N1175" s="705">
        <v>8625</v>
      </c>
      <c r="O1175" s="705">
        <v>3195</v>
      </c>
      <c r="P1175" s="705">
        <v>351</v>
      </c>
      <c r="Q1175" s="705">
        <v>130</v>
      </c>
      <c r="R1175" s="705">
        <v>28496</v>
      </c>
      <c r="S1175" s="705">
        <v>10554</v>
      </c>
      <c r="T1175" s="705">
        <v>0</v>
      </c>
      <c r="U1175" s="705">
        <v>0</v>
      </c>
      <c r="V1175" s="705">
        <v>85216</v>
      </c>
      <c r="W1175" s="705">
        <f t="shared" si="58"/>
        <v>85216</v>
      </c>
      <c r="X1175" s="705">
        <f t="shared" si="59"/>
        <v>120531</v>
      </c>
    </row>
    <row r="1176" spans="2:24">
      <c r="B1176" t="s">
        <v>541</v>
      </c>
      <c r="C1176" t="s">
        <v>118</v>
      </c>
      <c r="D1176" t="s">
        <v>665</v>
      </c>
      <c r="E1176" t="s">
        <v>665</v>
      </c>
      <c r="F1176" s="705">
        <v>108</v>
      </c>
      <c r="G1176" s="705">
        <v>11756</v>
      </c>
      <c r="H1176" s="705">
        <v>29884</v>
      </c>
      <c r="I1176" s="705">
        <v>1946840</v>
      </c>
      <c r="J1176" s="705">
        <v>1769855</v>
      </c>
      <c r="K1176" s="705">
        <v>66</v>
      </c>
      <c r="L1176" s="705">
        <v>313856</v>
      </c>
      <c r="M1176" s="705">
        <v>253982</v>
      </c>
      <c r="N1176" s="705">
        <v>189552</v>
      </c>
      <c r="O1176" s="705">
        <v>70205</v>
      </c>
      <c r="P1176" s="705">
        <v>46551</v>
      </c>
      <c r="Q1176" s="705">
        <v>17241</v>
      </c>
      <c r="R1176" s="705">
        <v>544056</v>
      </c>
      <c r="S1176" s="705">
        <v>494596</v>
      </c>
      <c r="T1176" s="705">
        <v>237892</v>
      </c>
      <c r="U1176" s="705">
        <v>88108</v>
      </c>
      <c r="V1176" s="705">
        <v>2693987</v>
      </c>
      <c r="W1176" s="705">
        <f t="shared" si="58"/>
        <v>2693987</v>
      </c>
      <c r="X1176" s="705">
        <f t="shared" si="59"/>
        <v>3278747</v>
      </c>
    </row>
    <row r="1177" spans="2:24">
      <c r="B1177" t="s">
        <v>541</v>
      </c>
      <c r="C1177" t="s">
        <v>118</v>
      </c>
      <c r="D1177" t="s">
        <v>673</v>
      </c>
      <c r="E1177" t="s">
        <v>228</v>
      </c>
      <c r="F1177" s="705">
        <v>2</v>
      </c>
      <c r="G1177" s="705">
        <v>143</v>
      </c>
      <c r="H1177" s="705">
        <v>480</v>
      </c>
      <c r="I1177" s="705">
        <v>18930</v>
      </c>
      <c r="J1177" s="705">
        <v>17209</v>
      </c>
      <c r="K1177" s="705">
        <v>65</v>
      </c>
      <c r="L1177" s="705">
        <v>2036</v>
      </c>
      <c r="M1177" s="705">
        <v>754</v>
      </c>
      <c r="N1177" s="705">
        <v>2843</v>
      </c>
      <c r="O1177" s="705">
        <v>1053</v>
      </c>
      <c r="P1177" s="705">
        <v>0</v>
      </c>
      <c r="Q1177" s="705">
        <v>0</v>
      </c>
      <c r="R1177" s="705">
        <v>10610</v>
      </c>
      <c r="S1177" s="705">
        <v>3930</v>
      </c>
      <c r="T1177" s="705">
        <v>0</v>
      </c>
      <c r="U1177" s="705">
        <v>0</v>
      </c>
      <c r="V1177" s="705">
        <v>22946</v>
      </c>
      <c r="W1177" s="705">
        <f t="shared" si="58"/>
        <v>22946</v>
      </c>
      <c r="X1177" s="705">
        <f t="shared" si="59"/>
        <v>34419</v>
      </c>
    </row>
    <row r="1178" spans="2:24">
      <c r="B1178" t="s">
        <v>541</v>
      </c>
      <c r="C1178" t="s">
        <v>118</v>
      </c>
      <c r="D1178" t="s">
        <v>673</v>
      </c>
      <c r="E1178" t="s">
        <v>673</v>
      </c>
      <c r="F1178" s="705">
        <v>3</v>
      </c>
      <c r="G1178" s="705">
        <v>405</v>
      </c>
      <c r="H1178" s="705">
        <v>847</v>
      </c>
      <c r="I1178" s="705">
        <v>88743</v>
      </c>
      <c r="J1178" s="705">
        <v>80676</v>
      </c>
      <c r="K1178" s="705">
        <v>63</v>
      </c>
      <c r="L1178" s="705">
        <v>6722</v>
      </c>
      <c r="M1178" s="705">
        <v>6111</v>
      </c>
      <c r="N1178" s="705">
        <v>5312</v>
      </c>
      <c r="O1178" s="705">
        <v>1967</v>
      </c>
      <c r="P1178" s="705">
        <v>1674</v>
      </c>
      <c r="Q1178" s="705">
        <v>620</v>
      </c>
      <c r="R1178" s="705">
        <v>10403</v>
      </c>
      <c r="S1178" s="705">
        <v>9458</v>
      </c>
      <c r="T1178" s="705">
        <v>2214</v>
      </c>
      <c r="U1178" s="705">
        <v>820</v>
      </c>
      <c r="V1178" s="705">
        <v>99652</v>
      </c>
      <c r="W1178" s="705">
        <f t="shared" si="58"/>
        <v>99652</v>
      </c>
      <c r="X1178" s="705">
        <f t="shared" si="59"/>
        <v>115068</v>
      </c>
    </row>
    <row r="1179" spans="2:24">
      <c r="B1179" t="s">
        <v>541</v>
      </c>
      <c r="C1179" t="s">
        <v>118</v>
      </c>
      <c r="D1179" t="s">
        <v>585</v>
      </c>
      <c r="E1179" t="s">
        <v>228</v>
      </c>
      <c r="F1179" s="705">
        <v>1</v>
      </c>
      <c r="G1179" s="705">
        <v>85</v>
      </c>
      <c r="H1179" s="705">
        <v>252</v>
      </c>
      <c r="I1179" s="705">
        <v>11171</v>
      </c>
      <c r="J1179" s="705">
        <v>10156</v>
      </c>
      <c r="K1179" s="705">
        <v>65</v>
      </c>
      <c r="L1179" s="705">
        <v>1980</v>
      </c>
      <c r="M1179" s="705">
        <v>733</v>
      </c>
      <c r="N1179" s="705">
        <v>1494</v>
      </c>
      <c r="O1179" s="705">
        <v>553</v>
      </c>
      <c r="P1179" s="705">
        <v>351</v>
      </c>
      <c r="Q1179" s="705">
        <v>130</v>
      </c>
      <c r="R1179" s="705">
        <v>6502</v>
      </c>
      <c r="S1179" s="705">
        <v>2408</v>
      </c>
      <c r="T1179" s="705">
        <v>0</v>
      </c>
      <c r="U1179" s="705">
        <v>0</v>
      </c>
      <c r="V1179" s="705">
        <v>13981</v>
      </c>
      <c r="W1179" s="705">
        <f t="shared" si="58"/>
        <v>13980</v>
      </c>
      <c r="X1179" s="705">
        <f t="shared" si="59"/>
        <v>21498</v>
      </c>
    </row>
    <row r="1180" spans="2:24">
      <c r="B1180" t="s">
        <v>541</v>
      </c>
      <c r="C1180" t="s">
        <v>118</v>
      </c>
      <c r="D1180" t="s">
        <v>585</v>
      </c>
      <c r="E1180" t="s">
        <v>585</v>
      </c>
      <c r="F1180" s="705">
        <v>6</v>
      </c>
      <c r="G1180" s="705">
        <v>706</v>
      </c>
      <c r="H1180" s="705">
        <v>1554</v>
      </c>
      <c r="I1180" s="705">
        <v>107557</v>
      </c>
      <c r="J1180" s="705">
        <v>97779</v>
      </c>
      <c r="K1180" s="705">
        <v>68</v>
      </c>
      <c r="L1180" s="705">
        <v>21247</v>
      </c>
      <c r="M1180" s="705">
        <v>15148</v>
      </c>
      <c r="N1180" s="705">
        <v>11537</v>
      </c>
      <c r="O1180" s="705">
        <v>4273</v>
      </c>
      <c r="P1180" s="705">
        <v>2106</v>
      </c>
      <c r="Q1180" s="705">
        <v>780</v>
      </c>
      <c r="R1180" s="705">
        <v>29816</v>
      </c>
      <c r="S1180" s="705">
        <v>27105</v>
      </c>
      <c r="T1180" s="705">
        <v>6400</v>
      </c>
      <c r="U1180" s="705">
        <v>2370</v>
      </c>
      <c r="V1180" s="705">
        <v>147455</v>
      </c>
      <c r="W1180" s="705">
        <f t="shared" si="58"/>
        <v>147455</v>
      </c>
      <c r="X1180" s="705">
        <f t="shared" si="59"/>
        <v>178663</v>
      </c>
    </row>
    <row r="1181" spans="2:24">
      <c r="B1181" t="s">
        <v>541</v>
      </c>
      <c r="C1181" t="s">
        <v>118</v>
      </c>
      <c r="D1181" t="s">
        <v>668</v>
      </c>
      <c r="E1181" t="s">
        <v>668</v>
      </c>
      <c r="F1181" s="705">
        <v>1</v>
      </c>
      <c r="G1181" s="705">
        <v>136</v>
      </c>
      <c r="H1181" s="705">
        <v>242</v>
      </c>
      <c r="I1181" s="705">
        <v>18252</v>
      </c>
      <c r="J1181" s="705">
        <v>16593</v>
      </c>
      <c r="K1181" s="705">
        <v>83</v>
      </c>
      <c r="L1181" s="705">
        <v>5611</v>
      </c>
      <c r="M1181" s="705">
        <v>5101</v>
      </c>
      <c r="N1181" s="705">
        <v>2433</v>
      </c>
      <c r="O1181" s="705">
        <v>901</v>
      </c>
      <c r="P1181" s="705">
        <v>702</v>
      </c>
      <c r="Q1181" s="705">
        <v>260</v>
      </c>
      <c r="R1181" s="705">
        <v>5872</v>
      </c>
      <c r="S1181" s="705">
        <v>5338</v>
      </c>
      <c r="T1181" s="705">
        <v>0</v>
      </c>
      <c r="U1181" s="705">
        <v>0</v>
      </c>
      <c r="V1181" s="705">
        <v>28193</v>
      </c>
      <c r="W1181" s="705">
        <f t="shared" si="58"/>
        <v>28193</v>
      </c>
      <c r="X1181" s="705">
        <f t="shared" si="59"/>
        <v>32870</v>
      </c>
    </row>
    <row r="1182" spans="2:24">
      <c r="B1182" t="s">
        <v>541</v>
      </c>
      <c r="C1182" t="s">
        <v>120</v>
      </c>
      <c r="D1182" t="s">
        <v>664</v>
      </c>
      <c r="E1182" t="s">
        <v>664</v>
      </c>
      <c r="F1182" s="705">
        <v>5</v>
      </c>
      <c r="G1182" s="705">
        <v>608</v>
      </c>
      <c r="H1182" s="705">
        <v>1705</v>
      </c>
      <c r="I1182" s="705">
        <v>146616</v>
      </c>
      <c r="J1182" s="705">
        <v>133287</v>
      </c>
      <c r="K1182" s="705">
        <v>83</v>
      </c>
      <c r="L1182" s="705">
        <v>24155</v>
      </c>
      <c r="M1182" s="705">
        <v>21959</v>
      </c>
      <c r="N1182" s="705">
        <v>14392</v>
      </c>
      <c r="O1182" s="705">
        <v>5330</v>
      </c>
      <c r="P1182" s="705">
        <v>2241</v>
      </c>
      <c r="Q1182" s="705">
        <v>830</v>
      </c>
      <c r="R1182" s="705">
        <v>24559</v>
      </c>
      <c r="S1182" s="705">
        <v>22326</v>
      </c>
      <c r="T1182" s="705">
        <v>0</v>
      </c>
      <c r="U1182" s="705">
        <v>0</v>
      </c>
      <c r="V1182" s="705">
        <v>183732</v>
      </c>
      <c r="W1182" s="705">
        <f t="shared" si="58"/>
        <v>183732</v>
      </c>
      <c r="X1182" s="705">
        <f t="shared" si="59"/>
        <v>211963</v>
      </c>
    </row>
    <row r="1183" spans="2:24">
      <c r="B1183" t="s">
        <v>541</v>
      </c>
      <c r="C1183" t="s">
        <v>120</v>
      </c>
      <c r="D1183" t="s">
        <v>582</v>
      </c>
      <c r="E1183" t="s">
        <v>582</v>
      </c>
      <c r="F1183" s="705">
        <v>28</v>
      </c>
      <c r="G1183" s="705">
        <v>3649</v>
      </c>
      <c r="H1183" s="705">
        <v>9376</v>
      </c>
      <c r="I1183" s="705">
        <v>799067</v>
      </c>
      <c r="J1183" s="705">
        <v>726425</v>
      </c>
      <c r="K1183" s="705">
        <v>76</v>
      </c>
      <c r="L1183" s="705">
        <v>152187</v>
      </c>
      <c r="M1183" s="705">
        <v>138352</v>
      </c>
      <c r="N1183" s="705">
        <v>75329</v>
      </c>
      <c r="O1183" s="705">
        <v>27900</v>
      </c>
      <c r="P1183" s="705">
        <v>13784</v>
      </c>
      <c r="Q1183" s="705">
        <v>5105</v>
      </c>
      <c r="R1183" s="705">
        <v>166567</v>
      </c>
      <c r="S1183" s="705">
        <v>151425</v>
      </c>
      <c r="T1183" s="705">
        <v>23896</v>
      </c>
      <c r="U1183" s="705">
        <v>8850</v>
      </c>
      <c r="V1183" s="705">
        <v>1058056</v>
      </c>
      <c r="W1183" s="705">
        <f t="shared" si="58"/>
        <v>1058057</v>
      </c>
      <c r="X1183" s="705">
        <f t="shared" si="59"/>
        <v>1230830</v>
      </c>
    </row>
    <row r="1184" spans="2:24">
      <c r="B1184" t="s">
        <v>541</v>
      </c>
      <c r="C1184" t="s">
        <v>120</v>
      </c>
      <c r="D1184" t="s">
        <v>582</v>
      </c>
      <c r="E1184" t="s">
        <v>228</v>
      </c>
      <c r="F1184" s="705">
        <v>2</v>
      </c>
      <c r="G1184" s="705">
        <v>234</v>
      </c>
      <c r="H1184" s="705">
        <v>652</v>
      </c>
      <c r="I1184" s="705">
        <v>49161</v>
      </c>
      <c r="J1184" s="705">
        <v>44692</v>
      </c>
      <c r="K1184" s="705">
        <v>73</v>
      </c>
      <c r="L1184" s="705">
        <v>9260</v>
      </c>
      <c r="M1184" s="705">
        <v>8418</v>
      </c>
      <c r="N1184" s="705">
        <v>5712</v>
      </c>
      <c r="O1184" s="705">
        <v>2115</v>
      </c>
      <c r="P1184" s="705">
        <v>945</v>
      </c>
      <c r="Q1184" s="705">
        <v>350</v>
      </c>
      <c r="R1184" s="705">
        <v>11311</v>
      </c>
      <c r="S1184" s="705">
        <v>4189</v>
      </c>
      <c r="T1184" s="705">
        <v>0</v>
      </c>
      <c r="U1184" s="705">
        <v>0</v>
      </c>
      <c r="V1184" s="705">
        <v>59764</v>
      </c>
      <c r="W1184" s="705">
        <f t="shared" si="58"/>
        <v>59764</v>
      </c>
      <c r="X1184" s="705">
        <f t="shared" si="59"/>
        <v>76389</v>
      </c>
    </row>
    <row r="1185" spans="2:24">
      <c r="B1185" t="s">
        <v>541</v>
      </c>
      <c r="C1185" t="s">
        <v>120</v>
      </c>
      <c r="D1185" t="s">
        <v>228</v>
      </c>
      <c r="E1185" t="s">
        <v>228</v>
      </c>
      <c r="F1185" s="705">
        <v>210</v>
      </c>
      <c r="G1185" s="705">
        <v>23684</v>
      </c>
      <c r="H1185" s="705">
        <v>71366</v>
      </c>
      <c r="I1185" s="705">
        <v>5469663</v>
      </c>
      <c r="J1185" s="705">
        <v>2025801</v>
      </c>
      <c r="K1185" s="705">
        <v>100</v>
      </c>
      <c r="L1185" s="705">
        <v>860029</v>
      </c>
      <c r="M1185" s="705">
        <v>691157</v>
      </c>
      <c r="N1185" s="705">
        <v>525320</v>
      </c>
      <c r="O1185" s="705">
        <v>194563</v>
      </c>
      <c r="P1185" s="705">
        <v>12759</v>
      </c>
      <c r="Q1185" s="705">
        <v>4725</v>
      </c>
      <c r="R1185" s="705">
        <v>1713099</v>
      </c>
      <c r="S1185" s="705">
        <v>634481</v>
      </c>
      <c r="T1185" s="705">
        <v>0</v>
      </c>
      <c r="U1185" s="705">
        <v>0</v>
      </c>
      <c r="V1185" s="705">
        <v>3550728</v>
      </c>
      <c r="W1185" s="705">
        <f t="shared" si="58"/>
        <v>3550727</v>
      </c>
      <c r="X1185" s="705">
        <f t="shared" si="59"/>
        <v>8580870</v>
      </c>
    </row>
    <row r="1186" spans="2:24">
      <c r="B1186" t="s">
        <v>541</v>
      </c>
      <c r="C1186" t="s">
        <v>120</v>
      </c>
      <c r="D1186" t="s">
        <v>228</v>
      </c>
      <c r="E1186" t="s">
        <v>583</v>
      </c>
      <c r="F1186" s="705">
        <v>2</v>
      </c>
      <c r="G1186" s="705">
        <v>231</v>
      </c>
      <c r="H1186" s="705">
        <v>688</v>
      </c>
      <c r="I1186" s="705">
        <v>52970</v>
      </c>
      <c r="J1186" s="705">
        <v>19619</v>
      </c>
      <c r="K1186" s="705">
        <v>100</v>
      </c>
      <c r="L1186" s="705">
        <v>6873</v>
      </c>
      <c r="M1186" s="705">
        <v>6248</v>
      </c>
      <c r="N1186" s="705">
        <v>3942</v>
      </c>
      <c r="O1186" s="705">
        <v>1460</v>
      </c>
      <c r="P1186" s="705">
        <v>621</v>
      </c>
      <c r="Q1186" s="705">
        <v>230</v>
      </c>
      <c r="R1186" s="705">
        <v>12957</v>
      </c>
      <c r="S1186" s="705">
        <v>11779</v>
      </c>
      <c r="T1186" s="705">
        <v>2738</v>
      </c>
      <c r="U1186" s="705">
        <v>1014</v>
      </c>
      <c r="V1186" s="705">
        <v>40350</v>
      </c>
      <c r="W1186" s="705">
        <f t="shared" si="58"/>
        <v>40350</v>
      </c>
      <c r="X1186" s="705">
        <f t="shared" si="59"/>
        <v>80101</v>
      </c>
    </row>
    <row r="1187" spans="2:24">
      <c r="B1187" t="s">
        <v>541</v>
      </c>
      <c r="C1187" t="s">
        <v>120</v>
      </c>
      <c r="D1187" t="s">
        <v>228</v>
      </c>
      <c r="E1187" t="s">
        <v>666</v>
      </c>
      <c r="F1187" s="705">
        <v>1</v>
      </c>
      <c r="G1187" s="705">
        <v>88</v>
      </c>
      <c r="H1187" s="705">
        <v>302</v>
      </c>
      <c r="I1187" s="705">
        <v>14915</v>
      </c>
      <c r="J1187" s="705">
        <v>5524</v>
      </c>
      <c r="K1187" s="705">
        <v>100</v>
      </c>
      <c r="L1187" s="705">
        <v>1421</v>
      </c>
      <c r="M1187" s="705">
        <v>1292</v>
      </c>
      <c r="N1187" s="705">
        <v>2154</v>
      </c>
      <c r="O1187" s="705">
        <v>798</v>
      </c>
      <c r="P1187" s="705">
        <v>0</v>
      </c>
      <c r="Q1187" s="705">
        <v>0</v>
      </c>
      <c r="R1187" s="705">
        <v>5189</v>
      </c>
      <c r="S1187" s="705">
        <v>4717</v>
      </c>
      <c r="T1187" s="705">
        <v>2990</v>
      </c>
      <c r="U1187" s="705">
        <v>1108</v>
      </c>
      <c r="V1187" s="705">
        <v>13439</v>
      </c>
      <c r="W1187" s="705">
        <f t="shared" si="58"/>
        <v>13439</v>
      </c>
      <c r="X1187" s="705">
        <f t="shared" si="59"/>
        <v>26669</v>
      </c>
    </row>
    <row r="1188" spans="2:24">
      <c r="B1188" t="s">
        <v>541</v>
      </c>
      <c r="C1188" t="s">
        <v>120</v>
      </c>
      <c r="D1188" t="s">
        <v>228</v>
      </c>
      <c r="E1188" t="s">
        <v>665</v>
      </c>
      <c r="F1188" s="705">
        <v>7</v>
      </c>
      <c r="G1188" s="705">
        <v>558</v>
      </c>
      <c r="H1188" s="705">
        <v>2452</v>
      </c>
      <c r="I1188" s="705">
        <v>130322</v>
      </c>
      <c r="J1188" s="705">
        <v>48267</v>
      </c>
      <c r="K1188" s="705">
        <v>100</v>
      </c>
      <c r="L1188" s="705">
        <v>14196</v>
      </c>
      <c r="M1188" s="705">
        <v>12906</v>
      </c>
      <c r="N1188" s="705">
        <v>8989</v>
      </c>
      <c r="O1188" s="705">
        <v>3329</v>
      </c>
      <c r="P1188" s="705">
        <v>0</v>
      </c>
      <c r="Q1188" s="705">
        <v>0</v>
      </c>
      <c r="R1188" s="705">
        <v>30897</v>
      </c>
      <c r="S1188" s="705">
        <v>28088</v>
      </c>
      <c r="T1188" s="705">
        <v>11169</v>
      </c>
      <c r="U1188" s="705">
        <v>4137</v>
      </c>
      <c r="V1188" s="705">
        <v>96727</v>
      </c>
      <c r="W1188" s="705">
        <f t="shared" si="58"/>
        <v>96727</v>
      </c>
      <c r="X1188" s="705">
        <f t="shared" si="59"/>
        <v>195573</v>
      </c>
    </row>
    <row r="1189" spans="2:24">
      <c r="B1189" t="s">
        <v>541</v>
      </c>
      <c r="C1189" t="s">
        <v>120</v>
      </c>
      <c r="D1189" t="s">
        <v>228</v>
      </c>
      <c r="E1189" t="s">
        <v>673</v>
      </c>
      <c r="F1189" s="705">
        <v>1</v>
      </c>
      <c r="G1189" s="705">
        <v>78</v>
      </c>
      <c r="H1189" s="705">
        <v>330</v>
      </c>
      <c r="I1189" s="705">
        <v>13307</v>
      </c>
      <c r="J1189" s="705">
        <v>4928</v>
      </c>
      <c r="K1189" s="705">
        <v>100</v>
      </c>
      <c r="L1189" s="705">
        <v>927</v>
      </c>
      <c r="M1189" s="705">
        <v>842</v>
      </c>
      <c r="N1189" s="705">
        <v>1142</v>
      </c>
      <c r="O1189" s="705">
        <v>423</v>
      </c>
      <c r="P1189" s="705">
        <v>0</v>
      </c>
      <c r="Q1189" s="705">
        <v>0</v>
      </c>
      <c r="R1189" s="705">
        <v>10360</v>
      </c>
      <c r="S1189" s="705">
        <v>9418</v>
      </c>
      <c r="T1189" s="705">
        <v>0</v>
      </c>
      <c r="U1189" s="705">
        <v>0</v>
      </c>
      <c r="V1189" s="705">
        <v>15612</v>
      </c>
      <c r="W1189" s="705">
        <f t="shared" si="58"/>
        <v>15611</v>
      </c>
      <c r="X1189" s="705">
        <f t="shared" si="59"/>
        <v>25736</v>
      </c>
    </row>
    <row r="1190" spans="2:24">
      <c r="B1190" t="s">
        <v>541</v>
      </c>
      <c r="C1190" t="s">
        <v>120</v>
      </c>
      <c r="D1190" t="s">
        <v>583</v>
      </c>
      <c r="E1190" t="s">
        <v>228</v>
      </c>
      <c r="F1190" s="705">
        <v>12</v>
      </c>
      <c r="G1190" s="705">
        <v>1327</v>
      </c>
      <c r="H1190" s="705">
        <v>4082</v>
      </c>
      <c r="I1190" s="705">
        <v>261511</v>
      </c>
      <c r="J1190" s="705">
        <v>237737</v>
      </c>
      <c r="K1190" s="705">
        <v>76</v>
      </c>
      <c r="L1190" s="705">
        <v>47971</v>
      </c>
      <c r="M1190" s="705">
        <v>38407</v>
      </c>
      <c r="N1190" s="705">
        <v>28212</v>
      </c>
      <c r="O1190" s="705">
        <v>10449</v>
      </c>
      <c r="P1190" s="705">
        <v>7452</v>
      </c>
      <c r="Q1190" s="705">
        <v>2760</v>
      </c>
      <c r="R1190" s="705">
        <v>117264</v>
      </c>
      <c r="S1190" s="705">
        <v>43431</v>
      </c>
      <c r="T1190" s="705">
        <v>4143</v>
      </c>
      <c r="U1190" s="705">
        <v>1534</v>
      </c>
      <c r="V1190" s="705">
        <v>334319</v>
      </c>
      <c r="W1190" s="705">
        <f t="shared" si="58"/>
        <v>334318</v>
      </c>
      <c r="X1190" s="705">
        <f t="shared" si="59"/>
        <v>466553</v>
      </c>
    </row>
    <row r="1191" spans="2:24">
      <c r="B1191" t="s">
        <v>541</v>
      </c>
      <c r="C1191" t="s">
        <v>120</v>
      </c>
      <c r="D1191" t="s">
        <v>583</v>
      </c>
      <c r="E1191" t="s">
        <v>583</v>
      </c>
      <c r="F1191" s="705">
        <v>1048</v>
      </c>
      <c r="G1191" s="705">
        <v>121070</v>
      </c>
      <c r="H1191" s="705">
        <v>352922</v>
      </c>
      <c r="I1191" s="705">
        <v>25546832</v>
      </c>
      <c r="J1191" s="705">
        <v>23224393</v>
      </c>
      <c r="K1191" s="705">
        <v>75</v>
      </c>
      <c r="L1191" s="705">
        <v>5009654</v>
      </c>
      <c r="M1191" s="705">
        <v>4436422</v>
      </c>
      <c r="N1191" s="705">
        <v>2505365</v>
      </c>
      <c r="O1191" s="705">
        <v>927913</v>
      </c>
      <c r="P1191" s="705">
        <v>703489</v>
      </c>
      <c r="Q1191" s="705">
        <v>260551</v>
      </c>
      <c r="R1191" s="705">
        <v>6098239</v>
      </c>
      <c r="S1191" s="705">
        <v>5543853</v>
      </c>
      <c r="T1191" s="705">
        <v>1311741</v>
      </c>
      <c r="U1191" s="705">
        <v>485830</v>
      </c>
      <c r="V1191" s="705">
        <v>34878963</v>
      </c>
      <c r="W1191" s="705">
        <f t="shared" si="58"/>
        <v>34878962</v>
      </c>
      <c r="X1191" s="705">
        <f t="shared" si="59"/>
        <v>41175320</v>
      </c>
    </row>
    <row r="1192" spans="2:24">
      <c r="B1192" t="s">
        <v>541</v>
      </c>
      <c r="C1192" t="s">
        <v>120</v>
      </c>
      <c r="D1192" t="s">
        <v>583</v>
      </c>
      <c r="E1192" t="s">
        <v>666</v>
      </c>
      <c r="F1192" s="705">
        <v>1</v>
      </c>
      <c r="G1192" s="705">
        <v>147</v>
      </c>
      <c r="H1192" s="705">
        <v>370</v>
      </c>
      <c r="I1192" s="705">
        <v>53995</v>
      </c>
      <c r="J1192" s="705">
        <v>49086</v>
      </c>
      <c r="K1192" s="705">
        <v>55</v>
      </c>
      <c r="L1192" s="705">
        <v>0</v>
      </c>
      <c r="M1192" s="705">
        <v>0</v>
      </c>
      <c r="N1192" s="705">
        <v>4912</v>
      </c>
      <c r="O1192" s="705">
        <v>1819</v>
      </c>
      <c r="P1192" s="705">
        <v>621</v>
      </c>
      <c r="Q1192" s="705">
        <v>230</v>
      </c>
      <c r="R1192" s="705">
        <v>15095</v>
      </c>
      <c r="S1192" s="705">
        <v>13723</v>
      </c>
      <c r="T1192" s="705">
        <v>0</v>
      </c>
      <c r="U1192" s="705">
        <v>0</v>
      </c>
      <c r="V1192" s="705">
        <v>64858</v>
      </c>
      <c r="W1192" s="705">
        <f t="shared" si="58"/>
        <v>64858</v>
      </c>
      <c r="X1192" s="705">
        <f t="shared" si="59"/>
        <v>74623</v>
      </c>
    </row>
    <row r="1193" spans="2:24">
      <c r="B1193" t="s">
        <v>541</v>
      </c>
      <c r="C1193" t="s">
        <v>120</v>
      </c>
      <c r="D1193" t="s">
        <v>583</v>
      </c>
      <c r="E1193" t="s">
        <v>665</v>
      </c>
      <c r="F1193" s="705">
        <v>2</v>
      </c>
      <c r="G1193" s="705">
        <v>188</v>
      </c>
      <c r="H1193" s="705">
        <v>678</v>
      </c>
      <c r="I1193" s="705">
        <v>33781</v>
      </c>
      <c r="J1193" s="705">
        <v>30710</v>
      </c>
      <c r="K1193" s="705">
        <v>78</v>
      </c>
      <c r="L1193" s="705">
        <v>7500</v>
      </c>
      <c r="M1193" s="705">
        <v>6818</v>
      </c>
      <c r="N1193" s="705">
        <v>3760</v>
      </c>
      <c r="O1193" s="705">
        <v>1393</v>
      </c>
      <c r="P1193" s="705">
        <v>1593</v>
      </c>
      <c r="Q1193" s="705">
        <v>590</v>
      </c>
      <c r="R1193" s="705">
        <v>13868</v>
      </c>
      <c r="S1193" s="705">
        <v>12607</v>
      </c>
      <c r="T1193" s="705">
        <v>2520</v>
      </c>
      <c r="U1193" s="705">
        <v>933</v>
      </c>
      <c r="V1193" s="705">
        <v>53051</v>
      </c>
      <c r="W1193" s="705">
        <f t="shared" si="58"/>
        <v>53051</v>
      </c>
      <c r="X1193" s="705">
        <f t="shared" si="59"/>
        <v>63022</v>
      </c>
    </row>
    <row r="1194" spans="2:24">
      <c r="B1194" t="s">
        <v>541</v>
      </c>
      <c r="C1194" t="s">
        <v>120</v>
      </c>
      <c r="D1194" t="s">
        <v>666</v>
      </c>
      <c r="E1194" t="s">
        <v>666</v>
      </c>
      <c r="F1194" s="705">
        <v>8</v>
      </c>
      <c r="G1194" s="705">
        <v>789</v>
      </c>
      <c r="H1194" s="705">
        <v>2789</v>
      </c>
      <c r="I1194" s="705">
        <v>187279</v>
      </c>
      <c r="J1194" s="705">
        <v>170253</v>
      </c>
      <c r="K1194" s="705">
        <v>60</v>
      </c>
      <c r="L1194" s="705">
        <v>20953</v>
      </c>
      <c r="M1194" s="705">
        <v>19048</v>
      </c>
      <c r="N1194" s="705">
        <v>17068</v>
      </c>
      <c r="O1194" s="705">
        <v>6322</v>
      </c>
      <c r="P1194" s="705">
        <v>2808</v>
      </c>
      <c r="Q1194" s="705">
        <v>1040</v>
      </c>
      <c r="R1194" s="705">
        <v>44602</v>
      </c>
      <c r="S1194" s="705">
        <v>40548</v>
      </c>
      <c r="T1194" s="705">
        <v>15430</v>
      </c>
      <c r="U1194" s="705">
        <v>5715</v>
      </c>
      <c r="V1194" s="705">
        <v>242925</v>
      </c>
      <c r="W1194" s="705">
        <f t="shared" si="58"/>
        <v>242926</v>
      </c>
      <c r="X1194" s="705">
        <f t="shared" si="59"/>
        <v>288140</v>
      </c>
    </row>
    <row r="1195" spans="2:24">
      <c r="B1195" t="s">
        <v>541</v>
      </c>
      <c r="C1195" t="s">
        <v>120</v>
      </c>
      <c r="D1195" t="s">
        <v>584</v>
      </c>
      <c r="E1195" t="s">
        <v>584</v>
      </c>
      <c r="F1195" s="705">
        <v>1</v>
      </c>
      <c r="G1195" s="705">
        <v>112</v>
      </c>
      <c r="H1195" s="705">
        <v>335</v>
      </c>
      <c r="I1195" s="705">
        <v>26287</v>
      </c>
      <c r="J1195" s="705">
        <v>23897</v>
      </c>
      <c r="K1195" s="705">
        <v>90</v>
      </c>
      <c r="L1195" s="705">
        <v>4396</v>
      </c>
      <c r="M1195" s="705">
        <v>3996</v>
      </c>
      <c r="N1195" s="705">
        <v>1882</v>
      </c>
      <c r="O1195" s="705">
        <v>697</v>
      </c>
      <c r="P1195" s="705">
        <v>473</v>
      </c>
      <c r="Q1195" s="705">
        <v>175</v>
      </c>
      <c r="R1195" s="705">
        <v>4449</v>
      </c>
      <c r="S1195" s="705">
        <v>4045</v>
      </c>
      <c r="T1195" s="705">
        <v>0</v>
      </c>
      <c r="U1195" s="705">
        <v>0</v>
      </c>
      <c r="V1195" s="705">
        <v>32810</v>
      </c>
      <c r="W1195" s="705">
        <f t="shared" si="58"/>
        <v>32810</v>
      </c>
      <c r="X1195" s="705">
        <f t="shared" si="59"/>
        <v>37487</v>
      </c>
    </row>
    <row r="1196" spans="2:24">
      <c r="B1196" t="s">
        <v>541</v>
      </c>
      <c r="C1196" t="s">
        <v>120</v>
      </c>
      <c r="D1196" t="s">
        <v>669</v>
      </c>
      <c r="E1196" t="s">
        <v>669</v>
      </c>
      <c r="F1196" s="705">
        <v>6</v>
      </c>
      <c r="G1196" s="705">
        <v>679</v>
      </c>
      <c r="H1196" s="705">
        <v>2004</v>
      </c>
      <c r="I1196" s="705">
        <v>139234</v>
      </c>
      <c r="J1196" s="705">
        <v>116028</v>
      </c>
      <c r="K1196" s="705">
        <v>64</v>
      </c>
      <c r="L1196" s="705">
        <v>20725</v>
      </c>
      <c r="M1196" s="705">
        <v>17445</v>
      </c>
      <c r="N1196" s="705">
        <v>12775</v>
      </c>
      <c r="O1196" s="705">
        <v>4731</v>
      </c>
      <c r="P1196" s="705">
        <v>3078</v>
      </c>
      <c r="Q1196" s="705">
        <v>1140</v>
      </c>
      <c r="R1196" s="705">
        <v>34831</v>
      </c>
      <c r="S1196" s="705">
        <v>29026</v>
      </c>
      <c r="T1196" s="705">
        <v>17559</v>
      </c>
      <c r="U1196" s="705">
        <v>6503</v>
      </c>
      <c r="V1196" s="705">
        <v>174874</v>
      </c>
      <c r="W1196" s="705">
        <f t="shared" si="58"/>
        <v>174873</v>
      </c>
      <c r="X1196" s="705">
        <f t="shared" si="59"/>
        <v>228202</v>
      </c>
    </row>
    <row r="1197" spans="2:24">
      <c r="B1197" t="s">
        <v>541</v>
      </c>
      <c r="C1197" t="s">
        <v>120</v>
      </c>
      <c r="D1197" t="s">
        <v>667</v>
      </c>
      <c r="E1197" t="s">
        <v>667</v>
      </c>
      <c r="F1197" s="705">
        <v>2</v>
      </c>
      <c r="G1197" s="705">
        <v>143</v>
      </c>
      <c r="H1197" s="705">
        <v>706</v>
      </c>
      <c r="I1197" s="705">
        <v>28477</v>
      </c>
      <c r="J1197" s="705">
        <v>25888</v>
      </c>
      <c r="K1197" s="705">
        <v>63</v>
      </c>
      <c r="L1197" s="705">
        <v>6605</v>
      </c>
      <c r="M1197" s="705">
        <v>6005</v>
      </c>
      <c r="N1197" s="705">
        <v>3492</v>
      </c>
      <c r="O1197" s="705">
        <v>1293</v>
      </c>
      <c r="P1197" s="705">
        <v>702</v>
      </c>
      <c r="Q1197" s="705">
        <v>260</v>
      </c>
      <c r="R1197" s="705">
        <v>7045</v>
      </c>
      <c r="S1197" s="705">
        <v>6405</v>
      </c>
      <c r="T1197" s="705">
        <v>4238</v>
      </c>
      <c r="U1197" s="705">
        <v>1570</v>
      </c>
      <c r="V1197" s="705">
        <v>41420</v>
      </c>
      <c r="W1197" s="705">
        <f t="shared" si="58"/>
        <v>41421</v>
      </c>
      <c r="X1197" s="705">
        <f t="shared" si="59"/>
        <v>50559</v>
      </c>
    </row>
    <row r="1198" spans="2:24">
      <c r="B1198" t="s">
        <v>541</v>
      </c>
      <c r="C1198" t="s">
        <v>120</v>
      </c>
      <c r="D1198" t="s">
        <v>671</v>
      </c>
      <c r="E1198" t="s">
        <v>671</v>
      </c>
      <c r="F1198" s="705">
        <v>3</v>
      </c>
      <c r="G1198" s="705">
        <v>274</v>
      </c>
      <c r="H1198" s="705">
        <v>1036</v>
      </c>
      <c r="I1198" s="705">
        <v>53650</v>
      </c>
      <c r="J1198" s="705">
        <v>48773</v>
      </c>
      <c r="K1198" s="705">
        <v>58</v>
      </c>
      <c r="L1198" s="705">
        <v>8267</v>
      </c>
      <c r="M1198" s="705">
        <v>6549</v>
      </c>
      <c r="N1198" s="705">
        <v>5714</v>
      </c>
      <c r="O1198" s="705">
        <v>2116</v>
      </c>
      <c r="P1198" s="705">
        <v>1053</v>
      </c>
      <c r="Q1198" s="705">
        <v>390</v>
      </c>
      <c r="R1198" s="705">
        <v>18593</v>
      </c>
      <c r="S1198" s="705">
        <v>16903</v>
      </c>
      <c r="T1198" s="705">
        <v>5948</v>
      </c>
      <c r="U1198" s="705">
        <v>2203</v>
      </c>
      <c r="V1198" s="705">
        <v>76935</v>
      </c>
      <c r="W1198" s="705">
        <f t="shared" si="58"/>
        <v>76934</v>
      </c>
      <c r="X1198" s="705">
        <f t="shared" si="59"/>
        <v>93225</v>
      </c>
    </row>
    <row r="1199" spans="2:24">
      <c r="B1199" t="s">
        <v>541</v>
      </c>
      <c r="C1199" t="s">
        <v>120</v>
      </c>
      <c r="D1199" t="s">
        <v>665</v>
      </c>
      <c r="E1199" t="s">
        <v>664</v>
      </c>
      <c r="F1199" s="705">
        <v>1</v>
      </c>
      <c r="G1199" s="705">
        <v>65</v>
      </c>
      <c r="H1199" s="705">
        <v>344</v>
      </c>
      <c r="I1199" s="705">
        <v>15292</v>
      </c>
      <c r="J1199" s="705">
        <v>13901</v>
      </c>
      <c r="K1199" s="705">
        <v>60</v>
      </c>
      <c r="L1199" s="705">
        <v>2502</v>
      </c>
      <c r="M1199" s="705">
        <v>927</v>
      </c>
      <c r="N1199" s="705">
        <v>1578</v>
      </c>
      <c r="O1199" s="705">
        <v>584</v>
      </c>
      <c r="P1199" s="705">
        <v>0</v>
      </c>
      <c r="Q1199" s="705">
        <v>0</v>
      </c>
      <c r="R1199" s="705">
        <v>2871</v>
      </c>
      <c r="S1199" s="705">
        <v>2610</v>
      </c>
      <c r="T1199" s="705">
        <v>0</v>
      </c>
      <c r="U1199" s="705">
        <v>0</v>
      </c>
      <c r="V1199" s="705">
        <v>18022</v>
      </c>
      <c r="W1199" s="705">
        <f t="shared" si="58"/>
        <v>18022</v>
      </c>
      <c r="X1199" s="705">
        <f t="shared" si="59"/>
        <v>22243</v>
      </c>
    </row>
    <row r="1200" spans="2:24">
      <c r="B1200" t="s">
        <v>541</v>
      </c>
      <c r="C1200" t="s">
        <v>120</v>
      </c>
      <c r="D1200" t="s">
        <v>665</v>
      </c>
      <c r="E1200" t="s">
        <v>228</v>
      </c>
      <c r="F1200" s="705">
        <v>12</v>
      </c>
      <c r="G1200" s="705">
        <v>1285</v>
      </c>
      <c r="H1200" s="705">
        <v>4164</v>
      </c>
      <c r="I1200" s="705">
        <v>278098</v>
      </c>
      <c r="J1200" s="705">
        <v>252817</v>
      </c>
      <c r="K1200" s="705">
        <v>55</v>
      </c>
      <c r="L1200" s="705">
        <v>39296</v>
      </c>
      <c r="M1200" s="705">
        <v>19677</v>
      </c>
      <c r="N1200" s="705">
        <v>24552</v>
      </c>
      <c r="O1200" s="705">
        <v>9093</v>
      </c>
      <c r="P1200" s="705">
        <v>702</v>
      </c>
      <c r="Q1200" s="705">
        <v>260</v>
      </c>
      <c r="R1200" s="705">
        <v>97490</v>
      </c>
      <c r="S1200" s="705">
        <v>36107</v>
      </c>
      <c r="T1200" s="705">
        <v>0</v>
      </c>
      <c r="U1200" s="705">
        <v>0</v>
      </c>
      <c r="V1200" s="705">
        <v>317954</v>
      </c>
      <c r="W1200" s="705">
        <f t="shared" si="58"/>
        <v>317954</v>
      </c>
      <c r="X1200" s="705">
        <f t="shared" si="59"/>
        <v>440138</v>
      </c>
    </row>
    <row r="1201" spans="2:24">
      <c r="B1201" t="s">
        <v>541</v>
      </c>
      <c r="C1201" t="s">
        <v>120</v>
      </c>
      <c r="D1201" t="s">
        <v>665</v>
      </c>
      <c r="E1201" t="s">
        <v>583</v>
      </c>
      <c r="F1201" s="705">
        <v>1</v>
      </c>
      <c r="G1201" s="705">
        <v>141</v>
      </c>
      <c r="H1201" s="705">
        <v>352</v>
      </c>
      <c r="I1201" s="705">
        <v>34550</v>
      </c>
      <c r="J1201" s="705">
        <v>31409</v>
      </c>
      <c r="K1201" s="705">
        <v>65</v>
      </c>
      <c r="L1201" s="705">
        <v>3954</v>
      </c>
      <c r="M1201" s="705">
        <v>3595</v>
      </c>
      <c r="N1201" s="705">
        <v>1712</v>
      </c>
      <c r="O1201" s="705">
        <v>634</v>
      </c>
      <c r="P1201" s="705">
        <v>972</v>
      </c>
      <c r="Q1201" s="705">
        <v>360</v>
      </c>
      <c r="R1201" s="705">
        <v>5360</v>
      </c>
      <c r="S1201" s="705">
        <v>4872</v>
      </c>
      <c r="T1201" s="705">
        <v>2914</v>
      </c>
      <c r="U1201" s="705">
        <v>1079</v>
      </c>
      <c r="V1201" s="705">
        <v>41950</v>
      </c>
      <c r="W1201" s="705">
        <f t="shared" si="58"/>
        <v>41949</v>
      </c>
      <c r="X1201" s="705">
        <f t="shared" si="59"/>
        <v>49462</v>
      </c>
    </row>
    <row r="1202" spans="2:24">
      <c r="B1202" t="s">
        <v>541</v>
      </c>
      <c r="C1202" t="s">
        <v>120</v>
      </c>
      <c r="D1202" t="s">
        <v>665</v>
      </c>
      <c r="E1202" t="s">
        <v>665</v>
      </c>
      <c r="F1202" s="705">
        <v>208</v>
      </c>
      <c r="G1202" s="705">
        <v>19338</v>
      </c>
      <c r="H1202" s="705">
        <v>70828</v>
      </c>
      <c r="I1202" s="705">
        <v>4014400</v>
      </c>
      <c r="J1202" s="705">
        <v>3649455</v>
      </c>
      <c r="K1202" s="705">
        <v>61</v>
      </c>
      <c r="L1202" s="705">
        <v>693766</v>
      </c>
      <c r="M1202" s="705">
        <v>578784</v>
      </c>
      <c r="N1202" s="705">
        <v>334015</v>
      </c>
      <c r="O1202" s="705">
        <v>123709</v>
      </c>
      <c r="P1202" s="705">
        <v>85691</v>
      </c>
      <c r="Q1202" s="705">
        <v>31737</v>
      </c>
      <c r="R1202" s="705">
        <v>1089303</v>
      </c>
      <c r="S1202" s="705">
        <v>990275</v>
      </c>
      <c r="T1202" s="705">
        <v>457485</v>
      </c>
      <c r="U1202" s="705">
        <v>169439</v>
      </c>
      <c r="V1202" s="705">
        <v>5543400</v>
      </c>
      <c r="W1202" s="705">
        <f t="shared" si="58"/>
        <v>5543399</v>
      </c>
      <c r="X1202" s="705">
        <f t="shared" si="59"/>
        <v>6674660</v>
      </c>
    </row>
    <row r="1203" spans="2:24">
      <c r="B1203" t="s">
        <v>541</v>
      </c>
      <c r="C1203" t="s">
        <v>120</v>
      </c>
      <c r="D1203" t="s">
        <v>673</v>
      </c>
      <c r="E1203" t="s">
        <v>228</v>
      </c>
      <c r="F1203" s="705">
        <v>1</v>
      </c>
      <c r="G1203" s="705">
        <v>30</v>
      </c>
      <c r="H1203" s="705">
        <v>309</v>
      </c>
      <c r="I1203" s="705">
        <v>6676</v>
      </c>
      <c r="J1203" s="705">
        <v>6069</v>
      </c>
      <c r="K1203" s="705">
        <v>60</v>
      </c>
      <c r="L1203" s="705">
        <v>0</v>
      </c>
      <c r="M1203" s="705">
        <v>0</v>
      </c>
      <c r="N1203" s="705">
        <v>366</v>
      </c>
      <c r="O1203" s="705">
        <v>136</v>
      </c>
      <c r="P1203" s="705">
        <v>0</v>
      </c>
      <c r="Q1203" s="705">
        <v>0</v>
      </c>
      <c r="R1203" s="705">
        <v>2234</v>
      </c>
      <c r="S1203" s="705">
        <v>827</v>
      </c>
      <c r="T1203" s="705">
        <v>0</v>
      </c>
      <c r="U1203" s="705">
        <v>0</v>
      </c>
      <c r="V1203" s="705">
        <v>7032</v>
      </c>
      <c r="W1203" s="705">
        <f t="shared" si="58"/>
        <v>7032</v>
      </c>
      <c r="X1203" s="705">
        <f t="shared" si="59"/>
        <v>9276</v>
      </c>
    </row>
    <row r="1204" spans="2:24">
      <c r="B1204" t="s">
        <v>541</v>
      </c>
      <c r="C1204" t="s">
        <v>120</v>
      </c>
      <c r="D1204" t="s">
        <v>673</v>
      </c>
      <c r="E1204" t="s">
        <v>673</v>
      </c>
      <c r="F1204" s="705">
        <v>3</v>
      </c>
      <c r="G1204" s="705">
        <v>222</v>
      </c>
      <c r="H1204" s="705">
        <v>1013</v>
      </c>
      <c r="I1204" s="705">
        <v>40256</v>
      </c>
      <c r="J1204" s="705">
        <v>36596</v>
      </c>
      <c r="K1204" s="705">
        <v>69</v>
      </c>
      <c r="L1204" s="705">
        <v>10261</v>
      </c>
      <c r="M1204" s="705">
        <v>9328</v>
      </c>
      <c r="N1204" s="705">
        <v>4126</v>
      </c>
      <c r="O1204" s="705">
        <v>1528</v>
      </c>
      <c r="P1204" s="705">
        <v>1053</v>
      </c>
      <c r="Q1204" s="705">
        <v>390</v>
      </c>
      <c r="R1204" s="705">
        <v>14469</v>
      </c>
      <c r="S1204" s="705">
        <v>13154</v>
      </c>
      <c r="T1204" s="705">
        <v>4807</v>
      </c>
      <c r="U1204" s="705">
        <v>1780</v>
      </c>
      <c r="V1204" s="705">
        <v>62776</v>
      </c>
      <c r="W1204" s="705">
        <f t="shared" si="58"/>
        <v>62776</v>
      </c>
      <c r="X1204" s="705">
        <f t="shared" si="59"/>
        <v>74972</v>
      </c>
    </row>
    <row r="1205" spans="2:24">
      <c r="B1205" t="s">
        <v>541</v>
      </c>
      <c r="C1205" t="s">
        <v>122</v>
      </c>
      <c r="D1205" t="s">
        <v>664</v>
      </c>
      <c r="E1205" t="s">
        <v>664</v>
      </c>
      <c r="F1205" s="705">
        <v>3</v>
      </c>
      <c r="G1205" s="705">
        <v>309</v>
      </c>
      <c r="H1205" s="705">
        <v>1240</v>
      </c>
      <c r="I1205" s="705">
        <v>78565</v>
      </c>
      <c r="J1205" s="705">
        <v>71423</v>
      </c>
      <c r="K1205" s="705">
        <v>76</v>
      </c>
      <c r="L1205" s="705">
        <v>23230</v>
      </c>
      <c r="M1205" s="705">
        <v>13250</v>
      </c>
      <c r="N1205" s="705">
        <v>7328</v>
      </c>
      <c r="O1205" s="705">
        <v>2714</v>
      </c>
      <c r="P1205" s="705">
        <v>1053</v>
      </c>
      <c r="Q1205" s="705">
        <v>390</v>
      </c>
      <c r="R1205" s="705">
        <v>15457</v>
      </c>
      <c r="S1205" s="705">
        <v>14052</v>
      </c>
      <c r="T1205" s="705">
        <v>4006</v>
      </c>
      <c r="U1205" s="705">
        <v>1484</v>
      </c>
      <c r="V1205" s="705">
        <v>103312</v>
      </c>
      <c r="W1205" s="705">
        <f t="shared" si="58"/>
        <v>103313</v>
      </c>
      <c r="X1205" s="705">
        <f t="shared" si="59"/>
        <v>129639</v>
      </c>
    </row>
    <row r="1206" spans="2:24">
      <c r="B1206" t="s">
        <v>541</v>
      </c>
      <c r="C1206" t="s">
        <v>122</v>
      </c>
      <c r="D1206" t="s">
        <v>582</v>
      </c>
      <c r="E1206" t="s">
        <v>582</v>
      </c>
      <c r="F1206" s="705">
        <v>10</v>
      </c>
      <c r="G1206" s="705">
        <v>1130</v>
      </c>
      <c r="H1206" s="705">
        <v>4149</v>
      </c>
      <c r="I1206" s="705">
        <v>307801</v>
      </c>
      <c r="J1206" s="705">
        <v>279819</v>
      </c>
      <c r="K1206" s="705">
        <v>81</v>
      </c>
      <c r="L1206" s="705">
        <v>72877</v>
      </c>
      <c r="M1206" s="705">
        <v>59388</v>
      </c>
      <c r="N1206" s="705">
        <v>24208</v>
      </c>
      <c r="O1206" s="705">
        <v>8966</v>
      </c>
      <c r="P1206" s="705">
        <v>6102</v>
      </c>
      <c r="Q1206" s="705">
        <v>2260</v>
      </c>
      <c r="R1206" s="705">
        <v>48749</v>
      </c>
      <c r="S1206" s="705">
        <v>44317</v>
      </c>
      <c r="T1206" s="705">
        <v>10147</v>
      </c>
      <c r="U1206" s="705">
        <v>3758</v>
      </c>
      <c r="V1206" s="705">
        <v>398509</v>
      </c>
      <c r="W1206" s="705">
        <f t="shared" si="58"/>
        <v>398508</v>
      </c>
      <c r="X1206" s="705">
        <f t="shared" si="59"/>
        <v>469884</v>
      </c>
    </row>
    <row r="1207" spans="2:24">
      <c r="B1207" t="s">
        <v>541</v>
      </c>
      <c r="C1207" t="s">
        <v>122</v>
      </c>
      <c r="D1207" t="s">
        <v>582</v>
      </c>
      <c r="E1207" t="s">
        <v>228</v>
      </c>
      <c r="F1207" s="705">
        <v>1</v>
      </c>
      <c r="G1207" s="705">
        <v>89</v>
      </c>
      <c r="H1207" s="705">
        <v>429</v>
      </c>
      <c r="I1207" s="705">
        <v>24711</v>
      </c>
      <c r="J1207" s="705">
        <v>22465</v>
      </c>
      <c r="K1207" s="705">
        <v>82</v>
      </c>
      <c r="L1207" s="705">
        <v>4104</v>
      </c>
      <c r="M1207" s="705">
        <v>3730</v>
      </c>
      <c r="N1207" s="705">
        <v>1193</v>
      </c>
      <c r="O1207" s="705">
        <v>442</v>
      </c>
      <c r="P1207" s="705">
        <v>473</v>
      </c>
      <c r="Q1207" s="705">
        <v>175</v>
      </c>
      <c r="R1207" s="705">
        <v>7736</v>
      </c>
      <c r="S1207" s="705">
        <v>2865</v>
      </c>
      <c r="T1207" s="705">
        <v>0</v>
      </c>
      <c r="U1207" s="705">
        <v>0</v>
      </c>
      <c r="V1207" s="705">
        <v>29677</v>
      </c>
      <c r="W1207" s="705">
        <f t="shared" si="58"/>
        <v>29677</v>
      </c>
      <c r="X1207" s="705">
        <f t="shared" si="59"/>
        <v>38217</v>
      </c>
    </row>
    <row r="1208" spans="2:24">
      <c r="B1208" t="s">
        <v>541</v>
      </c>
      <c r="C1208" t="s">
        <v>122</v>
      </c>
      <c r="D1208" t="s">
        <v>228</v>
      </c>
      <c r="E1208" t="s">
        <v>228</v>
      </c>
      <c r="F1208" s="705">
        <v>104</v>
      </c>
      <c r="G1208" s="705">
        <v>9416</v>
      </c>
      <c r="H1208" s="705">
        <v>43116</v>
      </c>
      <c r="I1208" s="705">
        <v>2650296</v>
      </c>
      <c r="J1208" s="705">
        <v>981591</v>
      </c>
      <c r="K1208" s="705">
        <v>100</v>
      </c>
      <c r="L1208" s="705">
        <v>414204</v>
      </c>
      <c r="M1208" s="705">
        <v>310525</v>
      </c>
      <c r="N1208" s="705">
        <v>205026</v>
      </c>
      <c r="O1208" s="705">
        <v>75936</v>
      </c>
      <c r="P1208" s="705">
        <v>3861</v>
      </c>
      <c r="Q1208" s="705">
        <v>1430</v>
      </c>
      <c r="R1208" s="705">
        <v>790388</v>
      </c>
      <c r="S1208" s="705">
        <v>292736</v>
      </c>
      <c r="T1208" s="705">
        <v>0</v>
      </c>
      <c r="U1208" s="705">
        <v>0</v>
      </c>
      <c r="V1208" s="705">
        <v>1662219</v>
      </c>
      <c r="W1208" s="705">
        <f t="shared" si="58"/>
        <v>1662218</v>
      </c>
      <c r="X1208" s="705">
        <f t="shared" si="59"/>
        <v>4063775</v>
      </c>
    </row>
    <row r="1209" spans="2:24">
      <c r="B1209" t="s">
        <v>541</v>
      </c>
      <c r="C1209" t="s">
        <v>122</v>
      </c>
      <c r="D1209" t="s">
        <v>228</v>
      </c>
      <c r="E1209" t="s">
        <v>583</v>
      </c>
      <c r="F1209" s="705">
        <v>1</v>
      </c>
      <c r="G1209" s="705">
        <v>126</v>
      </c>
      <c r="H1209" s="705">
        <v>397</v>
      </c>
      <c r="I1209" s="705">
        <v>30939</v>
      </c>
      <c r="J1209" s="705">
        <v>11459</v>
      </c>
      <c r="K1209" s="705">
        <v>100</v>
      </c>
      <c r="L1209" s="705">
        <v>7415</v>
      </c>
      <c r="M1209" s="705">
        <v>6741</v>
      </c>
      <c r="N1209" s="705">
        <v>2888</v>
      </c>
      <c r="O1209" s="705">
        <v>1070</v>
      </c>
      <c r="P1209" s="705">
        <v>270</v>
      </c>
      <c r="Q1209" s="705">
        <v>100</v>
      </c>
      <c r="R1209" s="705">
        <v>5494</v>
      </c>
      <c r="S1209" s="705">
        <v>4995</v>
      </c>
      <c r="T1209" s="705">
        <v>3015</v>
      </c>
      <c r="U1209" s="705">
        <v>1117</v>
      </c>
      <c r="V1209" s="705">
        <v>25481</v>
      </c>
      <c r="W1209" s="705">
        <f t="shared" si="58"/>
        <v>25482</v>
      </c>
      <c r="X1209" s="705">
        <f t="shared" si="59"/>
        <v>50021</v>
      </c>
    </row>
    <row r="1210" spans="2:24">
      <c r="B1210" t="s">
        <v>541</v>
      </c>
      <c r="C1210" t="s">
        <v>122</v>
      </c>
      <c r="D1210" t="s">
        <v>228</v>
      </c>
      <c r="E1210" t="s">
        <v>666</v>
      </c>
      <c r="F1210" s="705">
        <v>2</v>
      </c>
      <c r="G1210" s="705">
        <v>237</v>
      </c>
      <c r="H1210" s="705">
        <v>833</v>
      </c>
      <c r="I1210" s="705">
        <v>68860</v>
      </c>
      <c r="J1210" s="705">
        <v>25504</v>
      </c>
      <c r="K1210" s="705">
        <v>100</v>
      </c>
      <c r="L1210" s="705">
        <v>7673</v>
      </c>
      <c r="M1210" s="705">
        <v>6975</v>
      </c>
      <c r="N1210" s="705">
        <v>4752</v>
      </c>
      <c r="O1210" s="705">
        <v>1760</v>
      </c>
      <c r="P1210" s="705">
        <v>702</v>
      </c>
      <c r="Q1210" s="705">
        <v>260</v>
      </c>
      <c r="R1210" s="705">
        <v>11203</v>
      </c>
      <c r="S1210" s="705">
        <v>10185</v>
      </c>
      <c r="T1210" s="705">
        <v>5440</v>
      </c>
      <c r="U1210" s="705">
        <v>2015</v>
      </c>
      <c r="V1210" s="705">
        <v>46698</v>
      </c>
      <c r="W1210" s="705">
        <f t="shared" si="58"/>
        <v>46699</v>
      </c>
      <c r="X1210" s="705">
        <f t="shared" si="59"/>
        <v>98630</v>
      </c>
    </row>
    <row r="1211" spans="2:24">
      <c r="B1211" t="s">
        <v>541</v>
      </c>
      <c r="C1211" t="s">
        <v>122</v>
      </c>
      <c r="D1211" t="s">
        <v>228</v>
      </c>
      <c r="E1211" t="s">
        <v>669</v>
      </c>
      <c r="F1211" s="705">
        <v>1</v>
      </c>
      <c r="G1211" s="705">
        <v>77</v>
      </c>
      <c r="H1211" s="705">
        <v>422</v>
      </c>
      <c r="I1211" s="705">
        <v>21880</v>
      </c>
      <c r="J1211" s="705">
        <v>8104</v>
      </c>
      <c r="K1211" s="705">
        <v>100</v>
      </c>
      <c r="L1211" s="705">
        <v>3740</v>
      </c>
      <c r="M1211" s="705">
        <v>3117</v>
      </c>
      <c r="N1211" s="705">
        <v>1481</v>
      </c>
      <c r="O1211" s="705">
        <v>548</v>
      </c>
      <c r="P1211" s="705">
        <v>0</v>
      </c>
      <c r="Q1211" s="705">
        <v>0</v>
      </c>
      <c r="R1211" s="705">
        <v>3849</v>
      </c>
      <c r="S1211" s="705">
        <v>3207</v>
      </c>
      <c r="T1211" s="705">
        <v>1686</v>
      </c>
      <c r="U1211" s="705">
        <v>624</v>
      </c>
      <c r="V1211" s="705">
        <v>15600</v>
      </c>
      <c r="W1211" s="705">
        <f t="shared" si="58"/>
        <v>15600</v>
      </c>
      <c r="X1211" s="705">
        <f t="shared" si="59"/>
        <v>32636</v>
      </c>
    </row>
    <row r="1212" spans="2:24">
      <c r="B1212" t="s">
        <v>541</v>
      </c>
      <c r="C1212" t="s">
        <v>122</v>
      </c>
      <c r="D1212" t="s">
        <v>228</v>
      </c>
      <c r="E1212" t="s">
        <v>665</v>
      </c>
      <c r="F1212" s="705">
        <v>1</v>
      </c>
      <c r="G1212" s="705">
        <v>76</v>
      </c>
      <c r="H1212" s="705">
        <v>449</v>
      </c>
      <c r="I1212" s="705">
        <v>17944</v>
      </c>
      <c r="J1212" s="705">
        <v>6646</v>
      </c>
      <c r="K1212" s="705">
        <v>100</v>
      </c>
      <c r="L1212" s="705">
        <v>4061</v>
      </c>
      <c r="M1212" s="705">
        <v>3692</v>
      </c>
      <c r="N1212" s="705">
        <v>1760</v>
      </c>
      <c r="O1212" s="705">
        <v>652</v>
      </c>
      <c r="P1212" s="705">
        <v>0</v>
      </c>
      <c r="Q1212" s="705">
        <v>0</v>
      </c>
      <c r="R1212" s="705">
        <v>7529</v>
      </c>
      <c r="S1212" s="705">
        <v>6844</v>
      </c>
      <c r="T1212" s="705">
        <v>3009</v>
      </c>
      <c r="U1212" s="705">
        <v>1114</v>
      </c>
      <c r="V1212" s="705">
        <v>18948</v>
      </c>
      <c r="W1212" s="705">
        <f t="shared" si="58"/>
        <v>18948</v>
      </c>
      <c r="X1212" s="705">
        <f t="shared" si="59"/>
        <v>34303</v>
      </c>
    </row>
    <row r="1213" spans="2:24">
      <c r="B1213" t="s">
        <v>541</v>
      </c>
      <c r="C1213" t="s">
        <v>122</v>
      </c>
      <c r="D1213" t="s">
        <v>583</v>
      </c>
      <c r="E1213" t="s">
        <v>664</v>
      </c>
      <c r="F1213" s="705">
        <v>1</v>
      </c>
      <c r="G1213" s="705">
        <v>139</v>
      </c>
      <c r="H1213" s="705">
        <v>422</v>
      </c>
      <c r="I1213" s="705">
        <v>37586</v>
      </c>
      <c r="J1213" s="705">
        <v>34170</v>
      </c>
      <c r="K1213" s="705">
        <v>65</v>
      </c>
      <c r="L1213" s="705">
        <v>8603</v>
      </c>
      <c r="M1213" s="705">
        <v>7821</v>
      </c>
      <c r="N1213" s="705">
        <v>3394</v>
      </c>
      <c r="O1213" s="705">
        <v>1257</v>
      </c>
      <c r="P1213" s="705">
        <v>621</v>
      </c>
      <c r="Q1213" s="705">
        <v>230</v>
      </c>
      <c r="R1213" s="705">
        <v>5520</v>
      </c>
      <c r="S1213" s="705">
        <v>5018</v>
      </c>
      <c r="T1213" s="705">
        <v>3034</v>
      </c>
      <c r="U1213" s="705">
        <v>1124</v>
      </c>
      <c r="V1213" s="705">
        <v>49620</v>
      </c>
      <c r="W1213" s="705">
        <f t="shared" si="58"/>
        <v>49620</v>
      </c>
      <c r="X1213" s="705">
        <f t="shared" si="59"/>
        <v>58758</v>
      </c>
    </row>
    <row r="1214" spans="2:24">
      <c r="B1214" t="s">
        <v>541</v>
      </c>
      <c r="C1214" t="s">
        <v>122</v>
      </c>
      <c r="D1214" t="s">
        <v>583</v>
      </c>
      <c r="E1214" t="s">
        <v>228</v>
      </c>
      <c r="F1214" s="705">
        <v>6</v>
      </c>
      <c r="G1214" s="705">
        <v>678</v>
      </c>
      <c r="H1214" s="705">
        <v>2529</v>
      </c>
      <c r="I1214" s="705">
        <v>192143</v>
      </c>
      <c r="J1214" s="705">
        <v>174676</v>
      </c>
      <c r="K1214" s="705">
        <v>71</v>
      </c>
      <c r="L1214" s="705">
        <v>18439</v>
      </c>
      <c r="M1214" s="705">
        <v>16763</v>
      </c>
      <c r="N1214" s="705">
        <v>16823</v>
      </c>
      <c r="O1214" s="705">
        <v>6231</v>
      </c>
      <c r="P1214" s="705">
        <v>3105</v>
      </c>
      <c r="Q1214" s="705">
        <v>1150</v>
      </c>
      <c r="R1214" s="705">
        <v>56426</v>
      </c>
      <c r="S1214" s="705">
        <v>20898</v>
      </c>
      <c r="T1214" s="705">
        <v>1943</v>
      </c>
      <c r="U1214" s="705">
        <v>719</v>
      </c>
      <c r="V1214" s="705">
        <v>220437</v>
      </c>
      <c r="W1214" s="705">
        <f t="shared" si="58"/>
        <v>220437</v>
      </c>
      <c r="X1214" s="705">
        <f t="shared" si="59"/>
        <v>288879</v>
      </c>
    </row>
    <row r="1215" spans="2:24">
      <c r="B1215" t="s">
        <v>541</v>
      </c>
      <c r="C1215" t="s">
        <v>122</v>
      </c>
      <c r="D1215" t="s">
        <v>583</v>
      </c>
      <c r="E1215" t="s">
        <v>583</v>
      </c>
      <c r="F1215" s="705">
        <v>412</v>
      </c>
      <c r="G1215" s="705">
        <v>45371</v>
      </c>
      <c r="H1215" s="705">
        <v>170435</v>
      </c>
      <c r="I1215" s="705">
        <v>12451735</v>
      </c>
      <c r="J1215" s="705">
        <v>11319759</v>
      </c>
      <c r="K1215" s="705">
        <v>75</v>
      </c>
      <c r="L1215" s="705">
        <v>2453848</v>
      </c>
      <c r="M1215" s="705">
        <v>2144673</v>
      </c>
      <c r="N1215" s="705">
        <v>960918</v>
      </c>
      <c r="O1215" s="705">
        <v>355896</v>
      </c>
      <c r="P1215" s="705">
        <v>272781</v>
      </c>
      <c r="Q1215" s="705">
        <v>101030</v>
      </c>
      <c r="R1215" s="705">
        <v>2334188</v>
      </c>
      <c r="S1215" s="705">
        <v>2121989</v>
      </c>
      <c r="T1215" s="705">
        <v>507854</v>
      </c>
      <c r="U1215" s="705">
        <v>188094</v>
      </c>
      <c r="V1215" s="705">
        <v>16231441</v>
      </c>
      <c r="W1215" s="705">
        <f t="shared" si="58"/>
        <v>16231441</v>
      </c>
      <c r="X1215" s="705">
        <f t="shared" si="59"/>
        <v>18981324</v>
      </c>
    </row>
    <row r="1216" spans="2:24">
      <c r="B1216" t="s">
        <v>541</v>
      </c>
      <c r="C1216" t="s">
        <v>122</v>
      </c>
      <c r="D1216" t="s">
        <v>583</v>
      </c>
      <c r="E1216" t="s">
        <v>665</v>
      </c>
      <c r="F1216" s="705">
        <v>1</v>
      </c>
      <c r="G1216" s="705">
        <v>68</v>
      </c>
      <c r="H1216" s="705">
        <v>398</v>
      </c>
      <c r="I1216" s="705">
        <v>15923</v>
      </c>
      <c r="J1216" s="705">
        <v>14476</v>
      </c>
      <c r="K1216" s="705">
        <v>65</v>
      </c>
      <c r="L1216" s="705">
        <v>2091</v>
      </c>
      <c r="M1216" s="705">
        <v>1901</v>
      </c>
      <c r="N1216" s="705">
        <v>827</v>
      </c>
      <c r="O1216" s="705">
        <v>306</v>
      </c>
      <c r="P1216" s="705">
        <v>621</v>
      </c>
      <c r="Q1216" s="705">
        <v>230</v>
      </c>
      <c r="R1216" s="705">
        <v>5179</v>
      </c>
      <c r="S1216" s="705">
        <v>4708</v>
      </c>
      <c r="T1216" s="705">
        <v>2357</v>
      </c>
      <c r="U1216" s="705">
        <v>873</v>
      </c>
      <c r="V1216" s="705">
        <v>22494</v>
      </c>
      <c r="W1216" s="705">
        <f t="shared" si="58"/>
        <v>22494</v>
      </c>
      <c r="X1216" s="705">
        <f t="shared" si="59"/>
        <v>26998</v>
      </c>
    </row>
    <row r="1217" spans="2:24">
      <c r="B1217" t="s">
        <v>541</v>
      </c>
      <c r="C1217" t="s">
        <v>122</v>
      </c>
      <c r="D1217" t="s">
        <v>666</v>
      </c>
      <c r="E1217" t="s">
        <v>228</v>
      </c>
      <c r="F1217" s="705">
        <v>1</v>
      </c>
      <c r="G1217" s="705">
        <v>67</v>
      </c>
      <c r="H1217" s="705">
        <v>431</v>
      </c>
      <c r="I1217" s="705">
        <v>19384</v>
      </c>
      <c r="J1217" s="705">
        <v>17622</v>
      </c>
      <c r="K1217" s="705">
        <v>60</v>
      </c>
      <c r="L1217" s="705">
        <v>0</v>
      </c>
      <c r="M1217" s="705">
        <v>0</v>
      </c>
      <c r="N1217" s="705">
        <v>1159</v>
      </c>
      <c r="O1217" s="705">
        <v>429</v>
      </c>
      <c r="P1217" s="705">
        <v>0</v>
      </c>
      <c r="Q1217" s="705">
        <v>0</v>
      </c>
      <c r="R1217" s="705">
        <v>8165</v>
      </c>
      <c r="S1217" s="705">
        <v>3024</v>
      </c>
      <c r="T1217" s="705">
        <v>0</v>
      </c>
      <c r="U1217" s="705">
        <v>0</v>
      </c>
      <c r="V1217" s="705">
        <v>21075</v>
      </c>
      <c r="W1217" s="705">
        <f t="shared" si="58"/>
        <v>21075</v>
      </c>
      <c r="X1217" s="705">
        <f t="shared" si="59"/>
        <v>28708</v>
      </c>
    </row>
    <row r="1218" spans="2:24">
      <c r="B1218" t="s">
        <v>541</v>
      </c>
      <c r="C1218" t="s">
        <v>122</v>
      </c>
      <c r="D1218" t="s">
        <v>666</v>
      </c>
      <c r="E1218" t="s">
        <v>666</v>
      </c>
      <c r="F1218" s="705">
        <v>7</v>
      </c>
      <c r="G1218" s="705">
        <v>630</v>
      </c>
      <c r="H1218" s="705">
        <v>2879</v>
      </c>
      <c r="I1218" s="705">
        <v>161039</v>
      </c>
      <c r="J1218" s="705">
        <v>146399</v>
      </c>
      <c r="K1218" s="705">
        <v>59</v>
      </c>
      <c r="L1218" s="705">
        <v>24552</v>
      </c>
      <c r="M1218" s="705">
        <v>19875</v>
      </c>
      <c r="N1218" s="705">
        <v>13383</v>
      </c>
      <c r="O1218" s="705">
        <v>4956</v>
      </c>
      <c r="P1218" s="705">
        <v>2808</v>
      </c>
      <c r="Q1218" s="705">
        <v>1040</v>
      </c>
      <c r="R1218" s="705">
        <v>45387</v>
      </c>
      <c r="S1218" s="705">
        <v>41261</v>
      </c>
      <c r="T1218" s="705">
        <v>12075</v>
      </c>
      <c r="U1218" s="705">
        <v>4472</v>
      </c>
      <c r="V1218" s="705">
        <v>218003</v>
      </c>
      <c r="W1218" s="705">
        <f t="shared" si="58"/>
        <v>218003</v>
      </c>
      <c r="X1218" s="705">
        <f t="shared" si="59"/>
        <v>259244</v>
      </c>
    </row>
    <row r="1219" spans="2:24">
      <c r="B1219" t="s">
        <v>541</v>
      </c>
      <c r="C1219" t="s">
        <v>122</v>
      </c>
      <c r="D1219" t="s">
        <v>669</v>
      </c>
      <c r="E1219" t="s">
        <v>669</v>
      </c>
      <c r="F1219" s="705">
        <v>2</v>
      </c>
      <c r="G1219" s="705">
        <v>166</v>
      </c>
      <c r="H1219" s="705">
        <v>776</v>
      </c>
      <c r="I1219" s="705">
        <v>43247</v>
      </c>
      <c r="J1219" s="705">
        <v>36039</v>
      </c>
      <c r="K1219" s="705">
        <v>65</v>
      </c>
      <c r="L1219" s="705">
        <v>5371</v>
      </c>
      <c r="M1219" s="705">
        <v>4476</v>
      </c>
      <c r="N1219" s="705">
        <v>3825</v>
      </c>
      <c r="O1219" s="705">
        <v>1417</v>
      </c>
      <c r="P1219" s="705">
        <v>702</v>
      </c>
      <c r="Q1219" s="705">
        <v>260</v>
      </c>
      <c r="R1219" s="705">
        <v>7654</v>
      </c>
      <c r="S1219" s="705">
        <v>6378</v>
      </c>
      <c r="T1219" s="705">
        <v>3227</v>
      </c>
      <c r="U1219" s="705">
        <v>1195</v>
      </c>
      <c r="V1219" s="705">
        <v>49765</v>
      </c>
      <c r="W1219" s="705">
        <f t="shared" si="58"/>
        <v>49765</v>
      </c>
      <c r="X1219" s="705">
        <f t="shared" si="59"/>
        <v>64026</v>
      </c>
    </row>
    <row r="1220" spans="2:24">
      <c r="B1220" t="s">
        <v>541</v>
      </c>
      <c r="C1220" t="s">
        <v>122</v>
      </c>
      <c r="D1220" t="s">
        <v>671</v>
      </c>
      <c r="E1220" t="s">
        <v>671</v>
      </c>
      <c r="F1220" s="705">
        <v>3</v>
      </c>
      <c r="G1220" s="705">
        <v>186</v>
      </c>
      <c r="H1220" s="705">
        <v>1217</v>
      </c>
      <c r="I1220" s="705">
        <v>44052</v>
      </c>
      <c r="J1220" s="705">
        <v>40047</v>
      </c>
      <c r="K1220" s="705">
        <v>55</v>
      </c>
      <c r="L1220" s="705">
        <v>4879</v>
      </c>
      <c r="M1220" s="705">
        <v>4436</v>
      </c>
      <c r="N1220" s="705">
        <v>2790</v>
      </c>
      <c r="O1220" s="705">
        <v>1033</v>
      </c>
      <c r="P1220" s="705">
        <v>1404</v>
      </c>
      <c r="Q1220" s="705">
        <v>520</v>
      </c>
      <c r="R1220" s="705">
        <v>14784</v>
      </c>
      <c r="S1220" s="705">
        <v>13440</v>
      </c>
      <c r="T1220" s="705">
        <v>7071</v>
      </c>
      <c r="U1220" s="705">
        <v>2619</v>
      </c>
      <c r="V1220" s="705">
        <v>62095</v>
      </c>
      <c r="W1220" s="705">
        <f t="shared" si="58"/>
        <v>62095</v>
      </c>
      <c r="X1220" s="705">
        <f t="shared" si="59"/>
        <v>74980</v>
      </c>
    </row>
    <row r="1221" spans="2:24">
      <c r="B1221" t="s">
        <v>541</v>
      </c>
      <c r="C1221" t="s">
        <v>122</v>
      </c>
      <c r="D1221" t="s">
        <v>665</v>
      </c>
      <c r="E1221" t="s">
        <v>228</v>
      </c>
      <c r="F1221" s="705">
        <v>6</v>
      </c>
      <c r="G1221" s="705">
        <v>463</v>
      </c>
      <c r="H1221" s="705">
        <v>2466</v>
      </c>
      <c r="I1221" s="705">
        <v>122699</v>
      </c>
      <c r="J1221" s="705">
        <v>111545</v>
      </c>
      <c r="K1221" s="705">
        <v>61</v>
      </c>
      <c r="L1221" s="705">
        <v>21875</v>
      </c>
      <c r="M1221" s="705">
        <v>12684</v>
      </c>
      <c r="N1221" s="705">
        <v>8531</v>
      </c>
      <c r="O1221" s="705">
        <v>3160</v>
      </c>
      <c r="P1221" s="705">
        <v>702</v>
      </c>
      <c r="Q1221" s="705">
        <v>260</v>
      </c>
      <c r="R1221" s="705">
        <v>36361</v>
      </c>
      <c r="S1221" s="705">
        <v>13467</v>
      </c>
      <c r="T1221" s="705">
        <v>0</v>
      </c>
      <c r="U1221" s="705">
        <v>0</v>
      </c>
      <c r="V1221" s="705">
        <v>141116</v>
      </c>
      <c r="W1221" s="705">
        <f t="shared" si="58"/>
        <v>141116</v>
      </c>
      <c r="X1221" s="705">
        <f t="shared" si="59"/>
        <v>190168</v>
      </c>
    </row>
    <row r="1222" spans="2:24">
      <c r="B1222" t="s">
        <v>541</v>
      </c>
      <c r="C1222" t="s">
        <v>122</v>
      </c>
      <c r="D1222" t="s">
        <v>665</v>
      </c>
      <c r="E1222" t="s">
        <v>665</v>
      </c>
      <c r="F1222" s="705">
        <v>116</v>
      </c>
      <c r="G1222" s="705">
        <v>10441</v>
      </c>
      <c r="H1222" s="705">
        <v>48554</v>
      </c>
      <c r="I1222" s="705">
        <v>2745737</v>
      </c>
      <c r="J1222" s="705">
        <v>2496125</v>
      </c>
      <c r="K1222" s="705">
        <v>54</v>
      </c>
      <c r="L1222" s="705">
        <v>444944</v>
      </c>
      <c r="M1222" s="705">
        <v>370993</v>
      </c>
      <c r="N1222" s="705">
        <v>198122</v>
      </c>
      <c r="O1222" s="705">
        <v>73378</v>
      </c>
      <c r="P1222" s="705">
        <v>46278</v>
      </c>
      <c r="Q1222" s="705">
        <v>17140</v>
      </c>
      <c r="R1222" s="705">
        <v>690579</v>
      </c>
      <c r="S1222" s="705">
        <v>627799</v>
      </c>
      <c r="T1222" s="705">
        <v>261015</v>
      </c>
      <c r="U1222" s="705">
        <v>96672</v>
      </c>
      <c r="V1222" s="705">
        <v>3682107</v>
      </c>
      <c r="W1222" s="705">
        <f t="shared" si="58"/>
        <v>3682107</v>
      </c>
      <c r="X1222" s="705">
        <f t="shared" si="59"/>
        <v>4386675</v>
      </c>
    </row>
    <row r="1223" spans="2:24">
      <c r="B1223" t="s">
        <v>541</v>
      </c>
      <c r="C1223" t="s">
        <v>122</v>
      </c>
      <c r="D1223" t="s">
        <v>673</v>
      </c>
      <c r="E1223" t="s">
        <v>228</v>
      </c>
      <c r="F1223" s="705">
        <v>1</v>
      </c>
      <c r="G1223" s="705">
        <v>64</v>
      </c>
      <c r="H1223" s="705">
        <v>426</v>
      </c>
      <c r="I1223" s="705">
        <v>19483</v>
      </c>
      <c r="J1223" s="705">
        <v>17712</v>
      </c>
      <c r="K1223" s="705">
        <v>45</v>
      </c>
      <c r="L1223" s="705">
        <v>3247</v>
      </c>
      <c r="M1223" s="705">
        <v>2952</v>
      </c>
      <c r="N1223" s="705">
        <v>784</v>
      </c>
      <c r="O1223" s="705">
        <v>290</v>
      </c>
      <c r="P1223" s="705">
        <v>0</v>
      </c>
      <c r="Q1223" s="705">
        <v>0</v>
      </c>
      <c r="R1223" s="705">
        <v>3876</v>
      </c>
      <c r="S1223" s="705">
        <v>1436</v>
      </c>
      <c r="T1223" s="705">
        <v>0</v>
      </c>
      <c r="U1223" s="705">
        <v>0</v>
      </c>
      <c r="V1223" s="705">
        <v>22390</v>
      </c>
      <c r="W1223" s="705">
        <f t="shared" ref="W1223:W1286" si="60">SUM(ABS(J1223),ABS(M1223),ABS(O1223),ABS(Q1223),ABS(S1223),ABS(U1223))</f>
        <v>22390</v>
      </c>
      <c r="X1223" s="705">
        <f t="shared" ref="X1223:X1286" si="61">SUM(ABS(I1223),ABS(N1223),ABS(P1223),ABS(R1223),ABS(T1223),ABS(L1223))</f>
        <v>27390</v>
      </c>
    </row>
    <row r="1224" spans="2:24">
      <c r="B1224" t="s">
        <v>541</v>
      </c>
      <c r="C1224" t="s">
        <v>122</v>
      </c>
      <c r="D1224" t="s">
        <v>673</v>
      </c>
      <c r="E1224" t="s">
        <v>673</v>
      </c>
      <c r="F1224" s="705">
        <v>4</v>
      </c>
      <c r="G1224" s="705">
        <v>262</v>
      </c>
      <c r="H1224" s="705">
        <v>1645</v>
      </c>
      <c r="I1224" s="705">
        <v>72037</v>
      </c>
      <c r="J1224" s="705">
        <v>65489</v>
      </c>
      <c r="K1224" s="705">
        <v>57</v>
      </c>
      <c r="L1224" s="705">
        <v>4693</v>
      </c>
      <c r="M1224" s="705">
        <v>3110</v>
      </c>
      <c r="N1224" s="705">
        <v>4682</v>
      </c>
      <c r="O1224" s="705">
        <v>1734</v>
      </c>
      <c r="P1224" s="705">
        <v>1404</v>
      </c>
      <c r="Q1224" s="705">
        <v>520</v>
      </c>
      <c r="R1224" s="705">
        <v>17591</v>
      </c>
      <c r="S1224" s="705">
        <v>15992</v>
      </c>
      <c r="T1224" s="705">
        <v>7684</v>
      </c>
      <c r="U1224" s="705">
        <v>2846</v>
      </c>
      <c r="V1224" s="705">
        <v>89691</v>
      </c>
      <c r="W1224" s="705">
        <f t="shared" si="60"/>
        <v>89691</v>
      </c>
      <c r="X1224" s="705">
        <f t="shared" si="61"/>
        <v>108091</v>
      </c>
    </row>
    <row r="1225" spans="2:24">
      <c r="B1225" t="s">
        <v>541</v>
      </c>
      <c r="C1225" t="s">
        <v>122</v>
      </c>
      <c r="D1225" t="s">
        <v>585</v>
      </c>
      <c r="E1225" t="s">
        <v>585</v>
      </c>
      <c r="F1225" s="705">
        <v>1</v>
      </c>
      <c r="G1225" s="705">
        <v>234</v>
      </c>
      <c r="H1225" s="705">
        <v>430</v>
      </c>
      <c r="I1225" s="705">
        <v>69673</v>
      </c>
      <c r="J1225" s="705">
        <v>63340</v>
      </c>
      <c r="K1225" s="705">
        <v>65</v>
      </c>
      <c r="L1225" s="705">
        <v>16773</v>
      </c>
      <c r="M1225" s="705">
        <v>15248</v>
      </c>
      <c r="N1225" s="705">
        <v>4356</v>
      </c>
      <c r="O1225" s="705">
        <v>1613</v>
      </c>
      <c r="P1225" s="705">
        <v>351</v>
      </c>
      <c r="Q1225" s="705">
        <v>130</v>
      </c>
      <c r="R1225" s="705">
        <v>9305</v>
      </c>
      <c r="S1225" s="705">
        <v>8459</v>
      </c>
      <c r="T1225" s="705">
        <v>0</v>
      </c>
      <c r="U1225" s="705">
        <v>0</v>
      </c>
      <c r="V1225" s="705">
        <v>88791</v>
      </c>
      <c r="W1225" s="705">
        <f t="shared" si="60"/>
        <v>88790</v>
      </c>
      <c r="X1225" s="705">
        <f t="shared" si="61"/>
        <v>100458</v>
      </c>
    </row>
    <row r="1226" spans="2:24">
      <c r="B1226" t="s">
        <v>541</v>
      </c>
      <c r="C1226" t="s">
        <v>124</v>
      </c>
      <c r="D1226" t="s">
        <v>674</v>
      </c>
      <c r="E1226" t="s">
        <v>674</v>
      </c>
      <c r="F1226" s="705">
        <v>1</v>
      </c>
      <c r="G1226" s="705">
        <v>91</v>
      </c>
      <c r="H1226" s="705">
        <v>525</v>
      </c>
      <c r="I1226" s="705">
        <v>37817</v>
      </c>
      <c r="J1226" s="705">
        <v>34379</v>
      </c>
      <c r="K1226" s="705">
        <v>60</v>
      </c>
      <c r="L1226" s="705">
        <v>0</v>
      </c>
      <c r="M1226" s="705">
        <v>3526</v>
      </c>
      <c r="N1226" s="705">
        <v>2227</v>
      </c>
      <c r="O1226" s="705">
        <v>825</v>
      </c>
      <c r="P1226" s="705">
        <v>351</v>
      </c>
      <c r="Q1226" s="705">
        <v>130</v>
      </c>
      <c r="R1226" s="705">
        <v>4422</v>
      </c>
      <c r="S1226" s="705">
        <v>4020</v>
      </c>
      <c r="T1226" s="705">
        <v>3208</v>
      </c>
      <c r="U1226" s="705">
        <v>1188</v>
      </c>
      <c r="V1226" s="705">
        <v>44068</v>
      </c>
      <c r="W1226" s="705">
        <f t="shared" si="60"/>
        <v>44068</v>
      </c>
      <c r="X1226" s="705">
        <f t="shared" si="61"/>
        <v>48025</v>
      </c>
    </row>
    <row r="1227" spans="2:24">
      <c r="B1227" t="s">
        <v>541</v>
      </c>
      <c r="C1227" t="s">
        <v>124</v>
      </c>
      <c r="D1227" t="s">
        <v>664</v>
      </c>
      <c r="E1227" t="s">
        <v>664</v>
      </c>
      <c r="F1227" s="705">
        <v>4</v>
      </c>
      <c r="G1227" s="705">
        <v>337</v>
      </c>
      <c r="H1227" s="705">
        <v>2025</v>
      </c>
      <c r="I1227" s="705">
        <v>135137</v>
      </c>
      <c r="J1227" s="705">
        <v>122852</v>
      </c>
      <c r="K1227" s="705">
        <v>66</v>
      </c>
      <c r="L1227" s="705">
        <v>19075</v>
      </c>
      <c r="M1227" s="705">
        <v>17341</v>
      </c>
      <c r="N1227" s="705">
        <v>7857</v>
      </c>
      <c r="O1227" s="705">
        <v>2910</v>
      </c>
      <c r="P1227" s="705">
        <v>2120</v>
      </c>
      <c r="Q1227" s="705">
        <v>785</v>
      </c>
      <c r="R1227" s="705">
        <v>26083</v>
      </c>
      <c r="S1227" s="705">
        <v>23711</v>
      </c>
      <c r="T1227" s="705">
        <v>0</v>
      </c>
      <c r="U1227" s="705">
        <v>0</v>
      </c>
      <c r="V1227" s="705">
        <v>167599</v>
      </c>
      <c r="W1227" s="705">
        <f t="shared" si="60"/>
        <v>167599</v>
      </c>
      <c r="X1227" s="705">
        <f t="shared" si="61"/>
        <v>190272</v>
      </c>
    </row>
    <row r="1228" spans="2:24">
      <c r="B1228" t="s">
        <v>541</v>
      </c>
      <c r="C1228" t="s">
        <v>124</v>
      </c>
      <c r="D1228" t="s">
        <v>664</v>
      </c>
      <c r="E1228" t="s">
        <v>228</v>
      </c>
      <c r="F1228" s="705">
        <v>3</v>
      </c>
      <c r="G1228" s="705">
        <v>254</v>
      </c>
      <c r="H1228" s="705">
        <v>1578</v>
      </c>
      <c r="I1228" s="705">
        <v>86246</v>
      </c>
      <c r="J1228" s="705">
        <v>78405</v>
      </c>
      <c r="K1228" s="705">
        <v>71</v>
      </c>
      <c r="L1228" s="705">
        <v>14160</v>
      </c>
      <c r="M1228" s="705">
        <v>10931</v>
      </c>
      <c r="N1228" s="705">
        <v>4385</v>
      </c>
      <c r="O1228" s="705">
        <v>1624</v>
      </c>
      <c r="P1228" s="705">
        <v>473</v>
      </c>
      <c r="Q1228" s="705">
        <v>175</v>
      </c>
      <c r="R1228" s="705">
        <v>25676</v>
      </c>
      <c r="S1228" s="705">
        <v>9510</v>
      </c>
      <c r="T1228" s="705">
        <v>0</v>
      </c>
      <c r="U1228" s="705">
        <v>0</v>
      </c>
      <c r="V1228" s="705">
        <v>100645</v>
      </c>
      <c r="W1228" s="705">
        <f t="shared" si="60"/>
        <v>100645</v>
      </c>
      <c r="X1228" s="705">
        <f t="shared" si="61"/>
        <v>130940</v>
      </c>
    </row>
    <row r="1229" spans="2:24">
      <c r="B1229" t="s">
        <v>541</v>
      </c>
      <c r="C1229" t="s">
        <v>124</v>
      </c>
      <c r="D1229" t="s">
        <v>582</v>
      </c>
      <c r="E1229" t="s">
        <v>582</v>
      </c>
      <c r="F1229" s="705">
        <v>12</v>
      </c>
      <c r="G1229" s="705">
        <v>1110</v>
      </c>
      <c r="H1229" s="705">
        <v>7006</v>
      </c>
      <c r="I1229" s="705">
        <v>463295</v>
      </c>
      <c r="J1229" s="705">
        <v>421177</v>
      </c>
      <c r="K1229" s="705">
        <v>77</v>
      </c>
      <c r="L1229" s="705">
        <v>84221</v>
      </c>
      <c r="M1229" s="705">
        <v>73315</v>
      </c>
      <c r="N1229" s="705">
        <v>25940</v>
      </c>
      <c r="O1229" s="705">
        <v>9608</v>
      </c>
      <c r="P1229" s="705">
        <v>5778</v>
      </c>
      <c r="Q1229" s="705">
        <v>2140</v>
      </c>
      <c r="R1229" s="705">
        <v>69281</v>
      </c>
      <c r="S1229" s="705">
        <v>62983</v>
      </c>
      <c r="T1229" s="705">
        <v>4849</v>
      </c>
      <c r="U1229" s="705">
        <v>1796</v>
      </c>
      <c r="V1229" s="705">
        <v>571019</v>
      </c>
      <c r="W1229" s="705">
        <f t="shared" si="60"/>
        <v>571019</v>
      </c>
      <c r="X1229" s="705">
        <f t="shared" si="61"/>
        <v>653364</v>
      </c>
    </row>
    <row r="1230" spans="2:24">
      <c r="B1230" t="s">
        <v>541</v>
      </c>
      <c r="C1230" t="s">
        <v>124</v>
      </c>
      <c r="D1230" t="s">
        <v>582</v>
      </c>
      <c r="E1230" t="s">
        <v>228</v>
      </c>
      <c r="F1230" s="705">
        <v>1</v>
      </c>
      <c r="G1230" s="705">
        <v>210</v>
      </c>
      <c r="H1230" s="705">
        <v>527</v>
      </c>
      <c r="I1230" s="705">
        <v>75181</v>
      </c>
      <c r="J1230" s="705">
        <v>68346</v>
      </c>
      <c r="K1230" s="705">
        <v>65</v>
      </c>
      <c r="L1230" s="705">
        <v>17208</v>
      </c>
      <c r="M1230" s="705">
        <v>15644</v>
      </c>
      <c r="N1230" s="705">
        <v>4521</v>
      </c>
      <c r="O1230" s="705">
        <v>1674</v>
      </c>
      <c r="P1230" s="705">
        <v>473</v>
      </c>
      <c r="Q1230" s="705">
        <v>175</v>
      </c>
      <c r="R1230" s="705">
        <v>13099</v>
      </c>
      <c r="S1230" s="705">
        <v>4851</v>
      </c>
      <c r="T1230" s="705">
        <v>0</v>
      </c>
      <c r="U1230" s="705">
        <v>0</v>
      </c>
      <c r="V1230" s="705">
        <v>90690</v>
      </c>
      <c r="W1230" s="705">
        <f t="shared" si="60"/>
        <v>90690</v>
      </c>
      <c r="X1230" s="705">
        <f t="shared" si="61"/>
        <v>110482</v>
      </c>
    </row>
    <row r="1231" spans="2:24">
      <c r="B1231" t="s">
        <v>541</v>
      </c>
      <c r="C1231" t="s">
        <v>124</v>
      </c>
      <c r="D1231" t="s">
        <v>228</v>
      </c>
      <c r="E1231" t="s">
        <v>664</v>
      </c>
      <c r="F1231" s="705">
        <v>1</v>
      </c>
      <c r="G1231" s="705">
        <v>269</v>
      </c>
      <c r="H1231" s="705">
        <v>589</v>
      </c>
      <c r="I1231" s="705">
        <v>128657</v>
      </c>
      <c r="J1231" s="705">
        <v>47651</v>
      </c>
      <c r="K1231" s="705">
        <v>100</v>
      </c>
      <c r="L1231" s="705">
        <v>19413</v>
      </c>
      <c r="M1231" s="705">
        <v>17648</v>
      </c>
      <c r="N1231" s="705">
        <v>6554</v>
      </c>
      <c r="O1231" s="705">
        <v>2428</v>
      </c>
      <c r="P1231" s="705">
        <v>0</v>
      </c>
      <c r="Q1231" s="705">
        <v>0</v>
      </c>
      <c r="R1231" s="705">
        <v>3805</v>
      </c>
      <c r="S1231" s="705">
        <v>3459</v>
      </c>
      <c r="T1231" s="705">
        <v>0</v>
      </c>
      <c r="U1231" s="705">
        <v>0</v>
      </c>
      <c r="V1231" s="705">
        <v>71186</v>
      </c>
      <c r="W1231" s="705">
        <f t="shared" si="60"/>
        <v>71186</v>
      </c>
      <c r="X1231" s="705">
        <f t="shared" si="61"/>
        <v>158429</v>
      </c>
    </row>
    <row r="1232" spans="2:24">
      <c r="B1232" t="s">
        <v>541</v>
      </c>
      <c r="C1232" t="s">
        <v>124</v>
      </c>
      <c r="D1232" t="s">
        <v>228</v>
      </c>
      <c r="E1232" t="s">
        <v>582</v>
      </c>
      <c r="F1232" s="705">
        <v>1</v>
      </c>
      <c r="G1232" s="705">
        <v>640</v>
      </c>
      <c r="H1232" s="705">
        <v>533</v>
      </c>
      <c r="I1232" s="705">
        <v>280318</v>
      </c>
      <c r="J1232" s="705">
        <v>103821</v>
      </c>
      <c r="K1232" s="705">
        <v>100</v>
      </c>
      <c r="L1232" s="705">
        <v>42298</v>
      </c>
      <c r="M1232" s="705">
        <v>38452</v>
      </c>
      <c r="N1232" s="705">
        <v>11768</v>
      </c>
      <c r="O1232" s="705">
        <v>4358</v>
      </c>
      <c r="P1232" s="705">
        <v>0</v>
      </c>
      <c r="Q1232" s="705">
        <v>0</v>
      </c>
      <c r="R1232" s="705">
        <v>6642</v>
      </c>
      <c r="S1232" s="705">
        <v>6039</v>
      </c>
      <c r="T1232" s="705">
        <v>0</v>
      </c>
      <c r="U1232" s="705">
        <v>0</v>
      </c>
      <c r="V1232" s="705">
        <v>152671</v>
      </c>
      <c r="W1232" s="705">
        <f t="shared" si="60"/>
        <v>152670</v>
      </c>
      <c r="X1232" s="705">
        <f t="shared" si="61"/>
        <v>341026</v>
      </c>
    </row>
    <row r="1233" spans="2:24">
      <c r="B1233" t="s">
        <v>541</v>
      </c>
      <c r="C1233" t="s">
        <v>124</v>
      </c>
      <c r="D1233" t="s">
        <v>228</v>
      </c>
      <c r="E1233" t="s">
        <v>228</v>
      </c>
      <c r="F1233" s="705">
        <v>325</v>
      </c>
      <c r="G1233" s="705">
        <v>28050</v>
      </c>
      <c r="H1233" s="705">
        <v>235197</v>
      </c>
      <c r="I1233" s="705">
        <v>14531577</v>
      </c>
      <c r="J1233" s="705">
        <v>5382066</v>
      </c>
      <c r="K1233" s="705">
        <v>100</v>
      </c>
      <c r="L1233" s="705">
        <v>2301308</v>
      </c>
      <c r="M1233" s="705">
        <v>1913284</v>
      </c>
      <c r="N1233" s="705">
        <v>634487</v>
      </c>
      <c r="O1233" s="705">
        <v>234995</v>
      </c>
      <c r="P1233" s="705">
        <v>7722</v>
      </c>
      <c r="Q1233" s="705">
        <v>2860</v>
      </c>
      <c r="R1233" s="705">
        <v>2257565</v>
      </c>
      <c r="S1233" s="705">
        <v>836135</v>
      </c>
      <c r="T1233" s="705">
        <v>12022</v>
      </c>
      <c r="U1233" s="705">
        <v>4453</v>
      </c>
      <c r="V1233" s="705">
        <v>8373793</v>
      </c>
      <c r="W1233" s="705">
        <f t="shared" si="60"/>
        <v>8373793</v>
      </c>
      <c r="X1233" s="705">
        <f t="shared" si="61"/>
        <v>19744681</v>
      </c>
    </row>
    <row r="1234" spans="2:24">
      <c r="B1234" t="s">
        <v>541</v>
      </c>
      <c r="C1234" t="s">
        <v>124</v>
      </c>
      <c r="D1234" t="s">
        <v>228</v>
      </c>
      <c r="E1234" t="s">
        <v>583</v>
      </c>
      <c r="F1234" s="705">
        <v>4</v>
      </c>
      <c r="G1234" s="705">
        <v>395</v>
      </c>
      <c r="H1234" s="705">
        <v>2754</v>
      </c>
      <c r="I1234" s="705">
        <v>203659</v>
      </c>
      <c r="J1234" s="705">
        <v>75429</v>
      </c>
      <c r="K1234" s="705">
        <v>100</v>
      </c>
      <c r="L1234" s="705">
        <v>27880</v>
      </c>
      <c r="M1234" s="705">
        <v>25345</v>
      </c>
      <c r="N1234" s="705">
        <v>7911</v>
      </c>
      <c r="O1234" s="705">
        <v>2930</v>
      </c>
      <c r="P1234" s="705">
        <v>0</v>
      </c>
      <c r="Q1234" s="705">
        <v>0</v>
      </c>
      <c r="R1234" s="705">
        <v>21969</v>
      </c>
      <c r="S1234" s="705">
        <v>19972</v>
      </c>
      <c r="T1234" s="705">
        <v>6299</v>
      </c>
      <c r="U1234" s="705">
        <v>2333</v>
      </c>
      <c r="V1234" s="705">
        <v>126009</v>
      </c>
      <c r="W1234" s="705">
        <f t="shared" si="60"/>
        <v>126009</v>
      </c>
      <c r="X1234" s="705">
        <f t="shared" si="61"/>
        <v>267718</v>
      </c>
    </row>
    <row r="1235" spans="2:24">
      <c r="B1235" t="s">
        <v>541</v>
      </c>
      <c r="C1235" t="s">
        <v>124</v>
      </c>
      <c r="D1235" t="s">
        <v>228</v>
      </c>
      <c r="E1235" t="s">
        <v>666</v>
      </c>
      <c r="F1235" s="705">
        <v>3</v>
      </c>
      <c r="G1235" s="705">
        <v>234</v>
      </c>
      <c r="H1235" s="705">
        <v>2659</v>
      </c>
      <c r="I1235" s="705">
        <v>159377</v>
      </c>
      <c r="J1235" s="705">
        <v>59028</v>
      </c>
      <c r="K1235" s="705">
        <v>100</v>
      </c>
      <c r="L1235" s="705">
        <v>21155</v>
      </c>
      <c r="M1235" s="705">
        <v>19232</v>
      </c>
      <c r="N1235" s="705">
        <v>5701</v>
      </c>
      <c r="O1235" s="705">
        <v>2111</v>
      </c>
      <c r="P1235" s="705">
        <v>351</v>
      </c>
      <c r="Q1235" s="705">
        <v>130</v>
      </c>
      <c r="R1235" s="705">
        <v>19744</v>
      </c>
      <c r="S1235" s="705">
        <v>17950</v>
      </c>
      <c r="T1235" s="705">
        <v>2678</v>
      </c>
      <c r="U1235" s="705">
        <v>992</v>
      </c>
      <c r="V1235" s="705">
        <v>99443</v>
      </c>
      <c r="W1235" s="705">
        <f t="shared" si="60"/>
        <v>99443</v>
      </c>
      <c r="X1235" s="705">
        <f t="shared" si="61"/>
        <v>209006</v>
      </c>
    </row>
    <row r="1236" spans="2:24">
      <c r="B1236" t="s">
        <v>541</v>
      </c>
      <c r="C1236" t="s">
        <v>124</v>
      </c>
      <c r="D1236" t="s">
        <v>228</v>
      </c>
      <c r="E1236" t="s">
        <v>669</v>
      </c>
      <c r="F1236" s="705">
        <v>2</v>
      </c>
      <c r="G1236" s="705">
        <v>118</v>
      </c>
      <c r="H1236" s="705">
        <v>1069</v>
      </c>
      <c r="I1236" s="705">
        <v>39899</v>
      </c>
      <c r="J1236" s="705">
        <v>14777</v>
      </c>
      <c r="K1236" s="705">
        <v>100</v>
      </c>
      <c r="L1236" s="705">
        <v>3984</v>
      </c>
      <c r="M1236" s="705">
        <v>3503</v>
      </c>
      <c r="N1236" s="705">
        <v>2317</v>
      </c>
      <c r="O1236" s="705">
        <v>858</v>
      </c>
      <c r="P1236" s="705">
        <v>351</v>
      </c>
      <c r="Q1236" s="705">
        <v>130</v>
      </c>
      <c r="R1236" s="705">
        <v>10701</v>
      </c>
      <c r="S1236" s="705">
        <v>8918</v>
      </c>
      <c r="T1236" s="705">
        <v>3290</v>
      </c>
      <c r="U1236" s="705">
        <v>1218</v>
      </c>
      <c r="V1236" s="705">
        <v>29405</v>
      </c>
      <c r="W1236" s="705">
        <f t="shared" si="60"/>
        <v>29404</v>
      </c>
      <c r="X1236" s="705">
        <f t="shared" si="61"/>
        <v>60542</v>
      </c>
    </row>
    <row r="1237" spans="2:24">
      <c r="B1237" t="s">
        <v>541</v>
      </c>
      <c r="C1237" t="s">
        <v>124</v>
      </c>
      <c r="D1237" t="s">
        <v>228</v>
      </c>
      <c r="E1237" t="s">
        <v>665</v>
      </c>
      <c r="F1237" s="705">
        <v>27</v>
      </c>
      <c r="G1237" s="705">
        <v>2137</v>
      </c>
      <c r="H1237" s="705">
        <v>17250</v>
      </c>
      <c r="I1237" s="705">
        <v>975496</v>
      </c>
      <c r="J1237" s="705">
        <v>361295</v>
      </c>
      <c r="K1237" s="705">
        <v>100</v>
      </c>
      <c r="L1237" s="705">
        <v>143892</v>
      </c>
      <c r="M1237" s="705">
        <v>130811</v>
      </c>
      <c r="N1237" s="705">
        <v>42924</v>
      </c>
      <c r="O1237" s="705">
        <v>15898</v>
      </c>
      <c r="P1237" s="705">
        <v>3861</v>
      </c>
      <c r="Q1237" s="705">
        <v>1430</v>
      </c>
      <c r="R1237" s="705">
        <v>163249</v>
      </c>
      <c r="S1237" s="705">
        <v>148409</v>
      </c>
      <c r="T1237" s="705">
        <v>53051</v>
      </c>
      <c r="U1237" s="705">
        <v>19648</v>
      </c>
      <c r="V1237" s="705">
        <v>677491</v>
      </c>
      <c r="W1237" s="705">
        <f t="shared" si="60"/>
        <v>677491</v>
      </c>
      <c r="X1237" s="705">
        <f t="shared" si="61"/>
        <v>1382473</v>
      </c>
    </row>
    <row r="1238" spans="2:24">
      <c r="B1238" t="s">
        <v>541</v>
      </c>
      <c r="C1238" t="s">
        <v>124</v>
      </c>
      <c r="D1238" t="s">
        <v>583</v>
      </c>
      <c r="E1238" t="s">
        <v>664</v>
      </c>
      <c r="F1238" s="705">
        <v>1</v>
      </c>
      <c r="G1238" s="705">
        <v>158</v>
      </c>
      <c r="H1238" s="705">
        <v>482</v>
      </c>
      <c r="I1238" s="705">
        <v>52293</v>
      </c>
      <c r="J1238" s="705">
        <v>47539</v>
      </c>
      <c r="K1238" s="705">
        <v>65</v>
      </c>
      <c r="L1238" s="705">
        <v>11969</v>
      </c>
      <c r="M1238" s="705">
        <v>10881</v>
      </c>
      <c r="N1238" s="705">
        <v>3688</v>
      </c>
      <c r="O1238" s="705">
        <v>1366</v>
      </c>
      <c r="P1238" s="705">
        <v>621</v>
      </c>
      <c r="Q1238" s="705">
        <v>230</v>
      </c>
      <c r="R1238" s="705">
        <v>7486</v>
      </c>
      <c r="S1238" s="705">
        <v>6805</v>
      </c>
      <c r="T1238" s="705">
        <v>0</v>
      </c>
      <c r="U1238" s="705">
        <v>0</v>
      </c>
      <c r="V1238" s="705">
        <v>66821</v>
      </c>
      <c r="W1238" s="705">
        <f t="shared" si="60"/>
        <v>66821</v>
      </c>
      <c r="X1238" s="705">
        <f t="shared" si="61"/>
        <v>76057</v>
      </c>
    </row>
    <row r="1239" spans="2:24">
      <c r="B1239" t="s">
        <v>541</v>
      </c>
      <c r="C1239" t="s">
        <v>124</v>
      </c>
      <c r="D1239" t="s">
        <v>583</v>
      </c>
      <c r="E1239" t="s">
        <v>228</v>
      </c>
      <c r="F1239" s="705">
        <v>12</v>
      </c>
      <c r="G1239" s="705">
        <v>1219</v>
      </c>
      <c r="H1239" s="705">
        <v>7438</v>
      </c>
      <c r="I1239" s="705">
        <v>497900</v>
      </c>
      <c r="J1239" s="705">
        <v>452636</v>
      </c>
      <c r="K1239" s="705">
        <v>71</v>
      </c>
      <c r="L1239" s="705">
        <v>87642</v>
      </c>
      <c r="M1239" s="705">
        <v>77906</v>
      </c>
      <c r="N1239" s="705">
        <v>28309</v>
      </c>
      <c r="O1239" s="705">
        <v>10485</v>
      </c>
      <c r="P1239" s="705">
        <v>5859</v>
      </c>
      <c r="Q1239" s="705">
        <v>2170</v>
      </c>
      <c r="R1239" s="705">
        <v>106536</v>
      </c>
      <c r="S1239" s="705">
        <v>39458</v>
      </c>
      <c r="T1239" s="705">
        <v>0</v>
      </c>
      <c r="U1239" s="705">
        <v>0</v>
      </c>
      <c r="V1239" s="705">
        <v>582655</v>
      </c>
      <c r="W1239" s="705">
        <f t="shared" si="60"/>
        <v>582655</v>
      </c>
      <c r="X1239" s="705">
        <f t="shared" si="61"/>
        <v>726246</v>
      </c>
    </row>
    <row r="1240" spans="2:24">
      <c r="B1240" t="s">
        <v>541</v>
      </c>
      <c r="C1240" t="s">
        <v>124</v>
      </c>
      <c r="D1240" t="s">
        <v>583</v>
      </c>
      <c r="E1240" t="s">
        <v>583</v>
      </c>
      <c r="F1240" s="705">
        <v>450</v>
      </c>
      <c r="G1240" s="705">
        <v>44413</v>
      </c>
      <c r="H1240" s="705">
        <v>251496</v>
      </c>
      <c r="I1240" s="705">
        <v>17099040</v>
      </c>
      <c r="J1240" s="705">
        <v>15544582</v>
      </c>
      <c r="K1240" s="705">
        <v>72</v>
      </c>
      <c r="L1240" s="705">
        <v>3419642</v>
      </c>
      <c r="M1240" s="705">
        <v>3025331</v>
      </c>
      <c r="N1240" s="705">
        <v>997319</v>
      </c>
      <c r="O1240" s="705">
        <v>369378</v>
      </c>
      <c r="P1240" s="705">
        <v>284638</v>
      </c>
      <c r="Q1240" s="705">
        <v>105422</v>
      </c>
      <c r="R1240" s="705">
        <v>2451164</v>
      </c>
      <c r="S1240" s="705">
        <v>2228331</v>
      </c>
      <c r="T1240" s="705">
        <v>532952</v>
      </c>
      <c r="U1240" s="705">
        <v>197390</v>
      </c>
      <c r="V1240" s="705">
        <v>21470433</v>
      </c>
      <c r="W1240" s="705">
        <f t="shared" si="60"/>
        <v>21470434</v>
      </c>
      <c r="X1240" s="705">
        <f t="shared" si="61"/>
        <v>24784755</v>
      </c>
    </row>
    <row r="1241" spans="2:24">
      <c r="B1241" t="s">
        <v>541</v>
      </c>
      <c r="C1241" t="s">
        <v>124</v>
      </c>
      <c r="D1241" t="s">
        <v>666</v>
      </c>
      <c r="E1241" t="s">
        <v>228</v>
      </c>
      <c r="F1241" s="705">
        <v>6</v>
      </c>
      <c r="G1241" s="705">
        <v>360</v>
      </c>
      <c r="H1241" s="705">
        <v>7192</v>
      </c>
      <c r="I1241" s="705">
        <v>371102</v>
      </c>
      <c r="J1241" s="705">
        <v>337365</v>
      </c>
      <c r="K1241" s="705">
        <v>40</v>
      </c>
      <c r="L1241" s="705">
        <v>42693</v>
      </c>
      <c r="M1241" s="705">
        <v>15812</v>
      </c>
      <c r="N1241" s="705">
        <v>8955</v>
      </c>
      <c r="O1241" s="705">
        <v>3317</v>
      </c>
      <c r="P1241" s="705">
        <v>351</v>
      </c>
      <c r="Q1241" s="705">
        <v>130</v>
      </c>
      <c r="R1241" s="705">
        <v>30096</v>
      </c>
      <c r="S1241" s="705">
        <v>11147</v>
      </c>
      <c r="T1241" s="705">
        <v>0</v>
      </c>
      <c r="U1241" s="705">
        <v>0</v>
      </c>
      <c r="V1241" s="705">
        <v>367771</v>
      </c>
      <c r="W1241" s="705">
        <f t="shared" si="60"/>
        <v>367771</v>
      </c>
      <c r="X1241" s="705">
        <f t="shared" si="61"/>
        <v>453197</v>
      </c>
    </row>
    <row r="1242" spans="2:24">
      <c r="B1242" t="s">
        <v>541</v>
      </c>
      <c r="C1242" t="s">
        <v>124</v>
      </c>
      <c r="D1242" t="s">
        <v>666</v>
      </c>
      <c r="E1242" t="s">
        <v>583</v>
      </c>
      <c r="F1242" s="705">
        <v>1</v>
      </c>
      <c r="G1242" s="705">
        <v>78</v>
      </c>
      <c r="H1242" s="705">
        <v>604</v>
      </c>
      <c r="I1242" s="705">
        <v>32370</v>
      </c>
      <c r="J1242" s="705">
        <v>29427</v>
      </c>
      <c r="K1242" s="705">
        <v>45</v>
      </c>
      <c r="L1242" s="705">
        <v>5395</v>
      </c>
      <c r="M1242" s="705">
        <v>4905</v>
      </c>
      <c r="N1242" s="705">
        <v>1901</v>
      </c>
      <c r="O1242" s="705">
        <v>704</v>
      </c>
      <c r="P1242" s="705">
        <v>351</v>
      </c>
      <c r="Q1242" s="705">
        <v>130</v>
      </c>
      <c r="R1242" s="705">
        <v>4932</v>
      </c>
      <c r="S1242" s="705">
        <v>4483</v>
      </c>
      <c r="T1242" s="705">
        <v>2139</v>
      </c>
      <c r="U1242" s="705">
        <v>792</v>
      </c>
      <c r="V1242" s="705">
        <v>40441</v>
      </c>
      <c r="W1242" s="705">
        <f t="shared" si="60"/>
        <v>40441</v>
      </c>
      <c r="X1242" s="705">
        <f t="shared" si="61"/>
        <v>47088</v>
      </c>
    </row>
    <row r="1243" spans="2:24">
      <c r="B1243" t="s">
        <v>541</v>
      </c>
      <c r="C1243" t="s">
        <v>124</v>
      </c>
      <c r="D1243" t="s">
        <v>666</v>
      </c>
      <c r="E1243" t="s">
        <v>666</v>
      </c>
      <c r="F1243" s="705">
        <v>23</v>
      </c>
      <c r="G1243" s="705">
        <v>2042</v>
      </c>
      <c r="H1243" s="705">
        <v>16569</v>
      </c>
      <c r="I1243" s="705">
        <v>1039502</v>
      </c>
      <c r="J1243" s="705">
        <v>945002</v>
      </c>
      <c r="K1243" s="705">
        <v>52</v>
      </c>
      <c r="L1243" s="705">
        <v>138432</v>
      </c>
      <c r="M1243" s="705">
        <v>125847</v>
      </c>
      <c r="N1243" s="705">
        <v>44313</v>
      </c>
      <c r="O1243" s="705">
        <v>16412</v>
      </c>
      <c r="P1243" s="705">
        <v>7641</v>
      </c>
      <c r="Q1243" s="705">
        <v>2830</v>
      </c>
      <c r="R1243" s="705">
        <v>157002</v>
      </c>
      <c r="S1243" s="705">
        <v>142730</v>
      </c>
      <c r="T1243" s="705">
        <v>33104</v>
      </c>
      <c r="U1243" s="705">
        <v>12261</v>
      </c>
      <c r="V1243" s="705">
        <v>1245082</v>
      </c>
      <c r="W1243" s="705">
        <f t="shared" si="60"/>
        <v>1245082</v>
      </c>
      <c r="X1243" s="705">
        <f t="shared" si="61"/>
        <v>1419994</v>
      </c>
    </row>
    <row r="1244" spans="2:24">
      <c r="B1244" t="s">
        <v>541</v>
      </c>
      <c r="C1244" t="s">
        <v>124</v>
      </c>
      <c r="D1244" t="s">
        <v>584</v>
      </c>
      <c r="E1244" t="s">
        <v>584</v>
      </c>
      <c r="F1244" s="705">
        <v>3</v>
      </c>
      <c r="G1244" s="705">
        <v>284</v>
      </c>
      <c r="H1244" s="705">
        <v>1908</v>
      </c>
      <c r="I1244" s="705">
        <v>131683</v>
      </c>
      <c r="J1244" s="705">
        <v>119712</v>
      </c>
      <c r="K1244" s="705">
        <v>67</v>
      </c>
      <c r="L1244" s="705">
        <v>30305</v>
      </c>
      <c r="M1244" s="705">
        <v>27550</v>
      </c>
      <c r="N1244" s="705">
        <v>7827</v>
      </c>
      <c r="O1244" s="705">
        <v>2899</v>
      </c>
      <c r="P1244" s="705">
        <v>1418</v>
      </c>
      <c r="Q1244" s="705">
        <v>525</v>
      </c>
      <c r="R1244" s="705">
        <v>21410</v>
      </c>
      <c r="S1244" s="705">
        <v>19463</v>
      </c>
      <c r="T1244" s="705">
        <v>6979</v>
      </c>
      <c r="U1244" s="705">
        <v>2585</v>
      </c>
      <c r="V1244" s="705">
        <v>172734</v>
      </c>
      <c r="W1244" s="705">
        <f t="shared" si="60"/>
        <v>172734</v>
      </c>
      <c r="X1244" s="705">
        <f t="shared" si="61"/>
        <v>199622</v>
      </c>
    </row>
    <row r="1245" spans="2:24">
      <c r="B1245" t="s">
        <v>541</v>
      </c>
      <c r="C1245" t="s">
        <v>124</v>
      </c>
      <c r="D1245" t="s">
        <v>669</v>
      </c>
      <c r="E1245" t="s">
        <v>669</v>
      </c>
      <c r="F1245" s="705">
        <v>7</v>
      </c>
      <c r="G1245" s="705">
        <v>464</v>
      </c>
      <c r="H1245" s="705">
        <v>4298</v>
      </c>
      <c r="I1245" s="705">
        <v>190049</v>
      </c>
      <c r="J1245" s="705">
        <v>158374</v>
      </c>
      <c r="K1245" s="705">
        <v>59</v>
      </c>
      <c r="L1245" s="705">
        <v>22767</v>
      </c>
      <c r="M1245" s="705">
        <v>15252</v>
      </c>
      <c r="N1245" s="705">
        <v>9945</v>
      </c>
      <c r="O1245" s="705">
        <v>3683</v>
      </c>
      <c r="P1245" s="705">
        <v>2727</v>
      </c>
      <c r="Q1245" s="705">
        <v>1010</v>
      </c>
      <c r="R1245" s="705">
        <v>45083</v>
      </c>
      <c r="S1245" s="705">
        <v>37569</v>
      </c>
      <c r="T1245" s="705">
        <v>8763</v>
      </c>
      <c r="U1245" s="705">
        <v>3246</v>
      </c>
      <c r="V1245" s="705">
        <v>219135</v>
      </c>
      <c r="W1245" s="705">
        <f t="shared" si="60"/>
        <v>219134</v>
      </c>
      <c r="X1245" s="705">
        <f t="shared" si="61"/>
        <v>279334</v>
      </c>
    </row>
    <row r="1246" spans="2:24">
      <c r="B1246" t="s">
        <v>541</v>
      </c>
      <c r="C1246" t="s">
        <v>124</v>
      </c>
      <c r="D1246" t="s">
        <v>667</v>
      </c>
      <c r="E1246" t="s">
        <v>228</v>
      </c>
      <c r="F1246" s="705">
        <v>1</v>
      </c>
      <c r="G1246" s="705">
        <v>85</v>
      </c>
      <c r="H1246" s="705">
        <v>617</v>
      </c>
      <c r="I1246" s="705">
        <v>36735</v>
      </c>
      <c r="J1246" s="705">
        <v>33395</v>
      </c>
      <c r="K1246" s="705">
        <v>60</v>
      </c>
      <c r="L1246" s="705">
        <v>6011</v>
      </c>
      <c r="M1246" s="705">
        <v>2226</v>
      </c>
      <c r="N1246" s="705">
        <v>2072</v>
      </c>
      <c r="O1246" s="705">
        <v>768</v>
      </c>
      <c r="P1246" s="705">
        <v>0</v>
      </c>
      <c r="Q1246" s="705">
        <v>0</v>
      </c>
      <c r="R1246" s="705">
        <v>7674</v>
      </c>
      <c r="S1246" s="705">
        <v>2842</v>
      </c>
      <c r="T1246" s="705">
        <v>0</v>
      </c>
      <c r="U1246" s="705">
        <v>0</v>
      </c>
      <c r="V1246" s="705">
        <v>39232</v>
      </c>
      <c r="W1246" s="705">
        <f t="shared" si="60"/>
        <v>39231</v>
      </c>
      <c r="X1246" s="705">
        <f t="shared" si="61"/>
        <v>52492</v>
      </c>
    </row>
    <row r="1247" spans="2:24">
      <c r="B1247" t="s">
        <v>541</v>
      </c>
      <c r="C1247" t="s">
        <v>124</v>
      </c>
      <c r="D1247" t="s">
        <v>667</v>
      </c>
      <c r="E1247" t="s">
        <v>667</v>
      </c>
      <c r="F1247" s="705">
        <v>3</v>
      </c>
      <c r="G1247" s="705">
        <v>341</v>
      </c>
      <c r="H1247" s="705">
        <v>1695</v>
      </c>
      <c r="I1247" s="705">
        <v>150353</v>
      </c>
      <c r="J1247" s="705">
        <v>136685</v>
      </c>
      <c r="K1247" s="705">
        <v>48</v>
      </c>
      <c r="L1247" s="705">
        <v>16811</v>
      </c>
      <c r="M1247" s="705">
        <v>13137</v>
      </c>
      <c r="N1247" s="705">
        <v>5765</v>
      </c>
      <c r="O1247" s="705">
        <v>2135</v>
      </c>
      <c r="P1247" s="705">
        <v>1053</v>
      </c>
      <c r="Q1247" s="705">
        <v>390</v>
      </c>
      <c r="R1247" s="705">
        <v>21810</v>
      </c>
      <c r="S1247" s="705">
        <v>19827</v>
      </c>
      <c r="T1247" s="705">
        <v>5616</v>
      </c>
      <c r="U1247" s="705">
        <v>2080</v>
      </c>
      <c r="V1247" s="705">
        <v>174254</v>
      </c>
      <c r="W1247" s="705">
        <f t="shared" si="60"/>
        <v>174254</v>
      </c>
      <c r="X1247" s="705">
        <f t="shared" si="61"/>
        <v>201408</v>
      </c>
    </row>
    <row r="1248" spans="2:24">
      <c r="B1248" t="s">
        <v>541</v>
      </c>
      <c r="C1248" t="s">
        <v>124</v>
      </c>
      <c r="D1248" t="s">
        <v>671</v>
      </c>
      <c r="E1248" t="s">
        <v>671</v>
      </c>
      <c r="F1248" s="705">
        <v>8</v>
      </c>
      <c r="G1248" s="705">
        <v>673</v>
      </c>
      <c r="H1248" s="705">
        <v>5891</v>
      </c>
      <c r="I1248" s="705">
        <v>342141</v>
      </c>
      <c r="J1248" s="705">
        <v>311037</v>
      </c>
      <c r="K1248" s="705">
        <v>54</v>
      </c>
      <c r="L1248" s="705">
        <v>44691</v>
      </c>
      <c r="M1248" s="705">
        <v>44477</v>
      </c>
      <c r="N1248" s="705">
        <v>14748</v>
      </c>
      <c r="O1248" s="705">
        <v>5462</v>
      </c>
      <c r="P1248" s="705">
        <v>2457</v>
      </c>
      <c r="Q1248" s="705">
        <v>910</v>
      </c>
      <c r="R1248" s="705">
        <v>56398</v>
      </c>
      <c r="S1248" s="705">
        <v>51271</v>
      </c>
      <c r="T1248" s="705">
        <v>9956</v>
      </c>
      <c r="U1248" s="705">
        <v>3687</v>
      </c>
      <c r="V1248" s="705">
        <v>416844</v>
      </c>
      <c r="W1248" s="705">
        <f t="shared" si="60"/>
        <v>416844</v>
      </c>
      <c r="X1248" s="705">
        <f t="shared" si="61"/>
        <v>470391</v>
      </c>
    </row>
    <row r="1249" spans="2:24">
      <c r="B1249" t="s">
        <v>541</v>
      </c>
      <c r="C1249" t="s">
        <v>124</v>
      </c>
      <c r="D1249" t="s">
        <v>665</v>
      </c>
      <c r="E1249" t="s">
        <v>228</v>
      </c>
      <c r="F1249" s="705">
        <v>76</v>
      </c>
      <c r="G1249" s="705">
        <v>6283</v>
      </c>
      <c r="H1249" s="705">
        <v>78054</v>
      </c>
      <c r="I1249" s="705">
        <v>4921880</v>
      </c>
      <c r="J1249" s="705">
        <v>4474436</v>
      </c>
      <c r="K1249" s="705">
        <v>46</v>
      </c>
      <c r="L1249" s="705">
        <v>594762</v>
      </c>
      <c r="M1249" s="705">
        <v>356817</v>
      </c>
      <c r="N1249" s="705">
        <v>145637</v>
      </c>
      <c r="O1249" s="705">
        <v>53939</v>
      </c>
      <c r="P1249" s="705">
        <v>5265</v>
      </c>
      <c r="Q1249" s="705">
        <v>1950</v>
      </c>
      <c r="R1249" s="705">
        <v>469944</v>
      </c>
      <c r="S1249" s="705">
        <v>174053</v>
      </c>
      <c r="T1249" s="705">
        <v>0</v>
      </c>
      <c r="U1249" s="705">
        <v>0</v>
      </c>
      <c r="V1249" s="705">
        <v>5061196</v>
      </c>
      <c r="W1249" s="705">
        <f t="shared" si="60"/>
        <v>5061195</v>
      </c>
      <c r="X1249" s="705">
        <f t="shared" si="61"/>
        <v>6137488</v>
      </c>
    </row>
    <row r="1250" spans="2:24">
      <c r="B1250" t="s">
        <v>541</v>
      </c>
      <c r="C1250" t="s">
        <v>124</v>
      </c>
      <c r="D1250" t="s">
        <v>665</v>
      </c>
      <c r="E1250" t="s">
        <v>583</v>
      </c>
      <c r="F1250" s="705">
        <v>2</v>
      </c>
      <c r="G1250" s="705">
        <v>261</v>
      </c>
      <c r="H1250" s="705">
        <v>2460</v>
      </c>
      <c r="I1250" s="705">
        <v>265974</v>
      </c>
      <c r="J1250" s="705">
        <v>241794</v>
      </c>
      <c r="K1250" s="705">
        <v>30</v>
      </c>
      <c r="L1250" s="705">
        <v>25472</v>
      </c>
      <c r="M1250" s="705">
        <v>17016</v>
      </c>
      <c r="N1250" s="705">
        <v>6019</v>
      </c>
      <c r="O1250" s="705">
        <v>2229</v>
      </c>
      <c r="P1250" s="705">
        <v>540</v>
      </c>
      <c r="Q1250" s="705">
        <v>200</v>
      </c>
      <c r="R1250" s="705">
        <v>13170</v>
      </c>
      <c r="S1250" s="705">
        <v>11972</v>
      </c>
      <c r="T1250" s="705">
        <v>7379</v>
      </c>
      <c r="U1250" s="705">
        <v>2733</v>
      </c>
      <c r="V1250" s="705">
        <v>275945</v>
      </c>
      <c r="W1250" s="705">
        <f t="shared" si="60"/>
        <v>275944</v>
      </c>
      <c r="X1250" s="705">
        <f t="shared" si="61"/>
        <v>318554</v>
      </c>
    </row>
    <row r="1251" spans="2:24">
      <c r="B1251" t="s">
        <v>541</v>
      </c>
      <c r="C1251" t="s">
        <v>124</v>
      </c>
      <c r="D1251" t="s">
        <v>665</v>
      </c>
      <c r="E1251" t="s">
        <v>665</v>
      </c>
      <c r="F1251" s="705">
        <v>270</v>
      </c>
      <c r="G1251" s="705">
        <v>22343</v>
      </c>
      <c r="H1251" s="705">
        <v>184437</v>
      </c>
      <c r="I1251" s="705">
        <v>11068004</v>
      </c>
      <c r="J1251" s="705">
        <v>10061822</v>
      </c>
      <c r="K1251" s="705">
        <v>52</v>
      </c>
      <c r="L1251" s="705">
        <v>1506556</v>
      </c>
      <c r="M1251" s="705">
        <v>1197572</v>
      </c>
      <c r="N1251" s="705">
        <v>475942</v>
      </c>
      <c r="O1251" s="705">
        <v>176275</v>
      </c>
      <c r="P1251" s="705">
        <v>84462</v>
      </c>
      <c r="Q1251" s="705">
        <v>31282</v>
      </c>
      <c r="R1251" s="705">
        <v>1608109</v>
      </c>
      <c r="S1251" s="705">
        <v>1461917</v>
      </c>
      <c r="T1251" s="705">
        <v>513058</v>
      </c>
      <c r="U1251" s="705">
        <v>190022</v>
      </c>
      <c r="V1251" s="705">
        <v>13118889</v>
      </c>
      <c r="W1251" s="705">
        <f t="shared" si="60"/>
        <v>13118890</v>
      </c>
      <c r="X1251" s="705">
        <f t="shared" si="61"/>
        <v>15256131</v>
      </c>
    </row>
    <row r="1252" spans="2:24">
      <c r="B1252" t="s">
        <v>541</v>
      </c>
      <c r="C1252" t="s">
        <v>124</v>
      </c>
      <c r="D1252" t="s">
        <v>673</v>
      </c>
      <c r="E1252" t="s">
        <v>228</v>
      </c>
      <c r="F1252" s="705">
        <v>3</v>
      </c>
      <c r="G1252" s="705">
        <v>226</v>
      </c>
      <c r="H1252" s="705">
        <v>4202</v>
      </c>
      <c r="I1252" s="705">
        <v>254927</v>
      </c>
      <c r="J1252" s="705">
        <v>231752</v>
      </c>
      <c r="K1252" s="705">
        <v>30</v>
      </c>
      <c r="L1252" s="705">
        <v>36995</v>
      </c>
      <c r="M1252" s="705">
        <v>18264</v>
      </c>
      <c r="N1252" s="705">
        <v>5009</v>
      </c>
      <c r="O1252" s="705">
        <v>1855</v>
      </c>
      <c r="P1252" s="705">
        <v>0</v>
      </c>
      <c r="Q1252" s="705">
        <v>0</v>
      </c>
      <c r="R1252" s="705">
        <v>17683</v>
      </c>
      <c r="S1252" s="705">
        <v>6549</v>
      </c>
      <c r="T1252" s="705">
        <v>0</v>
      </c>
      <c r="U1252" s="705">
        <v>0</v>
      </c>
      <c r="V1252" s="705">
        <v>258420</v>
      </c>
      <c r="W1252" s="705">
        <f t="shared" si="60"/>
        <v>258420</v>
      </c>
      <c r="X1252" s="705">
        <f t="shared" si="61"/>
        <v>314614</v>
      </c>
    </row>
    <row r="1253" spans="2:24">
      <c r="B1253" t="s">
        <v>541</v>
      </c>
      <c r="C1253" t="s">
        <v>124</v>
      </c>
      <c r="D1253" t="s">
        <v>673</v>
      </c>
      <c r="E1253" t="s">
        <v>673</v>
      </c>
      <c r="F1253" s="705">
        <v>5</v>
      </c>
      <c r="G1253" s="705">
        <v>444</v>
      </c>
      <c r="H1253" s="705">
        <v>3047</v>
      </c>
      <c r="I1253" s="705">
        <v>208745</v>
      </c>
      <c r="J1253" s="705">
        <v>189769</v>
      </c>
      <c r="K1253" s="705">
        <v>54</v>
      </c>
      <c r="L1253" s="705">
        <v>26816</v>
      </c>
      <c r="M1253" s="705">
        <v>24378</v>
      </c>
      <c r="N1253" s="705">
        <v>8284</v>
      </c>
      <c r="O1253" s="705">
        <v>3068</v>
      </c>
      <c r="P1253" s="705">
        <v>1404</v>
      </c>
      <c r="Q1253" s="705">
        <v>520</v>
      </c>
      <c r="R1253" s="705">
        <v>31359</v>
      </c>
      <c r="S1253" s="705">
        <v>28508</v>
      </c>
      <c r="T1253" s="705">
        <v>6889</v>
      </c>
      <c r="U1253" s="705">
        <v>2552</v>
      </c>
      <c r="V1253" s="705">
        <v>248794</v>
      </c>
      <c r="W1253" s="705">
        <f t="shared" si="60"/>
        <v>248795</v>
      </c>
      <c r="X1253" s="705">
        <f t="shared" si="61"/>
        <v>283497</v>
      </c>
    </row>
    <row r="1254" spans="2:24">
      <c r="B1254" t="s">
        <v>541</v>
      </c>
      <c r="C1254" t="s">
        <v>124</v>
      </c>
      <c r="D1254" t="s">
        <v>585</v>
      </c>
      <c r="E1254" t="s">
        <v>585</v>
      </c>
      <c r="F1254" s="705">
        <v>1</v>
      </c>
      <c r="G1254" s="705">
        <v>58</v>
      </c>
      <c r="H1254" s="705">
        <v>730</v>
      </c>
      <c r="I1254" s="705">
        <v>31015</v>
      </c>
      <c r="J1254" s="705">
        <v>28195</v>
      </c>
      <c r="K1254" s="705">
        <v>60</v>
      </c>
      <c r="L1254" s="705">
        <v>3446</v>
      </c>
      <c r="M1254" s="705">
        <v>3133</v>
      </c>
      <c r="N1254" s="705">
        <v>809</v>
      </c>
      <c r="O1254" s="705">
        <v>300</v>
      </c>
      <c r="P1254" s="705">
        <v>351</v>
      </c>
      <c r="Q1254" s="705">
        <v>130</v>
      </c>
      <c r="R1254" s="705">
        <v>4303</v>
      </c>
      <c r="S1254" s="705">
        <v>3912</v>
      </c>
      <c r="T1254" s="705">
        <v>2578</v>
      </c>
      <c r="U1254" s="705">
        <v>955</v>
      </c>
      <c r="V1254" s="705">
        <v>36624</v>
      </c>
      <c r="W1254" s="705">
        <f t="shared" si="60"/>
        <v>36625</v>
      </c>
      <c r="X1254" s="705">
        <f t="shared" si="61"/>
        <v>42502</v>
      </c>
    </row>
    <row r="1255" spans="2:24">
      <c r="B1255" t="s">
        <v>542</v>
      </c>
      <c r="C1255" t="s">
        <v>108</v>
      </c>
      <c r="D1255" t="s">
        <v>228</v>
      </c>
      <c r="E1255" t="s">
        <v>228</v>
      </c>
      <c r="F1255" s="705">
        <v>436</v>
      </c>
      <c r="G1255" s="705">
        <v>90450</v>
      </c>
      <c r="H1255" s="705">
        <v>22477</v>
      </c>
      <c r="I1255" s="705">
        <v>602751</v>
      </c>
      <c r="J1255" s="705">
        <v>223241</v>
      </c>
      <c r="K1255" s="705">
        <v>453</v>
      </c>
      <c r="L1255" s="705">
        <v>129202</v>
      </c>
      <c r="M1255" s="705">
        <v>113692</v>
      </c>
      <c r="N1255" s="705">
        <v>1159315</v>
      </c>
      <c r="O1255" s="705">
        <v>429376</v>
      </c>
      <c r="P1255" s="705">
        <v>542575</v>
      </c>
      <c r="Q1255" s="705">
        <v>200954</v>
      </c>
      <c r="R1255" s="705">
        <v>2223552</v>
      </c>
      <c r="S1255" s="705">
        <v>823538</v>
      </c>
      <c r="T1255" s="705">
        <v>3376</v>
      </c>
      <c r="U1255" s="705">
        <v>1250</v>
      </c>
      <c r="V1255" s="705">
        <v>1792051</v>
      </c>
      <c r="W1255" s="705">
        <f t="shared" si="60"/>
        <v>1792051</v>
      </c>
      <c r="X1255" s="705">
        <f t="shared" si="61"/>
        <v>4660771</v>
      </c>
    </row>
    <row r="1256" spans="2:24">
      <c r="B1256" t="s">
        <v>542</v>
      </c>
      <c r="C1256" t="s">
        <v>108</v>
      </c>
      <c r="D1256" t="s">
        <v>583</v>
      </c>
      <c r="E1256" t="s">
        <v>228</v>
      </c>
      <c r="F1256" s="705">
        <v>1</v>
      </c>
      <c r="G1256" s="705">
        <v>282</v>
      </c>
      <c r="H1256" s="705">
        <v>51</v>
      </c>
      <c r="I1256" s="705">
        <v>3514</v>
      </c>
      <c r="J1256" s="705">
        <v>3195</v>
      </c>
      <c r="K1256" s="705">
        <v>92</v>
      </c>
      <c r="L1256" s="705">
        <v>496</v>
      </c>
      <c r="M1256" s="705">
        <v>451</v>
      </c>
      <c r="N1256" s="705">
        <v>3439</v>
      </c>
      <c r="O1256" s="705">
        <v>1274</v>
      </c>
      <c r="P1256" s="705">
        <v>621</v>
      </c>
      <c r="Q1256" s="705">
        <v>230</v>
      </c>
      <c r="R1256" s="705">
        <v>6349</v>
      </c>
      <c r="S1256" s="705">
        <v>2352</v>
      </c>
      <c r="T1256" s="705">
        <v>0</v>
      </c>
      <c r="U1256" s="705">
        <v>0</v>
      </c>
      <c r="V1256" s="705">
        <v>7501</v>
      </c>
      <c r="W1256" s="705">
        <f t="shared" si="60"/>
        <v>7502</v>
      </c>
      <c r="X1256" s="705">
        <f t="shared" si="61"/>
        <v>14419</v>
      </c>
    </row>
    <row r="1257" spans="2:24">
      <c r="B1257" t="s">
        <v>542</v>
      </c>
      <c r="C1257" t="s">
        <v>108</v>
      </c>
      <c r="D1257" t="s">
        <v>583</v>
      </c>
      <c r="E1257" t="s">
        <v>583</v>
      </c>
      <c r="F1257" s="705">
        <v>46</v>
      </c>
      <c r="G1257" s="705">
        <v>10065</v>
      </c>
      <c r="H1257" s="705">
        <v>2963</v>
      </c>
      <c r="I1257" s="705">
        <v>247091</v>
      </c>
      <c r="J1257" s="705">
        <v>224628</v>
      </c>
      <c r="K1257" s="705">
        <v>94</v>
      </c>
      <c r="L1257" s="705">
        <v>35142</v>
      </c>
      <c r="M1257" s="705">
        <v>31828</v>
      </c>
      <c r="N1257" s="705">
        <v>134970</v>
      </c>
      <c r="O1257" s="705">
        <v>49989</v>
      </c>
      <c r="P1257" s="705">
        <v>65494</v>
      </c>
      <c r="Q1257" s="705">
        <v>24257</v>
      </c>
      <c r="R1257" s="705">
        <v>179694</v>
      </c>
      <c r="S1257" s="705">
        <v>163358</v>
      </c>
      <c r="T1257" s="705">
        <v>0</v>
      </c>
      <c r="U1257" s="705">
        <v>0</v>
      </c>
      <c r="V1257" s="705">
        <v>494061</v>
      </c>
      <c r="W1257" s="705">
        <f t="shared" si="60"/>
        <v>494060</v>
      </c>
      <c r="X1257" s="705">
        <f t="shared" si="61"/>
        <v>662391</v>
      </c>
    </row>
    <row r="1258" spans="2:24">
      <c r="B1258" t="s">
        <v>542</v>
      </c>
      <c r="C1258" t="s">
        <v>108</v>
      </c>
      <c r="D1258" t="s">
        <v>583</v>
      </c>
      <c r="E1258" t="s">
        <v>673</v>
      </c>
      <c r="F1258" s="705">
        <v>1</v>
      </c>
      <c r="G1258" s="705">
        <v>220</v>
      </c>
      <c r="H1258" s="705">
        <v>53</v>
      </c>
      <c r="I1258" s="705">
        <v>1421</v>
      </c>
      <c r="J1258" s="705">
        <v>1292</v>
      </c>
      <c r="K1258" s="705">
        <v>97</v>
      </c>
      <c r="L1258" s="705">
        <v>236</v>
      </c>
      <c r="M1258" s="705">
        <v>214</v>
      </c>
      <c r="N1258" s="705">
        <v>2679</v>
      </c>
      <c r="O1258" s="705">
        <v>992</v>
      </c>
      <c r="P1258" s="705">
        <v>2960</v>
      </c>
      <c r="Q1258" s="705">
        <v>1096</v>
      </c>
      <c r="R1258" s="705">
        <v>4277</v>
      </c>
      <c r="S1258" s="705">
        <v>3888</v>
      </c>
      <c r="T1258" s="705">
        <v>0</v>
      </c>
      <c r="U1258" s="705">
        <v>0</v>
      </c>
      <c r="V1258" s="705">
        <v>7483</v>
      </c>
      <c r="W1258" s="705">
        <f t="shared" si="60"/>
        <v>7482</v>
      </c>
      <c r="X1258" s="705">
        <f t="shared" si="61"/>
        <v>11573</v>
      </c>
    </row>
    <row r="1259" spans="2:24">
      <c r="B1259" t="s">
        <v>542</v>
      </c>
      <c r="C1259" t="s">
        <v>108</v>
      </c>
      <c r="D1259" t="s">
        <v>584</v>
      </c>
      <c r="E1259" t="s">
        <v>584</v>
      </c>
      <c r="F1259" s="705">
        <v>278</v>
      </c>
      <c r="G1259" s="705">
        <v>45714</v>
      </c>
      <c r="H1259" s="705">
        <v>16700</v>
      </c>
      <c r="I1259" s="705">
        <v>857019</v>
      </c>
      <c r="J1259" s="705">
        <v>779109</v>
      </c>
      <c r="K1259" s="705">
        <v>91</v>
      </c>
      <c r="L1259" s="705">
        <v>101405</v>
      </c>
      <c r="M1259" s="705">
        <v>91795</v>
      </c>
      <c r="N1259" s="705">
        <v>559212</v>
      </c>
      <c r="O1259" s="705">
        <v>207116</v>
      </c>
      <c r="P1259" s="705">
        <v>195910</v>
      </c>
      <c r="Q1259" s="705">
        <v>72559</v>
      </c>
      <c r="R1259" s="705">
        <v>1030343</v>
      </c>
      <c r="S1259" s="705">
        <v>936675</v>
      </c>
      <c r="T1259" s="705">
        <v>0</v>
      </c>
      <c r="U1259" s="705">
        <v>0</v>
      </c>
      <c r="V1259" s="705">
        <v>2087253</v>
      </c>
      <c r="W1259" s="705">
        <f t="shared" si="60"/>
        <v>2087254</v>
      </c>
      <c r="X1259" s="705">
        <f t="shared" si="61"/>
        <v>2743889</v>
      </c>
    </row>
    <row r="1260" spans="2:24">
      <c r="B1260" t="s">
        <v>542</v>
      </c>
      <c r="C1260" t="s">
        <v>108</v>
      </c>
      <c r="D1260" t="s">
        <v>673</v>
      </c>
      <c r="E1260" t="s">
        <v>673</v>
      </c>
      <c r="F1260" s="705">
        <v>1</v>
      </c>
      <c r="G1260" s="705">
        <v>131</v>
      </c>
      <c r="H1260" s="705">
        <v>64</v>
      </c>
      <c r="I1260" s="705">
        <v>-525</v>
      </c>
      <c r="J1260" s="705">
        <v>-477</v>
      </c>
      <c r="K1260" s="705">
        <v>69</v>
      </c>
      <c r="L1260" s="705">
        <v>-58</v>
      </c>
      <c r="M1260" s="705">
        <v>-53</v>
      </c>
      <c r="N1260" s="705">
        <v>1596</v>
      </c>
      <c r="O1260" s="705">
        <v>591</v>
      </c>
      <c r="P1260" s="705">
        <v>1848</v>
      </c>
      <c r="Q1260" s="705">
        <v>684</v>
      </c>
      <c r="R1260" s="705">
        <v>5526</v>
      </c>
      <c r="S1260" s="705">
        <v>5024</v>
      </c>
      <c r="T1260" s="705">
        <v>0</v>
      </c>
      <c r="U1260" s="705">
        <v>0</v>
      </c>
      <c r="V1260" s="705">
        <v>5769</v>
      </c>
      <c r="W1260" s="705">
        <f t="shared" si="60"/>
        <v>6829</v>
      </c>
      <c r="X1260" s="705">
        <f t="shared" si="61"/>
        <v>9553</v>
      </c>
    </row>
    <row r="1261" spans="2:24">
      <c r="B1261" t="s">
        <v>542</v>
      </c>
      <c r="C1261" t="s">
        <v>108</v>
      </c>
      <c r="D1261" t="s">
        <v>585</v>
      </c>
      <c r="E1261" t="s">
        <v>585</v>
      </c>
      <c r="F1261" s="705">
        <v>2</v>
      </c>
      <c r="G1261" s="705">
        <v>508</v>
      </c>
      <c r="H1261" s="705">
        <v>115</v>
      </c>
      <c r="I1261" s="705">
        <v>8033</v>
      </c>
      <c r="J1261" s="705">
        <v>7302</v>
      </c>
      <c r="K1261" s="705">
        <v>91</v>
      </c>
      <c r="L1261" s="705">
        <v>1354</v>
      </c>
      <c r="M1261" s="705">
        <v>1231</v>
      </c>
      <c r="N1261" s="705">
        <v>6192</v>
      </c>
      <c r="O1261" s="705">
        <v>2293</v>
      </c>
      <c r="P1261" s="705">
        <v>2954</v>
      </c>
      <c r="Q1261" s="705">
        <v>1094</v>
      </c>
      <c r="R1261" s="705">
        <v>10713</v>
      </c>
      <c r="S1261" s="705">
        <v>9739</v>
      </c>
      <c r="T1261" s="705">
        <v>0</v>
      </c>
      <c r="U1261" s="705">
        <v>0</v>
      </c>
      <c r="V1261" s="705">
        <v>21659</v>
      </c>
      <c r="W1261" s="705">
        <f t="shared" si="60"/>
        <v>21659</v>
      </c>
      <c r="X1261" s="705">
        <f t="shared" si="61"/>
        <v>29246</v>
      </c>
    </row>
    <row r="1262" spans="2:24">
      <c r="B1262" t="s">
        <v>542</v>
      </c>
      <c r="C1262" t="s">
        <v>110</v>
      </c>
      <c r="D1262" t="s">
        <v>228</v>
      </c>
      <c r="E1262" t="s">
        <v>228</v>
      </c>
      <c r="F1262" s="705">
        <v>37</v>
      </c>
      <c r="G1262" s="705">
        <v>11683</v>
      </c>
      <c r="H1262" s="705">
        <v>3242</v>
      </c>
      <c r="I1262" s="705">
        <v>445277</v>
      </c>
      <c r="J1262" s="705">
        <v>164918</v>
      </c>
      <c r="K1262" s="705">
        <v>351</v>
      </c>
      <c r="L1262" s="705">
        <v>119846</v>
      </c>
      <c r="M1262" s="705">
        <v>106995</v>
      </c>
      <c r="N1262" s="705">
        <v>213962</v>
      </c>
      <c r="O1262" s="705">
        <v>79245</v>
      </c>
      <c r="P1262" s="705">
        <v>29482</v>
      </c>
      <c r="Q1262" s="705">
        <v>10919</v>
      </c>
      <c r="R1262" s="705">
        <v>266164</v>
      </c>
      <c r="S1262" s="705">
        <v>98579</v>
      </c>
      <c r="T1262" s="705">
        <v>3582</v>
      </c>
      <c r="U1262" s="705">
        <v>1327</v>
      </c>
      <c r="V1262" s="705">
        <v>461983</v>
      </c>
      <c r="W1262" s="705">
        <f t="shared" si="60"/>
        <v>461983</v>
      </c>
      <c r="X1262" s="705">
        <f t="shared" si="61"/>
        <v>1078313</v>
      </c>
    </row>
    <row r="1263" spans="2:24">
      <c r="B1263" t="s">
        <v>542</v>
      </c>
      <c r="C1263" t="s">
        <v>110</v>
      </c>
      <c r="D1263" t="s">
        <v>724</v>
      </c>
      <c r="E1263" t="s">
        <v>724</v>
      </c>
      <c r="F1263" s="705">
        <v>1</v>
      </c>
      <c r="G1263" s="705">
        <v>451</v>
      </c>
      <c r="H1263" s="705">
        <v>97</v>
      </c>
      <c r="I1263" s="705">
        <v>19652</v>
      </c>
      <c r="J1263" s="705">
        <v>7279</v>
      </c>
      <c r="K1263" s="705">
        <v>320</v>
      </c>
      <c r="L1263" s="705">
        <v>9489</v>
      </c>
      <c r="M1263" s="705">
        <v>8626</v>
      </c>
      <c r="N1263" s="705">
        <v>10440</v>
      </c>
      <c r="O1263" s="705">
        <v>3867</v>
      </c>
      <c r="P1263" s="705">
        <v>351</v>
      </c>
      <c r="Q1263" s="705">
        <v>130</v>
      </c>
      <c r="R1263" s="705">
        <v>3825</v>
      </c>
      <c r="S1263" s="705">
        <v>1417</v>
      </c>
      <c r="T1263" s="705">
        <v>0</v>
      </c>
      <c r="U1263" s="705">
        <v>0</v>
      </c>
      <c r="V1263" s="705">
        <v>21318</v>
      </c>
      <c r="W1263" s="705">
        <f t="shared" si="60"/>
        <v>21319</v>
      </c>
      <c r="X1263" s="705">
        <f t="shared" si="61"/>
        <v>43757</v>
      </c>
    </row>
    <row r="1264" spans="2:24">
      <c r="B1264" t="s">
        <v>542</v>
      </c>
      <c r="C1264" t="s">
        <v>110</v>
      </c>
      <c r="D1264" t="s">
        <v>583</v>
      </c>
      <c r="E1264" t="s">
        <v>228</v>
      </c>
      <c r="F1264" s="705">
        <v>1</v>
      </c>
      <c r="G1264" s="705">
        <v>143</v>
      </c>
      <c r="H1264" s="705">
        <v>98</v>
      </c>
      <c r="I1264" s="705">
        <v>6702</v>
      </c>
      <c r="J1264" s="705">
        <v>6093</v>
      </c>
      <c r="K1264" s="705">
        <v>92</v>
      </c>
      <c r="L1264" s="705">
        <v>964</v>
      </c>
      <c r="M1264" s="705">
        <v>876</v>
      </c>
      <c r="N1264" s="705">
        <v>2740</v>
      </c>
      <c r="O1264" s="705">
        <v>1015</v>
      </c>
      <c r="P1264" s="705">
        <v>621</v>
      </c>
      <c r="Q1264" s="705">
        <v>230</v>
      </c>
      <c r="R1264" s="705">
        <v>2996</v>
      </c>
      <c r="S1264" s="705">
        <v>1109</v>
      </c>
      <c r="T1264" s="705">
        <v>0</v>
      </c>
      <c r="U1264" s="705">
        <v>0</v>
      </c>
      <c r="V1264" s="705">
        <v>9323</v>
      </c>
      <c r="W1264" s="705">
        <f t="shared" si="60"/>
        <v>9323</v>
      </c>
      <c r="X1264" s="705">
        <f t="shared" si="61"/>
        <v>14023</v>
      </c>
    </row>
    <row r="1265" spans="2:24">
      <c r="B1265" t="s">
        <v>542</v>
      </c>
      <c r="C1265" t="s">
        <v>110</v>
      </c>
      <c r="D1265" t="s">
        <v>583</v>
      </c>
      <c r="E1265" t="s">
        <v>583</v>
      </c>
      <c r="F1265" s="705">
        <v>58</v>
      </c>
      <c r="G1265" s="705">
        <v>14749</v>
      </c>
      <c r="H1265" s="705">
        <v>5214</v>
      </c>
      <c r="I1265" s="705">
        <v>718701</v>
      </c>
      <c r="J1265" s="705">
        <v>653365</v>
      </c>
      <c r="K1265" s="705">
        <v>94</v>
      </c>
      <c r="L1265" s="705">
        <v>104179</v>
      </c>
      <c r="M1265" s="705">
        <v>935274</v>
      </c>
      <c r="N1265" s="705">
        <v>214016</v>
      </c>
      <c r="O1265" s="705">
        <v>79265</v>
      </c>
      <c r="P1265" s="705">
        <v>59270</v>
      </c>
      <c r="Q1265" s="705">
        <v>21952</v>
      </c>
      <c r="R1265" s="705">
        <v>245657</v>
      </c>
      <c r="S1265" s="705">
        <v>223325</v>
      </c>
      <c r="T1265" s="705">
        <v>14093</v>
      </c>
      <c r="U1265" s="705">
        <v>5220</v>
      </c>
      <c r="V1265" s="705">
        <v>1918400</v>
      </c>
      <c r="W1265" s="705">
        <f t="shared" si="60"/>
        <v>1918401</v>
      </c>
      <c r="X1265" s="705">
        <f t="shared" si="61"/>
        <v>1355916</v>
      </c>
    </row>
    <row r="1266" spans="2:24">
      <c r="B1266" t="s">
        <v>542</v>
      </c>
      <c r="C1266" t="s">
        <v>110</v>
      </c>
      <c r="D1266" t="s">
        <v>584</v>
      </c>
      <c r="E1266" t="s">
        <v>228</v>
      </c>
      <c r="F1266" s="705">
        <v>1</v>
      </c>
      <c r="G1266" s="705">
        <v>288</v>
      </c>
      <c r="H1266" s="705">
        <v>80</v>
      </c>
      <c r="I1266" s="705">
        <v>13164</v>
      </c>
      <c r="J1266" s="705">
        <v>11967</v>
      </c>
      <c r="K1266" s="705">
        <v>78</v>
      </c>
      <c r="L1266" s="705">
        <v>1906</v>
      </c>
      <c r="M1266" s="705">
        <v>1733</v>
      </c>
      <c r="N1266" s="705">
        <v>3510</v>
      </c>
      <c r="O1266" s="705">
        <v>1300</v>
      </c>
      <c r="P1266" s="705">
        <v>473</v>
      </c>
      <c r="Q1266" s="705">
        <v>175</v>
      </c>
      <c r="R1266" s="705">
        <v>4001</v>
      </c>
      <c r="S1266" s="705">
        <v>1482</v>
      </c>
      <c r="T1266" s="705">
        <v>0</v>
      </c>
      <c r="U1266" s="705">
        <v>0</v>
      </c>
      <c r="V1266" s="705">
        <v>16657</v>
      </c>
      <c r="W1266" s="705">
        <f t="shared" si="60"/>
        <v>16657</v>
      </c>
      <c r="X1266" s="705">
        <f t="shared" si="61"/>
        <v>23054</v>
      </c>
    </row>
    <row r="1267" spans="2:24">
      <c r="B1267" t="s">
        <v>542</v>
      </c>
      <c r="C1267" t="s">
        <v>110</v>
      </c>
      <c r="D1267" t="s">
        <v>584</v>
      </c>
      <c r="E1267" t="s">
        <v>584</v>
      </c>
      <c r="F1267" s="705">
        <v>35</v>
      </c>
      <c r="G1267" s="705">
        <v>6847</v>
      </c>
      <c r="H1267" s="705">
        <v>3047</v>
      </c>
      <c r="I1267" s="705">
        <v>284646</v>
      </c>
      <c r="J1267" s="705">
        <v>258769</v>
      </c>
      <c r="K1267" s="705">
        <v>91</v>
      </c>
      <c r="L1267" s="705">
        <v>57052</v>
      </c>
      <c r="M1267" s="705">
        <v>47340</v>
      </c>
      <c r="N1267" s="705">
        <v>91595</v>
      </c>
      <c r="O1267" s="705">
        <v>33924</v>
      </c>
      <c r="P1267" s="705">
        <v>23512</v>
      </c>
      <c r="Q1267" s="705">
        <v>8708</v>
      </c>
      <c r="R1267" s="705">
        <v>136339</v>
      </c>
      <c r="S1267" s="705">
        <v>123944</v>
      </c>
      <c r="T1267" s="705">
        <v>0</v>
      </c>
      <c r="U1267" s="705">
        <v>0</v>
      </c>
      <c r="V1267" s="705">
        <v>472685</v>
      </c>
      <c r="W1267" s="705">
        <f t="shared" si="60"/>
        <v>472685</v>
      </c>
      <c r="X1267" s="705">
        <f t="shared" si="61"/>
        <v>593144</v>
      </c>
    </row>
    <row r="1268" spans="2:24">
      <c r="B1268" t="s">
        <v>542</v>
      </c>
      <c r="C1268" t="s">
        <v>110</v>
      </c>
      <c r="D1268" t="s">
        <v>673</v>
      </c>
      <c r="E1268" t="s">
        <v>673</v>
      </c>
      <c r="F1268" s="705">
        <v>1</v>
      </c>
      <c r="G1268" s="705">
        <v>228</v>
      </c>
      <c r="H1268" s="705">
        <v>92</v>
      </c>
      <c r="I1268" s="705">
        <v>9350</v>
      </c>
      <c r="J1268" s="705">
        <v>8500</v>
      </c>
      <c r="K1268" s="705">
        <v>80</v>
      </c>
      <c r="L1268" s="705">
        <v>899</v>
      </c>
      <c r="M1268" s="705">
        <v>818</v>
      </c>
      <c r="N1268" s="705">
        <v>2781</v>
      </c>
      <c r="O1268" s="705">
        <v>1030</v>
      </c>
      <c r="P1268" s="705">
        <v>1323</v>
      </c>
      <c r="Q1268" s="705">
        <v>490</v>
      </c>
      <c r="R1268" s="705">
        <v>6585</v>
      </c>
      <c r="S1268" s="705">
        <v>5987</v>
      </c>
      <c r="T1268" s="705">
        <v>0</v>
      </c>
      <c r="U1268" s="705">
        <v>0</v>
      </c>
      <c r="V1268" s="705">
        <v>16824</v>
      </c>
      <c r="W1268" s="705">
        <f t="shared" si="60"/>
        <v>16825</v>
      </c>
      <c r="X1268" s="705">
        <f t="shared" si="61"/>
        <v>20938</v>
      </c>
    </row>
    <row r="1269" spans="2:24">
      <c r="B1269" t="s">
        <v>542</v>
      </c>
      <c r="C1269" t="s">
        <v>112</v>
      </c>
      <c r="D1269" t="s">
        <v>664</v>
      </c>
      <c r="E1269" t="s">
        <v>664</v>
      </c>
      <c r="F1269" s="705">
        <v>1</v>
      </c>
      <c r="G1269" s="705">
        <v>196</v>
      </c>
      <c r="H1269" s="705">
        <v>111</v>
      </c>
      <c r="I1269" s="705">
        <v>12371</v>
      </c>
      <c r="J1269" s="705">
        <v>11246</v>
      </c>
      <c r="K1269" s="705">
        <v>90</v>
      </c>
      <c r="L1269" s="705">
        <v>0</v>
      </c>
      <c r="M1269" s="705">
        <v>0</v>
      </c>
      <c r="N1269" s="705">
        <v>3443</v>
      </c>
      <c r="O1269" s="705">
        <v>1275</v>
      </c>
      <c r="P1269" s="705">
        <v>473</v>
      </c>
      <c r="Q1269" s="705">
        <v>175</v>
      </c>
      <c r="R1269" s="705">
        <v>5512</v>
      </c>
      <c r="S1269" s="705">
        <v>5011</v>
      </c>
      <c r="T1269" s="705">
        <v>0</v>
      </c>
      <c r="U1269" s="705">
        <v>0</v>
      </c>
      <c r="V1269" s="705">
        <v>17708</v>
      </c>
      <c r="W1269" s="705">
        <f t="shared" si="60"/>
        <v>17707</v>
      </c>
      <c r="X1269" s="705">
        <f t="shared" si="61"/>
        <v>21799</v>
      </c>
    </row>
    <row r="1270" spans="2:24">
      <c r="B1270" t="s">
        <v>542</v>
      </c>
      <c r="C1270" t="s">
        <v>112</v>
      </c>
      <c r="D1270" t="s">
        <v>582</v>
      </c>
      <c r="E1270" t="s">
        <v>582</v>
      </c>
      <c r="F1270" s="705">
        <v>6</v>
      </c>
      <c r="G1270" s="705">
        <v>1453</v>
      </c>
      <c r="H1270" s="705">
        <v>685</v>
      </c>
      <c r="I1270" s="705">
        <v>108384</v>
      </c>
      <c r="J1270" s="705">
        <v>98530</v>
      </c>
      <c r="K1270" s="705">
        <v>92</v>
      </c>
      <c r="L1270" s="705">
        <v>17593</v>
      </c>
      <c r="M1270" s="705">
        <v>15606</v>
      </c>
      <c r="N1270" s="705">
        <v>25284</v>
      </c>
      <c r="O1270" s="705">
        <v>9364</v>
      </c>
      <c r="P1270" s="705">
        <v>5994</v>
      </c>
      <c r="Q1270" s="705">
        <v>2220</v>
      </c>
      <c r="R1270" s="705">
        <v>32612</v>
      </c>
      <c r="S1270" s="705">
        <v>29647</v>
      </c>
      <c r="T1270" s="705">
        <v>0</v>
      </c>
      <c r="U1270" s="705">
        <v>0</v>
      </c>
      <c r="V1270" s="705">
        <v>155369</v>
      </c>
      <c r="W1270" s="705">
        <f t="shared" si="60"/>
        <v>155367</v>
      </c>
      <c r="X1270" s="705">
        <f t="shared" si="61"/>
        <v>189867</v>
      </c>
    </row>
    <row r="1271" spans="2:24">
      <c r="B1271" t="s">
        <v>542</v>
      </c>
      <c r="C1271" t="s">
        <v>112</v>
      </c>
      <c r="D1271" t="s">
        <v>228</v>
      </c>
      <c r="E1271" t="s">
        <v>228</v>
      </c>
      <c r="F1271" s="705">
        <v>28</v>
      </c>
      <c r="G1271" s="705">
        <v>7029</v>
      </c>
      <c r="H1271" s="705">
        <v>3127</v>
      </c>
      <c r="I1271" s="705">
        <v>383564</v>
      </c>
      <c r="J1271" s="705">
        <v>142061</v>
      </c>
      <c r="K1271" s="705">
        <v>311</v>
      </c>
      <c r="L1271" s="705">
        <v>114235</v>
      </c>
      <c r="M1271" s="705">
        <v>101375</v>
      </c>
      <c r="N1271" s="705">
        <v>154217</v>
      </c>
      <c r="O1271" s="705">
        <v>57117</v>
      </c>
      <c r="P1271" s="705">
        <v>19228</v>
      </c>
      <c r="Q1271" s="705">
        <v>7121</v>
      </c>
      <c r="R1271" s="705">
        <v>226113</v>
      </c>
      <c r="S1271" s="705">
        <v>83745</v>
      </c>
      <c r="T1271" s="705">
        <v>0</v>
      </c>
      <c r="U1271" s="705">
        <v>0</v>
      </c>
      <c r="V1271" s="705">
        <v>391420</v>
      </c>
      <c r="W1271" s="705">
        <f t="shared" si="60"/>
        <v>391419</v>
      </c>
      <c r="X1271" s="705">
        <f t="shared" si="61"/>
        <v>897357</v>
      </c>
    </row>
    <row r="1272" spans="2:24">
      <c r="B1272" t="s">
        <v>542</v>
      </c>
      <c r="C1272" t="s">
        <v>112</v>
      </c>
      <c r="D1272" t="s">
        <v>724</v>
      </c>
      <c r="E1272" t="s">
        <v>724</v>
      </c>
      <c r="F1272" s="705">
        <v>1</v>
      </c>
      <c r="G1272" s="705">
        <v>533</v>
      </c>
      <c r="H1272" s="705">
        <v>115</v>
      </c>
      <c r="I1272" s="705">
        <v>27277</v>
      </c>
      <c r="J1272" s="705">
        <v>10103</v>
      </c>
      <c r="K1272" s="705">
        <v>320</v>
      </c>
      <c r="L1272" s="705">
        <v>14368</v>
      </c>
      <c r="M1272" s="705">
        <v>11973</v>
      </c>
      <c r="N1272" s="705">
        <v>12997</v>
      </c>
      <c r="O1272" s="705">
        <v>4814</v>
      </c>
      <c r="P1272" s="705">
        <v>351</v>
      </c>
      <c r="Q1272" s="705">
        <v>130</v>
      </c>
      <c r="R1272" s="705">
        <v>6428</v>
      </c>
      <c r="S1272" s="705">
        <v>2381</v>
      </c>
      <c r="T1272" s="705">
        <v>0</v>
      </c>
      <c r="U1272" s="705">
        <v>0</v>
      </c>
      <c r="V1272" s="705">
        <v>29401</v>
      </c>
      <c r="W1272" s="705">
        <f t="shared" si="60"/>
        <v>29401</v>
      </c>
      <c r="X1272" s="705">
        <f t="shared" si="61"/>
        <v>61421</v>
      </c>
    </row>
    <row r="1273" spans="2:24">
      <c r="B1273" t="s">
        <v>542</v>
      </c>
      <c r="C1273" t="s">
        <v>112</v>
      </c>
      <c r="D1273" t="s">
        <v>583</v>
      </c>
      <c r="E1273" t="s">
        <v>228</v>
      </c>
      <c r="F1273" s="705">
        <v>6</v>
      </c>
      <c r="G1273" s="705">
        <v>1328</v>
      </c>
      <c r="H1273" s="705">
        <v>694</v>
      </c>
      <c r="I1273" s="705">
        <v>88496</v>
      </c>
      <c r="J1273" s="705">
        <v>80451</v>
      </c>
      <c r="K1273" s="705">
        <v>93</v>
      </c>
      <c r="L1273" s="705">
        <v>16857</v>
      </c>
      <c r="M1273" s="705">
        <v>15117</v>
      </c>
      <c r="N1273" s="705">
        <v>20349</v>
      </c>
      <c r="O1273" s="705">
        <v>7537</v>
      </c>
      <c r="P1273" s="705">
        <v>9353</v>
      </c>
      <c r="Q1273" s="705">
        <v>3464</v>
      </c>
      <c r="R1273" s="705">
        <v>29655</v>
      </c>
      <c r="S1273" s="705">
        <v>10983</v>
      </c>
      <c r="T1273" s="705">
        <v>0</v>
      </c>
      <c r="U1273" s="705">
        <v>0</v>
      </c>
      <c r="V1273" s="705">
        <v>117552</v>
      </c>
      <c r="W1273" s="705">
        <f t="shared" si="60"/>
        <v>117552</v>
      </c>
      <c r="X1273" s="705">
        <f t="shared" si="61"/>
        <v>164710</v>
      </c>
    </row>
    <row r="1274" spans="2:24">
      <c r="B1274" t="s">
        <v>542</v>
      </c>
      <c r="C1274" t="s">
        <v>112</v>
      </c>
      <c r="D1274" t="s">
        <v>583</v>
      </c>
      <c r="E1274" t="s">
        <v>583</v>
      </c>
      <c r="F1274" s="705">
        <v>171</v>
      </c>
      <c r="G1274" s="705">
        <v>37246</v>
      </c>
      <c r="H1274" s="705">
        <v>19924</v>
      </c>
      <c r="I1274" s="705">
        <v>2745302</v>
      </c>
      <c r="J1274" s="705">
        <v>2495729</v>
      </c>
      <c r="K1274" s="705">
        <v>93</v>
      </c>
      <c r="L1274" s="705">
        <v>483671</v>
      </c>
      <c r="M1274" s="705">
        <v>437534</v>
      </c>
      <c r="N1274" s="705">
        <v>679273</v>
      </c>
      <c r="O1274" s="705">
        <v>251582</v>
      </c>
      <c r="P1274" s="705">
        <v>141064</v>
      </c>
      <c r="Q1274" s="705">
        <v>52246</v>
      </c>
      <c r="R1274" s="705">
        <v>880456</v>
      </c>
      <c r="S1274" s="705">
        <v>800414</v>
      </c>
      <c r="T1274" s="705">
        <v>35395</v>
      </c>
      <c r="U1274" s="705">
        <v>13109</v>
      </c>
      <c r="V1274" s="705">
        <v>4050615</v>
      </c>
      <c r="W1274" s="705">
        <f t="shared" si="60"/>
        <v>4050614</v>
      </c>
      <c r="X1274" s="705">
        <f t="shared" si="61"/>
        <v>4965161</v>
      </c>
    </row>
    <row r="1275" spans="2:24">
      <c r="B1275" t="s">
        <v>542</v>
      </c>
      <c r="C1275" t="s">
        <v>112</v>
      </c>
      <c r="D1275" t="s">
        <v>583</v>
      </c>
      <c r="E1275" t="s">
        <v>665</v>
      </c>
      <c r="F1275" s="705">
        <v>1</v>
      </c>
      <c r="G1275" s="705">
        <v>128</v>
      </c>
      <c r="H1275" s="705">
        <v>123</v>
      </c>
      <c r="I1275" s="705">
        <v>7863</v>
      </c>
      <c r="J1275" s="705">
        <v>7148</v>
      </c>
      <c r="K1275" s="705">
        <v>95</v>
      </c>
      <c r="L1275" s="705">
        <v>1383</v>
      </c>
      <c r="M1275" s="705">
        <v>1258</v>
      </c>
      <c r="N1275" s="705">
        <v>1563</v>
      </c>
      <c r="O1275" s="705">
        <v>579</v>
      </c>
      <c r="P1275" s="705">
        <v>621</v>
      </c>
      <c r="Q1275" s="705">
        <v>230</v>
      </c>
      <c r="R1275" s="705">
        <v>4311</v>
      </c>
      <c r="S1275" s="705">
        <v>3919</v>
      </c>
      <c r="T1275" s="705">
        <v>0</v>
      </c>
      <c r="U1275" s="705">
        <v>0</v>
      </c>
      <c r="V1275" s="705">
        <v>13133</v>
      </c>
      <c r="W1275" s="705">
        <f t="shared" si="60"/>
        <v>13134</v>
      </c>
      <c r="X1275" s="705">
        <f t="shared" si="61"/>
        <v>15741</v>
      </c>
    </row>
    <row r="1276" spans="2:24">
      <c r="B1276" t="s">
        <v>542</v>
      </c>
      <c r="C1276" t="s">
        <v>112</v>
      </c>
      <c r="D1276" t="s">
        <v>584</v>
      </c>
      <c r="E1276" t="s">
        <v>228</v>
      </c>
      <c r="F1276" s="705">
        <v>1</v>
      </c>
      <c r="G1276" s="705">
        <v>200</v>
      </c>
      <c r="H1276" s="705">
        <v>110</v>
      </c>
      <c r="I1276" s="705">
        <v>7698</v>
      </c>
      <c r="J1276" s="705">
        <v>6998</v>
      </c>
      <c r="K1276" s="705">
        <v>90</v>
      </c>
      <c r="L1276" s="705">
        <v>2799</v>
      </c>
      <c r="M1276" s="705">
        <v>2333</v>
      </c>
      <c r="N1276" s="705">
        <v>3770</v>
      </c>
      <c r="O1276" s="705">
        <v>1396</v>
      </c>
      <c r="P1276" s="705">
        <v>2551</v>
      </c>
      <c r="Q1276" s="705">
        <v>945</v>
      </c>
      <c r="R1276" s="705">
        <v>5153</v>
      </c>
      <c r="S1276" s="705">
        <v>1909</v>
      </c>
      <c r="T1276" s="705">
        <v>0</v>
      </c>
      <c r="U1276" s="705">
        <v>0</v>
      </c>
      <c r="V1276" s="705">
        <v>13580</v>
      </c>
      <c r="W1276" s="705">
        <f t="shared" si="60"/>
        <v>13581</v>
      </c>
      <c r="X1276" s="705">
        <f t="shared" si="61"/>
        <v>21971</v>
      </c>
    </row>
    <row r="1277" spans="2:24">
      <c r="B1277" t="s">
        <v>542</v>
      </c>
      <c r="C1277" t="s">
        <v>112</v>
      </c>
      <c r="D1277" t="s">
        <v>584</v>
      </c>
      <c r="E1277" t="s">
        <v>584</v>
      </c>
      <c r="F1277" s="705">
        <v>126</v>
      </c>
      <c r="G1277" s="705">
        <v>22186</v>
      </c>
      <c r="H1277" s="705">
        <v>14638</v>
      </c>
      <c r="I1277" s="705">
        <v>1424368</v>
      </c>
      <c r="J1277" s="705">
        <v>1294880</v>
      </c>
      <c r="K1277" s="705">
        <v>90</v>
      </c>
      <c r="L1277" s="705">
        <v>257878</v>
      </c>
      <c r="M1277" s="705">
        <v>230634</v>
      </c>
      <c r="N1277" s="705">
        <v>366267</v>
      </c>
      <c r="O1277" s="705">
        <v>135654</v>
      </c>
      <c r="P1277" s="705">
        <v>88769</v>
      </c>
      <c r="Q1277" s="705">
        <v>32877</v>
      </c>
      <c r="R1277" s="705">
        <v>592985</v>
      </c>
      <c r="S1277" s="705">
        <v>539078</v>
      </c>
      <c r="T1277" s="705">
        <v>12674</v>
      </c>
      <c r="U1277" s="705">
        <v>4694</v>
      </c>
      <c r="V1277" s="705">
        <v>2237817</v>
      </c>
      <c r="W1277" s="705">
        <f t="shared" si="60"/>
        <v>2237817</v>
      </c>
      <c r="X1277" s="705">
        <f t="shared" si="61"/>
        <v>2742941</v>
      </c>
    </row>
    <row r="1278" spans="2:24">
      <c r="B1278" t="s">
        <v>542</v>
      </c>
      <c r="C1278" t="s">
        <v>112</v>
      </c>
      <c r="D1278" t="s">
        <v>585</v>
      </c>
      <c r="E1278" t="s">
        <v>585</v>
      </c>
      <c r="F1278" s="705">
        <v>3</v>
      </c>
      <c r="G1278" s="705">
        <v>777</v>
      </c>
      <c r="H1278" s="705">
        <v>367</v>
      </c>
      <c r="I1278" s="705">
        <v>58919</v>
      </c>
      <c r="J1278" s="705">
        <v>53563</v>
      </c>
      <c r="K1278" s="705">
        <v>92</v>
      </c>
      <c r="L1278" s="705">
        <v>12388</v>
      </c>
      <c r="M1278" s="705">
        <v>11262</v>
      </c>
      <c r="N1278" s="705">
        <v>11151</v>
      </c>
      <c r="O1278" s="705">
        <v>4130</v>
      </c>
      <c r="P1278" s="705">
        <v>2784</v>
      </c>
      <c r="Q1278" s="705">
        <v>1031</v>
      </c>
      <c r="R1278" s="705">
        <v>12964</v>
      </c>
      <c r="S1278" s="705">
        <v>11786</v>
      </c>
      <c r="T1278" s="705">
        <v>0</v>
      </c>
      <c r="U1278" s="705">
        <v>0</v>
      </c>
      <c r="V1278" s="705">
        <v>81771</v>
      </c>
      <c r="W1278" s="705">
        <f t="shared" si="60"/>
        <v>81772</v>
      </c>
      <c r="X1278" s="705">
        <f t="shared" si="61"/>
        <v>98206</v>
      </c>
    </row>
    <row r="1279" spans="2:24">
      <c r="B1279" t="s">
        <v>542</v>
      </c>
      <c r="C1279" t="s">
        <v>114</v>
      </c>
      <c r="D1279" t="s">
        <v>582</v>
      </c>
      <c r="E1279" t="s">
        <v>582</v>
      </c>
      <c r="F1279" s="705">
        <v>26</v>
      </c>
      <c r="G1279" s="705">
        <v>4678</v>
      </c>
      <c r="H1279" s="705">
        <v>3665</v>
      </c>
      <c r="I1279" s="705">
        <v>429946</v>
      </c>
      <c r="J1279" s="705">
        <v>390860</v>
      </c>
      <c r="K1279" s="705">
        <v>90</v>
      </c>
      <c r="L1279" s="705">
        <v>87890</v>
      </c>
      <c r="M1279" s="705">
        <v>78977</v>
      </c>
      <c r="N1279" s="705">
        <v>92336</v>
      </c>
      <c r="O1279" s="705">
        <v>34199</v>
      </c>
      <c r="P1279" s="705">
        <v>15569</v>
      </c>
      <c r="Q1279" s="705">
        <v>5766</v>
      </c>
      <c r="R1279" s="705">
        <v>121660</v>
      </c>
      <c r="S1279" s="705">
        <v>110600</v>
      </c>
      <c r="T1279" s="705">
        <v>11148</v>
      </c>
      <c r="U1279" s="705">
        <v>4129</v>
      </c>
      <c r="V1279" s="705">
        <v>624531</v>
      </c>
      <c r="W1279" s="705">
        <f t="shared" si="60"/>
        <v>624531</v>
      </c>
      <c r="X1279" s="705">
        <f t="shared" si="61"/>
        <v>758549</v>
      </c>
    </row>
    <row r="1280" spans="2:24">
      <c r="B1280" t="s">
        <v>542</v>
      </c>
      <c r="C1280" t="s">
        <v>114</v>
      </c>
      <c r="D1280" t="s">
        <v>582</v>
      </c>
      <c r="E1280" t="s">
        <v>584</v>
      </c>
      <c r="F1280" s="705">
        <v>1</v>
      </c>
      <c r="G1280" s="705">
        <v>254</v>
      </c>
      <c r="H1280" s="705">
        <v>144</v>
      </c>
      <c r="I1280" s="705">
        <v>20326</v>
      </c>
      <c r="J1280" s="705">
        <v>18478</v>
      </c>
      <c r="K1280" s="705">
        <v>91</v>
      </c>
      <c r="L1280" s="705">
        <v>6813</v>
      </c>
      <c r="M1280" s="705">
        <v>6194</v>
      </c>
      <c r="N1280" s="705">
        <v>3099</v>
      </c>
      <c r="O1280" s="705">
        <v>1148</v>
      </c>
      <c r="P1280" s="705">
        <v>473</v>
      </c>
      <c r="Q1280" s="705">
        <v>175</v>
      </c>
      <c r="R1280" s="705">
        <v>5853</v>
      </c>
      <c r="S1280" s="705">
        <v>5321</v>
      </c>
      <c r="T1280" s="705">
        <v>0</v>
      </c>
      <c r="U1280" s="705">
        <v>0</v>
      </c>
      <c r="V1280" s="705">
        <v>31315</v>
      </c>
      <c r="W1280" s="705">
        <f t="shared" si="60"/>
        <v>31316</v>
      </c>
      <c r="X1280" s="705">
        <f t="shared" si="61"/>
        <v>36564</v>
      </c>
    </row>
    <row r="1281" spans="2:24">
      <c r="B1281" t="s">
        <v>542</v>
      </c>
      <c r="C1281" t="s">
        <v>114</v>
      </c>
      <c r="D1281" t="s">
        <v>228</v>
      </c>
      <c r="E1281" t="s">
        <v>228</v>
      </c>
      <c r="F1281" s="705">
        <v>23</v>
      </c>
      <c r="G1281" s="705">
        <v>6471</v>
      </c>
      <c r="H1281" s="705">
        <v>3151</v>
      </c>
      <c r="I1281" s="705">
        <v>466639</v>
      </c>
      <c r="J1281" s="705">
        <v>172829</v>
      </c>
      <c r="K1281" s="705">
        <v>295</v>
      </c>
      <c r="L1281" s="705">
        <v>133337</v>
      </c>
      <c r="M1281" s="705">
        <v>118519</v>
      </c>
      <c r="N1281" s="705">
        <v>137984</v>
      </c>
      <c r="O1281" s="705">
        <v>51105</v>
      </c>
      <c r="P1281" s="705">
        <v>25806</v>
      </c>
      <c r="Q1281" s="705">
        <v>9558</v>
      </c>
      <c r="R1281" s="705">
        <v>219145</v>
      </c>
      <c r="S1281" s="705">
        <v>81165</v>
      </c>
      <c r="T1281" s="705">
        <v>0</v>
      </c>
      <c r="U1281" s="705">
        <v>0</v>
      </c>
      <c r="V1281" s="705">
        <v>433176</v>
      </c>
      <c r="W1281" s="705">
        <f t="shared" si="60"/>
        <v>433176</v>
      </c>
      <c r="X1281" s="705">
        <f t="shared" si="61"/>
        <v>982911</v>
      </c>
    </row>
    <row r="1282" spans="2:24">
      <c r="B1282" t="s">
        <v>542</v>
      </c>
      <c r="C1282" t="s">
        <v>114</v>
      </c>
      <c r="D1282" t="s">
        <v>228</v>
      </c>
      <c r="E1282" t="s">
        <v>583</v>
      </c>
      <c r="F1282" s="705">
        <v>1</v>
      </c>
      <c r="G1282" s="705">
        <v>217</v>
      </c>
      <c r="H1282" s="705">
        <v>136</v>
      </c>
      <c r="I1282" s="705">
        <v>14656</v>
      </c>
      <c r="J1282" s="705">
        <v>5428</v>
      </c>
      <c r="K1282" s="705">
        <v>320</v>
      </c>
      <c r="L1282" s="705">
        <v>1981</v>
      </c>
      <c r="M1282" s="705">
        <v>1801</v>
      </c>
      <c r="N1282" s="705">
        <v>4251</v>
      </c>
      <c r="O1282" s="705">
        <v>1574</v>
      </c>
      <c r="P1282" s="705">
        <v>351</v>
      </c>
      <c r="Q1282" s="705">
        <v>130</v>
      </c>
      <c r="R1282" s="705">
        <v>4648</v>
      </c>
      <c r="S1282" s="705">
        <v>4226</v>
      </c>
      <c r="T1282" s="705">
        <v>3671</v>
      </c>
      <c r="U1282" s="705">
        <v>1360</v>
      </c>
      <c r="V1282" s="705">
        <v>14519</v>
      </c>
      <c r="W1282" s="705">
        <f t="shared" si="60"/>
        <v>14519</v>
      </c>
      <c r="X1282" s="705">
        <f t="shared" si="61"/>
        <v>29558</v>
      </c>
    </row>
    <row r="1283" spans="2:24">
      <c r="B1283" t="s">
        <v>542</v>
      </c>
      <c r="C1283" t="s">
        <v>114</v>
      </c>
      <c r="D1283" t="s">
        <v>583</v>
      </c>
      <c r="E1283" t="s">
        <v>228</v>
      </c>
      <c r="F1283" s="705">
        <v>2</v>
      </c>
      <c r="G1283" s="705">
        <v>403</v>
      </c>
      <c r="H1283" s="705">
        <v>284</v>
      </c>
      <c r="I1283" s="705">
        <v>36159</v>
      </c>
      <c r="J1283" s="705">
        <v>32872</v>
      </c>
      <c r="K1283" s="705">
        <v>93</v>
      </c>
      <c r="L1283" s="705">
        <v>6195</v>
      </c>
      <c r="M1283" s="705">
        <v>5632</v>
      </c>
      <c r="N1283" s="705">
        <v>6664</v>
      </c>
      <c r="O1283" s="705">
        <v>2468</v>
      </c>
      <c r="P1283" s="705">
        <v>1242</v>
      </c>
      <c r="Q1283" s="705">
        <v>460</v>
      </c>
      <c r="R1283" s="705">
        <v>6394</v>
      </c>
      <c r="S1283" s="705">
        <v>2368</v>
      </c>
      <c r="T1283" s="705">
        <v>0</v>
      </c>
      <c r="U1283" s="705">
        <v>0</v>
      </c>
      <c r="V1283" s="705">
        <v>43800</v>
      </c>
      <c r="W1283" s="705">
        <f t="shared" si="60"/>
        <v>43800</v>
      </c>
      <c r="X1283" s="705">
        <f t="shared" si="61"/>
        <v>56654</v>
      </c>
    </row>
    <row r="1284" spans="2:24">
      <c r="B1284" t="s">
        <v>542</v>
      </c>
      <c r="C1284" t="s">
        <v>114</v>
      </c>
      <c r="D1284" t="s">
        <v>583</v>
      </c>
      <c r="E1284" t="s">
        <v>583</v>
      </c>
      <c r="F1284" s="705">
        <v>542</v>
      </c>
      <c r="G1284" s="705">
        <v>113956</v>
      </c>
      <c r="H1284" s="705">
        <v>75889</v>
      </c>
      <c r="I1284" s="705">
        <v>9866959</v>
      </c>
      <c r="J1284" s="705">
        <v>8969962</v>
      </c>
      <c r="K1284" s="705">
        <v>90</v>
      </c>
      <c r="L1284" s="705">
        <v>1956548</v>
      </c>
      <c r="M1284" s="705">
        <v>1748096</v>
      </c>
      <c r="N1284" s="705">
        <v>2300598</v>
      </c>
      <c r="O1284" s="705">
        <v>852073</v>
      </c>
      <c r="P1284" s="705">
        <v>402678</v>
      </c>
      <c r="Q1284" s="705">
        <v>149140</v>
      </c>
      <c r="R1284" s="705">
        <v>2992663</v>
      </c>
      <c r="S1284" s="705">
        <v>2720603</v>
      </c>
      <c r="T1284" s="705">
        <v>230263</v>
      </c>
      <c r="U1284" s="705">
        <v>85282</v>
      </c>
      <c r="V1284" s="705">
        <v>14525157</v>
      </c>
      <c r="W1284" s="705">
        <f t="shared" si="60"/>
        <v>14525156</v>
      </c>
      <c r="X1284" s="705">
        <f t="shared" si="61"/>
        <v>17749709</v>
      </c>
    </row>
    <row r="1285" spans="2:24">
      <c r="B1285" t="s">
        <v>542</v>
      </c>
      <c r="C1285" t="s">
        <v>114</v>
      </c>
      <c r="D1285" t="s">
        <v>583</v>
      </c>
      <c r="E1285" t="s">
        <v>666</v>
      </c>
      <c r="F1285" s="705">
        <v>1</v>
      </c>
      <c r="G1285" s="705">
        <v>343</v>
      </c>
      <c r="H1285" s="705">
        <v>146</v>
      </c>
      <c r="I1285" s="705">
        <v>29888</v>
      </c>
      <c r="J1285" s="705">
        <v>27170</v>
      </c>
      <c r="K1285" s="705">
        <v>79</v>
      </c>
      <c r="L1285" s="705">
        <v>4372</v>
      </c>
      <c r="M1285" s="705">
        <v>3975</v>
      </c>
      <c r="N1285" s="705">
        <v>6804</v>
      </c>
      <c r="O1285" s="705">
        <v>2520</v>
      </c>
      <c r="P1285" s="705">
        <v>621</v>
      </c>
      <c r="Q1285" s="705">
        <v>230</v>
      </c>
      <c r="R1285" s="705">
        <v>8470</v>
      </c>
      <c r="S1285" s="705">
        <v>7700</v>
      </c>
      <c r="T1285" s="705">
        <v>0</v>
      </c>
      <c r="U1285" s="705">
        <v>0</v>
      </c>
      <c r="V1285" s="705">
        <v>41595</v>
      </c>
      <c r="W1285" s="705">
        <f t="shared" si="60"/>
        <v>41595</v>
      </c>
      <c r="X1285" s="705">
        <f t="shared" si="61"/>
        <v>50155</v>
      </c>
    </row>
    <row r="1286" spans="2:24">
      <c r="B1286" t="s">
        <v>542</v>
      </c>
      <c r="C1286" t="s">
        <v>114</v>
      </c>
      <c r="D1286" t="s">
        <v>583</v>
      </c>
      <c r="E1286" t="s">
        <v>584</v>
      </c>
      <c r="F1286" s="705">
        <v>1</v>
      </c>
      <c r="G1286" s="705">
        <v>348</v>
      </c>
      <c r="H1286" s="705">
        <v>149</v>
      </c>
      <c r="I1286" s="705">
        <v>29269</v>
      </c>
      <c r="J1286" s="705">
        <v>26608</v>
      </c>
      <c r="K1286" s="705">
        <v>86</v>
      </c>
      <c r="L1286" s="705">
        <v>3677</v>
      </c>
      <c r="M1286" s="705">
        <v>3342</v>
      </c>
      <c r="N1286" s="705">
        <v>8473</v>
      </c>
      <c r="O1286" s="705">
        <v>3138</v>
      </c>
      <c r="P1286" s="705">
        <v>621</v>
      </c>
      <c r="Q1286" s="705">
        <v>230</v>
      </c>
      <c r="R1286" s="705">
        <v>5190</v>
      </c>
      <c r="S1286" s="705">
        <v>4718</v>
      </c>
      <c r="T1286" s="705">
        <v>4565</v>
      </c>
      <c r="U1286" s="705">
        <v>1691</v>
      </c>
      <c r="V1286" s="705">
        <v>39727</v>
      </c>
      <c r="W1286" s="705">
        <f t="shared" si="60"/>
        <v>39727</v>
      </c>
      <c r="X1286" s="705">
        <f t="shared" si="61"/>
        <v>51795</v>
      </c>
    </row>
    <row r="1287" spans="2:24">
      <c r="B1287" t="s">
        <v>542</v>
      </c>
      <c r="C1287" t="s">
        <v>114</v>
      </c>
      <c r="D1287" t="s">
        <v>583</v>
      </c>
      <c r="E1287" t="s">
        <v>665</v>
      </c>
      <c r="F1287" s="705">
        <v>1</v>
      </c>
      <c r="G1287" s="705">
        <v>245</v>
      </c>
      <c r="H1287" s="705">
        <v>141</v>
      </c>
      <c r="I1287" s="705">
        <v>19422</v>
      </c>
      <c r="J1287" s="705">
        <v>17656</v>
      </c>
      <c r="K1287" s="705">
        <v>83</v>
      </c>
      <c r="L1287" s="705">
        <v>5970</v>
      </c>
      <c r="M1287" s="705">
        <v>5428</v>
      </c>
      <c r="N1287" s="705">
        <v>3575</v>
      </c>
      <c r="O1287" s="705">
        <v>1324</v>
      </c>
      <c r="P1287" s="705">
        <v>621</v>
      </c>
      <c r="Q1287" s="705">
        <v>230</v>
      </c>
      <c r="R1287" s="705">
        <v>4916</v>
      </c>
      <c r="S1287" s="705">
        <v>4469</v>
      </c>
      <c r="T1287" s="705">
        <v>0</v>
      </c>
      <c r="U1287" s="705">
        <v>0</v>
      </c>
      <c r="V1287" s="705">
        <v>29107</v>
      </c>
      <c r="W1287" s="705">
        <f t="shared" ref="W1287:W1350" si="62">SUM(ABS(J1287),ABS(M1287),ABS(O1287),ABS(Q1287),ABS(S1287),ABS(U1287))</f>
        <v>29107</v>
      </c>
      <c r="X1287" s="705">
        <f t="shared" ref="X1287:X1350" si="63">SUM(ABS(I1287),ABS(N1287),ABS(P1287),ABS(R1287),ABS(T1287),ABS(L1287))</f>
        <v>34504</v>
      </c>
    </row>
    <row r="1288" spans="2:24">
      <c r="B1288" t="s">
        <v>542</v>
      </c>
      <c r="C1288" t="s">
        <v>114</v>
      </c>
      <c r="D1288" t="s">
        <v>584</v>
      </c>
      <c r="E1288" t="s">
        <v>228</v>
      </c>
      <c r="F1288" s="705">
        <v>1</v>
      </c>
      <c r="G1288" s="705">
        <v>189</v>
      </c>
      <c r="H1288" s="705">
        <v>132</v>
      </c>
      <c r="I1288" s="705">
        <v>12156</v>
      </c>
      <c r="J1288" s="705">
        <v>11051</v>
      </c>
      <c r="K1288" s="705">
        <v>90</v>
      </c>
      <c r="L1288" s="705">
        <v>4219</v>
      </c>
      <c r="M1288" s="705">
        <v>3516</v>
      </c>
      <c r="N1288" s="705">
        <v>2304</v>
      </c>
      <c r="O1288" s="705">
        <v>853</v>
      </c>
      <c r="P1288" s="705">
        <v>824</v>
      </c>
      <c r="Q1288" s="705">
        <v>305</v>
      </c>
      <c r="R1288" s="705">
        <v>5494</v>
      </c>
      <c r="S1288" s="705">
        <v>2035</v>
      </c>
      <c r="T1288" s="705">
        <v>0</v>
      </c>
      <c r="U1288" s="705">
        <v>0</v>
      </c>
      <c r="V1288" s="705">
        <v>17760</v>
      </c>
      <c r="W1288" s="705">
        <f t="shared" si="62"/>
        <v>17760</v>
      </c>
      <c r="X1288" s="705">
        <f t="shared" si="63"/>
        <v>24997</v>
      </c>
    </row>
    <row r="1289" spans="2:24">
      <c r="B1289" t="s">
        <v>542</v>
      </c>
      <c r="C1289" t="s">
        <v>114</v>
      </c>
      <c r="D1289" t="s">
        <v>584</v>
      </c>
      <c r="E1289" t="s">
        <v>584</v>
      </c>
      <c r="F1289" s="705">
        <v>422</v>
      </c>
      <c r="G1289" s="705">
        <v>72677</v>
      </c>
      <c r="H1289" s="705">
        <v>59182</v>
      </c>
      <c r="I1289" s="705">
        <v>5820217</v>
      </c>
      <c r="J1289" s="705">
        <v>5291107</v>
      </c>
      <c r="K1289" s="705">
        <v>88</v>
      </c>
      <c r="L1289" s="705">
        <v>1117284</v>
      </c>
      <c r="M1289" s="705">
        <v>982954</v>
      </c>
      <c r="N1289" s="705">
        <v>1358582</v>
      </c>
      <c r="O1289" s="705">
        <v>503178</v>
      </c>
      <c r="P1289" s="705">
        <v>225283</v>
      </c>
      <c r="Q1289" s="705">
        <v>83438</v>
      </c>
      <c r="R1289" s="705">
        <v>2138886</v>
      </c>
      <c r="S1289" s="705">
        <v>1944442</v>
      </c>
      <c r="T1289" s="705">
        <v>129174</v>
      </c>
      <c r="U1289" s="705">
        <v>47842</v>
      </c>
      <c r="V1289" s="705">
        <v>8852960</v>
      </c>
      <c r="W1289" s="705">
        <f t="shared" si="62"/>
        <v>8852961</v>
      </c>
      <c r="X1289" s="705">
        <f t="shared" si="63"/>
        <v>10789426</v>
      </c>
    </row>
    <row r="1290" spans="2:24">
      <c r="B1290" t="s">
        <v>542</v>
      </c>
      <c r="C1290" t="s">
        <v>114</v>
      </c>
      <c r="D1290" t="s">
        <v>584</v>
      </c>
      <c r="E1290" t="s">
        <v>665</v>
      </c>
      <c r="F1290" s="705">
        <v>1</v>
      </c>
      <c r="G1290" s="705">
        <v>123</v>
      </c>
      <c r="H1290" s="705">
        <v>127</v>
      </c>
      <c r="I1290" s="705">
        <v>5701</v>
      </c>
      <c r="J1290" s="705">
        <v>5183</v>
      </c>
      <c r="K1290" s="705">
        <v>91</v>
      </c>
      <c r="L1290" s="705">
        <v>1829</v>
      </c>
      <c r="M1290" s="705">
        <v>1662</v>
      </c>
      <c r="N1290" s="705">
        <v>2992</v>
      </c>
      <c r="O1290" s="705">
        <v>1108</v>
      </c>
      <c r="P1290" s="705">
        <v>473</v>
      </c>
      <c r="Q1290" s="705">
        <v>175</v>
      </c>
      <c r="R1290" s="705">
        <v>4570</v>
      </c>
      <c r="S1290" s="705">
        <v>4155</v>
      </c>
      <c r="T1290" s="705">
        <v>0</v>
      </c>
      <c r="U1290" s="705">
        <v>0</v>
      </c>
      <c r="V1290" s="705">
        <v>12283</v>
      </c>
      <c r="W1290" s="705">
        <f t="shared" si="62"/>
        <v>12283</v>
      </c>
      <c r="X1290" s="705">
        <f t="shared" si="63"/>
        <v>15565</v>
      </c>
    </row>
    <row r="1291" spans="2:24">
      <c r="B1291" t="s">
        <v>542</v>
      </c>
      <c r="C1291" t="s">
        <v>114</v>
      </c>
      <c r="D1291" t="s">
        <v>673</v>
      </c>
      <c r="E1291" t="s">
        <v>228</v>
      </c>
      <c r="F1291" s="705">
        <v>1</v>
      </c>
      <c r="G1291" s="705">
        <v>164</v>
      </c>
      <c r="H1291" s="705">
        <v>146</v>
      </c>
      <c r="I1291" s="705">
        <v>12924</v>
      </c>
      <c r="J1291" s="705">
        <v>11749</v>
      </c>
      <c r="K1291" s="705">
        <v>79</v>
      </c>
      <c r="L1291" s="705">
        <v>0</v>
      </c>
      <c r="M1291" s="705">
        <v>0</v>
      </c>
      <c r="N1291" s="705">
        <v>1995</v>
      </c>
      <c r="O1291" s="705">
        <v>739</v>
      </c>
      <c r="P1291" s="705">
        <v>1354</v>
      </c>
      <c r="Q1291" s="705">
        <v>501</v>
      </c>
      <c r="R1291" s="705">
        <v>7571</v>
      </c>
      <c r="S1291" s="705">
        <v>2804</v>
      </c>
      <c r="T1291" s="705">
        <v>0</v>
      </c>
      <c r="U1291" s="705">
        <v>0</v>
      </c>
      <c r="V1291" s="705">
        <v>15794</v>
      </c>
      <c r="W1291" s="705">
        <f t="shared" si="62"/>
        <v>15793</v>
      </c>
      <c r="X1291" s="705">
        <f t="shared" si="63"/>
        <v>23844</v>
      </c>
    </row>
    <row r="1292" spans="2:24">
      <c r="B1292" t="s">
        <v>542</v>
      </c>
      <c r="C1292" t="s">
        <v>114</v>
      </c>
      <c r="D1292" t="s">
        <v>585</v>
      </c>
      <c r="E1292" t="s">
        <v>585</v>
      </c>
      <c r="F1292" s="705">
        <v>10</v>
      </c>
      <c r="G1292" s="705">
        <v>2603</v>
      </c>
      <c r="H1292" s="705">
        <v>1413</v>
      </c>
      <c r="I1292" s="705">
        <v>254846</v>
      </c>
      <c r="J1292" s="705">
        <v>231678</v>
      </c>
      <c r="K1292" s="705">
        <v>79</v>
      </c>
      <c r="L1292" s="705">
        <v>42032</v>
      </c>
      <c r="M1292" s="705">
        <v>37778</v>
      </c>
      <c r="N1292" s="705">
        <v>47240</v>
      </c>
      <c r="O1292" s="705">
        <v>17496</v>
      </c>
      <c r="P1292" s="705">
        <v>7619</v>
      </c>
      <c r="Q1292" s="705">
        <v>2822</v>
      </c>
      <c r="R1292" s="705">
        <v>61532</v>
      </c>
      <c r="S1292" s="705">
        <v>55938</v>
      </c>
      <c r="T1292" s="705">
        <v>0</v>
      </c>
      <c r="U1292" s="705">
        <v>0</v>
      </c>
      <c r="V1292" s="705">
        <v>345712</v>
      </c>
      <c r="W1292" s="705">
        <f t="shared" si="62"/>
        <v>345712</v>
      </c>
      <c r="X1292" s="705">
        <f t="shared" si="63"/>
        <v>413269</v>
      </c>
    </row>
    <row r="1293" spans="2:24">
      <c r="B1293" t="s">
        <v>542</v>
      </c>
      <c r="C1293" t="s">
        <v>114</v>
      </c>
      <c r="D1293" t="s">
        <v>668</v>
      </c>
      <c r="E1293" t="s">
        <v>668</v>
      </c>
      <c r="F1293" s="705">
        <v>1</v>
      </c>
      <c r="G1293" s="705">
        <v>141</v>
      </c>
      <c r="H1293" s="705">
        <v>140</v>
      </c>
      <c r="I1293" s="705">
        <v>11168</v>
      </c>
      <c r="J1293" s="705">
        <v>10152</v>
      </c>
      <c r="K1293" s="705">
        <v>86</v>
      </c>
      <c r="L1293" s="705">
        <v>1651</v>
      </c>
      <c r="M1293" s="705">
        <v>1501</v>
      </c>
      <c r="N1293" s="705">
        <v>1723</v>
      </c>
      <c r="O1293" s="705">
        <v>638</v>
      </c>
      <c r="P1293" s="705">
        <v>351</v>
      </c>
      <c r="Q1293" s="705">
        <v>130</v>
      </c>
      <c r="R1293" s="705">
        <v>4950</v>
      </c>
      <c r="S1293" s="705">
        <v>4500</v>
      </c>
      <c r="T1293" s="705">
        <v>0</v>
      </c>
      <c r="U1293" s="705">
        <v>0</v>
      </c>
      <c r="V1293" s="705">
        <v>16922</v>
      </c>
      <c r="W1293" s="705">
        <f t="shared" si="62"/>
        <v>16921</v>
      </c>
      <c r="X1293" s="705">
        <f t="shared" si="63"/>
        <v>19843</v>
      </c>
    </row>
    <row r="1294" spans="2:24">
      <c r="B1294" t="s">
        <v>542</v>
      </c>
      <c r="C1294" t="s">
        <v>116</v>
      </c>
      <c r="F1294" s="705">
        <v>3</v>
      </c>
      <c r="G1294" s="705">
        <v>437</v>
      </c>
      <c r="H1294" s="705">
        <v>513</v>
      </c>
      <c r="I1294" s="705"/>
      <c r="J1294" s="705">
        <v>0</v>
      </c>
      <c r="K1294" s="705"/>
      <c r="L1294" s="705"/>
      <c r="M1294" s="705">
        <v>0</v>
      </c>
      <c r="N1294" s="705">
        <v>9516</v>
      </c>
      <c r="O1294" s="705">
        <v>3524</v>
      </c>
      <c r="P1294" s="705">
        <v>1944</v>
      </c>
      <c r="Q1294" s="705">
        <v>720</v>
      </c>
      <c r="R1294" s="705"/>
      <c r="S1294" s="705">
        <v>0</v>
      </c>
      <c r="T1294" s="705">
        <v>0</v>
      </c>
      <c r="U1294" s="705">
        <v>0</v>
      </c>
      <c r="V1294" s="705">
        <v>4244</v>
      </c>
      <c r="W1294" s="705">
        <f t="shared" si="62"/>
        <v>4244</v>
      </c>
      <c r="X1294" s="705">
        <f t="shared" si="63"/>
        <v>11460</v>
      </c>
    </row>
    <row r="1295" spans="2:24">
      <c r="B1295" t="s">
        <v>542</v>
      </c>
      <c r="C1295" t="s">
        <v>116</v>
      </c>
      <c r="D1295" t="s">
        <v>664</v>
      </c>
      <c r="E1295" t="s">
        <v>664</v>
      </c>
      <c r="F1295" s="705">
        <v>4</v>
      </c>
      <c r="G1295" s="705">
        <v>505</v>
      </c>
      <c r="H1295" s="705">
        <v>698</v>
      </c>
      <c r="I1295" s="705">
        <v>54246</v>
      </c>
      <c r="J1295" s="705">
        <v>49315</v>
      </c>
      <c r="K1295" s="705">
        <v>91</v>
      </c>
      <c r="L1295" s="705">
        <v>6907</v>
      </c>
      <c r="M1295" s="705">
        <v>6279</v>
      </c>
      <c r="N1295" s="705">
        <v>8911</v>
      </c>
      <c r="O1295" s="705">
        <v>3300</v>
      </c>
      <c r="P1295" s="705">
        <v>1890</v>
      </c>
      <c r="Q1295" s="705">
        <v>700</v>
      </c>
      <c r="R1295" s="705">
        <v>16206</v>
      </c>
      <c r="S1295" s="705">
        <v>14733</v>
      </c>
      <c r="T1295" s="705">
        <v>0</v>
      </c>
      <c r="U1295" s="705">
        <v>0</v>
      </c>
      <c r="V1295" s="705">
        <v>74327</v>
      </c>
      <c r="W1295" s="705">
        <f t="shared" si="62"/>
        <v>74327</v>
      </c>
      <c r="X1295" s="705">
        <f t="shared" si="63"/>
        <v>88160</v>
      </c>
    </row>
    <row r="1296" spans="2:24">
      <c r="B1296" t="s">
        <v>542</v>
      </c>
      <c r="C1296" t="s">
        <v>116</v>
      </c>
      <c r="D1296" t="s">
        <v>664</v>
      </c>
      <c r="E1296" t="s">
        <v>228</v>
      </c>
      <c r="F1296" s="705">
        <v>1</v>
      </c>
      <c r="G1296" s="705">
        <v>356</v>
      </c>
      <c r="H1296" s="705">
        <v>160</v>
      </c>
      <c r="I1296" s="705">
        <v>28679</v>
      </c>
      <c r="J1296" s="705">
        <v>26072</v>
      </c>
      <c r="K1296" s="705">
        <v>90</v>
      </c>
      <c r="L1296" s="705">
        <v>14371</v>
      </c>
      <c r="M1296" s="705">
        <v>13065</v>
      </c>
      <c r="N1296" s="705">
        <v>8685</v>
      </c>
      <c r="O1296" s="705">
        <v>3217</v>
      </c>
      <c r="P1296" s="705">
        <v>473</v>
      </c>
      <c r="Q1296" s="705">
        <v>175</v>
      </c>
      <c r="R1296" s="705">
        <v>4641</v>
      </c>
      <c r="S1296" s="705">
        <v>1719</v>
      </c>
      <c r="T1296" s="705">
        <v>0</v>
      </c>
      <c r="U1296" s="705">
        <v>0</v>
      </c>
      <c r="V1296" s="705">
        <v>44247</v>
      </c>
      <c r="W1296" s="705">
        <f t="shared" si="62"/>
        <v>44248</v>
      </c>
      <c r="X1296" s="705">
        <f t="shared" si="63"/>
        <v>56849</v>
      </c>
    </row>
    <row r="1297" spans="2:24">
      <c r="B1297" t="s">
        <v>542</v>
      </c>
      <c r="C1297" t="s">
        <v>116</v>
      </c>
      <c r="D1297" t="s">
        <v>582</v>
      </c>
      <c r="E1297" t="s">
        <v>664</v>
      </c>
      <c r="F1297" s="705">
        <v>1</v>
      </c>
      <c r="G1297" s="705">
        <v>153</v>
      </c>
      <c r="H1297" s="705">
        <v>178</v>
      </c>
      <c r="I1297" s="705">
        <v>14360</v>
      </c>
      <c r="J1297" s="705">
        <v>13055</v>
      </c>
      <c r="K1297" s="705">
        <v>91</v>
      </c>
      <c r="L1297" s="705">
        <v>4851</v>
      </c>
      <c r="M1297" s="705">
        <v>4410</v>
      </c>
      <c r="N1297" s="705">
        <v>2631</v>
      </c>
      <c r="O1297" s="705">
        <v>974</v>
      </c>
      <c r="P1297" s="705">
        <v>621</v>
      </c>
      <c r="Q1297" s="705">
        <v>230</v>
      </c>
      <c r="R1297" s="705">
        <v>4810</v>
      </c>
      <c r="S1297" s="705">
        <v>4373</v>
      </c>
      <c r="T1297" s="705">
        <v>0</v>
      </c>
      <c r="U1297" s="705">
        <v>0</v>
      </c>
      <c r="V1297" s="705">
        <v>23042</v>
      </c>
      <c r="W1297" s="705">
        <f t="shared" si="62"/>
        <v>23042</v>
      </c>
      <c r="X1297" s="705">
        <f t="shared" si="63"/>
        <v>27273</v>
      </c>
    </row>
    <row r="1298" spans="2:24">
      <c r="B1298" t="s">
        <v>542</v>
      </c>
      <c r="C1298" t="s">
        <v>116</v>
      </c>
      <c r="D1298" t="s">
        <v>582</v>
      </c>
      <c r="E1298" t="s">
        <v>582</v>
      </c>
      <c r="F1298" s="705">
        <v>94</v>
      </c>
      <c r="G1298" s="705">
        <v>14225</v>
      </c>
      <c r="H1298" s="705">
        <v>18151</v>
      </c>
      <c r="I1298" s="705">
        <v>1601091</v>
      </c>
      <c r="J1298" s="705">
        <v>1455537</v>
      </c>
      <c r="K1298" s="705">
        <v>87</v>
      </c>
      <c r="L1298" s="705">
        <v>368562</v>
      </c>
      <c r="M1298" s="705">
        <v>324051</v>
      </c>
      <c r="N1298" s="705">
        <v>305745</v>
      </c>
      <c r="O1298" s="705">
        <v>113239</v>
      </c>
      <c r="P1298" s="705">
        <v>45765</v>
      </c>
      <c r="Q1298" s="705">
        <v>16950</v>
      </c>
      <c r="R1298" s="705">
        <v>457928</v>
      </c>
      <c r="S1298" s="705">
        <v>416299</v>
      </c>
      <c r="T1298" s="705">
        <v>32420</v>
      </c>
      <c r="U1298" s="705">
        <v>12007</v>
      </c>
      <c r="V1298" s="705">
        <v>2338083</v>
      </c>
      <c r="W1298" s="705">
        <f t="shared" si="62"/>
        <v>2338083</v>
      </c>
      <c r="X1298" s="705">
        <f t="shared" si="63"/>
        <v>2811511</v>
      </c>
    </row>
    <row r="1299" spans="2:24">
      <c r="B1299" t="s">
        <v>542</v>
      </c>
      <c r="C1299" t="s">
        <v>116</v>
      </c>
      <c r="D1299" t="s">
        <v>582</v>
      </c>
      <c r="E1299" t="s">
        <v>665</v>
      </c>
      <c r="F1299" s="705">
        <v>1</v>
      </c>
      <c r="G1299" s="705">
        <v>172</v>
      </c>
      <c r="H1299" s="705">
        <v>198</v>
      </c>
      <c r="I1299" s="705">
        <v>26541</v>
      </c>
      <c r="J1299" s="705">
        <v>24128</v>
      </c>
      <c r="K1299" s="705">
        <v>92</v>
      </c>
      <c r="L1299" s="705">
        <v>4527</v>
      </c>
      <c r="M1299" s="705">
        <v>4115</v>
      </c>
      <c r="N1299" s="705">
        <v>6317</v>
      </c>
      <c r="O1299" s="705">
        <v>2340</v>
      </c>
      <c r="P1299" s="705">
        <v>473</v>
      </c>
      <c r="Q1299" s="705">
        <v>175</v>
      </c>
      <c r="R1299" s="705">
        <v>9359</v>
      </c>
      <c r="S1299" s="705">
        <v>8508</v>
      </c>
      <c r="T1299" s="705">
        <v>4005</v>
      </c>
      <c r="U1299" s="705">
        <v>1483</v>
      </c>
      <c r="V1299" s="705">
        <v>40749</v>
      </c>
      <c r="W1299" s="705">
        <f t="shared" si="62"/>
        <v>40749</v>
      </c>
      <c r="X1299" s="705">
        <f t="shared" si="63"/>
        <v>51222</v>
      </c>
    </row>
    <row r="1300" spans="2:24">
      <c r="B1300" t="s">
        <v>542</v>
      </c>
      <c r="C1300" t="s">
        <v>116</v>
      </c>
      <c r="D1300" t="s">
        <v>228</v>
      </c>
      <c r="E1300" t="s">
        <v>228</v>
      </c>
      <c r="F1300" s="705">
        <v>16</v>
      </c>
      <c r="G1300" s="705">
        <v>4651</v>
      </c>
      <c r="H1300" s="705">
        <v>2848</v>
      </c>
      <c r="I1300" s="705">
        <v>442696</v>
      </c>
      <c r="J1300" s="705">
        <v>163961</v>
      </c>
      <c r="K1300" s="705">
        <v>232</v>
      </c>
      <c r="L1300" s="705">
        <v>128312</v>
      </c>
      <c r="M1300" s="705">
        <v>113639</v>
      </c>
      <c r="N1300" s="705">
        <v>99791</v>
      </c>
      <c r="O1300" s="705">
        <v>36960</v>
      </c>
      <c r="P1300" s="705">
        <v>17891</v>
      </c>
      <c r="Q1300" s="705">
        <v>6626</v>
      </c>
      <c r="R1300" s="705">
        <v>166216</v>
      </c>
      <c r="S1300" s="705">
        <v>61562</v>
      </c>
      <c r="T1300" s="705">
        <v>0</v>
      </c>
      <c r="U1300" s="705">
        <v>0</v>
      </c>
      <c r="V1300" s="705">
        <v>382748</v>
      </c>
      <c r="W1300" s="705">
        <f t="shared" si="62"/>
        <v>382748</v>
      </c>
      <c r="X1300" s="705">
        <f t="shared" si="63"/>
        <v>854906</v>
      </c>
    </row>
    <row r="1301" spans="2:24">
      <c r="B1301" t="s">
        <v>542</v>
      </c>
      <c r="C1301" t="s">
        <v>116</v>
      </c>
      <c r="D1301" t="s">
        <v>228</v>
      </c>
      <c r="E1301" t="s">
        <v>583</v>
      </c>
      <c r="F1301" s="705">
        <v>1</v>
      </c>
      <c r="G1301" s="705">
        <v>189</v>
      </c>
      <c r="H1301" s="705">
        <v>167</v>
      </c>
      <c r="I1301" s="705">
        <v>16996</v>
      </c>
      <c r="J1301" s="705">
        <v>6295</v>
      </c>
      <c r="K1301" s="705">
        <v>300</v>
      </c>
      <c r="L1301" s="705">
        <v>3847</v>
      </c>
      <c r="M1301" s="705">
        <v>3497</v>
      </c>
      <c r="N1301" s="705">
        <v>2305</v>
      </c>
      <c r="O1301" s="705">
        <v>854</v>
      </c>
      <c r="P1301" s="705">
        <v>2619</v>
      </c>
      <c r="Q1301" s="705">
        <v>970</v>
      </c>
      <c r="R1301" s="705">
        <v>5779</v>
      </c>
      <c r="S1301" s="705">
        <v>5254</v>
      </c>
      <c r="T1301" s="705">
        <v>0</v>
      </c>
      <c r="U1301" s="705">
        <v>0</v>
      </c>
      <c r="V1301" s="705">
        <v>16869</v>
      </c>
      <c r="W1301" s="705">
        <f t="shared" si="62"/>
        <v>16870</v>
      </c>
      <c r="X1301" s="705">
        <f t="shared" si="63"/>
        <v>31546</v>
      </c>
    </row>
    <row r="1302" spans="2:24">
      <c r="B1302" t="s">
        <v>542</v>
      </c>
      <c r="C1302" t="s">
        <v>116</v>
      </c>
      <c r="D1302" t="s">
        <v>583</v>
      </c>
      <c r="E1302" t="s">
        <v>228</v>
      </c>
      <c r="F1302" s="705">
        <v>7</v>
      </c>
      <c r="G1302" s="705">
        <v>1287</v>
      </c>
      <c r="H1302" s="705">
        <v>1316</v>
      </c>
      <c r="I1302" s="705">
        <v>158161</v>
      </c>
      <c r="J1302" s="705">
        <v>143782</v>
      </c>
      <c r="K1302" s="705">
        <v>86</v>
      </c>
      <c r="L1302" s="705">
        <v>21778</v>
      </c>
      <c r="M1302" s="705">
        <v>19798</v>
      </c>
      <c r="N1302" s="705">
        <v>26851</v>
      </c>
      <c r="O1302" s="705">
        <v>9945</v>
      </c>
      <c r="P1302" s="705">
        <v>4347</v>
      </c>
      <c r="Q1302" s="705">
        <v>1610</v>
      </c>
      <c r="R1302" s="705">
        <v>42150</v>
      </c>
      <c r="S1302" s="705">
        <v>15611</v>
      </c>
      <c r="T1302" s="705">
        <v>0</v>
      </c>
      <c r="U1302" s="705">
        <v>0</v>
      </c>
      <c r="V1302" s="705">
        <v>190746</v>
      </c>
      <c r="W1302" s="705">
        <f t="shared" si="62"/>
        <v>190746</v>
      </c>
      <c r="X1302" s="705">
        <f t="shared" si="63"/>
        <v>253287</v>
      </c>
    </row>
    <row r="1303" spans="2:24">
      <c r="B1303" t="s">
        <v>542</v>
      </c>
      <c r="C1303" t="s">
        <v>116</v>
      </c>
      <c r="D1303" t="s">
        <v>583</v>
      </c>
      <c r="E1303" t="s">
        <v>583</v>
      </c>
      <c r="F1303" s="705">
        <v>2572</v>
      </c>
      <c r="G1303" s="705">
        <v>450207</v>
      </c>
      <c r="H1303" s="705">
        <v>489828</v>
      </c>
      <c r="I1303" s="705">
        <v>51152504</v>
      </c>
      <c r="J1303" s="705">
        <v>46502276</v>
      </c>
      <c r="K1303" s="705">
        <v>86</v>
      </c>
      <c r="L1303" s="705">
        <v>11378557</v>
      </c>
      <c r="M1303" s="705">
        <v>10098528</v>
      </c>
      <c r="N1303" s="705">
        <v>9386137</v>
      </c>
      <c r="O1303" s="705">
        <v>3476347</v>
      </c>
      <c r="P1303" s="705">
        <v>1714718</v>
      </c>
      <c r="Q1303" s="705">
        <v>635081</v>
      </c>
      <c r="R1303" s="705">
        <v>14151419</v>
      </c>
      <c r="S1303" s="705">
        <v>12864926</v>
      </c>
      <c r="T1303" s="705">
        <v>3070568</v>
      </c>
      <c r="U1303" s="705">
        <v>1137248</v>
      </c>
      <c r="V1303" s="705">
        <v>74714406</v>
      </c>
      <c r="W1303" s="705">
        <f t="shared" si="62"/>
        <v>74714406</v>
      </c>
      <c r="X1303" s="705">
        <f t="shared" si="63"/>
        <v>90853903</v>
      </c>
    </row>
    <row r="1304" spans="2:24">
      <c r="B1304" t="s">
        <v>542</v>
      </c>
      <c r="C1304" t="s">
        <v>116</v>
      </c>
      <c r="D1304" t="s">
        <v>583</v>
      </c>
      <c r="E1304" t="s">
        <v>667</v>
      </c>
      <c r="F1304" s="705">
        <v>1</v>
      </c>
      <c r="G1304" s="705">
        <v>209</v>
      </c>
      <c r="H1304" s="705">
        <v>173</v>
      </c>
      <c r="I1304" s="705">
        <v>18849</v>
      </c>
      <c r="J1304" s="705">
        <v>17136</v>
      </c>
      <c r="K1304" s="705">
        <v>97</v>
      </c>
      <c r="L1304" s="705">
        <v>6430</v>
      </c>
      <c r="M1304" s="705">
        <v>5845</v>
      </c>
      <c r="N1304" s="705">
        <v>2543</v>
      </c>
      <c r="O1304" s="705">
        <v>942</v>
      </c>
      <c r="P1304" s="705">
        <v>621</v>
      </c>
      <c r="Q1304" s="705">
        <v>230</v>
      </c>
      <c r="R1304" s="705">
        <v>4129</v>
      </c>
      <c r="S1304" s="705">
        <v>3754</v>
      </c>
      <c r="T1304" s="705">
        <v>3513</v>
      </c>
      <c r="U1304" s="705">
        <v>1301</v>
      </c>
      <c r="V1304" s="705">
        <v>29208</v>
      </c>
      <c r="W1304" s="705">
        <f t="shared" si="62"/>
        <v>29208</v>
      </c>
      <c r="X1304" s="705">
        <f t="shared" si="63"/>
        <v>36085</v>
      </c>
    </row>
    <row r="1305" spans="2:24">
      <c r="B1305" t="s">
        <v>542</v>
      </c>
      <c r="C1305" t="s">
        <v>116</v>
      </c>
      <c r="D1305" t="s">
        <v>583</v>
      </c>
      <c r="E1305" t="s">
        <v>665</v>
      </c>
      <c r="F1305" s="705">
        <v>4</v>
      </c>
      <c r="G1305" s="705">
        <v>922</v>
      </c>
      <c r="H1305" s="705">
        <v>797</v>
      </c>
      <c r="I1305" s="705">
        <v>107100</v>
      </c>
      <c r="J1305" s="705">
        <v>97363</v>
      </c>
      <c r="K1305" s="705">
        <v>85</v>
      </c>
      <c r="L1305" s="705">
        <v>30506</v>
      </c>
      <c r="M1305" s="705">
        <v>27732</v>
      </c>
      <c r="N1305" s="705">
        <v>20133</v>
      </c>
      <c r="O1305" s="705">
        <v>7457</v>
      </c>
      <c r="P1305" s="705">
        <v>2484</v>
      </c>
      <c r="Q1305" s="705">
        <v>920</v>
      </c>
      <c r="R1305" s="705">
        <v>24182</v>
      </c>
      <c r="S1305" s="705">
        <v>21984</v>
      </c>
      <c r="T1305" s="705">
        <v>2062</v>
      </c>
      <c r="U1305" s="705">
        <v>764</v>
      </c>
      <c r="V1305" s="705">
        <v>156220</v>
      </c>
      <c r="W1305" s="705">
        <f t="shared" si="62"/>
        <v>156220</v>
      </c>
      <c r="X1305" s="705">
        <f t="shared" si="63"/>
        <v>186467</v>
      </c>
    </row>
    <row r="1306" spans="2:24">
      <c r="B1306" t="s">
        <v>542</v>
      </c>
      <c r="C1306" t="s">
        <v>116</v>
      </c>
      <c r="D1306" t="s">
        <v>666</v>
      </c>
      <c r="E1306" t="s">
        <v>583</v>
      </c>
      <c r="F1306" s="705">
        <v>1</v>
      </c>
      <c r="G1306" s="705">
        <v>230</v>
      </c>
      <c r="H1306" s="705">
        <v>193</v>
      </c>
      <c r="I1306" s="705">
        <v>28766</v>
      </c>
      <c r="J1306" s="705">
        <v>26151</v>
      </c>
      <c r="K1306" s="705">
        <v>86</v>
      </c>
      <c r="L1306" s="705">
        <v>4565</v>
      </c>
      <c r="M1306" s="705">
        <v>4150</v>
      </c>
      <c r="N1306" s="705">
        <v>3861</v>
      </c>
      <c r="O1306" s="705">
        <v>1430</v>
      </c>
      <c r="P1306" s="705">
        <v>972</v>
      </c>
      <c r="Q1306" s="705">
        <v>360</v>
      </c>
      <c r="R1306" s="705">
        <v>6099</v>
      </c>
      <c r="S1306" s="705">
        <v>5545</v>
      </c>
      <c r="T1306" s="705">
        <v>0</v>
      </c>
      <c r="U1306" s="705">
        <v>0</v>
      </c>
      <c r="V1306" s="705">
        <v>37636</v>
      </c>
      <c r="W1306" s="705">
        <f t="shared" si="62"/>
        <v>37636</v>
      </c>
      <c r="X1306" s="705">
        <f t="shared" si="63"/>
        <v>44263</v>
      </c>
    </row>
    <row r="1307" spans="2:24">
      <c r="B1307" t="s">
        <v>542</v>
      </c>
      <c r="C1307" t="s">
        <v>116</v>
      </c>
      <c r="D1307" t="s">
        <v>584</v>
      </c>
      <c r="E1307" t="s">
        <v>582</v>
      </c>
      <c r="F1307" s="705">
        <v>1</v>
      </c>
      <c r="G1307" s="705">
        <v>154</v>
      </c>
      <c r="H1307" s="705">
        <v>220</v>
      </c>
      <c r="I1307" s="705">
        <v>17722</v>
      </c>
      <c r="J1307" s="705">
        <v>16111</v>
      </c>
      <c r="K1307" s="705">
        <v>78</v>
      </c>
      <c r="L1307" s="705">
        <v>5320</v>
      </c>
      <c r="M1307" s="705">
        <v>4434</v>
      </c>
      <c r="N1307" s="705">
        <v>3128</v>
      </c>
      <c r="O1307" s="705">
        <v>1158</v>
      </c>
      <c r="P1307" s="705">
        <v>473</v>
      </c>
      <c r="Q1307" s="705">
        <v>175</v>
      </c>
      <c r="R1307" s="705">
        <v>7114</v>
      </c>
      <c r="S1307" s="705">
        <v>6467</v>
      </c>
      <c r="T1307" s="705">
        <v>0</v>
      </c>
      <c r="U1307" s="705">
        <v>0</v>
      </c>
      <c r="V1307" s="705">
        <v>28346</v>
      </c>
      <c r="W1307" s="705">
        <f t="shared" si="62"/>
        <v>28345</v>
      </c>
      <c r="X1307" s="705">
        <f t="shared" si="63"/>
        <v>33757</v>
      </c>
    </row>
    <row r="1308" spans="2:24">
      <c r="B1308" t="s">
        <v>542</v>
      </c>
      <c r="C1308" t="s">
        <v>116</v>
      </c>
      <c r="D1308" t="s">
        <v>584</v>
      </c>
      <c r="E1308" t="s">
        <v>228</v>
      </c>
      <c r="F1308" s="705">
        <v>2</v>
      </c>
      <c r="G1308" s="705">
        <v>435</v>
      </c>
      <c r="H1308" s="705">
        <v>362</v>
      </c>
      <c r="I1308" s="705">
        <v>43324</v>
      </c>
      <c r="J1308" s="705">
        <v>39385</v>
      </c>
      <c r="K1308" s="705">
        <v>85</v>
      </c>
      <c r="L1308" s="705">
        <v>10924</v>
      </c>
      <c r="M1308" s="705">
        <v>6509</v>
      </c>
      <c r="N1308" s="705">
        <v>9219</v>
      </c>
      <c r="O1308" s="705">
        <v>3414</v>
      </c>
      <c r="P1308" s="705">
        <v>945</v>
      </c>
      <c r="Q1308" s="705">
        <v>350</v>
      </c>
      <c r="R1308" s="705">
        <v>14758</v>
      </c>
      <c r="S1308" s="705">
        <v>5466</v>
      </c>
      <c r="T1308" s="705">
        <v>0</v>
      </c>
      <c r="U1308" s="705">
        <v>0</v>
      </c>
      <c r="V1308" s="705">
        <v>55125</v>
      </c>
      <c r="W1308" s="705">
        <f t="shared" si="62"/>
        <v>55124</v>
      </c>
      <c r="X1308" s="705">
        <f t="shared" si="63"/>
        <v>79170</v>
      </c>
    </row>
    <row r="1309" spans="2:24">
      <c r="B1309" t="s">
        <v>542</v>
      </c>
      <c r="C1309" t="s">
        <v>116</v>
      </c>
      <c r="D1309" t="s">
        <v>584</v>
      </c>
      <c r="E1309" t="s">
        <v>666</v>
      </c>
      <c r="F1309" s="705">
        <v>1</v>
      </c>
      <c r="G1309" s="705">
        <v>228</v>
      </c>
      <c r="H1309" s="705">
        <v>163</v>
      </c>
      <c r="I1309" s="705">
        <v>17453</v>
      </c>
      <c r="J1309" s="705">
        <v>15867</v>
      </c>
      <c r="K1309" s="705">
        <v>91</v>
      </c>
      <c r="L1309" s="705">
        <v>5585</v>
      </c>
      <c r="M1309" s="705">
        <v>5077</v>
      </c>
      <c r="N1309" s="705">
        <v>5340</v>
      </c>
      <c r="O1309" s="705">
        <v>1978</v>
      </c>
      <c r="P1309" s="705">
        <v>473</v>
      </c>
      <c r="Q1309" s="705">
        <v>175</v>
      </c>
      <c r="R1309" s="705">
        <v>4651</v>
      </c>
      <c r="S1309" s="705">
        <v>4228</v>
      </c>
      <c r="T1309" s="705">
        <v>3768</v>
      </c>
      <c r="U1309" s="705">
        <v>1396</v>
      </c>
      <c r="V1309" s="705">
        <v>28720</v>
      </c>
      <c r="W1309" s="705">
        <f t="shared" si="62"/>
        <v>28721</v>
      </c>
      <c r="X1309" s="705">
        <f t="shared" si="63"/>
        <v>37270</v>
      </c>
    </row>
    <row r="1310" spans="2:24">
      <c r="B1310" t="s">
        <v>542</v>
      </c>
      <c r="C1310" t="s">
        <v>116</v>
      </c>
      <c r="D1310" t="s">
        <v>584</v>
      </c>
      <c r="E1310" t="s">
        <v>584</v>
      </c>
      <c r="F1310" s="705">
        <v>1722</v>
      </c>
      <c r="G1310" s="705">
        <v>267881</v>
      </c>
      <c r="H1310" s="705">
        <v>322145</v>
      </c>
      <c r="I1310" s="705">
        <v>27329910</v>
      </c>
      <c r="J1310" s="705">
        <v>24845373</v>
      </c>
      <c r="K1310" s="705">
        <v>85</v>
      </c>
      <c r="L1310" s="705">
        <v>7870508</v>
      </c>
      <c r="M1310" s="705">
        <v>6933959</v>
      </c>
      <c r="N1310" s="705">
        <v>5526031</v>
      </c>
      <c r="O1310" s="705">
        <v>2046678</v>
      </c>
      <c r="P1310" s="705">
        <v>850521</v>
      </c>
      <c r="Q1310" s="705">
        <v>315008</v>
      </c>
      <c r="R1310" s="705">
        <v>9286459</v>
      </c>
      <c r="S1310" s="705">
        <v>8442235</v>
      </c>
      <c r="T1310" s="705">
        <v>997491</v>
      </c>
      <c r="U1310" s="705">
        <v>369441</v>
      </c>
      <c r="V1310" s="705">
        <v>42952694</v>
      </c>
      <c r="W1310" s="705">
        <f t="shared" si="62"/>
        <v>42952694</v>
      </c>
      <c r="X1310" s="705">
        <f t="shared" si="63"/>
        <v>51860920</v>
      </c>
    </row>
    <row r="1311" spans="2:24">
      <c r="B1311" t="s">
        <v>542</v>
      </c>
      <c r="C1311" t="s">
        <v>116</v>
      </c>
      <c r="D1311" t="s">
        <v>584</v>
      </c>
      <c r="E1311" t="s">
        <v>665</v>
      </c>
      <c r="F1311" s="705">
        <v>1</v>
      </c>
      <c r="G1311" s="705">
        <v>83</v>
      </c>
      <c r="H1311" s="705">
        <v>160</v>
      </c>
      <c r="I1311" s="705">
        <v>6107</v>
      </c>
      <c r="J1311" s="705">
        <v>5552</v>
      </c>
      <c r="K1311" s="705">
        <v>92</v>
      </c>
      <c r="L1311" s="705">
        <v>2085</v>
      </c>
      <c r="M1311" s="705">
        <v>1896</v>
      </c>
      <c r="N1311" s="705">
        <v>1010</v>
      </c>
      <c r="O1311" s="705">
        <v>374</v>
      </c>
      <c r="P1311" s="705">
        <v>473</v>
      </c>
      <c r="Q1311" s="705">
        <v>175</v>
      </c>
      <c r="R1311" s="705">
        <v>3560</v>
      </c>
      <c r="S1311" s="705">
        <v>3237</v>
      </c>
      <c r="T1311" s="705">
        <v>0</v>
      </c>
      <c r="U1311" s="705">
        <v>0</v>
      </c>
      <c r="V1311" s="705">
        <v>11233</v>
      </c>
      <c r="W1311" s="705">
        <f t="shared" si="62"/>
        <v>11234</v>
      </c>
      <c r="X1311" s="705">
        <f t="shared" si="63"/>
        <v>13235</v>
      </c>
    </row>
    <row r="1312" spans="2:24">
      <c r="B1312" t="s">
        <v>542</v>
      </c>
      <c r="C1312" t="s">
        <v>116</v>
      </c>
      <c r="D1312" t="s">
        <v>671</v>
      </c>
      <c r="E1312" t="s">
        <v>671</v>
      </c>
      <c r="F1312" s="705">
        <v>2</v>
      </c>
      <c r="G1312" s="705">
        <v>542</v>
      </c>
      <c r="H1312" s="705">
        <v>427</v>
      </c>
      <c r="I1312" s="705">
        <v>115083</v>
      </c>
      <c r="J1312" s="705">
        <v>104621</v>
      </c>
      <c r="K1312" s="705">
        <v>50</v>
      </c>
      <c r="L1312" s="705">
        <v>10576</v>
      </c>
      <c r="M1312" s="705">
        <v>9614</v>
      </c>
      <c r="N1312" s="705">
        <v>16624</v>
      </c>
      <c r="O1312" s="705">
        <v>6157</v>
      </c>
      <c r="P1312" s="705">
        <v>972</v>
      </c>
      <c r="Q1312" s="705">
        <v>360</v>
      </c>
      <c r="R1312" s="705">
        <v>17689</v>
      </c>
      <c r="S1312" s="705">
        <v>16081</v>
      </c>
      <c r="T1312" s="705">
        <v>8372</v>
      </c>
      <c r="U1312" s="705">
        <v>3101</v>
      </c>
      <c r="V1312" s="705">
        <v>139935</v>
      </c>
      <c r="W1312" s="705">
        <f t="shared" si="62"/>
        <v>139934</v>
      </c>
      <c r="X1312" s="705">
        <f t="shared" si="63"/>
        <v>169316</v>
      </c>
    </row>
    <row r="1313" spans="2:24">
      <c r="B1313" t="s">
        <v>542</v>
      </c>
      <c r="C1313" t="s">
        <v>116</v>
      </c>
      <c r="D1313" t="s">
        <v>665</v>
      </c>
      <c r="E1313" t="s">
        <v>665</v>
      </c>
      <c r="F1313" s="705">
        <v>5</v>
      </c>
      <c r="G1313" s="705">
        <v>879</v>
      </c>
      <c r="H1313" s="705">
        <v>976</v>
      </c>
      <c r="I1313" s="705">
        <v>125827</v>
      </c>
      <c r="J1313" s="705">
        <v>114388</v>
      </c>
      <c r="K1313" s="705">
        <v>68</v>
      </c>
      <c r="L1313" s="705">
        <v>11162</v>
      </c>
      <c r="M1313" s="705">
        <v>10147</v>
      </c>
      <c r="N1313" s="705">
        <v>16536</v>
      </c>
      <c r="O1313" s="705">
        <v>6124</v>
      </c>
      <c r="P1313" s="705">
        <v>2646</v>
      </c>
      <c r="Q1313" s="705">
        <v>980</v>
      </c>
      <c r="R1313" s="705">
        <v>37131</v>
      </c>
      <c r="S1313" s="705">
        <v>33756</v>
      </c>
      <c r="T1313" s="705">
        <v>7156</v>
      </c>
      <c r="U1313" s="705">
        <v>2650</v>
      </c>
      <c r="V1313" s="705">
        <v>168045</v>
      </c>
      <c r="W1313" s="705">
        <f t="shared" si="62"/>
        <v>168045</v>
      </c>
      <c r="X1313" s="705">
        <f t="shared" si="63"/>
        <v>200458</v>
      </c>
    </row>
    <row r="1314" spans="2:24">
      <c r="B1314" t="s">
        <v>542</v>
      </c>
      <c r="C1314" t="s">
        <v>116</v>
      </c>
      <c r="D1314" t="s">
        <v>585</v>
      </c>
      <c r="E1314" t="s">
        <v>665</v>
      </c>
      <c r="F1314" s="705">
        <v>1</v>
      </c>
      <c r="G1314" s="705">
        <v>148</v>
      </c>
      <c r="H1314" s="705">
        <v>159</v>
      </c>
      <c r="I1314" s="705">
        <v>23238</v>
      </c>
      <c r="J1314" s="705">
        <v>21126</v>
      </c>
      <c r="K1314" s="705">
        <v>65</v>
      </c>
      <c r="L1314" s="705">
        <v>3052</v>
      </c>
      <c r="M1314" s="705">
        <v>2543</v>
      </c>
      <c r="N1314" s="705">
        <v>2767</v>
      </c>
      <c r="O1314" s="705">
        <v>1025</v>
      </c>
      <c r="P1314" s="705">
        <v>351</v>
      </c>
      <c r="Q1314" s="705">
        <v>130</v>
      </c>
      <c r="R1314" s="705">
        <v>6800</v>
      </c>
      <c r="S1314" s="705">
        <v>6182</v>
      </c>
      <c r="T1314" s="705">
        <v>0</v>
      </c>
      <c r="U1314" s="705">
        <v>0</v>
      </c>
      <c r="V1314" s="705">
        <v>31005</v>
      </c>
      <c r="W1314" s="705">
        <f t="shared" si="62"/>
        <v>31006</v>
      </c>
      <c r="X1314" s="705">
        <f t="shared" si="63"/>
        <v>36208</v>
      </c>
    </row>
    <row r="1315" spans="2:24">
      <c r="B1315" t="s">
        <v>542</v>
      </c>
      <c r="C1315" t="s">
        <v>116</v>
      </c>
      <c r="D1315" t="s">
        <v>585</v>
      </c>
      <c r="E1315" t="s">
        <v>585</v>
      </c>
      <c r="F1315" s="705">
        <v>11</v>
      </c>
      <c r="G1315" s="705">
        <v>2042</v>
      </c>
      <c r="H1315" s="705">
        <v>2056</v>
      </c>
      <c r="I1315" s="705">
        <v>253488</v>
      </c>
      <c r="J1315" s="705">
        <v>230444</v>
      </c>
      <c r="K1315" s="705">
        <v>74</v>
      </c>
      <c r="L1315" s="705">
        <v>49798</v>
      </c>
      <c r="M1315" s="705">
        <v>45271</v>
      </c>
      <c r="N1315" s="705">
        <v>42772</v>
      </c>
      <c r="O1315" s="705">
        <v>15841</v>
      </c>
      <c r="P1315" s="705">
        <v>5265</v>
      </c>
      <c r="Q1315" s="705">
        <v>1950</v>
      </c>
      <c r="R1315" s="705">
        <v>74288</v>
      </c>
      <c r="S1315" s="705">
        <v>67534</v>
      </c>
      <c r="T1315" s="705">
        <v>0</v>
      </c>
      <c r="U1315" s="705">
        <v>0</v>
      </c>
      <c r="V1315" s="705">
        <v>361040</v>
      </c>
      <c r="W1315" s="705">
        <f t="shared" si="62"/>
        <v>361040</v>
      </c>
      <c r="X1315" s="705">
        <f t="shared" si="63"/>
        <v>425611</v>
      </c>
    </row>
    <row r="1316" spans="2:24">
      <c r="B1316" t="s">
        <v>542</v>
      </c>
      <c r="C1316" t="s">
        <v>118</v>
      </c>
      <c r="F1316" s="705">
        <v>1</v>
      </c>
      <c r="G1316" s="705">
        <v>41</v>
      </c>
      <c r="H1316" s="705">
        <v>292</v>
      </c>
      <c r="I1316" s="705"/>
      <c r="J1316" s="705">
        <v>0</v>
      </c>
      <c r="K1316" s="705"/>
      <c r="L1316" s="705"/>
      <c r="M1316" s="705">
        <v>0</v>
      </c>
      <c r="N1316" s="705">
        <v>749</v>
      </c>
      <c r="O1316" s="705">
        <v>277</v>
      </c>
      <c r="P1316" s="705">
        <v>621</v>
      </c>
      <c r="Q1316" s="705">
        <v>230</v>
      </c>
      <c r="R1316" s="705"/>
      <c r="S1316" s="705">
        <v>0</v>
      </c>
      <c r="T1316" s="705">
        <v>0</v>
      </c>
      <c r="U1316" s="705">
        <v>0</v>
      </c>
      <c r="V1316" s="705">
        <v>507</v>
      </c>
      <c r="W1316" s="705">
        <f t="shared" si="62"/>
        <v>507</v>
      </c>
      <c r="X1316" s="705">
        <f t="shared" si="63"/>
        <v>1370</v>
      </c>
    </row>
    <row r="1317" spans="2:24">
      <c r="B1317" t="s">
        <v>542</v>
      </c>
      <c r="C1317" t="s">
        <v>118</v>
      </c>
      <c r="D1317" t="s">
        <v>664</v>
      </c>
      <c r="E1317" t="s">
        <v>664</v>
      </c>
      <c r="F1317" s="705">
        <v>3</v>
      </c>
      <c r="G1317" s="705">
        <v>815</v>
      </c>
      <c r="H1317" s="705">
        <v>718</v>
      </c>
      <c r="I1317" s="705">
        <v>112084</v>
      </c>
      <c r="J1317" s="705">
        <v>101895</v>
      </c>
      <c r="K1317" s="705">
        <v>77</v>
      </c>
      <c r="L1317" s="705">
        <v>39364</v>
      </c>
      <c r="M1317" s="705">
        <v>35785</v>
      </c>
      <c r="N1317" s="705">
        <v>19667</v>
      </c>
      <c r="O1317" s="705">
        <v>7284</v>
      </c>
      <c r="P1317" s="705">
        <v>2120</v>
      </c>
      <c r="Q1317" s="705">
        <v>785</v>
      </c>
      <c r="R1317" s="705">
        <v>21460</v>
      </c>
      <c r="S1317" s="705">
        <v>19509</v>
      </c>
      <c r="T1317" s="705">
        <v>0</v>
      </c>
      <c r="U1317" s="705">
        <v>0</v>
      </c>
      <c r="V1317" s="705">
        <v>165258</v>
      </c>
      <c r="W1317" s="705">
        <f t="shared" si="62"/>
        <v>165258</v>
      </c>
      <c r="X1317" s="705">
        <f t="shared" si="63"/>
        <v>194695</v>
      </c>
    </row>
    <row r="1318" spans="2:24">
      <c r="B1318" t="s">
        <v>542</v>
      </c>
      <c r="C1318" t="s">
        <v>118</v>
      </c>
      <c r="D1318" t="s">
        <v>664</v>
      </c>
      <c r="E1318" t="s">
        <v>583</v>
      </c>
      <c r="F1318" s="705">
        <v>1</v>
      </c>
      <c r="G1318" s="705">
        <v>151</v>
      </c>
      <c r="H1318" s="705">
        <v>282</v>
      </c>
      <c r="I1318" s="705">
        <v>23259</v>
      </c>
      <c r="J1318" s="705">
        <v>21144</v>
      </c>
      <c r="K1318" s="705">
        <v>65</v>
      </c>
      <c r="L1318" s="705">
        <v>5324</v>
      </c>
      <c r="M1318" s="705">
        <v>4840</v>
      </c>
      <c r="N1318" s="705">
        <v>3670</v>
      </c>
      <c r="O1318" s="705">
        <v>1359</v>
      </c>
      <c r="P1318" s="705">
        <v>621</v>
      </c>
      <c r="Q1318" s="705">
        <v>230</v>
      </c>
      <c r="R1318" s="705">
        <v>6106</v>
      </c>
      <c r="S1318" s="705">
        <v>5551</v>
      </c>
      <c r="T1318" s="705">
        <v>3472</v>
      </c>
      <c r="U1318" s="705">
        <v>1286</v>
      </c>
      <c r="V1318" s="705">
        <v>34410</v>
      </c>
      <c r="W1318" s="705">
        <f t="shared" si="62"/>
        <v>34410</v>
      </c>
      <c r="X1318" s="705">
        <f t="shared" si="63"/>
        <v>42452</v>
      </c>
    </row>
    <row r="1319" spans="2:24">
      <c r="B1319" t="s">
        <v>542</v>
      </c>
      <c r="C1319" t="s">
        <v>118</v>
      </c>
      <c r="D1319" t="s">
        <v>582</v>
      </c>
      <c r="E1319" t="s">
        <v>664</v>
      </c>
      <c r="F1319" s="705">
        <v>1</v>
      </c>
      <c r="G1319" s="705">
        <v>155</v>
      </c>
      <c r="H1319" s="705">
        <v>277</v>
      </c>
      <c r="I1319" s="705">
        <v>27586</v>
      </c>
      <c r="J1319" s="705">
        <v>25078</v>
      </c>
      <c r="K1319" s="705">
        <v>90</v>
      </c>
      <c r="L1319" s="705">
        <v>6447</v>
      </c>
      <c r="M1319" s="705">
        <v>2388</v>
      </c>
      <c r="N1319" s="705">
        <v>3333</v>
      </c>
      <c r="O1319" s="705">
        <v>1234</v>
      </c>
      <c r="P1319" s="705">
        <v>473</v>
      </c>
      <c r="Q1319" s="705">
        <v>175</v>
      </c>
      <c r="R1319" s="705">
        <v>5218</v>
      </c>
      <c r="S1319" s="705">
        <v>4744</v>
      </c>
      <c r="T1319" s="705">
        <v>0</v>
      </c>
      <c r="U1319" s="705">
        <v>0</v>
      </c>
      <c r="V1319" s="705">
        <v>33619</v>
      </c>
      <c r="W1319" s="705">
        <f t="shared" si="62"/>
        <v>33619</v>
      </c>
      <c r="X1319" s="705">
        <f t="shared" si="63"/>
        <v>43057</v>
      </c>
    </row>
    <row r="1320" spans="2:24">
      <c r="B1320" t="s">
        <v>542</v>
      </c>
      <c r="C1320" t="s">
        <v>118</v>
      </c>
      <c r="D1320" t="s">
        <v>582</v>
      </c>
      <c r="E1320" t="s">
        <v>582</v>
      </c>
      <c r="F1320" s="705">
        <v>20</v>
      </c>
      <c r="G1320" s="705">
        <v>2874</v>
      </c>
      <c r="H1320" s="705">
        <v>5234</v>
      </c>
      <c r="I1320" s="705">
        <v>464502</v>
      </c>
      <c r="J1320" s="705">
        <v>422274</v>
      </c>
      <c r="K1320" s="705">
        <v>84</v>
      </c>
      <c r="L1320" s="705">
        <v>119162</v>
      </c>
      <c r="M1320" s="705">
        <v>114434</v>
      </c>
      <c r="N1320" s="705">
        <v>65105</v>
      </c>
      <c r="O1320" s="705">
        <v>24113</v>
      </c>
      <c r="P1320" s="705">
        <v>9801</v>
      </c>
      <c r="Q1320" s="705">
        <v>3630</v>
      </c>
      <c r="R1320" s="705">
        <v>112420</v>
      </c>
      <c r="S1320" s="705">
        <v>102200</v>
      </c>
      <c r="T1320" s="705">
        <v>12436</v>
      </c>
      <c r="U1320" s="705">
        <v>4606</v>
      </c>
      <c r="V1320" s="705">
        <v>671257</v>
      </c>
      <c r="W1320" s="705">
        <f t="shared" si="62"/>
        <v>671257</v>
      </c>
      <c r="X1320" s="705">
        <f t="shared" si="63"/>
        <v>783426</v>
      </c>
    </row>
    <row r="1321" spans="2:24">
      <c r="B1321" t="s">
        <v>542</v>
      </c>
      <c r="C1321" t="s">
        <v>118</v>
      </c>
      <c r="D1321" t="s">
        <v>228</v>
      </c>
      <c r="E1321" t="s">
        <v>228</v>
      </c>
      <c r="F1321" s="705">
        <v>14</v>
      </c>
      <c r="G1321" s="705">
        <v>3551</v>
      </c>
      <c r="H1321" s="705">
        <v>3763</v>
      </c>
      <c r="I1321" s="705">
        <v>718616</v>
      </c>
      <c r="J1321" s="705">
        <v>266154</v>
      </c>
      <c r="K1321" s="705">
        <v>108</v>
      </c>
      <c r="L1321" s="705">
        <v>75898</v>
      </c>
      <c r="M1321" s="705">
        <v>67626</v>
      </c>
      <c r="N1321" s="705">
        <v>86784</v>
      </c>
      <c r="O1321" s="705">
        <v>32142</v>
      </c>
      <c r="P1321" s="705">
        <v>1323</v>
      </c>
      <c r="Q1321" s="705">
        <v>490</v>
      </c>
      <c r="R1321" s="705">
        <v>140663</v>
      </c>
      <c r="S1321" s="705">
        <v>52097</v>
      </c>
      <c r="T1321" s="705">
        <v>0</v>
      </c>
      <c r="U1321" s="705">
        <v>0</v>
      </c>
      <c r="V1321" s="705">
        <v>418510</v>
      </c>
      <c r="W1321" s="705">
        <f t="shared" si="62"/>
        <v>418509</v>
      </c>
      <c r="X1321" s="705">
        <f t="shared" si="63"/>
        <v>1023284</v>
      </c>
    </row>
    <row r="1322" spans="2:24">
      <c r="B1322" t="s">
        <v>542</v>
      </c>
      <c r="C1322" t="s">
        <v>118</v>
      </c>
      <c r="D1322" t="s">
        <v>228</v>
      </c>
      <c r="E1322" t="s">
        <v>584</v>
      </c>
      <c r="F1322" s="705">
        <v>2</v>
      </c>
      <c r="G1322" s="705">
        <v>593</v>
      </c>
      <c r="H1322" s="705">
        <v>541</v>
      </c>
      <c r="I1322" s="705">
        <v>141353</v>
      </c>
      <c r="J1322" s="705">
        <v>52353</v>
      </c>
      <c r="K1322" s="705">
        <v>100</v>
      </c>
      <c r="L1322" s="705">
        <v>6157</v>
      </c>
      <c r="M1322" s="705">
        <v>5597</v>
      </c>
      <c r="N1322" s="705">
        <v>13803</v>
      </c>
      <c r="O1322" s="705">
        <v>5112</v>
      </c>
      <c r="P1322" s="705">
        <v>122</v>
      </c>
      <c r="Q1322" s="705">
        <v>45</v>
      </c>
      <c r="R1322" s="705">
        <v>15839</v>
      </c>
      <c r="S1322" s="705">
        <v>14399</v>
      </c>
      <c r="T1322" s="705">
        <v>0</v>
      </c>
      <c r="U1322" s="705">
        <v>0</v>
      </c>
      <c r="V1322" s="705">
        <v>77507</v>
      </c>
      <c r="W1322" s="705">
        <f t="shared" si="62"/>
        <v>77506</v>
      </c>
      <c r="X1322" s="705">
        <f t="shared" si="63"/>
        <v>177274</v>
      </c>
    </row>
    <row r="1323" spans="2:24">
      <c r="B1323" t="s">
        <v>542</v>
      </c>
      <c r="C1323" t="s">
        <v>118</v>
      </c>
      <c r="D1323" t="s">
        <v>583</v>
      </c>
      <c r="E1323" t="s">
        <v>228</v>
      </c>
      <c r="F1323" s="705">
        <v>4</v>
      </c>
      <c r="G1323" s="705">
        <v>844</v>
      </c>
      <c r="H1323" s="705">
        <v>1010</v>
      </c>
      <c r="I1323" s="705">
        <v>130115</v>
      </c>
      <c r="J1323" s="705">
        <v>118287</v>
      </c>
      <c r="K1323" s="705">
        <v>87</v>
      </c>
      <c r="L1323" s="705">
        <v>30260</v>
      </c>
      <c r="M1323" s="705">
        <v>26854</v>
      </c>
      <c r="N1323" s="705">
        <v>16604</v>
      </c>
      <c r="O1323" s="705">
        <v>6150</v>
      </c>
      <c r="P1323" s="705">
        <v>2484</v>
      </c>
      <c r="Q1323" s="705">
        <v>920</v>
      </c>
      <c r="R1323" s="705">
        <v>33546</v>
      </c>
      <c r="S1323" s="705">
        <v>12424</v>
      </c>
      <c r="T1323" s="705">
        <v>0</v>
      </c>
      <c r="U1323" s="705">
        <v>0</v>
      </c>
      <c r="V1323" s="705">
        <v>164635</v>
      </c>
      <c r="W1323" s="705">
        <f t="shared" si="62"/>
        <v>164635</v>
      </c>
      <c r="X1323" s="705">
        <f t="shared" si="63"/>
        <v>213009</v>
      </c>
    </row>
    <row r="1324" spans="2:24">
      <c r="B1324" t="s">
        <v>542</v>
      </c>
      <c r="C1324" t="s">
        <v>118</v>
      </c>
      <c r="D1324" t="s">
        <v>583</v>
      </c>
      <c r="E1324" t="s">
        <v>583</v>
      </c>
      <c r="F1324" s="705">
        <v>1697</v>
      </c>
      <c r="G1324" s="705">
        <v>236687</v>
      </c>
      <c r="H1324" s="705">
        <v>442287</v>
      </c>
      <c r="I1324" s="705">
        <v>36957390</v>
      </c>
      <c r="J1324" s="705">
        <v>33597627</v>
      </c>
      <c r="K1324" s="705">
        <v>80</v>
      </c>
      <c r="L1324" s="705">
        <v>8181104</v>
      </c>
      <c r="M1324" s="705">
        <v>8226387</v>
      </c>
      <c r="N1324" s="705">
        <v>4950868</v>
      </c>
      <c r="O1324" s="705">
        <v>1833655</v>
      </c>
      <c r="P1324" s="705">
        <v>1088703</v>
      </c>
      <c r="Q1324" s="705">
        <v>403223</v>
      </c>
      <c r="R1324" s="705">
        <v>9153893</v>
      </c>
      <c r="S1324" s="705">
        <v>8321721</v>
      </c>
      <c r="T1324" s="705">
        <v>2869460</v>
      </c>
      <c r="U1324" s="705">
        <v>1062763</v>
      </c>
      <c r="V1324" s="705">
        <v>53445377</v>
      </c>
      <c r="W1324" s="705">
        <f t="shared" si="62"/>
        <v>53445376</v>
      </c>
      <c r="X1324" s="705">
        <f t="shared" si="63"/>
        <v>63201418</v>
      </c>
    </row>
    <row r="1325" spans="2:24">
      <c r="B1325" t="s">
        <v>542</v>
      </c>
      <c r="C1325" t="s">
        <v>118</v>
      </c>
      <c r="D1325" t="s">
        <v>583</v>
      </c>
      <c r="E1325" t="s">
        <v>584</v>
      </c>
      <c r="F1325" s="705">
        <v>2</v>
      </c>
      <c r="G1325" s="705">
        <v>332</v>
      </c>
      <c r="H1325" s="705">
        <v>483</v>
      </c>
      <c r="I1325" s="705">
        <v>60851</v>
      </c>
      <c r="J1325" s="705">
        <v>55319</v>
      </c>
      <c r="K1325" s="705">
        <v>80</v>
      </c>
      <c r="L1325" s="705">
        <v>13809</v>
      </c>
      <c r="M1325" s="705">
        <v>12241</v>
      </c>
      <c r="N1325" s="705">
        <v>6458</v>
      </c>
      <c r="O1325" s="705">
        <v>2392</v>
      </c>
      <c r="P1325" s="705">
        <v>1242</v>
      </c>
      <c r="Q1325" s="705">
        <v>460</v>
      </c>
      <c r="R1325" s="705">
        <v>10686</v>
      </c>
      <c r="S1325" s="705">
        <v>9715</v>
      </c>
      <c r="T1325" s="705">
        <v>2827</v>
      </c>
      <c r="U1325" s="705">
        <v>1047</v>
      </c>
      <c r="V1325" s="705">
        <v>81174</v>
      </c>
      <c r="W1325" s="705">
        <f t="shared" si="62"/>
        <v>81174</v>
      </c>
      <c r="X1325" s="705">
        <f t="shared" si="63"/>
        <v>95873</v>
      </c>
    </row>
    <row r="1326" spans="2:24">
      <c r="B1326" t="s">
        <v>542</v>
      </c>
      <c r="C1326" t="s">
        <v>118</v>
      </c>
      <c r="D1326" t="s">
        <v>583</v>
      </c>
      <c r="E1326" t="s">
        <v>665</v>
      </c>
      <c r="F1326" s="705">
        <v>2</v>
      </c>
      <c r="G1326" s="705">
        <v>305</v>
      </c>
      <c r="H1326" s="705">
        <v>489</v>
      </c>
      <c r="I1326" s="705">
        <v>41742</v>
      </c>
      <c r="J1326" s="705">
        <v>37947</v>
      </c>
      <c r="K1326" s="705">
        <v>87</v>
      </c>
      <c r="L1326" s="705">
        <v>9698</v>
      </c>
      <c r="M1326" s="705">
        <v>8816</v>
      </c>
      <c r="N1326" s="705">
        <v>5418</v>
      </c>
      <c r="O1326" s="705">
        <v>2007</v>
      </c>
      <c r="P1326" s="705">
        <v>1242</v>
      </c>
      <c r="Q1326" s="705">
        <v>460</v>
      </c>
      <c r="R1326" s="705">
        <v>9285</v>
      </c>
      <c r="S1326" s="705">
        <v>8441</v>
      </c>
      <c r="T1326" s="705">
        <v>6904</v>
      </c>
      <c r="U1326" s="705">
        <v>2557</v>
      </c>
      <c r="V1326" s="705">
        <v>60227</v>
      </c>
      <c r="W1326" s="705">
        <f t="shared" si="62"/>
        <v>60228</v>
      </c>
      <c r="X1326" s="705">
        <f t="shared" si="63"/>
        <v>74289</v>
      </c>
    </row>
    <row r="1327" spans="2:24">
      <c r="B1327" t="s">
        <v>542</v>
      </c>
      <c r="C1327" t="s">
        <v>118</v>
      </c>
      <c r="D1327" t="s">
        <v>666</v>
      </c>
      <c r="E1327" t="s">
        <v>583</v>
      </c>
      <c r="F1327" s="705">
        <v>1</v>
      </c>
      <c r="G1327" s="705">
        <v>58</v>
      </c>
      <c r="H1327" s="705">
        <v>298</v>
      </c>
      <c r="I1327" s="705">
        <v>13247</v>
      </c>
      <c r="J1327" s="705">
        <v>12043</v>
      </c>
      <c r="K1327" s="705">
        <v>79</v>
      </c>
      <c r="L1327" s="705">
        <v>3680</v>
      </c>
      <c r="M1327" s="705">
        <v>3345</v>
      </c>
      <c r="N1327" s="705">
        <v>1894</v>
      </c>
      <c r="O1327" s="705">
        <v>701</v>
      </c>
      <c r="P1327" s="705">
        <v>351</v>
      </c>
      <c r="Q1327" s="705">
        <v>130</v>
      </c>
      <c r="R1327" s="705">
        <v>5708</v>
      </c>
      <c r="S1327" s="705">
        <v>5189</v>
      </c>
      <c r="T1327" s="705">
        <v>0</v>
      </c>
      <c r="U1327" s="705">
        <v>0</v>
      </c>
      <c r="V1327" s="705">
        <v>21408</v>
      </c>
      <c r="W1327" s="705">
        <f t="shared" si="62"/>
        <v>21408</v>
      </c>
      <c r="X1327" s="705">
        <f t="shared" si="63"/>
        <v>24880</v>
      </c>
    </row>
    <row r="1328" spans="2:24">
      <c r="B1328" t="s">
        <v>542</v>
      </c>
      <c r="C1328" t="s">
        <v>118</v>
      </c>
      <c r="D1328" t="s">
        <v>584</v>
      </c>
      <c r="E1328" t="s">
        <v>584</v>
      </c>
      <c r="F1328" s="705">
        <v>526</v>
      </c>
      <c r="G1328" s="705">
        <v>68655</v>
      </c>
      <c r="H1328" s="705">
        <v>135406</v>
      </c>
      <c r="I1328" s="705">
        <v>9885718</v>
      </c>
      <c r="J1328" s="705">
        <v>8987016</v>
      </c>
      <c r="K1328" s="705">
        <v>79</v>
      </c>
      <c r="L1328" s="705">
        <v>2847219</v>
      </c>
      <c r="M1328" s="705">
        <v>2502610</v>
      </c>
      <c r="N1328" s="705">
        <v>1436640</v>
      </c>
      <c r="O1328" s="705">
        <v>532089</v>
      </c>
      <c r="P1328" s="705">
        <v>255380</v>
      </c>
      <c r="Q1328" s="705">
        <v>94585</v>
      </c>
      <c r="R1328" s="705">
        <v>2792130</v>
      </c>
      <c r="S1328" s="705">
        <v>2538300</v>
      </c>
      <c r="T1328" s="705">
        <v>764746</v>
      </c>
      <c r="U1328" s="705">
        <v>283239</v>
      </c>
      <c r="V1328" s="705">
        <v>14937839</v>
      </c>
      <c r="W1328" s="705">
        <f t="shared" si="62"/>
        <v>14937839</v>
      </c>
      <c r="X1328" s="705">
        <f t="shared" si="63"/>
        <v>17981833</v>
      </c>
    </row>
    <row r="1329" spans="2:24">
      <c r="B1329" t="s">
        <v>542</v>
      </c>
      <c r="C1329" t="s">
        <v>118</v>
      </c>
      <c r="D1329" t="s">
        <v>669</v>
      </c>
      <c r="E1329" t="s">
        <v>669</v>
      </c>
      <c r="F1329" s="705">
        <v>5</v>
      </c>
      <c r="G1329" s="705">
        <v>740</v>
      </c>
      <c r="H1329" s="705">
        <v>1358</v>
      </c>
      <c r="I1329" s="705">
        <v>130944</v>
      </c>
      <c r="J1329" s="705">
        <v>109120</v>
      </c>
      <c r="K1329" s="705">
        <v>68</v>
      </c>
      <c r="L1329" s="705">
        <v>15542</v>
      </c>
      <c r="M1329" s="705">
        <v>13115</v>
      </c>
      <c r="N1329" s="705">
        <v>12203</v>
      </c>
      <c r="O1329" s="705">
        <v>4520</v>
      </c>
      <c r="P1329" s="705">
        <v>2025</v>
      </c>
      <c r="Q1329" s="705">
        <v>750</v>
      </c>
      <c r="R1329" s="705">
        <v>26690</v>
      </c>
      <c r="S1329" s="705">
        <v>22242</v>
      </c>
      <c r="T1329" s="705">
        <v>14321</v>
      </c>
      <c r="U1329" s="705">
        <v>5304</v>
      </c>
      <c r="V1329" s="705">
        <v>155051</v>
      </c>
      <c r="W1329" s="705">
        <f t="shared" si="62"/>
        <v>155051</v>
      </c>
      <c r="X1329" s="705">
        <f t="shared" si="63"/>
        <v>201725</v>
      </c>
    </row>
    <row r="1330" spans="2:24">
      <c r="B1330" t="s">
        <v>542</v>
      </c>
      <c r="C1330" t="s">
        <v>118</v>
      </c>
      <c r="D1330" t="s">
        <v>667</v>
      </c>
      <c r="E1330" t="s">
        <v>667</v>
      </c>
      <c r="F1330" s="705">
        <v>1</v>
      </c>
      <c r="G1330" s="705">
        <v>151</v>
      </c>
      <c r="H1330" s="705">
        <v>260</v>
      </c>
      <c r="I1330" s="705">
        <v>23318</v>
      </c>
      <c r="J1330" s="705">
        <v>21198</v>
      </c>
      <c r="K1330" s="705">
        <v>65</v>
      </c>
      <c r="L1330" s="705">
        <v>2807</v>
      </c>
      <c r="M1330" s="705">
        <v>2552</v>
      </c>
      <c r="N1330" s="705">
        <v>3684</v>
      </c>
      <c r="O1330" s="705">
        <v>1365</v>
      </c>
      <c r="P1330" s="705">
        <v>351</v>
      </c>
      <c r="Q1330" s="705">
        <v>130</v>
      </c>
      <c r="R1330" s="705">
        <v>5697</v>
      </c>
      <c r="S1330" s="705">
        <v>5179</v>
      </c>
      <c r="T1330" s="705">
        <v>3389</v>
      </c>
      <c r="U1330" s="705">
        <v>1255</v>
      </c>
      <c r="V1330" s="705">
        <v>31678</v>
      </c>
      <c r="W1330" s="705">
        <f t="shared" si="62"/>
        <v>31679</v>
      </c>
      <c r="X1330" s="705">
        <f t="shared" si="63"/>
        <v>39246</v>
      </c>
    </row>
    <row r="1331" spans="2:24">
      <c r="B1331" t="s">
        <v>542</v>
      </c>
      <c r="C1331" t="s">
        <v>118</v>
      </c>
      <c r="D1331" t="s">
        <v>671</v>
      </c>
      <c r="E1331" t="s">
        <v>228</v>
      </c>
      <c r="F1331" s="705">
        <v>1</v>
      </c>
      <c r="G1331" s="705">
        <v>189</v>
      </c>
      <c r="H1331" s="705">
        <v>272</v>
      </c>
      <c r="I1331" s="705">
        <v>30107</v>
      </c>
      <c r="J1331" s="705">
        <v>27370</v>
      </c>
      <c r="K1331" s="705">
        <v>55</v>
      </c>
      <c r="L1331" s="705">
        <v>6133</v>
      </c>
      <c r="M1331" s="705">
        <v>5575</v>
      </c>
      <c r="N1331" s="705">
        <v>2308</v>
      </c>
      <c r="O1331" s="705">
        <v>855</v>
      </c>
      <c r="P1331" s="705">
        <v>351</v>
      </c>
      <c r="Q1331" s="705">
        <v>130</v>
      </c>
      <c r="R1331" s="705">
        <v>12535</v>
      </c>
      <c r="S1331" s="705">
        <v>4643</v>
      </c>
      <c r="T1331" s="705">
        <v>0</v>
      </c>
      <c r="U1331" s="705">
        <v>0</v>
      </c>
      <c r="V1331" s="705">
        <v>38573</v>
      </c>
      <c r="W1331" s="705">
        <f t="shared" si="62"/>
        <v>38573</v>
      </c>
      <c r="X1331" s="705">
        <f t="shared" si="63"/>
        <v>51434</v>
      </c>
    </row>
    <row r="1332" spans="2:24">
      <c r="B1332" t="s">
        <v>542</v>
      </c>
      <c r="C1332" t="s">
        <v>118</v>
      </c>
      <c r="D1332" t="s">
        <v>671</v>
      </c>
      <c r="E1332" t="s">
        <v>671</v>
      </c>
      <c r="F1332" s="705">
        <v>1</v>
      </c>
      <c r="G1332" s="705">
        <v>171</v>
      </c>
      <c r="H1332" s="705">
        <v>290</v>
      </c>
      <c r="I1332" s="705">
        <v>34278</v>
      </c>
      <c r="J1332" s="705">
        <v>31162</v>
      </c>
      <c r="K1332" s="705">
        <v>55</v>
      </c>
      <c r="L1332" s="705">
        <v>3491</v>
      </c>
      <c r="M1332" s="705">
        <v>3174</v>
      </c>
      <c r="N1332" s="705">
        <v>2836</v>
      </c>
      <c r="O1332" s="705">
        <v>1050</v>
      </c>
      <c r="P1332" s="705">
        <v>351</v>
      </c>
      <c r="Q1332" s="705">
        <v>130</v>
      </c>
      <c r="R1332" s="705">
        <v>5843</v>
      </c>
      <c r="S1332" s="705">
        <v>5312</v>
      </c>
      <c r="T1332" s="705">
        <v>2798</v>
      </c>
      <c r="U1332" s="705">
        <v>1036</v>
      </c>
      <c r="V1332" s="705">
        <v>41865</v>
      </c>
      <c r="W1332" s="705">
        <f t="shared" si="62"/>
        <v>41864</v>
      </c>
      <c r="X1332" s="705">
        <f t="shared" si="63"/>
        <v>49597</v>
      </c>
    </row>
    <row r="1333" spans="2:24">
      <c r="B1333" t="s">
        <v>542</v>
      </c>
      <c r="C1333" t="s">
        <v>118</v>
      </c>
      <c r="D1333" t="s">
        <v>665</v>
      </c>
      <c r="E1333" t="s">
        <v>665</v>
      </c>
      <c r="F1333" s="705">
        <v>17</v>
      </c>
      <c r="G1333" s="705">
        <v>2603</v>
      </c>
      <c r="H1333" s="705">
        <v>4590</v>
      </c>
      <c r="I1333" s="705">
        <v>439646</v>
      </c>
      <c r="J1333" s="705">
        <v>399678</v>
      </c>
      <c r="K1333" s="705">
        <v>64</v>
      </c>
      <c r="L1333" s="705">
        <v>79399</v>
      </c>
      <c r="M1333" s="705">
        <v>67320</v>
      </c>
      <c r="N1333" s="705">
        <v>46310</v>
      </c>
      <c r="O1333" s="705">
        <v>17152</v>
      </c>
      <c r="P1333" s="705">
        <v>6710</v>
      </c>
      <c r="Q1333" s="705">
        <v>2485</v>
      </c>
      <c r="R1333" s="705">
        <v>109399</v>
      </c>
      <c r="S1333" s="705">
        <v>99453</v>
      </c>
      <c r="T1333" s="705">
        <v>41578</v>
      </c>
      <c r="U1333" s="705">
        <v>15399</v>
      </c>
      <c r="V1333" s="705">
        <v>601487</v>
      </c>
      <c r="W1333" s="705">
        <f t="shared" si="62"/>
        <v>601487</v>
      </c>
      <c r="X1333" s="705">
        <f t="shared" si="63"/>
        <v>723042</v>
      </c>
    </row>
    <row r="1334" spans="2:24">
      <c r="B1334" t="s">
        <v>542</v>
      </c>
      <c r="C1334" t="s">
        <v>118</v>
      </c>
      <c r="D1334" t="s">
        <v>585</v>
      </c>
      <c r="E1334" t="s">
        <v>585</v>
      </c>
      <c r="F1334" s="705">
        <v>2</v>
      </c>
      <c r="G1334" s="705">
        <v>291</v>
      </c>
      <c r="H1334" s="705">
        <v>549</v>
      </c>
      <c r="I1334" s="705">
        <v>53312</v>
      </c>
      <c r="J1334" s="705">
        <v>48466</v>
      </c>
      <c r="K1334" s="705">
        <v>65</v>
      </c>
      <c r="L1334" s="705">
        <v>6654</v>
      </c>
      <c r="M1334" s="705">
        <v>5834</v>
      </c>
      <c r="N1334" s="705">
        <v>5133</v>
      </c>
      <c r="O1334" s="705">
        <v>1901</v>
      </c>
      <c r="P1334" s="705">
        <v>972</v>
      </c>
      <c r="Q1334" s="705">
        <v>360</v>
      </c>
      <c r="R1334" s="705">
        <v>9105</v>
      </c>
      <c r="S1334" s="705">
        <v>8278</v>
      </c>
      <c r="T1334" s="705">
        <v>4537</v>
      </c>
      <c r="U1334" s="705">
        <v>1681</v>
      </c>
      <c r="V1334" s="705">
        <v>66519</v>
      </c>
      <c r="W1334" s="705">
        <f t="shared" si="62"/>
        <v>66520</v>
      </c>
      <c r="X1334" s="705">
        <f t="shared" si="63"/>
        <v>79713</v>
      </c>
    </row>
    <row r="1335" spans="2:24">
      <c r="B1335" t="s">
        <v>542</v>
      </c>
      <c r="C1335" t="s">
        <v>120</v>
      </c>
      <c r="F1335" s="705">
        <v>1</v>
      </c>
      <c r="G1335" s="705">
        <v>682</v>
      </c>
      <c r="H1335" s="705">
        <v>351</v>
      </c>
      <c r="I1335" s="705"/>
      <c r="J1335" s="705">
        <v>0</v>
      </c>
      <c r="K1335" s="705"/>
      <c r="L1335" s="705"/>
      <c r="M1335" s="705">
        <v>0</v>
      </c>
      <c r="N1335" s="705">
        <v>16363</v>
      </c>
      <c r="O1335" s="705">
        <v>6060</v>
      </c>
      <c r="P1335" s="705">
        <v>621</v>
      </c>
      <c r="Q1335" s="705">
        <v>230</v>
      </c>
      <c r="R1335" s="705"/>
      <c r="S1335" s="705">
        <v>0</v>
      </c>
      <c r="T1335" s="705">
        <v>0</v>
      </c>
      <c r="U1335" s="705">
        <v>0</v>
      </c>
      <c r="V1335" s="705">
        <v>6290</v>
      </c>
      <c r="W1335" s="705">
        <f t="shared" si="62"/>
        <v>6290</v>
      </c>
      <c r="X1335" s="705">
        <f t="shared" si="63"/>
        <v>16984</v>
      </c>
    </row>
    <row r="1336" spans="2:24">
      <c r="B1336" t="s">
        <v>542</v>
      </c>
      <c r="C1336" t="s">
        <v>120</v>
      </c>
      <c r="D1336" t="s">
        <v>664</v>
      </c>
      <c r="E1336" t="s">
        <v>664</v>
      </c>
      <c r="F1336" s="705">
        <v>1</v>
      </c>
      <c r="G1336" s="705">
        <v>88</v>
      </c>
      <c r="H1336" s="705">
        <v>374</v>
      </c>
      <c r="I1336" s="705">
        <v>21834</v>
      </c>
      <c r="J1336" s="705">
        <v>19849</v>
      </c>
      <c r="K1336" s="705">
        <v>72</v>
      </c>
      <c r="L1336" s="705">
        <v>2305</v>
      </c>
      <c r="M1336" s="705">
        <v>2095</v>
      </c>
      <c r="N1336" s="705">
        <v>1460</v>
      </c>
      <c r="O1336" s="705">
        <v>541</v>
      </c>
      <c r="P1336" s="705">
        <v>621</v>
      </c>
      <c r="Q1336" s="705">
        <v>230</v>
      </c>
      <c r="R1336" s="705">
        <v>6710</v>
      </c>
      <c r="S1336" s="705">
        <v>6100</v>
      </c>
      <c r="T1336" s="705">
        <v>0</v>
      </c>
      <c r="U1336" s="705">
        <v>0</v>
      </c>
      <c r="V1336" s="705">
        <v>28815</v>
      </c>
      <c r="W1336" s="705">
        <f t="shared" si="62"/>
        <v>28815</v>
      </c>
      <c r="X1336" s="705">
        <f t="shared" si="63"/>
        <v>32930</v>
      </c>
    </row>
    <row r="1337" spans="2:24">
      <c r="B1337" t="s">
        <v>542</v>
      </c>
      <c r="C1337" t="s">
        <v>120</v>
      </c>
      <c r="D1337" t="s">
        <v>582</v>
      </c>
      <c r="E1337" t="s">
        <v>582</v>
      </c>
      <c r="F1337" s="705">
        <v>3</v>
      </c>
      <c r="G1337" s="705">
        <v>332</v>
      </c>
      <c r="H1337" s="705">
        <v>994</v>
      </c>
      <c r="I1337" s="705">
        <v>74122</v>
      </c>
      <c r="J1337" s="705">
        <v>67383</v>
      </c>
      <c r="K1337" s="705">
        <v>90</v>
      </c>
      <c r="L1337" s="705">
        <v>16570</v>
      </c>
      <c r="M1337" s="705">
        <v>14595</v>
      </c>
      <c r="N1337" s="705">
        <v>6452</v>
      </c>
      <c r="O1337" s="705">
        <v>2390</v>
      </c>
      <c r="P1337" s="705">
        <v>1418</v>
      </c>
      <c r="Q1337" s="705">
        <v>525</v>
      </c>
      <c r="R1337" s="705">
        <v>12069</v>
      </c>
      <c r="S1337" s="705">
        <v>10972</v>
      </c>
      <c r="T1337" s="705">
        <v>0</v>
      </c>
      <c r="U1337" s="705">
        <v>0</v>
      </c>
      <c r="V1337" s="705">
        <v>95864</v>
      </c>
      <c r="W1337" s="705">
        <f t="shared" si="62"/>
        <v>95865</v>
      </c>
      <c r="X1337" s="705">
        <f t="shared" si="63"/>
        <v>110631</v>
      </c>
    </row>
    <row r="1338" spans="2:24">
      <c r="B1338" t="s">
        <v>542</v>
      </c>
      <c r="C1338" t="s">
        <v>120</v>
      </c>
      <c r="D1338" t="s">
        <v>228</v>
      </c>
      <c r="E1338" t="s">
        <v>228</v>
      </c>
      <c r="F1338" s="705">
        <v>22</v>
      </c>
      <c r="G1338" s="705">
        <v>3180</v>
      </c>
      <c r="H1338" s="705">
        <v>7556</v>
      </c>
      <c r="I1338" s="705">
        <v>705607</v>
      </c>
      <c r="J1338" s="705">
        <v>261336</v>
      </c>
      <c r="K1338" s="705">
        <v>109</v>
      </c>
      <c r="L1338" s="705">
        <v>142981</v>
      </c>
      <c r="M1338" s="705">
        <v>123762</v>
      </c>
      <c r="N1338" s="705">
        <v>69231</v>
      </c>
      <c r="O1338" s="705">
        <v>25641</v>
      </c>
      <c r="P1338" s="705">
        <v>621</v>
      </c>
      <c r="Q1338" s="705">
        <v>230</v>
      </c>
      <c r="R1338" s="705">
        <v>186400</v>
      </c>
      <c r="S1338" s="705">
        <v>69037</v>
      </c>
      <c r="T1338" s="705">
        <v>0</v>
      </c>
      <c r="U1338" s="705">
        <v>0</v>
      </c>
      <c r="V1338" s="705">
        <v>480005</v>
      </c>
      <c r="W1338" s="705">
        <f t="shared" si="62"/>
        <v>480006</v>
      </c>
      <c r="X1338" s="705">
        <f t="shared" si="63"/>
        <v>1104840</v>
      </c>
    </row>
    <row r="1339" spans="2:24">
      <c r="B1339" t="s">
        <v>542</v>
      </c>
      <c r="C1339" t="s">
        <v>120</v>
      </c>
      <c r="D1339" t="s">
        <v>228</v>
      </c>
      <c r="E1339" t="s">
        <v>665</v>
      </c>
      <c r="F1339" s="705">
        <v>2</v>
      </c>
      <c r="G1339" s="705">
        <v>283</v>
      </c>
      <c r="H1339" s="705">
        <v>686</v>
      </c>
      <c r="I1339" s="705">
        <v>60625</v>
      </c>
      <c r="J1339" s="705">
        <v>22454</v>
      </c>
      <c r="K1339" s="705">
        <v>100</v>
      </c>
      <c r="L1339" s="705">
        <v>8734</v>
      </c>
      <c r="M1339" s="705">
        <v>7940</v>
      </c>
      <c r="N1339" s="705">
        <v>5153</v>
      </c>
      <c r="O1339" s="705">
        <v>1908</v>
      </c>
      <c r="P1339" s="705">
        <v>702</v>
      </c>
      <c r="Q1339" s="705">
        <v>260</v>
      </c>
      <c r="R1339" s="705">
        <v>13063</v>
      </c>
      <c r="S1339" s="705">
        <v>11876</v>
      </c>
      <c r="T1339" s="705">
        <v>6838</v>
      </c>
      <c r="U1339" s="705">
        <v>2533</v>
      </c>
      <c r="V1339" s="705">
        <v>46971</v>
      </c>
      <c r="W1339" s="705">
        <f t="shared" si="62"/>
        <v>46971</v>
      </c>
      <c r="X1339" s="705">
        <f t="shared" si="63"/>
        <v>95115</v>
      </c>
    </row>
    <row r="1340" spans="2:24">
      <c r="B1340" t="s">
        <v>542</v>
      </c>
      <c r="C1340" t="s">
        <v>120</v>
      </c>
      <c r="D1340" t="s">
        <v>583</v>
      </c>
      <c r="E1340" t="s">
        <v>664</v>
      </c>
      <c r="F1340" s="705">
        <v>1</v>
      </c>
      <c r="G1340" s="705">
        <v>100</v>
      </c>
      <c r="H1340" s="705">
        <v>362</v>
      </c>
      <c r="I1340" s="705">
        <v>21304</v>
      </c>
      <c r="J1340" s="705">
        <v>19368</v>
      </c>
      <c r="K1340" s="705">
        <v>65</v>
      </c>
      <c r="L1340" s="705">
        <v>4876</v>
      </c>
      <c r="M1340" s="705">
        <v>4433</v>
      </c>
      <c r="N1340" s="705">
        <v>1539</v>
      </c>
      <c r="O1340" s="705">
        <v>570</v>
      </c>
      <c r="P1340" s="705">
        <v>621</v>
      </c>
      <c r="Q1340" s="705">
        <v>230</v>
      </c>
      <c r="R1340" s="705">
        <v>7924</v>
      </c>
      <c r="S1340" s="705">
        <v>7204</v>
      </c>
      <c r="T1340" s="705">
        <v>0</v>
      </c>
      <c r="U1340" s="705">
        <v>0</v>
      </c>
      <c r="V1340" s="705">
        <v>31805</v>
      </c>
      <c r="W1340" s="705">
        <f t="shared" si="62"/>
        <v>31805</v>
      </c>
      <c r="X1340" s="705">
        <f t="shared" si="63"/>
        <v>36264</v>
      </c>
    </row>
    <row r="1341" spans="2:24">
      <c r="B1341" t="s">
        <v>542</v>
      </c>
      <c r="C1341" t="s">
        <v>120</v>
      </c>
      <c r="D1341" t="s">
        <v>583</v>
      </c>
      <c r="E1341" t="s">
        <v>228</v>
      </c>
      <c r="F1341" s="705">
        <v>5</v>
      </c>
      <c r="G1341" s="705">
        <v>871</v>
      </c>
      <c r="H1341" s="705">
        <v>1739</v>
      </c>
      <c r="I1341" s="705">
        <v>188393</v>
      </c>
      <c r="J1341" s="705">
        <v>171266</v>
      </c>
      <c r="K1341" s="705">
        <v>77</v>
      </c>
      <c r="L1341" s="705">
        <v>38656</v>
      </c>
      <c r="M1341" s="705">
        <v>34724</v>
      </c>
      <c r="N1341" s="705">
        <v>17191</v>
      </c>
      <c r="O1341" s="705">
        <v>6367</v>
      </c>
      <c r="P1341" s="705">
        <v>3105</v>
      </c>
      <c r="Q1341" s="705">
        <v>1150</v>
      </c>
      <c r="R1341" s="705">
        <v>54003</v>
      </c>
      <c r="S1341" s="705">
        <v>20001</v>
      </c>
      <c r="T1341" s="705">
        <v>0</v>
      </c>
      <c r="U1341" s="705">
        <v>0</v>
      </c>
      <c r="V1341" s="705">
        <v>233508</v>
      </c>
      <c r="W1341" s="705">
        <f t="shared" si="62"/>
        <v>233508</v>
      </c>
      <c r="X1341" s="705">
        <f t="shared" si="63"/>
        <v>301348</v>
      </c>
    </row>
    <row r="1342" spans="2:24">
      <c r="B1342" t="s">
        <v>542</v>
      </c>
      <c r="C1342" t="s">
        <v>120</v>
      </c>
      <c r="D1342" t="s">
        <v>583</v>
      </c>
      <c r="E1342" t="s">
        <v>583</v>
      </c>
      <c r="F1342" s="705">
        <v>674</v>
      </c>
      <c r="G1342" s="705">
        <v>87031</v>
      </c>
      <c r="H1342" s="705">
        <v>227246</v>
      </c>
      <c r="I1342" s="705">
        <v>18705020</v>
      </c>
      <c r="J1342" s="705">
        <v>17004564</v>
      </c>
      <c r="K1342" s="705">
        <v>76</v>
      </c>
      <c r="L1342" s="705">
        <v>3955537</v>
      </c>
      <c r="M1342" s="705">
        <v>3470713</v>
      </c>
      <c r="N1342" s="705">
        <v>1830719</v>
      </c>
      <c r="O1342" s="705">
        <v>678044</v>
      </c>
      <c r="P1342" s="705">
        <v>438305</v>
      </c>
      <c r="Q1342" s="705">
        <v>162335</v>
      </c>
      <c r="R1342" s="705">
        <v>3653383</v>
      </c>
      <c r="S1342" s="705">
        <v>3321257</v>
      </c>
      <c r="T1342" s="705">
        <v>1284761</v>
      </c>
      <c r="U1342" s="705">
        <v>475837</v>
      </c>
      <c r="V1342" s="705">
        <v>25112750</v>
      </c>
      <c r="W1342" s="705">
        <f t="shared" si="62"/>
        <v>25112750</v>
      </c>
      <c r="X1342" s="705">
        <f t="shared" si="63"/>
        <v>29867725</v>
      </c>
    </row>
    <row r="1343" spans="2:24">
      <c r="B1343" t="s">
        <v>542</v>
      </c>
      <c r="C1343" t="s">
        <v>120</v>
      </c>
      <c r="D1343" t="s">
        <v>583</v>
      </c>
      <c r="E1343" t="s">
        <v>665</v>
      </c>
      <c r="F1343" s="705">
        <v>2</v>
      </c>
      <c r="G1343" s="705">
        <v>242</v>
      </c>
      <c r="H1343" s="705">
        <v>616</v>
      </c>
      <c r="I1343" s="705">
        <v>48987</v>
      </c>
      <c r="J1343" s="705">
        <v>44533</v>
      </c>
      <c r="K1343" s="705">
        <v>65</v>
      </c>
      <c r="L1343" s="705">
        <v>5175</v>
      </c>
      <c r="M1343" s="705">
        <v>4705</v>
      </c>
      <c r="N1343" s="705">
        <v>2943</v>
      </c>
      <c r="O1343" s="705">
        <v>1090</v>
      </c>
      <c r="P1343" s="705">
        <v>1242</v>
      </c>
      <c r="Q1343" s="705">
        <v>460</v>
      </c>
      <c r="R1343" s="705">
        <v>10462</v>
      </c>
      <c r="S1343" s="705">
        <v>9511</v>
      </c>
      <c r="T1343" s="705">
        <v>5636</v>
      </c>
      <c r="U1343" s="705">
        <v>2087</v>
      </c>
      <c r="V1343" s="705">
        <v>62386</v>
      </c>
      <c r="W1343" s="705">
        <f t="shared" si="62"/>
        <v>62386</v>
      </c>
      <c r="X1343" s="705">
        <f t="shared" si="63"/>
        <v>74445</v>
      </c>
    </row>
    <row r="1344" spans="2:24">
      <c r="B1344" t="s">
        <v>542</v>
      </c>
      <c r="C1344" t="s">
        <v>120</v>
      </c>
      <c r="D1344" t="s">
        <v>666</v>
      </c>
      <c r="E1344" t="s">
        <v>666</v>
      </c>
      <c r="F1344" s="705">
        <v>3</v>
      </c>
      <c r="G1344" s="705">
        <v>310</v>
      </c>
      <c r="H1344" s="705">
        <v>1051</v>
      </c>
      <c r="I1344" s="705">
        <v>62813</v>
      </c>
      <c r="J1344" s="705">
        <v>57102</v>
      </c>
      <c r="K1344" s="705">
        <v>62</v>
      </c>
      <c r="L1344" s="705">
        <v>14456</v>
      </c>
      <c r="M1344" s="705">
        <v>13142</v>
      </c>
      <c r="N1344" s="705">
        <v>6665</v>
      </c>
      <c r="O1344" s="705">
        <v>2468</v>
      </c>
      <c r="P1344" s="705">
        <v>1053</v>
      </c>
      <c r="Q1344" s="705">
        <v>390</v>
      </c>
      <c r="R1344" s="705">
        <v>17422</v>
      </c>
      <c r="S1344" s="705">
        <v>15839</v>
      </c>
      <c r="T1344" s="705">
        <v>5539</v>
      </c>
      <c r="U1344" s="705">
        <v>2051</v>
      </c>
      <c r="V1344" s="705">
        <v>90993</v>
      </c>
      <c r="W1344" s="705">
        <f t="shared" si="62"/>
        <v>90992</v>
      </c>
      <c r="X1344" s="705">
        <f t="shared" si="63"/>
        <v>107948</v>
      </c>
    </row>
    <row r="1345" spans="2:24">
      <c r="B1345" t="s">
        <v>542</v>
      </c>
      <c r="C1345" t="s">
        <v>120</v>
      </c>
      <c r="D1345" t="s">
        <v>584</v>
      </c>
      <c r="E1345" t="s">
        <v>584</v>
      </c>
      <c r="F1345" s="705">
        <v>100</v>
      </c>
      <c r="G1345" s="705">
        <v>11259</v>
      </c>
      <c r="H1345" s="705">
        <v>33472</v>
      </c>
      <c r="I1345" s="705">
        <v>2278173</v>
      </c>
      <c r="J1345" s="705">
        <v>2071067</v>
      </c>
      <c r="K1345" s="705">
        <v>79</v>
      </c>
      <c r="L1345" s="705">
        <v>634095</v>
      </c>
      <c r="M1345" s="705">
        <v>551219</v>
      </c>
      <c r="N1345" s="705">
        <v>231338</v>
      </c>
      <c r="O1345" s="705">
        <v>85681</v>
      </c>
      <c r="P1345" s="705">
        <v>47534</v>
      </c>
      <c r="Q1345" s="705">
        <v>17605</v>
      </c>
      <c r="R1345" s="705">
        <v>510985</v>
      </c>
      <c r="S1345" s="705">
        <v>464532</v>
      </c>
      <c r="T1345" s="705">
        <v>152097</v>
      </c>
      <c r="U1345" s="705">
        <v>56332</v>
      </c>
      <c r="V1345" s="705">
        <v>3246436</v>
      </c>
      <c r="W1345" s="705">
        <f t="shared" si="62"/>
        <v>3246436</v>
      </c>
      <c r="X1345" s="705">
        <f t="shared" si="63"/>
        <v>3854222</v>
      </c>
    </row>
    <row r="1346" spans="2:24">
      <c r="B1346" t="s">
        <v>542</v>
      </c>
      <c r="C1346" t="s">
        <v>120</v>
      </c>
      <c r="D1346" t="s">
        <v>669</v>
      </c>
      <c r="E1346" t="s">
        <v>669</v>
      </c>
      <c r="F1346" s="705">
        <v>2</v>
      </c>
      <c r="G1346" s="705">
        <v>244</v>
      </c>
      <c r="H1346" s="705">
        <v>713</v>
      </c>
      <c r="I1346" s="705">
        <v>65972</v>
      </c>
      <c r="J1346" s="705">
        <v>54977</v>
      </c>
      <c r="K1346" s="705">
        <v>60</v>
      </c>
      <c r="L1346" s="705">
        <v>15239</v>
      </c>
      <c r="M1346" s="705">
        <v>9794</v>
      </c>
      <c r="N1346" s="705">
        <v>7238</v>
      </c>
      <c r="O1346" s="705">
        <v>2681</v>
      </c>
      <c r="P1346" s="705">
        <v>702</v>
      </c>
      <c r="Q1346" s="705">
        <v>260</v>
      </c>
      <c r="R1346" s="705">
        <v>10498</v>
      </c>
      <c r="S1346" s="705">
        <v>8748</v>
      </c>
      <c r="T1346" s="705">
        <v>5904</v>
      </c>
      <c r="U1346" s="705">
        <v>2187</v>
      </c>
      <c r="V1346" s="705">
        <v>78646</v>
      </c>
      <c r="W1346" s="705">
        <f t="shared" si="62"/>
        <v>78647</v>
      </c>
      <c r="X1346" s="705">
        <f t="shared" si="63"/>
        <v>105553</v>
      </c>
    </row>
    <row r="1347" spans="2:24">
      <c r="B1347" t="s">
        <v>542</v>
      </c>
      <c r="C1347" t="s">
        <v>120</v>
      </c>
      <c r="D1347" t="s">
        <v>671</v>
      </c>
      <c r="E1347" t="s">
        <v>228</v>
      </c>
      <c r="F1347" s="705">
        <v>1</v>
      </c>
      <c r="G1347" s="705">
        <v>224</v>
      </c>
      <c r="H1347" s="705">
        <v>370</v>
      </c>
      <c r="I1347" s="705">
        <v>63778</v>
      </c>
      <c r="J1347" s="705">
        <v>57980</v>
      </c>
      <c r="K1347" s="705">
        <v>30</v>
      </c>
      <c r="L1347" s="705">
        <v>5218</v>
      </c>
      <c r="M1347" s="705">
        <v>1933</v>
      </c>
      <c r="N1347" s="705">
        <v>5338</v>
      </c>
      <c r="O1347" s="705">
        <v>1977</v>
      </c>
      <c r="P1347" s="705">
        <v>0</v>
      </c>
      <c r="Q1347" s="705">
        <v>0</v>
      </c>
      <c r="R1347" s="705">
        <v>8458</v>
      </c>
      <c r="S1347" s="705">
        <v>3133</v>
      </c>
      <c r="T1347" s="705">
        <v>0</v>
      </c>
      <c r="U1347" s="705">
        <v>0</v>
      </c>
      <c r="V1347" s="705">
        <v>65022</v>
      </c>
      <c r="W1347" s="705">
        <f t="shared" si="62"/>
        <v>65023</v>
      </c>
      <c r="X1347" s="705">
        <f t="shared" si="63"/>
        <v>82792</v>
      </c>
    </row>
    <row r="1348" spans="2:24">
      <c r="B1348" t="s">
        <v>542</v>
      </c>
      <c r="C1348" t="s">
        <v>120</v>
      </c>
      <c r="D1348" t="s">
        <v>671</v>
      </c>
      <c r="E1348" t="s">
        <v>671</v>
      </c>
      <c r="F1348" s="705">
        <v>5</v>
      </c>
      <c r="G1348" s="705">
        <v>569</v>
      </c>
      <c r="H1348" s="705">
        <v>1654</v>
      </c>
      <c r="I1348" s="705">
        <v>139085</v>
      </c>
      <c r="J1348" s="705">
        <v>126441</v>
      </c>
      <c r="K1348" s="705">
        <v>55</v>
      </c>
      <c r="L1348" s="705">
        <v>22812</v>
      </c>
      <c r="M1348" s="705">
        <v>17709</v>
      </c>
      <c r="N1348" s="705">
        <v>12925</v>
      </c>
      <c r="O1348" s="705">
        <v>4787</v>
      </c>
      <c r="P1348" s="705">
        <v>1755</v>
      </c>
      <c r="Q1348" s="705">
        <v>650</v>
      </c>
      <c r="R1348" s="705">
        <v>29504</v>
      </c>
      <c r="S1348" s="705">
        <v>26822</v>
      </c>
      <c r="T1348" s="705">
        <v>14444</v>
      </c>
      <c r="U1348" s="705">
        <v>5349</v>
      </c>
      <c r="V1348" s="705">
        <v>181758</v>
      </c>
      <c r="W1348" s="705">
        <f t="shared" si="62"/>
        <v>181758</v>
      </c>
      <c r="X1348" s="705">
        <f t="shared" si="63"/>
        <v>220525</v>
      </c>
    </row>
    <row r="1349" spans="2:24">
      <c r="B1349" t="s">
        <v>542</v>
      </c>
      <c r="C1349" t="s">
        <v>120</v>
      </c>
      <c r="D1349" t="s">
        <v>665</v>
      </c>
      <c r="E1349" t="s">
        <v>228</v>
      </c>
      <c r="F1349" s="705">
        <v>1</v>
      </c>
      <c r="G1349" s="705">
        <v>94</v>
      </c>
      <c r="H1349" s="705">
        <v>348</v>
      </c>
      <c r="I1349" s="705">
        <v>21489</v>
      </c>
      <c r="J1349" s="705">
        <v>19536</v>
      </c>
      <c r="K1349" s="705">
        <v>60</v>
      </c>
      <c r="L1349" s="705">
        <v>3516</v>
      </c>
      <c r="M1349" s="705">
        <v>1302</v>
      </c>
      <c r="N1349" s="705">
        <v>2009</v>
      </c>
      <c r="O1349" s="705">
        <v>744</v>
      </c>
      <c r="P1349" s="705">
        <v>0</v>
      </c>
      <c r="Q1349" s="705">
        <v>0</v>
      </c>
      <c r="R1349" s="705">
        <v>5782</v>
      </c>
      <c r="S1349" s="705">
        <v>2142</v>
      </c>
      <c r="T1349" s="705">
        <v>0</v>
      </c>
      <c r="U1349" s="705">
        <v>0</v>
      </c>
      <c r="V1349" s="705">
        <v>23724</v>
      </c>
      <c r="W1349" s="705">
        <f t="shared" si="62"/>
        <v>23724</v>
      </c>
      <c r="X1349" s="705">
        <f t="shared" si="63"/>
        <v>32796</v>
      </c>
    </row>
    <row r="1350" spans="2:24">
      <c r="B1350" t="s">
        <v>542</v>
      </c>
      <c r="C1350" t="s">
        <v>120</v>
      </c>
      <c r="D1350" t="s">
        <v>665</v>
      </c>
      <c r="E1350" t="s">
        <v>665</v>
      </c>
      <c r="F1350" s="705">
        <v>47</v>
      </c>
      <c r="G1350" s="705">
        <v>5698</v>
      </c>
      <c r="H1350" s="705">
        <v>15972</v>
      </c>
      <c r="I1350" s="705">
        <v>1269568</v>
      </c>
      <c r="J1350" s="705">
        <v>1154152</v>
      </c>
      <c r="K1350" s="705">
        <v>59</v>
      </c>
      <c r="L1350" s="705">
        <v>186882</v>
      </c>
      <c r="M1350" s="705">
        <v>169749</v>
      </c>
      <c r="N1350" s="705">
        <v>110299</v>
      </c>
      <c r="O1350" s="705">
        <v>40851</v>
      </c>
      <c r="P1350" s="705">
        <v>20812</v>
      </c>
      <c r="Q1350" s="705">
        <v>7708</v>
      </c>
      <c r="R1350" s="705">
        <v>279785</v>
      </c>
      <c r="S1350" s="705">
        <v>254350</v>
      </c>
      <c r="T1350" s="705">
        <v>106830</v>
      </c>
      <c r="U1350" s="705">
        <v>39567</v>
      </c>
      <c r="V1350" s="705">
        <v>1666378</v>
      </c>
      <c r="W1350" s="705">
        <f t="shared" si="62"/>
        <v>1666377</v>
      </c>
      <c r="X1350" s="705">
        <f t="shared" si="63"/>
        <v>1974176</v>
      </c>
    </row>
    <row r="1351" spans="2:24">
      <c r="B1351" t="s">
        <v>542</v>
      </c>
      <c r="C1351" t="s">
        <v>120</v>
      </c>
      <c r="D1351" t="s">
        <v>585</v>
      </c>
      <c r="E1351" t="s">
        <v>585</v>
      </c>
      <c r="F1351" s="705">
        <v>1</v>
      </c>
      <c r="G1351" s="705">
        <v>114</v>
      </c>
      <c r="H1351" s="705">
        <v>333</v>
      </c>
      <c r="I1351" s="705">
        <v>26484</v>
      </c>
      <c r="J1351" s="705">
        <v>24076</v>
      </c>
      <c r="K1351" s="705">
        <v>96</v>
      </c>
      <c r="L1351" s="705">
        <v>4360</v>
      </c>
      <c r="M1351" s="705">
        <v>3963</v>
      </c>
      <c r="N1351" s="705">
        <v>2186</v>
      </c>
      <c r="O1351" s="705">
        <v>810</v>
      </c>
      <c r="P1351" s="705">
        <v>351</v>
      </c>
      <c r="Q1351" s="705">
        <v>130</v>
      </c>
      <c r="R1351" s="705">
        <v>4734</v>
      </c>
      <c r="S1351" s="705">
        <v>4304</v>
      </c>
      <c r="T1351" s="705">
        <v>0</v>
      </c>
      <c r="U1351" s="705">
        <v>0</v>
      </c>
      <c r="V1351" s="705">
        <v>33283</v>
      </c>
      <c r="W1351" s="705">
        <f t="shared" ref="W1351:W1414" si="64">SUM(ABS(J1351),ABS(M1351),ABS(O1351),ABS(Q1351),ABS(S1351),ABS(U1351))</f>
        <v>33283</v>
      </c>
      <c r="X1351" s="705">
        <f t="shared" ref="X1351:X1414" si="65">SUM(ABS(I1351),ABS(N1351),ABS(P1351),ABS(R1351),ABS(T1351),ABS(L1351))</f>
        <v>38115</v>
      </c>
    </row>
    <row r="1352" spans="2:24">
      <c r="B1352" t="s">
        <v>542</v>
      </c>
      <c r="C1352" t="s">
        <v>122</v>
      </c>
      <c r="F1352" s="705">
        <v>2</v>
      </c>
      <c r="G1352" s="705">
        <v>295</v>
      </c>
      <c r="H1352" s="705">
        <v>819</v>
      </c>
      <c r="I1352" s="705"/>
      <c r="J1352" s="705">
        <v>0</v>
      </c>
      <c r="K1352" s="705"/>
      <c r="L1352" s="705"/>
      <c r="M1352" s="705">
        <v>0</v>
      </c>
      <c r="N1352" s="705">
        <v>7195</v>
      </c>
      <c r="O1352" s="705">
        <v>2665</v>
      </c>
      <c r="P1352" s="705">
        <v>621</v>
      </c>
      <c r="Q1352" s="705">
        <v>230</v>
      </c>
      <c r="R1352" s="705"/>
      <c r="S1352" s="705">
        <v>0</v>
      </c>
      <c r="T1352" s="705">
        <v>0</v>
      </c>
      <c r="U1352" s="705">
        <v>0</v>
      </c>
      <c r="V1352" s="705">
        <v>2895</v>
      </c>
      <c r="W1352" s="705">
        <f t="shared" si="64"/>
        <v>2895</v>
      </c>
      <c r="X1352" s="705">
        <f t="shared" si="65"/>
        <v>7816</v>
      </c>
    </row>
    <row r="1353" spans="2:24">
      <c r="B1353" t="s">
        <v>542</v>
      </c>
      <c r="C1353" t="s">
        <v>122</v>
      </c>
      <c r="D1353" t="s">
        <v>582</v>
      </c>
      <c r="E1353" t="s">
        <v>582</v>
      </c>
      <c r="F1353" s="705">
        <v>2</v>
      </c>
      <c r="G1353" s="705">
        <v>137</v>
      </c>
      <c r="H1353" s="705">
        <v>790</v>
      </c>
      <c r="I1353" s="705">
        <v>32407</v>
      </c>
      <c r="J1353" s="705">
        <v>29461</v>
      </c>
      <c r="K1353" s="705">
        <v>92</v>
      </c>
      <c r="L1353" s="705">
        <v>7700</v>
      </c>
      <c r="M1353" s="705">
        <v>7000</v>
      </c>
      <c r="N1353" s="705">
        <v>2833</v>
      </c>
      <c r="O1353" s="705">
        <v>1049</v>
      </c>
      <c r="P1353" s="705">
        <v>824</v>
      </c>
      <c r="Q1353" s="705">
        <v>305</v>
      </c>
      <c r="R1353" s="705">
        <v>10259</v>
      </c>
      <c r="S1353" s="705">
        <v>9327</v>
      </c>
      <c r="T1353" s="705">
        <v>0</v>
      </c>
      <c r="U1353" s="705">
        <v>0</v>
      </c>
      <c r="V1353" s="705">
        <v>47142</v>
      </c>
      <c r="W1353" s="705">
        <f t="shared" si="64"/>
        <v>47142</v>
      </c>
      <c r="X1353" s="705">
        <f t="shared" si="65"/>
        <v>54023</v>
      </c>
    </row>
    <row r="1354" spans="2:24">
      <c r="B1354" t="s">
        <v>542</v>
      </c>
      <c r="C1354" t="s">
        <v>122</v>
      </c>
      <c r="D1354" t="s">
        <v>228</v>
      </c>
      <c r="E1354" t="s">
        <v>228</v>
      </c>
      <c r="F1354" s="705">
        <v>12</v>
      </c>
      <c r="G1354" s="705">
        <v>1148</v>
      </c>
      <c r="H1354" s="705">
        <v>4864</v>
      </c>
      <c r="I1354" s="705">
        <v>290458</v>
      </c>
      <c r="J1354" s="705">
        <v>107577</v>
      </c>
      <c r="K1354" s="705">
        <v>100</v>
      </c>
      <c r="L1354" s="705">
        <v>43300</v>
      </c>
      <c r="M1354" s="705">
        <v>36926</v>
      </c>
      <c r="N1354" s="705">
        <v>24773</v>
      </c>
      <c r="O1354" s="705">
        <v>9175</v>
      </c>
      <c r="P1354" s="705">
        <v>473</v>
      </c>
      <c r="Q1354" s="705">
        <v>175</v>
      </c>
      <c r="R1354" s="705">
        <v>105627</v>
      </c>
      <c r="S1354" s="705">
        <v>39121</v>
      </c>
      <c r="T1354" s="705">
        <v>0</v>
      </c>
      <c r="U1354" s="705">
        <v>0</v>
      </c>
      <c r="V1354" s="705">
        <v>192975</v>
      </c>
      <c r="W1354" s="705">
        <f t="shared" si="64"/>
        <v>192974</v>
      </c>
      <c r="X1354" s="705">
        <f t="shared" si="65"/>
        <v>464631</v>
      </c>
    </row>
    <row r="1355" spans="2:24">
      <c r="B1355" t="s">
        <v>542</v>
      </c>
      <c r="C1355" t="s">
        <v>122</v>
      </c>
      <c r="D1355" t="s">
        <v>228</v>
      </c>
      <c r="E1355" t="s">
        <v>665</v>
      </c>
      <c r="F1355" s="705">
        <v>1</v>
      </c>
      <c r="G1355" s="705">
        <v>110</v>
      </c>
      <c r="H1355" s="705">
        <v>417</v>
      </c>
      <c r="I1355" s="705">
        <v>33503</v>
      </c>
      <c r="J1355" s="705">
        <v>12408</v>
      </c>
      <c r="K1355" s="705">
        <v>100</v>
      </c>
      <c r="L1355" s="705">
        <v>2333</v>
      </c>
      <c r="M1355" s="705">
        <v>2121</v>
      </c>
      <c r="N1355" s="705">
        <v>2238</v>
      </c>
      <c r="O1355" s="705">
        <v>829</v>
      </c>
      <c r="P1355" s="705">
        <v>351</v>
      </c>
      <c r="Q1355" s="705">
        <v>130</v>
      </c>
      <c r="R1355" s="705">
        <v>4802</v>
      </c>
      <c r="S1355" s="705">
        <v>4366</v>
      </c>
      <c r="T1355" s="705">
        <v>2687</v>
      </c>
      <c r="U1355" s="705">
        <v>995</v>
      </c>
      <c r="V1355" s="705">
        <v>20849</v>
      </c>
      <c r="W1355" s="705">
        <f t="shared" si="64"/>
        <v>20849</v>
      </c>
      <c r="X1355" s="705">
        <f t="shared" si="65"/>
        <v>45914</v>
      </c>
    </row>
    <row r="1356" spans="2:24">
      <c r="B1356" t="s">
        <v>542</v>
      </c>
      <c r="C1356" t="s">
        <v>122</v>
      </c>
      <c r="D1356" t="s">
        <v>583</v>
      </c>
      <c r="E1356" t="s">
        <v>228</v>
      </c>
      <c r="F1356" s="705">
        <v>5</v>
      </c>
      <c r="G1356" s="705">
        <v>631</v>
      </c>
      <c r="H1356" s="705">
        <v>2094</v>
      </c>
      <c r="I1356" s="705">
        <v>207791</v>
      </c>
      <c r="J1356" s="705">
        <v>188901</v>
      </c>
      <c r="K1356" s="705">
        <v>76</v>
      </c>
      <c r="L1356" s="705">
        <v>9014</v>
      </c>
      <c r="M1356" s="705">
        <v>11782</v>
      </c>
      <c r="N1356" s="705">
        <v>14025</v>
      </c>
      <c r="O1356" s="705">
        <v>5195</v>
      </c>
      <c r="P1356" s="705">
        <v>2957</v>
      </c>
      <c r="Q1356" s="705">
        <v>1095</v>
      </c>
      <c r="R1356" s="705">
        <v>36677</v>
      </c>
      <c r="S1356" s="705">
        <v>13584</v>
      </c>
      <c r="T1356" s="705">
        <v>0</v>
      </c>
      <c r="U1356" s="705">
        <v>0</v>
      </c>
      <c r="V1356" s="705">
        <v>220557</v>
      </c>
      <c r="W1356" s="705">
        <f t="shared" si="64"/>
        <v>220557</v>
      </c>
      <c r="X1356" s="705">
        <f t="shared" si="65"/>
        <v>270464</v>
      </c>
    </row>
    <row r="1357" spans="2:24">
      <c r="B1357" t="s">
        <v>542</v>
      </c>
      <c r="C1357" t="s">
        <v>122</v>
      </c>
      <c r="D1357" t="s">
        <v>583</v>
      </c>
      <c r="E1357" t="s">
        <v>583</v>
      </c>
      <c r="F1357" s="705">
        <v>279</v>
      </c>
      <c r="G1357" s="705">
        <v>36676</v>
      </c>
      <c r="H1357" s="705">
        <v>115968</v>
      </c>
      <c r="I1357" s="705">
        <v>10241707</v>
      </c>
      <c r="J1357" s="705">
        <v>9310643</v>
      </c>
      <c r="K1357" s="705">
        <v>75</v>
      </c>
      <c r="L1357" s="705">
        <v>2215259</v>
      </c>
      <c r="M1357" s="705">
        <v>2062228</v>
      </c>
      <c r="N1357" s="705">
        <v>766229</v>
      </c>
      <c r="O1357" s="705">
        <v>283788</v>
      </c>
      <c r="P1357" s="705">
        <v>181022</v>
      </c>
      <c r="Q1357" s="705">
        <v>67045</v>
      </c>
      <c r="R1357" s="705">
        <v>1492017</v>
      </c>
      <c r="S1357" s="705">
        <v>1356379</v>
      </c>
      <c r="T1357" s="705">
        <v>575461</v>
      </c>
      <c r="U1357" s="705">
        <v>213134</v>
      </c>
      <c r="V1357" s="705">
        <v>13293217</v>
      </c>
      <c r="W1357" s="705">
        <f t="shared" si="64"/>
        <v>13293217</v>
      </c>
      <c r="X1357" s="705">
        <f t="shared" si="65"/>
        <v>15471695</v>
      </c>
    </row>
    <row r="1358" spans="2:24">
      <c r="B1358" t="s">
        <v>542</v>
      </c>
      <c r="C1358" t="s">
        <v>122</v>
      </c>
      <c r="D1358" t="s">
        <v>666</v>
      </c>
      <c r="E1358" t="s">
        <v>666</v>
      </c>
      <c r="F1358" s="705">
        <v>2</v>
      </c>
      <c r="G1358" s="705">
        <v>209</v>
      </c>
      <c r="H1358" s="705">
        <v>833</v>
      </c>
      <c r="I1358" s="705">
        <v>62711</v>
      </c>
      <c r="J1358" s="705">
        <v>57010</v>
      </c>
      <c r="K1358" s="705">
        <v>60</v>
      </c>
      <c r="L1358" s="705">
        <v>9304</v>
      </c>
      <c r="M1358" s="705">
        <v>8459</v>
      </c>
      <c r="N1358" s="705">
        <v>4846</v>
      </c>
      <c r="O1358" s="705">
        <v>1795</v>
      </c>
      <c r="P1358" s="705">
        <v>621</v>
      </c>
      <c r="Q1358" s="705">
        <v>230</v>
      </c>
      <c r="R1358" s="705">
        <v>8762</v>
      </c>
      <c r="S1358" s="705">
        <v>7965</v>
      </c>
      <c r="T1358" s="705">
        <v>1791</v>
      </c>
      <c r="U1358" s="705">
        <v>663</v>
      </c>
      <c r="V1358" s="705">
        <v>76122</v>
      </c>
      <c r="W1358" s="705">
        <f t="shared" si="64"/>
        <v>76122</v>
      </c>
      <c r="X1358" s="705">
        <f t="shared" si="65"/>
        <v>88035</v>
      </c>
    </row>
    <row r="1359" spans="2:24">
      <c r="B1359" t="s">
        <v>542</v>
      </c>
      <c r="C1359" t="s">
        <v>122</v>
      </c>
      <c r="D1359" t="s">
        <v>584</v>
      </c>
      <c r="E1359" t="s">
        <v>584</v>
      </c>
      <c r="F1359" s="705">
        <v>21</v>
      </c>
      <c r="G1359" s="705">
        <v>2374</v>
      </c>
      <c r="H1359" s="705">
        <v>8766</v>
      </c>
      <c r="I1359" s="705">
        <v>641528</v>
      </c>
      <c r="J1359" s="705">
        <v>583208</v>
      </c>
      <c r="K1359" s="705">
        <v>77</v>
      </c>
      <c r="L1359" s="705">
        <v>155833</v>
      </c>
      <c r="M1359" s="705">
        <v>131807</v>
      </c>
      <c r="N1359" s="705">
        <v>50429</v>
      </c>
      <c r="O1359" s="705">
        <v>18678</v>
      </c>
      <c r="P1359" s="705">
        <v>9801</v>
      </c>
      <c r="Q1359" s="705">
        <v>3630</v>
      </c>
      <c r="R1359" s="705">
        <v>104976</v>
      </c>
      <c r="S1359" s="705">
        <v>95433</v>
      </c>
      <c r="T1359" s="705">
        <v>25605</v>
      </c>
      <c r="U1359" s="705">
        <v>9483</v>
      </c>
      <c r="V1359" s="705">
        <v>842239</v>
      </c>
      <c r="W1359" s="705">
        <f t="shared" si="64"/>
        <v>842239</v>
      </c>
      <c r="X1359" s="705">
        <f t="shared" si="65"/>
        <v>988172</v>
      </c>
    </row>
    <row r="1360" spans="2:24">
      <c r="B1360" t="s">
        <v>542</v>
      </c>
      <c r="C1360" t="s">
        <v>122</v>
      </c>
      <c r="D1360" t="s">
        <v>669</v>
      </c>
      <c r="E1360" t="s">
        <v>669</v>
      </c>
      <c r="F1360" s="705">
        <v>2</v>
      </c>
      <c r="G1360" s="705">
        <v>175</v>
      </c>
      <c r="H1360" s="705">
        <v>868</v>
      </c>
      <c r="I1360" s="705">
        <v>49644</v>
      </c>
      <c r="J1360" s="705">
        <v>41370</v>
      </c>
      <c r="K1360" s="705">
        <v>55</v>
      </c>
      <c r="L1360" s="705">
        <v>7260</v>
      </c>
      <c r="M1360" s="705">
        <v>6050</v>
      </c>
      <c r="N1360" s="705">
        <v>3257</v>
      </c>
      <c r="O1360" s="705">
        <v>1206</v>
      </c>
      <c r="P1360" s="705">
        <v>702</v>
      </c>
      <c r="Q1360" s="705">
        <v>260</v>
      </c>
      <c r="R1360" s="705">
        <v>13953</v>
      </c>
      <c r="S1360" s="705">
        <v>11628</v>
      </c>
      <c r="T1360" s="705">
        <v>1900</v>
      </c>
      <c r="U1360" s="705">
        <v>704</v>
      </c>
      <c r="V1360" s="705">
        <v>61218</v>
      </c>
      <c r="W1360" s="705">
        <f t="shared" si="64"/>
        <v>61218</v>
      </c>
      <c r="X1360" s="705">
        <f t="shared" si="65"/>
        <v>76716</v>
      </c>
    </row>
    <row r="1361" spans="2:24">
      <c r="B1361" t="s">
        <v>542</v>
      </c>
      <c r="C1361" t="s">
        <v>122</v>
      </c>
      <c r="D1361" t="s">
        <v>667</v>
      </c>
      <c r="E1361" t="s">
        <v>667</v>
      </c>
      <c r="F1361" s="705">
        <v>3</v>
      </c>
      <c r="G1361" s="705">
        <v>384</v>
      </c>
      <c r="H1361" s="705">
        <v>1233</v>
      </c>
      <c r="I1361" s="705">
        <v>104036</v>
      </c>
      <c r="J1361" s="705">
        <v>94578</v>
      </c>
      <c r="K1361" s="705">
        <v>52</v>
      </c>
      <c r="L1361" s="705">
        <v>18676</v>
      </c>
      <c r="M1361" s="705">
        <v>16978</v>
      </c>
      <c r="N1361" s="705">
        <v>7243</v>
      </c>
      <c r="O1361" s="705">
        <v>2682</v>
      </c>
      <c r="P1361" s="705">
        <v>702</v>
      </c>
      <c r="Q1361" s="705">
        <v>260</v>
      </c>
      <c r="R1361" s="705">
        <v>18856</v>
      </c>
      <c r="S1361" s="705">
        <v>17142</v>
      </c>
      <c r="T1361" s="705">
        <v>8665</v>
      </c>
      <c r="U1361" s="705">
        <v>3209</v>
      </c>
      <c r="V1361" s="705">
        <v>134849</v>
      </c>
      <c r="W1361" s="705">
        <f t="shared" si="64"/>
        <v>134849</v>
      </c>
      <c r="X1361" s="705">
        <f t="shared" si="65"/>
        <v>158178</v>
      </c>
    </row>
    <row r="1362" spans="2:24">
      <c r="B1362" t="s">
        <v>542</v>
      </c>
      <c r="C1362" t="s">
        <v>122</v>
      </c>
      <c r="D1362" t="s">
        <v>671</v>
      </c>
      <c r="E1362" t="s">
        <v>671</v>
      </c>
      <c r="F1362" s="705">
        <v>4</v>
      </c>
      <c r="G1362" s="705">
        <v>545</v>
      </c>
      <c r="H1362" s="705">
        <v>1699</v>
      </c>
      <c r="I1362" s="705">
        <v>151938</v>
      </c>
      <c r="J1362" s="705">
        <v>138125</v>
      </c>
      <c r="K1362" s="705">
        <v>53</v>
      </c>
      <c r="L1362" s="705">
        <v>23586</v>
      </c>
      <c r="M1362" s="705">
        <v>21442</v>
      </c>
      <c r="N1362" s="705">
        <v>9775</v>
      </c>
      <c r="O1362" s="705">
        <v>3621</v>
      </c>
      <c r="P1362" s="705">
        <v>1404</v>
      </c>
      <c r="Q1362" s="705">
        <v>520</v>
      </c>
      <c r="R1362" s="705">
        <v>35323</v>
      </c>
      <c r="S1362" s="705">
        <v>32112</v>
      </c>
      <c r="T1362" s="705">
        <v>7966</v>
      </c>
      <c r="U1362" s="705">
        <v>2950</v>
      </c>
      <c r="V1362" s="705">
        <v>198770</v>
      </c>
      <c r="W1362" s="705">
        <f t="shared" si="64"/>
        <v>198770</v>
      </c>
      <c r="X1362" s="705">
        <f t="shared" si="65"/>
        <v>229992</v>
      </c>
    </row>
    <row r="1363" spans="2:24">
      <c r="B1363" t="s">
        <v>542</v>
      </c>
      <c r="C1363" t="s">
        <v>122</v>
      </c>
      <c r="D1363" t="s">
        <v>665</v>
      </c>
      <c r="E1363" t="s">
        <v>228</v>
      </c>
      <c r="F1363" s="705">
        <v>1</v>
      </c>
      <c r="G1363" s="705">
        <v>46</v>
      </c>
      <c r="H1363" s="705">
        <v>385</v>
      </c>
      <c r="I1363" s="705">
        <v>13156</v>
      </c>
      <c r="J1363" s="705">
        <v>11960</v>
      </c>
      <c r="K1363" s="705">
        <v>60</v>
      </c>
      <c r="L1363" s="705">
        <v>0</v>
      </c>
      <c r="M1363" s="705">
        <v>0</v>
      </c>
      <c r="N1363" s="705">
        <v>844</v>
      </c>
      <c r="O1363" s="705">
        <v>313</v>
      </c>
      <c r="P1363" s="705">
        <v>0</v>
      </c>
      <c r="Q1363" s="705">
        <v>0</v>
      </c>
      <c r="R1363" s="705">
        <v>3774</v>
      </c>
      <c r="S1363" s="705">
        <v>1398</v>
      </c>
      <c r="T1363" s="705">
        <v>0</v>
      </c>
      <c r="U1363" s="705">
        <v>0</v>
      </c>
      <c r="V1363" s="705">
        <v>13671</v>
      </c>
      <c r="W1363" s="705">
        <f t="shared" si="64"/>
        <v>13671</v>
      </c>
      <c r="X1363" s="705">
        <f t="shared" si="65"/>
        <v>17774</v>
      </c>
    </row>
    <row r="1364" spans="2:24">
      <c r="B1364" t="s">
        <v>542</v>
      </c>
      <c r="C1364" t="s">
        <v>122</v>
      </c>
      <c r="D1364" t="s">
        <v>665</v>
      </c>
      <c r="E1364" t="s">
        <v>665</v>
      </c>
      <c r="F1364" s="705">
        <v>29</v>
      </c>
      <c r="G1364" s="705">
        <v>3073</v>
      </c>
      <c r="H1364" s="705">
        <v>12011</v>
      </c>
      <c r="I1364" s="705">
        <v>842587</v>
      </c>
      <c r="J1364" s="705">
        <v>765988</v>
      </c>
      <c r="K1364" s="705">
        <v>50</v>
      </c>
      <c r="L1364" s="705">
        <v>126110</v>
      </c>
      <c r="M1364" s="705">
        <v>111291</v>
      </c>
      <c r="N1364" s="705">
        <v>59742</v>
      </c>
      <c r="O1364" s="705">
        <v>22127</v>
      </c>
      <c r="P1364" s="705">
        <v>10449</v>
      </c>
      <c r="Q1364" s="705">
        <v>3870</v>
      </c>
      <c r="R1364" s="705">
        <v>185910</v>
      </c>
      <c r="S1364" s="705">
        <v>169009</v>
      </c>
      <c r="T1364" s="705">
        <v>66860</v>
      </c>
      <c r="U1364" s="705">
        <v>24763</v>
      </c>
      <c r="V1364" s="705">
        <v>1097048</v>
      </c>
      <c r="W1364" s="705">
        <f t="shared" si="64"/>
        <v>1097048</v>
      </c>
      <c r="X1364" s="705">
        <f t="shared" si="65"/>
        <v>1291658</v>
      </c>
    </row>
    <row r="1365" spans="2:24">
      <c r="B1365" t="s">
        <v>542</v>
      </c>
      <c r="C1365" t="s">
        <v>124</v>
      </c>
      <c r="F1365" s="705">
        <v>2</v>
      </c>
      <c r="G1365" s="705">
        <v>526</v>
      </c>
      <c r="H1365" s="705">
        <v>1234</v>
      </c>
      <c r="I1365" s="705"/>
      <c r="J1365" s="705">
        <v>0</v>
      </c>
      <c r="K1365" s="705"/>
      <c r="L1365" s="705"/>
      <c r="M1365" s="705">
        <v>0</v>
      </c>
      <c r="N1365" s="705">
        <v>11754</v>
      </c>
      <c r="O1365" s="705">
        <v>4353</v>
      </c>
      <c r="P1365" s="705">
        <v>1242</v>
      </c>
      <c r="Q1365" s="705">
        <v>460</v>
      </c>
      <c r="R1365" s="705"/>
      <c r="S1365" s="705">
        <v>0</v>
      </c>
      <c r="T1365" s="705">
        <v>0</v>
      </c>
      <c r="U1365" s="705">
        <v>0</v>
      </c>
      <c r="V1365" s="705">
        <v>4813</v>
      </c>
      <c r="W1365" s="705">
        <f t="shared" si="64"/>
        <v>4813</v>
      </c>
      <c r="X1365" s="705">
        <f t="shared" si="65"/>
        <v>12996</v>
      </c>
    </row>
    <row r="1366" spans="2:24">
      <c r="B1366" t="s">
        <v>542</v>
      </c>
      <c r="C1366" t="s">
        <v>124</v>
      </c>
      <c r="D1366" t="s">
        <v>664</v>
      </c>
      <c r="E1366" t="s">
        <v>583</v>
      </c>
      <c r="F1366" s="705">
        <v>1</v>
      </c>
      <c r="G1366" s="705">
        <v>75</v>
      </c>
      <c r="H1366" s="705">
        <v>589</v>
      </c>
      <c r="I1366" s="705">
        <v>30143</v>
      </c>
      <c r="J1366" s="705">
        <v>27403</v>
      </c>
      <c r="K1366" s="705">
        <v>70</v>
      </c>
      <c r="L1366" s="705">
        <v>3712</v>
      </c>
      <c r="M1366" s="705">
        <v>3375</v>
      </c>
      <c r="N1366" s="705">
        <v>995</v>
      </c>
      <c r="O1366" s="705">
        <v>369</v>
      </c>
      <c r="P1366" s="705">
        <v>621</v>
      </c>
      <c r="Q1366" s="705">
        <v>230</v>
      </c>
      <c r="R1366" s="705">
        <v>5402</v>
      </c>
      <c r="S1366" s="705">
        <v>4911</v>
      </c>
      <c r="T1366" s="705">
        <v>3256</v>
      </c>
      <c r="U1366" s="705">
        <v>1206</v>
      </c>
      <c r="V1366" s="705">
        <v>37492</v>
      </c>
      <c r="W1366" s="705">
        <f t="shared" si="64"/>
        <v>37494</v>
      </c>
      <c r="X1366" s="705">
        <f t="shared" si="65"/>
        <v>44129</v>
      </c>
    </row>
    <row r="1367" spans="2:24">
      <c r="B1367" t="s">
        <v>542</v>
      </c>
      <c r="C1367" t="s">
        <v>124</v>
      </c>
      <c r="D1367" t="s">
        <v>228</v>
      </c>
      <c r="E1367" t="s">
        <v>228</v>
      </c>
      <c r="F1367" s="705">
        <v>70</v>
      </c>
      <c r="G1367" s="705">
        <v>8144</v>
      </c>
      <c r="H1367" s="705">
        <v>57400</v>
      </c>
      <c r="I1367" s="705">
        <v>4444386</v>
      </c>
      <c r="J1367" s="705">
        <v>1646069</v>
      </c>
      <c r="K1367" s="705">
        <v>100</v>
      </c>
      <c r="L1367" s="705">
        <v>1033466</v>
      </c>
      <c r="M1367" s="705">
        <v>856962</v>
      </c>
      <c r="N1367" s="705">
        <v>193846</v>
      </c>
      <c r="O1367" s="705">
        <v>71795</v>
      </c>
      <c r="P1367" s="705">
        <v>2115</v>
      </c>
      <c r="Q1367" s="705">
        <v>783</v>
      </c>
      <c r="R1367" s="705">
        <v>516613</v>
      </c>
      <c r="S1367" s="705">
        <v>191338</v>
      </c>
      <c r="T1367" s="705">
        <v>0</v>
      </c>
      <c r="U1367" s="705">
        <v>0</v>
      </c>
      <c r="V1367" s="705">
        <v>2766947</v>
      </c>
      <c r="W1367" s="705">
        <f t="shared" si="64"/>
        <v>2766947</v>
      </c>
      <c r="X1367" s="705">
        <f t="shared" si="65"/>
        <v>6190426</v>
      </c>
    </row>
    <row r="1368" spans="2:24">
      <c r="B1368" t="s">
        <v>542</v>
      </c>
      <c r="C1368" t="s">
        <v>124</v>
      </c>
      <c r="D1368" t="s">
        <v>228</v>
      </c>
      <c r="E1368" t="s">
        <v>583</v>
      </c>
      <c r="F1368" s="705">
        <v>3</v>
      </c>
      <c r="G1368" s="705">
        <v>417</v>
      </c>
      <c r="H1368" s="705">
        <v>1861</v>
      </c>
      <c r="I1368" s="705">
        <v>185223</v>
      </c>
      <c r="J1368" s="705">
        <v>68601</v>
      </c>
      <c r="K1368" s="705">
        <v>100</v>
      </c>
      <c r="L1368" s="705">
        <v>34854</v>
      </c>
      <c r="M1368" s="705">
        <v>31686</v>
      </c>
      <c r="N1368" s="705">
        <v>9653</v>
      </c>
      <c r="O1368" s="705">
        <v>3575</v>
      </c>
      <c r="P1368" s="705">
        <v>891</v>
      </c>
      <c r="Q1368" s="705">
        <v>330</v>
      </c>
      <c r="R1368" s="705">
        <v>26312</v>
      </c>
      <c r="S1368" s="705">
        <v>23920</v>
      </c>
      <c r="T1368" s="705">
        <v>3341</v>
      </c>
      <c r="U1368" s="705">
        <v>1237</v>
      </c>
      <c r="V1368" s="705">
        <v>129349</v>
      </c>
      <c r="W1368" s="705">
        <f t="shared" si="64"/>
        <v>129349</v>
      </c>
      <c r="X1368" s="705">
        <f t="shared" si="65"/>
        <v>260274</v>
      </c>
    </row>
    <row r="1369" spans="2:24">
      <c r="B1369" t="s">
        <v>542</v>
      </c>
      <c r="C1369" t="s">
        <v>124</v>
      </c>
      <c r="D1369" t="s">
        <v>228</v>
      </c>
      <c r="E1369" t="s">
        <v>665</v>
      </c>
      <c r="F1369" s="705">
        <v>8</v>
      </c>
      <c r="G1369" s="705">
        <v>924</v>
      </c>
      <c r="H1369" s="705">
        <v>6624</v>
      </c>
      <c r="I1369" s="705">
        <v>538169</v>
      </c>
      <c r="J1369" s="705">
        <v>199322</v>
      </c>
      <c r="K1369" s="705">
        <v>100</v>
      </c>
      <c r="L1369" s="705">
        <v>76321</v>
      </c>
      <c r="M1369" s="705">
        <v>63410</v>
      </c>
      <c r="N1369" s="705">
        <v>20703</v>
      </c>
      <c r="O1369" s="705">
        <v>7668</v>
      </c>
      <c r="P1369" s="705">
        <v>351</v>
      </c>
      <c r="Q1369" s="705">
        <v>130</v>
      </c>
      <c r="R1369" s="705">
        <v>78180</v>
      </c>
      <c r="S1369" s="705">
        <v>71073</v>
      </c>
      <c r="T1369" s="705">
        <v>21132</v>
      </c>
      <c r="U1369" s="705">
        <v>7826</v>
      </c>
      <c r="V1369" s="705">
        <v>349429</v>
      </c>
      <c r="W1369" s="705">
        <f t="shared" si="64"/>
        <v>349429</v>
      </c>
      <c r="X1369" s="705">
        <f t="shared" si="65"/>
        <v>734856</v>
      </c>
    </row>
    <row r="1370" spans="2:24">
      <c r="B1370" t="s">
        <v>542</v>
      </c>
      <c r="C1370" t="s">
        <v>124</v>
      </c>
      <c r="D1370" t="s">
        <v>583</v>
      </c>
      <c r="E1370" t="s">
        <v>228</v>
      </c>
      <c r="F1370" s="705">
        <v>6</v>
      </c>
      <c r="G1370" s="705">
        <v>608</v>
      </c>
      <c r="H1370" s="705">
        <v>3651</v>
      </c>
      <c r="I1370" s="705">
        <v>261564</v>
      </c>
      <c r="J1370" s="705">
        <v>237785</v>
      </c>
      <c r="K1370" s="705">
        <v>67</v>
      </c>
      <c r="L1370" s="705">
        <v>53586</v>
      </c>
      <c r="M1370" s="705">
        <v>46032</v>
      </c>
      <c r="N1370" s="705">
        <v>13666</v>
      </c>
      <c r="O1370" s="705">
        <v>5061</v>
      </c>
      <c r="P1370" s="705">
        <v>3726</v>
      </c>
      <c r="Q1370" s="705">
        <v>1380</v>
      </c>
      <c r="R1370" s="705">
        <v>37065</v>
      </c>
      <c r="S1370" s="705">
        <v>13728</v>
      </c>
      <c r="T1370" s="705">
        <v>0</v>
      </c>
      <c r="U1370" s="705">
        <v>0</v>
      </c>
      <c r="V1370" s="705">
        <v>303987</v>
      </c>
      <c r="W1370" s="705">
        <f t="shared" si="64"/>
        <v>303986</v>
      </c>
      <c r="X1370" s="705">
        <f t="shared" si="65"/>
        <v>369607</v>
      </c>
    </row>
    <row r="1371" spans="2:24">
      <c r="B1371" t="s">
        <v>542</v>
      </c>
      <c r="C1371" t="s">
        <v>124</v>
      </c>
      <c r="D1371" t="s">
        <v>583</v>
      </c>
      <c r="E1371" t="s">
        <v>583</v>
      </c>
      <c r="F1371" s="705">
        <v>322</v>
      </c>
      <c r="G1371" s="705">
        <v>37136</v>
      </c>
      <c r="H1371" s="705">
        <v>179144</v>
      </c>
      <c r="I1371" s="705">
        <v>14221249</v>
      </c>
      <c r="J1371" s="705">
        <v>12928408</v>
      </c>
      <c r="K1371" s="705">
        <v>72</v>
      </c>
      <c r="L1371" s="705">
        <v>3079429</v>
      </c>
      <c r="M1371" s="705">
        <v>2706573</v>
      </c>
      <c r="N1371" s="705">
        <v>823606</v>
      </c>
      <c r="O1371" s="705">
        <v>305039</v>
      </c>
      <c r="P1371" s="705">
        <v>201574</v>
      </c>
      <c r="Q1371" s="705">
        <v>74657</v>
      </c>
      <c r="R1371" s="705">
        <v>1666367</v>
      </c>
      <c r="S1371" s="705">
        <v>1514879</v>
      </c>
      <c r="T1371" s="705">
        <v>661871</v>
      </c>
      <c r="U1371" s="705">
        <v>245137</v>
      </c>
      <c r="V1371" s="705">
        <v>17774695</v>
      </c>
      <c r="W1371" s="705">
        <f t="shared" si="64"/>
        <v>17774693</v>
      </c>
      <c r="X1371" s="705">
        <f t="shared" si="65"/>
        <v>20654096</v>
      </c>
    </row>
    <row r="1372" spans="2:24">
      <c r="B1372" t="s">
        <v>542</v>
      </c>
      <c r="C1372" t="s">
        <v>124</v>
      </c>
      <c r="D1372" t="s">
        <v>583</v>
      </c>
      <c r="E1372" t="s">
        <v>666</v>
      </c>
      <c r="F1372" s="705">
        <v>2</v>
      </c>
      <c r="G1372" s="705">
        <v>372</v>
      </c>
      <c r="H1372" s="705">
        <v>1044</v>
      </c>
      <c r="I1372" s="705">
        <v>133896</v>
      </c>
      <c r="J1372" s="705">
        <v>121724</v>
      </c>
      <c r="K1372" s="705">
        <v>79</v>
      </c>
      <c r="L1372" s="705">
        <v>37193</v>
      </c>
      <c r="M1372" s="705">
        <v>33812</v>
      </c>
      <c r="N1372" s="705">
        <v>6838</v>
      </c>
      <c r="O1372" s="705">
        <v>2533</v>
      </c>
      <c r="P1372" s="705">
        <v>1242</v>
      </c>
      <c r="Q1372" s="705">
        <v>460</v>
      </c>
      <c r="R1372" s="705">
        <v>10915</v>
      </c>
      <c r="S1372" s="705">
        <v>9923</v>
      </c>
      <c r="T1372" s="705">
        <v>5859</v>
      </c>
      <c r="U1372" s="705">
        <v>2170</v>
      </c>
      <c r="V1372" s="705">
        <v>170622</v>
      </c>
      <c r="W1372" s="705">
        <f t="shared" si="64"/>
        <v>170622</v>
      </c>
      <c r="X1372" s="705">
        <f t="shared" si="65"/>
        <v>195943</v>
      </c>
    </row>
    <row r="1373" spans="2:24">
      <c r="B1373" t="s">
        <v>542</v>
      </c>
      <c r="C1373" t="s">
        <v>124</v>
      </c>
      <c r="D1373" t="s">
        <v>583</v>
      </c>
      <c r="E1373" t="s">
        <v>584</v>
      </c>
      <c r="F1373" s="705">
        <v>1</v>
      </c>
      <c r="G1373" s="705">
        <v>56</v>
      </c>
      <c r="H1373" s="705">
        <v>552</v>
      </c>
      <c r="I1373" s="705">
        <v>20362</v>
      </c>
      <c r="J1373" s="705">
        <v>18511</v>
      </c>
      <c r="K1373" s="705">
        <v>70</v>
      </c>
      <c r="L1373" s="705">
        <v>2315</v>
      </c>
      <c r="M1373" s="705">
        <v>2104</v>
      </c>
      <c r="N1373" s="705">
        <v>686</v>
      </c>
      <c r="O1373" s="705">
        <v>254</v>
      </c>
      <c r="P1373" s="705">
        <v>621</v>
      </c>
      <c r="Q1373" s="705">
        <v>230</v>
      </c>
      <c r="R1373" s="705">
        <v>4524</v>
      </c>
      <c r="S1373" s="705">
        <v>4113</v>
      </c>
      <c r="T1373" s="705">
        <v>2550</v>
      </c>
      <c r="U1373" s="705">
        <v>945</v>
      </c>
      <c r="V1373" s="705">
        <v>26156</v>
      </c>
      <c r="W1373" s="705">
        <f t="shared" si="64"/>
        <v>26157</v>
      </c>
      <c r="X1373" s="705">
        <f t="shared" si="65"/>
        <v>31058</v>
      </c>
    </row>
    <row r="1374" spans="2:24">
      <c r="B1374" t="s">
        <v>542</v>
      </c>
      <c r="C1374" t="s">
        <v>124</v>
      </c>
      <c r="D1374" t="s">
        <v>666</v>
      </c>
      <c r="E1374" t="s">
        <v>228</v>
      </c>
      <c r="F1374" s="705">
        <v>3</v>
      </c>
      <c r="G1374" s="705">
        <v>438</v>
      </c>
      <c r="H1374" s="705">
        <v>2266</v>
      </c>
      <c r="I1374" s="705">
        <v>264359</v>
      </c>
      <c r="J1374" s="705">
        <v>240326</v>
      </c>
      <c r="K1374" s="705">
        <v>30</v>
      </c>
      <c r="L1374" s="705">
        <v>11656</v>
      </c>
      <c r="M1374" s="705">
        <v>8009</v>
      </c>
      <c r="N1374" s="705">
        <v>10678</v>
      </c>
      <c r="O1374" s="705">
        <v>3955</v>
      </c>
      <c r="P1374" s="705">
        <v>0</v>
      </c>
      <c r="Q1374" s="705">
        <v>0</v>
      </c>
      <c r="R1374" s="705">
        <v>19296</v>
      </c>
      <c r="S1374" s="705">
        <v>7147</v>
      </c>
      <c r="T1374" s="705">
        <v>0</v>
      </c>
      <c r="U1374" s="705">
        <v>0</v>
      </c>
      <c r="V1374" s="705">
        <v>259436</v>
      </c>
      <c r="W1374" s="705">
        <f t="shared" si="64"/>
        <v>259437</v>
      </c>
      <c r="X1374" s="705">
        <f t="shared" si="65"/>
        <v>305989</v>
      </c>
    </row>
    <row r="1375" spans="2:24">
      <c r="B1375" t="s">
        <v>542</v>
      </c>
      <c r="C1375" t="s">
        <v>124</v>
      </c>
      <c r="D1375" t="s">
        <v>666</v>
      </c>
      <c r="E1375" t="s">
        <v>666</v>
      </c>
      <c r="F1375" s="705">
        <v>7</v>
      </c>
      <c r="G1375" s="705">
        <v>517</v>
      </c>
      <c r="H1375" s="705">
        <v>6059</v>
      </c>
      <c r="I1375" s="705">
        <v>307617</v>
      </c>
      <c r="J1375" s="705">
        <v>279652</v>
      </c>
      <c r="K1375" s="705">
        <v>56</v>
      </c>
      <c r="L1375" s="705">
        <v>39796</v>
      </c>
      <c r="M1375" s="705">
        <v>29187</v>
      </c>
      <c r="N1375" s="705">
        <v>9251</v>
      </c>
      <c r="O1375" s="705">
        <v>3426</v>
      </c>
      <c r="P1375" s="705">
        <v>1755</v>
      </c>
      <c r="Q1375" s="705">
        <v>650</v>
      </c>
      <c r="R1375" s="705">
        <v>46658</v>
      </c>
      <c r="S1375" s="705">
        <v>42416</v>
      </c>
      <c r="T1375" s="705">
        <v>8355</v>
      </c>
      <c r="U1375" s="705">
        <v>3094</v>
      </c>
      <c r="V1375" s="705">
        <v>358426</v>
      </c>
      <c r="W1375" s="705">
        <f t="shared" si="64"/>
        <v>358425</v>
      </c>
      <c r="X1375" s="705">
        <f t="shared" si="65"/>
        <v>413432</v>
      </c>
    </row>
    <row r="1376" spans="2:24">
      <c r="B1376" t="s">
        <v>542</v>
      </c>
      <c r="C1376" t="s">
        <v>124</v>
      </c>
      <c r="D1376" t="s">
        <v>584</v>
      </c>
      <c r="E1376" t="s">
        <v>584</v>
      </c>
      <c r="F1376" s="705">
        <v>17</v>
      </c>
      <c r="G1376" s="705">
        <v>1668</v>
      </c>
      <c r="H1376" s="705">
        <v>8700</v>
      </c>
      <c r="I1376" s="705">
        <v>547467</v>
      </c>
      <c r="J1376" s="705">
        <v>497698</v>
      </c>
      <c r="K1376" s="705">
        <v>76</v>
      </c>
      <c r="L1376" s="705">
        <v>157426</v>
      </c>
      <c r="M1376" s="705">
        <v>140691</v>
      </c>
      <c r="N1376" s="705">
        <v>34619</v>
      </c>
      <c r="O1376" s="705">
        <v>12822</v>
      </c>
      <c r="P1376" s="705">
        <v>8033</v>
      </c>
      <c r="Q1376" s="705">
        <v>2975</v>
      </c>
      <c r="R1376" s="705">
        <v>76681</v>
      </c>
      <c r="S1376" s="705">
        <v>69710</v>
      </c>
      <c r="T1376" s="705">
        <v>35682</v>
      </c>
      <c r="U1376" s="705">
        <v>13216</v>
      </c>
      <c r="V1376" s="705">
        <v>737111</v>
      </c>
      <c r="W1376" s="705">
        <f t="shared" si="64"/>
        <v>737112</v>
      </c>
      <c r="X1376" s="705">
        <f t="shared" si="65"/>
        <v>859908</v>
      </c>
    </row>
    <row r="1377" spans="2:24">
      <c r="B1377" t="s">
        <v>542</v>
      </c>
      <c r="C1377" t="s">
        <v>124</v>
      </c>
      <c r="D1377" t="s">
        <v>669</v>
      </c>
      <c r="E1377" t="s">
        <v>228</v>
      </c>
      <c r="F1377" s="705">
        <v>6</v>
      </c>
      <c r="G1377" s="705">
        <v>528</v>
      </c>
      <c r="H1377" s="705">
        <v>8439</v>
      </c>
      <c r="I1377" s="705">
        <v>609769</v>
      </c>
      <c r="J1377" s="705">
        <v>508141</v>
      </c>
      <c r="K1377" s="705">
        <v>30</v>
      </c>
      <c r="L1377" s="705">
        <v>36516</v>
      </c>
      <c r="M1377" s="705">
        <v>13524</v>
      </c>
      <c r="N1377" s="705">
        <v>12575</v>
      </c>
      <c r="O1377" s="705">
        <v>4657</v>
      </c>
      <c r="P1377" s="705">
        <v>0</v>
      </c>
      <c r="Q1377" s="705">
        <v>0</v>
      </c>
      <c r="R1377" s="705">
        <v>33379</v>
      </c>
      <c r="S1377" s="705">
        <v>12363</v>
      </c>
      <c r="T1377" s="705">
        <v>2816</v>
      </c>
      <c r="U1377" s="705">
        <v>1043</v>
      </c>
      <c r="V1377" s="705">
        <v>539728</v>
      </c>
      <c r="W1377" s="705">
        <f t="shared" si="64"/>
        <v>539728</v>
      </c>
      <c r="X1377" s="705">
        <f t="shared" si="65"/>
        <v>695055</v>
      </c>
    </row>
    <row r="1378" spans="2:24">
      <c r="B1378" t="s">
        <v>542</v>
      </c>
      <c r="C1378" t="s">
        <v>124</v>
      </c>
      <c r="D1378" t="s">
        <v>669</v>
      </c>
      <c r="E1378" t="s">
        <v>669</v>
      </c>
      <c r="F1378" s="705">
        <v>18</v>
      </c>
      <c r="G1378" s="705">
        <v>1788</v>
      </c>
      <c r="H1378" s="705">
        <v>13750</v>
      </c>
      <c r="I1378" s="705">
        <v>1007524</v>
      </c>
      <c r="J1378" s="705">
        <v>839603</v>
      </c>
      <c r="K1378" s="705">
        <v>50</v>
      </c>
      <c r="L1378" s="705">
        <v>117473</v>
      </c>
      <c r="M1378" s="705">
        <v>86663</v>
      </c>
      <c r="N1378" s="705">
        <v>37051</v>
      </c>
      <c r="O1378" s="705">
        <v>13723</v>
      </c>
      <c r="P1378" s="705">
        <v>6440</v>
      </c>
      <c r="Q1378" s="705">
        <v>2385</v>
      </c>
      <c r="R1378" s="705">
        <v>124530</v>
      </c>
      <c r="S1378" s="705">
        <v>103775</v>
      </c>
      <c r="T1378" s="705">
        <v>41017</v>
      </c>
      <c r="U1378" s="705">
        <v>15192</v>
      </c>
      <c r="V1378" s="705">
        <v>1061340</v>
      </c>
      <c r="W1378" s="705">
        <f t="shared" si="64"/>
        <v>1061341</v>
      </c>
      <c r="X1378" s="705">
        <f t="shared" si="65"/>
        <v>1334035</v>
      </c>
    </row>
    <row r="1379" spans="2:24">
      <c r="B1379" t="s">
        <v>542</v>
      </c>
      <c r="C1379" t="s">
        <v>124</v>
      </c>
      <c r="D1379" t="s">
        <v>667</v>
      </c>
      <c r="E1379" t="s">
        <v>228</v>
      </c>
      <c r="F1379" s="705">
        <v>1</v>
      </c>
      <c r="G1379" s="705">
        <v>36</v>
      </c>
      <c r="H1379" s="705">
        <v>1680</v>
      </c>
      <c r="I1379" s="705">
        <v>50877</v>
      </c>
      <c r="J1379" s="705">
        <v>46251</v>
      </c>
      <c r="K1379" s="705">
        <v>30</v>
      </c>
      <c r="L1379" s="705">
        <v>5653</v>
      </c>
      <c r="M1379" s="705">
        <v>5139</v>
      </c>
      <c r="N1379" s="705">
        <v>873</v>
      </c>
      <c r="O1379" s="705">
        <v>323</v>
      </c>
      <c r="P1379" s="705">
        <v>0</v>
      </c>
      <c r="Q1379" s="705">
        <v>0</v>
      </c>
      <c r="R1379" s="705">
        <v>2813</v>
      </c>
      <c r="S1379" s="705">
        <v>1042</v>
      </c>
      <c r="T1379" s="705">
        <v>0</v>
      </c>
      <c r="U1379" s="705">
        <v>0</v>
      </c>
      <c r="V1379" s="705">
        <v>52756</v>
      </c>
      <c r="W1379" s="705">
        <f t="shared" si="64"/>
        <v>52755</v>
      </c>
      <c r="X1379" s="705">
        <f t="shared" si="65"/>
        <v>60216</v>
      </c>
    </row>
    <row r="1380" spans="2:24">
      <c r="B1380" t="s">
        <v>542</v>
      </c>
      <c r="C1380" t="s">
        <v>124</v>
      </c>
      <c r="D1380" t="s">
        <v>667</v>
      </c>
      <c r="E1380" t="s">
        <v>667</v>
      </c>
      <c r="F1380" s="705">
        <v>8</v>
      </c>
      <c r="G1380" s="705">
        <v>720</v>
      </c>
      <c r="H1380" s="705">
        <v>6210</v>
      </c>
      <c r="I1380" s="705">
        <v>389526</v>
      </c>
      <c r="J1380" s="705">
        <v>354114</v>
      </c>
      <c r="K1380" s="705">
        <v>51</v>
      </c>
      <c r="L1380" s="705">
        <v>48953</v>
      </c>
      <c r="M1380" s="705">
        <v>43923</v>
      </c>
      <c r="N1380" s="705">
        <v>15095</v>
      </c>
      <c r="O1380" s="705">
        <v>5591</v>
      </c>
      <c r="P1380" s="705">
        <v>3348</v>
      </c>
      <c r="Q1380" s="705">
        <v>1240</v>
      </c>
      <c r="R1380" s="705">
        <v>56673</v>
      </c>
      <c r="S1380" s="705">
        <v>51521</v>
      </c>
      <c r="T1380" s="705">
        <v>12517</v>
      </c>
      <c r="U1380" s="705">
        <v>4636</v>
      </c>
      <c r="V1380" s="705">
        <v>461024</v>
      </c>
      <c r="W1380" s="705">
        <f t="shared" si="64"/>
        <v>461025</v>
      </c>
      <c r="X1380" s="705">
        <f t="shared" si="65"/>
        <v>526112</v>
      </c>
    </row>
    <row r="1381" spans="2:24">
      <c r="B1381" t="s">
        <v>542</v>
      </c>
      <c r="C1381" t="s">
        <v>124</v>
      </c>
      <c r="D1381" t="s">
        <v>671</v>
      </c>
      <c r="E1381" t="s">
        <v>664</v>
      </c>
      <c r="F1381" s="705">
        <v>1</v>
      </c>
      <c r="G1381" s="705">
        <v>612</v>
      </c>
      <c r="H1381" s="705">
        <v>806</v>
      </c>
      <c r="I1381" s="705">
        <v>633507</v>
      </c>
      <c r="J1381" s="705">
        <v>575915</v>
      </c>
      <c r="K1381" s="705">
        <v>30</v>
      </c>
      <c r="L1381" s="705">
        <v>0</v>
      </c>
      <c r="M1381" s="705">
        <v>0</v>
      </c>
      <c r="N1381" s="705">
        <v>19884</v>
      </c>
      <c r="O1381" s="705">
        <v>7364</v>
      </c>
      <c r="P1381" s="705">
        <v>0</v>
      </c>
      <c r="Q1381" s="705">
        <v>0</v>
      </c>
      <c r="R1381" s="705">
        <v>4182</v>
      </c>
      <c r="S1381" s="705">
        <v>3802</v>
      </c>
      <c r="T1381" s="705">
        <v>0</v>
      </c>
      <c r="U1381" s="705">
        <v>0</v>
      </c>
      <c r="V1381" s="705">
        <v>587082</v>
      </c>
      <c r="W1381" s="705">
        <f t="shared" si="64"/>
        <v>587081</v>
      </c>
      <c r="X1381" s="705">
        <f t="shared" si="65"/>
        <v>657573</v>
      </c>
    </row>
    <row r="1382" spans="2:24">
      <c r="B1382" t="s">
        <v>542</v>
      </c>
      <c r="C1382" t="s">
        <v>124</v>
      </c>
      <c r="D1382" t="s">
        <v>671</v>
      </c>
      <c r="E1382" t="s">
        <v>228</v>
      </c>
      <c r="F1382" s="705">
        <v>2</v>
      </c>
      <c r="G1382" s="705">
        <v>147</v>
      </c>
      <c r="H1382" s="705">
        <v>2045</v>
      </c>
      <c r="I1382" s="705">
        <v>102424</v>
      </c>
      <c r="J1382" s="705">
        <v>93113</v>
      </c>
      <c r="K1382" s="705">
        <v>30</v>
      </c>
      <c r="L1382" s="705">
        <v>2860</v>
      </c>
      <c r="M1382" s="705">
        <v>1059</v>
      </c>
      <c r="N1382" s="705">
        <v>3304</v>
      </c>
      <c r="O1382" s="705">
        <v>1224</v>
      </c>
      <c r="P1382" s="705">
        <v>0</v>
      </c>
      <c r="Q1382" s="705">
        <v>0</v>
      </c>
      <c r="R1382" s="705">
        <v>18412</v>
      </c>
      <c r="S1382" s="705">
        <v>6819</v>
      </c>
      <c r="T1382" s="705">
        <v>0</v>
      </c>
      <c r="U1382" s="705">
        <v>0</v>
      </c>
      <c r="V1382" s="705">
        <v>102215</v>
      </c>
      <c r="W1382" s="705">
        <f t="shared" si="64"/>
        <v>102215</v>
      </c>
      <c r="X1382" s="705">
        <f t="shared" si="65"/>
        <v>127000</v>
      </c>
    </row>
    <row r="1383" spans="2:24">
      <c r="B1383" t="s">
        <v>542</v>
      </c>
      <c r="C1383" t="s">
        <v>124</v>
      </c>
      <c r="D1383" t="s">
        <v>671</v>
      </c>
      <c r="E1383" t="s">
        <v>671</v>
      </c>
      <c r="F1383" s="705">
        <v>15</v>
      </c>
      <c r="G1383" s="705">
        <v>1410</v>
      </c>
      <c r="H1383" s="705">
        <v>10701</v>
      </c>
      <c r="I1383" s="705">
        <v>698643</v>
      </c>
      <c r="J1383" s="705">
        <v>635130</v>
      </c>
      <c r="K1383" s="705">
        <v>53</v>
      </c>
      <c r="L1383" s="705">
        <v>112696</v>
      </c>
      <c r="M1383" s="705">
        <v>102450</v>
      </c>
      <c r="N1383" s="705">
        <v>29904</v>
      </c>
      <c r="O1383" s="705">
        <v>11076</v>
      </c>
      <c r="P1383" s="705">
        <v>5986</v>
      </c>
      <c r="Q1383" s="705">
        <v>2217</v>
      </c>
      <c r="R1383" s="705">
        <v>119999</v>
      </c>
      <c r="S1383" s="705">
        <v>109090</v>
      </c>
      <c r="T1383" s="705">
        <v>29627</v>
      </c>
      <c r="U1383" s="705">
        <v>10973</v>
      </c>
      <c r="V1383" s="705">
        <v>870936</v>
      </c>
      <c r="W1383" s="705">
        <f t="shared" si="64"/>
        <v>870936</v>
      </c>
      <c r="X1383" s="705">
        <f t="shared" si="65"/>
        <v>996855</v>
      </c>
    </row>
    <row r="1384" spans="2:24">
      <c r="B1384" t="s">
        <v>542</v>
      </c>
      <c r="C1384" t="s">
        <v>124</v>
      </c>
      <c r="D1384" t="s">
        <v>665</v>
      </c>
      <c r="E1384" t="s">
        <v>228</v>
      </c>
      <c r="F1384" s="705">
        <v>27</v>
      </c>
      <c r="G1384" s="705">
        <v>2477</v>
      </c>
      <c r="H1384" s="705">
        <v>32239</v>
      </c>
      <c r="I1384" s="705">
        <v>2388641</v>
      </c>
      <c r="J1384" s="705">
        <v>2171492</v>
      </c>
      <c r="K1384" s="705">
        <v>37</v>
      </c>
      <c r="L1384" s="705">
        <v>198654</v>
      </c>
      <c r="M1384" s="705">
        <v>126519</v>
      </c>
      <c r="N1384" s="705">
        <v>57334</v>
      </c>
      <c r="O1384" s="705">
        <v>21235</v>
      </c>
      <c r="P1384" s="705">
        <v>1404</v>
      </c>
      <c r="Q1384" s="705">
        <v>520</v>
      </c>
      <c r="R1384" s="705">
        <v>210349</v>
      </c>
      <c r="S1384" s="705">
        <v>77907</v>
      </c>
      <c r="T1384" s="705">
        <v>5283</v>
      </c>
      <c r="U1384" s="705">
        <v>1957</v>
      </c>
      <c r="V1384" s="705">
        <v>2399629</v>
      </c>
      <c r="W1384" s="705">
        <f t="shared" si="64"/>
        <v>2399630</v>
      </c>
      <c r="X1384" s="705">
        <f t="shared" si="65"/>
        <v>2861665</v>
      </c>
    </row>
    <row r="1385" spans="2:24">
      <c r="B1385" t="s">
        <v>542</v>
      </c>
      <c r="C1385" t="s">
        <v>124</v>
      </c>
      <c r="D1385" t="s">
        <v>665</v>
      </c>
      <c r="E1385" t="s">
        <v>665</v>
      </c>
      <c r="F1385" s="705">
        <v>117</v>
      </c>
      <c r="G1385" s="705">
        <v>10471</v>
      </c>
      <c r="H1385" s="705">
        <v>84484</v>
      </c>
      <c r="I1385" s="705">
        <v>5213267</v>
      </c>
      <c r="J1385" s="705">
        <v>4739334</v>
      </c>
      <c r="K1385" s="705">
        <v>53</v>
      </c>
      <c r="L1385" s="705">
        <v>849600</v>
      </c>
      <c r="M1385" s="705">
        <v>742722</v>
      </c>
      <c r="N1385" s="705">
        <v>225444</v>
      </c>
      <c r="O1385" s="705">
        <v>83498</v>
      </c>
      <c r="P1385" s="705">
        <v>40041</v>
      </c>
      <c r="Q1385" s="705">
        <v>14830</v>
      </c>
      <c r="R1385" s="705">
        <v>690198</v>
      </c>
      <c r="S1385" s="705">
        <v>627452</v>
      </c>
      <c r="T1385" s="705">
        <v>235930</v>
      </c>
      <c r="U1385" s="705">
        <v>87381</v>
      </c>
      <c r="V1385" s="705">
        <v>6295217</v>
      </c>
      <c r="W1385" s="705">
        <f t="shared" si="64"/>
        <v>6295217</v>
      </c>
      <c r="X1385" s="705">
        <f t="shared" si="65"/>
        <v>7254480</v>
      </c>
    </row>
    <row r="1386" spans="2:24">
      <c r="B1386" t="s">
        <v>542</v>
      </c>
      <c r="C1386" t="s">
        <v>124</v>
      </c>
      <c r="D1386" t="s">
        <v>673</v>
      </c>
      <c r="E1386" t="s">
        <v>673</v>
      </c>
      <c r="F1386" s="705">
        <v>2</v>
      </c>
      <c r="G1386" s="705">
        <v>311</v>
      </c>
      <c r="H1386" s="705">
        <v>1138</v>
      </c>
      <c r="I1386" s="705">
        <v>141679</v>
      </c>
      <c r="J1386" s="705">
        <v>128799</v>
      </c>
      <c r="K1386" s="705">
        <v>50</v>
      </c>
      <c r="L1386" s="705">
        <v>18605</v>
      </c>
      <c r="M1386" s="705">
        <v>15902</v>
      </c>
      <c r="N1386" s="705">
        <v>6164</v>
      </c>
      <c r="O1386" s="705">
        <v>2283</v>
      </c>
      <c r="P1386" s="705">
        <v>702</v>
      </c>
      <c r="Q1386" s="705">
        <v>260</v>
      </c>
      <c r="R1386" s="705">
        <v>12809</v>
      </c>
      <c r="S1386" s="705">
        <v>11644</v>
      </c>
      <c r="T1386" s="705">
        <v>5580</v>
      </c>
      <c r="U1386" s="705">
        <v>2067</v>
      </c>
      <c r="V1386" s="705">
        <v>160955</v>
      </c>
      <c r="W1386" s="705">
        <f t="shared" si="64"/>
        <v>160955</v>
      </c>
      <c r="X1386" s="705">
        <f t="shared" si="65"/>
        <v>185539</v>
      </c>
    </row>
    <row r="1387" spans="2:24">
      <c r="B1387" t="s">
        <v>543</v>
      </c>
      <c r="C1387" t="s">
        <v>108</v>
      </c>
      <c r="D1387" t="s">
        <v>582</v>
      </c>
      <c r="E1387" t="s">
        <v>582</v>
      </c>
      <c r="F1387" s="705">
        <v>1</v>
      </c>
      <c r="G1387" s="705">
        <v>405</v>
      </c>
      <c r="H1387" s="705">
        <v>40</v>
      </c>
      <c r="I1387" s="705">
        <v>2050</v>
      </c>
      <c r="J1387" s="705">
        <v>1864</v>
      </c>
      <c r="K1387" s="705">
        <v>90</v>
      </c>
      <c r="L1387" s="705">
        <v>345</v>
      </c>
      <c r="M1387" s="705">
        <v>314</v>
      </c>
      <c r="N1387" s="705">
        <v>4933</v>
      </c>
      <c r="O1387" s="705">
        <v>1827</v>
      </c>
      <c r="P1387" s="705">
        <v>4200</v>
      </c>
      <c r="Q1387" s="705">
        <v>1556</v>
      </c>
      <c r="R1387" s="705">
        <v>4692</v>
      </c>
      <c r="S1387" s="705">
        <v>4266</v>
      </c>
      <c r="T1387" s="705">
        <v>0</v>
      </c>
      <c r="U1387" s="705">
        <v>0</v>
      </c>
      <c r="V1387" s="705">
        <v>9826</v>
      </c>
      <c r="W1387" s="705">
        <f t="shared" si="64"/>
        <v>9827</v>
      </c>
      <c r="X1387" s="705">
        <f t="shared" si="65"/>
        <v>16220</v>
      </c>
    </row>
    <row r="1388" spans="2:24">
      <c r="B1388" t="s">
        <v>543</v>
      </c>
      <c r="C1388" t="s">
        <v>108</v>
      </c>
      <c r="D1388" t="s">
        <v>582</v>
      </c>
      <c r="E1388" t="s">
        <v>228</v>
      </c>
      <c r="F1388" s="705">
        <v>1</v>
      </c>
      <c r="G1388" s="705">
        <v>242</v>
      </c>
      <c r="H1388" s="705">
        <v>75</v>
      </c>
      <c r="I1388" s="705">
        <v>8440</v>
      </c>
      <c r="J1388" s="705">
        <v>7673</v>
      </c>
      <c r="K1388" s="705">
        <v>92</v>
      </c>
      <c r="L1388" s="705">
        <v>2157</v>
      </c>
      <c r="M1388" s="705">
        <v>1961</v>
      </c>
      <c r="N1388" s="705">
        <v>2953</v>
      </c>
      <c r="O1388" s="705">
        <v>1094</v>
      </c>
      <c r="P1388" s="705">
        <v>473</v>
      </c>
      <c r="Q1388" s="705">
        <v>175</v>
      </c>
      <c r="R1388" s="705">
        <v>4100</v>
      </c>
      <c r="S1388" s="705">
        <v>1519</v>
      </c>
      <c r="T1388" s="705">
        <v>0</v>
      </c>
      <c r="U1388" s="705">
        <v>0</v>
      </c>
      <c r="V1388" s="705">
        <v>12421</v>
      </c>
      <c r="W1388" s="705">
        <f t="shared" si="64"/>
        <v>12422</v>
      </c>
      <c r="X1388" s="705">
        <f t="shared" si="65"/>
        <v>18123</v>
      </c>
    </row>
    <row r="1389" spans="2:24">
      <c r="B1389" t="s">
        <v>543</v>
      </c>
      <c r="C1389" t="s">
        <v>108</v>
      </c>
      <c r="D1389" t="s">
        <v>228</v>
      </c>
      <c r="E1389" t="s">
        <v>228</v>
      </c>
      <c r="F1389" s="705">
        <v>120</v>
      </c>
      <c r="G1389" s="705">
        <v>28341</v>
      </c>
      <c r="H1389" s="705">
        <v>6393</v>
      </c>
      <c r="I1389" s="705">
        <v>294781</v>
      </c>
      <c r="J1389" s="705">
        <v>109178</v>
      </c>
      <c r="K1389" s="705">
        <v>466</v>
      </c>
      <c r="L1389" s="705">
        <v>66865</v>
      </c>
      <c r="M1389" s="705">
        <v>59274</v>
      </c>
      <c r="N1389" s="705">
        <v>379958</v>
      </c>
      <c r="O1389" s="705">
        <v>140725</v>
      </c>
      <c r="P1389" s="705">
        <v>130011</v>
      </c>
      <c r="Q1389" s="705">
        <v>48152</v>
      </c>
      <c r="R1389" s="705">
        <v>651424</v>
      </c>
      <c r="S1389" s="705">
        <v>241268</v>
      </c>
      <c r="T1389" s="705">
        <v>0</v>
      </c>
      <c r="U1389" s="705">
        <v>0</v>
      </c>
      <c r="V1389" s="705">
        <v>598598</v>
      </c>
      <c r="W1389" s="705">
        <f t="shared" si="64"/>
        <v>598597</v>
      </c>
      <c r="X1389" s="705">
        <f t="shared" si="65"/>
        <v>1523039</v>
      </c>
    </row>
    <row r="1390" spans="2:24">
      <c r="B1390" t="s">
        <v>543</v>
      </c>
      <c r="C1390" t="s">
        <v>108</v>
      </c>
      <c r="D1390" t="s">
        <v>228</v>
      </c>
      <c r="E1390" t="s">
        <v>583</v>
      </c>
      <c r="F1390" s="705">
        <v>1</v>
      </c>
      <c r="G1390" s="705">
        <v>192</v>
      </c>
      <c r="H1390" s="705">
        <v>43</v>
      </c>
      <c r="I1390" s="705">
        <v>1254</v>
      </c>
      <c r="J1390" s="705">
        <v>464</v>
      </c>
      <c r="K1390" s="705">
        <v>514</v>
      </c>
      <c r="L1390" s="705">
        <v>486</v>
      </c>
      <c r="M1390" s="705">
        <v>442</v>
      </c>
      <c r="N1390" s="705">
        <v>2336</v>
      </c>
      <c r="O1390" s="705">
        <v>865</v>
      </c>
      <c r="P1390" s="705">
        <v>2120</v>
      </c>
      <c r="Q1390" s="705">
        <v>785</v>
      </c>
      <c r="R1390" s="705">
        <v>2096</v>
      </c>
      <c r="S1390" s="705">
        <v>1905</v>
      </c>
      <c r="T1390" s="705">
        <v>0</v>
      </c>
      <c r="U1390" s="705">
        <v>0</v>
      </c>
      <c r="V1390" s="705">
        <v>4462</v>
      </c>
      <c r="W1390" s="705">
        <f t="shared" si="64"/>
        <v>4461</v>
      </c>
      <c r="X1390" s="705">
        <f t="shared" si="65"/>
        <v>8292</v>
      </c>
    </row>
    <row r="1391" spans="2:24">
      <c r="B1391" t="s">
        <v>543</v>
      </c>
      <c r="C1391" t="s">
        <v>108</v>
      </c>
      <c r="D1391" t="s">
        <v>583</v>
      </c>
      <c r="E1391" t="s">
        <v>228</v>
      </c>
      <c r="F1391" s="705">
        <v>8</v>
      </c>
      <c r="G1391" s="705">
        <v>1740</v>
      </c>
      <c r="H1391" s="705">
        <v>488</v>
      </c>
      <c r="I1391" s="705">
        <v>41601</v>
      </c>
      <c r="J1391" s="705">
        <v>37819</v>
      </c>
      <c r="K1391" s="705">
        <v>96</v>
      </c>
      <c r="L1391" s="705">
        <v>6207</v>
      </c>
      <c r="M1391" s="705">
        <v>5642</v>
      </c>
      <c r="N1391" s="705">
        <v>21649</v>
      </c>
      <c r="O1391" s="705">
        <v>8018</v>
      </c>
      <c r="P1391" s="705">
        <v>8097</v>
      </c>
      <c r="Q1391" s="705">
        <v>2999</v>
      </c>
      <c r="R1391" s="705">
        <v>29360</v>
      </c>
      <c r="S1391" s="705">
        <v>10874</v>
      </c>
      <c r="T1391" s="705">
        <v>0</v>
      </c>
      <c r="U1391" s="705">
        <v>0</v>
      </c>
      <c r="V1391" s="705">
        <v>65352</v>
      </c>
      <c r="W1391" s="705">
        <f t="shared" si="64"/>
        <v>65352</v>
      </c>
      <c r="X1391" s="705">
        <f t="shared" si="65"/>
        <v>106914</v>
      </c>
    </row>
    <row r="1392" spans="2:24">
      <c r="B1392" t="s">
        <v>543</v>
      </c>
      <c r="C1392" t="s">
        <v>108</v>
      </c>
      <c r="D1392" t="s">
        <v>583</v>
      </c>
      <c r="E1392" t="s">
        <v>583</v>
      </c>
      <c r="F1392" s="705">
        <v>48</v>
      </c>
      <c r="G1392" s="705">
        <v>10414</v>
      </c>
      <c r="H1392" s="705">
        <v>2860</v>
      </c>
      <c r="I1392" s="705">
        <v>214963</v>
      </c>
      <c r="J1392" s="705">
        <v>195421</v>
      </c>
      <c r="K1392" s="705">
        <v>95</v>
      </c>
      <c r="L1392" s="705">
        <v>26874</v>
      </c>
      <c r="M1392" s="705">
        <v>24314</v>
      </c>
      <c r="N1392" s="705">
        <v>138526</v>
      </c>
      <c r="O1392" s="705">
        <v>51306</v>
      </c>
      <c r="P1392" s="705">
        <v>55750</v>
      </c>
      <c r="Q1392" s="705">
        <v>20648</v>
      </c>
      <c r="R1392" s="705">
        <v>177854</v>
      </c>
      <c r="S1392" s="705">
        <v>161686</v>
      </c>
      <c r="T1392" s="705">
        <v>0</v>
      </c>
      <c r="U1392" s="705">
        <v>0</v>
      </c>
      <c r="V1392" s="705">
        <v>453375</v>
      </c>
      <c r="W1392" s="705">
        <f t="shared" si="64"/>
        <v>453375</v>
      </c>
      <c r="X1392" s="705">
        <f t="shared" si="65"/>
        <v>613967</v>
      </c>
    </row>
    <row r="1393" spans="2:24">
      <c r="B1393" t="s">
        <v>543</v>
      </c>
      <c r="C1393" t="s">
        <v>108</v>
      </c>
      <c r="D1393" t="s">
        <v>584</v>
      </c>
      <c r="E1393" t="s">
        <v>584</v>
      </c>
      <c r="F1393" s="705">
        <v>22</v>
      </c>
      <c r="G1393" s="705">
        <v>3901</v>
      </c>
      <c r="H1393" s="705">
        <v>1324</v>
      </c>
      <c r="I1393" s="705">
        <v>58339</v>
      </c>
      <c r="J1393" s="705">
        <v>53035</v>
      </c>
      <c r="K1393" s="705">
        <v>90</v>
      </c>
      <c r="L1393" s="705">
        <v>7224</v>
      </c>
      <c r="M1393" s="705">
        <v>6460</v>
      </c>
      <c r="N1393" s="705">
        <v>48139</v>
      </c>
      <c r="O1393" s="705">
        <v>17829</v>
      </c>
      <c r="P1393" s="705">
        <v>20973</v>
      </c>
      <c r="Q1393" s="705">
        <v>7768</v>
      </c>
      <c r="R1393" s="705">
        <v>94074</v>
      </c>
      <c r="S1393" s="705">
        <v>85522</v>
      </c>
      <c r="T1393" s="705">
        <v>0</v>
      </c>
      <c r="U1393" s="705">
        <v>0</v>
      </c>
      <c r="V1393" s="705">
        <v>170614</v>
      </c>
      <c r="W1393" s="705">
        <f t="shared" si="64"/>
        <v>170614</v>
      </c>
      <c r="X1393" s="705">
        <f t="shared" si="65"/>
        <v>228749</v>
      </c>
    </row>
    <row r="1394" spans="2:24">
      <c r="B1394" t="s">
        <v>543</v>
      </c>
      <c r="C1394" t="s">
        <v>110</v>
      </c>
      <c r="F1394" s="705">
        <v>1</v>
      </c>
      <c r="G1394" s="705">
        <v>264</v>
      </c>
      <c r="H1394" s="705">
        <v>100</v>
      </c>
      <c r="I1394" s="705"/>
      <c r="J1394" s="705">
        <v>0</v>
      </c>
      <c r="K1394" s="705"/>
      <c r="L1394" s="705"/>
      <c r="M1394" s="705">
        <v>0</v>
      </c>
      <c r="N1394" s="705">
        <v>3219</v>
      </c>
      <c r="O1394" s="705">
        <v>1192</v>
      </c>
      <c r="P1394" s="705">
        <v>351</v>
      </c>
      <c r="Q1394" s="705">
        <v>130</v>
      </c>
      <c r="R1394" s="705"/>
      <c r="S1394" s="705">
        <v>0</v>
      </c>
      <c r="T1394" s="705">
        <v>0</v>
      </c>
      <c r="U1394" s="705">
        <v>0</v>
      </c>
      <c r="V1394" s="705">
        <v>1322</v>
      </c>
      <c r="W1394" s="705">
        <f t="shared" si="64"/>
        <v>1322</v>
      </c>
      <c r="X1394" s="705">
        <f t="shared" si="65"/>
        <v>3570</v>
      </c>
    </row>
    <row r="1395" spans="2:24">
      <c r="B1395" t="s">
        <v>543</v>
      </c>
      <c r="C1395" t="s">
        <v>110</v>
      </c>
      <c r="D1395" t="s">
        <v>228</v>
      </c>
      <c r="E1395" t="s">
        <v>228</v>
      </c>
      <c r="F1395" s="705">
        <v>19</v>
      </c>
      <c r="G1395" s="705">
        <v>5177</v>
      </c>
      <c r="H1395" s="705">
        <v>1646</v>
      </c>
      <c r="I1395" s="705">
        <v>189305</v>
      </c>
      <c r="J1395" s="705">
        <v>70113</v>
      </c>
      <c r="K1395" s="705">
        <v>363</v>
      </c>
      <c r="L1395" s="705">
        <v>51686</v>
      </c>
      <c r="M1395" s="705">
        <v>44264</v>
      </c>
      <c r="N1395" s="705">
        <v>94018</v>
      </c>
      <c r="O1395" s="705">
        <v>34822</v>
      </c>
      <c r="P1395" s="705">
        <v>18538</v>
      </c>
      <c r="Q1395" s="705">
        <v>6866</v>
      </c>
      <c r="R1395" s="705">
        <v>118107</v>
      </c>
      <c r="S1395" s="705">
        <v>43743</v>
      </c>
      <c r="T1395" s="705">
        <v>0</v>
      </c>
      <c r="U1395" s="705">
        <v>0</v>
      </c>
      <c r="V1395" s="705">
        <v>199808</v>
      </c>
      <c r="W1395" s="705">
        <f t="shared" si="64"/>
        <v>199808</v>
      </c>
      <c r="X1395" s="705">
        <f t="shared" si="65"/>
        <v>471654</v>
      </c>
    </row>
    <row r="1396" spans="2:24">
      <c r="B1396" t="s">
        <v>543</v>
      </c>
      <c r="C1396" t="s">
        <v>110</v>
      </c>
      <c r="D1396" t="s">
        <v>228</v>
      </c>
      <c r="E1396" t="s">
        <v>583</v>
      </c>
      <c r="F1396" s="705">
        <v>1</v>
      </c>
      <c r="G1396" s="705">
        <v>503</v>
      </c>
      <c r="H1396" s="705">
        <v>98</v>
      </c>
      <c r="I1396" s="705">
        <v>22862</v>
      </c>
      <c r="J1396" s="705">
        <v>8468</v>
      </c>
      <c r="K1396" s="705">
        <v>320</v>
      </c>
      <c r="L1396" s="705">
        <v>4416</v>
      </c>
      <c r="M1396" s="705">
        <v>4014</v>
      </c>
      <c r="N1396" s="705">
        <v>11040</v>
      </c>
      <c r="O1396" s="705">
        <v>4089</v>
      </c>
      <c r="P1396" s="705">
        <v>351</v>
      </c>
      <c r="Q1396" s="705">
        <v>130</v>
      </c>
      <c r="R1396" s="705">
        <v>5781</v>
      </c>
      <c r="S1396" s="705">
        <v>5255</v>
      </c>
      <c r="T1396" s="705">
        <v>4698</v>
      </c>
      <c r="U1396" s="705">
        <v>1740</v>
      </c>
      <c r="V1396" s="705">
        <v>23696</v>
      </c>
      <c r="W1396" s="705">
        <f t="shared" si="64"/>
        <v>23696</v>
      </c>
      <c r="X1396" s="705">
        <f t="shared" si="65"/>
        <v>49148</v>
      </c>
    </row>
    <row r="1397" spans="2:24">
      <c r="B1397" t="s">
        <v>543</v>
      </c>
      <c r="C1397" t="s">
        <v>110</v>
      </c>
      <c r="D1397" t="s">
        <v>583</v>
      </c>
      <c r="E1397" t="s">
        <v>583</v>
      </c>
      <c r="F1397" s="705">
        <v>29</v>
      </c>
      <c r="G1397" s="705">
        <v>7121</v>
      </c>
      <c r="H1397" s="705">
        <v>2649</v>
      </c>
      <c r="I1397" s="705">
        <v>341150</v>
      </c>
      <c r="J1397" s="705">
        <v>310136</v>
      </c>
      <c r="K1397" s="705">
        <v>93</v>
      </c>
      <c r="L1397" s="705">
        <v>62299</v>
      </c>
      <c r="M1397" s="705">
        <v>56236</v>
      </c>
      <c r="N1397" s="705">
        <v>101658</v>
      </c>
      <c r="O1397" s="705">
        <v>37651</v>
      </c>
      <c r="P1397" s="705">
        <v>26652</v>
      </c>
      <c r="Q1397" s="705">
        <v>9871</v>
      </c>
      <c r="R1397" s="705">
        <v>134783</v>
      </c>
      <c r="S1397" s="705">
        <v>122530</v>
      </c>
      <c r="T1397" s="705">
        <v>0</v>
      </c>
      <c r="U1397" s="705">
        <v>0</v>
      </c>
      <c r="V1397" s="705">
        <v>536424</v>
      </c>
      <c r="W1397" s="705">
        <f t="shared" si="64"/>
        <v>536424</v>
      </c>
      <c r="X1397" s="705">
        <f t="shared" si="65"/>
        <v>666542</v>
      </c>
    </row>
    <row r="1398" spans="2:24">
      <c r="B1398" t="s">
        <v>543</v>
      </c>
      <c r="C1398" t="s">
        <v>110</v>
      </c>
      <c r="D1398" t="s">
        <v>584</v>
      </c>
      <c r="E1398" t="s">
        <v>584</v>
      </c>
      <c r="F1398" s="705">
        <v>11</v>
      </c>
      <c r="G1398" s="705">
        <v>1624</v>
      </c>
      <c r="H1398" s="705">
        <v>996</v>
      </c>
      <c r="I1398" s="705">
        <v>84167</v>
      </c>
      <c r="J1398" s="705">
        <v>76516</v>
      </c>
      <c r="K1398" s="705">
        <v>90</v>
      </c>
      <c r="L1398" s="705">
        <v>11563</v>
      </c>
      <c r="M1398" s="705">
        <v>10270</v>
      </c>
      <c r="N1398" s="705">
        <v>22607</v>
      </c>
      <c r="O1398" s="705">
        <v>8373</v>
      </c>
      <c r="P1398" s="705">
        <v>4590</v>
      </c>
      <c r="Q1398" s="705">
        <v>1700</v>
      </c>
      <c r="R1398" s="705">
        <v>30537</v>
      </c>
      <c r="S1398" s="705">
        <v>27761</v>
      </c>
      <c r="T1398" s="705">
        <v>0</v>
      </c>
      <c r="U1398" s="705">
        <v>0</v>
      </c>
      <c r="V1398" s="705">
        <v>124620</v>
      </c>
      <c r="W1398" s="705">
        <f t="shared" si="64"/>
        <v>124620</v>
      </c>
      <c r="X1398" s="705">
        <f t="shared" si="65"/>
        <v>153464</v>
      </c>
    </row>
    <row r="1399" spans="2:24">
      <c r="B1399" t="s">
        <v>543</v>
      </c>
      <c r="C1399" t="s">
        <v>112</v>
      </c>
      <c r="D1399" t="s">
        <v>582</v>
      </c>
      <c r="E1399" t="s">
        <v>582</v>
      </c>
      <c r="F1399" s="705">
        <v>2</v>
      </c>
      <c r="G1399" s="705">
        <v>621</v>
      </c>
      <c r="H1399" s="705">
        <v>229</v>
      </c>
      <c r="I1399" s="705">
        <v>33622</v>
      </c>
      <c r="J1399" s="705">
        <v>30566</v>
      </c>
      <c r="K1399" s="705">
        <v>91</v>
      </c>
      <c r="L1399" s="705">
        <v>9393</v>
      </c>
      <c r="M1399" s="705">
        <v>8400</v>
      </c>
      <c r="N1399" s="705">
        <v>14574</v>
      </c>
      <c r="O1399" s="705">
        <v>5398</v>
      </c>
      <c r="P1399" s="705">
        <v>1094</v>
      </c>
      <c r="Q1399" s="705">
        <v>405</v>
      </c>
      <c r="R1399" s="705">
        <v>12898</v>
      </c>
      <c r="S1399" s="705">
        <v>11726</v>
      </c>
      <c r="T1399" s="705">
        <v>0</v>
      </c>
      <c r="U1399" s="705">
        <v>0</v>
      </c>
      <c r="V1399" s="705">
        <v>56494</v>
      </c>
      <c r="W1399" s="705">
        <f t="shared" si="64"/>
        <v>56495</v>
      </c>
      <c r="X1399" s="705">
        <f t="shared" si="65"/>
        <v>71581</v>
      </c>
    </row>
    <row r="1400" spans="2:24">
      <c r="B1400" t="s">
        <v>543</v>
      </c>
      <c r="C1400" t="s">
        <v>112</v>
      </c>
      <c r="D1400" t="s">
        <v>228</v>
      </c>
      <c r="E1400" t="s">
        <v>582</v>
      </c>
      <c r="F1400" s="705">
        <v>1</v>
      </c>
      <c r="G1400" s="705">
        <v>523</v>
      </c>
      <c r="H1400" s="705">
        <v>104</v>
      </c>
      <c r="I1400" s="705">
        <v>33722</v>
      </c>
      <c r="J1400" s="705">
        <v>12490</v>
      </c>
      <c r="K1400" s="705">
        <v>320</v>
      </c>
      <c r="L1400" s="705">
        <v>5392</v>
      </c>
      <c r="M1400" s="705">
        <v>4902</v>
      </c>
      <c r="N1400" s="705">
        <v>6372</v>
      </c>
      <c r="O1400" s="705">
        <v>2360</v>
      </c>
      <c r="P1400" s="705">
        <v>473</v>
      </c>
      <c r="Q1400" s="705">
        <v>175</v>
      </c>
      <c r="R1400" s="705">
        <v>8207</v>
      </c>
      <c r="S1400" s="705">
        <v>7461</v>
      </c>
      <c r="T1400" s="705">
        <v>0</v>
      </c>
      <c r="U1400" s="705">
        <v>0</v>
      </c>
      <c r="V1400" s="705">
        <v>27387</v>
      </c>
      <c r="W1400" s="705">
        <f t="shared" si="64"/>
        <v>27388</v>
      </c>
      <c r="X1400" s="705">
        <f t="shared" si="65"/>
        <v>54166</v>
      </c>
    </row>
    <row r="1401" spans="2:24">
      <c r="B1401" t="s">
        <v>543</v>
      </c>
      <c r="C1401" t="s">
        <v>112</v>
      </c>
      <c r="D1401" t="s">
        <v>228</v>
      </c>
      <c r="E1401" t="s">
        <v>228</v>
      </c>
      <c r="F1401" s="705">
        <v>25</v>
      </c>
      <c r="G1401" s="705">
        <v>7433</v>
      </c>
      <c r="H1401" s="705">
        <v>2829</v>
      </c>
      <c r="I1401" s="705">
        <v>398361</v>
      </c>
      <c r="J1401" s="705">
        <v>147541</v>
      </c>
      <c r="K1401" s="705">
        <v>316</v>
      </c>
      <c r="L1401" s="705">
        <v>123924</v>
      </c>
      <c r="M1401" s="705">
        <v>111246</v>
      </c>
      <c r="N1401" s="705">
        <v>140674</v>
      </c>
      <c r="O1401" s="705">
        <v>52102</v>
      </c>
      <c r="P1401" s="705">
        <v>18914</v>
      </c>
      <c r="Q1401" s="705">
        <v>7005</v>
      </c>
      <c r="R1401" s="705">
        <v>211125</v>
      </c>
      <c r="S1401" s="705">
        <v>78194</v>
      </c>
      <c r="T1401" s="705">
        <v>2990</v>
      </c>
      <c r="U1401" s="705">
        <v>1108</v>
      </c>
      <c r="V1401" s="705">
        <v>397196</v>
      </c>
      <c r="W1401" s="705">
        <f t="shared" si="64"/>
        <v>397196</v>
      </c>
      <c r="X1401" s="705">
        <f t="shared" si="65"/>
        <v>895988</v>
      </c>
    </row>
    <row r="1402" spans="2:24">
      <c r="B1402" t="s">
        <v>543</v>
      </c>
      <c r="C1402" t="s">
        <v>112</v>
      </c>
      <c r="D1402" t="s">
        <v>228</v>
      </c>
      <c r="E1402" t="s">
        <v>583</v>
      </c>
      <c r="F1402" s="705">
        <v>1</v>
      </c>
      <c r="G1402" s="705">
        <v>368</v>
      </c>
      <c r="H1402" s="705">
        <v>104</v>
      </c>
      <c r="I1402" s="705">
        <v>15391</v>
      </c>
      <c r="J1402" s="705">
        <v>5700</v>
      </c>
      <c r="K1402" s="705">
        <v>510</v>
      </c>
      <c r="L1402" s="705">
        <v>4146</v>
      </c>
      <c r="M1402" s="705">
        <v>3769</v>
      </c>
      <c r="N1402" s="705">
        <v>6770</v>
      </c>
      <c r="O1402" s="705">
        <v>2508</v>
      </c>
      <c r="P1402" s="705">
        <v>621</v>
      </c>
      <c r="Q1402" s="705">
        <v>230</v>
      </c>
      <c r="R1402" s="705">
        <v>11246</v>
      </c>
      <c r="S1402" s="705">
        <v>10223</v>
      </c>
      <c r="T1402" s="705">
        <v>0</v>
      </c>
      <c r="U1402" s="705">
        <v>0</v>
      </c>
      <c r="V1402" s="705">
        <v>22430</v>
      </c>
      <c r="W1402" s="705">
        <f t="shared" si="64"/>
        <v>22430</v>
      </c>
      <c r="X1402" s="705">
        <f t="shared" si="65"/>
        <v>38174</v>
      </c>
    </row>
    <row r="1403" spans="2:24">
      <c r="B1403" t="s">
        <v>543</v>
      </c>
      <c r="C1403" t="s">
        <v>112</v>
      </c>
      <c r="D1403" t="s">
        <v>583</v>
      </c>
      <c r="E1403" t="s">
        <v>583</v>
      </c>
      <c r="F1403" s="705">
        <v>73</v>
      </c>
      <c r="G1403" s="705">
        <v>17066</v>
      </c>
      <c r="H1403" s="705">
        <v>8456</v>
      </c>
      <c r="I1403" s="705">
        <v>1198603</v>
      </c>
      <c r="J1403" s="705">
        <v>1089639</v>
      </c>
      <c r="K1403" s="705">
        <v>93</v>
      </c>
      <c r="L1403" s="705">
        <v>203732</v>
      </c>
      <c r="M1403" s="705">
        <v>187315</v>
      </c>
      <c r="N1403" s="705">
        <v>306326</v>
      </c>
      <c r="O1403" s="705">
        <v>113454</v>
      </c>
      <c r="P1403" s="705">
        <v>52546</v>
      </c>
      <c r="Q1403" s="705">
        <v>19461</v>
      </c>
      <c r="R1403" s="705">
        <v>371884</v>
      </c>
      <c r="S1403" s="705">
        <v>338076</v>
      </c>
      <c r="T1403" s="705">
        <v>15652</v>
      </c>
      <c r="U1403" s="705">
        <v>5797</v>
      </c>
      <c r="V1403" s="705">
        <v>1753743</v>
      </c>
      <c r="W1403" s="705">
        <f t="shared" si="64"/>
        <v>1753742</v>
      </c>
      <c r="X1403" s="705">
        <f t="shared" si="65"/>
        <v>2148743</v>
      </c>
    </row>
    <row r="1404" spans="2:24">
      <c r="B1404" t="s">
        <v>543</v>
      </c>
      <c r="C1404" t="s">
        <v>112</v>
      </c>
      <c r="D1404" t="s">
        <v>584</v>
      </c>
      <c r="E1404" t="s">
        <v>584</v>
      </c>
      <c r="F1404" s="705">
        <v>22</v>
      </c>
      <c r="G1404" s="705">
        <v>4634</v>
      </c>
      <c r="H1404" s="705">
        <v>2589</v>
      </c>
      <c r="I1404" s="705">
        <v>300058</v>
      </c>
      <c r="J1404" s="705">
        <v>272780</v>
      </c>
      <c r="K1404" s="705">
        <v>90</v>
      </c>
      <c r="L1404" s="705">
        <v>56560</v>
      </c>
      <c r="M1404" s="705">
        <v>46675</v>
      </c>
      <c r="N1404" s="705">
        <v>78273</v>
      </c>
      <c r="O1404" s="705">
        <v>28990</v>
      </c>
      <c r="P1404" s="705">
        <v>10395</v>
      </c>
      <c r="Q1404" s="705">
        <v>3850</v>
      </c>
      <c r="R1404" s="705">
        <v>122391</v>
      </c>
      <c r="S1404" s="705">
        <v>111265</v>
      </c>
      <c r="T1404" s="705">
        <v>0</v>
      </c>
      <c r="U1404" s="705">
        <v>0</v>
      </c>
      <c r="V1404" s="705">
        <v>463560</v>
      </c>
      <c r="W1404" s="705">
        <f t="shared" si="64"/>
        <v>463560</v>
      </c>
      <c r="X1404" s="705">
        <f t="shared" si="65"/>
        <v>567677</v>
      </c>
    </row>
    <row r="1405" spans="2:24">
      <c r="B1405" t="s">
        <v>543</v>
      </c>
      <c r="C1405" t="s">
        <v>112</v>
      </c>
      <c r="D1405" t="s">
        <v>585</v>
      </c>
      <c r="E1405" t="s">
        <v>585</v>
      </c>
      <c r="F1405" s="705">
        <v>2</v>
      </c>
      <c r="G1405" s="705">
        <v>438</v>
      </c>
      <c r="H1405" s="705">
        <v>233</v>
      </c>
      <c r="I1405" s="705">
        <v>31732</v>
      </c>
      <c r="J1405" s="705">
        <v>28847</v>
      </c>
      <c r="K1405" s="705">
        <v>89</v>
      </c>
      <c r="L1405" s="705">
        <v>5137</v>
      </c>
      <c r="M1405" s="705">
        <v>4670</v>
      </c>
      <c r="N1405" s="705">
        <v>8762</v>
      </c>
      <c r="O1405" s="705">
        <v>3245</v>
      </c>
      <c r="P1405" s="705">
        <v>702</v>
      </c>
      <c r="Q1405" s="705">
        <v>260</v>
      </c>
      <c r="R1405" s="705">
        <v>8914</v>
      </c>
      <c r="S1405" s="705">
        <v>8104</v>
      </c>
      <c r="T1405" s="705">
        <v>0</v>
      </c>
      <c r="U1405" s="705">
        <v>0</v>
      </c>
      <c r="V1405" s="705">
        <v>45126</v>
      </c>
      <c r="W1405" s="705">
        <f t="shared" si="64"/>
        <v>45126</v>
      </c>
      <c r="X1405" s="705">
        <f t="shared" si="65"/>
        <v>55247</v>
      </c>
    </row>
    <row r="1406" spans="2:24">
      <c r="B1406" t="s">
        <v>543</v>
      </c>
      <c r="C1406" t="s">
        <v>114</v>
      </c>
      <c r="F1406" s="705">
        <v>4</v>
      </c>
      <c r="G1406" s="705">
        <v>968</v>
      </c>
      <c r="H1406" s="705">
        <v>558</v>
      </c>
      <c r="I1406" s="705"/>
      <c r="J1406" s="705">
        <v>0</v>
      </c>
      <c r="K1406" s="705"/>
      <c r="L1406" s="705"/>
      <c r="M1406" s="705">
        <v>0</v>
      </c>
      <c r="N1406" s="705">
        <v>19092</v>
      </c>
      <c r="O1406" s="705">
        <v>7071</v>
      </c>
      <c r="P1406" s="705">
        <v>1944</v>
      </c>
      <c r="Q1406" s="705">
        <v>720</v>
      </c>
      <c r="R1406" s="705"/>
      <c r="S1406" s="705">
        <v>0</v>
      </c>
      <c r="T1406" s="705">
        <v>0</v>
      </c>
      <c r="U1406" s="705">
        <v>0</v>
      </c>
      <c r="V1406" s="705">
        <v>7791</v>
      </c>
      <c r="W1406" s="705">
        <f t="shared" si="64"/>
        <v>7791</v>
      </c>
      <c r="X1406" s="705">
        <f t="shared" si="65"/>
        <v>21036</v>
      </c>
    </row>
    <row r="1407" spans="2:24">
      <c r="B1407" t="s">
        <v>543</v>
      </c>
      <c r="C1407" t="s">
        <v>114</v>
      </c>
      <c r="D1407" t="s">
        <v>582</v>
      </c>
      <c r="E1407" t="s">
        <v>582</v>
      </c>
      <c r="F1407" s="705">
        <v>6</v>
      </c>
      <c r="G1407" s="705">
        <v>1229</v>
      </c>
      <c r="H1407" s="705">
        <v>868</v>
      </c>
      <c r="I1407" s="705">
        <v>95697</v>
      </c>
      <c r="J1407" s="705">
        <v>86997</v>
      </c>
      <c r="K1407" s="705">
        <v>87</v>
      </c>
      <c r="L1407" s="705">
        <v>22799</v>
      </c>
      <c r="M1407" s="705">
        <v>20514</v>
      </c>
      <c r="N1407" s="705">
        <v>15955</v>
      </c>
      <c r="O1407" s="705">
        <v>5909</v>
      </c>
      <c r="P1407" s="705">
        <v>2835</v>
      </c>
      <c r="Q1407" s="705">
        <v>1050</v>
      </c>
      <c r="R1407" s="705">
        <v>33106</v>
      </c>
      <c r="S1407" s="705">
        <v>30096</v>
      </c>
      <c r="T1407" s="705">
        <v>6657</v>
      </c>
      <c r="U1407" s="705">
        <v>2466</v>
      </c>
      <c r="V1407" s="705">
        <v>147032</v>
      </c>
      <c r="W1407" s="705">
        <f t="shared" si="64"/>
        <v>147032</v>
      </c>
      <c r="X1407" s="705">
        <f t="shared" si="65"/>
        <v>177049</v>
      </c>
    </row>
    <row r="1408" spans="2:24">
      <c r="B1408" t="s">
        <v>543</v>
      </c>
      <c r="C1408" t="s">
        <v>114</v>
      </c>
      <c r="D1408" t="s">
        <v>228</v>
      </c>
      <c r="E1408" t="s">
        <v>228</v>
      </c>
      <c r="F1408" s="705">
        <v>16</v>
      </c>
      <c r="G1408" s="705">
        <v>3657</v>
      </c>
      <c r="H1408" s="705">
        <v>2201</v>
      </c>
      <c r="I1408" s="705">
        <v>256872</v>
      </c>
      <c r="J1408" s="705">
        <v>95138</v>
      </c>
      <c r="K1408" s="705">
        <v>308</v>
      </c>
      <c r="L1408" s="705">
        <v>90720</v>
      </c>
      <c r="M1408" s="705">
        <v>79963</v>
      </c>
      <c r="N1408" s="705">
        <v>79801</v>
      </c>
      <c r="O1408" s="705">
        <v>29556</v>
      </c>
      <c r="P1408" s="705">
        <v>9586</v>
      </c>
      <c r="Q1408" s="705">
        <v>3550</v>
      </c>
      <c r="R1408" s="705">
        <v>114758</v>
      </c>
      <c r="S1408" s="705">
        <v>42503</v>
      </c>
      <c r="T1408" s="705">
        <v>0</v>
      </c>
      <c r="U1408" s="705">
        <v>0</v>
      </c>
      <c r="V1408" s="705">
        <v>250709</v>
      </c>
      <c r="W1408" s="705">
        <f t="shared" si="64"/>
        <v>250710</v>
      </c>
      <c r="X1408" s="705">
        <f t="shared" si="65"/>
        <v>551737</v>
      </c>
    </row>
    <row r="1409" spans="2:24">
      <c r="B1409" t="s">
        <v>543</v>
      </c>
      <c r="C1409" t="s">
        <v>114</v>
      </c>
      <c r="D1409" t="s">
        <v>583</v>
      </c>
      <c r="E1409" t="s">
        <v>228</v>
      </c>
      <c r="F1409" s="705">
        <v>1</v>
      </c>
      <c r="G1409" s="705">
        <v>262</v>
      </c>
      <c r="H1409" s="705">
        <v>145</v>
      </c>
      <c r="I1409" s="705">
        <v>21146</v>
      </c>
      <c r="J1409" s="705">
        <v>19224</v>
      </c>
      <c r="K1409" s="705">
        <v>86</v>
      </c>
      <c r="L1409" s="705">
        <v>6712</v>
      </c>
      <c r="M1409" s="705">
        <v>6102</v>
      </c>
      <c r="N1409" s="705">
        <v>5809</v>
      </c>
      <c r="O1409" s="705">
        <v>2151</v>
      </c>
      <c r="P1409" s="705">
        <v>621</v>
      </c>
      <c r="Q1409" s="705">
        <v>230</v>
      </c>
      <c r="R1409" s="705">
        <v>3719</v>
      </c>
      <c r="S1409" s="705">
        <v>1377</v>
      </c>
      <c r="T1409" s="705">
        <v>0</v>
      </c>
      <c r="U1409" s="705">
        <v>0</v>
      </c>
      <c r="V1409" s="705">
        <v>29084</v>
      </c>
      <c r="W1409" s="705">
        <f t="shared" si="64"/>
        <v>29084</v>
      </c>
      <c r="X1409" s="705">
        <f t="shared" si="65"/>
        <v>38007</v>
      </c>
    </row>
    <row r="1410" spans="2:24">
      <c r="B1410" t="s">
        <v>543</v>
      </c>
      <c r="C1410" t="s">
        <v>114</v>
      </c>
      <c r="D1410" t="s">
        <v>583</v>
      </c>
      <c r="E1410" t="s">
        <v>583</v>
      </c>
      <c r="F1410" s="705">
        <v>258</v>
      </c>
      <c r="G1410" s="705">
        <v>55284</v>
      </c>
      <c r="H1410" s="705">
        <v>36203</v>
      </c>
      <c r="I1410" s="705">
        <v>4689420</v>
      </c>
      <c r="J1410" s="705">
        <v>4263109</v>
      </c>
      <c r="K1410" s="705">
        <v>89</v>
      </c>
      <c r="L1410" s="705">
        <v>890042</v>
      </c>
      <c r="M1410" s="705">
        <v>802128</v>
      </c>
      <c r="N1410" s="705">
        <v>1092769</v>
      </c>
      <c r="O1410" s="705">
        <v>404729</v>
      </c>
      <c r="P1410" s="705">
        <v>178408</v>
      </c>
      <c r="Q1410" s="705">
        <v>66077</v>
      </c>
      <c r="R1410" s="705">
        <v>1426763</v>
      </c>
      <c r="S1410" s="705">
        <v>1297057</v>
      </c>
      <c r="T1410" s="705">
        <v>102846</v>
      </c>
      <c r="U1410" s="705">
        <v>38091</v>
      </c>
      <c r="V1410" s="705">
        <v>6871191</v>
      </c>
      <c r="W1410" s="705">
        <f t="shared" si="64"/>
        <v>6871191</v>
      </c>
      <c r="X1410" s="705">
        <f t="shared" si="65"/>
        <v>8380248</v>
      </c>
    </row>
    <row r="1411" spans="2:24">
      <c r="B1411" t="s">
        <v>543</v>
      </c>
      <c r="C1411" t="s">
        <v>114</v>
      </c>
      <c r="D1411" t="s">
        <v>583</v>
      </c>
      <c r="E1411" t="s">
        <v>584</v>
      </c>
      <c r="F1411" s="705">
        <v>1</v>
      </c>
      <c r="G1411" s="705">
        <v>162</v>
      </c>
      <c r="H1411" s="705">
        <v>132</v>
      </c>
      <c r="I1411" s="705">
        <v>15516</v>
      </c>
      <c r="J1411" s="705">
        <v>14106</v>
      </c>
      <c r="K1411" s="705">
        <v>94</v>
      </c>
      <c r="L1411" s="705">
        <v>2154</v>
      </c>
      <c r="M1411" s="705">
        <v>1958</v>
      </c>
      <c r="N1411" s="705">
        <v>2350</v>
      </c>
      <c r="O1411" s="705">
        <v>870</v>
      </c>
      <c r="P1411" s="705">
        <v>621</v>
      </c>
      <c r="Q1411" s="705">
        <v>230</v>
      </c>
      <c r="R1411" s="705">
        <v>4736</v>
      </c>
      <c r="S1411" s="705">
        <v>4305</v>
      </c>
      <c r="T1411" s="705">
        <v>0</v>
      </c>
      <c r="U1411" s="705">
        <v>0</v>
      </c>
      <c r="V1411" s="705">
        <v>21469</v>
      </c>
      <c r="W1411" s="705">
        <f t="shared" si="64"/>
        <v>21469</v>
      </c>
      <c r="X1411" s="705">
        <f t="shared" si="65"/>
        <v>25377</v>
      </c>
    </row>
    <row r="1412" spans="2:24">
      <c r="B1412" t="s">
        <v>543</v>
      </c>
      <c r="C1412" t="s">
        <v>114</v>
      </c>
      <c r="D1412" t="s">
        <v>583</v>
      </c>
      <c r="E1412" t="s">
        <v>665</v>
      </c>
      <c r="F1412" s="705">
        <v>2</v>
      </c>
      <c r="G1412" s="705">
        <v>574</v>
      </c>
      <c r="H1412" s="705">
        <v>279</v>
      </c>
      <c r="I1412" s="705">
        <v>42735</v>
      </c>
      <c r="J1412" s="705">
        <v>38850</v>
      </c>
      <c r="K1412" s="705">
        <v>93</v>
      </c>
      <c r="L1412" s="705">
        <v>10882</v>
      </c>
      <c r="M1412" s="705">
        <v>9892</v>
      </c>
      <c r="N1412" s="705">
        <v>11896</v>
      </c>
      <c r="O1412" s="705">
        <v>4406</v>
      </c>
      <c r="P1412" s="705">
        <v>1242</v>
      </c>
      <c r="Q1412" s="705">
        <v>460</v>
      </c>
      <c r="R1412" s="705">
        <v>7542</v>
      </c>
      <c r="S1412" s="705">
        <v>6856</v>
      </c>
      <c r="T1412" s="705">
        <v>4208</v>
      </c>
      <c r="U1412" s="705">
        <v>1559</v>
      </c>
      <c r="V1412" s="705">
        <v>62023</v>
      </c>
      <c r="W1412" s="705">
        <f t="shared" si="64"/>
        <v>62023</v>
      </c>
      <c r="X1412" s="705">
        <f t="shared" si="65"/>
        <v>78505</v>
      </c>
    </row>
    <row r="1413" spans="2:24">
      <c r="B1413" t="s">
        <v>543</v>
      </c>
      <c r="C1413" t="s">
        <v>114</v>
      </c>
      <c r="D1413" t="s">
        <v>666</v>
      </c>
      <c r="E1413" t="s">
        <v>666</v>
      </c>
      <c r="F1413" s="705">
        <v>1</v>
      </c>
      <c r="G1413" s="705">
        <v>286</v>
      </c>
      <c r="H1413" s="705">
        <v>142</v>
      </c>
      <c r="I1413" s="705">
        <v>25180</v>
      </c>
      <c r="J1413" s="705">
        <v>22891</v>
      </c>
      <c r="K1413" s="705">
        <v>65</v>
      </c>
      <c r="L1413" s="705">
        <v>4464</v>
      </c>
      <c r="M1413" s="705">
        <v>1653</v>
      </c>
      <c r="N1413" s="705">
        <v>4318</v>
      </c>
      <c r="O1413" s="705">
        <v>1599</v>
      </c>
      <c r="P1413" s="705">
        <v>351</v>
      </c>
      <c r="Q1413" s="705">
        <v>130</v>
      </c>
      <c r="R1413" s="705">
        <v>4517</v>
      </c>
      <c r="S1413" s="705">
        <v>4107</v>
      </c>
      <c r="T1413" s="705">
        <v>1819</v>
      </c>
      <c r="U1413" s="705">
        <v>674</v>
      </c>
      <c r="V1413" s="705">
        <v>31053</v>
      </c>
      <c r="W1413" s="705">
        <f t="shared" si="64"/>
        <v>31054</v>
      </c>
      <c r="X1413" s="705">
        <f t="shared" si="65"/>
        <v>40649</v>
      </c>
    </row>
    <row r="1414" spans="2:24">
      <c r="B1414" t="s">
        <v>543</v>
      </c>
      <c r="C1414" t="s">
        <v>114</v>
      </c>
      <c r="D1414" t="s">
        <v>584</v>
      </c>
      <c r="E1414" t="s">
        <v>582</v>
      </c>
      <c r="F1414" s="705">
        <v>1</v>
      </c>
      <c r="G1414" s="705">
        <v>126</v>
      </c>
      <c r="H1414" s="705">
        <v>144</v>
      </c>
      <c r="I1414" s="705">
        <v>9590</v>
      </c>
      <c r="J1414" s="705">
        <v>8718</v>
      </c>
      <c r="K1414" s="705">
        <v>91</v>
      </c>
      <c r="L1414" s="705">
        <v>1607</v>
      </c>
      <c r="M1414" s="705">
        <v>1461</v>
      </c>
      <c r="N1414" s="705">
        <v>2028</v>
      </c>
      <c r="O1414" s="705">
        <v>751</v>
      </c>
      <c r="P1414" s="705">
        <v>473</v>
      </c>
      <c r="Q1414" s="705">
        <v>175</v>
      </c>
      <c r="R1414" s="705">
        <v>4491</v>
      </c>
      <c r="S1414" s="705">
        <v>4082</v>
      </c>
      <c r="T1414" s="705">
        <v>0</v>
      </c>
      <c r="U1414" s="705">
        <v>0</v>
      </c>
      <c r="V1414" s="705">
        <v>15188</v>
      </c>
      <c r="W1414" s="705">
        <f t="shared" si="64"/>
        <v>15187</v>
      </c>
      <c r="X1414" s="705">
        <f t="shared" si="65"/>
        <v>18189</v>
      </c>
    </row>
    <row r="1415" spans="2:24">
      <c r="B1415" t="s">
        <v>543</v>
      </c>
      <c r="C1415" t="s">
        <v>114</v>
      </c>
      <c r="D1415" t="s">
        <v>584</v>
      </c>
      <c r="E1415" t="s">
        <v>584</v>
      </c>
      <c r="F1415" s="705">
        <v>72</v>
      </c>
      <c r="G1415" s="705">
        <v>13569</v>
      </c>
      <c r="H1415" s="705">
        <v>10062</v>
      </c>
      <c r="I1415" s="705">
        <v>1074673</v>
      </c>
      <c r="J1415" s="705">
        <v>976975</v>
      </c>
      <c r="K1415" s="705">
        <v>87</v>
      </c>
      <c r="L1415" s="705">
        <v>224935</v>
      </c>
      <c r="M1415" s="705">
        <v>194829</v>
      </c>
      <c r="N1415" s="705">
        <v>268572</v>
      </c>
      <c r="O1415" s="705">
        <v>99471</v>
      </c>
      <c r="P1415" s="705">
        <v>40835</v>
      </c>
      <c r="Q1415" s="705">
        <v>15124</v>
      </c>
      <c r="R1415" s="705">
        <v>399215</v>
      </c>
      <c r="S1415" s="705">
        <v>362923</v>
      </c>
      <c r="T1415" s="705">
        <v>29718</v>
      </c>
      <c r="U1415" s="705">
        <v>11007</v>
      </c>
      <c r="V1415" s="705">
        <v>1660329</v>
      </c>
      <c r="W1415" s="705">
        <f t="shared" ref="W1415:W1478" si="66">SUM(ABS(J1415),ABS(M1415),ABS(O1415),ABS(Q1415),ABS(S1415),ABS(U1415))</f>
        <v>1660329</v>
      </c>
      <c r="X1415" s="705">
        <f t="shared" ref="X1415:X1478" si="67">SUM(ABS(I1415),ABS(N1415),ABS(P1415),ABS(R1415),ABS(T1415),ABS(L1415))</f>
        <v>2037948</v>
      </c>
    </row>
    <row r="1416" spans="2:24">
      <c r="B1416" t="s">
        <v>543</v>
      </c>
      <c r="C1416" t="s">
        <v>114</v>
      </c>
      <c r="D1416" t="s">
        <v>585</v>
      </c>
      <c r="E1416" t="s">
        <v>585</v>
      </c>
      <c r="F1416" s="705">
        <v>4</v>
      </c>
      <c r="G1416" s="705">
        <v>932</v>
      </c>
      <c r="H1416" s="705">
        <v>547</v>
      </c>
      <c r="I1416" s="705">
        <v>79791</v>
      </c>
      <c r="J1416" s="705">
        <v>72537</v>
      </c>
      <c r="K1416" s="705">
        <v>84</v>
      </c>
      <c r="L1416" s="705">
        <v>17104</v>
      </c>
      <c r="M1416" s="705">
        <v>15455</v>
      </c>
      <c r="N1416" s="705">
        <v>14826</v>
      </c>
      <c r="O1416" s="705">
        <v>5491</v>
      </c>
      <c r="P1416" s="705">
        <v>1755</v>
      </c>
      <c r="Q1416" s="705">
        <v>650</v>
      </c>
      <c r="R1416" s="705">
        <v>16866</v>
      </c>
      <c r="S1416" s="705">
        <v>15333</v>
      </c>
      <c r="T1416" s="705">
        <v>4370</v>
      </c>
      <c r="U1416" s="705">
        <v>1619</v>
      </c>
      <c r="V1416" s="705">
        <v>111084</v>
      </c>
      <c r="W1416" s="705">
        <f t="shared" si="66"/>
        <v>111085</v>
      </c>
      <c r="X1416" s="705">
        <f t="shared" si="67"/>
        <v>134712</v>
      </c>
    </row>
    <row r="1417" spans="2:24">
      <c r="B1417" t="s">
        <v>543</v>
      </c>
      <c r="C1417" t="s">
        <v>116</v>
      </c>
      <c r="F1417" s="705">
        <v>5</v>
      </c>
      <c r="G1417" s="705">
        <v>1468</v>
      </c>
      <c r="H1417" s="705">
        <v>930</v>
      </c>
      <c r="I1417" s="705"/>
      <c r="J1417" s="705">
        <v>0</v>
      </c>
      <c r="K1417" s="705"/>
      <c r="L1417" s="705"/>
      <c r="M1417" s="705">
        <v>0</v>
      </c>
      <c r="N1417" s="705">
        <v>27275</v>
      </c>
      <c r="O1417" s="705">
        <v>10102</v>
      </c>
      <c r="P1417" s="705">
        <v>2295</v>
      </c>
      <c r="Q1417" s="705">
        <v>850</v>
      </c>
      <c r="R1417" s="705"/>
      <c r="S1417" s="705">
        <v>0</v>
      </c>
      <c r="T1417" s="705">
        <v>0</v>
      </c>
      <c r="U1417" s="705">
        <v>0</v>
      </c>
      <c r="V1417" s="705">
        <v>10952</v>
      </c>
      <c r="W1417" s="705">
        <f t="shared" si="66"/>
        <v>10952</v>
      </c>
      <c r="X1417" s="705">
        <f t="shared" si="67"/>
        <v>29570</v>
      </c>
    </row>
    <row r="1418" spans="2:24">
      <c r="B1418" t="s">
        <v>543</v>
      </c>
      <c r="C1418" t="s">
        <v>116</v>
      </c>
      <c r="D1418" t="s">
        <v>664</v>
      </c>
      <c r="E1418" t="s">
        <v>664</v>
      </c>
      <c r="F1418" s="705">
        <v>1</v>
      </c>
      <c r="G1418" s="705">
        <v>193</v>
      </c>
      <c r="H1418" s="705">
        <v>189</v>
      </c>
      <c r="I1418" s="705">
        <v>19994</v>
      </c>
      <c r="J1418" s="705">
        <v>18176</v>
      </c>
      <c r="K1418" s="705">
        <v>83</v>
      </c>
      <c r="L1418" s="705">
        <v>5835</v>
      </c>
      <c r="M1418" s="705">
        <v>5305</v>
      </c>
      <c r="N1418" s="705">
        <v>3122</v>
      </c>
      <c r="O1418" s="705">
        <v>1156</v>
      </c>
      <c r="P1418" s="705">
        <v>473</v>
      </c>
      <c r="Q1418" s="705">
        <v>175</v>
      </c>
      <c r="R1418" s="705">
        <v>7042</v>
      </c>
      <c r="S1418" s="705">
        <v>6402</v>
      </c>
      <c r="T1418" s="705">
        <v>0</v>
      </c>
      <c r="U1418" s="705">
        <v>0</v>
      </c>
      <c r="V1418" s="705">
        <v>31214</v>
      </c>
      <c r="W1418" s="705">
        <f t="shared" si="66"/>
        <v>31214</v>
      </c>
      <c r="X1418" s="705">
        <f t="shared" si="67"/>
        <v>36466</v>
      </c>
    </row>
    <row r="1419" spans="2:24">
      <c r="B1419" t="s">
        <v>543</v>
      </c>
      <c r="C1419" t="s">
        <v>116</v>
      </c>
      <c r="D1419" t="s">
        <v>664</v>
      </c>
      <c r="E1419" t="s">
        <v>583</v>
      </c>
      <c r="F1419" s="705">
        <v>1</v>
      </c>
      <c r="G1419" s="705">
        <v>164</v>
      </c>
      <c r="H1419" s="705">
        <v>210</v>
      </c>
      <c r="I1419" s="705">
        <v>17642</v>
      </c>
      <c r="J1419" s="705">
        <v>16038</v>
      </c>
      <c r="K1419" s="705">
        <v>85</v>
      </c>
      <c r="L1419" s="705">
        <v>5273</v>
      </c>
      <c r="M1419" s="705">
        <v>4794</v>
      </c>
      <c r="N1419" s="705">
        <v>3155</v>
      </c>
      <c r="O1419" s="705">
        <v>1169</v>
      </c>
      <c r="P1419" s="705">
        <v>621</v>
      </c>
      <c r="Q1419" s="705">
        <v>230</v>
      </c>
      <c r="R1419" s="705">
        <v>4496</v>
      </c>
      <c r="S1419" s="705">
        <v>4088</v>
      </c>
      <c r="T1419" s="705">
        <v>3302</v>
      </c>
      <c r="U1419" s="705">
        <v>1223</v>
      </c>
      <c r="V1419" s="705">
        <v>27541</v>
      </c>
      <c r="W1419" s="705">
        <f t="shared" si="66"/>
        <v>27542</v>
      </c>
      <c r="X1419" s="705">
        <f t="shared" si="67"/>
        <v>34489</v>
      </c>
    </row>
    <row r="1420" spans="2:24">
      <c r="B1420" t="s">
        <v>543</v>
      </c>
      <c r="C1420" t="s">
        <v>116</v>
      </c>
      <c r="D1420" t="s">
        <v>582</v>
      </c>
      <c r="E1420" t="s">
        <v>582</v>
      </c>
      <c r="F1420" s="705">
        <v>45</v>
      </c>
      <c r="G1420" s="705">
        <v>9008</v>
      </c>
      <c r="H1420" s="705">
        <v>8425</v>
      </c>
      <c r="I1420" s="705">
        <v>1003390</v>
      </c>
      <c r="J1420" s="705">
        <v>912172</v>
      </c>
      <c r="K1420" s="705">
        <v>86</v>
      </c>
      <c r="L1420" s="705">
        <v>238875</v>
      </c>
      <c r="M1420" s="705">
        <v>216192</v>
      </c>
      <c r="N1420" s="705">
        <v>201902</v>
      </c>
      <c r="O1420" s="705">
        <v>74778</v>
      </c>
      <c r="P1420" s="705">
        <v>30267</v>
      </c>
      <c r="Q1420" s="705">
        <v>11210</v>
      </c>
      <c r="R1420" s="705">
        <v>253490</v>
      </c>
      <c r="S1420" s="705">
        <v>230446</v>
      </c>
      <c r="T1420" s="705">
        <v>35176</v>
      </c>
      <c r="U1420" s="705">
        <v>13028</v>
      </c>
      <c r="V1420" s="705">
        <v>1457826</v>
      </c>
      <c r="W1420" s="705">
        <f t="shared" si="66"/>
        <v>1457826</v>
      </c>
      <c r="X1420" s="705">
        <f t="shared" si="67"/>
        <v>1763100</v>
      </c>
    </row>
    <row r="1421" spans="2:24">
      <c r="B1421" t="s">
        <v>543</v>
      </c>
      <c r="C1421" t="s">
        <v>116</v>
      </c>
      <c r="D1421" t="s">
        <v>228</v>
      </c>
      <c r="E1421" t="s">
        <v>228</v>
      </c>
      <c r="F1421" s="705">
        <v>26</v>
      </c>
      <c r="G1421" s="705">
        <v>4213</v>
      </c>
      <c r="H1421" s="705">
        <v>4964</v>
      </c>
      <c r="I1421" s="705">
        <v>428980</v>
      </c>
      <c r="J1421" s="705">
        <v>158882</v>
      </c>
      <c r="K1421" s="705">
        <v>209</v>
      </c>
      <c r="L1421" s="705">
        <v>101127</v>
      </c>
      <c r="M1421" s="705">
        <v>86897</v>
      </c>
      <c r="N1421" s="705">
        <v>84423</v>
      </c>
      <c r="O1421" s="705">
        <v>31268</v>
      </c>
      <c r="P1421" s="705">
        <v>9431</v>
      </c>
      <c r="Q1421" s="705">
        <v>3493</v>
      </c>
      <c r="R1421" s="705">
        <v>226040</v>
      </c>
      <c r="S1421" s="705">
        <v>83719</v>
      </c>
      <c r="T1421" s="705">
        <v>3101</v>
      </c>
      <c r="U1421" s="705">
        <v>1148</v>
      </c>
      <c r="V1421" s="705">
        <v>365406</v>
      </c>
      <c r="W1421" s="705">
        <f t="shared" si="66"/>
        <v>365407</v>
      </c>
      <c r="X1421" s="705">
        <f t="shared" si="67"/>
        <v>853102</v>
      </c>
    </row>
    <row r="1422" spans="2:24">
      <c r="B1422" t="s">
        <v>543</v>
      </c>
      <c r="C1422" t="s">
        <v>116</v>
      </c>
      <c r="D1422" t="s">
        <v>583</v>
      </c>
      <c r="E1422" t="s">
        <v>582</v>
      </c>
      <c r="F1422" s="705">
        <v>1</v>
      </c>
      <c r="G1422" s="705">
        <v>210</v>
      </c>
      <c r="H1422" s="705">
        <v>177</v>
      </c>
      <c r="I1422" s="705">
        <v>20193</v>
      </c>
      <c r="J1422" s="705">
        <v>18357</v>
      </c>
      <c r="K1422" s="705">
        <v>86</v>
      </c>
      <c r="L1422" s="705">
        <v>3044</v>
      </c>
      <c r="M1422" s="705">
        <v>2767</v>
      </c>
      <c r="N1422" s="705">
        <v>5124</v>
      </c>
      <c r="O1422" s="705">
        <v>1898</v>
      </c>
      <c r="P1422" s="705">
        <v>621</v>
      </c>
      <c r="Q1422" s="705">
        <v>230</v>
      </c>
      <c r="R1422" s="705">
        <v>4687</v>
      </c>
      <c r="S1422" s="705">
        <v>4261</v>
      </c>
      <c r="T1422" s="705">
        <v>3526</v>
      </c>
      <c r="U1422" s="705">
        <v>1306</v>
      </c>
      <c r="V1422" s="705">
        <v>28819</v>
      </c>
      <c r="W1422" s="705">
        <f t="shared" si="66"/>
        <v>28819</v>
      </c>
      <c r="X1422" s="705">
        <f t="shared" si="67"/>
        <v>37195</v>
      </c>
    </row>
    <row r="1423" spans="2:24">
      <c r="B1423" t="s">
        <v>543</v>
      </c>
      <c r="C1423" t="s">
        <v>116</v>
      </c>
      <c r="D1423" t="s">
        <v>583</v>
      </c>
      <c r="E1423" t="s">
        <v>228</v>
      </c>
      <c r="F1423" s="705">
        <v>1</v>
      </c>
      <c r="G1423" s="705">
        <v>198</v>
      </c>
      <c r="H1423" s="705">
        <v>208</v>
      </c>
      <c r="I1423" s="705">
        <v>28102</v>
      </c>
      <c r="J1423" s="705">
        <v>25547</v>
      </c>
      <c r="K1423" s="705">
        <v>79</v>
      </c>
      <c r="L1423" s="705">
        <v>0</v>
      </c>
      <c r="M1423" s="705">
        <v>0</v>
      </c>
      <c r="N1423" s="705">
        <v>4658</v>
      </c>
      <c r="O1423" s="705">
        <v>1725</v>
      </c>
      <c r="P1423" s="705">
        <v>621</v>
      </c>
      <c r="Q1423" s="705">
        <v>230</v>
      </c>
      <c r="R1423" s="705">
        <v>7882</v>
      </c>
      <c r="S1423" s="705">
        <v>2919</v>
      </c>
      <c r="T1423" s="705">
        <v>0</v>
      </c>
      <c r="U1423" s="705">
        <v>0</v>
      </c>
      <c r="V1423" s="705">
        <v>30422</v>
      </c>
      <c r="W1423" s="705">
        <f t="shared" si="66"/>
        <v>30421</v>
      </c>
      <c r="X1423" s="705">
        <f t="shared" si="67"/>
        <v>41263</v>
      </c>
    </row>
    <row r="1424" spans="2:24">
      <c r="B1424" t="s">
        <v>543</v>
      </c>
      <c r="C1424" t="s">
        <v>116</v>
      </c>
      <c r="D1424" t="s">
        <v>583</v>
      </c>
      <c r="E1424" t="s">
        <v>583</v>
      </c>
      <c r="F1424" s="705">
        <v>1638</v>
      </c>
      <c r="G1424" s="705">
        <v>275179</v>
      </c>
      <c r="H1424" s="705">
        <v>313425</v>
      </c>
      <c r="I1424" s="705">
        <v>31253090</v>
      </c>
      <c r="J1424" s="705">
        <v>28411900</v>
      </c>
      <c r="K1424" s="705">
        <v>85</v>
      </c>
      <c r="L1424" s="705">
        <v>6442353</v>
      </c>
      <c r="M1424" s="705">
        <v>5745688</v>
      </c>
      <c r="N1424" s="705">
        <v>5809375</v>
      </c>
      <c r="O1424" s="705">
        <v>2151620</v>
      </c>
      <c r="P1424" s="705">
        <v>1071596</v>
      </c>
      <c r="Q1424" s="705">
        <v>396888</v>
      </c>
      <c r="R1424" s="705">
        <v>9001801</v>
      </c>
      <c r="S1424" s="705">
        <v>8183455</v>
      </c>
      <c r="T1424" s="705">
        <v>1954011</v>
      </c>
      <c r="U1424" s="705">
        <v>723708</v>
      </c>
      <c r="V1424" s="705">
        <v>45613259</v>
      </c>
      <c r="W1424" s="705">
        <f t="shared" si="66"/>
        <v>45613259</v>
      </c>
      <c r="X1424" s="705">
        <f t="shared" si="67"/>
        <v>55532226</v>
      </c>
    </row>
    <row r="1425" spans="2:24">
      <c r="B1425" t="s">
        <v>543</v>
      </c>
      <c r="C1425" t="s">
        <v>116</v>
      </c>
      <c r="D1425" t="s">
        <v>583</v>
      </c>
      <c r="E1425" t="s">
        <v>666</v>
      </c>
      <c r="F1425" s="705">
        <v>2</v>
      </c>
      <c r="G1425" s="705">
        <v>364</v>
      </c>
      <c r="H1425" s="705">
        <v>345</v>
      </c>
      <c r="I1425" s="705">
        <v>37728</v>
      </c>
      <c r="J1425" s="705">
        <v>34298</v>
      </c>
      <c r="K1425" s="705">
        <v>80</v>
      </c>
      <c r="L1425" s="705">
        <v>5244</v>
      </c>
      <c r="M1425" s="705">
        <v>4767</v>
      </c>
      <c r="N1425" s="705">
        <v>6777</v>
      </c>
      <c r="O1425" s="705">
        <v>2510</v>
      </c>
      <c r="P1425" s="705">
        <v>1242</v>
      </c>
      <c r="Q1425" s="705">
        <v>460</v>
      </c>
      <c r="R1425" s="705">
        <v>12612</v>
      </c>
      <c r="S1425" s="705">
        <v>11466</v>
      </c>
      <c r="T1425" s="705">
        <v>0</v>
      </c>
      <c r="U1425" s="705">
        <v>0</v>
      </c>
      <c r="V1425" s="705">
        <v>53501</v>
      </c>
      <c r="W1425" s="705">
        <f t="shared" si="66"/>
        <v>53501</v>
      </c>
      <c r="X1425" s="705">
        <f t="shared" si="67"/>
        <v>63603</v>
      </c>
    </row>
    <row r="1426" spans="2:24">
      <c r="B1426" t="s">
        <v>543</v>
      </c>
      <c r="C1426" t="s">
        <v>116</v>
      </c>
      <c r="D1426" t="s">
        <v>583</v>
      </c>
      <c r="E1426" t="s">
        <v>584</v>
      </c>
      <c r="F1426" s="705">
        <v>2</v>
      </c>
      <c r="G1426" s="705">
        <v>377</v>
      </c>
      <c r="H1426" s="705">
        <v>363</v>
      </c>
      <c r="I1426" s="705">
        <v>39072</v>
      </c>
      <c r="J1426" s="705">
        <v>35520</v>
      </c>
      <c r="K1426" s="705">
        <v>85</v>
      </c>
      <c r="L1426" s="705">
        <v>5570</v>
      </c>
      <c r="M1426" s="705">
        <v>5063</v>
      </c>
      <c r="N1426" s="705">
        <v>7989</v>
      </c>
      <c r="O1426" s="705">
        <v>2959</v>
      </c>
      <c r="P1426" s="705">
        <v>1242</v>
      </c>
      <c r="Q1426" s="705">
        <v>460</v>
      </c>
      <c r="R1426" s="705">
        <v>10075</v>
      </c>
      <c r="S1426" s="705">
        <v>9159</v>
      </c>
      <c r="T1426" s="705">
        <v>0</v>
      </c>
      <c r="U1426" s="705">
        <v>0</v>
      </c>
      <c r="V1426" s="705">
        <v>53161</v>
      </c>
      <c r="W1426" s="705">
        <f t="shared" si="66"/>
        <v>53161</v>
      </c>
      <c r="X1426" s="705">
        <f t="shared" si="67"/>
        <v>63948</v>
      </c>
    </row>
    <row r="1427" spans="2:24">
      <c r="B1427" t="s">
        <v>543</v>
      </c>
      <c r="C1427" t="s">
        <v>116</v>
      </c>
      <c r="D1427" t="s">
        <v>583</v>
      </c>
      <c r="E1427" t="s">
        <v>665</v>
      </c>
      <c r="F1427" s="705">
        <v>2</v>
      </c>
      <c r="G1427" s="705">
        <v>313</v>
      </c>
      <c r="H1427" s="705">
        <v>376</v>
      </c>
      <c r="I1427" s="705">
        <v>34960</v>
      </c>
      <c r="J1427" s="705">
        <v>31781</v>
      </c>
      <c r="K1427" s="705">
        <v>79</v>
      </c>
      <c r="L1427" s="705">
        <v>4903</v>
      </c>
      <c r="M1427" s="705">
        <v>4457</v>
      </c>
      <c r="N1427" s="705">
        <v>6502</v>
      </c>
      <c r="O1427" s="705">
        <v>2408</v>
      </c>
      <c r="P1427" s="705">
        <v>1242</v>
      </c>
      <c r="Q1427" s="705">
        <v>460</v>
      </c>
      <c r="R1427" s="705">
        <v>11034</v>
      </c>
      <c r="S1427" s="705">
        <v>10031</v>
      </c>
      <c r="T1427" s="705">
        <v>3838</v>
      </c>
      <c r="U1427" s="705">
        <v>1421</v>
      </c>
      <c r="V1427" s="705">
        <v>50560</v>
      </c>
      <c r="W1427" s="705">
        <f t="shared" si="66"/>
        <v>50558</v>
      </c>
      <c r="X1427" s="705">
        <f t="shared" si="67"/>
        <v>62479</v>
      </c>
    </row>
    <row r="1428" spans="2:24">
      <c r="B1428" t="s">
        <v>543</v>
      </c>
      <c r="C1428" t="s">
        <v>116</v>
      </c>
      <c r="D1428" t="s">
        <v>666</v>
      </c>
      <c r="E1428" t="s">
        <v>666</v>
      </c>
      <c r="F1428" s="705">
        <v>1</v>
      </c>
      <c r="G1428" s="705">
        <v>191</v>
      </c>
      <c r="H1428" s="705">
        <v>223</v>
      </c>
      <c r="I1428" s="705">
        <v>25953</v>
      </c>
      <c r="J1428" s="705">
        <v>23594</v>
      </c>
      <c r="K1428" s="705">
        <v>65</v>
      </c>
      <c r="L1428" s="705">
        <v>2373</v>
      </c>
      <c r="M1428" s="705">
        <v>2157</v>
      </c>
      <c r="N1428" s="705">
        <v>3906</v>
      </c>
      <c r="O1428" s="705">
        <v>1447</v>
      </c>
      <c r="P1428" s="705">
        <v>351</v>
      </c>
      <c r="Q1428" s="705">
        <v>130</v>
      </c>
      <c r="R1428" s="705">
        <v>9947</v>
      </c>
      <c r="S1428" s="705">
        <v>9043</v>
      </c>
      <c r="T1428" s="705">
        <v>0</v>
      </c>
      <c r="U1428" s="705">
        <v>0</v>
      </c>
      <c r="V1428" s="705">
        <v>36370</v>
      </c>
      <c r="W1428" s="705">
        <f t="shared" si="66"/>
        <v>36371</v>
      </c>
      <c r="X1428" s="705">
        <f t="shared" si="67"/>
        <v>42530</v>
      </c>
    </row>
    <row r="1429" spans="2:24">
      <c r="B1429" t="s">
        <v>543</v>
      </c>
      <c r="C1429" t="s">
        <v>116</v>
      </c>
      <c r="D1429" t="s">
        <v>584</v>
      </c>
      <c r="E1429" t="s">
        <v>584</v>
      </c>
      <c r="F1429" s="705">
        <v>350</v>
      </c>
      <c r="G1429" s="705">
        <v>56308</v>
      </c>
      <c r="H1429" s="705">
        <v>64541</v>
      </c>
      <c r="I1429" s="705">
        <v>5677479</v>
      </c>
      <c r="J1429" s="705">
        <v>5161344</v>
      </c>
      <c r="K1429" s="705">
        <v>81</v>
      </c>
      <c r="L1429" s="705">
        <v>1364789</v>
      </c>
      <c r="M1429" s="705">
        <v>1195240</v>
      </c>
      <c r="N1429" s="705">
        <v>1175292</v>
      </c>
      <c r="O1429" s="705">
        <v>435293</v>
      </c>
      <c r="P1429" s="705">
        <v>170235</v>
      </c>
      <c r="Q1429" s="705">
        <v>63050</v>
      </c>
      <c r="R1429" s="705">
        <v>2025219</v>
      </c>
      <c r="S1429" s="705">
        <v>1841108</v>
      </c>
      <c r="T1429" s="705">
        <v>291494</v>
      </c>
      <c r="U1429" s="705">
        <v>107961</v>
      </c>
      <c r="V1429" s="705">
        <v>8803997</v>
      </c>
      <c r="W1429" s="705">
        <f t="shared" si="66"/>
        <v>8803996</v>
      </c>
      <c r="X1429" s="705">
        <f t="shared" si="67"/>
        <v>10704508</v>
      </c>
    </row>
    <row r="1430" spans="2:24">
      <c r="B1430" t="s">
        <v>543</v>
      </c>
      <c r="C1430" t="s">
        <v>116</v>
      </c>
      <c r="D1430" t="s">
        <v>665</v>
      </c>
      <c r="E1430" t="s">
        <v>665</v>
      </c>
      <c r="F1430" s="705">
        <v>11</v>
      </c>
      <c r="G1430" s="705">
        <v>1602</v>
      </c>
      <c r="H1430" s="705">
        <v>2242</v>
      </c>
      <c r="I1430" s="705">
        <v>233525</v>
      </c>
      <c r="J1430" s="705">
        <v>212296</v>
      </c>
      <c r="K1430" s="705">
        <v>70</v>
      </c>
      <c r="L1430" s="705">
        <v>28889</v>
      </c>
      <c r="M1430" s="705">
        <v>26263</v>
      </c>
      <c r="N1430" s="705">
        <v>35227</v>
      </c>
      <c r="O1430" s="705">
        <v>13047</v>
      </c>
      <c r="P1430" s="705">
        <v>4131</v>
      </c>
      <c r="Q1430" s="705">
        <v>1530</v>
      </c>
      <c r="R1430" s="705">
        <v>59251</v>
      </c>
      <c r="S1430" s="705">
        <v>53865</v>
      </c>
      <c r="T1430" s="705">
        <v>20371</v>
      </c>
      <c r="U1430" s="705">
        <v>7545</v>
      </c>
      <c r="V1430" s="705">
        <v>314545</v>
      </c>
      <c r="W1430" s="705">
        <f t="shared" si="66"/>
        <v>314546</v>
      </c>
      <c r="X1430" s="705">
        <f t="shared" si="67"/>
        <v>381394</v>
      </c>
    </row>
    <row r="1431" spans="2:24">
      <c r="B1431" t="s">
        <v>543</v>
      </c>
      <c r="C1431" t="s">
        <v>116</v>
      </c>
      <c r="D1431" t="s">
        <v>673</v>
      </c>
      <c r="E1431" t="s">
        <v>673</v>
      </c>
      <c r="F1431" s="705">
        <v>3</v>
      </c>
      <c r="G1431" s="705">
        <v>636</v>
      </c>
      <c r="H1431" s="705">
        <v>526</v>
      </c>
      <c r="I1431" s="705">
        <v>77157</v>
      </c>
      <c r="J1431" s="705">
        <v>70143</v>
      </c>
      <c r="K1431" s="705">
        <v>70</v>
      </c>
      <c r="L1431" s="705">
        <v>9058</v>
      </c>
      <c r="M1431" s="705">
        <v>8235</v>
      </c>
      <c r="N1431" s="705">
        <v>14057</v>
      </c>
      <c r="O1431" s="705">
        <v>5206</v>
      </c>
      <c r="P1431" s="705">
        <v>1674</v>
      </c>
      <c r="Q1431" s="705">
        <v>620</v>
      </c>
      <c r="R1431" s="705">
        <v>11225</v>
      </c>
      <c r="S1431" s="705">
        <v>10205</v>
      </c>
      <c r="T1431" s="705">
        <v>3219</v>
      </c>
      <c r="U1431" s="705">
        <v>1192</v>
      </c>
      <c r="V1431" s="705">
        <v>95601</v>
      </c>
      <c r="W1431" s="705">
        <f t="shared" si="66"/>
        <v>95601</v>
      </c>
      <c r="X1431" s="705">
        <f t="shared" si="67"/>
        <v>116390</v>
      </c>
    </row>
    <row r="1432" spans="2:24">
      <c r="B1432" t="s">
        <v>543</v>
      </c>
      <c r="C1432" t="s">
        <v>116</v>
      </c>
      <c r="D1432" t="s">
        <v>585</v>
      </c>
      <c r="E1432" t="s">
        <v>585</v>
      </c>
      <c r="F1432" s="705">
        <v>8</v>
      </c>
      <c r="G1432" s="705">
        <v>1566</v>
      </c>
      <c r="H1432" s="705">
        <v>1485</v>
      </c>
      <c r="I1432" s="705">
        <v>194502</v>
      </c>
      <c r="J1432" s="705">
        <v>176820</v>
      </c>
      <c r="K1432" s="705">
        <v>69</v>
      </c>
      <c r="L1432" s="705">
        <v>29673</v>
      </c>
      <c r="M1432" s="705">
        <v>26975</v>
      </c>
      <c r="N1432" s="705">
        <v>30974</v>
      </c>
      <c r="O1432" s="705">
        <v>11472</v>
      </c>
      <c r="P1432" s="705">
        <v>4685</v>
      </c>
      <c r="Q1432" s="705">
        <v>1735</v>
      </c>
      <c r="R1432" s="705">
        <v>51124</v>
      </c>
      <c r="S1432" s="705">
        <v>46476</v>
      </c>
      <c r="T1432" s="705">
        <v>1738</v>
      </c>
      <c r="U1432" s="705">
        <v>644</v>
      </c>
      <c r="V1432" s="705">
        <v>264122</v>
      </c>
      <c r="W1432" s="705">
        <f t="shared" si="66"/>
        <v>264122</v>
      </c>
      <c r="X1432" s="705">
        <f t="shared" si="67"/>
        <v>312696</v>
      </c>
    </row>
    <row r="1433" spans="2:24">
      <c r="B1433" t="s">
        <v>543</v>
      </c>
      <c r="C1433" t="s">
        <v>116</v>
      </c>
      <c r="D1433" t="s">
        <v>585</v>
      </c>
      <c r="E1433" t="s">
        <v>668</v>
      </c>
      <c r="F1433" s="705">
        <v>1</v>
      </c>
      <c r="G1433" s="705">
        <v>270</v>
      </c>
      <c r="H1433" s="705">
        <v>199</v>
      </c>
      <c r="I1433" s="705">
        <v>33085</v>
      </c>
      <c r="J1433" s="705">
        <v>30078</v>
      </c>
      <c r="K1433" s="705">
        <v>90</v>
      </c>
      <c r="L1433" s="705">
        <v>5514</v>
      </c>
      <c r="M1433" s="705">
        <v>5013</v>
      </c>
      <c r="N1433" s="705">
        <v>5994</v>
      </c>
      <c r="O1433" s="705">
        <v>2220</v>
      </c>
      <c r="P1433" s="705">
        <v>351</v>
      </c>
      <c r="Q1433" s="705">
        <v>130</v>
      </c>
      <c r="R1433" s="705">
        <v>4749</v>
      </c>
      <c r="S1433" s="705">
        <v>4318</v>
      </c>
      <c r="T1433" s="705">
        <v>4081</v>
      </c>
      <c r="U1433" s="705">
        <v>1511</v>
      </c>
      <c r="V1433" s="705">
        <v>43270</v>
      </c>
      <c r="W1433" s="705">
        <f t="shared" si="66"/>
        <v>43270</v>
      </c>
      <c r="X1433" s="705">
        <f t="shared" si="67"/>
        <v>53774</v>
      </c>
    </row>
    <row r="1434" spans="2:24">
      <c r="B1434" t="s">
        <v>543</v>
      </c>
      <c r="C1434" t="s">
        <v>118</v>
      </c>
      <c r="F1434" s="705">
        <v>6</v>
      </c>
      <c r="G1434" s="705">
        <v>1737</v>
      </c>
      <c r="H1434" s="705">
        <v>1497</v>
      </c>
      <c r="I1434" s="705"/>
      <c r="J1434" s="705">
        <v>0</v>
      </c>
      <c r="K1434" s="705"/>
      <c r="L1434" s="705"/>
      <c r="M1434" s="705">
        <v>0</v>
      </c>
      <c r="N1434" s="705">
        <v>26762</v>
      </c>
      <c r="O1434" s="705">
        <v>9912</v>
      </c>
      <c r="P1434" s="705">
        <v>3348</v>
      </c>
      <c r="Q1434" s="705">
        <v>1240</v>
      </c>
      <c r="R1434" s="705"/>
      <c r="S1434" s="705">
        <v>0</v>
      </c>
      <c r="T1434" s="705">
        <v>2899</v>
      </c>
      <c r="U1434" s="705">
        <v>1074</v>
      </c>
      <c r="V1434" s="705">
        <v>12226</v>
      </c>
      <c r="W1434" s="705">
        <f t="shared" si="66"/>
        <v>12226</v>
      </c>
      <c r="X1434" s="705">
        <f t="shared" si="67"/>
        <v>33009</v>
      </c>
    </row>
    <row r="1435" spans="2:24">
      <c r="B1435" t="s">
        <v>543</v>
      </c>
      <c r="C1435" t="s">
        <v>118</v>
      </c>
      <c r="D1435" t="s">
        <v>664</v>
      </c>
      <c r="E1435" t="s">
        <v>664</v>
      </c>
      <c r="F1435" s="705">
        <v>1</v>
      </c>
      <c r="G1435" s="705">
        <v>139</v>
      </c>
      <c r="H1435" s="705">
        <v>269</v>
      </c>
      <c r="I1435" s="705">
        <v>21358</v>
      </c>
      <c r="J1435" s="705">
        <v>19417</v>
      </c>
      <c r="K1435" s="705">
        <v>79</v>
      </c>
      <c r="L1435" s="705">
        <v>5933</v>
      </c>
      <c r="M1435" s="705">
        <v>5394</v>
      </c>
      <c r="N1435" s="705">
        <v>3377</v>
      </c>
      <c r="O1435" s="705">
        <v>1251</v>
      </c>
      <c r="P1435" s="705">
        <v>473</v>
      </c>
      <c r="Q1435" s="705">
        <v>175</v>
      </c>
      <c r="R1435" s="705">
        <v>6099</v>
      </c>
      <c r="S1435" s="705">
        <v>5545</v>
      </c>
      <c r="T1435" s="705">
        <v>0</v>
      </c>
      <c r="U1435" s="705">
        <v>0</v>
      </c>
      <c r="V1435" s="705">
        <v>31781</v>
      </c>
      <c r="W1435" s="705">
        <f t="shared" si="66"/>
        <v>31782</v>
      </c>
      <c r="X1435" s="705">
        <f t="shared" si="67"/>
        <v>37240</v>
      </c>
    </row>
    <row r="1436" spans="2:24">
      <c r="B1436" t="s">
        <v>543</v>
      </c>
      <c r="C1436" t="s">
        <v>118</v>
      </c>
      <c r="D1436" t="s">
        <v>664</v>
      </c>
      <c r="E1436" t="s">
        <v>583</v>
      </c>
      <c r="F1436" s="705">
        <v>2</v>
      </c>
      <c r="G1436" s="705">
        <v>253</v>
      </c>
      <c r="H1436" s="705">
        <v>536</v>
      </c>
      <c r="I1436" s="705">
        <v>40046</v>
      </c>
      <c r="J1436" s="705">
        <v>36406</v>
      </c>
      <c r="K1436" s="705">
        <v>82</v>
      </c>
      <c r="L1436" s="705">
        <v>8502</v>
      </c>
      <c r="M1436" s="705">
        <v>7729</v>
      </c>
      <c r="N1436" s="705">
        <v>3811</v>
      </c>
      <c r="O1436" s="705">
        <v>1412</v>
      </c>
      <c r="P1436" s="705">
        <v>1242</v>
      </c>
      <c r="Q1436" s="705">
        <v>460</v>
      </c>
      <c r="R1436" s="705">
        <v>8408</v>
      </c>
      <c r="S1436" s="705">
        <v>7643</v>
      </c>
      <c r="T1436" s="705">
        <v>5773</v>
      </c>
      <c r="U1436" s="705">
        <v>2138</v>
      </c>
      <c r="V1436" s="705">
        <v>55788</v>
      </c>
      <c r="W1436" s="705">
        <f t="shared" si="66"/>
        <v>55788</v>
      </c>
      <c r="X1436" s="705">
        <f t="shared" si="67"/>
        <v>67782</v>
      </c>
    </row>
    <row r="1437" spans="2:24">
      <c r="B1437" t="s">
        <v>543</v>
      </c>
      <c r="C1437" t="s">
        <v>118</v>
      </c>
      <c r="D1437" t="s">
        <v>582</v>
      </c>
      <c r="E1437" t="s">
        <v>582</v>
      </c>
      <c r="F1437" s="705">
        <v>24</v>
      </c>
      <c r="G1437" s="705">
        <v>3844</v>
      </c>
      <c r="H1437" s="705">
        <v>6143</v>
      </c>
      <c r="I1437" s="705">
        <v>604611</v>
      </c>
      <c r="J1437" s="705">
        <v>549647</v>
      </c>
      <c r="K1437" s="705">
        <v>80</v>
      </c>
      <c r="L1437" s="705">
        <v>137914</v>
      </c>
      <c r="M1437" s="705">
        <v>125018</v>
      </c>
      <c r="N1437" s="705">
        <v>81661</v>
      </c>
      <c r="O1437" s="705">
        <v>30245</v>
      </c>
      <c r="P1437" s="705">
        <v>13946</v>
      </c>
      <c r="Q1437" s="705">
        <v>5165</v>
      </c>
      <c r="R1437" s="705">
        <v>137662</v>
      </c>
      <c r="S1437" s="705">
        <v>125147</v>
      </c>
      <c r="T1437" s="705">
        <v>20491</v>
      </c>
      <c r="U1437" s="705">
        <v>7589</v>
      </c>
      <c r="V1437" s="705">
        <v>842810</v>
      </c>
      <c r="W1437" s="705">
        <f t="shared" si="66"/>
        <v>842811</v>
      </c>
      <c r="X1437" s="705">
        <f t="shared" si="67"/>
        <v>996285</v>
      </c>
    </row>
    <row r="1438" spans="2:24">
      <c r="B1438" t="s">
        <v>543</v>
      </c>
      <c r="C1438" t="s">
        <v>118</v>
      </c>
      <c r="D1438" t="s">
        <v>582</v>
      </c>
      <c r="E1438" t="s">
        <v>669</v>
      </c>
      <c r="F1438" s="705">
        <v>1</v>
      </c>
      <c r="G1438" s="705">
        <v>142</v>
      </c>
      <c r="H1438" s="705">
        <v>259</v>
      </c>
      <c r="I1438" s="705">
        <v>19597</v>
      </c>
      <c r="J1438" s="705">
        <v>17815</v>
      </c>
      <c r="K1438" s="705">
        <v>78</v>
      </c>
      <c r="L1438" s="705">
        <v>5378</v>
      </c>
      <c r="M1438" s="705">
        <v>4889</v>
      </c>
      <c r="N1438" s="705">
        <v>3203</v>
      </c>
      <c r="O1438" s="705">
        <v>1186</v>
      </c>
      <c r="P1438" s="705">
        <v>473</v>
      </c>
      <c r="Q1438" s="705">
        <v>175</v>
      </c>
      <c r="R1438" s="705">
        <v>5057</v>
      </c>
      <c r="S1438" s="705">
        <v>4214</v>
      </c>
      <c r="T1438" s="705">
        <v>3066</v>
      </c>
      <c r="U1438" s="705">
        <v>1135</v>
      </c>
      <c r="V1438" s="705">
        <v>29415</v>
      </c>
      <c r="W1438" s="705">
        <f t="shared" si="66"/>
        <v>29414</v>
      </c>
      <c r="X1438" s="705">
        <f t="shared" si="67"/>
        <v>36774</v>
      </c>
    </row>
    <row r="1439" spans="2:24">
      <c r="B1439" t="s">
        <v>543</v>
      </c>
      <c r="C1439" t="s">
        <v>118</v>
      </c>
      <c r="D1439" t="s">
        <v>228</v>
      </c>
      <c r="E1439" t="s">
        <v>228</v>
      </c>
      <c r="F1439" s="705">
        <v>31</v>
      </c>
      <c r="G1439" s="705">
        <v>5060</v>
      </c>
      <c r="H1439" s="705">
        <v>8198</v>
      </c>
      <c r="I1439" s="705">
        <v>894480</v>
      </c>
      <c r="J1439" s="705">
        <v>331289</v>
      </c>
      <c r="K1439" s="705">
        <v>111</v>
      </c>
      <c r="L1439" s="705">
        <v>129250</v>
      </c>
      <c r="M1439" s="705">
        <v>109345</v>
      </c>
      <c r="N1439" s="705">
        <v>114278</v>
      </c>
      <c r="O1439" s="705">
        <v>42325</v>
      </c>
      <c r="P1439" s="705">
        <v>2727</v>
      </c>
      <c r="Q1439" s="705">
        <v>1010</v>
      </c>
      <c r="R1439" s="705">
        <v>275198</v>
      </c>
      <c r="S1439" s="705">
        <v>101925</v>
      </c>
      <c r="T1439" s="705">
        <v>0</v>
      </c>
      <c r="U1439" s="705">
        <v>0</v>
      </c>
      <c r="V1439" s="705">
        <v>585894</v>
      </c>
      <c r="W1439" s="705">
        <f t="shared" si="66"/>
        <v>585894</v>
      </c>
      <c r="X1439" s="705">
        <f t="shared" si="67"/>
        <v>1415933</v>
      </c>
    </row>
    <row r="1440" spans="2:24">
      <c r="B1440" t="s">
        <v>543</v>
      </c>
      <c r="C1440" t="s">
        <v>118</v>
      </c>
      <c r="D1440" t="s">
        <v>583</v>
      </c>
      <c r="E1440" t="s">
        <v>228</v>
      </c>
      <c r="F1440" s="705">
        <v>1</v>
      </c>
      <c r="G1440" s="705">
        <v>122</v>
      </c>
      <c r="H1440" s="705">
        <v>268</v>
      </c>
      <c r="I1440" s="705">
        <v>14582</v>
      </c>
      <c r="J1440" s="705">
        <v>13256</v>
      </c>
      <c r="K1440" s="705">
        <v>85</v>
      </c>
      <c r="L1440" s="705">
        <v>4369</v>
      </c>
      <c r="M1440" s="705">
        <v>3972</v>
      </c>
      <c r="N1440" s="705">
        <v>2973</v>
      </c>
      <c r="O1440" s="705">
        <v>1101</v>
      </c>
      <c r="P1440" s="705">
        <v>621</v>
      </c>
      <c r="Q1440" s="705">
        <v>230</v>
      </c>
      <c r="R1440" s="705">
        <v>10099</v>
      </c>
      <c r="S1440" s="705">
        <v>3740</v>
      </c>
      <c r="T1440" s="705">
        <v>0</v>
      </c>
      <c r="U1440" s="705">
        <v>0</v>
      </c>
      <c r="V1440" s="705">
        <v>22300</v>
      </c>
      <c r="W1440" s="705">
        <f t="shared" si="66"/>
        <v>22299</v>
      </c>
      <c r="X1440" s="705">
        <f t="shared" si="67"/>
        <v>32644</v>
      </c>
    </row>
    <row r="1441" spans="2:24">
      <c r="B1441" t="s">
        <v>543</v>
      </c>
      <c r="C1441" t="s">
        <v>118</v>
      </c>
      <c r="D1441" t="s">
        <v>583</v>
      </c>
      <c r="E1441" t="s">
        <v>583</v>
      </c>
      <c r="F1441" s="705">
        <v>1202</v>
      </c>
      <c r="G1441" s="705">
        <v>158302</v>
      </c>
      <c r="H1441" s="705">
        <v>314088</v>
      </c>
      <c r="I1441" s="705">
        <v>25106008</v>
      </c>
      <c r="J1441" s="705">
        <v>22823643</v>
      </c>
      <c r="K1441" s="705">
        <v>79</v>
      </c>
      <c r="L1441" s="705">
        <v>5004788</v>
      </c>
      <c r="M1441" s="705">
        <v>4426543</v>
      </c>
      <c r="N1441" s="705">
        <v>3297904</v>
      </c>
      <c r="O1441" s="705">
        <v>1221446</v>
      </c>
      <c r="P1441" s="705">
        <v>776005</v>
      </c>
      <c r="Q1441" s="705">
        <v>287409</v>
      </c>
      <c r="R1441" s="705">
        <v>6450696</v>
      </c>
      <c r="S1441" s="705">
        <v>5864269</v>
      </c>
      <c r="T1441" s="705">
        <v>1994035</v>
      </c>
      <c r="U1441" s="705">
        <v>738532</v>
      </c>
      <c r="V1441" s="705">
        <v>35361842</v>
      </c>
      <c r="W1441" s="705">
        <f t="shared" si="66"/>
        <v>35361842</v>
      </c>
      <c r="X1441" s="705">
        <f t="shared" si="67"/>
        <v>42629436</v>
      </c>
    </row>
    <row r="1442" spans="2:24">
      <c r="B1442" t="s">
        <v>543</v>
      </c>
      <c r="C1442" t="s">
        <v>118</v>
      </c>
      <c r="D1442" t="s">
        <v>583</v>
      </c>
      <c r="E1442" t="s">
        <v>666</v>
      </c>
      <c r="F1442" s="705">
        <v>2</v>
      </c>
      <c r="G1442" s="705">
        <v>159</v>
      </c>
      <c r="H1442" s="705">
        <v>520</v>
      </c>
      <c r="I1442" s="705">
        <v>21258</v>
      </c>
      <c r="J1442" s="705">
        <v>19325</v>
      </c>
      <c r="K1442" s="705">
        <v>78</v>
      </c>
      <c r="L1442" s="705">
        <v>2759</v>
      </c>
      <c r="M1442" s="705">
        <v>2508</v>
      </c>
      <c r="N1442" s="705">
        <v>3070</v>
      </c>
      <c r="O1442" s="705">
        <v>1137</v>
      </c>
      <c r="P1442" s="705">
        <v>1242</v>
      </c>
      <c r="Q1442" s="705">
        <v>460</v>
      </c>
      <c r="R1442" s="705">
        <v>12548</v>
      </c>
      <c r="S1442" s="705">
        <v>11407</v>
      </c>
      <c r="T1442" s="705">
        <v>0</v>
      </c>
      <c r="U1442" s="705">
        <v>0</v>
      </c>
      <c r="V1442" s="705">
        <v>34838</v>
      </c>
      <c r="W1442" s="705">
        <f t="shared" si="66"/>
        <v>34837</v>
      </c>
      <c r="X1442" s="705">
        <f t="shared" si="67"/>
        <v>40877</v>
      </c>
    </row>
    <row r="1443" spans="2:24">
      <c r="B1443" t="s">
        <v>543</v>
      </c>
      <c r="C1443" t="s">
        <v>118</v>
      </c>
      <c r="D1443" t="s">
        <v>583</v>
      </c>
      <c r="E1443" t="s">
        <v>584</v>
      </c>
      <c r="F1443" s="705">
        <v>1</v>
      </c>
      <c r="G1443" s="705">
        <v>85</v>
      </c>
      <c r="H1443" s="705">
        <v>253</v>
      </c>
      <c r="I1443" s="705">
        <v>20083</v>
      </c>
      <c r="J1443" s="705">
        <v>18257</v>
      </c>
      <c r="K1443" s="705">
        <v>86</v>
      </c>
      <c r="L1443" s="705">
        <v>6055</v>
      </c>
      <c r="M1443" s="705">
        <v>5504</v>
      </c>
      <c r="N1443" s="705">
        <v>3345</v>
      </c>
      <c r="O1443" s="705">
        <v>1239</v>
      </c>
      <c r="P1443" s="705">
        <v>621</v>
      </c>
      <c r="Q1443" s="705">
        <v>230</v>
      </c>
      <c r="R1443" s="705">
        <v>4553</v>
      </c>
      <c r="S1443" s="705">
        <v>4139</v>
      </c>
      <c r="T1443" s="705">
        <v>3938</v>
      </c>
      <c r="U1443" s="705">
        <v>1458</v>
      </c>
      <c r="V1443" s="705">
        <v>30827</v>
      </c>
      <c r="W1443" s="705">
        <f t="shared" si="66"/>
        <v>30827</v>
      </c>
      <c r="X1443" s="705">
        <f t="shared" si="67"/>
        <v>38595</v>
      </c>
    </row>
    <row r="1444" spans="2:24">
      <c r="B1444" t="s">
        <v>543</v>
      </c>
      <c r="C1444" t="s">
        <v>118</v>
      </c>
      <c r="D1444" t="s">
        <v>583</v>
      </c>
      <c r="E1444" t="s">
        <v>665</v>
      </c>
      <c r="F1444" s="705">
        <v>4</v>
      </c>
      <c r="G1444" s="705">
        <v>638</v>
      </c>
      <c r="H1444" s="705">
        <v>1094</v>
      </c>
      <c r="I1444" s="705">
        <v>102304</v>
      </c>
      <c r="J1444" s="705">
        <v>93004</v>
      </c>
      <c r="K1444" s="705">
        <v>76</v>
      </c>
      <c r="L1444" s="705">
        <v>20214</v>
      </c>
      <c r="M1444" s="705">
        <v>18376</v>
      </c>
      <c r="N1444" s="705">
        <v>13991</v>
      </c>
      <c r="O1444" s="705">
        <v>5182</v>
      </c>
      <c r="P1444" s="705">
        <v>2484</v>
      </c>
      <c r="Q1444" s="705">
        <v>920</v>
      </c>
      <c r="R1444" s="705">
        <v>23193</v>
      </c>
      <c r="S1444" s="705">
        <v>21084</v>
      </c>
      <c r="T1444" s="705">
        <v>12449</v>
      </c>
      <c r="U1444" s="705">
        <v>4611</v>
      </c>
      <c r="V1444" s="705">
        <v>143177</v>
      </c>
      <c r="W1444" s="705">
        <f t="shared" si="66"/>
        <v>143177</v>
      </c>
      <c r="X1444" s="705">
        <f t="shared" si="67"/>
        <v>174635</v>
      </c>
    </row>
    <row r="1445" spans="2:24">
      <c r="B1445" t="s">
        <v>543</v>
      </c>
      <c r="C1445" t="s">
        <v>118</v>
      </c>
      <c r="D1445" t="s">
        <v>583</v>
      </c>
      <c r="E1445" t="s">
        <v>673</v>
      </c>
      <c r="F1445" s="705">
        <v>1</v>
      </c>
      <c r="G1445" s="705">
        <v>515</v>
      </c>
      <c r="H1445" s="705">
        <v>240</v>
      </c>
      <c r="I1445" s="705">
        <v>89703</v>
      </c>
      <c r="J1445" s="705">
        <v>81548</v>
      </c>
      <c r="K1445" s="705">
        <v>65</v>
      </c>
      <c r="L1445" s="705">
        <v>10266</v>
      </c>
      <c r="M1445" s="705">
        <v>9333</v>
      </c>
      <c r="N1445" s="705">
        <v>11798</v>
      </c>
      <c r="O1445" s="705">
        <v>4370</v>
      </c>
      <c r="P1445" s="705">
        <v>621</v>
      </c>
      <c r="Q1445" s="705">
        <v>230</v>
      </c>
      <c r="R1445" s="705">
        <v>7015</v>
      </c>
      <c r="S1445" s="705">
        <v>6377</v>
      </c>
      <c r="T1445" s="705">
        <v>4431</v>
      </c>
      <c r="U1445" s="705">
        <v>1641</v>
      </c>
      <c r="V1445" s="705">
        <v>103498</v>
      </c>
      <c r="W1445" s="705">
        <f t="shared" si="66"/>
        <v>103499</v>
      </c>
      <c r="X1445" s="705">
        <f t="shared" si="67"/>
        <v>123834</v>
      </c>
    </row>
    <row r="1446" spans="2:24">
      <c r="B1446" t="s">
        <v>543</v>
      </c>
      <c r="C1446" t="s">
        <v>118</v>
      </c>
      <c r="D1446" t="s">
        <v>666</v>
      </c>
      <c r="E1446" t="s">
        <v>666</v>
      </c>
      <c r="F1446" s="705">
        <v>3</v>
      </c>
      <c r="G1446" s="705">
        <v>286</v>
      </c>
      <c r="H1446" s="705">
        <v>864</v>
      </c>
      <c r="I1446" s="705">
        <v>49749</v>
      </c>
      <c r="J1446" s="705">
        <v>45226</v>
      </c>
      <c r="K1446" s="705">
        <v>70</v>
      </c>
      <c r="L1446" s="705">
        <v>10338</v>
      </c>
      <c r="M1446" s="705">
        <v>9398</v>
      </c>
      <c r="N1446" s="705">
        <v>4331</v>
      </c>
      <c r="O1446" s="705">
        <v>1604</v>
      </c>
      <c r="P1446" s="705">
        <v>1053</v>
      </c>
      <c r="Q1446" s="705">
        <v>390</v>
      </c>
      <c r="R1446" s="705">
        <v>13240</v>
      </c>
      <c r="S1446" s="705">
        <v>12036</v>
      </c>
      <c r="T1446" s="705">
        <v>4541</v>
      </c>
      <c r="U1446" s="705">
        <v>1682</v>
      </c>
      <c r="V1446" s="705">
        <v>70337</v>
      </c>
      <c r="W1446" s="705">
        <f t="shared" si="66"/>
        <v>70336</v>
      </c>
      <c r="X1446" s="705">
        <f t="shared" si="67"/>
        <v>83252</v>
      </c>
    </row>
    <row r="1447" spans="2:24">
      <c r="B1447" t="s">
        <v>543</v>
      </c>
      <c r="C1447" t="s">
        <v>118</v>
      </c>
      <c r="D1447" t="s">
        <v>584</v>
      </c>
      <c r="E1447" t="s">
        <v>584</v>
      </c>
      <c r="F1447" s="705">
        <v>130</v>
      </c>
      <c r="G1447" s="705">
        <v>16425</v>
      </c>
      <c r="H1447" s="705">
        <v>33966</v>
      </c>
      <c r="I1447" s="705">
        <v>2486658</v>
      </c>
      <c r="J1447" s="705">
        <v>2260598</v>
      </c>
      <c r="K1447" s="705">
        <v>77</v>
      </c>
      <c r="L1447" s="705">
        <v>577683</v>
      </c>
      <c r="M1447" s="705">
        <v>513708</v>
      </c>
      <c r="N1447" s="705">
        <v>339918</v>
      </c>
      <c r="O1447" s="705">
        <v>125895</v>
      </c>
      <c r="P1447" s="705">
        <v>63774</v>
      </c>
      <c r="Q1447" s="705">
        <v>23620</v>
      </c>
      <c r="R1447" s="705">
        <v>725921</v>
      </c>
      <c r="S1447" s="705">
        <v>659928</v>
      </c>
      <c r="T1447" s="705">
        <v>185895</v>
      </c>
      <c r="U1447" s="705">
        <v>68850</v>
      </c>
      <c r="V1447" s="705">
        <v>3652600</v>
      </c>
      <c r="W1447" s="705">
        <f t="shared" si="66"/>
        <v>3652599</v>
      </c>
      <c r="X1447" s="705">
        <f t="shared" si="67"/>
        <v>4379849</v>
      </c>
    </row>
    <row r="1448" spans="2:24">
      <c r="B1448" t="s">
        <v>543</v>
      </c>
      <c r="C1448" t="s">
        <v>118</v>
      </c>
      <c r="D1448" t="s">
        <v>669</v>
      </c>
      <c r="E1448" t="s">
        <v>669</v>
      </c>
      <c r="F1448" s="705">
        <v>1</v>
      </c>
      <c r="G1448" s="705">
        <v>115</v>
      </c>
      <c r="H1448" s="705">
        <v>299</v>
      </c>
      <c r="I1448" s="705">
        <v>20196</v>
      </c>
      <c r="J1448" s="705">
        <v>16830</v>
      </c>
      <c r="K1448" s="705">
        <v>71</v>
      </c>
      <c r="L1448" s="705">
        <v>4896</v>
      </c>
      <c r="M1448" s="705">
        <v>4451</v>
      </c>
      <c r="N1448" s="705">
        <v>1997</v>
      </c>
      <c r="O1448" s="705">
        <v>740</v>
      </c>
      <c r="P1448" s="705">
        <v>351</v>
      </c>
      <c r="Q1448" s="705">
        <v>130</v>
      </c>
      <c r="R1448" s="705">
        <v>4572</v>
      </c>
      <c r="S1448" s="705">
        <v>3810</v>
      </c>
      <c r="T1448" s="705">
        <v>2531</v>
      </c>
      <c r="U1448" s="705">
        <v>937</v>
      </c>
      <c r="V1448" s="705">
        <v>26898</v>
      </c>
      <c r="W1448" s="705">
        <f t="shared" si="66"/>
        <v>26898</v>
      </c>
      <c r="X1448" s="705">
        <f t="shared" si="67"/>
        <v>34543</v>
      </c>
    </row>
    <row r="1449" spans="2:24">
      <c r="B1449" t="s">
        <v>543</v>
      </c>
      <c r="C1449" t="s">
        <v>118</v>
      </c>
      <c r="D1449" t="s">
        <v>671</v>
      </c>
      <c r="E1449" t="s">
        <v>671</v>
      </c>
      <c r="F1449" s="705">
        <v>1</v>
      </c>
      <c r="G1449" s="705">
        <v>150</v>
      </c>
      <c r="H1449" s="705">
        <v>290</v>
      </c>
      <c r="I1449" s="705">
        <v>28167</v>
      </c>
      <c r="J1449" s="705">
        <v>25606</v>
      </c>
      <c r="K1449" s="705">
        <v>65</v>
      </c>
      <c r="L1449" s="705">
        <v>3390</v>
      </c>
      <c r="M1449" s="705">
        <v>3082</v>
      </c>
      <c r="N1449" s="705">
        <v>3225</v>
      </c>
      <c r="O1449" s="705">
        <v>1194</v>
      </c>
      <c r="P1449" s="705">
        <v>351</v>
      </c>
      <c r="Q1449" s="705">
        <v>130</v>
      </c>
      <c r="R1449" s="705">
        <v>5220</v>
      </c>
      <c r="S1449" s="705">
        <v>4745</v>
      </c>
      <c r="T1449" s="705">
        <v>3015</v>
      </c>
      <c r="U1449" s="705">
        <v>1117</v>
      </c>
      <c r="V1449" s="705">
        <v>35875</v>
      </c>
      <c r="W1449" s="705">
        <f t="shared" si="66"/>
        <v>35874</v>
      </c>
      <c r="X1449" s="705">
        <f t="shared" si="67"/>
        <v>43368</v>
      </c>
    </row>
    <row r="1450" spans="2:24">
      <c r="B1450" t="s">
        <v>543</v>
      </c>
      <c r="C1450" t="s">
        <v>118</v>
      </c>
      <c r="D1450" t="s">
        <v>665</v>
      </c>
      <c r="E1450" t="s">
        <v>228</v>
      </c>
      <c r="F1450" s="705">
        <v>1</v>
      </c>
      <c r="G1450" s="705">
        <v>61</v>
      </c>
      <c r="H1450" s="705">
        <v>299</v>
      </c>
      <c r="I1450" s="705">
        <v>9761</v>
      </c>
      <c r="J1450" s="705">
        <v>8873</v>
      </c>
      <c r="K1450" s="705">
        <v>60</v>
      </c>
      <c r="L1450" s="705">
        <v>3594</v>
      </c>
      <c r="M1450" s="705">
        <v>1331</v>
      </c>
      <c r="N1450" s="705">
        <v>1251</v>
      </c>
      <c r="O1450" s="705">
        <v>463</v>
      </c>
      <c r="P1450" s="705">
        <v>0</v>
      </c>
      <c r="Q1450" s="705">
        <v>0</v>
      </c>
      <c r="R1450" s="705">
        <v>3775</v>
      </c>
      <c r="S1450" s="705">
        <v>1398</v>
      </c>
      <c r="T1450" s="705">
        <v>0</v>
      </c>
      <c r="U1450" s="705">
        <v>0</v>
      </c>
      <c r="V1450" s="705">
        <v>12066</v>
      </c>
      <c r="W1450" s="705">
        <f t="shared" si="66"/>
        <v>12065</v>
      </c>
      <c r="X1450" s="705">
        <f t="shared" si="67"/>
        <v>18381</v>
      </c>
    </row>
    <row r="1451" spans="2:24">
      <c r="B1451" t="s">
        <v>543</v>
      </c>
      <c r="C1451" t="s">
        <v>118</v>
      </c>
      <c r="D1451" t="s">
        <v>665</v>
      </c>
      <c r="E1451" t="s">
        <v>583</v>
      </c>
      <c r="F1451" s="705">
        <v>1</v>
      </c>
      <c r="G1451" s="705">
        <v>197</v>
      </c>
      <c r="H1451" s="705">
        <v>264</v>
      </c>
      <c r="I1451" s="705">
        <v>30454</v>
      </c>
      <c r="J1451" s="705">
        <v>27685</v>
      </c>
      <c r="K1451" s="705">
        <v>65</v>
      </c>
      <c r="L1451" s="705">
        <v>3384</v>
      </c>
      <c r="M1451" s="705">
        <v>3076</v>
      </c>
      <c r="N1451" s="705">
        <v>3245</v>
      </c>
      <c r="O1451" s="705">
        <v>1202</v>
      </c>
      <c r="P1451" s="705">
        <v>702</v>
      </c>
      <c r="Q1451" s="705">
        <v>260</v>
      </c>
      <c r="R1451" s="705">
        <v>8669</v>
      </c>
      <c r="S1451" s="705">
        <v>7881</v>
      </c>
      <c r="T1451" s="705">
        <v>5725</v>
      </c>
      <c r="U1451" s="705">
        <v>2121</v>
      </c>
      <c r="V1451" s="705">
        <v>42225</v>
      </c>
      <c r="W1451" s="705">
        <f t="shared" si="66"/>
        <v>42225</v>
      </c>
      <c r="X1451" s="705">
        <f t="shared" si="67"/>
        <v>52179</v>
      </c>
    </row>
    <row r="1452" spans="2:24">
      <c r="B1452" t="s">
        <v>543</v>
      </c>
      <c r="C1452" t="s">
        <v>118</v>
      </c>
      <c r="D1452" t="s">
        <v>665</v>
      </c>
      <c r="E1452" t="s">
        <v>665</v>
      </c>
      <c r="F1452" s="705">
        <v>33</v>
      </c>
      <c r="G1452" s="705">
        <v>3574</v>
      </c>
      <c r="H1452" s="705">
        <v>8856</v>
      </c>
      <c r="I1452" s="705">
        <v>581765</v>
      </c>
      <c r="J1452" s="705">
        <v>528877</v>
      </c>
      <c r="K1452" s="705">
        <v>66</v>
      </c>
      <c r="L1452" s="705">
        <v>71490</v>
      </c>
      <c r="M1452" s="705">
        <v>62962</v>
      </c>
      <c r="N1452" s="705">
        <v>69396</v>
      </c>
      <c r="O1452" s="705">
        <v>25702</v>
      </c>
      <c r="P1452" s="705">
        <v>12933</v>
      </c>
      <c r="Q1452" s="705">
        <v>4790</v>
      </c>
      <c r="R1452" s="705">
        <v>169477</v>
      </c>
      <c r="S1452" s="705">
        <v>154070</v>
      </c>
      <c r="T1452" s="705">
        <v>68568</v>
      </c>
      <c r="U1452" s="705">
        <v>25396</v>
      </c>
      <c r="V1452" s="705">
        <v>801797</v>
      </c>
      <c r="W1452" s="705">
        <f t="shared" si="66"/>
        <v>801797</v>
      </c>
      <c r="X1452" s="705">
        <f t="shared" si="67"/>
        <v>973629</v>
      </c>
    </row>
    <row r="1453" spans="2:24">
      <c r="B1453" t="s">
        <v>543</v>
      </c>
      <c r="C1453" t="s">
        <v>118</v>
      </c>
      <c r="D1453" t="s">
        <v>722</v>
      </c>
      <c r="E1453" t="s">
        <v>722</v>
      </c>
      <c r="F1453" s="705">
        <v>1</v>
      </c>
      <c r="G1453" s="705">
        <v>304</v>
      </c>
      <c r="H1453" s="705">
        <v>236</v>
      </c>
      <c r="I1453" s="705">
        <v>65920</v>
      </c>
      <c r="J1453" s="705">
        <v>59928</v>
      </c>
      <c r="K1453" s="705">
        <v>83</v>
      </c>
      <c r="L1453" s="705">
        <v>10096</v>
      </c>
      <c r="M1453" s="705">
        <v>9178</v>
      </c>
      <c r="N1453" s="705">
        <v>6191</v>
      </c>
      <c r="O1453" s="705">
        <v>2293</v>
      </c>
      <c r="P1453" s="705">
        <v>351</v>
      </c>
      <c r="Q1453" s="705">
        <v>130</v>
      </c>
      <c r="R1453" s="705">
        <v>7575</v>
      </c>
      <c r="S1453" s="705">
        <v>6886</v>
      </c>
      <c r="T1453" s="705">
        <v>0</v>
      </c>
      <c r="U1453" s="705">
        <v>0</v>
      </c>
      <c r="V1453" s="705">
        <v>78415</v>
      </c>
      <c r="W1453" s="705">
        <f t="shared" si="66"/>
        <v>78415</v>
      </c>
      <c r="X1453" s="705">
        <f t="shared" si="67"/>
        <v>90133</v>
      </c>
    </row>
    <row r="1454" spans="2:24">
      <c r="B1454" t="s">
        <v>543</v>
      </c>
      <c r="C1454" t="s">
        <v>118</v>
      </c>
      <c r="D1454" t="s">
        <v>673</v>
      </c>
      <c r="E1454" t="s">
        <v>673</v>
      </c>
      <c r="F1454" s="705">
        <v>4</v>
      </c>
      <c r="G1454" s="705">
        <v>573</v>
      </c>
      <c r="H1454" s="705">
        <v>1040</v>
      </c>
      <c r="I1454" s="705">
        <v>87965</v>
      </c>
      <c r="J1454" s="705">
        <v>79968</v>
      </c>
      <c r="K1454" s="705">
        <v>59</v>
      </c>
      <c r="L1454" s="705">
        <v>9229</v>
      </c>
      <c r="M1454" s="705">
        <v>8390</v>
      </c>
      <c r="N1454" s="705">
        <v>11087</v>
      </c>
      <c r="O1454" s="705">
        <v>4106</v>
      </c>
      <c r="P1454" s="705">
        <v>1755</v>
      </c>
      <c r="Q1454" s="705">
        <v>650</v>
      </c>
      <c r="R1454" s="705">
        <v>29911</v>
      </c>
      <c r="S1454" s="705">
        <v>27192</v>
      </c>
      <c r="T1454" s="705">
        <v>2320</v>
      </c>
      <c r="U1454" s="705">
        <v>859</v>
      </c>
      <c r="V1454" s="705">
        <v>121166</v>
      </c>
      <c r="W1454" s="705">
        <f t="shared" si="66"/>
        <v>121165</v>
      </c>
      <c r="X1454" s="705">
        <f t="shared" si="67"/>
        <v>142267</v>
      </c>
    </row>
    <row r="1455" spans="2:24">
      <c r="B1455" t="s">
        <v>543</v>
      </c>
      <c r="C1455" t="s">
        <v>118</v>
      </c>
      <c r="D1455" t="s">
        <v>585</v>
      </c>
      <c r="E1455" t="s">
        <v>585</v>
      </c>
      <c r="F1455" s="705">
        <v>9</v>
      </c>
      <c r="G1455" s="705">
        <v>1404</v>
      </c>
      <c r="H1455" s="705">
        <v>2420</v>
      </c>
      <c r="I1455" s="705">
        <v>243640</v>
      </c>
      <c r="J1455" s="705">
        <v>221491</v>
      </c>
      <c r="K1455" s="705">
        <v>68</v>
      </c>
      <c r="L1455" s="705">
        <v>40073</v>
      </c>
      <c r="M1455" s="705">
        <v>32015</v>
      </c>
      <c r="N1455" s="705">
        <v>32692</v>
      </c>
      <c r="O1455" s="705">
        <v>12108</v>
      </c>
      <c r="P1455" s="705">
        <v>3429</v>
      </c>
      <c r="Q1455" s="705">
        <v>1270</v>
      </c>
      <c r="R1455" s="705">
        <v>57575</v>
      </c>
      <c r="S1455" s="705">
        <v>52341</v>
      </c>
      <c r="T1455" s="705">
        <v>9985</v>
      </c>
      <c r="U1455" s="705">
        <v>3698</v>
      </c>
      <c r="V1455" s="705">
        <v>322923</v>
      </c>
      <c r="W1455" s="705">
        <f t="shared" si="66"/>
        <v>322923</v>
      </c>
      <c r="X1455" s="705">
        <f t="shared" si="67"/>
        <v>387394</v>
      </c>
    </row>
    <row r="1456" spans="2:24">
      <c r="B1456" t="s">
        <v>543</v>
      </c>
      <c r="C1456" t="s">
        <v>118</v>
      </c>
      <c r="D1456" t="s">
        <v>668</v>
      </c>
      <c r="E1456" t="s">
        <v>585</v>
      </c>
      <c r="F1456" s="705">
        <v>1</v>
      </c>
      <c r="G1456" s="705">
        <v>243</v>
      </c>
      <c r="H1456" s="705">
        <v>232</v>
      </c>
      <c r="I1456" s="705">
        <v>34321</v>
      </c>
      <c r="J1456" s="705">
        <v>31201</v>
      </c>
      <c r="K1456" s="705">
        <v>65</v>
      </c>
      <c r="L1456" s="705">
        <v>8262</v>
      </c>
      <c r="M1456" s="705">
        <v>7511</v>
      </c>
      <c r="N1456" s="705">
        <v>2961</v>
      </c>
      <c r="O1456" s="705">
        <v>1097</v>
      </c>
      <c r="P1456" s="705">
        <v>351</v>
      </c>
      <c r="Q1456" s="705">
        <v>130</v>
      </c>
      <c r="R1456" s="705">
        <v>6498</v>
      </c>
      <c r="S1456" s="705">
        <v>5907</v>
      </c>
      <c r="T1456" s="705">
        <v>4019</v>
      </c>
      <c r="U1456" s="705">
        <v>1488</v>
      </c>
      <c r="V1456" s="705">
        <v>47334</v>
      </c>
      <c r="W1456" s="705">
        <f t="shared" si="66"/>
        <v>47334</v>
      </c>
      <c r="X1456" s="705">
        <f t="shared" si="67"/>
        <v>56412</v>
      </c>
    </row>
    <row r="1457" spans="2:24">
      <c r="B1457" t="s">
        <v>543</v>
      </c>
      <c r="C1457" t="s">
        <v>120</v>
      </c>
      <c r="D1457" t="s">
        <v>674</v>
      </c>
      <c r="E1457" t="s">
        <v>674</v>
      </c>
      <c r="F1457" s="705">
        <v>1</v>
      </c>
      <c r="G1457" s="705">
        <v>75</v>
      </c>
      <c r="H1457" s="705">
        <v>359</v>
      </c>
      <c r="I1457" s="705">
        <v>16259</v>
      </c>
      <c r="J1457" s="705">
        <v>14781</v>
      </c>
      <c r="K1457" s="705">
        <v>55</v>
      </c>
      <c r="L1457" s="705">
        <v>0</v>
      </c>
      <c r="M1457" s="705">
        <v>0</v>
      </c>
      <c r="N1457" s="705">
        <v>1738</v>
      </c>
      <c r="O1457" s="705">
        <v>644</v>
      </c>
      <c r="P1457" s="705">
        <v>3510</v>
      </c>
      <c r="Q1457" s="705">
        <v>1300</v>
      </c>
      <c r="R1457" s="705">
        <v>3601</v>
      </c>
      <c r="S1457" s="705">
        <v>3274</v>
      </c>
      <c r="T1457" s="705">
        <v>1851</v>
      </c>
      <c r="U1457" s="705">
        <v>686</v>
      </c>
      <c r="V1457" s="705">
        <v>20684</v>
      </c>
      <c r="W1457" s="705">
        <f t="shared" si="66"/>
        <v>20685</v>
      </c>
      <c r="X1457" s="705">
        <f t="shared" si="67"/>
        <v>26959</v>
      </c>
    </row>
    <row r="1458" spans="2:24">
      <c r="B1458" t="s">
        <v>543</v>
      </c>
      <c r="C1458" t="s">
        <v>120</v>
      </c>
      <c r="D1458" t="s">
        <v>664</v>
      </c>
      <c r="E1458" t="s">
        <v>664</v>
      </c>
      <c r="F1458" s="705">
        <v>2</v>
      </c>
      <c r="G1458" s="705">
        <v>220</v>
      </c>
      <c r="H1458" s="705">
        <v>664</v>
      </c>
      <c r="I1458" s="705">
        <v>50222</v>
      </c>
      <c r="J1458" s="705">
        <v>45656</v>
      </c>
      <c r="K1458" s="705">
        <v>86</v>
      </c>
      <c r="L1458" s="705">
        <v>4377</v>
      </c>
      <c r="M1458" s="705">
        <v>3979</v>
      </c>
      <c r="N1458" s="705">
        <v>4530</v>
      </c>
      <c r="O1458" s="705">
        <v>1678</v>
      </c>
      <c r="P1458" s="705">
        <v>945</v>
      </c>
      <c r="Q1458" s="705">
        <v>350</v>
      </c>
      <c r="R1458" s="705">
        <v>6996</v>
      </c>
      <c r="S1458" s="705">
        <v>6360</v>
      </c>
      <c r="T1458" s="705">
        <v>3368</v>
      </c>
      <c r="U1458" s="705">
        <v>1247</v>
      </c>
      <c r="V1458" s="705">
        <v>59271</v>
      </c>
      <c r="W1458" s="705">
        <f t="shared" si="66"/>
        <v>59270</v>
      </c>
      <c r="X1458" s="705">
        <f t="shared" si="67"/>
        <v>70438</v>
      </c>
    </row>
    <row r="1459" spans="2:24">
      <c r="B1459" t="s">
        <v>543</v>
      </c>
      <c r="C1459" t="s">
        <v>120</v>
      </c>
      <c r="D1459" t="s">
        <v>582</v>
      </c>
      <c r="E1459" t="s">
        <v>582</v>
      </c>
      <c r="F1459" s="705">
        <v>8</v>
      </c>
      <c r="G1459" s="705">
        <v>830</v>
      </c>
      <c r="H1459" s="705">
        <v>2640</v>
      </c>
      <c r="I1459" s="705">
        <v>190793</v>
      </c>
      <c r="J1459" s="705">
        <v>173448</v>
      </c>
      <c r="K1459" s="705">
        <v>82</v>
      </c>
      <c r="L1459" s="705">
        <v>33627</v>
      </c>
      <c r="M1459" s="705">
        <v>27353</v>
      </c>
      <c r="N1459" s="705">
        <v>17860</v>
      </c>
      <c r="O1459" s="705">
        <v>6615</v>
      </c>
      <c r="P1459" s="705">
        <v>3780</v>
      </c>
      <c r="Q1459" s="705">
        <v>1400</v>
      </c>
      <c r="R1459" s="705">
        <v>29873</v>
      </c>
      <c r="S1459" s="705">
        <v>27158</v>
      </c>
      <c r="T1459" s="705">
        <v>7796</v>
      </c>
      <c r="U1459" s="705">
        <v>2887</v>
      </c>
      <c r="V1459" s="705">
        <v>238861</v>
      </c>
      <c r="W1459" s="705">
        <f t="shared" si="66"/>
        <v>238861</v>
      </c>
      <c r="X1459" s="705">
        <f t="shared" si="67"/>
        <v>283729</v>
      </c>
    </row>
    <row r="1460" spans="2:24">
      <c r="B1460" t="s">
        <v>543</v>
      </c>
      <c r="C1460" t="s">
        <v>120</v>
      </c>
      <c r="D1460" t="s">
        <v>228</v>
      </c>
      <c r="E1460" t="s">
        <v>228</v>
      </c>
      <c r="F1460" s="705">
        <v>15</v>
      </c>
      <c r="G1460" s="705">
        <v>1718</v>
      </c>
      <c r="H1460" s="705">
        <v>5100</v>
      </c>
      <c r="I1460" s="705">
        <v>374035</v>
      </c>
      <c r="J1460" s="705">
        <v>138531</v>
      </c>
      <c r="K1460" s="705">
        <v>100</v>
      </c>
      <c r="L1460" s="705">
        <v>49273</v>
      </c>
      <c r="M1460" s="705">
        <v>39070</v>
      </c>
      <c r="N1460" s="705">
        <v>35788</v>
      </c>
      <c r="O1460" s="705">
        <v>13255</v>
      </c>
      <c r="P1460" s="705">
        <v>351</v>
      </c>
      <c r="Q1460" s="705">
        <v>130</v>
      </c>
      <c r="R1460" s="705">
        <v>130715</v>
      </c>
      <c r="S1460" s="705">
        <v>48413</v>
      </c>
      <c r="T1460" s="705">
        <v>0</v>
      </c>
      <c r="U1460" s="705">
        <v>0</v>
      </c>
      <c r="V1460" s="705">
        <v>239399</v>
      </c>
      <c r="W1460" s="705">
        <f t="shared" si="66"/>
        <v>239399</v>
      </c>
      <c r="X1460" s="705">
        <f t="shared" si="67"/>
        <v>590162</v>
      </c>
    </row>
    <row r="1461" spans="2:24">
      <c r="B1461" t="s">
        <v>543</v>
      </c>
      <c r="C1461" t="s">
        <v>120</v>
      </c>
      <c r="D1461" t="s">
        <v>583</v>
      </c>
      <c r="E1461" t="s">
        <v>228</v>
      </c>
      <c r="F1461" s="705">
        <v>1</v>
      </c>
      <c r="G1461" s="705">
        <v>59</v>
      </c>
      <c r="H1461" s="705">
        <v>369</v>
      </c>
      <c r="I1461" s="705">
        <v>8294</v>
      </c>
      <c r="J1461" s="705">
        <v>7540</v>
      </c>
      <c r="K1461" s="705">
        <v>86</v>
      </c>
      <c r="L1461" s="705">
        <v>2494</v>
      </c>
      <c r="M1461" s="705">
        <v>2268</v>
      </c>
      <c r="N1461" s="705">
        <v>1445</v>
      </c>
      <c r="O1461" s="705">
        <v>535</v>
      </c>
      <c r="P1461" s="705">
        <v>621</v>
      </c>
      <c r="Q1461" s="705">
        <v>230</v>
      </c>
      <c r="R1461" s="705">
        <v>9043</v>
      </c>
      <c r="S1461" s="705">
        <v>3349</v>
      </c>
      <c r="T1461" s="705">
        <v>0</v>
      </c>
      <c r="U1461" s="705">
        <v>0</v>
      </c>
      <c r="V1461" s="705">
        <v>13923</v>
      </c>
      <c r="W1461" s="705">
        <f t="shared" si="66"/>
        <v>13922</v>
      </c>
      <c r="X1461" s="705">
        <f t="shared" si="67"/>
        <v>21897</v>
      </c>
    </row>
    <row r="1462" spans="2:24">
      <c r="B1462" t="s">
        <v>543</v>
      </c>
      <c r="C1462" t="s">
        <v>120</v>
      </c>
      <c r="D1462" t="s">
        <v>583</v>
      </c>
      <c r="E1462" t="s">
        <v>583</v>
      </c>
      <c r="F1462" s="705">
        <v>514</v>
      </c>
      <c r="G1462" s="705">
        <v>63400</v>
      </c>
      <c r="H1462" s="705">
        <v>172996</v>
      </c>
      <c r="I1462" s="705">
        <v>13633966</v>
      </c>
      <c r="J1462" s="705">
        <v>12394515</v>
      </c>
      <c r="K1462" s="705">
        <v>74</v>
      </c>
      <c r="L1462" s="705">
        <v>2548875</v>
      </c>
      <c r="M1462" s="705">
        <v>2275874</v>
      </c>
      <c r="N1462" s="705">
        <v>1325639</v>
      </c>
      <c r="O1462" s="705">
        <v>490978</v>
      </c>
      <c r="P1462" s="705">
        <v>335482</v>
      </c>
      <c r="Q1462" s="705">
        <v>124253</v>
      </c>
      <c r="R1462" s="705">
        <v>2877423</v>
      </c>
      <c r="S1462" s="705">
        <v>2615839</v>
      </c>
      <c r="T1462" s="705">
        <v>915056</v>
      </c>
      <c r="U1462" s="705">
        <v>338910</v>
      </c>
      <c r="V1462" s="705">
        <v>18240368</v>
      </c>
      <c r="W1462" s="705">
        <f t="shared" si="66"/>
        <v>18240369</v>
      </c>
      <c r="X1462" s="705">
        <f t="shared" si="67"/>
        <v>21636441</v>
      </c>
    </row>
    <row r="1463" spans="2:24">
      <c r="B1463" t="s">
        <v>543</v>
      </c>
      <c r="C1463" t="s">
        <v>120</v>
      </c>
      <c r="D1463" t="s">
        <v>583</v>
      </c>
      <c r="E1463" t="s">
        <v>666</v>
      </c>
      <c r="F1463" s="705">
        <v>1</v>
      </c>
      <c r="G1463" s="705">
        <v>132</v>
      </c>
      <c r="H1463" s="705">
        <v>378</v>
      </c>
      <c r="I1463" s="705">
        <v>42244</v>
      </c>
      <c r="J1463" s="705">
        <v>38404</v>
      </c>
      <c r="K1463" s="705">
        <v>55</v>
      </c>
      <c r="L1463" s="705">
        <v>7350</v>
      </c>
      <c r="M1463" s="705">
        <v>6682</v>
      </c>
      <c r="N1463" s="705">
        <v>3176</v>
      </c>
      <c r="O1463" s="705">
        <v>1176</v>
      </c>
      <c r="P1463" s="705">
        <v>621</v>
      </c>
      <c r="Q1463" s="705">
        <v>230</v>
      </c>
      <c r="R1463" s="705">
        <v>6396</v>
      </c>
      <c r="S1463" s="705">
        <v>5815</v>
      </c>
      <c r="T1463" s="705">
        <v>0</v>
      </c>
      <c r="U1463" s="705">
        <v>0</v>
      </c>
      <c r="V1463" s="705">
        <v>52307</v>
      </c>
      <c r="W1463" s="705">
        <f t="shared" si="66"/>
        <v>52307</v>
      </c>
      <c r="X1463" s="705">
        <f t="shared" si="67"/>
        <v>59787</v>
      </c>
    </row>
    <row r="1464" spans="2:24">
      <c r="B1464" t="s">
        <v>543</v>
      </c>
      <c r="C1464" t="s">
        <v>120</v>
      </c>
      <c r="D1464" t="s">
        <v>583</v>
      </c>
      <c r="E1464" t="s">
        <v>665</v>
      </c>
      <c r="F1464" s="705">
        <v>1</v>
      </c>
      <c r="G1464" s="705">
        <v>103</v>
      </c>
      <c r="H1464" s="705">
        <v>330</v>
      </c>
      <c r="I1464" s="705">
        <v>16880</v>
      </c>
      <c r="J1464" s="705">
        <v>15345</v>
      </c>
      <c r="K1464" s="705">
        <v>70</v>
      </c>
      <c r="L1464" s="705">
        <v>4862</v>
      </c>
      <c r="M1464" s="705">
        <v>1801</v>
      </c>
      <c r="N1464" s="705">
        <v>2420</v>
      </c>
      <c r="O1464" s="705">
        <v>896</v>
      </c>
      <c r="P1464" s="705">
        <v>621</v>
      </c>
      <c r="Q1464" s="705">
        <v>230</v>
      </c>
      <c r="R1464" s="705">
        <v>6662</v>
      </c>
      <c r="S1464" s="705">
        <v>6057</v>
      </c>
      <c r="T1464" s="705">
        <v>2739</v>
      </c>
      <c r="U1464" s="705">
        <v>1014</v>
      </c>
      <c r="V1464" s="705">
        <v>25343</v>
      </c>
      <c r="W1464" s="705">
        <f t="shared" si="66"/>
        <v>25343</v>
      </c>
      <c r="X1464" s="705">
        <f t="shared" si="67"/>
        <v>34184</v>
      </c>
    </row>
    <row r="1465" spans="2:24">
      <c r="B1465" t="s">
        <v>543</v>
      </c>
      <c r="C1465" t="s">
        <v>120</v>
      </c>
      <c r="D1465" t="s">
        <v>583</v>
      </c>
      <c r="E1465" t="s">
        <v>673</v>
      </c>
      <c r="F1465" s="705">
        <v>1</v>
      </c>
      <c r="G1465" s="705">
        <v>189</v>
      </c>
      <c r="H1465" s="705">
        <v>359</v>
      </c>
      <c r="I1465" s="705">
        <v>41594</v>
      </c>
      <c r="J1465" s="705">
        <v>37813</v>
      </c>
      <c r="K1465" s="705">
        <v>86</v>
      </c>
      <c r="L1465" s="705">
        <v>12540</v>
      </c>
      <c r="M1465" s="705">
        <v>11400</v>
      </c>
      <c r="N1465" s="705">
        <v>2648</v>
      </c>
      <c r="O1465" s="705">
        <v>981</v>
      </c>
      <c r="P1465" s="705">
        <v>621</v>
      </c>
      <c r="Q1465" s="705">
        <v>230</v>
      </c>
      <c r="R1465" s="705">
        <v>10544</v>
      </c>
      <c r="S1465" s="705">
        <v>9585</v>
      </c>
      <c r="T1465" s="705">
        <v>0</v>
      </c>
      <c r="U1465" s="705">
        <v>0</v>
      </c>
      <c r="V1465" s="705">
        <v>60009</v>
      </c>
      <c r="W1465" s="705">
        <f t="shared" si="66"/>
        <v>60009</v>
      </c>
      <c r="X1465" s="705">
        <f t="shared" si="67"/>
        <v>67947</v>
      </c>
    </row>
    <row r="1466" spans="2:24">
      <c r="B1466" t="s">
        <v>543</v>
      </c>
      <c r="C1466" t="s">
        <v>120</v>
      </c>
      <c r="D1466" t="s">
        <v>666</v>
      </c>
      <c r="E1466" t="s">
        <v>666</v>
      </c>
      <c r="F1466" s="705">
        <v>5</v>
      </c>
      <c r="G1466" s="705">
        <v>473</v>
      </c>
      <c r="H1466" s="705">
        <v>1785</v>
      </c>
      <c r="I1466" s="705">
        <v>120773</v>
      </c>
      <c r="J1466" s="705">
        <v>109794</v>
      </c>
      <c r="K1466" s="705">
        <v>57</v>
      </c>
      <c r="L1466" s="705">
        <v>13080</v>
      </c>
      <c r="M1466" s="705">
        <v>10590</v>
      </c>
      <c r="N1466" s="705">
        <v>9148</v>
      </c>
      <c r="O1466" s="705">
        <v>3388</v>
      </c>
      <c r="P1466" s="705">
        <v>2025</v>
      </c>
      <c r="Q1466" s="705">
        <v>750</v>
      </c>
      <c r="R1466" s="705">
        <v>37698</v>
      </c>
      <c r="S1466" s="705">
        <v>34271</v>
      </c>
      <c r="T1466" s="705">
        <v>2516</v>
      </c>
      <c r="U1466" s="705">
        <v>932</v>
      </c>
      <c r="V1466" s="705">
        <v>159725</v>
      </c>
      <c r="W1466" s="705">
        <f t="shared" si="66"/>
        <v>159725</v>
      </c>
      <c r="X1466" s="705">
        <f t="shared" si="67"/>
        <v>185240</v>
      </c>
    </row>
    <row r="1467" spans="2:24">
      <c r="B1467" t="s">
        <v>543</v>
      </c>
      <c r="C1467" t="s">
        <v>120</v>
      </c>
      <c r="D1467" t="s">
        <v>584</v>
      </c>
      <c r="E1467" t="s">
        <v>584</v>
      </c>
      <c r="F1467" s="705">
        <v>35</v>
      </c>
      <c r="G1467" s="705">
        <v>4479</v>
      </c>
      <c r="H1467" s="705">
        <v>11645</v>
      </c>
      <c r="I1467" s="705">
        <v>929333</v>
      </c>
      <c r="J1467" s="705">
        <v>844848</v>
      </c>
      <c r="K1467" s="705">
        <v>77</v>
      </c>
      <c r="L1467" s="705">
        <v>216034</v>
      </c>
      <c r="M1467" s="705">
        <v>188771</v>
      </c>
      <c r="N1467" s="705">
        <v>92442</v>
      </c>
      <c r="O1467" s="705">
        <v>34238</v>
      </c>
      <c r="P1467" s="705">
        <v>17510</v>
      </c>
      <c r="Q1467" s="705">
        <v>6485</v>
      </c>
      <c r="R1467" s="705">
        <v>195705</v>
      </c>
      <c r="S1467" s="705">
        <v>177914</v>
      </c>
      <c r="T1467" s="705">
        <v>45901</v>
      </c>
      <c r="U1467" s="705">
        <v>17001</v>
      </c>
      <c r="V1467" s="705">
        <v>1269257</v>
      </c>
      <c r="W1467" s="705">
        <f t="shared" si="66"/>
        <v>1269257</v>
      </c>
      <c r="X1467" s="705">
        <f t="shared" si="67"/>
        <v>1496925</v>
      </c>
    </row>
    <row r="1468" spans="2:24">
      <c r="B1468" t="s">
        <v>543</v>
      </c>
      <c r="C1468" t="s">
        <v>120</v>
      </c>
      <c r="D1468" t="s">
        <v>669</v>
      </c>
      <c r="E1468" t="s">
        <v>669</v>
      </c>
      <c r="F1468" s="705">
        <v>5</v>
      </c>
      <c r="G1468" s="705">
        <v>458</v>
      </c>
      <c r="H1468" s="705">
        <v>1719</v>
      </c>
      <c r="I1468" s="705">
        <v>98773</v>
      </c>
      <c r="J1468" s="705">
        <v>82311</v>
      </c>
      <c r="K1468" s="705">
        <v>72</v>
      </c>
      <c r="L1468" s="705">
        <v>14974</v>
      </c>
      <c r="M1468" s="705">
        <v>13406</v>
      </c>
      <c r="N1468" s="705">
        <v>8841</v>
      </c>
      <c r="O1468" s="705">
        <v>3274</v>
      </c>
      <c r="P1468" s="705">
        <v>1755</v>
      </c>
      <c r="Q1468" s="705">
        <v>650</v>
      </c>
      <c r="R1468" s="705">
        <v>22241</v>
      </c>
      <c r="S1468" s="705">
        <v>18534</v>
      </c>
      <c r="T1468" s="705">
        <v>12326</v>
      </c>
      <c r="U1468" s="705">
        <v>4565</v>
      </c>
      <c r="V1468" s="705">
        <v>122741</v>
      </c>
      <c r="W1468" s="705">
        <f t="shared" si="66"/>
        <v>122740</v>
      </c>
      <c r="X1468" s="705">
        <f t="shared" si="67"/>
        <v>158910</v>
      </c>
    </row>
    <row r="1469" spans="2:24">
      <c r="B1469" t="s">
        <v>543</v>
      </c>
      <c r="C1469" t="s">
        <v>120</v>
      </c>
      <c r="D1469" t="s">
        <v>671</v>
      </c>
      <c r="E1469" t="s">
        <v>671</v>
      </c>
      <c r="F1469" s="705">
        <v>1</v>
      </c>
      <c r="G1469" s="705">
        <v>162</v>
      </c>
      <c r="H1469" s="705">
        <v>332</v>
      </c>
      <c r="I1469" s="705">
        <v>39132</v>
      </c>
      <c r="J1469" s="705">
        <v>35575</v>
      </c>
      <c r="K1469" s="705">
        <v>45</v>
      </c>
      <c r="L1469" s="705">
        <v>6522</v>
      </c>
      <c r="M1469" s="705">
        <v>5929</v>
      </c>
      <c r="N1469" s="705">
        <v>4153</v>
      </c>
      <c r="O1469" s="705">
        <v>1538</v>
      </c>
      <c r="P1469" s="705">
        <v>351</v>
      </c>
      <c r="Q1469" s="705">
        <v>130</v>
      </c>
      <c r="R1469" s="705">
        <v>10721</v>
      </c>
      <c r="S1469" s="705">
        <v>9746</v>
      </c>
      <c r="T1469" s="705">
        <v>0</v>
      </c>
      <c r="U1469" s="705">
        <v>0</v>
      </c>
      <c r="V1469" s="705">
        <v>52918</v>
      </c>
      <c r="W1469" s="705">
        <f t="shared" si="66"/>
        <v>52918</v>
      </c>
      <c r="X1469" s="705">
        <f t="shared" si="67"/>
        <v>60879</v>
      </c>
    </row>
    <row r="1470" spans="2:24">
      <c r="B1470" t="s">
        <v>543</v>
      </c>
      <c r="C1470" t="s">
        <v>120</v>
      </c>
      <c r="D1470" t="s">
        <v>665</v>
      </c>
      <c r="E1470" t="s">
        <v>228</v>
      </c>
      <c r="F1470" s="705">
        <v>1</v>
      </c>
      <c r="G1470" s="705">
        <v>132</v>
      </c>
      <c r="H1470" s="705">
        <v>357</v>
      </c>
      <c r="I1470" s="705">
        <v>33707</v>
      </c>
      <c r="J1470" s="705">
        <v>30643</v>
      </c>
      <c r="K1470" s="705">
        <v>60</v>
      </c>
      <c r="L1470" s="705">
        <v>5516</v>
      </c>
      <c r="M1470" s="705">
        <v>2043</v>
      </c>
      <c r="N1470" s="705">
        <v>1604</v>
      </c>
      <c r="O1470" s="705">
        <v>594</v>
      </c>
      <c r="P1470" s="705">
        <v>0</v>
      </c>
      <c r="Q1470" s="705">
        <v>0</v>
      </c>
      <c r="R1470" s="705">
        <v>6097</v>
      </c>
      <c r="S1470" s="705">
        <v>2258</v>
      </c>
      <c r="T1470" s="705">
        <v>0</v>
      </c>
      <c r="U1470" s="705">
        <v>0</v>
      </c>
      <c r="V1470" s="705">
        <v>35537</v>
      </c>
      <c r="W1470" s="705">
        <f t="shared" si="66"/>
        <v>35538</v>
      </c>
      <c r="X1470" s="705">
        <f t="shared" si="67"/>
        <v>46924</v>
      </c>
    </row>
    <row r="1471" spans="2:24">
      <c r="B1471" t="s">
        <v>543</v>
      </c>
      <c r="C1471" t="s">
        <v>120</v>
      </c>
      <c r="D1471" t="s">
        <v>665</v>
      </c>
      <c r="E1471" t="s">
        <v>665</v>
      </c>
      <c r="F1471" s="705">
        <v>43</v>
      </c>
      <c r="G1471" s="705">
        <v>3873</v>
      </c>
      <c r="H1471" s="705">
        <v>14680</v>
      </c>
      <c r="I1471" s="705">
        <v>842006</v>
      </c>
      <c r="J1471" s="705">
        <v>765460</v>
      </c>
      <c r="K1471" s="705">
        <v>62</v>
      </c>
      <c r="L1471" s="705">
        <v>113714</v>
      </c>
      <c r="M1471" s="705">
        <v>102265</v>
      </c>
      <c r="N1471" s="705">
        <v>78550</v>
      </c>
      <c r="O1471" s="705">
        <v>29092</v>
      </c>
      <c r="P1471" s="705">
        <v>17064</v>
      </c>
      <c r="Q1471" s="705">
        <v>6320</v>
      </c>
      <c r="R1471" s="705">
        <v>213495</v>
      </c>
      <c r="S1471" s="705">
        <v>194086</v>
      </c>
      <c r="T1471" s="705">
        <v>93428</v>
      </c>
      <c r="U1471" s="705">
        <v>34603</v>
      </c>
      <c r="V1471" s="705">
        <v>1131827</v>
      </c>
      <c r="W1471" s="705">
        <f t="shared" si="66"/>
        <v>1131826</v>
      </c>
      <c r="X1471" s="705">
        <f t="shared" si="67"/>
        <v>1358257</v>
      </c>
    </row>
    <row r="1472" spans="2:24">
      <c r="B1472" t="s">
        <v>543</v>
      </c>
      <c r="C1472" t="s">
        <v>120</v>
      </c>
      <c r="D1472" t="s">
        <v>673</v>
      </c>
      <c r="E1472" t="s">
        <v>673</v>
      </c>
      <c r="F1472" s="705">
        <v>6</v>
      </c>
      <c r="G1472" s="705">
        <v>768</v>
      </c>
      <c r="H1472" s="705">
        <v>2027</v>
      </c>
      <c r="I1472" s="705">
        <v>174578</v>
      </c>
      <c r="J1472" s="705">
        <v>158707</v>
      </c>
      <c r="K1472" s="705">
        <v>61</v>
      </c>
      <c r="L1472" s="705">
        <v>28722</v>
      </c>
      <c r="M1472" s="705">
        <v>24677</v>
      </c>
      <c r="N1472" s="705">
        <v>14205</v>
      </c>
      <c r="O1472" s="705">
        <v>5261</v>
      </c>
      <c r="P1472" s="705">
        <v>2376</v>
      </c>
      <c r="Q1472" s="705">
        <v>880</v>
      </c>
      <c r="R1472" s="705">
        <v>36052</v>
      </c>
      <c r="S1472" s="705">
        <v>32774</v>
      </c>
      <c r="T1472" s="705">
        <v>6199</v>
      </c>
      <c r="U1472" s="705">
        <v>2296</v>
      </c>
      <c r="V1472" s="705">
        <v>224595</v>
      </c>
      <c r="W1472" s="705">
        <f t="shared" si="66"/>
        <v>224595</v>
      </c>
      <c r="X1472" s="705">
        <f t="shared" si="67"/>
        <v>262132</v>
      </c>
    </row>
    <row r="1473" spans="2:24">
      <c r="B1473" t="s">
        <v>543</v>
      </c>
      <c r="C1473" t="s">
        <v>120</v>
      </c>
      <c r="D1473" t="s">
        <v>585</v>
      </c>
      <c r="E1473" t="s">
        <v>585</v>
      </c>
      <c r="F1473" s="705">
        <v>3</v>
      </c>
      <c r="G1473" s="705">
        <v>336</v>
      </c>
      <c r="H1473" s="705">
        <v>1094</v>
      </c>
      <c r="I1473" s="705">
        <v>87171</v>
      </c>
      <c r="J1473" s="705">
        <v>79247</v>
      </c>
      <c r="K1473" s="705">
        <v>65</v>
      </c>
      <c r="L1473" s="705">
        <v>5283</v>
      </c>
      <c r="M1473" s="705">
        <v>3063</v>
      </c>
      <c r="N1473" s="705">
        <v>6515</v>
      </c>
      <c r="O1473" s="705">
        <v>2413</v>
      </c>
      <c r="P1473" s="705">
        <v>1053</v>
      </c>
      <c r="Q1473" s="705">
        <v>390</v>
      </c>
      <c r="R1473" s="705">
        <v>15876</v>
      </c>
      <c r="S1473" s="705">
        <v>14433</v>
      </c>
      <c r="T1473" s="705">
        <v>5729</v>
      </c>
      <c r="U1473" s="705">
        <v>2122</v>
      </c>
      <c r="V1473" s="705">
        <v>101667</v>
      </c>
      <c r="W1473" s="705">
        <f t="shared" si="66"/>
        <v>101668</v>
      </c>
      <c r="X1473" s="705">
        <f t="shared" si="67"/>
        <v>121627</v>
      </c>
    </row>
    <row r="1474" spans="2:24">
      <c r="B1474" t="s">
        <v>543</v>
      </c>
      <c r="C1474" t="s">
        <v>122</v>
      </c>
      <c r="F1474" s="705">
        <v>1</v>
      </c>
      <c r="G1474" s="705">
        <v>172</v>
      </c>
      <c r="H1474" s="705">
        <v>413</v>
      </c>
      <c r="I1474" s="705"/>
      <c r="J1474" s="705">
        <v>0</v>
      </c>
      <c r="K1474" s="705"/>
      <c r="L1474" s="705"/>
      <c r="M1474" s="705">
        <v>0</v>
      </c>
      <c r="N1474" s="705">
        <v>3610</v>
      </c>
      <c r="O1474" s="705">
        <v>1337</v>
      </c>
      <c r="P1474" s="705">
        <v>621</v>
      </c>
      <c r="Q1474" s="705">
        <v>230</v>
      </c>
      <c r="R1474" s="705"/>
      <c r="S1474" s="705">
        <v>0</v>
      </c>
      <c r="T1474" s="705">
        <v>0</v>
      </c>
      <c r="U1474" s="705">
        <v>0</v>
      </c>
      <c r="V1474" s="705">
        <v>1567</v>
      </c>
      <c r="W1474" s="705">
        <f t="shared" si="66"/>
        <v>1567</v>
      </c>
      <c r="X1474" s="705">
        <f t="shared" si="67"/>
        <v>4231</v>
      </c>
    </row>
    <row r="1475" spans="2:24">
      <c r="B1475" t="s">
        <v>543</v>
      </c>
      <c r="C1475" t="s">
        <v>122</v>
      </c>
      <c r="D1475" t="s">
        <v>582</v>
      </c>
      <c r="E1475" t="s">
        <v>582</v>
      </c>
      <c r="F1475" s="705">
        <v>3</v>
      </c>
      <c r="G1475" s="705">
        <v>237</v>
      </c>
      <c r="H1475" s="705">
        <v>1249</v>
      </c>
      <c r="I1475" s="705">
        <v>68318</v>
      </c>
      <c r="J1475" s="705">
        <v>62108</v>
      </c>
      <c r="K1475" s="705">
        <v>74</v>
      </c>
      <c r="L1475" s="705">
        <v>6291</v>
      </c>
      <c r="M1475" s="705">
        <v>5720</v>
      </c>
      <c r="N1475" s="705">
        <v>4671</v>
      </c>
      <c r="O1475" s="705">
        <v>1730</v>
      </c>
      <c r="P1475" s="705">
        <v>1296</v>
      </c>
      <c r="Q1475" s="705">
        <v>480</v>
      </c>
      <c r="R1475" s="705">
        <v>14494</v>
      </c>
      <c r="S1475" s="705">
        <v>13177</v>
      </c>
      <c r="T1475" s="705">
        <v>3149</v>
      </c>
      <c r="U1475" s="705">
        <v>1166</v>
      </c>
      <c r="V1475" s="705">
        <v>84380</v>
      </c>
      <c r="W1475" s="705">
        <f t="shared" si="66"/>
        <v>84381</v>
      </c>
      <c r="X1475" s="705">
        <f t="shared" si="67"/>
        <v>98219</v>
      </c>
    </row>
    <row r="1476" spans="2:24">
      <c r="B1476" t="s">
        <v>543</v>
      </c>
      <c r="C1476" t="s">
        <v>122</v>
      </c>
      <c r="D1476" t="s">
        <v>228</v>
      </c>
      <c r="E1476" t="s">
        <v>228</v>
      </c>
      <c r="F1476" s="705">
        <v>10</v>
      </c>
      <c r="G1476" s="705">
        <v>738</v>
      </c>
      <c r="H1476" s="705">
        <v>4152</v>
      </c>
      <c r="I1476" s="705">
        <v>194580</v>
      </c>
      <c r="J1476" s="705">
        <v>72067</v>
      </c>
      <c r="K1476" s="705">
        <v>100</v>
      </c>
      <c r="L1476" s="705">
        <v>25858</v>
      </c>
      <c r="M1476" s="705">
        <v>22237</v>
      </c>
      <c r="N1476" s="705">
        <v>14136</v>
      </c>
      <c r="O1476" s="705">
        <v>5235</v>
      </c>
      <c r="P1476" s="705">
        <v>351</v>
      </c>
      <c r="Q1476" s="705">
        <v>130</v>
      </c>
      <c r="R1476" s="705">
        <v>67649</v>
      </c>
      <c r="S1476" s="705">
        <v>25055</v>
      </c>
      <c r="T1476" s="705">
        <v>2436</v>
      </c>
      <c r="U1476" s="705">
        <v>902</v>
      </c>
      <c r="V1476" s="705">
        <v>125627</v>
      </c>
      <c r="W1476" s="705">
        <f t="shared" si="66"/>
        <v>125626</v>
      </c>
      <c r="X1476" s="705">
        <f t="shared" si="67"/>
        <v>305010</v>
      </c>
    </row>
    <row r="1477" spans="2:24">
      <c r="B1477" t="s">
        <v>543</v>
      </c>
      <c r="C1477" t="s">
        <v>122</v>
      </c>
      <c r="D1477" t="s">
        <v>228</v>
      </c>
      <c r="E1477" t="s">
        <v>583</v>
      </c>
      <c r="F1477" s="705">
        <v>1</v>
      </c>
      <c r="G1477" s="705">
        <v>286</v>
      </c>
      <c r="H1477" s="705">
        <v>380</v>
      </c>
      <c r="I1477" s="705">
        <v>80098</v>
      </c>
      <c r="J1477" s="705">
        <v>29666</v>
      </c>
      <c r="K1477" s="705">
        <v>100</v>
      </c>
      <c r="L1477" s="705">
        <v>9598</v>
      </c>
      <c r="M1477" s="705">
        <v>8725</v>
      </c>
      <c r="N1477" s="705">
        <v>5117</v>
      </c>
      <c r="O1477" s="705">
        <v>1895</v>
      </c>
      <c r="P1477" s="705">
        <v>270</v>
      </c>
      <c r="Q1477" s="705">
        <v>100</v>
      </c>
      <c r="R1477" s="705">
        <v>8677</v>
      </c>
      <c r="S1477" s="705">
        <v>7888</v>
      </c>
      <c r="T1477" s="705">
        <v>4892</v>
      </c>
      <c r="U1477" s="705">
        <v>1812</v>
      </c>
      <c r="V1477" s="705">
        <v>50086</v>
      </c>
      <c r="W1477" s="705">
        <f t="shared" si="66"/>
        <v>50086</v>
      </c>
      <c r="X1477" s="705">
        <f t="shared" si="67"/>
        <v>108652</v>
      </c>
    </row>
    <row r="1478" spans="2:24">
      <c r="B1478" t="s">
        <v>543</v>
      </c>
      <c r="C1478" t="s">
        <v>122</v>
      </c>
      <c r="D1478" t="s">
        <v>228</v>
      </c>
      <c r="E1478" t="s">
        <v>665</v>
      </c>
      <c r="F1478" s="705">
        <v>1</v>
      </c>
      <c r="G1478" s="705">
        <v>86</v>
      </c>
      <c r="H1478" s="705">
        <v>448</v>
      </c>
      <c r="I1478" s="705">
        <v>23716</v>
      </c>
      <c r="J1478" s="705">
        <v>8784</v>
      </c>
      <c r="K1478" s="705">
        <v>100</v>
      </c>
      <c r="L1478" s="705">
        <v>4831</v>
      </c>
      <c r="M1478" s="705">
        <v>4392</v>
      </c>
      <c r="N1478" s="705">
        <v>1368</v>
      </c>
      <c r="O1478" s="705">
        <v>507</v>
      </c>
      <c r="P1478" s="705">
        <v>0</v>
      </c>
      <c r="Q1478" s="705">
        <v>0</v>
      </c>
      <c r="R1478" s="705">
        <v>6278</v>
      </c>
      <c r="S1478" s="705">
        <v>5707</v>
      </c>
      <c r="T1478" s="705">
        <v>2518</v>
      </c>
      <c r="U1478" s="705">
        <v>933</v>
      </c>
      <c r="V1478" s="705">
        <v>20322</v>
      </c>
      <c r="W1478" s="705">
        <f t="shared" si="66"/>
        <v>20323</v>
      </c>
      <c r="X1478" s="705">
        <f t="shared" si="67"/>
        <v>38711</v>
      </c>
    </row>
    <row r="1479" spans="2:24">
      <c r="B1479" t="s">
        <v>543</v>
      </c>
      <c r="C1479" t="s">
        <v>122</v>
      </c>
      <c r="D1479" t="s">
        <v>583</v>
      </c>
      <c r="E1479" t="s">
        <v>228</v>
      </c>
      <c r="F1479" s="705">
        <v>2</v>
      </c>
      <c r="G1479" s="705">
        <v>178</v>
      </c>
      <c r="H1479" s="705">
        <v>848</v>
      </c>
      <c r="I1479" s="705">
        <v>53568</v>
      </c>
      <c r="J1479" s="705">
        <v>48698</v>
      </c>
      <c r="K1479" s="705">
        <v>82</v>
      </c>
      <c r="L1479" s="705">
        <v>5683</v>
      </c>
      <c r="M1479" s="705">
        <v>5166</v>
      </c>
      <c r="N1479" s="705">
        <v>4223</v>
      </c>
      <c r="O1479" s="705">
        <v>1564</v>
      </c>
      <c r="P1479" s="705">
        <v>1242</v>
      </c>
      <c r="Q1479" s="705">
        <v>460</v>
      </c>
      <c r="R1479" s="705">
        <v>10727</v>
      </c>
      <c r="S1479" s="705">
        <v>3973</v>
      </c>
      <c r="T1479" s="705">
        <v>0</v>
      </c>
      <c r="U1479" s="705">
        <v>0</v>
      </c>
      <c r="V1479" s="705">
        <v>59861</v>
      </c>
      <c r="W1479" s="705">
        <f t="shared" ref="W1479:W1542" si="68">SUM(ABS(J1479),ABS(M1479),ABS(O1479),ABS(Q1479),ABS(S1479),ABS(U1479))</f>
        <v>59861</v>
      </c>
      <c r="X1479" s="705">
        <f t="shared" ref="X1479:X1542" si="69">SUM(ABS(I1479),ABS(N1479),ABS(P1479),ABS(R1479),ABS(T1479),ABS(L1479))</f>
        <v>75443</v>
      </c>
    </row>
    <row r="1480" spans="2:24">
      <c r="B1480" t="s">
        <v>543</v>
      </c>
      <c r="C1480" t="s">
        <v>122</v>
      </c>
      <c r="D1480" t="s">
        <v>583</v>
      </c>
      <c r="E1480" t="s">
        <v>583</v>
      </c>
      <c r="F1480" s="705">
        <v>237</v>
      </c>
      <c r="G1480" s="705">
        <v>27838</v>
      </c>
      <c r="H1480" s="705">
        <v>98002</v>
      </c>
      <c r="I1480" s="705">
        <v>7767002</v>
      </c>
      <c r="J1480" s="705">
        <v>7060911</v>
      </c>
      <c r="K1480" s="705">
        <v>75</v>
      </c>
      <c r="L1480" s="705">
        <v>1537024</v>
      </c>
      <c r="M1480" s="705">
        <v>1357547</v>
      </c>
      <c r="N1480" s="705">
        <v>586398</v>
      </c>
      <c r="O1480" s="705">
        <v>217185</v>
      </c>
      <c r="P1480" s="705">
        <v>149553</v>
      </c>
      <c r="Q1480" s="705">
        <v>55390</v>
      </c>
      <c r="R1480" s="705">
        <v>1239025</v>
      </c>
      <c r="S1480" s="705">
        <v>1126387</v>
      </c>
      <c r="T1480" s="705">
        <v>429901</v>
      </c>
      <c r="U1480" s="705">
        <v>159222</v>
      </c>
      <c r="V1480" s="705">
        <v>9976642</v>
      </c>
      <c r="W1480" s="705">
        <f t="shared" si="68"/>
        <v>9976642</v>
      </c>
      <c r="X1480" s="705">
        <f t="shared" si="69"/>
        <v>11708903</v>
      </c>
    </row>
    <row r="1481" spans="2:24">
      <c r="B1481" t="s">
        <v>543</v>
      </c>
      <c r="C1481" t="s">
        <v>122</v>
      </c>
      <c r="D1481" t="s">
        <v>583</v>
      </c>
      <c r="E1481" t="s">
        <v>665</v>
      </c>
      <c r="F1481" s="705">
        <v>1</v>
      </c>
      <c r="G1481" s="705">
        <v>82</v>
      </c>
      <c r="H1481" s="705">
        <v>434</v>
      </c>
      <c r="I1481" s="705">
        <v>17532</v>
      </c>
      <c r="J1481" s="705">
        <v>15938</v>
      </c>
      <c r="K1481" s="705">
        <v>55</v>
      </c>
      <c r="L1481" s="705">
        <v>3571</v>
      </c>
      <c r="M1481" s="705">
        <v>3247</v>
      </c>
      <c r="N1481" s="705">
        <v>1502</v>
      </c>
      <c r="O1481" s="705">
        <v>556</v>
      </c>
      <c r="P1481" s="705">
        <v>351</v>
      </c>
      <c r="Q1481" s="705">
        <v>130</v>
      </c>
      <c r="R1481" s="705">
        <v>8287</v>
      </c>
      <c r="S1481" s="705">
        <v>7534</v>
      </c>
      <c r="T1481" s="705">
        <v>4423</v>
      </c>
      <c r="U1481" s="705">
        <v>1638</v>
      </c>
      <c r="V1481" s="705">
        <v>29043</v>
      </c>
      <c r="W1481" s="705">
        <f t="shared" si="68"/>
        <v>29043</v>
      </c>
      <c r="X1481" s="705">
        <f t="shared" si="69"/>
        <v>35666</v>
      </c>
    </row>
    <row r="1482" spans="2:24">
      <c r="B1482" t="s">
        <v>543</v>
      </c>
      <c r="C1482" t="s">
        <v>122</v>
      </c>
      <c r="D1482" t="s">
        <v>666</v>
      </c>
      <c r="E1482" t="s">
        <v>666</v>
      </c>
      <c r="F1482" s="705">
        <v>3</v>
      </c>
      <c r="G1482" s="705">
        <v>288</v>
      </c>
      <c r="H1482" s="705">
        <v>1250</v>
      </c>
      <c r="I1482" s="705">
        <v>79921</v>
      </c>
      <c r="J1482" s="705">
        <v>72656</v>
      </c>
      <c r="K1482" s="705">
        <v>62</v>
      </c>
      <c r="L1482" s="705">
        <v>7232</v>
      </c>
      <c r="M1482" s="705">
        <v>6575</v>
      </c>
      <c r="N1482" s="705">
        <v>5577</v>
      </c>
      <c r="O1482" s="705">
        <v>2066</v>
      </c>
      <c r="P1482" s="705">
        <v>1053</v>
      </c>
      <c r="Q1482" s="705">
        <v>390</v>
      </c>
      <c r="R1482" s="705">
        <v>19287</v>
      </c>
      <c r="S1482" s="705">
        <v>17533</v>
      </c>
      <c r="T1482" s="705">
        <v>6656</v>
      </c>
      <c r="U1482" s="705">
        <v>2465</v>
      </c>
      <c r="V1482" s="705">
        <v>101685</v>
      </c>
      <c r="W1482" s="705">
        <f t="shared" si="68"/>
        <v>101685</v>
      </c>
      <c r="X1482" s="705">
        <f t="shared" si="69"/>
        <v>119726</v>
      </c>
    </row>
    <row r="1483" spans="2:24">
      <c r="B1483" t="s">
        <v>543</v>
      </c>
      <c r="C1483" t="s">
        <v>122</v>
      </c>
      <c r="D1483" t="s">
        <v>584</v>
      </c>
      <c r="E1483" t="s">
        <v>584</v>
      </c>
      <c r="F1483" s="705">
        <v>12</v>
      </c>
      <c r="G1483" s="705">
        <v>1244</v>
      </c>
      <c r="H1483" s="705">
        <v>5143</v>
      </c>
      <c r="I1483" s="705">
        <v>353812</v>
      </c>
      <c r="J1483" s="705">
        <v>321647</v>
      </c>
      <c r="K1483" s="705">
        <v>78</v>
      </c>
      <c r="L1483" s="705">
        <v>83501</v>
      </c>
      <c r="M1483" s="705">
        <v>65520</v>
      </c>
      <c r="N1483" s="705">
        <v>26700</v>
      </c>
      <c r="O1483" s="705">
        <v>9889</v>
      </c>
      <c r="P1483" s="705">
        <v>5076</v>
      </c>
      <c r="Q1483" s="705">
        <v>1880</v>
      </c>
      <c r="R1483" s="705">
        <v>58309</v>
      </c>
      <c r="S1483" s="705">
        <v>53008</v>
      </c>
      <c r="T1483" s="705">
        <v>17371</v>
      </c>
      <c r="U1483" s="705">
        <v>6434</v>
      </c>
      <c r="V1483" s="705">
        <v>458378</v>
      </c>
      <c r="W1483" s="705">
        <f t="shared" si="68"/>
        <v>458378</v>
      </c>
      <c r="X1483" s="705">
        <f t="shared" si="69"/>
        <v>544769</v>
      </c>
    </row>
    <row r="1484" spans="2:24">
      <c r="B1484" t="s">
        <v>543</v>
      </c>
      <c r="C1484" t="s">
        <v>122</v>
      </c>
      <c r="D1484" t="s">
        <v>669</v>
      </c>
      <c r="E1484" t="s">
        <v>669</v>
      </c>
      <c r="F1484" s="705">
        <v>1</v>
      </c>
      <c r="G1484" s="705">
        <v>86</v>
      </c>
      <c r="H1484" s="705">
        <v>396</v>
      </c>
      <c r="I1484" s="705">
        <v>20300</v>
      </c>
      <c r="J1484" s="705">
        <v>16916</v>
      </c>
      <c r="K1484" s="705">
        <v>65</v>
      </c>
      <c r="L1484" s="705">
        <v>4887</v>
      </c>
      <c r="M1484" s="705">
        <v>4072</v>
      </c>
      <c r="N1484" s="705">
        <v>1812</v>
      </c>
      <c r="O1484" s="705">
        <v>671</v>
      </c>
      <c r="P1484" s="705">
        <v>351</v>
      </c>
      <c r="Q1484" s="705">
        <v>130</v>
      </c>
      <c r="R1484" s="705">
        <v>4636</v>
      </c>
      <c r="S1484" s="705">
        <v>3863</v>
      </c>
      <c r="T1484" s="705">
        <v>2252</v>
      </c>
      <c r="U1484" s="705">
        <v>834</v>
      </c>
      <c r="V1484" s="705">
        <v>26488</v>
      </c>
      <c r="W1484" s="705">
        <f t="shared" si="68"/>
        <v>26486</v>
      </c>
      <c r="X1484" s="705">
        <f t="shared" si="69"/>
        <v>34238</v>
      </c>
    </row>
    <row r="1485" spans="2:24">
      <c r="B1485" t="s">
        <v>543</v>
      </c>
      <c r="C1485" t="s">
        <v>122</v>
      </c>
      <c r="D1485" t="s">
        <v>667</v>
      </c>
      <c r="E1485" t="s">
        <v>667</v>
      </c>
      <c r="F1485" s="705">
        <v>1</v>
      </c>
      <c r="G1485" s="705">
        <v>68</v>
      </c>
      <c r="H1485" s="705">
        <v>400</v>
      </c>
      <c r="I1485" s="705">
        <v>15765</v>
      </c>
      <c r="J1485" s="705">
        <v>14331</v>
      </c>
      <c r="K1485" s="705">
        <v>55</v>
      </c>
      <c r="L1485" s="705">
        <v>2365</v>
      </c>
      <c r="M1485" s="705">
        <v>876</v>
      </c>
      <c r="N1485" s="705">
        <v>1195</v>
      </c>
      <c r="O1485" s="705">
        <v>442</v>
      </c>
      <c r="P1485" s="705">
        <v>351</v>
      </c>
      <c r="Q1485" s="705">
        <v>130</v>
      </c>
      <c r="R1485" s="705">
        <v>7537</v>
      </c>
      <c r="S1485" s="705">
        <v>6851</v>
      </c>
      <c r="T1485" s="705">
        <v>0</v>
      </c>
      <c r="U1485" s="705">
        <v>0</v>
      </c>
      <c r="V1485" s="705">
        <v>22631</v>
      </c>
      <c r="W1485" s="705">
        <f t="shared" si="68"/>
        <v>22630</v>
      </c>
      <c r="X1485" s="705">
        <f t="shared" si="69"/>
        <v>27213</v>
      </c>
    </row>
    <row r="1486" spans="2:24">
      <c r="B1486" t="s">
        <v>543</v>
      </c>
      <c r="C1486" t="s">
        <v>122</v>
      </c>
      <c r="D1486" t="s">
        <v>671</v>
      </c>
      <c r="E1486" t="s">
        <v>671</v>
      </c>
      <c r="F1486" s="705">
        <v>1</v>
      </c>
      <c r="G1486" s="705">
        <v>124</v>
      </c>
      <c r="H1486" s="705">
        <v>437</v>
      </c>
      <c r="I1486" s="705">
        <v>38868</v>
      </c>
      <c r="J1486" s="705">
        <v>35335</v>
      </c>
      <c r="K1486" s="705">
        <v>45</v>
      </c>
      <c r="L1486" s="705">
        <v>2990</v>
      </c>
      <c r="M1486" s="705">
        <v>2718</v>
      </c>
      <c r="N1486" s="705">
        <v>2906</v>
      </c>
      <c r="O1486" s="705">
        <v>1076</v>
      </c>
      <c r="P1486" s="705">
        <v>351</v>
      </c>
      <c r="Q1486" s="705">
        <v>130</v>
      </c>
      <c r="R1486" s="705">
        <v>8949</v>
      </c>
      <c r="S1486" s="705">
        <v>8135</v>
      </c>
      <c r="T1486" s="705">
        <v>0</v>
      </c>
      <c r="U1486" s="705">
        <v>0</v>
      </c>
      <c r="V1486" s="705">
        <v>47394</v>
      </c>
      <c r="W1486" s="705">
        <f t="shared" si="68"/>
        <v>47394</v>
      </c>
      <c r="X1486" s="705">
        <f t="shared" si="69"/>
        <v>54064</v>
      </c>
    </row>
    <row r="1487" spans="2:24">
      <c r="B1487" t="s">
        <v>543</v>
      </c>
      <c r="C1487" t="s">
        <v>122</v>
      </c>
      <c r="D1487" t="s">
        <v>665</v>
      </c>
      <c r="E1487" t="s">
        <v>228</v>
      </c>
      <c r="F1487" s="705">
        <v>2</v>
      </c>
      <c r="G1487" s="705">
        <v>277</v>
      </c>
      <c r="H1487" s="705">
        <v>822</v>
      </c>
      <c r="I1487" s="705">
        <v>86344</v>
      </c>
      <c r="J1487" s="705">
        <v>78495</v>
      </c>
      <c r="K1487" s="705">
        <v>60</v>
      </c>
      <c r="L1487" s="705">
        <v>0</v>
      </c>
      <c r="M1487" s="705">
        <v>0</v>
      </c>
      <c r="N1487" s="705">
        <v>6325</v>
      </c>
      <c r="O1487" s="705">
        <v>2343</v>
      </c>
      <c r="P1487" s="705">
        <v>351</v>
      </c>
      <c r="Q1487" s="705">
        <v>130</v>
      </c>
      <c r="R1487" s="705">
        <v>22570</v>
      </c>
      <c r="S1487" s="705">
        <v>8359</v>
      </c>
      <c r="T1487" s="705">
        <v>0</v>
      </c>
      <c r="U1487" s="705">
        <v>0</v>
      </c>
      <c r="V1487" s="705">
        <v>89327</v>
      </c>
      <c r="W1487" s="705">
        <f t="shared" si="68"/>
        <v>89327</v>
      </c>
      <c r="X1487" s="705">
        <f t="shared" si="69"/>
        <v>115590</v>
      </c>
    </row>
    <row r="1488" spans="2:24">
      <c r="B1488" t="s">
        <v>543</v>
      </c>
      <c r="C1488" t="s">
        <v>122</v>
      </c>
      <c r="D1488" t="s">
        <v>665</v>
      </c>
      <c r="E1488" t="s">
        <v>665</v>
      </c>
      <c r="F1488" s="705">
        <v>25</v>
      </c>
      <c r="G1488" s="705">
        <v>2144</v>
      </c>
      <c r="H1488" s="705">
        <v>10558</v>
      </c>
      <c r="I1488" s="705">
        <v>610403</v>
      </c>
      <c r="J1488" s="705">
        <v>554912</v>
      </c>
      <c r="K1488" s="705">
        <v>58</v>
      </c>
      <c r="L1488" s="705">
        <v>65160</v>
      </c>
      <c r="M1488" s="705">
        <v>57875</v>
      </c>
      <c r="N1488" s="705">
        <v>43893</v>
      </c>
      <c r="O1488" s="705">
        <v>16256</v>
      </c>
      <c r="P1488" s="705">
        <v>8343</v>
      </c>
      <c r="Q1488" s="705">
        <v>3090</v>
      </c>
      <c r="R1488" s="705">
        <v>134176</v>
      </c>
      <c r="S1488" s="705">
        <v>121979</v>
      </c>
      <c r="T1488" s="705">
        <v>50209</v>
      </c>
      <c r="U1488" s="705">
        <v>18596</v>
      </c>
      <c r="V1488" s="705">
        <v>772709</v>
      </c>
      <c r="W1488" s="705">
        <f t="shared" si="68"/>
        <v>772708</v>
      </c>
      <c r="X1488" s="705">
        <f t="shared" si="69"/>
        <v>912184</v>
      </c>
    </row>
    <row r="1489" spans="2:24">
      <c r="B1489" t="s">
        <v>543</v>
      </c>
      <c r="C1489" t="s">
        <v>122</v>
      </c>
      <c r="D1489" t="s">
        <v>673</v>
      </c>
      <c r="E1489" t="s">
        <v>228</v>
      </c>
      <c r="F1489" s="705">
        <v>1</v>
      </c>
      <c r="G1489" s="705">
        <v>117</v>
      </c>
      <c r="H1489" s="705">
        <v>446</v>
      </c>
      <c r="I1489" s="705">
        <v>25856</v>
      </c>
      <c r="J1489" s="705">
        <v>23506</v>
      </c>
      <c r="K1489" s="705">
        <v>60</v>
      </c>
      <c r="L1489" s="705">
        <v>14103</v>
      </c>
      <c r="M1489" s="705">
        <v>5224</v>
      </c>
      <c r="N1489" s="705">
        <v>2855</v>
      </c>
      <c r="O1489" s="705">
        <v>1057</v>
      </c>
      <c r="P1489" s="705">
        <v>0</v>
      </c>
      <c r="Q1489" s="705">
        <v>0</v>
      </c>
      <c r="R1489" s="705">
        <v>9424</v>
      </c>
      <c r="S1489" s="705">
        <v>3490</v>
      </c>
      <c r="T1489" s="705">
        <v>0</v>
      </c>
      <c r="U1489" s="705">
        <v>0</v>
      </c>
      <c r="V1489" s="705">
        <v>33277</v>
      </c>
      <c r="W1489" s="705">
        <f t="shared" si="68"/>
        <v>33277</v>
      </c>
      <c r="X1489" s="705">
        <f t="shared" si="69"/>
        <v>52238</v>
      </c>
    </row>
    <row r="1490" spans="2:24">
      <c r="B1490" t="s">
        <v>543</v>
      </c>
      <c r="C1490" t="s">
        <v>122</v>
      </c>
      <c r="D1490" t="s">
        <v>673</v>
      </c>
      <c r="E1490" t="s">
        <v>673</v>
      </c>
      <c r="F1490" s="705">
        <v>1</v>
      </c>
      <c r="G1490" s="705">
        <v>92</v>
      </c>
      <c r="H1490" s="705">
        <v>384</v>
      </c>
      <c r="I1490" s="705">
        <v>26062</v>
      </c>
      <c r="J1490" s="705">
        <v>23692</v>
      </c>
      <c r="K1490" s="705">
        <v>60</v>
      </c>
      <c r="L1490" s="705">
        <v>0</v>
      </c>
      <c r="M1490" s="705">
        <v>0</v>
      </c>
      <c r="N1490" s="705">
        <v>1395</v>
      </c>
      <c r="O1490" s="705">
        <v>517</v>
      </c>
      <c r="P1490" s="705">
        <v>351</v>
      </c>
      <c r="Q1490" s="705">
        <v>130</v>
      </c>
      <c r="R1490" s="705">
        <v>7348</v>
      </c>
      <c r="S1490" s="705">
        <v>6680</v>
      </c>
      <c r="T1490" s="705">
        <v>0</v>
      </c>
      <c r="U1490" s="705">
        <v>0</v>
      </c>
      <c r="V1490" s="705">
        <v>31019</v>
      </c>
      <c r="W1490" s="705">
        <f t="shared" si="68"/>
        <v>31019</v>
      </c>
      <c r="X1490" s="705">
        <f t="shared" si="69"/>
        <v>35156</v>
      </c>
    </row>
    <row r="1491" spans="2:24">
      <c r="B1491" t="s">
        <v>543</v>
      </c>
      <c r="C1491" t="s">
        <v>122</v>
      </c>
      <c r="D1491" t="s">
        <v>585</v>
      </c>
      <c r="E1491" t="s">
        <v>585</v>
      </c>
      <c r="F1491" s="705">
        <v>3</v>
      </c>
      <c r="G1491" s="705">
        <v>571</v>
      </c>
      <c r="H1491" s="705">
        <v>1206</v>
      </c>
      <c r="I1491" s="705">
        <v>163667</v>
      </c>
      <c r="J1491" s="705">
        <v>148788</v>
      </c>
      <c r="K1491" s="705">
        <v>72</v>
      </c>
      <c r="L1491" s="705">
        <v>29878</v>
      </c>
      <c r="M1491" s="705">
        <v>27162</v>
      </c>
      <c r="N1491" s="705">
        <v>9926</v>
      </c>
      <c r="O1491" s="705">
        <v>3676</v>
      </c>
      <c r="P1491" s="705">
        <v>1323</v>
      </c>
      <c r="Q1491" s="705">
        <v>490</v>
      </c>
      <c r="R1491" s="705">
        <v>18717</v>
      </c>
      <c r="S1491" s="705">
        <v>17016</v>
      </c>
      <c r="T1491" s="705">
        <v>2966</v>
      </c>
      <c r="U1491" s="705">
        <v>1098</v>
      </c>
      <c r="V1491" s="705">
        <v>198230</v>
      </c>
      <c r="W1491" s="705">
        <f t="shared" si="68"/>
        <v>198230</v>
      </c>
      <c r="X1491" s="705">
        <f t="shared" si="69"/>
        <v>226477</v>
      </c>
    </row>
    <row r="1492" spans="2:24">
      <c r="B1492" t="s">
        <v>543</v>
      </c>
      <c r="C1492" t="s">
        <v>124</v>
      </c>
      <c r="D1492" t="s">
        <v>674</v>
      </c>
      <c r="E1492" t="s">
        <v>674</v>
      </c>
      <c r="F1492" s="705">
        <v>2</v>
      </c>
      <c r="G1492" s="705">
        <v>201</v>
      </c>
      <c r="H1492" s="705">
        <v>1593</v>
      </c>
      <c r="I1492" s="705">
        <v>121919</v>
      </c>
      <c r="J1492" s="705">
        <v>110836</v>
      </c>
      <c r="K1492" s="705">
        <v>45</v>
      </c>
      <c r="L1492" s="705">
        <v>15521</v>
      </c>
      <c r="M1492" s="705">
        <v>14110</v>
      </c>
      <c r="N1492" s="705">
        <v>3685</v>
      </c>
      <c r="O1492" s="705">
        <v>1365</v>
      </c>
      <c r="P1492" s="705">
        <v>702</v>
      </c>
      <c r="Q1492" s="705">
        <v>260</v>
      </c>
      <c r="R1492" s="705">
        <v>18280</v>
      </c>
      <c r="S1492" s="705">
        <v>16618</v>
      </c>
      <c r="T1492" s="705">
        <v>0</v>
      </c>
      <c r="U1492" s="705">
        <v>0</v>
      </c>
      <c r="V1492" s="705">
        <v>143189</v>
      </c>
      <c r="W1492" s="705">
        <f t="shared" si="68"/>
        <v>143189</v>
      </c>
      <c r="X1492" s="705">
        <f t="shared" si="69"/>
        <v>160107</v>
      </c>
    </row>
    <row r="1493" spans="2:24">
      <c r="B1493" t="s">
        <v>543</v>
      </c>
      <c r="C1493" t="s">
        <v>124</v>
      </c>
      <c r="D1493" t="s">
        <v>228</v>
      </c>
      <c r="E1493" t="s">
        <v>228</v>
      </c>
      <c r="F1493" s="705">
        <v>97</v>
      </c>
      <c r="G1493" s="705">
        <v>8926</v>
      </c>
      <c r="H1493" s="705">
        <v>72723</v>
      </c>
      <c r="I1493" s="705">
        <v>4752203</v>
      </c>
      <c r="J1493" s="705">
        <v>1760075</v>
      </c>
      <c r="K1493" s="705">
        <v>100</v>
      </c>
      <c r="L1493" s="705">
        <v>780459</v>
      </c>
      <c r="M1493" s="705">
        <v>676762</v>
      </c>
      <c r="N1493" s="705">
        <v>201296</v>
      </c>
      <c r="O1493" s="705">
        <v>74554</v>
      </c>
      <c r="P1493" s="705">
        <v>0</v>
      </c>
      <c r="Q1493" s="705">
        <v>0</v>
      </c>
      <c r="R1493" s="705">
        <v>672768</v>
      </c>
      <c r="S1493" s="705">
        <v>249173</v>
      </c>
      <c r="T1493" s="705">
        <v>5122</v>
      </c>
      <c r="U1493" s="705">
        <v>1897</v>
      </c>
      <c r="V1493" s="705">
        <v>2762461</v>
      </c>
      <c r="W1493" s="705">
        <f t="shared" si="68"/>
        <v>2762461</v>
      </c>
      <c r="X1493" s="705">
        <f t="shared" si="69"/>
        <v>6411848</v>
      </c>
    </row>
    <row r="1494" spans="2:24">
      <c r="B1494" t="s">
        <v>543</v>
      </c>
      <c r="C1494" t="s">
        <v>124</v>
      </c>
      <c r="D1494" t="s">
        <v>228</v>
      </c>
      <c r="E1494" t="s">
        <v>583</v>
      </c>
      <c r="F1494" s="705">
        <v>5</v>
      </c>
      <c r="G1494" s="705">
        <v>797</v>
      </c>
      <c r="H1494" s="705">
        <v>3665</v>
      </c>
      <c r="I1494" s="705">
        <v>439601</v>
      </c>
      <c r="J1494" s="705">
        <v>162815</v>
      </c>
      <c r="K1494" s="705">
        <v>100</v>
      </c>
      <c r="L1494" s="705">
        <v>50583</v>
      </c>
      <c r="M1494" s="705">
        <v>41683</v>
      </c>
      <c r="N1494" s="705">
        <v>18451</v>
      </c>
      <c r="O1494" s="705">
        <v>6834</v>
      </c>
      <c r="P1494" s="705">
        <v>1161</v>
      </c>
      <c r="Q1494" s="705">
        <v>430</v>
      </c>
      <c r="R1494" s="705">
        <v>36011</v>
      </c>
      <c r="S1494" s="705">
        <v>32737</v>
      </c>
      <c r="T1494" s="705">
        <v>18546</v>
      </c>
      <c r="U1494" s="705">
        <v>6869</v>
      </c>
      <c r="V1494" s="705">
        <v>251368</v>
      </c>
      <c r="W1494" s="705">
        <f t="shared" si="68"/>
        <v>251368</v>
      </c>
      <c r="X1494" s="705">
        <f t="shared" si="69"/>
        <v>564353</v>
      </c>
    </row>
    <row r="1495" spans="2:24">
      <c r="B1495" t="s">
        <v>543</v>
      </c>
      <c r="C1495" t="s">
        <v>124</v>
      </c>
      <c r="D1495" t="s">
        <v>228</v>
      </c>
      <c r="E1495" t="s">
        <v>669</v>
      </c>
      <c r="F1495" s="705">
        <v>2</v>
      </c>
      <c r="G1495" s="705">
        <v>216</v>
      </c>
      <c r="H1495" s="705">
        <v>1293</v>
      </c>
      <c r="I1495" s="705">
        <v>90808</v>
      </c>
      <c r="J1495" s="705">
        <v>33633</v>
      </c>
      <c r="K1495" s="705">
        <v>100</v>
      </c>
      <c r="L1495" s="705">
        <v>9965</v>
      </c>
      <c r="M1495" s="705">
        <v>8304</v>
      </c>
      <c r="N1495" s="705">
        <v>4617</v>
      </c>
      <c r="O1495" s="705">
        <v>1710</v>
      </c>
      <c r="P1495" s="705">
        <v>972</v>
      </c>
      <c r="Q1495" s="705">
        <v>360</v>
      </c>
      <c r="R1495" s="705">
        <v>18649</v>
      </c>
      <c r="S1495" s="705">
        <v>15541</v>
      </c>
      <c r="T1495" s="705">
        <v>2172</v>
      </c>
      <c r="U1495" s="705">
        <v>805</v>
      </c>
      <c r="V1495" s="705">
        <v>60352</v>
      </c>
      <c r="W1495" s="705">
        <f t="shared" si="68"/>
        <v>60353</v>
      </c>
      <c r="X1495" s="705">
        <f t="shared" si="69"/>
        <v>127183</v>
      </c>
    </row>
    <row r="1496" spans="2:24">
      <c r="B1496" t="s">
        <v>543</v>
      </c>
      <c r="C1496" t="s">
        <v>124</v>
      </c>
      <c r="D1496" t="s">
        <v>228</v>
      </c>
      <c r="E1496" t="s">
        <v>665</v>
      </c>
      <c r="F1496" s="705">
        <v>2</v>
      </c>
      <c r="G1496" s="705">
        <v>253</v>
      </c>
      <c r="H1496" s="705">
        <v>1162</v>
      </c>
      <c r="I1496" s="705">
        <v>105475</v>
      </c>
      <c r="J1496" s="705">
        <v>39065</v>
      </c>
      <c r="K1496" s="705">
        <v>100</v>
      </c>
      <c r="L1496" s="705">
        <v>13397</v>
      </c>
      <c r="M1496" s="705">
        <v>12179</v>
      </c>
      <c r="N1496" s="705">
        <v>5550</v>
      </c>
      <c r="O1496" s="705">
        <v>2056</v>
      </c>
      <c r="P1496" s="705">
        <v>351</v>
      </c>
      <c r="Q1496" s="705">
        <v>130</v>
      </c>
      <c r="R1496" s="705">
        <v>16873</v>
      </c>
      <c r="S1496" s="705">
        <v>15339</v>
      </c>
      <c r="T1496" s="705">
        <v>3252</v>
      </c>
      <c r="U1496" s="705">
        <v>1205</v>
      </c>
      <c r="V1496" s="705">
        <v>69973</v>
      </c>
      <c r="W1496" s="705">
        <f t="shared" si="68"/>
        <v>69974</v>
      </c>
      <c r="X1496" s="705">
        <f t="shared" si="69"/>
        <v>144898</v>
      </c>
    </row>
    <row r="1497" spans="2:24">
      <c r="B1497" t="s">
        <v>543</v>
      </c>
      <c r="C1497" t="s">
        <v>124</v>
      </c>
      <c r="D1497" t="s">
        <v>583</v>
      </c>
      <c r="E1497" t="s">
        <v>228</v>
      </c>
      <c r="F1497" s="705">
        <v>5</v>
      </c>
      <c r="G1497" s="705">
        <v>318</v>
      </c>
      <c r="H1497" s="705">
        <v>3438</v>
      </c>
      <c r="I1497" s="705">
        <v>155032</v>
      </c>
      <c r="J1497" s="705">
        <v>140938</v>
      </c>
      <c r="K1497" s="705">
        <v>66</v>
      </c>
      <c r="L1497" s="705">
        <v>23006</v>
      </c>
      <c r="M1497" s="705">
        <v>17922</v>
      </c>
      <c r="N1497" s="705">
        <v>7181</v>
      </c>
      <c r="O1497" s="705">
        <v>2660</v>
      </c>
      <c r="P1497" s="705">
        <v>3105</v>
      </c>
      <c r="Q1497" s="705">
        <v>1150</v>
      </c>
      <c r="R1497" s="705">
        <v>37394</v>
      </c>
      <c r="S1497" s="705">
        <v>13849</v>
      </c>
      <c r="T1497" s="705">
        <v>0</v>
      </c>
      <c r="U1497" s="705">
        <v>0</v>
      </c>
      <c r="V1497" s="705">
        <v>176519</v>
      </c>
      <c r="W1497" s="705">
        <f t="shared" si="68"/>
        <v>176519</v>
      </c>
      <c r="X1497" s="705">
        <f t="shared" si="69"/>
        <v>225718</v>
      </c>
    </row>
    <row r="1498" spans="2:24">
      <c r="B1498" t="s">
        <v>543</v>
      </c>
      <c r="C1498" t="s">
        <v>124</v>
      </c>
      <c r="D1498" t="s">
        <v>583</v>
      </c>
      <c r="E1498" t="s">
        <v>583</v>
      </c>
      <c r="F1498" s="705">
        <v>328</v>
      </c>
      <c r="G1498" s="705">
        <v>36188</v>
      </c>
      <c r="H1498" s="705">
        <v>182098</v>
      </c>
      <c r="I1498" s="705">
        <v>13707825</v>
      </c>
      <c r="J1498" s="705">
        <v>12461659</v>
      </c>
      <c r="K1498" s="705">
        <v>70</v>
      </c>
      <c r="L1498" s="705">
        <v>2847677</v>
      </c>
      <c r="M1498" s="705">
        <v>2536666</v>
      </c>
      <c r="N1498" s="705">
        <v>784402</v>
      </c>
      <c r="O1498" s="705">
        <v>290519</v>
      </c>
      <c r="P1498" s="705">
        <v>204633</v>
      </c>
      <c r="Q1498" s="705">
        <v>75790</v>
      </c>
      <c r="R1498" s="705">
        <v>1790592</v>
      </c>
      <c r="S1498" s="705">
        <v>1627811</v>
      </c>
      <c r="T1498" s="705">
        <v>604545</v>
      </c>
      <c r="U1498" s="705">
        <v>223906</v>
      </c>
      <c r="V1498" s="705">
        <v>17216351</v>
      </c>
      <c r="W1498" s="705">
        <f t="shared" si="68"/>
        <v>17216351</v>
      </c>
      <c r="X1498" s="705">
        <f t="shared" si="69"/>
        <v>19939674</v>
      </c>
    </row>
    <row r="1499" spans="2:24">
      <c r="B1499" t="s">
        <v>543</v>
      </c>
      <c r="C1499" t="s">
        <v>124</v>
      </c>
      <c r="D1499" t="s">
        <v>666</v>
      </c>
      <c r="E1499" t="s">
        <v>228</v>
      </c>
      <c r="F1499" s="705">
        <v>9</v>
      </c>
      <c r="G1499" s="705">
        <v>776</v>
      </c>
      <c r="H1499" s="705">
        <v>9226</v>
      </c>
      <c r="I1499" s="705">
        <v>585521</v>
      </c>
      <c r="J1499" s="705">
        <v>532292</v>
      </c>
      <c r="K1499" s="705">
        <v>42</v>
      </c>
      <c r="L1499" s="705">
        <v>108163</v>
      </c>
      <c r="M1499" s="705">
        <v>46151</v>
      </c>
      <c r="N1499" s="705">
        <v>17604</v>
      </c>
      <c r="O1499" s="705">
        <v>6520</v>
      </c>
      <c r="P1499" s="705">
        <v>0</v>
      </c>
      <c r="Q1499" s="705">
        <v>0</v>
      </c>
      <c r="R1499" s="705">
        <v>60294</v>
      </c>
      <c r="S1499" s="705">
        <v>22331</v>
      </c>
      <c r="T1499" s="705">
        <v>1196</v>
      </c>
      <c r="U1499" s="705">
        <v>443</v>
      </c>
      <c r="V1499" s="705">
        <v>607737</v>
      </c>
      <c r="W1499" s="705">
        <f t="shared" si="68"/>
        <v>607737</v>
      </c>
      <c r="X1499" s="705">
        <f t="shared" si="69"/>
        <v>772778</v>
      </c>
    </row>
    <row r="1500" spans="2:24">
      <c r="B1500" t="s">
        <v>543</v>
      </c>
      <c r="C1500" t="s">
        <v>124</v>
      </c>
      <c r="D1500" t="s">
        <v>666</v>
      </c>
      <c r="E1500" t="s">
        <v>666</v>
      </c>
      <c r="F1500" s="705">
        <v>16</v>
      </c>
      <c r="G1500" s="705">
        <v>1296</v>
      </c>
      <c r="H1500" s="705">
        <v>11902</v>
      </c>
      <c r="I1500" s="705">
        <v>653842</v>
      </c>
      <c r="J1500" s="705">
        <v>594402</v>
      </c>
      <c r="K1500" s="705">
        <v>53</v>
      </c>
      <c r="L1500" s="705">
        <v>108552</v>
      </c>
      <c r="M1500" s="705">
        <v>96498</v>
      </c>
      <c r="N1500" s="705">
        <v>28215</v>
      </c>
      <c r="O1500" s="705">
        <v>10450</v>
      </c>
      <c r="P1500" s="705">
        <v>5265</v>
      </c>
      <c r="Q1500" s="705">
        <v>1950</v>
      </c>
      <c r="R1500" s="705">
        <v>105412</v>
      </c>
      <c r="S1500" s="705">
        <v>95830</v>
      </c>
      <c r="T1500" s="705">
        <v>25896</v>
      </c>
      <c r="U1500" s="705">
        <v>9591</v>
      </c>
      <c r="V1500" s="705">
        <v>808721</v>
      </c>
      <c r="W1500" s="705">
        <f t="shared" si="68"/>
        <v>808721</v>
      </c>
      <c r="X1500" s="705">
        <f t="shared" si="69"/>
        <v>927182</v>
      </c>
    </row>
    <row r="1501" spans="2:24">
      <c r="B1501" t="s">
        <v>543</v>
      </c>
      <c r="C1501" t="s">
        <v>124</v>
      </c>
      <c r="D1501" t="s">
        <v>584</v>
      </c>
      <c r="E1501" t="s">
        <v>584</v>
      </c>
      <c r="F1501" s="705">
        <v>5</v>
      </c>
      <c r="G1501" s="705">
        <v>598</v>
      </c>
      <c r="H1501" s="705">
        <v>2508</v>
      </c>
      <c r="I1501" s="705">
        <v>205384</v>
      </c>
      <c r="J1501" s="705">
        <v>186713</v>
      </c>
      <c r="K1501" s="705">
        <v>76</v>
      </c>
      <c r="L1501" s="705">
        <v>40045</v>
      </c>
      <c r="M1501" s="705">
        <v>34805</v>
      </c>
      <c r="N1501" s="705">
        <v>11841</v>
      </c>
      <c r="O1501" s="705">
        <v>4386</v>
      </c>
      <c r="P1501" s="705">
        <v>2363</v>
      </c>
      <c r="Q1501" s="705">
        <v>875</v>
      </c>
      <c r="R1501" s="705">
        <v>27454</v>
      </c>
      <c r="S1501" s="705">
        <v>24958</v>
      </c>
      <c r="T1501" s="705">
        <v>8569</v>
      </c>
      <c r="U1501" s="705">
        <v>3174</v>
      </c>
      <c r="V1501" s="705">
        <v>254910</v>
      </c>
      <c r="W1501" s="705">
        <f t="shared" si="68"/>
        <v>254911</v>
      </c>
      <c r="X1501" s="705">
        <f t="shared" si="69"/>
        <v>295656</v>
      </c>
    </row>
    <row r="1502" spans="2:24">
      <c r="B1502" t="s">
        <v>543</v>
      </c>
      <c r="C1502" t="s">
        <v>124</v>
      </c>
      <c r="D1502" t="s">
        <v>669</v>
      </c>
      <c r="E1502" t="s">
        <v>228</v>
      </c>
      <c r="F1502" s="705">
        <v>1</v>
      </c>
      <c r="G1502" s="705">
        <v>106</v>
      </c>
      <c r="H1502" s="705">
        <v>1152</v>
      </c>
      <c r="I1502" s="705">
        <v>103911</v>
      </c>
      <c r="J1502" s="705">
        <v>86593</v>
      </c>
      <c r="K1502" s="705">
        <v>30</v>
      </c>
      <c r="L1502" s="705">
        <v>7793</v>
      </c>
      <c r="M1502" s="705">
        <v>2886</v>
      </c>
      <c r="N1502" s="705">
        <v>2477</v>
      </c>
      <c r="O1502" s="705">
        <v>917</v>
      </c>
      <c r="P1502" s="705">
        <v>0</v>
      </c>
      <c r="Q1502" s="705">
        <v>0</v>
      </c>
      <c r="R1502" s="705">
        <v>8413</v>
      </c>
      <c r="S1502" s="705">
        <v>3116</v>
      </c>
      <c r="T1502" s="705">
        <v>0</v>
      </c>
      <c r="U1502" s="705">
        <v>0</v>
      </c>
      <c r="V1502" s="705">
        <v>93512</v>
      </c>
      <c r="W1502" s="705">
        <f t="shared" si="68"/>
        <v>93512</v>
      </c>
      <c r="X1502" s="705">
        <f t="shared" si="69"/>
        <v>122594</v>
      </c>
    </row>
    <row r="1503" spans="2:24">
      <c r="B1503" t="s">
        <v>543</v>
      </c>
      <c r="C1503" t="s">
        <v>124</v>
      </c>
      <c r="D1503" t="s">
        <v>669</v>
      </c>
      <c r="E1503" t="s">
        <v>669</v>
      </c>
      <c r="F1503" s="705">
        <v>1</v>
      </c>
      <c r="G1503" s="705">
        <v>135</v>
      </c>
      <c r="H1503" s="705">
        <v>601</v>
      </c>
      <c r="I1503" s="705">
        <v>56108</v>
      </c>
      <c r="J1503" s="705">
        <v>46756</v>
      </c>
      <c r="K1503" s="705">
        <v>71</v>
      </c>
      <c r="L1503" s="705">
        <v>13601</v>
      </c>
      <c r="M1503" s="705">
        <v>12364</v>
      </c>
      <c r="N1503" s="705">
        <v>3016</v>
      </c>
      <c r="O1503" s="705">
        <v>1117</v>
      </c>
      <c r="P1503" s="705">
        <v>351</v>
      </c>
      <c r="Q1503" s="705">
        <v>130</v>
      </c>
      <c r="R1503" s="705">
        <v>5150</v>
      </c>
      <c r="S1503" s="705">
        <v>4292</v>
      </c>
      <c r="T1503" s="705">
        <v>2988</v>
      </c>
      <c r="U1503" s="705">
        <v>1107</v>
      </c>
      <c r="V1503" s="705">
        <v>65766</v>
      </c>
      <c r="W1503" s="705">
        <f t="shared" si="68"/>
        <v>65766</v>
      </c>
      <c r="X1503" s="705">
        <f t="shared" si="69"/>
        <v>81214</v>
      </c>
    </row>
    <row r="1504" spans="2:24">
      <c r="B1504" t="s">
        <v>543</v>
      </c>
      <c r="C1504" t="s">
        <v>124</v>
      </c>
      <c r="D1504" t="s">
        <v>671</v>
      </c>
      <c r="E1504" t="s">
        <v>671</v>
      </c>
      <c r="F1504" s="705">
        <v>1</v>
      </c>
      <c r="G1504" s="705">
        <v>50</v>
      </c>
      <c r="H1504" s="705">
        <v>846</v>
      </c>
      <c r="I1504" s="705">
        <v>28589</v>
      </c>
      <c r="J1504" s="705">
        <v>25990</v>
      </c>
      <c r="K1504" s="705">
        <v>45</v>
      </c>
      <c r="L1504" s="705">
        <v>4084</v>
      </c>
      <c r="M1504" s="705">
        <v>3713</v>
      </c>
      <c r="N1504" s="705">
        <v>1106</v>
      </c>
      <c r="O1504" s="705">
        <v>410</v>
      </c>
      <c r="P1504" s="705">
        <v>351</v>
      </c>
      <c r="Q1504" s="705">
        <v>130</v>
      </c>
      <c r="R1504" s="705">
        <v>8525</v>
      </c>
      <c r="S1504" s="705">
        <v>7750</v>
      </c>
      <c r="T1504" s="705">
        <v>0</v>
      </c>
      <c r="U1504" s="705">
        <v>0</v>
      </c>
      <c r="V1504" s="705">
        <v>37993</v>
      </c>
      <c r="W1504" s="705">
        <f t="shared" si="68"/>
        <v>37993</v>
      </c>
      <c r="X1504" s="705">
        <f t="shared" si="69"/>
        <v>42655</v>
      </c>
    </row>
    <row r="1505" spans="2:24">
      <c r="B1505" t="s">
        <v>543</v>
      </c>
      <c r="C1505" t="s">
        <v>124</v>
      </c>
      <c r="D1505" t="s">
        <v>665</v>
      </c>
      <c r="E1505" t="s">
        <v>664</v>
      </c>
      <c r="F1505" s="705">
        <v>1</v>
      </c>
      <c r="G1505" s="705">
        <v>110</v>
      </c>
      <c r="H1505" s="705">
        <v>481</v>
      </c>
      <c r="I1505" s="705">
        <v>46610</v>
      </c>
      <c r="J1505" s="705">
        <v>42373</v>
      </c>
      <c r="K1505" s="705">
        <v>60</v>
      </c>
      <c r="L1505" s="705">
        <v>0</v>
      </c>
      <c r="M1505" s="705">
        <v>0</v>
      </c>
      <c r="N1505" s="705">
        <v>2432</v>
      </c>
      <c r="O1505" s="705">
        <v>901</v>
      </c>
      <c r="P1505" s="705">
        <v>0</v>
      </c>
      <c r="Q1505" s="705">
        <v>0</v>
      </c>
      <c r="R1505" s="705">
        <v>4010</v>
      </c>
      <c r="S1505" s="705">
        <v>3646</v>
      </c>
      <c r="T1505" s="705">
        <v>0</v>
      </c>
      <c r="U1505" s="705">
        <v>0</v>
      </c>
      <c r="V1505" s="705">
        <v>46919</v>
      </c>
      <c r="W1505" s="705">
        <f t="shared" si="68"/>
        <v>46920</v>
      </c>
      <c r="X1505" s="705">
        <f t="shared" si="69"/>
        <v>53052</v>
      </c>
    </row>
    <row r="1506" spans="2:24">
      <c r="B1506" t="s">
        <v>543</v>
      </c>
      <c r="C1506" t="s">
        <v>124</v>
      </c>
      <c r="D1506" t="s">
        <v>665</v>
      </c>
      <c r="E1506" t="s">
        <v>228</v>
      </c>
      <c r="F1506" s="705">
        <v>27</v>
      </c>
      <c r="G1506" s="705">
        <v>2605</v>
      </c>
      <c r="H1506" s="705">
        <v>31758</v>
      </c>
      <c r="I1506" s="705">
        <v>2327707</v>
      </c>
      <c r="J1506" s="705">
        <v>2116097</v>
      </c>
      <c r="K1506" s="705">
        <v>41</v>
      </c>
      <c r="L1506" s="705">
        <v>193824</v>
      </c>
      <c r="M1506" s="705">
        <v>125215</v>
      </c>
      <c r="N1506" s="705">
        <v>60703</v>
      </c>
      <c r="O1506" s="705">
        <v>22483</v>
      </c>
      <c r="P1506" s="705">
        <v>702</v>
      </c>
      <c r="Q1506" s="705">
        <v>260</v>
      </c>
      <c r="R1506" s="705">
        <v>198632</v>
      </c>
      <c r="S1506" s="705">
        <v>73568</v>
      </c>
      <c r="T1506" s="705">
        <v>3961</v>
      </c>
      <c r="U1506" s="705">
        <v>1467</v>
      </c>
      <c r="V1506" s="705">
        <v>2339089</v>
      </c>
      <c r="W1506" s="705">
        <f t="shared" si="68"/>
        <v>2339090</v>
      </c>
      <c r="X1506" s="705">
        <f t="shared" si="69"/>
        <v>2785529</v>
      </c>
    </row>
    <row r="1507" spans="2:24">
      <c r="B1507" t="s">
        <v>543</v>
      </c>
      <c r="C1507" t="s">
        <v>124</v>
      </c>
      <c r="D1507" t="s">
        <v>665</v>
      </c>
      <c r="E1507" t="s">
        <v>665</v>
      </c>
      <c r="F1507" s="705">
        <v>107</v>
      </c>
      <c r="G1507" s="705">
        <v>9904</v>
      </c>
      <c r="H1507" s="705">
        <v>75254</v>
      </c>
      <c r="I1507" s="705">
        <v>4914158</v>
      </c>
      <c r="J1507" s="705">
        <v>4467416</v>
      </c>
      <c r="K1507" s="705">
        <v>53</v>
      </c>
      <c r="L1507" s="705">
        <v>676807</v>
      </c>
      <c r="M1507" s="705">
        <v>589291</v>
      </c>
      <c r="N1507" s="705">
        <v>210918</v>
      </c>
      <c r="O1507" s="705">
        <v>78118</v>
      </c>
      <c r="P1507" s="705">
        <v>33696</v>
      </c>
      <c r="Q1507" s="705">
        <v>12480</v>
      </c>
      <c r="R1507" s="705">
        <v>623747</v>
      </c>
      <c r="S1507" s="705">
        <v>567042</v>
      </c>
      <c r="T1507" s="705">
        <v>226982</v>
      </c>
      <c r="U1507" s="705">
        <v>84067</v>
      </c>
      <c r="V1507" s="705">
        <v>5798415</v>
      </c>
      <c r="W1507" s="705">
        <f t="shared" si="68"/>
        <v>5798414</v>
      </c>
      <c r="X1507" s="705">
        <f t="shared" si="69"/>
        <v>6686308</v>
      </c>
    </row>
    <row r="1508" spans="2:24">
      <c r="B1508" t="s">
        <v>543</v>
      </c>
      <c r="C1508" t="s">
        <v>124</v>
      </c>
      <c r="D1508" t="s">
        <v>665</v>
      </c>
      <c r="E1508" t="s">
        <v>722</v>
      </c>
      <c r="F1508" s="705">
        <v>1</v>
      </c>
      <c r="G1508" s="705">
        <v>60</v>
      </c>
      <c r="H1508" s="705">
        <v>1068</v>
      </c>
      <c r="I1508" s="705">
        <v>47687</v>
      </c>
      <c r="J1508" s="705">
        <v>43351</v>
      </c>
      <c r="K1508" s="705">
        <v>45</v>
      </c>
      <c r="L1508" s="705">
        <v>7948</v>
      </c>
      <c r="M1508" s="705">
        <v>7225</v>
      </c>
      <c r="N1508" s="705">
        <v>1450</v>
      </c>
      <c r="O1508" s="705">
        <v>537</v>
      </c>
      <c r="P1508" s="705">
        <v>351</v>
      </c>
      <c r="Q1508" s="705">
        <v>130</v>
      </c>
      <c r="R1508" s="705">
        <v>4640</v>
      </c>
      <c r="S1508" s="705">
        <v>4218</v>
      </c>
      <c r="T1508" s="705">
        <v>1437</v>
      </c>
      <c r="U1508" s="705">
        <v>532</v>
      </c>
      <c r="V1508" s="705">
        <v>55994</v>
      </c>
      <c r="W1508" s="705">
        <f t="shared" si="68"/>
        <v>55993</v>
      </c>
      <c r="X1508" s="705">
        <f t="shared" si="69"/>
        <v>63513</v>
      </c>
    </row>
    <row r="1509" spans="2:24">
      <c r="B1509" t="s">
        <v>543</v>
      </c>
      <c r="C1509" t="s">
        <v>124</v>
      </c>
      <c r="D1509" t="s">
        <v>673</v>
      </c>
      <c r="E1509" t="s">
        <v>228</v>
      </c>
      <c r="F1509" s="705">
        <v>2</v>
      </c>
      <c r="G1509" s="705">
        <v>182</v>
      </c>
      <c r="H1509" s="705">
        <v>1637</v>
      </c>
      <c r="I1509" s="705">
        <v>128871</v>
      </c>
      <c r="J1509" s="705">
        <v>117155</v>
      </c>
      <c r="K1509" s="705">
        <v>45</v>
      </c>
      <c r="L1509" s="705">
        <v>17553</v>
      </c>
      <c r="M1509" s="705">
        <v>6501</v>
      </c>
      <c r="N1509" s="705">
        <v>4444</v>
      </c>
      <c r="O1509" s="705">
        <v>1646</v>
      </c>
      <c r="P1509" s="705">
        <v>0</v>
      </c>
      <c r="Q1509" s="705">
        <v>0</v>
      </c>
      <c r="R1509" s="705">
        <v>9582</v>
      </c>
      <c r="S1509" s="705">
        <v>3549</v>
      </c>
      <c r="T1509" s="705">
        <v>0</v>
      </c>
      <c r="U1509" s="705">
        <v>0</v>
      </c>
      <c r="V1509" s="705">
        <v>128851</v>
      </c>
      <c r="W1509" s="705">
        <f t="shared" si="68"/>
        <v>128851</v>
      </c>
      <c r="X1509" s="705">
        <f t="shared" si="69"/>
        <v>160450</v>
      </c>
    </row>
    <row r="1510" spans="2:24">
      <c r="B1510" t="s">
        <v>543</v>
      </c>
      <c r="C1510" t="s">
        <v>124</v>
      </c>
      <c r="D1510" t="s">
        <v>673</v>
      </c>
      <c r="E1510" t="s">
        <v>673</v>
      </c>
      <c r="F1510" s="705">
        <v>4</v>
      </c>
      <c r="G1510" s="705">
        <v>235</v>
      </c>
      <c r="H1510" s="705">
        <v>3437</v>
      </c>
      <c r="I1510" s="705">
        <v>159916</v>
      </c>
      <c r="J1510" s="705">
        <v>145378</v>
      </c>
      <c r="K1510" s="705">
        <v>53</v>
      </c>
      <c r="L1510" s="705">
        <v>27890</v>
      </c>
      <c r="M1510" s="705">
        <v>20220</v>
      </c>
      <c r="N1510" s="705">
        <v>6878</v>
      </c>
      <c r="O1510" s="705">
        <v>2547</v>
      </c>
      <c r="P1510" s="705">
        <v>1404</v>
      </c>
      <c r="Q1510" s="705">
        <v>520</v>
      </c>
      <c r="R1510" s="705">
        <v>20291</v>
      </c>
      <c r="S1510" s="705">
        <v>18446</v>
      </c>
      <c r="T1510" s="705">
        <v>6701</v>
      </c>
      <c r="U1510" s="705">
        <v>2482</v>
      </c>
      <c r="V1510" s="705">
        <v>189594</v>
      </c>
      <c r="W1510" s="705">
        <f t="shared" si="68"/>
        <v>189593</v>
      </c>
      <c r="X1510" s="705">
        <f t="shared" si="69"/>
        <v>223080</v>
      </c>
    </row>
    <row r="1511" spans="2:24">
      <c r="B1511" t="s">
        <v>543</v>
      </c>
      <c r="C1511" t="s">
        <v>124</v>
      </c>
      <c r="D1511" t="s">
        <v>585</v>
      </c>
      <c r="E1511" t="s">
        <v>585</v>
      </c>
      <c r="F1511" s="705">
        <v>2</v>
      </c>
      <c r="G1511" s="705">
        <v>364</v>
      </c>
      <c r="H1511" s="705">
        <v>1210</v>
      </c>
      <c r="I1511" s="705">
        <v>158455</v>
      </c>
      <c r="J1511" s="705">
        <v>144050</v>
      </c>
      <c r="K1511" s="705">
        <v>65</v>
      </c>
      <c r="L1511" s="705">
        <v>38147</v>
      </c>
      <c r="M1511" s="705">
        <v>34679</v>
      </c>
      <c r="N1511" s="705">
        <v>6081</v>
      </c>
      <c r="O1511" s="705">
        <v>2252</v>
      </c>
      <c r="P1511" s="705">
        <v>824</v>
      </c>
      <c r="Q1511" s="705">
        <v>305</v>
      </c>
      <c r="R1511" s="705">
        <v>10090</v>
      </c>
      <c r="S1511" s="705">
        <v>9172</v>
      </c>
      <c r="T1511" s="705">
        <v>6842</v>
      </c>
      <c r="U1511" s="705">
        <v>2534</v>
      </c>
      <c r="V1511" s="705">
        <v>192993</v>
      </c>
      <c r="W1511" s="705">
        <f t="shared" si="68"/>
        <v>192992</v>
      </c>
      <c r="X1511" s="705">
        <f t="shared" si="69"/>
        <v>220439</v>
      </c>
    </row>
    <row r="1512" spans="2:24">
      <c r="B1512" t="s">
        <v>544</v>
      </c>
      <c r="C1512" t="s">
        <v>108</v>
      </c>
      <c r="D1512" t="s">
        <v>582</v>
      </c>
      <c r="E1512" t="s">
        <v>582</v>
      </c>
      <c r="F1512" s="705">
        <v>4</v>
      </c>
      <c r="G1512" s="705">
        <v>636</v>
      </c>
      <c r="H1512" s="705">
        <v>232</v>
      </c>
      <c r="I1512" s="705">
        <v>3957</v>
      </c>
      <c r="J1512" s="705">
        <v>3598</v>
      </c>
      <c r="K1512" s="705">
        <v>92</v>
      </c>
      <c r="L1512" s="705">
        <v>394</v>
      </c>
      <c r="M1512" s="705">
        <v>328</v>
      </c>
      <c r="N1512" s="705">
        <v>7749</v>
      </c>
      <c r="O1512" s="705">
        <v>2870</v>
      </c>
      <c r="P1512" s="705">
        <v>6026</v>
      </c>
      <c r="Q1512" s="705">
        <v>2232</v>
      </c>
      <c r="R1512" s="705">
        <v>18821</v>
      </c>
      <c r="S1512" s="705">
        <v>17110</v>
      </c>
      <c r="T1512" s="705">
        <v>0</v>
      </c>
      <c r="U1512" s="705">
        <v>0</v>
      </c>
      <c r="V1512" s="705">
        <v>26138</v>
      </c>
      <c r="W1512" s="705">
        <f t="shared" si="68"/>
        <v>26138</v>
      </c>
      <c r="X1512" s="705">
        <f t="shared" si="69"/>
        <v>36947</v>
      </c>
    </row>
    <row r="1513" spans="2:24">
      <c r="B1513" t="s">
        <v>544</v>
      </c>
      <c r="C1513" t="s">
        <v>108</v>
      </c>
      <c r="D1513" t="s">
        <v>228</v>
      </c>
      <c r="E1513" t="s">
        <v>228</v>
      </c>
      <c r="F1513" s="705">
        <v>62</v>
      </c>
      <c r="G1513" s="705">
        <v>15593</v>
      </c>
      <c r="H1513" s="705">
        <v>3466</v>
      </c>
      <c r="I1513" s="705">
        <v>182551</v>
      </c>
      <c r="J1513" s="705">
        <v>67612</v>
      </c>
      <c r="K1513" s="705">
        <v>449</v>
      </c>
      <c r="L1513" s="705">
        <v>51387</v>
      </c>
      <c r="M1513" s="705">
        <v>43742</v>
      </c>
      <c r="N1513" s="705">
        <v>214089</v>
      </c>
      <c r="O1513" s="705">
        <v>79292</v>
      </c>
      <c r="P1513" s="705">
        <v>100088</v>
      </c>
      <c r="Q1513" s="705">
        <v>37069</v>
      </c>
      <c r="R1513" s="705">
        <v>350305</v>
      </c>
      <c r="S1513" s="705">
        <v>129742</v>
      </c>
      <c r="T1513" s="705">
        <v>0</v>
      </c>
      <c r="U1513" s="705">
        <v>0</v>
      </c>
      <c r="V1513" s="705">
        <v>357458</v>
      </c>
      <c r="W1513" s="705">
        <f t="shared" si="68"/>
        <v>357457</v>
      </c>
      <c r="X1513" s="705">
        <f t="shared" si="69"/>
        <v>898420</v>
      </c>
    </row>
    <row r="1514" spans="2:24">
      <c r="B1514" t="s">
        <v>544</v>
      </c>
      <c r="C1514" t="s">
        <v>108</v>
      </c>
      <c r="D1514" t="s">
        <v>583</v>
      </c>
      <c r="E1514" t="s">
        <v>228</v>
      </c>
      <c r="F1514" s="705">
        <v>3</v>
      </c>
      <c r="G1514" s="705">
        <v>782</v>
      </c>
      <c r="H1514" s="705">
        <v>194</v>
      </c>
      <c r="I1514" s="705">
        <v>19113</v>
      </c>
      <c r="J1514" s="705">
        <v>17375</v>
      </c>
      <c r="K1514" s="705">
        <v>96</v>
      </c>
      <c r="L1514" s="705">
        <v>2747</v>
      </c>
      <c r="M1514" s="705">
        <v>2497</v>
      </c>
      <c r="N1514" s="705">
        <v>10007</v>
      </c>
      <c r="O1514" s="705">
        <v>3706</v>
      </c>
      <c r="P1514" s="705">
        <v>4638</v>
      </c>
      <c r="Q1514" s="705">
        <v>1718</v>
      </c>
      <c r="R1514" s="705">
        <v>14470</v>
      </c>
      <c r="S1514" s="705">
        <v>5359</v>
      </c>
      <c r="T1514" s="705">
        <v>0</v>
      </c>
      <c r="U1514" s="705">
        <v>0</v>
      </c>
      <c r="V1514" s="705">
        <v>30656</v>
      </c>
      <c r="W1514" s="705">
        <f t="shared" si="68"/>
        <v>30655</v>
      </c>
      <c r="X1514" s="705">
        <f t="shared" si="69"/>
        <v>50975</v>
      </c>
    </row>
    <row r="1515" spans="2:24">
      <c r="B1515" t="s">
        <v>544</v>
      </c>
      <c r="C1515" t="s">
        <v>108</v>
      </c>
      <c r="D1515" t="s">
        <v>583</v>
      </c>
      <c r="E1515" t="s">
        <v>583</v>
      </c>
      <c r="F1515" s="705">
        <v>17</v>
      </c>
      <c r="G1515" s="705">
        <v>4435</v>
      </c>
      <c r="H1515" s="705">
        <v>1007</v>
      </c>
      <c r="I1515" s="705">
        <v>79413</v>
      </c>
      <c r="J1515" s="705">
        <v>72194</v>
      </c>
      <c r="K1515" s="705">
        <v>94</v>
      </c>
      <c r="L1515" s="705">
        <v>11204</v>
      </c>
      <c r="M1515" s="705">
        <v>9972</v>
      </c>
      <c r="N1515" s="705">
        <v>57285</v>
      </c>
      <c r="O1515" s="705">
        <v>21217</v>
      </c>
      <c r="P1515" s="705">
        <v>40218</v>
      </c>
      <c r="Q1515" s="705">
        <v>14896</v>
      </c>
      <c r="R1515" s="705">
        <v>72589</v>
      </c>
      <c r="S1515" s="705">
        <v>65990</v>
      </c>
      <c r="T1515" s="705">
        <v>0</v>
      </c>
      <c r="U1515" s="705">
        <v>0</v>
      </c>
      <c r="V1515" s="705">
        <v>184268</v>
      </c>
      <c r="W1515" s="705">
        <f t="shared" si="68"/>
        <v>184269</v>
      </c>
      <c r="X1515" s="705">
        <f t="shared" si="69"/>
        <v>260709</v>
      </c>
    </row>
    <row r="1516" spans="2:24">
      <c r="B1516" t="s">
        <v>544</v>
      </c>
      <c r="C1516" t="s">
        <v>108</v>
      </c>
      <c r="D1516" t="s">
        <v>584</v>
      </c>
      <c r="E1516" t="s">
        <v>228</v>
      </c>
      <c r="F1516" s="705">
        <v>1</v>
      </c>
      <c r="G1516" s="705">
        <v>248</v>
      </c>
      <c r="H1516" s="705">
        <v>56</v>
      </c>
      <c r="I1516" s="705">
        <v>5752</v>
      </c>
      <c r="J1516" s="705">
        <v>5229</v>
      </c>
      <c r="K1516" s="705">
        <v>92</v>
      </c>
      <c r="L1516" s="705">
        <v>794</v>
      </c>
      <c r="M1516" s="705">
        <v>722</v>
      </c>
      <c r="N1516" s="705">
        <v>3024</v>
      </c>
      <c r="O1516" s="705">
        <v>1120</v>
      </c>
      <c r="P1516" s="705">
        <v>473</v>
      </c>
      <c r="Q1516" s="705">
        <v>175</v>
      </c>
      <c r="R1516" s="705">
        <v>3819</v>
      </c>
      <c r="S1516" s="705">
        <v>1414</v>
      </c>
      <c r="T1516" s="705">
        <v>0</v>
      </c>
      <c r="U1516" s="705">
        <v>0</v>
      </c>
      <c r="V1516" s="705">
        <v>8660</v>
      </c>
      <c r="W1516" s="705">
        <f t="shared" si="68"/>
        <v>8660</v>
      </c>
      <c r="X1516" s="705">
        <f t="shared" si="69"/>
        <v>13862</v>
      </c>
    </row>
    <row r="1517" spans="2:24">
      <c r="B1517" t="s">
        <v>544</v>
      </c>
      <c r="C1517" t="s">
        <v>108</v>
      </c>
      <c r="D1517" t="s">
        <v>584</v>
      </c>
      <c r="E1517" t="s">
        <v>584</v>
      </c>
      <c r="F1517" s="705">
        <v>23</v>
      </c>
      <c r="G1517" s="705">
        <v>2856</v>
      </c>
      <c r="H1517" s="705">
        <v>1395</v>
      </c>
      <c r="I1517" s="705">
        <v>38276</v>
      </c>
      <c r="J1517" s="705">
        <v>34797</v>
      </c>
      <c r="K1517" s="705">
        <v>91</v>
      </c>
      <c r="L1517" s="705">
        <v>6918</v>
      </c>
      <c r="M1517" s="705">
        <v>4221</v>
      </c>
      <c r="N1517" s="705">
        <v>34793</v>
      </c>
      <c r="O1517" s="705">
        <v>12886</v>
      </c>
      <c r="P1517" s="705">
        <v>14911</v>
      </c>
      <c r="Q1517" s="705">
        <v>5523</v>
      </c>
      <c r="R1517" s="705">
        <v>75670</v>
      </c>
      <c r="S1517" s="705">
        <v>68791</v>
      </c>
      <c r="T1517" s="705">
        <v>0</v>
      </c>
      <c r="U1517" s="705">
        <v>0</v>
      </c>
      <c r="V1517" s="705">
        <v>126218</v>
      </c>
      <c r="W1517" s="705">
        <f t="shared" si="68"/>
        <v>126218</v>
      </c>
      <c r="X1517" s="705">
        <f t="shared" si="69"/>
        <v>170568</v>
      </c>
    </row>
    <row r="1518" spans="2:24">
      <c r="B1518" t="s">
        <v>544</v>
      </c>
      <c r="C1518" t="s">
        <v>108</v>
      </c>
      <c r="D1518" t="s">
        <v>673</v>
      </c>
      <c r="E1518" t="s">
        <v>673</v>
      </c>
      <c r="F1518" s="705">
        <v>1</v>
      </c>
      <c r="G1518" s="705">
        <v>325</v>
      </c>
      <c r="H1518" s="705">
        <v>62</v>
      </c>
      <c r="I1518" s="705">
        <v>8736</v>
      </c>
      <c r="J1518" s="705">
        <v>7942</v>
      </c>
      <c r="K1518" s="705">
        <v>90</v>
      </c>
      <c r="L1518" s="705">
        <v>971</v>
      </c>
      <c r="M1518" s="705">
        <v>882</v>
      </c>
      <c r="N1518" s="705">
        <v>3961</v>
      </c>
      <c r="O1518" s="705">
        <v>1467</v>
      </c>
      <c r="P1518" s="705">
        <v>3109</v>
      </c>
      <c r="Q1518" s="705">
        <v>1151</v>
      </c>
      <c r="R1518" s="705">
        <v>3370</v>
      </c>
      <c r="S1518" s="705">
        <v>3064</v>
      </c>
      <c r="T1518" s="705">
        <v>0</v>
      </c>
      <c r="U1518" s="705">
        <v>0</v>
      </c>
      <c r="V1518" s="705">
        <v>14506</v>
      </c>
      <c r="W1518" s="705">
        <f t="shared" si="68"/>
        <v>14506</v>
      </c>
      <c r="X1518" s="705">
        <f t="shared" si="69"/>
        <v>20147</v>
      </c>
    </row>
    <row r="1519" spans="2:24">
      <c r="B1519" t="s">
        <v>544</v>
      </c>
      <c r="C1519" t="s">
        <v>108</v>
      </c>
      <c r="D1519" t="s">
        <v>585</v>
      </c>
      <c r="E1519" t="s">
        <v>585</v>
      </c>
      <c r="F1519" s="705">
        <v>1</v>
      </c>
      <c r="G1519" s="705">
        <v>206</v>
      </c>
      <c r="H1519" s="705">
        <v>29</v>
      </c>
      <c r="I1519" s="705">
        <v>-3145</v>
      </c>
      <c r="J1519" s="705">
        <v>-2859</v>
      </c>
      <c r="K1519" s="705">
        <v>90</v>
      </c>
      <c r="L1519" s="705">
        <v>-430</v>
      </c>
      <c r="M1519" s="705">
        <v>-391</v>
      </c>
      <c r="N1519" s="705">
        <v>2505</v>
      </c>
      <c r="O1519" s="705">
        <v>928</v>
      </c>
      <c r="P1519" s="705">
        <v>2234</v>
      </c>
      <c r="Q1519" s="705">
        <v>827</v>
      </c>
      <c r="R1519" s="705">
        <v>4758</v>
      </c>
      <c r="S1519" s="705">
        <v>4326</v>
      </c>
      <c r="T1519" s="705">
        <v>0</v>
      </c>
      <c r="U1519" s="705">
        <v>0</v>
      </c>
      <c r="V1519" s="705">
        <v>2832</v>
      </c>
      <c r="W1519" s="705">
        <f t="shared" si="68"/>
        <v>9331</v>
      </c>
      <c r="X1519" s="705">
        <f t="shared" si="69"/>
        <v>13072</v>
      </c>
    </row>
    <row r="1520" spans="2:24">
      <c r="B1520" t="s">
        <v>544</v>
      </c>
      <c r="C1520" t="s">
        <v>110</v>
      </c>
      <c r="D1520" t="s">
        <v>582</v>
      </c>
      <c r="E1520" t="s">
        <v>582</v>
      </c>
      <c r="F1520" s="705">
        <v>1</v>
      </c>
      <c r="G1520" s="705">
        <v>171</v>
      </c>
      <c r="H1520" s="705">
        <v>99</v>
      </c>
      <c r="I1520" s="705">
        <v>7625</v>
      </c>
      <c r="J1520" s="705">
        <v>6932</v>
      </c>
      <c r="K1520" s="705">
        <v>92</v>
      </c>
      <c r="L1520" s="705">
        <v>1302</v>
      </c>
      <c r="M1520" s="705">
        <v>1184</v>
      </c>
      <c r="N1520" s="705">
        <v>3222</v>
      </c>
      <c r="O1520" s="705">
        <v>1193</v>
      </c>
      <c r="P1520" s="705">
        <v>473</v>
      </c>
      <c r="Q1520" s="705">
        <v>175</v>
      </c>
      <c r="R1520" s="705">
        <v>4216</v>
      </c>
      <c r="S1520" s="705">
        <v>3833</v>
      </c>
      <c r="T1520" s="705">
        <v>0</v>
      </c>
      <c r="U1520" s="705">
        <v>0</v>
      </c>
      <c r="V1520" s="705">
        <v>13316</v>
      </c>
      <c r="W1520" s="705">
        <f t="shared" si="68"/>
        <v>13317</v>
      </c>
      <c r="X1520" s="705">
        <f t="shared" si="69"/>
        <v>16838</v>
      </c>
    </row>
    <row r="1521" spans="2:24">
      <c r="B1521" t="s">
        <v>544</v>
      </c>
      <c r="C1521" t="s">
        <v>110</v>
      </c>
      <c r="D1521" t="s">
        <v>228</v>
      </c>
      <c r="E1521" t="s">
        <v>228</v>
      </c>
      <c r="F1521" s="705">
        <v>12</v>
      </c>
      <c r="G1521" s="705">
        <v>3472</v>
      </c>
      <c r="H1521" s="705">
        <v>1046</v>
      </c>
      <c r="I1521" s="705">
        <v>129341</v>
      </c>
      <c r="J1521" s="705">
        <v>47904</v>
      </c>
      <c r="K1521" s="705">
        <v>374</v>
      </c>
      <c r="L1521" s="705">
        <v>34959</v>
      </c>
      <c r="M1521" s="705">
        <v>31653</v>
      </c>
      <c r="N1521" s="705">
        <v>46739</v>
      </c>
      <c r="O1521" s="705">
        <v>17311</v>
      </c>
      <c r="P1521" s="705">
        <v>27326</v>
      </c>
      <c r="Q1521" s="705">
        <v>10121</v>
      </c>
      <c r="R1521" s="705">
        <v>61869</v>
      </c>
      <c r="S1521" s="705">
        <v>22914</v>
      </c>
      <c r="T1521" s="705">
        <v>0</v>
      </c>
      <c r="U1521" s="705">
        <v>0</v>
      </c>
      <c r="V1521" s="705">
        <v>129903</v>
      </c>
      <c r="W1521" s="705">
        <f t="shared" si="68"/>
        <v>129903</v>
      </c>
      <c r="X1521" s="705">
        <f t="shared" si="69"/>
        <v>300234</v>
      </c>
    </row>
    <row r="1522" spans="2:24">
      <c r="B1522" t="s">
        <v>544</v>
      </c>
      <c r="C1522" t="s">
        <v>110</v>
      </c>
      <c r="D1522" t="s">
        <v>583</v>
      </c>
      <c r="E1522" t="s">
        <v>583</v>
      </c>
      <c r="F1522" s="705">
        <v>21</v>
      </c>
      <c r="G1522" s="705">
        <v>5484</v>
      </c>
      <c r="H1522" s="705">
        <v>1918</v>
      </c>
      <c r="I1522" s="705">
        <v>256941</v>
      </c>
      <c r="J1522" s="705">
        <v>233583</v>
      </c>
      <c r="K1522" s="705">
        <v>94</v>
      </c>
      <c r="L1522" s="705">
        <v>39887</v>
      </c>
      <c r="M1522" s="705">
        <v>36261</v>
      </c>
      <c r="N1522" s="705">
        <v>74536</v>
      </c>
      <c r="O1522" s="705">
        <v>27606</v>
      </c>
      <c r="P1522" s="705">
        <v>27854</v>
      </c>
      <c r="Q1522" s="705">
        <v>10316</v>
      </c>
      <c r="R1522" s="705">
        <v>111052</v>
      </c>
      <c r="S1522" s="705">
        <v>100956</v>
      </c>
      <c r="T1522" s="705">
        <v>0</v>
      </c>
      <c r="U1522" s="705">
        <v>0</v>
      </c>
      <c r="V1522" s="705">
        <v>408722</v>
      </c>
      <c r="W1522" s="705">
        <f t="shared" si="68"/>
        <v>408722</v>
      </c>
      <c r="X1522" s="705">
        <f t="shared" si="69"/>
        <v>510270</v>
      </c>
    </row>
    <row r="1523" spans="2:24">
      <c r="B1523" t="s">
        <v>544</v>
      </c>
      <c r="C1523" t="s">
        <v>110</v>
      </c>
      <c r="D1523" t="s">
        <v>584</v>
      </c>
      <c r="E1523" t="s">
        <v>584</v>
      </c>
      <c r="F1523" s="705">
        <v>9</v>
      </c>
      <c r="G1523" s="705">
        <v>1202</v>
      </c>
      <c r="H1523" s="705">
        <v>781</v>
      </c>
      <c r="I1523" s="705">
        <v>54750</v>
      </c>
      <c r="J1523" s="705">
        <v>49773</v>
      </c>
      <c r="K1523" s="705">
        <v>90</v>
      </c>
      <c r="L1523" s="705">
        <v>6507</v>
      </c>
      <c r="M1523" s="705">
        <v>5915</v>
      </c>
      <c r="N1523" s="705">
        <v>14639</v>
      </c>
      <c r="O1523" s="705">
        <v>5422</v>
      </c>
      <c r="P1523" s="705">
        <v>4604</v>
      </c>
      <c r="Q1523" s="705">
        <v>1705</v>
      </c>
      <c r="R1523" s="705">
        <v>24949</v>
      </c>
      <c r="S1523" s="705">
        <v>22681</v>
      </c>
      <c r="T1523" s="705">
        <v>0</v>
      </c>
      <c r="U1523" s="705">
        <v>0</v>
      </c>
      <c r="V1523" s="705">
        <v>85495</v>
      </c>
      <c r="W1523" s="705">
        <f t="shared" si="68"/>
        <v>85496</v>
      </c>
      <c r="X1523" s="705">
        <f t="shared" si="69"/>
        <v>105449</v>
      </c>
    </row>
    <row r="1524" spans="2:24">
      <c r="B1524" t="s">
        <v>544</v>
      </c>
      <c r="C1524" t="s">
        <v>112</v>
      </c>
      <c r="D1524" t="s">
        <v>582</v>
      </c>
      <c r="E1524" t="s">
        <v>582</v>
      </c>
      <c r="F1524" s="705">
        <v>2</v>
      </c>
      <c r="G1524" s="705">
        <v>533</v>
      </c>
      <c r="H1524" s="705">
        <v>248</v>
      </c>
      <c r="I1524" s="705">
        <v>47385</v>
      </c>
      <c r="J1524" s="705">
        <v>43078</v>
      </c>
      <c r="K1524" s="705">
        <v>87</v>
      </c>
      <c r="L1524" s="705">
        <v>7198</v>
      </c>
      <c r="M1524" s="705">
        <v>6543</v>
      </c>
      <c r="N1524" s="705">
        <v>12779</v>
      </c>
      <c r="O1524" s="705">
        <v>4733</v>
      </c>
      <c r="P1524" s="705">
        <v>1418</v>
      </c>
      <c r="Q1524" s="705">
        <v>525</v>
      </c>
      <c r="R1524" s="705">
        <v>11066</v>
      </c>
      <c r="S1524" s="705">
        <v>10060</v>
      </c>
      <c r="T1524" s="705">
        <v>0</v>
      </c>
      <c r="U1524" s="705">
        <v>0</v>
      </c>
      <c r="V1524" s="705">
        <v>64939</v>
      </c>
      <c r="W1524" s="705">
        <f t="shared" si="68"/>
        <v>64939</v>
      </c>
      <c r="X1524" s="705">
        <f t="shared" si="69"/>
        <v>79846</v>
      </c>
    </row>
    <row r="1525" spans="2:24">
      <c r="B1525" t="s">
        <v>544</v>
      </c>
      <c r="C1525" t="s">
        <v>112</v>
      </c>
      <c r="D1525" t="s">
        <v>228</v>
      </c>
      <c r="E1525" t="s">
        <v>228</v>
      </c>
      <c r="F1525" s="705">
        <v>13</v>
      </c>
      <c r="G1525" s="705">
        <v>2603</v>
      </c>
      <c r="H1525" s="705">
        <v>1420</v>
      </c>
      <c r="I1525" s="705">
        <v>112031</v>
      </c>
      <c r="J1525" s="705">
        <v>41493</v>
      </c>
      <c r="K1525" s="705">
        <v>354</v>
      </c>
      <c r="L1525" s="705">
        <v>37059</v>
      </c>
      <c r="M1525" s="705">
        <v>33568</v>
      </c>
      <c r="N1525" s="705">
        <v>53744</v>
      </c>
      <c r="O1525" s="705">
        <v>19905</v>
      </c>
      <c r="P1525" s="705">
        <v>11154</v>
      </c>
      <c r="Q1525" s="705">
        <v>4131</v>
      </c>
      <c r="R1525" s="705">
        <v>96898</v>
      </c>
      <c r="S1525" s="705">
        <v>35888</v>
      </c>
      <c r="T1525" s="705">
        <v>0</v>
      </c>
      <c r="U1525" s="705">
        <v>0</v>
      </c>
      <c r="V1525" s="705">
        <v>134986</v>
      </c>
      <c r="W1525" s="705">
        <f t="shared" si="68"/>
        <v>134985</v>
      </c>
      <c r="X1525" s="705">
        <f t="shared" si="69"/>
        <v>310886</v>
      </c>
    </row>
    <row r="1526" spans="2:24">
      <c r="B1526" t="s">
        <v>544</v>
      </c>
      <c r="C1526" t="s">
        <v>112</v>
      </c>
      <c r="D1526" t="s">
        <v>583</v>
      </c>
      <c r="E1526" t="s">
        <v>228</v>
      </c>
      <c r="F1526" s="705">
        <v>2</v>
      </c>
      <c r="G1526" s="705">
        <v>593</v>
      </c>
      <c r="H1526" s="705">
        <v>228</v>
      </c>
      <c r="I1526" s="705">
        <v>41460</v>
      </c>
      <c r="J1526" s="705">
        <v>37691</v>
      </c>
      <c r="K1526" s="705">
        <v>95</v>
      </c>
      <c r="L1526" s="705">
        <v>6885</v>
      </c>
      <c r="M1526" s="705">
        <v>6259</v>
      </c>
      <c r="N1526" s="705">
        <v>8558</v>
      </c>
      <c r="O1526" s="705">
        <v>3170</v>
      </c>
      <c r="P1526" s="705">
        <v>1242</v>
      </c>
      <c r="Q1526" s="705">
        <v>460</v>
      </c>
      <c r="R1526" s="705">
        <v>9772</v>
      </c>
      <c r="S1526" s="705">
        <v>3619</v>
      </c>
      <c r="T1526" s="705">
        <v>0</v>
      </c>
      <c r="U1526" s="705">
        <v>0</v>
      </c>
      <c r="V1526" s="705">
        <v>51198</v>
      </c>
      <c r="W1526" s="705">
        <f t="shared" si="68"/>
        <v>51199</v>
      </c>
      <c r="X1526" s="705">
        <f t="shared" si="69"/>
        <v>67917</v>
      </c>
    </row>
    <row r="1527" spans="2:24">
      <c r="B1527" t="s">
        <v>544</v>
      </c>
      <c r="C1527" t="s">
        <v>112</v>
      </c>
      <c r="D1527" t="s">
        <v>583</v>
      </c>
      <c r="E1527" t="s">
        <v>583</v>
      </c>
      <c r="F1527" s="705">
        <v>58</v>
      </c>
      <c r="G1527" s="705">
        <v>15033</v>
      </c>
      <c r="H1527" s="705">
        <v>6601</v>
      </c>
      <c r="I1527" s="705">
        <v>1034146</v>
      </c>
      <c r="J1527" s="705">
        <v>940133</v>
      </c>
      <c r="K1527" s="705">
        <v>93</v>
      </c>
      <c r="L1527" s="705">
        <v>183820</v>
      </c>
      <c r="M1527" s="705">
        <v>166638</v>
      </c>
      <c r="N1527" s="705">
        <v>270222</v>
      </c>
      <c r="O1527" s="705">
        <v>100082</v>
      </c>
      <c r="P1527" s="705">
        <v>55780</v>
      </c>
      <c r="Q1527" s="705">
        <v>20659</v>
      </c>
      <c r="R1527" s="705">
        <v>313961</v>
      </c>
      <c r="S1527" s="705">
        <v>285419</v>
      </c>
      <c r="T1527" s="705">
        <v>6045</v>
      </c>
      <c r="U1527" s="705">
        <v>2239</v>
      </c>
      <c r="V1527" s="705">
        <v>1515171</v>
      </c>
      <c r="W1527" s="705">
        <f t="shared" si="68"/>
        <v>1515170</v>
      </c>
      <c r="X1527" s="705">
        <f t="shared" si="69"/>
        <v>1863974</v>
      </c>
    </row>
    <row r="1528" spans="2:24">
      <c r="B1528" t="s">
        <v>544</v>
      </c>
      <c r="C1528" t="s">
        <v>112</v>
      </c>
      <c r="D1528" t="s">
        <v>584</v>
      </c>
      <c r="E1528" t="s">
        <v>584</v>
      </c>
      <c r="F1528" s="705">
        <v>49</v>
      </c>
      <c r="G1528" s="705">
        <v>8288</v>
      </c>
      <c r="H1528" s="705">
        <v>5592</v>
      </c>
      <c r="I1528" s="705">
        <v>496106</v>
      </c>
      <c r="J1528" s="705">
        <v>451006</v>
      </c>
      <c r="K1528" s="705">
        <v>91</v>
      </c>
      <c r="L1528" s="705">
        <v>87293</v>
      </c>
      <c r="M1528" s="705">
        <v>69665</v>
      </c>
      <c r="N1528" s="705">
        <v>136660</v>
      </c>
      <c r="O1528" s="705">
        <v>50615</v>
      </c>
      <c r="P1528" s="705">
        <v>35438</v>
      </c>
      <c r="Q1528" s="705">
        <v>13125</v>
      </c>
      <c r="R1528" s="705">
        <v>217338</v>
      </c>
      <c r="S1528" s="705">
        <v>197580</v>
      </c>
      <c r="T1528" s="705">
        <v>0</v>
      </c>
      <c r="U1528" s="705">
        <v>0</v>
      </c>
      <c r="V1528" s="705">
        <v>781990</v>
      </c>
      <c r="W1528" s="705">
        <f t="shared" si="68"/>
        <v>781991</v>
      </c>
      <c r="X1528" s="705">
        <f t="shared" si="69"/>
        <v>972835</v>
      </c>
    </row>
    <row r="1529" spans="2:24">
      <c r="B1529" t="s">
        <v>544</v>
      </c>
      <c r="C1529" t="s">
        <v>112</v>
      </c>
      <c r="D1529" t="s">
        <v>585</v>
      </c>
      <c r="E1529" t="s">
        <v>585</v>
      </c>
      <c r="F1529" s="705">
        <v>3</v>
      </c>
      <c r="G1529" s="705">
        <v>643</v>
      </c>
      <c r="H1529" s="705">
        <v>361</v>
      </c>
      <c r="I1529" s="705">
        <v>42590</v>
      </c>
      <c r="J1529" s="705">
        <v>38718</v>
      </c>
      <c r="K1529" s="705">
        <v>87</v>
      </c>
      <c r="L1529" s="705">
        <v>6451</v>
      </c>
      <c r="M1529" s="705">
        <v>5865</v>
      </c>
      <c r="N1529" s="705">
        <v>10630</v>
      </c>
      <c r="O1529" s="705">
        <v>3937</v>
      </c>
      <c r="P1529" s="705">
        <v>1755</v>
      </c>
      <c r="Q1529" s="705">
        <v>650</v>
      </c>
      <c r="R1529" s="705">
        <v>15756</v>
      </c>
      <c r="S1529" s="705">
        <v>14324</v>
      </c>
      <c r="T1529" s="705">
        <v>0</v>
      </c>
      <c r="U1529" s="705">
        <v>0</v>
      </c>
      <c r="V1529" s="705">
        <v>63493</v>
      </c>
      <c r="W1529" s="705">
        <f t="shared" si="68"/>
        <v>63494</v>
      </c>
      <c r="X1529" s="705">
        <f t="shared" si="69"/>
        <v>77182</v>
      </c>
    </row>
    <row r="1530" spans="2:24">
      <c r="B1530" t="s">
        <v>544</v>
      </c>
      <c r="C1530" t="s">
        <v>114</v>
      </c>
      <c r="D1530" t="s">
        <v>664</v>
      </c>
      <c r="E1530" t="s">
        <v>582</v>
      </c>
      <c r="F1530" s="705">
        <v>1</v>
      </c>
      <c r="G1530" s="705">
        <v>202</v>
      </c>
      <c r="H1530" s="705">
        <v>139</v>
      </c>
      <c r="I1530" s="705">
        <v>21082</v>
      </c>
      <c r="J1530" s="705">
        <v>19165</v>
      </c>
      <c r="K1530" s="705">
        <v>90</v>
      </c>
      <c r="L1530" s="705">
        <v>3646</v>
      </c>
      <c r="M1530" s="705">
        <v>3038</v>
      </c>
      <c r="N1530" s="705">
        <v>4852</v>
      </c>
      <c r="O1530" s="705">
        <v>1797</v>
      </c>
      <c r="P1530" s="705">
        <v>473</v>
      </c>
      <c r="Q1530" s="705">
        <v>175</v>
      </c>
      <c r="R1530" s="705">
        <v>6815</v>
      </c>
      <c r="S1530" s="705">
        <v>6196</v>
      </c>
      <c r="T1530" s="705">
        <v>0</v>
      </c>
      <c r="U1530" s="705">
        <v>0</v>
      </c>
      <c r="V1530" s="705">
        <v>30371</v>
      </c>
      <c r="W1530" s="705">
        <f t="shared" si="68"/>
        <v>30371</v>
      </c>
      <c r="X1530" s="705">
        <f t="shared" si="69"/>
        <v>36868</v>
      </c>
    </row>
    <row r="1531" spans="2:24">
      <c r="B1531" t="s">
        <v>544</v>
      </c>
      <c r="C1531" t="s">
        <v>114</v>
      </c>
      <c r="D1531" t="s">
        <v>582</v>
      </c>
      <c r="E1531" t="s">
        <v>582</v>
      </c>
      <c r="F1531" s="705">
        <v>8</v>
      </c>
      <c r="G1531" s="705">
        <v>1257</v>
      </c>
      <c r="H1531" s="705">
        <v>1138</v>
      </c>
      <c r="I1531" s="705">
        <v>97085</v>
      </c>
      <c r="J1531" s="705">
        <v>88259</v>
      </c>
      <c r="K1531" s="705">
        <v>91</v>
      </c>
      <c r="L1531" s="705">
        <v>17737</v>
      </c>
      <c r="M1531" s="705">
        <v>16009</v>
      </c>
      <c r="N1531" s="705">
        <v>27168</v>
      </c>
      <c r="O1531" s="705">
        <v>10062</v>
      </c>
      <c r="P1531" s="705">
        <v>3780</v>
      </c>
      <c r="Q1531" s="705">
        <v>1400</v>
      </c>
      <c r="R1531" s="705">
        <v>44321</v>
      </c>
      <c r="S1531" s="705">
        <v>40292</v>
      </c>
      <c r="T1531" s="705">
        <v>0</v>
      </c>
      <c r="U1531" s="705">
        <v>0</v>
      </c>
      <c r="V1531" s="705">
        <v>156021</v>
      </c>
      <c r="W1531" s="705">
        <f t="shared" si="68"/>
        <v>156022</v>
      </c>
      <c r="X1531" s="705">
        <f t="shared" si="69"/>
        <v>190091</v>
      </c>
    </row>
    <row r="1532" spans="2:24">
      <c r="B1532" t="s">
        <v>544</v>
      </c>
      <c r="C1532" t="s">
        <v>114</v>
      </c>
      <c r="D1532" t="s">
        <v>228</v>
      </c>
      <c r="E1532" t="s">
        <v>228</v>
      </c>
      <c r="F1532" s="705">
        <v>7</v>
      </c>
      <c r="G1532" s="705">
        <v>1946</v>
      </c>
      <c r="H1532" s="705">
        <v>974</v>
      </c>
      <c r="I1532" s="705">
        <v>146639</v>
      </c>
      <c r="J1532" s="705">
        <v>54311</v>
      </c>
      <c r="K1532" s="705">
        <v>290</v>
      </c>
      <c r="L1532" s="705">
        <v>38978</v>
      </c>
      <c r="M1532" s="705">
        <v>32955</v>
      </c>
      <c r="N1532" s="705">
        <v>38396</v>
      </c>
      <c r="O1532" s="705">
        <v>14221</v>
      </c>
      <c r="P1532" s="705">
        <v>2930</v>
      </c>
      <c r="Q1532" s="705">
        <v>1085</v>
      </c>
      <c r="R1532" s="705">
        <v>57495</v>
      </c>
      <c r="S1532" s="705">
        <v>21295</v>
      </c>
      <c r="T1532" s="705">
        <v>0</v>
      </c>
      <c r="U1532" s="705">
        <v>0</v>
      </c>
      <c r="V1532" s="705">
        <v>123866</v>
      </c>
      <c r="W1532" s="705">
        <f t="shared" si="68"/>
        <v>123867</v>
      </c>
      <c r="X1532" s="705">
        <f t="shared" si="69"/>
        <v>284438</v>
      </c>
    </row>
    <row r="1533" spans="2:24">
      <c r="B1533" t="s">
        <v>544</v>
      </c>
      <c r="C1533" t="s">
        <v>114</v>
      </c>
      <c r="D1533" t="s">
        <v>583</v>
      </c>
      <c r="E1533" t="s">
        <v>583</v>
      </c>
      <c r="F1533" s="705">
        <v>190</v>
      </c>
      <c r="G1533" s="705">
        <v>41024</v>
      </c>
      <c r="H1533" s="705">
        <v>26661</v>
      </c>
      <c r="I1533" s="705">
        <v>3369489</v>
      </c>
      <c r="J1533" s="705">
        <v>3063172</v>
      </c>
      <c r="K1533" s="705">
        <v>90</v>
      </c>
      <c r="L1533" s="705">
        <v>603956</v>
      </c>
      <c r="M1533" s="705">
        <v>550984</v>
      </c>
      <c r="N1533" s="705">
        <v>793240</v>
      </c>
      <c r="O1533" s="705">
        <v>293793</v>
      </c>
      <c r="P1533" s="705">
        <v>133668</v>
      </c>
      <c r="Q1533" s="705">
        <v>49507</v>
      </c>
      <c r="R1533" s="705">
        <v>1083395</v>
      </c>
      <c r="S1533" s="705">
        <v>984905</v>
      </c>
      <c r="T1533" s="705">
        <v>71942</v>
      </c>
      <c r="U1533" s="705">
        <v>26645</v>
      </c>
      <c r="V1533" s="705">
        <v>4969005</v>
      </c>
      <c r="W1533" s="705">
        <f t="shared" si="68"/>
        <v>4969006</v>
      </c>
      <c r="X1533" s="705">
        <f t="shared" si="69"/>
        <v>6055690</v>
      </c>
    </row>
    <row r="1534" spans="2:24">
      <c r="B1534" t="s">
        <v>544</v>
      </c>
      <c r="C1534" t="s">
        <v>114</v>
      </c>
      <c r="D1534" t="s">
        <v>584</v>
      </c>
      <c r="E1534" t="s">
        <v>584</v>
      </c>
      <c r="F1534" s="705">
        <v>188</v>
      </c>
      <c r="G1534" s="705">
        <v>30957</v>
      </c>
      <c r="H1534" s="705">
        <v>26277</v>
      </c>
      <c r="I1534" s="705">
        <v>2199036</v>
      </c>
      <c r="J1534" s="705">
        <v>1999124</v>
      </c>
      <c r="K1534" s="705">
        <v>88</v>
      </c>
      <c r="L1534" s="705">
        <v>474370</v>
      </c>
      <c r="M1534" s="705">
        <v>417919</v>
      </c>
      <c r="N1534" s="705">
        <v>593215</v>
      </c>
      <c r="O1534" s="705">
        <v>219709</v>
      </c>
      <c r="P1534" s="705">
        <v>105705</v>
      </c>
      <c r="Q1534" s="705">
        <v>39150</v>
      </c>
      <c r="R1534" s="705">
        <v>1000928</v>
      </c>
      <c r="S1534" s="705">
        <v>909934</v>
      </c>
      <c r="T1534" s="705">
        <v>8256</v>
      </c>
      <c r="U1534" s="705">
        <v>3058</v>
      </c>
      <c r="V1534" s="705">
        <v>3588894</v>
      </c>
      <c r="W1534" s="705">
        <f t="shared" si="68"/>
        <v>3588894</v>
      </c>
      <c r="X1534" s="705">
        <f t="shared" si="69"/>
        <v>4381510</v>
      </c>
    </row>
    <row r="1535" spans="2:24">
      <c r="B1535" t="s">
        <v>544</v>
      </c>
      <c r="C1535" t="s">
        <v>114</v>
      </c>
      <c r="D1535" t="s">
        <v>584</v>
      </c>
      <c r="E1535" t="s">
        <v>665</v>
      </c>
      <c r="F1535" s="705">
        <v>1</v>
      </c>
      <c r="G1535" s="705">
        <v>116</v>
      </c>
      <c r="H1535" s="705">
        <v>139</v>
      </c>
      <c r="I1535" s="705">
        <v>13120</v>
      </c>
      <c r="J1535" s="705">
        <v>11928</v>
      </c>
      <c r="K1535" s="705">
        <v>90</v>
      </c>
      <c r="L1535" s="705">
        <v>4388</v>
      </c>
      <c r="M1535" s="705">
        <v>3989</v>
      </c>
      <c r="N1535" s="705">
        <v>2310</v>
      </c>
      <c r="O1535" s="705">
        <v>856</v>
      </c>
      <c r="P1535" s="705">
        <v>1094</v>
      </c>
      <c r="Q1535" s="705">
        <v>405</v>
      </c>
      <c r="R1535" s="705">
        <v>5426</v>
      </c>
      <c r="S1535" s="705">
        <v>4933</v>
      </c>
      <c r="T1535" s="705">
        <v>0</v>
      </c>
      <c r="U1535" s="705">
        <v>0</v>
      </c>
      <c r="V1535" s="705">
        <v>22110</v>
      </c>
      <c r="W1535" s="705">
        <f t="shared" si="68"/>
        <v>22111</v>
      </c>
      <c r="X1535" s="705">
        <f t="shared" si="69"/>
        <v>26338</v>
      </c>
    </row>
    <row r="1536" spans="2:24">
      <c r="B1536" t="s">
        <v>544</v>
      </c>
      <c r="C1536" t="s">
        <v>114</v>
      </c>
      <c r="D1536" t="s">
        <v>665</v>
      </c>
      <c r="E1536" t="s">
        <v>665</v>
      </c>
      <c r="F1536" s="705">
        <v>1</v>
      </c>
      <c r="G1536" s="705">
        <v>195</v>
      </c>
      <c r="H1536" s="705">
        <v>149</v>
      </c>
      <c r="I1536" s="705">
        <v>18860</v>
      </c>
      <c r="J1536" s="705">
        <v>17146</v>
      </c>
      <c r="K1536" s="705">
        <v>70</v>
      </c>
      <c r="L1536" s="705">
        <v>0</v>
      </c>
      <c r="M1536" s="705">
        <v>0</v>
      </c>
      <c r="N1536" s="705">
        <v>2689</v>
      </c>
      <c r="O1536" s="705">
        <v>996</v>
      </c>
      <c r="P1536" s="705">
        <v>351</v>
      </c>
      <c r="Q1536" s="705">
        <v>130</v>
      </c>
      <c r="R1536" s="705">
        <v>7174</v>
      </c>
      <c r="S1536" s="705">
        <v>6522</v>
      </c>
      <c r="T1536" s="705">
        <v>0</v>
      </c>
      <c r="U1536" s="705">
        <v>0</v>
      </c>
      <c r="V1536" s="705">
        <v>24793</v>
      </c>
      <c r="W1536" s="705">
        <f t="shared" si="68"/>
        <v>24794</v>
      </c>
      <c r="X1536" s="705">
        <f t="shared" si="69"/>
        <v>29074</v>
      </c>
    </row>
    <row r="1537" spans="2:24">
      <c r="B1537" t="s">
        <v>544</v>
      </c>
      <c r="C1537" t="s">
        <v>114</v>
      </c>
      <c r="D1537" t="s">
        <v>722</v>
      </c>
      <c r="E1537" t="s">
        <v>722</v>
      </c>
      <c r="F1537" s="705">
        <v>1</v>
      </c>
      <c r="G1537" s="705">
        <v>440</v>
      </c>
      <c r="H1537" s="705">
        <v>130</v>
      </c>
      <c r="I1537" s="705">
        <v>37057</v>
      </c>
      <c r="J1537" s="705">
        <v>33688</v>
      </c>
      <c r="K1537" s="705">
        <v>83</v>
      </c>
      <c r="L1537" s="705">
        <v>4573</v>
      </c>
      <c r="M1537" s="705">
        <v>4157</v>
      </c>
      <c r="N1537" s="705">
        <v>8416</v>
      </c>
      <c r="O1537" s="705">
        <v>3117</v>
      </c>
      <c r="P1537" s="705">
        <v>351</v>
      </c>
      <c r="Q1537" s="705">
        <v>130</v>
      </c>
      <c r="R1537" s="705">
        <v>6718</v>
      </c>
      <c r="S1537" s="705">
        <v>6107</v>
      </c>
      <c r="T1537" s="705">
        <v>0</v>
      </c>
      <c r="U1537" s="705">
        <v>0</v>
      </c>
      <c r="V1537" s="705">
        <v>47199</v>
      </c>
      <c r="W1537" s="705">
        <f t="shared" si="68"/>
        <v>47199</v>
      </c>
      <c r="X1537" s="705">
        <f t="shared" si="69"/>
        <v>57115</v>
      </c>
    </row>
    <row r="1538" spans="2:24">
      <c r="B1538" t="s">
        <v>544</v>
      </c>
      <c r="C1538" t="s">
        <v>114</v>
      </c>
      <c r="D1538" t="s">
        <v>673</v>
      </c>
      <c r="E1538" t="s">
        <v>673</v>
      </c>
      <c r="F1538" s="705">
        <v>2</v>
      </c>
      <c r="G1538" s="705">
        <v>651</v>
      </c>
      <c r="H1538" s="705">
        <v>286</v>
      </c>
      <c r="I1538" s="705">
        <v>72957</v>
      </c>
      <c r="J1538" s="705">
        <v>66324</v>
      </c>
      <c r="K1538" s="705">
        <v>69</v>
      </c>
      <c r="L1538" s="705">
        <v>9045</v>
      </c>
      <c r="M1538" s="705">
        <v>8223</v>
      </c>
      <c r="N1538" s="705">
        <v>9479</v>
      </c>
      <c r="O1538" s="705">
        <v>3511</v>
      </c>
      <c r="P1538" s="705">
        <v>1323</v>
      </c>
      <c r="Q1538" s="705">
        <v>490</v>
      </c>
      <c r="R1538" s="705">
        <v>12065</v>
      </c>
      <c r="S1538" s="705">
        <v>10968</v>
      </c>
      <c r="T1538" s="705">
        <v>0</v>
      </c>
      <c r="U1538" s="705">
        <v>0</v>
      </c>
      <c r="V1538" s="705">
        <v>89516</v>
      </c>
      <c r="W1538" s="705">
        <f t="shared" si="68"/>
        <v>89516</v>
      </c>
      <c r="X1538" s="705">
        <f t="shared" si="69"/>
        <v>104869</v>
      </c>
    </row>
    <row r="1539" spans="2:24">
      <c r="B1539" t="s">
        <v>544</v>
      </c>
      <c r="C1539" t="s">
        <v>114</v>
      </c>
      <c r="D1539" t="s">
        <v>585</v>
      </c>
      <c r="E1539" t="s">
        <v>585</v>
      </c>
      <c r="F1539" s="705">
        <v>2</v>
      </c>
      <c r="G1539" s="705">
        <v>686</v>
      </c>
      <c r="H1539" s="705">
        <v>292</v>
      </c>
      <c r="I1539" s="705">
        <v>65370</v>
      </c>
      <c r="J1539" s="705">
        <v>59427</v>
      </c>
      <c r="K1539" s="705">
        <v>78</v>
      </c>
      <c r="L1539" s="705">
        <v>7901</v>
      </c>
      <c r="M1539" s="705">
        <v>7183</v>
      </c>
      <c r="N1539" s="705">
        <v>13045</v>
      </c>
      <c r="O1539" s="705">
        <v>4832</v>
      </c>
      <c r="P1539" s="705">
        <v>702</v>
      </c>
      <c r="Q1539" s="705">
        <v>260</v>
      </c>
      <c r="R1539" s="705">
        <v>13478</v>
      </c>
      <c r="S1539" s="705">
        <v>12252</v>
      </c>
      <c r="T1539" s="705">
        <v>0</v>
      </c>
      <c r="U1539" s="705">
        <v>0</v>
      </c>
      <c r="V1539" s="705">
        <v>83954</v>
      </c>
      <c r="W1539" s="705">
        <f t="shared" si="68"/>
        <v>83954</v>
      </c>
      <c r="X1539" s="705">
        <f t="shared" si="69"/>
        <v>100496</v>
      </c>
    </row>
    <row r="1540" spans="2:24">
      <c r="B1540" t="s">
        <v>544</v>
      </c>
      <c r="C1540" t="s">
        <v>116</v>
      </c>
      <c r="D1540" t="s">
        <v>664</v>
      </c>
      <c r="E1540" t="s">
        <v>664</v>
      </c>
      <c r="F1540" s="705">
        <v>2</v>
      </c>
      <c r="G1540" s="705">
        <v>275</v>
      </c>
      <c r="H1540" s="705">
        <v>351</v>
      </c>
      <c r="I1540" s="705">
        <v>33079</v>
      </c>
      <c r="J1540" s="705">
        <v>30072</v>
      </c>
      <c r="K1540" s="705">
        <v>88</v>
      </c>
      <c r="L1540" s="705">
        <v>7372</v>
      </c>
      <c r="M1540" s="705">
        <v>6702</v>
      </c>
      <c r="N1540" s="705">
        <v>6209</v>
      </c>
      <c r="O1540" s="705">
        <v>2300</v>
      </c>
      <c r="P1540" s="705">
        <v>824</v>
      </c>
      <c r="Q1540" s="705">
        <v>305</v>
      </c>
      <c r="R1540" s="705">
        <v>12976</v>
      </c>
      <c r="S1540" s="705">
        <v>11797</v>
      </c>
      <c r="T1540" s="705">
        <v>0</v>
      </c>
      <c r="U1540" s="705">
        <v>0</v>
      </c>
      <c r="V1540" s="705">
        <v>51175</v>
      </c>
      <c r="W1540" s="705">
        <f t="shared" si="68"/>
        <v>51176</v>
      </c>
      <c r="X1540" s="705">
        <f t="shared" si="69"/>
        <v>60460</v>
      </c>
    </row>
    <row r="1541" spans="2:24">
      <c r="B1541" t="s">
        <v>544</v>
      </c>
      <c r="C1541" t="s">
        <v>116</v>
      </c>
      <c r="D1541" t="s">
        <v>582</v>
      </c>
      <c r="E1541" t="s">
        <v>582</v>
      </c>
      <c r="F1541" s="705">
        <v>25</v>
      </c>
      <c r="G1541" s="705">
        <v>3739</v>
      </c>
      <c r="H1541" s="705">
        <v>4922</v>
      </c>
      <c r="I1541" s="705">
        <v>442120</v>
      </c>
      <c r="J1541" s="705">
        <v>401927</v>
      </c>
      <c r="K1541" s="705">
        <v>87</v>
      </c>
      <c r="L1541" s="705">
        <v>95851</v>
      </c>
      <c r="M1541" s="705">
        <v>78202</v>
      </c>
      <c r="N1541" s="705">
        <v>78448</v>
      </c>
      <c r="O1541" s="705">
        <v>29055</v>
      </c>
      <c r="P1541" s="705">
        <v>13825</v>
      </c>
      <c r="Q1541" s="705">
        <v>5120</v>
      </c>
      <c r="R1541" s="705">
        <v>122923</v>
      </c>
      <c r="S1541" s="705">
        <v>111748</v>
      </c>
      <c r="T1541" s="705">
        <v>15866</v>
      </c>
      <c r="U1541" s="705">
        <v>5876</v>
      </c>
      <c r="V1541" s="705">
        <v>631929</v>
      </c>
      <c r="W1541" s="705">
        <f t="shared" si="68"/>
        <v>631928</v>
      </c>
      <c r="X1541" s="705">
        <f t="shared" si="69"/>
        <v>769033</v>
      </c>
    </row>
    <row r="1542" spans="2:24">
      <c r="B1542" t="s">
        <v>544</v>
      </c>
      <c r="C1542" t="s">
        <v>116</v>
      </c>
      <c r="D1542" t="s">
        <v>228</v>
      </c>
      <c r="E1542" t="s">
        <v>228</v>
      </c>
      <c r="F1542" s="705">
        <v>14</v>
      </c>
      <c r="G1542" s="705">
        <v>3573</v>
      </c>
      <c r="H1542" s="705">
        <v>2747</v>
      </c>
      <c r="I1542" s="705">
        <v>424997</v>
      </c>
      <c r="J1542" s="705">
        <v>157406</v>
      </c>
      <c r="K1542" s="705">
        <v>198</v>
      </c>
      <c r="L1542" s="705">
        <v>68496</v>
      </c>
      <c r="M1542" s="705">
        <v>57674</v>
      </c>
      <c r="N1542" s="705">
        <v>63666</v>
      </c>
      <c r="O1542" s="705">
        <v>23580</v>
      </c>
      <c r="P1542" s="705">
        <v>17678</v>
      </c>
      <c r="Q1542" s="705">
        <v>6547</v>
      </c>
      <c r="R1542" s="705">
        <v>138730</v>
      </c>
      <c r="S1542" s="705">
        <v>51381</v>
      </c>
      <c r="T1542" s="705">
        <v>4565</v>
      </c>
      <c r="U1542" s="705">
        <v>1691</v>
      </c>
      <c r="V1542" s="705">
        <v>298280</v>
      </c>
      <c r="W1542" s="705">
        <f t="shared" si="68"/>
        <v>298279</v>
      </c>
      <c r="X1542" s="705">
        <f t="shared" si="69"/>
        <v>718132</v>
      </c>
    </row>
    <row r="1543" spans="2:24">
      <c r="B1543" t="s">
        <v>544</v>
      </c>
      <c r="C1543" t="s">
        <v>116</v>
      </c>
      <c r="D1543" t="s">
        <v>228</v>
      </c>
      <c r="E1543" t="s">
        <v>583</v>
      </c>
      <c r="F1543" s="705">
        <v>1</v>
      </c>
      <c r="G1543" s="705">
        <v>408</v>
      </c>
      <c r="H1543" s="705">
        <v>180</v>
      </c>
      <c r="I1543" s="705">
        <v>53771</v>
      </c>
      <c r="J1543" s="705">
        <v>19915</v>
      </c>
      <c r="K1543" s="705">
        <v>100</v>
      </c>
      <c r="L1543" s="705">
        <v>2617</v>
      </c>
      <c r="M1543" s="705">
        <v>2379</v>
      </c>
      <c r="N1543" s="705">
        <v>5614</v>
      </c>
      <c r="O1543" s="705">
        <v>2079</v>
      </c>
      <c r="P1543" s="705">
        <v>4401</v>
      </c>
      <c r="Q1543" s="705">
        <v>1630</v>
      </c>
      <c r="R1543" s="705">
        <v>7088</v>
      </c>
      <c r="S1543" s="705">
        <v>6444</v>
      </c>
      <c r="T1543" s="705">
        <v>0</v>
      </c>
      <c r="U1543" s="705">
        <v>0</v>
      </c>
      <c r="V1543" s="705">
        <v>32448</v>
      </c>
      <c r="W1543" s="705">
        <f t="shared" ref="W1543:W1606" si="70">SUM(ABS(J1543),ABS(M1543),ABS(O1543),ABS(Q1543),ABS(S1543),ABS(U1543))</f>
        <v>32447</v>
      </c>
      <c r="X1543" s="705">
        <f t="shared" ref="X1543:X1606" si="71">SUM(ABS(I1543),ABS(N1543),ABS(P1543),ABS(R1543),ABS(T1543),ABS(L1543))</f>
        <v>73491</v>
      </c>
    </row>
    <row r="1544" spans="2:24">
      <c r="B1544" t="s">
        <v>544</v>
      </c>
      <c r="C1544" t="s">
        <v>116</v>
      </c>
      <c r="D1544" t="s">
        <v>583</v>
      </c>
      <c r="E1544" t="s">
        <v>664</v>
      </c>
      <c r="F1544" s="705">
        <v>1</v>
      </c>
      <c r="G1544" s="705">
        <v>158</v>
      </c>
      <c r="H1544" s="705">
        <v>199</v>
      </c>
      <c r="I1544" s="705">
        <v>17102</v>
      </c>
      <c r="J1544" s="705">
        <v>15547</v>
      </c>
      <c r="K1544" s="705">
        <v>84</v>
      </c>
      <c r="L1544" s="705">
        <v>2743</v>
      </c>
      <c r="M1544" s="705">
        <v>2494</v>
      </c>
      <c r="N1544" s="705">
        <v>3507</v>
      </c>
      <c r="O1544" s="705">
        <v>1299</v>
      </c>
      <c r="P1544" s="705">
        <v>621</v>
      </c>
      <c r="Q1544" s="705">
        <v>230</v>
      </c>
      <c r="R1544" s="705">
        <v>4369</v>
      </c>
      <c r="S1544" s="705">
        <v>3971</v>
      </c>
      <c r="T1544" s="705">
        <v>3108</v>
      </c>
      <c r="U1544" s="705">
        <v>1151</v>
      </c>
      <c r="V1544" s="705">
        <v>24692</v>
      </c>
      <c r="W1544" s="705">
        <f t="shared" si="70"/>
        <v>24692</v>
      </c>
      <c r="X1544" s="705">
        <f t="shared" si="71"/>
        <v>31450</v>
      </c>
    </row>
    <row r="1545" spans="2:24">
      <c r="B1545" t="s">
        <v>544</v>
      </c>
      <c r="C1545" t="s">
        <v>116</v>
      </c>
      <c r="D1545" t="s">
        <v>583</v>
      </c>
      <c r="E1545" t="s">
        <v>228</v>
      </c>
      <c r="F1545" s="705">
        <v>3</v>
      </c>
      <c r="G1545" s="705">
        <v>452</v>
      </c>
      <c r="H1545" s="705">
        <v>563</v>
      </c>
      <c r="I1545" s="705">
        <v>37467</v>
      </c>
      <c r="J1545" s="705">
        <v>34061</v>
      </c>
      <c r="K1545" s="705">
        <v>87</v>
      </c>
      <c r="L1545" s="705">
        <v>8102</v>
      </c>
      <c r="M1545" s="705">
        <v>7365</v>
      </c>
      <c r="N1545" s="705">
        <v>7449</v>
      </c>
      <c r="O1545" s="705">
        <v>2759</v>
      </c>
      <c r="P1545" s="705">
        <v>1863</v>
      </c>
      <c r="Q1545" s="705">
        <v>690</v>
      </c>
      <c r="R1545" s="705">
        <v>29505</v>
      </c>
      <c r="S1545" s="705">
        <v>10928</v>
      </c>
      <c r="T1545" s="705">
        <v>0</v>
      </c>
      <c r="U1545" s="705">
        <v>0</v>
      </c>
      <c r="V1545" s="705">
        <v>55803</v>
      </c>
      <c r="W1545" s="705">
        <f t="shared" si="70"/>
        <v>55803</v>
      </c>
      <c r="X1545" s="705">
        <f t="shared" si="71"/>
        <v>84386</v>
      </c>
    </row>
    <row r="1546" spans="2:24">
      <c r="B1546" t="s">
        <v>544</v>
      </c>
      <c r="C1546" t="s">
        <v>116</v>
      </c>
      <c r="D1546" t="s">
        <v>583</v>
      </c>
      <c r="E1546" t="s">
        <v>583</v>
      </c>
      <c r="F1546" s="705">
        <v>1498</v>
      </c>
      <c r="G1546" s="705">
        <v>243984</v>
      </c>
      <c r="H1546" s="705">
        <v>286897</v>
      </c>
      <c r="I1546" s="705">
        <v>27343621</v>
      </c>
      <c r="J1546" s="705">
        <v>24857837</v>
      </c>
      <c r="K1546" s="705">
        <v>86</v>
      </c>
      <c r="L1546" s="705">
        <v>5437045</v>
      </c>
      <c r="M1546" s="705">
        <v>4857333</v>
      </c>
      <c r="N1546" s="705">
        <v>4986889</v>
      </c>
      <c r="O1546" s="705">
        <v>1846996</v>
      </c>
      <c r="P1546" s="705">
        <v>995392</v>
      </c>
      <c r="Q1546" s="705">
        <v>368664</v>
      </c>
      <c r="R1546" s="705">
        <v>8164168</v>
      </c>
      <c r="S1546" s="705">
        <v>7421971</v>
      </c>
      <c r="T1546" s="705">
        <v>1468101</v>
      </c>
      <c r="U1546" s="705">
        <v>543741</v>
      </c>
      <c r="V1546" s="705">
        <v>39896542</v>
      </c>
      <c r="W1546" s="705">
        <f t="shared" si="70"/>
        <v>39896542</v>
      </c>
      <c r="X1546" s="705">
        <f t="shared" si="71"/>
        <v>48395216</v>
      </c>
    </row>
    <row r="1547" spans="2:24">
      <c r="B1547" t="s">
        <v>544</v>
      </c>
      <c r="C1547" t="s">
        <v>116</v>
      </c>
      <c r="D1547" t="s">
        <v>583</v>
      </c>
      <c r="E1547" t="s">
        <v>665</v>
      </c>
      <c r="F1547" s="705">
        <v>3</v>
      </c>
      <c r="G1547" s="705">
        <v>534</v>
      </c>
      <c r="H1547" s="705">
        <v>567</v>
      </c>
      <c r="I1547" s="705">
        <v>60509</v>
      </c>
      <c r="J1547" s="705">
        <v>55008</v>
      </c>
      <c r="K1547" s="705">
        <v>89</v>
      </c>
      <c r="L1547" s="705">
        <v>11528</v>
      </c>
      <c r="M1547" s="705">
        <v>10480</v>
      </c>
      <c r="N1547" s="705">
        <v>9224</v>
      </c>
      <c r="O1547" s="705">
        <v>3416</v>
      </c>
      <c r="P1547" s="705">
        <v>2214</v>
      </c>
      <c r="Q1547" s="705">
        <v>820</v>
      </c>
      <c r="R1547" s="705">
        <v>17408</v>
      </c>
      <c r="S1547" s="705">
        <v>15825</v>
      </c>
      <c r="T1547" s="705">
        <v>0</v>
      </c>
      <c r="U1547" s="705">
        <v>0</v>
      </c>
      <c r="V1547" s="705">
        <v>85550</v>
      </c>
      <c r="W1547" s="705">
        <f t="shared" si="70"/>
        <v>85549</v>
      </c>
      <c r="X1547" s="705">
        <f t="shared" si="71"/>
        <v>100883</v>
      </c>
    </row>
    <row r="1548" spans="2:24">
      <c r="B1548" t="s">
        <v>544</v>
      </c>
      <c r="C1548" t="s">
        <v>116</v>
      </c>
      <c r="D1548" t="s">
        <v>583</v>
      </c>
      <c r="E1548" t="s">
        <v>673</v>
      </c>
      <c r="F1548" s="705">
        <v>1</v>
      </c>
      <c r="G1548" s="705">
        <v>175</v>
      </c>
      <c r="H1548" s="705">
        <v>203</v>
      </c>
      <c r="I1548" s="705">
        <v>38381</v>
      </c>
      <c r="J1548" s="705">
        <v>34892</v>
      </c>
      <c r="K1548" s="705">
        <v>70</v>
      </c>
      <c r="L1548" s="705">
        <v>4363</v>
      </c>
      <c r="M1548" s="705">
        <v>3966</v>
      </c>
      <c r="N1548" s="705">
        <v>5659</v>
      </c>
      <c r="O1548" s="705">
        <v>2096</v>
      </c>
      <c r="P1548" s="705">
        <v>621</v>
      </c>
      <c r="Q1548" s="705">
        <v>230</v>
      </c>
      <c r="R1548" s="705">
        <v>7150</v>
      </c>
      <c r="S1548" s="705">
        <v>6500</v>
      </c>
      <c r="T1548" s="705">
        <v>4250</v>
      </c>
      <c r="U1548" s="705">
        <v>1574</v>
      </c>
      <c r="V1548" s="705">
        <v>49258</v>
      </c>
      <c r="W1548" s="705">
        <f t="shared" si="70"/>
        <v>49258</v>
      </c>
      <c r="X1548" s="705">
        <f t="shared" si="71"/>
        <v>60424</v>
      </c>
    </row>
    <row r="1549" spans="2:24">
      <c r="B1549" t="s">
        <v>544</v>
      </c>
      <c r="C1549" t="s">
        <v>116</v>
      </c>
      <c r="D1549" t="s">
        <v>666</v>
      </c>
      <c r="E1549" t="s">
        <v>583</v>
      </c>
      <c r="F1549" s="705">
        <v>2</v>
      </c>
      <c r="G1549" s="705">
        <v>304</v>
      </c>
      <c r="H1549" s="705">
        <v>346</v>
      </c>
      <c r="I1549" s="705">
        <v>28678</v>
      </c>
      <c r="J1549" s="705">
        <v>26071</v>
      </c>
      <c r="K1549" s="705">
        <v>89</v>
      </c>
      <c r="L1549" s="705">
        <v>4395</v>
      </c>
      <c r="M1549" s="705">
        <v>3996</v>
      </c>
      <c r="N1549" s="705">
        <v>6009</v>
      </c>
      <c r="O1549" s="705">
        <v>2225</v>
      </c>
      <c r="P1549" s="705">
        <v>1242</v>
      </c>
      <c r="Q1549" s="705">
        <v>460</v>
      </c>
      <c r="R1549" s="705">
        <v>12189</v>
      </c>
      <c r="S1549" s="705">
        <v>11081</v>
      </c>
      <c r="T1549" s="705">
        <v>0</v>
      </c>
      <c r="U1549" s="705">
        <v>0</v>
      </c>
      <c r="V1549" s="705">
        <v>43833</v>
      </c>
      <c r="W1549" s="705">
        <f t="shared" si="70"/>
        <v>43833</v>
      </c>
      <c r="X1549" s="705">
        <f t="shared" si="71"/>
        <v>52513</v>
      </c>
    </row>
    <row r="1550" spans="2:24">
      <c r="B1550" t="s">
        <v>544</v>
      </c>
      <c r="C1550" t="s">
        <v>116</v>
      </c>
      <c r="D1550" t="s">
        <v>584</v>
      </c>
      <c r="E1550" t="s">
        <v>228</v>
      </c>
      <c r="F1550" s="705">
        <v>3</v>
      </c>
      <c r="G1550" s="705">
        <v>382</v>
      </c>
      <c r="H1550" s="705">
        <v>593</v>
      </c>
      <c r="I1550" s="705">
        <v>43375</v>
      </c>
      <c r="J1550" s="705">
        <v>39432</v>
      </c>
      <c r="K1550" s="705">
        <v>81</v>
      </c>
      <c r="L1550" s="705">
        <v>9947</v>
      </c>
      <c r="M1550" s="705">
        <v>9042</v>
      </c>
      <c r="N1550" s="705">
        <v>6696</v>
      </c>
      <c r="O1550" s="705">
        <v>2480</v>
      </c>
      <c r="P1550" s="705">
        <v>1418</v>
      </c>
      <c r="Q1550" s="705">
        <v>525</v>
      </c>
      <c r="R1550" s="705">
        <v>13743</v>
      </c>
      <c r="S1550" s="705">
        <v>5090</v>
      </c>
      <c r="T1550" s="705">
        <v>0</v>
      </c>
      <c r="U1550" s="705">
        <v>0</v>
      </c>
      <c r="V1550" s="705">
        <v>56569</v>
      </c>
      <c r="W1550" s="705">
        <f t="shared" si="70"/>
        <v>56569</v>
      </c>
      <c r="X1550" s="705">
        <f t="shared" si="71"/>
        <v>75179</v>
      </c>
    </row>
    <row r="1551" spans="2:24">
      <c r="B1551" t="s">
        <v>544</v>
      </c>
      <c r="C1551" t="s">
        <v>116</v>
      </c>
      <c r="D1551" t="s">
        <v>584</v>
      </c>
      <c r="E1551" t="s">
        <v>584</v>
      </c>
      <c r="F1551" s="705">
        <v>504</v>
      </c>
      <c r="G1551" s="705">
        <v>64306</v>
      </c>
      <c r="H1551" s="705">
        <v>95671</v>
      </c>
      <c r="I1551" s="705">
        <v>6398919</v>
      </c>
      <c r="J1551" s="705">
        <v>5817199</v>
      </c>
      <c r="K1551" s="705">
        <v>82</v>
      </c>
      <c r="L1551" s="705">
        <v>1410155</v>
      </c>
      <c r="M1551" s="705">
        <v>1244372</v>
      </c>
      <c r="N1551" s="705">
        <v>1296947</v>
      </c>
      <c r="O1551" s="705">
        <v>480351</v>
      </c>
      <c r="P1551" s="705">
        <v>243513</v>
      </c>
      <c r="Q1551" s="705">
        <v>90190</v>
      </c>
      <c r="R1551" s="705">
        <v>2588383</v>
      </c>
      <c r="S1551" s="705">
        <v>2353076</v>
      </c>
      <c r="T1551" s="705">
        <v>305767</v>
      </c>
      <c r="U1551" s="705">
        <v>113247</v>
      </c>
      <c r="V1551" s="705">
        <v>10098435</v>
      </c>
      <c r="W1551" s="705">
        <f t="shared" si="70"/>
        <v>10098435</v>
      </c>
      <c r="X1551" s="705">
        <f t="shared" si="71"/>
        <v>12243684</v>
      </c>
    </row>
    <row r="1552" spans="2:24">
      <c r="B1552" t="s">
        <v>544</v>
      </c>
      <c r="C1552" t="s">
        <v>116</v>
      </c>
      <c r="D1552" t="s">
        <v>584</v>
      </c>
      <c r="E1552" t="s">
        <v>673</v>
      </c>
      <c r="F1552" s="705">
        <v>1</v>
      </c>
      <c r="G1552" s="705">
        <v>89</v>
      </c>
      <c r="H1552" s="705">
        <v>221</v>
      </c>
      <c r="I1552" s="705">
        <v>16313</v>
      </c>
      <c r="J1552" s="705">
        <v>14830</v>
      </c>
      <c r="K1552" s="705">
        <v>78</v>
      </c>
      <c r="L1552" s="705">
        <v>4891</v>
      </c>
      <c r="M1552" s="705">
        <v>4076</v>
      </c>
      <c r="N1552" s="705">
        <v>2857</v>
      </c>
      <c r="O1552" s="705">
        <v>1058</v>
      </c>
      <c r="P1552" s="705">
        <v>473</v>
      </c>
      <c r="Q1552" s="705">
        <v>175</v>
      </c>
      <c r="R1552" s="705">
        <v>6910</v>
      </c>
      <c r="S1552" s="705">
        <v>6282</v>
      </c>
      <c r="T1552" s="705">
        <v>0</v>
      </c>
      <c r="U1552" s="705">
        <v>0</v>
      </c>
      <c r="V1552" s="705">
        <v>26421</v>
      </c>
      <c r="W1552" s="705">
        <f t="shared" si="70"/>
        <v>26421</v>
      </c>
      <c r="X1552" s="705">
        <f t="shared" si="71"/>
        <v>31444</v>
      </c>
    </row>
    <row r="1553" spans="2:24">
      <c r="B1553" t="s">
        <v>544</v>
      </c>
      <c r="C1553" t="s">
        <v>116</v>
      </c>
      <c r="D1553" t="s">
        <v>665</v>
      </c>
      <c r="E1553" t="s">
        <v>665</v>
      </c>
      <c r="F1553" s="705">
        <v>12</v>
      </c>
      <c r="G1553" s="705">
        <v>2174</v>
      </c>
      <c r="H1553" s="705">
        <v>2419</v>
      </c>
      <c r="I1553" s="705">
        <v>294763</v>
      </c>
      <c r="J1553" s="705">
        <v>267966</v>
      </c>
      <c r="K1553" s="705">
        <v>65</v>
      </c>
      <c r="L1553" s="705">
        <v>41615</v>
      </c>
      <c r="M1553" s="705">
        <v>36341</v>
      </c>
      <c r="N1553" s="705">
        <v>42201</v>
      </c>
      <c r="O1553" s="705">
        <v>15630</v>
      </c>
      <c r="P1553" s="705">
        <v>4401</v>
      </c>
      <c r="Q1553" s="705">
        <v>1630</v>
      </c>
      <c r="R1553" s="705">
        <v>65119</v>
      </c>
      <c r="S1553" s="705">
        <v>59199</v>
      </c>
      <c r="T1553" s="705">
        <v>19984</v>
      </c>
      <c r="U1553" s="705">
        <v>7402</v>
      </c>
      <c r="V1553" s="705">
        <v>388168</v>
      </c>
      <c r="W1553" s="705">
        <f t="shared" si="70"/>
        <v>388168</v>
      </c>
      <c r="X1553" s="705">
        <f t="shared" si="71"/>
        <v>468083</v>
      </c>
    </row>
    <row r="1554" spans="2:24">
      <c r="B1554" t="s">
        <v>544</v>
      </c>
      <c r="C1554" t="s">
        <v>116</v>
      </c>
      <c r="D1554" t="s">
        <v>585</v>
      </c>
      <c r="E1554" t="s">
        <v>585</v>
      </c>
      <c r="F1554" s="705">
        <v>10</v>
      </c>
      <c r="G1554" s="705">
        <v>1910</v>
      </c>
      <c r="H1554" s="705">
        <v>1864</v>
      </c>
      <c r="I1554" s="705">
        <v>253958</v>
      </c>
      <c r="J1554" s="705">
        <v>230871</v>
      </c>
      <c r="K1554" s="705">
        <v>68</v>
      </c>
      <c r="L1554" s="705">
        <v>41302</v>
      </c>
      <c r="M1554" s="705">
        <v>37348</v>
      </c>
      <c r="N1554" s="705">
        <v>38085</v>
      </c>
      <c r="O1554" s="705">
        <v>14105</v>
      </c>
      <c r="P1554" s="705">
        <v>5272</v>
      </c>
      <c r="Q1554" s="705">
        <v>1953</v>
      </c>
      <c r="R1554" s="705">
        <v>64956</v>
      </c>
      <c r="S1554" s="705">
        <v>59051</v>
      </c>
      <c r="T1554" s="705">
        <v>0</v>
      </c>
      <c r="U1554" s="705">
        <v>0</v>
      </c>
      <c r="V1554" s="705">
        <v>343328</v>
      </c>
      <c r="W1554" s="705">
        <f t="shared" si="70"/>
        <v>343328</v>
      </c>
      <c r="X1554" s="705">
        <f t="shared" si="71"/>
        <v>403573</v>
      </c>
    </row>
    <row r="1555" spans="2:24">
      <c r="B1555" t="s">
        <v>544</v>
      </c>
      <c r="C1555" t="s">
        <v>116</v>
      </c>
      <c r="D1555" t="s">
        <v>585</v>
      </c>
      <c r="E1555" t="s">
        <v>668</v>
      </c>
      <c r="F1555" s="705">
        <v>1</v>
      </c>
      <c r="G1555" s="705">
        <v>239</v>
      </c>
      <c r="H1555" s="705">
        <v>216</v>
      </c>
      <c r="I1555" s="705">
        <v>36239</v>
      </c>
      <c r="J1555" s="705">
        <v>32945</v>
      </c>
      <c r="K1555" s="705">
        <v>91</v>
      </c>
      <c r="L1555" s="705">
        <v>6107</v>
      </c>
      <c r="M1555" s="705">
        <v>5552</v>
      </c>
      <c r="N1555" s="705">
        <v>3383</v>
      </c>
      <c r="O1555" s="705">
        <v>1253</v>
      </c>
      <c r="P1555" s="705">
        <v>351</v>
      </c>
      <c r="Q1555" s="705">
        <v>130</v>
      </c>
      <c r="R1555" s="705">
        <v>3163</v>
      </c>
      <c r="S1555" s="705">
        <v>2875</v>
      </c>
      <c r="T1555" s="705">
        <v>2454</v>
      </c>
      <c r="U1555" s="705">
        <v>909</v>
      </c>
      <c r="V1555" s="705">
        <v>43664</v>
      </c>
      <c r="W1555" s="705">
        <f t="shared" si="70"/>
        <v>43664</v>
      </c>
      <c r="X1555" s="705">
        <f t="shared" si="71"/>
        <v>51697</v>
      </c>
    </row>
    <row r="1556" spans="2:24">
      <c r="B1556" t="s">
        <v>544</v>
      </c>
      <c r="C1556" t="s">
        <v>116</v>
      </c>
      <c r="D1556" t="s">
        <v>668</v>
      </c>
      <c r="E1556" t="s">
        <v>668</v>
      </c>
      <c r="F1556" s="705">
        <v>1</v>
      </c>
      <c r="G1556" s="705">
        <v>170</v>
      </c>
      <c r="H1556" s="705">
        <v>211</v>
      </c>
      <c r="I1556" s="705">
        <v>22923</v>
      </c>
      <c r="J1556" s="705">
        <v>20839</v>
      </c>
      <c r="K1556" s="705">
        <v>83</v>
      </c>
      <c r="L1556" s="705">
        <v>3027</v>
      </c>
      <c r="M1556" s="705">
        <v>2752</v>
      </c>
      <c r="N1556" s="705">
        <v>3107</v>
      </c>
      <c r="O1556" s="705">
        <v>1151</v>
      </c>
      <c r="P1556" s="705">
        <v>972</v>
      </c>
      <c r="Q1556" s="705">
        <v>360</v>
      </c>
      <c r="R1556" s="705">
        <v>5800</v>
      </c>
      <c r="S1556" s="705">
        <v>5273</v>
      </c>
      <c r="T1556" s="705">
        <v>0</v>
      </c>
      <c r="U1556" s="705">
        <v>0</v>
      </c>
      <c r="V1556" s="705">
        <v>30375</v>
      </c>
      <c r="W1556" s="705">
        <f t="shared" si="70"/>
        <v>30375</v>
      </c>
      <c r="X1556" s="705">
        <f t="shared" si="71"/>
        <v>35829</v>
      </c>
    </row>
    <row r="1557" spans="2:24">
      <c r="B1557" t="s">
        <v>544</v>
      </c>
      <c r="C1557" t="s">
        <v>118</v>
      </c>
      <c r="D1557" t="s">
        <v>664</v>
      </c>
      <c r="E1557" t="s">
        <v>664</v>
      </c>
      <c r="F1557" s="705">
        <v>2</v>
      </c>
      <c r="G1557" s="705">
        <v>230</v>
      </c>
      <c r="H1557" s="705">
        <v>596</v>
      </c>
      <c r="I1557" s="705">
        <v>39256</v>
      </c>
      <c r="J1557" s="705">
        <v>35688</v>
      </c>
      <c r="K1557" s="705">
        <v>78</v>
      </c>
      <c r="L1557" s="705">
        <v>10030</v>
      </c>
      <c r="M1557" s="705">
        <v>7596</v>
      </c>
      <c r="N1557" s="705">
        <v>4541</v>
      </c>
      <c r="O1557" s="705">
        <v>1682</v>
      </c>
      <c r="P1557" s="705">
        <v>824</v>
      </c>
      <c r="Q1557" s="705">
        <v>305</v>
      </c>
      <c r="R1557" s="705">
        <v>14001</v>
      </c>
      <c r="S1557" s="705">
        <v>12729</v>
      </c>
      <c r="T1557" s="705">
        <v>0</v>
      </c>
      <c r="U1557" s="705">
        <v>0</v>
      </c>
      <c r="V1557" s="705">
        <v>57999</v>
      </c>
      <c r="W1557" s="705">
        <f t="shared" si="70"/>
        <v>58000</v>
      </c>
      <c r="X1557" s="705">
        <f t="shared" si="71"/>
        <v>68652</v>
      </c>
    </row>
    <row r="1558" spans="2:24">
      <c r="B1558" t="s">
        <v>544</v>
      </c>
      <c r="C1558" t="s">
        <v>118</v>
      </c>
      <c r="D1558" t="s">
        <v>664</v>
      </c>
      <c r="E1558" t="s">
        <v>583</v>
      </c>
      <c r="F1558" s="705">
        <v>1</v>
      </c>
      <c r="G1558" s="705">
        <v>151</v>
      </c>
      <c r="H1558" s="705">
        <v>230</v>
      </c>
      <c r="I1558" s="705">
        <v>20551</v>
      </c>
      <c r="J1558" s="705">
        <v>18683</v>
      </c>
      <c r="K1558" s="705">
        <v>84</v>
      </c>
      <c r="L1558" s="705">
        <v>2789</v>
      </c>
      <c r="M1558" s="705">
        <v>2536</v>
      </c>
      <c r="N1558" s="705">
        <v>3440</v>
      </c>
      <c r="O1558" s="705">
        <v>1274</v>
      </c>
      <c r="P1558" s="705">
        <v>621</v>
      </c>
      <c r="Q1558" s="705">
        <v>230</v>
      </c>
      <c r="R1558" s="705">
        <v>4288</v>
      </c>
      <c r="S1558" s="705">
        <v>3899</v>
      </c>
      <c r="T1558" s="705">
        <v>3031</v>
      </c>
      <c r="U1558" s="705">
        <v>1122</v>
      </c>
      <c r="V1558" s="705">
        <v>27744</v>
      </c>
      <c r="W1558" s="705">
        <f t="shared" si="70"/>
        <v>27744</v>
      </c>
      <c r="X1558" s="705">
        <f t="shared" si="71"/>
        <v>34720</v>
      </c>
    </row>
    <row r="1559" spans="2:24">
      <c r="B1559" t="s">
        <v>544</v>
      </c>
      <c r="C1559" t="s">
        <v>118</v>
      </c>
      <c r="D1559" t="s">
        <v>582</v>
      </c>
      <c r="E1559" t="s">
        <v>664</v>
      </c>
      <c r="F1559" s="705">
        <v>1</v>
      </c>
      <c r="G1559" s="705">
        <v>90</v>
      </c>
      <c r="H1559" s="705">
        <v>262</v>
      </c>
      <c r="I1559" s="705">
        <v>18256</v>
      </c>
      <c r="J1559" s="705">
        <v>16596</v>
      </c>
      <c r="K1559" s="705">
        <v>86</v>
      </c>
      <c r="L1559" s="705">
        <v>5531</v>
      </c>
      <c r="M1559" s="705">
        <v>5028</v>
      </c>
      <c r="N1559" s="705">
        <v>2643</v>
      </c>
      <c r="O1559" s="705">
        <v>979</v>
      </c>
      <c r="P1559" s="705">
        <v>473</v>
      </c>
      <c r="Q1559" s="705">
        <v>175</v>
      </c>
      <c r="R1559" s="705">
        <v>5442</v>
      </c>
      <c r="S1559" s="705">
        <v>4947</v>
      </c>
      <c r="T1559" s="705">
        <v>0</v>
      </c>
      <c r="U1559" s="705">
        <v>0</v>
      </c>
      <c r="V1559" s="705">
        <v>27725</v>
      </c>
      <c r="W1559" s="705">
        <f t="shared" si="70"/>
        <v>27725</v>
      </c>
      <c r="X1559" s="705">
        <f t="shared" si="71"/>
        <v>32345</v>
      </c>
    </row>
    <row r="1560" spans="2:24">
      <c r="B1560" t="s">
        <v>544</v>
      </c>
      <c r="C1560" t="s">
        <v>118</v>
      </c>
      <c r="D1560" t="s">
        <v>582</v>
      </c>
      <c r="E1560" t="s">
        <v>582</v>
      </c>
      <c r="F1560" s="705">
        <v>11</v>
      </c>
      <c r="G1560" s="705">
        <v>1445</v>
      </c>
      <c r="H1560" s="705">
        <v>2863</v>
      </c>
      <c r="I1560" s="705">
        <v>247764</v>
      </c>
      <c r="J1560" s="705">
        <v>225240</v>
      </c>
      <c r="K1560" s="705">
        <v>87</v>
      </c>
      <c r="L1560" s="705">
        <v>47537</v>
      </c>
      <c r="M1560" s="705">
        <v>38852</v>
      </c>
      <c r="N1560" s="705">
        <v>29433</v>
      </c>
      <c r="O1560" s="705">
        <v>10901</v>
      </c>
      <c r="P1560" s="705">
        <v>6440</v>
      </c>
      <c r="Q1560" s="705">
        <v>2385</v>
      </c>
      <c r="R1560" s="705">
        <v>52332</v>
      </c>
      <c r="S1560" s="705">
        <v>47575</v>
      </c>
      <c r="T1560" s="705">
        <v>9213</v>
      </c>
      <c r="U1560" s="705">
        <v>3412</v>
      </c>
      <c r="V1560" s="705">
        <v>328366</v>
      </c>
      <c r="W1560" s="705">
        <f t="shared" si="70"/>
        <v>328365</v>
      </c>
      <c r="X1560" s="705">
        <f t="shared" si="71"/>
        <v>392719</v>
      </c>
    </row>
    <row r="1561" spans="2:24">
      <c r="B1561" t="s">
        <v>544</v>
      </c>
      <c r="C1561" t="s">
        <v>118</v>
      </c>
      <c r="D1561" t="s">
        <v>228</v>
      </c>
      <c r="E1561" t="s">
        <v>228</v>
      </c>
      <c r="F1561" s="705">
        <v>22</v>
      </c>
      <c r="G1561" s="705">
        <v>2645</v>
      </c>
      <c r="H1561" s="705">
        <v>5881</v>
      </c>
      <c r="I1561" s="705">
        <v>480295</v>
      </c>
      <c r="J1561" s="705">
        <v>177887</v>
      </c>
      <c r="K1561" s="705">
        <v>100</v>
      </c>
      <c r="L1561" s="705">
        <v>49538</v>
      </c>
      <c r="M1561" s="705">
        <v>42211</v>
      </c>
      <c r="N1561" s="705">
        <v>52936</v>
      </c>
      <c r="O1561" s="705">
        <v>19606</v>
      </c>
      <c r="P1561" s="705">
        <v>905</v>
      </c>
      <c r="Q1561" s="705">
        <v>335</v>
      </c>
      <c r="R1561" s="705">
        <v>163508</v>
      </c>
      <c r="S1561" s="705">
        <v>60558</v>
      </c>
      <c r="T1561" s="705">
        <v>3693</v>
      </c>
      <c r="U1561" s="705">
        <v>1368</v>
      </c>
      <c r="V1561" s="705">
        <v>301965</v>
      </c>
      <c r="W1561" s="705">
        <f t="shared" si="70"/>
        <v>301965</v>
      </c>
      <c r="X1561" s="705">
        <f t="shared" si="71"/>
        <v>750875</v>
      </c>
    </row>
    <row r="1562" spans="2:24">
      <c r="B1562" t="s">
        <v>544</v>
      </c>
      <c r="C1562" t="s">
        <v>118</v>
      </c>
      <c r="D1562" t="s">
        <v>228</v>
      </c>
      <c r="E1562" t="s">
        <v>583</v>
      </c>
      <c r="F1562" s="705">
        <v>1</v>
      </c>
      <c r="G1562" s="705">
        <v>128</v>
      </c>
      <c r="H1562" s="705">
        <v>291</v>
      </c>
      <c r="I1562" s="705">
        <v>23782</v>
      </c>
      <c r="J1562" s="705">
        <v>8808</v>
      </c>
      <c r="K1562" s="705">
        <v>100</v>
      </c>
      <c r="L1562" s="705">
        <v>3588</v>
      </c>
      <c r="M1562" s="705">
        <v>3262</v>
      </c>
      <c r="N1562" s="705">
        <v>2528</v>
      </c>
      <c r="O1562" s="705">
        <v>936</v>
      </c>
      <c r="P1562" s="705">
        <v>0</v>
      </c>
      <c r="Q1562" s="705">
        <v>0</v>
      </c>
      <c r="R1562" s="705">
        <v>7328</v>
      </c>
      <c r="S1562" s="705">
        <v>6662</v>
      </c>
      <c r="T1562" s="705">
        <v>0</v>
      </c>
      <c r="U1562" s="705">
        <v>0</v>
      </c>
      <c r="V1562" s="705">
        <v>19668</v>
      </c>
      <c r="W1562" s="705">
        <f t="shared" si="70"/>
        <v>19668</v>
      </c>
      <c r="X1562" s="705">
        <f t="shared" si="71"/>
        <v>37226</v>
      </c>
    </row>
    <row r="1563" spans="2:24">
      <c r="B1563" t="s">
        <v>544</v>
      </c>
      <c r="C1563" t="s">
        <v>118</v>
      </c>
      <c r="D1563" t="s">
        <v>583</v>
      </c>
      <c r="E1563" t="s">
        <v>674</v>
      </c>
      <c r="F1563" s="705">
        <v>1</v>
      </c>
      <c r="G1563" s="705">
        <v>74</v>
      </c>
      <c r="H1563" s="705">
        <v>290</v>
      </c>
      <c r="I1563" s="705">
        <v>17735</v>
      </c>
      <c r="J1563" s="705">
        <v>16123</v>
      </c>
      <c r="K1563" s="705">
        <v>70</v>
      </c>
      <c r="L1563" s="705">
        <v>4368</v>
      </c>
      <c r="M1563" s="705">
        <v>3971</v>
      </c>
      <c r="N1563" s="705">
        <v>2106</v>
      </c>
      <c r="O1563" s="705">
        <v>780</v>
      </c>
      <c r="P1563" s="705">
        <v>621</v>
      </c>
      <c r="Q1563" s="705">
        <v>230</v>
      </c>
      <c r="R1563" s="705">
        <v>7272</v>
      </c>
      <c r="S1563" s="705">
        <v>6611</v>
      </c>
      <c r="T1563" s="705">
        <v>0</v>
      </c>
      <c r="U1563" s="705">
        <v>0</v>
      </c>
      <c r="V1563" s="705">
        <v>27715</v>
      </c>
      <c r="W1563" s="705">
        <f t="shared" si="70"/>
        <v>27715</v>
      </c>
      <c r="X1563" s="705">
        <f t="shared" si="71"/>
        <v>32102</v>
      </c>
    </row>
    <row r="1564" spans="2:24">
      <c r="B1564" t="s">
        <v>544</v>
      </c>
      <c r="C1564" t="s">
        <v>118</v>
      </c>
      <c r="D1564" t="s">
        <v>583</v>
      </c>
      <c r="E1564" t="s">
        <v>664</v>
      </c>
      <c r="F1564" s="705">
        <v>1</v>
      </c>
      <c r="G1564" s="705">
        <v>100</v>
      </c>
      <c r="H1564" s="705">
        <v>232</v>
      </c>
      <c r="I1564" s="705">
        <v>12902</v>
      </c>
      <c r="J1564" s="705">
        <v>11729</v>
      </c>
      <c r="K1564" s="705">
        <v>85</v>
      </c>
      <c r="L1564" s="705">
        <v>2314</v>
      </c>
      <c r="M1564" s="705">
        <v>2103</v>
      </c>
      <c r="N1564" s="705">
        <v>2167</v>
      </c>
      <c r="O1564" s="705">
        <v>803</v>
      </c>
      <c r="P1564" s="705">
        <v>621</v>
      </c>
      <c r="Q1564" s="705">
        <v>230</v>
      </c>
      <c r="R1564" s="705">
        <v>5314</v>
      </c>
      <c r="S1564" s="705">
        <v>4831</v>
      </c>
      <c r="T1564" s="705">
        <v>0</v>
      </c>
      <c r="U1564" s="705">
        <v>0</v>
      </c>
      <c r="V1564" s="705">
        <v>19696</v>
      </c>
      <c r="W1564" s="705">
        <f t="shared" si="70"/>
        <v>19696</v>
      </c>
      <c r="X1564" s="705">
        <f t="shared" si="71"/>
        <v>23318</v>
      </c>
    </row>
    <row r="1565" spans="2:24">
      <c r="B1565" t="s">
        <v>544</v>
      </c>
      <c r="C1565" t="s">
        <v>118</v>
      </c>
      <c r="D1565" t="s">
        <v>583</v>
      </c>
      <c r="E1565" t="s">
        <v>228</v>
      </c>
      <c r="F1565" s="705">
        <v>2</v>
      </c>
      <c r="G1565" s="705">
        <v>361</v>
      </c>
      <c r="H1565" s="705">
        <v>493</v>
      </c>
      <c r="I1565" s="705">
        <v>54048</v>
      </c>
      <c r="J1565" s="705">
        <v>49135</v>
      </c>
      <c r="K1565" s="705">
        <v>90</v>
      </c>
      <c r="L1565" s="705">
        <v>17314</v>
      </c>
      <c r="M1565" s="705">
        <v>15740</v>
      </c>
      <c r="N1565" s="705">
        <v>8121</v>
      </c>
      <c r="O1565" s="705">
        <v>3008</v>
      </c>
      <c r="P1565" s="705">
        <v>3672</v>
      </c>
      <c r="Q1565" s="705">
        <v>1360</v>
      </c>
      <c r="R1565" s="705">
        <v>10135</v>
      </c>
      <c r="S1565" s="705">
        <v>3754</v>
      </c>
      <c r="T1565" s="705">
        <v>0</v>
      </c>
      <c r="U1565" s="705">
        <v>0</v>
      </c>
      <c r="V1565" s="705">
        <v>72996</v>
      </c>
      <c r="W1565" s="705">
        <f t="shared" si="70"/>
        <v>72997</v>
      </c>
      <c r="X1565" s="705">
        <f t="shared" si="71"/>
        <v>93290</v>
      </c>
    </row>
    <row r="1566" spans="2:24">
      <c r="B1566" t="s">
        <v>544</v>
      </c>
      <c r="C1566" t="s">
        <v>118</v>
      </c>
      <c r="D1566" t="s">
        <v>583</v>
      </c>
      <c r="E1566" t="s">
        <v>583</v>
      </c>
      <c r="F1566" s="705">
        <v>988</v>
      </c>
      <c r="G1566" s="705">
        <v>131257</v>
      </c>
      <c r="H1566" s="705">
        <v>257334</v>
      </c>
      <c r="I1566" s="705">
        <v>20846076</v>
      </c>
      <c r="J1566" s="705">
        <v>18950978</v>
      </c>
      <c r="K1566" s="705">
        <v>80</v>
      </c>
      <c r="L1566" s="705">
        <v>3995889</v>
      </c>
      <c r="M1566" s="705">
        <v>3572012</v>
      </c>
      <c r="N1566" s="705">
        <v>2741179</v>
      </c>
      <c r="O1566" s="705">
        <v>1015251</v>
      </c>
      <c r="P1566" s="705">
        <v>642938</v>
      </c>
      <c r="Q1566" s="705">
        <v>238125</v>
      </c>
      <c r="R1566" s="705">
        <v>5231436</v>
      </c>
      <c r="S1566" s="705">
        <v>4755851</v>
      </c>
      <c r="T1566" s="705">
        <v>1570169</v>
      </c>
      <c r="U1566" s="705">
        <v>581544</v>
      </c>
      <c r="V1566" s="705">
        <v>29113761</v>
      </c>
      <c r="W1566" s="705">
        <f t="shared" si="70"/>
        <v>29113761</v>
      </c>
      <c r="X1566" s="705">
        <f t="shared" si="71"/>
        <v>35027687</v>
      </c>
    </row>
    <row r="1567" spans="2:24">
      <c r="B1567" t="s">
        <v>544</v>
      </c>
      <c r="C1567" t="s">
        <v>118</v>
      </c>
      <c r="D1567" t="s">
        <v>583</v>
      </c>
      <c r="E1567" t="s">
        <v>666</v>
      </c>
      <c r="F1567" s="705">
        <v>1</v>
      </c>
      <c r="G1567" s="705">
        <v>147</v>
      </c>
      <c r="H1567" s="705">
        <v>253</v>
      </c>
      <c r="I1567" s="705">
        <v>22928</v>
      </c>
      <c r="J1567" s="705">
        <v>20843</v>
      </c>
      <c r="K1567" s="705">
        <v>73</v>
      </c>
      <c r="L1567" s="705">
        <v>2947</v>
      </c>
      <c r="M1567" s="705">
        <v>2679</v>
      </c>
      <c r="N1567" s="705">
        <v>2692</v>
      </c>
      <c r="O1567" s="705">
        <v>997</v>
      </c>
      <c r="P1567" s="705">
        <v>621</v>
      </c>
      <c r="Q1567" s="705">
        <v>230</v>
      </c>
      <c r="R1567" s="705">
        <v>8051</v>
      </c>
      <c r="S1567" s="705">
        <v>7319</v>
      </c>
      <c r="T1567" s="705">
        <v>0</v>
      </c>
      <c r="U1567" s="705">
        <v>0</v>
      </c>
      <c r="V1567" s="705">
        <v>32068</v>
      </c>
      <c r="W1567" s="705">
        <f t="shared" si="70"/>
        <v>32068</v>
      </c>
      <c r="X1567" s="705">
        <f t="shared" si="71"/>
        <v>37239</v>
      </c>
    </row>
    <row r="1568" spans="2:24">
      <c r="B1568" t="s">
        <v>544</v>
      </c>
      <c r="C1568" t="s">
        <v>118</v>
      </c>
      <c r="D1568" t="s">
        <v>583</v>
      </c>
      <c r="E1568" t="s">
        <v>671</v>
      </c>
      <c r="F1568" s="705">
        <v>1</v>
      </c>
      <c r="G1568" s="705">
        <v>183</v>
      </c>
      <c r="H1568" s="705">
        <v>273</v>
      </c>
      <c r="I1568" s="705">
        <v>27448</v>
      </c>
      <c r="J1568" s="705">
        <v>24953</v>
      </c>
      <c r="K1568" s="705">
        <v>85</v>
      </c>
      <c r="L1568" s="705">
        <v>5483</v>
      </c>
      <c r="M1568" s="705">
        <v>4984</v>
      </c>
      <c r="N1568" s="705">
        <v>4132</v>
      </c>
      <c r="O1568" s="705">
        <v>1530</v>
      </c>
      <c r="P1568" s="705">
        <v>621</v>
      </c>
      <c r="Q1568" s="705">
        <v>230</v>
      </c>
      <c r="R1568" s="705">
        <v>8674</v>
      </c>
      <c r="S1568" s="705">
        <v>7886</v>
      </c>
      <c r="T1568" s="705">
        <v>3632</v>
      </c>
      <c r="U1568" s="705">
        <v>1345</v>
      </c>
      <c r="V1568" s="705">
        <v>40928</v>
      </c>
      <c r="W1568" s="705">
        <f t="shared" si="70"/>
        <v>40928</v>
      </c>
      <c r="X1568" s="705">
        <f t="shared" si="71"/>
        <v>49990</v>
      </c>
    </row>
    <row r="1569" spans="2:24">
      <c r="B1569" t="s">
        <v>544</v>
      </c>
      <c r="C1569" t="s">
        <v>118</v>
      </c>
      <c r="D1569" t="s">
        <v>583</v>
      </c>
      <c r="E1569" t="s">
        <v>665</v>
      </c>
      <c r="F1569" s="705">
        <v>1</v>
      </c>
      <c r="G1569" s="705">
        <v>185</v>
      </c>
      <c r="H1569" s="705">
        <v>299</v>
      </c>
      <c r="I1569" s="705">
        <v>33165</v>
      </c>
      <c r="J1569" s="705">
        <v>30150</v>
      </c>
      <c r="K1569" s="705">
        <v>65</v>
      </c>
      <c r="L1569" s="705">
        <v>5061</v>
      </c>
      <c r="M1569" s="705">
        <v>4601</v>
      </c>
      <c r="N1569" s="705">
        <v>3918</v>
      </c>
      <c r="O1569" s="705">
        <v>1451</v>
      </c>
      <c r="P1569" s="705">
        <v>621</v>
      </c>
      <c r="Q1569" s="705">
        <v>230</v>
      </c>
      <c r="R1569" s="705">
        <v>8901</v>
      </c>
      <c r="S1569" s="705">
        <v>8091</v>
      </c>
      <c r="T1569" s="705">
        <v>3513</v>
      </c>
      <c r="U1569" s="705">
        <v>1301</v>
      </c>
      <c r="V1569" s="705">
        <v>45824</v>
      </c>
      <c r="W1569" s="705">
        <f t="shared" si="70"/>
        <v>45824</v>
      </c>
      <c r="X1569" s="705">
        <f t="shared" si="71"/>
        <v>55179</v>
      </c>
    </row>
    <row r="1570" spans="2:24">
      <c r="B1570" t="s">
        <v>544</v>
      </c>
      <c r="C1570" t="s">
        <v>118</v>
      </c>
      <c r="D1570" t="s">
        <v>666</v>
      </c>
      <c r="E1570" t="s">
        <v>666</v>
      </c>
      <c r="F1570" s="705">
        <v>2</v>
      </c>
      <c r="G1570" s="705">
        <v>306</v>
      </c>
      <c r="H1570" s="705">
        <v>483</v>
      </c>
      <c r="I1570" s="705">
        <v>41072</v>
      </c>
      <c r="J1570" s="705">
        <v>37338</v>
      </c>
      <c r="K1570" s="705">
        <v>70</v>
      </c>
      <c r="L1570" s="705">
        <v>8308</v>
      </c>
      <c r="M1570" s="705">
        <v>7553</v>
      </c>
      <c r="N1570" s="705">
        <v>6677</v>
      </c>
      <c r="O1570" s="705">
        <v>2473</v>
      </c>
      <c r="P1570" s="705">
        <v>702</v>
      </c>
      <c r="Q1570" s="705">
        <v>260</v>
      </c>
      <c r="R1570" s="705">
        <v>12968</v>
      </c>
      <c r="S1570" s="705">
        <v>11789</v>
      </c>
      <c r="T1570" s="705">
        <v>3569</v>
      </c>
      <c r="U1570" s="705">
        <v>1322</v>
      </c>
      <c r="V1570" s="705">
        <v>60735</v>
      </c>
      <c r="W1570" s="705">
        <f t="shared" si="70"/>
        <v>60735</v>
      </c>
      <c r="X1570" s="705">
        <f t="shared" si="71"/>
        <v>73296</v>
      </c>
    </row>
    <row r="1571" spans="2:24">
      <c r="B1571" t="s">
        <v>544</v>
      </c>
      <c r="C1571" t="s">
        <v>118</v>
      </c>
      <c r="D1571" t="s">
        <v>584</v>
      </c>
      <c r="E1571" t="s">
        <v>228</v>
      </c>
      <c r="F1571" s="705">
        <v>1</v>
      </c>
      <c r="G1571" s="705">
        <v>81</v>
      </c>
      <c r="H1571" s="705">
        <v>294</v>
      </c>
      <c r="I1571" s="705">
        <v>11781</v>
      </c>
      <c r="J1571" s="705">
        <v>10710</v>
      </c>
      <c r="K1571" s="705">
        <v>73</v>
      </c>
      <c r="L1571" s="705">
        <v>5017</v>
      </c>
      <c r="M1571" s="705">
        <v>1858</v>
      </c>
      <c r="N1571" s="705">
        <v>1962</v>
      </c>
      <c r="O1571" s="705">
        <v>727</v>
      </c>
      <c r="P1571" s="705">
        <v>473</v>
      </c>
      <c r="Q1571" s="705">
        <v>175</v>
      </c>
      <c r="R1571" s="705">
        <v>4448</v>
      </c>
      <c r="S1571" s="705">
        <v>1648</v>
      </c>
      <c r="T1571" s="705">
        <v>0</v>
      </c>
      <c r="U1571" s="705">
        <v>0</v>
      </c>
      <c r="V1571" s="705">
        <v>15117</v>
      </c>
      <c r="W1571" s="705">
        <f t="shared" si="70"/>
        <v>15118</v>
      </c>
      <c r="X1571" s="705">
        <f t="shared" si="71"/>
        <v>23681</v>
      </c>
    </row>
    <row r="1572" spans="2:24">
      <c r="B1572" t="s">
        <v>544</v>
      </c>
      <c r="C1572" t="s">
        <v>118</v>
      </c>
      <c r="D1572" t="s">
        <v>584</v>
      </c>
      <c r="E1572" t="s">
        <v>584</v>
      </c>
      <c r="F1572" s="705">
        <v>139</v>
      </c>
      <c r="G1572" s="705">
        <v>14735</v>
      </c>
      <c r="H1572" s="705">
        <v>35023</v>
      </c>
      <c r="I1572" s="705">
        <v>2040773</v>
      </c>
      <c r="J1572" s="705">
        <v>1855248</v>
      </c>
      <c r="K1572" s="705">
        <v>79</v>
      </c>
      <c r="L1572" s="705">
        <v>534183</v>
      </c>
      <c r="M1572" s="705">
        <v>462566</v>
      </c>
      <c r="N1572" s="705">
        <v>295731</v>
      </c>
      <c r="O1572" s="705">
        <v>109530</v>
      </c>
      <c r="P1572" s="705">
        <v>67419</v>
      </c>
      <c r="Q1572" s="705">
        <v>24970</v>
      </c>
      <c r="R1572" s="705">
        <v>684593</v>
      </c>
      <c r="S1572" s="705">
        <v>622357</v>
      </c>
      <c r="T1572" s="705">
        <v>146628</v>
      </c>
      <c r="U1572" s="705">
        <v>54307</v>
      </c>
      <c r="V1572" s="705">
        <v>3128978</v>
      </c>
      <c r="W1572" s="705">
        <f t="shared" si="70"/>
        <v>3128978</v>
      </c>
      <c r="X1572" s="705">
        <f t="shared" si="71"/>
        <v>3769327</v>
      </c>
    </row>
    <row r="1573" spans="2:24">
      <c r="B1573" t="s">
        <v>544</v>
      </c>
      <c r="C1573" t="s">
        <v>118</v>
      </c>
      <c r="D1573" t="s">
        <v>669</v>
      </c>
      <c r="E1573" t="s">
        <v>669</v>
      </c>
      <c r="F1573" s="705">
        <v>3</v>
      </c>
      <c r="G1573" s="705">
        <v>330</v>
      </c>
      <c r="H1573" s="705">
        <v>767</v>
      </c>
      <c r="I1573" s="705">
        <v>49183</v>
      </c>
      <c r="J1573" s="705">
        <v>40986</v>
      </c>
      <c r="K1573" s="705">
        <v>68</v>
      </c>
      <c r="L1573" s="705">
        <v>2971</v>
      </c>
      <c r="M1573" s="705">
        <v>2701</v>
      </c>
      <c r="N1573" s="705">
        <v>5442</v>
      </c>
      <c r="O1573" s="705">
        <v>2015</v>
      </c>
      <c r="P1573" s="705">
        <v>1053</v>
      </c>
      <c r="Q1573" s="705">
        <v>390</v>
      </c>
      <c r="R1573" s="705">
        <v>16335</v>
      </c>
      <c r="S1573" s="705">
        <v>13613</v>
      </c>
      <c r="T1573" s="705">
        <v>8990</v>
      </c>
      <c r="U1573" s="705">
        <v>3330</v>
      </c>
      <c r="V1573" s="705">
        <v>63034</v>
      </c>
      <c r="W1573" s="705">
        <f t="shared" si="70"/>
        <v>63035</v>
      </c>
      <c r="X1573" s="705">
        <f t="shared" si="71"/>
        <v>83974</v>
      </c>
    </row>
    <row r="1574" spans="2:24">
      <c r="B1574" t="s">
        <v>544</v>
      </c>
      <c r="C1574" t="s">
        <v>118</v>
      </c>
      <c r="D1574" t="s">
        <v>667</v>
      </c>
      <c r="E1574" t="s">
        <v>667</v>
      </c>
      <c r="F1574" s="705">
        <v>4</v>
      </c>
      <c r="G1574" s="705">
        <v>467</v>
      </c>
      <c r="H1574" s="705">
        <v>1074</v>
      </c>
      <c r="I1574" s="705">
        <v>68866</v>
      </c>
      <c r="J1574" s="705">
        <v>62606</v>
      </c>
      <c r="K1574" s="705">
        <v>64</v>
      </c>
      <c r="L1574" s="705">
        <v>8816</v>
      </c>
      <c r="M1574" s="705">
        <v>8014</v>
      </c>
      <c r="N1574" s="705">
        <v>8558</v>
      </c>
      <c r="O1574" s="705">
        <v>3170</v>
      </c>
      <c r="P1574" s="705">
        <v>1404</v>
      </c>
      <c r="Q1574" s="705">
        <v>520</v>
      </c>
      <c r="R1574" s="705">
        <v>29505</v>
      </c>
      <c r="S1574" s="705">
        <v>26823</v>
      </c>
      <c r="T1574" s="705">
        <v>4794</v>
      </c>
      <c r="U1574" s="705">
        <v>1776</v>
      </c>
      <c r="V1574" s="705">
        <v>102908</v>
      </c>
      <c r="W1574" s="705">
        <f t="shared" si="70"/>
        <v>102909</v>
      </c>
      <c r="X1574" s="705">
        <f t="shared" si="71"/>
        <v>121943</v>
      </c>
    </row>
    <row r="1575" spans="2:24">
      <c r="B1575" t="s">
        <v>544</v>
      </c>
      <c r="C1575" t="s">
        <v>118</v>
      </c>
      <c r="D1575" t="s">
        <v>671</v>
      </c>
      <c r="E1575" t="s">
        <v>671</v>
      </c>
      <c r="F1575" s="705">
        <v>3</v>
      </c>
      <c r="G1575" s="705">
        <v>553</v>
      </c>
      <c r="H1575" s="705">
        <v>831</v>
      </c>
      <c r="I1575" s="705">
        <v>113507</v>
      </c>
      <c r="J1575" s="705">
        <v>103188</v>
      </c>
      <c r="K1575" s="705">
        <v>55</v>
      </c>
      <c r="L1575" s="705">
        <v>9999</v>
      </c>
      <c r="M1575" s="705">
        <v>9090</v>
      </c>
      <c r="N1575" s="705">
        <v>13030</v>
      </c>
      <c r="O1575" s="705">
        <v>4826</v>
      </c>
      <c r="P1575" s="705">
        <v>972</v>
      </c>
      <c r="Q1575" s="705">
        <v>360</v>
      </c>
      <c r="R1575" s="705">
        <v>25138</v>
      </c>
      <c r="S1575" s="705">
        <v>22853</v>
      </c>
      <c r="T1575" s="705">
        <v>6311</v>
      </c>
      <c r="U1575" s="705">
        <v>2337</v>
      </c>
      <c r="V1575" s="705">
        <v>142654</v>
      </c>
      <c r="W1575" s="705">
        <f t="shared" si="70"/>
        <v>142654</v>
      </c>
      <c r="X1575" s="705">
        <f t="shared" si="71"/>
        <v>168957</v>
      </c>
    </row>
    <row r="1576" spans="2:24">
      <c r="B1576" t="s">
        <v>544</v>
      </c>
      <c r="C1576" t="s">
        <v>118</v>
      </c>
      <c r="D1576" t="s">
        <v>665</v>
      </c>
      <c r="E1576" t="s">
        <v>228</v>
      </c>
      <c r="F1576" s="705">
        <v>1</v>
      </c>
      <c r="G1576" s="705">
        <v>237</v>
      </c>
      <c r="H1576" s="705">
        <v>239</v>
      </c>
      <c r="I1576" s="705">
        <v>31675</v>
      </c>
      <c r="J1576" s="705">
        <v>28795</v>
      </c>
      <c r="K1576" s="705">
        <v>60</v>
      </c>
      <c r="L1576" s="705">
        <v>7039</v>
      </c>
      <c r="M1576" s="705">
        <v>6399</v>
      </c>
      <c r="N1576" s="705">
        <v>5775</v>
      </c>
      <c r="O1576" s="705">
        <v>2139</v>
      </c>
      <c r="P1576" s="705">
        <v>0</v>
      </c>
      <c r="Q1576" s="705">
        <v>0</v>
      </c>
      <c r="R1576" s="705">
        <v>12036</v>
      </c>
      <c r="S1576" s="705">
        <v>4458</v>
      </c>
      <c r="T1576" s="705">
        <v>0</v>
      </c>
      <c r="U1576" s="705">
        <v>0</v>
      </c>
      <c r="V1576" s="705">
        <v>41791</v>
      </c>
      <c r="W1576" s="705">
        <f t="shared" si="70"/>
        <v>41791</v>
      </c>
      <c r="X1576" s="705">
        <f t="shared" si="71"/>
        <v>56525</v>
      </c>
    </row>
    <row r="1577" spans="2:24">
      <c r="B1577" t="s">
        <v>544</v>
      </c>
      <c r="C1577" t="s">
        <v>118</v>
      </c>
      <c r="D1577" t="s">
        <v>665</v>
      </c>
      <c r="E1577" t="s">
        <v>665</v>
      </c>
      <c r="F1577" s="705">
        <v>42</v>
      </c>
      <c r="G1577" s="705">
        <v>5851</v>
      </c>
      <c r="H1577" s="705">
        <v>11365</v>
      </c>
      <c r="I1577" s="705">
        <v>1000004</v>
      </c>
      <c r="J1577" s="705">
        <v>909094</v>
      </c>
      <c r="K1577" s="705">
        <v>63</v>
      </c>
      <c r="L1577" s="705">
        <v>160548</v>
      </c>
      <c r="M1577" s="705">
        <v>141209</v>
      </c>
      <c r="N1577" s="705">
        <v>116377</v>
      </c>
      <c r="O1577" s="705">
        <v>43103</v>
      </c>
      <c r="P1577" s="705">
        <v>15039</v>
      </c>
      <c r="Q1577" s="705">
        <v>5570</v>
      </c>
      <c r="R1577" s="705">
        <v>245255</v>
      </c>
      <c r="S1577" s="705">
        <v>222960</v>
      </c>
      <c r="T1577" s="705">
        <v>85168</v>
      </c>
      <c r="U1577" s="705">
        <v>31544</v>
      </c>
      <c r="V1577" s="705">
        <v>1353479</v>
      </c>
      <c r="W1577" s="705">
        <f t="shared" si="70"/>
        <v>1353480</v>
      </c>
      <c r="X1577" s="705">
        <f t="shared" si="71"/>
        <v>1622391</v>
      </c>
    </row>
    <row r="1578" spans="2:24">
      <c r="B1578" t="s">
        <v>544</v>
      </c>
      <c r="C1578" t="s">
        <v>118</v>
      </c>
      <c r="D1578" t="s">
        <v>673</v>
      </c>
      <c r="E1578" t="s">
        <v>673</v>
      </c>
      <c r="F1578" s="705">
        <v>1</v>
      </c>
      <c r="G1578" s="705">
        <v>98</v>
      </c>
      <c r="H1578" s="705">
        <v>299</v>
      </c>
      <c r="I1578" s="705">
        <v>17723</v>
      </c>
      <c r="J1578" s="705">
        <v>16112</v>
      </c>
      <c r="K1578" s="705">
        <v>65</v>
      </c>
      <c r="L1578" s="705">
        <v>2327</v>
      </c>
      <c r="M1578" s="705">
        <v>2116</v>
      </c>
      <c r="N1578" s="705">
        <v>1331</v>
      </c>
      <c r="O1578" s="705">
        <v>493</v>
      </c>
      <c r="P1578" s="705">
        <v>351</v>
      </c>
      <c r="Q1578" s="705">
        <v>130</v>
      </c>
      <c r="R1578" s="705">
        <v>7462</v>
      </c>
      <c r="S1578" s="705">
        <v>6783</v>
      </c>
      <c r="T1578" s="705">
        <v>0</v>
      </c>
      <c r="U1578" s="705">
        <v>0</v>
      </c>
      <c r="V1578" s="705">
        <v>25634</v>
      </c>
      <c r="W1578" s="705">
        <f t="shared" si="70"/>
        <v>25634</v>
      </c>
      <c r="X1578" s="705">
        <f t="shared" si="71"/>
        <v>29194</v>
      </c>
    </row>
    <row r="1579" spans="2:24">
      <c r="B1579" t="s">
        <v>544</v>
      </c>
      <c r="C1579" t="s">
        <v>118</v>
      </c>
      <c r="D1579" t="s">
        <v>585</v>
      </c>
      <c r="E1579" t="s">
        <v>585</v>
      </c>
      <c r="F1579" s="705">
        <v>2</v>
      </c>
      <c r="G1579" s="705">
        <v>207</v>
      </c>
      <c r="H1579" s="705">
        <v>563</v>
      </c>
      <c r="I1579" s="705">
        <v>39305</v>
      </c>
      <c r="J1579" s="705">
        <v>35732</v>
      </c>
      <c r="K1579" s="705">
        <v>63</v>
      </c>
      <c r="L1579" s="705">
        <v>4523</v>
      </c>
      <c r="M1579" s="705">
        <v>4112</v>
      </c>
      <c r="N1579" s="705">
        <v>4328</v>
      </c>
      <c r="O1579" s="705">
        <v>1603</v>
      </c>
      <c r="P1579" s="705">
        <v>702</v>
      </c>
      <c r="Q1579" s="705">
        <v>260</v>
      </c>
      <c r="R1579" s="705">
        <v>9523</v>
      </c>
      <c r="S1579" s="705">
        <v>8657</v>
      </c>
      <c r="T1579" s="705">
        <v>0</v>
      </c>
      <c r="U1579" s="705">
        <v>0</v>
      </c>
      <c r="V1579" s="705">
        <v>50364</v>
      </c>
      <c r="W1579" s="705">
        <f t="shared" si="70"/>
        <v>50364</v>
      </c>
      <c r="X1579" s="705">
        <f t="shared" si="71"/>
        <v>58381</v>
      </c>
    </row>
    <row r="1580" spans="2:24">
      <c r="B1580" t="s">
        <v>544</v>
      </c>
      <c r="C1580" t="s">
        <v>118</v>
      </c>
      <c r="D1580" t="s">
        <v>668</v>
      </c>
      <c r="E1580" t="s">
        <v>668</v>
      </c>
      <c r="F1580" s="705">
        <v>1</v>
      </c>
      <c r="G1580" s="705">
        <v>116</v>
      </c>
      <c r="H1580" s="705">
        <v>252</v>
      </c>
      <c r="I1580" s="705">
        <v>16333</v>
      </c>
      <c r="J1580" s="705">
        <v>14848</v>
      </c>
      <c r="K1580" s="705">
        <v>88</v>
      </c>
      <c r="L1580" s="705">
        <v>5293</v>
      </c>
      <c r="M1580" s="705">
        <v>4812</v>
      </c>
      <c r="N1580" s="705">
        <v>1956</v>
      </c>
      <c r="O1580" s="705">
        <v>725</v>
      </c>
      <c r="P1580" s="705">
        <v>351</v>
      </c>
      <c r="Q1580" s="705">
        <v>130</v>
      </c>
      <c r="R1580" s="705">
        <v>5232</v>
      </c>
      <c r="S1580" s="705">
        <v>4756</v>
      </c>
      <c r="T1580" s="705">
        <v>0</v>
      </c>
      <c r="U1580" s="705">
        <v>0</v>
      </c>
      <c r="V1580" s="705">
        <v>25271</v>
      </c>
      <c r="W1580" s="705">
        <f t="shared" si="70"/>
        <v>25271</v>
      </c>
      <c r="X1580" s="705">
        <f t="shared" si="71"/>
        <v>29165</v>
      </c>
    </row>
    <row r="1581" spans="2:24">
      <c r="B1581" t="s">
        <v>544</v>
      </c>
      <c r="C1581" t="s">
        <v>120</v>
      </c>
      <c r="D1581" t="s">
        <v>674</v>
      </c>
      <c r="E1581" t="s">
        <v>674</v>
      </c>
      <c r="F1581" s="705">
        <v>1</v>
      </c>
      <c r="G1581" s="705">
        <v>73</v>
      </c>
      <c r="H1581" s="705">
        <v>365</v>
      </c>
      <c r="I1581" s="705">
        <v>14397</v>
      </c>
      <c r="J1581" s="705">
        <v>13088</v>
      </c>
      <c r="K1581" s="705">
        <v>55</v>
      </c>
      <c r="L1581" s="705">
        <v>2933</v>
      </c>
      <c r="M1581" s="705">
        <v>2666</v>
      </c>
      <c r="N1581" s="705">
        <v>1562</v>
      </c>
      <c r="O1581" s="705">
        <v>579</v>
      </c>
      <c r="P1581" s="705">
        <v>351</v>
      </c>
      <c r="Q1581" s="705">
        <v>130</v>
      </c>
      <c r="R1581" s="705">
        <v>5156</v>
      </c>
      <c r="S1581" s="705">
        <v>4688</v>
      </c>
      <c r="T1581" s="705">
        <v>2342</v>
      </c>
      <c r="U1581" s="705">
        <v>867</v>
      </c>
      <c r="V1581" s="705">
        <v>22017</v>
      </c>
      <c r="W1581" s="705">
        <f t="shared" si="70"/>
        <v>22018</v>
      </c>
      <c r="X1581" s="705">
        <f t="shared" si="71"/>
        <v>26741</v>
      </c>
    </row>
    <row r="1582" spans="2:24">
      <c r="B1582" t="s">
        <v>544</v>
      </c>
      <c r="C1582" t="s">
        <v>120</v>
      </c>
      <c r="D1582" t="s">
        <v>582</v>
      </c>
      <c r="E1582" t="s">
        <v>582</v>
      </c>
      <c r="F1582" s="705">
        <v>5</v>
      </c>
      <c r="G1582" s="705">
        <v>524</v>
      </c>
      <c r="H1582" s="705">
        <v>1677</v>
      </c>
      <c r="I1582" s="705">
        <v>110064</v>
      </c>
      <c r="J1582" s="705">
        <v>100058</v>
      </c>
      <c r="K1582" s="705">
        <v>81</v>
      </c>
      <c r="L1582" s="705">
        <v>21581</v>
      </c>
      <c r="M1582" s="705">
        <v>17501</v>
      </c>
      <c r="N1582" s="705">
        <v>10274</v>
      </c>
      <c r="O1582" s="705">
        <v>3805</v>
      </c>
      <c r="P1582" s="705">
        <v>2714</v>
      </c>
      <c r="Q1582" s="705">
        <v>1005</v>
      </c>
      <c r="R1582" s="705">
        <v>23896</v>
      </c>
      <c r="S1582" s="705">
        <v>21723</v>
      </c>
      <c r="T1582" s="705">
        <v>5505</v>
      </c>
      <c r="U1582" s="705">
        <v>2039</v>
      </c>
      <c r="V1582" s="705">
        <v>146131</v>
      </c>
      <c r="W1582" s="705">
        <f t="shared" si="70"/>
        <v>146131</v>
      </c>
      <c r="X1582" s="705">
        <f t="shared" si="71"/>
        <v>174034</v>
      </c>
    </row>
    <row r="1583" spans="2:24">
      <c r="B1583" t="s">
        <v>544</v>
      </c>
      <c r="C1583" t="s">
        <v>120</v>
      </c>
      <c r="D1583" t="s">
        <v>582</v>
      </c>
      <c r="E1583" t="s">
        <v>228</v>
      </c>
      <c r="F1583" s="705">
        <v>1</v>
      </c>
      <c r="G1583" s="705">
        <v>189</v>
      </c>
      <c r="H1583" s="705">
        <v>313</v>
      </c>
      <c r="I1583" s="705">
        <v>31801</v>
      </c>
      <c r="J1583" s="705">
        <v>28910</v>
      </c>
      <c r="K1583" s="705">
        <v>80</v>
      </c>
      <c r="L1583" s="705">
        <v>13445</v>
      </c>
      <c r="M1583" s="705">
        <v>12223</v>
      </c>
      <c r="N1583" s="705">
        <v>4076</v>
      </c>
      <c r="O1583" s="705">
        <v>1510</v>
      </c>
      <c r="P1583" s="705">
        <v>351</v>
      </c>
      <c r="Q1583" s="705">
        <v>130</v>
      </c>
      <c r="R1583" s="705">
        <v>9488</v>
      </c>
      <c r="S1583" s="705">
        <v>3514</v>
      </c>
      <c r="T1583" s="705">
        <v>0</v>
      </c>
      <c r="U1583" s="705">
        <v>0</v>
      </c>
      <c r="V1583" s="705">
        <v>46287</v>
      </c>
      <c r="W1583" s="705">
        <f t="shared" si="70"/>
        <v>46287</v>
      </c>
      <c r="X1583" s="705">
        <f t="shared" si="71"/>
        <v>59161</v>
      </c>
    </row>
    <row r="1584" spans="2:24">
      <c r="B1584" t="s">
        <v>544</v>
      </c>
      <c r="C1584" t="s">
        <v>120</v>
      </c>
      <c r="D1584" t="s">
        <v>228</v>
      </c>
      <c r="E1584" t="s">
        <v>228</v>
      </c>
      <c r="F1584" s="705">
        <v>32</v>
      </c>
      <c r="G1584" s="705">
        <v>3343</v>
      </c>
      <c r="H1584" s="705">
        <v>10653</v>
      </c>
      <c r="I1584" s="705">
        <v>704595</v>
      </c>
      <c r="J1584" s="705">
        <v>260961</v>
      </c>
      <c r="K1584" s="705">
        <v>108</v>
      </c>
      <c r="L1584" s="705">
        <v>137434</v>
      </c>
      <c r="M1584" s="705">
        <v>114589</v>
      </c>
      <c r="N1584" s="705">
        <v>76008</v>
      </c>
      <c r="O1584" s="705">
        <v>28151</v>
      </c>
      <c r="P1584" s="705">
        <v>2727</v>
      </c>
      <c r="Q1584" s="705">
        <v>1010</v>
      </c>
      <c r="R1584" s="705">
        <v>215435</v>
      </c>
      <c r="S1584" s="705">
        <v>79791</v>
      </c>
      <c r="T1584" s="705">
        <v>0</v>
      </c>
      <c r="U1584" s="705">
        <v>0</v>
      </c>
      <c r="V1584" s="705">
        <v>484501</v>
      </c>
      <c r="W1584" s="705">
        <f t="shared" si="70"/>
        <v>484502</v>
      </c>
      <c r="X1584" s="705">
        <f t="shared" si="71"/>
        <v>1136199</v>
      </c>
    </row>
    <row r="1585" spans="2:24">
      <c r="B1585" t="s">
        <v>544</v>
      </c>
      <c r="C1585" t="s">
        <v>120</v>
      </c>
      <c r="D1585" t="s">
        <v>583</v>
      </c>
      <c r="E1585" t="s">
        <v>228</v>
      </c>
      <c r="F1585" s="705">
        <v>1</v>
      </c>
      <c r="G1585" s="705">
        <v>178</v>
      </c>
      <c r="H1585" s="705">
        <v>380</v>
      </c>
      <c r="I1585" s="705">
        <v>41722</v>
      </c>
      <c r="J1585" s="705">
        <v>37929</v>
      </c>
      <c r="K1585" s="705">
        <v>70</v>
      </c>
      <c r="L1585" s="705">
        <v>11210</v>
      </c>
      <c r="M1585" s="705">
        <v>9342</v>
      </c>
      <c r="N1585" s="705">
        <v>2341</v>
      </c>
      <c r="O1585" s="705">
        <v>867</v>
      </c>
      <c r="P1585" s="705">
        <v>621</v>
      </c>
      <c r="Q1585" s="705">
        <v>230</v>
      </c>
      <c r="R1585" s="705">
        <v>11701</v>
      </c>
      <c r="S1585" s="705">
        <v>4334</v>
      </c>
      <c r="T1585" s="705">
        <v>0</v>
      </c>
      <c r="U1585" s="705">
        <v>0</v>
      </c>
      <c r="V1585" s="705">
        <v>52701</v>
      </c>
      <c r="W1585" s="705">
        <f t="shared" si="70"/>
        <v>52702</v>
      </c>
      <c r="X1585" s="705">
        <f t="shared" si="71"/>
        <v>67595</v>
      </c>
    </row>
    <row r="1586" spans="2:24">
      <c r="B1586" t="s">
        <v>544</v>
      </c>
      <c r="C1586" t="s">
        <v>120</v>
      </c>
      <c r="D1586" t="s">
        <v>583</v>
      </c>
      <c r="E1586" t="s">
        <v>583</v>
      </c>
      <c r="F1586" s="705">
        <v>369</v>
      </c>
      <c r="G1586" s="705">
        <v>44356</v>
      </c>
      <c r="H1586" s="705">
        <v>124284</v>
      </c>
      <c r="I1586" s="705">
        <v>9596666</v>
      </c>
      <c r="J1586" s="705">
        <v>8724242</v>
      </c>
      <c r="K1586" s="705">
        <v>77</v>
      </c>
      <c r="L1586" s="705">
        <v>1778117</v>
      </c>
      <c r="M1586" s="705">
        <v>1579874</v>
      </c>
      <c r="N1586" s="705">
        <v>924665</v>
      </c>
      <c r="O1586" s="705">
        <v>342468</v>
      </c>
      <c r="P1586" s="705">
        <v>237411</v>
      </c>
      <c r="Q1586" s="705">
        <v>87930</v>
      </c>
      <c r="R1586" s="705">
        <v>1936687</v>
      </c>
      <c r="S1586" s="705">
        <v>1760625</v>
      </c>
      <c r="T1586" s="705">
        <v>631094</v>
      </c>
      <c r="U1586" s="705">
        <v>233738</v>
      </c>
      <c r="V1586" s="705">
        <v>12728877</v>
      </c>
      <c r="W1586" s="705">
        <f t="shared" si="70"/>
        <v>12728877</v>
      </c>
      <c r="X1586" s="705">
        <f t="shared" si="71"/>
        <v>15104640</v>
      </c>
    </row>
    <row r="1587" spans="2:24">
      <c r="B1587" t="s">
        <v>544</v>
      </c>
      <c r="C1587" t="s">
        <v>120</v>
      </c>
      <c r="D1587" t="s">
        <v>583</v>
      </c>
      <c r="E1587" t="s">
        <v>666</v>
      </c>
      <c r="F1587" s="705">
        <v>1</v>
      </c>
      <c r="G1587" s="705">
        <v>93</v>
      </c>
      <c r="H1587" s="705">
        <v>352</v>
      </c>
      <c r="I1587" s="705">
        <v>19868</v>
      </c>
      <c r="J1587" s="705">
        <v>18062</v>
      </c>
      <c r="K1587" s="705">
        <v>86</v>
      </c>
      <c r="L1587" s="705">
        <v>5134</v>
      </c>
      <c r="M1587" s="705">
        <v>4667</v>
      </c>
      <c r="N1587" s="705">
        <v>1363</v>
      </c>
      <c r="O1587" s="705">
        <v>505</v>
      </c>
      <c r="P1587" s="705">
        <v>621</v>
      </c>
      <c r="Q1587" s="705">
        <v>230</v>
      </c>
      <c r="R1587" s="705">
        <v>3482</v>
      </c>
      <c r="S1587" s="705">
        <v>3165</v>
      </c>
      <c r="T1587" s="705">
        <v>2340</v>
      </c>
      <c r="U1587" s="705">
        <v>867</v>
      </c>
      <c r="V1587" s="705">
        <v>27496</v>
      </c>
      <c r="W1587" s="705">
        <f t="shared" si="70"/>
        <v>27496</v>
      </c>
      <c r="X1587" s="705">
        <f t="shared" si="71"/>
        <v>32808</v>
      </c>
    </row>
    <row r="1588" spans="2:24">
      <c r="B1588" t="s">
        <v>544</v>
      </c>
      <c r="C1588" t="s">
        <v>120</v>
      </c>
      <c r="D1588" t="s">
        <v>583</v>
      </c>
      <c r="E1588" t="s">
        <v>665</v>
      </c>
      <c r="F1588" s="705">
        <v>2</v>
      </c>
      <c r="G1588" s="705">
        <v>219</v>
      </c>
      <c r="H1588" s="705">
        <v>636</v>
      </c>
      <c r="I1588" s="705">
        <v>41431</v>
      </c>
      <c r="J1588" s="705">
        <v>37665</v>
      </c>
      <c r="K1588" s="705">
        <v>78</v>
      </c>
      <c r="L1588" s="705">
        <v>6566</v>
      </c>
      <c r="M1588" s="705">
        <v>5969</v>
      </c>
      <c r="N1588" s="705">
        <v>4233</v>
      </c>
      <c r="O1588" s="705">
        <v>1568</v>
      </c>
      <c r="P1588" s="705">
        <v>1593</v>
      </c>
      <c r="Q1588" s="705">
        <v>590</v>
      </c>
      <c r="R1588" s="705">
        <v>15734</v>
      </c>
      <c r="S1588" s="705">
        <v>14304</v>
      </c>
      <c r="T1588" s="705">
        <v>0</v>
      </c>
      <c r="U1588" s="705">
        <v>0</v>
      </c>
      <c r="V1588" s="705">
        <v>60095</v>
      </c>
      <c r="W1588" s="705">
        <f t="shared" si="70"/>
        <v>60096</v>
      </c>
      <c r="X1588" s="705">
        <f t="shared" si="71"/>
        <v>69557</v>
      </c>
    </row>
    <row r="1589" spans="2:24">
      <c r="B1589" t="s">
        <v>544</v>
      </c>
      <c r="C1589" t="s">
        <v>120</v>
      </c>
      <c r="D1589" t="s">
        <v>666</v>
      </c>
      <c r="E1589" t="s">
        <v>666</v>
      </c>
      <c r="F1589" s="705">
        <v>1</v>
      </c>
      <c r="G1589" s="705">
        <v>64</v>
      </c>
      <c r="H1589" s="705">
        <v>317</v>
      </c>
      <c r="I1589" s="705">
        <v>11507</v>
      </c>
      <c r="J1589" s="705">
        <v>10461</v>
      </c>
      <c r="K1589" s="705">
        <v>65</v>
      </c>
      <c r="L1589" s="705">
        <v>1385</v>
      </c>
      <c r="M1589" s="705">
        <v>1259</v>
      </c>
      <c r="N1589" s="705">
        <v>1220</v>
      </c>
      <c r="O1589" s="705">
        <v>452</v>
      </c>
      <c r="P1589" s="705">
        <v>351</v>
      </c>
      <c r="Q1589" s="705">
        <v>130</v>
      </c>
      <c r="R1589" s="705">
        <v>5755</v>
      </c>
      <c r="S1589" s="705">
        <v>5232</v>
      </c>
      <c r="T1589" s="705">
        <v>0</v>
      </c>
      <c r="U1589" s="705">
        <v>0</v>
      </c>
      <c r="V1589" s="705">
        <v>17534</v>
      </c>
      <c r="W1589" s="705">
        <f t="shared" si="70"/>
        <v>17534</v>
      </c>
      <c r="X1589" s="705">
        <f t="shared" si="71"/>
        <v>20218</v>
      </c>
    </row>
    <row r="1590" spans="2:24">
      <c r="B1590" t="s">
        <v>544</v>
      </c>
      <c r="C1590" t="s">
        <v>120</v>
      </c>
      <c r="D1590" t="s">
        <v>584</v>
      </c>
      <c r="E1590" t="s">
        <v>584</v>
      </c>
      <c r="F1590" s="705">
        <v>26</v>
      </c>
      <c r="G1590" s="705">
        <v>3010</v>
      </c>
      <c r="H1590" s="705">
        <v>8827</v>
      </c>
      <c r="I1590" s="705">
        <v>640876</v>
      </c>
      <c r="J1590" s="705">
        <v>582614</v>
      </c>
      <c r="K1590" s="705">
        <v>80</v>
      </c>
      <c r="L1590" s="705">
        <v>163445</v>
      </c>
      <c r="M1590" s="705">
        <v>145152</v>
      </c>
      <c r="N1590" s="705">
        <v>63763</v>
      </c>
      <c r="O1590" s="705">
        <v>23616</v>
      </c>
      <c r="P1590" s="705">
        <v>12555</v>
      </c>
      <c r="Q1590" s="705">
        <v>4650</v>
      </c>
      <c r="R1590" s="705">
        <v>142047</v>
      </c>
      <c r="S1590" s="705">
        <v>129134</v>
      </c>
      <c r="T1590" s="705">
        <v>19218</v>
      </c>
      <c r="U1590" s="705">
        <v>7118</v>
      </c>
      <c r="V1590" s="705">
        <v>892284</v>
      </c>
      <c r="W1590" s="705">
        <f t="shared" si="70"/>
        <v>892284</v>
      </c>
      <c r="X1590" s="705">
        <f t="shared" si="71"/>
        <v>1041904</v>
      </c>
    </row>
    <row r="1591" spans="2:24">
      <c r="B1591" t="s">
        <v>544</v>
      </c>
      <c r="C1591" t="s">
        <v>120</v>
      </c>
      <c r="D1591" t="s">
        <v>671</v>
      </c>
      <c r="E1591" t="s">
        <v>671</v>
      </c>
      <c r="F1591" s="705">
        <v>3</v>
      </c>
      <c r="G1591" s="705">
        <v>303</v>
      </c>
      <c r="H1591" s="705">
        <v>997</v>
      </c>
      <c r="I1591" s="705">
        <v>83860</v>
      </c>
      <c r="J1591" s="705">
        <v>76237</v>
      </c>
      <c r="K1591" s="705">
        <v>55</v>
      </c>
      <c r="L1591" s="705">
        <v>12074</v>
      </c>
      <c r="M1591" s="705">
        <v>10976</v>
      </c>
      <c r="N1591" s="705">
        <v>7139</v>
      </c>
      <c r="O1591" s="705">
        <v>2644</v>
      </c>
      <c r="P1591" s="705">
        <v>702</v>
      </c>
      <c r="Q1591" s="705">
        <v>260</v>
      </c>
      <c r="R1591" s="705">
        <v>19023</v>
      </c>
      <c r="S1591" s="705">
        <v>17294</v>
      </c>
      <c r="T1591" s="705">
        <v>3831</v>
      </c>
      <c r="U1591" s="705">
        <v>1419</v>
      </c>
      <c r="V1591" s="705">
        <v>108830</v>
      </c>
      <c r="W1591" s="705">
        <f t="shared" si="70"/>
        <v>108830</v>
      </c>
      <c r="X1591" s="705">
        <f t="shared" si="71"/>
        <v>126629</v>
      </c>
    </row>
    <row r="1592" spans="2:24">
      <c r="B1592" t="s">
        <v>544</v>
      </c>
      <c r="C1592" t="s">
        <v>120</v>
      </c>
      <c r="D1592" t="s">
        <v>665</v>
      </c>
      <c r="E1592" t="s">
        <v>228</v>
      </c>
      <c r="F1592" s="705">
        <v>1</v>
      </c>
      <c r="G1592" s="705">
        <v>64</v>
      </c>
      <c r="H1592" s="705">
        <v>378</v>
      </c>
      <c r="I1592" s="705">
        <v>17179</v>
      </c>
      <c r="J1592" s="705">
        <v>15617</v>
      </c>
      <c r="K1592" s="705">
        <v>60</v>
      </c>
      <c r="L1592" s="705">
        <v>0</v>
      </c>
      <c r="M1592" s="705">
        <v>0</v>
      </c>
      <c r="N1592" s="705">
        <v>1116</v>
      </c>
      <c r="O1592" s="705">
        <v>413</v>
      </c>
      <c r="P1592" s="705">
        <v>0</v>
      </c>
      <c r="Q1592" s="705">
        <v>0</v>
      </c>
      <c r="R1592" s="705">
        <v>5900</v>
      </c>
      <c r="S1592" s="705">
        <v>2185</v>
      </c>
      <c r="T1592" s="705">
        <v>0</v>
      </c>
      <c r="U1592" s="705">
        <v>0</v>
      </c>
      <c r="V1592" s="705">
        <v>18216</v>
      </c>
      <c r="W1592" s="705">
        <f t="shared" si="70"/>
        <v>18215</v>
      </c>
      <c r="X1592" s="705">
        <f t="shared" si="71"/>
        <v>24195</v>
      </c>
    </row>
    <row r="1593" spans="2:24">
      <c r="B1593" t="s">
        <v>544</v>
      </c>
      <c r="C1593" t="s">
        <v>120</v>
      </c>
      <c r="D1593" t="s">
        <v>665</v>
      </c>
      <c r="E1593" t="s">
        <v>665</v>
      </c>
      <c r="F1593" s="705">
        <v>69</v>
      </c>
      <c r="G1593" s="705">
        <v>8312</v>
      </c>
      <c r="H1593" s="705">
        <v>23697</v>
      </c>
      <c r="I1593" s="705">
        <v>1843548</v>
      </c>
      <c r="J1593" s="705">
        <v>1675953</v>
      </c>
      <c r="K1593" s="705">
        <v>57</v>
      </c>
      <c r="L1593" s="705">
        <v>281363</v>
      </c>
      <c r="M1593" s="705">
        <v>247314</v>
      </c>
      <c r="N1593" s="705">
        <v>165894</v>
      </c>
      <c r="O1593" s="705">
        <v>61442</v>
      </c>
      <c r="P1593" s="705">
        <v>25137</v>
      </c>
      <c r="Q1593" s="705">
        <v>9310</v>
      </c>
      <c r="R1593" s="705">
        <v>407222</v>
      </c>
      <c r="S1593" s="705">
        <v>370202</v>
      </c>
      <c r="T1593" s="705">
        <v>157050</v>
      </c>
      <c r="U1593" s="705">
        <v>58167</v>
      </c>
      <c r="V1593" s="705">
        <v>2422387</v>
      </c>
      <c r="W1593" s="705">
        <f t="shared" si="70"/>
        <v>2422388</v>
      </c>
      <c r="X1593" s="705">
        <f t="shared" si="71"/>
        <v>2880214</v>
      </c>
    </row>
    <row r="1594" spans="2:24">
      <c r="B1594" t="s">
        <v>544</v>
      </c>
      <c r="C1594" t="s">
        <v>122</v>
      </c>
      <c r="D1594" t="s">
        <v>582</v>
      </c>
      <c r="E1594" t="s">
        <v>582</v>
      </c>
      <c r="F1594" s="705">
        <v>2</v>
      </c>
      <c r="G1594" s="705">
        <v>319</v>
      </c>
      <c r="H1594" s="705">
        <v>814</v>
      </c>
      <c r="I1594" s="705">
        <v>88058</v>
      </c>
      <c r="J1594" s="705">
        <v>80053</v>
      </c>
      <c r="K1594" s="705">
        <v>83</v>
      </c>
      <c r="L1594" s="705">
        <v>17180</v>
      </c>
      <c r="M1594" s="705">
        <v>15618</v>
      </c>
      <c r="N1594" s="705">
        <v>6916</v>
      </c>
      <c r="O1594" s="705">
        <v>2561</v>
      </c>
      <c r="P1594" s="705">
        <v>945</v>
      </c>
      <c r="Q1594" s="705">
        <v>350</v>
      </c>
      <c r="R1594" s="705">
        <v>9988</v>
      </c>
      <c r="S1594" s="705">
        <v>9080</v>
      </c>
      <c r="T1594" s="705">
        <v>4327</v>
      </c>
      <c r="U1594" s="705">
        <v>1603</v>
      </c>
      <c r="V1594" s="705">
        <v>109266</v>
      </c>
      <c r="W1594" s="705">
        <f t="shared" si="70"/>
        <v>109265</v>
      </c>
      <c r="X1594" s="705">
        <f t="shared" si="71"/>
        <v>127414</v>
      </c>
    </row>
    <row r="1595" spans="2:24">
      <c r="B1595" t="s">
        <v>544</v>
      </c>
      <c r="C1595" t="s">
        <v>122</v>
      </c>
      <c r="D1595" t="s">
        <v>228</v>
      </c>
      <c r="E1595" t="s">
        <v>228</v>
      </c>
      <c r="F1595" s="705">
        <v>11</v>
      </c>
      <c r="G1595" s="705">
        <v>1608</v>
      </c>
      <c r="H1595" s="705">
        <v>4492</v>
      </c>
      <c r="I1595" s="705">
        <v>490150</v>
      </c>
      <c r="J1595" s="705">
        <v>181537</v>
      </c>
      <c r="K1595" s="705">
        <v>100</v>
      </c>
      <c r="L1595" s="705">
        <v>74986</v>
      </c>
      <c r="M1595" s="705">
        <v>65963</v>
      </c>
      <c r="N1595" s="705">
        <v>39936</v>
      </c>
      <c r="O1595" s="705">
        <v>14791</v>
      </c>
      <c r="P1595" s="705">
        <v>702</v>
      </c>
      <c r="Q1595" s="705">
        <v>260</v>
      </c>
      <c r="R1595" s="705">
        <v>73855</v>
      </c>
      <c r="S1595" s="705">
        <v>27354</v>
      </c>
      <c r="T1595" s="705">
        <v>3193</v>
      </c>
      <c r="U1595" s="705">
        <v>1183</v>
      </c>
      <c r="V1595" s="705">
        <v>291087</v>
      </c>
      <c r="W1595" s="705">
        <f t="shared" si="70"/>
        <v>291088</v>
      </c>
      <c r="X1595" s="705">
        <f t="shared" si="71"/>
        <v>682822</v>
      </c>
    </row>
    <row r="1596" spans="2:24">
      <c r="B1596" t="s">
        <v>544</v>
      </c>
      <c r="C1596" t="s">
        <v>122</v>
      </c>
      <c r="D1596" t="s">
        <v>583</v>
      </c>
      <c r="E1596" t="s">
        <v>228</v>
      </c>
      <c r="F1596" s="705">
        <v>2</v>
      </c>
      <c r="G1596" s="705">
        <v>357</v>
      </c>
      <c r="H1596" s="705">
        <v>836</v>
      </c>
      <c r="I1596" s="705">
        <v>107880</v>
      </c>
      <c r="J1596" s="705">
        <v>98073</v>
      </c>
      <c r="K1596" s="705">
        <v>79</v>
      </c>
      <c r="L1596" s="705">
        <v>16507</v>
      </c>
      <c r="M1596" s="705">
        <v>15006</v>
      </c>
      <c r="N1596" s="705">
        <v>7254</v>
      </c>
      <c r="O1596" s="705">
        <v>2687</v>
      </c>
      <c r="P1596" s="705">
        <v>1863</v>
      </c>
      <c r="Q1596" s="705">
        <v>690</v>
      </c>
      <c r="R1596" s="705">
        <v>17839</v>
      </c>
      <c r="S1596" s="705">
        <v>6607</v>
      </c>
      <c r="T1596" s="705">
        <v>0</v>
      </c>
      <c r="U1596" s="705">
        <v>0</v>
      </c>
      <c r="V1596" s="705">
        <v>123063</v>
      </c>
      <c r="W1596" s="705">
        <f t="shared" si="70"/>
        <v>123063</v>
      </c>
      <c r="X1596" s="705">
        <f t="shared" si="71"/>
        <v>151343</v>
      </c>
    </row>
    <row r="1597" spans="2:24">
      <c r="B1597" t="s">
        <v>544</v>
      </c>
      <c r="C1597" t="s">
        <v>122</v>
      </c>
      <c r="D1597" t="s">
        <v>583</v>
      </c>
      <c r="E1597" t="s">
        <v>583</v>
      </c>
      <c r="F1597" s="705">
        <v>199</v>
      </c>
      <c r="G1597" s="705">
        <v>23401</v>
      </c>
      <c r="H1597" s="705">
        <v>82877</v>
      </c>
      <c r="I1597" s="705">
        <v>6599828</v>
      </c>
      <c r="J1597" s="705">
        <v>5999843</v>
      </c>
      <c r="K1597" s="705">
        <v>75</v>
      </c>
      <c r="L1597" s="705">
        <v>1238678</v>
      </c>
      <c r="M1597" s="705">
        <v>1088514</v>
      </c>
      <c r="N1597" s="705">
        <v>499913</v>
      </c>
      <c r="O1597" s="705">
        <v>185153</v>
      </c>
      <c r="P1597" s="705">
        <v>129128</v>
      </c>
      <c r="Q1597" s="705">
        <v>47825</v>
      </c>
      <c r="R1597" s="705">
        <v>1084399</v>
      </c>
      <c r="S1597" s="705">
        <v>985817</v>
      </c>
      <c r="T1597" s="705">
        <v>335665</v>
      </c>
      <c r="U1597" s="705">
        <v>124320</v>
      </c>
      <c r="V1597" s="705">
        <v>8431473</v>
      </c>
      <c r="W1597" s="705">
        <f t="shared" si="70"/>
        <v>8431472</v>
      </c>
      <c r="X1597" s="705">
        <f t="shared" si="71"/>
        <v>9887611</v>
      </c>
    </row>
    <row r="1598" spans="2:24">
      <c r="B1598" t="s">
        <v>544</v>
      </c>
      <c r="C1598" t="s">
        <v>122</v>
      </c>
      <c r="D1598" t="s">
        <v>666</v>
      </c>
      <c r="E1598" t="s">
        <v>583</v>
      </c>
      <c r="F1598" s="705">
        <v>1</v>
      </c>
      <c r="G1598" s="705">
        <v>205</v>
      </c>
      <c r="H1598" s="705">
        <v>435</v>
      </c>
      <c r="I1598" s="705">
        <v>59724</v>
      </c>
      <c r="J1598" s="705">
        <v>54295</v>
      </c>
      <c r="K1598" s="705">
        <v>65</v>
      </c>
      <c r="L1598" s="705">
        <v>13670</v>
      </c>
      <c r="M1598" s="705">
        <v>12427</v>
      </c>
      <c r="N1598" s="705">
        <v>5004</v>
      </c>
      <c r="O1598" s="705">
        <v>1853</v>
      </c>
      <c r="P1598" s="705">
        <v>621</v>
      </c>
      <c r="Q1598" s="705">
        <v>230</v>
      </c>
      <c r="R1598" s="705">
        <v>6479</v>
      </c>
      <c r="S1598" s="705">
        <v>5890</v>
      </c>
      <c r="T1598" s="705">
        <v>3750</v>
      </c>
      <c r="U1598" s="705">
        <v>1389</v>
      </c>
      <c r="V1598" s="705">
        <v>76085</v>
      </c>
      <c r="W1598" s="705">
        <f t="shared" si="70"/>
        <v>76084</v>
      </c>
      <c r="X1598" s="705">
        <f t="shared" si="71"/>
        <v>89248</v>
      </c>
    </row>
    <row r="1599" spans="2:24">
      <c r="B1599" t="s">
        <v>544</v>
      </c>
      <c r="C1599" t="s">
        <v>122</v>
      </c>
      <c r="D1599" t="s">
        <v>666</v>
      </c>
      <c r="E1599" t="s">
        <v>666</v>
      </c>
      <c r="F1599" s="705">
        <v>2</v>
      </c>
      <c r="G1599" s="705">
        <v>195</v>
      </c>
      <c r="H1599" s="705">
        <v>843</v>
      </c>
      <c r="I1599" s="705">
        <v>58812</v>
      </c>
      <c r="J1599" s="705">
        <v>53465</v>
      </c>
      <c r="K1599" s="705">
        <v>60</v>
      </c>
      <c r="L1599" s="705">
        <v>6404</v>
      </c>
      <c r="M1599" s="705">
        <v>2372</v>
      </c>
      <c r="N1599" s="705">
        <v>2371</v>
      </c>
      <c r="O1599" s="705">
        <v>878</v>
      </c>
      <c r="P1599" s="705">
        <v>351</v>
      </c>
      <c r="Q1599" s="705">
        <v>130</v>
      </c>
      <c r="R1599" s="705">
        <v>11485</v>
      </c>
      <c r="S1599" s="705">
        <v>10441</v>
      </c>
      <c r="T1599" s="705">
        <v>2651</v>
      </c>
      <c r="U1599" s="705">
        <v>982</v>
      </c>
      <c r="V1599" s="705">
        <v>68269</v>
      </c>
      <c r="W1599" s="705">
        <f t="shared" si="70"/>
        <v>68268</v>
      </c>
      <c r="X1599" s="705">
        <f t="shared" si="71"/>
        <v>82074</v>
      </c>
    </row>
    <row r="1600" spans="2:24">
      <c r="B1600" t="s">
        <v>544</v>
      </c>
      <c r="C1600" t="s">
        <v>122</v>
      </c>
      <c r="D1600" t="s">
        <v>584</v>
      </c>
      <c r="E1600" t="s">
        <v>584</v>
      </c>
      <c r="F1600" s="705">
        <v>4</v>
      </c>
      <c r="G1600" s="705">
        <v>838</v>
      </c>
      <c r="H1600" s="705">
        <v>1630</v>
      </c>
      <c r="I1600" s="705">
        <v>253895</v>
      </c>
      <c r="J1600" s="705">
        <v>230814</v>
      </c>
      <c r="K1600" s="705">
        <v>75</v>
      </c>
      <c r="L1600" s="705">
        <v>42625</v>
      </c>
      <c r="M1600" s="705">
        <v>37720</v>
      </c>
      <c r="N1600" s="705">
        <v>13503</v>
      </c>
      <c r="O1600" s="705">
        <v>5001</v>
      </c>
      <c r="P1600" s="705">
        <v>2268</v>
      </c>
      <c r="Q1600" s="705">
        <v>840</v>
      </c>
      <c r="R1600" s="705">
        <v>21278</v>
      </c>
      <c r="S1600" s="705">
        <v>19344</v>
      </c>
      <c r="T1600" s="705">
        <v>9951</v>
      </c>
      <c r="U1600" s="705">
        <v>3686</v>
      </c>
      <c r="V1600" s="705">
        <v>297404</v>
      </c>
      <c r="W1600" s="705">
        <f t="shared" si="70"/>
        <v>297405</v>
      </c>
      <c r="X1600" s="705">
        <f t="shared" si="71"/>
        <v>343520</v>
      </c>
    </row>
    <row r="1601" spans="2:24">
      <c r="B1601" t="s">
        <v>544</v>
      </c>
      <c r="C1601" t="s">
        <v>122</v>
      </c>
      <c r="D1601" t="s">
        <v>671</v>
      </c>
      <c r="E1601" t="s">
        <v>666</v>
      </c>
      <c r="F1601" s="705">
        <v>1</v>
      </c>
      <c r="G1601" s="705">
        <v>116</v>
      </c>
      <c r="H1601" s="705">
        <v>444</v>
      </c>
      <c r="I1601" s="705">
        <v>36181</v>
      </c>
      <c r="J1601" s="705">
        <v>32892</v>
      </c>
      <c r="K1601" s="705">
        <v>55</v>
      </c>
      <c r="L1601" s="705">
        <v>6317</v>
      </c>
      <c r="M1601" s="705">
        <v>5743</v>
      </c>
      <c r="N1601" s="705">
        <v>1772</v>
      </c>
      <c r="O1601" s="705">
        <v>656</v>
      </c>
      <c r="P1601" s="705">
        <v>351</v>
      </c>
      <c r="Q1601" s="705">
        <v>130</v>
      </c>
      <c r="R1601" s="705">
        <v>4440</v>
      </c>
      <c r="S1601" s="705">
        <v>4036</v>
      </c>
      <c r="T1601" s="705">
        <v>2631</v>
      </c>
      <c r="U1601" s="705">
        <v>975</v>
      </c>
      <c r="V1601" s="705">
        <v>44432</v>
      </c>
      <c r="W1601" s="705">
        <f t="shared" si="70"/>
        <v>44432</v>
      </c>
      <c r="X1601" s="705">
        <f t="shared" si="71"/>
        <v>51692</v>
      </c>
    </row>
    <row r="1602" spans="2:24">
      <c r="B1602" t="s">
        <v>544</v>
      </c>
      <c r="C1602" t="s">
        <v>122</v>
      </c>
      <c r="D1602" t="s">
        <v>671</v>
      </c>
      <c r="E1602" t="s">
        <v>671</v>
      </c>
      <c r="F1602" s="705">
        <v>7</v>
      </c>
      <c r="G1602" s="705">
        <v>770</v>
      </c>
      <c r="H1602" s="705">
        <v>2878</v>
      </c>
      <c r="I1602" s="705">
        <v>207625</v>
      </c>
      <c r="J1602" s="705">
        <v>188750</v>
      </c>
      <c r="K1602" s="705">
        <v>49</v>
      </c>
      <c r="L1602" s="705">
        <v>27542</v>
      </c>
      <c r="M1602" s="705">
        <v>25039</v>
      </c>
      <c r="N1602" s="705">
        <v>16132</v>
      </c>
      <c r="O1602" s="705">
        <v>5975</v>
      </c>
      <c r="P1602" s="705">
        <v>2457</v>
      </c>
      <c r="Q1602" s="705">
        <v>910</v>
      </c>
      <c r="R1602" s="705">
        <v>49604</v>
      </c>
      <c r="S1602" s="705">
        <v>45094</v>
      </c>
      <c r="T1602" s="705">
        <v>13307</v>
      </c>
      <c r="U1602" s="705">
        <v>4929</v>
      </c>
      <c r="V1602" s="705">
        <v>270696</v>
      </c>
      <c r="W1602" s="705">
        <f t="shared" si="70"/>
        <v>270697</v>
      </c>
      <c r="X1602" s="705">
        <f t="shared" si="71"/>
        <v>316667</v>
      </c>
    </row>
    <row r="1603" spans="2:24">
      <c r="B1603" t="s">
        <v>544</v>
      </c>
      <c r="C1603" t="s">
        <v>122</v>
      </c>
      <c r="D1603" t="s">
        <v>665</v>
      </c>
      <c r="E1603" t="s">
        <v>665</v>
      </c>
      <c r="F1603" s="705">
        <v>77</v>
      </c>
      <c r="G1603" s="705">
        <v>7621</v>
      </c>
      <c r="H1603" s="705">
        <v>31948</v>
      </c>
      <c r="I1603" s="705">
        <v>2073302</v>
      </c>
      <c r="J1603" s="705">
        <v>1884820</v>
      </c>
      <c r="K1603" s="705">
        <v>50</v>
      </c>
      <c r="L1603" s="705">
        <v>292810</v>
      </c>
      <c r="M1603" s="705">
        <v>256536</v>
      </c>
      <c r="N1603" s="705">
        <v>150926</v>
      </c>
      <c r="O1603" s="705">
        <v>55898</v>
      </c>
      <c r="P1603" s="705">
        <v>27419</v>
      </c>
      <c r="Q1603" s="705">
        <v>10155</v>
      </c>
      <c r="R1603" s="705">
        <v>481709</v>
      </c>
      <c r="S1603" s="705">
        <v>437917</v>
      </c>
      <c r="T1603" s="705">
        <v>179613</v>
      </c>
      <c r="U1603" s="705">
        <v>66523</v>
      </c>
      <c r="V1603" s="705">
        <v>2711850</v>
      </c>
      <c r="W1603" s="705">
        <f t="shared" si="70"/>
        <v>2711849</v>
      </c>
      <c r="X1603" s="705">
        <f t="shared" si="71"/>
        <v>3205779</v>
      </c>
    </row>
    <row r="1604" spans="2:24">
      <c r="B1604" t="s">
        <v>544</v>
      </c>
      <c r="C1604" t="s">
        <v>122</v>
      </c>
      <c r="D1604" t="s">
        <v>585</v>
      </c>
      <c r="E1604" t="s">
        <v>228</v>
      </c>
      <c r="F1604" s="705">
        <v>1</v>
      </c>
      <c r="G1604" s="705">
        <v>122</v>
      </c>
      <c r="H1604" s="705">
        <v>448</v>
      </c>
      <c r="I1604" s="705">
        <v>40568</v>
      </c>
      <c r="J1604" s="705">
        <v>36880</v>
      </c>
      <c r="K1604" s="705">
        <v>65</v>
      </c>
      <c r="L1604" s="705">
        <v>4883</v>
      </c>
      <c r="M1604" s="705">
        <v>4439</v>
      </c>
      <c r="N1604" s="705">
        <v>2965</v>
      </c>
      <c r="O1604" s="705">
        <v>1098</v>
      </c>
      <c r="P1604" s="705">
        <v>351</v>
      </c>
      <c r="Q1604" s="705">
        <v>130</v>
      </c>
      <c r="R1604" s="705">
        <v>5796</v>
      </c>
      <c r="S1604" s="705">
        <v>2146</v>
      </c>
      <c r="T1604" s="705">
        <v>0</v>
      </c>
      <c r="U1604" s="705">
        <v>0</v>
      </c>
      <c r="V1604" s="705">
        <v>44694</v>
      </c>
      <c r="W1604" s="705">
        <f t="shared" si="70"/>
        <v>44693</v>
      </c>
      <c r="X1604" s="705">
        <f t="shared" si="71"/>
        <v>54563</v>
      </c>
    </row>
    <row r="1605" spans="2:24">
      <c r="B1605" t="s">
        <v>544</v>
      </c>
      <c r="C1605" t="s">
        <v>122</v>
      </c>
      <c r="D1605" t="s">
        <v>668</v>
      </c>
      <c r="E1605" t="s">
        <v>668</v>
      </c>
      <c r="F1605" s="705">
        <v>1</v>
      </c>
      <c r="G1605" s="705">
        <v>154</v>
      </c>
      <c r="H1605" s="705">
        <v>383</v>
      </c>
      <c r="I1605" s="705">
        <v>41399</v>
      </c>
      <c r="J1605" s="705">
        <v>37636</v>
      </c>
      <c r="K1605" s="705">
        <v>60</v>
      </c>
      <c r="L1605" s="705">
        <v>6133</v>
      </c>
      <c r="M1605" s="705">
        <v>5576</v>
      </c>
      <c r="N1605" s="705">
        <v>3143</v>
      </c>
      <c r="O1605" s="705">
        <v>1164</v>
      </c>
      <c r="P1605" s="705">
        <v>351</v>
      </c>
      <c r="Q1605" s="705">
        <v>130</v>
      </c>
      <c r="R1605" s="705">
        <v>8166</v>
      </c>
      <c r="S1605" s="705">
        <v>7423</v>
      </c>
      <c r="T1605" s="705">
        <v>0</v>
      </c>
      <c r="U1605" s="705">
        <v>0</v>
      </c>
      <c r="V1605" s="705">
        <v>51929</v>
      </c>
      <c r="W1605" s="705">
        <f t="shared" si="70"/>
        <v>51929</v>
      </c>
      <c r="X1605" s="705">
        <f t="shared" si="71"/>
        <v>59192</v>
      </c>
    </row>
    <row r="1606" spans="2:24">
      <c r="B1606" t="s">
        <v>544</v>
      </c>
      <c r="C1606" t="s">
        <v>124</v>
      </c>
      <c r="D1606" t="s">
        <v>674</v>
      </c>
      <c r="E1606" t="s">
        <v>674</v>
      </c>
      <c r="F1606" s="705">
        <v>2</v>
      </c>
      <c r="G1606" s="705">
        <v>245</v>
      </c>
      <c r="H1606" s="705">
        <v>1519</v>
      </c>
      <c r="I1606" s="705">
        <v>147080</v>
      </c>
      <c r="J1606" s="705">
        <v>133709</v>
      </c>
      <c r="K1606" s="705">
        <v>50</v>
      </c>
      <c r="L1606" s="705">
        <v>19848</v>
      </c>
      <c r="M1606" s="705">
        <v>18044</v>
      </c>
      <c r="N1606" s="705">
        <v>5460</v>
      </c>
      <c r="O1606" s="705">
        <v>2022</v>
      </c>
      <c r="P1606" s="705">
        <v>702</v>
      </c>
      <c r="Q1606" s="705">
        <v>260</v>
      </c>
      <c r="R1606" s="705">
        <v>11205</v>
      </c>
      <c r="S1606" s="705">
        <v>10186</v>
      </c>
      <c r="T1606" s="705">
        <v>4512</v>
      </c>
      <c r="U1606" s="705">
        <v>1671</v>
      </c>
      <c r="V1606" s="705">
        <v>165892</v>
      </c>
      <c r="W1606" s="705">
        <f t="shared" si="70"/>
        <v>165892</v>
      </c>
      <c r="X1606" s="705">
        <f t="shared" si="71"/>
        <v>188807</v>
      </c>
    </row>
    <row r="1607" spans="2:24">
      <c r="B1607" t="s">
        <v>544</v>
      </c>
      <c r="C1607" t="s">
        <v>124</v>
      </c>
      <c r="D1607" t="s">
        <v>664</v>
      </c>
      <c r="E1607" t="s">
        <v>583</v>
      </c>
      <c r="F1607" s="705">
        <v>1</v>
      </c>
      <c r="G1607" s="705">
        <v>183</v>
      </c>
      <c r="H1607" s="705">
        <v>467</v>
      </c>
      <c r="I1607" s="705">
        <v>70428</v>
      </c>
      <c r="J1607" s="705">
        <v>64026</v>
      </c>
      <c r="K1607" s="705">
        <v>70</v>
      </c>
      <c r="L1607" s="705">
        <v>8673</v>
      </c>
      <c r="M1607" s="705">
        <v>7885</v>
      </c>
      <c r="N1607" s="705">
        <v>4692</v>
      </c>
      <c r="O1607" s="705">
        <v>1738</v>
      </c>
      <c r="P1607" s="705">
        <v>621</v>
      </c>
      <c r="Q1607" s="705">
        <v>230</v>
      </c>
      <c r="R1607" s="705">
        <v>5741</v>
      </c>
      <c r="S1607" s="705">
        <v>5219</v>
      </c>
      <c r="T1607" s="705">
        <v>3528</v>
      </c>
      <c r="U1607" s="705">
        <v>1307</v>
      </c>
      <c r="V1607" s="705">
        <v>80404</v>
      </c>
      <c r="W1607" s="705">
        <f t="shared" ref="W1607:W1670" si="72">SUM(ABS(J1607),ABS(M1607),ABS(O1607),ABS(Q1607),ABS(S1607),ABS(U1607))</f>
        <v>80405</v>
      </c>
      <c r="X1607" s="705">
        <f t="shared" ref="X1607:X1670" si="73">SUM(ABS(I1607),ABS(N1607),ABS(P1607),ABS(R1607),ABS(T1607),ABS(L1607))</f>
        <v>93683</v>
      </c>
    </row>
    <row r="1608" spans="2:24">
      <c r="B1608" t="s">
        <v>544</v>
      </c>
      <c r="C1608" t="s">
        <v>124</v>
      </c>
      <c r="D1608" t="s">
        <v>582</v>
      </c>
      <c r="E1608" t="s">
        <v>582</v>
      </c>
      <c r="F1608" s="705">
        <v>2</v>
      </c>
      <c r="G1608" s="705">
        <v>147</v>
      </c>
      <c r="H1608" s="705">
        <v>946</v>
      </c>
      <c r="I1608" s="705">
        <v>42708</v>
      </c>
      <c r="J1608" s="705">
        <v>38826</v>
      </c>
      <c r="K1608" s="705">
        <v>91</v>
      </c>
      <c r="L1608" s="705">
        <v>8820</v>
      </c>
      <c r="M1608" s="705">
        <v>4659</v>
      </c>
      <c r="N1608" s="705">
        <v>3023</v>
      </c>
      <c r="O1608" s="705">
        <v>1120</v>
      </c>
      <c r="P1608" s="705">
        <v>1296</v>
      </c>
      <c r="Q1608" s="705">
        <v>480</v>
      </c>
      <c r="R1608" s="705">
        <v>7762</v>
      </c>
      <c r="S1608" s="705">
        <v>7056</v>
      </c>
      <c r="T1608" s="705">
        <v>4675</v>
      </c>
      <c r="U1608" s="705">
        <v>1731</v>
      </c>
      <c r="V1608" s="705">
        <v>53872</v>
      </c>
      <c r="W1608" s="705">
        <f t="shared" si="72"/>
        <v>53872</v>
      </c>
      <c r="X1608" s="705">
        <f t="shared" si="73"/>
        <v>68284</v>
      </c>
    </row>
    <row r="1609" spans="2:24">
      <c r="B1609" t="s">
        <v>544</v>
      </c>
      <c r="C1609" t="s">
        <v>124</v>
      </c>
      <c r="D1609" t="s">
        <v>228</v>
      </c>
      <c r="E1609" t="s">
        <v>228</v>
      </c>
      <c r="F1609" s="705">
        <v>67</v>
      </c>
      <c r="G1609" s="705">
        <v>6594</v>
      </c>
      <c r="H1609" s="705">
        <v>51333</v>
      </c>
      <c r="I1609" s="705">
        <v>3623108</v>
      </c>
      <c r="J1609" s="705">
        <v>1341892</v>
      </c>
      <c r="K1609" s="705">
        <v>100</v>
      </c>
      <c r="L1609" s="705">
        <v>517260</v>
      </c>
      <c r="M1609" s="705">
        <v>469923</v>
      </c>
      <c r="N1609" s="705">
        <v>157271</v>
      </c>
      <c r="O1609" s="705">
        <v>58249</v>
      </c>
      <c r="P1609" s="705">
        <v>1944</v>
      </c>
      <c r="Q1609" s="705">
        <v>720</v>
      </c>
      <c r="R1609" s="705">
        <v>481101</v>
      </c>
      <c r="S1609" s="705">
        <v>178186</v>
      </c>
      <c r="T1609" s="705">
        <v>5088</v>
      </c>
      <c r="U1609" s="705">
        <v>1885</v>
      </c>
      <c r="V1609" s="705">
        <v>2050853</v>
      </c>
      <c r="W1609" s="705">
        <f t="shared" si="72"/>
        <v>2050855</v>
      </c>
      <c r="X1609" s="705">
        <f t="shared" si="73"/>
        <v>4785772</v>
      </c>
    </row>
    <row r="1610" spans="2:24">
      <c r="B1610" t="s">
        <v>544</v>
      </c>
      <c r="C1610" t="s">
        <v>124</v>
      </c>
      <c r="D1610" t="s">
        <v>228</v>
      </c>
      <c r="E1610" t="s">
        <v>583</v>
      </c>
      <c r="F1610" s="705">
        <v>2</v>
      </c>
      <c r="G1610" s="705">
        <v>915</v>
      </c>
      <c r="H1610" s="705">
        <v>1325</v>
      </c>
      <c r="I1610" s="705">
        <v>459664</v>
      </c>
      <c r="J1610" s="705">
        <v>170246</v>
      </c>
      <c r="K1610" s="705">
        <v>100</v>
      </c>
      <c r="L1610" s="705">
        <v>50322</v>
      </c>
      <c r="M1610" s="705">
        <v>45747</v>
      </c>
      <c r="N1610" s="705">
        <v>22286</v>
      </c>
      <c r="O1610" s="705">
        <v>8254</v>
      </c>
      <c r="P1610" s="705">
        <v>270</v>
      </c>
      <c r="Q1610" s="705">
        <v>100</v>
      </c>
      <c r="R1610" s="705">
        <v>14732</v>
      </c>
      <c r="S1610" s="705">
        <v>13393</v>
      </c>
      <c r="T1610" s="705">
        <v>3985</v>
      </c>
      <c r="U1610" s="705">
        <v>1476</v>
      </c>
      <c r="V1610" s="705">
        <v>239216</v>
      </c>
      <c r="W1610" s="705">
        <f t="shared" si="72"/>
        <v>239216</v>
      </c>
      <c r="X1610" s="705">
        <f t="shared" si="73"/>
        <v>551259</v>
      </c>
    </row>
    <row r="1611" spans="2:24">
      <c r="B1611" t="s">
        <v>544</v>
      </c>
      <c r="C1611" t="s">
        <v>124</v>
      </c>
      <c r="D1611" t="s">
        <v>228</v>
      </c>
      <c r="E1611" t="s">
        <v>666</v>
      </c>
      <c r="F1611" s="705">
        <v>1</v>
      </c>
      <c r="G1611" s="705">
        <v>107</v>
      </c>
      <c r="H1611" s="705">
        <v>791</v>
      </c>
      <c r="I1611" s="705">
        <v>65906</v>
      </c>
      <c r="J1611" s="705">
        <v>24409</v>
      </c>
      <c r="K1611" s="705">
        <v>100</v>
      </c>
      <c r="L1611" s="705">
        <v>6630</v>
      </c>
      <c r="M1611" s="705">
        <v>6027</v>
      </c>
      <c r="N1611" s="705">
        <v>2184</v>
      </c>
      <c r="O1611" s="705">
        <v>809</v>
      </c>
      <c r="P1611" s="705">
        <v>0</v>
      </c>
      <c r="Q1611" s="705">
        <v>0</v>
      </c>
      <c r="R1611" s="705">
        <v>10263</v>
      </c>
      <c r="S1611" s="705">
        <v>9330</v>
      </c>
      <c r="T1611" s="705">
        <v>0</v>
      </c>
      <c r="U1611" s="705">
        <v>0</v>
      </c>
      <c r="V1611" s="705">
        <v>40576</v>
      </c>
      <c r="W1611" s="705">
        <f t="shared" si="72"/>
        <v>40575</v>
      </c>
      <c r="X1611" s="705">
        <f t="shared" si="73"/>
        <v>84983</v>
      </c>
    </row>
    <row r="1612" spans="2:24">
      <c r="B1612" t="s">
        <v>544</v>
      </c>
      <c r="C1612" t="s">
        <v>124</v>
      </c>
      <c r="D1612" t="s">
        <v>228</v>
      </c>
      <c r="E1612" t="s">
        <v>671</v>
      </c>
      <c r="F1612" s="705">
        <v>1</v>
      </c>
      <c r="G1612" s="705">
        <v>101</v>
      </c>
      <c r="H1612" s="705">
        <v>889</v>
      </c>
      <c r="I1612" s="705">
        <v>94047</v>
      </c>
      <c r="J1612" s="705">
        <v>34832</v>
      </c>
      <c r="K1612" s="705">
        <v>100</v>
      </c>
      <c r="L1612" s="705">
        <v>12294</v>
      </c>
      <c r="M1612" s="705">
        <v>11176</v>
      </c>
      <c r="N1612" s="705">
        <v>3304</v>
      </c>
      <c r="O1612" s="705">
        <v>1224</v>
      </c>
      <c r="P1612" s="705">
        <v>0</v>
      </c>
      <c r="Q1612" s="705">
        <v>0</v>
      </c>
      <c r="R1612" s="705">
        <v>7374</v>
      </c>
      <c r="S1612" s="705">
        <v>6704</v>
      </c>
      <c r="T1612" s="705">
        <v>3571</v>
      </c>
      <c r="U1612" s="705">
        <v>1323</v>
      </c>
      <c r="V1612" s="705">
        <v>55259</v>
      </c>
      <c r="W1612" s="705">
        <f t="shared" si="72"/>
        <v>55259</v>
      </c>
      <c r="X1612" s="705">
        <f t="shared" si="73"/>
        <v>120590</v>
      </c>
    </row>
    <row r="1613" spans="2:24">
      <c r="B1613" t="s">
        <v>544</v>
      </c>
      <c r="C1613" t="s">
        <v>124</v>
      </c>
      <c r="D1613" t="s">
        <v>228</v>
      </c>
      <c r="E1613" t="s">
        <v>665</v>
      </c>
      <c r="F1613" s="705">
        <v>4</v>
      </c>
      <c r="G1613" s="705">
        <v>376</v>
      </c>
      <c r="H1613" s="705">
        <v>2612</v>
      </c>
      <c r="I1613" s="705">
        <v>180257</v>
      </c>
      <c r="J1613" s="705">
        <v>66762</v>
      </c>
      <c r="K1613" s="705">
        <v>100</v>
      </c>
      <c r="L1613" s="705">
        <v>18934</v>
      </c>
      <c r="M1613" s="705">
        <v>17213</v>
      </c>
      <c r="N1613" s="705">
        <v>7064</v>
      </c>
      <c r="O1613" s="705">
        <v>2616</v>
      </c>
      <c r="P1613" s="705">
        <v>1053</v>
      </c>
      <c r="Q1613" s="705">
        <v>390</v>
      </c>
      <c r="R1613" s="705">
        <v>28117</v>
      </c>
      <c r="S1613" s="705">
        <v>25561</v>
      </c>
      <c r="T1613" s="705">
        <v>9341</v>
      </c>
      <c r="U1613" s="705">
        <v>3459</v>
      </c>
      <c r="V1613" s="705">
        <v>116002</v>
      </c>
      <c r="W1613" s="705">
        <f t="shared" si="72"/>
        <v>116001</v>
      </c>
      <c r="X1613" s="705">
        <f t="shared" si="73"/>
        <v>244766</v>
      </c>
    </row>
    <row r="1614" spans="2:24">
      <c r="B1614" t="s">
        <v>544</v>
      </c>
      <c r="C1614" t="s">
        <v>124</v>
      </c>
      <c r="D1614" t="s">
        <v>583</v>
      </c>
      <c r="E1614" t="s">
        <v>228</v>
      </c>
      <c r="F1614" s="705">
        <v>3</v>
      </c>
      <c r="G1614" s="705">
        <v>194</v>
      </c>
      <c r="H1614" s="705">
        <v>1992</v>
      </c>
      <c r="I1614" s="705">
        <v>98196</v>
      </c>
      <c r="J1614" s="705">
        <v>89269</v>
      </c>
      <c r="K1614" s="705">
        <v>72</v>
      </c>
      <c r="L1614" s="705">
        <v>8147</v>
      </c>
      <c r="M1614" s="705">
        <v>7407</v>
      </c>
      <c r="N1614" s="705">
        <v>4290</v>
      </c>
      <c r="O1614" s="705">
        <v>1589</v>
      </c>
      <c r="P1614" s="705">
        <v>1242</v>
      </c>
      <c r="Q1614" s="705">
        <v>460</v>
      </c>
      <c r="R1614" s="705">
        <v>15595</v>
      </c>
      <c r="S1614" s="705">
        <v>5776</v>
      </c>
      <c r="T1614" s="705">
        <v>0</v>
      </c>
      <c r="U1614" s="705">
        <v>0</v>
      </c>
      <c r="V1614" s="705">
        <v>104500</v>
      </c>
      <c r="W1614" s="705">
        <f t="shared" si="72"/>
        <v>104501</v>
      </c>
      <c r="X1614" s="705">
        <f t="shared" si="73"/>
        <v>127470</v>
      </c>
    </row>
    <row r="1615" spans="2:24">
      <c r="B1615" t="s">
        <v>544</v>
      </c>
      <c r="C1615" t="s">
        <v>124</v>
      </c>
      <c r="D1615" t="s">
        <v>583</v>
      </c>
      <c r="E1615" t="s">
        <v>583</v>
      </c>
      <c r="F1615" s="705">
        <v>201</v>
      </c>
      <c r="G1615" s="705">
        <v>20836</v>
      </c>
      <c r="H1615" s="705">
        <v>111146</v>
      </c>
      <c r="I1615" s="705">
        <v>7916920</v>
      </c>
      <c r="J1615" s="705">
        <v>7197200</v>
      </c>
      <c r="K1615" s="705">
        <v>72</v>
      </c>
      <c r="L1615" s="705">
        <v>1509417</v>
      </c>
      <c r="M1615" s="705">
        <v>1322471</v>
      </c>
      <c r="N1615" s="705">
        <v>449028</v>
      </c>
      <c r="O1615" s="705">
        <v>166307</v>
      </c>
      <c r="P1615" s="705">
        <v>127440</v>
      </c>
      <c r="Q1615" s="705">
        <v>47200</v>
      </c>
      <c r="R1615" s="705">
        <v>1039476</v>
      </c>
      <c r="S1615" s="705">
        <v>944978</v>
      </c>
      <c r="T1615" s="705">
        <v>333977</v>
      </c>
      <c r="U1615" s="705">
        <v>123695</v>
      </c>
      <c r="V1615" s="705">
        <v>9801850</v>
      </c>
      <c r="W1615" s="705">
        <f t="shared" si="72"/>
        <v>9801851</v>
      </c>
      <c r="X1615" s="705">
        <f t="shared" si="73"/>
        <v>11376258</v>
      </c>
    </row>
    <row r="1616" spans="2:24">
      <c r="B1616" t="s">
        <v>544</v>
      </c>
      <c r="C1616" t="s">
        <v>124</v>
      </c>
      <c r="D1616" t="s">
        <v>583</v>
      </c>
      <c r="E1616" t="s">
        <v>671</v>
      </c>
      <c r="F1616" s="705">
        <v>1</v>
      </c>
      <c r="G1616" s="705">
        <v>152</v>
      </c>
      <c r="H1616" s="705">
        <v>488</v>
      </c>
      <c r="I1616" s="705">
        <v>66493</v>
      </c>
      <c r="J1616" s="705">
        <v>60448</v>
      </c>
      <c r="K1616" s="705">
        <v>65</v>
      </c>
      <c r="L1616" s="705">
        <v>7024</v>
      </c>
      <c r="M1616" s="705">
        <v>6386</v>
      </c>
      <c r="N1616" s="705">
        <v>4387</v>
      </c>
      <c r="O1616" s="705">
        <v>1625</v>
      </c>
      <c r="P1616" s="705">
        <v>621</v>
      </c>
      <c r="Q1616" s="705">
        <v>230</v>
      </c>
      <c r="R1616" s="705">
        <v>5920</v>
      </c>
      <c r="S1616" s="705">
        <v>5382</v>
      </c>
      <c r="T1616" s="705">
        <v>3333</v>
      </c>
      <c r="U1616" s="705">
        <v>1234</v>
      </c>
      <c r="V1616" s="705">
        <v>75305</v>
      </c>
      <c r="W1616" s="705">
        <f t="shared" si="72"/>
        <v>75305</v>
      </c>
      <c r="X1616" s="705">
        <f t="shared" si="73"/>
        <v>87778</v>
      </c>
    </row>
    <row r="1617" spans="2:24">
      <c r="B1617" t="s">
        <v>544</v>
      </c>
      <c r="C1617" t="s">
        <v>124</v>
      </c>
      <c r="D1617" t="s">
        <v>666</v>
      </c>
      <c r="E1617" t="s">
        <v>228</v>
      </c>
      <c r="F1617" s="705">
        <v>2</v>
      </c>
      <c r="G1617" s="705">
        <v>158</v>
      </c>
      <c r="H1617" s="705">
        <v>2285</v>
      </c>
      <c r="I1617" s="705">
        <v>141249</v>
      </c>
      <c r="J1617" s="705">
        <v>128408</v>
      </c>
      <c r="K1617" s="705">
        <v>38</v>
      </c>
      <c r="L1617" s="705">
        <v>17481</v>
      </c>
      <c r="M1617" s="705">
        <v>12744</v>
      </c>
      <c r="N1617" s="705">
        <v>3505</v>
      </c>
      <c r="O1617" s="705">
        <v>1298</v>
      </c>
      <c r="P1617" s="705">
        <v>0</v>
      </c>
      <c r="Q1617" s="705">
        <v>0</v>
      </c>
      <c r="R1617" s="705">
        <v>14135</v>
      </c>
      <c r="S1617" s="705">
        <v>5235</v>
      </c>
      <c r="T1617" s="705">
        <v>0</v>
      </c>
      <c r="U1617" s="705">
        <v>0</v>
      </c>
      <c r="V1617" s="705">
        <v>147685</v>
      </c>
      <c r="W1617" s="705">
        <f t="shared" si="72"/>
        <v>147685</v>
      </c>
      <c r="X1617" s="705">
        <f t="shared" si="73"/>
        <v>176370</v>
      </c>
    </row>
    <row r="1618" spans="2:24">
      <c r="B1618" t="s">
        <v>544</v>
      </c>
      <c r="C1618" t="s">
        <v>124</v>
      </c>
      <c r="D1618" t="s">
        <v>666</v>
      </c>
      <c r="E1618" t="s">
        <v>666</v>
      </c>
      <c r="F1618" s="705">
        <v>3</v>
      </c>
      <c r="G1618" s="705">
        <v>356</v>
      </c>
      <c r="H1618" s="705">
        <v>1834</v>
      </c>
      <c r="I1618" s="705">
        <v>153097</v>
      </c>
      <c r="J1618" s="705">
        <v>139179</v>
      </c>
      <c r="K1618" s="705">
        <v>55</v>
      </c>
      <c r="L1618" s="705">
        <v>27105</v>
      </c>
      <c r="M1618" s="705">
        <v>24641</v>
      </c>
      <c r="N1618" s="705">
        <v>7665</v>
      </c>
      <c r="O1618" s="705">
        <v>2839</v>
      </c>
      <c r="P1618" s="705">
        <v>702</v>
      </c>
      <c r="Q1618" s="705">
        <v>260</v>
      </c>
      <c r="R1618" s="705">
        <v>17533</v>
      </c>
      <c r="S1618" s="705">
        <v>15939</v>
      </c>
      <c r="T1618" s="705">
        <v>5073</v>
      </c>
      <c r="U1618" s="705">
        <v>1879</v>
      </c>
      <c r="V1618" s="705">
        <v>184737</v>
      </c>
      <c r="W1618" s="705">
        <f t="shared" si="72"/>
        <v>184737</v>
      </c>
      <c r="X1618" s="705">
        <f t="shared" si="73"/>
        <v>211175</v>
      </c>
    </row>
    <row r="1619" spans="2:24">
      <c r="B1619" t="s">
        <v>544</v>
      </c>
      <c r="C1619" t="s">
        <v>124</v>
      </c>
      <c r="D1619" t="s">
        <v>584</v>
      </c>
      <c r="E1619" t="s">
        <v>584</v>
      </c>
      <c r="F1619" s="705">
        <v>3</v>
      </c>
      <c r="G1619" s="705">
        <v>281</v>
      </c>
      <c r="H1619" s="705">
        <v>1661</v>
      </c>
      <c r="I1619" s="705">
        <v>93422</v>
      </c>
      <c r="J1619" s="705">
        <v>84930</v>
      </c>
      <c r="K1619" s="705">
        <v>82</v>
      </c>
      <c r="L1619" s="705">
        <v>32171</v>
      </c>
      <c r="M1619" s="705">
        <v>27286</v>
      </c>
      <c r="N1619" s="705">
        <v>4929</v>
      </c>
      <c r="O1619" s="705">
        <v>1826</v>
      </c>
      <c r="P1619" s="705">
        <v>1418</v>
      </c>
      <c r="Q1619" s="705">
        <v>525</v>
      </c>
      <c r="R1619" s="705">
        <v>12373</v>
      </c>
      <c r="S1619" s="705">
        <v>11248</v>
      </c>
      <c r="T1619" s="705">
        <v>3309</v>
      </c>
      <c r="U1619" s="705">
        <v>1225</v>
      </c>
      <c r="V1619" s="705">
        <v>127039</v>
      </c>
      <c r="W1619" s="705">
        <f t="shared" si="72"/>
        <v>127040</v>
      </c>
      <c r="X1619" s="705">
        <f t="shared" si="73"/>
        <v>147622</v>
      </c>
    </row>
    <row r="1620" spans="2:24">
      <c r="B1620" t="s">
        <v>544</v>
      </c>
      <c r="C1620" t="s">
        <v>124</v>
      </c>
      <c r="D1620" t="s">
        <v>669</v>
      </c>
      <c r="E1620" t="s">
        <v>669</v>
      </c>
      <c r="F1620" s="705">
        <v>6</v>
      </c>
      <c r="G1620" s="705">
        <v>542</v>
      </c>
      <c r="H1620" s="705">
        <v>3925</v>
      </c>
      <c r="I1620" s="705">
        <v>227137</v>
      </c>
      <c r="J1620" s="705">
        <v>189281</v>
      </c>
      <c r="K1620" s="705">
        <v>57</v>
      </c>
      <c r="L1620" s="705">
        <v>39339</v>
      </c>
      <c r="M1620" s="705">
        <v>31576</v>
      </c>
      <c r="N1620" s="705">
        <v>11776</v>
      </c>
      <c r="O1620" s="705">
        <v>4361</v>
      </c>
      <c r="P1620" s="705">
        <v>1404</v>
      </c>
      <c r="Q1620" s="705">
        <v>520</v>
      </c>
      <c r="R1620" s="705">
        <v>39632</v>
      </c>
      <c r="S1620" s="705">
        <v>33027</v>
      </c>
      <c r="T1620" s="705">
        <v>11826</v>
      </c>
      <c r="U1620" s="705">
        <v>4380</v>
      </c>
      <c r="V1620" s="705">
        <v>263145</v>
      </c>
      <c r="W1620" s="705">
        <f t="shared" si="72"/>
        <v>263145</v>
      </c>
      <c r="X1620" s="705">
        <f t="shared" si="73"/>
        <v>331114</v>
      </c>
    </row>
    <row r="1621" spans="2:24">
      <c r="B1621" t="s">
        <v>544</v>
      </c>
      <c r="C1621" t="s">
        <v>124</v>
      </c>
      <c r="D1621" t="s">
        <v>667</v>
      </c>
      <c r="E1621" t="s">
        <v>667</v>
      </c>
      <c r="F1621" s="705">
        <v>4</v>
      </c>
      <c r="G1621" s="705">
        <v>345</v>
      </c>
      <c r="H1621" s="705">
        <v>2827</v>
      </c>
      <c r="I1621" s="705">
        <v>163859</v>
      </c>
      <c r="J1621" s="705">
        <v>148963</v>
      </c>
      <c r="K1621" s="705">
        <v>55</v>
      </c>
      <c r="L1621" s="705">
        <v>20109</v>
      </c>
      <c r="M1621" s="705">
        <v>18281</v>
      </c>
      <c r="N1621" s="705">
        <v>7433</v>
      </c>
      <c r="O1621" s="705">
        <v>2753</v>
      </c>
      <c r="P1621" s="705">
        <v>1323</v>
      </c>
      <c r="Q1621" s="705">
        <v>490</v>
      </c>
      <c r="R1621" s="705">
        <v>33120</v>
      </c>
      <c r="S1621" s="705">
        <v>30109</v>
      </c>
      <c r="T1621" s="705">
        <v>2915</v>
      </c>
      <c r="U1621" s="705">
        <v>1080</v>
      </c>
      <c r="V1621" s="705">
        <v>201675</v>
      </c>
      <c r="W1621" s="705">
        <f t="shared" si="72"/>
        <v>201676</v>
      </c>
      <c r="X1621" s="705">
        <f t="shared" si="73"/>
        <v>228759</v>
      </c>
    </row>
    <row r="1622" spans="2:24">
      <c r="B1622" t="s">
        <v>544</v>
      </c>
      <c r="C1622" t="s">
        <v>124</v>
      </c>
      <c r="D1622" t="s">
        <v>671</v>
      </c>
      <c r="E1622" t="s">
        <v>671</v>
      </c>
      <c r="F1622" s="705">
        <v>22</v>
      </c>
      <c r="G1622" s="705">
        <v>1954</v>
      </c>
      <c r="H1622" s="705">
        <v>15459</v>
      </c>
      <c r="I1622" s="705">
        <v>929460</v>
      </c>
      <c r="J1622" s="705">
        <v>844963</v>
      </c>
      <c r="K1622" s="705">
        <v>48</v>
      </c>
      <c r="L1622" s="705">
        <v>141017</v>
      </c>
      <c r="M1622" s="705">
        <v>123204</v>
      </c>
      <c r="N1622" s="705">
        <v>39867</v>
      </c>
      <c r="O1622" s="705">
        <v>14766</v>
      </c>
      <c r="P1622" s="705">
        <v>7641</v>
      </c>
      <c r="Q1622" s="705">
        <v>2830</v>
      </c>
      <c r="R1622" s="705">
        <v>154740</v>
      </c>
      <c r="S1622" s="705">
        <v>140672</v>
      </c>
      <c r="T1622" s="705">
        <v>35228</v>
      </c>
      <c r="U1622" s="705">
        <v>13048</v>
      </c>
      <c r="V1622" s="705">
        <v>1139482</v>
      </c>
      <c r="W1622" s="705">
        <f t="shared" si="72"/>
        <v>1139483</v>
      </c>
      <c r="X1622" s="705">
        <f t="shared" si="73"/>
        <v>1307953</v>
      </c>
    </row>
    <row r="1623" spans="2:24">
      <c r="B1623" t="s">
        <v>544</v>
      </c>
      <c r="C1623" t="s">
        <v>124</v>
      </c>
      <c r="D1623" t="s">
        <v>665</v>
      </c>
      <c r="E1623" t="s">
        <v>228</v>
      </c>
      <c r="F1623" s="705">
        <v>34</v>
      </c>
      <c r="G1623" s="705">
        <v>3009</v>
      </c>
      <c r="H1623" s="705">
        <v>38282</v>
      </c>
      <c r="I1623" s="705">
        <v>2679695</v>
      </c>
      <c r="J1623" s="705">
        <v>2436086</v>
      </c>
      <c r="K1623" s="705">
        <v>41</v>
      </c>
      <c r="L1623" s="705">
        <v>284931</v>
      </c>
      <c r="M1623" s="705">
        <v>219618</v>
      </c>
      <c r="N1623" s="705">
        <v>71119</v>
      </c>
      <c r="O1623" s="705">
        <v>26340</v>
      </c>
      <c r="P1623" s="705">
        <v>1323</v>
      </c>
      <c r="Q1623" s="705">
        <v>490</v>
      </c>
      <c r="R1623" s="705">
        <v>220371</v>
      </c>
      <c r="S1623" s="705">
        <v>81619</v>
      </c>
      <c r="T1623" s="705">
        <v>0</v>
      </c>
      <c r="U1623" s="705">
        <v>0</v>
      </c>
      <c r="V1623" s="705">
        <v>2764153</v>
      </c>
      <c r="W1623" s="705">
        <f t="shared" si="72"/>
        <v>2764153</v>
      </c>
      <c r="X1623" s="705">
        <f t="shared" si="73"/>
        <v>3257439</v>
      </c>
    </row>
    <row r="1624" spans="2:24">
      <c r="B1624" t="s">
        <v>544</v>
      </c>
      <c r="C1624" t="s">
        <v>124</v>
      </c>
      <c r="D1624" t="s">
        <v>665</v>
      </c>
      <c r="E1624" t="s">
        <v>583</v>
      </c>
      <c r="F1624" s="705">
        <v>2</v>
      </c>
      <c r="G1624" s="705">
        <v>881</v>
      </c>
      <c r="H1624" s="705">
        <v>1952</v>
      </c>
      <c r="I1624" s="705">
        <v>741168</v>
      </c>
      <c r="J1624" s="705">
        <v>673789</v>
      </c>
      <c r="K1624" s="705">
        <v>30</v>
      </c>
      <c r="L1624" s="705">
        <v>54266</v>
      </c>
      <c r="M1624" s="705">
        <v>27364</v>
      </c>
      <c r="N1624" s="705">
        <v>18665</v>
      </c>
      <c r="O1624" s="705">
        <v>6913</v>
      </c>
      <c r="P1624" s="705">
        <v>621</v>
      </c>
      <c r="Q1624" s="705">
        <v>230</v>
      </c>
      <c r="R1624" s="705">
        <v>13508</v>
      </c>
      <c r="S1624" s="705">
        <v>12280</v>
      </c>
      <c r="T1624" s="705">
        <v>8181</v>
      </c>
      <c r="U1624" s="705">
        <v>3030</v>
      </c>
      <c r="V1624" s="705">
        <v>723606</v>
      </c>
      <c r="W1624" s="705">
        <f t="shared" si="72"/>
        <v>723606</v>
      </c>
      <c r="X1624" s="705">
        <f t="shared" si="73"/>
        <v>836409</v>
      </c>
    </row>
    <row r="1625" spans="2:24">
      <c r="B1625" t="s">
        <v>544</v>
      </c>
      <c r="C1625" t="s">
        <v>124</v>
      </c>
      <c r="D1625" t="s">
        <v>665</v>
      </c>
      <c r="E1625" t="s">
        <v>665</v>
      </c>
      <c r="F1625" s="705">
        <v>186</v>
      </c>
      <c r="G1625" s="705">
        <v>16959</v>
      </c>
      <c r="H1625" s="705">
        <v>131036</v>
      </c>
      <c r="I1625" s="705">
        <v>8587823</v>
      </c>
      <c r="J1625" s="705">
        <v>7807112</v>
      </c>
      <c r="K1625" s="705">
        <v>49</v>
      </c>
      <c r="L1625" s="705">
        <v>1193183</v>
      </c>
      <c r="M1625" s="705">
        <v>1013806</v>
      </c>
      <c r="N1625" s="705">
        <v>355657</v>
      </c>
      <c r="O1625" s="705">
        <v>131725</v>
      </c>
      <c r="P1625" s="705">
        <v>58766</v>
      </c>
      <c r="Q1625" s="705">
        <v>21765</v>
      </c>
      <c r="R1625" s="705">
        <v>1231614</v>
      </c>
      <c r="S1625" s="705">
        <v>1119649</v>
      </c>
      <c r="T1625" s="705">
        <v>390209</v>
      </c>
      <c r="U1625" s="705">
        <v>144522</v>
      </c>
      <c r="V1625" s="705">
        <v>10238579</v>
      </c>
      <c r="W1625" s="705">
        <f t="shared" si="72"/>
        <v>10238579</v>
      </c>
      <c r="X1625" s="705">
        <f t="shared" si="73"/>
        <v>11817252</v>
      </c>
    </row>
    <row r="1626" spans="2:24">
      <c r="B1626" t="s">
        <v>545</v>
      </c>
      <c r="C1626" t="s">
        <v>108</v>
      </c>
      <c r="D1626" t="s">
        <v>228</v>
      </c>
      <c r="E1626" t="s">
        <v>228</v>
      </c>
      <c r="F1626" s="705">
        <v>10</v>
      </c>
      <c r="G1626" s="705">
        <v>2297</v>
      </c>
      <c r="H1626" s="705">
        <v>536</v>
      </c>
      <c r="I1626" s="705">
        <v>17495</v>
      </c>
      <c r="J1626" s="705">
        <v>6480</v>
      </c>
      <c r="K1626" s="705">
        <v>464</v>
      </c>
      <c r="L1626" s="705">
        <v>3661</v>
      </c>
      <c r="M1626" s="705">
        <v>3328</v>
      </c>
      <c r="N1626" s="705">
        <v>29191</v>
      </c>
      <c r="O1626" s="705">
        <v>10812</v>
      </c>
      <c r="P1626" s="705">
        <v>14294</v>
      </c>
      <c r="Q1626" s="705">
        <v>5294</v>
      </c>
      <c r="R1626" s="705">
        <v>56225</v>
      </c>
      <c r="S1626" s="705">
        <v>20824</v>
      </c>
      <c r="T1626" s="705">
        <v>0</v>
      </c>
      <c r="U1626" s="705">
        <v>0</v>
      </c>
      <c r="V1626" s="705">
        <v>46738</v>
      </c>
      <c r="W1626" s="705">
        <f t="shared" si="72"/>
        <v>46738</v>
      </c>
      <c r="X1626" s="705">
        <f t="shared" si="73"/>
        <v>120866</v>
      </c>
    </row>
    <row r="1627" spans="2:24">
      <c r="B1627" t="s">
        <v>545</v>
      </c>
      <c r="C1627" t="s">
        <v>108</v>
      </c>
      <c r="D1627" t="s">
        <v>583</v>
      </c>
      <c r="E1627" t="s">
        <v>583</v>
      </c>
      <c r="F1627" s="705">
        <v>3</v>
      </c>
      <c r="G1627" s="705">
        <v>686</v>
      </c>
      <c r="H1627" s="705">
        <v>182</v>
      </c>
      <c r="I1627" s="705">
        <v>17297</v>
      </c>
      <c r="J1627" s="705">
        <v>15725</v>
      </c>
      <c r="K1627" s="705">
        <v>95</v>
      </c>
      <c r="L1627" s="705">
        <v>2504</v>
      </c>
      <c r="M1627" s="705">
        <v>2276</v>
      </c>
      <c r="N1627" s="705">
        <v>9106</v>
      </c>
      <c r="O1627" s="705">
        <v>3372</v>
      </c>
      <c r="P1627" s="705">
        <v>1863</v>
      </c>
      <c r="Q1627" s="705">
        <v>690</v>
      </c>
      <c r="R1627" s="705">
        <v>11467</v>
      </c>
      <c r="S1627" s="705">
        <v>10425</v>
      </c>
      <c r="T1627" s="705">
        <v>0</v>
      </c>
      <c r="U1627" s="705">
        <v>0</v>
      </c>
      <c r="V1627" s="705">
        <v>32488</v>
      </c>
      <c r="W1627" s="705">
        <f t="shared" si="72"/>
        <v>32488</v>
      </c>
      <c r="X1627" s="705">
        <f t="shared" si="73"/>
        <v>42237</v>
      </c>
    </row>
    <row r="1628" spans="2:24">
      <c r="B1628" t="s">
        <v>545</v>
      </c>
      <c r="C1628" t="s">
        <v>110</v>
      </c>
      <c r="D1628" t="s">
        <v>228</v>
      </c>
      <c r="E1628" t="s">
        <v>228</v>
      </c>
      <c r="F1628" s="705">
        <v>14</v>
      </c>
      <c r="G1628" s="705">
        <v>2370</v>
      </c>
      <c r="H1628" s="705">
        <v>1196</v>
      </c>
      <c r="I1628" s="705">
        <v>72183</v>
      </c>
      <c r="J1628" s="705">
        <v>26734</v>
      </c>
      <c r="K1628" s="705">
        <v>425</v>
      </c>
      <c r="L1628" s="705">
        <v>19936</v>
      </c>
      <c r="M1628" s="705">
        <v>18123</v>
      </c>
      <c r="N1628" s="705">
        <v>42522</v>
      </c>
      <c r="O1628" s="705">
        <v>15749</v>
      </c>
      <c r="P1628" s="705">
        <v>8180</v>
      </c>
      <c r="Q1628" s="705">
        <v>3030</v>
      </c>
      <c r="R1628" s="705">
        <v>69061</v>
      </c>
      <c r="S1628" s="705">
        <v>25578</v>
      </c>
      <c r="T1628" s="705">
        <v>0</v>
      </c>
      <c r="U1628" s="705">
        <v>0</v>
      </c>
      <c r="V1628" s="705">
        <v>89215</v>
      </c>
      <c r="W1628" s="705">
        <f t="shared" si="72"/>
        <v>89214</v>
      </c>
      <c r="X1628" s="705">
        <f t="shared" si="73"/>
        <v>211882</v>
      </c>
    </row>
    <row r="1629" spans="2:24">
      <c r="B1629" t="s">
        <v>545</v>
      </c>
      <c r="C1629" t="s">
        <v>110</v>
      </c>
      <c r="D1629" t="s">
        <v>583</v>
      </c>
      <c r="E1629" t="s">
        <v>583</v>
      </c>
      <c r="F1629" s="705">
        <v>16</v>
      </c>
      <c r="G1629" s="705">
        <v>3755</v>
      </c>
      <c r="H1629" s="705">
        <v>1454</v>
      </c>
      <c r="I1629" s="705">
        <v>177354</v>
      </c>
      <c r="J1629" s="705">
        <v>161231</v>
      </c>
      <c r="K1629" s="705">
        <v>94</v>
      </c>
      <c r="L1629" s="705">
        <v>26947</v>
      </c>
      <c r="M1629" s="705">
        <v>24497</v>
      </c>
      <c r="N1629" s="705">
        <v>53270</v>
      </c>
      <c r="O1629" s="705">
        <v>19730</v>
      </c>
      <c r="P1629" s="705">
        <v>9747</v>
      </c>
      <c r="Q1629" s="705">
        <v>3610</v>
      </c>
      <c r="R1629" s="705">
        <v>77910</v>
      </c>
      <c r="S1629" s="705">
        <v>70827</v>
      </c>
      <c r="T1629" s="705">
        <v>0</v>
      </c>
      <c r="U1629" s="705">
        <v>0</v>
      </c>
      <c r="V1629" s="705">
        <v>279895</v>
      </c>
      <c r="W1629" s="705">
        <f t="shared" si="72"/>
        <v>279895</v>
      </c>
      <c r="X1629" s="705">
        <f t="shared" si="73"/>
        <v>345228</v>
      </c>
    </row>
    <row r="1630" spans="2:24">
      <c r="B1630" t="s">
        <v>545</v>
      </c>
      <c r="C1630" t="s">
        <v>112</v>
      </c>
      <c r="D1630" t="s">
        <v>582</v>
      </c>
      <c r="E1630" t="s">
        <v>582</v>
      </c>
      <c r="F1630" s="705">
        <v>15</v>
      </c>
      <c r="G1630" s="705">
        <v>2676</v>
      </c>
      <c r="H1630" s="705">
        <v>1747</v>
      </c>
      <c r="I1630" s="705">
        <v>186627</v>
      </c>
      <c r="J1630" s="705">
        <v>169661</v>
      </c>
      <c r="K1630" s="705">
        <v>92</v>
      </c>
      <c r="L1630" s="705">
        <v>30925</v>
      </c>
      <c r="M1630" s="705">
        <v>28114</v>
      </c>
      <c r="N1630" s="705">
        <v>47604</v>
      </c>
      <c r="O1630" s="705">
        <v>17631</v>
      </c>
      <c r="P1630" s="705">
        <v>7047</v>
      </c>
      <c r="Q1630" s="705">
        <v>2610</v>
      </c>
      <c r="R1630" s="705">
        <v>54080</v>
      </c>
      <c r="S1630" s="705">
        <v>49163</v>
      </c>
      <c r="T1630" s="705">
        <v>0</v>
      </c>
      <c r="U1630" s="705">
        <v>0</v>
      </c>
      <c r="V1630" s="705">
        <v>267179</v>
      </c>
      <c r="W1630" s="705">
        <f t="shared" si="72"/>
        <v>267179</v>
      </c>
      <c r="X1630" s="705">
        <f t="shared" si="73"/>
        <v>326283</v>
      </c>
    </row>
    <row r="1631" spans="2:24">
      <c r="B1631" t="s">
        <v>545</v>
      </c>
      <c r="C1631" t="s">
        <v>112</v>
      </c>
      <c r="D1631" t="s">
        <v>228</v>
      </c>
      <c r="E1631" t="s">
        <v>228</v>
      </c>
      <c r="F1631" s="705">
        <v>5</v>
      </c>
      <c r="G1631" s="705">
        <v>1033</v>
      </c>
      <c r="H1631" s="705">
        <v>548</v>
      </c>
      <c r="I1631" s="705">
        <v>56166</v>
      </c>
      <c r="J1631" s="705">
        <v>20802</v>
      </c>
      <c r="K1631" s="705">
        <v>344</v>
      </c>
      <c r="L1631" s="705">
        <v>13977</v>
      </c>
      <c r="M1631" s="705">
        <v>12706</v>
      </c>
      <c r="N1631" s="705">
        <v>24473</v>
      </c>
      <c r="O1631" s="705">
        <v>9064</v>
      </c>
      <c r="P1631" s="705">
        <v>2106</v>
      </c>
      <c r="Q1631" s="705">
        <v>780</v>
      </c>
      <c r="R1631" s="705">
        <v>25029</v>
      </c>
      <c r="S1631" s="705">
        <v>9270</v>
      </c>
      <c r="T1631" s="705">
        <v>0</v>
      </c>
      <c r="U1631" s="705">
        <v>0</v>
      </c>
      <c r="V1631" s="705">
        <v>52622</v>
      </c>
      <c r="W1631" s="705">
        <f t="shared" si="72"/>
        <v>52622</v>
      </c>
      <c r="X1631" s="705">
        <f t="shared" si="73"/>
        <v>121751</v>
      </c>
    </row>
    <row r="1632" spans="2:24">
      <c r="B1632" t="s">
        <v>545</v>
      </c>
      <c r="C1632" t="s">
        <v>112</v>
      </c>
      <c r="D1632" t="s">
        <v>583</v>
      </c>
      <c r="E1632" t="s">
        <v>583</v>
      </c>
      <c r="F1632" s="705">
        <v>66</v>
      </c>
      <c r="G1632" s="705">
        <v>14572</v>
      </c>
      <c r="H1632" s="705">
        <v>7678</v>
      </c>
      <c r="I1632" s="705">
        <v>949435</v>
      </c>
      <c r="J1632" s="705">
        <v>863123</v>
      </c>
      <c r="K1632" s="705">
        <v>92</v>
      </c>
      <c r="L1632" s="705">
        <v>158259</v>
      </c>
      <c r="M1632" s="705">
        <v>149196</v>
      </c>
      <c r="N1632" s="705">
        <v>257777</v>
      </c>
      <c r="O1632" s="705">
        <v>95473</v>
      </c>
      <c r="P1632" s="705">
        <v>51960</v>
      </c>
      <c r="Q1632" s="705">
        <v>19245</v>
      </c>
      <c r="R1632" s="705">
        <v>326498</v>
      </c>
      <c r="S1632" s="705">
        <v>296817</v>
      </c>
      <c r="T1632" s="705">
        <v>15246</v>
      </c>
      <c r="U1632" s="705">
        <v>5647</v>
      </c>
      <c r="V1632" s="705">
        <v>1429499</v>
      </c>
      <c r="W1632" s="705">
        <f t="shared" si="72"/>
        <v>1429501</v>
      </c>
      <c r="X1632" s="705">
        <f t="shared" si="73"/>
        <v>1759175</v>
      </c>
    </row>
    <row r="1633" spans="2:24">
      <c r="B1633" t="s">
        <v>545</v>
      </c>
      <c r="C1633" t="s">
        <v>112</v>
      </c>
      <c r="D1633" t="s">
        <v>666</v>
      </c>
      <c r="E1633" t="s">
        <v>666</v>
      </c>
      <c r="F1633" s="705">
        <v>1</v>
      </c>
      <c r="G1633" s="705">
        <v>236</v>
      </c>
      <c r="H1633" s="705">
        <v>123</v>
      </c>
      <c r="I1633" s="705">
        <v>19071</v>
      </c>
      <c r="J1633" s="705">
        <v>17337</v>
      </c>
      <c r="K1633" s="705">
        <v>75</v>
      </c>
      <c r="L1633" s="705">
        <v>1718</v>
      </c>
      <c r="M1633" s="705">
        <v>1562</v>
      </c>
      <c r="N1633" s="705">
        <v>2875</v>
      </c>
      <c r="O1633" s="705">
        <v>1065</v>
      </c>
      <c r="P1633" s="705">
        <v>621</v>
      </c>
      <c r="Q1633" s="705">
        <v>230</v>
      </c>
      <c r="R1633" s="705">
        <v>4817</v>
      </c>
      <c r="S1633" s="705">
        <v>4379</v>
      </c>
      <c r="T1633" s="705">
        <v>0</v>
      </c>
      <c r="U1633" s="705">
        <v>0</v>
      </c>
      <c r="V1633" s="705">
        <v>24574</v>
      </c>
      <c r="W1633" s="705">
        <f t="shared" si="72"/>
        <v>24573</v>
      </c>
      <c r="X1633" s="705">
        <f t="shared" si="73"/>
        <v>29102</v>
      </c>
    </row>
    <row r="1634" spans="2:24">
      <c r="B1634" t="s">
        <v>545</v>
      </c>
      <c r="C1634" t="s">
        <v>112</v>
      </c>
      <c r="D1634" t="s">
        <v>585</v>
      </c>
      <c r="E1634" t="s">
        <v>585</v>
      </c>
      <c r="F1634" s="705">
        <v>2</v>
      </c>
      <c r="G1634" s="705">
        <v>453</v>
      </c>
      <c r="H1634" s="705">
        <v>239</v>
      </c>
      <c r="I1634" s="705">
        <v>39495</v>
      </c>
      <c r="J1634" s="705">
        <v>35904</v>
      </c>
      <c r="K1634" s="705">
        <v>83</v>
      </c>
      <c r="L1634" s="705">
        <v>5693</v>
      </c>
      <c r="M1634" s="705">
        <v>5175</v>
      </c>
      <c r="N1634" s="705">
        <v>7967</v>
      </c>
      <c r="O1634" s="705">
        <v>2951</v>
      </c>
      <c r="P1634" s="705">
        <v>1323</v>
      </c>
      <c r="Q1634" s="705">
        <v>490</v>
      </c>
      <c r="R1634" s="705">
        <v>5729</v>
      </c>
      <c r="S1634" s="705">
        <v>5208</v>
      </c>
      <c r="T1634" s="705">
        <v>0</v>
      </c>
      <c r="U1634" s="705">
        <v>0</v>
      </c>
      <c r="V1634" s="705">
        <v>49728</v>
      </c>
      <c r="W1634" s="705">
        <f t="shared" si="72"/>
        <v>49728</v>
      </c>
      <c r="X1634" s="705">
        <f t="shared" si="73"/>
        <v>60207</v>
      </c>
    </row>
    <row r="1635" spans="2:24">
      <c r="B1635" t="s">
        <v>545</v>
      </c>
      <c r="C1635" t="s">
        <v>114</v>
      </c>
      <c r="D1635" t="s">
        <v>664</v>
      </c>
      <c r="E1635" t="s">
        <v>664</v>
      </c>
      <c r="F1635" s="705">
        <v>2</v>
      </c>
      <c r="G1635" s="705">
        <v>719</v>
      </c>
      <c r="H1635" s="705">
        <v>266</v>
      </c>
      <c r="I1635" s="705">
        <v>61303</v>
      </c>
      <c r="J1635" s="705">
        <v>55730</v>
      </c>
      <c r="K1635" s="705">
        <v>88</v>
      </c>
      <c r="L1635" s="705">
        <v>10633</v>
      </c>
      <c r="M1635" s="705">
        <v>9666</v>
      </c>
      <c r="N1635" s="705">
        <v>13780</v>
      </c>
      <c r="O1635" s="705">
        <v>5104</v>
      </c>
      <c r="P1635" s="705">
        <v>1526</v>
      </c>
      <c r="Q1635" s="705">
        <v>565</v>
      </c>
      <c r="R1635" s="705">
        <v>14202</v>
      </c>
      <c r="S1635" s="705">
        <v>12911</v>
      </c>
      <c r="T1635" s="705">
        <v>0</v>
      </c>
      <c r="U1635" s="705">
        <v>0</v>
      </c>
      <c r="V1635" s="705">
        <v>83976</v>
      </c>
      <c r="W1635" s="705">
        <f t="shared" si="72"/>
        <v>83976</v>
      </c>
      <c r="X1635" s="705">
        <f t="shared" si="73"/>
        <v>101444</v>
      </c>
    </row>
    <row r="1636" spans="2:24">
      <c r="B1636" t="s">
        <v>545</v>
      </c>
      <c r="C1636" t="s">
        <v>114</v>
      </c>
      <c r="D1636" t="s">
        <v>582</v>
      </c>
      <c r="E1636" t="s">
        <v>582</v>
      </c>
      <c r="F1636" s="705">
        <v>7</v>
      </c>
      <c r="G1636" s="705">
        <v>1218</v>
      </c>
      <c r="H1636" s="705">
        <v>992</v>
      </c>
      <c r="I1636" s="705">
        <v>97376</v>
      </c>
      <c r="J1636" s="705">
        <v>88524</v>
      </c>
      <c r="K1636" s="705">
        <v>90</v>
      </c>
      <c r="L1636" s="705">
        <v>16634</v>
      </c>
      <c r="M1636" s="705">
        <v>15122</v>
      </c>
      <c r="N1636" s="705">
        <v>22843</v>
      </c>
      <c r="O1636" s="705">
        <v>8460</v>
      </c>
      <c r="P1636" s="705">
        <v>2822</v>
      </c>
      <c r="Q1636" s="705">
        <v>1045</v>
      </c>
      <c r="R1636" s="705">
        <v>32648</v>
      </c>
      <c r="S1636" s="705">
        <v>29680</v>
      </c>
      <c r="T1636" s="705">
        <v>0</v>
      </c>
      <c r="U1636" s="705">
        <v>0</v>
      </c>
      <c r="V1636" s="705">
        <v>142831</v>
      </c>
      <c r="W1636" s="705">
        <f t="shared" si="72"/>
        <v>142831</v>
      </c>
      <c r="X1636" s="705">
        <f t="shared" si="73"/>
        <v>172323</v>
      </c>
    </row>
    <row r="1637" spans="2:24">
      <c r="B1637" t="s">
        <v>545</v>
      </c>
      <c r="C1637" t="s">
        <v>114</v>
      </c>
      <c r="D1637" t="s">
        <v>228</v>
      </c>
      <c r="E1637" t="s">
        <v>228</v>
      </c>
      <c r="F1637" s="705">
        <v>5</v>
      </c>
      <c r="G1637" s="705">
        <v>1211</v>
      </c>
      <c r="H1637" s="705">
        <v>694</v>
      </c>
      <c r="I1637" s="705">
        <v>60246</v>
      </c>
      <c r="J1637" s="705">
        <v>22313</v>
      </c>
      <c r="K1637" s="705">
        <v>318</v>
      </c>
      <c r="L1637" s="705">
        <v>19025</v>
      </c>
      <c r="M1637" s="705">
        <v>17295</v>
      </c>
      <c r="N1637" s="705">
        <v>25037</v>
      </c>
      <c r="O1637" s="705">
        <v>9273</v>
      </c>
      <c r="P1637" s="705">
        <v>3159</v>
      </c>
      <c r="Q1637" s="705">
        <v>1170</v>
      </c>
      <c r="R1637" s="705">
        <v>58738</v>
      </c>
      <c r="S1637" s="705">
        <v>21755</v>
      </c>
      <c r="T1637" s="705">
        <v>0</v>
      </c>
      <c r="U1637" s="705">
        <v>0</v>
      </c>
      <c r="V1637" s="705">
        <v>71806</v>
      </c>
      <c r="W1637" s="705">
        <f t="shared" si="72"/>
        <v>71806</v>
      </c>
      <c r="X1637" s="705">
        <f t="shared" si="73"/>
        <v>166205</v>
      </c>
    </row>
    <row r="1638" spans="2:24">
      <c r="B1638" t="s">
        <v>545</v>
      </c>
      <c r="C1638" t="s">
        <v>114</v>
      </c>
      <c r="D1638" t="s">
        <v>583</v>
      </c>
      <c r="E1638" t="s">
        <v>583</v>
      </c>
      <c r="F1638" s="705">
        <v>213</v>
      </c>
      <c r="G1638" s="705">
        <v>40644</v>
      </c>
      <c r="H1638" s="705">
        <v>29804</v>
      </c>
      <c r="I1638" s="705">
        <v>3100654</v>
      </c>
      <c r="J1638" s="705">
        <v>2818776</v>
      </c>
      <c r="K1638" s="705">
        <v>90</v>
      </c>
      <c r="L1638" s="705">
        <v>639492</v>
      </c>
      <c r="M1638" s="705">
        <v>589219</v>
      </c>
      <c r="N1638" s="705">
        <v>788218</v>
      </c>
      <c r="O1638" s="705">
        <v>291933</v>
      </c>
      <c r="P1638" s="705">
        <v>144374</v>
      </c>
      <c r="Q1638" s="705">
        <v>53472</v>
      </c>
      <c r="R1638" s="705">
        <v>1133623</v>
      </c>
      <c r="S1638" s="705">
        <v>1030567</v>
      </c>
      <c r="T1638" s="705">
        <v>55568</v>
      </c>
      <c r="U1638" s="705">
        <v>20581</v>
      </c>
      <c r="V1638" s="705">
        <v>4804546</v>
      </c>
      <c r="W1638" s="705">
        <f t="shared" si="72"/>
        <v>4804548</v>
      </c>
      <c r="X1638" s="705">
        <f t="shared" si="73"/>
        <v>5861929</v>
      </c>
    </row>
    <row r="1639" spans="2:24">
      <c r="B1639" t="s">
        <v>545</v>
      </c>
      <c r="C1639" t="s">
        <v>114</v>
      </c>
      <c r="D1639" t="s">
        <v>583</v>
      </c>
      <c r="E1639" t="s">
        <v>666</v>
      </c>
      <c r="F1639" s="705">
        <v>1</v>
      </c>
      <c r="G1639" s="705">
        <v>141</v>
      </c>
      <c r="H1639" s="705">
        <v>148</v>
      </c>
      <c r="I1639" s="705">
        <v>10321</v>
      </c>
      <c r="J1639" s="705">
        <v>9383</v>
      </c>
      <c r="K1639" s="705">
        <v>90</v>
      </c>
      <c r="L1639" s="705">
        <v>3475</v>
      </c>
      <c r="M1639" s="705">
        <v>3159</v>
      </c>
      <c r="N1639" s="705">
        <v>1717</v>
      </c>
      <c r="O1639" s="705">
        <v>636</v>
      </c>
      <c r="P1639" s="705">
        <v>621</v>
      </c>
      <c r="Q1639" s="705">
        <v>230</v>
      </c>
      <c r="R1639" s="705">
        <v>4702</v>
      </c>
      <c r="S1639" s="705">
        <v>4275</v>
      </c>
      <c r="T1639" s="705">
        <v>0</v>
      </c>
      <c r="U1639" s="705">
        <v>0</v>
      </c>
      <c r="V1639" s="705">
        <v>17682</v>
      </c>
      <c r="W1639" s="705">
        <f t="shared" si="72"/>
        <v>17683</v>
      </c>
      <c r="X1639" s="705">
        <f t="shared" si="73"/>
        <v>20836</v>
      </c>
    </row>
    <row r="1640" spans="2:24">
      <c r="B1640" t="s">
        <v>545</v>
      </c>
      <c r="C1640" t="s">
        <v>114</v>
      </c>
      <c r="D1640" t="s">
        <v>583</v>
      </c>
      <c r="E1640" t="s">
        <v>669</v>
      </c>
      <c r="F1640" s="705">
        <v>1</v>
      </c>
      <c r="G1640" s="705">
        <v>205</v>
      </c>
      <c r="H1640" s="705">
        <v>142</v>
      </c>
      <c r="I1640" s="705">
        <v>16096</v>
      </c>
      <c r="J1640" s="705">
        <v>14633</v>
      </c>
      <c r="K1640" s="705">
        <v>86</v>
      </c>
      <c r="L1640" s="705">
        <v>2554</v>
      </c>
      <c r="M1640" s="705">
        <v>2322</v>
      </c>
      <c r="N1640" s="705">
        <v>3417</v>
      </c>
      <c r="O1640" s="705">
        <v>1265</v>
      </c>
      <c r="P1640" s="705">
        <v>621</v>
      </c>
      <c r="Q1640" s="705">
        <v>230</v>
      </c>
      <c r="R1640" s="705">
        <v>6458</v>
      </c>
      <c r="S1640" s="705">
        <v>5382</v>
      </c>
      <c r="T1640" s="705">
        <v>0</v>
      </c>
      <c r="U1640" s="705">
        <v>0</v>
      </c>
      <c r="V1640" s="705">
        <v>23832</v>
      </c>
      <c r="W1640" s="705">
        <f t="shared" si="72"/>
        <v>23832</v>
      </c>
      <c r="X1640" s="705">
        <f t="shared" si="73"/>
        <v>29146</v>
      </c>
    </row>
    <row r="1641" spans="2:24">
      <c r="B1641" t="s">
        <v>545</v>
      </c>
      <c r="C1641" t="s">
        <v>114</v>
      </c>
      <c r="D1641" t="s">
        <v>584</v>
      </c>
      <c r="E1641" t="s">
        <v>584</v>
      </c>
      <c r="F1641" s="705">
        <v>1</v>
      </c>
      <c r="G1641" s="705">
        <v>156</v>
      </c>
      <c r="H1641" s="705">
        <v>144</v>
      </c>
      <c r="I1641" s="705">
        <v>10086</v>
      </c>
      <c r="J1641" s="705">
        <v>9169</v>
      </c>
      <c r="K1641" s="705">
        <v>91</v>
      </c>
      <c r="L1641" s="705">
        <v>3220</v>
      </c>
      <c r="M1641" s="705">
        <v>2927</v>
      </c>
      <c r="N1641" s="705">
        <v>2656</v>
      </c>
      <c r="O1641" s="705">
        <v>984</v>
      </c>
      <c r="P1641" s="705">
        <v>473</v>
      </c>
      <c r="Q1641" s="705">
        <v>175</v>
      </c>
      <c r="R1641" s="705">
        <v>5973</v>
      </c>
      <c r="S1641" s="705">
        <v>5430</v>
      </c>
      <c r="T1641" s="705">
        <v>0</v>
      </c>
      <c r="U1641" s="705">
        <v>0</v>
      </c>
      <c r="V1641" s="705">
        <v>18685</v>
      </c>
      <c r="W1641" s="705">
        <f t="shared" si="72"/>
        <v>18685</v>
      </c>
      <c r="X1641" s="705">
        <f t="shared" si="73"/>
        <v>22408</v>
      </c>
    </row>
    <row r="1642" spans="2:24">
      <c r="B1642" t="s">
        <v>545</v>
      </c>
      <c r="C1642" t="s">
        <v>114</v>
      </c>
      <c r="D1642" t="s">
        <v>585</v>
      </c>
      <c r="E1642" t="s">
        <v>585</v>
      </c>
      <c r="F1642" s="705">
        <v>3</v>
      </c>
      <c r="G1642" s="705">
        <v>626</v>
      </c>
      <c r="H1642" s="705">
        <v>410</v>
      </c>
      <c r="I1642" s="705">
        <v>49000</v>
      </c>
      <c r="J1642" s="705">
        <v>44546</v>
      </c>
      <c r="K1642" s="705">
        <v>89</v>
      </c>
      <c r="L1642" s="705">
        <v>11397</v>
      </c>
      <c r="M1642" s="705">
        <v>10361</v>
      </c>
      <c r="N1642" s="705">
        <v>10131</v>
      </c>
      <c r="O1642" s="705">
        <v>3752</v>
      </c>
      <c r="P1642" s="705">
        <v>1323</v>
      </c>
      <c r="Q1642" s="705">
        <v>490</v>
      </c>
      <c r="R1642" s="705">
        <v>14389</v>
      </c>
      <c r="S1642" s="705">
        <v>13081</v>
      </c>
      <c r="T1642" s="705">
        <v>0</v>
      </c>
      <c r="U1642" s="705">
        <v>0</v>
      </c>
      <c r="V1642" s="705">
        <v>72229</v>
      </c>
      <c r="W1642" s="705">
        <f t="shared" si="72"/>
        <v>72230</v>
      </c>
      <c r="X1642" s="705">
        <f t="shared" si="73"/>
        <v>86240</v>
      </c>
    </row>
    <row r="1643" spans="2:24">
      <c r="B1643" t="s">
        <v>545</v>
      </c>
      <c r="C1643" t="s">
        <v>116</v>
      </c>
      <c r="D1643" t="s">
        <v>664</v>
      </c>
      <c r="E1643" t="s">
        <v>664</v>
      </c>
      <c r="F1643" s="705">
        <v>8</v>
      </c>
      <c r="G1643" s="705">
        <v>1382</v>
      </c>
      <c r="H1643" s="705">
        <v>1445</v>
      </c>
      <c r="I1643" s="705">
        <v>144387</v>
      </c>
      <c r="J1643" s="705">
        <v>131261</v>
      </c>
      <c r="K1643" s="705">
        <v>79</v>
      </c>
      <c r="L1643" s="705">
        <v>18920</v>
      </c>
      <c r="M1643" s="705">
        <v>17200</v>
      </c>
      <c r="N1643" s="705">
        <v>29212</v>
      </c>
      <c r="O1643" s="705">
        <v>10819</v>
      </c>
      <c r="P1643" s="705">
        <v>3807</v>
      </c>
      <c r="Q1643" s="705">
        <v>1410</v>
      </c>
      <c r="R1643" s="705">
        <v>46555</v>
      </c>
      <c r="S1643" s="705">
        <v>42323</v>
      </c>
      <c r="T1643" s="705">
        <v>7371</v>
      </c>
      <c r="U1643" s="705">
        <v>2730</v>
      </c>
      <c r="V1643" s="705">
        <v>205743</v>
      </c>
      <c r="W1643" s="705">
        <f t="shared" si="72"/>
        <v>205743</v>
      </c>
      <c r="X1643" s="705">
        <f t="shared" si="73"/>
        <v>250252</v>
      </c>
    </row>
    <row r="1644" spans="2:24">
      <c r="B1644" t="s">
        <v>545</v>
      </c>
      <c r="C1644" t="s">
        <v>116</v>
      </c>
      <c r="D1644" t="s">
        <v>582</v>
      </c>
      <c r="E1644" t="s">
        <v>582</v>
      </c>
      <c r="F1644" s="705">
        <v>62</v>
      </c>
      <c r="G1644" s="705">
        <v>9235</v>
      </c>
      <c r="H1644" s="705">
        <v>11002</v>
      </c>
      <c r="I1644" s="705">
        <v>899644</v>
      </c>
      <c r="J1644" s="705">
        <v>817859</v>
      </c>
      <c r="K1644" s="705">
        <v>83</v>
      </c>
      <c r="L1644" s="705">
        <v>205168</v>
      </c>
      <c r="M1644" s="705">
        <v>184499</v>
      </c>
      <c r="N1644" s="705">
        <v>198558</v>
      </c>
      <c r="O1644" s="705">
        <v>73540</v>
      </c>
      <c r="P1644" s="705">
        <v>28917</v>
      </c>
      <c r="Q1644" s="705">
        <v>10710</v>
      </c>
      <c r="R1644" s="705">
        <v>339866</v>
      </c>
      <c r="S1644" s="705">
        <v>308969</v>
      </c>
      <c r="T1644" s="705">
        <v>5451</v>
      </c>
      <c r="U1644" s="705">
        <v>2019</v>
      </c>
      <c r="V1644" s="705">
        <v>1397595</v>
      </c>
      <c r="W1644" s="705">
        <f t="shared" si="72"/>
        <v>1397596</v>
      </c>
      <c r="X1644" s="705">
        <f t="shared" si="73"/>
        <v>1677604</v>
      </c>
    </row>
    <row r="1645" spans="2:24">
      <c r="B1645" t="s">
        <v>545</v>
      </c>
      <c r="C1645" t="s">
        <v>116</v>
      </c>
      <c r="D1645" t="s">
        <v>582</v>
      </c>
      <c r="E1645" t="s">
        <v>228</v>
      </c>
      <c r="F1645" s="705">
        <v>1</v>
      </c>
      <c r="G1645" s="705">
        <v>343</v>
      </c>
      <c r="H1645" s="705">
        <v>185</v>
      </c>
      <c r="I1645" s="705">
        <v>40321</v>
      </c>
      <c r="J1645" s="705">
        <v>36655</v>
      </c>
      <c r="K1645" s="705">
        <v>68</v>
      </c>
      <c r="L1645" s="705">
        <v>7104</v>
      </c>
      <c r="M1645" s="705">
        <v>2631</v>
      </c>
      <c r="N1645" s="705">
        <v>4178</v>
      </c>
      <c r="O1645" s="705">
        <v>1547</v>
      </c>
      <c r="P1645" s="705">
        <v>702</v>
      </c>
      <c r="Q1645" s="705">
        <v>260</v>
      </c>
      <c r="R1645" s="705">
        <v>11143</v>
      </c>
      <c r="S1645" s="705">
        <v>4127</v>
      </c>
      <c r="T1645" s="705">
        <v>0</v>
      </c>
      <c r="U1645" s="705">
        <v>0</v>
      </c>
      <c r="V1645" s="705">
        <v>45221</v>
      </c>
      <c r="W1645" s="705">
        <f t="shared" si="72"/>
        <v>45220</v>
      </c>
      <c r="X1645" s="705">
        <f t="shared" si="73"/>
        <v>63448</v>
      </c>
    </row>
    <row r="1646" spans="2:24">
      <c r="B1646" t="s">
        <v>545</v>
      </c>
      <c r="C1646" t="s">
        <v>116</v>
      </c>
      <c r="D1646" t="s">
        <v>228</v>
      </c>
      <c r="E1646" t="s">
        <v>228</v>
      </c>
      <c r="F1646" s="705">
        <v>7</v>
      </c>
      <c r="G1646" s="705">
        <v>1485</v>
      </c>
      <c r="H1646" s="705">
        <v>1371</v>
      </c>
      <c r="I1646" s="705">
        <v>177188</v>
      </c>
      <c r="J1646" s="705">
        <v>65625</v>
      </c>
      <c r="K1646" s="705">
        <v>121</v>
      </c>
      <c r="L1646" s="705">
        <v>44193</v>
      </c>
      <c r="M1646" s="705">
        <v>37462</v>
      </c>
      <c r="N1646" s="705">
        <v>36684</v>
      </c>
      <c r="O1646" s="705">
        <v>13587</v>
      </c>
      <c r="P1646" s="705">
        <v>702</v>
      </c>
      <c r="Q1646" s="705">
        <v>260</v>
      </c>
      <c r="R1646" s="705">
        <v>65956</v>
      </c>
      <c r="S1646" s="705">
        <v>24428</v>
      </c>
      <c r="T1646" s="705">
        <v>0</v>
      </c>
      <c r="U1646" s="705">
        <v>0</v>
      </c>
      <c r="V1646" s="705">
        <v>141362</v>
      </c>
      <c r="W1646" s="705">
        <f t="shared" si="72"/>
        <v>141362</v>
      </c>
      <c r="X1646" s="705">
        <f t="shared" si="73"/>
        <v>324723</v>
      </c>
    </row>
    <row r="1647" spans="2:24">
      <c r="B1647" t="s">
        <v>545</v>
      </c>
      <c r="C1647" t="s">
        <v>116</v>
      </c>
      <c r="D1647" t="s">
        <v>583</v>
      </c>
      <c r="E1647" t="s">
        <v>664</v>
      </c>
      <c r="F1647" s="705">
        <v>1</v>
      </c>
      <c r="G1647" s="705">
        <v>118</v>
      </c>
      <c r="H1647" s="705">
        <v>198</v>
      </c>
      <c r="I1647" s="705">
        <v>11360</v>
      </c>
      <c r="J1647" s="705">
        <v>10327</v>
      </c>
      <c r="K1647" s="705">
        <v>86</v>
      </c>
      <c r="L1647" s="705">
        <v>3421</v>
      </c>
      <c r="M1647" s="705">
        <v>3110</v>
      </c>
      <c r="N1647" s="705">
        <v>2095</v>
      </c>
      <c r="O1647" s="705">
        <v>776</v>
      </c>
      <c r="P1647" s="705">
        <v>621</v>
      </c>
      <c r="Q1647" s="705">
        <v>230</v>
      </c>
      <c r="R1647" s="705">
        <v>5874</v>
      </c>
      <c r="S1647" s="705">
        <v>5340</v>
      </c>
      <c r="T1647" s="705">
        <v>0</v>
      </c>
      <c r="U1647" s="705">
        <v>0</v>
      </c>
      <c r="V1647" s="705">
        <v>19784</v>
      </c>
      <c r="W1647" s="705">
        <f t="shared" si="72"/>
        <v>19783</v>
      </c>
      <c r="X1647" s="705">
        <f t="shared" si="73"/>
        <v>23371</v>
      </c>
    </row>
    <row r="1648" spans="2:24">
      <c r="B1648" t="s">
        <v>545</v>
      </c>
      <c r="C1648" t="s">
        <v>116</v>
      </c>
      <c r="D1648" t="s">
        <v>583</v>
      </c>
      <c r="E1648" t="s">
        <v>228</v>
      </c>
      <c r="F1648" s="705">
        <v>2</v>
      </c>
      <c r="G1648" s="705">
        <v>438</v>
      </c>
      <c r="H1648" s="705">
        <v>406</v>
      </c>
      <c r="I1648" s="705">
        <v>57236</v>
      </c>
      <c r="J1648" s="705">
        <v>52032</v>
      </c>
      <c r="K1648" s="705">
        <v>75</v>
      </c>
      <c r="L1648" s="705">
        <v>7983</v>
      </c>
      <c r="M1648" s="705">
        <v>7257</v>
      </c>
      <c r="N1648" s="705">
        <v>10675</v>
      </c>
      <c r="O1648" s="705">
        <v>3954</v>
      </c>
      <c r="P1648" s="705">
        <v>1242</v>
      </c>
      <c r="Q1648" s="705">
        <v>460</v>
      </c>
      <c r="R1648" s="705">
        <v>12410</v>
      </c>
      <c r="S1648" s="705">
        <v>4596</v>
      </c>
      <c r="T1648" s="705">
        <v>0</v>
      </c>
      <c r="U1648" s="705">
        <v>0</v>
      </c>
      <c r="V1648" s="705">
        <v>68300</v>
      </c>
      <c r="W1648" s="705">
        <f t="shared" si="72"/>
        <v>68299</v>
      </c>
      <c r="X1648" s="705">
        <f t="shared" si="73"/>
        <v>89546</v>
      </c>
    </row>
    <row r="1649" spans="2:24">
      <c r="B1649" t="s">
        <v>545</v>
      </c>
      <c r="C1649" t="s">
        <v>116</v>
      </c>
      <c r="D1649" t="s">
        <v>583</v>
      </c>
      <c r="E1649" t="s">
        <v>583</v>
      </c>
      <c r="F1649" s="705">
        <v>1211</v>
      </c>
      <c r="G1649" s="705">
        <v>184634</v>
      </c>
      <c r="H1649" s="705">
        <v>229956</v>
      </c>
      <c r="I1649" s="705">
        <v>19515309</v>
      </c>
      <c r="J1649" s="705">
        <v>17741190</v>
      </c>
      <c r="K1649" s="705">
        <v>85</v>
      </c>
      <c r="L1649" s="705">
        <v>4337010</v>
      </c>
      <c r="M1649" s="705">
        <v>3885464</v>
      </c>
      <c r="N1649" s="705">
        <v>3886754</v>
      </c>
      <c r="O1649" s="705">
        <v>1439538</v>
      </c>
      <c r="P1649" s="705">
        <v>776732</v>
      </c>
      <c r="Q1649" s="705">
        <v>287679</v>
      </c>
      <c r="R1649" s="705">
        <v>6255280</v>
      </c>
      <c r="S1649" s="705">
        <v>5686618</v>
      </c>
      <c r="T1649" s="705">
        <v>1465501</v>
      </c>
      <c r="U1649" s="705">
        <v>542778</v>
      </c>
      <c r="V1649" s="705">
        <v>29583266</v>
      </c>
      <c r="W1649" s="705">
        <f t="shared" si="72"/>
        <v>29583267</v>
      </c>
      <c r="X1649" s="705">
        <f t="shared" si="73"/>
        <v>36236586</v>
      </c>
    </row>
    <row r="1650" spans="2:24">
      <c r="B1650" t="s">
        <v>545</v>
      </c>
      <c r="C1650" t="s">
        <v>116</v>
      </c>
      <c r="D1650" t="s">
        <v>583</v>
      </c>
      <c r="E1650" t="s">
        <v>666</v>
      </c>
      <c r="F1650" s="705">
        <v>2</v>
      </c>
      <c r="G1650" s="705">
        <v>374</v>
      </c>
      <c r="H1650" s="705">
        <v>370</v>
      </c>
      <c r="I1650" s="705">
        <v>41467</v>
      </c>
      <c r="J1650" s="705">
        <v>37698</v>
      </c>
      <c r="K1650" s="705">
        <v>79</v>
      </c>
      <c r="L1650" s="705">
        <v>8971</v>
      </c>
      <c r="M1650" s="705">
        <v>8155</v>
      </c>
      <c r="N1650" s="705">
        <v>9482</v>
      </c>
      <c r="O1650" s="705">
        <v>3512</v>
      </c>
      <c r="P1650" s="705">
        <v>1242</v>
      </c>
      <c r="Q1650" s="705">
        <v>460</v>
      </c>
      <c r="R1650" s="705">
        <v>11857</v>
      </c>
      <c r="S1650" s="705">
        <v>10779</v>
      </c>
      <c r="T1650" s="705">
        <v>3588</v>
      </c>
      <c r="U1650" s="705">
        <v>1329</v>
      </c>
      <c r="V1650" s="705">
        <v>61933</v>
      </c>
      <c r="W1650" s="705">
        <f t="shared" si="72"/>
        <v>61933</v>
      </c>
      <c r="X1650" s="705">
        <f t="shared" si="73"/>
        <v>76607</v>
      </c>
    </row>
    <row r="1651" spans="2:24">
      <c r="B1651" t="s">
        <v>545</v>
      </c>
      <c r="C1651" t="s">
        <v>116</v>
      </c>
      <c r="D1651" t="s">
        <v>584</v>
      </c>
      <c r="E1651" t="s">
        <v>584</v>
      </c>
      <c r="F1651" s="705">
        <v>6</v>
      </c>
      <c r="G1651" s="705">
        <v>870</v>
      </c>
      <c r="H1651" s="705">
        <v>1156</v>
      </c>
      <c r="I1651" s="705">
        <v>96648</v>
      </c>
      <c r="J1651" s="705">
        <v>87862</v>
      </c>
      <c r="K1651" s="705">
        <v>81</v>
      </c>
      <c r="L1651" s="705">
        <v>13669</v>
      </c>
      <c r="M1651" s="705">
        <v>12427</v>
      </c>
      <c r="N1651" s="705">
        <v>18015</v>
      </c>
      <c r="O1651" s="705">
        <v>6672</v>
      </c>
      <c r="P1651" s="705">
        <v>2835</v>
      </c>
      <c r="Q1651" s="705">
        <v>1050</v>
      </c>
      <c r="R1651" s="705">
        <v>29390</v>
      </c>
      <c r="S1651" s="705">
        <v>26718</v>
      </c>
      <c r="T1651" s="705">
        <v>5635</v>
      </c>
      <c r="U1651" s="705">
        <v>2087</v>
      </c>
      <c r="V1651" s="705">
        <v>136816</v>
      </c>
      <c r="W1651" s="705">
        <f t="shared" si="72"/>
        <v>136816</v>
      </c>
      <c r="X1651" s="705">
        <f t="shared" si="73"/>
        <v>166192</v>
      </c>
    </row>
    <row r="1652" spans="2:24">
      <c r="B1652" t="s">
        <v>545</v>
      </c>
      <c r="C1652" t="s">
        <v>116</v>
      </c>
      <c r="D1652" t="s">
        <v>665</v>
      </c>
      <c r="E1652" t="s">
        <v>665</v>
      </c>
      <c r="F1652" s="705">
        <v>9</v>
      </c>
      <c r="G1652" s="705">
        <v>1301</v>
      </c>
      <c r="H1652" s="705">
        <v>1904</v>
      </c>
      <c r="I1652" s="705">
        <v>213416</v>
      </c>
      <c r="J1652" s="705">
        <v>194014</v>
      </c>
      <c r="K1652" s="705">
        <v>67</v>
      </c>
      <c r="L1652" s="705">
        <v>20992</v>
      </c>
      <c r="M1652" s="705">
        <v>16981</v>
      </c>
      <c r="N1652" s="705">
        <v>30673</v>
      </c>
      <c r="O1652" s="705">
        <v>11360</v>
      </c>
      <c r="P1652" s="705">
        <v>5562</v>
      </c>
      <c r="Q1652" s="705">
        <v>2060</v>
      </c>
      <c r="R1652" s="705">
        <v>47401</v>
      </c>
      <c r="S1652" s="705">
        <v>43092</v>
      </c>
      <c r="T1652" s="705">
        <v>23626</v>
      </c>
      <c r="U1652" s="705">
        <v>8750</v>
      </c>
      <c r="V1652" s="705">
        <v>276258</v>
      </c>
      <c r="W1652" s="705">
        <f t="shared" si="72"/>
        <v>276257</v>
      </c>
      <c r="X1652" s="705">
        <f t="shared" si="73"/>
        <v>341670</v>
      </c>
    </row>
    <row r="1653" spans="2:24">
      <c r="B1653" t="s">
        <v>545</v>
      </c>
      <c r="C1653" t="s">
        <v>116</v>
      </c>
      <c r="D1653" t="s">
        <v>673</v>
      </c>
      <c r="E1653" t="s">
        <v>673</v>
      </c>
      <c r="F1653" s="705">
        <v>1</v>
      </c>
      <c r="G1653" s="705">
        <v>126</v>
      </c>
      <c r="H1653" s="705">
        <v>190</v>
      </c>
      <c r="I1653" s="705">
        <v>15010</v>
      </c>
      <c r="J1653" s="705">
        <v>13645</v>
      </c>
      <c r="K1653" s="705">
        <v>72</v>
      </c>
      <c r="L1653" s="705">
        <v>2960</v>
      </c>
      <c r="M1653" s="705">
        <v>1096</v>
      </c>
      <c r="N1653" s="705">
        <v>1842</v>
      </c>
      <c r="O1653" s="705">
        <v>682</v>
      </c>
      <c r="P1653" s="705">
        <v>0</v>
      </c>
      <c r="Q1653" s="705">
        <v>0</v>
      </c>
      <c r="R1653" s="705">
        <v>4154</v>
      </c>
      <c r="S1653" s="705">
        <v>3777</v>
      </c>
      <c r="T1653" s="705">
        <v>0</v>
      </c>
      <c r="U1653" s="705">
        <v>0</v>
      </c>
      <c r="V1653" s="705">
        <v>19200</v>
      </c>
      <c r="W1653" s="705">
        <f t="shared" si="72"/>
        <v>19200</v>
      </c>
      <c r="X1653" s="705">
        <f t="shared" si="73"/>
        <v>23966</v>
      </c>
    </row>
    <row r="1654" spans="2:24">
      <c r="B1654" t="s">
        <v>545</v>
      </c>
      <c r="C1654" t="s">
        <v>116</v>
      </c>
      <c r="D1654" t="s">
        <v>585</v>
      </c>
      <c r="E1654" t="s">
        <v>228</v>
      </c>
      <c r="F1654" s="705">
        <v>1</v>
      </c>
      <c r="G1654" s="705">
        <v>445</v>
      </c>
      <c r="H1654" s="705">
        <v>190</v>
      </c>
      <c r="I1654" s="705">
        <v>53764</v>
      </c>
      <c r="J1654" s="705">
        <v>48877</v>
      </c>
      <c r="K1654" s="705">
        <v>91</v>
      </c>
      <c r="L1654" s="705">
        <v>13314</v>
      </c>
      <c r="M1654" s="705">
        <v>4931</v>
      </c>
      <c r="N1654" s="705">
        <v>5422</v>
      </c>
      <c r="O1654" s="705">
        <v>2008</v>
      </c>
      <c r="P1654" s="705">
        <v>1053</v>
      </c>
      <c r="Q1654" s="705">
        <v>390</v>
      </c>
      <c r="R1654" s="705">
        <v>11143</v>
      </c>
      <c r="S1654" s="705">
        <v>4127</v>
      </c>
      <c r="T1654" s="705">
        <v>0</v>
      </c>
      <c r="U1654" s="705">
        <v>0</v>
      </c>
      <c r="V1654" s="705">
        <v>60333</v>
      </c>
      <c r="W1654" s="705">
        <f t="shared" si="72"/>
        <v>60333</v>
      </c>
      <c r="X1654" s="705">
        <f t="shared" si="73"/>
        <v>84696</v>
      </c>
    </row>
    <row r="1655" spans="2:24">
      <c r="B1655" t="s">
        <v>545</v>
      </c>
      <c r="C1655" t="s">
        <v>116</v>
      </c>
      <c r="D1655" t="s">
        <v>585</v>
      </c>
      <c r="E1655" t="s">
        <v>585</v>
      </c>
      <c r="F1655" s="705">
        <v>4</v>
      </c>
      <c r="G1655" s="705">
        <v>806</v>
      </c>
      <c r="H1655" s="705">
        <v>709</v>
      </c>
      <c r="I1655" s="705">
        <v>102102</v>
      </c>
      <c r="J1655" s="705">
        <v>92820</v>
      </c>
      <c r="K1655" s="705">
        <v>71</v>
      </c>
      <c r="L1655" s="705">
        <v>20588</v>
      </c>
      <c r="M1655" s="705">
        <v>18716</v>
      </c>
      <c r="N1655" s="705">
        <v>16576</v>
      </c>
      <c r="O1655" s="705">
        <v>6139</v>
      </c>
      <c r="P1655" s="705">
        <v>1674</v>
      </c>
      <c r="Q1655" s="705">
        <v>620</v>
      </c>
      <c r="R1655" s="705">
        <v>25932</v>
      </c>
      <c r="S1655" s="705">
        <v>23575</v>
      </c>
      <c r="T1655" s="705">
        <v>3983</v>
      </c>
      <c r="U1655" s="705">
        <v>1475</v>
      </c>
      <c r="V1655" s="705">
        <v>143345</v>
      </c>
      <c r="W1655" s="705">
        <f t="shared" si="72"/>
        <v>143345</v>
      </c>
      <c r="X1655" s="705">
        <f t="shared" si="73"/>
        <v>170855</v>
      </c>
    </row>
    <row r="1656" spans="2:24">
      <c r="B1656" t="s">
        <v>545</v>
      </c>
      <c r="C1656" t="s">
        <v>118</v>
      </c>
      <c r="F1656" s="705">
        <v>1</v>
      </c>
      <c r="G1656" s="705">
        <v>160</v>
      </c>
      <c r="H1656" s="705">
        <v>236</v>
      </c>
      <c r="I1656" s="705"/>
      <c r="J1656" s="705">
        <v>0</v>
      </c>
      <c r="K1656" s="705"/>
      <c r="L1656" s="705"/>
      <c r="M1656" s="705">
        <v>0</v>
      </c>
      <c r="N1656" s="705">
        <v>3495</v>
      </c>
      <c r="O1656" s="705">
        <v>1294</v>
      </c>
      <c r="P1656" s="705">
        <v>621</v>
      </c>
      <c r="Q1656" s="705">
        <v>230</v>
      </c>
      <c r="R1656" s="705"/>
      <c r="S1656" s="705">
        <v>0</v>
      </c>
      <c r="T1656" s="705">
        <v>3576</v>
      </c>
      <c r="U1656" s="705">
        <v>1324</v>
      </c>
      <c r="V1656" s="705">
        <v>2849</v>
      </c>
      <c r="W1656" s="705">
        <f t="shared" si="72"/>
        <v>2848</v>
      </c>
      <c r="X1656" s="705">
        <f t="shared" si="73"/>
        <v>7692</v>
      </c>
    </row>
    <row r="1657" spans="2:24">
      <c r="B1657" t="s">
        <v>545</v>
      </c>
      <c r="C1657" t="s">
        <v>118</v>
      </c>
      <c r="D1657" t="s">
        <v>664</v>
      </c>
      <c r="E1657" t="s">
        <v>664</v>
      </c>
      <c r="F1657" s="705">
        <v>1</v>
      </c>
      <c r="G1657" s="705">
        <v>107</v>
      </c>
      <c r="H1657" s="705">
        <v>281</v>
      </c>
      <c r="I1657" s="705">
        <v>19999</v>
      </c>
      <c r="J1657" s="705">
        <v>18181</v>
      </c>
      <c r="K1657" s="705">
        <v>90</v>
      </c>
      <c r="L1657" s="705">
        <v>3181</v>
      </c>
      <c r="M1657" s="705">
        <v>2892</v>
      </c>
      <c r="N1657" s="705">
        <v>2338</v>
      </c>
      <c r="O1657" s="705">
        <v>866</v>
      </c>
      <c r="P1657" s="705">
        <v>351</v>
      </c>
      <c r="Q1657" s="705">
        <v>130</v>
      </c>
      <c r="R1657" s="705">
        <v>4071</v>
      </c>
      <c r="S1657" s="705">
        <v>3701</v>
      </c>
      <c r="T1657" s="705">
        <v>0</v>
      </c>
      <c r="U1657" s="705">
        <v>0</v>
      </c>
      <c r="V1657" s="705">
        <v>25770</v>
      </c>
      <c r="W1657" s="705">
        <f t="shared" si="72"/>
        <v>25770</v>
      </c>
      <c r="X1657" s="705">
        <f t="shared" si="73"/>
        <v>29940</v>
      </c>
    </row>
    <row r="1658" spans="2:24">
      <c r="B1658" t="s">
        <v>545</v>
      </c>
      <c r="C1658" t="s">
        <v>118</v>
      </c>
      <c r="D1658" t="s">
        <v>582</v>
      </c>
      <c r="E1658" t="s">
        <v>582</v>
      </c>
      <c r="F1658" s="705">
        <v>14</v>
      </c>
      <c r="G1658" s="705">
        <v>2192</v>
      </c>
      <c r="H1658" s="705">
        <v>3633</v>
      </c>
      <c r="I1658" s="705">
        <v>354837</v>
      </c>
      <c r="J1658" s="705">
        <v>322579</v>
      </c>
      <c r="K1658" s="705">
        <v>77</v>
      </c>
      <c r="L1658" s="705">
        <v>75726</v>
      </c>
      <c r="M1658" s="705">
        <v>68842</v>
      </c>
      <c r="N1658" s="705">
        <v>45991</v>
      </c>
      <c r="O1658" s="705">
        <v>17034</v>
      </c>
      <c r="P1658" s="705">
        <v>7169</v>
      </c>
      <c r="Q1658" s="705">
        <v>2655</v>
      </c>
      <c r="R1658" s="705">
        <v>88699</v>
      </c>
      <c r="S1658" s="705">
        <v>80636</v>
      </c>
      <c r="T1658" s="705">
        <v>4305</v>
      </c>
      <c r="U1658" s="705">
        <v>1594</v>
      </c>
      <c r="V1658" s="705">
        <v>493340</v>
      </c>
      <c r="W1658" s="705">
        <f t="shared" si="72"/>
        <v>493340</v>
      </c>
      <c r="X1658" s="705">
        <f t="shared" si="73"/>
        <v>576727</v>
      </c>
    </row>
    <row r="1659" spans="2:24">
      <c r="B1659" t="s">
        <v>545</v>
      </c>
      <c r="C1659" t="s">
        <v>118</v>
      </c>
      <c r="D1659" t="s">
        <v>228</v>
      </c>
      <c r="E1659" t="s">
        <v>582</v>
      </c>
      <c r="F1659" s="705">
        <v>1</v>
      </c>
      <c r="G1659" s="705">
        <v>164</v>
      </c>
      <c r="H1659" s="705">
        <v>269</v>
      </c>
      <c r="I1659" s="705">
        <v>25757</v>
      </c>
      <c r="J1659" s="705">
        <v>9540</v>
      </c>
      <c r="K1659" s="705">
        <v>100</v>
      </c>
      <c r="L1659" s="705">
        <v>8745</v>
      </c>
      <c r="M1659" s="705">
        <v>7950</v>
      </c>
      <c r="N1659" s="705">
        <v>3997</v>
      </c>
      <c r="O1659" s="705">
        <v>1480</v>
      </c>
      <c r="P1659" s="705">
        <v>473</v>
      </c>
      <c r="Q1659" s="705">
        <v>175</v>
      </c>
      <c r="R1659" s="705">
        <v>5175</v>
      </c>
      <c r="S1659" s="705">
        <v>4705</v>
      </c>
      <c r="T1659" s="705">
        <v>0</v>
      </c>
      <c r="U1659" s="705">
        <v>0</v>
      </c>
      <c r="V1659" s="705">
        <v>23850</v>
      </c>
      <c r="W1659" s="705">
        <f t="shared" si="72"/>
        <v>23850</v>
      </c>
      <c r="X1659" s="705">
        <f t="shared" si="73"/>
        <v>44147</v>
      </c>
    </row>
    <row r="1660" spans="2:24">
      <c r="B1660" t="s">
        <v>545</v>
      </c>
      <c r="C1660" t="s">
        <v>118</v>
      </c>
      <c r="D1660" t="s">
        <v>228</v>
      </c>
      <c r="E1660" t="s">
        <v>228</v>
      </c>
      <c r="F1660" s="705">
        <v>47</v>
      </c>
      <c r="G1660" s="705">
        <v>7001</v>
      </c>
      <c r="H1660" s="705">
        <v>12161</v>
      </c>
      <c r="I1660" s="705">
        <v>1068492</v>
      </c>
      <c r="J1660" s="705">
        <v>395738</v>
      </c>
      <c r="K1660" s="705">
        <v>103</v>
      </c>
      <c r="L1660" s="705">
        <v>194828</v>
      </c>
      <c r="M1660" s="705">
        <v>163295</v>
      </c>
      <c r="N1660" s="705">
        <v>159153</v>
      </c>
      <c r="O1660" s="705">
        <v>58945</v>
      </c>
      <c r="P1660" s="705">
        <v>1654</v>
      </c>
      <c r="Q1660" s="705">
        <v>613</v>
      </c>
      <c r="R1660" s="705">
        <v>391260</v>
      </c>
      <c r="S1660" s="705">
        <v>144911</v>
      </c>
      <c r="T1660" s="705">
        <v>0</v>
      </c>
      <c r="U1660" s="705">
        <v>0</v>
      </c>
      <c r="V1660" s="705">
        <v>763502</v>
      </c>
      <c r="W1660" s="705">
        <f t="shared" si="72"/>
        <v>763502</v>
      </c>
      <c r="X1660" s="705">
        <f t="shared" si="73"/>
        <v>1815387</v>
      </c>
    </row>
    <row r="1661" spans="2:24">
      <c r="B1661" t="s">
        <v>545</v>
      </c>
      <c r="C1661" t="s">
        <v>118</v>
      </c>
      <c r="D1661" t="s">
        <v>228</v>
      </c>
      <c r="E1661" t="s">
        <v>665</v>
      </c>
      <c r="F1661" s="705">
        <v>1</v>
      </c>
      <c r="G1661" s="705">
        <v>47</v>
      </c>
      <c r="H1661" s="705">
        <v>290</v>
      </c>
      <c r="I1661" s="705">
        <v>2506</v>
      </c>
      <c r="J1661" s="705">
        <v>928</v>
      </c>
      <c r="K1661" s="705">
        <v>355</v>
      </c>
      <c r="L1661" s="705">
        <v>896</v>
      </c>
      <c r="M1661" s="705">
        <v>814</v>
      </c>
      <c r="N1661" s="705">
        <v>578</v>
      </c>
      <c r="O1661" s="705">
        <v>214</v>
      </c>
      <c r="P1661" s="705">
        <v>541</v>
      </c>
      <c r="Q1661" s="705">
        <v>200</v>
      </c>
      <c r="R1661" s="705">
        <v>6788</v>
      </c>
      <c r="S1661" s="705">
        <v>6171</v>
      </c>
      <c r="T1661" s="705">
        <v>2421</v>
      </c>
      <c r="U1661" s="705">
        <v>897</v>
      </c>
      <c r="V1661" s="705">
        <v>9225</v>
      </c>
      <c r="W1661" s="705">
        <f t="shared" si="72"/>
        <v>9224</v>
      </c>
      <c r="X1661" s="705">
        <f t="shared" si="73"/>
        <v>13730</v>
      </c>
    </row>
    <row r="1662" spans="2:24">
      <c r="B1662" t="s">
        <v>545</v>
      </c>
      <c r="C1662" t="s">
        <v>118</v>
      </c>
      <c r="D1662" t="s">
        <v>583</v>
      </c>
      <c r="E1662" t="s">
        <v>228</v>
      </c>
      <c r="F1662" s="705">
        <v>4</v>
      </c>
      <c r="G1662" s="705">
        <v>565</v>
      </c>
      <c r="H1662" s="705">
        <v>1067</v>
      </c>
      <c r="I1662" s="705">
        <v>80359</v>
      </c>
      <c r="J1662" s="705">
        <v>73054</v>
      </c>
      <c r="K1662" s="705">
        <v>84</v>
      </c>
      <c r="L1662" s="705">
        <v>20965</v>
      </c>
      <c r="M1662" s="705">
        <v>19059</v>
      </c>
      <c r="N1662" s="705">
        <v>12149</v>
      </c>
      <c r="O1662" s="705">
        <v>4499</v>
      </c>
      <c r="P1662" s="705">
        <v>2484</v>
      </c>
      <c r="Q1662" s="705">
        <v>920</v>
      </c>
      <c r="R1662" s="705">
        <v>32313</v>
      </c>
      <c r="S1662" s="705">
        <v>11968</v>
      </c>
      <c r="T1662" s="705">
        <v>0</v>
      </c>
      <c r="U1662" s="705">
        <v>0</v>
      </c>
      <c r="V1662" s="705">
        <v>109500</v>
      </c>
      <c r="W1662" s="705">
        <f t="shared" si="72"/>
        <v>109500</v>
      </c>
      <c r="X1662" s="705">
        <f t="shared" si="73"/>
        <v>148270</v>
      </c>
    </row>
    <row r="1663" spans="2:24">
      <c r="B1663" t="s">
        <v>545</v>
      </c>
      <c r="C1663" t="s">
        <v>118</v>
      </c>
      <c r="D1663" t="s">
        <v>583</v>
      </c>
      <c r="E1663" t="s">
        <v>583</v>
      </c>
      <c r="F1663" s="705">
        <v>651</v>
      </c>
      <c r="G1663" s="705">
        <v>81436</v>
      </c>
      <c r="H1663" s="705">
        <v>169247</v>
      </c>
      <c r="I1663" s="705">
        <v>12387031</v>
      </c>
      <c r="J1663" s="705">
        <v>11260937</v>
      </c>
      <c r="K1663" s="705">
        <v>81</v>
      </c>
      <c r="L1663" s="705">
        <v>2559287</v>
      </c>
      <c r="M1663" s="705">
        <v>2283742</v>
      </c>
      <c r="N1663" s="705">
        <v>1729172</v>
      </c>
      <c r="O1663" s="705">
        <v>640434</v>
      </c>
      <c r="P1663" s="705">
        <v>418676</v>
      </c>
      <c r="Q1663" s="705">
        <v>155065</v>
      </c>
      <c r="R1663" s="705">
        <v>3202847</v>
      </c>
      <c r="S1663" s="705">
        <v>2911679</v>
      </c>
      <c r="T1663" s="705">
        <v>1144819</v>
      </c>
      <c r="U1663" s="705">
        <v>424007</v>
      </c>
      <c r="V1663" s="705">
        <v>17675865</v>
      </c>
      <c r="W1663" s="705">
        <f t="shared" si="72"/>
        <v>17675864</v>
      </c>
      <c r="X1663" s="705">
        <f t="shared" si="73"/>
        <v>21441832</v>
      </c>
    </row>
    <row r="1664" spans="2:24">
      <c r="B1664" t="s">
        <v>545</v>
      </c>
      <c r="C1664" t="s">
        <v>118</v>
      </c>
      <c r="D1664" t="s">
        <v>583</v>
      </c>
      <c r="E1664" t="s">
        <v>666</v>
      </c>
      <c r="F1664" s="705">
        <v>1</v>
      </c>
      <c r="G1664" s="705">
        <v>128</v>
      </c>
      <c r="H1664" s="705">
        <v>267</v>
      </c>
      <c r="I1664" s="705">
        <v>23246</v>
      </c>
      <c r="J1664" s="705">
        <v>21133</v>
      </c>
      <c r="K1664" s="705">
        <v>95</v>
      </c>
      <c r="L1664" s="705">
        <v>3584</v>
      </c>
      <c r="M1664" s="705">
        <v>3258</v>
      </c>
      <c r="N1664" s="705">
        <v>2182</v>
      </c>
      <c r="O1664" s="705">
        <v>808</v>
      </c>
      <c r="P1664" s="705">
        <v>621</v>
      </c>
      <c r="Q1664" s="705">
        <v>230</v>
      </c>
      <c r="R1664" s="705">
        <v>4531</v>
      </c>
      <c r="S1664" s="705">
        <v>4119</v>
      </c>
      <c r="T1664" s="705">
        <v>0</v>
      </c>
      <c r="U1664" s="705">
        <v>0</v>
      </c>
      <c r="V1664" s="705">
        <v>29548</v>
      </c>
      <c r="W1664" s="705">
        <f t="shared" si="72"/>
        <v>29548</v>
      </c>
      <c r="X1664" s="705">
        <f t="shared" si="73"/>
        <v>34164</v>
      </c>
    </row>
    <row r="1665" spans="2:24">
      <c r="B1665" t="s">
        <v>545</v>
      </c>
      <c r="C1665" t="s">
        <v>118</v>
      </c>
      <c r="D1665" t="s">
        <v>583</v>
      </c>
      <c r="E1665" t="s">
        <v>665</v>
      </c>
      <c r="F1665" s="705">
        <v>3</v>
      </c>
      <c r="G1665" s="705">
        <v>343</v>
      </c>
      <c r="H1665" s="705">
        <v>725</v>
      </c>
      <c r="I1665" s="705">
        <v>44455</v>
      </c>
      <c r="J1665" s="705">
        <v>40414</v>
      </c>
      <c r="K1665" s="705">
        <v>83</v>
      </c>
      <c r="L1665" s="705">
        <v>8474</v>
      </c>
      <c r="M1665" s="705">
        <v>7704</v>
      </c>
      <c r="N1665" s="705">
        <v>7200</v>
      </c>
      <c r="O1665" s="705">
        <v>2667</v>
      </c>
      <c r="P1665" s="705">
        <v>1863</v>
      </c>
      <c r="Q1665" s="705">
        <v>690</v>
      </c>
      <c r="R1665" s="705">
        <v>15532</v>
      </c>
      <c r="S1665" s="705">
        <v>14120</v>
      </c>
      <c r="T1665" s="705">
        <v>5783</v>
      </c>
      <c r="U1665" s="705">
        <v>2142</v>
      </c>
      <c r="V1665" s="705">
        <v>67736</v>
      </c>
      <c r="W1665" s="705">
        <f t="shared" si="72"/>
        <v>67737</v>
      </c>
      <c r="X1665" s="705">
        <f t="shared" si="73"/>
        <v>83307</v>
      </c>
    </row>
    <row r="1666" spans="2:24">
      <c r="B1666" t="s">
        <v>545</v>
      </c>
      <c r="C1666" t="s">
        <v>118</v>
      </c>
      <c r="D1666" t="s">
        <v>666</v>
      </c>
      <c r="E1666" t="s">
        <v>666</v>
      </c>
      <c r="F1666" s="705">
        <v>1</v>
      </c>
      <c r="G1666" s="705">
        <v>255</v>
      </c>
      <c r="H1666" s="705">
        <v>295</v>
      </c>
      <c r="I1666" s="705">
        <v>48403</v>
      </c>
      <c r="J1666" s="705">
        <v>44003</v>
      </c>
      <c r="K1666" s="705">
        <v>50</v>
      </c>
      <c r="L1666" s="705">
        <v>8964</v>
      </c>
      <c r="M1666" s="705">
        <v>8149</v>
      </c>
      <c r="N1666" s="705">
        <v>4902</v>
      </c>
      <c r="O1666" s="705">
        <v>1815</v>
      </c>
      <c r="P1666" s="705">
        <v>351</v>
      </c>
      <c r="Q1666" s="705">
        <v>130</v>
      </c>
      <c r="R1666" s="705">
        <v>12490</v>
      </c>
      <c r="S1666" s="705">
        <v>11355</v>
      </c>
      <c r="T1666" s="705">
        <v>0</v>
      </c>
      <c r="U1666" s="705">
        <v>0</v>
      </c>
      <c r="V1666" s="705">
        <v>65452</v>
      </c>
      <c r="W1666" s="705">
        <f t="shared" si="72"/>
        <v>65452</v>
      </c>
      <c r="X1666" s="705">
        <f t="shared" si="73"/>
        <v>75110</v>
      </c>
    </row>
    <row r="1667" spans="2:24">
      <c r="B1667" t="s">
        <v>545</v>
      </c>
      <c r="C1667" t="s">
        <v>118</v>
      </c>
      <c r="D1667" t="s">
        <v>671</v>
      </c>
      <c r="E1667" t="s">
        <v>671</v>
      </c>
      <c r="F1667" s="705">
        <v>1</v>
      </c>
      <c r="G1667" s="705">
        <v>163</v>
      </c>
      <c r="H1667" s="705">
        <v>270</v>
      </c>
      <c r="I1667" s="705">
        <v>32472</v>
      </c>
      <c r="J1667" s="705">
        <v>29520</v>
      </c>
      <c r="K1667" s="705">
        <v>60</v>
      </c>
      <c r="L1667" s="705">
        <v>0</v>
      </c>
      <c r="M1667" s="705">
        <v>0</v>
      </c>
      <c r="N1667" s="705">
        <v>1992</v>
      </c>
      <c r="O1667" s="705">
        <v>738</v>
      </c>
      <c r="P1667" s="705">
        <v>621</v>
      </c>
      <c r="Q1667" s="705">
        <v>230</v>
      </c>
      <c r="R1667" s="705">
        <v>5861</v>
      </c>
      <c r="S1667" s="705">
        <v>5328</v>
      </c>
      <c r="T1667" s="705">
        <v>3164</v>
      </c>
      <c r="U1667" s="705">
        <v>1172</v>
      </c>
      <c r="V1667" s="705">
        <v>36987</v>
      </c>
      <c r="W1667" s="705">
        <f t="shared" si="72"/>
        <v>36988</v>
      </c>
      <c r="X1667" s="705">
        <f t="shared" si="73"/>
        <v>44110</v>
      </c>
    </row>
    <row r="1668" spans="2:24">
      <c r="B1668" t="s">
        <v>545</v>
      </c>
      <c r="C1668" t="s">
        <v>118</v>
      </c>
      <c r="D1668" t="s">
        <v>665</v>
      </c>
      <c r="E1668" t="s">
        <v>583</v>
      </c>
      <c r="F1668" s="705">
        <v>1</v>
      </c>
      <c r="G1668" s="705">
        <v>287</v>
      </c>
      <c r="H1668" s="705">
        <v>290</v>
      </c>
      <c r="I1668" s="705">
        <v>57730</v>
      </c>
      <c r="J1668" s="705">
        <v>52482</v>
      </c>
      <c r="K1668" s="705">
        <v>45</v>
      </c>
      <c r="L1668" s="705">
        <v>4214</v>
      </c>
      <c r="M1668" s="705">
        <v>3831</v>
      </c>
      <c r="N1668" s="705">
        <v>6649</v>
      </c>
      <c r="O1668" s="705">
        <v>2463</v>
      </c>
      <c r="P1668" s="705">
        <v>621</v>
      </c>
      <c r="Q1668" s="705">
        <v>230</v>
      </c>
      <c r="R1668" s="705">
        <v>14050</v>
      </c>
      <c r="S1668" s="705">
        <v>12773</v>
      </c>
      <c r="T1668" s="705">
        <v>0</v>
      </c>
      <c r="U1668" s="705">
        <v>0</v>
      </c>
      <c r="V1668" s="705">
        <v>71778</v>
      </c>
      <c r="W1668" s="705">
        <f t="shared" si="72"/>
        <v>71779</v>
      </c>
      <c r="X1668" s="705">
        <f t="shared" si="73"/>
        <v>83264</v>
      </c>
    </row>
    <row r="1669" spans="2:24">
      <c r="B1669" t="s">
        <v>545</v>
      </c>
      <c r="C1669" t="s">
        <v>118</v>
      </c>
      <c r="D1669" t="s">
        <v>665</v>
      </c>
      <c r="E1669" t="s">
        <v>665</v>
      </c>
      <c r="F1669" s="705">
        <v>25</v>
      </c>
      <c r="G1669" s="705">
        <v>3417</v>
      </c>
      <c r="H1669" s="705">
        <v>6556</v>
      </c>
      <c r="I1669" s="705">
        <v>629442</v>
      </c>
      <c r="J1669" s="705">
        <v>572220</v>
      </c>
      <c r="K1669" s="705">
        <v>63</v>
      </c>
      <c r="L1669" s="705">
        <v>65513</v>
      </c>
      <c r="M1669" s="705">
        <v>57456</v>
      </c>
      <c r="N1669" s="705">
        <v>79284</v>
      </c>
      <c r="O1669" s="705">
        <v>29365</v>
      </c>
      <c r="P1669" s="705">
        <v>15552</v>
      </c>
      <c r="Q1669" s="705">
        <v>5760</v>
      </c>
      <c r="R1669" s="705">
        <v>144122</v>
      </c>
      <c r="S1669" s="705">
        <v>131020</v>
      </c>
      <c r="T1669" s="705">
        <v>66607</v>
      </c>
      <c r="U1669" s="705">
        <v>24669</v>
      </c>
      <c r="V1669" s="705">
        <v>820490</v>
      </c>
      <c r="W1669" s="705">
        <f t="shared" si="72"/>
        <v>820490</v>
      </c>
      <c r="X1669" s="705">
        <f t="shared" si="73"/>
        <v>1000520</v>
      </c>
    </row>
    <row r="1670" spans="2:24">
      <c r="B1670" t="s">
        <v>545</v>
      </c>
      <c r="C1670" t="s">
        <v>118</v>
      </c>
      <c r="D1670" t="s">
        <v>585</v>
      </c>
      <c r="E1670" t="s">
        <v>585</v>
      </c>
      <c r="F1670" s="705">
        <v>1</v>
      </c>
      <c r="G1670" s="705">
        <v>74</v>
      </c>
      <c r="H1670" s="705">
        <v>285</v>
      </c>
      <c r="I1670" s="705">
        <v>19247</v>
      </c>
      <c r="J1670" s="705">
        <v>17497</v>
      </c>
      <c r="K1670" s="705">
        <v>65</v>
      </c>
      <c r="L1670" s="705">
        <v>4633</v>
      </c>
      <c r="M1670" s="705">
        <v>4212</v>
      </c>
      <c r="N1670" s="705">
        <v>2990</v>
      </c>
      <c r="O1670" s="705">
        <v>1108</v>
      </c>
      <c r="P1670" s="705">
        <v>621</v>
      </c>
      <c r="Q1670" s="705">
        <v>230</v>
      </c>
      <c r="R1670" s="705">
        <v>4829</v>
      </c>
      <c r="S1670" s="705">
        <v>4390</v>
      </c>
      <c r="T1670" s="705">
        <v>2708</v>
      </c>
      <c r="U1670" s="705">
        <v>1003</v>
      </c>
      <c r="V1670" s="705">
        <v>28440</v>
      </c>
      <c r="W1670" s="705">
        <f t="shared" si="72"/>
        <v>28440</v>
      </c>
      <c r="X1670" s="705">
        <f t="shared" si="73"/>
        <v>35028</v>
      </c>
    </row>
    <row r="1671" spans="2:24">
      <c r="B1671" t="s">
        <v>545</v>
      </c>
      <c r="C1671" t="s">
        <v>120</v>
      </c>
      <c r="D1671" t="s">
        <v>582</v>
      </c>
      <c r="E1671" t="s">
        <v>664</v>
      </c>
      <c r="F1671" s="705">
        <v>1</v>
      </c>
      <c r="G1671" s="705">
        <v>70</v>
      </c>
      <c r="H1671" s="705">
        <v>327</v>
      </c>
      <c r="I1671" s="705">
        <v>16007</v>
      </c>
      <c r="J1671" s="705">
        <v>14552</v>
      </c>
      <c r="K1671" s="705">
        <v>73</v>
      </c>
      <c r="L1671" s="705">
        <v>2057</v>
      </c>
      <c r="M1671" s="705">
        <v>1870</v>
      </c>
      <c r="N1671" s="705">
        <v>1655</v>
      </c>
      <c r="O1671" s="705">
        <v>613</v>
      </c>
      <c r="P1671" s="705">
        <v>473</v>
      </c>
      <c r="Q1671" s="705">
        <v>175</v>
      </c>
      <c r="R1671" s="705">
        <v>2829</v>
      </c>
      <c r="S1671" s="705">
        <v>2572</v>
      </c>
      <c r="T1671" s="705">
        <v>0</v>
      </c>
      <c r="U1671" s="705">
        <v>0</v>
      </c>
      <c r="V1671" s="705">
        <v>19782</v>
      </c>
      <c r="W1671" s="705">
        <f t="shared" ref="W1671:W1734" si="74">SUM(ABS(J1671),ABS(M1671),ABS(O1671),ABS(Q1671),ABS(S1671),ABS(U1671))</f>
        <v>19782</v>
      </c>
      <c r="X1671" s="705">
        <f t="shared" ref="X1671:X1734" si="75">SUM(ABS(I1671),ABS(N1671),ABS(P1671),ABS(R1671),ABS(T1671),ABS(L1671))</f>
        <v>23021</v>
      </c>
    </row>
    <row r="1672" spans="2:24">
      <c r="B1672" t="s">
        <v>545</v>
      </c>
      <c r="C1672" t="s">
        <v>120</v>
      </c>
      <c r="D1672" t="s">
        <v>582</v>
      </c>
      <c r="E1672" t="s">
        <v>582</v>
      </c>
      <c r="F1672" s="705">
        <v>8</v>
      </c>
      <c r="G1672" s="705">
        <v>908</v>
      </c>
      <c r="H1672" s="705">
        <v>2645</v>
      </c>
      <c r="I1672" s="705">
        <v>186478</v>
      </c>
      <c r="J1672" s="705">
        <v>169525</v>
      </c>
      <c r="K1672" s="705">
        <v>75</v>
      </c>
      <c r="L1672" s="705">
        <v>35329</v>
      </c>
      <c r="M1672" s="705">
        <v>32117</v>
      </c>
      <c r="N1672" s="705">
        <v>18210</v>
      </c>
      <c r="O1672" s="705">
        <v>6744</v>
      </c>
      <c r="P1672" s="705">
        <v>4239</v>
      </c>
      <c r="Q1672" s="705">
        <v>1570</v>
      </c>
      <c r="R1672" s="705">
        <v>42632</v>
      </c>
      <c r="S1672" s="705">
        <v>38757</v>
      </c>
      <c r="T1672" s="705">
        <v>12251</v>
      </c>
      <c r="U1672" s="705">
        <v>4537</v>
      </c>
      <c r="V1672" s="705">
        <v>253250</v>
      </c>
      <c r="W1672" s="705">
        <f t="shared" si="74"/>
        <v>253250</v>
      </c>
      <c r="X1672" s="705">
        <f t="shared" si="75"/>
        <v>299139</v>
      </c>
    </row>
    <row r="1673" spans="2:24">
      <c r="B1673" t="s">
        <v>545</v>
      </c>
      <c r="C1673" t="s">
        <v>120</v>
      </c>
      <c r="D1673" t="s">
        <v>228</v>
      </c>
      <c r="E1673" t="s">
        <v>228</v>
      </c>
      <c r="F1673" s="705">
        <v>21</v>
      </c>
      <c r="G1673" s="705">
        <v>2666</v>
      </c>
      <c r="H1673" s="705">
        <v>7100</v>
      </c>
      <c r="I1673" s="705">
        <v>574620</v>
      </c>
      <c r="J1673" s="705">
        <v>212822</v>
      </c>
      <c r="K1673" s="705">
        <v>100</v>
      </c>
      <c r="L1673" s="705">
        <v>115727</v>
      </c>
      <c r="M1673" s="705">
        <v>98700</v>
      </c>
      <c r="N1673" s="705">
        <v>61527</v>
      </c>
      <c r="O1673" s="705">
        <v>22788</v>
      </c>
      <c r="P1673" s="705">
        <v>1049</v>
      </c>
      <c r="Q1673" s="705">
        <v>389</v>
      </c>
      <c r="R1673" s="705">
        <v>177206</v>
      </c>
      <c r="S1673" s="705">
        <v>65632</v>
      </c>
      <c r="T1673" s="705">
        <v>0</v>
      </c>
      <c r="U1673" s="705">
        <v>0</v>
      </c>
      <c r="V1673" s="705">
        <v>400331</v>
      </c>
      <c r="W1673" s="705">
        <f t="shared" si="74"/>
        <v>400331</v>
      </c>
      <c r="X1673" s="705">
        <f t="shared" si="75"/>
        <v>930129</v>
      </c>
    </row>
    <row r="1674" spans="2:24">
      <c r="B1674" t="s">
        <v>545</v>
      </c>
      <c r="C1674" t="s">
        <v>120</v>
      </c>
      <c r="D1674" t="s">
        <v>228</v>
      </c>
      <c r="E1674" t="s">
        <v>583</v>
      </c>
      <c r="F1674" s="705">
        <v>1</v>
      </c>
      <c r="G1674" s="705">
        <v>138</v>
      </c>
      <c r="H1674" s="705">
        <v>310</v>
      </c>
      <c r="I1674" s="705">
        <v>24408</v>
      </c>
      <c r="J1674" s="705">
        <v>9040</v>
      </c>
      <c r="K1674" s="705">
        <v>100</v>
      </c>
      <c r="L1674" s="705">
        <v>8287</v>
      </c>
      <c r="M1674" s="705">
        <v>7533</v>
      </c>
      <c r="N1674" s="705">
        <v>3272</v>
      </c>
      <c r="O1674" s="705">
        <v>1212</v>
      </c>
      <c r="P1674" s="705">
        <v>0</v>
      </c>
      <c r="Q1674" s="705">
        <v>0</v>
      </c>
      <c r="R1674" s="705">
        <v>3849</v>
      </c>
      <c r="S1674" s="705">
        <v>3499</v>
      </c>
      <c r="T1674" s="705">
        <v>2883</v>
      </c>
      <c r="U1674" s="705">
        <v>1068</v>
      </c>
      <c r="V1674" s="705">
        <v>22352</v>
      </c>
      <c r="W1674" s="705">
        <f t="shared" si="74"/>
        <v>22352</v>
      </c>
      <c r="X1674" s="705">
        <f t="shared" si="75"/>
        <v>42699</v>
      </c>
    </row>
    <row r="1675" spans="2:24">
      <c r="B1675" t="s">
        <v>545</v>
      </c>
      <c r="C1675" t="s">
        <v>120</v>
      </c>
      <c r="D1675" t="s">
        <v>583</v>
      </c>
      <c r="E1675" t="s">
        <v>228</v>
      </c>
      <c r="F1675" s="705">
        <v>2</v>
      </c>
      <c r="G1675" s="705">
        <v>146</v>
      </c>
      <c r="H1675" s="705">
        <v>705</v>
      </c>
      <c r="I1675" s="705">
        <v>35493</v>
      </c>
      <c r="J1675" s="705">
        <v>32266</v>
      </c>
      <c r="K1675" s="705">
        <v>85</v>
      </c>
      <c r="L1675" s="705">
        <v>2275</v>
      </c>
      <c r="M1675" s="705">
        <v>2068</v>
      </c>
      <c r="N1675" s="705">
        <v>3132</v>
      </c>
      <c r="O1675" s="705">
        <v>1160</v>
      </c>
      <c r="P1675" s="705">
        <v>1242</v>
      </c>
      <c r="Q1675" s="705">
        <v>460</v>
      </c>
      <c r="R1675" s="705">
        <v>9606</v>
      </c>
      <c r="S1675" s="705">
        <v>3558</v>
      </c>
      <c r="T1675" s="705">
        <v>0</v>
      </c>
      <c r="U1675" s="705">
        <v>0</v>
      </c>
      <c r="V1675" s="705">
        <v>39513</v>
      </c>
      <c r="W1675" s="705">
        <f t="shared" si="74"/>
        <v>39512</v>
      </c>
      <c r="X1675" s="705">
        <f t="shared" si="75"/>
        <v>51748</v>
      </c>
    </row>
    <row r="1676" spans="2:24">
      <c r="B1676" t="s">
        <v>545</v>
      </c>
      <c r="C1676" t="s">
        <v>120</v>
      </c>
      <c r="D1676" t="s">
        <v>583</v>
      </c>
      <c r="E1676" t="s">
        <v>583</v>
      </c>
      <c r="F1676" s="705">
        <v>342</v>
      </c>
      <c r="G1676" s="705">
        <v>39959</v>
      </c>
      <c r="H1676" s="705">
        <v>116600</v>
      </c>
      <c r="I1676" s="705">
        <v>8637661</v>
      </c>
      <c r="J1676" s="705">
        <v>7852419</v>
      </c>
      <c r="K1676" s="705">
        <v>77</v>
      </c>
      <c r="L1676" s="705">
        <v>1634861</v>
      </c>
      <c r="M1676" s="705">
        <v>1442669</v>
      </c>
      <c r="N1676" s="705">
        <v>850414</v>
      </c>
      <c r="O1676" s="705">
        <v>314968</v>
      </c>
      <c r="P1676" s="705">
        <v>223324</v>
      </c>
      <c r="Q1676" s="705">
        <v>82713</v>
      </c>
      <c r="R1676" s="705">
        <v>1637003</v>
      </c>
      <c r="S1676" s="705">
        <v>1488184</v>
      </c>
      <c r="T1676" s="705">
        <v>668312</v>
      </c>
      <c r="U1676" s="705">
        <v>247523</v>
      </c>
      <c r="V1676" s="705">
        <v>11428476</v>
      </c>
      <c r="W1676" s="705">
        <f t="shared" si="74"/>
        <v>11428476</v>
      </c>
      <c r="X1676" s="705">
        <f t="shared" si="75"/>
        <v>13651575</v>
      </c>
    </row>
    <row r="1677" spans="2:24">
      <c r="B1677" t="s">
        <v>545</v>
      </c>
      <c r="C1677" t="s">
        <v>120</v>
      </c>
      <c r="D1677" t="s">
        <v>583</v>
      </c>
      <c r="E1677" t="s">
        <v>665</v>
      </c>
      <c r="F1677" s="705">
        <v>2</v>
      </c>
      <c r="G1677" s="705">
        <v>298</v>
      </c>
      <c r="H1677" s="705">
        <v>702</v>
      </c>
      <c r="I1677" s="705">
        <v>67285</v>
      </c>
      <c r="J1677" s="705">
        <v>61168</v>
      </c>
      <c r="K1677" s="705">
        <v>74</v>
      </c>
      <c r="L1677" s="705">
        <v>9115</v>
      </c>
      <c r="M1677" s="705">
        <v>8286</v>
      </c>
      <c r="N1677" s="705">
        <v>6745</v>
      </c>
      <c r="O1677" s="705">
        <v>2498</v>
      </c>
      <c r="P1677" s="705">
        <v>1593</v>
      </c>
      <c r="Q1677" s="705">
        <v>590</v>
      </c>
      <c r="R1677" s="705">
        <v>16788</v>
      </c>
      <c r="S1677" s="705">
        <v>15262</v>
      </c>
      <c r="T1677" s="705">
        <v>3481</v>
      </c>
      <c r="U1677" s="705">
        <v>1289</v>
      </c>
      <c r="V1677" s="705">
        <v>89094</v>
      </c>
      <c r="W1677" s="705">
        <f t="shared" si="74"/>
        <v>89093</v>
      </c>
      <c r="X1677" s="705">
        <f t="shared" si="75"/>
        <v>105007</v>
      </c>
    </row>
    <row r="1678" spans="2:24">
      <c r="B1678" t="s">
        <v>545</v>
      </c>
      <c r="C1678" t="s">
        <v>120</v>
      </c>
      <c r="D1678" t="s">
        <v>666</v>
      </c>
      <c r="E1678" t="s">
        <v>666</v>
      </c>
      <c r="F1678" s="705">
        <v>5</v>
      </c>
      <c r="G1678" s="705">
        <v>504</v>
      </c>
      <c r="H1678" s="705">
        <v>1799</v>
      </c>
      <c r="I1678" s="705">
        <v>119961</v>
      </c>
      <c r="J1678" s="705">
        <v>109055</v>
      </c>
      <c r="K1678" s="705">
        <v>57</v>
      </c>
      <c r="L1678" s="705">
        <v>16889</v>
      </c>
      <c r="M1678" s="705">
        <v>13167</v>
      </c>
      <c r="N1678" s="705">
        <v>7354</v>
      </c>
      <c r="O1678" s="705">
        <v>2724</v>
      </c>
      <c r="P1678" s="705">
        <v>1755</v>
      </c>
      <c r="Q1678" s="705">
        <v>650</v>
      </c>
      <c r="R1678" s="705">
        <v>27454</v>
      </c>
      <c r="S1678" s="705">
        <v>24958</v>
      </c>
      <c r="T1678" s="705">
        <v>7334</v>
      </c>
      <c r="U1678" s="705">
        <v>2716</v>
      </c>
      <c r="V1678" s="705">
        <v>153271</v>
      </c>
      <c r="W1678" s="705">
        <f t="shared" si="74"/>
        <v>153270</v>
      </c>
      <c r="X1678" s="705">
        <f t="shared" si="75"/>
        <v>180747</v>
      </c>
    </row>
    <row r="1679" spans="2:24">
      <c r="B1679" t="s">
        <v>545</v>
      </c>
      <c r="C1679" t="s">
        <v>120</v>
      </c>
      <c r="D1679" t="s">
        <v>665</v>
      </c>
      <c r="E1679" t="s">
        <v>665</v>
      </c>
      <c r="F1679" s="705">
        <v>50</v>
      </c>
      <c r="G1679" s="705">
        <v>5097</v>
      </c>
      <c r="H1679" s="705">
        <v>17426</v>
      </c>
      <c r="I1679" s="705">
        <v>1082669</v>
      </c>
      <c r="J1679" s="705">
        <v>984245</v>
      </c>
      <c r="K1679" s="705">
        <v>53</v>
      </c>
      <c r="L1679" s="705">
        <v>158514</v>
      </c>
      <c r="M1679" s="705">
        <v>141091</v>
      </c>
      <c r="N1679" s="705">
        <v>109047</v>
      </c>
      <c r="O1679" s="705">
        <v>40388</v>
      </c>
      <c r="P1679" s="705">
        <v>20412</v>
      </c>
      <c r="Q1679" s="705">
        <v>7560</v>
      </c>
      <c r="R1679" s="705">
        <v>296127</v>
      </c>
      <c r="S1679" s="705">
        <v>269206</v>
      </c>
      <c r="T1679" s="705">
        <v>125725</v>
      </c>
      <c r="U1679" s="705">
        <v>46565</v>
      </c>
      <c r="V1679" s="705">
        <v>1489055</v>
      </c>
      <c r="W1679" s="705">
        <f t="shared" si="74"/>
        <v>1489055</v>
      </c>
      <c r="X1679" s="705">
        <f t="shared" si="75"/>
        <v>1792494</v>
      </c>
    </row>
    <row r="1680" spans="2:24">
      <c r="B1680" t="s">
        <v>545</v>
      </c>
      <c r="C1680" t="s">
        <v>120</v>
      </c>
      <c r="D1680" t="s">
        <v>673</v>
      </c>
      <c r="E1680" t="s">
        <v>673</v>
      </c>
      <c r="F1680" s="705">
        <v>1</v>
      </c>
      <c r="G1680" s="705">
        <v>108</v>
      </c>
      <c r="H1680" s="705">
        <v>346</v>
      </c>
      <c r="I1680" s="705">
        <v>20771</v>
      </c>
      <c r="J1680" s="705">
        <v>18883</v>
      </c>
      <c r="K1680" s="705">
        <v>80</v>
      </c>
      <c r="L1680" s="705">
        <v>3357</v>
      </c>
      <c r="M1680" s="705">
        <v>3052</v>
      </c>
      <c r="N1680" s="705">
        <v>2632</v>
      </c>
      <c r="O1680" s="705">
        <v>975</v>
      </c>
      <c r="P1680" s="705">
        <v>351</v>
      </c>
      <c r="Q1680" s="705">
        <v>130</v>
      </c>
      <c r="R1680" s="705">
        <v>5479</v>
      </c>
      <c r="S1680" s="705">
        <v>4981</v>
      </c>
      <c r="T1680" s="705">
        <v>4756</v>
      </c>
      <c r="U1680" s="705">
        <v>1761</v>
      </c>
      <c r="V1680" s="705">
        <v>29782</v>
      </c>
      <c r="W1680" s="705">
        <f t="shared" si="74"/>
        <v>29782</v>
      </c>
      <c r="X1680" s="705">
        <f t="shared" si="75"/>
        <v>37346</v>
      </c>
    </row>
    <row r="1681" spans="2:24">
      <c r="B1681" t="s">
        <v>545</v>
      </c>
      <c r="C1681" t="s">
        <v>120</v>
      </c>
      <c r="D1681" t="s">
        <v>585</v>
      </c>
      <c r="E1681" t="s">
        <v>585</v>
      </c>
      <c r="F1681" s="705">
        <v>2</v>
      </c>
      <c r="G1681" s="705">
        <v>188</v>
      </c>
      <c r="H1681" s="705">
        <v>655</v>
      </c>
      <c r="I1681" s="705">
        <v>44692</v>
      </c>
      <c r="J1681" s="705">
        <v>40630</v>
      </c>
      <c r="K1681" s="705">
        <v>79</v>
      </c>
      <c r="L1681" s="705">
        <v>6261</v>
      </c>
      <c r="M1681" s="705">
        <v>5691</v>
      </c>
      <c r="N1681" s="705">
        <v>4231</v>
      </c>
      <c r="O1681" s="705">
        <v>1567</v>
      </c>
      <c r="P1681" s="705">
        <v>972</v>
      </c>
      <c r="Q1681" s="705">
        <v>360</v>
      </c>
      <c r="R1681" s="705">
        <v>4307</v>
      </c>
      <c r="S1681" s="705">
        <v>3916</v>
      </c>
      <c r="T1681" s="705">
        <v>921</v>
      </c>
      <c r="U1681" s="705">
        <v>341</v>
      </c>
      <c r="V1681" s="705">
        <v>52505</v>
      </c>
      <c r="W1681" s="705">
        <f t="shared" si="74"/>
        <v>52505</v>
      </c>
      <c r="X1681" s="705">
        <f t="shared" si="75"/>
        <v>61384</v>
      </c>
    </row>
    <row r="1682" spans="2:24">
      <c r="B1682" t="s">
        <v>545</v>
      </c>
      <c r="C1682" t="s">
        <v>122</v>
      </c>
      <c r="D1682" t="s">
        <v>582</v>
      </c>
      <c r="E1682" t="s">
        <v>582</v>
      </c>
      <c r="F1682" s="705">
        <v>5</v>
      </c>
      <c r="G1682" s="705">
        <v>877</v>
      </c>
      <c r="H1682" s="705">
        <v>2131</v>
      </c>
      <c r="I1682" s="705">
        <v>254714</v>
      </c>
      <c r="J1682" s="705">
        <v>231559</v>
      </c>
      <c r="K1682" s="705">
        <v>75</v>
      </c>
      <c r="L1682" s="705">
        <v>58586</v>
      </c>
      <c r="M1682" s="705">
        <v>50119</v>
      </c>
      <c r="N1682" s="705">
        <v>18684</v>
      </c>
      <c r="O1682" s="705">
        <v>6920</v>
      </c>
      <c r="P1682" s="705">
        <v>2120</v>
      </c>
      <c r="Q1682" s="705">
        <v>785</v>
      </c>
      <c r="R1682" s="705">
        <v>28896</v>
      </c>
      <c r="S1682" s="705">
        <v>26269</v>
      </c>
      <c r="T1682" s="705">
        <v>13490</v>
      </c>
      <c r="U1682" s="705">
        <v>4996</v>
      </c>
      <c r="V1682" s="705">
        <v>320648</v>
      </c>
      <c r="W1682" s="705">
        <f t="shared" si="74"/>
        <v>320648</v>
      </c>
      <c r="X1682" s="705">
        <f t="shared" si="75"/>
        <v>376490</v>
      </c>
    </row>
    <row r="1683" spans="2:24">
      <c r="B1683" t="s">
        <v>545</v>
      </c>
      <c r="C1683" t="s">
        <v>122</v>
      </c>
      <c r="D1683" t="s">
        <v>228</v>
      </c>
      <c r="E1683" t="s">
        <v>228</v>
      </c>
      <c r="F1683" s="705">
        <v>11</v>
      </c>
      <c r="G1683" s="705">
        <v>1226</v>
      </c>
      <c r="H1683" s="705">
        <v>4513</v>
      </c>
      <c r="I1683" s="705">
        <v>362590</v>
      </c>
      <c r="J1683" s="705">
        <v>134293</v>
      </c>
      <c r="K1683" s="705">
        <v>114</v>
      </c>
      <c r="L1683" s="705">
        <v>51330</v>
      </c>
      <c r="M1683" s="705">
        <v>42063</v>
      </c>
      <c r="N1683" s="705">
        <v>26794</v>
      </c>
      <c r="O1683" s="705">
        <v>9924</v>
      </c>
      <c r="P1683" s="705">
        <v>351</v>
      </c>
      <c r="Q1683" s="705">
        <v>130</v>
      </c>
      <c r="R1683" s="705">
        <v>74999</v>
      </c>
      <c r="S1683" s="705">
        <v>27778</v>
      </c>
      <c r="T1683" s="705">
        <v>0</v>
      </c>
      <c r="U1683" s="705">
        <v>0</v>
      </c>
      <c r="V1683" s="705">
        <v>214187</v>
      </c>
      <c r="W1683" s="705">
        <f t="shared" si="74"/>
        <v>214188</v>
      </c>
      <c r="X1683" s="705">
        <f t="shared" si="75"/>
        <v>516064</v>
      </c>
    </row>
    <row r="1684" spans="2:24">
      <c r="B1684" t="s">
        <v>545</v>
      </c>
      <c r="C1684" t="s">
        <v>122</v>
      </c>
      <c r="D1684" t="s">
        <v>228</v>
      </c>
      <c r="E1684" t="s">
        <v>665</v>
      </c>
      <c r="F1684" s="705">
        <v>4</v>
      </c>
      <c r="G1684" s="705">
        <v>317</v>
      </c>
      <c r="H1684" s="705">
        <v>1718</v>
      </c>
      <c r="I1684" s="705">
        <v>88354</v>
      </c>
      <c r="J1684" s="705">
        <v>32724</v>
      </c>
      <c r="K1684" s="705">
        <v>100</v>
      </c>
      <c r="L1684" s="705">
        <v>8569</v>
      </c>
      <c r="M1684" s="705">
        <v>7790</v>
      </c>
      <c r="N1684" s="705">
        <v>5637</v>
      </c>
      <c r="O1684" s="705">
        <v>2088</v>
      </c>
      <c r="P1684" s="705">
        <v>0</v>
      </c>
      <c r="Q1684" s="705">
        <v>0</v>
      </c>
      <c r="R1684" s="705">
        <v>28911</v>
      </c>
      <c r="S1684" s="705">
        <v>26282</v>
      </c>
      <c r="T1684" s="705">
        <v>3911</v>
      </c>
      <c r="U1684" s="705">
        <v>1448</v>
      </c>
      <c r="V1684" s="705">
        <v>70332</v>
      </c>
      <c r="W1684" s="705">
        <f t="shared" si="74"/>
        <v>70332</v>
      </c>
      <c r="X1684" s="705">
        <f t="shared" si="75"/>
        <v>135382</v>
      </c>
    </row>
    <row r="1685" spans="2:24">
      <c r="B1685" t="s">
        <v>545</v>
      </c>
      <c r="C1685" t="s">
        <v>122</v>
      </c>
      <c r="D1685" t="s">
        <v>583</v>
      </c>
      <c r="E1685" t="s">
        <v>228</v>
      </c>
      <c r="F1685" s="705">
        <v>2</v>
      </c>
      <c r="G1685" s="705">
        <v>243</v>
      </c>
      <c r="H1685" s="705">
        <v>833</v>
      </c>
      <c r="I1685" s="705">
        <v>70129</v>
      </c>
      <c r="J1685" s="705">
        <v>63753</v>
      </c>
      <c r="K1685" s="705">
        <v>75</v>
      </c>
      <c r="L1685" s="705">
        <v>9528</v>
      </c>
      <c r="M1685" s="705">
        <v>8662</v>
      </c>
      <c r="N1685" s="705">
        <v>5613</v>
      </c>
      <c r="O1685" s="705">
        <v>2079</v>
      </c>
      <c r="P1685" s="705">
        <v>1242</v>
      </c>
      <c r="Q1685" s="705">
        <v>460</v>
      </c>
      <c r="R1685" s="705">
        <v>12667</v>
      </c>
      <c r="S1685" s="705">
        <v>4691</v>
      </c>
      <c r="T1685" s="705">
        <v>0</v>
      </c>
      <c r="U1685" s="705">
        <v>0</v>
      </c>
      <c r="V1685" s="705">
        <v>79645</v>
      </c>
      <c r="W1685" s="705">
        <f t="shared" si="74"/>
        <v>79645</v>
      </c>
      <c r="X1685" s="705">
        <f t="shared" si="75"/>
        <v>99179</v>
      </c>
    </row>
    <row r="1686" spans="2:24">
      <c r="B1686" t="s">
        <v>545</v>
      </c>
      <c r="C1686" t="s">
        <v>122</v>
      </c>
      <c r="D1686" t="s">
        <v>583</v>
      </c>
      <c r="E1686" t="s">
        <v>583</v>
      </c>
      <c r="F1686" s="705">
        <v>157</v>
      </c>
      <c r="G1686" s="705">
        <v>16575</v>
      </c>
      <c r="H1686" s="705">
        <v>65144</v>
      </c>
      <c r="I1686" s="705">
        <v>4621227</v>
      </c>
      <c r="J1686" s="705">
        <v>4201115</v>
      </c>
      <c r="K1686" s="705">
        <v>77</v>
      </c>
      <c r="L1686" s="705">
        <v>843011</v>
      </c>
      <c r="M1686" s="705">
        <v>759670</v>
      </c>
      <c r="N1686" s="705">
        <v>349166</v>
      </c>
      <c r="O1686" s="705">
        <v>129321</v>
      </c>
      <c r="P1686" s="705">
        <v>101088</v>
      </c>
      <c r="Q1686" s="705">
        <v>37440</v>
      </c>
      <c r="R1686" s="705">
        <v>744001</v>
      </c>
      <c r="S1686" s="705">
        <v>676364</v>
      </c>
      <c r="T1686" s="705">
        <v>292509</v>
      </c>
      <c r="U1686" s="705">
        <v>108337</v>
      </c>
      <c r="V1686" s="705">
        <v>5912247</v>
      </c>
      <c r="W1686" s="705">
        <f t="shared" si="74"/>
        <v>5912247</v>
      </c>
      <c r="X1686" s="705">
        <f t="shared" si="75"/>
        <v>6951002</v>
      </c>
    </row>
    <row r="1687" spans="2:24">
      <c r="B1687" t="s">
        <v>545</v>
      </c>
      <c r="C1687" t="s">
        <v>122</v>
      </c>
      <c r="D1687" t="s">
        <v>666</v>
      </c>
      <c r="E1687" t="s">
        <v>666</v>
      </c>
      <c r="F1687" s="705">
        <v>6</v>
      </c>
      <c r="G1687" s="705">
        <v>600</v>
      </c>
      <c r="H1687" s="705">
        <v>2424</v>
      </c>
      <c r="I1687" s="705">
        <v>167883</v>
      </c>
      <c r="J1687" s="705">
        <v>152621</v>
      </c>
      <c r="K1687" s="705">
        <v>54</v>
      </c>
      <c r="L1687" s="705">
        <v>27600</v>
      </c>
      <c r="M1687" s="705">
        <v>25091</v>
      </c>
      <c r="N1687" s="705">
        <v>12941</v>
      </c>
      <c r="O1687" s="705">
        <v>4793</v>
      </c>
      <c r="P1687" s="705">
        <v>2376</v>
      </c>
      <c r="Q1687" s="705">
        <v>880</v>
      </c>
      <c r="R1687" s="705">
        <v>34711</v>
      </c>
      <c r="S1687" s="705">
        <v>31556</v>
      </c>
      <c r="T1687" s="705">
        <v>9875</v>
      </c>
      <c r="U1687" s="705">
        <v>3657</v>
      </c>
      <c r="V1687" s="705">
        <v>218598</v>
      </c>
      <c r="W1687" s="705">
        <f t="shared" si="74"/>
        <v>218598</v>
      </c>
      <c r="X1687" s="705">
        <f t="shared" si="75"/>
        <v>255386</v>
      </c>
    </row>
    <row r="1688" spans="2:24">
      <c r="B1688" t="s">
        <v>545</v>
      </c>
      <c r="C1688" t="s">
        <v>122</v>
      </c>
      <c r="D1688" t="s">
        <v>671</v>
      </c>
      <c r="E1688" t="s">
        <v>671</v>
      </c>
      <c r="F1688" s="705">
        <v>1</v>
      </c>
      <c r="G1688" s="705">
        <v>119</v>
      </c>
      <c r="H1688" s="705">
        <v>437</v>
      </c>
      <c r="I1688" s="705">
        <v>34316</v>
      </c>
      <c r="J1688" s="705">
        <v>31197</v>
      </c>
      <c r="K1688" s="705">
        <v>45</v>
      </c>
      <c r="L1688" s="705">
        <v>5719</v>
      </c>
      <c r="M1688" s="705">
        <v>5199</v>
      </c>
      <c r="N1688" s="705">
        <v>2504</v>
      </c>
      <c r="O1688" s="705">
        <v>927</v>
      </c>
      <c r="P1688" s="705">
        <v>351</v>
      </c>
      <c r="Q1688" s="705">
        <v>130</v>
      </c>
      <c r="R1688" s="705">
        <v>9059</v>
      </c>
      <c r="S1688" s="705">
        <v>8235</v>
      </c>
      <c r="T1688" s="705">
        <v>0</v>
      </c>
      <c r="U1688" s="705">
        <v>0</v>
      </c>
      <c r="V1688" s="705">
        <v>45689</v>
      </c>
      <c r="W1688" s="705">
        <f t="shared" si="74"/>
        <v>45688</v>
      </c>
      <c r="X1688" s="705">
        <f t="shared" si="75"/>
        <v>51949</v>
      </c>
    </row>
    <row r="1689" spans="2:24">
      <c r="B1689" t="s">
        <v>545</v>
      </c>
      <c r="C1689" t="s">
        <v>122</v>
      </c>
      <c r="D1689" t="s">
        <v>665</v>
      </c>
      <c r="E1689" t="s">
        <v>665</v>
      </c>
      <c r="F1689" s="705">
        <v>50</v>
      </c>
      <c r="G1689" s="705">
        <v>4548</v>
      </c>
      <c r="H1689" s="705">
        <v>20650</v>
      </c>
      <c r="I1689" s="705">
        <v>1191985</v>
      </c>
      <c r="J1689" s="705">
        <v>1083623</v>
      </c>
      <c r="K1689" s="705">
        <v>49</v>
      </c>
      <c r="L1689" s="705">
        <v>175864</v>
      </c>
      <c r="M1689" s="705">
        <v>153427</v>
      </c>
      <c r="N1689" s="705">
        <v>93229</v>
      </c>
      <c r="O1689" s="705">
        <v>34529</v>
      </c>
      <c r="P1689" s="705">
        <v>18360</v>
      </c>
      <c r="Q1689" s="705">
        <v>6800</v>
      </c>
      <c r="R1689" s="705">
        <v>315185</v>
      </c>
      <c r="S1689" s="705">
        <v>286532</v>
      </c>
      <c r="T1689" s="705">
        <v>123800</v>
      </c>
      <c r="U1689" s="705">
        <v>45852</v>
      </c>
      <c r="V1689" s="705">
        <v>1610763</v>
      </c>
      <c r="W1689" s="705">
        <f t="shared" si="74"/>
        <v>1610763</v>
      </c>
      <c r="X1689" s="705">
        <f t="shared" si="75"/>
        <v>1918423</v>
      </c>
    </row>
    <row r="1690" spans="2:24">
      <c r="B1690" t="s">
        <v>545</v>
      </c>
      <c r="C1690" t="s">
        <v>122</v>
      </c>
      <c r="D1690" t="s">
        <v>673</v>
      </c>
      <c r="E1690" t="s">
        <v>673</v>
      </c>
      <c r="F1690" s="705">
        <v>1</v>
      </c>
      <c r="G1690" s="705">
        <v>91</v>
      </c>
      <c r="H1690" s="705">
        <v>428</v>
      </c>
      <c r="I1690" s="705">
        <v>28513</v>
      </c>
      <c r="J1690" s="705">
        <v>25921</v>
      </c>
      <c r="K1690" s="705">
        <v>45</v>
      </c>
      <c r="L1690" s="705">
        <v>2193</v>
      </c>
      <c r="M1690" s="705">
        <v>1994</v>
      </c>
      <c r="N1690" s="705">
        <v>1114</v>
      </c>
      <c r="O1690" s="705">
        <v>412</v>
      </c>
      <c r="P1690" s="705">
        <v>351</v>
      </c>
      <c r="Q1690" s="705">
        <v>130</v>
      </c>
      <c r="R1690" s="705">
        <v>4684</v>
      </c>
      <c r="S1690" s="705">
        <v>4258</v>
      </c>
      <c r="T1690" s="705">
        <v>2227</v>
      </c>
      <c r="U1690" s="705">
        <v>825</v>
      </c>
      <c r="V1690" s="705">
        <v>33540</v>
      </c>
      <c r="W1690" s="705">
        <f t="shared" si="74"/>
        <v>33540</v>
      </c>
      <c r="X1690" s="705">
        <f t="shared" si="75"/>
        <v>39082</v>
      </c>
    </row>
    <row r="1691" spans="2:24">
      <c r="B1691" t="s">
        <v>545</v>
      </c>
      <c r="C1691" t="s">
        <v>124</v>
      </c>
      <c r="D1691" t="s">
        <v>664</v>
      </c>
      <c r="E1691" t="s">
        <v>664</v>
      </c>
      <c r="F1691" s="705">
        <v>1</v>
      </c>
      <c r="G1691" s="705">
        <v>82</v>
      </c>
      <c r="H1691" s="705">
        <v>673</v>
      </c>
      <c r="I1691" s="705">
        <v>36032</v>
      </c>
      <c r="J1691" s="705">
        <v>32756</v>
      </c>
      <c r="K1691" s="705">
        <v>74</v>
      </c>
      <c r="L1691" s="705">
        <v>9435</v>
      </c>
      <c r="M1691" s="705">
        <v>8577</v>
      </c>
      <c r="N1691" s="705">
        <v>1390</v>
      </c>
      <c r="O1691" s="705">
        <v>515</v>
      </c>
      <c r="P1691" s="705">
        <v>473</v>
      </c>
      <c r="Q1691" s="705">
        <v>175</v>
      </c>
      <c r="R1691" s="705">
        <v>4665</v>
      </c>
      <c r="S1691" s="705">
        <v>4241</v>
      </c>
      <c r="T1691" s="705">
        <v>2899</v>
      </c>
      <c r="U1691" s="705">
        <v>1074</v>
      </c>
      <c r="V1691" s="705">
        <v>47338</v>
      </c>
      <c r="W1691" s="705">
        <f t="shared" si="74"/>
        <v>47338</v>
      </c>
      <c r="X1691" s="705">
        <f t="shared" si="75"/>
        <v>54894</v>
      </c>
    </row>
    <row r="1692" spans="2:24">
      <c r="B1692" t="s">
        <v>545</v>
      </c>
      <c r="C1692" t="s">
        <v>124</v>
      </c>
      <c r="D1692" t="s">
        <v>664</v>
      </c>
      <c r="E1692" t="s">
        <v>583</v>
      </c>
      <c r="F1692" s="705">
        <v>2</v>
      </c>
      <c r="G1692" s="705">
        <v>252</v>
      </c>
      <c r="H1692" s="705">
        <v>1112</v>
      </c>
      <c r="I1692" s="705">
        <v>100102</v>
      </c>
      <c r="J1692" s="705">
        <v>91002</v>
      </c>
      <c r="K1692" s="705">
        <v>60</v>
      </c>
      <c r="L1692" s="705">
        <v>14751</v>
      </c>
      <c r="M1692" s="705">
        <v>13410</v>
      </c>
      <c r="N1692" s="705">
        <v>6138</v>
      </c>
      <c r="O1692" s="705">
        <v>2273</v>
      </c>
      <c r="P1692" s="705">
        <v>1242</v>
      </c>
      <c r="Q1692" s="705">
        <v>460</v>
      </c>
      <c r="R1692" s="705">
        <v>17006</v>
      </c>
      <c r="S1692" s="705">
        <v>15460</v>
      </c>
      <c r="T1692" s="705">
        <v>3021</v>
      </c>
      <c r="U1692" s="705">
        <v>1119</v>
      </c>
      <c r="V1692" s="705">
        <v>123725</v>
      </c>
      <c r="W1692" s="705">
        <f t="shared" si="74"/>
        <v>123724</v>
      </c>
      <c r="X1692" s="705">
        <f t="shared" si="75"/>
        <v>142260</v>
      </c>
    </row>
    <row r="1693" spans="2:24">
      <c r="B1693" t="s">
        <v>545</v>
      </c>
      <c r="C1693" t="s">
        <v>124</v>
      </c>
      <c r="D1693" t="s">
        <v>582</v>
      </c>
      <c r="E1693" t="s">
        <v>582</v>
      </c>
      <c r="F1693" s="705">
        <v>2</v>
      </c>
      <c r="G1693" s="705">
        <v>495</v>
      </c>
      <c r="H1693" s="705">
        <v>965</v>
      </c>
      <c r="I1693" s="705">
        <v>164724</v>
      </c>
      <c r="J1693" s="705">
        <v>149749</v>
      </c>
      <c r="K1693" s="705">
        <v>71</v>
      </c>
      <c r="L1693" s="705">
        <v>40143</v>
      </c>
      <c r="M1693" s="705">
        <v>36494</v>
      </c>
      <c r="N1693" s="705">
        <v>11375</v>
      </c>
      <c r="O1693" s="705">
        <v>4213</v>
      </c>
      <c r="P1693" s="705">
        <v>824</v>
      </c>
      <c r="Q1693" s="705">
        <v>305</v>
      </c>
      <c r="R1693" s="705">
        <v>17124</v>
      </c>
      <c r="S1693" s="705">
        <v>15567</v>
      </c>
      <c r="T1693" s="705">
        <v>0</v>
      </c>
      <c r="U1693" s="705">
        <v>0</v>
      </c>
      <c r="V1693" s="705">
        <v>206327</v>
      </c>
      <c r="W1693" s="705">
        <f t="shared" si="74"/>
        <v>206328</v>
      </c>
      <c r="X1693" s="705">
        <f t="shared" si="75"/>
        <v>234190</v>
      </c>
    </row>
    <row r="1694" spans="2:24">
      <c r="B1694" t="s">
        <v>545</v>
      </c>
      <c r="C1694" t="s">
        <v>124</v>
      </c>
      <c r="D1694" t="s">
        <v>228</v>
      </c>
      <c r="E1694" t="s">
        <v>664</v>
      </c>
      <c r="F1694" s="705">
        <v>1</v>
      </c>
      <c r="G1694" s="705">
        <v>73</v>
      </c>
      <c r="H1694" s="705">
        <v>530</v>
      </c>
      <c r="I1694" s="705">
        <v>30001</v>
      </c>
      <c r="J1694" s="705">
        <v>11111</v>
      </c>
      <c r="K1694" s="705">
        <v>100</v>
      </c>
      <c r="L1694" s="705">
        <v>2263</v>
      </c>
      <c r="M1694" s="705">
        <v>2058</v>
      </c>
      <c r="N1694" s="705">
        <v>883</v>
      </c>
      <c r="O1694" s="705">
        <v>327</v>
      </c>
      <c r="P1694" s="705">
        <v>122</v>
      </c>
      <c r="Q1694" s="705">
        <v>45</v>
      </c>
      <c r="R1694" s="705">
        <v>5139</v>
      </c>
      <c r="S1694" s="705">
        <v>4671</v>
      </c>
      <c r="T1694" s="705">
        <v>0</v>
      </c>
      <c r="U1694" s="705">
        <v>0</v>
      </c>
      <c r="V1694" s="705">
        <v>18213</v>
      </c>
      <c r="W1694" s="705">
        <f t="shared" si="74"/>
        <v>18212</v>
      </c>
      <c r="X1694" s="705">
        <f t="shared" si="75"/>
        <v>38408</v>
      </c>
    </row>
    <row r="1695" spans="2:24">
      <c r="B1695" t="s">
        <v>545</v>
      </c>
      <c r="C1695" t="s">
        <v>124</v>
      </c>
      <c r="D1695" t="s">
        <v>228</v>
      </c>
      <c r="E1695" t="s">
        <v>228</v>
      </c>
      <c r="F1695" s="705">
        <v>80</v>
      </c>
      <c r="G1695" s="705">
        <v>6966</v>
      </c>
      <c r="H1695" s="705">
        <v>64145</v>
      </c>
      <c r="I1695" s="705">
        <v>4009227</v>
      </c>
      <c r="J1695" s="705">
        <v>1484899</v>
      </c>
      <c r="K1695" s="705">
        <v>100</v>
      </c>
      <c r="L1695" s="705">
        <v>603023</v>
      </c>
      <c r="M1695" s="705">
        <v>512569</v>
      </c>
      <c r="N1695" s="705">
        <v>158386</v>
      </c>
      <c r="O1695" s="705">
        <v>58661</v>
      </c>
      <c r="P1695" s="705">
        <v>702</v>
      </c>
      <c r="Q1695" s="705">
        <v>260</v>
      </c>
      <c r="R1695" s="705">
        <v>513863</v>
      </c>
      <c r="S1695" s="705">
        <v>190320</v>
      </c>
      <c r="T1695" s="705">
        <v>2689</v>
      </c>
      <c r="U1695" s="705">
        <v>996</v>
      </c>
      <c r="V1695" s="705">
        <v>2247706</v>
      </c>
      <c r="W1695" s="705">
        <f t="shared" si="74"/>
        <v>2247705</v>
      </c>
      <c r="X1695" s="705">
        <f t="shared" si="75"/>
        <v>5287890</v>
      </c>
    </row>
    <row r="1696" spans="2:24">
      <c r="B1696" t="s">
        <v>545</v>
      </c>
      <c r="C1696" t="s">
        <v>124</v>
      </c>
      <c r="D1696" t="s">
        <v>228</v>
      </c>
      <c r="E1696" t="s">
        <v>583</v>
      </c>
      <c r="F1696" s="705">
        <v>1</v>
      </c>
      <c r="G1696" s="705">
        <v>80</v>
      </c>
      <c r="H1696" s="705">
        <v>480</v>
      </c>
      <c r="I1696" s="705">
        <v>28395</v>
      </c>
      <c r="J1696" s="705">
        <v>10517</v>
      </c>
      <c r="K1696" s="705">
        <v>100</v>
      </c>
      <c r="L1696" s="705">
        <v>2142</v>
      </c>
      <c r="M1696" s="705">
        <v>1948</v>
      </c>
      <c r="N1696" s="705">
        <v>1940</v>
      </c>
      <c r="O1696" s="705">
        <v>718</v>
      </c>
      <c r="P1696" s="705">
        <v>0</v>
      </c>
      <c r="Q1696" s="705">
        <v>0</v>
      </c>
      <c r="R1696" s="705">
        <v>5766</v>
      </c>
      <c r="S1696" s="705">
        <v>5242</v>
      </c>
      <c r="T1696" s="705">
        <v>0</v>
      </c>
      <c r="U1696" s="705">
        <v>0</v>
      </c>
      <c r="V1696" s="705">
        <v>18424</v>
      </c>
      <c r="W1696" s="705">
        <f t="shared" si="74"/>
        <v>18425</v>
      </c>
      <c r="X1696" s="705">
        <f t="shared" si="75"/>
        <v>38243</v>
      </c>
    </row>
    <row r="1697" spans="2:24">
      <c r="B1697" t="s">
        <v>545</v>
      </c>
      <c r="C1697" t="s">
        <v>124</v>
      </c>
      <c r="D1697" t="s">
        <v>228</v>
      </c>
      <c r="E1697" t="s">
        <v>666</v>
      </c>
      <c r="F1697" s="705">
        <v>1</v>
      </c>
      <c r="G1697" s="705">
        <v>61</v>
      </c>
      <c r="H1697" s="705">
        <v>505</v>
      </c>
      <c r="I1697" s="705">
        <v>22634</v>
      </c>
      <c r="J1697" s="705">
        <v>8383</v>
      </c>
      <c r="K1697" s="705">
        <v>100</v>
      </c>
      <c r="L1697" s="705">
        <v>1576</v>
      </c>
      <c r="M1697" s="705">
        <v>1433</v>
      </c>
      <c r="N1697" s="705">
        <v>1412</v>
      </c>
      <c r="O1697" s="705">
        <v>523</v>
      </c>
      <c r="P1697" s="705">
        <v>351</v>
      </c>
      <c r="Q1697" s="705">
        <v>130</v>
      </c>
      <c r="R1697" s="705">
        <v>4835</v>
      </c>
      <c r="S1697" s="705">
        <v>4395</v>
      </c>
      <c r="T1697" s="705">
        <v>0</v>
      </c>
      <c r="U1697" s="705">
        <v>0</v>
      </c>
      <c r="V1697" s="705">
        <v>14864</v>
      </c>
      <c r="W1697" s="705">
        <f t="shared" si="74"/>
        <v>14864</v>
      </c>
      <c r="X1697" s="705">
        <f t="shared" si="75"/>
        <v>30808</v>
      </c>
    </row>
    <row r="1698" spans="2:24">
      <c r="B1698" t="s">
        <v>545</v>
      </c>
      <c r="C1698" t="s">
        <v>124</v>
      </c>
      <c r="D1698" t="s">
        <v>228</v>
      </c>
      <c r="E1698" t="s">
        <v>667</v>
      </c>
      <c r="F1698" s="705">
        <v>1</v>
      </c>
      <c r="G1698" s="705">
        <v>96</v>
      </c>
      <c r="H1698" s="705">
        <v>528</v>
      </c>
      <c r="I1698" s="705">
        <v>32380</v>
      </c>
      <c r="J1698" s="705">
        <v>11993</v>
      </c>
      <c r="K1698" s="705">
        <v>100</v>
      </c>
      <c r="L1698" s="705">
        <v>7329</v>
      </c>
      <c r="M1698" s="705">
        <v>6663</v>
      </c>
      <c r="N1698" s="705">
        <v>1170</v>
      </c>
      <c r="O1698" s="705">
        <v>433</v>
      </c>
      <c r="P1698" s="705">
        <v>0</v>
      </c>
      <c r="Q1698" s="705">
        <v>0</v>
      </c>
      <c r="R1698" s="705">
        <v>7219</v>
      </c>
      <c r="S1698" s="705">
        <v>6563</v>
      </c>
      <c r="T1698" s="705">
        <v>2644</v>
      </c>
      <c r="U1698" s="705">
        <v>979</v>
      </c>
      <c r="V1698" s="705">
        <v>26631</v>
      </c>
      <c r="W1698" s="705">
        <f t="shared" si="74"/>
        <v>26631</v>
      </c>
      <c r="X1698" s="705">
        <f t="shared" si="75"/>
        <v>50742</v>
      </c>
    </row>
    <row r="1699" spans="2:24">
      <c r="B1699" t="s">
        <v>545</v>
      </c>
      <c r="C1699" t="s">
        <v>124</v>
      </c>
      <c r="D1699" t="s">
        <v>228</v>
      </c>
      <c r="E1699" t="s">
        <v>671</v>
      </c>
      <c r="F1699" s="705">
        <v>1</v>
      </c>
      <c r="G1699" s="705">
        <v>103</v>
      </c>
      <c r="H1699" s="705">
        <v>715</v>
      </c>
      <c r="I1699" s="705">
        <v>55591</v>
      </c>
      <c r="J1699" s="705">
        <v>20589</v>
      </c>
      <c r="K1699" s="705">
        <v>100</v>
      </c>
      <c r="L1699" s="705">
        <v>8388</v>
      </c>
      <c r="M1699" s="705">
        <v>7626</v>
      </c>
      <c r="N1699" s="705">
        <v>2506</v>
      </c>
      <c r="O1699" s="705">
        <v>928</v>
      </c>
      <c r="P1699" s="705">
        <v>0</v>
      </c>
      <c r="Q1699" s="705">
        <v>0</v>
      </c>
      <c r="R1699" s="705">
        <v>7059</v>
      </c>
      <c r="S1699" s="705">
        <v>6417</v>
      </c>
      <c r="T1699" s="705">
        <v>0</v>
      </c>
      <c r="U1699" s="705">
        <v>0</v>
      </c>
      <c r="V1699" s="705">
        <v>35561</v>
      </c>
      <c r="W1699" s="705">
        <f t="shared" si="74"/>
        <v>35560</v>
      </c>
      <c r="X1699" s="705">
        <f t="shared" si="75"/>
        <v>73544</v>
      </c>
    </row>
    <row r="1700" spans="2:24">
      <c r="B1700" t="s">
        <v>545</v>
      </c>
      <c r="C1700" t="s">
        <v>124</v>
      </c>
      <c r="D1700" t="s">
        <v>228</v>
      </c>
      <c r="E1700" t="s">
        <v>665</v>
      </c>
      <c r="F1700" s="705">
        <v>7</v>
      </c>
      <c r="G1700" s="705">
        <v>730</v>
      </c>
      <c r="H1700" s="705">
        <v>5270</v>
      </c>
      <c r="I1700" s="705">
        <v>383456</v>
      </c>
      <c r="J1700" s="705">
        <v>142021</v>
      </c>
      <c r="K1700" s="705">
        <v>100</v>
      </c>
      <c r="L1700" s="705">
        <v>59162</v>
      </c>
      <c r="M1700" s="705">
        <v>48389</v>
      </c>
      <c r="N1700" s="705">
        <v>15021</v>
      </c>
      <c r="O1700" s="705">
        <v>5563</v>
      </c>
      <c r="P1700" s="705">
        <v>0</v>
      </c>
      <c r="Q1700" s="705">
        <v>0</v>
      </c>
      <c r="R1700" s="705">
        <v>37281</v>
      </c>
      <c r="S1700" s="705">
        <v>33892</v>
      </c>
      <c r="T1700" s="705">
        <v>10493</v>
      </c>
      <c r="U1700" s="705">
        <v>3886</v>
      </c>
      <c r="V1700" s="705">
        <v>233751</v>
      </c>
      <c r="W1700" s="705">
        <f t="shared" si="74"/>
        <v>233751</v>
      </c>
      <c r="X1700" s="705">
        <f t="shared" si="75"/>
        <v>505413</v>
      </c>
    </row>
    <row r="1701" spans="2:24">
      <c r="B1701" t="s">
        <v>545</v>
      </c>
      <c r="C1701" t="s">
        <v>124</v>
      </c>
      <c r="D1701" t="s">
        <v>583</v>
      </c>
      <c r="E1701" t="s">
        <v>664</v>
      </c>
      <c r="F1701" s="705">
        <v>1</v>
      </c>
      <c r="G1701" s="705">
        <v>50</v>
      </c>
      <c r="H1701" s="705">
        <v>608</v>
      </c>
      <c r="I1701" s="705">
        <v>17496</v>
      </c>
      <c r="J1701" s="705">
        <v>15905</v>
      </c>
      <c r="K1701" s="705">
        <v>86</v>
      </c>
      <c r="L1701" s="705">
        <v>2631</v>
      </c>
      <c r="M1701" s="705">
        <v>2392</v>
      </c>
      <c r="N1701" s="705">
        <v>864</v>
      </c>
      <c r="O1701" s="705">
        <v>320</v>
      </c>
      <c r="P1701" s="705">
        <v>621</v>
      </c>
      <c r="Q1701" s="705">
        <v>230</v>
      </c>
      <c r="R1701" s="705">
        <v>4595</v>
      </c>
      <c r="S1701" s="705">
        <v>4177</v>
      </c>
      <c r="T1701" s="705">
        <v>3968</v>
      </c>
      <c r="U1701" s="705">
        <v>1470</v>
      </c>
      <c r="V1701" s="705">
        <v>24494</v>
      </c>
      <c r="W1701" s="705">
        <f t="shared" si="74"/>
        <v>24494</v>
      </c>
      <c r="X1701" s="705">
        <f t="shared" si="75"/>
        <v>30175</v>
      </c>
    </row>
    <row r="1702" spans="2:24">
      <c r="B1702" t="s">
        <v>545</v>
      </c>
      <c r="C1702" t="s">
        <v>124</v>
      </c>
      <c r="D1702" t="s">
        <v>583</v>
      </c>
      <c r="E1702" t="s">
        <v>228</v>
      </c>
      <c r="F1702" s="705">
        <v>8</v>
      </c>
      <c r="G1702" s="705">
        <v>764</v>
      </c>
      <c r="H1702" s="705">
        <v>4772</v>
      </c>
      <c r="I1702" s="705">
        <v>326646</v>
      </c>
      <c r="J1702" s="705">
        <v>296951</v>
      </c>
      <c r="K1702" s="705">
        <v>73</v>
      </c>
      <c r="L1702" s="705">
        <v>56697</v>
      </c>
      <c r="M1702" s="705">
        <v>51543</v>
      </c>
      <c r="N1702" s="705">
        <v>16719</v>
      </c>
      <c r="O1702" s="705">
        <v>6192</v>
      </c>
      <c r="P1702" s="705">
        <v>4968</v>
      </c>
      <c r="Q1702" s="705">
        <v>1840</v>
      </c>
      <c r="R1702" s="705">
        <v>45577</v>
      </c>
      <c r="S1702" s="705">
        <v>16881</v>
      </c>
      <c r="T1702" s="705">
        <v>0</v>
      </c>
      <c r="U1702" s="705">
        <v>0</v>
      </c>
      <c r="V1702" s="705">
        <v>373406</v>
      </c>
      <c r="W1702" s="705">
        <f t="shared" si="74"/>
        <v>373407</v>
      </c>
      <c r="X1702" s="705">
        <f t="shared" si="75"/>
        <v>450607</v>
      </c>
    </row>
    <row r="1703" spans="2:24">
      <c r="B1703" t="s">
        <v>545</v>
      </c>
      <c r="C1703" t="s">
        <v>124</v>
      </c>
      <c r="D1703" t="s">
        <v>583</v>
      </c>
      <c r="E1703" t="s">
        <v>583</v>
      </c>
      <c r="F1703" s="705">
        <v>237</v>
      </c>
      <c r="G1703" s="705">
        <v>22891</v>
      </c>
      <c r="H1703" s="705">
        <v>134937</v>
      </c>
      <c r="I1703" s="705">
        <v>8763408</v>
      </c>
      <c r="J1703" s="705">
        <v>7966734</v>
      </c>
      <c r="K1703" s="705">
        <v>73</v>
      </c>
      <c r="L1703" s="705">
        <v>1693340</v>
      </c>
      <c r="M1703" s="705">
        <v>1511994</v>
      </c>
      <c r="N1703" s="705">
        <v>507914</v>
      </c>
      <c r="O1703" s="705">
        <v>188116</v>
      </c>
      <c r="P1703" s="705">
        <v>151308</v>
      </c>
      <c r="Q1703" s="705">
        <v>56040</v>
      </c>
      <c r="R1703" s="705">
        <v>1139700</v>
      </c>
      <c r="S1703" s="705">
        <v>1036091</v>
      </c>
      <c r="T1703" s="705">
        <v>454066</v>
      </c>
      <c r="U1703" s="705">
        <v>168172</v>
      </c>
      <c r="V1703" s="705">
        <v>10927148</v>
      </c>
      <c r="W1703" s="705">
        <f t="shared" si="74"/>
        <v>10927147</v>
      </c>
      <c r="X1703" s="705">
        <f t="shared" si="75"/>
        <v>12709736</v>
      </c>
    </row>
    <row r="1704" spans="2:24">
      <c r="B1704" t="s">
        <v>545</v>
      </c>
      <c r="C1704" t="s">
        <v>124</v>
      </c>
      <c r="D1704" t="s">
        <v>583</v>
      </c>
      <c r="E1704" t="s">
        <v>666</v>
      </c>
      <c r="F1704" s="705">
        <v>1</v>
      </c>
      <c r="G1704" s="705">
        <v>98</v>
      </c>
      <c r="H1704" s="705">
        <v>467</v>
      </c>
      <c r="I1704" s="705">
        <v>33407</v>
      </c>
      <c r="J1704" s="705">
        <v>30370</v>
      </c>
      <c r="K1704" s="705">
        <v>79</v>
      </c>
      <c r="L1704" s="705">
        <v>4283</v>
      </c>
      <c r="M1704" s="705">
        <v>3894</v>
      </c>
      <c r="N1704" s="705">
        <v>2274</v>
      </c>
      <c r="O1704" s="705">
        <v>842</v>
      </c>
      <c r="P1704" s="705">
        <v>621</v>
      </c>
      <c r="Q1704" s="705">
        <v>230</v>
      </c>
      <c r="R1704" s="705">
        <v>3358</v>
      </c>
      <c r="S1704" s="705">
        <v>3053</v>
      </c>
      <c r="T1704" s="705">
        <v>1960</v>
      </c>
      <c r="U1704" s="705">
        <v>726</v>
      </c>
      <c r="V1704" s="705">
        <v>39115</v>
      </c>
      <c r="W1704" s="705">
        <f t="shared" si="74"/>
        <v>39115</v>
      </c>
      <c r="X1704" s="705">
        <f t="shared" si="75"/>
        <v>45903</v>
      </c>
    </row>
    <row r="1705" spans="2:24">
      <c r="B1705" t="s">
        <v>545</v>
      </c>
      <c r="C1705" t="s">
        <v>124</v>
      </c>
      <c r="D1705" t="s">
        <v>666</v>
      </c>
      <c r="E1705" t="s">
        <v>228</v>
      </c>
      <c r="F1705" s="705">
        <v>1</v>
      </c>
      <c r="G1705" s="705">
        <v>47</v>
      </c>
      <c r="H1705" s="705">
        <v>1477</v>
      </c>
      <c r="I1705" s="705">
        <v>53142</v>
      </c>
      <c r="J1705" s="705">
        <v>48311</v>
      </c>
      <c r="K1705" s="705">
        <v>30</v>
      </c>
      <c r="L1705" s="705">
        <v>4348</v>
      </c>
      <c r="M1705" s="705">
        <v>1610</v>
      </c>
      <c r="N1705" s="705">
        <v>1145</v>
      </c>
      <c r="O1705" s="705">
        <v>424</v>
      </c>
      <c r="P1705" s="705">
        <v>0</v>
      </c>
      <c r="Q1705" s="705">
        <v>0</v>
      </c>
      <c r="R1705" s="705">
        <v>10794</v>
      </c>
      <c r="S1705" s="705">
        <v>3998</v>
      </c>
      <c r="T1705" s="705">
        <v>0</v>
      </c>
      <c r="U1705" s="705">
        <v>0</v>
      </c>
      <c r="V1705" s="705">
        <v>54343</v>
      </c>
      <c r="W1705" s="705">
        <f t="shared" si="74"/>
        <v>54343</v>
      </c>
      <c r="X1705" s="705">
        <f t="shared" si="75"/>
        <v>69429</v>
      </c>
    </row>
    <row r="1706" spans="2:24">
      <c r="B1706" t="s">
        <v>545</v>
      </c>
      <c r="C1706" t="s">
        <v>124</v>
      </c>
      <c r="D1706" t="s">
        <v>666</v>
      </c>
      <c r="E1706" t="s">
        <v>666</v>
      </c>
      <c r="F1706" s="705">
        <v>9</v>
      </c>
      <c r="G1706" s="705">
        <v>699</v>
      </c>
      <c r="H1706" s="705">
        <v>6585</v>
      </c>
      <c r="I1706" s="705">
        <v>358803</v>
      </c>
      <c r="J1706" s="705">
        <v>326184</v>
      </c>
      <c r="K1706" s="705">
        <v>53</v>
      </c>
      <c r="L1706" s="705">
        <v>60178</v>
      </c>
      <c r="M1706" s="705">
        <v>38614</v>
      </c>
      <c r="N1706" s="705">
        <v>15889</v>
      </c>
      <c r="O1706" s="705">
        <v>5885</v>
      </c>
      <c r="P1706" s="705">
        <v>1755</v>
      </c>
      <c r="Q1706" s="705">
        <v>650</v>
      </c>
      <c r="R1706" s="705">
        <v>58776</v>
      </c>
      <c r="S1706" s="705">
        <v>53433</v>
      </c>
      <c r="T1706" s="705">
        <v>4931</v>
      </c>
      <c r="U1706" s="705">
        <v>1826</v>
      </c>
      <c r="V1706" s="705">
        <v>426592</v>
      </c>
      <c r="W1706" s="705">
        <f t="shared" si="74"/>
        <v>426592</v>
      </c>
      <c r="X1706" s="705">
        <f t="shared" si="75"/>
        <v>500332</v>
      </c>
    </row>
    <row r="1707" spans="2:24">
      <c r="B1707" t="s">
        <v>545</v>
      </c>
      <c r="C1707" t="s">
        <v>124</v>
      </c>
      <c r="D1707" t="s">
        <v>667</v>
      </c>
      <c r="E1707" t="s">
        <v>667</v>
      </c>
      <c r="F1707" s="705">
        <v>2</v>
      </c>
      <c r="G1707" s="705">
        <v>121</v>
      </c>
      <c r="H1707" s="705">
        <v>1445</v>
      </c>
      <c r="I1707" s="705">
        <v>63785</v>
      </c>
      <c r="J1707" s="705">
        <v>57986</v>
      </c>
      <c r="K1707" s="705">
        <v>60</v>
      </c>
      <c r="L1707" s="705">
        <v>10025</v>
      </c>
      <c r="M1707" s="705">
        <v>3713</v>
      </c>
      <c r="N1707" s="705">
        <v>2522</v>
      </c>
      <c r="O1707" s="705">
        <v>934</v>
      </c>
      <c r="P1707" s="705">
        <v>702</v>
      </c>
      <c r="Q1707" s="705">
        <v>260</v>
      </c>
      <c r="R1707" s="705">
        <v>8027</v>
      </c>
      <c r="S1707" s="705">
        <v>7297</v>
      </c>
      <c r="T1707" s="705">
        <v>4485</v>
      </c>
      <c r="U1707" s="705">
        <v>1661</v>
      </c>
      <c r="V1707" s="705">
        <v>71851</v>
      </c>
      <c r="W1707" s="705">
        <f t="shared" si="74"/>
        <v>71851</v>
      </c>
      <c r="X1707" s="705">
        <f t="shared" si="75"/>
        <v>89546</v>
      </c>
    </row>
    <row r="1708" spans="2:24">
      <c r="B1708" t="s">
        <v>545</v>
      </c>
      <c r="C1708" t="s">
        <v>124</v>
      </c>
      <c r="D1708" t="s">
        <v>671</v>
      </c>
      <c r="E1708" t="s">
        <v>671</v>
      </c>
      <c r="F1708" s="705">
        <v>2</v>
      </c>
      <c r="G1708" s="705">
        <v>181</v>
      </c>
      <c r="H1708" s="705">
        <v>1421</v>
      </c>
      <c r="I1708" s="705">
        <v>89312</v>
      </c>
      <c r="J1708" s="705">
        <v>81193</v>
      </c>
      <c r="K1708" s="705">
        <v>53</v>
      </c>
      <c r="L1708" s="705">
        <v>4880</v>
      </c>
      <c r="M1708" s="705">
        <v>4436</v>
      </c>
      <c r="N1708" s="705">
        <v>3840</v>
      </c>
      <c r="O1708" s="705">
        <v>1422</v>
      </c>
      <c r="P1708" s="705">
        <v>351</v>
      </c>
      <c r="Q1708" s="705">
        <v>130</v>
      </c>
      <c r="R1708" s="705">
        <v>14690</v>
      </c>
      <c r="S1708" s="705">
        <v>13355</v>
      </c>
      <c r="T1708" s="705">
        <v>0</v>
      </c>
      <c r="U1708" s="705">
        <v>0</v>
      </c>
      <c r="V1708" s="705">
        <v>100537</v>
      </c>
      <c r="W1708" s="705">
        <f t="shared" si="74"/>
        <v>100536</v>
      </c>
      <c r="X1708" s="705">
        <f t="shared" si="75"/>
        <v>113073</v>
      </c>
    </row>
    <row r="1709" spans="2:24">
      <c r="B1709" t="s">
        <v>545</v>
      </c>
      <c r="C1709" t="s">
        <v>124</v>
      </c>
      <c r="D1709" t="s">
        <v>665</v>
      </c>
      <c r="E1709" t="s">
        <v>664</v>
      </c>
      <c r="F1709" s="705">
        <v>1</v>
      </c>
      <c r="G1709" s="705">
        <v>87</v>
      </c>
      <c r="H1709" s="705">
        <v>564</v>
      </c>
      <c r="I1709" s="705">
        <v>39537</v>
      </c>
      <c r="J1709" s="705">
        <v>35942</v>
      </c>
      <c r="K1709" s="705">
        <v>60</v>
      </c>
      <c r="L1709" s="705">
        <v>4393</v>
      </c>
      <c r="M1709" s="705">
        <v>3994</v>
      </c>
      <c r="N1709" s="705">
        <v>1471</v>
      </c>
      <c r="O1709" s="705">
        <v>545</v>
      </c>
      <c r="P1709" s="705">
        <v>0</v>
      </c>
      <c r="Q1709" s="705">
        <v>0</v>
      </c>
      <c r="R1709" s="705">
        <v>3622</v>
      </c>
      <c r="S1709" s="705">
        <v>3293</v>
      </c>
      <c r="T1709" s="705">
        <v>0</v>
      </c>
      <c r="U1709" s="705">
        <v>0</v>
      </c>
      <c r="V1709" s="705">
        <v>43774</v>
      </c>
      <c r="W1709" s="705">
        <f t="shared" si="74"/>
        <v>43774</v>
      </c>
      <c r="X1709" s="705">
        <f t="shared" si="75"/>
        <v>49023</v>
      </c>
    </row>
    <row r="1710" spans="2:24">
      <c r="B1710" t="s">
        <v>545</v>
      </c>
      <c r="C1710" t="s">
        <v>124</v>
      </c>
      <c r="D1710" t="s">
        <v>665</v>
      </c>
      <c r="E1710" t="s">
        <v>228</v>
      </c>
      <c r="F1710" s="705">
        <v>33</v>
      </c>
      <c r="G1710" s="705">
        <v>2729</v>
      </c>
      <c r="H1710" s="705">
        <v>75116</v>
      </c>
      <c r="I1710" s="705">
        <v>2412590</v>
      </c>
      <c r="J1710" s="705">
        <v>2193264</v>
      </c>
      <c r="K1710" s="705">
        <v>42</v>
      </c>
      <c r="L1710" s="705">
        <v>3129801</v>
      </c>
      <c r="M1710" s="705">
        <v>2802146</v>
      </c>
      <c r="N1710" s="705">
        <v>61991</v>
      </c>
      <c r="O1710" s="705">
        <v>22960</v>
      </c>
      <c r="P1710" s="705">
        <v>905</v>
      </c>
      <c r="Q1710" s="705">
        <v>335</v>
      </c>
      <c r="R1710" s="705">
        <v>185977</v>
      </c>
      <c r="S1710" s="705">
        <v>68880</v>
      </c>
      <c r="T1710" s="705">
        <v>0</v>
      </c>
      <c r="U1710" s="705">
        <v>0</v>
      </c>
      <c r="V1710" s="705">
        <v>5087585</v>
      </c>
      <c r="W1710" s="705">
        <f t="shared" si="74"/>
        <v>5087585</v>
      </c>
      <c r="X1710" s="705">
        <f t="shared" si="75"/>
        <v>5791264</v>
      </c>
    </row>
    <row r="1711" spans="2:24">
      <c r="B1711" t="s">
        <v>545</v>
      </c>
      <c r="C1711" t="s">
        <v>124</v>
      </c>
      <c r="D1711" t="s">
        <v>665</v>
      </c>
      <c r="E1711" t="s">
        <v>665</v>
      </c>
      <c r="F1711" s="705">
        <v>136</v>
      </c>
      <c r="G1711" s="705">
        <v>11469</v>
      </c>
      <c r="H1711" s="705">
        <v>95053</v>
      </c>
      <c r="I1711" s="705">
        <v>5970874</v>
      </c>
      <c r="J1711" s="705">
        <v>5428067</v>
      </c>
      <c r="K1711" s="705">
        <v>51</v>
      </c>
      <c r="L1711" s="705">
        <v>790075</v>
      </c>
      <c r="M1711" s="705">
        <v>638885</v>
      </c>
      <c r="N1711" s="705">
        <v>257557</v>
      </c>
      <c r="O1711" s="705">
        <v>95391</v>
      </c>
      <c r="P1711" s="705">
        <v>50382</v>
      </c>
      <c r="Q1711" s="705">
        <v>18660</v>
      </c>
      <c r="R1711" s="705">
        <v>781081</v>
      </c>
      <c r="S1711" s="705">
        <v>710073</v>
      </c>
      <c r="T1711" s="705">
        <v>300009</v>
      </c>
      <c r="U1711" s="705">
        <v>111114</v>
      </c>
      <c r="V1711" s="705">
        <v>7002191</v>
      </c>
      <c r="W1711" s="705">
        <f t="shared" si="74"/>
        <v>7002190</v>
      </c>
      <c r="X1711" s="705">
        <f t="shared" si="75"/>
        <v>8149978</v>
      </c>
    </row>
    <row r="1712" spans="2:24">
      <c r="B1712" t="s">
        <v>545</v>
      </c>
      <c r="C1712" t="s">
        <v>124</v>
      </c>
      <c r="D1712" t="s">
        <v>673</v>
      </c>
      <c r="E1712" t="s">
        <v>228</v>
      </c>
      <c r="F1712" s="705">
        <v>1</v>
      </c>
      <c r="G1712" s="705">
        <v>67</v>
      </c>
      <c r="H1712" s="705">
        <v>1618</v>
      </c>
      <c r="I1712" s="705">
        <v>102452</v>
      </c>
      <c r="J1712" s="705">
        <v>93138</v>
      </c>
      <c r="K1712" s="705">
        <v>30</v>
      </c>
      <c r="L1712" s="705">
        <v>0</v>
      </c>
      <c r="M1712" s="705">
        <v>0</v>
      </c>
      <c r="N1712" s="705">
        <v>1627</v>
      </c>
      <c r="O1712" s="705">
        <v>603</v>
      </c>
      <c r="P1712" s="705">
        <v>0</v>
      </c>
      <c r="Q1712" s="705">
        <v>0</v>
      </c>
      <c r="R1712" s="705">
        <v>3965</v>
      </c>
      <c r="S1712" s="705">
        <v>1469</v>
      </c>
      <c r="T1712" s="705">
        <v>0</v>
      </c>
      <c r="U1712" s="705">
        <v>0</v>
      </c>
      <c r="V1712" s="705">
        <v>95209</v>
      </c>
      <c r="W1712" s="705">
        <f t="shared" si="74"/>
        <v>95210</v>
      </c>
      <c r="X1712" s="705">
        <f t="shared" si="75"/>
        <v>108044</v>
      </c>
    </row>
    <row r="1713" spans="2:24">
      <c r="B1713" t="s">
        <v>545</v>
      </c>
      <c r="C1713" t="s">
        <v>124</v>
      </c>
      <c r="D1713" t="s">
        <v>673</v>
      </c>
      <c r="E1713" t="s">
        <v>673</v>
      </c>
      <c r="F1713" s="705">
        <v>1</v>
      </c>
      <c r="G1713" s="705">
        <v>44</v>
      </c>
      <c r="H1713" s="705">
        <v>1786</v>
      </c>
      <c r="I1713" s="705">
        <v>62226</v>
      </c>
      <c r="J1713" s="705">
        <v>56569</v>
      </c>
      <c r="K1713" s="705">
        <v>30</v>
      </c>
      <c r="L1713" s="705">
        <v>6914</v>
      </c>
      <c r="M1713" s="705">
        <v>6285</v>
      </c>
      <c r="N1713" s="705">
        <v>1077</v>
      </c>
      <c r="O1713" s="705">
        <v>399</v>
      </c>
      <c r="P1713" s="705">
        <v>0</v>
      </c>
      <c r="Q1713" s="705">
        <v>0</v>
      </c>
      <c r="R1713" s="705">
        <v>8728</v>
      </c>
      <c r="S1713" s="705">
        <v>7934</v>
      </c>
      <c r="T1713" s="705">
        <v>0</v>
      </c>
      <c r="U1713" s="705">
        <v>0</v>
      </c>
      <c r="V1713" s="705">
        <v>71188</v>
      </c>
      <c r="W1713" s="705">
        <f t="shared" si="74"/>
        <v>71187</v>
      </c>
      <c r="X1713" s="705">
        <f t="shared" si="75"/>
        <v>78945</v>
      </c>
    </row>
    <row r="1714" spans="2:24">
      <c r="B1714" t="s">
        <v>546</v>
      </c>
      <c r="C1714" t="s">
        <v>108</v>
      </c>
      <c r="F1714" s="705">
        <v>2</v>
      </c>
      <c r="G1714" s="705">
        <v>228</v>
      </c>
      <c r="H1714" s="705">
        <v>146</v>
      </c>
      <c r="I1714" s="705"/>
      <c r="J1714" s="705">
        <v>0</v>
      </c>
      <c r="K1714" s="705"/>
      <c r="L1714" s="705"/>
      <c r="M1714" s="705">
        <v>0</v>
      </c>
      <c r="N1714" s="705">
        <v>2777</v>
      </c>
      <c r="O1714" s="705">
        <v>1028</v>
      </c>
      <c r="P1714" s="705">
        <v>1962</v>
      </c>
      <c r="Q1714" s="705">
        <v>727</v>
      </c>
      <c r="R1714" s="705"/>
      <c r="S1714" s="705">
        <v>0</v>
      </c>
      <c r="T1714" s="705">
        <v>0</v>
      </c>
      <c r="U1714" s="705">
        <v>0</v>
      </c>
      <c r="V1714" s="705">
        <v>1755</v>
      </c>
      <c r="W1714" s="705">
        <f t="shared" si="74"/>
        <v>1755</v>
      </c>
      <c r="X1714" s="705">
        <f t="shared" si="75"/>
        <v>4739</v>
      </c>
    </row>
    <row r="1715" spans="2:24">
      <c r="B1715" t="s">
        <v>546</v>
      </c>
      <c r="C1715" t="s">
        <v>108</v>
      </c>
      <c r="D1715" t="s">
        <v>582</v>
      </c>
      <c r="E1715" t="s">
        <v>582</v>
      </c>
      <c r="F1715" s="705">
        <v>2</v>
      </c>
      <c r="G1715" s="705">
        <v>913</v>
      </c>
      <c r="H1715" s="705">
        <v>130</v>
      </c>
      <c r="I1715" s="705">
        <v>30410</v>
      </c>
      <c r="J1715" s="705">
        <v>27645</v>
      </c>
      <c r="K1715" s="705">
        <v>92</v>
      </c>
      <c r="L1715" s="705">
        <v>4854</v>
      </c>
      <c r="M1715" s="705">
        <v>4413</v>
      </c>
      <c r="N1715" s="705">
        <v>11119</v>
      </c>
      <c r="O1715" s="705">
        <v>4118</v>
      </c>
      <c r="P1715" s="705">
        <v>10054</v>
      </c>
      <c r="Q1715" s="705">
        <v>3724</v>
      </c>
      <c r="R1715" s="705">
        <v>3460</v>
      </c>
      <c r="S1715" s="705">
        <v>3145</v>
      </c>
      <c r="T1715" s="705">
        <v>357</v>
      </c>
      <c r="U1715" s="705">
        <v>132</v>
      </c>
      <c r="V1715" s="705">
        <v>43178</v>
      </c>
      <c r="W1715" s="705">
        <f t="shared" si="74"/>
        <v>43177</v>
      </c>
      <c r="X1715" s="705">
        <f t="shared" si="75"/>
        <v>60254</v>
      </c>
    </row>
    <row r="1716" spans="2:24">
      <c r="B1716" t="s">
        <v>546</v>
      </c>
      <c r="C1716" t="s">
        <v>108</v>
      </c>
      <c r="D1716" t="s">
        <v>228</v>
      </c>
      <c r="E1716" t="s">
        <v>228</v>
      </c>
      <c r="F1716" s="705">
        <v>187</v>
      </c>
      <c r="G1716" s="705">
        <v>41560</v>
      </c>
      <c r="H1716" s="705">
        <v>10446</v>
      </c>
      <c r="I1716" s="705">
        <v>361037</v>
      </c>
      <c r="J1716" s="705">
        <v>133717</v>
      </c>
      <c r="K1716" s="705">
        <v>451</v>
      </c>
      <c r="L1716" s="705">
        <v>101243</v>
      </c>
      <c r="M1716" s="705">
        <v>87672</v>
      </c>
      <c r="N1716" s="705">
        <v>580572</v>
      </c>
      <c r="O1716" s="705">
        <v>215026</v>
      </c>
      <c r="P1716" s="705">
        <v>227942</v>
      </c>
      <c r="Q1716" s="705">
        <v>84423</v>
      </c>
      <c r="R1716" s="705">
        <v>1058860</v>
      </c>
      <c r="S1716" s="705">
        <v>392170</v>
      </c>
      <c r="T1716" s="705">
        <v>5308</v>
      </c>
      <c r="U1716" s="705">
        <v>1966</v>
      </c>
      <c r="V1716" s="705">
        <v>914975</v>
      </c>
      <c r="W1716" s="705">
        <f t="shared" si="74"/>
        <v>914974</v>
      </c>
      <c r="X1716" s="705">
        <f t="shared" si="75"/>
        <v>2334962</v>
      </c>
    </row>
    <row r="1717" spans="2:24">
      <c r="B1717" t="s">
        <v>546</v>
      </c>
      <c r="C1717" t="s">
        <v>108</v>
      </c>
      <c r="D1717" t="s">
        <v>228</v>
      </c>
      <c r="E1717" t="s">
        <v>665</v>
      </c>
      <c r="F1717" s="705">
        <v>1</v>
      </c>
      <c r="G1717" s="705">
        <v>186</v>
      </c>
      <c r="H1717" s="705">
        <v>75</v>
      </c>
      <c r="I1717" s="705">
        <v>8471</v>
      </c>
      <c r="J1717" s="705">
        <v>3138</v>
      </c>
      <c r="K1717" s="705">
        <v>410</v>
      </c>
      <c r="L1717" s="705">
        <v>1965</v>
      </c>
      <c r="M1717" s="705">
        <v>1787</v>
      </c>
      <c r="N1717" s="705">
        <v>2269</v>
      </c>
      <c r="O1717" s="705">
        <v>840</v>
      </c>
      <c r="P1717" s="705">
        <v>351</v>
      </c>
      <c r="Q1717" s="705">
        <v>130</v>
      </c>
      <c r="R1717" s="705">
        <v>818</v>
      </c>
      <c r="S1717" s="705">
        <v>744</v>
      </c>
      <c r="T1717" s="705">
        <v>0</v>
      </c>
      <c r="U1717" s="705">
        <v>0</v>
      </c>
      <c r="V1717" s="705">
        <v>6638</v>
      </c>
      <c r="W1717" s="705">
        <f t="shared" si="74"/>
        <v>6639</v>
      </c>
      <c r="X1717" s="705">
        <f t="shared" si="75"/>
        <v>13874</v>
      </c>
    </row>
    <row r="1718" spans="2:24">
      <c r="B1718" t="s">
        <v>546</v>
      </c>
      <c r="C1718" t="s">
        <v>108</v>
      </c>
      <c r="D1718" t="s">
        <v>583</v>
      </c>
      <c r="E1718" t="s">
        <v>228</v>
      </c>
      <c r="F1718" s="705">
        <v>2</v>
      </c>
      <c r="G1718" s="705">
        <v>443</v>
      </c>
      <c r="H1718" s="705">
        <v>127</v>
      </c>
      <c r="I1718" s="705">
        <v>10969</v>
      </c>
      <c r="J1718" s="705">
        <v>9972</v>
      </c>
      <c r="K1718" s="705">
        <v>94</v>
      </c>
      <c r="L1718" s="705">
        <v>1665</v>
      </c>
      <c r="M1718" s="705">
        <v>1513</v>
      </c>
      <c r="N1718" s="705">
        <v>5709</v>
      </c>
      <c r="O1718" s="705">
        <v>2114</v>
      </c>
      <c r="P1718" s="705">
        <v>1242</v>
      </c>
      <c r="Q1718" s="705">
        <v>460</v>
      </c>
      <c r="R1718" s="705">
        <v>8287</v>
      </c>
      <c r="S1718" s="705">
        <v>3069</v>
      </c>
      <c r="T1718" s="705">
        <v>0</v>
      </c>
      <c r="U1718" s="705">
        <v>0</v>
      </c>
      <c r="V1718" s="705">
        <v>17129</v>
      </c>
      <c r="W1718" s="705">
        <f t="shared" si="74"/>
        <v>17128</v>
      </c>
      <c r="X1718" s="705">
        <f t="shared" si="75"/>
        <v>27872</v>
      </c>
    </row>
    <row r="1719" spans="2:24">
      <c r="B1719" t="s">
        <v>546</v>
      </c>
      <c r="C1719" t="s">
        <v>108</v>
      </c>
      <c r="D1719" t="s">
        <v>583</v>
      </c>
      <c r="E1719" t="s">
        <v>583</v>
      </c>
      <c r="F1719" s="705">
        <v>24</v>
      </c>
      <c r="G1719" s="705">
        <v>5643</v>
      </c>
      <c r="H1719" s="705">
        <v>1483</v>
      </c>
      <c r="I1719" s="705">
        <v>129898</v>
      </c>
      <c r="J1719" s="705">
        <v>118089</v>
      </c>
      <c r="K1719" s="705">
        <v>95</v>
      </c>
      <c r="L1719" s="705">
        <v>24807</v>
      </c>
      <c r="M1719" s="705">
        <v>20469</v>
      </c>
      <c r="N1719" s="705">
        <v>75467</v>
      </c>
      <c r="O1719" s="705">
        <v>27951</v>
      </c>
      <c r="P1719" s="705">
        <v>29100</v>
      </c>
      <c r="Q1719" s="705">
        <v>10778</v>
      </c>
      <c r="R1719" s="705">
        <v>86073</v>
      </c>
      <c r="S1719" s="705">
        <v>78248</v>
      </c>
      <c r="T1719" s="705">
        <v>4072</v>
      </c>
      <c r="U1719" s="705">
        <v>1508</v>
      </c>
      <c r="V1719" s="705">
        <v>257043</v>
      </c>
      <c r="W1719" s="705">
        <f t="shared" si="74"/>
        <v>257043</v>
      </c>
      <c r="X1719" s="705">
        <f t="shared" si="75"/>
        <v>349417</v>
      </c>
    </row>
    <row r="1720" spans="2:24">
      <c r="B1720" t="s">
        <v>546</v>
      </c>
      <c r="C1720" t="s">
        <v>108</v>
      </c>
      <c r="D1720" t="s">
        <v>584</v>
      </c>
      <c r="E1720" t="s">
        <v>228</v>
      </c>
      <c r="F1720" s="705">
        <v>6</v>
      </c>
      <c r="G1720" s="705">
        <v>512</v>
      </c>
      <c r="H1720" s="705">
        <v>365</v>
      </c>
      <c r="I1720" s="705">
        <v>6247</v>
      </c>
      <c r="J1720" s="705">
        <v>5679</v>
      </c>
      <c r="K1720" s="705">
        <v>90</v>
      </c>
      <c r="L1720" s="705">
        <v>0</v>
      </c>
      <c r="M1720" s="705">
        <v>0</v>
      </c>
      <c r="N1720" s="705">
        <v>6238</v>
      </c>
      <c r="O1720" s="705">
        <v>2311</v>
      </c>
      <c r="P1720" s="705">
        <v>2835</v>
      </c>
      <c r="Q1720" s="705">
        <v>1050</v>
      </c>
      <c r="R1720" s="705">
        <v>15357</v>
      </c>
      <c r="S1720" s="705">
        <v>5688</v>
      </c>
      <c r="T1720" s="705">
        <v>0</v>
      </c>
      <c r="U1720" s="705">
        <v>0</v>
      </c>
      <c r="V1720" s="705">
        <v>14727</v>
      </c>
      <c r="W1720" s="705">
        <f t="shared" si="74"/>
        <v>14728</v>
      </c>
      <c r="X1720" s="705">
        <f t="shared" si="75"/>
        <v>30677</v>
      </c>
    </row>
    <row r="1721" spans="2:24">
      <c r="B1721" t="s">
        <v>546</v>
      </c>
      <c r="C1721" t="s">
        <v>108</v>
      </c>
      <c r="D1721" t="s">
        <v>584</v>
      </c>
      <c r="E1721" t="s">
        <v>584</v>
      </c>
      <c r="F1721" s="705">
        <v>50</v>
      </c>
      <c r="G1721" s="705">
        <v>7721</v>
      </c>
      <c r="H1721" s="705">
        <v>3030</v>
      </c>
      <c r="I1721" s="705">
        <v>125663</v>
      </c>
      <c r="J1721" s="705">
        <v>114239</v>
      </c>
      <c r="K1721" s="705">
        <v>91</v>
      </c>
      <c r="L1721" s="705">
        <v>17430</v>
      </c>
      <c r="M1721" s="705">
        <v>15254</v>
      </c>
      <c r="N1721" s="705">
        <v>95186</v>
      </c>
      <c r="O1721" s="705">
        <v>35254</v>
      </c>
      <c r="P1721" s="705">
        <v>28714</v>
      </c>
      <c r="Q1721" s="705">
        <v>10635</v>
      </c>
      <c r="R1721" s="705">
        <v>202535</v>
      </c>
      <c r="S1721" s="705">
        <v>184122</v>
      </c>
      <c r="T1721" s="705">
        <v>0</v>
      </c>
      <c r="U1721" s="705">
        <v>0</v>
      </c>
      <c r="V1721" s="705">
        <v>359504</v>
      </c>
      <c r="W1721" s="705">
        <f t="shared" si="74"/>
        <v>359504</v>
      </c>
      <c r="X1721" s="705">
        <f t="shared" si="75"/>
        <v>469528</v>
      </c>
    </row>
    <row r="1722" spans="2:24">
      <c r="B1722" t="s">
        <v>546</v>
      </c>
      <c r="C1722" t="s">
        <v>108</v>
      </c>
      <c r="D1722" t="s">
        <v>673</v>
      </c>
      <c r="E1722" t="s">
        <v>228</v>
      </c>
      <c r="F1722" s="705">
        <v>1</v>
      </c>
      <c r="G1722" s="705">
        <v>232</v>
      </c>
      <c r="H1722" s="705">
        <v>50</v>
      </c>
      <c r="I1722" s="705">
        <v>285</v>
      </c>
      <c r="J1722" s="705">
        <v>260</v>
      </c>
      <c r="K1722" s="705">
        <v>77</v>
      </c>
      <c r="L1722" s="705">
        <v>0</v>
      </c>
      <c r="M1722" s="705">
        <v>0</v>
      </c>
      <c r="N1722" s="705">
        <v>2829</v>
      </c>
      <c r="O1722" s="705">
        <v>1048</v>
      </c>
      <c r="P1722" s="705">
        <v>1764</v>
      </c>
      <c r="Q1722" s="705">
        <v>653</v>
      </c>
      <c r="R1722" s="705">
        <v>6651</v>
      </c>
      <c r="S1722" s="705">
        <v>2463</v>
      </c>
      <c r="T1722" s="705">
        <v>0</v>
      </c>
      <c r="U1722" s="705">
        <v>0</v>
      </c>
      <c r="V1722" s="705">
        <v>4424</v>
      </c>
      <c r="W1722" s="705">
        <f t="shared" si="74"/>
        <v>4424</v>
      </c>
      <c r="X1722" s="705">
        <f t="shared" si="75"/>
        <v>11529</v>
      </c>
    </row>
    <row r="1723" spans="2:24">
      <c r="B1723" t="s">
        <v>546</v>
      </c>
      <c r="C1723" t="s">
        <v>108</v>
      </c>
      <c r="D1723" t="s">
        <v>673</v>
      </c>
      <c r="E1723" t="s">
        <v>673</v>
      </c>
      <c r="F1723" s="705">
        <v>1</v>
      </c>
      <c r="G1723" s="705">
        <v>327</v>
      </c>
      <c r="H1723" s="705">
        <v>53</v>
      </c>
      <c r="I1723" s="705">
        <v>5791</v>
      </c>
      <c r="J1723" s="705">
        <v>5264</v>
      </c>
      <c r="K1723" s="705">
        <v>90</v>
      </c>
      <c r="L1723" s="705">
        <v>643</v>
      </c>
      <c r="M1723" s="705">
        <v>585</v>
      </c>
      <c r="N1723" s="705">
        <v>3979</v>
      </c>
      <c r="O1723" s="705">
        <v>1474</v>
      </c>
      <c r="P1723" s="705">
        <v>3360</v>
      </c>
      <c r="Q1723" s="705">
        <v>1244</v>
      </c>
      <c r="R1723" s="705">
        <v>3470</v>
      </c>
      <c r="S1723" s="705">
        <v>3154</v>
      </c>
      <c r="T1723" s="705">
        <v>0</v>
      </c>
      <c r="U1723" s="705">
        <v>0</v>
      </c>
      <c r="V1723" s="705">
        <v>11721</v>
      </c>
      <c r="W1723" s="705">
        <f t="shared" si="74"/>
        <v>11721</v>
      </c>
      <c r="X1723" s="705">
        <f t="shared" si="75"/>
        <v>17243</v>
      </c>
    </row>
    <row r="1724" spans="2:24">
      <c r="B1724" t="s">
        <v>546</v>
      </c>
      <c r="C1724" t="s">
        <v>108</v>
      </c>
      <c r="D1724" t="s">
        <v>585</v>
      </c>
      <c r="E1724" t="s">
        <v>585</v>
      </c>
      <c r="F1724" s="705">
        <v>1</v>
      </c>
      <c r="G1724" s="705">
        <v>149</v>
      </c>
      <c r="H1724" s="705">
        <v>65</v>
      </c>
      <c r="I1724" s="705">
        <v>3849</v>
      </c>
      <c r="J1724" s="705">
        <v>3499</v>
      </c>
      <c r="K1724" s="705">
        <v>85</v>
      </c>
      <c r="L1724" s="705">
        <v>586</v>
      </c>
      <c r="M1724" s="705">
        <v>533</v>
      </c>
      <c r="N1724" s="705">
        <v>1818</v>
      </c>
      <c r="O1724" s="705">
        <v>673</v>
      </c>
      <c r="P1724" s="705">
        <v>1654</v>
      </c>
      <c r="Q1724" s="705">
        <v>613</v>
      </c>
      <c r="R1724" s="705">
        <v>1863</v>
      </c>
      <c r="S1724" s="705">
        <v>1694</v>
      </c>
      <c r="T1724" s="705">
        <v>0</v>
      </c>
      <c r="U1724" s="705">
        <v>0</v>
      </c>
      <c r="V1724" s="705">
        <v>7012</v>
      </c>
      <c r="W1724" s="705">
        <f t="shared" si="74"/>
        <v>7012</v>
      </c>
      <c r="X1724" s="705">
        <f t="shared" si="75"/>
        <v>9770</v>
      </c>
    </row>
    <row r="1725" spans="2:24">
      <c r="B1725" t="s">
        <v>546</v>
      </c>
      <c r="C1725" t="s">
        <v>110</v>
      </c>
      <c r="D1725" t="s">
        <v>228</v>
      </c>
      <c r="E1725" t="s">
        <v>228</v>
      </c>
      <c r="F1725" s="705">
        <v>35</v>
      </c>
      <c r="G1725" s="705">
        <v>8537</v>
      </c>
      <c r="H1725" s="705">
        <v>3087</v>
      </c>
      <c r="I1725" s="705">
        <v>268890</v>
      </c>
      <c r="J1725" s="705">
        <v>99589</v>
      </c>
      <c r="K1725" s="705">
        <v>418</v>
      </c>
      <c r="L1725" s="705">
        <v>104320</v>
      </c>
      <c r="M1725" s="705">
        <v>93724</v>
      </c>
      <c r="N1725" s="705">
        <v>151049</v>
      </c>
      <c r="O1725" s="705">
        <v>55944</v>
      </c>
      <c r="P1725" s="705">
        <v>32899</v>
      </c>
      <c r="Q1725" s="705">
        <v>12185</v>
      </c>
      <c r="R1725" s="705">
        <v>198163</v>
      </c>
      <c r="S1725" s="705">
        <v>73394</v>
      </c>
      <c r="T1725" s="705">
        <v>11730</v>
      </c>
      <c r="U1725" s="705">
        <v>4345</v>
      </c>
      <c r="V1725" s="705">
        <v>339180</v>
      </c>
      <c r="W1725" s="705">
        <f t="shared" si="74"/>
        <v>339181</v>
      </c>
      <c r="X1725" s="705">
        <f t="shared" si="75"/>
        <v>767051</v>
      </c>
    </row>
    <row r="1726" spans="2:24">
      <c r="B1726" t="s">
        <v>546</v>
      </c>
      <c r="C1726" t="s">
        <v>110</v>
      </c>
      <c r="D1726" t="s">
        <v>583</v>
      </c>
      <c r="E1726" t="s">
        <v>583</v>
      </c>
      <c r="F1726" s="705">
        <v>47</v>
      </c>
      <c r="G1726" s="705">
        <v>11593</v>
      </c>
      <c r="H1726" s="705">
        <v>4250</v>
      </c>
      <c r="I1726" s="705">
        <v>542077</v>
      </c>
      <c r="J1726" s="705">
        <v>492798</v>
      </c>
      <c r="K1726" s="705">
        <v>93</v>
      </c>
      <c r="L1726" s="705">
        <v>103495</v>
      </c>
      <c r="M1726" s="705">
        <v>93959</v>
      </c>
      <c r="N1726" s="705">
        <v>165857</v>
      </c>
      <c r="O1726" s="705">
        <v>61429</v>
      </c>
      <c r="P1726" s="705">
        <v>40946</v>
      </c>
      <c r="Q1726" s="705">
        <v>15165</v>
      </c>
      <c r="R1726" s="705">
        <v>210543</v>
      </c>
      <c r="S1726" s="705">
        <v>191403</v>
      </c>
      <c r="T1726" s="705">
        <v>2621</v>
      </c>
      <c r="U1726" s="705">
        <v>971</v>
      </c>
      <c r="V1726" s="705">
        <v>855724</v>
      </c>
      <c r="W1726" s="705">
        <f t="shared" si="74"/>
        <v>855725</v>
      </c>
      <c r="X1726" s="705">
        <f t="shared" si="75"/>
        <v>1065539</v>
      </c>
    </row>
    <row r="1727" spans="2:24">
      <c r="B1727" t="s">
        <v>546</v>
      </c>
      <c r="C1727" t="s">
        <v>110</v>
      </c>
      <c r="D1727" t="s">
        <v>584</v>
      </c>
      <c r="E1727" t="s">
        <v>584</v>
      </c>
      <c r="F1727" s="705">
        <v>15</v>
      </c>
      <c r="G1727" s="705">
        <v>3104</v>
      </c>
      <c r="H1727" s="705">
        <v>1381</v>
      </c>
      <c r="I1727" s="705">
        <v>152589</v>
      </c>
      <c r="J1727" s="705">
        <v>138717</v>
      </c>
      <c r="K1727" s="705">
        <v>91</v>
      </c>
      <c r="L1727" s="705">
        <v>27745</v>
      </c>
      <c r="M1727" s="705">
        <v>25055</v>
      </c>
      <c r="N1727" s="705">
        <v>47144</v>
      </c>
      <c r="O1727" s="705">
        <v>17461</v>
      </c>
      <c r="P1727" s="705">
        <v>13058</v>
      </c>
      <c r="Q1727" s="705">
        <v>4836</v>
      </c>
      <c r="R1727" s="705">
        <v>48196</v>
      </c>
      <c r="S1727" s="705">
        <v>43814</v>
      </c>
      <c r="T1727" s="705">
        <v>3486</v>
      </c>
      <c r="U1727" s="705">
        <v>1291</v>
      </c>
      <c r="V1727" s="705">
        <v>231175</v>
      </c>
      <c r="W1727" s="705">
        <f t="shared" si="74"/>
        <v>231174</v>
      </c>
      <c r="X1727" s="705">
        <f t="shared" si="75"/>
        <v>292218</v>
      </c>
    </row>
    <row r="1728" spans="2:24">
      <c r="B1728" t="s">
        <v>546</v>
      </c>
      <c r="C1728" t="s">
        <v>110</v>
      </c>
      <c r="D1728" t="s">
        <v>584</v>
      </c>
      <c r="E1728" t="s">
        <v>673</v>
      </c>
      <c r="F1728" s="705">
        <v>1</v>
      </c>
      <c r="G1728" s="705">
        <v>110</v>
      </c>
      <c r="H1728" s="705">
        <v>95</v>
      </c>
      <c r="I1728" s="705">
        <v>4251</v>
      </c>
      <c r="J1728" s="705">
        <v>3865</v>
      </c>
      <c r="K1728" s="705">
        <v>91</v>
      </c>
      <c r="L1728" s="705">
        <v>1362</v>
      </c>
      <c r="M1728" s="705">
        <v>1238</v>
      </c>
      <c r="N1728" s="705">
        <v>1340</v>
      </c>
      <c r="O1728" s="705">
        <v>496</v>
      </c>
      <c r="P1728" s="705">
        <v>473</v>
      </c>
      <c r="Q1728" s="705">
        <v>175</v>
      </c>
      <c r="R1728" s="705">
        <v>3048</v>
      </c>
      <c r="S1728" s="705">
        <v>2770</v>
      </c>
      <c r="T1728" s="705">
        <v>0</v>
      </c>
      <c r="U1728" s="705">
        <v>0</v>
      </c>
      <c r="V1728" s="705">
        <v>8545</v>
      </c>
      <c r="W1728" s="705">
        <f t="shared" si="74"/>
        <v>8544</v>
      </c>
      <c r="X1728" s="705">
        <f t="shared" si="75"/>
        <v>10474</v>
      </c>
    </row>
    <row r="1729" spans="2:24">
      <c r="B1729" t="s">
        <v>546</v>
      </c>
      <c r="C1729" t="s">
        <v>110</v>
      </c>
      <c r="D1729" t="s">
        <v>585</v>
      </c>
      <c r="E1729" t="s">
        <v>585</v>
      </c>
      <c r="F1729" s="705">
        <v>1</v>
      </c>
      <c r="G1729" s="705">
        <v>205</v>
      </c>
      <c r="H1729" s="705">
        <v>94</v>
      </c>
      <c r="I1729" s="705">
        <v>10585</v>
      </c>
      <c r="J1729" s="705">
        <v>9623</v>
      </c>
      <c r="K1729" s="705">
        <v>90</v>
      </c>
      <c r="L1729" s="705">
        <v>1764</v>
      </c>
      <c r="M1729" s="705">
        <v>1604</v>
      </c>
      <c r="N1729" s="705">
        <v>2691</v>
      </c>
      <c r="O1729" s="705">
        <v>997</v>
      </c>
      <c r="P1729" s="705">
        <v>351</v>
      </c>
      <c r="Q1729" s="705">
        <v>130</v>
      </c>
      <c r="R1729" s="705">
        <v>3923</v>
      </c>
      <c r="S1729" s="705">
        <v>3567</v>
      </c>
      <c r="T1729" s="705">
        <v>0</v>
      </c>
      <c r="U1729" s="705">
        <v>0</v>
      </c>
      <c r="V1729" s="705">
        <v>15920</v>
      </c>
      <c r="W1729" s="705">
        <f t="shared" si="74"/>
        <v>15921</v>
      </c>
      <c r="X1729" s="705">
        <f t="shared" si="75"/>
        <v>19314</v>
      </c>
    </row>
    <row r="1730" spans="2:24">
      <c r="B1730" t="s">
        <v>546</v>
      </c>
      <c r="C1730" t="s">
        <v>112</v>
      </c>
      <c r="D1730" t="s">
        <v>664</v>
      </c>
      <c r="E1730" t="s">
        <v>664</v>
      </c>
      <c r="F1730" s="705">
        <v>1</v>
      </c>
      <c r="G1730" s="705">
        <v>283</v>
      </c>
      <c r="H1730" s="705">
        <v>124</v>
      </c>
      <c r="I1730" s="705">
        <v>16004</v>
      </c>
      <c r="J1730" s="705">
        <v>14549</v>
      </c>
      <c r="K1730" s="705">
        <v>90</v>
      </c>
      <c r="L1730" s="705">
        <v>5341</v>
      </c>
      <c r="M1730" s="705">
        <v>4855</v>
      </c>
      <c r="N1730" s="705">
        <v>6900</v>
      </c>
      <c r="O1730" s="705">
        <v>2556</v>
      </c>
      <c r="P1730" s="705">
        <v>473</v>
      </c>
      <c r="Q1730" s="705">
        <v>175</v>
      </c>
      <c r="R1730" s="705">
        <v>6450</v>
      </c>
      <c r="S1730" s="705">
        <v>5863</v>
      </c>
      <c r="T1730" s="705">
        <v>0</v>
      </c>
      <c r="U1730" s="705">
        <v>0</v>
      </c>
      <c r="V1730" s="705">
        <v>27998</v>
      </c>
      <c r="W1730" s="705">
        <f t="shared" si="74"/>
        <v>27998</v>
      </c>
      <c r="X1730" s="705">
        <f t="shared" si="75"/>
        <v>35168</v>
      </c>
    </row>
    <row r="1731" spans="2:24">
      <c r="B1731" t="s">
        <v>546</v>
      </c>
      <c r="C1731" t="s">
        <v>112</v>
      </c>
      <c r="D1731" t="s">
        <v>582</v>
      </c>
      <c r="E1731" t="s">
        <v>582</v>
      </c>
      <c r="F1731" s="705">
        <v>5</v>
      </c>
      <c r="G1731" s="705">
        <v>1263</v>
      </c>
      <c r="H1731" s="705">
        <v>570</v>
      </c>
      <c r="I1731" s="705">
        <v>74140</v>
      </c>
      <c r="J1731" s="705">
        <v>67400</v>
      </c>
      <c r="K1731" s="705">
        <v>91</v>
      </c>
      <c r="L1731" s="705">
        <v>13057</v>
      </c>
      <c r="M1731" s="705">
        <v>11870</v>
      </c>
      <c r="N1731" s="705">
        <v>24006</v>
      </c>
      <c r="O1731" s="705">
        <v>8891</v>
      </c>
      <c r="P1731" s="705">
        <v>4847</v>
      </c>
      <c r="Q1731" s="705">
        <v>1795</v>
      </c>
      <c r="R1731" s="705">
        <v>28655</v>
      </c>
      <c r="S1731" s="705">
        <v>26050</v>
      </c>
      <c r="T1731" s="705">
        <v>0</v>
      </c>
      <c r="U1731" s="705">
        <v>0</v>
      </c>
      <c r="V1731" s="705">
        <v>116006</v>
      </c>
      <c r="W1731" s="705">
        <f t="shared" si="74"/>
        <v>116006</v>
      </c>
      <c r="X1731" s="705">
        <f t="shared" si="75"/>
        <v>144705</v>
      </c>
    </row>
    <row r="1732" spans="2:24">
      <c r="B1732" t="s">
        <v>546</v>
      </c>
      <c r="C1732" t="s">
        <v>112</v>
      </c>
      <c r="D1732" t="s">
        <v>228</v>
      </c>
      <c r="E1732" t="s">
        <v>228</v>
      </c>
      <c r="F1732" s="705">
        <v>21</v>
      </c>
      <c r="G1732" s="705">
        <v>5068</v>
      </c>
      <c r="H1732" s="705">
        <v>2347</v>
      </c>
      <c r="I1732" s="705">
        <v>242583</v>
      </c>
      <c r="J1732" s="705">
        <v>89846</v>
      </c>
      <c r="K1732" s="705">
        <v>368</v>
      </c>
      <c r="L1732" s="705">
        <v>69472</v>
      </c>
      <c r="M1732" s="705">
        <v>61566</v>
      </c>
      <c r="N1732" s="705">
        <v>87534</v>
      </c>
      <c r="O1732" s="705">
        <v>32420</v>
      </c>
      <c r="P1732" s="705">
        <v>17442</v>
      </c>
      <c r="Q1732" s="705">
        <v>6460</v>
      </c>
      <c r="R1732" s="705">
        <v>158529</v>
      </c>
      <c r="S1732" s="705">
        <v>58714</v>
      </c>
      <c r="T1732" s="705">
        <v>0</v>
      </c>
      <c r="U1732" s="705">
        <v>0</v>
      </c>
      <c r="V1732" s="705">
        <v>249006</v>
      </c>
      <c r="W1732" s="705">
        <f t="shared" si="74"/>
        <v>249006</v>
      </c>
      <c r="X1732" s="705">
        <f t="shared" si="75"/>
        <v>575560</v>
      </c>
    </row>
    <row r="1733" spans="2:24">
      <c r="B1733" t="s">
        <v>546</v>
      </c>
      <c r="C1733" t="s">
        <v>112</v>
      </c>
      <c r="D1733" t="s">
        <v>583</v>
      </c>
      <c r="E1733" t="s">
        <v>228</v>
      </c>
      <c r="F1733" s="705">
        <v>1</v>
      </c>
      <c r="G1733" s="705">
        <v>182</v>
      </c>
      <c r="H1733" s="705">
        <v>108</v>
      </c>
      <c r="I1733" s="705">
        <v>9544</v>
      </c>
      <c r="J1733" s="705">
        <v>8676</v>
      </c>
      <c r="K1733" s="705">
        <v>93</v>
      </c>
      <c r="L1733" s="705">
        <v>1516</v>
      </c>
      <c r="M1733" s="705">
        <v>1378</v>
      </c>
      <c r="N1733" s="705">
        <v>4043</v>
      </c>
      <c r="O1733" s="705">
        <v>1497</v>
      </c>
      <c r="P1733" s="705">
        <v>621</v>
      </c>
      <c r="Q1733" s="705">
        <v>230</v>
      </c>
      <c r="R1733" s="705">
        <v>4008</v>
      </c>
      <c r="S1733" s="705">
        <v>1484</v>
      </c>
      <c r="T1733" s="705">
        <v>0</v>
      </c>
      <c r="U1733" s="705">
        <v>0</v>
      </c>
      <c r="V1733" s="705">
        <v>13266</v>
      </c>
      <c r="W1733" s="705">
        <f t="shared" si="74"/>
        <v>13265</v>
      </c>
      <c r="X1733" s="705">
        <f t="shared" si="75"/>
        <v>19732</v>
      </c>
    </row>
    <row r="1734" spans="2:24">
      <c r="B1734" t="s">
        <v>546</v>
      </c>
      <c r="C1734" t="s">
        <v>112</v>
      </c>
      <c r="D1734" t="s">
        <v>583</v>
      </c>
      <c r="E1734" t="s">
        <v>583</v>
      </c>
      <c r="F1734" s="705">
        <v>163</v>
      </c>
      <c r="G1734" s="705">
        <v>38128</v>
      </c>
      <c r="H1734" s="705">
        <v>18962</v>
      </c>
      <c r="I1734" s="705">
        <v>2488445</v>
      </c>
      <c r="J1734" s="705">
        <v>2262223</v>
      </c>
      <c r="K1734" s="705">
        <v>92</v>
      </c>
      <c r="L1734" s="705">
        <v>492032</v>
      </c>
      <c r="M1734" s="705">
        <v>447496</v>
      </c>
      <c r="N1734" s="705">
        <v>699762</v>
      </c>
      <c r="O1734" s="705">
        <v>259171</v>
      </c>
      <c r="P1734" s="705">
        <v>115513</v>
      </c>
      <c r="Q1734" s="705">
        <v>42782</v>
      </c>
      <c r="R1734" s="705">
        <v>827202</v>
      </c>
      <c r="S1734" s="705">
        <v>752002</v>
      </c>
      <c r="T1734" s="705">
        <v>59631</v>
      </c>
      <c r="U1734" s="705">
        <v>22086</v>
      </c>
      <c r="V1734" s="705">
        <v>3785760</v>
      </c>
      <c r="W1734" s="705">
        <f t="shared" si="74"/>
        <v>3785760</v>
      </c>
      <c r="X1734" s="705">
        <f t="shared" si="75"/>
        <v>4682585</v>
      </c>
    </row>
    <row r="1735" spans="2:24">
      <c r="B1735" t="s">
        <v>546</v>
      </c>
      <c r="C1735" t="s">
        <v>112</v>
      </c>
      <c r="D1735" t="s">
        <v>584</v>
      </c>
      <c r="E1735" t="s">
        <v>228</v>
      </c>
      <c r="F1735" s="705">
        <v>2</v>
      </c>
      <c r="G1735" s="705">
        <v>337</v>
      </c>
      <c r="H1735" s="705">
        <v>228</v>
      </c>
      <c r="I1735" s="705">
        <v>20575</v>
      </c>
      <c r="J1735" s="705">
        <v>18704</v>
      </c>
      <c r="K1735" s="705">
        <v>85</v>
      </c>
      <c r="L1735" s="705">
        <v>2944</v>
      </c>
      <c r="M1735" s="705">
        <v>2510</v>
      </c>
      <c r="N1735" s="705">
        <v>4392</v>
      </c>
      <c r="O1735" s="705">
        <v>1627</v>
      </c>
      <c r="P1735" s="705">
        <v>2040</v>
      </c>
      <c r="Q1735" s="705">
        <v>755</v>
      </c>
      <c r="R1735" s="705">
        <v>8442</v>
      </c>
      <c r="S1735" s="705">
        <v>3127</v>
      </c>
      <c r="T1735" s="705">
        <v>0</v>
      </c>
      <c r="U1735" s="705">
        <v>0</v>
      </c>
      <c r="V1735" s="705">
        <v>26723</v>
      </c>
      <c r="W1735" s="705">
        <f t="shared" ref="W1735:W1798" si="76">SUM(ABS(J1735),ABS(M1735),ABS(O1735),ABS(Q1735),ABS(S1735),ABS(U1735))</f>
        <v>26723</v>
      </c>
      <c r="X1735" s="705">
        <f t="shared" ref="X1735:X1798" si="77">SUM(ABS(I1735),ABS(N1735),ABS(P1735),ABS(R1735),ABS(T1735),ABS(L1735))</f>
        <v>38393</v>
      </c>
    </row>
    <row r="1736" spans="2:24">
      <c r="B1736" t="s">
        <v>546</v>
      </c>
      <c r="C1736" t="s">
        <v>112</v>
      </c>
      <c r="D1736" t="s">
        <v>584</v>
      </c>
      <c r="E1736" t="s">
        <v>584</v>
      </c>
      <c r="F1736" s="705">
        <v>34</v>
      </c>
      <c r="G1736" s="705">
        <v>8109</v>
      </c>
      <c r="H1736" s="705">
        <v>4046</v>
      </c>
      <c r="I1736" s="705">
        <v>531638</v>
      </c>
      <c r="J1736" s="705">
        <v>483307</v>
      </c>
      <c r="K1736" s="705">
        <v>90</v>
      </c>
      <c r="L1736" s="705">
        <v>96986</v>
      </c>
      <c r="M1736" s="705">
        <v>86302</v>
      </c>
      <c r="N1736" s="705">
        <v>139072</v>
      </c>
      <c r="O1736" s="705">
        <v>51508</v>
      </c>
      <c r="P1736" s="705">
        <v>20368</v>
      </c>
      <c r="Q1736" s="705">
        <v>7544</v>
      </c>
      <c r="R1736" s="705">
        <v>179338</v>
      </c>
      <c r="S1736" s="705">
        <v>163034</v>
      </c>
      <c r="T1736" s="705">
        <v>11671</v>
      </c>
      <c r="U1736" s="705">
        <v>4322</v>
      </c>
      <c r="V1736" s="705">
        <v>796017</v>
      </c>
      <c r="W1736" s="705">
        <f t="shared" si="76"/>
        <v>796017</v>
      </c>
      <c r="X1736" s="705">
        <f t="shared" si="77"/>
        <v>979073</v>
      </c>
    </row>
    <row r="1737" spans="2:24">
      <c r="B1737" t="s">
        <v>546</v>
      </c>
      <c r="C1737" t="s">
        <v>112</v>
      </c>
      <c r="D1737" t="s">
        <v>585</v>
      </c>
      <c r="E1737" t="s">
        <v>585</v>
      </c>
      <c r="F1737" s="705">
        <v>1</v>
      </c>
      <c r="G1737" s="705">
        <v>227</v>
      </c>
      <c r="H1737" s="705">
        <v>122</v>
      </c>
      <c r="I1737" s="705">
        <v>16134</v>
      </c>
      <c r="J1737" s="705">
        <v>14667</v>
      </c>
      <c r="K1737" s="705">
        <v>79</v>
      </c>
      <c r="L1737" s="705">
        <v>2063</v>
      </c>
      <c r="M1737" s="705">
        <v>1875</v>
      </c>
      <c r="N1737" s="705">
        <v>2764</v>
      </c>
      <c r="O1737" s="705">
        <v>1024</v>
      </c>
      <c r="P1737" s="705">
        <v>351</v>
      </c>
      <c r="Q1737" s="705">
        <v>130</v>
      </c>
      <c r="R1737" s="705">
        <v>6454</v>
      </c>
      <c r="S1737" s="705">
        <v>5867</v>
      </c>
      <c r="T1737" s="705">
        <v>0</v>
      </c>
      <c r="U1737" s="705">
        <v>0</v>
      </c>
      <c r="V1737" s="705">
        <v>23564</v>
      </c>
      <c r="W1737" s="705">
        <f t="shared" si="76"/>
        <v>23563</v>
      </c>
      <c r="X1737" s="705">
        <f t="shared" si="77"/>
        <v>27766</v>
      </c>
    </row>
    <row r="1738" spans="2:24">
      <c r="B1738" t="s">
        <v>546</v>
      </c>
      <c r="C1738" t="s">
        <v>114</v>
      </c>
      <c r="D1738" t="s">
        <v>664</v>
      </c>
      <c r="E1738" t="s">
        <v>664</v>
      </c>
      <c r="F1738" s="705">
        <v>1</v>
      </c>
      <c r="G1738" s="705">
        <v>251</v>
      </c>
      <c r="H1738" s="705">
        <v>131</v>
      </c>
      <c r="I1738" s="705">
        <v>20177</v>
      </c>
      <c r="J1738" s="705">
        <v>18342</v>
      </c>
      <c r="K1738" s="705">
        <v>91</v>
      </c>
      <c r="L1738" s="705">
        <v>6479</v>
      </c>
      <c r="M1738" s="705">
        <v>5890</v>
      </c>
      <c r="N1738" s="705">
        <v>7475</v>
      </c>
      <c r="O1738" s="705">
        <v>2769</v>
      </c>
      <c r="P1738" s="705">
        <v>473</v>
      </c>
      <c r="Q1738" s="705">
        <v>175</v>
      </c>
      <c r="R1738" s="705">
        <v>5487</v>
      </c>
      <c r="S1738" s="705">
        <v>4989</v>
      </c>
      <c r="T1738" s="705">
        <v>0</v>
      </c>
      <c r="U1738" s="705">
        <v>0</v>
      </c>
      <c r="V1738" s="705">
        <v>32165</v>
      </c>
      <c r="W1738" s="705">
        <f t="shared" si="76"/>
        <v>32165</v>
      </c>
      <c r="X1738" s="705">
        <f t="shared" si="77"/>
        <v>40091</v>
      </c>
    </row>
    <row r="1739" spans="2:24">
      <c r="B1739" t="s">
        <v>546</v>
      </c>
      <c r="C1739" t="s">
        <v>114</v>
      </c>
      <c r="D1739" t="s">
        <v>582</v>
      </c>
      <c r="E1739" t="s">
        <v>582</v>
      </c>
      <c r="F1739" s="705">
        <v>16</v>
      </c>
      <c r="G1739" s="705">
        <v>3464</v>
      </c>
      <c r="H1739" s="705">
        <v>2237</v>
      </c>
      <c r="I1739" s="705">
        <v>262156</v>
      </c>
      <c r="J1739" s="705">
        <v>238324</v>
      </c>
      <c r="K1739" s="705">
        <v>90</v>
      </c>
      <c r="L1739" s="705">
        <v>59358</v>
      </c>
      <c r="M1739" s="705">
        <v>53961</v>
      </c>
      <c r="N1739" s="705">
        <v>66903</v>
      </c>
      <c r="O1739" s="705">
        <v>24779</v>
      </c>
      <c r="P1739" s="705">
        <v>12661</v>
      </c>
      <c r="Q1739" s="705">
        <v>4689</v>
      </c>
      <c r="R1739" s="705">
        <v>89297</v>
      </c>
      <c r="S1739" s="705">
        <v>81179</v>
      </c>
      <c r="T1739" s="705">
        <v>7439</v>
      </c>
      <c r="U1739" s="705">
        <v>2755</v>
      </c>
      <c r="V1739" s="705">
        <v>405688</v>
      </c>
      <c r="W1739" s="705">
        <f t="shared" si="76"/>
        <v>405687</v>
      </c>
      <c r="X1739" s="705">
        <f t="shared" si="77"/>
        <v>497814</v>
      </c>
    </row>
    <row r="1740" spans="2:24">
      <c r="B1740" t="s">
        <v>546</v>
      </c>
      <c r="C1740" t="s">
        <v>114</v>
      </c>
      <c r="D1740" t="s">
        <v>582</v>
      </c>
      <c r="E1740" t="s">
        <v>228</v>
      </c>
      <c r="F1740" s="705">
        <v>1</v>
      </c>
      <c r="G1740" s="705">
        <v>160</v>
      </c>
      <c r="H1740" s="705">
        <v>139</v>
      </c>
      <c r="I1740" s="705">
        <v>10038</v>
      </c>
      <c r="J1740" s="705">
        <v>9125</v>
      </c>
      <c r="K1740" s="705">
        <v>91</v>
      </c>
      <c r="L1740" s="705">
        <v>1217</v>
      </c>
      <c r="M1740" s="705">
        <v>1106</v>
      </c>
      <c r="N1740" s="705">
        <v>3228</v>
      </c>
      <c r="O1740" s="705">
        <v>1196</v>
      </c>
      <c r="P1740" s="705">
        <v>473</v>
      </c>
      <c r="Q1740" s="705">
        <v>175</v>
      </c>
      <c r="R1740" s="705">
        <v>7192</v>
      </c>
      <c r="S1740" s="705">
        <v>2664</v>
      </c>
      <c r="T1740" s="705">
        <v>0</v>
      </c>
      <c r="U1740" s="705">
        <v>0</v>
      </c>
      <c r="V1740" s="705">
        <v>14266</v>
      </c>
      <c r="W1740" s="705">
        <f t="shared" si="76"/>
        <v>14266</v>
      </c>
      <c r="X1740" s="705">
        <f t="shared" si="77"/>
        <v>22148</v>
      </c>
    </row>
    <row r="1741" spans="2:24">
      <c r="B1741" t="s">
        <v>546</v>
      </c>
      <c r="C1741" t="s">
        <v>114</v>
      </c>
      <c r="D1741" t="s">
        <v>228</v>
      </c>
      <c r="E1741" t="s">
        <v>228</v>
      </c>
      <c r="F1741" s="705">
        <v>21</v>
      </c>
      <c r="G1741" s="705">
        <v>4287</v>
      </c>
      <c r="H1741" s="705">
        <v>2842</v>
      </c>
      <c r="I1741" s="705">
        <v>283152</v>
      </c>
      <c r="J1741" s="705">
        <v>104871</v>
      </c>
      <c r="K1741" s="705">
        <v>294</v>
      </c>
      <c r="L1741" s="705">
        <v>68983</v>
      </c>
      <c r="M1741" s="705">
        <v>62342</v>
      </c>
      <c r="N1741" s="705">
        <v>91728</v>
      </c>
      <c r="O1741" s="705">
        <v>33973</v>
      </c>
      <c r="P1741" s="705">
        <v>9829</v>
      </c>
      <c r="Q1741" s="705">
        <v>3640</v>
      </c>
      <c r="R1741" s="705">
        <v>151672</v>
      </c>
      <c r="S1741" s="705">
        <v>56175</v>
      </c>
      <c r="T1741" s="705">
        <v>0</v>
      </c>
      <c r="U1741" s="705">
        <v>0</v>
      </c>
      <c r="V1741" s="705">
        <v>261001</v>
      </c>
      <c r="W1741" s="705">
        <f t="shared" si="76"/>
        <v>261001</v>
      </c>
      <c r="X1741" s="705">
        <f t="shared" si="77"/>
        <v>605364</v>
      </c>
    </row>
    <row r="1742" spans="2:24">
      <c r="B1742" t="s">
        <v>546</v>
      </c>
      <c r="C1742" t="s">
        <v>114</v>
      </c>
      <c r="D1742" t="s">
        <v>583</v>
      </c>
      <c r="E1742" t="s">
        <v>228</v>
      </c>
      <c r="F1742" s="705">
        <v>3</v>
      </c>
      <c r="G1742" s="705">
        <v>927</v>
      </c>
      <c r="H1742" s="705">
        <v>414</v>
      </c>
      <c r="I1742" s="705">
        <v>79522</v>
      </c>
      <c r="J1742" s="705">
        <v>72292</v>
      </c>
      <c r="K1742" s="705">
        <v>91</v>
      </c>
      <c r="L1742" s="705">
        <v>12294</v>
      </c>
      <c r="M1742" s="705">
        <v>11176</v>
      </c>
      <c r="N1742" s="705">
        <v>17289</v>
      </c>
      <c r="O1742" s="705">
        <v>6403</v>
      </c>
      <c r="P1742" s="705">
        <v>1863</v>
      </c>
      <c r="Q1742" s="705">
        <v>690</v>
      </c>
      <c r="R1742" s="705">
        <v>21265</v>
      </c>
      <c r="S1742" s="705">
        <v>7876</v>
      </c>
      <c r="T1742" s="705">
        <v>0</v>
      </c>
      <c r="U1742" s="705">
        <v>0</v>
      </c>
      <c r="V1742" s="705">
        <v>98438</v>
      </c>
      <c r="W1742" s="705">
        <f t="shared" si="76"/>
        <v>98437</v>
      </c>
      <c r="X1742" s="705">
        <f t="shared" si="77"/>
        <v>132233</v>
      </c>
    </row>
    <row r="1743" spans="2:24">
      <c r="B1743" t="s">
        <v>546</v>
      </c>
      <c r="C1743" t="s">
        <v>114</v>
      </c>
      <c r="D1743" t="s">
        <v>583</v>
      </c>
      <c r="E1743" t="s">
        <v>583</v>
      </c>
      <c r="F1743" s="705">
        <v>522</v>
      </c>
      <c r="G1743" s="705">
        <v>111545</v>
      </c>
      <c r="H1743" s="705">
        <v>73411</v>
      </c>
      <c r="I1743" s="705">
        <v>9110199</v>
      </c>
      <c r="J1743" s="705">
        <v>8281999</v>
      </c>
      <c r="K1743" s="705">
        <v>89</v>
      </c>
      <c r="L1743" s="705">
        <v>1879955</v>
      </c>
      <c r="M1743" s="705">
        <v>1679331</v>
      </c>
      <c r="N1743" s="705">
        <v>2208896</v>
      </c>
      <c r="O1743" s="705">
        <v>818110</v>
      </c>
      <c r="P1743" s="705">
        <v>362983</v>
      </c>
      <c r="Q1743" s="705">
        <v>134438</v>
      </c>
      <c r="R1743" s="705">
        <v>2815811</v>
      </c>
      <c r="S1743" s="705">
        <v>2559828</v>
      </c>
      <c r="T1743" s="705">
        <v>381778</v>
      </c>
      <c r="U1743" s="705">
        <v>141399</v>
      </c>
      <c r="V1743" s="705">
        <v>13615105</v>
      </c>
      <c r="W1743" s="705">
        <f t="shared" si="76"/>
        <v>13615105</v>
      </c>
      <c r="X1743" s="705">
        <f t="shared" si="77"/>
        <v>16759622</v>
      </c>
    </row>
    <row r="1744" spans="2:24">
      <c r="B1744" t="s">
        <v>546</v>
      </c>
      <c r="C1744" t="s">
        <v>114</v>
      </c>
      <c r="D1744" t="s">
        <v>584</v>
      </c>
      <c r="E1744" t="s">
        <v>584</v>
      </c>
      <c r="F1744" s="705">
        <v>212</v>
      </c>
      <c r="G1744" s="705">
        <v>41369</v>
      </c>
      <c r="H1744" s="705">
        <v>29854</v>
      </c>
      <c r="I1744" s="705">
        <v>3165087</v>
      </c>
      <c r="J1744" s="705">
        <v>2877352</v>
      </c>
      <c r="K1744" s="705">
        <v>89</v>
      </c>
      <c r="L1744" s="705">
        <v>752437</v>
      </c>
      <c r="M1744" s="705">
        <v>653269</v>
      </c>
      <c r="N1744" s="705">
        <v>804011</v>
      </c>
      <c r="O1744" s="705">
        <v>297782</v>
      </c>
      <c r="P1744" s="705">
        <v>118297</v>
      </c>
      <c r="Q1744" s="705">
        <v>43814</v>
      </c>
      <c r="R1744" s="705">
        <v>1154990</v>
      </c>
      <c r="S1744" s="705">
        <v>1049991</v>
      </c>
      <c r="T1744" s="705">
        <v>79734</v>
      </c>
      <c r="U1744" s="705">
        <v>29531</v>
      </c>
      <c r="V1744" s="705">
        <v>4951738</v>
      </c>
      <c r="W1744" s="705">
        <f t="shared" si="76"/>
        <v>4951739</v>
      </c>
      <c r="X1744" s="705">
        <f t="shared" si="77"/>
        <v>6074556</v>
      </c>
    </row>
    <row r="1745" spans="2:24">
      <c r="B1745" t="s">
        <v>546</v>
      </c>
      <c r="C1745" t="s">
        <v>114</v>
      </c>
      <c r="D1745" t="s">
        <v>585</v>
      </c>
      <c r="E1745" t="s">
        <v>585</v>
      </c>
      <c r="F1745" s="705">
        <v>6</v>
      </c>
      <c r="G1745" s="705">
        <v>1317</v>
      </c>
      <c r="H1745" s="705">
        <v>832</v>
      </c>
      <c r="I1745" s="705">
        <v>97305</v>
      </c>
      <c r="J1745" s="705">
        <v>88459</v>
      </c>
      <c r="K1745" s="705">
        <v>87</v>
      </c>
      <c r="L1745" s="705">
        <v>18733</v>
      </c>
      <c r="M1745" s="705">
        <v>17030</v>
      </c>
      <c r="N1745" s="705">
        <v>24444</v>
      </c>
      <c r="O1745" s="705">
        <v>9053</v>
      </c>
      <c r="P1745" s="705">
        <v>3078</v>
      </c>
      <c r="Q1745" s="705">
        <v>1140</v>
      </c>
      <c r="R1745" s="705">
        <v>34727</v>
      </c>
      <c r="S1745" s="705">
        <v>31570</v>
      </c>
      <c r="T1745" s="705">
        <v>3854</v>
      </c>
      <c r="U1745" s="705">
        <v>1427</v>
      </c>
      <c r="V1745" s="705">
        <v>148679</v>
      </c>
      <c r="W1745" s="705">
        <f t="shared" si="76"/>
        <v>148679</v>
      </c>
      <c r="X1745" s="705">
        <f t="shared" si="77"/>
        <v>182141</v>
      </c>
    </row>
    <row r="1746" spans="2:24">
      <c r="B1746" t="s">
        <v>546</v>
      </c>
      <c r="C1746" t="s">
        <v>116</v>
      </c>
      <c r="F1746" s="705">
        <v>1</v>
      </c>
      <c r="G1746" s="705">
        <v>94</v>
      </c>
      <c r="H1746" s="705">
        <v>179</v>
      </c>
      <c r="I1746" s="705"/>
      <c r="J1746" s="705">
        <v>0</v>
      </c>
      <c r="K1746" s="705"/>
      <c r="L1746" s="705"/>
      <c r="M1746" s="705">
        <v>0</v>
      </c>
      <c r="N1746" s="705">
        <v>3441</v>
      </c>
      <c r="O1746" s="705">
        <v>1275</v>
      </c>
      <c r="P1746" s="705">
        <v>621</v>
      </c>
      <c r="Q1746" s="705">
        <v>230</v>
      </c>
      <c r="R1746" s="705"/>
      <c r="S1746" s="705">
        <v>0</v>
      </c>
      <c r="T1746" s="705">
        <v>3688</v>
      </c>
      <c r="U1746" s="705">
        <v>1366</v>
      </c>
      <c r="V1746" s="705">
        <v>2870</v>
      </c>
      <c r="W1746" s="705">
        <f t="shared" si="76"/>
        <v>2871</v>
      </c>
      <c r="X1746" s="705">
        <f t="shared" si="77"/>
        <v>7750</v>
      </c>
    </row>
    <row r="1747" spans="2:24">
      <c r="B1747" t="s">
        <v>546</v>
      </c>
      <c r="C1747" t="s">
        <v>116</v>
      </c>
      <c r="D1747" t="s">
        <v>664</v>
      </c>
      <c r="E1747" t="s">
        <v>664</v>
      </c>
      <c r="F1747" s="705">
        <v>6</v>
      </c>
      <c r="G1747" s="705">
        <v>1488</v>
      </c>
      <c r="H1747" s="705">
        <v>1106</v>
      </c>
      <c r="I1747" s="705">
        <v>157451</v>
      </c>
      <c r="J1747" s="705">
        <v>143137</v>
      </c>
      <c r="K1747" s="705">
        <v>86</v>
      </c>
      <c r="L1747" s="705">
        <v>39720</v>
      </c>
      <c r="M1747" s="705">
        <v>36109</v>
      </c>
      <c r="N1747" s="705">
        <v>31153</v>
      </c>
      <c r="O1747" s="705">
        <v>11538</v>
      </c>
      <c r="P1747" s="705">
        <v>2835</v>
      </c>
      <c r="Q1747" s="705">
        <v>1050</v>
      </c>
      <c r="R1747" s="705">
        <v>35665</v>
      </c>
      <c r="S1747" s="705">
        <v>32423</v>
      </c>
      <c r="T1747" s="705">
        <v>4698</v>
      </c>
      <c r="U1747" s="705">
        <v>1740</v>
      </c>
      <c r="V1747" s="705">
        <v>225998</v>
      </c>
      <c r="W1747" s="705">
        <f t="shared" si="76"/>
        <v>225997</v>
      </c>
      <c r="X1747" s="705">
        <f t="shared" si="77"/>
        <v>271522</v>
      </c>
    </row>
    <row r="1748" spans="2:24">
      <c r="B1748" t="s">
        <v>546</v>
      </c>
      <c r="C1748" t="s">
        <v>116</v>
      </c>
      <c r="D1748" t="s">
        <v>582</v>
      </c>
      <c r="E1748" t="s">
        <v>664</v>
      </c>
      <c r="F1748" s="705">
        <v>2</v>
      </c>
      <c r="G1748" s="705">
        <v>348</v>
      </c>
      <c r="H1748" s="705">
        <v>435</v>
      </c>
      <c r="I1748" s="705">
        <v>41250</v>
      </c>
      <c r="J1748" s="705">
        <v>37500</v>
      </c>
      <c r="K1748" s="705">
        <v>80</v>
      </c>
      <c r="L1748" s="705">
        <v>9374</v>
      </c>
      <c r="M1748" s="705">
        <v>8522</v>
      </c>
      <c r="N1748" s="705">
        <v>6654</v>
      </c>
      <c r="O1748" s="705">
        <v>2465</v>
      </c>
      <c r="P1748" s="705">
        <v>945</v>
      </c>
      <c r="Q1748" s="705">
        <v>350</v>
      </c>
      <c r="R1748" s="705">
        <v>13559</v>
      </c>
      <c r="S1748" s="705">
        <v>12327</v>
      </c>
      <c r="T1748" s="705">
        <v>4282</v>
      </c>
      <c r="U1748" s="705">
        <v>1586</v>
      </c>
      <c r="V1748" s="705">
        <v>62749</v>
      </c>
      <c r="W1748" s="705">
        <f t="shared" si="76"/>
        <v>62750</v>
      </c>
      <c r="X1748" s="705">
        <f t="shared" si="77"/>
        <v>76064</v>
      </c>
    </row>
    <row r="1749" spans="2:24">
      <c r="B1749" t="s">
        <v>546</v>
      </c>
      <c r="C1749" t="s">
        <v>116</v>
      </c>
      <c r="D1749" t="s">
        <v>582</v>
      </c>
      <c r="E1749" t="s">
        <v>582</v>
      </c>
      <c r="F1749" s="705">
        <v>54</v>
      </c>
      <c r="G1749" s="705">
        <v>9600</v>
      </c>
      <c r="H1749" s="705">
        <v>10118</v>
      </c>
      <c r="I1749" s="705">
        <v>1079065</v>
      </c>
      <c r="J1749" s="705">
        <v>980968</v>
      </c>
      <c r="K1749" s="705">
        <v>86</v>
      </c>
      <c r="L1749" s="705">
        <v>226286</v>
      </c>
      <c r="M1749" s="705">
        <v>210793</v>
      </c>
      <c r="N1749" s="705">
        <v>194524</v>
      </c>
      <c r="O1749" s="705">
        <v>72046</v>
      </c>
      <c r="P1749" s="705">
        <v>28850</v>
      </c>
      <c r="Q1749" s="705">
        <v>10685</v>
      </c>
      <c r="R1749" s="705">
        <v>260485</v>
      </c>
      <c r="S1749" s="705">
        <v>236805</v>
      </c>
      <c r="T1749" s="705">
        <v>44735</v>
      </c>
      <c r="U1749" s="705">
        <v>16568</v>
      </c>
      <c r="V1749" s="705">
        <v>1527865</v>
      </c>
      <c r="W1749" s="705">
        <f t="shared" si="76"/>
        <v>1527865</v>
      </c>
      <c r="X1749" s="705">
        <f t="shared" si="77"/>
        <v>1833945</v>
      </c>
    </row>
    <row r="1750" spans="2:24">
      <c r="B1750" t="s">
        <v>546</v>
      </c>
      <c r="C1750" t="s">
        <v>116</v>
      </c>
      <c r="D1750" t="s">
        <v>582</v>
      </c>
      <c r="E1750" t="s">
        <v>228</v>
      </c>
      <c r="F1750" s="705">
        <v>2</v>
      </c>
      <c r="G1750" s="705">
        <v>312</v>
      </c>
      <c r="H1750" s="705">
        <v>358</v>
      </c>
      <c r="I1750" s="705">
        <v>29606</v>
      </c>
      <c r="J1750" s="705">
        <v>26915</v>
      </c>
      <c r="K1750" s="705">
        <v>100</v>
      </c>
      <c r="L1750" s="705">
        <v>5469</v>
      </c>
      <c r="M1750" s="705">
        <v>4972</v>
      </c>
      <c r="N1750" s="705">
        <v>5270</v>
      </c>
      <c r="O1750" s="705">
        <v>1952</v>
      </c>
      <c r="P1750" s="705">
        <v>2787</v>
      </c>
      <c r="Q1750" s="705">
        <v>1032</v>
      </c>
      <c r="R1750" s="705">
        <v>13169</v>
      </c>
      <c r="S1750" s="705">
        <v>4877</v>
      </c>
      <c r="T1750" s="705">
        <v>0</v>
      </c>
      <c r="U1750" s="705">
        <v>0</v>
      </c>
      <c r="V1750" s="705">
        <v>39747</v>
      </c>
      <c r="W1750" s="705">
        <f t="shared" si="76"/>
        <v>39748</v>
      </c>
      <c r="X1750" s="705">
        <f t="shared" si="77"/>
        <v>56301</v>
      </c>
    </row>
    <row r="1751" spans="2:24">
      <c r="B1751" t="s">
        <v>546</v>
      </c>
      <c r="C1751" t="s">
        <v>116</v>
      </c>
      <c r="D1751" t="s">
        <v>582</v>
      </c>
      <c r="E1751" t="s">
        <v>584</v>
      </c>
      <c r="F1751" s="705">
        <v>1</v>
      </c>
      <c r="G1751" s="705">
        <v>180</v>
      </c>
      <c r="H1751" s="705">
        <v>155</v>
      </c>
      <c r="I1751" s="705">
        <v>15373</v>
      </c>
      <c r="J1751" s="705">
        <v>13975</v>
      </c>
      <c r="K1751" s="705">
        <v>91</v>
      </c>
      <c r="L1751" s="705">
        <v>5158</v>
      </c>
      <c r="M1751" s="705">
        <v>4689</v>
      </c>
      <c r="N1751" s="705">
        <v>3980</v>
      </c>
      <c r="O1751" s="705">
        <v>1474</v>
      </c>
      <c r="P1751" s="705">
        <v>473</v>
      </c>
      <c r="Q1751" s="705">
        <v>175</v>
      </c>
      <c r="R1751" s="705">
        <v>2896</v>
      </c>
      <c r="S1751" s="705">
        <v>2633</v>
      </c>
      <c r="T1751" s="705">
        <v>0</v>
      </c>
      <c r="U1751" s="705">
        <v>0</v>
      </c>
      <c r="V1751" s="705">
        <v>22946</v>
      </c>
      <c r="W1751" s="705">
        <f t="shared" si="76"/>
        <v>22946</v>
      </c>
      <c r="X1751" s="705">
        <f t="shared" si="77"/>
        <v>27880</v>
      </c>
    </row>
    <row r="1752" spans="2:24">
      <c r="B1752" t="s">
        <v>546</v>
      </c>
      <c r="C1752" t="s">
        <v>116</v>
      </c>
      <c r="D1752" t="s">
        <v>228</v>
      </c>
      <c r="E1752" t="s">
        <v>228</v>
      </c>
      <c r="F1752" s="705">
        <v>28</v>
      </c>
      <c r="G1752" s="705">
        <v>5574</v>
      </c>
      <c r="H1752" s="705">
        <v>5038</v>
      </c>
      <c r="I1752" s="705">
        <v>534497</v>
      </c>
      <c r="J1752" s="705">
        <v>197962</v>
      </c>
      <c r="K1752" s="705">
        <v>240</v>
      </c>
      <c r="L1752" s="705">
        <v>116452</v>
      </c>
      <c r="M1752" s="705">
        <v>97716</v>
      </c>
      <c r="N1752" s="705">
        <v>113152</v>
      </c>
      <c r="O1752" s="705">
        <v>41908</v>
      </c>
      <c r="P1752" s="705">
        <v>10834</v>
      </c>
      <c r="Q1752" s="705">
        <v>4013</v>
      </c>
      <c r="R1752" s="705">
        <v>273898</v>
      </c>
      <c r="S1752" s="705">
        <v>101444</v>
      </c>
      <c r="T1752" s="705">
        <v>0</v>
      </c>
      <c r="U1752" s="705">
        <v>0</v>
      </c>
      <c r="V1752" s="705">
        <v>443043</v>
      </c>
      <c r="W1752" s="705">
        <f t="shared" si="76"/>
        <v>443043</v>
      </c>
      <c r="X1752" s="705">
        <f t="shared" si="77"/>
        <v>1048833</v>
      </c>
    </row>
    <row r="1753" spans="2:24">
      <c r="B1753" t="s">
        <v>546</v>
      </c>
      <c r="C1753" t="s">
        <v>116</v>
      </c>
      <c r="D1753" t="s">
        <v>228</v>
      </c>
      <c r="E1753" t="s">
        <v>665</v>
      </c>
      <c r="F1753" s="705">
        <v>1</v>
      </c>
      <c r="G1753" s="705">
        <v>593</v>
      </c>
      <c r="H1753" s="705">
        <v>207</v>
      </c>
      <c r="I1753" s="705">
        <v>77279</v>
      </c>
      <c r="J1753" s="705">
        <v>28622</v>
      </c>
      <c r="K1753" s="705">
        <v>320</v>
      </c>
      <c r="L1753" s="705">
        <v>18657</v>
      </c>
      <c r="M1753" s="705">
        <v>16961</v>
      </c>
      <c r="N1753" s="705">
        <v>13445</v>
      </c>
      <c r="O1753" s="705">
        <v>4979</v>
      </c>
      <c r="P1753" s="705">
        <v>1674</v>
      </c>
      <c r="Q1753" s="705">
        <v>620</v>
      </c>
      <c r="R1753" s="705">
        <v>7607</v>
      </c>
      <c r="S1753" s="705">
        <v>6916</v>
      </c>
      <c r="T1753" s="705">
        <v>4431</v>
      </c>
      <c r="U1753" s="705">
        <v>1641</v>
      </c>
      <c r="V1753" s="705">
        <v>59739</v>
      </c>
      <c r="W1753" s="705">
        <f t="shared" si="76"/>
        <v>59739</v>
      </c>
      <c r="X1753" s="705">
        <f t="shared" si="77"/>
        <v>123093</v>
      </c>
    </row>
    <row r="1754" spans="2:24">
      <c r="B1754" t="s">
        <v>546</v>
      </c>
      <c r="C1754" t="s">
        <v>116</v>
      </c>
      <c r="D1754" t="s">
        <v>583</v>
      </c>
      <c r="E1754" t="s">
        <v>228</v>
      </c>
      <c r="F1754" s="705">
        <v>10</v>
      </c>
      <c r="G1754" s="705">
        <v>2250</v>
      </c>
      <c r="H1754" s="705">
        <v>1890</v>
      </c>
      <c r="I1754" s="705">
        <v>282527</v>
      </c>
      <c r="J1754" s="705">
        <v>256843</v>
      </c>
      <c r="K1754" s="705">
        <v>86</v>
      </c>
      <c r="L1754" s="705">
        <v>39381</v>
      </c>
      <c r="M1754" s="705">
        <v>32558</v>
      </c>
      <c r="N1754" s="705">
        <v>44783</v>
      </c>
      <c r="O1754" s="705">
        <v>16586</v>
      </c>
      <c r="P1754" s="705">
        <v>6912</v>
      </c>
      <c r="Q1754" s="705">
        <v>2560</v>
      </c>
      <c r="R1754" s="705">
        <v>72503</v>
      </c>
      <c r="S1754" s="705">
        <v>26853</v>
      </c>
      <c r="T1754" s="705">
        <v>3098</v>
      </c>
      <c r="U1754" s="705">
        <v>1148</v>
      </c>
      <c r="V1754" s="705">
        <v>336547</v>
      </c>
      <c r="W1754" s="705">
        <f t="shared" si="76"/>
        <v>336548</v>
      </c>
      <c r="X1754" s="705">
        <f t="shared" si="77"/>
        <v>449204</v>
      </c>
    </row>
    <row r="1755" spans="2:24">
      <c r="B1755" t="s">
        <v>546</v>
      </c>
      <c r="C1755" t="s">
        <v>116</v>
      </c>
      <c r="D1755" t="s">
        <v>583</v>
      </c>
      <c r="E1755" t="s">
        <v>583</v>
      </c>
      <c r="F1755" s="705">
        <v>3104</v>
      </c>
      <c r="G1755" s="705">
        <v>513381</v>
      </c>
      <c r="H1755" s="705">
        <v>596259</v>
      </c>
      <c r="I1755" s="705">
        <v>56511934</v>
      </c>
      <c r="J1755" s="705">
        <v>51374486</v>
      </c>
      <c r="K1755" s="705">
        <v>85</v>
      </c>
      <c r="L1755" s="705">
        <v>12263881</v>
      </c>
      <c r="M1755" s="705">
        <v>10965049</v>
      </c>
      <c r="N1755" s="705">
        <v>10632821</v>
      </c>
      <c r="O1755" s="705">
        <v>3938082</v>
      </c>
      <c r="P1755" s="705">
        <v>2046835</v>
      </c>
      <c r="Q1755" s="705">
        <v>758087</v>
      </c>
      <c r="R1755" s="705">
        <v>16398338</v>
      </c>
      <c r="S1755" s="705">
        <v>14907580</v>
      </c>
      <c r="T1755" s="705">
        <v>4241290</v>
      </c>
      <c r="U1755" s="705">
        <v>1570848</v>
      </c>
      <c r="V1755" s="705">
        <v>83514131</v>
      </c>
      <c r="W1755" s="705">
        <f t="shared" si="76"/>
        <v>83514132</v>
      </c>
      <c r="X1755" s="705">
        <f t="shared" si="77"/>
        <v>102095099</v>
      </c>
    </row>
    <row r="1756" spans="2:24">
      <c r="B1756" t="s">
        <v>546</v>
      </c>
      <c r="C1756" t="s">
        <v>116</v>
      </c>
      <c r="D1756" t="s">
        <v>583</v>
      </c>
      <c r="E1756" t="s">
        <v>666</v>
      </c>
      <c r="F1756" s="705">
        <v>1</v>
      </c>
      <c r="G1756" s="705">
        <v>135</v>
      </c>
      <c r="H1756" s="705">
        <v>203</v>
      </c>
      <c r="I1756" s="705">
        <v>15843</v>
      </c>
      <c r="J1756" s="705">
        <v>14403</v>
      </c>
      <c r="K1756" s="705">
        <v>93</v>
      </c>
      <c r="L1756" s="705">
        <v>2820</v>
      </c>
      <c r="M1756" s="705">
        <v>2350</v>
      </c>
      <c r="N1756" s="705">
        <v>2543</v>
      </c>
      <c r="O1756" s="705">
        <v>942</v>
      </c>
      <c r="P1756" s="705">
        <v>621</v>
      </c>
      <c r="Q1756" s="705">
        <v>230</v>
      </c>
      <c r="R1756" s="705">
        <v>5516</v>
      </c>
      <c r="S1756" s="705">
        <v>5014</v>
      </c>
      <c r="T1756" s="705">
        <v>0</v>
      </c>
      <c r="U1756" s="705">
        <v>0</v>
      </c>
      <c r="V1756" s="705">
        <v>22938</v>
      </c>
      <c r="W1756" s="705">
        <f t="shared" si="76"/>
        <v>22939</v>
      </c>
      <c r="X1756" s="705">
        <f t="shared" si="77"/>
        <v>27343</v>
      </c>
    </row>
    <row r="1757" spans="2:24">
      <c r="B1757" t="s">
        <v>546</v>
      </c>
      <c r="C1757" t="s">
        <v>116</v>
      </c>
      <c r="D1757" t="s">
        <v>583</v>
      </c>
      <c r="E1757" t="s">
        <v>584</v>
      </c>
      <c r="F1757" s="705">
        <v>3</v>
      </c>
      <c r="G1757" s="705">
        <v>453</v>
      </c>
      <c r="H1757" s="705">
        <v>541</v>
      </c>
      <c r="I1757" s="705">
        <v>46941</v>
      </c>
      <c r="J1757" s="705">
        <v>42674</v>
      </c>
      <c r="K1757" s="705">
        <v>89</v>
      </c>
      <c r="L1757" s="705">
        <v>11363</v>
      </c>
      <c r="M1757" s="705">
        <v>10330</v>
      </c>
      <c r="N1757" s="705">
        <v>11228</v>
      </c>
      <c r="O1757" s="705">
        <v>4158</v>
      </c>
      <c r="P1757" s="705">
        <v>1863</v>
      </c>
      <c r="Q1757" s="705">
        <v>690</v>
      </c>
      <c r="R1757" s="705">
        <v>16218</v>
      </c>
      <c r="S1757" s="705">
        <v>14744</v>
      </c>
      <c r="T1757" s="705">
        <v>3997</v>
      </c>
      <c r="U1757" s="705">
        <v>1480</v>
      </c>
      <c r="V1757" s="705">
        <v>74077</v>
      </c>
      <c r="W1757" s="705">
        <f t="shared" si="76"/>
        <v>74076</v>
      </c>
      <c r="X1757" s="705">
        <f t="shared" si="77"/>
        <v>91610</v>
      </c>
    </row>
    <row r="1758" spans="2:24">
      <c r="B1758" t="s">
        <v>546</v>
      </c>
      <c r="C1758" t="s">
        <v>116</v>
      </c>
      <c r="D1758" t="s">
        <v>583</v>
      </c>
      <c r="E1758" t="s">
        <v>665</v>
      </c>
      <c r="F1758" s="705">
        <v>4</v>
      </c>
      <c r="G1758" s="705">
        <v>612</v>
      </c>
      <c r="H1758" s="705">
        <v>767</v>
      </c>
      <c r="I1758" s="705">
        <v>65472</v>
      </c>
      <c r="J1758" s="705">
        <v>59520</v>
      </c>
      <c r="K1758" s="705">
        <v>85</v>
      </c>
      <c r="L1758" s="705">
        <v>14252</v>
      </c>
      <c r="M1758" s="705">
        <v>12957</v>
      </c>
      <c r="N1758" s="705">
        <v>11482</v>
      </c>
      <c r="O1758" s="705">
        <v>4253</v>
      </c>
      <c r="P1758" s="705">
        <v>2484</v>
      </c>
      <c r="Q1758" s="705">
        <v>920</v>
      </c>
      <c r="R1758" s="705">
        <v>18745</v>
      </c>
      <c r="S1758" s="705">
        <v>17041</v>
      </c>
      <c r="T1758" s="705">
        <v>3518</v>
      </c>
      <c r="U1758" s="705">
        <v>1303</v>
      </c>
      <c r="V1758" s="705">
        <v>95993</v>
      </c>
      <c r="W1758" s="705">
        <f t="shared" si="76"/>
        <v>95994</v>
      </c>
      <c r="X1758" s="705">
        <f t="shared" si="77"/>
        <v>115953</v>
      </c>
    </row>
    <row r="1759" spans="2:24">
      <c r="B1759" t="s">
        <v>546</v>
      </c>
      <c r="C1759" t="s">
        <v>116</v>
      </c>
      <c r="D1759" t="s">
        <v>666</v>
      </c>
      <c r="E1759" t="s">
        <v>583</v>
      </c>
      <c r="F1759" s="705">
        <v>2</v>
      </c>
      <c r="G1759" s="705">
        <v>360</v>
      </c>
      <c r="H1759" s="705">
        <v>399</v>
      </c>
      <c r="I1759" s="705">
        <v>37161</v>
      </c>
      <c r="J1759" s="705">
        <v>33783</v>
      </c>
      <c r="K1759" s="705">
        <v>79</v>
      </c>
      <c r="L1759" s="705">
        <v>8659</v>
      </c>
      <c r="M1759" s="705">
        <v>7712</v>
      </c>
      <c r="N1759" s="705">
        <v>8050</v>
      </c>
      <c r="O1759" s="705">
        <v>2981</v>
      </c>
      <c r="P1759" s="705">
        <v>1242</v>
      </c>
      <c r="Q1759" s="705">
        <v>460</v>
      </c>
      <c r="R1759" s="705">
        <v>13198</v>
      </c>
      <c r="S1759" s="705">
        <v>11998</v>
      </c>
      <c r="T1759" s="705">
        <v>3449</v>
      </c>
      <c r="U1759" s="705">
        <v>1278</v>
      </c>
      <c r="V1759" s="705">
        <v>58211</v>
      </c>
      <c r="W1759" s="705">
        <f t="shared" si="76"/>
        <v>58212</v>
      </c>
      <c r="X1759" s="705">
        <f t="shared" si="77"/>
        <v>71759</v>
      </c>
    </row>
    <row r="1760" spans="2:24">
      <c r="B1760" t="s">
        <v>546</v>
      </c>
      <c r="C1760" t="s">
        <v>116</v>
      </c>
      <c r="D1760" t="s">
        <v>584</v>
      </c>
      <c r="E1760" t="s">
        <v>582</v>
      </c>
      <c r="F1760" s="705">
        <v>1</v>
      </c>
      <c r="G1760" s="705">
        <v>107</v>
      </c>
      <c r="H1760" s="705">
        <v>220</v>
      </c>
      <c r="I1760" s="705">
        <v>9692</v>
      </c>
      <c r="J1760" s="705">
        <v>8811</v>
      </c>
      <c r="K1760" s="705">
        <v>77</v>
      </c>
      <c r="L1760" s="705">
        <v>2617</v>
      </c>
      <c r="M1760" s="705">
        <v>2379</v>
      </c>
      <c r="N1760" s="705">
        <v>2603</v>
      </c>
      <c r="O1760" s="705">
        <v>964</v>
      </c>
      <c r="P1760" s="705">
        <v>473</v>
      </c>
      <c r="Q1760" s="705">
        <v>175</v>
      </c>
      <c r="R1760" s="705">
        <v>4897</v>
      </c>
      <c r="S1760" s="705">
        <v>4452</v>
      </c>
      <c r="T1760" s="705">
        <v>3227</v>
      </c>
      <c r="U1760" s="705">
        <v>1195</v>
      </c>
      <c r="V1760" s="705">
        <v>17976</v>
      </c>
      <c r="W1760" s="705">
        <f t="shared" si="76"/>
        <v>17976</v>
      </c>
      <c r="X1760" s="705">
        <f t="shared" si="77"/>
        <v>23509</v>
      </c>
    </row>
    <row r="1761" spans="2:24">
      <c r="B1761" t="s">
        <v>546</v>
      </c>
      <c r="C1761" t="s">
        <v>116</v>
      </c>
      <c r="D1761" t="s">
        <v>584</v>
      </c>
      <c r="E1761" t="s">
        <v>228</v>
      </c>
      <c r="F1761" s="705">
        <v>2</v>
      </c>
      <c r="G1761" s="705">
        <v>341</v>
      </c>
      <c r="H1761" s="705">
        <v>361</v>
      </c>
      <c r="I1761" s="705">
        <v>35470</v>
      </c>
      <c r="J1761" s="705">
        <v>32246</v>
      </c>
      <c r="K1761" s="705">
        <v>91</v>
      </c>
      <c r="L1761" s="705">
        <v>10808</v>
      </c>
      <c r="M1761" s="705">
        <v>6892</v>
      </c>
      <c r="N1761" s="705">
        <v>6227</v>
      </c>
      <c r="O1761" s="705">
        <v>2306</v>
      </c>
      <c r="P1761" s="705">
        <v>945</v>
      </c>
      <c r="Q1761" s="705">
        <v>350</v>
      </c>
      <c r="R1761" s="705">
        <v>12975</v>
      </c>
      <c r="S1761" s="705">
        <v>4806</v>
      </c>
      <c r="T1761" s="705">
        <v>0</v>
      </c>
      <c r="U1761" s="705">
        <v>0</v>
      </c>
      <c r="V1761" s="705">
        <v>46599</v>
      </c>
      <c r="W1761" s="705">
        <f t="shared" si="76"/>
        <v>46600</v>
      </c>
      <c r="X1761" s="705">
        <f t="shared" si="77"/>
        <v>66425</v>
      </c>
    </row>
    <row r="1762" spans="2:24">
      <c r="B1762" t="s">
        <v>546</v>
      </c>
      <c r="C1762" t="s">
        <v>116</v>
      </c>
      <c r="D1762" t="s">
        <v>584</v>
      </c>
      <c r="E1762" t="s">
        <v>583</v>
      </c>
      <c r="F1762" s="705">
        <v>3</v>
      </c>
      <c r="G1762" s="705">
        <v>509</v>
      </c>
      <c r="H1762" s="705">
        <v>553</v>
      </c>
      <c r="I1762" s="705">
        <v>50869</v>
      </c>
      <c r="J1762" s="705">
        <v>46245</v>
      </c>
      <c r="K1762" s="705">
        <v>90</v>
      </c>
      <c r="L1762" s="705">
        <v>14044</v>
      </c>
      <c r="M1762" s="705">
        <v>12137</v>
      </c>
      <c r="N1762" s="705">
        <v>11213</v>
      </c>
      <c r="O1762" s="705">
        <v>4153</v>
      </c>
      <c r="P1762" s="705">
        <v>1418</v>
      </c>
      <c r="Q1762" s="705">
        <v>525</v>
      </c>
      <c r="R1762" s="705">
        <v>16600</v>
      </c>
      <c r="S1762" s="705">
        <v>15091</v>
      </c>
      <c r="T1762" s="705">
        <v>2606</v>
      </c>
      <c r="U1762" s="705">
        <v>965</v>
      </c>
      <c r="V1762" s="705">
        <v>79116</v>
      </c>
      <c r="W1762" s="705">
        <f t="shared" si="76"/>
        <v>79116</v>
      </c>
      <c r="X1762" s="705">
        <f t="shared" si="77"/>
        <v>96750</v>
      </c>
    </row>
    <row r="1763" spans="2:24">
      <c r="B1763" t="s">
        <v>546</v>
      </c>
      <c r="C1763" t="s">
        <v>116</v>
      </c>
      <c r="D1763" t="s">
        <v>584</v>
      </c>
      <c r="E1763" t="s">
        <v>584</v>
      </c>
      <c r="F1763" s="705">
        <v>940</v>
      </c>
      <c r="G1763" s="705">
        <v>154352</v>
      </c>
      <c r="H1763" s="705">
        <v>176623</v>
      </c>
      <c r="I1763" s="705">
        <v>15726136</v>
      </c>
      <c r="J1763" s="705">
        <v>14296488</v>
      </c>
      <c r="K1763" s="705">
        <v>84</v>
      </c>
      <c r="L1763" s="705">
        <v>4140588</v>
      </c>
      <c r="M1763" s="705">
        <v>3617921</v>
      </c>
      <c r="N1763" s="705">
        <v>3200395</v>
      </c>
      <c r="O1763" s="705">
        <v>1185331</v>
      </c>
      <c r="P1763" s="705">
        <v>470577</v>
      </c>
      <c r="Q1763" s="705">
        <v>174288</v>
      </c>
      <c r="R1763" s="705">
        <v>5177029</v>
      </c>
      <c r="S1763" s="705">
        <v>4706390</v>
      </c>
      <c r="T1763" s="705">
        <v>946352</v>
      </c>
      <c r="U1763" s="705">
        <v>350501</v>
      </c>
      <c r="V1763" s="705">
        <v>24330918</v>
      </c>
      <c r="W1763" s="705">
        <f t="shared" si="76"/>
        <v>24330919</v>
      </c>
      <c r="X1763" s="705">
        <f t="shared" si="77"/>
        <v>29661077</v>
      </c>
    </row>
    <row r="1764" spans="2:24">
      <c r="B1764" t="s">
        <v>546</v>
      </c>
      <c r="C1764" t="s">
        <v>116</v>
      </c>
      <c r="D1764" t="s">
        <v>584</v>
      </c>
      <c r="E1764" t="s">
        <v>669</v>
      </c>
      <c r="F1764" s="705">
        <v>1</v>
      </c>
      <c r="G1764" s="705">
        <v>199</v>
      </c>
      <c r="H1764" s="705">
        <v>224</v>
      </c>
      <c r="I1764" s="705">
        <v>31308</v>
      </c>
      <c r="J1764" s="705">
        <v>28462</v>
      </c>
      <c r="K1764" s="705">
        <v>90</v>
      </c>
      <c r="L1764" s="705">
        <v>5235</v>
      </c>
      <c r="M1764" s="705">
        <v>4759</v>
      </c>
      <c r="N1764" s="705">
        <v>3908</v>
      </c>
      <c r="O1764" s="705">
        <v>1447</v>
      </c>
      <c r="P1764" s="705">
        <v>473</v>
      </c>
      <c r="Q1764" s="705">
        <v>175</v>
      </c>
      <c r="R1764" s="705">
        <v>3657</v>
      </c>
      <c r="S1764" s="705">
        <v>3048</v>
      </c>
      <c r="T1764" s="705">
        <v>0</v>
      </c>
      <c r="U1764" s="705">
        <v>0</v>
      </c>
      <c r="V1764" s="705">
        <v>37891</v>
      </c>
      <c r="W1764" s="705">
        <f t="shared" si="76"/>
        <v>37891</v>
      </c>
      <c r="X1764" s="705">
        <f t="shared" si="77"/>
        <v>44581</v>
      </c>
    </row>
    <row r="1765" spans="2:24">
      <c r="B1765" t="s">
        <v>546</v>
      </c>
      <c r="C1765" t="s">
        <v>116</v>
      </c>
      <c r="D1765" t="s">
        <v>665</v>
      </c>
      <c r="E1765" t="s">
        <v>583</v>
      </c>
      <c r="F1765" s="705">
        <v>1</v>
      </c>
      <c r="G1765" s="705">
        <v>154</v>
      </c>
      <c r="H1765" s="705">
        <v>212</v>
      </c>
      <c r="I1765" s="705">
        <v>20657</v>
      </c>
      <c r="J1765" s="705">
        <v>18779</v>
      </c>
      <c r="K1765" s="705">
        <v>93</v>
      </c>
      <c r="L1765" s="705">
        <v>3277</v>
      </c>
      <c r="M1765" s="705">
        <v>2979</v>
      </c>
      <c r="N1765" s="705">
        <v>1876</v>
      </c>
      <c r="O1765" s="705">
        <v>695</v>
      </c>
      <c r="P1765" s="705">
        <v>1404</v>
      </c>
      <c r="Q1765" s="705">
        <v>520</v>
      </c>
      <c r="R1765" s="705">
        <v>5403</v>
      </c>
      <c r="S1765" s="705">
        <v>4911</v>
      </c>
      <c r="T1765" s="705">
        <v>0</v>
      </c>
      <c r="U1765" s="705">
        <v>0</v>
      </c>
      <c r="V1765" s="705">
        <v>27884</v>
      </c>
      <c r="W1765" s="705">
        <f t="shared" si="76"/>
        <v>27884</v>
      </c>
      <c r="X1765" s="705">
        <f t="shared" si="77"/>
        <v>32617</v>
      </c>
    </row>
    <row r="1766" spans="2:24">
      <c r="B1766" t="s">
        <v>546</v>
      </c>
      <c r="C1766" t="s">
        <v>116</v>
      </c>
      <c r="D1766" t="s">
        <v>665</v>
      </c>
      <c r="E1766" t="s">
        <v>665</v>
      </c>
      <c r="F1766" s="705">
        <v>11</v>
      </c>
      <c r="G1766" s="705">
        <v>1630</v>
      </c>
      <c r="H1766" s="705">
        <v>2318</v>
      </c>
      <c r="I1766" s="705">
        <v>197358</v>
      </c>
      <c r="J1766" s="705">
        <v>179416</v>
      </c>
      <c r="K1766" s="705">
        <v>68</v>
      </c>
      <c r="L1766" s="705">
        <v>32541</v>
      </c>
      <c r="M1766" s="705">
        <v>29583</v>
      </c>
      <c r="N1766" s="705">
        <v>34241</v>
      </c>
      <c r="O1766" s="705">
        <v>12682</v>
      </c>
      <c r="P1766" s="705">
        <v>4334</v>
      </c>
      <c r="Q1766" s="705">
        <v>1605</v>
      </c>
      <c r="R1766" s="705">
        <v>53015</v>
      </c>
      <c r="S1766" s="705">
        <v>48196</v>
      </c>
      <c r="T1766" s="705">
        <v>24539</v>
      </c>
      <c r="U1766" s="705">
        <v>9088</v>
      </c>
      <c r="V1766" s="705">
        <v>280570</v>
      </c>
      <c r="W1766" s="705">
        <f t="shared" si="76"/>
        <v>280570</v>
      </c>
      <c r="X1766" s="705">
        <f t="shared" si="77"/>
        <v>346028</v>
      </c>
    </row>
    <row r="1767" spans="2:24">
      <c r="B1767" t="s">
        <v>546</v>
      </c>
      <c r="C1767" t="s">
        <v>116</v>
      </c>
      <c r="D1767" t="s">
        <v>673</v>
      </c>
      <c r="E1767" t="s">
        <v>228</v>
      </c>
      <c r="F1767" s="705">
        <v>1</v>
      </c>
      <c r="G1767" s="705">
        <v>167</v>
      </c>
      <c r="H1767" s="705">
        <v>172</v>
      </c>
      <c r="I1767" s="705">
        <v>16249</v>
      </c>
      <c r="J1767" s="705">
        <v>14772</v>
      </c>
      <c r="K1767" s="705">
        <v>75</v>
      </c>
      <c r="L1767" s="705">
        <v>3324</v>
      </c>
      <c r="M1767" s="705">
        <v>1231</v>
      </c>
      <c r="N1767" s="705">
        <v>2037</v>
      </c>
      <c r="O1767" s="705">
        <v>754</v>
      </c>
      <c r="P1767" s="705">
        <v>0</v>
      </c>
      <c r="Q1767" s="705">
        <v>0</v>
      </c>
      <c r="R1767" s="705">
        <v>7101</v>
      </c>
      <c r="S1767" s="705">
        <v>2630</v>
      </c>
      <c r="T1767" s="705">
        <v>0</v>
      </c>
      <c r="U1767" s="705">
        <v>0</v>
      </c>
      <c r="V1767" s="705">
        <v>19387</v>
      </c>
      <c r="W1767" s="705">
        <f t="shared" si="76"/>
        <v>19387</v>
      </c>
      <c r="X1767" s="705">
        <f t="shared" si="77"/>
        <v>28711</v>
      </c>
    </row>
    <row r="1768" spans="2:24">
      <c r="B1768" t="s">
        <v>546</v>
      </c>
      <c r="C1768" t="s">
        <v>116</v>
      </c>
      <c r="D1768" t="s">
        <v>585</v>
      </c>
      <c r="E1768" t="s">
        <v>585</v>
      </c>
      <c r="F1768" s="705">
        <v>10</v>
      </c>
      <c r="G1768" s="705">
        <v>1415</v>
      </c>
      <c r="H1768" s="705">
        <v>1940</v>
      </c>
      <c r="I1768" s="705">
        <v>166864</v>
      </c>
      <c r="J1768" s="705">
        <v>151694</v>
      </c>
      <c r="K1768" s="705">
        <v>72</v>
      </c>
      <c r="L1768" s="705">
        <v>25547</v>
      </c>
      <c r="M1768" s="705">
        <v>20919</v>
      </c>
      <c r="N1768" s="705">
        <v>25837</v>
      </c>
      <c r="O1768" s="705">
        <v>9569</v>
      </c>
      <c r="P1768" s="705">
        <v>4752</v>
      </c>
      <c r="Q1768" s="705">
        <v>1760</v>
      </c>
      <c r="R1768" s="705">
        <v>41883</v>
      </c>
      <c r="S1768" s="705">
        <v>38076</v>
      </c>
      <c r="T1768" s="705">
        <v>3705</v>
      </c>
      <c r="U1768" s="705">
        <v>1372</v>
      </c>
      <c r="V1768" s="705">
        <v>223391</v>
      </c>
      <c r="W1768" s="705">
        <f t="shared" si="76"/>
        <v>223390</v>
      </c>
      <c r="X1768" s="705">
        <f t="shared" si="77"/>
        <v>268588</v>
      </c>
    </row>
    <row r="1769" spans="2:24">
      <c r="B1769" t="s">
        <v>546</v>
      </c>
      <c r="C1769" t="s">
        <v>116</v>
      </c>
      <c r="D1769" t="s">
        <v>668</v>
      </c>
      <c r="E1769" t="s">
        <v>668</v>
      </c>
      <c r="F1769" s="705">
        <v>1</v>
      </c>
      <c r="G1769" s="705">
        <v>147</v>
      </c>
      <c r="H1769" s="705">
        <v>156</v>
      </c>
      <c r="I1769" s="705">
        <v>12764</v>
      </c>
      <c r="J1769" s="705">
        <v>11604</v>
      </c>
      <c r="K1769" s="705">
        <v>87</v>
      </c>
      <c r="L1769" s="705">
        <v>1556</v>
      </c>
      <c r="M1769" s="705">
        <v>1415</v>
      </c>
      <c r="N1769" s="705">
        <v>2690</v>
      </c>
      <c r="O1769" s="705">
        <v>996</v>
      </c>
      <c r="P1769" s="705">
        <v>972</v>
      </c>
      <c r="Q1769" s="705">
        <v>360</v>
      </c>
      <c r="R1769" s="705">
        <v>5030</v>
      </c>
      <c r="S1769" s="705">
        <v>4573</v>
      </c>
      <c r="T1769" s="705">
        <v>0</v>
      </c>
      <c r="U1769" s="705">
        <v>0</v>
      </c>
      <c r="V1769" s="705">
        <v>18948</v>
      </c>
      <c r="W1769" s="705">
        <f t="shared" si="76"/>
        <v>18948</v>
      </c>
      <c r="X1769" s="705">
        <f t="shared" si="77"/>
        <v>23012</v>
      </c>
    </row>
    <row r="1770" spans="2:24">
      <c r="B1770" t="s">
        <v>546</v>
      </c>
      <c r="C1770" t="s">
        <v>118</v>
      </c>
      <c r="F1770" s="705">
        <v>1</v>
      </c>
      <c r="G1770" s="705">
        <v>122</v>
      </c>
      <c r="H1770" s="705">
        <v>299</v>
      </c>
      <c r="I1770" s="705"/>
      <c r="J1770" s="705">
        <v>0</v>
      </c>
      <c r="K1770" s="705"/>
      <c r="L1770" s="705"/>
      <c r="M1770" s="705">
        <v>0</v>
      </c>
      <c r="N1770" s="705">
        <v>2532</v>
      </c>
      <c r="O1770" s="705">
        <v>938</v>
      </c>
      <c r="P1770" s="705">
        <v>621</v>
      </c>
      <c r="Q1770" s="705">
        <v>230</v>
      </c>
      <c r="R1770" s="705"/>
      <c r="S1770" s="705">
        <v>0</v>
      </c>
      <c r="T1770" s="705">
        <v>0</v>
      </c>
      <c r="U1770" s="705">
        <v>0</v>
      </c>
      <c r="V1770" s="705">
        <v>1168</v>
      </c>
      <c r="W1770" s="705">
        <f t="shared" si="76"/>
        <v>1168</v>
      </c>
      <c r="X1770" s="705">
        <f t="shared" si="77"/>
        <v>3153</v>
      </c>
    </row>
    <row r="1771" spans="2:24">
      <c r="B1771" t="s">
        <v>546</v>
      </c>
      <c r="C1771" t="s">
        <v>118</v>
      </c>
      <c r="D1771" t="s">
        <v>664</v>
      </c>
      <c r="E1771" t="s">
        <v>664</v>
      </c>
      <c r="F1771" s="705">
        <v>4</v>
      </c>
      <c r="G1771" s="705">
        <v>340</v>
      </c>
      <c r="H1771" s="705">
        <v>1024</v>
      </c>
      <c r="I1771" s="705">
        <v>56591</v>
      </c>
      <c r="J1771" s="705">
        <v>51446</v>
      </c>
      <c r="K1771" s="705">
        <v>75</v>
      </c>
      <c r="L1771" s="705">
        <v>13528</v>
      </c>
      <c r="M1771" s="705">
        <v>10089</v>
      </c>
      <c r="N1771" s="705">
        <v>7125</v>
      </c>
      <c r="O1771" s="705">
        <v>2639</v>
      </c>
      <c r="P1771" s="705">
        <v>1890</v>
      </c>
      <c r="Q1771" s="705">
        <v>700</v>
      </c>
      <c r="R1771" s="705">
        <v>18157</v>
      </c>
      <c r="S1771" s="705">
        <v>16506</v>
      </c>
      <c r="T1771" s="705">
        <v>0</v>
      </c>
      <c r="U1771" s="705">
        <v>0</v>
      </c>
      <c r="V1771" s="705">
        <v>81380</v>
      </c>
      <c r="W1771" s="705">
        <f t="shared" si="76"/>
        <v>81380</v>
      </c>
      <c r="X1771" s="705">
        <f t="shared" si="77"/>
        <v>97291</v>
      </c>
    </row>
    <row r="1772" spans="2:24">
      <c r="B1772" t="s">
        <v>546</v>
      </c>
      <c r="C1772" t="s">
        <v>118</v>
      </c>
      <c r="D1772" t="s">
        <v>664</v>
      </c>
      <c r="E1772" t="s">
        <v>582</v>
      </c>
      <c r="F1772" s="705">
        <v>1</v>
      </c>
      <c r="G1772" s="705">
        <v>102</v>
      </c>
      <c r="H1772" s="705">
        <v>253</v>
      </c>
      <c r="I1772" s="705">
        <v>16898</v>
      </c>
      <c r="J1772" s="705">
        <v>15362</v>
      </c>
      <c r="K1772" s="705">
        <v>72</v>
      </c>
      <c r="L1772" s="705">
        <v>4281</v>
      </c>
      <c r="M1772" s="705">
        <v>3892</v>
      </c>
      <c r="N1772" s="705">
        <v>3290</v>
      </c>
      <c r="O1772" s="705">
        <v>1219</v>
      </c>
      <c r="P1772" s="705">
        <v>473</v>
      </c>
      <c r="Q1772" s="705">
        <v>175</v>
      </c>
      <c r="R1772" s="705">
        <v>5625</v>
      </c>
      <c r="S1772" s="705">
        <v>5114</v>
      </c>
      <c r="T1772" s="705">
        <v>3565</v>
      </c>
      <c r="U1772" s="705">
        <v>1320</v>
      </c>
      <c r="V1772" s="705">
        <v>27082</v>
      </c>
      <c r="W1772" s="705">
        <f t="shared" si="76"/>
        <v>27082</v>
      </c>
      <c r="X1772" s="705">
        <f t="shared" si="77"/>
        <v>34132</v>
      </c>
    </row>
    <row r="1773" spans="2:24">
      <c r="B1773" t="s">
        <v>546</v>
      </c>
      <c r="C1773" t="s">
        <v>118</v>
      </c>
      <c r="D1773" t="s">
        <v>664</v>
      </c>
      <c r="E1773" t="s">
        <v>583</v>
      </c>
      <c r="F1773" s="705">
        <v>2</v>
      </c>
      <c r="G1773" s="705">
        <v>269</v>
      </c>
      <c r="H1773" s="705">
        <v>509</v>
      </c>
      <c r="I1773" s="705">
        <v>41474</v>
      </c>
      <c r="J1773" s="705">
        <v>37704</v>
      </c>
      <c r="K1773" s="705">
        <v>84</v>
      </c>
      <c r="L1773" s="705">
        <v>9195</v>
      </c>
      <c r="M1773" s="705">
        <v>8359</v>
      </c>
      <c r="N1773" s="705">
        <v>5341</v>
      </c>
      <c r="O1773" s="705">
        <v>1978</v>
      </c>
      <c r="P1773" s="705">
        <v>1242</v>
      </c>
      <c r="Q1773" s="705">
        <v>460</v>
      </c>
      <c r="R1773" s="705">
        <v>10422</v>
      </c>
      <c r="S1773" s="705">
        <v>9474</v>
      </c>
      <c r="T1773" s="705">
        <v>0</v>
      </c>
      <c r="U1773" s="705">
        <v>0</v>
      </c>
      <c r="V1773" s="705">
        <v>57975</v>
      </c>
      <c r="W1773" s="705">
        <f t="shared" si="76"/>
        <v>57975</v>
      </c>
      <c r="X1773" s="705">
        <f t="shared" si="77"/>
        <v>67674</v>
      </c>
    </row>
    <row r="1774" spans="2:24">
      <c r="B1774" t="s">
        <v>546</v>
      </c>
      <c r="C1774" t="s">
        <v>118</v>
      </c>
      <c r="D1774" t="s">
        <v>582</v>
      </c>
      <c r="E1774" t="s">
        <v>664</v>
      </c>
      <c r="F1774" s="705">
        <v>1</v>
      </c>
      <c r="G1774" s="705">
        <v>154</v>
      </c>
      <c r="H1774" s="705">
        <v>259</v>
      </c>
      <c r="I1774" s="705">
        <v>23778</v>
      </c>
      <c r="J1774" s="705">
        <v>21616</v>
      </c>
      <c r="K1774" s="705">
        <v>90</v>
      </c>
      <c r="L1774" s="705">
        <v>4117</v>
      </c>
      <c r="M1774" s="705">
        <v>3431</v>
      </c>
      <c r="N1774" s="705">
        <v>3763</v>
      </c>
      <c r="O1774" s="705">
        <v>1394</v>
      </c>
      <c r="P1774" s="705">
        <v>351</v>
      </c>
      <c r="Q1774" s="705">
        <v>130</v>
      </c>
      <c r="R1774" s="705">
        <v>4440</v>
      </c>
      <c r="S1774" s="705">
        <v>4037</v>
      </c>
      <c r="T1774" s="705">
        <v>3513</v>
      </c>
      <c r="U1774" s="705">
        <v>1301</v>
      </c>
      <c r="V1774" s="705">
        <v>31908</v>
      </c>
      <c r="W1774" s="705">
        <f t="shared" si="76"/>
        <v>31909</v>
      </c>
      <c r="X1774" s="705">
        <f t="shared" si="77"/>
        <v>39962</v>
      </c>
    </row>
    <row r="1775" spans="2:24">
      <c r="B1775" t="s">
        <v>546</v>
      </c>
      <c r="C1775" t="s">
        <v>118</v>
      </c>
      <c r="D1775" t="s">
        <v>582</v>
      </c>
      <c r="E1775" t="s">
        <v>582</v>
      </c>
      <c r="F1775" s="705">
        <v>38</v>
      </c>
      <c r="G1775" s="705">
        <v>5446</v>
      </c>
      <c r="H1775" s="705">
        <v>9508</v>
      </c>
      <c r="I1775" s="705">
        <v>860939</v>
      </c>
      <c r="J1775" s="705">
        <v>782672</v>
      </c>
      <c r="K1775" s="705">
        <v>82</v>
      </c>
      <c r="L1775" s="705">
        <v>162389</v>
      </c>
      <c r="M1775" s="705">
        <v>142986</v>
      </c>
      <c r="N1775" s="705">
        <v>106528</v>
      </c>
      <c r="O1775" s="705">
        <v>39455</v>
      </c>
      <c r="P1775" s="705">
        <v>18063</v>
      </c>
      <c r="Q1775" s="705">
        <v>6690</v>
      </c>
      <c r="R1775" s="705">
        <v>188602</v>
      </c>
      <c r="S1775" s="705">
        <v>171456</v>
      </c>
      <c r="T1775" s="705">
        <v>30507</v>
      </c>
      <c r="U1775" s="705">
        <v>11299</v>
      </c>
      <c r="V1775" s="705">
        <v>1154558</v>
      </c>
      <c r="W1775" s="705">
        <f t="shared" si="76"/>
        <v>1154558</v>
      </c>
      <c r="X1775" s="705">
        <f t="shared" si="77"/>
        <v>1367028</v>
      </c>
    </row>
    <row r="1776" spans="2:24">
      <c r="B1776" t="s">
        <v>546</v>
      </c>
      <c r="C1776" t="s">
        <v>118</v>
      </c>
      <c r="D1776" t="s">
        <v>228</v>
      </c>
      <c r="E1776" t="s">
        <v>228</v>
      </c>
      <c r="F1776" s="705">
        <v>24</v>
      </c>
      <c r="G1776" s="705">
        <v>4026</v>
      </c>
      <c r="H1776" s="705">
        <v>6441</v>
      </c>
      <c r="I1776" s="705">
        <v>698602</v>
      </c>
      <c r="J1776" s="705">
        <v>258742</v>
      </c>
      <c r="K1776" s="705">
        <v>106</v>
      </c>
      <c r="L1776" s="705">
        <v>111334</v>
      </c>
      <c r="M1776" s="705">
        <v>93776</v>
      </c>
      <c r="N1776" s="705">
        <v>90575</v>
      </c>
      <c r="O1776" s="705">
        <v>33546</v>
      </c>
      <c r="P1776" s="705">
        <v>1855</v>
      </c>
      <c r="Q1776" s="705">
        <v>687</v>
      </c>
      <c r="R1776" s="705">
        <v>200547</v>
      </c>
      <c r="S1776" s="705">
        <v>74277</v>
      </c>
      <c r="T1776" s="705">
        <v>0</v>
      </c>
      <c r="U1776" s="705">
        <v>0</v>
      </c>
      <c r="V1776" s="705">
        <v>461028</v>
      </c>
      <c r="W1776" s="705">
        <f t="shared" si="76"/>
        <v>461028</v>
      </c>
      <c r="X1776" s="705">
        <f t="shared" si="77"/>
        <v>1102913</v>
      </c>
    </row>
    <row r="1777" spans="2:24">
      <c r="B1777" t="s">
        <v>546</v>
      </c>
      <c r="C1777" t="s">
        <v>118</v>
      </c>
      <c r="D1777" t="s">
        <v>228</v>
      </c>
      <c r="E1777" t="s">
        <v>665</v>
      </c>
      <c r="F1777" s="705">
        <v>1</v>
      </c>
      <c r="G1777" s="705">
        <v>148</v>
      </c>
      <c r="H1777" s="705">
        <v>231</v>
      </c>
      <c r="I1777" s="705">
        <v>20128</v>
      </c>
      <c r="J1777" s="705">
        <v>7455</v>
      </c>
      <c r="K1777" s="705">
        <v>100</v>
      </c>
      <c r="L1777" s="705">
        <v>1283</v>
      </c>
      <c r="M1777" s="705">
        <v>1167</v>
      </c>
      <c r="N1777" s="705">
        <v>3436</v>
      </c>
      <c r="O1777" s="705">
        <v>1273</v>
      </c>
      <c r="P1777" s="705">
        <v>351</v>
      </c>
      <c r="Q1777" s="705">
        <v>130</v>
      </c>
      <c r="R1777" s="705">
        <v>6150</v>
      </c>
      <c r="S1777" s="705">
        <v>5591</v>
      </c>
      <c r="T1777" s="705">
        <v>3002</v>
      </c>
      <c r="U1777" s="705">
        <v>1112</v>
      </c>
      <c r="V1777" s="705">
        <v>16727</v>
      </c>
      <c r="W1777" s="705">
        <f t="shared" si="76"/>
        <v>16728</v>
      </c>
      <c r="X1777" s="705">
        <f t="shared" si="77"/>
        <v>34350</v>
      </c>
    </row>
    <row r="1778" spans="2:24">
      <c r="B1778" t="s">
        <v>546</v>
      </c>
      <c r="C1778" t="s">
        <v>118</v>
      </c>
      <c r="D1778" t="s">
        <v>583</v>
      </c>
      <c r="E1778" t="s">
        <v>664</v>
      </c>
      <c r="F1778" s="705">
        <v>5</v>
      </c>
      <c r="G1778" s="705">
        <v>784</v>
      </c>
      <c r="H1778" s="705">
        <v>1269</v>
      </c>
      <c r="I1778" s="705">
        <v>121002</v>
      </c>
      <c r="J1778" s="705">
        <v>110002</v>
      </c>
      <c r="K1778" s="705">
        <v>71</v>
      </c>
      <c r="L1778" s="705">
        <v>23312</v>
      </c>
      <c r="M1778" s="705">
        <v>21193</v>
      </c>
      <c r="N1778" s="705">
        <v>13698</v>
      </c>
      <c r="O1778" s="705">
        <v>5073</v>
      </c>
      <c r="P1778" s="705">
        <v>3456</v>
      </c>
      <c r="Q1778" s="705">
        <v>1280</v>
      </c>
      <c r="R1778" s="705">
        <v>26236</v>
      </c>
      <c r="S1778" s="705">
        <v>23851</v>
      </c>
      <c r="T1778" s="705">
        <v>9561</v>
      </c>
      <c r="U1778" s="705">
        <v>3541</v>
      </c>
      <c r="V1778" s="705">
        <v>164940</v>
      </c>
      <c r="W1778" s="705">
        <f t="shared" si="76"/>
        <v>164940</v>
      </c>
      <c r="X1778" s="705">
        <f t="shared" si="77"/>
        <v>197265</v>
      </c>
    </row>
    <row r="1779" spans="2:24">
      <c r="B1779" t="s">
        <v>546</v>
      </c>
      <c r="C1779" t="s">
        <v>118</v>
      </c>
      <c r="D1779" t="s">
        <v>583</v>
      </c>
      <c r="E1779" t="s">
        <v>228</v>
      </c>
      <c r="F1779" s="705">
        <v>6</v>
      </c>
      <c r="G1779" s="705">
        <v>624</v>
      </c>
      <c r="H1779" s="705">
        <v>1564</v>
      </c>
      <c r="I1779" s="705">
        <v>83794</v>
      </c>
      <c r="J1779" s="705">
        <v>76176</v>
      </c>
      <c r="K1779" s="705">
        <v>82</v>
      </c>
      <c r="L1779" s="705">
        <v>20079</v>
      </c>
      <c r="M1779" s="705">
        <v>18253</v>
      </c>
      <c r="N1779" s="705">
        <v>10932</v>
      </c>
      <c r="O1779" s="705">
        <v>4049</v>
      </c>
      <c r="P1779" s="705">
        <v>3726</v>
      </c>
      <c r="Q1779" s="705">
        <v>1380</v>
      </c>
      <c r="R1779" s="705">
        <v>49555</v>
      </c>
      <c r="S1779" s="705">
        <v>18354</v>
      </c>
      <c r="T1779" s="705">
        <v>3143</v>
      </c>
      <c r="U1779" s="705">
        <v>1164</v>
      </c>
      <c r="V1779" s="705">
        <v>119376</v>
      </c>
      <c r="W1779" s="705">
        <f t="shared" si="76"/>
        <v>119376</v>
      </c>
      <c r="X1779" s="705">
        <f t="shared" si="77"/>
        <v>171229</v>
      </c>
    </row>
    <row r="1780" spans="2:24">
      <c r="B1780" t="s">
        <v>546</v>
      </c>
      <c r="C1780" t="s">
        <v>118</v>
      </c>
      <c r="D1780" t="s">
        <v>583</v>
      </c>
      <c r="E1780" t="s">
        <v>583</v>
      </c>
      <c r="F1780" s="705">
        <v>2499</v>
      </c>
      <c r="G1780" s="705">
        <v>327800</v>
      </c>
      <c r="H1780" s="705">
        <v>654204</v>
      </c>
      <c r="I1780" s="705">
        <v>50332122</v>
      </c>
      <c r="J1780" s="705">
        <v>45756475</v>
      </c>
      <c r="K1780" s="705">
        <v>80</v>
      </c>
      <c r="L1780" s="705">
        <v>10431240</v>
      </c>
      <c r="M1780" s="705">
        <v>9256073</v>
      </c>
      <c r="N1780" s="705">
        <v>6794373</v>
      </c>
      <c r="O1780" s="705">
        <v>2516434</v>
      </c>
      <c r="P1780" s="705">
        <v>1634427</v>
      </c>
      <c r="Q1780" s="705">
        <v>605343</v>
      </c>
      <c r="R1780" s="705">
        <v>13174737</v>
      </c>
      <c r="S1780" s="705">
        <v>11977034</v>
      </c>
      <c r="T1780" s="705">
        <v>4488319</v>
      </c>
      <c r="U1780" s="705">
        <v>1662340</v>
      </c>
      <c r="V1780" s="705">
        <v>71773699</v>
      </c>
      <c r="W1780" s="705">
        <f t="shared" si="76"/>
        <v>71773699</v>
      </c>
      <c r="X1780" s="705">
        <f t="shared" si="77"/>
        <v>86855218</v>
      </c>
    </row>
    <row r="1781" spans="2:24">
      <c r="B1781" t="s">
        <v>546</v>
      </c>
      <c r="C1781" t="s">
        <v>118</v>
      </c>
      <c r="D1781" t="s">
        <v>583</v>
      </c>
      <c r="E1781" t="s">
        <v>666</v>
      </c>
      <c r="F1781" s="705">
        <v>2</v>
      </c>
      <c r="G1781" s="705">
        <v>317</v>
      </c>
      <c r="H1781" s="705">
        <v>481</v>
      </c>
      <c r="I1781" s="705">
        <v>54156</v>
      </c>
      <c r="J1781" s="705">
        <v>49233</v>
      </c>
      <c r="K1781" s="705">
        <v>75</v>
      </c>
      <c r="L1781" s="705">
        <v>10741</v>
      </c>
      <c r="M1781" s="705">
        <v>9764</v>
      </c>
      <c r="N1781" s="705">
        <v>7881</v>
      </c>
      <c r="O1781" s="705">
        <v>2919</v>
      </c>
      <c r="P1781" s="705">
        <v>1242</v>
      </c>
      <c r="Q1781" s="705">
        <v>460</v>
      </c>
      <c r="R1781" s="705">
        <v>8729</v>
      </c>
      <c r="S1781" s="705">
        <v>7936</v>
      </c>
      <c r="T1781" s="705">
        <v>3149</v>
      </c>
      <c r="U1781" s="705">
        <v>1166</v>
      </c>
      <c r="V1781" s="705">
        <v>71477</v>
      </c>
      <c r="W1781" s="705">
        <f t="shared" si="76"/>
        <v>71478</v>
      </c>
      <c r="X1781" s="705">
        <f t="shared" si="77"/>
        <v>85898</v>
      </c>
    </row>
    <row r="1782" spans="2:24">
      <c r="B1782" t="s">
        <v>546</v>
      </c>
      <c r="C1782" t="s">
        <v>118</v>
      </c>
      <c r="D1782" t="s">
        <v>583</v>
      </c>
      <c r="E1782" t="s">
        <v>584</v>
      </c>
      <c r="F1782" s="705">
        <v>3</v>
      </c>
      <c r="G1782" s="705">
        <v>381</v>
      </c>
      <c r="H1782" s="705">
        <v>762</v>
      </c>
      <c r="I1782" s="705">
        <v>49784</v>
      </c>
      <c r="J1782" s="705">
        <v>45258</v>
      </c>
      <c r="K1782" s="705">
        <v>86</v>
      </c>
      <c r="L1782" s="705">
        <v>13299</v>
      </c>
      <c r="M1782" s="705">
        <v>11864</v>
      </c>
      <c r="N1782" s="705">
        <v>9162</v>
      </c>
      <c r="O1782" s="705">
        <v>3393</v>
      </c>
      <c r="P1782" s="705">
        <v>1863</v>
      </c>
      <c r="Q1782" s="705">
        <v>690</v>
      </c>
      <c r="R1782" s="705">
        <v>17931</v>
      </c>
      <c r="S1782" s="705">
        <v>16301</v>
      </c>
      <c r="T1782" s="705">
        <v>5097</v>
      </c>
      <c r="U1782" s="705">
        <v>1888</v>
      </c>
      <c r="V1782" s="705">
        <v>79395</v>
      </c>
      <c r="W1782" s="705">
        <f t="shared" si="76"/>
        <v>79394</v>
      </c>
      <c r="X1782" s="705">
        <f t="shared" si="77"/>
        <v>97136</v>
      </c>
    </row>
    <row r="1783" spans="2:24">
      <c r="B1783" t="s">
        <v>546</v>
      </c>
      <c r="C1783" t="s">
        <v>118</v>
      </c>
      <c r="D1783" t="s">
        <v>583</v>
      </c>
      <c r="E1783" t="s">
        <v>665</v>
      </c>
      <c r="F1783" s="705">
        <v>5</v>
      </c>
      <c r="G1783" s="705">
        <v>877</v>
      </c>
      <c r="H1783" s="705">
        <v>1330</v>
      </c>
      <c r="I1783" s="705">
        <v>129542</v>
      </c>
      <c r="J1783" s="705">
        <v>117765</v>
      </c>
      <c r="K1783" s="705">
        <v>78</v>
      </c>
      <c r="L1783" s="705">
        <v>30929</v>
      </c>
      <c r="M1783" s="705">
        <v>24924</v>
      </c>
      <c r="N1783" s="705">
        <v>17574</v>
      </c>
      <c r="O1783" s="705">
        <v>6509</v>
      </c>
      <c r="P1783" s="705">
        <v>3105</v>
      </c>
      <c r="Q1783" s="705">
        <v>1150</v>
      </c>
      <c r="R1783" s="705">
        <v>41948</v>
      </c>
      <c r="S1783" s="705">
        <v>38135</v>
      </c>
      <c r="T1783" s="705">
        <v>6567</v>
      </c>
      <c r="U1783" s="705">
        <v>2432</v>
      </c>
      <c r="V1783" s="705">
        <v>190915</v>
      </c>
      <c r="W1783" s="705">
        <f t="shared" si="76"/>
        <v>190915</v>
      </c>
      <c r="X1783" s="705">
        <f t="shared" si="77"/>
        <v>229665</v>
      </c>
    </row>
    <row r="1784" spans="2:24">
      <c r="B1784" t="s">
        <v>546</v>
      </c>
      <c r="C1784" t="s">
        <v>118</v>
      </c>
      <c r="D1784" t="s">
        <v>666</v>
      </c>
      <c r="E1784" t="s">
        <v>666</v>
      </c>
      <c r="F1784" s="705">
        <v>13</v>
      </c>
      <c r="G1784" s="705">
        <v>1490</v>
      </c>
      <c r="H1784" s="705">
        <v>3673</v>
      </c>
      <c r="I1784" s="705">
        <v>252740</v>
      </c>
      <c r="J1784" s="705">
        <v>229763</v>
      </c>
      <c r="K1784" s="705">
        <v>62</v>
      </c>
      <c r="L1784" s="705">
        <v>38242</v>
      </c>
      <c r="M1784" s="705">
        <v>28767</v>
      </c>
      <c r="N1784" s="705">
        <v>30764</v>
      </c>
      <c r="O1784" s="705">
        <v>11394</v>
      </c>
      <c r="P1784" s="705">
        <v>4212</v>
      </c>
      <c r="Q1784" s="705">
        <v>1560</v>
      </c>
      <c r="R1784" s="705">
        <v>69417</v>
      </c>
      <c r="S1784" s="705">
        <v>63107</v>
      </c>
      <c r="T1784" s="705">
        <v>29305</v>
      </c>
      <c r="U1784" s="705">
        <v>10854</v>
      </c>
      <c r="V1784" s="705">
        <v>345445</v>
      </c>
      <c r="W1784" s="705">
        <f t="shared" si="76"/>
        <v>345445</v>
      </c>
      <c r="X1784" s="705">
        <f t="shared" si="77"/>
        <v>424680</v>
      </c>
    </row>
    <row r="1785" spans="2:24">
      <c r="B1785" t="s">
        <v>546</v>
      </c>
      <c r="C1785" t="s">
        <v>118</v>
      </c>
      <c r="D1785" t="s">
        <v>584</v>
      </c>
      <c r="E1785" t="s">
        <v>582</v>
      </c>
      <c r="F1785" s="705">
        <v>1</v>
      </c>
      <c r="G1785" s="705">
        <v>97</v>
      </c>
      <c r="H1785" s="705">
        <v>299</v>
      </c>
      <c r="I1785" s="705">
        <v>15874</v>
      </c>
      <c r="J1785" s="705">
        <v>14431</v>
      </c>
      <c r="K1785" s="705">
        <v>90</v>
      </c>
      <c r="L1785" s="705">
        <v>5510</v>
      </c>
      <c r="M1785" s="705">
        <v>4591</v>
      </c>
      <c r="N1785" s="705">
        <v>2369</v>
      </c>
      <c r="O1785" s="705">
        <v>877</v>
      </c>
      <c r="P1785" s="705">
        <v>473</v>
      </c>
      <c r="Q1785" s="705">
        <v>175</v>
      </c>
      <c r="R1785" s="705">
        <v>4809</v>
      </c>
      <c r="S1785" s="705">
        <v>4372</v>
      </c>
      <c r="T1785" s="705">
        <v>0</v>
      </c>
      <c r="U1785" s="705">
        <v>0</v>
      </c>
      <c r="V1785" s="705">
        <v>24447</v>
      </c>
      <c r="W1785" s="705">
        <f t="shared" si="76"/>
        <v>24446</v>
      </c>
      <c r="X1785" s="705">
        <f t="shared" si="77"/>
        <v>29035</v>
      </c>
    </row>
    <row r="1786" spans="2:24">
      <c r="B1786" t="s">
        <v>546</v>
      </c>
      <c r="C1786" t="s">
        <v>118</v>
      </c>
      <c r="D1786" t="s">
        <v>584</v>
      </c>
      <c r="E1786" t="s">
        <v>228</v>
      </c>
      <c r="F1786" s="705">
        <v>2</v>
      </c>
      <c r="G1786" s="705">
        <v>215</v>
      </c>
      <c r="H1786" s="705">
        <v>540</v>
      </c>
      <c r="I1786" s="705">
        <v>36154</v>
      </c>
      <c r="J1786" s="705">
        <v>32867</v>
      </c>
      <c r="K1786" s="705">
        <v>77</v>
      </c>
      <c r="L1786" s="705">
        <v>7169</v>
      </c>
      <c r="M1786" s="705">
        <v>6518</v>
      </c>
      <c r="N1786" s="705">
        <v>5463</v>
      </c>
      <c r="O1786" s="705">
        <v>2023</v>
      </c>
      <c r="P1786" s="705">
        <v>945</v>
      </c>
      <c r="Q1786" s="705">
        <v>350</v>
      </c>
      <c r="R1786" s="705">
        <v>16389</v>
      </c>
      <c r="S1786" s="705">
        <v>6070</v>
      </c>
      <c r="T1786" s="705">
        <v>0</v>
      </c>
      <c r="U1786" s="705">
        <v>0</v>
      </c>
      <c r="V1786" s="705">
        <v>47828</v>
      </c>
      <c r="W1786" s="705">
        <f t="shared" si="76"/>
        <v>47828</v>
      </c>
      <c r="X1786" s="705">
        <f t="shared" si="77"/>
        <v>66120</v>
      </c>
    </row>
    <row r="1787" spans="2:24">
      <c r="B1787" t="s">
        <v>546</v>
      </c>
      <c r="C1787" t="s">
        <v>118</v>
      </c>
      <c r="D1787" t="s">
        <v>584</v>
      </c>
      <c r="E1787" t="s">
        <v>584</v>
      </c>
      <c r="F1787" s="705">
        <v>431</v>
      </c>
      <c r="G1787" s="705">
        <v>56407</v>
      </c>
      <c r="H1787" s="705">
        <v>111171</v>
      </c>
      <c r="I1787" s="705">
        <v>8121929</v>
      </c>
      <c r="J1787" s="705">
        <v>7383572</v>
      </c>
      <c r="K1787" s="705">
        <v>79</v>
      </c>
      <c r="L1787" s="705">
        <v>2188193</v>
      </c>
      <c r="M1787" s="705">
        <v>1886446</v>
      </c>
      <c r="N1787" s="705">
        <v>1189330</v>
      </c>
      <c r="O1787" s="705">
        <v>440493</v>
      </c>
      <c r="P1787" s="705">
        <v>210354</v>
      </c>
      <c r="Q1787" s="705">
        <v>77909</v>
      </c>
      <c r="R1787" s="705">
        <v>2267057</v>
      </c>
      <c r="S1787" s="705">
        <v>2060961</v>
      </c>
      <c r="T1787" s="705">
        <v>725656</v>
      </c>
      <c r="U1787" s="705">
        <v>268762</v>
      </c>
      <c r="V1787" s="705">
        <v>12118141</v>
      </c>
      <c r="W1787" s="705">
        <f t="shared" si="76"/>
        <v>12118143</v>
      </c>
      <c r="X1787" s="705">
        <f t="shared" si="77"/>
        <v>14702519</v>
      </c>
    </row>
    <row r="1788" spans="2:24">
      <c r="B1788" t="s">
        <v>546</v>
      </c>
      <c r="C1788" t="s">
        <v>118</v>
      </c>
      <c r="D1788" t="s">
        <v>584</v>
      </c>
      <c r="E1788" t="s">
        <v>665</v>
      </c>
      <c r="F1788" s="705">
        <v>2</v>
      </c>
      <c r="G1788" s="705">
        <v>293</v>
      </c>
      <c r="H1788" s="705">
        <v>552</v>
      </c>
      <c r="I1788" s="705">
        <v>44156</v>
      </c>
      <c r="J1788" s="705">
        <v>40141</v>
      </c>
      <c r="K1788" s="705">
        <v>76</v>
      </c>
      <c r="L1788" s="705">
        <v>11771</v>
      </c>
      <c r="M1788" s="705">
        <v>10701</v>
      </c>
      <c r="N1788" s="705">
        <v>7150</v>
      </c>
      <c r="O1788" s="705">
        <v>2648</v>
      </c>
      <c r="P1788" s="705">
        <v>945</v>
      </c>
      <c r="Q1788" s="705">
        <v>350</v>
      </c>
      <c r="R1788" s="705">
        <v>13336</v>
      </c>
      <c r="S1788" s="705">
        <v>12123</v>
      </c>
      <c r="T1788" s="705">
        <v>3748</v>
      </c>
      <c r="U1788" s="705">
        <v>1388</v>
      </c>
      <c r="V1788" s="705">
        <v>67352</v>
      </c>
      <c r="W1788" s="705">
        <f t="shared" si="76"/>
        <v>67351</v>
      </c>
      <c r="X1788" s="705">
        <f t="shared" si="77"/>
        <v>81106</v>
      </c>
    </row>
    <row r="1789" spans="2:24">
      <c r="B1789" t="s">
        <v>546</v>
      </c>
      <c r="C1789" t="s">
        <v>118</v>
      </c>
      <c r="D1789" t="s">
        <v>669</v>
      </c>
      <c r="E1789" t="s">
        <v>669</v>
      </c>
      <c r="F1789" s="705">
        <v>3</v>
      </c>
      <c r="G1789" s="705">
        <v>418</v>
      </c>
      <c r="H1789" s="705">
        <v>838</v>
      </c>
      <c r="I1789" s="705">
        <v>71417</v>
      </c>
      <c r="J1789" s="705">
        <v>59514</v>
      </c>
      <c r="K1789" s="705">
        <v>58</v>
      </c>
      <c r="L1789" s="705">
        <v>6858</v>
      </c>
      <c r="M1789" s="705">
        <v>5048</v>
      </c>
      <c r="N1789" s="705">
        <v>10195</v>
      </c>
      <c r="O1789" s="705">
        <v>3776</v>
      </c>
      <c r="P1789" s="705">
        <v>1323</v>
      </c>
      <c r="Q1789" s="705">
        <v>490</v>
      </c>
      <c r="R1789" s="705">
        <v>22370</v>
      </c>
      <c r="S1789" s="705">
        <v>18641</v>
      </c>
      <c r="T1789" s="705">
        <v>4419</v>
      </c>
      <c r="U1789" s="705">
        <v>1637</v>
      </c>
      <c r="V1789" s="705">
        <v>89106</v>
      </c>
      <c r="W1789" s="705">
        <f t="shared" si="76"/>
        <v>89106</v>
      </c>
      <c r="X1789" s="705">
        <f t="shared" si="77"/>
        <v>116582</v>
      </c>
    </row>
    <row r="1790" spans="2:24">
      <c r="B1790" t="s">
        <v>546</v>
      </c>
      <c r="C1790" t="s">
        <v>118</v>
      </c>
      <c r="D1790" t="s">
        <v>665</v>
      </c>
      <c r="E1790" t="s">
        <v>228</v>
      </c>
      <c r="F1790" s="705">
        <v>4</v>
      </c>
      <c r="G1790" s="705">
        <v>291</v>
      </c>
      <c r="H1790" s="705">
        <v>1160</v>
      </c>
      <c r="I1790" s="705">
        <v>41874</v>
      </c>
      <c r="J1790" s="705">
        <v>38067</v>
      </c>
      <c r="K1790" s="705">
        <v>69</v>
      </c>
      <c r="L1790" s="705">
        <v>7465</v>
      </c>
      <c r="M1790" s="705">
        <v>2765</v>
      </c>
      <c r="N1790" s="705">
        <v>4583</v>
      </c>
      <c r="O1790" s="705">
        <v>1697</v>
      </c>
      <c r="P1790" s="705">
        <v>1053</v>
      </c>
      <c r="Q1790" s="705">
        <v>390</v>
      </c>
      <c r="R1790" s="705">
        <v>29188</v>
      </c>
      <c r="S1790" s="705">
        <v>10810</v>
      </c>
      <c r="T1790" s="705">
        <v>0</v>
      </c>
      <c r="U1790" s="705">
        <v>0</v>
      </c>
      <c r="V1790" s="705">
        <v>53730</v>
      </c>
      <c r="W1790" s="705">
        <f t="shared" si="76"/>
        <v>53729</v>
      </c>
      <c r="X1790" s="705">
        <f t="shared" si="77"/>
        <v>84163</v>
      </c>
    </row>
    <row r="1791" spans="2:24">
      <c r="B1791" t="s">
        <v>546</v>
      </c>
      <c r="C1791" t="s">
        <v>118</v>
      </c>
      <c r="D1791" t="s">
        <v>665</v>
      </c>
      <c r="E1791" t="s">
        <v>665</v>
      </c>
      <c r="F1791" s="705">
        <v>51</v>
      </c>
      <c r="G1791" s="705">
        <v>6159</v>
      </c>
      <c r="H1791" s="705">
        <v>14192</v>
      </c>
      <c r="I1791" s="705">
        <v>1090809</v>
      </c>
      <c r="J1791" s="705">
        <v>991645</v>
      </c>
      <c r="K1791" s="705">
        <v>64</v>
      </c>
      <c r="L1791" s="705">
        <v>151430</v>
      </c>
      <c r="M1791" s="705">
        <v>122536</v>
      </c>
      <c r="N1791" s="705">
        <v>114842</v>
      </c>
      <c r="O1791" s="705">
        <v>42534</v>
      </c>
      <c r="P1791" s="705">
        <v>22725</v>
      </c>
      <c r="Q1791" s="705">
        <v>8417</v>
      </c>
      <c r="R1791" s="705">
        <v>254271</v>
      </c>
      <c r="S1791" s="705">
        <v>231155</v>
      </c>
      <c r="T1791" s="705">
        <v>109016</v>
      </c>
      <c r="U1791" s="705">
        <v>40376</v>
      </c>
      <c r="V1791" s="705">
        <v>1436663</v>
      </c>
      <c r="W1791" s="705">
        <f t="shared" si="76"/>
        <v>1436663</v>
      </c>
      <c r="X1791" s="705">
        <f t="shared" si="77"/>
        <v>1743093</v>
      </c>
    </row>
    <row r="1792" spans="2:24">
      <c r="B1792" t="s">
        <v>546</v>
      </c>
      <c r="C1792" t="s">
        <v>118</v>
      </c>
      <c r="D1792" t="s">
        <v>673</v>
      </c>
      <c r="E1792" t="s">
        <v>673</v>
      </c>
      <c r="F1792" s="705">
        <v>4</v>
      </c>
      <c r="G1792" s="705">
        <v>333</v>
      </c>
      <c r="H1792" s="705">
        <v>1119</v>
      </c>
      <c r="I1792" s="705">
        <v>61603</v>
      </c>
      <c r="J1792" s="705">
        <v>56002</v>
      </c>
      <c r="K1792" s="705">
        <v>60</v>
      </c>
      <c r="L1792" s="705">
        <v>10567</v>
      </c>
      <c r="M1792" s="705">
        <v>9606</v>
      </c>
      <c r="N1792" s="705">
        <v>8106</v>
      </c>
      <c r="O1792" s="705">
        <v>3002</v>
      </c>
      <c r="P1792" s="705">
        <v>1404</v>
      </c>
      <c r="Q1792" s="705">
        <v>520</v>
      </c>
      <c r="R1792" s="705">
        <v>11640</v>
      </c>
      <c r="S1792" s="705">
        <v>10582</v>
      </c>
      <c r="T1792" s="705">
        <v>0</v>
      </c>
      <c r="U1792" s="705">
        <v>0</v>
      </c>
      <c r="V1792" s="705">
        <v>79713</v>
      </c>
      <c r="W1792" s="705">
        <f t="shared" si="76"/>
        <v>79712</v>
      </c>
      <c r="X1792" s="705">
        <f t="shared" si="77"/>
        <v>93320</v>
      </c>
    </row>
    <row r="1793" spans="2:24">
      <c r="B1793" t="s">
        <v>546</v>
      </c>
      <c r="C1793" t="s">
        <v>118</v>
      </c>
      <c r="D1793" t="s">
        <v>585</v>
      </c>
      <c r="E1793" t="s">
        <v>585</v>
      </c>
      <c r="F1793" s="705">
        <v>3</v>
      </c>
      <c r="G1793" s="705">
        <v>444</v>
      </c>
      <c r="H1793" s="705">
        <v>735</v>
      </c>
      <c r="I1793" s="705">
        <v>61487</v>
      </c>
      <c r="J1793" s="705">
        <v>55897</v>
      </c>
      <c r="K1793" s="705">
        <v>71</v>
      </c>
      <c r="L1793" s="705">
        <v>18073</v>
      </c>
      <c r="M1793" s="705">
        <v>13886</v>
      </c>
      <c r="N1793" s="705">
        <v>8095</v>
      </c>
      <c r="O1793" s="705">
        <v>2998</v>
      </c>
      <c r="P1793" s="705">
        <v>1053</v>
      </c>
      <c r="Q1793" s="705">
        <v>390</v>
      </c>
      <c r="R1793" s="705">
        <v>20503</v>
      </c>
      <c r="S1793" s="705">
        <v>18639</v>
      </c>
      <c r="T1793" s="705">
        <v>0</v>
      </c>
      <c r="U1793" s="705">
        <v>0</v>
      </c>
      <c r="V1793" s="705">
        <v>91811</v>
      </c>
      <c r="W1793" s="705">
        <f t="shared" si="76"/>
        <v>91810</v>
      </c>
      <c r="X1793" s="705">
        <f t="shared" si="77"/>
        <v>109211</v>
      </c>
    </row>
    <row r="1794" spans="2:24">
      <c r="B1794" t="s">
        <v>546</v>
      </c>
      <c r="C1794" t="s">
        <v>118</v>
      </c>
      <c r="D1794" t="s">
        <v>585</v>
      </c>
      <c r="E1794" t="s">
        <v>668</v>
      </c>
      <c r="F1794" s="705">
        <v>3</v>
      </c>
      <c r="G1794" s="705">
        <v>444</v>
      </c>
      <c r="H1794" s="705">
        <v>763</v>
      </c>
      <c r="I1794" s="705">
        <v>75852</v>
      </c>
      <c r="J1794" s="705">
        <v>68957</v>
      </c>
      <c r="K1794" s="705">
        <v>74</v>
      </c>
      <c r="L1794" s="705">
        <v>15650</v>
      </c>
      <c r="M1794" s="705">
        <v>14228</v>
      </c>
      <c r="N1794" s="705">
        <v>8660</v>
      </c>
      <c r="O1794" s="705">
        <v>3208</v>
      </c>
      <c r="P1794" s="705">
        <v>1053</v>
      </c>
      <c r="Q1794" s="705">
        <v>390</v>
      </c>
      <c r="R1794" s="705">
        <v>17715</v>
      </c>
      <c r="S1794" s="705">
        <v>16104</v>
      </c>
      <c r="T1794" s="705">
        <v>2586</v>
      </c>
      <c r="U1794" s="705">
        <v>958</v>
      </c>
      <c r="V1794" s="705">
        <v>103844</v>
      </c>
      <c r="W1794" s="705">
        <f t="shared" si="76"/>
        <v>103845</v>
      </c>
      <c r="X1794" s="705">
        <f t="shared" si="77"/>
        <v>121516</v>
      </c>
    </row>
    <row r="1795" spans="2:24">
      <c r="B1795" t="s">
        <v>546</v>
      </c>
      <c r="C1795" t="s">
        <v>118</v>
      </c>
      <c r="D1795" t="s">
        <v>668</v>
      </c>
      <c r="E1795" t="s">
        <v>668</v>
      </c>
      <c r="F1795" s="705">
        <v>4</v>
      </c>
      <c r="G1795" s="705">
        <v>477</v>
      </c>
      <c r="H1795" s="705">
        <v>1007</v>
      </c>
      <c r="I1795" s="705">
        <v>78338</v>
      </c>
      <c r="J1795" s="705">
        <v>71216</v>
      </c>
      <c r="K1795" s="705">
        <v>71</v>
      </c>
      <c r="L1795" s="705">
        <v>8357</v>
      </c>
      <c r="M1795" s="705">
        <v>7597</v>
      </c>
      <c r="N1795" s="705">
        <v>9810</v>
      </c>
      <c r="O1795" s="705">
        <v>3634</v>
      </c>
      <c r="P1795" s="705">
        <v>1404</v>
      </c>
      <c r="Q1795" s="705">
        <v>520</v>
      </c>
      <c r="R1795" s="705">
        <v>17965</v>
      </c>
      <c r="S1795" s="705">
        <v>16332</v>
      </c>
      <c r="T1795" s="705">
        <v>4085</v>
      </c>
      <c r="U1795" s="705">
        <v>1513</v>
      </c>
      <c r="V1795" s="705">
        <v>100811</v>
      </c>
      <c r="W1795" s="705">
        <f t="shared" si="76"/>
        <v>100812</v>
      </c>
      <c r="X1795" s="705">
        <f t="shared" si="77"/>
        <v>119959</v>
      </c>
    </row>
    <row r="1796" spans="2:24">
      <c r="B1796" t="s">
        <v>546</v>
      </c>
      <c r="C1796" t="s">
        <v>120</v>
      </c>
      <c r="D1796" t="s">
        <v>674</v>
      </c>
      <c r="E1796" t="s">
        <v>674</v>
      </c>
      <c r="F1796" s="705">
        <v>1</v>
      </c>
      <c r="G1796" s="705">
        <v>75</v>
      </c>
      <c r="H1796" s="705">
        <v>325</v>
      </c>
      <c r="I1796" s="705">
        <v>14052</v>
      </c>
      <c r="J1796" s="705">
        <v>12774</v>
      </c>
      <c r="K1796" s="705">
        <v>65</v>
      </c>
      <c r="L1796" s="705">
        <v>2491</v>
      </c>
      <c r="M1796" s="705">
        <v>923</v>
      </c>
      <c r="N1796" s="705">
        <v>1372</v>
      </c>
      <c r="O1796" s="705">
        <v>508</v>
      </c>
      <c r="P1796" s="705">
        <v>351</v>
      </c>
      <c r="Q1796" s="705">
        <v>130</v>
      </c>
      <c r="R1796" s="705">
        <v>4054</v>
      </c>
      <c r="S1796" s="705">
        <v>3686</v>
      </c>
      <c r="T1796" s="705">
        <v>2099</v>
      </c>
      <c r="U1796" s="705">
        <v>777</v>
      </c>
      <c r="V1796" s="705">
        <v>18798</v>
      </c>
      <c r="W1796" s="705">
        <f t="shared" si="76"/>
        <v>18798</v>
      </c>
      <c r="X1796" s="705">
        <f t="shared" si="77"/>
        <v>24419</v>
      </c>
    </row>
    <row r="1797" spans="2:24">
      <c r="B1797" t="s">
        <v>546</v>
      </c>
      <c r="C1797" t="s">
        <v>120</v>
      </c>
      <c r="D1797" t="s">
        <v>664</v>
      </c>
      <c r="E1797" t="s">
        <v>664</v>
      </c>
      <c r="F1797" s="705">
        <v>1</v>
      </c>
      <c r="G1797" s="705">
        <v>104</v>
      </c>
      <c r="H1797" s="705">
        <v>348</v>
      </c>
      <c r="I1797" s="705">
        <v>24148</v>
      </c>
      <c r="J1797" s="705">
        <v>21953</v>
      </c>
      <c r="K1797" s="705">
        <v>91</v>
      </c>
      <c r="L1797" s="705">
        <v>3688</v>
      </c>
      <c r="M1797" s="705">
        <v>3353</v>
      </c>
      <c r="N1797" s="705">
        <v>2144</v>
      </c>
      <c r="O1797" s="705">
        <v>794</v>
      </c>
      <c r="P1797" s="705">
        <v>473</v>
      </c>
      <c r="Q1797" s="705">
        <v>175</v>
      </c>
      <c r="R1797" s="705">
        <v>5579</v>
      </c>
      <c r="S1797" s="705">
        <v>5072</v>
      </c>
      <c r="T1797" s="705">
        <v>0</v>
      </c>
      <c r="U1797" s="705">
        <v>0</v>
      </c>
      <c r="V1797" s="705">
        <v>31347</v>
      </c>
      <c r="W1797" s="705">
        <f t="shared" si="76"/>
        <v>31347</v>
      </c>
      <c r="X1797" s="705">
        <f t="shared" si="77"/>
        <v>36032</v>
      </c>
    </row>
    <row r="1798" spans="2:24">
      <c r="B1798" t="s">
        <v>546</v>
      </c>
      <c r="C1798" t="s">
        <v>120</v>
      </c>
      <c r="D1798" t="s">
        <v>664</v>
      </c>
      <c r="E1798" t="s">
        <v>583</v>
      </c>
      <c r="F1798" s="705">
        <v>1</v>
      </c>
      <c r="G1798" s="705">
        <v>135</v>
      </c>
      <c r="H1798" s="705">
        <v>376</v>
      </c>
      <c r="I1798" s="705">
        <v>32200</v>
      </c>
      <c r="J1798" s="705">
        <v>29273</v>
      </c>
      <c r="K1798" s="705">
        <v>65</v>
      </c>
      <c r="L1798" s="705">
        <v>7370</v>
      </c>
      <c r="M1798" s="705">
        <v>6700</v>
      </c>
      <c r="N1798" s="705">
        <v>3290</v>
      </c>
      <c r="O1798" s="705">
        <v>1218</v>
      </c>
      <c r="P1798" s="705">
        <v>621</v>
      </c>
      <c r="Q1798" s="705">
        <v>230</v>
      </c>
      <c r="R1798" s="705">
        <v>4381</v>
      </c>
      <c r="S1798" s="705">
        <v>3982</v>
      </c>
      <c r="T1798" s="705">
        <v>2851</v>
      </c>
      <c r="U1798" s="705">
        <v>1056</v>
      </c>
      <c r="V1798" s="705">
        <v>42460</v>
      </c>
      <c r="W1798" s="705">
        <f t="shared" si="76"/>
        <v>42459</v>
      </c>
      <c r="X1798" s="705">
        <f t="shared" si="77"/>
        <v>50713</v>
      </c>
    </row>
    <row r="1799" spans="2:24">
      <c r="B1799" t="s">
        <v>546</v>
      </c>
      <c r="C1799" t="s">
        <v>120</v>
      </c>
      <c r="D1799" t="s">
        <v>582</v>
      </c>
      <c r="E1799" t="s">
        <v>582</v>
      </c>
      <c r="F1799" s="705">
        <v>24</v>
      </c>
      <c r="G1799" s="705">
        <v>2816</v>
      </c>
      <c r="H1799" s="705">
        <v>8145</v>
      </c>
      <c r="I1799" s="705">
        <v>624046</v>
      </c>
      <c r="J1799" s="705">
        <v>567314</v>
      </c>
      <c r="K1799" s="705">
        <v>76</v>
      </c>
      <c r="L1799" s="705">
        <v>101222</v>
      </c>
      <c r="M1799" s="705">
        <v>91274</v>
      </c>
      <c r="N1799" s="705">
        <v>59919</v>
      </c>
      <c r="O1799" s="705">
        <v>22192</v>
      </c>
      <c r="P1799" s="705">
        <v>11597</v>
      </c>
      <c r="Q1799" s="705">
        <v>4295</v>
      </c>
      <c r="R1799" s="705">
        <v>116347</v>
      </c>
      <c r="S1799" s="705">
        <v>105770</v>
      </c>
      <c r="T1799" s="705">
        <v>34856</v>
      </c>
      <c r="U1799" s="705">
        <v>12909</v>
      </c>
      <c r="V1799" s="705">
        <v>803755</v>
      </c>
      <c r="W1799" s="705">
        <f t="shared" ref="W1799:W1862" si="78">SUM(ABS(J1799),ABS(M1799),ABS(O1799),ABS(Q1799),ABS(S1799),ABS(U1799))</f>
        <v>803754</v>
      </c>
      <c r="X1799" s="705">
        <f t="shared" ref="X1799:X1862" si="79">SUM(ABS(I1799),ABS(N1799),ABS(P1799),ABS(R1799),ABS(T1799),ABS(L1799))</f>
        <v>947987</v>
      </c>
    </row>
    <row r="1800" spans="2:24">
      <c r="B1800" t="s">
        <v>546</v>
      </c>
      <c r="C1800" t="s">
        <v>120</v>
      </c>
      <c r="D1800" t="s">
        <v>228</v>
      </c>
      <c r="E1800" t="s">
        <v>228</v>
      </c>
      <c r="F1800" s="705">
        <v>36</v>
      </c>
      <c r="G1800" s="705">
        <v>3577</v>
      </c>
      <c r="H1800" s="705">
        <v>12568</v>
      </c>
      <c r="I1800" s="705">
        <v>796198</v>
      </c>
      <c r="J1800" s="705">
        <v>294888</v>
      </c>
      <c r="K1800" s="705">
        <v>100</v>
      </c>
      <c r="L1800" s="705">
        <v>104531</v>
      </c>
      <c r="M1800" s="705">
        <v>87573</v>
      </c>
      <c r="N1800" s="705">
        <v>74624</v>
      </c>
      <c r="O1800" s="705">
        <v>27638</v>
      </c>
      <c r="P1800" s="705">
        <v>1053</v>
      </c>
      <c r="Q1800" s="705">
        <v>390</v>
      </c>
      <c r="R1800" s="705">
        <v>263752</v>
      </c>
      <c r="S1800" s="705">
        <v>97686</v>
      </c>
      <c r="T1800" s="705">
        <v>0</v>
      </c>
      <c r="U1800" s="705">
        <v>0</v>
      </c>
      <c r="V1800" s="705">
        <v>508175</v>
      </c>
      <c r="W1800" s="705">
        <f t="shared" si="78"/>
        <v>508175</v>
      </c>
      <c r="X1800" s="705">
        <f t="shared" si="79"/>
        <v>1240158</v>
      </c>
    </row>
    <row r="1801" spans="2:24">
      <c r="B1801" t="s">
        <v>546</v>
      </c>
      <c r="C1801" t="s">
        <v>120</v>
      </c>
      <c r="D1801" t="s">
        <v>228</v>
      </c>
      <c r="E1801" t="s">
        <v>583</v>
      </c>
      <c r="F1801" s="705">
        <v>2</v>
      </c>
      <c r="G1801" s="705">
        <v>268</v>
      </c>
      <c r="H1801" s="705">
        <v>646</v>
      </c>
      <c r="I1801" s="705">
        <v>59133</v>
      </c>
      <c r="J1801" s="705">
        <v>21901</v>
      </c>
      <c r="K1801" s="705">
        <v>100</v>
      </c>
      <c r="L1801" s="705">
        <v>5539</v>
      </c>
      <c r="M1801" s="705">
        <v>5035</v>
      </c>
      <c r="N1801" s="705">
        <v>5912</v>
      </c>
      <c r="O1801" s="705">
        <v>2190</v>
      </c>
      <c r="P1801" s="705">
        <v>270</v>
      </c>
      <c r="Q1801" s="705">
        <v>100</v>
      </c>
      <c r="R1801" s="705">
        <v>9472</v>
      </c>
      <c r="S1801" s="705">
        <v>8611</v>
      </c>
      <c r="T1801" s="705">
        <v>6121</v>
      </c>
      <c r="U1801" s="705">
        <v>2267</v>
      </c>
      <c r="V1801" s="705">
        <v>40104</v>
      </c>
      <c r="W1801" s="705">
        <f t="shared" si="78"/>
        <v>40104</v>
      </c>
      <c r="X1801" s="705">
        <f t="shared" si="79"/>
        <v>86447</v>
      </c>
    </row>
    <row r="1802" spans="2:24">
      <c r="B1802" t="s">
        <v>546</v>
      </c>
      <c r="C1802" t="s">
        <v>120</v>
      </c>
      <c r="D1802" t="s">
        <v>228</v>
      </c>
      <c r="E1802" t="s">
        <v>665</v>
      </c>
      <c r="F1802" s="705">
        <v>1</v>
      </c>
      <c r="G1802" s="705">
        <v>61</v>
      </c>
      <c r="H1802" s="705">
        <v>379</v>
      </c>
      <c r="I1802" s="705">
        <v>14736</v>
      </c>
      <c r="J1802" s="705">
        <v>5458</v>
      </c>
      <c r="K1802" s="705">
        <v>100</v>
      </c>
      <c r="L1802" s="705">
        <v>981</v>
      </c>
      <c r="M1802" s="705">
        <v>892</v>
      </c>
      <c r="N1802" s="705">
        <v>1043</v>
      </c>
      <c r="O1802" s="705">
        <v>386</v>
      </c>
      <c r="P1802" s="705">
        <v>0</v>
      </c>
      <c r="Q1802" s="705">
        <v>0</v>
      </c>
      <c r="R1802" s="705">
        <v>6232</v>
      </c>
      <c r="S1802" s="705">
        <v>5666</v>
      </c>
      <c r="T1802" s="705">
        <v>0</v>
      </c>
      <c r="U1802" s="705">
        <v>0</v>
      </c>
      <c r="V1802" s="705">
        <v>12402</v>
      </c>
      <c r="W1802" s="705">
        <f t="shared" si="78"/>
        <v>12402</v>
      </c>
      <c r="X1802" s="705">
        <f t="shared" si="79"/>
        <v>22992</v>
      </c>
    </row>
    <row r="1803" spans="2:24">
      <c r="B1803" t="s">
        <v>546</v>
      </c>
      <c r="C1803" t="s">
        <v>120</v>
      </c>
      <c r="D1803" t="s">
        <v>583</v>
      </c>
      <c r="E1803" t="s">
        <v>664</v>
      </c>
      <c r="F1803" s="705">
        <v>1</v>
      </c>
      <c r="G1803" s="705">
        <v>65</v>
      </c>
      <c r="H1803" s="705">
        <v>347</v>
      </c>
      <c r="I1803" s="705">
        <v>12277</v>
      </c>
      <c r="J1803" s="705">
        <v>11161</v>
      </c>
      <c r="K1803" s="705">
        <v>85</v>
      </c>
      <c r="L1803" s="705">
        <v>2192</v>
      </c>
      <c r="M1803" s="705">
        <v>1826</v>
      </c>
      <c r="N1803" s="705">
        <v>1480</v>
      </c>
      <c r="O1803" s="705">
        <v>548</v>
      </c>
      <c r="P1803" s="705">
        <v>972</v>
      </c>
      <c r="Q1803" s="705">
        <v>360</v>
      </c>
      <c r="R1803" s="705">
        <v>3382</v>
      </c>
      <c r="S1803" s="705">
        <v>3075</v>
      </c>
      <c r="T1803" s="705">
        <v>2227</v>
      </c>
      <c r="U1803" s="705">
        <v>825</v>
      </c>
      <c r="V1803" s="705">
        <v>17795</v>
      </c>
      <c r="W1803" s="705">
        <f t="shared" si="78"/>
        <v>17795</v>
      </c>
      <c r="X1803" s="705">
        <f t="shared" si="79"/>
        <v>22530</v>
      </c>
    </row>
    <row r="1804" spans="2:24">
      <c r="B1804" t="s">
        <v>546</v>
      </c>
      <c r="C1804" t="s">
        <v>120</v>
      </c>
      <c r="D1804" t="s">
        <v>583</v>
      </c>
      <c r="E1804" t="s">
        <v>228</v>
      </c>
      <c r="F1804" s="705">
        <v>2</v>
      </c>
      <c r="G1804" s="705">
        <v>200</v>
      </c>
      <c r="H1804" s="705">
        <v>648</v>
      </c>
      <c r="I1804" s="705">
        <v>51323</v>
      </c>
      <c r="J1804" s="705">
        <v>46657</v>
      </c>
      <c r="K1804" s="705">
        <v>75</v>
      </c>
      <c r="L1804" s="705">
        <v>9650</v>
      </c>
      <c r="M1804" s="705">
        <v>8773</v>
      </c>
      <c r="N1804" s="705">
        <v>6216</v>
      </c>
      <c r="O1804" s="705">
        <v>2302</v>
      </c>
      <c r="P1804" s="705">
        <v>1242</v>
      </c>
      <c r="Q1804" s="705">
        <v>460</v>
      </c>
      <c r="R1804" s="705">
        <v>18320</v>
      </c>
      <c r="S1804" s="705">
        <v>6785</v>
      </c>
      <c r="T1804" s="705">
        <v>0</v>
      </c>
      <c r="U1804" s="705">
        <v>0</v>
      </c>
      <c r="V1804" s="705">
        <v>64977</v>
      </c>
      <c r="W1804" s="705">
        <f t="shared" si="78"/>
        <v>64977</v>
      </c>
      <c r="X1804" s="705">
        <f t="shared" si="79"/>
        <v>86751</v>
      </c>
    </row>
    <row r="1805" spans="2:24">
      <c r="B1805" t="s">
        <v>546</v>
      </c>
      <c r="C1805" t="s">
        <v>120</v>
      </c>
      <c r="D1805" t="s">
        <v>583</v>
      </c>
      <c r="E1805" t="s">
        <v>583</v>
      </c>
      <c r="F1805" s="705">
        <v>960</v>
      </c>
      <c r="G1805" s="705">
        <v>114210</v>
      </c>
      <c r="H1805" s="705">
        <v>324237</v>
      </c>
      <c r="I1805" s="705">
        <v>24369700</v>
      </c>
      <c r="J1805" s="705">
        <v>22154273</v>
      </c>
      <c r="K1805" s="705">
        <v>76</v>
      </c>
      <c r="L1805" s="705">
        <v>4795914</v>
      </c>
      <c r="M1805" s="705">
        <v>4234714</v>
      </c>
      <c r="N1805" s="705">
        <v>2421212</v>
      </c>
      <c r="O1805" s="705">
        <v>896745</v>
      </c>
      <c r="P1805" s="705">
        <v>630300</v>
      </c>
      <c r="Q1805" s="705">
        <v>233444</v>
      </c>
      <c r="R1805" s="705">
        <v>5160164</v>
      </c>
      <c r="S1805" s="705">
        <v>4691059</v>
      </c>
      <c r="T1805" s="705">
        <v>1751716</v>
      </c>
      <c r="U1805" s="705">
        <v>648784</v>
      </c>
      <c r="V1805" s="705">
        <v>32859018</v>
      </c>
      <c r="W1805" s="705">
        <f t="shared" si="78"/>
        <v>32859019</v>
      </c>
      <c r="X1805" s="705">
        <f t="shared" si="79"/>
        <v>39129006</v>
      </c>
    </row>
    <row r="1806" spans="2:24">
      <c r="B1806" t="s">
        <v>546</v>
      </c>
      <c r="C1806" t="s">
        <v>120</v>
      </c>
      <c r="D1806" t="s">
        <v>583</v>
      </c>
      <c r="E1806" t="s">
        <v>666</v>
      </c>
      <c r="F1806" s="705">
        <v>2</v>
      </c>
      <c r="G1806" s="705">
        <v>362</v>
      </c>
      <c r="H1806" s="705">
        <v>697</v>
      </c>
      <c r="I1806" s="705">
        <v>79603</v>
      </c>
      <c r="J1806" s="705">
        <v>72366</v>
      </c>
      <c r="K1806" s="705">
        <v>68</v>
      </c>
      <c r="L1806" s="705">
        <v>24037</v>
      </c>
      <c r="M1806" s="705">
        <v>21852</v>
      </c>
      <c r="N1806" s="705">
        <v>9074</v>
      </c>
      <c r="O1806" s="705">
        <v>3361</v>
      </c>
      <c r="P1806" s="705">
        <v>1242</v>
      </c>
      <c r="Q1806" s="705">
        <v>460</v>
      </c>
      <c r="R1806" s="705">
        <v>16174</v>
      </c>
      <c r="S1806" s="705">
        <v>14704</v>
      </c>
      <c r="T1806" s="705">
        <v>9349</v>
      </c>
      <c r="U1806" s="705">
        <v>3463</v>
      </c>
      <c r="V1806" s="705">
        <v>116205</v>
      </c>
      <c r="W1806" s="705">
        <f t="shared" si="78"/>
        <v>116206</v>
      </c>
      <c r="X1806" s="705">
        <f t="shared" si="79"/>
        <v>139479</v>
      </c>
    </row>
    <row r="1807" spans="2:24">
      <c r="B1807" t="s">
        <v>546</v>
      </c>
      <c r="C1807" t="s">
        <v>120</v>
      </c>
      <c r="D1807" t="s">
        <v>583</v>
      </c>
      <c r="E1807" t="s">
        <v>665</v>
      </c>
      <c r="F1807" s="705">
        <v>4</v>
      </c>
      <c r="G1807" s="705">
        <v>384</v>
      </c>
      <c r="H1807" s="705">
        <v>1368</v>
      </c>
      <c r="I1807" s="705">
        <v>80447</v>
      </c>
      <c r="J1807" s="705">
        <v>73134</v>
      </c>
      <c r="K1807" s="705">
        <v>71</v>
      </c>
      <c r="L1807" s="705">
        <v>11691</v>
      </c>
      <c r="M1807" s="705">
        <v>9802</v>
      </c>
      <c r="N1807" s="705">
        <v>8203</v>
      </c>
      <c r="O1807" s="705">
        <v>3038</v>
      </c>
      <c r="P1807" s="705">
        <v>2835</v>
      </c>
      <c r="Q1807" s="705">
        <v>1050</v>
      </c>
      <c r="R1807" s="705">
        <v>17996</v>
      </c>
      <c r="S1807" s="705">
        <v>16360</v>
      </c>
      <c r="T1807" s="705">
        <v>7625</v>
      </c>
      <c r="U1807" s="705">
        <v>2824</v>
      </c>
      <c r="V1807" s="705">
        <v>106208</v>
      </c>
      <c r="W1807" s="705">
        <f t="shared" si="78"/>
        <v>106208</v>
      </c>
      <c r="X1807" s="705">
        <f t="shared" si="79"/>
        <v>128797</v>
      </c>
    </row>
    <row r="1808" spans="2:24">
      <c r="B1808" t="s">
        <v>546</v>
      </c>
      <c r="C1808" t="s">
        <v>120</v>
      </c>
      <c r="D1808" t="s">
        <v>666</v>
      </c>
      <c r="E1808" t="s">
        <v>666</v>
      </c>
      <c r="F1808" s="705">
        <v>13</v>
      </c>
      <c r="G1808" s="705">
        <v>1399</v>
      </c>
      <c r="H1808" s="705">
        <v>4421</v>
      </c>
      <c r="I1808" s="705">
        <v>300520</v>
      </c>
      <c r="J1808" s="705">
        <v>273200</v>
      </c>
      <c r="K1808" s="705">
        <v>61</v>
      </c>
      <c r="L1808" s="705">
        <v>43619</v>
      </c>
      <c r="M1808" s="705">
        <v>30430</v>
      </c>
      <c r="N1808" s="705">
        <v>31633</v>
      </c>
      <c r="O1808" s="705">
        <v>11716</v>
      </c>
      <c r="P1808" s="705">
        <v>4833</v>
      </c>
      <c r="Q1808" s="705">
        <v>1790</v>
      </c>
      <c r="R1808" s="705">
        <v>73410</v>
      </c>
      <c r="S1808" s="705">
        <v>66736</v>
      </c>
      <c r="T1808" s="705">
        <v>30940</v>
      </c>
      <c r="U1808" s="705">
        <v>11459</v>
      </c>
      <c r="V1808" s="705">
        <v>395331</v>
      </c>
      <c r="W1808" s="705">
        <f t="shared" si="78"/>
        <v>395331</v>
      </c>
      <c r="X1808" s="705">
        <f t="shared" si="79"/>
        <v>484955</v>
      </c>
    </row>
    <row r="1809" spans="2:24">
      <c r="B1809" t="s">
        <v>546</v>
      </c>
      <c r="C1809" t="s">
        <v>120</v>
      </c>
      <c r="D1809" t="s">
        <v>584</v>
      </c>
      <c r="E1809" t="s">
        <v>584</v>
      </c>
      <c r="F1809" s="705">
        <v>85</v>
      </c>
      <c r="G1809" s="705">
        <v>10469</v>
      </c>
      <c r="H1809" s="705">
        <v>28272</v>
      </c>
      <c r="I1809" s="705">
        <v>2177894</v>
      </c>
      <c r="J1809" s="705">
        <v>1979904</v>
      </c>
      <c r="K1809" s="705">
        <v>78</v>
      </c>
      <c r="L1809" s="705">
        <v>537129</v>
      </c>
      <c r="M1809" s="705">
        <v>464238</v>
      </c>
      <c r="N1809" s="705">
        <v>222402</v>
      </c>
      <c r="O1809" s="705">
        <v>82371</v>
      </c>
      <c r="P1809" s="705">
        <v>41567</v>
      </c>
      <c r="Q1809" s="705">
        <v>15395</v>
      </c>
      <c r="R1809" s="705">
        <v>467335</v>
      </c>
      <c r="S1809" s="705">
        <v>424850</v>
      </c>
      <c r="T1809" s="705">
        <v>114425</v>
      </c>
      <c r="U1809" s="705">
        <v>42380</v>
      </c>
      <c r="V1809" s="705">
        <v>3009137</v>
      </c>
      <c r="W1809" s="705">
        <f t="shared" si="78"/>
        <v>3009138</v>
      </c>
      <c r="X1809" s="705">
        <f t="shared" si="79"/>
        <v>3560752</v>
      </c>
    </row>
    <row r="1810" spans="2:24">
      <c r="B1810" t="s">
        <v>546</v>
      </c>
      <c r="C1810" t="s">
        <v>120</v>
      </c>
      <c r="D1810" t="s">
        <v>584</v>
      </c>
      <c r="E1810" t="s">
        <v>669</v>
      </c>
      <c r="F1810" s="705">
        <v>1</v>
      </c>
      <c r="G1810" s="705">
        <v>61</v>
      </c>
      <c r="H1810" s="705">
        <v>312</v>
      </c>
      <c r="I1810" s="705">
        <v>12739</v>
      </c>
      <c r="J1810" s="705">
        <v>11581</v>
      </c>
      <c r="K1810" s="705">
        <v>78</v>
      </c>
      <c r="L1810" s="705">
        <v>1758</v>
      </c>
      <c r="M1810" s="705">
        <v>1598</v>
      </c>
      <c r="N1810" s="705">
        <v>1494</v>
      </c>
      <c r="O1810" s="705">
        <v>553</v>
      </c>
      <c r="P1810" s="705">
        <v>473</v>
      </c>
      <c r="Q1810" s="705">
        <v>175</v>
      </c>
      <c r="R1810" s="705">
        <v>2646</v>
      </c>
      <c r="S1810" s="705">
        <v>2205</v>
      </c>
      <c r="T1810" s="705">
        <v>0</v>
      </c>
      <c r="U1810" s="705">
        <v>0</v>
      </c>
      <c r="V1810" s="705">
        <v>16112</v>
      </c>
      <c r="W1810" s="705">
        <f t="shared" si="78"/>
        <v>16112</v>
      </c>
      <c r="X1810" s="705">
        <f t="shared" si="79"/>
        <v>19110</v>
      </c>
    </row>
    <row r="1811" spans="2:24">
      <c r="B1811" t="s">
        <v>546</v>
      </c>
      <c r="C1811" t="s">
        <v>120</v>
      </c>
      <c r="D1811" t="s">
        <v>669</v>
      </c>
      <c r="E1811" t="s">
        <v>669</v>
      </c>
      <c r="F1811" s="705">
        <v>13</v>
      </c>
      <c r="G1811" s="705">
        <v>1543</v>
      </c>
      <c r="H1811" s="705">
        <v>4524</v>
      </c>
      <c r="I1811" s="705">
        <v>349488</v>
      </c>
      <c r="J1811" s="705">
        <v>291240</v>
      </c>
      <c r="K1811" s="705">
        <v>56</v>
      </c>
      <c r="L1811" s="705">
        <v>28229</v>
      </c>
      <c r="M1811" s="705">
        <v>24700</v>
      </c>
      <c r="N1811" s="705">
        <v>35747</v>
      </c>
      <c r="O1811" s="705">
        <v>13240</v>
      </c>
      <c r="P1811" s="705">
        <v>5643</v>
      </c>
      <c r="Q1811" s="705">
        <v>2090</v>
      </c>
      <c r="R1811" s="705">
        <v>79818</v>
      </c>
      <c r="S1811" s="705">
        <v>66515</v>
      </c>
      <c r="T1811" s="705">
        <v>34192</v>
      </c>
      <c r="U1811" s="705">
        <v>12664</v>
      </c>
      <c r="V1811" s="705">
        <v>410449</v>
      </c>
      <c r="W1811" s="705">
        <f t="shared" si="78"/>
        <v>410449</v>
      </c>
      <c r="X1811" s="705">
        <f t="shared" si="79"/>
        <v>533117</v>
      </c>
    </row>
    <row r="1812" spans="2:24">
      <c r="B1812" t="s">
        <v>546</v>
      </c>
      <c r="C1812" t="s">
        <v>120</v>
      </c>
      <c r="D1812" t="s">
        <v>671</v>
      </c>
      <c r="E1812" t="s">
        <v>671</v>
      </c>
      <c r="F1812" s="705">
        <v>2</v>
      </c>
      <c r="G1812" s="705">
        <v>178</v>
      </c>
      <c r="H1812" s="705">
        <v>665</v>
      </c>
      <c r="I1812" s="705">
        <v>39242</v>
      </c>
      <c r="J1812" s="705">
        <v>35674</v>
      </c>
      <c r="K1812" s="705">
        <v>68</v>
      </c>
      <c r="L1812" s="705">
        <v>3306</v>
      </c>
      <c r="M1812" s="705">
        <v>3006</v>
      </c>
      <c r="N1812" s="705">
        <v>3891</v>
      </c>
      <c r="O1812" s="705">
        <v>1441</v>
      </c>
      <c r="P1812" s="705">
        <v>702</v>
      </c>
      <c r="Q1812" s="705">
        <v>260</v>
      </c>
      <c r="R1812" s="705">
        <v>8518</v>
      </c>
      <c r="S1812" s="705">
        <v>7744</v>
      </c>
      <c r="T1812" s="705">
        <v>4814</v>
      </c>
      <c r="U1812" s="705">
        <v>1783</v>
      </c>
      <c r="V1812" s="705">
        <v>49908</v>
      </c>
      <c r="W1812" s="705">
        <f t="shared" si="78"/>
        <v>49908</v>
      </c>
      <c r="X1812" s="705">
        <f t="shared" si="79"/>
        <v>60473</v>
      </c>
    </row>
    <row r="1813" spans="2:24">
      <c r="B1813" t="s">
        <v>546</v>
      </c>
      <c r="C1813" t="s">
        <v>120</v>
      </c>
      <c r="D1813" t="s">
        <v>665</v>
      </c>
      <c r="E1813" t="s">
        <v>228</v>
      </c>
      <c r="F1813" s="705">
        <v>3</v>
      </c>
      <c r="G1813" s="705">
        <v>177</v>
      </c>
      <c r="H1813" s="705">
        <v>1054</v>
      </c>
      <c r="I1813" s="705">
        <v>39559</v>
      </c>
      <c r="J1813" s="705">
        <v>35963</v>
      </c>
      <c r="K1813" s="705">
        <v>63</v>
      </c>
      <c r="L1813" s="705">
        <v>8435</v>
      </c>
      <c r="M1813" s="705">
        <v>6425</v>
      </c>
      <c r="N1813" s="705">
        <v>4306</v>
      </c>
      <c r="O1813" s="705">
        <v>1595</v>
      </c>
      <c r="P1813" s="705">
        <v>351</v>
      </c>
      <c r="Q1813" s="705">
        <v>130</v>
      </c>
      <c r="R1813" s="705">
        <v>19543</v>
      </c>
      <c r="S1813" s="705">
        <v>7238</v>
      </c>
      <c r="T1813" s="705">
        <v>0</v>
      </c>
      <c r="U1813" s="705">
        <v>0</v>
      </c>
      <c r="V1813" s="705">
        <v>51350</v>
      </c>
      <c r="W1813" s="705">
        <f t="shared" si="78"/>
        <v>51351</v>
      </c>
      <c r="X1813" s="705">
        <f t="shared" si="79"/>
        <v>72194</v>
      </c>
    </row>
    <row r="1814" spans="2:24">
      <c r="B1814" t="s">
        <v>546</v>
      </c>
      <c r="C1814" t="s">
        <v>120</v>
      </c>
      <c r="D1814" t="s">
        <v>665</v>
      </c>
      <c r="E1814" t="s">
        <v>665</v>
      </c>
      <c r="F1814" s="705">
        <v>107</v>
      </c>
      <c r="G1814" s="705">
        <v>11215</v>
      </c>
      <c r="H1814" s="705">
        <v>36375</v>
      </c>
      <c r="I1814" s="705">
        <v>2351706</v>
      </c>
      <c r="J1814" s="705">
        <v>2137914</v>
      </c>
      <c r="K1814" s="705">
        <v>60</v>
      </c>
      <c r="L1814" s="705">
        <v>343696</v>
      </c>
      <c r="M1814" s="705">
        <v>291136</v>
      </c>
      <c r="N1814" s="705">
        <v>229387</v>
      </c>
      <c r="O1814" s="705">
        <v>84958</v>
      </c>
      <c r="P1814" s="705">
        <v>43173</v>
      </c>
      <c r="Q1814" s="705">
        <v>15990</v>
      </c>
      <c r="R1814" s="705">
        <v>580584</v>
      </c>
      <c r="S1814" s="705">
        <v>527804</v>
      </c>
      <c r="T1814" s="705">
        <v>251042</v>
      </c>
      <c r="U1814" s="705">
        <v>92979</v>
      </c>
      <c r="V1814" s="705">
        <v>3150780</v>
      </c>
      <c r="W1814" s="705">
        <f t="shared" si="78"/>
        <v>3150781</v>
      </c>
      <c r="X1814" s="705">
        <f t="shared" si="79"/>
        <v>3799588</v>
      </c>
    </row>
    <row r="1815" spans="2:24">
      <c r="B1815" t="s">
        <v>546</v>
      </c>
      <c r="C1815" t="s">
        <v>120</v>
      </c>
      <c r="D1815" t="s">
        <v>673</v>
      </c>
      <c r="E1815" t="s">
        <v>673</v>
      </c>
      <c r="F1815" s="705">
        <v>4</v>
      </c>
      <c r="G1815" s="705">
        <v>466</v>
      </c>
      <c r="H1815" s="705">
        <v>1345</v>
      </c>
      <c r="I1815" s="705">
        <v>87871</v>
      </c>
      <c r="J1815" s="705">
        <v>79883</v>
      </c>
      <c r="K1815" s="705">
        <v>61</v>
      </c>
      <c r="L1815" s="705">
        <v>21270</v>
      </c>
      <c r="M1815" s="705">
        <v>14561</v>
      </c>
      <c r="N1815" s="705">
        <v>10943</v>
      </c>
      <c r="O1815" s="705">
        <v>4053</v>
      </c>
      <c r="P1815" s="705">
        <v>1053</v>
      </c>
      <c r="Q1815" s="705">
        <v>390</v>
      </c>
      <c r="R1815" s="705">
        <v>23968</v>
      </c>
      <c r="S1815" s="705">
        <v>21789</v>
      </c>
      <c r="T1815" s="705">
        <v>10330</v>
      </c>
      <c r="U1815" s="705">
        <v>3826</v>
      </c>
      <c r="V1815" s="705">
        <v>124501</v>
      </c>
      <c r="W1815" s="705">
        <f t="shared" si="78"/>
        <v>124502</v>
      </c>
      <c r="X1815" s="705">
        <f t="shared" si="79"/>
        <v>155435</v>
      </c>
    </row>
    <row r="1816" spans="2:24">
      <c r="B1816" t="s">
        <v>546</v>
      </c>
      <c r="C1816" t="s">
        <v>120</v>
      </c>
      <c r="D1816" t="s">
        <v>585</v>
      </c>
      <c r="E1816" t="s">
        <v>585</v>
      </c>
      <c r="F1816" s="705">
        <v>2</v>
      </c>
      <c r="G1816" s="705">
        <v>232</v>
      </c>
      <c r="H1816" s="705">
        <v>635</v>
      </c>
      <c r="I1816" s="705">
        <v>47184</v>
      </c>
      <c r="J1816" s="705">
        <v>42895</v>
      </c>
      <c r="K1816" s="705">
        <v>65</v>
      </c>
      <c r="L1816" s="705">
        <v>6606</v>
      </c>
      <c r="M1816" s="705">
        <v>6005</v>
      </c>
      <c r="N1816" s="705">
        <v>4514</v>
      </c>
      <c r="O1816" s="705">
        <v>1672</v>
      </c>
      <c r="P1816" s="705">
        <v>702</v>
      </c>
      <c r="Q1816" s="705">
        <v>260</v>
      </c>
      <c r="R1816" s="705">
        <v>14384</v>
      </c>
      <c r="S1816" s="705">
        <v>13076</v>
      </c>
      <c r="T1816" s="705">
        <v>0</v>
      </c>
      <c r="U1816" s="705">
        <v>0</v>
      </c>
      <c r="V1816" s="705">
        <v>63908</v>
      </c>
      <c r="W1816" s="705">
        <f t="shared" si="78"/>
        <v>63908</v>
      </c>
      <c r="X1816" s="705">
        <f t="shared" si="79"/>
        <v>73390</v>
      </c>
    </row>
    <row r="1817" spans="2:24">
      <c r="B1817" t="s">
        <v>546</v>
      </c>
      <c r="C1817" t="s">
        <v>122</v>
      </c>
      <c r="F1817" s="705">
        <v>1</v>
      </c>
      <c r="G1817" s="705">
        <v>674</v>
      </c>
      <c r="H1817" s="705">
        <v>413</v>
      </c>
      <c r="I1817" s="705"/>
      <c r="J1817" s="705">
        <v>0</v>
      </c>
      <c r="K1817" s="705"/>
      <c r="L1817" s="705"/>
      <c r="M1817" s="705">
        <v>0</v>
      </c>
      <c r="N1817" s="705">
        <v>15108</v>
      </c>
      <c r="O1817" s="705">
        <v>5596</v>
      </c>
      <c r="P1817" s="705">
        <v>0</v>
      </c>
      <c r="Q1817" s="705">
        <v>0</v>
      </c>
      <c r="R1817" s="705"/>
      <c r="S1817" s="705">
        <v>0</v>
      </c>
      <c r="T1817" s="705">
        <v>0</v>
      </c>
      <c r="U1817" s="705">
        <v>0</v>
      </c>
      <c r="V1817" s="705">
        <v>5596</v>
      </c>
      <c r="W1817" s="705">
        <f t="shared" si="78"/>
        <v>5596</v>
      </c>
      <c r="X1817" s="705">
        <f t="shared" si="79"/>
        <v>15108</v>
      </c>
    </row>
    <row r="1818" spans="2:24">
      <c r="B1818" t="s">
        <v>546</v>
      </c>
      <c r="C1818" t="s">
        <v>122</v>
      </c>
      <c r="D1818" t="s">
        <v>582</v>
      </c>
      <c r="E1818" t="s">
        <v>582</v>
      </c>
      <c r="F1818" s="705">
        <v>4</v>
      </c>
      <c r="G1818" s="705">
        <v>459</v>
      </c>
      <c r="H1818" s="705">
        <v>1622</v>
      </c>
      <c r="I1818" s="705">
        <v>115993</v>
      </c>
      <c r="J1818" s="705">
        <v>105448</v>
      </c>
      <c r="K1818" s="705">
        <v>65</v>
      </c>
      <c r="L1818" s="705">
        <v>21296</v>
      </c>
      <c r="M1818" s="705">
        <v>19360</v>
      </c>
      <c r="N1818" s="705">
        <v>9600</v>
      </c>
      <c r="O1818" s="705">
        <v>3556</v>
      </c>
      <c r="P1818" s="705">
        <v>1769</v>
      </c>
      <c r="Q1818" s="705">
        <v>655</v>
      </c>
      <c r="R1818" s="705">
        <v>25846</v>
      </c>
      <c r="S1818" s="705">
        <v>23496</v>
      </c>
      <c r="T1818" s="705">
        <v>8889</v>
      </c>
      <c r="U1818" s="705">
        <v>3292</v>
      </c>
      <c r="V1818" s="705">
        <v>155807</v>
      </c>
      <c r="W1818" s="705">
        <f t="shared" si="78"/>
        <v>155807</v>
      </c>
      <c r="X1818" s="705">
        <f t="shared" si="79"/>
        <v>183393</v>
      </c>
    </row>
    <row r="1819" spans="2:24">
      <c r="B1819" t="s">
        <v>546</v>
      </c>
      <c r="C1819" t="s">
        <v>122</v>
      </c>
      <c r="D1819" t="s">
        <v>228</v>
      </c>
      <c r="E1819" t="s">
        <v>228</v>
      </c>
      <c r="F1819" s="705">
        <v>32</v>
      </c>
      <c r="G1819" s="705">
        <v>2684</v>
      </c>
      <c r="H1819" s="705">
        <v>13456</v>
      </c>
      <c r="I1819" s="705">
        <v>709104</v>
      </c>
      <c r="J1819" s="705">
        <v>262631</v>
      </c>
      <c r="K1819" s="705">
        <v>100</v>
      </c>
      <c r="L1819" s="705">
        <v>129374</v>
      </c>
      <c r="M1819" s="705">
        <v>87129</v>
      </c>
      <c r="N1819" s="705">
        <v>60860</v>
      </c>
      <c r="O1819" s="705">
        <v>22541</v>
      </c>
      <c r="P1819" s="705">
        <v>1053</v>
      </c>
      <c r="Q1819" s="705">
        <v>390</v>
      </c>
      <c r="R1819" s="705">
        <v>234204</v>
      </c>
      <c r="S1819" s="705">
        <v>86742</v>
      </c>
      <c r="T1819" s="705">
        <v>0</v>
      </c>
      <c r="U1819" s="705">
        <v>0</v>
      </c>
      <c r="V1819" s="705">
        <v>459432</v>
      </c>
      <c r="W1819" s="705">
        <f t="shared" si="78"/>
        <v>459433</v>
      </c>
      <c r="X1819" s="705">
        <f t="shared" si="79"/>
        <v>1134595</v>
      </c>
    </row>
    <row r="1820" spans="2:24">
      <c r="B1820" t="s">
        <v>546</v>
      </c>
      <c r="C1820" t="s">
        <v>122</v>
      </c>
      <c r="D1820" t="s">
        <v>228</v>
      </c>
      <c r="E1820" t="s">
        <v>583</v>
      </c>
      <c r="F1820" s="705">
        <v>1</v>
      </c>
      <c r="G1820" s="705">
        <v>178</v>
      </c>
      <c r="H1820" s="705">
        <v>446</v>
      </c>
      <c r="I1820" s="705">
        <v>54845</v>
      </c>
      <c r="J1820" s="705">
        <v>20313</v>
      </c>
      <c r="K1820" s="705">
        <v>100</v>
      </c>
      <c r="L1820" s="705">
        <v>9310</v>
      </c>
      <c r="M1820" s="705">
        <v>8464</v>
      </c>
      <c r="N1820" s="705">
        <v>3981</v>
      </c>
      <c r="O1820" s="705">
        <v>1475</v>
      </c>
      <c r="P1820" s="705">
        <v>0</v>
      </c>
      <c r="Q1820" s="705">
        <v>0</v>
      </c>
      <c r="R1820" s="705">
        <v>7042</v>
      </c>
      <c r="S1820" s="705">
        <v>6402</v>
      </c>
      <c r="T1820" s="705">
        <v>4021</v>
      </c>
      <c r="U1820" s="705">
        <v>1489</v>
      </c>
      <c r="V1820" s="705">
        <v>38142</v>
      </c>
      <c r="W1820" s="705">
        <f t="shared" si="78"/>
        <v>38143</v>
      </c>
      <c r="X1820" s="705">
        <f t="shared" si="79"/>
        <v>79199</v>
      </c>
    </row>
    <row r="1821" spans="2:24">
      <c r="B1821" t="s">
        <v>546</v>
      </c>
      <c r="C1821" t="s">
        <v>122</v>
      </c>
      <c r="D1821" t="s">
        <v>228</v>
      </c>
      <c r="E1821" t="s">
        <v>665</v>
      </c>
      <c r="F1821" s="705">
        <v>1</v>
      </c>
      <c r="G1821" s="705">
        <v>82</v>
      </c>
      <c r="H1821" s="705">
        <v>427</v>
      </c>
      <c r="I1821" s="705">
        <v>28556</v>
      </c>
      <c r="J1821" s="705">
        <v>10576</v>
      </c>
      <c r="K1821" s="705">
        <v>100</v>
      </c>
      <c r="L1821" s="705">
        <v>1989</v>
      </c>
      <c r="M1821" s="705">
        <v>1808</v>
      </c>
      <c r="N1821" s="705">
        <v>1863</v>
      </c>
      <c r="O1821" s="705">
        <v>690</v>
      </c>
      <c r="P1821" s="705">
        <v>0</v>
      </c>
      <c r="Q1821" s="705">
        <v>0</v>
      </c>
      <c r="R1821" s="705">
        <v>2710</v>
      </c>
      <c r="S1821" s="705">
        <v>2464</v>
      </c>
      <c r="T1821" s="705">
        <v>0</v>
      </c>
      <c r="U1821" s="705">
        <v>0</v>
      </c>
      <c r="V1821" s="705">
        <v>15538</v>
      </c>
      <c r="W1821" s="705">
        <f t="shared" si="78"/>
        <v>15538</v>
      </c>
      <c r="X1821" s="705">
        <f t="shared" si="79"/>
        <v>35118</v>
      </c>
    </row>
    <row r="1822" spans="2:24">
      <c r="B1822" t="s">
        <v>546</v>
      </c>
      <c r="C1822" t="s">
        <v>122</v>
      </c>
      <c r="D1822" t="s">
        <v>583</v>
      </c>
      <c r="E1822" t="s">
        <v>228</v>
      </c>
      <c r="F1822" s="705">
        <v>6</v>
      </c>
      <c r="G1822" s="705">
        <v>615</v>
      </c>
      <c r="H1822" s="705">
        <v>2561</v>
      </c>
      <c r="I1822" s="705">
        <v>177617</v>
      </c>
      <c r="J1822" s="705">
        <v>161470</v>
      </c>
      <c r="K1822" s="705">
        <v>72</v>
      </c>
      <c r="L1822" s="705">
        <v>34551</v>
      </c>
      <c r="M1822" s="705">
        <v>26430</v>
      </c>
      <c r="N1822" s="705">
        <v>14140</v>
      </c>
      <c r="O1822" s="705">
        <v>5237</v>
      </c>
      <c r="P1822" s="705">
        <v>3726</v>
      </c>
      <c r="Q1822" s="705">
        <v>1380</v>
      </c>
      <c r="R1822" s="705">
        <v>39736</v>
      </c>
      <c r="S1822" s="705">
        <v>14717</v>
      </c>
      <c r="T1822" s="705">
        <v>0</v>
      </c>
      <c r="U1822" s="705">
        <v>0</v>
      </c>
      <c r="V1822" s="705">
        <v>209234</v>
      </c>
      <c r="W1822" s="705">
        <f t="shared" si="78"/>
        <v>209234</v>
      </c>
      <c r="X1822" s="705">
        <f t="shared" si="79"/>
        <v>269770</v>
      </c>
    </row>
    <row r="1823" spans="2:24">
      <c r="B1823" t="s">
        <v>546</v>
      </c>
      <c r="C1823" t="s">
        <v>122</v>
      </c>
      <c r="D1823" t="s">
        <v>583</v>
      </c>
      <c r="E1823" t="s">
        <v>583</v>
      </c>
      <c r="F1823" s="705">
        <v>460</v>
      </c>
      <c r="G1823" s="705">
        <v>52098</v>
      </c>
      <c r="H1823" s="705">
        <v>191265</v>
      </c>
      <c r="I1823" s="705">
        <v>14597830</v>
      </c>
      <c r="J1823" s="705">
        <v>13270754</v>
      </c>
      <c r="K1823" s="705">
        <v>75</v>
      </c>
      <c r="L1823" s="705">
        <v>2823739</v>
      </c>
      <c r="M1823" s="705">
        <v>2488604</v>
      </c>
      <c r="N1823" s="705">
        <v>1130121</v>
      </c>
      <c r="O1823" s="705">
        <v>418563</v>
      </c>
      <c r="P1823" s="705">
        <v>299534</v>
      </c>
      <c r="Q1823" s="705">
        <v>110938</v>
      </c>
      <c r="R1823" s="705">
        <v>2409592</v>
      </c>
      <c r="S1823" s="705">
        <v>2190538</v>
      </c>
      <c r="T1823" s="705">
        <v>839390</v>
      </c>
      <c r="U1823" s="705">
        <v>310885</v>
      </c>
      <c r="V1823" s="705">
        <v>18790283</v>
      </c>
      <c r="W1823" s="705">
        <f t="shared" si="78"/>
        <v>18790282</v>
      </c>
      <c r="X1823" s="705">
        <f t="shared" si="79"/>
        <v>22100206</v>
      </c>
    </row>
    <row r="1824" spans="2:24">
      <c r="B1824" t="s">
        <v>546</v>
      </c>
      <c r="C1824" t="s">
        <v>122</v>
      </c>
      <c r="D1824" t="s">
        <v>666</v>
      </c>
      <c r="E1824" t="s">
        <v>228</v>
      </c>
      <c r="F1824" s="705">
        <v>3</v>
      </c>
      <c r="G1824" s="705">
        <v>229</v>
      </c>
      <c r="H1824" s="705">
        <v>1271</v>
      </c>
      <c r="I1824" s="705">
        <v>54246</v>
      </c>
      <c r="J1824" s="705">
        <v>49314</v>
      </c>
      <c r="K1824" s="705">
        <v>63</v>
      </c>
      <c r="L1824" s="705">
        <v>10436</v>
      </c>
      <c r="M1824" s="705">
        <v>6225</v>
      </c>
      <c r="N1824" s="705">
        <v>4694</v>
      </c>
      <c r="O1824" s="705">
        <v>1739</v>
      </c>
      <c r="P1824" s="705">
        <v>702</v>
      </c>
      <c r="Q1824" s="705">
        <v>260</v>
      </c>
      <c r="R1824" s="705">
        <v>26071</v>
      </c>
      <c r="S1824" s="705">
        <v>9656</v>
      </c>
      <c r="T1824" s="705">
        <v>0</v>
      </c>
      <c r="U1824" s="705">
        <v>0</v>
      </c>
      <c r="V1824" s="705">
        <v>67194</v>
      </c>
      <c r="W1824" s="705">
        <f t="shared" si="78"/>
        <v>67194</v>
      </c>
      <c r="X1824" s="705">
        <f t="shared" si="79"/>
        <v>96149</v>
      </c>
    </row>
    <row r="1825" spans="2:24">
      <c r="B1825" t="s">
        <v>546</v>
      </c>
      <c r="C1825" t="s">
        <v>122</v>
      </c>
      <c r="D1825" t="s">
        <v>666</v>
      </c>
      <c r="E1825" t="s">
        <v>666</v>
      </c>
      <c r="F1825" s="705">
        <v>16</v>
      </c>
      <c r="G1825" s="705">
        <v>1497</v>
      </c>
      <c r="H1825" s="705">
        <v>6651</v>
      </c>
      <c r="I1825" s="705">
        <v>418077</v>
      </c>
      <c r="J1825" s="705">
        <v>380070</v>
      </c>
      <c r="K1825" s="705">
        <v>57</v>
      </c>
      <c r="L1825" s="705">
        <v>62479</v>
      </c>
      <c r="M1825" s="705">
        <v>48223</v>
      </c>
      <c r="N1825" s="705">
        <v>29432</v>
      </c>
      <c r="O1825" s="705">
        <v>10901</v>
      </c>
      <c r="P1825" s="705">
        <v>5535</v>
      </c>
      <c r="Q1825" s="705">
        <v>2050</v>
      </c>
      <c r="R1825" s="705">
        <v>90863</v>
      </c>
      <c r="S1825" s="705">
        <v>82603</v>
      </c>
      <c r="T1825" s="705">
        <v>35914</v>
      </c>
      <c r="U1825" s="705">
        <v>13301</v>
      </c>
      <c r="V1825" s="705">
        <v>537148</v>
      </c>
      <c r="W1825" s="705">
        <f t="shared" si="78"/>
        <v>537148</v>
      </c>
      <c r="X1825" s="705">
        <f t="shared" si="79"/>
        <v>642300</v>
      </c>
    </row>
    <row r="1826" spans="2:24">
      <c r="B1826" t="s">
        <v>546</v>
      </c>
      <c r="C1826" t="s">
        <v>122</v>
      </c>
      <c r="D1826" t="s">
        <v>584</v>
      </c>
      <c r="E1826" t="s">
        <v>584</v>
      </c>
      <c r="F1826" s="705">
        <v>36</v>
      </c>
      <c r="G1826" s="705">
        <v>4536</v>
      </c>
      <c r="H1826" s="705">
        <v>14746</v>
      </c>
      <c r="I1826" s="705">
        <v>1190431</v>
      </c>
      <c r="J1826" s="705">
        <v>1082210</v>
      </c>
      <c r="K1826" s="705">
        <v>78</v>
      </c>
      <c r="L1826" s="705">
        <v>308042</v>
      </c>
      <c r="M1826" s="705">
        <v>265969</v>
      </c>
      <c r="N1826" s="705">
        <v>100897</v>
      </c>
      <c r="O1826" s="705">
        <v>37369</v>
      </c>
      <c r="P1826" s="705">
        <v>17483</v>
      </c>
      <c r="Q1826" s="705">
        <v>6475</v>
      </c>
      <c r="R1826" s="705">
        <v>201739</v>
      </c>
      <c r="S1826" s="705">
        <v>183400</v>
      </c>
      <c r="T1826" s="705">
        <v>53733</v>
      </c>
      <c r="U1826" s="705">
        <v>19901</v>
      </c>
      <c r="V1826" s="705">
        <v>1595324</v>
      </c>
      <c r="W1826" s="705">
        <f t="shared" si="78"/>
        <v>1595324</v>
      </c>
      <c r="X1826" s="705">
        <f t="shared" si="79"/>
        <v>1872325</v>
      </c>
    </row>
    <row r="1827" spans="2:24">
      <c r="B1827" t="s">
        <v>546</v>
      </c>
      <c r="C1827" t="s">
        <v>122</v>
      </c>
      <c r="D1827" t="s">
        <v>669</v>
      </c>
      <c r="E1827" t="s">
        <v>669</v>
      </c>
      <c r="F1827" s="705">
        <v>26</v>
      </c>
      <c r="G1827" s="705">
        <v>1984</v>
      </c>
      <c r="H1827" s="705">
        <v>10434</v>
      </c>
      <c r="I1827" s="705">
        <v>525656</v>
      </c>
      <c r="J1827" s="705">
        <v>438046</v>
      </c>
      <c r="K1827" s="705">
        <v>59</v>
      </c>
      <c r="L1827" s="705">
        <v>35444</v>
      </c>
      <c r="M1827" s="705">
        <v>25893</v>
      </c>
      <c r="N1827" s="705">
        <v>45280</v>
      </c>
      <c r="O1827" s="705">
        <v>16770</v>
      </c>
      <c r="P1827" s="705">
        <v>9396</v>
      </c>
      <c r="Q1827" s="705">
        <v>3480</v>
      </c>
      <c r="R1827" s="705">
        <v>132161</v>
      </c>
      <c r="S1827" s="705">
        <v>110134</v>
      </c>
      <c r="T1827" s="705">
        <v>55163</v>
      </c>
      <c r="U1827" s="705">
        <v>20431</v>
      </c>
      <c r="V1827" s="705">
        <v>614754</v>
      </c>
      <c r="W1827" s="705">
        <f t="shared" si="78"/>
        <v>614754</v>
      </c>
      <c r="X1827" s="705">
        <f t="shared" si="79"/>
        <v>803100</v>
      </c>
    </row>
    <row r="1828" spans="2:24">
      <c r="B1828" t="s">
        <v>546</v>
      </c>
      <c r="C1828" t="s">
        <v>122</v>
      </c>
      <c r="D1828" t="s">
        <v>665</v>
      </c>
      <c r="E1828" t="s">
        <v>228</v>
      </c>
      <c r="F1828" s="705">
        <v>4</v>
      </c>
      <c r="G1828" s="705">
        <v>448</v>
      </c>
      <c r="H1828" s="705">
        <v>1682</v>
      </c>
      <c r="I1828" s="705">
        <v>127381</v>
      </c>
      <c r="J1828" s="705">
        <v>115801</v>
      </c>
      <c r="K1828" s="705">
        <v>55</v>
      </c>
      <c r="L1828" s="705">
        <v>11862</v>
      </c>
      <c r="M1828" s="705">
        <v>8205</v>
      </c>
      <c r="N1828" s="705">
        <v>9348</v>
      </c>
      <c r="O1828" s="705">
        <v>3462</v>
      </c>
      <c r="P1828" s="705">
        <v>702</v>
      </c>
      <c r="Q1828" s="705">
        <v>260</v>
      </c>
      <c r="R1828" s="705">
        <v>37657</v>
      </c>
      <c r="S1828" s="705">
        <v>13947</v>
      </c>
      <c r="T1828" s="705">
        <v>3356</v>
      </c>
      <c r="U1828" s="705">
        <v>1243</v>
      </c>
      <c r="V1828" s="705">
        <v>142919</v>
      </c>
      <c r="W1828" s="705">
        <f t="shared" si="78"/>
        <v>142918</v>
      </c>
      <c r="X1828" s="705">
        <f t="shared" si="79"/>
        <v>190306</v>
      </c>
    </row>
    <row r="1829" spans="2:24">
      <c r="B1829" t="s">
        <v>546</v>
      </c>
      <c r="C1829" t="s">
        <v>122</v>
      </c>
      <c r="D1829" t="s">
        <v>665</v>
      </c>
      <c r="E1829" t="s">
        <v>665</v>
      </c>
      <c r="F1829" s="705">
        <v>76</v>
      </c>
      <c r="G1829" s="705">
        <v>6964</v>
      </c>
      <c r="H1829" s="705">
        <v>31492</v>
      </c>
      <c r="I1829" s="705">
        <v>1847224</v>
      </c>
      <c r="J1829" s="705">
        <v>1679295</v>
      </c>
      <c r="K1829" s="705">
        <v>58</v>
      </c>
      <c r="L1829" s="705">
        <v>295775</v>
      </c>
      <c r="M1829" s="705">
        <v>228185</v>
      </c>
      <c r="N1829" s="705">
        <v>138374</v>
      </c>
      <c r="O1829" s="705">
        <v>51250</v>
      </c>
      <c r="P1829" s="705">
        <v>27468</v>
      </c>
      <c r="Q1829" s="705">
        <v>10173</v>
      </c>
      <c r="R1829" s="705">
        <v>440389</v>
      </c>
      <c r="S1829" s="705">
        <v>400354</v>
      </c>
      <c r="T1829" s="705">
        <v>151870</v>
      </c>
      <c r="U1829" s="705">
        <v>56248</v>
      </c>
      <c r="V1829" s="705">
        <v>2425505</v>
      </c>
      <c r="W1829" s="705">
        <f t="shared" si="78"/>
        <v>2425505</v>
      </c>
      <c r="X1829" s="705">
        <f t="shared" si="79"/>
        <v>2901100</v>
      </c>
    </row>
    <row r="1830" spans="2:24">
      <c r="B1830" t="s">
        <v>546</v>
      </c>
      <c r="C1830" t="s">
        <v>122</v>
      </c>
      <c r="D1830" t="s">
        <v>673</v>
      </c>
      <c r="E1830" t="s">
        <v>673</v>
      </c>
      <c r="F1830" s="705">
        <v>1</v>
      </c>
      <c r="G1830" s="705">
        <v>131</v>
      </c>
      <c r="H1830" s="705">
        <v>428</v>
      </c>
      <c r="I1830" s="705">
        <v>34994</v>
      </c>
      <c r="J1830" s="705">
        <v>31813</v>
      </c>
      <c r="K1830" s="705">
        <v>60</v>
      </c>
      <c r="L1830" s="705">
        <v>3888</v>
      </c>
      <c r="M1830" s="705">
        <v>3535</v>
      </c>
      <c r="N1830" s="705">
        <v>3181</v>
      </c>
      <c r="O1830" s="705">
        <v>1178</v>
      </c>
      <c r="P1830" s="705">
        <v>351</v>
      </c>
      <c r="Q1830" s="705">
        <v>130</v>
      </c>
      <c r="R1830" s="705">
        <v>8429</v>
      </c>
      <c r="S1830" s="705">
        <v>7663</v>
      </c>
      <c r="T1830" s="705">
        <v>5027</v>
      </c>
      <c r="U1830" s="705">
        <v>1862</v>
      </c>
      <c r="V1830" s="705">
        <v>46180</v>
      </c>
      <c r="W1830" s="705">
        <f t="shared" si="78"/>
        <v>46181</v>
      </c>
      <c r="X1830" s="705">
        <f t="shared" si="79"/>
        <v>55870</v>
      </c>
    </row>
    <row r="1831" spans="2:24">
      <c r="B1831" t="s">
        <v>546</v>
      </c>
      <c r="C1831" t="s">
        <v>122</v>
      </c>
      <c r="D1831" t="s">
        <v>585</v>
      </c>
      <c r="E1831" t="s">
        <v>585</v>
      </c>
      <c r="F1831" s="705">
        <v>1</v>
      </c>
      <c r="G1831" s="705">
        <v>119</v>
      </c>
      <c r="H1831" s="705">
        <v>384</v>
      </c>
      <c r="I1831" s="705">
        <v>33288</v>
      </c>
      <c r="J1831" s="705">
        <v>30262</v>
      </c>
      <c r="K1831" s="705">
        <v>86</v>
      </c>
      <c r="L1831" s="705">
        <v>4877</v>
      </c>
      <c r="M1831" s="705">
        <v>4433</v>
      </c>
      <c r="N1831" s="705">
        <v>2535</v>
      </c>
      <c r="O1831" s="705">
        <v>939</v>
      </c>
      <c r="P1831" s="705">
        <v>621</v>
      </c>
      <c r="Q1831" s="705">
        <v>230</v>
      </c>
      <c r="R1831" s="705">
        <v>4297</v>
      </c>
      <c r="S1831" s="705">
        <v>3906</v>
      </c>
      <c r="T1831" s="705">
        <v>0</v>
      </c>
      <c r="U1831" s="705">
        <v>0</v>
      </c>
      <c r="V1831" s="705">
        <v>39770</v>
      </c>
      <c r="W1831" s="705">
        <f t="shared" si="78"/>
        <v>39770</v>
      </c>
      <c r="X1831" s="705">
        <f t="shared" si="79"/>
        <v>45618</v>
      </c>
    </row>
    <row r="1832" spans="2:24">
      <c r="B1832" t="s">
        <v>546</v>
      </c>
      <c r="C1832" t="s">
        <v>124</v>
      </c>
      <c r="F1832" s="705">
        <v>1</v>
      </c>
      <c r="G1832" s="705">
        <v>65</v>
      </c>
      <c r="H1832" s="705">
        <v>620</v>
      </c>
      <c r="I1832" s="705"/>
      <c r="J1832" s="705">
        <v>0</v>
      </c>
      <c r="K1832" s="705"/>
      <c r="L1832" s="705"/>
      <c r="M1832" s="705">
        <v>0</v>
      </c>
      <c r="N1832" s="705">
        <v>1419</v>
      </c>
      <c r="O1832" s="705">
        <v>525</v>
      </c>
      <c r="P1832" s="705">
        <v>0</v>
      </c>
      <c r="Q1832" s="705">
        <v>0</v>
      </c>
      <c r="R1832" s="705"/>
      <c r="S1832" s="705">
        <v>0</v>
      </c>
      <c r="T1832" s="705">
        <v>0</v>
      </c>
      <c r="U1832" s="705">
        <v>0</v>
      </c>
      <c r="V1832" s="705">
        <v>525</v>
      </c>
      <c r="W1832" s="705">
        <f t="shared" si="78"/>
        <v>525</v>
      </c>
      <c r="X1832" s="705">
        <f t="shared" si="79"/>
        <v>1419</v>
      </c>
    </row>
    <row r="1833" spans="2:24">
      <c r="B1833" t="s">
        <v>546</v>
      </c>
      <c r="C1833" t="s">
        <v>124</v>
      </c>
      <c r="D1833" t="s">
        <v>664</v>
      </c>
      <c r="E1833" t="s">
        <v>228</v>
      </c>
      <c r="F1833" s="705">
        <v>1</v>
      </c>
      <c r="G1833" s="705">
        <v>67</v>
      </c>
      <c r="H1833" s="705">
        <v>766</v>
      </c>
      <c r="I1833" s="705">
        <v>33531</v>
      </c>
      <c r="J1833" s="705">
        <v>30482</v>
      </c>
      <c r="K1833" s="705">
        <v>50</v>
      </c>
      <c r="L1833" s="705">
        <v>6209</v>
      </c>
      <c r="M1833" s="705">
        <v>5645</v>
      </c>
      <c r="N1833" s="705">
        <v>1642</v>
      </c>
      <c r="O1833" s="705">
        <v>608</v>
      </c>
      <c r="P1833" s="705">
        <v>351</v>
      </c>
      <c r="Q1833" s="705">
        <v>130</v>
      </c>
      <c r="R1833" s="705">
        <v>9875</v>
      </c>
      <c r="S1833" s="705">
        <v>3657</v>
      </c>
      <c r="T1833" s="705">
        <v>0</v>
      </c>
      <c r="U1833" s="705">
        <v>0</v>
      </c>
      <c r="V1833" s="705">
        <v>40523</v>
      </c>
      <c r="W1833" s="705">
        <f t="shared" si="78"/>
        <v>40522</v>
      </c>
      <c r="X1833" s="705">
        <f t="shared" si="79"/>
        <v>51608</v>
      </c>
    </row>
    <row r="1834" spans="2:24">
      <c r="B1834" t="s">
        <v>546</v>
      </c>
      <c r="C1834" t="s">
        <v>124</v>
      </c>
      <c r="D1834" t="s">
        <v>664</v>
      </c>
      <c r="E1834" t="s">
        <v>583</v>
      </c>
      <c r="F1834" s="705">
        <v>1</v>
      </c>
      <c r="G1834" s="705">
        <v>327</v>
      </c>
      <c r="H1834" s="705">
        <v>484</v>
      </c>
      <c r="I1834" s="705">
        <v>110797</v>
      </c>
      <c r="J1834" s="705">
        <v>100724</v>
      </c>
      <c r="K1834" s="705">
        <v>65</v>
      </c>
      <c r="L1834" s="705">
        <v>27666</v>
      </c>
      <c r="M1834" s="705">
        <v>23055</v>
      </c>
      <c r="N1834" s="705">
        <v>7247</v>
      </c>
      <c r="O1834" s="705">
        <v>2684</v>
      </c>
      <c r="P1834" s="705">
        <v>621</v>
      </c>
      <c r="Q1834" s="705">
        <v>230</v>
      </c>
      <c r="R1834" s="705">
        <v>7352</v>
      </c>
      <c r="S1834" s="705">
        <v>6683</v>
      </c>
      <c r="T1834" s="705">
        <v>4401</v>
      </c>
      <c r="U1834" s="705">
        <v>1630</v>
      </c>
      <c r="V1834" s="705">
        <v>135007</v>
      </c>
      <c r="W1834" s="705">
        <f t="shared" si="78"/>
        <v>135006</v>
      </c>
      <c r="X1834" s="705">
        <f t="shared" si="79"/>
        <v>158084</v>
      </c>
    </row>
    <row r="1835" spans="2:24">
      <c r="B1835" t="s">
        <v>546</v>
      </c>
      <c r="C1835" t="s">
        <v>124</v>
      </c>
      <c r="D1835" t="s">
        <v>582</v>
      </c>
      <c r="E1835" t="s">
        <v>582</v>
      </c>
      <c r="F1835" s="705">
        <v>1</v>
      </c>
      <c r="G1835" s="705">
        <v>118</v>
      </c>
      <c r="H1835" s="705">
        <v>606</v>
      </c>
      <c r="I1835" s="705">
        <v>48260</v>
      </c>
      <c r="J1835" s="705">
        <v>43873</v>
      </c>
      <c r="K1835" s="705">
        <v>78</v>
      </c>
      <c r="L1835" s="705">
        <v>13245</v>
      </c>
      <c r="M1835" s="705">
        <v>12041</v>
      </c>
      <c r="N1835" s="705">
        <v>2882</v>
      </c>
      <c r="O1835" s="705">
        <v>1067</v>
      </c>
      <c r="P1835" s="705">
        <v>473</v>
      </c>
      <c r="Q1835" s="705">
        <v>175</v>
      </c>
      <c r="R1835" s="705">
        <v>4177</v>
      </c>
      <c r="S1835" s="705">
        <v>3797</v>
      </c>
      <c r="T1835" s="705">
        <v>2655</v>
      </c>
      <c r="U1835" s="705">
        <v>983</v>
      </c>
      <c r="V1835" s="705">
        <v>61936</v>
      </c>
      <c r="W1835" s="705">
        <f t="shared" si="78"/>
        <v>61936</v>
      </c>
      <c r="X1835" s="705">
        <f t="shared" si="79"/>
        <v>71692</v>
      </c>
    </row>
    <row r="1836" spans="2:24">
      <c r="B1836" t="s">
        <v>546</v>
      </c>
      <c r="C1836" t="s">
        <v>124</v>
      </c>
      <c r="D1836" t="s">
        <v>228</v>
      </c>
      <c r="E1836" t="s">
        <v>228</v>
      </c>
      <c r="F1836" s="705">
        <v>218</v>
      </c>
      <c r="G1836" s="705">
        <v>17090</v>
      </c>
      <c r="H1836" s="705">
        <v>166149</v>
      </c>
      <c r="I1836" s="705">
        <v>9436892</v>
      </c>
      <c r="J1836" s="705">
        <v>3495145</v>
      </c>
      <c r="K1836" s="705">
        <v>100</v>
      </c>
      <c r="L1836" s="705">
        <v>1512931</v>
      </c>
      <c r="M1836" s="705">
        <v>1286648</v>
      </c>
      <c r="N1836" s="705">
        <v>394904</v>
      </c>
      <c r="O1836" s="705">
        <v>146261</v>
      </c>
      <c r="P1836" s="705">
        <v>11487</v>
      </c>
      <c r="Q1836" s="705">
        <v>4254</v>
      </c>
      <c r="R1836" s="705">
        <v>1398768</v>
      </c>
      <c r="S1836" s="705">
        <v>518062</v>
      </c>
      <c r="T1836" s="705">
        <v>8643</v>
      </c>
      <c r="U1836" s="705">
        <v>3201</v>
      </c>
      <c r="V1836" s="705">
        <v>5453572</v>
      </c>
      <c r="W1836" s="705">
        <f t="shared" si="78"/>
        <v>5453571</v>
      </c>
      <c r="X1836" s="705">
        <f t="shared" si="79"/>
        <v>12763625</v>
      </c>
    </row>
    <row r="1837" spans="2:24">
      <c r="B1837" t="s">
        <v>546</v>
      </c>
      <c r="C1837" t="s">
        <v>124</v>
      </c>
      <c r="D1837" t="s">
        <v>228</v>
      </c>
      <c r="E1837" t="s">
        <v>583</v>
      </c>
      <c r="F1837" s="705">
        <v>3</v>
      </c>
      <c r="G1837" s="705">
        <v>426</v>
      </c>
      <c r="H1837" s="705">
        <v>2244</v>
      </c>
      <c r="I1837" s="705">
        <v>246919</v>
      </c>
      <c r="J1837" s="705">
        <v>91452</v>
      </c>
      <c r="K1837" s="705">
        <v>100</v>
      </c>
      <c r="L1837" s="705">
        <v>31808</v>
      </c>
      <c r="M1837" s="705">
        <v>28916</v>
      </c>
      <c r="N1837" s="705">
        <v>9702</v>
      </c>
      <c r="O1837" s="705">
        <v>3593</v>
      </c>
      <c r="P1837" s="705">
        <v>1161</v>
      </c>
      <c r="Q1837" s="705">
        <v>430</v>
      </c>
      <c r="R1837" s="705">
        <v>20364</v>
      </c>
      <c r="S1837" s="705">
        <v>18513</v>
      </c>
      <c r="T1837" s="705">
        <v>11853</v>
      </c>
      <c r="U1837" s="705">
        <v>4390</v>
      </c>
      <c r="V1837" s="705">
        <v>147294</v>
      </c>
      <c r="W1837" s="705">
        <f t="shared" si="78"/>
        <v>147294</v>
      </c>
      <c r="X1837" s="705">
        <f t="shared" si="79"/>
        <v>321807</v>
      </c>
    </row>
    <row r="1838" spans="2:24">
      <c r="B1838" t="s">
        <v>546</v>
      </c>
      <c r="C1838" t="s">
        <v>124</v>
      </c>
      <c r="D1838" t="s">
        <v>228</v>
      </c>
      <c r="E1838" t="s">
        <v>666</v>
      </c>
      <c r="F1838" s="705">
        <v>3</v>
      </c>
      <c r="G1838" s="705">
        <v>359</v>
      </c>
      <c r="H1838" s="705">
        <v>1916</v>
      </c>
      <c r="I1838" s="705">
        <v>179173</v>
      </c>
      <c r="J1838" s="705">
        <v>66361</v>
      </c>
      <c r="K1838" s="705">
        <v>100</v>
      </c>
      <c r="L1838" s="705">
        <v>14672</v>
      </c>
      <c r="M1838" s="705">
        <v>13338</v>
      </c>
      <c r="N1838" s="705">
        <v>7397</v>
      </c>
      <c r="O1838" s="705">
        <v>2740</v>
      </c>
      <c r="P1838" s="705">
        <v>351</v>
      </c>
      <c r="Q1838" s="705">
        <v>130</v>
      </c>
      <c r="R1838" s="705">
        <v>18199</v>
      </c>
      <c r="S1838" s="705">
        <v>16544</v>
      </c>
      <c r="T1838" s="705">
        <v>8499</v>
      </c>
      <c r="U1838" s="705">
        <v>3148</v>
      </c>
      <c r="V1838" s="705">
        <v>102261</v>
      </c>
      <c r="W1838" s="705">
        <f t="shared" si="78"/>
        <v>102261</v>
      </c>
      <c r="X1838" s="705">
        <f t="shared" si="79"/>
        <v>228291</v>
      </c>
    </row>
    <row r="1839" spans="2:24">
      <c r="B1839" t="s">
        <v>546</v>
      </c>
      <c r="C1839" t="s">
        <v>124</v>
      </c>
      <c r="D1839" t="s">
        <v>228</v>
      </c>
      <c r="E1839" t="s">
        <v>669</v>
      </c>
      <c r="F1839" s="705">
        <v>1</v>
      </c>
      <c r="G1839" s="705">
        <v>70</v>
      </c>
      <c r="H1839" s="705">
        <v>705</v>
      </c>
      <c r="I1839" s="705">
        <v>37039</v>
      </c>
      <c r="J1839" s="705">
        <v>13718</v>
      </c>
      <c r="K1839" s="705">
        <v>100</v>
      </c>
      <c r="L1839" s="705">
        <v>3658</v>
      </c>
      <c r="M1839" s="705">
        <v>3048</v>
      </c>
      <c r="N1839" s="705">
        <v>1716</v>
      </c>
      <c r="O1839" s="705">
        <v>636</v>
      </c>
      <c r="P1839" s="705">
        <v>0</v>
      </c>
      <c r="Q1839" s="705">
        <v>0</v>
      </c>
      <c r="R1839" s="705">
        <v>7212</v>
      </c>
      <c r="S1839" s="705">
        <v>6010</v>
      </c>
      <c r="T1839" s="705">
        <v>0</v>
      </c>
      <c r="U1839" s="705">
        <v>0</v>
      </c>
      <c r="V1839" s="705">
        <v>23412</v>
      </c>
      <c r="W1839" s="705">
        <f t="shared" si="78"/>
        <v>23412</v>
      </c>
      <c r="X1839" s="705">
        <f t="shared" si="79"/>
        <v>49625</v>
      </c>
    </row>
    <row r="1840" spans="2:24">
      <c r="B1840" t="s">
        <v>546</v>
      </c>
      <c r="C1840" t="s">
        <v>124</v>
      </c>
      <c r="D1840" t="s">
        <v>228</v>
      </c>
      <c r="E1840" t="s">
        <v>665</v>
      </c>
      <c r="F1840" s="705">
        <v>13</v>
      </c>
      <c r="G1840" s="705">
        <v>1113</v>
      </c>
      <c r="H1840" s="705">
        <v>9759</v>
      </c>
      <c r="I1840" s="705">
        <v>591711</v>
      </c>
      <c r="J1840" s="705">
        <v>219152</v>
      </c>
      <c r="K1840" s="705">
        <v>100</v>
      </c>
      <c r="L1840" s="705">
        <v>88520</v>
      </c>
      <c r="M1840" s="705">
        <v>74364</v>
      </c>
      <c r="N1840" s="705">
        <v>24041</v>
      </c>
      <c r="O1840" s="705">
        <v>8904</v>
      </c>
      <c r="P1840" s="705">
        <v>1053</v>
      </c>
      <c r="Q1840" s="705">
        <v>390</v>
      </c>
      <c r="R1840" s="705">
        <v>78985</v>
      </c>
      <c r="S1840" s="705">
        <v>71804</v>
      </c>
      <c r="T1840" s="705">
        <v>15490</v>
      </c>
      <c r="U1840" s="705">
        <v>5737</v>
      </c>
      <c r="V1840" s="705">
        <v>380352</v>
      </c>
      <c r="W1840" s="705">
        <f t="shared" si="78"/>
        <v>380351</v>
      </c>
      <c r="X1840" s="705">
        <f t="shared" si="79"/>
        <v>799800</v>
      </c>
    </row>
    <row r="1841" spans="2:24">
      <c r="B1841" t="s">
        <v>546</v>
      </c>
      <c r="C1841" t="s">
        <v>124</v>
      </c>
      <c r="D1841" t="s">
        <v>583</v>
      </c>
      <c r="E1841" t="s">
        <v>228</v>
      </c>
      <c r="F1841" s="705">
        <v>10</v>
      </c>
      <c r="G1841" s="705">
        <v>652</v>
      </c>
      <c r="H1841" s="705">
        <v>6490</v>
      </c>
      <c r="I1841" s="705">
        <v>272021</v>
      </c>
      <c r="J1841" s="705">
        <v>247292</v>
      </c>
      <c r="K1841" s="705">
        <v>76</v>
      </c>
      <c r="L1841" s="705">
        <v>66352</v>
      </c>
      <c r="M1841" s="705">
        <v>59702</v>
      </c>
      <c r="N1841" s="705">
        <v>14984</v>
      </c>
      <c r="O1841" s="705">
        <v>5550</v>
      </c>
      <c r="P1841" s="705">
        <v>6210</v>
      </c>
      <c r="Q1841" s="705">
        <v>2300</v>
      </c>
      <c r="R1841" s="705">
        <v>54255</v>
      </c>
      <c r="S1841" s="705">
        <v>20095</v>
      </c>
      <c r="T1841" s="705">
        <v>0</v>
      </c>
      <c r="U1841" s="705">
        <v>0</v>
      </c>
      <c r="V1841" s="705">
        <v>334938</v>
      </c>
      <c r="W1841" s="705">
        <f t="shared" si="78"/>
        <v>334939</v>
      </c>
      <c r="X1841" s="705">
        <f t="shared" si="79"/>
        <v>413822</v>
      </c>
    </row>
    <row r="1842" spans="2:24">
      <c r="B1842" t="s">
        <v>546</v>
      </c>
      <c r="C1842" t="s">
        <v>124</v>
      </c>
      <c r="D1842" t="s">
        <v>583</v>
      </c>
      <c r="E1842" t="s">
        <v>583</v>
      </c>
      <c r="F1842" s="705">
        <v>552</v>
      </c>
      <c r="G1842" s="705">
        <v>53544</v>
      </c>
      <c r="H1842" s="705">
        <v>305830</v>
      </c>
      <c r="I1842" s="705">
        <v>20184424</v>
      </c>
      <c r="J1842" s="705">
        <v>18349476</v>
      </c>
      <c r="K1842" s="705">
        <v>71</v>
      </c>
      <c r="L1842" s="705">
        <v>4100573</v>
      </c>
      <c r="M1842" s="705">
        <v>3618973</v>
      </c>
      <c r="N1842" s="705">
        <v>1186705</v>
      </c>
      <c r="O1842" s="705">
        <v>439520</v>
      </c>
      <c r="P1842" s="705">
        <v>351235</v>
      </c>
      <c r="Q1842" s="705">
        <v>130087</v>
      </c>
      <c r="R1842" s="705">
        <v>2822116</v>
      </c>
      <c r="S1842" s="705">
        <v>2565560</v>
      </c>
      <c r="T1842" s="705">
        <v>952160</v>
      </c>
      <c r="U1842" s="705">
        <v>352652</v>
      </c>
      <c r="V1842" s="705">
        <v>25456269</v>
      </c>
      <c r="W1842" s="705">
        <f t="shared" si="78"/>
        <v>25456268</v>
      </c>
      <c r="X1842" s="705">
        <f t="shared" si="79"/>
        <v>29597213</v>
      </c>
    </row>
    <row r="1843" spans="2:24">
      <c r="B1843" t="s">
        <v>546</v>
      </c>
      <c r="C1843" t="s">
        <v>124</v>
      </c>
      <c r="D1843" t="s">
        <v>583</v>
      </c>
      <c r="E1843" t="s">
        <v>666</v>
      </c>
      <c r="F1843" s="705">
        <v>1</v>
      </c>
      <c r="G1843" s="705">
        <v>119</v>
      </c>
      <c r="H1843" s="705">
        <v>711</v>
      </c>
      <c r="I1843" s="705">
        <v>59118</v>
      </c>
      <c r="J1843" s="705">
        <v>53744</v>
      </c>
      <c r="K1843" s="705">
        <v>65</v>
      </c>
      <c r="L1843" s="705">
        <v>13531</v>
      </c>
      <c r="M1843" s="705">
        <v>12301</v>
      </c>
      <c r="N1843" s="705">
        <v>2585</v>
      </c>
      <c r="O1843" s="705">
        <v>958</v>
      </c>
      <c r="P1843" s="705">
        <v>621</v>
      </c>
      <c r="Q1843" s="705">
        <v>230</v>
      </c>
      <c r="R1843" s="705">
        <v>8377</v>
      </c>
      <c r="S1843" s="705">
        <v>7616</v>
      </c>
      <c r="T1843" s="705">
        <v>0</v>
      </c>
      <c r="U1843" s="705">
        <v>0</v>
      </c>
      <c r="V1843" s="705">
        <v>74848</v>
      </c>
      <c r="W1843" s="705">
        <f t="shared" si="78"/>
        <v>74849</v>
      </c>
      <c r="X1843" s="705">
        <f t="shared" si="79"/>
        <v>84232</v>
      </c>
    </row>
    <row r="1844" spans="2:24">
      <c r="B1844" t="s">
        <v>546</v>
      </c>
      <c r="C1844" t="s">
        <v>124</v>
      </c>
      <c r="D1844" t="s">
        <v>583</v>
      </c>
      <c r="E1844" t="s">
        <v>669</v>
      </c>
      <c r="F1844" s="705">
        <v>1</v>
      </c>
      <c r="G1844" s="705">
        <v>56</v>
      </c>
      <c r="H1844" s="705">
        <v>505</v>
      </c>
      <c r="I1844" s="705">
        <v>15484</v>
      </c>
      <c r="J1844" s="705">
        <v>14076</v>
      </c>
      <c r="K1844" s="705">
        <v>85</v>
      </c>
      <c r="L1844" s="705">
        <v>5068</v>
      </c>
      <c r="M1844" s="705">
        <v>4223</v>
      </c>
      <c r="N1844" s="705">
        <v>1191</v>
      </c>
      <c r="O1844" s="705">
        <v>441</v>
      </c>
      <c r="P1844" s="705">
        <v>621</v>
      </c>
      <c r="Q1844" s="705">
        <v>230</v>
      </c>
      <c r="R1844" s="705">
        <v>4462</v>
      </c>
      <c r="S1844" s="705">
        <v>3719</v>
      </c>
      <c r="T1844" s="705">
        <v>1386</v>
      </c>
      <c r="U1844" s="705">
        <v>513</v>
      </c>
      <c r="V1844" s="705">
        <v>23202</v>
      </c>
      <c r="W1844" s="705">
        <f t="shared" si="78"/>
        <v>23202</v>
      </c>
      <c r="X1844" s="705">
        <f t="shared" si="79"/>
        <v>28212</v>
      </c>
    </row>
    <row r="1845" spans="2:24">
      <c r="B1845" t="s">
        <v>546</v>
      </c>
      <c r="C1845" t="s">
        <v>124</v>
      </c>
      <c r="D1845" t="s">
        <v>583</v>
      </c>
      <c r="E1845" t="s">
        <v>665</v>
      </c>
      <c r="F1845" s="705">
        <v>2</v>
      </c>
      <c r="G1845" s="705">
        <v>198</v>
      </c>
      <c r="H1845" s="705">
        <v>1579</v>
      </c>
      <c r="I1845" s="705">
        <v>105935</v>
      </c>
      <c r="J1845" s="705">
        <v>96305</v>
      </c>
      <c r="K1845" s="705">
        <v>65</v>
      </c>
      <c r="L1845" s="705">
        <v>24244</v>
      </c>
      <c r="M1845" s="705">
        <v>22040</v>
      </c>
      <c r="N1845" s="705">
        <v>3438</v>
      </c>
      <c r="O1845" s="705">
        <v>1273</v>
      </c>
      <c r="P1845" s="705">
        <v>1242</v>
      </c>
      <c r="Q1845" s="705">
        <v>460</v>
      </c>
      <c r="R1845" s="705">
        <v>12735</v>
      </c>
      <c r="S1845" s="705">
        <v>11577</v>
      </c>
      <c r="T1845" s="705">
        <v>6602</v>
      </c>
      <c r="U1845" s="705">
        <v>2445</v>
      </c>
      <c r="V1845" s="705">
        <v>134100</v>
      </c>
      <c r="W1845" s="705">
        <f t="shared" si="78"/>
        <v>134100</v>
      </c>
      <c r="X1845" s="705">
        <f t="shared" si="79"/>
        <v>154196</v>
      </c>
    </row>
    <row r="1846" spans="2:24">
      <c r="B1846" t="s">
        <v>546</v>
      </c>
      <c r="C1846" t="s">
        <v>124</v>
      </c>
      <c r="D1846" t="s">
        <v>666</v>
      </c>
      <c r="E1846" t="s">
        <v>228</v>
      </c>
      <c r="F1846" s="705">
        <v>8</v>
      </c>
      <c r="G1846" s="705">
        <v>787</v>
      </c>
      <c r="H1846" s="705">
        <v>9812</v>
      </c>
      <c r="I1846" s="705">
        <v>769267</v>
      </c>
      <c r="J1846" s="705">
        <v>699334</v>
      </c>
      <c r="K1846" s="705">
        <v>37</v>
      </c>
      <c r="L1846" s="705">
        <v>62523</v>
      </c>
      <c r="M1846" s="705">
        <v>38257</v>
      </c>
      <c r="N1846" s="705">
        <v>17956</v>
      </c>
      <c r="O1846" s="705">
        <v>6650</v>
      </c>
      <c r="P1846" s="705">
        <v>702</v>
      </c>
      <c r="Q1846" s="705">
        <v>260</v>
      </c>
      <c r="R1846" s="705">
        <v>46966</v>
      </c>
      <c r="S1846" s="705">
        <v>17395</v>
      </c>
      <c r="T1846" s="705">
        <v>0</v>
      </c>
      <c r="U1846" s="705">
        <v>0</v>
      </c>
      <c r="V1846" s="705">
        <v>761896</v>
      </c>
      <c r="W1846" s="705">
        <f t="shared" si="78"/>
        <v>761896</v>
      </c>
      <c r="X1846" s="705">
        <f t="shared" si="79"/>
        <v>897414</v>
      </c>
    </row>
    <row r="1847" spans="2:24">
      <c r="B1847" t="s">
        <v>546</v>
      </c>
      <c r="C1847" t="s">
        <v>124</v>
      </c>
      <c r="D1847" t="s">
        <v>666</v>
      </c>
      <c r="E1847" t="s">
        <v>583</v>
      </c>
      <c r="F1847" s="705">
        <v>1</v>
      </c>
      <c r="G1847" s="705">
        <v>82</v>
      </c>
      <c r="H1847" s="705">
        <v>505</v>
      </c>
      <c r="I1847" s="705">
        <v>26606</v>
      </c>
      <c r="J1847" s="705">
        <v>24187</v>
      </c>
      <c r="K1847" s="705">
        <v>45</v>
      </c>
      <c r="L1847" s="705">
        <v>4434</v>
      </c>
      <c r="M1847" s="705">
        <v>4031</v>
      </c>
      <c r="N1847" s="705">
        <v>1500</v>
      </c>
      <c r="O1847" s="705">
        <v>556</v>
      </c>
      <c r="P1847" s="705">
        <v>351</v>
      </c>
      <c r="Q1847" s="705">
        <v>130</v>
      </c>
      <c r="R1847" s="705">
        <v>6277</v>
      </c>
      <c r="S1847" s="705">
        <v>5706</v>
      </c>
      <c r="T1847" s="705">
        <v>2328</v>
      </c>
      <c r="U1847" s="705">
        <v>862</v>
      </c>
      <c r="V1847" s="705">
        <v>35473</v>
      </c>
      <c r="W1847" s="705">
        <f t="shared" si="78"/>
        <v>35472</v>
      </c>
      <c r="X1847" s="705">
        <f t="shared" si="79"/>
        <v>41496</v>
      </c>
    </row>
    <row r="1848" spans="2:24">
      <c r="B1848" t="s">
        <v>546</v>
      </c>
      <c r="C1848" t="s">
        <v>124</v>
      </c>
      <c r="D1848" t="s">
        <v>666</v>
      </c>
      <c r="E1848" t="s">
        <v>666</v>
      </c>
      <c r="F1848" s="705">
        <v>34</v>
      </c>
      <c r="G1848" s="705">
        <v>2784</v>
      </c>
      <c r="H1848" s="705">
        <v>20534</v>
      </c>
      <c r="I1848" s="705">
        <v>1200421</v>
      </c>
      <c r="J1848" s="705">
        <v>1091292</v>
      </c>
      <c r="K1848" s="705">
        <v>56</v>
      </c>
      <c r="L1848" s="705">
        <v>214961</v>
      </c>
      <c r="M1848" s="705">
        <v>152099</v>
      </c>
      <c r="N1848" s="705">
        <v>62578</v>
      </c>
      <c r="O1848" s="705">
        <v>23177</v>
      </c>
      <c r="P1848" s="705">
        <v>10881</v>
      </c>
      <c r="Q1848" s="705">
        <v>4030</v>
      </c>
      <c r="R1848" s="705">
        <v>192071</v>
      </c>
      <c r="S1848" s="705">
        <v>174610</v>
      </c>
      <c r="T1848" s="705">
        <v>47162</v>
      </c>
      <c r="U1848" s="705">
        <v>17467</v>
      </c>
      <c r="V1848" s="705">
        <v>1462676</v>
      </c>
      <c r="W1848" s="705">
        <f t="shared" si="78"/>
        <v>1462675</v>
      </c>
      <c r="X1848" s="705">
        <f t="shared" si="79"/>
        <v>1728074</v>
      </c>
    </row>
    <row r="1849" spans="2:24">
      <c r="B1849" t="s">
        <v>546</v>
      </c>
      <c r="C1849" t="s">
        <v>124</v>
      </c>
      <c r="D1849" t="s">
        <v>584</v>
      </c>
      <c r="E1849" t="s">
        <v>584</v>
      </c>
      <c r="F1849" s="705">
        <v>25</v>
      </c>
      <c r="G1849" s="705">
        <v>2484</v>
      </c>
      <c r="H1849" s="705">
        <v>13396</v>
      </c>
      <c r="I1849" s="705">
        <v>870555</v>
      </c>
      <c r="J1849" s="705">
        <v>791414</v>
      </c>
      <c r="K1849" s="705">
        <v>73</v>
      </c>
      <c r="L1849" s="705">
        <v>235830</v>
      </c>
      <c r="M1849" s="705">
        <v>185597</v>
      </c>
      <c r="N1849" s="705">
        <v>51360</v>
      </c>
      <c r="O1849" s="705">
        <v>19022</v>
      </c>
      <c r="P1849" s="705">
        <v>11691</v>
      </c>
      <c r="Q1849" s="705">
        <v>4330</v>
      </c>
      <c r="R1849" s="705">
        <v>133292</v>
      </c>
      <c r="S1849" s="705">
        <v>121175</v>
      </c>
      <c r="T1849" s="705">
        <v>37718</v>
      </c>
      <c r="U1849" s="705">
        <v>13969</v>
      </c>
      <c r="V1849" s="705">
        <v>1135507</v>
      </c>
      <c r="W1849" s="705">
        <f t="shared" si="78"/>
        <v>1135507</v>
      </c>
      <c r="X1849" s="705">
        <f t="shared" si="79"/>
        <v>1340446</v>
      </c>
    </row>
    <row r="1850" spans="2:24">
      <c r="B1850" t="s">
        <v>546</v>
      </c>
      <c r="C1850" t="s">
        <v>124</v>
      </c>
      <c r="D1850" t="s">
        <v>669</v>
      </c>
      <c r="E1850" t="s">
        <v>228</v>
      </c>
      <c r="F1850" s="705">
        <v>5</v>
      </c>
      <c r="G1850" s="705">
        <v>438</v>
      </c>
      <c r="H1850" s="705">
        <v>6815</v>
      </c>
      <c r="I1850" s="705">
        <v>494776</v>
      </c>
      <c r="J1850" s="705">
        <v>412314</v>
      </c>
      <c r="K1850" s="705">
        <v>35</v>
      </c>
      <c r="L1850" s="705">
        <v>38606</v>
      </c>
      <c r="M1850" s="705">
        <v>20207</v>
      </c>
      <c r="N1850" s="705">
        <v>9977</v>
      </c>
      <c r="O1850" s="705">
        <v>3695</v>
      </c>
      <c r="P1850" s="705">
        <v>351</v>
      </c>
      <c r="Q1850" s="705">
        <v>130</v>
      </c>
      <c r="R1850" s="705">
        <v>38819</v>
      </c>
      <c r="S1850" s="705">
        <v>14378</v>
      </c>
      <c r="T1850" s="705">
        <v>0</v>
      </c>
      <c r="U1850" s="705">
        <v>0</v>
      </c>
      <c r="V1850" s="705">
        <v>450724</v>
      </c>
      <c r="W1850" s="705">
        <f t="shared" si="78"/>
        <v>450724</v>
      </c>
      <c r="X1850" s="705">
        <f t="shared" si="79"/>
        <v>582529</v>
      </c>
    </row>
    <row r="1851" spans="2:24">
      <c r="B1851" t="s">
        <v>546</v>
      </c>
      <c r="C1851" t="s">
        <v>124</v>
      </c>
      <c r="D1851" t="s">
        <v>669</v>
      </c>
      <c r="E1851" t="s">
        <v>669</v>
      </c>
      <c r="F1851" s="705">
        <v>13</v>
      </c>
      <c r="G1851" s="705">
        <v>888</v>
      </c>
      <c r="H1851" s="705">
        <v>9381</v>
      </c>
      <c r="I1851" s="705">
        <v>527761</v>
      </c>
      <c r="J1851" s="705">
        <v>439801</v>
      </c>
      <c r="K1851" s="705">
        <v>49</v>
      </c>
      <c r="L1851" s="705">
        <v>45588</v>
      </c>
      <c r="M1851" s="705">
        <v>34458</v>
      </c>
      <c r="N1851" s="705">
        <v>19547</v>
      </c>
      <c r="O1851" s="705">
        <v>7240</v>
      </c>
      <c r="P1851" s="705">
        <v>4482</v>
      </c>
      <c r="Q1851" s="705">
        <v>1660</v>
      </c>
      <c r="R1851" s="705">
        <v>78896</v>
      </c>
      <c r="S1851" s="705">
        <v>65747</v>
      </c>
      <c r="T1851" s="705">
        <v>21919</v>
      </c>
      <c r="U1851" s="705">
        <v>8118</v>
      </c>
      <c r="V1851" s="705">
        <v>557023</v>
      </c>
      <c r="W1851" s="705">
        <f t="shared" si="78"/>
        <v>557024</v>
      </c>
      <c r="X1851" s="705">
        <f t="shared" si="79"/>
        <v>698193</v>
      </c>
    </row>
    <row r="1852" spans="2:24">
      <c r="B1852" t="s">
        <v>546</v>
      </c>
      <c r="C1852" t="s">
        <v>124</v>
      </c>
      <c r="D1852" t="s">
        <v>669</v>
      </c>
      <c r="E1852" t="s">
        <v>665</v>
      </c>
      <c r="F1852" s="705">
        <v>1</v>
      </c>
      <c r="G1852" s="705">
        <v>37</v>
      </c>
      <c r="H1852" s="705">
        <v>851</v>
      </c>
      <c r="I1852" s="705">
        <v>24425</v>
      </c>
      <c r="J1852" s="705">
        <v>20354</v>
      </c>
      <c r="K1852" s="705">
        <v>55</v>
      </c>
      <c r="L1852" s="705">
        <v>0</v>
      </c>
      <c r="M1852" s="705">
        <v>0</v>
      </c>
      <c r="N1852" s="705">
        <v>893</v>
      </c>
      <c r="O1852" s="705">
        <v>331</v>
      </c>
      <c r="P1852" s="705">
        <v>351</v>
      </c>
      <c r="Q1852" s="705">
        <v>130</v>
      </c>
      <c r="R1852" s="705">
        <v>3965</v>
      </c>
      <c r="S1852" s="705">
        <v>3604</v>
      </c>
      <c r="T1852" s="705">
        <v>1549</v>
      </c>
      <c r="U1852" s="705">
        <v>574</v>
      </c>
      <c r="V1852" s="705">
        <v>24993</v>
      </c>
      <c r="W1852" s="705">
        <f t="shared" si="78"/>
        <v>24993</v>
      </c>
      <c r="X1852" s="705">
        <f t="shared" si="79"/>
        <v>31183</v>
      </c>
    </row>
    <row r="1853" spans="2:24">
      <c r="B1853" t="s">
        <v>546</v>
      </c>
      <c r="C1853" t="s">
        <v>124</v>
      </c>
      <c r="D1853" t="s">
        <v>671</v>
      </c>
      <c r="E1853" t="s">
        <v>582</v>
      </c>
      <c r="F1853" s="705">
        <v>1</v>
      </c>
      <c r="G1853" s="705">
        <v>57</v>
      </c>
      <c r="H1853" s="705">
        <v>1491</v>
      </c>
      <c r="I1853" s="705">
        <v>71744</v>
      </c>
      <c r="J1853" s="705">
        <v>65222</v>
      </c>
      <c r="K1853" s="705">
        <v>30</v>
      </c>
      <c r="L1853" s="705">
        <v>7573</v>
      </c>
      <c r="M1853" s="705">
        <v>6885</v>
      </c>
      <c r="N1853" s="705">
        <v>1169</v>
      </c>
      <c r="O1853" s="705">
        <v>433</v>
      </c>
      <c r="P1853" s="705">
        <v>0</v>
      </c>
      <c r="Q1853" s="705">
        <v>0</v>
      </c>
      <c r="R1853" s="705">
        <v>5185</v>
      </c>
      <c r="S1853" s="705">
        <v>4714</v>
      </c>
      <c r="T1853" s="705">
        <v>0</v>
      </c>
      <c r="U1853" s="705">
        <v>0</v>
      </c>
      <c r="V1853" s="705">
        <v>77253</v>
      </c>
      <c r="W1853" s="705">
        <f t="shared" si="78"/>
        <v>77254</v>
      </c>
      <c r="X1853" s="705">
        <f t="shared" si="79"/>
        <v>85671</v>
      </c>
    </row>
    <row r="1854" spans="2:24">
      <c r="B1854" t="s">
        <v>546</v>
      </c>
      <c r="C1854" t="s">
        <v>124</v>
      </c>
      <c r="D1854" t="s">
        <v>671</v>
      </c>
      <c r="E1854" t="s">
        <v>228</v>
      </c>
      <c r="F1854" s="705">
        <v>1</v>
      </c>
      <c r="G1854" s="705">
        <v>49</v>
      </c>
      <c r="H1854" s="705">
        <v>2017</v>
      </c>
      <c r="I1854" s="705">
        <v>92813</v>
      </c>
      <c r="J1854" s="705">
        <v>84375</v>
      </c>
      <c r="K1854" s="705">
        <v>30</v>
      </c>
      <c r="L1854" s="705">
        <v>0</v>
      </c>
      <c r="M1854" s="705">
        <v>2813</v>
      </c>
      <c r="N1854" s="705">
        <v>1201</v>
      </c>
      <c r="O1854" s="705">
        <v>445</v>
      </c>
      <c r="P1854" s="705">
        <v>0</v>
      </c>
      <c r="Q1854" s="705">
        <v>0</v>
      </c>
      <c r="R1854" s="705">
        <v>5350</v>
      </c>
      <c r="S1854" s="705">
        <v>1981</v>
      </c>
      <c r="T1854" s="705">
        <v>0</v>
      </c>
      <c r="U1854" s="705">
        <v>0</v>
      </c>
      <c r="V1854" s="705">
        <v>89614</v>
      </c>
      <c r="W1854" s="705">
        <f t="shared" si="78"/>
        <v>89614</v>
      </c>
      <c r="X1854" s="705">
        <f t="shared" si="79"/>
        <v>99364</v>
      </c>
    </row>
    <row r="1855" spans="2:24">
      <c r="B1855" t="s">
        <v>546</v>
      </c>
      <c r="C1855" t="s">
        <v>124</v>
      </c>
      <c r="D1855" t="s">
        <v>671</v>
      </c>
      <c r="E1855" t="s">
        <v>671</v>
      </c>
      <c r="F1855" s="705">
        <v>2</v>
      </c>
      <c r="G1855" s="705">
        <v>238</v>
      </c>
      <c r="H1855" s="705">
        <v>1192</v>
      </c>
      <c r="I1855" s="705">
        <v>95491</v>
      </c>
      <c r="J1855" s="705">
        <v>86810</v>
      </c>
      <c r="K1855" s="705">
        <v>53</v>
      </c>
      <c r="L1855" s="705">
        <v>22266</v>
      </c>
      <c r="M1855" s="705">
        <v>13991</v>
      </c>
      <c r="N1855" s="705">
        <v>5797</v>
      </c>
      <c r="O1855" s="705">
        <v>2147</v>
      </c>
      <c r="P1855" s="705">
        <v>702</v>
      </c>
      <c r="Q1855" s="705">
        <v>260</v>
      </c>
      <c r="R1855" s="705">
        <v>11964</v>
      </c>
      <c r="S1855" s="705">
        <v>10876</v>
      </c>
      <c r="T1855" s="705">
        <v>5770</v>
      </c>
      <c r="U1855" s="705">
        <v>2137</v>
      </c>
      <c r="V1855" s="705">
        <v>116221</v>
      </c>
      <c r="W1855" s="705">
        <f t="shared" si="78"/>
        <v>116221</v>
      </c>
      <c r="X1855" s="705">
        <f t="shared" si="79"/>
        <v>141990</v>
      </c>
    </row>
    <row r="1856" spans="2:24">
      <c r="B1856" t="s">
        <v>546</v>
      </c>
      <c r="C1856" t="s">
        <v>124</v>
      </c>
      <c r="D1856" t="s">
        <v>665</v>
      </c>
      <c r="E1856" t="s">
        <v>228</v>
      </c>
      <c r="F1856" s="705">
        <v>89</v>
      </c>
      <c r="G1856" s="705">
        <v>7282</v>
      </c>
      <c r="H1856" s="705">
        <v>95736</v>
      </c>
      <c r="I1856" s="705">
        <v>6045639</v>
      </c>
      <c r="J1856" s="705">
        <v>5496035</v>
      </c>
      <c r="K1856" s="705">
        <v>43</v>
      </c>
      <c r="L1856" s="705">
        <v>610949</v>
      </c>
      <c r="M1856" s="705">
        <v>358423</v>
      </c>
      <c r="N1856" s="705">
        <v>166765</v>
      </c>
      <c r="O1856" s="705">
        <v>61765</v>
      </c>
      <c r="P1856" s="705">
        <v>8073</v>
      </c>
      <c r="Q1856" s="705">
        <v>2990</v>
      </c>
      <c r="R1856" s="705">
        <v>622349</v>
      </c>
      <c r="S1856" s="705">
        <v>230500</v>
      </c>
      <c r="T1856" s="705">
        <v>6108</v>
      </c>
      <c r="U1856" s="705">
        <v>2262</v>
      </c>
      <c r="V1856" s="705">
        <v>6151975</v>
      </c>
      <c r="W1856" s="705">
        <f t="shared" si="78"/>
        <v>6151975</v>
      </c>
      <c r="X1856" s="705">
        <f t="shared" si="79"/>
        <v>7459883</v>
      </c>
    </row>
    <row r="1857" spans="2:24">
      <c r="B1857" t="s">
        <v>546</v>
      </c>
      <c r="C1857" t="s">
        <v>124</v>
      </c>
      <c r="D1857" t="s">
        <v>665</v>
      </c>
      <c r="E1857" t="s">
        <v>665</v>
      </c>
      <c r="F1857" s="705">
        <v>215</v>
      </c>
      <c r="G1857" s="705">
        <v>18005</v>
      </c>
      <c r="H1857" s="705">
        <v>150659</v>
      </c>
      <c r="I1857" s="705">
        <v>9071470</v>
      </c>
      <c r="J1857" s="705">
        <v>8246791</v>
      </c>
      <c r="K1857" s="705">
        <v>54</v>
      </c>
      <c r="L1857" s="705">
        <v>1409247</v>
      </c>
      <c r="M1857" s="705">
        <v>1080985</v>
      </c>
      <c r="N1857" s="705">
        <v>380600</v>
      </c>
      <c r="O1857" s="705">
        <v>140963</v>
      </c>
      <c r="P1857" s="705">
        <v>70071</v>
      </c>
      <c r="Q1857" s="705">
        <v>25952</v>
      </c>
      <c r="R1857" s="705">
        <v>1269653</v>
      </c>
      <c r="S1857" s="705">
        <v>1154230</v>
      </c>
      <c r="T1857" s="705">
        <v>402385</v>
      </c>
      <c r="U1857" s="705">
        <v>149032</v>
      </c>
      <c r="V1857" s="705">
        <v>10797952</v>
      </c>
      <c r="W1857" s="705">
        <f t="shared" si="78"/>
        <v>10797953</v>
      </c>
      <c r="X1857" s="705">
        <f t="shared" si="79"/>
        <v>12603426</v>
      </c>
    </row>
    <row r="1858" spans="2:24">
      <c r="B1858" t="s">
        <v>546</v>
      </c>
      <c r="C1858" t="s">
        <v>124</v>
      </c>
      <c r="D1858" t="s">
        <v>673</v>
      </c>
      <c r="E1858" t="s">
        <v>228</v>
      </c>
      <c r="F1858" s="705">
        <v>1</v>
      </c>
      <c r="G1858" s="705">
        <v>92</v>
      </c>
      <c r="H1858" s="705">
        <v>645</v>
      </c>
      <c r="I1858" s="705">
        <v>47303</v>
      </c>
      <c r="J1858" s="705">
        <v>43003</v>
      </c>
      <c r="K1858" s="705">
        <v>60</v>
      </c>
      <c r="L1858" s="705">
        <v>0</v>
      </c>
      <c r="M1858" s="705">
        <v>0</v>
      </c>
      <c r="N1858" s="705">
        <v>2239</v>
      </c>
      <c r="O1858" s="705">
        <v>829</v>
      </c>
      <c r="P1858" s="705">
        <v>0</v>
      </c>
      <c r="Q1858" s="705">
        <v>0</v>
      </c>
      <c r="R1858" s="705">
        <v>9741</v>
      </c>
      <c r="S1858" s="705">
        <v>3608</v>
      </c>
      <c r="T1858" s="705">
        <v>0</v>
      </c>
      <c r="U1858" s="705">
        <v>0</v>
      </c>
      <c r="V1858" s="705">
        <v>47440</v>
      </c>
      <c r="W1858" s="705">
        <f t="shared" si="78"/>
        <v>47440</v>
      </c>
      <c r="X1858" s="705">
        <f t="shared" si="79"/>
        <v>59283</v>
      </c>
    </row>
    <row r="1859" spans="2:24">
      <c r="B1859" t="s">
        <v>546</v>
      </c>
      <c r="C1859" t="s">
        <v>124</v>
      </c>
      <c r="D1859" t="s">
        <v>673</v>
      </c>
      <c r="E1859" t="s">
        <v>673</v>
      </c>
      <c r="F1859" s="705">
        <v>6</v>
      </c>
      <c r="G1859" s="705">
        <v>457</v>
      </c>
      <c r="H1859" s="705">
        <v>4681</v>
      </c>
      <c r="I1859" s="705">
        <v>245331</v>
      </c>
      <c r="J1859" s="705">
        <v>223028</v>
      </c>
      <c r="K1859" s="705">
        <v>48</v>
      </c>
      <c r="L1859" s="705">
        <v>33540</v>
      </c>
      <c r="M1859" s="705">
        <v>24824</v>
      </c>
      <c r="N1859" s="705">
        <v>10332</v>
      </c>
      <c r="O1859" s="705">
        <v>3827</v>
      </c>
      <c r="P1859" s="705">
        <v>1404</v>
      </c>
      <c r="Q1859" s="705">
        <v>520</v>
      </c>
      <c r="R1859" s="705">
        <v>36036</v>
      </c>
      <c r="S1859" s="705">
        <v>32760</v>
      </c>
      <c r="T1859" s="705">
        <v>5739</v>
      </c>
      <c r="U1859" s="705">
        <v>2126</v>
      </c>
      <c r="V1859" s="705">
        <v>287085</v>
      </c>
      <c r="W1859" s="705">
        <f t="shared" si="78"/>
        <v>287085</v>
      </c>
      <c r="X1859" s="705">
        <f t="shared" si="79"/>
        <v>332382</v>
      </c>
    </row>
    <row r="1860" spans="2:24">
      <c r="B1860" t="s">
        <v>547</v>
      </c>
      <c r="C1860" t="s">
        <v>108</v>
      </c>
      <c r="D1860" t="s">
        <v>228</v>
      </c>
      <c r="E1860" t="s">
        <v>228</v>
      </c>
      <c r="F1860" s="705">
        <v>20</v>
      </c>
      <c r="G1860" s="705">
        <v>4816</v>
      </c>
      <c r="H1860" s="705">
        <v>1103</v>
      </c>
      <c r="I1860" s="705">
        <v>44251</v>
      </c>
      <c r="J1860" s="705">
        <v>16389</v>
      </c>
      <c r="K1860" s="705">
        <v>471</v>
      </c>
      <c r="L1860" s="705">
        <v>3339</v>
      </c>
      <c r="M1860" s="705">
        <v>3035</v>
      </c>
      <c r="N1860" s="705">
        <v>68116</v>
      </c>
      <c r="O1860" s="705">
        <v>25228</v>
      </c>
      <c r="P1860" s="705">
        <v>40606</v>
      </c>
      <c r="Q1860" s="705">
        <v>15039</v>
      </c>
      <c r="R1860" s="705">
        <v>109745</v>
      </c>
      <c r="S1860" s="705">
        <v>40646</v>
      </c>
      <c r="T1860" s="705">
        <v>0</v>
      </c>
      <c r="U1860" s="705">
        <v>0</v>
      </c>
      <c r="V1860" s="705">
        <v>100338</v>
      </c>
      <c r="W1860" s="705">
        <f t="shared" si="78"/>
        <v>100337</v>
      </c>
      <c r="X1860" s="705">
        <f t="shared" si="79"/>
        <v>266057</v>
      </c>
    </row>
    <row r="1861" spans="2:24">
      <c r="B1861" t="s">
        <v>547</v>
      </c>
      <c r="C1861" t="s">
        <v>108</v>
      </c>
      <c r="D1861" t="s">
        <v>583</v>
      </c>
      <c r="E1861" t="s">
        <v>583</v>
      </c>
      <c r="F1861" s="705">
        <v>4</v>
      </c>
      <c r="G1861" s="705">
        <v>840</v>
      </c>
      <c r="H1861" s="705">
        <v>279</v>
      </c>
      <c r="I1861" s="705">
        <v>21844</v>
      </c>
      <c r="J1861" s="705">
        <v>19858</v>
      </c>
      <c r="K1861" s="705">
        <v>97</v>
      </c>
      <c r="L1861" s="705">
        <v>3388</v>
      </c>
      <c r="M1861" s="705">
        <v>3080</v>
      </c>
      <c r="N1861" s="705">
        <v>11830</v>
      </c>
      <c r="O1861" s="705">
        <v>4382</v>
      </c>
      <c r="P1861" s="705">
        <v>4239</v>
      </c>
      <c r="Q1861" s="705">
        <v>1570</v>
      </c>
      <c r="R1861" s="705">
        <v>17468</v>
      </c>
      <c r="S1861" s="705">
        <v>15880</v>
      </c>
      <c r="T1861" s="705">
        <v>0</v>
      </c>
      <c r="U1861" s="705">
        <v>0</v>
      </c>
      <c r="V1861" s="705">
        <v>44769</v>
      </c>
      <c r="W1861" s="705">
        <f t="shared" si="78"/>
        <v>44770</v>
      </c>
      <c r="X1861" s="705">
        <f t="shared" si="79"/>
        <v>58769</v>
      </c>
    </row>
    <row r="1862" spans="2:24">
      <c r="B1862" t="s">
        <v>547</v>
      </c>
      <c r="C1862" t="s">
        <v>108</v>
      </c>
      <c r="D1862" t="s">
        <v>585</v>
      </c>
      <c r="E1862" t="s">
        <v>585</v>
      </c>
      <c r="F1862" s="705">
        <v>4</v>
      </c>
      <c r="G1862" s="705">
        <v>520</v>
      </c>
      <c r="H1862" s="705">
        <v>298</v>
      </c>
      <c r="I1862" s="705">
        <v>23213</v>
      </c>
      <c r="J1862" s="705">
        <v>21103</v>
      </c>
      <c r="K1862" s="705">
        <v>90</v>
      </c>
      <c r="L1862" s="705">
        <v>0</v>
      </c>
      <c r="M1862" s="705">
        <v>0</v>
      </c>
      <c r="N1862" s="705">
        <v>6336</v>
      </c>
      <c r="O1862" s="705">
        <v>2347</v>
      </c>
      <c r="P1862" s="705">
        <v>1404</v>
      </c>
      <c r="Q1862" s="705">
        <v>520</v>
      </c>
      <c r="R1862" s="705">
        <v>7833</v>
      </c>
      <c r="S1862" s="705">
        <v>7121</v>
      </c>
      <c r="T1862" s="705">
        <v>0</v>
      </c>
      <c r="U1862" s="705">
        <v>0</v>
      </c>
      <c r="V1862" s="705">
        <v>31090</v>
      </c>
      <c r="W1862" s="705">
        <f t="shared" si="78"/>
        <v>31091</v>
      </c>
      <c r="X1862" s="705">
        <f t="shared" si="79"/>
        <v>38786</v>
      </c>
    </row>
    <row r="1863" spans="2:24">
      <c r="B1863" t="s">
        <v>547</v>
      </c>
      <c r="C1863" t="s">
        <v>110</v>
      </c>
      <c r="D1863" t="s">
        <v>228</v>
      </c>
      <c r="E1863" t="s">
        <v>228</v>
      </c>
      <c r="F1863" s="705">
        <v>10</v>
      </c>
      <c r="G1863" s="705">
        <v>2505</v>
      </c>
      <c r="H1863" s="705">
        <v>845</v>
      </c>
      <c r="I1863" s="705">
        <v>77656</v>
      </c>
      <c r="J1863" s="705">
        <v>28761</v>
      </c>
      <c r="K1863" s="705">
        <v>366</v>
      </c>
      <c r="L1863" s="705">
        <v>20974</v>
      </c>
      <c r="M1863" s="705">
        <v>19067</v>
      </c>
      <c r="N1863" s="705">
        <v>47711</v>
      </c>
      <c r="O1863" s="705">
        <v>17671</v>
      </c>
      <c r="P1863" s="705">
        <v>10319</v>
      </c>
      <c r="Q1863" s="705">
        <v>3822</v>
      </c>
      <c r="R1863" s="705">
        <v>63245</v>
      </c>
      <c r="S1863" s="705">
        <v>23424</v>
      </c>
      <c r="T1863" s="705">
        <v>0</v>
      </c>
      <c r="U1863" s="705">
        <v>0</v>
      </c>
      <c r="V1863" s="705">
        <v>92746</v>
      </c>
      <c r="W1863" s="705">
        <f t="shared" ref="W1863:W1889" si="80">SUM(ABS(J1863),ABS(M1863),ABS(O1863),ABS(Q1863),ABS(S1863),ABS(U1863))</f>
        <v>92745</v>
      </c>
      <c r="X1863" s="705">
        <f t="shared" ref="X1863:X1889" si="81">SUM(ABS(I1863),ABS(N1863),ABS(P1863),ABS(R1863),ABS(T1863),ABS(L1863))</f>
        <v>219905</v>
      </c>
    </row>
    <row r="1864" spans="2:24">
      <c r="B1864" t="s">
        <v>547</v>
      </c>
      <c r="C1864" t="s">
        <v>110</v>
      </c>
      <c r="D1864" t="s">
        <v>583</v>
      </c>
      <c r="E1864" t="s">
        <v>228</v>
      </c>
      <c r="F1864" s="705">
        <v>1</v>
      </c>
      <c r="G1864" s="705">
        <v>269</v>
      </c>
      <c r="H1864" s="705">
        <v>82</v>
      </c>
      <c r="I1864" s="705">
        <v>9558</v>
      </c>
      <c r="J1864" s="705">
        <v>8689</v>
      </c>
      <c r="K1864" s="705">
        <v>97</v>
      </c>
      <c r="L1864" s="705">
        <v>1397</v>
      </c>
      <c r="M1864" s="705">
        <v>1270</v>
      </c>
      <c r="N1864" s="705">
        <v>3274</v>
      </c>
      <c r="O1864" s="705">
        <v>1213</v>
      </c>
      <c r="P1864" s="705">
        <v>2997</v>
      </c>
      <c r="Q1864" s="705">
        <v>1110</v>
      </c>
      <c r="R1864" s="705">
        <v>4799</v>
      </c>
      <c r="S1864" s="705">
        <v>1778</v>
      </c>
      <c r="T1864" s="705">
        <v>0</v>
      </c>
      <c r="U1864" s="705">
        <v>0</v>
      </c>
      <c r="V1864" s="705">
        <v>14059</v>
      </c>
      <c r="W1864" s="705">
        <f t="shared" si="80"/>
        <v>14060</v>
      </c>
      <c r="X1864" s="705">
        <f t="shared" si="81"/>
        <v>22025</v>
      </c>
    </row>
    <row r="1865" spans="2:24">
      <c r="B1865" t="s">
        <v>547</v>
      </c>
      <c r="C1865" t="s">
        <v>110</v>
      </c>
      <c r="D1865" t="s">
        <v>583</v>
      </c>
      <c r="E1865" t="s">
        <v>583</v>
      </c>
      <c r="F1865" s="705">
        <v>28</v>
      </c>
      <c r="G1865" s="705">
        <v>6502</v>
      </c>
      <c r="H1865" s="705">
        <v>2537</v>
      </c>
      <c r="I1865" s="705">
        <v>298871</v>
      </c>
      <c r="J1865" s="705">
        <v>271701</v>
      </c>
      <c r="K1865" s="705">
        <v>94</v>
      </c>
      <c r="L1865" s="705">
        <v>56119</v>
      </c>
      <c r="M1865" s="705">
        <v>50723</v>
      </c>
      <c r="N1865" s="705">
        <v>87434</v>
      </c>
      <c r="O1865" s="705">
        <v>32383</v>
      </c>
      <c r="P1865" s="705">
        <v>25206</v>
      </c>
      <c r="Q1865" s="705">
        <v>9336</v>
      </c>
      <c r="R1865" s="705">
        <v>128297</v>
      </c>
      <c r="S1865" s="705">
        <v>116633</v>
      </c>
      <c r="T1865" s="705">
        <v>0</v>
      </c>
      <c r="U1865" s="705">
        <v>0</v>
      </c>
      <c r="V1865" s="705">
        <v>480777</v>
      </c>
      <c r="W1865" s="705">
        <f t="shared" si="80"/>
        <v>480776</v>
      </c>
      <c r="X1865" s="705">
        <f t="shared" si="81"/>
        <v>595927</v>
      </c>
    </row>
    <row r="1866" spans="2:24">
      <c r="B1866" t="s">
        <v>547</v>
      </c>
      <c r="C1866" t="s">
        <v>110</v>
      </c>
      <c r="D1866" t="s">
        <v>673</v>
      </c>
      <c r="E1866" t="s">
        <v>673</v>
      </c>
      <c r="F1866" s="705">
        <v>1</v>
      </c>
      <c r="G1866" s="705">
        <v>285</v>
      </c>
      <c r="H1866" s="705">
        <v>79</v>
      </c>
      <c r="I1866" s="705">
        <v>7738</v>
      </c>
      <c r="J1866" s="705">
        <v>7035</v>
      </c>
      <c r="K1866" s="705">
        <v>80</v>
      </c>
      <c r="L1866" s="705">
        <v>988</v>
      </c>
      <c r="M1866" s="705">
        <v>898</v>
      </c>
      <c r="N1866" s="705">
        <v>3467</v>
      </c>
      <c r="O1866" s="705">
        <v>1284</v>
      </c>
      <c r="P1866" s="705">
        <v>2835</v>
      </c>
      <c r="Q1866" s="705">
        <v>1050</v>
      </c>
      <c r="R1866" s="705">
        <v>7447</v>
      </c>
      <c r="S1866" s="705">
        <v>6770</v>
      </c>
      <c r="T1866" s="705">
        <v>0</v>
      </c>
      <c r="U1866" s="705">
        <v>0</v>
      </c>
      <c r="V1866" s="705">
        <v>17036</v>
      </c>
      <c r="W1866" s="705">
        <f t="shared" si="80"/>
        <v>17037</v>
      </c>
      <c r="X1866" s="705">
        <f t="shared" si="81"/>
        <v>22475</v>
      </c>
    </row>
    <row r="1867" spans="2:24">
      <c r="B1867" t="s">
        <v>547</v>
      </c>
      <c r="C1867" t="s">
        <v>110</v>
      </c>
      <c r="D1867" t="s">
        <v>585</v>
      </c>
      <c r="E1867" t="s">
        <v>585</v>
      </c>
      <c r="F1867" s="705">
        <v>1</v>
      </c>
      <c r="G1867" s="705">
        <v>124</v>
      </c>
      <c r="H1867" s="705">
        <v>89</v>
      </c>
      <c r="I1867" s="705">
        <v>6063</v>
      </c>
      <c r="J1867" s="705">
        <v>5512</v>
      </c>
      <c r="K1867" s="705">
        <v>90</v>
      </c>
      <c r="L1867" s="705">
        <v>0</v>
      </c>
      <c r="M1867" s="705">
        <v>0</v>
      </c>
      <c r="N1867" s="705">
        <v>1511</v>
      </c>
      <c r="O1867" s="705">
        <v>560</v>
      </c>
      <c r="P1867" s="705">
        <v>351</v>
      </c>
      <c r="Q1867" s="705">
        <v>130</v>
      </c>
      <c r="R1867" s="705">
        <v>3098</v>
      </c>
      <c r="S1867" s="705">
        <v>2816</v>
      </c>
      <c r="T1867" s="705">
        <v>0</v>
      </c>
      <c r="U1867" s="705">
        <v>0</v>
      </c>
      <c r="V1867" s="705">
        <v>9017</v>
      </c>
      <c r="W1867" s="705">
        <f t="shared" si="80"/>
        <v>9018</v>
      </c>
      <c r="X1867" s="705">
        <f t="shared" si="81"/>
        <v>11023</v>
      </c>
    </row>
    <row r="1868" spans="2:24">
      <c r="B1868" t="s">
        <v>547</v>
      </c>
      <c r="C1868" t="s">
        <v>112</v>
      </c>
      <c r="D1868" t="s">
        <v>228</v>
      </c>
      <c r="E1868" t="s">
        <v>228</v>
      </c>
      <c r="F1868" s="705">
        <v>5</v>
      </c>
      <c r="G1868" s="705">
        <v>1168</v>
      </c>
      <c r="H1868" s="705">
        <v>571</v>
      </c>
      <c r="I1868" s="705">
        <v>58971</v>
      </c>
      <c r="J1868" s="705">
        <v>21841</v>
      </c>
      <c r="K1868" s="705">
        <v>320</v>
      </c>
      <c r="L1868" s="705">
        <v>17507</v>
      </c>
      <c r="M1868" s="705">
        <v>15915</v>
      </c>
      <c r="N1868" s="705">
        <v>21148</v>
      </c>
      <c r="O1868" s="705">
        <v>7833</v>
      </c>
      <c r="P1868" s="705">
        <v>2457</v>
      </c>
      <c r="Q1868" s="705">
        <v>910</v>
      </c>
      <c r="R1868" s="705">
        <v>35354</v>
      </c>
      <c r="S1868" s="705">
        <v>13094</v>
      </c>
      <c r="T1868" s="705">
        <v>0</v>
      </c>
      <c r="U1868" s="705">
        <v>0</v>
      </c>
      <c r="V1868" s="705">
        <v>59593</v>
      </c>
      <c r="W1868" s="705">
        <f t="shared" si="80"/>
        <v>59593</v>
      </c>
      <c r="X1868" s="705">
        <f t="shared" si="81"/>
        <v>135437</v>
      </c>
    </row>
    <row r="1869" spans="2:24">
      <c r="B1869" t="s">
        <v>547</v>
      </c>
      <c r="C1869" t="s">
        <v>112</v>
      </c>
      <c r="D1869" t="s">
        <v>228</v>
      </c>
      <c r="E1869" t="s">
        <v>583</v>
      </c>
      <c r="F1869" s="705">
        <v>1</v>
      </c>
      <c r="G1869" s="705">
        <v>276</v>
      </c>
      <c r="H1869" s="705">
        <v>121</v>
      </c>
      <c r="I1869" s="705">
        <v>14489</v>
      </c>
      <c r="J1869" s="705">
        <v>5366</v>
      </c>
      <c r="K1869" s="705">
        <v>320</v>
      </c>
      <c r="L1869" s="705">
        <v>3498</v>
      </c>
      <c r="M1869" s="705">
        <v>3180</v>
      </c>
      <c r="N1869" s="705">
        <v>6427</v>
      </c>
      <c r="O1869" s="705">
        <v>2380</v>
      </c>
      <c r="P1869" s="705">
        <v>1674</v>
      </c>
      <c r="Q1869" s="705">
        <v>620</v>
      </c>
      <c r="R1869" s="705">
        <v>7217</v>
      </c>
      <c r="S1869" s="705">
        <v>6561</v>
      </c>
      <c r="T1869" s="705">
        <v>0</v>
      </c>
      <c r="U1869" s="705">
        <v>0</v>
      </c>
      <c r="V1869" s="705">
        <v>18107</v>
      </c>
      <c r="W1869" s="705">
        <f t="shared" si="80"/>
        <v>18107</v>
      </c>
      <c r="X1869" s="705">
        <f t="shared" si="81"/>
        <v>33305</v>
      </c>
    </row>
    <row r="1870" spans="2:24">
      <c r="B1870" t="s">
        <v>547</v>
      </c>
      <c r="C1870" t="s">
        <v>112</v>
      </c>
      <c r="D1870" t="s">
        <v>583</v>
      </c>
      <c r="E1870" t="s">
        <v>583</v>
      </c>
      <c r="F1870" s="705">
        <v>77</v>
      </c>
      <c r="G1870" s="705">
        <v>15564</v>
      </c>
      <c r="H1870" s="705">
        <v>9016</v>
      </c>
      <c r="I1870" s="705">
        <v>955198</v>
      </c>
      <c r="J1870" s="705">
        <v>868362</v>
      </c>
      <c r="K1870" s="705">
        <v>91</v>
      </c>
      <c r="L1870" s="705">
        <v>188411</v>
      </c>
      <c r="M1870" s="705">
        <v>170785</v>
      </c>
      <c r="N1870" s="705">
        <v>279339</v>
      </c>
      <c r="O1870" s="705">
        <v>103459</v>
      </c>
      <c r="P1870" s="705">
        <v>56876</v>
      </c>
      <c r="Q1870" s="705">
        <v>21065</v>
      </c>
      <c r="R1870" s="705">
        <v>393976</v>
      </c>
      <c r="S1870" s="705">
        <v>358160</v>
      </c>
      <c r="T1870" s="705">
        <v>4342</v>
      </c>
      <c r="U1870" s="705">
        <v>1608</v>
      </c>
      <c r="V1870" s="705">
        <v>1523438</v>
      </c>
      <c r="W1870" s="705">
        <f t="shared" si="80"/>
        <v>1523439</v>
      </c>
      <c r="X1870" s="705">
        <f t="shared" si="81"/>
        <v>1878142</v>
      </c>
    </row>
    <row r="1871" spans="2:24">
      <c r="B1871" t="s">
        <v>547</v>
      </c>
      <c r="C1871" t="s">
        <v>112</v>
      </c>
      <c r="D1871" t="s">
        <v>584</v>
      </c>
      <c r="E1871" t="s">
        <v>584</v>
      </c>
      <c r="F1871" s="705">
        <v>1</v>
      </c>
      <c r="G1871" s="705">
        <v>153</v>
      </c>
      <c r="H1871" s="705">
        <v>124</v>
      </c>
      <c r="I1871" s="705">
        <v>9523</v>
      </c>
      <c r="J1871" s="705">
        <v>8658</v>
      </c>
      <c r="K1871" s="705">
        <v>91</v>
      </c>
      <c r="L1871" s="705">
        <v>1374</v>
      </c>
      <c r="M1871" s="705">
        <v>1249</v>
      </c>
      <c r="N1871" s="705">
        <v>2053</v>
      </c>
      <c r="O1871" s="705">
        <v>760</v>
      </c>
      <c r="P1871" s="705">
        <v>473</v>
      </c>
      <c r="Q1871" s="705">
        <v>175</v>
      </c>
      <c r="R1871" s="705">
        <v>5625</v>
      </c>
      <c r="S1871" s="705">
        <v>5113</v>
      </c>
      <c r="T1871" s="705">
        <v>0</v>
      </c>
      <c r="U1871" s="705">
        <v>0</v>
      </c>
      <c r="V1871" s="705">
        <v>15955</v>
      </c>
      <c r="W1871" s="705">
        <f t="shared" si="80"/>
        <v>15955</v>
      </c>
      <c r="X1871" s="705">
        <f t="shared" si="81"/>
        <v>19048</v>
      </c>
    </row>
    <row r="1872" spans="2:24">
      <c r="B1872" t="s">
        <v>547</v>
      </c>
      <c r="C1872" t="s">
        <v>112</v>
      </c>
      <c r="D1872" t="s">
        <v>585</v>
      </c>
      <c r="E1872" t="s">
        <v>585</v>
      </c>
      <c r="F1872" s="705">
        <v>1</v>
      </c>
      <c r="G1872" s="705">
        <v>131</v>
      </c>
      <c r="H1872" s="705">
        <v>110</v>
      </c>
      <c r="I1872" s="705">
        <v>8003</v>
      </c>
      <c r="J1872" s="705">
        <v>7275</v>
      </c>
      <c r="K1872" s="705">
        <v>93</v>
      </c>
      <c r="L1872" s="705">
        <v>0</v>
      </c>
      <c r="M1872" s="705">
        <v>0</v>
      </c>
      <c r="N1872" s="705">
        <v>1594</v>
      </c>
      <c r="O1872" s="705">
        <v>590</v>
      </c>
      <c r="P1872" s="705">
        <v>351</v>
      </c>
      <c r="Q1872" s="705">
        <v>130</v>
      </c>
      <c r="R1872" s="705">
        <v>4442</v>
      </c>
      <c r="S1872" s="705">
        <v>4038</v>
      </c>
      <c r="T1872" s="705">
        <v>0</v>
      </c>
      <c r="U1872" s="705">
        <v>0</v>
      </c>
      <c r="V1872" s="705">
        <v>12034</v>
      </c>
      <c r="W1872" s="705">
        <f t="shared" si="80"/>
        <v>12033</v>
      </c>
      <c r="X1872" s="705">
        <f t="shared" si="81"/>
        <v>14390</v>
      </c>
    </row>
    <row r="1873" spans="2:24">
      <c r="B1873" t="s">
        <v>547</v>
      </c>
      <c r="C1873" t="s">
        <v>114</v>
      </c>
      <c r="D1873" t="s">
        <v>582</v>
      </c>
      <c r="E1873" t="s">
        <v>582</v>
      </c>
      <c r="F1873" s="705">
        <v>5</v>
      </c>
      <c r="G1873" s="705">
        <v>1061</v>
      </c>
      <c r="H1873" s="705">
        <v>725</v>
      </c>
      <c r="I1873" s="705">
        <v>84015</v>
      </c>
      <c r="J1873" s="705">
        <v>76377</v>
      </c>
      <c r="K1873" s="705">
        <v>87</v>
      </c>
      <c r="L1873" s="705">
        <v>20065</v>
      </c>
      <c r="M1873" s="705">
        <v>18056</v>
      </c>
      <c r="N1873" s="705">
        <v>17475</v>
      </c>
      <c r="O1873" s="705">
        <v>6472</v>
      </c>
      <c r="P1873" s="705">
        <v>4908</v>
      </c>
      <c r="Q1873" s="705">
        <v>1818</v>
      </c>
      <c r="R1873" s="705">
        <v>27458</v>
      </c>
      <c r="S1873" s="705">
        <v>24962</v>
      </c>
      <c r="T1873" s="705">
        <v>0</v>
      </c>
      <c r="U1873" s="705">
        <v>0</v>
      </c>
      <c r="V1873" s="705">
        <v>127686</v>
      </c>
      <c r="W1873" s="705">
        <f t="shared" si="80"/>
        <v>127685</v>
      </c>
      <c r="X1873" s="705">
        <f t="shared" si="81"/>
        <v>153921</v>
      </c>
    </row>
    <row r="1874" spans="2:24">
      <c r="B1874" t="s">
        <v>547</v>
      </c>
      <c r="C1874" t="s">
        <v>114</v>
      </c>
      <c r="D1874" t="s">
        <v>228</v>
      </c>
      <c r="E1874" t="s">
        <v>228</v>
      </c>
      <c r="F1874" s="705">
        <v>13</v>
      </c>
      <c r="G1874" s="705">
        <v>1516</v>
      </c>
      <c r="H1874" s="705">
        <v>1796</v>
      </c>
      <c r="I1874" s="705">
        <v>81656</v>
      </c>
      <c r="J1874" s="705">
        <v>30243</v>
      </c>
      <c r="K1874" s="705">
        <v>321</v>
      </c>
      <c r="L1874" s="705">
        <v>19222</v>
      </c>
      <c r="M1874" s="705">
        <v>17475</v>
      </c>
      <c r="N1874" s="705">
        <v>27293</v>
      </c>
      <c r="O1874" s="705">
        <v>10108</v>
      </c>
      <c r="P1874" s="705">
        <v>11595</v>
      </c>
      <c r="Q1874" s="705">
        <v>4294</v>
      </c>
      <c r="R1874" s="705">
        <v>67062</v>
      </c>
      <c r="S1874" s="705">
        <v>24838</v>
      </c>
      <c r="T1874" s="705">
        <v>0</v>
      </c>
      <c r="U1874" s="705">
        <v>0</v>
      </c>
      <c r="V1874" s="705">
        <v>86958</v>
      </c>
      <c r="W1874" s="705">
        <f t="shared" si="80"/>
        <v>86958</v>
      </c>
      <c r="X1874" s="705">
        <f t="shared" si="81"/>
        <v>206828</v>
      </c>
    </row>
    <row r="1875" spans="2:24">
      <c r="B1875" t="s">
        <v>547</v>
      </c>
      <c r="C1875" t="s">
        <v>114</v>
      </c>
      <c r="D1875" t="s">
        <v>583</v>
      </c>
      <c r="E1875" t="s">
        <v>583</v>
      </c>
      <c r="F1875" s="705">
        <v>229</v>
      </c>
      <c r="G1875" s="705">
        <v>45053</v>
      </c>
      <c r="H1875" s="705">
        <v>32047</v>
      </c>
      <c r="I1875" s="705">
        <v>3314806</v>
      </c>
      <c r="J1875" s="705">
        <v>3013460</v>
      </c>
      <c r="K1875" s="705">
        <v>89</v>
      </c>
      <c r="L1875" s="705">
        <v>732734</v>
      </c>
      <c r="M1875" s="705">
        <v>664878</v>
      </c>
      <c r="N1875" s="705">
        <v>875708</v>
      </c>
      <c r="O1875" s="705">
        <v>324336</v>
      </c>
      <c r="P1875" s="705">
        <v>163862</v>
      </c>
      <c r="Q1875" s="705">
        <v>60690</v>
      </c>
      <c r="R1875" s="705">
        <v>1274506</v>
      </c>
      <c r="S1875" s="705">
        <v>1158642</v>
      </c>
      <c r="T1875" s="705">
        <v>56016</v>
      </c>
      <c r="U1875" s="705">
        <v>20747</v>
      </c>
      <c r="V1875" s="705">
        <v>5242753</v>
      </c>
      <c r="W1875" s="705">
        <f t="shared" si="80"/>
        <v>5242753</v>
      </c>
      <c r="X1875" s="705">
        <f t="shared" si="81"/>
        <v>6417632</v>
      </c>
    </row>
    <row r="1876" spans="2:24">
      <c r="B1876" t="s">
        <v>547</v>
      </c>
      <c r="C1876" t="s">
        <v>114</v>
      </c>
      <c r="D1876" t="s">
        <v>583</v>
      </c>
      <c r="E1876" t="s">
        <v>666</v>
      </c>
      <c r="F1876" s="705">
        <v>1</v>
      </c>
      <c r="G1876" s="705">
        <v>208</v>
      </c>
      <c r="H1876" s="705">
        <v>131</v>
      </c>
      <c r="I1876" s="705">
        <v>14813</v>
      </c>
      <c r="J1876" s="705">
        <v>13466</v>
      </c>
      <c r="K1876" s="705">
        <v>93</v>
      </c>
      <c r="L1876" s="705">
        <v>2365</v>
      </c>
      <c r="M1876" s="705">
        <v>2150</v>
      </c>
      <c r="N1876" s="705">
        <v>2534</v>
      </c>
      <c r="O1876" s="705">
        <v>939</v>
      </c>
      <c r="P1876" s="705">
        <v>621</v>
      </c>
      <c r="Q1876" s="705">
        <v>230</v>
      </c>
      <c r="R1876" s="705">
        <v>3389</v>
      </c>
      <c r="S1876" s="705">
        <v>3081</v>
      </c>
      <c r="T1876" s="705">
        <v>3506</v>
      </c>
      <c r="U1876" s="705">
        <v>1299</v>
      </c>
      <c r="V1876" s="705">
        <v>21164</v>
      </c>
      <c r="W1876" s="705">
        <f t="shared" si="80"/>
        <v>21165</v>
      </c>
      <c r="X1876" s="705">
        <f t="shared" si="81"/>
        <v>27228</v>
      </c>
    </row>
    <row r="1877" spans="2:24">
      <c r="B1877" t="s">
        <v>547</v>
      </c>
      <c r="C1877" t="s">
        <v>114</v>
      </c>
      <c r="D1877" t="s">
        <v>584</v>
      </c>
      <c r="E1877" t="s">
        <v>584</v>
      </c>
      <c r="F1877" s="705">
        <v>3</v>
      </c>
      <c r="G1877" s="705">
        <v>747</v>
      </c>
      <c r="H1877" s="705">
        <v>424</v>
      </c>
      <c r="I1877" s="705">
        <v>67130</v>
      </c>
      <c r="J1877" s="705">
        <v>61027</v>
      </c>
      <c r="K1877" s="705">
        <v>78</v>
      </c>
      <c r="L1877" s="705">
        <v>1251</v>
      </c>
      <c r="M1877" s="705">
        <v>1137</v>
      </c>
      <c r="N1877" s="705">
        <v>13602</v>
      </c>
      <c r="O1877" s="705">
        <v>5038</v>
      </c>
      <c r="P1877" s="705">
        <v>1418</v>
      </c>
      <c r="Q1877" s="705">
        <v>525</v>
      </c>
      <c r="R1877" s="705">
        <v>20862</v>
      </c>
      <c r="S1877" s="705">
        <v>18966</v>
      </c>
      <c r="T1877" s="705">
        <v>0</v>
      </c>
      <c r="U1877" s="705">
        <v>0</v>
      </c>
      <c r="V1877" s="705">
        <v>86692</v>
      </c>
      <c r="W1877" s="705">
        <f t="shared" si="80"/>
        <v>86693</v>
      </c>
      <c r="X1877" s="705">
        <f t="shared" si="81"/>
        <v>104263</v>
      </c>
    </row>
    <row r="1878" spans="2:24">
      <c r="B1878" t="s">
        <v>547</v>
      </c>
      <c r="C1878" t="s">
        <v>114</v>
      </c>
      <c r="D1878" t="s">
        <v>665</v>
      </c>
      <c r="E1878" t="s">
        <v>228</v>
      </c>
      <c r="F1878" s="705">
        <v>1</v>
      </c>
      <c r="G1878" s="705">
        <v>303</v>
      </c>
      <c r="H1878" s="705">
        <v>146</v>
      </c>
      <c r="I1878" s="705">
        <v>31573</v>
      </c>
      <c r="J1878" s="705">
        <v>28703</v>
      </c>
      <c r="K1878" s="705">
        <v>55</v>
      </c>
      <c r="L1878" s="705">
        <v>3216</v>
      </c>
      <c r="M1878" s="705">
        <v>2923</v>
      </c>
      <c r="N1878" s="705">
        <v>3686</v>
      </c>
      <c r="O1878" s="705">
        <v>1365</v>
      </c>
      <c r="P1878" s="705">
        <v>351</v>
      </c>
      <c r="Q1878" s="705">
        <v>130</v>
      </c>
      <c r="R1878" s="705">
        <v>5269</v>
      </c>
      <c r="S1878" s="705">
        <v>1952</v>
      </c>
      <c r="T1878" s="705">
        <v>0</v>
      </c>
      <c r="U1878" s="705">
        <v>0</v>
      </c>
      <c r="V1878" s="705">
        <v>35073</v>
      </c>
      <c r="W1878" s="705">
        <f t="shared" si="80"/>
        <v>35073</v>
      </c>
      <c r="X1878" s="705">
        <f t="shared" si="81"/>
        <v>44095</v>
      </c>
    </row>
    <row r="1879" spans="2:24">
      <c r="B1879" t="s">
        <v>547</v>
      </c>
      <c r="C1879" t="s">
        <v>114</v>
      </c>
      <c r="D1879" t="s">
        <v>585</v>
      </c>
      <c r="E1879" t="s">
        <v>585</v>
      </c>
      <c r="F1879" s="705">
        <v>7</v>
      </c>
      <c r="G1879" s="705">
        <v>956</v>
      </c>
      <c r="H1879" s="705">
        <v>986</v>
      </c>
      <c r="I1879" s="705">
        <v>74443</v>
      </c>
      <c r="J1879" s="705">
        <v>67676</v>
      </c>
      <c r="K1879" s="705">
        <v>89</v>
      </c>
      <c r="L1879" s="705">
        <v>10916</v>
      </c>
      <c r="M1879" s="705">
        <v>9924</v>
      </c>
      <c r="N1879" s="705">
        <v>19236</v>
      </c>
      <c r="O1879" s="705">
        <v>7124</v>
      </c>
      <c r="P1879" s="705">
        <v>2457</v>
      </c>
      <c r="Q1879" s="705">
        <v>910</v>
      </c>
      <c r="R1879" s="705">
        <v>26876</v>
      </c>
      <c r="S1879" s="705">
        <v>24433</v>
      </c>
      <c r="T1879" s="705">
        <v>0</v>
      </c>
      <c r="U1879" s="705">
        <v>0</v>
      </c>
      <c r="V1879" s="705">
        <v>110066</v>
      </c>
      <c r="W1879" s="705">
        <f t="shared" si="80"/>
        <v>110067</v>
      </c>
      <c r="X1879" s="705">
        <f t="shared" si="81"/>
        <v>133928</v>
      </c>
    </row>
    <row r="1880" spans="2:24">
      <c r="B1880" t="s">
        <v>547</v>
      </c>
      <c r="C1880" t="s">
        <v>116</v>
      </c>
      <c r="D1880" t="s">
        <v>664</v>
      </c>
      <c r="E1880" t="s">
        <v>664</v>
      </c>
      <c r="F1880" s="705">
        <v>8</v>
      </c>
      <c r="G1880" s="705">
        <v>1292</v>
      </c>
      <c r="H1880" s="705">
        <v>1417</v>
      </c>
      <c r="I1880" s="705">
        <v>132065</v>
      </c>
      <c r="J1880" s="705">
        <v>120059</v>
      </c>
      <c r="K1880" s="705">
        <v>80</v>
      </c>
      <c r="L1880" s="705">
        <v>21478</v>
      </c>
      <c r="M1880" s="705">
        <v>19526</v>
      </c>
      <c r="N1880" s="705">
        <v>24755</v>
      </c>
      <c r="O1880" s="705">
        <v>9168</v>
      </c>
      <c r="P1880" s="705">
        <v>3929</v>
      </c>
      <c r="Q1880" s="705">
        <v>1455</v>
      </c>
      <c r="R1880" s="705">
        <v>46673</v>
      </c>
      <c r="S1880" s="705">
        <v>42430</v>
      </c>
      <c r="T1880" s="705">
        <v>6751</v>
      </c>
      <c r="U1880" s="705">
        <v>2500</v>
      </c>
      <c r="V1880" s="705">
        <v>195139</v>
      </c>
      <c r="W1880" s="705">
        <f t="shared" si="80"/>
        <v>195138</v>
      </c>
      <c r="X1880" s="705">
        <f t="shared" si="81"/>
        <v>235651</v>
      </c>
    </row>
    <row r="1881" spans="2:24">
      <c r="B1881" t="s">
        <v>547</v>
      </c>
      <c r="C1881" t="s">
        <v>116</v>
      </c>
      <c r="D1881" t="s">
        <v>582</v>
      </c>
      <c r="E1881" t="s">
        <v>582</v>
      </c>
      <c r="F1881" s="705">
        <v>76</v>
      </c>
      <c r="G1881" s="705">
        <v>11256</v>
      </c>
      <c r="H1881" s="705">
        <v>14146</v>
      </c>
      <c r="I1881" s="705">
        <v>1093948</v>
      </c>
      <c r="J1881" s="705">
        <v>994498</v>
      </c>
      <c r="K1881" s="705">
        <v>81</v>
      </c>
      <c r="L1881" s="705">
        <v>287137</v>
      </c>
      <c r="M1881" s="705">
        <v>259715</v>
      </c>
      <c r="N1881" s="705">
        <v>227600</v>
      </c>
      <c r="O1881" s="705">
        <v>84296</v>
      </c>
      <c r="P1881" s="705">
        <v>36194</v>
      </c>
      <c r="Q1881" s="705">
        <v>13405</v>
      </c>
      <c r="R1881" s="705">
        <v>444280</v>
      </c>
      <c r="S1881" s="705">
        <v>403891</v>
      </c>
      <c r="T1881" s="705">
        <v>31433</v>
      </c>
      <c r="U1881" s="705">
        <v>11642</v>
      </c>
      <c r="V1881" s="705">
        <v>1767447</v>
      </c>
      <c r="W1881" s="705">
        <f t="shared" si="80"/>
        <v>1767447</v>
      </c>
      <c r="X1881" s="705">
        <f t="shared" si="81"/>
        <v>2120592</v>
      </c>
    </row>
    <row r="1882" spans="2:24">
      <c r="B1882" t="s">
        <v>547</v>
      </c>
      <c r="C1882" t="s">
        <v>116</v>
      </c>
      <c r="D1882" t="s">
        <v>582</v>
      </c>
      <c r="E1882" t="s">
        <v>228</v>
      </c>
      <c r="F1882" s="705">
        <v>2</v>
      </c>
      <c r="G1882" s="705">
        <v>319</v>
      </c>
      <c r="H1882" s="705">
        <v>383</v>
      </c>
      <c r="I1882" s="705">
        <v>30643</v>
      </c>
      <c r="J1882" s="705">
        <v>27857</v>
      </c>
      <c r="K1882" s="705">
        <v>73</v>
      </c>
      <c r="L1882" s="705">
        <v>7876</v>
      </c>
      <c r="M1882" s="705">
        <v>7160</v>
      </c>
      <c r="N1882" s="705">
        <v>7778</v>
      </c>
      <c r="O1882" s="705">
        <v>2881</v>
      </c>
      <c r="P1882" s="705">
        <v>945</v>
      </c>
      <c r="Q1882" s="705">
        <v>350</v>
      </c>
      <c r="R1882" s="705">
        <v>13795</v>
      </c>
      <c r="S1882" s="705">
        <v>5109</v>
      </c>
      <c r="T1882" s="705">
        <v>0</v>
      </c>
      <c r="U1882" s="705">
        <v>0</v>
      </c>
      <c r="V1882" s="705">
        <v>43358</v>
      </c>
      <c r="W1882" s="705">
        <f t="shared" si="80"/>
        <v>43357</v>
      </c>
      <c r="X1882" s="705">
        <f t="shared" si="81"/>
        <v>61037</v>
      </c>
    </row>
    <row r="1883" spans="2:24">
      <c r="B1883" t="s">
        <v>547</v>
      </c>
      <c r="C1883" t="s">
        <v>116</v>
      </c>
      <c r="D1883" t="s">
        <v>228</v>
      </c>
      <c r="E1883" t="s">
        <v>228</v>
      </c>
      <c r="F1883" s="705">
        <v>16</v>
      </c>
      <c r="G1883" s="705">
        <v>2471</v>
      </c>
      <c r="H1883" s="705">
        <v>2911</v>
      </c>
      <c r="I1883" s="705">
        <v>236860</v>
      </c>
      <c r="J1883" s="705">
        <v>87726</v>
      </c>
      <c r="K1883" s="705">
        <v>267</v>
      </c>
      <c r="L1883" s="705">
        <v>56404</v>
      </c>
      <c r="M1883" s="705">
        <v>49629</v>
      </c>
      <c r="N1883" s="705">
        <v>50830</v>
      </c>
      <c r="O1883" s="705">
        <v>18826</v>
      </c>
      <c r="P1883" s="705">
        <v>6669</v>
      </c>
      <c r="Q1883" s="705">
        <v>2470</v>
      </c>
      <c r="R1883" s="705">
        <v>103647</v>
      </c>
      <c r="S1883" s="705">
        <v>38388</v>
      </c>
      <c r="T1883" s="705">
        <v>0</v>
      </c>
      <c r="U1883" s="705">
        <v>0</v>
      </c>
      <c r="V1883" s="705">
        <v>197039</v>
      </c>
      <c r="W1883" s="705">
        <f t="shared" si="80"/>
        <v>197039</v>
      </c>
      <c r="X1883" s="705">
        <f t="shared" si="81"/>
        <v>454410</v>
      </c>
    </row>
    <row r="1884" spans="2:24">
      <c r="B1884" t="s">
        <v>547</v>
      </c>
      <c r="C1884" t="s">
        <v>116</v>
      </c>
      <c r="D1884" t="s">
        <v>583</v>
      </c>
      <c r="E1884" t="s">
        <v>228</v>
      </c>
      <c r="F1884" s="705">
        <v>4</v>
      </c>
      <c r="G1884" s="705">
        <v>716</v>
      </c>
      <c r="H1884" s="705">
        <v>799</v>
      </c>
      <c r="I1884" s="705">
        <v>80995</v>
      </c>
      <c r="J1884" s="705">
        <v>73632</v>
      </c>
      <c r="K1884" s="705">
        <v>78</v>
      </c>
      <c r="L1884" s="705">
        <v>14992</v>
      </c>
      <c r="M1884" s="705">
        <v>13629</v>
      </c>
      <c r="N1884" s="705">
        <v>14389</v>
      </c>
      <c r="O1884" s="705">
        <v>5329</v>
      </c>
      <c r="P1884" s="705">
        <v>2484</v>
      </c>
      <c r="Q1884" s="705">
        <v>920</v>
      </c>
      <c r="R1884" s="705">
        <v>30178</v>
      </c>
      <c r="S1884" s="705">
        <v>11177</v>
      </c>
      <c r="T1884" s="705">
        <v>0</v>
      </c>
      <c r="U1884" s="705">
        <v>0</v>
      </c>
      <c r="V1884" s="705">
        <v>104688</v>
      </c>
      <c r="W1884" s="705">
        <f t="shared" si="80"/>
        <v>104687</v>
      </c>
      <c r="X1884" s="705">
        <f t="shared" si="81"/>
        <v>143038</v>
      </c>
    </row>
    <row r="1885" spans="2:24">
      <c r="B1885" t="s">
        <v>547</v>
      </c>
      <c r="C1885" t="s">
        <v>116</v>
      </c>
      <c r="D1885" t="s">
        <v>583</v>
      </c>
      <c r="E1885" t="s">
        <v>583</v>
      </c>
      <c r="F1885" s="705">
        <v>1083</v>
      </c>
      <c r="G1885" s="705">
        <v>175861</v>
      </c>
      <c r="H1885" s="705">
        <v>204739</v>
      </c>
      <c r="I1885" s="705">
        <v>18207649</v>
      </c>
      <c r="J1885" s="705">
        <v>16552408</v>
      </c>
      <c r="K1885" s="705">
        <v>85</v>
      </c>
      <c r="L1885" s="705">
        <v>3951159</v>
      </c>
      <c r="M1885" s="705">
        <v>3555138</v>
      </c>
      <c r="N1885" s="705">
        <v>3598566</v>
      </c>
      <c r="O1885" s="705">
        <v>1332802</v>
      </c>
      <c r="P1885" s="705">
        <v>719897</v>
      </c>
      <c r="Q1885" s="705">
        <v>266628</v>
      </c>
      <c r="R1885" s="705">
        <v>5866822</v>
      </c>
      <c r="S1885" s="705">
        <v>5333474</v>
      </c>
      <c r="T1885" s="705">
        <v>1326583</v>
      </c>
      <c r="U1885" s="705">
        <v>491327</v>
      </c>
      <c r="V1885" s="705">
        <v>27531777</v>
      </c>
      <c r="W1885" s="705">
        <f t="shared" si="80"/>
        <v>27531777</v>
      </c>
      <c r="X1885" s="705">
        <f t="shared" si="81"/>
        <v>33670676</v>
      </c>
    </row>
    <row r="1886" spans="2:24">
      <c r="B1886" t="s">
        <v>547</v>
      </c>
      <c r="C1886" t="s">
        <v>116</v>
      </c>
      <c r="D1886" t="s">
        <v>583</v>
      </c>
      <c r="E1886" t="s">
        <v>667</v>
      </c>
      <c r="F1886" s="705">
        <v>1</v>
      </c>
      <c r="G1886" s="705">
        <v>142</v>
      </c>
      <c r="H1886" s="705">
        <v>184</v>
      </c>
      <c r="I1886" s="705">
        <v>11760</v>
      </c>
      <c r="J1886" s="705">
        <v>10691</v>
      </c>
      <c r="K1886" s="705">
        <v>79</v>
      </c>
      <c r="L1886" s="705">
        <v>3267</v>
      </c>
      <c r="M1886" s="705">
        <v>2970</v>
      </c>
      <c r="N1886" s="705">
        <v>2828</v>
      </c>
      <c r="O1886" s="705">
        <v>1047</v>
      </c>
      <c r="P1886" s="705">
        <v>621</v>
      </c>
      <c r="Q1886" s="705">
        <v>230</v>
      </c>
      <c r="R1886" s="705">
        <v>4570</v>
      </c>
      <c r="S1886" s="705">
        <v>4154</v>
      </c>
      <c r="T1886" s="705">
        <v>3059</v>
      </c>
      <c r="U1886" s="705">
        <v>1133</v>
      </c>
      <c r="V1886" s="705">
        <v>20226</v>
      </c>
      <c r="W1886" s="705">
        <f t="shared" si="80"/>
        <v>20225</v>
      </c>
      <c r="X1886" s="705">
        <f t="shared" si="81"/>
        <v>26105</v>
      </c>
    </row>
    <row r="1887" spans="2:24">
      <c r="B1887" t="s">
        <v>547</v>
      </c>
      <c r="C1887" t="s">
        <v>116</v>
      </c>
      <c r="D1887" t="s">
        <v>584</v>
      </c>
      <c r="E1887" t="s">
        <v>582</v>
      </c>
      <c r="F1887" s="705">
        <v>1</v>
      </c>
      <c r="G1887" s="705">
        <v>83</v>
      </c>
      <c r="H1887" s="705">
        <v>213</v>
      </c>
      <c r="I1887" s="705">
        <v>8626</v>
      </c>
      <c r="J1887" s="705">
        <v>7842</v>
      </c>
      <c r="K1887" s="705">
        <v>92</v>
      </c>
      <c r="L1887" s="705">
        <v>2930</v>
      </c>
      <c r="M1887" s="705">
        <v>2663</v>
      </c>
      <c r="N1887" s="705">
        <v>2031</v>
      </c>
      <c r="O1887" s="705">
        <v>752</v>
      </c>
      <c r="P1887" s="705">
        <v>473</v>
      </c>
      <c r="Q1887" s="705">
        <v>175</v>
      </c>
      <c r="R1887" s="705">
        <v>3708</v>
      </c>
      <c r="S1887" s="705">
        <v>3371</v>
      </c>
      <c r="T1887" s="705">
        <v>0</v>
      </c>
      <c r="U1887" s="705">
        <v>0</v>
      </c>
      <c r="V1887" s="705">
        <v>14804</v>
      </c>
      <c r="W1887" s="705">
        <f t="shared" si="80"/>
        <v>14803</v>
      </c>
      <c r="X1887" s="705">
        <f t="shared" si="81"/>
        <v>17768</v>
      </c>
    </row>
    <row r="1888" spans="2:24">
      <c r="B1888" t="s">
        <v>547</v>
      </c>
      <c r="C1888" t="s">
        <v>116</v>
      </c>
      <c r="D1888" t="s">
        <v>584</v>
      </c>
      <c r="E1888" t="s">
        <v>228</v>
      </c>
      <c r="F1888" s="705">
        <v>1</v>
      </c>
      <c r="G1888" s="705">
        <v>142</v>
      </c>
      <c r="H1888" s="705">
        <v>207</v>
      </c>
      <c r="I1888" s="705">
        <v>14656</v>
      </c>
      <c r="J1888" s="705">
        <v>13324</v>
      </c>
      <c r="K1888" s="705">
        <v>78</v>
      </c>
      <c r="L1888" s="705">
        <v>4388</v>
      </c>
      <c r="M1888" s="705">
        <v>3657</v>
      </c>
      <c r="N1888" s="705">
        <v>3465</v>
      </c>
      <c r="O1888" s="705">
        <v>1283</v>
      </c>
      <c r="P1888" s="705">
        <v>473</v>
      </c>
      <c r="Q1888" s="705">
        <v>175</v>
      </c>
      <c r="R1888" s="705">
        <v>6408</v>
      </c>
      <c r="S1888" s="705">
        <v>2373</v>
      </c>
      <c r="T1888" s="705">
        <v>0</v>
      </c>
      <c r="U1888" s="705">
        <v>0</v>
      </c>
      <c r="V1888" s="705">
        <v>20813</v>
      </c>
      <c r="W1888" s="705">
        <f t="shared" si="80"/>
        <v>20812</v>
      </c>
      <c r="X1888" s="705">
        <f t="shared" si="81"/>
        <v>29390</v>
      </c>
    </row>
    <row r="1889" spans="2:24">
      <c r="B1889" t="s">
        <v>547</v>
      </c>
      <c r="C1889" t="s">
        <v>116</v>
      </c>
      <c r="D1889" t="s">
        <v>584</v>
      </c>
      <c r="E1889" t="s">
        <v>584</v>
      </c>
      <c r="F1889" s="705">
        <v>41</v>
      </c>
      <c r="G1889" s="705">
        <v>6328</v>
      </c>
      <c r="H1889" s="705">
        <v>7658</v>
      </c>
      <c r="I1889" s="705">
        <v>605453</v>
      </c>
      <c r="J1889" s="705">
        <v>550412</v>
      </c>
      <c r="K1889" s="705">
        <v>80</v>
      </c>
      <c r="L1889" s="705">
        <v>159598</v>
      </c>
      <c r="M1889" s="705">
        <v>143209</v>
      </c>
      <c r="N1889" s="705">
        <v>126348</v>
      </c>
      <c r="O1889" s="705">
        <v>46796</v>
      </c>
      <c r="P1889" s="705">
        <v>19724</v>
      </c>
      <c r="Q1889" s="705">
        <v>7305</v>
      </c>
      <c r="R1889" s="705">
        <v>227895</v>
      </c>
      <c r="S1889" s="705">
        <v>207177</v>
      </c>
      <c r="T1889" s="705">
        <v>46185</v>
      </c>
      <c r="U1889" s="705">
        <v>17105</v>
      </c>
      <c r="V1889" s="705">
        <v>972004</v>
      </c>
      <c r="W1889" s="705">
        <f t="shared" si="80"/>
        <v>972004</v>
      </c>
      <c r="X1889" s="705">
        <f t="shared" si="81"/>
        <v>1185203</v>
      </c>
    </row>
    <row r="1890" spans="2:24">
      <c r="B1890" t="s">
        <v>547</v>
      </c>
      <c r="C1890" t="s">
        <v>116</v>
      </c>
      <c r="D1890" t="s">
        <v>665</v>
      </c>
      <c r="E1890" t="s">
        <v>665</v>
      </c>
      <c r="F1890" s="705">
        <v>8</v>
      </c>
      <c r="G1890" s="705">
        <v>1412</v>
      </c>
      <c r="H1890" s="705">
        <v>1711</v>
      </c>
      <c r="I1890" s="705">
        <v>194496</v>
      </c>
      <c r="J1890" s="705">
        <v>176815</v>
      </c>
      <c r="K1890" s="705">
        <v>67</v>
      </c>
      <c r="L1890" s="705">
        <v>19105</v>
      </c>
      <c r="M1890" s="705">
        <v>17368</v>
      </c>
      <c r="N1890" s="705">
        <v>28242</v>
      </c>
      <c r="O1890" s="705">
        <v>10460</v>
      </c>
      <c r="P1890" s="705">
        <v>6804</v>
      </c>
      <c r="Q1890" s="705">
        <v>2520</v>
      </c>
      <c r="R1890" s="705">
        <v>46354</v>
      </c>
      <c r="S1890" s="705">
        <v>42140</v>
      </c>
      <c r="T1890" s="705">
        <v>23784</v>
      </c>
      <c r="U1890" s="705">
        <v>8809</v>
      </c>
      <c r="V1890" s="705">
        <v>258111</v>
      </c>
      <c r="W1890" s="705">
        <f t="shared" ref="W1890:W1953" si="82">SUM(ABS(J1890),ABS(M1890),ABS(O1890),ABS(Q1890),ABS(S1890),ABS(U1890))</f>
        <v>258112</v>
      </c>
      <c r="X1890" s="705">
        <f t="shared" ref="X1890:X1953" si="83">SUM(ABS(I1890),ABS(N1890),ABS(P1890),ABS(R1890),ABS(T1890),ABS(L1890))</f>
        <v>318785</v>
      </c>
    </row>
    <row r="1891" spans="2:24">
      <c r="B1891" t="s">
        <v>547</v>
      </c>
      <c r="C1891" t="s">
        <v>116</v>
      </c>
      <c r="D1891" t="s">
        <v>585</v>
      </c>
      <c r="E1891" t="s">
        <v>585</v>
      </c>
      <c r="F1891" s="705">
        <v>9</v>
      </c>
      <c r="G1891" s="705">
        <v>1855</v>
      </c>
      <c r="H1891" s="705">
        <v>1622</v>
      </c>
      <c r="I1891" s="705">
        <v>207610</v>
      </c>
      <c r="J1891" s="705">
        <v>188736</v>
      </c>
      <c r="K1891" s="705">
        <v>76</v>
      </c>
      <c r="L1891" s="705">
        <v>39018</v>
      </c>
      <c r="M1891" s="705">
        <v>35303</v>
      </c>
      <c r="N1891" s="705">
        <v>43684</v>
      </c>
      <c r="O1891" s="705">
        <v>16179</v>
      </c>
      <c r="P1891" s="705">
        <v>4482</v>
      </c>
      <c r="Q1891" s="705">
        <v>1660</v>
      </c>
      <c r="R1891" s="705">
        <v>61819</v>
      </c>
      <c r="S1891" s="705">
        <v>56199</v>
      </c>
      <c r="T1891" s="705">
        <v>0</v>
      </c>
      <c r="U1891" s="705">
        <v>0</v>
      </c>
      <c r="V1891" s="705">
        <v>298077</v>
      </c>
      <c r="W1891" s="705">
        <f t="shared" si="82"/>
        <v>298077</v>
      </c>
      <c r="X1891" s="705">
        <f t="shared" si="83"/>
        <v>356613</v>
      </c>
    </row>
    <row r="1892" spans="2:24">
      <c r="B1892" t="s">
        <v>547</v>
      </c>
      <c r="C1892" t="s">
        <v>116</v>
      </c>
      <c r="D1892" t="s">
        <v>585</v>
      </c>
      <c r="E1892" t="s">
        <v>668</v>
      </c>
      <c r="F1892" s="705">
        <v>1</v>
      </c>
      <c r="G1892" s="705">
        <v>161</v>
      </c>
      <c r="H1892" s="705">
        <v>184</v>
      </c>
      <c r="I1892" s="705">
        <v>14823</v>
      </c>
      <c r="J1892" s="705">
        <v>13475</v>
      </c>
      <c r="K1892" s="705">
        <v>86</v>
      </c>
      <c r="L1892" s="705">
        <v>4694</v>
      </c>
      <c r="M1892" s="705">
        <v>4267</v>
      </c>
      <c r="N1892" s="705">
        <v>3794</v>
      </c>
      <c r="O1892" s="705">
        <v>1405</v>
      </c>
      <c r="P1892" s="705">
        <v>1053</v>
      </c>
      <c r="Q1892" s="705">
        <v>390</v>
      </c>
      <c r="R1892" s="705">
        <v>5319</v>
      </c>
      <c r="S1892" s="705">
        <v>4836</v>
      </c>
      <c r="T1892" s="705">
        <v>0</v>
      </c>
      <c r="U1892" s="705">
        <v>0</v>
      </c>
      <c r="V1892" s="705">
        <v>24373</v>
      </c>
      <c r="W1892" s="705">
        <f t="shared" si="82"/>
        <v>24373</v>
      </c>
      <c r="X1892" s="705">
        <f t="shared" si="83"/>
        <v>29683</v>
      </c>
    </row>
    <row r="1893" spans="2:24">
      <c r="B1893" t="s">
        <v>547</v>
      </c>
      <c r="C1893" t="s">
        <v>116</v>
      </c>
      <c r="D1893" t="s">
        <v>668</v>
      </c>
      <c r="E1893" t="s">
        <v>668</v>
      </c>
      <c r="F1893" s="705">
        <v>1</v>
      </c>
      <c r="G1893" s="705">
        <v>149</v>
      </c>
      <c r="H1893" s="705">
        <v>190</v>
      </c>
      <c r="I1893" s="705">
        <v>19392</v>
      </c>
      <c r="J1893" s="705">
        <v>17629</v>
      </c>
      <c r="K1893" s="705">
        <v>85</v>
      </c>
      <c r="L1893" s="705">
        <v>0</v>
      </c>
      <c r="M1893" s="705">
        <v>0</v>
      </c>
      <c r="N1893" s="705">
        <v>2776</v>
      </c>
      <c r="O1893" s="705">
        <v>1028</v>
      </c>
      <c r="P1893" s="705">
        <v>351</v>
      </c>
      <c r="Q1893" s="705">
        <v>130</v>
      </c>
      <c r="R1893" s="705">
        <v>5840</v>
      </c>
      <c r="S1893" s="705">
        <v>5309</v>
      </c>
      <c r="T1893" s="705">
        <v>0</v>
      </c>
      <c r="U1893" s="705">
        <v>0</v>
      </c>
      <c r="V1893" s="705">
        <v>24096</v>
      </c>
      <c r="W1893" s="705">
        <f t="shared" si="82"/>
        <v>24096</v>
      </c>
      <c r="X1893" s="705">
        <f t="shared" si="83"/>
        <v>28359</v>
      </c>
    </row>
    <row r="1894" spans="2:24">
      <c r="B1894" t="s">
        <v>547</v>
      </c>
      <c r="C1894" t="s">
        <v>118</v>
      </c>
      <c r="F1894" s="705">
        <v>2</v>
      </c>
      <c r="G1894" s="705">
        <v>263</v>
      </c>
      <c r="H1894" s="705">
        <v>503</v>
      </c>
      <c r="I1894" s="705"/>
      <c r="J1894" s="705">
        <v>0</v>
      </c>
      <c r="K1894" s="705"/>
      <c r="L1894" s="705"/>
      <c r="M1894" s="705">
        <v>0</v>
      </c>
      <c r="N1894" s="705">
        <v>5729</v>
      </c>
      <c r="O1894" s="705">
        <v>2122</v>
      </c>
      <c r="P1894" s="705">
        <v>0</v>
      </c>
      <c r="Q1894" s="705">
        <v>0</v>
      </c>
      <c r="R1894" s="705"/>
      <c r="S1894" s="705">
        <v>0</v>
      </c>
      <c r="T1894" s="705">
        <v>0</v>
      </c>
      <c r="U1894" s="705">
        <v>0</v>
      </c>
      <c r="V1894" s="705">
        <v>2122</v>
      </c>
      <c r="W1894" s="705">
        <f t="shared" si="82"/>
        <v>2122</v>
      </c>
      <c r="X1894" s="705">
        <f t="shared" si="83"/>
        <v>5729</v>
      </c>
    </row>
    <row r="1895" spans="2:24">
      <c r="B1895" t="s">
        <v>547</v>
      </c>
      <c r="C1895" t="s">
        <v>118</v>
      </c>
      <c r="D1895" t="s">
        <v>664</v>
      </c>
      <c r="E1895" t="s">
        <v>664</v>
      </c>
      <c r="F1895" s="705">
        <v>3</v>
      </c>
      <c r="G1895" s="705">
        <v>328</v>
      </c>
      <c r="H1895" s="705">
        <v>768</v>
      </c>
      <c r="I1895" s="705">
        <v>49123</v>
      </c>
      <c r="J1895" s="705">
        <v>44657</v>
      </c>
      <c r="K1895" s="705">
        <v>84</v>
      </c>
      <c r="L1895" s="705">
        <v>12063</v>
      </c>
      <c r="M1895" s="705">
        <v>10967</v>
      </c>
      <c r="N1895" s="705">
        <v>5775</v>
      </c>
      <c r="O1895" s="705">
        <v>2139</v>
      </c>
      <c r="P1895" s="705">
        <v>1418</v>
      </c>
      <c r="Q1895" s="705">
        <v>525</v>
      </c>
      <c r="R1895" s="705">
        <v>14906</v>
      </c>
      <c r="S1895" s="705">
        <v>13551</v>
      </c>
      <c r="T1895" s="705">
        <v>0</v>
      </c>
      <c r="U1895" s="705">
        <v>0</v>
      </c>
      <c r="V1895" s="705">
        <v>71839</v>
      </c>
      <c r="W1895" s="705">
        <f t="shared" si="82"/>
        <v>71839</v>
      </c>
      <c r="X1895" s="705">
        <f t="shared" si="83"/>
        <v>83285</v>
      </c>
    </row>
    <row r="1896" spans="2:24">
      <c r="B1896" t="s">
        <v>547</v>
      </c>
      <c r="C1896" t="s">
        <v>118</v>
      </c>
      <c r="D1896" t="s">
        <v>582</v>
      </c>
      <c r="E1896" t="s">
        <v>582</v>
      </c>
      <c r="F1896" s="705">
        <v>23</v>
      </c>
      <c r="G1896" s="705">
        <v>3259</v>
      </c>
      <c r="H1896" s="705">
        <v>5737</v>
      </c>
      <c r="I1896" s="705">
        <v>474851</v>
      </c>
      <c r="J1896" s="705">
        <v>431683</v>
      </c>
      <c r="K1896" s="705">
        <v>76</v>
      </c>
      <c r="L1896" s="705">
        <v>93642</v>
      </c>
      <c r="M1896" s="705">
        <v>82491</v>
      </c>
      <c r="N1896" s="705">
        <v>71562</v>
      </c>
      <c r="O1896" s="705">
        <v>26504</v>
      </c>
      <c r="P1896" s="705">
        <v>12087</v>
      </c>
      <c r="Q1896" s="705">
        <v>4477</v>
      </c>
      <c r="R1896" s="705">
        <v>123228</v>
      </c>
      <c r="S1896" s="705">
        <v>112026</v>
      </c>
      <c r="T1896" s="705">
        <v>50399</v>
      </c>
      <c r="U1896" s="705">
        <v>18666</v>
      </c>
      <c r="V1896" s="705">
        <v>675847</v>
      </c>
      <c r="W1896" s="705">
        <f t="shared" si="82"/>
        <v>675847</v>
      </c>
      <c r="X1896" s="705">
        <f t="shared" si="83"/>
        <v>825769</v>
      </c>
    </row>
    <row r="1897" spans="2:24">
      <c r="B1897" t="s">
        <v>547</v>
      </c>
      <c r="C1897" t="s">
        <v>118</v>
      </c>
      <c r="D1897" t="s">
        <v>228</v>
      </c>
      <c r="E1897" t="s">
        <v>228</v>
      </c>
      <c r="F1897" s="705">
        <v>30</v>
      </c>
      <c r="G1897" s="705">
        <v>3811</v>
      </c>
      <c r="H1897" s="705">
        <v>7649</v>
      </c>
      <c r="I1897" s="705">
        <v>537195</v>
      </c>
      <c r="J1897" s="705">
        <v>198961</v>
      </c>
      <c r="K1897" s="705">
        <v>100</v>
      </c>
      <c r="L1897" s="705">
        <v>110560</v>
      </c>
      <c r="M1897" s="705">
        <v>96296</v>
      </c>
      <c r="N1897" s="705">
        <v>89215</v>
      </c>
      <c r="O1897" s="705">
        <v>33042</v>
      </c>
      <c r="P1897" s="705">
        <v>0</v>
      </c>
      <c r="Q1897" s="705">
        <v>0</v>
      </c>
      <c r="R1897" s="705">
        <v>225445</v>
      </c>
      <c r="S1897" s="705">
        <v>83498</v>
      </c>
      <c r="T1897" s="705">
        <v>0</v>
      </c>
      <c r="U1897" s="705">
        <v>0</v>
      </c>
      <c r="V1897" s="705">
        <v>411798</v>
      </c>
      <c r="W1897" s="705">
        <f t="shared" si="82"/>
        <v>411797</v>
      </c>
      <c r="X1897" s="705">
        <f t="shared" si="83"/>
        <v>962415</v>
      </c>
    </row>
    <row r="1898" spans="2:24">
      <c r="B1898" t="s">
        <v>547</v>
      </c>
      <c r="C1898" t="s">
        <v>118</v>
      </c>
      <c r="D1898" t="s">
        <v>583</v>
      </c>
      <c r="E1898" t="s">
        <v>228</v>
      </c>
      <c r="F1898" s="705">
        <v>2</v>
      </c>
      <c r="G1898" s="705">
        <v>262</v>
      </c>
      <c r="H1898" s="705">
        <v>574</v>
      </c>
      <c r="I1898" s="705">
        <v>47734</v>
      </c>
      <c r="J1898" s="705">
        <v>43394</v>
      </c>
      <c r="K1898" s="705">
        <v>73</v>
      </c>
      <c r="L1898" s="705">
        <v>9051</v>
      </c>
      <c r="M1898" s="705">
        <v>8228</v>
      </c>
      <c r="N1898" s="705">
        <v>4751</v>
      </c>
      <c r="O1898" s="705">
        <v>1760</v>
      </c>
      <c r="P1898" s="705">
        <v>1242</v>
      </c>
      <c r="Q1898" s="705">
        <v>460</v>
      </c>
      <c r="R1898" s="705">
        <v>11996</v>
      </c>
      <c r="S1898" s="705">
        <v>4443</v>
      </c>
      <c r="T1898" s="705">
        <v>0</v>
      </c>
      <c r="U1898" s="705">
        <v>0</v>
      </c>
      <c r="V1898" s="705">
        <v>58285</v>
      </c>
      <c r="W1898" s="705">
        <f t="shared" si="82"/>
        <v>58285</v>
      </c>
      <c r="X1898" s="705">
        <f t="shared" si="83"/>
        <v>74774</v>
      </c>
    </row>
    <row r="1899" spans="2:24">
      <c r="B1899" t="s">
        <v>547</v>
      </c>
      <c r="C1899" t="s">
        <v>118</v>
      </c>
      <c r="D1899" t="s">
        <v>583</v>
      </c>
      <c r="E1899" t="s">
        <v>583</v>
      </c>
      <c r="F1899" s="705">
        <v>696</v>
      </c>
      <c r="G1899" s="705">
        <v>90310</v>
      </c>
      <c r="H1899" s="705">
        <v>179724</v>
      </c>
      <c r="I1899" s="705">
        <v>13514979</v>
      </c>
      <c r="J1899" s="705">
        <v>12286344</v>
      </c>
      <c r="K1899" s="705">
        <v>80</v>
      </c>
      <c r="L1899" s="705">
        <v>2675204</v>
      </c>
      <c r="M1899" s="705">
        <v>2381005</v>
      </c>
      <c r="N1899" s="705">
        <v>1870302</v>
      </c>
      <c r="O1899" s="705">
        <v>692704</v>
      </c>
      <c r="P1899" s="705">
        <v>467621</v>
      </c>
      <c r="Q1899" s="705">
        <v>173193</v>
      </c>
      <c r="R1899" s="705">
        <v>3451072</v>
      </c>
      <c r="S1899" s="705">
        <v>3137339</v>
      </c>
      <c r="T1899" s="705">
        <v>1504794</v>
      </c>
      <c r="U1899" s="705">
        <v>557331</v>
      </c>
      <c r="V1899" s="705">
        <v>19227916</v>
      </c>
      <c r="W1899" s="705">
        <f t="shared" si="82"/>
        <v>19227916</v>
      </c>
      <c r="X1899" s="705">
        <f t="shared" si="83"/>
        <v>23483972</v>
      </c>
    </row>
    <row r="1900" spans="2:24">
      <c r="B1900" t="s">
        <v>547</v>
      </c>
      <c r="C1900" t="s">
        <v>118</v>
      </c>
      <c r="D1900" t="s">
        <v>583</v>
      </c>
      <c r="E1900" t="s">
        <v>671</v>
      </c>
      <c r="F1900" s="705">
        <v>1</v>
      </c>
      <c r="G1900" s="705">
        <v>117</v>
      </c>
      <c r="H1900" s="705">
        <v>258</v>
      </c>
      <c r="I1900" s="705">
        <v>18011</v>
      </c>
      <c r="J1900" s="705">
        <v>16374</v>
      </c>
      <c r="K1900" s="705">
        <v>85</v>
      </c>
      <c r="L1900" s="705">
        <v>2936</v>
      </c>
      <c r="M1900" s="705">
        <v>2669</v>
      </c>
      <c r="N1900" s="705">
        <v>2708</v>
      </c>
      <c r="O1900" s="705">
        <v>1003</v>
      </c>
      <c r="P1900" s="705">
        <v>621</v>
      </c>
      <c r="Q1900" s="705">
        <v>230</v>
      </c>
      <c r="R1900" s="705">
        <v>5941</v>
      </c>
      <c r="S1900" s="705">
        <v>5401</v>
      </c>
      <c r="T1900" s="705">
        <v>0</v>
      </c>
      <c r="U1900" s="705">
        <v>0</v>
      </c>
      <c r="V1900" s="705">
        <v>25677</v>
      </c>
      <c r="W1900" s="705">
        <f t="shared" si="82"/>
        <v>25677</v>
      </c>
      <c r="X1900" s="705">
        <f t="shared" si="83"/>
        <v>30217</v>
      </c>
    </row>
    <row r="1901" spans="2:24">
      <c r="B1901" t="s">
        <v>547</v>
      </c>
      <c r="C1901" t="s">
        <v>118</v>
      </c>
      <c r="D1901" t="s">
        <v>583</v>
      </c>
      <c r="E1901" t="s">
        <v>665</v>
      </c>
      <c r="F1901" s="705">
        <v>1</v>
      </c>
      <c r="G1901" s="705">
        <v>202</v>
      </c>
      <c r="H1901" s="705">
        <v>243</v>
      </c>
      <c r="I1901" s="705">
        <v>32838</v>
      </c>
      <c r="J1901" s="705">
        <v>29852</v>
      </c>
      <c r="K1901" s="705">
        <v>65</v>
      </c>
      <c r="L1901" s="705">
        <v>3469</v>
      </c>
      <c r="M1901" s="705">
        <v>3154</v>
      </c>
      <c r="N1901" s="705">
        <v>2512</v>
      </c>
      <c r="O1901" s="705">
        <v>930</v>
      </c>
      <c r="P1901" s="705">
        <v>621</v>
      </c>
      <c r="Q1901" s="705">
        <v>230</v>
      </c>
      <c r="R1901" s="705">
        <v>6201</v>
      </c>
      <c r="S1901" s="705">
        <v>5637</v>
      </c>
      <c r="T1901" s="705">
        <v>3542</v>
      </c>
      <c r="U1901" s="705">
        <v>1312</v>
      </c>
      <c r="V1901" s="705">
        <v>41116</v>
      </c>
      <c r="W1901" s="705">
        <f t="shared" si="82"/>
        <v>41115</v>
      </c>
      <c r="X1901" s="705">
        <f t="shared" si="83"/>
        <v>49183</v>
      </c>
    </row>
    <row r="1902" spans="2:24">
      <c r="B1902" t="s">
        <v>547</v>
      </c>
      <c r="C1902" t="s">
        <v>118</v>
      </c>
      <c r="D1902" t="s">
        <v>666</v>
      </c>
      <c r="E1902" t="s">
        <v>666</v>
      </c>
      <c r="F1902" s="705">
        <v>1</v>
      </c>
      <c r="G1902" s="705">
        <v>130</v>
      </c>
      <c r="H1902" s="705">
        <v>287</v>
      </c>
      <c r="I1902" s="705">
        <v>22981</v>
      </c>
      <c r="J1902" s="705">
        <v>20891</v>
      </c>
      <c r="K1902" s="705">
        <v>60</v>
      </c>
      <c r="L1902" s="705">
        <v>2786</v>
      </c>
      <c r="M1902" s="705">
        <v>2532</v>
      </c>
      <c r="N1902" s="705">
        <v>2455</v>
      </c>
      <c r="O1902" s="705">
        <v>909</v>
      </c>
      <c r="P1902" s="705">
        <v>351</v>
      </c>
      <c r="Q1902" s="705">
        <v>130</v>
      </c>
      <c r="R1902" s="705">
        <v>5718</v>
      </c>
      <c r="S1902" s="705">
        <v>5199</v>
      </c>
      <c r="T1902" s="705">
        <v>3061</v>
      </c>
      <c r="U1902" s="705">
        <v>1134</v>
      </c>
      <c r="V1902" s="705">
        <v>30795</v>
      </c>
      <c r="W1902" s="705">
        <f t="shared" si="82"/>
        <v>30795</v>
      </c>
      <c r="X1902" s="705">
        <f t="shared" si="83"/>
        <v>37352</v>
      </c>
    </row>
    <row r="1903" spans="2:24">
      <c r="B1903" t="s">
        <v>547</v>
      </c>
      <c r="C1903" t="s">
        <v>118</v>
      </c>
      <c r="D1903" t="s">
        <v>584</v>
      </c>
      <c r="E1903" t="s">
        <v>584</v>
      </c>
      <c r="F1903" s="705">
        <v>4</v>
      </c>
      <c r="G1903" s="705">
        <v>471</v>
      </c>
      <c r="H1903" s="705">
        <v>985</v>
      </c>
      <c r="I1903" s="705">
        <v>62728</v>
      </c>
      <c r="J1903" s="705">
        <v>57025</v>
      </c>
      <c r="K1903" s="705">
        <v>80</v>
      </c>
      <c r="L1903" s="705">
        <v>16835</v>
      </c>
      <c r="M1903" s="705">
        <v>11896</v>
      </c>
      <c r="N1903" s="705">
        <v>9919</v>
      </c>
      <c r="O1903" s="705">
        <v>3674</v>
      </c>
      <c r="P1903" s="705">
        <v>1890</v>
      </c>
      <c r="Q1903" s="705">
        <v>700</v>
      </c>
      <c r="R1903" s="705">
        <v>19475</v>
      </c>
      <c r="S1903" s="705">
        <v>17705</v>
      </c>
      <c r="T1903" s="705">
        <v>5590</v>
      </c>
      <c r="U1903" s="705">
        <v>2070</v>
      </c>
      <c r="V1903" s="705">
        <v>93069</v>
      </c>
      <c r="W1903" s="705">
        <f t="shared" si="82"/>
        <v>93070</v>
      </c>
      <c r="X1903" s="705">
        <f t="shared" si="83"/>
        <v>116437</v>
      </c>
    </row>
    <row r="1904" spans="2:24">
      <c r="B1904" t="s">
        <v>547</v>
      </c>
      <c r="C1904" t="s">
        <v>118</v>
      </c>
      <c r="D1904" t="s">
        <v>671</v>
      </c>
      <c r="E1904" t="s">
        <v>671</v>
      </c>
      <c r="F1904" s="705">
        <v>2</v>
      </c>
      <c r="G1904" s="705">
        <v>228</v>
      </c>
      <c r="H1904" s="705">
        <v>528</v>
      </c>
      <c r="I1904" s="705">
        <v>35351</v>
      </c>
      <c r="J1904" s="705">
        <v>32137</v>
      </c>
      <c r="K1904" s="705">
        <v>65</v>
      </c>
      <c r="L1904" s="705">
        <v>8510</v>
      </c>
      <c r="M1904" s="705">
        <v>7737</v>
      </c>
      <c r="N1904" s="705">
        <v>3881</v>
      </c>
      <c r="O1904" s="705">
        <v>1437</v>
      </c>
      <c r="P1904" s="705">
        <v>702</v>
      </c>
      <c r="Q1904" s="705">
        <v>260</v>
      </c>
      <c r="R1904" s="705">
        <v>7581</v>
      </c>
      <c r="S1904" s="705">
        <v>6892</v>
      </c>
      <c r="T1904" s="705">
        <v>5093</v>
      </c>
      <c r="U1904" s="705">
        <v>1886</v>
      </c>
      <c r="V1904" s="705">
        <v>50350</v>
      </c>
      <c r="W1904" s="705">
        <f t="shared" si="82"/>
        <v>50349</v>
      </c>
      <c r="X1904" s="705">
        <f t="shared" si="83"/>
        <v>61118</v>
      </c>
    </row>
    <row r="1905" spans="2:24">
      <c r="B1905" t="s">
        <v>547</v>
      </c>
      <c r="C1905" t="s">
        <v>118</v>
      </c>
      <c r="D1905" t="s">
        <v>665</v>
      </c>
      <c r="E1905" t="s">
        <v>665</v>
      </c>
      <c r="F1905" s="705">
        <v>35</v>
      </c>
      <c r="G1905" s="705">
        <v>4445</v>
      </c>
      <c r="H1905" s="705">
        <v>9555</v>
      </c>
      <c r="I1905" s="705">
        <v>784123</v>
      </c>
      <c r="J1905" s="705">
        <v>712839</v>
      </c>
      <c r="K1905" s="705">
        <v>63</v>
      </c>
      <c r="L1905" s="705">
        <v>77828</v>
      </c>
      <c r="M1905" s="705">
        <v>66019</v>
      </c>
      <c r="N1905" s="705">
        <v>88486</v>
      </c>
      <c r="O1905" s="705">
        <v>32773</v>
      </c>
      <c r="P1905" s="705">
        <v>22802</v>
      </c>
      <c r="Q1905" s="705">
        <v>8445</v>
      </c>
      <c r="R1905" s="705">
        <v>185112</v>
      </c>
      <c r="S1905" s="705">
        <v>168283</v>
      </c>
      <c r="T1905" s="705">
        <v>86751</v>
      </c>
      <c r="U1905" s="705">
        <v>32130</v>
      </c>
      <c r="V1905" s="705">
        <v>1020488</v>
      </c>
      <c r="W1905" s="705">
        <f t="shared" si="82"/>
        <v>1020489</v>
      </c>
      <c r="X1905" s="705">
        <f t="shared" si="83"/>
        <v>1245102</v>
      </c>
    </row>
    <row r="1906" spans="2:24">
      <c r="B1906" t="s">
        <v>547</v>
      </c>
      <c r="C1906" t="s">
        <v>118</v>
      </c>
      <c r="D1906" t="s">
        <v>585</v>
      </c>
      <c r="E1906" t="s">
        <v>585</v>
      </c>
      <c r="F1906" s="705">
        <v>1</v>
      </c>
      <c r="G1906" s="705">
        <v>157</v>
      </c>
      <c r="H1906" s="705">
        <v>245</v>
      </c>
      <c r="I1906" s="705">
        <v>24317</v>
      </c>
      <c r="J1906" s="705">
        <v>22106</v>
      </c>
      <c r="K1906" s="705">
        <v>65</v>
      </c>
      <c r="L1906" s="705">
        <v>2406</v>
      </c>
      <c r="M1906" s="705">
        <v>2187</v>
      </c>
      <c r="N1906" s="705">
        <v>3343</v>
      </c>
      <c r="O1906" s="705">
        <v>1238</v>
      </c>
      <c r="P1906" s="705">
        <v>473</v>
      </c>
      <c r="Q1906" s="705">
        <v>175</v>
      </c>
      <c r="R1906" s="705">
        <v>7941</v>
      </c>
      <c r="S1906" s="705">
        <v>7219</v>
      </c>
      <c r="T1906" s="705">
        <v>0</v>
      </c>
      <c r="U1906" s="705">
        <v>0</v>
      </c>
      <c r="V1906" s="705">
        <v>32925</v>
      </c>
      <c r="W1906" s="705">
        <f t="shared" si="82"/>
        <v>32925</v>
      </c>
      <c r="X1906" s="705">
        <f t="shared" si="83"/>
        <v>38480</v>
      </c>
    </row>
    <row r="1907" spans="2:24">
      <c r="B1907" t="s">
        <v>547</v>
      </c>
      <c r="C1907" t="s">
        <v>118</v>
      </c>
      <c r="D1907" t="s">
        <v>668</v>
      </c>
      <c r="E1907" t="s">
        <v>668</v>
      </c>
      <c r="F1907" s="705">
        <v>1</v>
      </c>
      <c r="G1907" s="705">
        <v>157</v>
      </c>
      <c r="H1907" s="705">
        <v>237</v>
      </c>
      <c r="I1907" s="705">
        <v>20051</v>
      </c>
      <c r="J1907" s="705">
        <v>18228</v>
      </c>
      <c r="K1907" s="705">
        <v>85</v>
      </c>
      <c r="L1907" s="705">
        <v>6327</v>
      </c>
      <c r="M1907" s="705">
        <v>5752</v>
      </c>
      <c r="N1907" s="705">
        <v>2520</v>
      </c>
      <c r="O1907" s="705">
        <v>933</v>
      </c>
      <c r="P1907" s="705">
        <v>351</v>
      </c>
      <c r="Q1907" s="705">
        <v>130</v>
      </c>
      <c r="R1907" s="705">
        <v>4403</v>
      </c>
      <c r="S1907" s="705">
        <v>4003</v>
      </c>
      <c r="T1907" s="705">
        <v>3448</v>
      </c>
      <c r="U1907" s="705">
        <v>1277</v>
      </c>
      <c r="V1907" s="705">
        <v>30323</v>
      </c>
      <c r="W1907" s="705">
        <f t="shared" si="82"/>
        <v>30323</v>
      </c>
      <c r="X1907" s="705">
        <f t="shared" si="83"/>
        <v>37100</v>
      </c>
    </row>
    <row r="1908" spans="2:24">
      <c r="B1908" t="s">
        <v>547</v>
      </c>
      <c r="C1908" t="s">
        <v>120</v>
      </c>
      <c r="F1908" s="705">
        <v>1</v>
      </c>
      <c r="G1908" s="705">
        <v>48</v>
      </c>
      <c r="H1908" s="705">
        <v>320</v>
      </c>
      <c r="I1908" s="705"/>
      <c r="J1908" s="705">
        <v>0</v>
      </c>
      <c r="K1908" s="705"/>
      <c r="L1908" s="705"/>
      <c r="M1908" s="705">
        <v>0</v>
      </c>
      <c r="N1908" s="705">
        <v>1182</v>
      </c>
      <c r="O1908" s="705">
        <v>438</v>
      </c>
      <c r="P1908" s="705">
        <v>0</v>
      </c>
      <c r="Q1908" s="705">
        <v>0</v>
      </c>
      <c r="R1908" s="705"/>
      <c r="S1908" s="705">
        <v>0</v>
      </c>
      <c r="T1908" s="705">
        <v>0</v>
      </c>
      <c r="U1908" s="705">
        <v>0</v>
      </c>
      <c r="V1908" s="705">
        <v>438</v>
      </c>
      <c r="W1908" s="705">
        <f t="shared" si="82"/>
        <v>438</v>
      </c>
      <c r="X1908" s="705">
        <f t="shared" si="83"/>
        <v>1182</v>
      </c>
    </row>
    <row r="1909" spans="2:24">
      <c r="B1909" t="s">
        <v>547</v>
      </c>
      <c r="C1909" t="s">
        <v>120</v>
      </c>
      <c r="D1909" t="s">
        <v>664</v>
      </c>
      <c r="E1909" t="s">
        <v>664</v>
      </c>
      <c r="F1909" s="705">
        <v>1</v>
      </c>
      <c r="G1909" s="705">
        <v>116</v>
      </c>
      <c r="H1909" s="705">
        <v>310</v>
      </c>
      <c r="I1909" s="705">
        <v>22781</v>
      </c>
      <c r="J1909" s="705">
        <v>20710</v>
      </c>
      <c r="K1909" s="705">
        <v>73</v>
      </c>
      <c r="L1909" s="705">
        <v>2542</v>
      </c>
      <c r="M1909" s="705">
        <v>2311</v>
      </c>
      <c r="N1909" s="705">
        <v>2728</v>
      </c>
      <c r="O1909" s="705">
        <v>1011</v>
      </c>
      <c r="P1909" s="705">
        <v>824</v>
      </c>
      <c r="Q1909" s="705">
        <v>305</v>
      </c>
      <c r="R1909" s="705">
        <v>4430</v>
      </c>
      <c r="S1909" s="705">
        <v>4027</v>
      </c>
      <c r="T1909" s="705">
        <v>2627</v>
      </c>
      <c r="U1909" s="705">
        <v>973</v>
      </c>
      <c r="V1909" s="705">
        <v>29337</v>
      </c>
      <c r="W1909" s="705">
        <f t="shared" si="82"/>
        <v>29337</v>
      </c>
      <c r="X1909" s="705">
        <f t="shared" si="83"/>
        <v>35932</v>
      </c>
    </row>
    <row r="1910" spans="2:24">
      <c r="B1910" t="s">
        <v>547</v>
      </c>
      <c r="C1910" t="s">
        <v>120</v>
      </c>
      <c r="D1910" t="s">
        <v>582</v>
      </c>
      <c r="E1910" t="s">
        <v>582</v>
      </c>
      <c r="F1910" s="705">
        <v>7</v>
      </c>
      <c r="G1910" s="705">
        <v>874</v>
      </c>
      <c r="H1910" s="705">
        <v>2201</v>
      </c>
      <c r="I1910" s="705">
        <v>159151</v>
      </c>
      <c r="J1910" s="705">
        <v>144683</v>
      </c>
      <c r="K1910" s="705">
        <v>68</v>
      </c>
      <c r="L1910" s="705">
        <v>33501</v>
      </c>
      <c r="M1910" s="705">
        <v>30455</v>
      </c>
      <c r="N1910" s="705">
        <v>18791</v>
      </c>
      <c r="O1910" s="705">
        <v>6960</v>
      </c>
      <c r="P1910" s="705">
        <v>3308</v>
      </c>
      <c r="Q1910" s="705">
        <v>1225</v>
      </c>
      <c r="R1910" s="705">
        <v>36980</v>
      </c>
      <c r="S1910" s="705">
        <v>33618</v>
      </c>
      <c r="T1910" s="705">
        <v>21604</v>
      </c>
      <c r="U1910" s="705">
        <v>8001</v>
      </c>
      <c r="V1910" s="705">
        <v>224942</v>
      </c>
      <c r="W1910" s="705">
        <f t="shared" si="82"/>
        <v>224942</v>
      </c>
      <c r="X1910" s="705">
        <f t="shared" si="83"/>
        <v>273335</v>
      </c>
    </row>
    <row r="1911" spans="2:24">
      <c r="B1911" t="s">
        <v>547</v>
      </c>
      <c r="C1911" t="s">
        <v>120</v>
      </c>
      <c r="D1911" t="s">
        <v>228</v>
      </c>
      <c r="E1911" t="s">
        <v>228</v>
      </c>
      <c r="F1911" s="705">
        <v>45</v>
      </c>
      <c r="G1911" s="705">
        <v>4855</v>
      </c>
      <c r="H1911" s="705">
        <v>15126</v>
      </c>
      <c r="I1911" s="705">
        <v>1035891</v>
      </c>
      <c r="J1911" s="705">
        <v>383663</v>
      </c>
      <c r="K1911" s="705">
        <v>100</v>
      </c>
      <c r="L1911" s="705">
        <v>147475</v>
      </c>
      <c r="M1911" s="705">
        <v>130227</v>
      </c>
      <c r="N1911" s="705">
        <v>101253</v>
      </c>
      <c r="O1911" s="705">
        <v>37501</v>
      </c>
      <c r="P1911" s="705">
        <v>0</v>
      </c>
      <c r="Q1911" s="705">
        <v>0</v>
      </c>
      <c r="R1911" s="705">
        <v>350608</v>
      </c>
      <c r="S1911" s="705">
        <v>129855</v>
      </c>
      <c r="T1911" s="705">
        <v>0</v>
      </c>
      <c r="U1911" s="705">
        <v>0</v>
      </c>
      <c r="V1911" s="705">
        <v>681246</v>
      </c>
      <c r="W1911" s="705">
        <f t="shared" si="82"/>
        <v>681246</v>
      </c>
      <c r="X1911" s="705">
        <f t="shared" si="83"/>
        <v>1635227</v>
      </c>
    </row>
    <row r="1912" spans="2:24">
      <c r="B1912" t="s">
        <v>547</v>
      </c>
      <c r="C1912" t="s">
        <v>120</v>
      </c>
      <c r="D1912" t="s">
        <v>228</v>
      </c>
      <c r="E1912" t="s">
        <v>665</v>
      </c>
      <c r="F1912" s="705">
        <v>1</v>
      </c>
      <c r="G1912" s="705">
        <v>149</v>
      </c>
      <c r="H1912" s="705">
        <v>328</v>
      </c>
      <c r="I1912" s="705">
        <v>28895</v>
      </c>
      <c r="J1912" s="705">
        <v>10702</v>
      </c>
      <c r="K1912" s="705">
        <v>100</v>
      </c>
      <c r="L1912" s="705">
        <v>3196</v>
      </c>
      <c r="M1912" s="705">
        <v>2905</v>
      </c>
      <c r="N1912" s="705">
        <v>3642</v>
      </c>
      <c r="O1912" s="705">
        <v>1349</v>
      </c>
      <c r="P1912" s="705">
        <v>0</v>
      </c>
      <c r="Q1912" s="705">
        <v>0</v>
      </c>
      <c r="R1912" s="705">
        <v>8053</v>
      </c>
      <c r="S1912" s="705">
        <v>7321</v>
      </c>
      <c r="T1912" s="705">
        <v>5241</v>
      </c>
      <c r="U1912" s="705">
        <v>1941</v>
      </c>
      <c r="V1912" s="705">
        <v>24218</v>
      </c>
      <c r="W1912" s="705">
        <f t="shared" si="82"/>
        <v>24218</v>
      </c>
      <c r="X1912" s="705">
        <f t="shared" si="83"/>
        <v>49027</v>
      </c>
    </row>
    <row r="1913" spans="2:24">
      <c r="B1913" t="s">
        <v>547</v>
      </c>
      <c r="C1913" t="s">
        <v>120</v>
      </c>
      <c r="D1913" t="s">
        <v>583</v>
      </c>
      <c r="E1913" t="s">
        <v>674</v>
      </c>
      <c r="F1913" s="705">
        <v>1</v>
      </c>
      <c r="G1913" s="705">
        <v>197</v>
      </c>
      <c r="H1913" s="705">
        <v>318</v>
      </c>
      <c r="I1913" s="705">
        <v>41815</v>
      </c>
      <c r="J1913" s="705">
        <v>38013</v>
      </c>
      <c r="K1913" s="705">
        <v>65</v>
      </c>
      <c r="L1913" s="705">
        <v>4785</v>
      </c>
      <c r="M1913" s="705">
        <v>4350</v>
      </c>
      <c r="N1913" s="705">
        <v>4339</v>
      </c>
      <c r="O1913" s="705">
        <v>1607</v>
      </c>
      <c r="P1913" s="705">
        <v>621</v>
      </c>
      <c r="Q1913" s="705">
        <v>230</v>
      </c>
      <c r="R1913" s="705">
        <v>8000</v>
      </c>
      <c r="S1913" s="705">
        <v>7272</v>
      </c>
      <c r="T1913" s="705">
        <v>3047</v>
      </c>
      <c r="U1913" s="705">
        <v>1129</v>
      </c>
      <c r="V1913" s="705">
        <v>52602</v>
      </c>
      <c r="W1913" s="705">
        <f t="shared" si="82"/>
        <v>52601</v>
      </c>
      <c r="X1913" s="705">
        <f t="shared" si="83"/>
        <v>62607</v>
      </c>
    </row>
    <row r="1914" spans="2:24">
      <c r="B1914" t="s">
        <v>547</v>
      </c>
      <c r="C1914" t="s">
        <v>120</v>
      </c>
      <c r="D1914" t="s">
        <v>583</v>
      </c>
      <c r="E1914" t="s">
        <v>228</v>
      </c>
      <c r="F1914" s="705">
        <v>6</v>
      </c>
      <c r="G1914" s="705">
        <v>698</v>
      </c>
      <c r="H1914" s="705">
        <v>1970</v>
      </c>
      <c r="I1914" s="705">
        <v>149085</v>
      </c>
      <c r="J1914" s="705">
        <v>135531</v>
      </c>
      <c r="K1914" s="705">
        <v>80</v>
      </c>
      <c r="L1914" s="705">
        <v>22173</v>
      </c>
      <c r="M1914" s="705">
        <v>20157</v>
      </c>
      <c r="N1914" s="705">
        <v>15838</v>
      </c>
      <c r="O1914" s="705">
        <v>5866</v>
      </c>
      <c r="P1914" s="705">
        <v>3726</v>
      </c>
      <c r="Q1914" s="705">
        <v>1380</v>
      </c>
      <c r="R1914" s="705">
        <v>41993</v>
      </c>
      <c r="S1914" s="705">
        <v>15553</v>
      </c>
      <c r="T1914" s="705">
        <v>0</v>
      </c>
      <c r="U1914" s="705">
        <v>0</v>
      </c>
      <c r="V1914" s="705">
        <v>178488</v>
      </c>
      <c r="W1914" s="705">
        <f t="shared" si="82"/>
        <v>178487</v>
      </c>
      <c r="X1914" s="705">
        <f t="shared" si="83"/>
        <v>232815</v>
      </c>
    </row>
    <row r="1915" spans="2:24">
      <c r="B1915" t="s">
        <v>547</v>
      </c>
      <c r="C1915" t="s">
        <v>120</v>
      </c>
      <c r="D1915" t="s">
        <v>583</v>
      </c>
      <c r="E1915" t="s">
        <v>583</v>
      </c>
      <c r="F1915" s="705">
        <v>271</v>
      </c>
      <c r="G1915" s="705">
        <v>32642</v>
      </c>
      <c r="H1915" s="705">
        <v>91105</v>
      </c>
      <c r="I1915" s="705">
        <v>6855954</v>
      </c>
      <c r="J1915" s="705">
        <v>6232686</v>
      </c>
      <c r="K1915" s="705">
        <v>77</v>
      </c>
      <c r="L1915" s="705">
        <v>1278572</v>
      </c>
      <c r="M1915" s="705">
        <v>1152601</v>
      </c>
      <c r="N1915" s="705">
        <v>693139</v>
      </c>
      <c r="O1915" s="705">
        <v>256718</v>
      </c>
      <c r="P1915" s="705">
        <v>180954</v>
      </c>
      <c r="Q1915" s="705">
        <v>67020</v>
      </c>
      <c r="R1915" s="705">
        <v>1367015</v>
      </c>
      <c r="S1915" s="705">
        <v>1242741</v>
      </c>
      <c r="T1915" s="705">
        <v>622392</v>
      </c>
      <c r="U1915" s="705">
        <v>230515</v>
      </c>
      <c r="V1915" s="705">
        <v>9182281</v>
      </c>
      <c r="W1915" s="705">
        <f t="shared" si="82"/>
        <v>9182281</v>
      </c>
      <c r="X1915" s="705">
        <f t="shared" si="83"/>
        <v>10998026</v>
      </c>
    </row>
    <row r="1916" spans="2:24">
      <c r="B1916" t="s">
        <v>547</v>
      </c>
      <c r="C1916" t="s">
        <v>120</v>
      </c>
      <c r="D1916" t="s">
        <v>666</v>
      </c>
      <c r="E1916" t="s">
        <v>583</v>
      </c>
      <c r="F1916" s="705">
        <v>1</v>
      </c>
      <c r="G1916" s="705">
        <v>96</v>
      </c>
      <c r="H1916" s="705">
        <v>345</v>
      </c>
      <c r="I1916" s="705">
        <v>21051</v>
      </c>
      <c r="J1916" s="705">
        <v>19137</v>
      </c>
      <c r="K1916" s="705">
        <v>85</v>
      </c>
      <c r="L1916" s="705">
        <v>3146</v>
      </c>
      <c r="M1916" s="705">
        <v>2860</v>
      </c>
      <c r="N1916" s="705">
        <v>2253</v>
      </c>
      <c r="O1916" s="705">
        <v>834</v>
      </c>
      <c r="P1916" s="705">
        <v>621</v>
      </c>
      <c r="Q1916" s="705">
        <v>230</v>
      </c>
      <c r="R1916" s="705">
        <v>3689</v>
      </c>
      <c r="S1916" s="705">
        <v>3353</v>
      </c>
      <c r="T1916" s="705">
        <v>2514</v>
      </c>
      <c r="U1916" s="705">
        <v>931</v>
      </c>
      <c r="V1916" s="705">
        <v>27346</v>
      </c>
      <c r="W1916" s="705">
        <f t="shared" si="82"/>
        <v>27345</v>
      </c>
      <c r="X1916" s="705">
        <f t="shared" si="83"/>
        <v>33274</v>
      </c>
    </row>
    <row r="1917" spans="2:24">
      <c r="B1917" t="s">
        <v>547</v>
      </c>
      <c r="C1917" t="s">
        <v>120</v>
      </c>
      <c r="D1917" t="s">
        <v>666</v>
      </c>
      <c r="E1917" t="s">
        <v>666</v>
      </c>
      <c r="F1917" s="705">
        <v>3</v>
      </c>
      <c r="G1917" s="705">
        <v>375</v>
      </c>
      <c r="H1917" s="705">
        <v>981</v>
      </c>
      <c r="I1917" s="705">
        <v>76608</v>
      </c>
      <c r="J1917" s="705">
        <v>69644</v>
      </c>
      <c r="K1917" s="705">
        <v>62</v>
      </c>
      <c r="L1917" s="705">
        <v>13707</v>
      </c>
      <c r="M1917" s="705">
        <v>12461</v>
      </c>
      <c r="N1917" s="705">
        <v>6965</v>
      </c>
      <c r="O1917" s="705">
        <v>2580</v>
      </c>
      <c r="P1917" s="705">
        <v>1323</v>
      </c>
      <c r="Q1917" s="705">
        <v>490</v>
      </c>
      <c r="R1917" s="705">
        <v>17927</v>
      </c>
      <c r="S1917" s="705">
        <v>16297</v>
      </c>
      <c r="T1917" s="705">
        <v>6050</v>
      </c>
      <c r="U1917" s="705">
        <v>2241</v>
      </c>
      <c r="V1917" s="705">
        <v>103712</v>
      </c>
      <c r="W1917" s="705">
        <f t="shared" si="82"/>
        <v>103713</v>
      </c>
      <c r="X1917" s="705">
        <f t="shared" si="83"/>
        <v>122580</v>
      </c>
    </row>
    <row r="1918" spans="2:24">
      <c r="B1918" t="s">
        <v>547</v>
      </c>
      <c r="C1918" t="s">
        <v>120</v>
      </c>
      <c r="D1918" t="s">
        <v>671</v>
      </c>
      <c r="E1918" t="s">
        <v>671</v>
      </c>
      <c r="F1918" s="705">
        <v>6</v>
      </c>
      <c r="G1918" s="705">
        <v>740</v>
      </c>
      <c r="H1918" s="705">
        <v>2122</v>
      </c>
      <c r="I1918" s="705">
        <v>164450</v>
      </c>
      <c r="J1918" s="705">
        <v>149500</v>
      </c>
      <c r="K1918" s="705">
        <v>50</v>
      </c>
      <c r="L1918" s="705">
        <v>22641</v>
      </c>
      <c r="M1918" s="705">
        <v>20582</v>
      </c>
      <c r="N1918" s="705">
        <v>14804</v>
      </c>
      <c r="O1918" s="705">
        <v>5483</v>
      </c>
      <c r="P1918" s="705">
        <v>2376</v>
      </c>
      <c r="Q1918" s="705">
        <v>880</v>
      </c>
      <c r="R1918" s="705">
        <v>45627</v>
      </c>
      <c r="S1918" s="705">
        <v>41479</v>
      </c>
      <c r="T1918" s="705">
        <v>11671</v>
      </c>
      <c r="U1918" s="705">
        <v>4322</v>
      </c>
      <c r="V1918" s="705">
        <v>222247</v>
      </c>
      <c r="W1918" s="705">
        <f t="shared" si="82"/>
        <v>222246</v>
      </c>
      <c r="X1918" s="705">
        <f t="shared" si="83"/>
        <v>261569</v>
      </c>
    </row>
    <row r="1919" spans="2:24">
      <c r="B1919" t="s">
        <v>547</v>
      </c>
      <c r="C1919" t="s">
        <v>120</v>
      </c>
      <c r="D1919" t="s">
        <v>665</v>
      </c>
      <c r="E1919" t="s">
        <v>228</v>
      </c>
      <c r="F1919" s="705">
        <v>2</v>
      </c>
      <c r="G1919" s="705">
        <v>246</v>
      </c>
      <c r="H1919" s="705">
        <v>694</v>
      </c>
      <c r="I1919" s="705">
        <v>60033</v>
      </c>
      <c r="J1919" s="705">
        <v>54576</v>
      </c>
      <c r="K1919" s="705">
        <v>45</v>
      </c>
      <c r="L1919" s="705">
        <v>6601</v>
      </c>
      <c r="M1919" s="705">
        <v>3885</v>
      </c>
      <c r="N1919" s="705">
        <v>5931</v>
      </c>
      <c r="O1919" s="705">
        <v>2197</v>
      </c>
      <c r="P1919" s="705">
        <v>0</v>
      </c>
      <c r="Q1919" s="705">
        <v>0</v>
      </c>
      <c r="R1919" s="705">
        <v>13306</v>
      </c>
      <c r="S1919" s="705">
        <v>4928</v>
      </c>
      <c r="T1919" s="705">
        <v>0</v>
      </c>
      <c r="U1919" s="705">
        <v>0</v>
      </c>
      <c r="V1919" s="705">
        <v>65586</v>
      </c>
      <c r="W1919" s="705">
        <f t="shared" si="82"/>
        <v>65586</v>
      </c>
      <c r="X1919" s="705">
        <f t="shared" si="83"/>
        <v>85871</v>
      </c>
    </row>
    <row r="1920" spans="2:24">
      <c r="B1920" t="s">
        <v>547</v>
      </c>
      <c r="C1920" t="s">
        <v>120</v>
      </c>
      <c r="D1920" t="s">
        <v>665</v>
      </c>
      <c r="E1920" t="s">
        <v>665</v>
      </c>
      <c r="F1920" s="705">
        <v>52</v>
      </c>
      <c r="G1920" s="705">
        <v>5754</v>
      </c>
      <c r="H1920" s="705">
        <v>18146</v>
      </c>
      <c r="I1920" s="705">
        <v>1243933</v>
      </c>
      <c r="J1920" s="705">
        <v>1130848</v>
      </c>
      <c r="K1920" s="705">
        <v>55</v>
      </c>
      <c r="L1920" s="705">
        <v>171307</v>
      </c>
      <c r="M1920" s="705">
        <v>151188</v>
      </c>
      <c r="N1920" s="705">
        <v>113754</v>
      </c>
      <c r="O1920" s="705">
        <v>42131</v>
      </c>
      <c r="P1920" s="705">
        <v>25542</v>
      </c>
      <c r="Q1920" s="705">
        <v>9460</v>
      </c>
      <c r="R1920" s="705">
        <v>319768</v>
      </c>
      <c r="S1920" s="705">
        <v>290698</v>
      </c>
      <c r="T1920" s="705">
        <v>124903</v>
      </c>
      <c r="U1920" s="705">
        <v>46260</v>
      </c>
      <c r="V1920" s="705">
        <v>1670586</v>
      </c>
      <c r="W1920" s="705">
        <f t="shared" si="82"/>
        <v>1670585</v>
      </c>
      <c r="X1920" s="705">
        <f t="shared" si="83"/>
        <v>1999207</v>
      </c>
    </row>
    <row r="1921" spans="2:24">
      <c r="B1921" t="s">
        <v>547</v>
      </c>
      <c r="C1921" t="s">
        <v>120</v>
      </c>
      <c r="D1921" t="s">
        <v>673</v>
      </c>
      <c r="E1921" t="s">
        <v>673</v>
      </c>
      <c r="F1921" s="705">
        <v>2</v>
      </c>
      <c r="G1921" s="705">
        <v>143</v>
      </c>
      <c r="H1921" s="705">
        <v>674</v>
      </c>
      <c r="I1921" s="705">
        <v>29702</v>
      </c>
      <c r="J1921" s="705">
        <v>27002</v>
      </c>
      <c r="K1921" s="705">
        <v>60</v>
      </c>
      <c r="L1921" s="705">
        <v>4326</v>
      </c>
      <c r="M1921" s="705">
        <v>3932</v>
      </c>
      <c r="N1921" s="705">
        <v>2245</v>
      </c>
      <c r="O1921" s="705">
        <v>831</v>
      </c>
      <c r="P1921" s="705">
        <v>702</v>
      </c>
      <c r="Q1921" s="705">
        <v>260</v>
      </c>
      <c r="R1921" s="705">
        <v>9884</v>
      </c>
      <c r="S1921" s="705">
        <v>8985</v>
      </c>
      <c r="T1921" s="705">
        <v>2154</v>
      </c>
      <c r="U1921" s="705">
        <v>798</v>
      </c>
      <c r="V1921" s="705">
        <v>41809</v>
      </c>
      <c r="W1921" s="705">
        <f t="shared" si="82"/>
        <v>41808</v>
      </c>
      <c r="X1921" s="705">
        <f t="shared" si="83"/>
        <v>49013</v>
      </c>
    </row>
    <row r="1922" spans="2:24">
      <c r="B1922" t="s">
        <v>547</v>
      </c>
      <c r="C1922" t="s">
        <v>120</v>
      </c>
      <c r="D1922" t="s">
        <v>585</v>
      </c>
      <c r="E1922" t="s">
        <v>585</v>
      </c>
      <c r="F1922" s="705">
        <v>2</v>
      </c>
      <c r="G1922" s="705">
        <v>162</v>
      </c>
      <c r="H1922" s="705">
        <v>730</v>
      </c>
      <c r="I1922" s="705">
        <v>37029</v>
      </c>
      <c r="J1922" s="705">
        <v>33663</v>
      </c>
      <c r="K1922" s="705">
        <v>65</v>
      </c>
      <c r="L1922" s="705">
        <v>6959</v>
      </c>
      <c r="M1922" s="705">
        <v>6327</v>
      </c>
      <c r="N1922" s="705">
        <v>2382</v>
      </c>
      <c r="O1922" s="705">
        <v>882</v>
      </c>
      <c r="P1922" s="705">
        <v>702</v>
      </c>
      <c r="Q1922" s="705">
        <v>260</v>
      </c>
      <c r="R1922" s="705">
        <v>9435</v>
      </c>
      <c r="S1922" s="705">
        <v>8577</v>
      </c>
      <c r="T1922" s="705">
        <v>2397</v>
      </c>
      <c r="U1922" s="705">
        <v>888</v>
      </c>
      <c r="V1922" s="705">
        <v>50597</v>
      </c>
      <c r="W1922" s="705">
        <f t="shared" si="82"/>
        <v>50597</v>
      </c>
      <c r="X1922" s="705">
        <f t="shared" si="83"/>
        <v>58904</v>
      </c>
    </row>
    <row r="1923" spans="2:24">
      <c r="B1923" t="s">
        <v>547</v>
      </c>
      <c r="C1923" t="s">
        <v>122</v>
      </c>
      <c r="D1923" t="s">
        <v>582</v>
      </c>
      <c r="E1923" t="s">
        <v>582</v>
      </c>
      <c r="F1923" s="705">
        <v>3</v>
      </c>
      <c r="G1923" s="705">
        <v>288</v>
      </c>
      <c r="H1923" s="705">
        <v>1184</v>
      </c>
      <c r="I1923" s="705">
        <v>76629</v>
      </c>
      <c r="J1923" s="705">
        <v>69663</v>
      </c>
      <c r="K1923" s="705">
        <v>73</v>
      </c>
      <c r="L1923" s="705">
        <v>12806</v>
      </c>
      <c r="M1923" s="705">
        <v>11642</v>
      </c>
      <c r="N1923" s="705">
        <v>6209</v>
      </c>
      <c r="O1923" s="705">
        <v>2300</v>
      </c>
      <c r="P1923" s="705">
        <v>1647</v>
      </c>
      <c r="Q1923" s="705">
        <v>610</v>
      </c>
      <c r="R1923" s="705">
        <v>11470</v>
      </c>
      <c r="S1923" s="705">
        <v>10427</v>
      </c>
      <c r="T1923" s="705">
        <v>4699</v>
      </c>
      <c r="U1923" s="705">
        <v>1740</v>
      </c>
      <c r="V1923" s="705">
        <v>96382</v>
      </c>
      <c r="W1923" s="705">
        <f t="shared" si="82"/>
        <v>96382</v>
      </c>
      <c r="X1923" s="705">
        <f t="shared" si="83"/>
        <v>113460</v>
      </c>
    </row>
    <row r="1924" spans="2:24">
      <c r="B1924" t="s">
        <v>547</v>
      </c>
      <c r="C1924" t="s">
        <v>122</v>
      </c>
      <c r="D1924" t="s">
        <v>228</v>
      </c>
      <c r="E1924" t="s">
        <v>228</v>
      </c>
      <c r="F1924" s="705">
        <v>13</v>
      </c>
      <c r="G1924" s="705">
        <v>825</v>
      </c>
      <c r="H1924" s="705">
        <v>5240</v>
      </c>
      <c r="I1924" s="705">
        <v>207328</v>
      </c>
      <c r="J1924" s="705">
        <v>76788</v>
      </c>
      <c r="K1924" s="705">
        <v>100</v>
      </c>
      <c r="L1924" s="705">
        <v>35040</v>
      </c>
      <c r="M1924" s="705">
        <v>30338</v>
      </c>
      <c r="N1924" s="705">
        <v>14354</v>
      </c>
      <c r="O1924" s="705">
        <v>5316</v>
      </c>
      <c r="P1924" s="705">
        <v>0</v>
      </c>
      <c r="Q1924" s="705">
        <v>0</v>
      </c>
      <c r="R1924" s="705">
        <v>77796</v>
      </c>
      <c r="S1924" s="705">
        <v>28813</v>
      </c>
      <c r="T1924" s="705">
        <v>0</v>
      </c>
      <c r="U1924" s="705">
        <v>0</v>
      </c>
      <c r="V1924" s="705">
        <v>141256</v>
      </c>
      <c r="W1924" s="705">
        <f t="shared" si="82"/>
        <v>141255</v>
      </c>
      <c r="X1924" s="705">
        <f t="shared" si="83"/>
        <v>334518</v>
      </c>
    </row>
    <row r="1925" spans="2:24">
      <c r="B1925" t="s">
        <v>547</v>
      </c>
      <c r="C1925" t="s">
        <v>122</v>
      </c>
      <c r="D1925" t="s">
        <v>228</v>
      </c>
      <c r="E1925" t="s">
        <v>665</v>
      </c>
      <c r="F1925" s="705">
        <v>1</v>
      </c>
      <c r="G1925" s="705">
        <v>66</v>
      </c>
      <c r="H1925" s="705">
        <v>417</v>
      </c>
      <c r="I1925" s="705">
        <v>16783</v>
      </c>
      <c r="J1925" s="705">
        <v>6216</v>
      </c>
      <c r="K1925" s="705">
        <v>100</v>
      </c>
      <c r="L1925" s="705">
        <v>1688</v>
      </c>
      <c r="M1925" s="705">
        <v>1535</v>
      </c>
      <c r="N1925" s="705">
        <v>1063</v>
      </c>
      <c r="O1925" s="705">
        <v>394</v>
      </c>
      <c r="P1925" s="705">
        <v>473</v>
      </c>
      <c r="Q1925" s="705">
        <v>175</v>
      </c>
      <c r="R1925" s="705">
        <v>5454</v>
      </c>
      <c r="S1925" s="705">
        <v>4958</v>
      </c>
      <c r="T1925" s="705">
        <v>1880</v>
      </c>
      <c r="U1925" s="705">
        <v>696</v>
      </c>
      <c r="V1925" s="705">
        <v>13974</v>
      </c>
      <c r="W1925" s="705">
        <f t="shared" si="82"/>
        <v>13974</v>
      </c>
      <c r="X1925" s="705">
        <f t="shared" si="83"/>
        <v>27341</v>
      </c>
    </row>
    <row r="1926" spans="2:24">
      <c r="B1926" t="s">
        <v>547</v>
      </c>
      <c r="C1926" t="s">
        <v>122</v>
      </c>
      <c r="D1926" t="s">
        <v>583</v>
      </c>
      <c r="E1926" t="s">
        <v>228</v>
      </c>
      <c r="F1926" s="705">
        <v>3</v>
      </c>
      <c r="G1926" s="705">
        <v>370</v>
      </c>
      <c r="H1926" s="705">
        <v>1312</v>
      </c>
      <c r="I1926" s="705">
        <v>120066</v>
      </c>
      <c r="J1926" s="705">
        <v>109151</v>
      </c>
      <c r="K1926" s="705">
        <v>73</v>
      </c>
      <c r="L1926" s="705">
        <v>11825</v>
      </c>
      <c r="M1926" s="705">
        <v>17148</v>
      </c>
      <c r="N1926" s="705">
        <v>7763</v>
      </c>
      <c r="O1926" s="705">
        <v>2875</v>
      </c>
      <c r="P1926" s="705">
        <v>1863</v>
      </c>
      <c r="Q1926" s="705">
        <v>690</v>
      </c>
      <c r="R1926" s="705">
        <v>20687</v>
      </c>
      <c r="S1926" s="705">
        <v>7662</v>
      </c>
      <c r="T1926" s="705">
        <v>0</v>
      </c>
      <c r="U1926" s="705">
        <v>0</v>
      </c>
      <c r="V1926" s="705">
        <v>137526</v>
      </c>
      <c r="W1926" s="705">
        <f t="shared" si="82"/>
        <v>137526</v>
      </c>
      <c r="X1926" s="705">
        <f t="shared" si="83"/>
        <v>162204</v>
      </c>
    </row>
    <row r="1927" spans="2:24">
      <c r="B1927" t="s">
        <v>547</v>
      </c>
      <c r="C1927" t="s">
        <v>122</v>
      </c>
      <c r="D1927" t="s">
        <v>583</v>
      </c>
      <c r="E1927" t="s">
        <v>583</v>
      </c>
      <c r="F1927" s="705">
        <v>150</v>
      </c>
      <c r="G1927" s="705">
        <v>16956</v>
      </c>
      <c r="H1927" s="705">
        <v>62144</v>
      </c>
      <c r="I1927" s="705">
        <v>4659951</v>
      </c>
      <c r="J1927" s="705">
        <v>4236319</v>
      </c>
      <c r="K1927" s="705">
        <v>77</v>
      </c>
      <c r="L1927" s="705">
        <v>857966</v>
      </c>
      <c r="M1927" s="705">
        <v>768502</v>
      </c>
      <c r="N1927" s="705">
        <v>347235</v>
      </c>
      <c r="O1927" s="705">
        <v>128605</v>
      </c>
      <c r="P1927" s="705">
        <v>98537</v>
      </c>
      <c r="Q1927" s="705">
        <v>36495</v>
      </c>
      <c r="R1927" s="705">
        <v>707920</v>
      </c>
      <c r="S1927" s="705">
        <v>643564</v>
      </c>
      <c r="T1927" s="705">
        <v>340210</v>
      </c>
      <c r="U1927" s="705">
        <v>126004</v>
      </c>
      <c r="V1927" s="705">
        <v>5939488</v>
      </c>
      <c r="W1927" s="705">
        <f t="shared" si="82"/>
        <v>5939489</v>
      </c>
      <c r="X1927" s="705">
        <f t="shared" si="83"/>
        <v>7011819</v>
      </c>
    </row>
    <row r="1928" spans="2:24">
      <c r="B1928" t="s">
        <v>547</v>
      </c>
      <c r="C1928" t="s">
        <v>122</v>
      </c>
      <c r="D1928" t="s">
        <v>666</v>
      </c>
      <c r="E1928" t="s">
        <v>666</v>
      </c>
      <c r="F1928" s="705">
        <v>1</v>
      </c>
      <c r="G1928" s="705">
        <v>109</v>
      </c>
      <c r="H1928" s="705">
        <v>391</v>
      </c>
      <c r="I1928" s="705">
        <v>32409</v>
      </c>
      <c r="J1928" s="705">
        <v>29463</v>
      </c>
      <c r="K1928" s="705">
        <v>65</v>
      </c>
      <c r="L1928" s="705">
        <v>5201</v>
      </c>
      <c r="M1928" s="705">
        <v>4729</v>
      </c>
      <c r="N1928" s="705">
        <v>2412</v>
      </c>
      <c r="O1928" s="705">
        <v>893</v>
      </c>
      <c r="P1928" s="705">
        <v>702</v>
      </c>
      <c r="Q1928" s="705">
        <v>260</v>
      </c>
      <c r="R1928" s="705">
        <v>4232</v>
      </c>
      <c r="S1928" s="705">
        <v>3847</v>
      </c>
      <c r="T1928" s="705">
        <v>2238</v>
      </c>
      <c r="U1928" s="705">
        <v>829</v>
      </c>
      <c r="V1928" s="705">
        <v>40020</v>
      </c>
      <c r="W1928" s="705">
        <f t="shared" si="82"/>
        <v>40021</v>
      </c>
      <c r="X1928" s="705">
        <f t="shared" si="83"/>
        <v>47194</v>
      </c>
    </row>
    <row r="1929" spans="2:24">
      <c r="B1929" t="s">
        <v>547</v>
      </c>
      <c r="C1929" t="s">
        <v>122</v>
      </c>
      <c r="D1929" t="s">
        <v>667</v>
      </c>
      <c r="E1929" t="s">
        <v>667</v>
      </c>
      <c r="F1929" s="705">
        <v>2</v>
      </c>
      <c r="G1929" s="705">
        <v>300</v>
      </c>
      <c r="H1929" s="705">
        <v>840</v>
      </c>
      <c r="I1929" s="705">
        <v>92942</v>
      </c>
      <c r="J1929" s="705">
        <v>84493</v>
      </c>
      <c r="K1929" s="705">
        <v>65</v>
      </c>
      <c r="L1929" s="705">
        <v>10327</v>
      </c>
      <c r="M1929" s="705">
        <v>9388</v>
      </c>
      <c r="N1929" s="705">
        <v>6404</v>
      </c>
      <c r="O1929" s="705">
        <v>2372</v>
      </c>
      <c r="P1929" s="705">
        <v>1242</v>
      </c>
      <c r="Q1929" s="705">
        <v>460</v>
      </c>
      <c r="R1929" s="705">
        <v>12399</v>
      </c>
      <c r="S1929" s="705">
        <v>11272</v>
      </c>
      <c r="T1929" s="705">
        <v>2662</v>
      </c>
      <c r="U1929" s="705">
        <v>986</v>
      </c>
      <c r="V1929" s="705">
        <v>108971</v>
      </c>
      <c r="W1929" s="705">
        <f t="shared" si="82"/>
        <v>108971</v>
      </c>
      <c r="X1929" s="705">
        <f t="shared" si="83"/>
        <v>125976</v>
      </c>
    </row>
    <row r="1930" spans="2:24">
      <c r="B1930" t="s">
        <v>547</v>
      </c>
      <c r="C1930" t="s">
        <v>122</v>
      </c>
      <c r="D1930" t="s">
        <v>671</v>
      </c>
      <c r="E1930" t="s">
        <v>228</v>
      </c>
      <c r="F1930" s="705">
        <v>1</v>
      </c>
      <c r="G1930" s="705">
        <v>122</v>
      </c>
      <c r="H1930" s="705">
        <v>399</v>
      </c>
      <c r="I1930" s="705">
        <v>39886</v>
      </c>
      <c r="J1930" s="705">
        <v>36260</v>
      </c>
      <c r="K1930" s="705">
        <v>30</v>
      </c>
      <c r="L1930" s="705">
        <v>0</v>
      </c>
      <c r="M1930" s="705">
        <v>0</v>
      </c>
      <c r="N1930" s="705">
        <v>2975</v>
      </c>
      <c r="O1930" s="705">
        <v>1102</v>
      </c>
      <c r="P1930" s="705">
        <v>0</v>
      </c>
      <c r="Q1930" s="705">
        <v>0</v>
      </c>
      <c r="R1930" s="705">
        <v>5808</v>
      </c>
      <c r="S1930" s="705">
        <v>2151</v>
      </c>
      <c r="T1930" s="705">
        <v>0</v>
      </c>
      <c r="U1930" s="705">
        <v>0</v>
      </c>
      <c r="V1930" s="705">
        <v>39513</v>
      </c>
      <c r="W1930" s="705">
        <f t="shared" si="82"/>
        <v>39513</v>
      </c>
      <c r="X1930" s="705">
        <f t="shared" si="83"/>
        <v>48669</v>
      </c>
    </row>
    <row r="1931" spans="2:24">
      <c r="B1931" t="s">
        <v>547</v>
      </c>
      <c r="C1931" t="s">
        <v>122</v>
      </c>
      <c r="D1931" t="s">
        <v>671</v>
      </c>
      <c r="E1931" t="s">
        <v>671</v>
      </c>
      <c r="F1931" s="705">
        <v>2</v>
      </c>
      <c r="G1931" s="705">
        <v>158</v>
      </c>
      <c r="H1931" s="705">
        <v>877</v>
      </c>
      <c r="I1931" s="705">
        <v>46709</v>
      </c>
      <c r="J1931" s="705">
        <v>42463</v>
      </c>
      <c r="K1931" s="705">
        <v>55</v>
      </c>
      <c r="L1931" s="705">
        <v>4679</v>
      </c>
      <c r="M1931" s="705">
        <v>4253</v>
      </c>
      <c r="N1931" s="705">
        <v>2838</v>
      </c>
      <c r="O1931" s="705">
        <v>1051</v>
      </c>
      <c r="P1931" s="705">
        <v>702</v>
      </c>
      <c r="Q1931" s="705">
        <v>260</v>
      </c>
      <c r="R1931" s="705">
        <v>9702</v>
      </c>
      <c r="S1931" s="705">
        <v>8820</v>
      </c>
      <c r="T1931" s="705">
        <v>4610</v>
      </c>
      <c r="U1931" s="705">
        <v>1708</v>
      </c>
      <c r="V1931" s="705">
        <v>58555</v>
      </c>
      <c r="W1931" s="705">
        <f t="shared" si="82"/>
        <v>58555</v>
      </c>
      <c r="X1931" s="705">
        <f t="shared" si="83"/>
        <v>69240</v>
      </c>
    </row>
    <row r="1932" spans="2:24">
      <c r="B1932" t="s">
        <v>547</v>
      </c>
      <c r="C1932" t="s">
        <v>122</v>
      </c>
      <c r="D1932" t="s">
        <v>665</v>
      </c>
      <c r="E1932" t="s">
        <v>228</v>
      </c>
      <c r="F1932" s="705">
        <v>1</v>
      </c>
      <c r="G1932" s="705">
        <v>113</v>
      </c>
      <c r="H1932" s="705">
        <v>447</v>
      </c>
      <c r="I1932" s="705">
        <v>34574</v>
      </c>
      <c r="J1932" s="705">
        <v>31431</v>
      </c>
      <c r="K1932" s="705">
        <v>60</v>
      </c>
      <c r="L1932" s="705">
        <v>5658</v>
      </c>
      <c r="M1932" s="705">
        <v>2095</v>
      </c>
      <c r="N1932" s="705">
        <v>1983</v>
      </c>
      <c r="O1932" s="705">
        <v>734</v>
      </c>
      <c r="P1932" s="705">
        <v>0</v>
      </c>
      <c r="Q1932" s="705">
        <v>0</v>
      </c>
      <c r="R1932" s="705">
        <v>8255</v>
      </c>
      <c r="S1932" s="705">
        <v>3057</v>
      </c>
      <c r="T1932" s="705">
        <v>0</v>
      </c>
      <c r="U1932" s="705">
        <v>0</v>
      </c>
      <c r="V1932" s="705">
        <v>37318</v>
      </c>
      <c r="W1932" s="705">
        <f t="shared" si="82"/>
        <v>37317</v>
      </c>
      <c r="X1932" s="705">
        <f t="shared" si="83"/>
        <v>50470</v>
      </c>
    </row>
    <row r="1933" spans="2:24">
      <c r="B1933" t="s">
        <v>547</v>
      </c>
      <c r="C1933" t="s">
        <v>122</v>
      </c>
      <c r="D1933" t="s">
        <v>665</v>
      </c>
      <c r="E1933" t="s">
        <v>665</v>
      </c>
      <c r="F1933" s="705">
        <v>102</v>
      </c>
      <c r="G1933" s="705">
        <v>9295</v>
      </c>
      <c r="H1933" s="705">
        <v>42696</v>
      </c>
      <c r="I1933" s="705">
        <v>2418841</v>
      </c>
      <c r="J1933" s="705">
        <v>2198947</v>
      </c>
      <c r="K1933" s="705">
        <v>48</v>
      </c>
      <c r="L1933" s="705">
        <v>371309</v>
      </c>
      <c r="M1933" s="705">
        <v>337879</v>
      </c>
      <c r="N1933" s="705">
        <v>195505</v>
      </c>
      <c r="O1933" s="705">
        <v>72409</v>
      </c>
      <c r="P1933" s="705">
        <v>38826</v>
      </c>
      <c r="Q1933" s="705">
        <v>14380</v>
      </c>
      <c r="R1933" s="705">
        <v>629410</v>
      </c>
      <c r="S1933" s="705">
        <v>572191</v>
      </c>
      <c r="T1933" s="705">
        <v>237292</v>
      </c>
      <c r="U1933" s="705">
        <v>87886</v>
      </c>
      <c r="V1933" s="705">
        <v>3283692</v>
      </c>
      <c r="W1933" s="705">
        <f t="shared" si="82"/>
        <v>3283692</v>
      </c>
      <c r="X1933" s="705">
        <f t="shared" si="83"/>
        <v>3891183</v>
      </c>
    </row>
    <row r="1934" spans="2:24">
      <c r="B1934" t="s">
        <v>547</v>
      </c>
      <c r="C1934" t="s">
        <v>122</v>
      </c>
      <c r="D1934" t="s">
        <v>673</v>
      </c>
      <c r="E1934" t="s">
        <v>673</v>
      </c>
      <c r="F1934" s="705">
        <v>1</v>
      </c>
      <c r="G1934" s="705">
        <v>86</v>
      </c>
      <c r="H1934" s="705">
        <v>416</v>
      </c>
      <c r="I1934" s="705">
        <v>22430</v>
      </c>
      <c r="J1934" s="705">
        <v>20391</v>
      </c>
      <c r="K1934" s="705">
        <v>45</v>
      </c>
      <c r="L1934" s="705">
        <v>3738</v>
      </c>
      <c r="M1934" s="705">
        <v>3398</v>
      </c>
      <c r="N1934" s="705">
        <v>1831</v>
      </c>
      <c r="O1934" s="705">
        <v>678</v>
      </c>
      <c r="P1934" s="705">
        <v>351</v>
      </c>
      <c r="Q1934" s="705">
        <v>130</v>
      </c>
      <c r="R1934" s="705">
        <v>5124</v>
      </c>
      <c r="S1934" s="705">
        <v>4658</v>
      </c>
      <c r="T1934" s="705">
        <v>2244</v>
      </c>
      <c r="U1934" s="705">
        <v>831</v>
      </c>
      <c r="V1934" s="705">
        <v>30087</v>
      </c>
      <c r="W1934" s="705">
        <f t="shared" si="82"/>
        <v>30086</v>
      </c>
      <c r="X1934" s="705">
        <f t="shared" si="83"/>
        <v>35718</v>
      </c>
    </row>
    <row r="1935" spans="2:24">
      <c r="B1935" t="s">
        <v>547</v>
      </c>
      <c r="C1935" t="s">
        <v>122</v>
      </c>
      <c r="D1935" t="s">
        <v>668</v>
      </c>
      <c r="E1935" t="s">
        <v>668</v>
      </c>
      <c r="F1935" s="705">
        <v>1</v>
      </c>
      <c r="G1935" s="705">
        <v>93</v>
      </c>
      <c r="H1935" s="705">
        <v>387</v>
      </c>
      <c r="I1935" s="705">
        <v>22282</v>
      </c>
      <c r="J1935" s="705">
        <v>20257</v>
      </c>
      <c r="K1935" s="705">
        <v>85</v>
      </c>
      <c r="L1935" s="705">
        <v>6974</v>
      </c>
      <c r="M1935" s="705">
        <v>6340</v>
      </c>
      <c r="N1935" s="705">
        <v>2273</v>
      </c>
      <c r="O1935" s="705">
        <v>842</v>
      </c>
      <c r="P1935" s="705">
        <v>351</v>
      </c>
      <c r="Q1935" s="705">
        <v>130</v>
      </c>
      <c r="R1935" s="705">
        <v>4214</v>
      </c>
      <c r="S1935" s="705">
        <v>3831</v>
      </c>
      <c r="T1935" s="705">
        <v>0</v>
      </c>
      <c r="U1935" s="705">
        <v>0</v>
      </c>
      <c r="V1935" s="705">
        <v>31399</v>
      </c>
      <c r="W1935" s="705">
        <f t="shared" si="82"/>
        <v>31400</v>
      </c>
      <c r="X1935" s="705">
        <f t="shared" si="83"/>
        <v>36094</v>
      </c>
    </row>
    <row r="1936" spans="2:24">
      <c r="B1936" t="s">
        <v>547</v>
      </c>
      <c r="C1936" t="s">
        <v>124</v>
      </c>
      <c r="D1936" t="s">
        <v>664</v>
      </c>
      <c r="E1936" t="s">
        <v>664</v>
      </c>
      <c r="F1936" s="705">
        <v>1</v>
      </c>
      <c r="G1936" s="705">
        <v>191</v>
      </c>
      <c r="H1936" s="705">
        <v>539</v>
      </c>
      <c r="I1936" s="705">
        <v>74978</v>
      </c>
      <c r="J1936" s="705">
        <v>68162</v>
      </c>
      <c r="K1936" s="705">
        <v>65</v>
      </c>
      <c r="L1936" s="705">
        <v>11441</v>
      </c>
      <c r="M1936" s="705">
        <v>10401</v>
      </c>
      <c r="N1936" s="705">
        <v>4645</v>
      </c>
      <c r="O1936" s="705">
        <v>1721</v>
      </c>
      <c r="P1936" s="705">
        <v>473</v>
      </c>
      <c r="Q1936" s="705">
        <v>175</v>
      </c>
      <c r="R1936" s="705">
        <v>7013</v>
      </c>
      <c r="S1936" s="705">
        <v>6376</v>
      </c>
      <c r="T1936" s="705">
        <v>4148</v>
      </c>
      <c r="U1936" s="705">
        <v>1536</v>
      </c>
      <c r="V1936" s="705">
        <v>88370</v>
      </c>
      <c r="W1936" s="705">
        <f t="shared" si="82"/>
        <v>88371</v>
      </c>
      <c r="X1936" s="705">
        <f t="shared" si="83"/>
        <v>102698</v>
      </c>
    </row>
    <row r="1937" spans="2:24">
      <c r="B1937" t="s">
        <v>547</v>
      </c>
      <c r="C1937" t="s">
        <v>124</v>
      </c>
      <c r="D1937" t="s">
        <v>582</v>
      </c>
      <c r="E1937" t="s">
        <v>582</v>
      </c>
      <c r="F1937" s="705">
        <v>1</v>
      </c>
      <c r="G1937" s="705">
        <v>77</v>
      </c>
      <c r="H1937" s="705">
        <v>508</v>
      </c>
      <c r="I1937" s="705">
        <v>26961</v>
      </c>
      <c r="J1937" s="705">
        <v>24510</v>
      </c>
      <c r="K1937" s="705">
        <v>90</v>
      </c>
      <c r="L1937" s="705">
        <v>5712</v>
      </c>
      <c r="M1937" s="705">
        <v>5193</v>
      </c>
      <c r="N1937" s="705">
        <v>1045</v>
      </c>
      <c r="O1937" s="705">
        <v>387</v>
      </c>
      <c r="P1937" s="705">
        <v>824</v>
      </c>
      <c r="Q1937" s="705">
        <v>305</v>
      </c>
      <c r="R1937" s="705">
        <v>2662</v>
      </c>
      <c r="S1937" s="705">
        <v>2420</v>
      </c>
      <c r="T1937" s="705">
        <v>1674</v>
      </c>
      <c r="U1937" s="705">
        <v>620</v>
      </c>
      <c r="V1937" s="705">
        <v>33435</v>
      </c>
      <c r="W1937" s="705">
        <f t="shared" si="82"/>
        <v>33435</v>
      </c>
      <c r="X1937" s="705">
        <f t="shared" si="83"/>
        <v>38878</v>
      </c>
    </row>
    <row r="1938" spans="2:24">
      <c r="B1938" t="s">
        <v>547</v>
      </c>
      <c r="C1938" t="s">
        <v>124</v>
      </c>
      <c r="D1938" t="s">
        <v>228</v>
      </c>
      <c r="E1938" t="s">
        <v>228</v>
      </c>
      <c r="F1938" s="705">
        <v>49</v>
      </c>
      <c r="G1938" s="705">
        <v>4649</v>
      </c>
      <c r="H1938" s="705">
        <v>35914</v>
      </c>
      <c r="I1938" s="705">
        <v>2506434</v>
      </c>
      <c r="J1938" s="705">
        <v>928309</v>
      </c>
      <c r="K1938" s="705">
        <v>100</v>
      </c>
      <c r="L1938" s="705">
        <v>334536</v>
      </c>
      <c r="M1938" s="705">
        <v>289924</v>
      </c>
      <c r="N1938" s="705">
        <v>99917</v>
      </c>
      <c r="O1938" s="705">
        <v>37006</v>
      </c>
      <c r="P1938" s="705">
        <v>0</v>
      </c>
      <c r="Q1938" s="705">
        <v>0</v>
      </c>
      <c r="R1938" s="705">
        <v>308987</v>
      </c>
      <c r="S1938" s="705">
        <v>114440</v>
      </c>
      <c r="T1938" s="705">
        <v>0</v>
      </c>
      <c r="U1938" s="705">
        <v>0</v>
      </c>
      <c r="V1938" s="705">
        <v>1369679</v>
      </c>
      <c r="W1938" s="705">
        <f t="shared" si="82"/>
        <v>1369679</v>
      </c>
      <c r="X1938" s="705">
        <f t="shared" si="83"/>
        <v>3249874</v>
      </c>
    </row>
    <row r="1939" spans="2:24">
      <c r="B1939" t="s">
        <v>547</v>
      </c>
      <c r="C1939" t="s">
        <v>124</v>
      </c>
      <c r="D1939" t="s">
        <v>228</v>
      </c>
      <c r="E1939" t="s">
        <v>665</v>
      </c>
      <c r="F1939" s="705">
        <v>16</v>
      </c>
      <c r="G1939" s="705">
        <v>1551</v>
      </c>
      <c r="H1939" s="705">
        <v>11942</v>
      </c>
      <c r="I1939" s="705">
        <v>872275</v>
      </c>
      <c r="J1939" s="705">
        <v>323065</v>
      </c>
      <c r="K1939" s="705">
        <v>100</v>
      </c>
      <c r="L1939" s="705">
        <v>92128</v>
      </c>
      <c r="M1939" s="705">
        <v>83753</v>
      </c>
      <c r="N1939" s="705">
        <v>35049</v>
      </c>
      <c r="O1939" s="705">
        <v>12981</v>
      </c>
      <c r="P1939" s="705">
        <v>351</v>
      </c>
      <c r="Q1939" s="705">
        <v>130</v>
      </c>
      <c r="R1939" s="705">
        <v>92486</v>
      </c>
      <c r="S1939" s="705">
        <v>84078</v>
      </c>
      <c r="T1939" s="705">
        <v>34621</v>
      </c>
      <c r="U1939" s="705">
        <v>12822</v>
      </c>
      <c r="V1939" s="705">
        <v>516829</v>
      </c>
      <c r="W1939" s="705">
        <f t="shared" si="82"/>
        <v>516829</v>
      </c>
      <c r="X1939" s="705">
        <f t="shared" si="83"/>
        <v>1126910</v>
      </c>
    </row>
    <row r="1940" spans="2:24">
      <c r="B1940" t="s">
        <v>547</v>
      </c>
      <c r="C1940" t="s">
        <v>124</v>
      </c>
      <c r="D1940" t="s">
        <v>583</v>
      </c>
      <c r="E1940" t="s">
        <v>228</v>
      </c>
      <c r="F1940" s="705">
        <v>4</v>
      </c>
      <c r="G1940" s="705">
        <v>320</v>
      </c>
      <c r="H1940" s="705">
        <v>2572</v>
      </c>
      <c r="I1940" s="705">
        <v>143328</v>
      </c>
      <c r="J1940" s="705">
        <v>130298</v>
      </c>
      <c r="K1940" s="705">
        <v>76</v>
      </c>
      <c r="L1940" s="705">
        <v>32882</v>
      </c>
      <c r="M1940" s="705">
        <v>29892</v>
      </c>
      <c r="N1940" s="705">
        <v>7056</v>
      </c>
      <c r="O1940" s="705">
        <v>2613</v>
      </c>
      <c r="P1940" s="705">
        <v>2484</v>
      </c>
      <c r="Q1940" s="705">
        <v>920</v>
      </c>
      <c r="R1940" s="705">
        <v>18378</v>
      </c>
      <c r="S1940" s="705">
        <v>6807</v>
      </c>
      <c r="T1940" s="705">
        <v>0</v>
      </c>
      <c r="U1940" s="705">
        <v>0</v>
      </c>
      <c r="V1940" s="705">
        <v>170531</v>
      </c>
      <c r="W1940" s="705">
        <f t="shared" si="82"/>
        <v>170530</v>
      </c>
      <c r="X1940" s="705">
        <f t="shared" si="83"/>
        <v>204128</v>
      </c>
    </row>
    <row r="1941" spans="2:24">
      <c r="B1941" t="s">
        <v>547</v>
      </c>
      <c r="C1941" t="s">
        <v>124</v>
      </c>
      <c r="D1941" t="s">
        <v>583</v>
      </c>
      <c r="E1941" t="s">
        <v>583</v>
      </c>
      <c r="F1941" s="705">
        <v>164</v>
      </c>
      <c r="G1941" s="705">
        <v>16134</v>
      </c>
      <c r="H1941" s="705">
        <v>90930</v>
      </c>
      <c r="I1941" s="705">
        <v>6073125</v>
      </c>
      <c r="J1941" s="705">
        <v>5521023</v>
      </c>
      <c r="K1941" s="705">
        <v>72</v>
      </c>
      <c r="L1941" s="705">
        <v>1146551</v>
      </c>
      <c r="M1941" s="705">
        <v>1026443</v>
      </c>
      <c r="N1941" s="705">
        <v>356804</v>
      </c>
      <c r="O1941" s="705">
        <v>132150</v>
      </c>
      <c r="P1941" s="705">
        <v>104301</v>
      </c>
      <c r="Q1941" s="705">
        <v>38630</v>
      </c>
      <c r="R1941" s="705">
        <v>779193</v>
      </c>
      <c r="S1941" s="705">
        <v>708358</v>
      </c>
      <c r="T1941" s="705">
        <v>387749</v>
      </c>
      <c r="U1941" s="705">
        <v>143611</v>
      </c>
      <c r="V1941" s="705">
        <v>7570214</v>
      </c>
      <c r="W1941" s="705">
        <f t="shared" si="82"/>
        <v>7570215</v>
      </c>
      <c r="X1941" s="705">
        <f t="shared" si="83"/>
        <v>8847723</v>
      </c>
    </row>
    <row r="1942" spans="2:24">
      <c r="B1942" t="s">
        <v>547</v>
      </c>
      <c r="C1942" t="s">
        <v>124</v>
      </c>
      <c r="D1942" t="s">
        <v>666</v>
      </c>
      <c r="E1942" t="s">
        <v>666</v>
      </c>
      <c r="F1942" s="705">
        <v>2</v>
      </c>
      <c r="G1942" s="705">
        <v>455</v>
      </c>
      <c r="H1942" s="705">
        <v>1727</v>
      </c>
      <c r="I1942" s="705">
        <v>338794</v>
      </c>
      <c r="J1942" s="705">
        <v>307995</v>
      </c>
      <c r="K1942" s="705">
        <v>48</v>
      </c>
      <c r="L1942" s="705">
        <v>36114</v>
      </c>
      <c r="M1942" s="705">
        <v>32831</v>
      </c>
      <c r="N1942" s="705">
        <v>10770</v>
      </c>
      <c r="O1942" s="705">
        <v>3989</v>
      </c>
      <c r="P1942" s="705">
        <v>351</v>
      </c>
      <c r="Q1942" s="705">
        <v>130</v>
      </c>
      <c r="R1942" s="705">
        <v>13089</v>
      </c>
      <c r="S1942" s="705">
        <v>11899</v>
      </c>
      <c r="T1942" s="705">
        <v>3527</v>
      </c>
      <c r="U1942" s="705">
        <v>1306</v>
      </c>
      <c r="V1942" s="705">
        <v>358150</v>
      </c>
      <c r="W1942" s="705">
        <f t="shared" si="82"/>
        <v>358150</v>
      </c>
      <c r="X1942" s="705">
        <f t="shared" si="83"/>
        <v>402645</v>
      </c>
    </row>
    <row r="1943" spans="2:24">
      <c r="B1943" t="s">
        <v>547</v>
      </c>
      <c r="C1943" t="s">
        <v>124</v>
      </c>
      <c r="D1943" t="s">
        <v>669</v>
      </c>
      <c r="E1943" t="s">
        <v>669</v>
      </c>
      <c r="F1943" s="705">
        <v>1</v>
      </c>
      <c r="G1943" s="705">
        <v>66</v>
      </c>
      <c r="H1943" s="705">
        <v>673</v>
      </c>
      <c r="I1943" s="705">
        <v>29232</v>
      </c>
      <c r="J1943" s="705">
        <v>24360</v>
      </c>
      <c r="K1943" s="705">
        <v>65</v>
      </c>
      <c r="L1943" s="705">
        <v>7037</v>
      </c>
      <c r="M1943" s="705">
        <v>5864</v>
      </c>
      <c r="N1943" s="705">
        <v>1205</v>
      </c>
      <c r="O1943" s="705">
        <v>446</v>
      </c>
      <c r="P1943" s="705">
        <v>351</v>
      </c>
      <c r="Q1943" s="705">
        <v>130</v>
      </c>
      <c r="R1943" s="705">
        <v>4434</v>
      </c>
      <c r="S1943" s="705">
        <v>3695</v>
      </c>
      <c r="T1943" s="705">
        <v>2107</v>
      </c>
      <c r="U1943" s="705">
        <v>780</v>
      </c>
      <c r="V1943" s="705">
        <v>35276</v>
      </c>
      <c r="W1943" s="705">
        <f t="shared" si="82"/>
        <v>35275</v>
      </c>
      <c r="X1943" s="705">
        <f t="shared" si="83"/>
        <v>44366</v>
      </c>
    </row>
    <row r="1944" spans="2:24">
      <c r="B1944" t="s">
        <v>547</v>
      </c>
      <c r="C1944" t="s">
        <v>124</v>
      </c>
      <c r="D1944" t="s">
        <v>667</v>
      </c>
      <c r="E1944" t="s">
        <v>667</v>
      </c>
      <c r="F1944" s="705">
        <v>1</v>
      </c>
      <c r="G1944" s="705">
        <v>108</v>
      </c>
      <c r="H1944" s="705">
        <v>512</v>
      </c>
      <c r="I1944" s="705">
        <v>37663</v>
      </c>
      <c r="J1944" s="705">
        <v>34239</v>
      </c>
      <c r="K1944" s="705">
        <v>45</v>
      </c>
      <c r="L1944" s="705">
        <v>6277</v>
      </c>
      <c r="M1944" s="705">
        <v>5706</v>
      </c>
      <c r="N1944" s="705">
        <v>1913</v>
      </c>
      <c r="O1944" s="705">
        <v>708</v>
      </c>
      <c r="P1944" s="705">
        <v>351</v>
      </c>
      <c r="Q1944" s="705">
        <v>130</v>
      </c>
      <c r="R1944" s="705">
        <v>6652</v>
      </c>
      <c r="S1944" s="705">
        <v>6047</v>
      </c>
      <c r="T1944" s="705">
        <v>2532</v>
      </c>
      <c r="U1944" s="705">
        <v>938</v>
      </c>
      <c r="V1944" s="705">
        <v>47768</v>
      </c>
      <c r="W1944" s="705">
        <f t="shared" si="82"/>
        <v>47768</v>
      </c>
      <c r="X1944" s="705">
        <f t="shared" si="83"/>
        <v>55388</v>
      </c>
    </row>
    <row r="1945" spans="2:24">
      <c r="B1945" t="s">
        <v>547</v>
      </c>
      <c r="C1945" t="s">
        <v>124</v>
      </c>
      <c r="D1945" t="s">
        <v>671</v>
      </c>
      <c r="E1945" t="s">
        <v>228</v>
      </c>
      <c r="F1945" s="705">
        <v>1</v>
      </c>
      <c r="G1945" s="705">
        <v>47</v>
      </c>
      <c r="H1945" s="705">
        <v>1755</v>
      </c>
      <c r="I1945" s="705">
        <v>70368</v>
      </c>
      <c r="J1945" s="705">
        <v>63971</v>
      </c>
      <c r="K1945" s="705">
        <v>30</v>
      </c>
      <c r="L1945" s="705">
        <v>7819</v>
      </c>
      <c r="M1945" s="705">
        <v>7108</v>
      </c>
      <c r="N1945" s="705">
        <v>1146</v>
      </c>
      <c r="O1945" s="705">
        <v>425</v>
      </c>
      <c r="P1945" s="705">
        <v>0</v>
      </c>
      <c r="Q1945" s="705">
        <v>0</v>
      </c>
      <c r="R1945" s="705">
        <v>3241</v>
      </c>
      <c r="S1945" s="705">
        <v>1200</v>
      </c>
      <c r="T1945" s="705">
        <v>0</v>
      </c>
      <c r="U1945" s="705">
        <v>0</v>
      </c>
      <c r="V1945" s="705">
        <v>72704</v>
      </c>
      <c r="W1945" s="705">
        <f t="shared" si="82"/>
        <v>72704</v>
      </c>
      <c r="X1945" s="705">
        <f t="shared" si="83"/>
        <v>82574</v>
      </c>
    </row>
    <row r="1946" spans="2:24">
      <c r="B1946" t="s">
        <v>547</v>
      </c>
      <c r="C1946" t="s">
        <v>124</v>
      </c>
      <c r="D1946" t="s">
        <v>671</v>
      </c>
      <c r="E1946" t="s">
        <v>671</v>
      </c>
      <c r="F1946" s="705">
        <v>12</v>
      </c>
      <c r="G1946" s="705">
        <v>1324</v>
      </c>
      <c r="H1946" s="705">
        <v>7391</v>
      </c>
      <c r="I1946" s="705">
        <v>623335</v>
      </c>
      <c r="J1946" s="705">
        <v>566668</v>
      </c>
      <c r="K1946" s="705">
        <v>47</v>
      </c>
      <c r="L1946" s="705">
        <v>72449</v>
      </c>
      <c r="M1946" s="705">
        <v>63284</v>
      </c>
      <c r="N1946" s="705">
        <v>28672</v>
      </c>
      <c r="O1946" s="705">
        <v>10619</v>
      </c>
      <c r="P1946" s="705">
        <v>4212</v>
      </c>
      <c r="Q1946" s="705">
        <v>1560</v>
      </c>
      <c r="R1946" s="705">
        <v>93574</v>
      </c>
      <c r="S1946" s="705">
        <v>85067</v>
      </c>
      <c r="T1946" s="705">
        <v>24342</v>
      </c>
      <c r="U1946" s="705">
        <v>9015</v>
      </c>
      <c r="V1946" s="705">
        <v>736214</v>
      </c>
      <c r="W1946" s="705">
        <f t="shared" si="82"/>
        <v>736213</v>
      </c>
      <c r="X1946" s="705">
        <f t="shared" si="83"/>
        <v>846584</v>
      </c>
    </row>
    <row r="1947" spans="2:24">
      <c r="B1947" t="s">
        <v>547</v>
      </c>
      <c r="C1947" t="s">
        <v>124</v>
      </c>
      <c r="D1947" t="s">
        <v>665</v>
      </c>
      <c r="E1947" t="s">
        <v>228</v>
      </c>
      <c r="F1947" s="705">
        <v>24</v>
      </c>
      <c r="G1947" s="705">
        <v>2077</v>
      </c>
      <c r="H1947" s="705">
        <v>26219</v>
      </c>
      <c r="I1947" s="705">
        <v>1755217</v>
      </c>
      <c r="J1947" s="705">
        <v>1595652</v>
      </c>
      <c r="K1947" s="705">
        <v>38</v>
      </c>
      <c r="L1947" s="705">
        <v>148987</v>
      </c>
      <c r="M1947" s="705">
        <v>90625</v>
      </c>
      <c r="N1947" s="705">
        <v>49303</v>
      </c>
      <c r="O1947" s="705">
        <v>18260</v>
      </c>
      <c r="P1947" s="705">
        <v>351</v>
      </c>
      <c r="Q1947" s="705">
        <v>130</v>
      </c>
      <c r="R1947" s="705">
        <v>136477</v>
      </c>
      <c r="S1947" s="705">
        <v>50547</v>
      </c>
      <c r="T1947" s="705">
        <v>0</v>
      </c>
      <c r="U1947" s="705">
        <v>0</v>
      </c>
      <c r="V1947" s="705">
        <v>1755214</v>
      </c>
      <c r="W1947" s="705">
        <f t="shared" si="82"/>
        <v>1755214</v>
      </c>
      <c r="X1947" s="705">
        <f t="shared" si="83"/>
        <v>2090335</v>
      </c>
    </row>
    <row r="1948" spans="2:24">
      <c r="B1948" t="s">
        <v>547</v>
      </c>
      <c r="C1948" t="s">
        <v>124</v>
      </c>
      <c r="D1948" t="s">
        <v>665</v>
      </c>
      <c r="E1948" t="s">
        <v>665</v>
      </c>
      <c r="F1948" s="705">
        <v>169</v>
      </c>
      <c r="G1948" s="705">
        <v>14929</v>
      </c>
      <c r="H1948" s="705">
        <v>114746</v>
      </c>
      <c r="I1948" s="705">
        <v>7345870</v>
      </c>
      <c r="J1948" s="705">
        <v>6678063</v>
      </c>
      <c r="K1948" s="705">
        <v>49</v>
      </c>
      <c r="L1948" s="705">
        <v>986474</v>
      </c>
      <c r="M1948" s="705">
        <v>855257</v>
      </c>
      <c r="N1948" s="705">
        <v>322855</v>
      </c>
      <c r="O1948" s="705">
        <v>119576</v>
      </c>
      <c r="P1948" s="705">
        <v>61664</v>
      </c>
      <c r="Q1948" s="705">
        <v>22839</v>
      </c>
      <c r="R1948" s="705">
        <v>1029060</v>
      </c>
      <c r="S1948" s="705">
        <v>935509</v>
      </c>
      <c r="T1948" s="705">
        <v>373124</v>
      </c>
      <c r="U1948" s="705">
        <v>138194</v>
      </c>
      <c r="V1948" s="705">
        <v>8749437</v>
      </c>
      <c r="W1948" s="705">
        <f t="shared" si="82"/>
        <v>8749438</v>
      </c>
      <c r="X1948" s="705">
        <f t="shared" si="83"/>
        <v>10119047</v>
      </c>
    </row>
    <row r="1949" spans="2:24">
      <c r="B1949" t="s">
        <v>547</v>
      </c>
      <c r="C1949" t="s">
        <v>124</v>
      </c>
      <c r="D1949" t="s">
        <v>673</v>
      </c>
      <c r="E1949" t="s">
        <v>673</v>
      </c>
      <c r="F1949" s="705">
        <v>1</v>
      </c>
      <c r="G1949" s="705">
        <v>166</v>
      </c>
      <c r="H1949" s="705">
        <v>460</v>
      </c>
      <c r="I1949" s="705">
        <v>53067</v>
      </c>
      <c r="J1949" s="705">
        <v>48242</v>
      </c>
      <c r="K1949" s="705">
        <v>45</v>
      </c>
      <c r="L1949" s="705">
        <v>8844</v>
      </c>
      <c r="M1949" s="705">
        <v>8040</v>
      </c>
      <c r="N1949" s="705">
        <v>3030</v>
      </c>
      <c r="O1949" s="705">
        <v>1122</v>
      </c>
      <c r="P1949" s="705">
        <v>351</v>
      </c>
      <c r="Q1949" s="705">
        <v>130</v>
      </c>
      <c r="R1949" s="705">
        <v>7859</v>
      </c>
      <c r="S1949" s="705">
        <v>7144</v>
      </c>
      <c r="T1949" s="705">
        <v>3188</v>
      </c>
      <c r="U1949" s="705">
        <v>1181</v>
      </c>
      <c r="V1949" s="705">
        <v>65860</v>
      </c>
      <c r="W1949" s="705">
        <f t="shared" si="82"/>
        <v>65859</v>
      </c>
      <c r="X1949" s="705">
        <f t="shared" si="83"/>
        <v>76339</v>
      </c>
    </row>
    <row r="1950" spans="2:24">
      <c r="B1950" t="s">
        <v>548</v>
      </c>
      <c r="C1950" t="s">
        <v>108</v>
      </c>
      <c r="F1950" s="705">
        <v>20</v>
      </c>
      <c r="G1950" s="705">
        <v>3107</v>
      </c>
      <c r="H1950" s="705">
        <v>1126</v>
      </c>
      <c r="I1950" s="705"/>
      <c r="J1950" s="705">
        <v>0</v>
      </c>
      <c r="K1950" s="705"/>
      <c r="L1950" s="705"/>
      <c r="M1950" s="705">
        <v>0</v>
      </c>
      <c r="N1950" s="705">
        <v>37849</v>
      </c>
      <c r="O1950" s="705">
        <v>14018</v>
      </c>
      <c r="P1950" s="705">
        <v>3510</v>
      </c>
      <c r="Q1950" s="705">
        <v>1300</v>
      </c>
      <c r="R1950" s="705"/>
      <c r="S1950" s="705">
        <v>0</v>
      </c>
      <c r="T1950" s="705">
        <v>0</v>
      </c>
      <c r="U1950" s="705">
        <v>0</v>
      </c>
      <c r="V1950" s="705">
        <v>15318</v>
      </c>
      <c r="W1950" s="705">
        <f t="shared" si="82"/>
        <v>15318</v>
      </c>
      <c r="X1950" s="705">
        <f t="shared" si="83"/>
        <v>41359</v>
      </c>
    </row>
    <row r="1951" spans="2:24">
      <c r="B1951" t="s">
        <v>548</v>
      </c>
      <c r="C1951" t="s">
        <v>108</v>
      </c>
      <c r="D1951" t="s">
        <v>582</v>
      </c>
      <c r="E1951" t="s">
        <v>582</v>
      </c>
      <c r="F1951" s="705">
        <v>1</v>
      </c>
      <c r="G1951" s="705">
        <v>216</v>
      </c>
      <c r="H1951" s="705">
        <v>50</v>
      </c>
      <c r="I1951" s="705">
        <v>1436</v>
      </c>
      <c r="J1951" s="705">
        <v>1306</v>
      </c>
      <c r="K1951" s="705">
        <v>93</v>
      </c>
      <c r="L1951" s="705">
        <v>214</v>
      </c>
      <c r="M1951" s="705">
        <v>195</v>
      </c>
      <c r="N1951" s="705">
        <v>2636</v>
      </c>
      <c r="O1951" s="705">
        <v>976</v>
      </c>
      <c r="P1951" s="705">
        <v>2353</v>
      </c>
      <c r="Q1951" s="705">
        <v>872</v>
      </c>
      <c r="R1951" s="705">
        <v>4145</v>
      </c>
      <c r="S1951" s="705">
        <v>3768</v>
      </c>
      <c r="T1951" s="705">
        <v>0</v>
      </c>
      <c r="U1951" s="705">
        <v>0</v>
      </c>
      <c r="V1951" s="705">
        <v>7117</v>
      </c>
      <c r="W1951" s="705">
        <f t="shared" si="82"/>
        <v>7117</v>
      </c>
      <c r="X1951" s="705">
        <f t="shared" si="83"/>
        <v>10784</v>
      </c>
    </row>
    <row r="1952" spans="2:24">
      <c r="B1952" t="s">
        <v>548</v>
      </c>
      <c r="C1952" t="s">
        <v>108</v>
      </c>
      <c r="D1952" t="s">
        <v>228</v>
      </c>
      <c r="E1952" t="s">
        <v>228</v>
      </c>
      <c r="F1952" s="705">
        <v>216</v>
      </c>
      <c r="G1952" s="705">
        <v>47760</v>
      </c>
      <c r="H1952" s="705">
        <v>11837</v>
      </c>
      <c r="I1952" s="705">
        <v>329179</v>
      </c>
      <c r="J1952" s="705">
        <v>121918</v>
      </c>
      <c r="K1952" s="705">
        <v>472</v>
      </c>
      <c r="L1952" s="705">
        <v>93391</v>
      </c>
      <c r="M1952" s="705">
        <v>84151</v>
      </c>
      <c r="N1952" s="705">
        <v>617438</v>
      </c>
      <c r="O1952" s="705">
        <v>228681</v>
      </c>
      <c r="P1952" s="705">
        <v>305431</v>
      </c>
      <c r="Q1952" s="705">
        <v>113123</v>
      </c>
      <c r="R1952" s="705">
        <v>1265244</v>
      </c>
      <c r="S1952" s="705">
        <v>468609</v>
      </c>
      <c r="T1952" s="705">
        <v>0</v>
      </c>
      <c r="U1952" s="705">
        <v>0</v>
      </c>
      <c r="V1952" s="705">
        <v>1016481</v>
      </c>
      <c r="W1952" s="705">
        <f t="shared" si="82"/>
        <v>1016482</v>
      </c>
      <c r="X1952" s="705">
        <f t="shared" si="83"/>
        <v>2610683</v>
      </c>
    </row>
    <row r="1953" spans="2:24">
      <c r="B1953" t="s">
        <v>548</v>
      </c>
      <c r="C1953" t="s">
        <v>108</v>
      </c>
      <c r="D1953" t="s">
        <v>583</v>
      </c>
      <c r="E1953" t="s">
        <v>228</v>
      </c>
      <c r="F1953" s="705">
        <v>3</v>
      </c>
      <c r="G1953" s="705">
        <v>726</v>
      </c>
      <c r="H1953" s="705">
        <v>155</v>
      </c>
      <c r="I1953" s="705">
        <v>9835</v>
      </c>
      <c r="J1953" s="705">
        <v>8941</v>
      </c>
      <c r="K1953" s="705">
        <v>89</v>
      </c>
      <c r="L1953" s="705">
        <v>1292</v>
      </c>
      <c r="M1953" s="705">
        <v>1174</v>
      </c>
      <c r="N1953" s="705">
        <v>9809</v>
      </c>
      <c r="O1953" s="705">
        <v>3633</v>
      </c>
      <c r="P1953" s="705">
        <v>5981</v>
      </c>
      <c r="Q1953" s="705">
        <v>2215</v>
      </c>
      <c r="R1953" s="705">
        <v>10817</v>
      </c>
      <c r="S1953" s="705">
        <v>4006</v>
      </c>
      <c r="T1953" s="705">
        <v>0</v>
      </c>
      <c r="U1953" s="705">
        <v>0</v>
      </c>
      <c r="V1953" s="705">
        <v>19969</v>
      </c>
      <c r="W1953" s="705">
        <f t="shared" si="82"/>
        <v>19969</v>
      </c>
      <c r="X1953" s="705">
        <f t="shared" si="83"/>
        <v>37734</v>
      </c>
    </row>
    <row r="1954" spans="2:24">
      <c r="B1954" t="s">
        <v>548</v>
      </c>
      <c r="C1954" t="s">
        <v>108</v>
      </c>
      <c r="D1954" t="s">
        <v>583</v>
      </c>
      <c r="E1954" t="s">
        <v>583</v>
      </c>
      <c r="F1954" s="705">
        <v>27</v>
      </c>
      <c r="G1954" s="705">
        <v>6006</v>
      </c>
      <c r="H1954" s="705">
        <v>1531</v>
      </c>
      <c r="I1954" s="705">
        <v>102436</v>
      </c>
      <c r="J1954" s="705">
        <v>93124</v>
      </c>
      <c r="K1954" s="705">
        <v>95</v>
      </c>
      <c r="L1954" s="705">
        <v>12420</v>
      </c>
      <c r="M1954" s="705">
        <v>11291</v>
      </c>
      <c r="N1954" s="705">
        <v>76914</v>
      </c>
      <c r="O1954" s="705">
        <v>28487</v>
      </c>
      <c r="P1954" s="705">
        <v>39518</v>
      </c>
      <c r="Q1954" s="705">
        <v>14636</v>
      </c>
      <c r="R1954" s="705">
        <v>106864</v>
      </c>
      <c r="S1954" s="705">
        <v>97149</v>
      </c>
      <c r="T1954" s="705">
        <v>1813</v>
      </c>
      <c r="U1954" s="705">
        <v>671</v>
      </c>
      <c r="V1954" s="705">
        <v>245357</v>
      </c>
      <c r="W1954" s="705">
        <f t="shared" ref="W1954:W2017" si="84">SUM(ABS(J1954),ABS(M1954),ABS(O1954),ABS(Q1954),ABS(S1954),ABS(U1954))</f>
        <v>245358</v>
      </c>
      <c r="X1954" s="705">
        <f t="shared" ref="X1954:X2017" si="85">SUM(ABS(I1954),ABS(N1954),ABS(P1954),ABS(R1954),ABS(T1954),ABS(L1954))</f>
        <v>339965</v>
      </c>
    </row>
    <row r="1955" spans="2:24">
      <c r="B1955" t="s">
        <v>548</v>
      </c>
      <c r="C1955" t="s">
        <v>108</v>
      </c>
      <c r="D1955" t="s">
        <v>584</v>
      </c>
      <c r="E1955" t="s">
        <v>228</v>
      </c>
      <c r="F1955" s="705">
        <v>1</v>
      </c>
      <c r="G1955" s="705">
        <v>298</v>
      </c>
      <c r="H1955" s="705">
        <v>46</v>
      </c>
      <c r="I1955" s="705">
        <v>4809</v>
      </c>
      <c r="J1955" s="705">
        <v>4372</v>
      </c>
      <c r="K1955" s="705">
        <v>91</v>
      </c>
      <c r="L1955" s="705">
        <v>606</v>
      </c>
      <c r="M1955" s="705">
        <v>551</v>
      </c>
      <c r="N1955" s="705">
        <v>3634</v>
      </c>
      <c r="O1955" s="705">
        <v>1346</v>
      </c>
      <c r="P1955" s="705">
        <v>473</v>
      </c>
      <c r="Q1955" s="705">
        <v>175</v>
      </c>
      <c r="R1955" s="705">
        <v>4191</v>
      </c>
      <c r="S1955" s="705">
        <v>1552</v>
      </c>
      <c r="T1955" s="705">
        <v>0</v>
      </c>
      <c r="U1955" s="705">
        <v>0</v>
      </c>
      <c r="V1955" s="705">
        <v>7996</v>
      </c>
      <c r="W1955" s="705">
        <f t="shared" si="84"/>
        <v>7996</v>
      </c>
      <c r="X1955" s="705">
        <f t="shared" si="85"/>
        <v>13713</v>
      </c>
    </row>
    <row r="1956" spans="2:24">
      <c r="B1956" t="s">
        <v>548</v>
      </c>
      <c r="C1956" t="s">
        <v>108</v>
      </c>
      <c r="D1956" t="s">
        <v>584</v>
      </c>
      <c r="E1956" t="s">
        <v>584</v>
      </c>
      <c r="F1956" s="705">
        <v>100</v>
      </c>
      <c r="G1956" s="705">
        <v>15373</v>
      </c>
      <c r="H1956" s="705">
        <v>5783</v>
      </c>
      <c r="I1956" s="705">
        <v>196150</v>
      </c>
      <c r="J1956" s="705">
        <v>178318</v>
      </c>
      <c r="K1956" s="705">
        <v>91</v>
      </c>
      <c r="L1956" s="705">
        <v>13047</v>
      </c>
      <c r="M1956" s="705">
        <v>11462</v>
      </c>
      <c r="N1956" s="705">
        <v>203158</v>
      </c>
      <c r="O1956" s="705">
        <v>75244</v>
      </c>
      <c r="P1956" s="705">
        <v>67672</v>
      </c>
      <c r="Q1956" s="705">
        <v>25064</v>
      </c>
      <c r="R1956" s="705">
        <v>406784</v>
      </c>
      <c r="S1956" s="705">
        <v>369804</v>
      </c>
      <c r="T1956" s="705">
        <v>0</v>
      </c>
      <c r="U1956" s="705">
        <v>0</v>
      </c>
      <c r="V1956" s="705">
        <v>659890</v>
      </c>
      <c r="W1956" s="705">
        <f t="shared" si="84"/>
        <v>659892</v>
      </c>
      <c r="X1956" s="705">
        <f t="shared" si="85"/>
        <v>886811</v>
      </c>
    </row>
    <row r="1957" spans="2:24">
      <c r="B1957" t="s">
        <v>548</v>
      </c>
      <c r="C1957" t="s">
        <v>108</v>
      </c>
      <c r="D1957" t="s">
        <v>585</v>
      </c>
      <c r="E1957" t="s">
        <v>585</v>
      </c>
      <c r="F1957" s="705">
        <v>1</v>
      </c>
      <c r="G1957" s="705">
        <v>260</v>
      </c>
      <c r="H1957" s="705">
        <v>74</v>
      </c>
      <c r="I1957" s="705">
        <v>7608</v>
      </c>
      <c r="J1957" s="705">
        <v>6916</v>
      </c>
      <c r="K1957" s="705">
        <v>92</v>
      </c>
      <c r="L1957" s="705">
        <v>988</v>
      </c>
      <c r="M1957" s="705">
        <v>898</v>
      </c>
      <c r="N1957" s="705">
        <v>4181</v>
      </c>
      <c r="O1957" s="705">
        <v>1548</v>
      </c>
      <c r="P1957" s="705">
        <v>2773</v>
      </c>
      <c r="Q1957" s="705">
        <v>1027</v>
      </c>
      <c r="R1957" s="705">
        <v>3761</v>
      </c>
      <c r="S1957" s="705">
        <v>3419</v>
      </c>
      <c r="T1957" s="705">
        <v>0</v>
      </c>
      <c r="U1957" s="705">
        <v>0</v>
      </c>
      <c r="V1957" s="705">
        <v>13809</v>
      </c>
      <c r="W1957" s="705">
        <f t="shared" si="84"/>
        <v>13808</v>
      </c>
      <c r="X1957" s="705">
        <f t="shared" si="85"/>
        <v>19311</v>
      </c>
    </row>
    <row r="1958" spans="2:24">
      <c r="B1958" t="s">
        <v>548</v>
      </c>
      <c r="C1958" t="s">
        <v>108</v>
      </c>
      <c r="D1958" t="s">
        <v>668</v>
      </c>
      <c r="E1958" t="s">
        <v>668</v>
      </c>
      <c r="F1958" s="705">
        <v>1</v>
      </c>
      <c r="G1958" s="705">
        <v>269</v>
      </c>
      <c r="H1958" s="705">
        <v>44</v>
      </c>
      <c r="I1958" s="705">
        <v>-289</v>
      </c>
      <c r="J1958" s="705">
        <v>-263</v>
      </c>
      <c r="K1958" s="705">
        <v>93</v>
      </c>
      <c r="L1958" s="705">
        <v>-36</v>
      </c>
      <c r="M1958" s="705">
        <v>-32</v>
      </c>
      <c r="N1958" s="705">
        <v>3280</v>
      </c>
      <c r="O1958" s="705">
        <v>1215</v>
      </c>
      <c r="P1958" s="705">
        <v>2694</v>
      </c>
      <c r="Q1958" s="705">
        <v>998</v>
      </c>
      <c r="R1958" s="705">
        <v>6215</v>
      </c>
      <c r="S1958" s="705">
        <v>5650</v>
      </c>
      <c r="T1958" s="705">
        <v>0</v>
      </c>
      <c r="U1958" s="705">
        <v>0</v>
      </c>
      <c r="V1958" s="705">
        <v>7567</v>
      </c>
      <c r="W1958" s="705">
        <f t="shared" si="84"/>
        <v>8158</v>
      </c>
      <c r="X1958" s="705">
        <f t="shared" si="85"/>
        <v>12514</v>
      </c>
    </row>
    <row r="1959" spans="2:24">
      <c r="B1959" t="s">
        <v>548</v>
      </c>
      <c r="C1959" t="s">
        <v>110</v>
      </c>
      <c r="F1959" s="705">
        <v>2</v>
      </c>
      <c r="G1959" s="705">
        <v>312</v>
      </c>
      <c r="H1959" s="705">
        <v>157</v>
      </c>
      <c r="I1959" s="705"/>
      <c r="J1959" s="705">
        <v>0</v>
      </c>
      <c r="K1959" s="705"/>
      <c r="L1959" s="705"/>
      <c r="M1959" s="705">
        <v>0</v>
      </c>
      <c r="N1959" s="705">
        <v>4946</v>
      </c>
      <c r="O1959" s="705">
        <v>1832</v>
      </c>
      <c r="P1959" s="705">
        <v>0</v>
      </c>
      <c r="Q1959" s="705">
        <v>0</v>
      </c>
      <c r="R1959" s="705"/>
      <c r="S1959" s="705">
        <v>0</v>
      </c>
      <c r="T1959" s="705">
        <v>0</v>
      </c>
      <c r="U1959" s="705">
        <v>0</v>
      </c>
      <c r="V1959" s="705">
        <v>1832</v>
      </c>
      <c r="W1959" s="705">
        <f t="shared" si="84"/>
        <v>1832</v>
      </c>
      <c r="X1959" s="705">
        <f t="shared" si="85"/>
        <v>4946</v>
      </c>
    </row>
    <row r="1960" spans="2:24">
      <c r="B1960" t="s">
        <v>548</v>
      </c>
      <c r="C1960" t="s">
        <v>110</v>
      </c>
      <c r="D1960" t="s">
        <v>228</v>
      </c>
      <c r="E1960" t="s">
        <v>228</v>
      </c>
      <c r="F1960" s="705">
        <v>36</v>
      </c>
      <c r="G1960" s="705">
        <v>8221</v>
      </c>
      <c r="H1960" s="705">
        <v>3241</v>
      </c>
      <c r="I1960" s="705">
        <v>281155</v>
      </c>
      <c r="J1960" s="705">
        <v>104131</v>
      </c>
      <c r="K1960" s="705">
        <v>370</v>
      </c>
      <c r="L1960" s="705">
        <v>75223</v>
      </c>
      <c r="M1960" s="705">
        <v>64924</v>
      </c>
      <c r="N1960" s="705">
        <v>145209</v>
      </c>
      <c r="O1960" s="705">
        <v>53781</v>
      </c>
      <c r="P1960" s="705">
        <v>26409</v>
      </c>
      <c r="Q1960" s="705">
        <v>9781</v>
      </c>
      <c r="R1960" s="705">
        <v>226769</v>
      </c>
      <c r="S1960" s="705">
        <v>83989</v>
      </c>
      <c r="T1960" s="705">
        <v>0</v>
      </c>
      <c r="U1960" s="705">
        <v>0</v>
      </c>
      <c r="V1960" s="705">
        <v>316606</v>
      </c>
      <c r="W1960" s="705">
        <f t="shared" si="84"/>
        <v>316606</v>
      </c>
      <c r="X1960" s="705">
        <f t="shared" si="85"/>
        <v>754765</v>
      </c>
    </row>
    <row r="1961" spans="2:24">
      <c r="B1961" t="s">
        <v>548</v>
      </c>
      <c r="C1961" t="s">
        <v>110</v>
      </c>
      <c r="D1961" t="s">
        <v>583</v>
      </c>
      <c r="E1961" t="s">
        <v>583</v>
      </c>
      <c r="F1961" s="705">
        <v>43</v>
      </c>
      <c r="G1961" s="705">
        <v>10951</v>
      </c>
      <c r="H1961" s="705">
        <v>3950</v>
      </c>
      <c r="I1961" s="705">
        <v>526420</v>
      </c>
      <c r="J1961" s="705">
        <v>478564</v>
      </c>
      <c r="K1961" s="705">
        <v>94</v>
      </c>
      <c r="L1961" s="705">
        <v>94165</v>
      </c>
      <c r="M1961" s="705">
        <v>84864</v>
      </c>
      <c r="N1961" s="705">
        <v>172583</v>
      </c>
      <c r="O1961" s="705">
        <v>63920</v>
      </c>
      <c r="P1961" s="705">
        <v>41259</v>
      </c>
      <c r="Q1961" s="705">
        <v>15281</v>
      </c>
      <c r="R1961" s="705">
        <v>199921</v>
      </c>
      <c r="S1961" s="705">
        <v>181746</v>
      </c>
      <c r="T1961" s="705">
        <v>1996</v>
      </c>
      <c r="U1961" s="705">
        <v>739</v>
      </c>
      <c r="V1961" s="705">
        <v>825114</v>
      </c>
      <c r="W1961" s="705">
        <f t="shared" si="84"/>
        <v>825114</v>
      </c>
      <c r="X1961" s="705">
        <f t="shared" si="85"/>
        <v>1036344</v>
      </c>
    </row>
    <row r="1962" spans="2:24">
      <c r="B1962" t="s">
        <v>548</v>
      </c>
      <c r="C1962" t="s">
        <v>110</v>
      </c>
      <c r="D1962" t="s">
        <v>584</v>
      </c>
      <c r="E1962" t="s">
        <v>228</v>
      </c>
      <c r="F1962" s="705">
        <v>1</v>
      </c>
      <c r="G1962" s="705">
        <v>147</v>
      </c>
      <c r="H1962" s="705">
        <v>78</v>
      </c>
      <c r="I1962" s="705">
        <v>4339</v>
      </c>
      <c r="J1962" s="705">
        <v>3945</v>
      </c>
      <c r="K1962" s="705">
        <v>90</v>
      </c>
      <c r="L1962" s="705">
        <v>0</v>
      </c>
      <c r="M1962" s="705">
        <v>0</v>
      </c>
      <c r="N1962" s="705">
        <v>1796</v>
      </c>
      <c r="O1962" s="705">
        <v>665</v>
      </c>
      <c r="P1962" s="705">
        <v>1827</v>
      </c>
      <c r="Q1962" s="705">
        <v>677</v>
      </c>
      <c r="R1962" s="705">
        <v>3598</v>
      </c>
      <c r="S1962" s="705">
        <v>1332</v>
      </c>
      <c r="T1962" s="705">
        <v>0</v>
      </c>
      <c r="U1962" s="705">
        <v>0</v>
      </c>
      <c r="V1962" s="705">
        <v>6619</v>
      </c>
      <c r="W1962" s="705">
        <f t="shared" si="84"/>
        <v>6619</v>
      </c>
      <c r="X1962" s="705">
        <f t="shared" si="85"/>
        <v>11560</v>
      </c>
    </row>
    <row r="1963" spans="2:24">
      <c r="B1963" t="s">
        <v>548</v>
      </c>
      <c r="C1963" t="s">
        <v>110</v>
      </c>
      <c r="D1963" t="s">
        <v>584</v>
      </c>
      <c r="E1963" t="s">
        <v>584</v>
      </c>
      <c r="F1963" s="705">
        <v>28</v>
      </c>
      <c r="G1963" s="705">
        <v>4568</v>
      </c>
      <c r="H1963" s="705">
        <v>2638</v>
      </c>
      <c r="I1963" s="705">
        <v>221668</v>
      </c>
      <c r="J1963" s="705">
        <v>201516</v>
      </c>
      <c r="K1963" s="705">
        <v>90</v>
      </c>
      <c r="L1963" s="705">
        <v>29982</v>
      </c>
      <c r="M1963" s="705">
        <v>27134</v>
      </c>
      <c r="N1963" s="705">
        <v>61904</v>
      </c>
      <c r="O1963" s="705">
        <v>22928</v>
      </c>
      <c r="P1963" s="705">
        <v>22462</v>
      </c>
      <c r="Q1963" s="705">
        <v>8319</v>
      </c>
      <c r="R1963" s="705">
        <v>93412</v>
      </c>
      <c r="S1963" s="705">
        <v>84920</v>
      </c>
      <c r="T1963" s="705">
        <v>0</v>
      </c>
      <c r="U1963" s="705">
        <v>0</v>
      </c>
      <c r="V1963" s="705">
        <v>344817</v>
      </c>
      <c r="W1963" s="705">
        <f t="shared" si="84"/>
        <v>344817</v>
      </c>
      <c r="X1963" s="705">
        <f t="shared" si="85"/>
        <v>429428</v>
      </c>
    </row>
    <row r="1964" spans="2:24">
      <c r="B1964" t="s">
        <v>548</v>
      </c>
      <c r="C1964" t="s">
        <v>112</v>
      </c>
      <c r="F1964" s="705">
        <v>1</v>
      </c>
      <c r="G1964" s="705">
        <v>174</v>
      </c>
      <c r="H1964" s="705">
        <v>111</v>
      </c>
      <c r="I1964" s="705"/>
      <c r="J1964" s="705">
        <v>0</v>
      </c>
      <c r="K1964" s="705"/>
      <c r="L1964" s="705"/>
      <c r="M1964" s="705">
        <v>0</v>
      </c>
      <c r="N1964" s="705">
        <v>3341</v>
      </c>
      <c r="O1964" s="705">
        <v>1237</v>
      </c>
      <c r="P1964" s="705">
        <v>351</v>
      </c>
      <c r="Q1964" s="705">
        <v>130</v>
      </c>
      <c r="R1964" s="705"/>
      <c r="S1964" s="705">
        <v>0</v>
      </c>
      <c r="T1964" s="705">
        <v>0</v>
      </c>
      <c r="U1964" s="705">
        <v>0</v>
      </c>
      <c r="V1964" s="705">
        <v>1367</v>
      </c>
      <c r="W1964" s="705">
        <f t="shared" si="84"/>
        <v>1367</v>
      </c>
      <c r="X1964" s="705">
        <f t="shared" si="85"/>
        <v>3692</v>
      </c>
    </row>
    <row r="1965" spans="2:24">
      <c r="B1965" t="s">
        <v>548</v>
      </c>
      <c r="C1965" t="s">
        <v>112</v>
      </c>
      <c r="D1965" t="s">
        <v>664</v>
      </c>
      <c r="E1965" t="s">
        <v>664</v>
      </c>
      <c r="F1965" s="705">
        <v>1</v>
      </c>
      <c r="G1965" s="705">
        <v>247</v>
      </c>
      <c r="H1965" s="705">
        <v>123</v>
      </c>
      <c r="I1965" s="705">
        <v>17511</v>
      </c>
      <c r="J1965" s="705">
        <v>15919</v>
      </c>
      <c r="K1965" s="705">
        <v>91</v>
      </c>
      <c r="L1965" s="705">
        <v>2792</v>
      </c>
      <c r="M1965" s="705">
        <v>2538</v>
      </c>
      <c r="N1965" s="705">
        <v>6019</v>
      </c>
      <c r="O1965" s="705">
        <v>2229</v>
      </c>
      <c r="P1965" s="705">
        <v>473</v>
      </c>
      <c r="Q1965" s="705">
        <v>175</v>
      </c>
      <c r="R1965" s="705">
        <v>3621</v>
      </c>
      <c r="S1965" s="705">
        <v>3292</v>
      </c>
      <c r="T1965" s="705">
        <v>0</v>
      </c>
      <c r="U1965" s="705">
        <v>0</v>
      </c>
      <c r="V1965" s="705">
        <v>24154</v>
      </c>
      <c r="W1965" s="705">
        <f t="shared" si="84"/>
        <v>24153</v>
      </c>
      <c r="X1965" s="705">
        <f t="shared" si="85"/>
        <v>30416</v>
      </c>
    </row>
    <row r="1966" spans="2:24">
      <c r="B1966" t="s">
        <v>548</v>
      </c>
      <c r="C1966" t="s">
        <v>112</v>
      </c>
      <c r="D1966" t="s">
        <v>582</v>
      </c>
      <c r="E1966" t="s">
        <v>582</v>
      </c>
      <c r="F1966" s="705">
        <v>4</v>
      </c>
      <c r="G1966" s="705">
        <v>524</v>
      </c>
      <c r="H1966" s="705">
        <v>481</v>
      </c>
      <c r="I1966" s="705">
        <v>25615</v>
      </c>
      <c r="J1966" s="705">
        <v>23287</v>
      </c>
      <c r="K1966" s="705">
        <v>91</v>
      </c>
      <c r="L1966" s="705">
        <v>3460</v>
      </c>
      <c r="M1966" s="705">
        <v>3145</v>
      </c>
      <c r="N1966" s="705">
        <v>11777</v>
      </c>
      <c r="O1966" s="705">
        <v>4362</v>
      </c>
      <c r="P1966" s="705">
        <v>4053</v>
      </c>
      <c r="Q1966" s="705">
        <v>1501</v>
      </c>
      <c r="R1966" s="705">
        <v>17276</v>
      </c>
      <c r="S1966" s="705">
        <v>15705</v>
      </c>
      <c r="T1966" s="705">
        <v>0</v>
      </c>
      <c r="U1966" s="705">
        <v>0</v>
      </c>
      <c r="V1966" s="705">
        <v>48000</v>
      </c>
      <c r="W1966" s="705">
        <f t="shared" si="84"/>
        <v>48000</v>
      </c>
      <c r="X1966" s="705">
        <f t="shared" si="85"/>
        <v>62181</v>
      </c>
    </row>
    <row r="1967" spans="2:24">
      <c r="B1967" t="s">
        <v>548</v>
      </c>
      <c r="C1967" t="s">
        <v>112</v>
      </c>
      <c r="D1967" t="s">
        <v>228</v>
      </c>
      <c r="E1967" t="s">
        <v>228</v>
      </c>
      <c r="F1967" s="705">
        <v>29</v>
      </c>
      <c r="G1967" s="705">
        <v>7474</v>
      </c>
      <c r="H1967" s="705">
        <v>3274</v>
      </c>
      <c r="I1967" s="705">
        <v>362594</v>
      </c>
      <c r="J1967" s="705">
        <v>134294</v>
      </c>
      <c r="K1967" s="705">
        <v>336</v>
      </c>
      <c r="L1967" s="705">
        <v>108000</v>
      </c>
      <c r="M1967" s="705">
        <v>96186</v>
      </c>
      <c r="N1967" s="705">
        <v>149039</v>
      </c>
      <c r="O1967" s="705">
        <v>55200</v>
      </c>
      <c r="P1967" s="705">
        <v>20949</v>
      </c>
      <c r="Q1967" s="705">
        <v>7759</v>
      </c>
      <c r="R1967" s="705">
        <v>222558</v>
      </c>
      <c r="S1967" s="705">
        <v>82429</v>
      </c>
      <c r="T1967" s="705">
        <v>0</v>
      </c>
      <c r="U1967" s="705">
        <v>0</v>
      </c>
      <c r="V1967" s="705">
        <v>375867</v>
      </c>
      <c r="W1967" s="705">
        <f t="shared" si="84"/>
        <v>375868</v>
      </c>
      <c r="X1967" s="705">
        <f t="shared" si="85"/>
        <v>863140</v>
      </c>
    </row>
    <row r="1968" spans="2:24">
      <c r="B1968" t="s">
        <v>548</v>
      </c>
      <c r="C1968" t="s">
        <v>112</v>
      </c>
      <c r="D1968" t="s">
        <v>583</v>
      </c>
      <c r="E1968" t="s">
        <v>583</v>
      </c>
      <c r="F1968" s="705">
        <v>125</v>
      </c>
      <c r="G1968" s="705">
        <v>30971</v>
      </c>
      <c r="H1968" s="705">
        <v>14482</v>
      </c>
      <c r="I1968" s="705">
        <v>2050349</v>
      </c>
      <c r="J1968" s="705">
        <v>1863953</v>
      </c>
      <c r="K1968" s="705">
        <v>92</v>
      </c>
      <c r="L1968" s="705">
        <v>389471</v>
      </c>
      <c r="M1968" s="705">
        <v>356943</v>
      </c>
      <c r="N1968" s="705">
        <v>560227</v>
      </c>
      <c r="O1968" s="705">
        <v>207492</v>
      </c>
      <c r="P1968" s="705">
        <v>99477</v>
      </c>
      <c r="Q1968" s="705">
        <v>36843</v>
      </c>
      <c r="R1968" s="705">
        <v>650982</v>
      </c>
      <c r="S1968" s="705">
        <v>591802</v>
      </c>
      <c r="T1968" s="705">
        <v>4993</v>
      </c>
      <c r="U1968" s="705">
        <v>1849</v>
      </c>
      <c r="V1968" s="705">
        <v>3058882</v>
      </c>
      <c r="W1968" s="705">
        <f t="shared" si="84"/>
        <v>3058882</v>
      </c>
      <c r="X1968" s="705">
        <f t="shared" si="85"/>
        <v>3755499</v>
      </c>
    </row>
    <row r="1969" spans="2:24">
      <c r="B1969" t="s">
        <v>548</v>
      </c>
      <c r="C1969" t="s">
        <v>112</v>
      </c>
      <c r="D1969" t="s">
        <v>584</v>
      </c>
      <c r="E1969" t="s">
        <v>584</v>
      </c>
      <c r="F1969" s="705">
        <v>92</v>
      </c>
      <c r="G1969" s="705">
        <v>15514</v>
      </c>
      <c r="H1969" s="705">
        <v>10759</v>
      </c>
      <c r="I1969" s="705">
        <v>959180</v>
      </c>
      <c r="J1969" s="705">
        <v>871982</v>
      </c>
      <c r="K1969" s="705">
        <v>90</v>
      </c>
      <c r="L1969" s="705">
        <v>175464</v>
      </c>
      <c r="M1969" s="705">
        <v>176672</v>
      </c>
      <c r="N1969" s="705">
        <v>254538</v>
      </c>
      <c r="O1969" s="705">
        <v>94273</v>
      </c>
      <c r="P1969" s="705">
        <v>48733</v>
      </c>
      <c r="Q1969" s="705">
        <v>18049</v>
      </c>
      <c r="R1969" s="705">
        <v>401243</v>
      </c>
      <c r="S1969" s="705">
        <v>364766</v>
      </c>
      <c r="T1969" s="705">
        <v>0</v>
      </c>
      <c r="U1969" s="705">
        <v>0</v>
      </c>
      <c r="V1969" s="705">
        <v>1525742</v>
      </c>
      <c r="W1969" s="705">
        <f t="shared" si="84"/>
        <v>1525742</v>
      </c>
      <c r="X1969" s="705">
        <f t="shared" si="85"/>
        <v>1839158</v>
      </c>
    </row>
    <row r="1970" spans="2:24">
      <c r="B1970" t="s">
        <v>548</v>
      </c>
      <c r="C1970" t="s">
        <v>112</v>
      </c>
      <c r="D1970" t="s">
        <v>673</v>
      </c>
      <c r="E1970" t="s">
        <v>673</v>
      </c>
      <c r="F1970" s="705">
        <v>1</v>
      </c>
      <c r="G1970" s="705">
        <v>223</v>
      </c>
      <c r="H1970" s="705">
        <v>111</v>
      </c>
      <c r="I1970" s="705">
        <v>12079</v>
      </c>
      <c r="J1970" s="705">
        <v>10981</v>
      </c>
      <c r="K1970" s="705">
        <v>90</v>
      </c>
      <c r="L1970" s="705">
        <v>0</v>
      </c>
      <c r="M1970" s="705">
        <v>0</v>
      </c>
      <c r="N1970" s="705">
        <v>2874</v>
      </c>
      <c r="O1970" s="705">
        <v>1064</v>
      </c>
      <c r="P1970" s="705">
        <v>2709</v>
      </c>
      <c r="Q1970" s="705">
        <v>1003</v>
      </c>
      <c r="R1970" s="705">
        <v>3420</v>
      </c>
      <c r="S1970" s="705">
        <v>3109</v>
      </c>
      <c r="T1970" s="705">
        <v>3721</v>
      </c>
      <c r="U1970" s="705">
        <v>1378</v>
      </c>
      <c r="V1970" s="705">
        <v>17536</v>
      </c>
      <c r="W1970" s="705">
        <f t="shared" si="84"/>
        <v>17535</v>
      </c>
      <c r="X1970" s="705">
        <f t="shared" si="85"/>
        <v>24803</v>
      </c>
    </row>
    <row r="1971" spans="2:24">
      <c r="B1971" t="s">
        <v>548</v>
      </c>
      <c r="C1971" t="s">
        <v>112</v>
      </c>
      <c r="D1971" t="s">
        <v>585</v>
      </c>
      <c r="E1971" t="s">
        <v>585</v>
      </c>
      <c r="F1971" s="705">
        <v>1</v>
      </c>
      <c r="G1971" s="705">
        <v>225</v>
      </c>
      <c r="H1971" s="705">
        <v>125</v>
      </c>
      <c r="I1971" s="705">
        <v>15440</v>
      </c>
      <c r="J1971" s="705">
        <v>14037</v>
      </c>
      <c r="K1971" s="705">
        <v>93</v>
      </c>
      <c r="L1971" s="705">
        <v>2659</v>
      </c>
      <c r="M1971" s="705">
        <v>2417</v>
      </c>
      <c r="N1971" s="705">
        <v>2744</v>
      </c>
      <c r="O1971" s="705">
        <v>1016</v>
      </c>
      <c r="P1971" s="705">
        <v>351</v>
      </c>
      <c r="Q1971" s="705">
        <v>130</v>
      </c>
      <c r="R1971" s="705">
        <v>3416</v>
      </c>
      <c r="S1971" s="705">
        <v>3106</v>
      </c>
      <c r="T1971" s="705">
        <v>3520</v>
      </c>
      <c r="U1971" s="705">
        <v>1304</v>
      </c>
      <c r="V1971" s="705">
        <v>22010</v>
      </c>
      <c r="W1971" s="705">
        <f t="shared" si="84"/>
        <v>22010</v>
      </c>
      <c r="X1971" s="705">
        <f t="shared" si="85"/>
        <v>28130</v>
      </c>
    </row>
    <row r="1972" spans="2:24">
      <c r="B1972" t="s">
        <v>548</v>
      </c>
      <c r="C1972" t="s">
        <v>114</v>
      </c>
      <c r="F1972" s="705">
        <v>4</v>
      </c>
      <c r="G1972" s="705">
        <v>587</v>
      </c>
      <c r="H1972" s="705">
        <v>568</v>
      </c>
      <c r="I1972" s="705"/>
      <c r="J1972" s="705">
        <v>0</v>
      </c>
      <c r="K1972" s="705"/>
      <c r="L1972" s="705"/>
      <c r="M1972" s="705">
        <v>0</v>
      </c>
      <c r="N1972" s="705">
        <v>8930</v>
      </c>
      <c r="O1972" s="705">
        <v>3307</v>
      </c>
      <c r="P1972" s="705">
        <v>1404</v>
      </c>
      <c r="Q1972" s="705">
        <v>520</v>
      </c>
      <c r="R1972" s="705"/>
      <c r="S1972" s="705">
        <v>0</v>
      </c>
      <c r="T1972" s="705">
        <v>0</v>
      </c>
      <c r="U1972" s="705">
        <v>0</v>
      </c>
      <c r="V1972" s="705">
        <v>3827</v>
      </c>
      <c r="W1972" s="705">
        <f t="shared" si="84"/>
        <v>3827</v>
      </c>
      <c r="X1972" s="705">
        <f t="shared" si="85"/>
        <v>10334</v>
      </c>
    </row>
    <row r="1973" spans="2:24">
      <c r="B1973" t="s">
        <v>548</v>
      </c>
      <c r="C1973" t="s">
        <v>114</v>
      </c>
      <c r="D1973" t="s">
        <v>582</v>
      </c>
      <c r="E1973" t="s">
        <v>582</v>
      </c>
      <c r="F1973" s="705">
        <v>11</v>
      </c>
      <c r="G1973" s="705">
        <v>2246</v>
      </c>
      <c r="H1973" s="705">
        <v>1550</v>
      </c>
      <c r="I1973" s="705">
        <v>196513</v>
      </c>
      <c r="J1973" s="705">
        <v>178649</v>
      </c>
      <c r="K1973" s="705">
        <v>90</v>
      </c>
      <c r="L1973" s="705">
        <v>40843</v>
      </c>
      <c r="M1973" s="705">
        <v>37130</v>
      </c>
      <c r="N1973" s="705">
        <v>44885</v>
      </c>
      <c r="O1973" s="705">
        <v>16624</v>
      </c>
      <c r="P1973" s="705">
        <v>8680</v>
      </c>
      <c r="Q1973" s="705">
        <v>3215</v>
      </c>
      <c r="R1973" s="705">
        <v>51264</v>
      </c>
      <c r="S1973" s="705">
        <v>46604</v>
      </c>
      <c r="T1973" s="705">
        <v>5874</v>
      </c>
      <c r="U1973" s="705">
        <v>2176</v>
      </c>
      <c r="V1973" s="705">
        <v>284397</v>
      </c>
      <c r="W1973" s="705">
        <f t="shared" si="84"/>
        <v>284398</v>
      </c>
      <c r="X1973" s="705">
        <f t="shared" si="85"/>
        <v>348059</v>
      </c>
    </row>
    <row r="1974" spans="2:24">
      <c r="B1974" t="s">
        <v>548</v>
      </c>
      <c r="C1974" t="s">
        <v>114</v>
      </c>
      <c r="D1974" t="s">
        <v>228</v>
      </c>
      <c r="E1974" t="s">
        <v>228</v>
      </c>
      <c r="F1974" s="705">
        <v>18</v>
      </c>
      <c r="G1974" s="705">
        <v>3585</v>
      </c>
      <c r="H1974" s="705">
        <v>2499</v>
      </c>
      <c r="I1974" s="705">
        <v>245113</v>
      </c>
      <c r="J1974" s="705">
        <v>90783</v>
      </c>
      <c r="K1974" s="705">
        <v>300</v>
      </c>
      <c r="L1974" s="705">
        <v>76407</v>
      </c>
      <c r="M1974" s="705">
        <v>69461</v>
      </c>
      <c r="N1974" s="705">
        <v>71807</v>
      </c>
      <c r="O1974" s="705">
        <v>26595</v>
      </c>
      <c r="P1974" s="705">
        <v>10782</v>
      </c>
      <c r="Q1974" s="705">
        <v>3993</v>
      </c>
      <c r="R1974" s="705">
        <v>109714</v>
      </c>
      <c r="S1974" s="705">
        <v>40635</v>
      </c>
      <c r="T1974" s="705">
        <v>0</v>
      </c>
      <c r="U1974" s="705">
        <v>0</v>
      </c>
      <c r="V1974" s="705">
        <v>231467</v>
      </c>
      <c r="W1974" s="705">
        <f t="shared" si="84"/>
        <v>231467</v>
      </c>
      <c r="X1974" s="705">
        <f t="shared" si="85"/>
        <v>513823</v>
      </c>
    </row>
    <row r="1975" spans="2:24">
      <c r="B1975" t="s">
        <v>548</v>
      </c>
      <c r="C1975" t="s">
        <v>114</v>
      </c>
      <c r="D1975" t="s">
        <v>228</v>
      </c>
      <c r="E1975" t="s">
        <v>583</v>
      </c>
      <c r="F1975" s="705">
        <v>1</v>
      </c>
      <c r="G1975" s="705">
        <v>205</v>
      </c>
      <c r="H1975" s="705">
        <v>148</v>
      </c>
      <c r="I1975" s="705">
        <v>16714</v>
      </c>
      <c r="J1975" s="705">
        <v>6190</v>
      </c>
      <c r="K1975" s="705">
        <v>94</v>
      </c>
      <c r="L1975" s="705">
        <v>2381</v>
      </c>
      <c r="M1975" s="705">
        <v>2164</v>
      </c>
      <c r="N1975" s="705">
        <v>2498</v>
      </c>
      <c r="O1975" s="705">
        <v>925</v>
      </c>
      <c r="P1975" s="705">
        <v>2658</v>
      </c>
      <c r="Q1975" s="705">
        <v>984</v>
      </c>
      <c r="R1975" s="705">
        <v>2997</v>
      </c>
      <c r="S1975" s="705">
        <v>2725</v>
      </c>
      <c r="T1975" s="705">
        <v>3100</v>
      </c>
      <c r="U1975" s="705">
        <v>1148</v>
      </c>
      <c r="V1975" s="705">
        <v>14137</v>
      </c>
      <c r="W1975" s="705">
        <f t="shared" si="84"/>
        <v>14136</v>
      </c>
      <c r="X1975" s="705">
        <f t="shared" si="85"/>
        <v>30348</v>
      </c>
    </row>
    <row r="1976" spans="2:24">
      <c r="B1976" t="s">
        <v>548</v>
      </c>
      <c r="C1976" t="s">
        <v>114</v>
      </c>
      <c r="D1976" t="s">
        <v>583</v>
      </c>
      <c r="E1976" t="s">
        <v>228</v>
      </c>
      <c r="F1976" s="705">
        <v>1</v>
      </c>
      <c r="G1976" s="705">
        <v>242</v>
      </c>
      <c r="H1976" s="705">
        <v>147</v>
      </c>
      <c r="I1976" s="705">
        <v>22116</v>
      </c>
      <c r="J1976" s="705">
        <v>20105</v>
      </c>
      <c r="K1976" s="705">
        <v>79</v>
      </c>
      <c r="L1976" s="705">
        <v>6471</v>
      </c>
      <c r="M1976" s="705">
        <v>5883</v>
      </c>
      <c r="N1976" s="705">
        <v>3326</v>
      </c>
      <c r="O1976" s="705">
        <v>1232</v>
      </c>
      <c r="P1976" s="705">
        <v>621</v>
      </c>
      <c r="Q1976" s="705">
        <v>230</v>
      </c>
      <c r="R1976" s="705">
        <v>2947</v>
      </c>
      <c r="S1976" s="705">
        <v>1092</v>
      </c>
      <c r="T1976" s="705">
        <v>0</v>
      </c>
      <c r="U1976" s="705">
        <v>0</v>
      </c>
      <c r="V1976" s="705">
        <v>28541</v>
      </c>
      <c r="W1976" s="705">
        <f t="shared" si="84"/>
        <v>28542</v>
      </c>
      <c r="X1976" s="705">
        <f t="shared" si="85"/>
        <v>35481</v>
      </c>
    </row>
    <row r="1977" spans="2:24">
      <c r="B1977" t="s">
        <v>548</v>
      </c>
      <c r="C1977" t="s">
        <v>114</v>
      </c>
      <c r="D1977" t="s">
        <v>583</v>
      </c>
      <c r="E1977" t="s">
        <v>583</v>
      </c>
      <c r="F1977" s="705">
        <v>290</v>
      </c>
      <c r="G1977" s="705">
        <v>65617</v>
      </c>
      <c r="H1977" s="705">
        <v>40516</v>
      </c>
      <c r="I1977" s="705">
        <v>5260724</v>
      </c>
      <c r="J1977" s="705">
        <v>4782477</v>
      </c>
      <c r="K1977" s="705">
        <v>90</v>
      </c>
      <c r="L1977" s="705">
        <v>1103619</v>
      </c>
      <c r="M1977" s="705">
        <v>981844</v>
      </c>
      <c r="N1977" s="705">
        <v>1310097</v>
      </c>
      <c r="O1977" s="705">
        <v>485221</v>
      </c>
      <c r="P1977" s="705">
        <v>198271</v>
      </c>
      <c r="Q1977" s="705">
        <v>73434</v>
      </c>
      <c r="R1977" s="705">
        <v>1627679</v>
      </c>
      <c r="S1977" s="705">
        <v>1479708</v>
      </c>
      <c r="T1977" s="705">
        <v>89287</v>
      </c>
      <c r="U1977" s="705">
        <v>33069</v>
      </c>
      <c r="V1977" s="705">
        <v>7835753</v>
      </c>
      <c r="W1977" s="705">
        <f t="shared" si="84"/>
        <v>7835753</v>
      </c>
      <c r="X1977" s="705">
        <f t="shared" si="85"/>
        <v>9589677</v>
      </c>
    </row>
    <row r="1978" spans="2:24">
      <c r="B1978" t="s">
        <v>548</v>
      </c>
      <c r="C1978" t="s">
        <v>114</v>
      </c>
      <c r="D1978" t="s">
        <v>584</v>
      </c>
      <c r="E1978" t="s">
        <v>584</v>
      </c>
      <c r="F1978" s="705">
        <v>281</v>
      </c>
      <c r="G1978" s="705">
        <v>45075</v>
      </c>
      <c r="H1978" s="705">
        <v>39597</v>
      </c>
      <c r="I1978" s="705">
        <v>3359694</v>
      </c>
      <c r="J1978" s="705">
        <v>3054267</v>
      </c>
      <c r="K1978" s="705">
        <v>88</v>
      </c>
      <c r="L1978" s="705">
        <v>733130</v>
      </c>
      <c r="M1978" s="705">
        <v>667128</v>
      </c>
      <c r="N1978" s="705">
        <v>841795</v>
      </c>
      <c r="O1978" s="705">
        <v>311776</v>
      </c>
      <c r="P1978" s="705">
        <v>137192</v>
      </c>
      <c r="Q1978" s="705">
        <v>50812</v>
      </c>
      <c r="R1978" s="705">
        <v>1392305</v>
      </c>
      <c r="S1978" s="705">
        <v>1265731</v>
      </c>
      <c r="T1978" s="705">
        <v>35383</v>
      </c>
      <c r="U1978" s="705">
        <v>13105</v>
      </c>
      <c r="V1978" s="705">
        <v>5362819</v>
      </c>
      <c r="W1978" s="705">
        <f t="shared" si="84"/>
        <v>5362819</v>
      </c>
      <c r="X1978" s="705">
        <f t="shared" si="85"/>
        <v>6499499</v>
      </c>
    </row>
    <row r="1979" spans="2:24">
      <c r="B1979" t="s">
        <v>548</v>
      </c>
      <c r="C1979" t="s">
        <v>114</v>
      </c>
      <c r="D1979" t="s">
        <v>585</v>
      </c>
      <c r="E1979" t="s">
        <v>585</v>
      </c>
      <c r="F1979" s="705">
        <v>5</v>
      </c>
      <c r="G1979" s="705">
        <v>1428</v>
      </c>
      <c r="H1979" s="705">
        <v>708</v>
      </c>
      <c r="I1979" s="705">
        <v>119513</v>
      </c>
      <c r="J1979" s="705">
        <v>108648</v>
      </c>
      <c r="K1979" s="705">
        <v>88</v>
      </c>
      <c r="L1979" s="705">
        <v>23639</v>
      </c>
      <c r="M1979" s="705">
        <v>21490</v>
      </c>
      <c r="N1979" s="705">
        <v>27094</v>
      </c>
      <c r="O1979" s="705">
        <v>10035</v>
      </c>
      <c r="P1979" s="705">
        <v>2295</v>
      </c>
      <c r="Q1979" s="705">
        <v>850</v>
      </c>
      <c r="R1979" s="705">
        <v>29503</v>
      </c>
      <c r="S1979" s="705">
        <v>26821</v>
      </c>
      <c r="T1979" s="705">
        <v>0</v>
      </c>
      <c r="U1979" s="705">
        <v>0</v>
      </c>
      <c r="V1979" s="705">
        <v>167844</v>
      </c>
      <c r="W1979" s="705">
        <f t="shared" si="84"/>
        <v>167844</v>
      </c>
      <c r="X1979" s="705">
        <f t="shared" si="85"/>
        <v>202044</v>
      </c>
    </row>
    <row r="1980" spans="2:24">
      <c r="B1980" t="s">
        <v>548</v>
      </c>
      <c r="C1980" t="s">
        <v>116</v>
      </c>
      <c r="D1980" t="s">
        <v>664</v>
      </c>
      <c r="E1980" t="s">
        <v>664</v>
      </c>
      <c r="F1980" s="705">
        <v>2</v>
      </c>
      <c r="G1980" s="705">
        <v>605</v>
      </c>
      <c r="H1980" s="705">
        <v>328</v>
      </c>
      <c r="I1980" s="705">
        <v>55133</v>
      </c>
      <c r="J1980" s="705">
        <v>50121</v>
      </c>
      <c r="K1980" s="705">
        <v>81</v>
      </c>
      <c r="L1980" s="705">
        <v>11223</v>
      </c>
      <c r="M1980" s="705">
        <v>10202</v>
      </c>
      <c r="N1980" s="705">
        <v>12186</v>
      </c>
      <c r="O1980" s="705">
        <v>4513</v>
      </c>
      <c r="P1980" s="705">
        <v>4582</v>
      </c>
      <c r="Q1980" s="705">
        <v>1697</v>
      </c>
      <c r="R1980" s="705">
        <v>15154</v>
      </c>
      <c r="S1980" s="705">
        <v>13776</v>
      </c>
      <c r="T1980" s="705">
        <v>0</v>
      </c>
      <c r="U1980" s="705">
        <v>0</v>
      </c>
      <c r="V1980" s="705">
        <v>80309</v>
      </c>
      <c r="W1980" s="705">
        <f t="shared" si="84"/>
        <v>80309</v>
      </c>
      <c r="X1980" s="705">
        <f t="shared" si="85"/>
        <v>98278</v>
      </c>
    </row>
    <row r="1981" spans="2:24">
      <c r="B1981" t="s">
        <v>548</v>
      </c>
      <c r="C1981" t="s">
        <v>116</v>
      </c>
      <c r="D1981" t="s">
        <v>582</v>
      </c>
      <c r="E1981" t="s">
        <v>582</v>
      </c>
      <c r="F1981" s="705">
        <v>39</v>
      </c>
      <c r="G1981" s="705">
        <v>6496</v>
      </c>
      <c r="H1981" s="705">
        <v>7350</v>
      </c>
      <c r="I1981" s="705">
        <v>704007</v>
      </c>
      <c r="J1981" s="705">
        <v>640007</v>
      </c>
      <c r="K1981" s="705">
        <v>85</v>
      </c>
      <c r="L1981" s="705">
        <v>172403</v>
      </c>
      <c r="M1981" s="705">
        <v>149508</v>
      </c>
      <c r="N1981" s="705">
        <v>143323</v>
      </c>
      <c r="O1981" s="705">
        <v>53082</v>
      </c>
      <c r="P1981" s="705">
        <v>19305</v>
      </c>
      <c r="Q1981" s="705">
        <v>7150</v>
      </c>
      <c r="R1981" s="705">
        <v>224127</v>
      </c>
      <c r="S1981" s="705">
        <v>203752</v>
      </c>
      <c r="T1981" s="705">
        <v>9721</v>
      </c>
      <c r="U1981" s="705">
        <v>3601</v>
      </c>
      <c r="V1981" s="705">
        <v>1057100</v>
      </c>
      <c r="W1981" s="705">
        <f t="shared" si="84"/>
        <v>1057100</v>
      </c>
      <c r="X1981" s="705">
        <f t="shared" si="85"/>
        <v>1272886</v>
      </c>
    </row>
    <row r="1982" spans="2:24">
      <c r="B1982" t="s">
        <v>548</v>
      </c>
      <c r="C1982" t="s">
        <v>116</v>
      </c>
      <c r="D1982" t="s">
        <v>228</v>
      </c>
      <c r="E1982" t="s">
        <v>228</v>
      </c>
      <c r="F1982" s="705">
        <v>19</v>
      </c>
      <c r="G1982" s="705">
        <v>3179</v>
      </c>
      <c r="H1982" s="705">
        <v>3574</v>
      </c>
      <c r="I1982" s="705">
        <v>343094</v>
      </c>
      <c r="J1982" s="705">
        <v>127072</v>
      </c>
      <c r="K1982" s="705">
        <v>224</v>
      </c>
      <c r="L1982" s="705">
        <v>69390</v>
      </c>
      <c r="M1982" s="705">
        <v>62624</v>
      </c>
      <c r="N1982" s="705">
        <v>63094</v>
      </c>
      <c r="O1982" s="705">
        <v>23368</v>
      </c>
      <c r="P1982" s="705">
        <v>9867</v>
      </c>
      <c r="Q1982" s="705">
        <v>3654</v>
      </c>
      <c r="R1982" s="705">
        <v>113929</v>
      </c>
      <c r="S1982" s="705">
        <v>42196</v>
      </c>
      <c r="T1982" s="705">
        <v>0</v>
      </c>
      <c r="U1982" s="705">
        <v>0</v>
      </c>
      <c r="V1982" s="705">
        <v>258914</v>
      </c>
      <c r="W1982" s="705">
        <f t="shared" si="84"/>
        <v>258914</v>
      </c>
      <c r="X1982" s="705">
        <f t="shared" si="85"/>
        <v>599374</v>
      </c>
    </row>
    <row r="1983" spans="2:24">
      <c r="B1983" t="s">
        <v>548</v>
      </c>
      <c r="C1983" t="s">
        <v>116</v>
      </c>
      <c r="D1983" t="s">
        <v>583</v>
      </c>
      <c r="E1983" t="s">
        <v>664</v>
      </c>
      <c r="F1983" s="705">
        <v>2</v>
      </c>
      <c r="G1983" s="705">
        <v>449</v>
      </c>
      <c r="H1983" s="705">
        <v>354</v>
      </c>
      <c r="I1983" s="705">
        <v>45569</v>
      </c>
      <c r="J1983" s="705">
        <v>41426</v>
      </c>
      <c r="K1983" s="705">
        <v>94</v>
      </c>
      <c r="L1983" s="705">
        <v>10753</v>
      </c>
      <c r="M1983" s="705">
        <v>9776</v>
      </c>
      <c r="N1983" s="705">
        <v>8397</v>
      </c>
      <c r="O1983" s="705">
        <v>3110</v>
      </c>
      <c r="P1983" s="705">
        <v>1242</v>
      </c>
      <c r="Q1983" s="705">
        <v>460</v>
      </c>
      <c r="R1983" s="705">
        <v>10238</v>
      </c>
      <c r="S1983" s="705">
        <v>9307</v>
      </c>
      <c r="T1983" s="705">
        <v>3742</v>
      </c>
      <c r="U1983" s="705">
        <v>1386</v>
      </c>
      <c r="V1983" s="705">
        <v>65465</v>
      </c>
      <c r="W1983" s="705">
        <f t="shared" si="84"/>
        <v>65465</v>
      </c>
      <c r="X1983" s="705">
        <f t="shared" si="85"/>
        <v>79941</v>
      </c>
    </row>
    <row r="1984" spans="2:24">
      <c r="B1984" t="s">
        <v>548</v>
      </c>
      <c r="C1984" t="s">
        <v>116</v>
      </c>
      <c r="D1984" t="s">
        <v>583</v>
      </c>
      <c r="E1984" t="s">
        <v>228</v>
      </c>
      <c r="F1984" s="705">
        <v>5</v>
      </c>
      <c r="G1984" s="705">
        <v>1080</v>
      </c>
      <c r="H1984" s="705">
        <v>936</v>
      </c>
      <c r="I1984" s="705">
        <v>107362</v>
      </c>
      <c r="J1984" s="705">
        <v>97602</v>
      </c>
      <c r="K1984" s="705">
        <v>82</v>
      </c>
      <c r="L1984" s="705">
        <v>22416</v>
      </c>
      <c r="M1984" s="705">
        <v>19079</v>
      </c>
      <c r="N1984" s="705">
        <v>22272</v>
      </c>
      <c r="O1984" s="705">
        <v>8249</v>
      </c>
      <c r="P1984" s="705">
        <v>3105</v>
      </c>
      <c r="Q1984" s="705">
        <v>1150</v>
      </c>
      <c r="R1984" s="705">
        <v>46082</v>
      </c>
      <c r="S1984" s="705">
        <v>17068</v>
      </c>
      <c r="T1984" s="705">
        <v>0</v>
      </c>
      <c r="U1984" s="705">
        <v>0</v>
      </c>
      <c r="V1984" s="705">
        <v>143147</v>
      </c>
      <c r="W1984" s="705">
        <f t="shared" si="84"/>
        <v>143148</v>
      </c>
      <c r="X1984" s="705">
        <f t="shared" si="85"/>
        <v>201237</v>
      </c>
    </row>
    <row r="1985" spans="2:24">
      <c r="B1985" t="s">
        <v>548</v>
      </c>
      <c r="C1985" t="s">
        <v>116</v>
      </c>
      <c r="D1985" t="s">
        <v>583</v>
      </c>
      <c r="E1985" t="s">
        <v>583</v>
      </c>
      <c r="F1985" s="705">
        <v>1421</v>
      </c>
      <c r="G1985" s="705">
        <v>260926</v>
      </c>
      <c r="H1985" s="705">
        <v>270711</v>
      </c>
      <c r="I1985" s="705">
        <v>29011199</v>
      </c>
      <c r="J1985" s="705">
        <v>26373817</v>
      </c>
      <c r="K1985" s="705">
        <v>85</v>
      </c>
      <c r="L1985" s="705">
        <v>6645015</v>
      </c>
      <c r="M1985" s="705">
        <v>5852149</v>
      </c>
      <c r="N1985" s="705">
        <v>5487899</v>
      </c>
      <c r="O1985" s="705">
        <v>2032555</v>
      </c>
      <c r="P1985" s="705">
        <v>939102</v>
      </c>
      <c r="Q1985" s="705">
        <v>347816</v>
      </c>
      <c r="R1985" s="705">
        <v>8012947</v>
      </c>
      <c r="S1985" s="705">
        <v>7284497</v>
      </c>
      <c r="T1985" s="705">
        <v>1353225</v>
      </c>
      <c r="U1985" s="705">
        <v>501194</v>
      </c>
      <c r="V1985" s="705">
        <v>42392028</v>
      </c>
      <c r="W1985" s="705">
        <f t="shared" si="84"/>
        <v>42392028</v>
      </c>
      <c r="X1985" s="705">
        <f t="shared" si="85"/>
        <v>51449387</v>
      </c>
    </row>
    <row r="1986" spans="2:24">
      <c r="B1986" t="s">
        <v>548</v>
      </c>
      <c r="C1986" t="s">
        <v>116</v>
      </c>
      <c r="D1986" t="s">
        <v>583</v>
      </c>
      <c r="E1986" t="s">
        <v>666</v>
      </c>
      <c r="F1986" s="705">
        <v>2</v>
      </c>
      <c r="G1986" s="705">
        <v>505</v>
      </c>
      <c r="H1986" s="705">
        <v>419</v>
      </c>
      <c r="I1986" s="705">
        <v>77378</v>
      </c>
      <c r="J1986" s="705">
        <v>70344</v>
      </c>
      <c r="K1986" s="705">
        <v>73</v>
      </c>
      <c r="L1986" s="705">
        <v>19998</v>
      </c>
      <c r="M1986" s="705">
        <v>18180</v>
      </c>
      <c r="N1986" s="705">
        <v>15516</v>
      </c>
      <c r="O1986" s="705">
        <v>5747</v>
      </c>
      <c r="P1986" s="705">
        <v>1242</v>
      </c>
      <c r="Q1986" s="705">
        <v>460</v>
      </c>
      <c r="R1986" s="705">
        <v>16268</v>
      </c>
      <c r="S1986" s="705">
        <v>14789</v>
      </c>
      <c r="T1986" s="705">
        <v>4565</v>
      </c>
      <c r="U1986" s="705">
        <v>1691</v>
      </c>
      <c r="V1986" s="705">
        <v>111210</v>
      </c>
      <c r="W1986" s="705">
        <f t="shared" si="84"/>
        <v>111211</v>
      </c>
      <c r="X1986" s="705">
        <f t="shared" si="85"/>
        <v>134967</v>
      </c>
    </row>
    <row r="1987" spans="2:24">
      <c r="B1987" t="s">
        <v>548</v>
      </c>
      <c r="C1987" t="s">
        <v>116</v>
      </c>
      <c r="D1987" t="s">
        <v>584</v>
      </c>
      <c r="E1987" t="s">
        <v>228</v>
      </c>
      <c r="F1987" s="705">
        <v>3</v>
      </c>
      <c r="G1987" s="705">
        <v>636</v>
      </c>
      <c r="H1987" s="705">
        <v>566</v>
      </c>
      <c r="I1987" s="705">
        <v>79935</v>
      </c>
      <c r="J1987" s="705">
        <v>72668</v>
      </c>
      <c r="K1987" s="705">
        <v>91</v>
      </c>
      <c r="L1987" s="705">
        <v>15203</v>
      </c>
      <c r="M1987" s="705">
        <v>12926</v>
      </c>
      <c r="N1987" s="705">
        <v>11513</v>
      </c>
      <c r="O1987" s="705">
        <v>4264</v>
      </c>
      <c r="P1987" s="705">
        <v>1418</v>
      </c>
      <c r="Q1987" s="705">
        <v>525</v>
      </c>
      <c r="R1987" s="705">
        <v>15273</v>
      </c>
      <c r="S1987" s="705">
        <v>5657</v>
      </c>
      <c r="T1987" s="705">
        <v>0</v>
      </c>
      <c r="U1987" s="705">
        <v>0</v>
      </c>
      <c r="V1987" s="705">
        <v>96040</v>
      </c>
      <c r="W1987" s="705">
        <f t="shared" si="84"/>
        <v>96040</v>
      </c>
      <c r="X1987" s="705">
        <f t="shared" si="85"/>
        <v>123342</v>
      </c>
    </row>
    <row r="1988" spans="2:24">
      <c r="B1988" t="s">
        <v>548</v>
      </c>
      <c r="C1988" t="s">
        <v>116</v>
      </c>
      <c r="D1988" t="s">
        <v>584</v>
      </c>
      <c r="E1988" t="s">
        <v>584</v>
      </c>
      <c r="F1988" s="705">
        <v>1254</v>
      </c>
      <c r="G1988" s="705">
        <v>185264</v>
      </c>
      <c r="H1988" s="705">
        <v>232205</v>
      </c>
      <c r="I1988" s="705">
        <v>18207085</v>
      </c>
      <c r="J1988" s="705">
        <v>16551895</v>
      </c>
      <c r="K1988" s="705">
        <v>85</v>
      </c>
      <c r="L1988" s="705">
        <v>5120002</v>
      </c>
      <c r="M1988" s="705">
        <v>4489000</v>
      </c>
      <c r="N1988" s="705">
        <v>3723779</v>
      </c>
      <c r="O1988" s="705">
        <v>1379178</v>
      </c>
      <c r="P1988" s="705">
        <v>614819</v>
      </c>
      <c r="Q1988" s="705">
        <v>227711</v>
      </c>
      <c r="R1988" s="705">
        <v>6719217</v>
      </c>
      <c r="S1988" s="705">
        <v>6108379</v>
      </c>
      <c r="T1988" s="705">
        <v>428105</v>
      </c>
      <c r="U1988" s="705">
        <v>158558</v>
      </c>
      <c r="V1988" s="705">
        <v>28914719</v>
      </c>
      <c r="W1988" s="705">
        <f t="shared" si="84"/>
        <v>28914721</v>
      </c>
      <c r="X1988" s="705">
        <f t="shared" si="85"/>
        <v>34813007</v>
      </c>
    </row>
    <row r="1989" spans="2:24">
      <c r="B1989" t="s">
        <v>548</v>
      </c>
      <c r="C1989" t="s">
        <v>116</v>
      </c>
      <c r="D1989" t="s">
        <v>584</v>
      </c>
      <c r="E1989" t="s">
        <v>669</v>
      </c>
      <c r="F1989" s="705">
        <v>1</v>
      </c>
      <c r="G1989" s="705">
        <v>180</v>
      </c>
      <c r="H1989" s="705">
        <v>204</v>
      </c>
      <c r="I1989" s="705">
        <v>18539</v>
      </c>
      <c r="J1989" s="705">
        <v>16853</v>
      </c>
      <c r="K1989" s="705">
        <v>78</v>
      </c>
      <c r="L1989" s="705">
        <v>5095</v>
      </c>
      <c r="M1989" s="705">
        <v>4632</v>
      </c>
      <c r="N1989" s="705">
        <v>4386</v>
      </c>
      <c r="O1989" s="705">
        <v>1624</v>
      </c>
      <c r="P1989" s="705">
        <v>473</v>
      </c>
      <c r="Q1989" s="705">
        <v>175</v>
      </c>
      <c r="R1989" s="705">
        <v>8264</v>
      </c>
      <c r="S1989" s="705">
        <v>6887</v>
      </c>
      <c r="T1989" s="705">
        <v>0</v>
      </c>
      <c r="U1989" s="705">
        <v>0</v>
      </c>
      <c r="V1989" s="705">
        <v>30171</v>
      </c>
      <c r="W1989" s="705">
        <f t="shared" si="84"/>
        <v>30171</v>
      </c>
      <c r="X1989" s="705">
        <f t="shared" si="85"/>
        <v>36757</v>
      </c>
    </row>
    <row r="1990" spans="2:24">
      <c r="B1990" t="s">
        <v>548</v>
      </c>
      <c r="C1990" t="s">
        <v>116</v>
      </c>
      <c r="D1990" t="s">
        <v>585</v>
      </c>
      <c r="E1990" t="s">
        <v>585</v>
      </c>
      <c r="F1990" s="705">
        <v>13</v>
      </c>
      <c r="G1990" s="705">
        <v>2714</v>
      </c>
      <c r="H1990" s="705">
        <v>2414</v>
      </c>
      <c r="I1990" s="705">
        <v>319338</v>
      </c>
      <c r="J1990" s="705">
        <v>290307</v>
      </c>
      <c r="K1990" s="705">
        <v>74</v>
      </c>
      <c r="L1990" s="705">
        <v>57406</v>
      </c>
      <c r="M1990" s="705">
        <v>50022</v>
      </c>
      <c r="N1990" s="705">
        <v>51278</v>
      </c>
      <c r="O1990" s="705">
        <v>18992</v>
      </c>
      <c r="P1990" s="705">
        <v>5805</v>
      </c>
      <c r="Q1990" s="705">
        <v>2150</v>
      </c>
      <c r="R1990" s="705">
        <v>82559</v>
      </c>
      <c r="S1990" s="705">
        <v>75053</v>
      </c>
      <c r="T1990" s="705">
        <v>0</v>
      </c>
      <c r="U1990" s="705">
        <v>0</v>
      </c>
      <c r="V1990" s="705">
        <v>436525</v>
      </c>
      <c r="W1990" s="705">
        <f t="shared" si="84"/>
        <v>436524</v>
      </c>
      <c r="X1990" s="705">
        <f t="shared" si="85"/>
        <v>516386</v>
      </c>
    </row>
    <row r="1991" spans="2:24">
      <c r="B1991" t="s">
        <v>548</v>
      </c>
      <c r="C1991" t="s">
        <v>116</v>
      </c>
      <c r="D1991" t="s">
        <v>668</v>
      </c>
      <c r="E1991" t="s">
        <v>668</v>
      </c>
      <c r="F1991" s="705">
        <v>1</v>
      </c>
      <c r="G1991" s="705">
        <v>71</v>
      </c>
      <c r="H1991" s="705">
        <v>215</v>
      </c>
      <c r="I1991" s="705">
        <v>10164</v>
      </c>
      <c r="J1991" s="705">
        <v>9240</v>
      </c>
      <c r="K1991" s="705">
        <v>85</v>
      </c>
      <c r="L1991" s="705">
        <v>0</v>
      </c>
      <c r="M1991" s="705">
        <v>0</v>
      </c>
      <c r="N1991" s="705">
        <v>968</v>
      </c>
      <c r="O1991" s="705">
        <v>359</v>
      </c>
      <c r="P1991" s="705">
        <v>351</v>
      </c>
      <c r="Q1991" s="705">
        <v>130</v>
      </c>
      <c r="R1991" s="705">
        <v>3779</v>
      </c>
      <c r="S1991" s="705">
        <v>3436</v>
      </c>
      <c r="T1991" s="705">
        <v>0</v>
      </c>
      <c r="U1991" s="705">
        <v>0</v>
      </c>
      <c r="V1991" s="705">
        <v>13165</v>
      </c>
      <c r="W1991" s="705">
        <f t="shared" si="84"/>
        <v>13165</v>
      </c>
      <c r="X1991" s="705">
        <f t="shared" si="85"/>
        <v>15262</v>
      </c>
    </row>
    <row r="1992" spans="2:24">
      <c r="B1992" t="s">
        <v>548</v>
      </c>
      <c r="C1992" t="s">
        <v>118</v>
      </c>
      <c r="D1992" t="s">
        <v>664</v>
      </c>
      <c r="E1992" t="s">
        <v>582</v>
      </c>
      <c r="F1992" s="705">
        <v>1</v>
      </c>
      <c r="G1992" s="705">
        <v>185</v>
      </c>
      <c r="H1992" s="705">
        <v>254</v>
      </c>
      <c r="I1992" s="705">
        <v>30844</v>
      </c>
      <c r="J1992" s="705">
        <v>28040</v>
      </c>
      <c r="K1992" s="705">
        <v>78</v>
      </c>
      <c r="L1992" s="705">
        <v>3273</v>
      </c>
      <c r="M1992" s="705">
        <v>2976</v>
      </c>
      <c r="N1992" s="705">
        <v>4449</v>
      </c>
      <c r="O1992" s="705">
        <v>1648</v>
      </c>
      <c r="P1992" s="705">
        <v>473</v>
      </c>
      <c r="Q1992" s="705">
        <v>175</v>
      </c>
      <c r="R1992" s="705">
        <v>8003</v>
      </c>
      <c r="S1992" s="705">
        <v>7276</v>
      </c>
      <c r="T1992" s="705">
        <v>0</v>
      </c>
      <c r="U1992" s="705">
        <v>0</v>
      </c>
      <c r="V1992" s="705">
        <v>40115</v>
      </c>
      <c r="W1992" s="705">
        <f t="shared" si="84"/>
        <v>40115</v>
      </c>
      <c r="X1992" s="705">
        <f t="shared" si="85"/>
        <v>47042</v>
      </c>
    </row>
    <row r="1993" spans="2:24">
      <c r="B1993" t="s">
        <v>548</v>
      </c>
      <c r="C1993" t="s">
        <v>118</v>
      </c>
      <c r="D1993" t="s">
        <v>582</v>
      </c>
      <c r="E1993" t="s">
        <v>582</v>
      </c>
      <c r="F1993" s="705">
        <v>9</v>
      </c>
      <c r="G1993" s="705">
        <v>1362</v>
      </c>
      <c r="H1993" s="705">
        <v>2258</v>
      </c>
      <c r="I1993" s="705">
        <v>202030</v>
      </c>
      <c r="J1993" s="705">
        <v>183663</v>
      </c>
      <c r="K1993" s="705">
        <v>81</v>
      </c>
      <c r="L1993" s="705">
        <v>47480</v>
      </c>
      <c r="M1993" s="705">
        <v>42534</v>
      </c>
      <c r="N1993" s="705">
        <v>29059</v>
      </c>
      <c r="O1993" s="705">
        <v>10762</v>
      </c>
      <c r="P1993" s="705">
        <v>4253</v>
      </c>
      <c r="Q1993" s="705">
        <v>1575</v>
      </c>
      <c r="R1993" s="705">
        <v>43506</v>
      </c>
      <c r="S1993" s="705">
        <v>39551</v>
      </c>
      <c r="T1993" s="705">
        <v>11889</v>
      </c>
      <c r="U1993" s="705">
        <v>4403</v>
      </c>
      <c r="V1993" s="705">
        <v>282488</v>
      </c>
      <c r="W1993" s="705">
        <f t="shared" si="84"/>
        <v>282488</v>
      </c>
      <c r="X1993" s="705">
        <f t="shared" si="85"/>
        <v>338217</v>
      </c>
    </row>
    <row r="1994" spans="2:24">
      <c r="B1994" t="s">
        <v>548</v>
      </c>
      <c r="C1994" t="s">
        <v>118</v>
      </c>
      <c r="D1994" t="s">
        <v>582</v>
      </c>
      <c r="E1994" t="s">
        <v>228</v>
      </c>
      <c r="F1994" s="705">
        <v>1</v>
      </c>
      <c r="G1994" s="705">
        <v>167</v>
      </c>
      <c r="H1994" s="705">
        <v>257</v>
      </c>
      <c r="I1994" s="705">
        <v>25541</v>
      </c>
      <c r="J1994" s="705">
        <v>23219</v>
      </c>
      <c r="K1994" s="705">
        <v>76</v>
      </c>
      <c r="L1994" s="705">
        <v>3008</v>
      </c>
      <c r="M1994" s="705">
        <v>2735</v>
      </c>
      <c r="N1994" s="705">
        <v>3811</v>
      </c>
      <c r="O1994" s="705">
        <v>1411</v>
      </c>
      <c r="P1994" s="705">
        <v>122</v>
      </c>
      <c r="Q1994" s="705">
        <v>45</v>
      </c>
      <c r="R1994" s="705">
        <v>10517</v>
      </c>
      <c r="S1994" s="705">
        <v>3895</v>
      </c>
      <c r="T1994" s="705">
        <v>0</v>
      </c>
      <c r="U1994" s="705">
        <v>0</v>
      </c>
      <c r="V1994" s="705">
        <v>31305</v>
      </c>
      <c r="W1994" s="705">
        <f t="shared" si="84"/>
        <v>31305</v>
      </c>
      <c r="X1994" s="705">
        <f t="shared" si="85"/>
        <v>42999</v>
      </c>
    </row>
    <row r="1995" spans="2:24">
      <c r="B1995" t="s">
        <v>548</v>
      </c>
      <c r="C1995" t="s">
        <v>118</v>
      </c>
      <c r="D1995" t="s">
        <v>228</v>
      </c>
      <c r="E1995" t="s">
        <v>228</v>
      </c>
      <c r="F1995" s="705">
        <v>11</v>
      </c>
      <c r="G1995" s="705">
        <v>2392</v>
      </c>
      <c r="H1995" s="705">
        <v>2815</v>
      </c>
      <c r="I1995" s="705">
        <v>393695</v>
      </c>
      <c r="J1995" s="705">
        <v>145813</v>
      </c>
      <c r="K1995" s="705">
        <v>114</v>
      </c>
      <c r="L1995" s="705">
        <v>53053</v>
      </c>
      <c r="M1995" s="705">
        <v>43813</v>
      </c>
      <c r="N1995" s="705">
        <v>56084</v>
      </c>
      <c r="O1995" s="705">
        <v>20772</v>
      </c>
      <c r="P1995" s="705">
        <v>702</v>
      </c>
      <c r="Q1995" s="705">
        <v>260</v>
      </c>
      <c r="R1995" s="705">
        <v>106537</v>
      </c>
      <c r="S1995" s="705">
        <v>39458</v>
      </c>
      <c r="T1995" s="705">
        <v>0</v>
      </c>
      <c r="U1995" s="705">
        <v>0</v>
      </c>
      <c r="V1995" s="705">
        <v>250116</v>
      </c>
      <c r="W1995" s="705">
        <f t="shared" si="84"/>
        <v>250116</v>
      </c>
      <c r="X1995" s="705">
        <f t="shared" si="85"/>
        <v>610071</v>
      </c>
    </row>
    <row r="1996" spans="2:24">
      <c r="B1996" t="s">
        <v>548</v>
      </c>
      <c r="C1996" t="s">
        <v>118</v>
      </c>
      <c r="D1996" t="s">
        <v>583</v>
      </c>
      <c r="E1996" t="s">
        <v>664</v>
      </c>
      <c r="F1996" s="705">
        <v>1</v>
      </c>
      <c r="G1996" s="705">
        <v>127</v>
      </c>
      <c r="H1996" s="705">
        <v>284</v>
      </c>
      <c r="I1996" s="705">
        <v>20075</v>
      </c>
      <c r="J1996" s="705">
        <v>18250</v>
      </c>
      <c r="K1996" s="705">
        <v>65</v>
      </c>
      <c r="L1996" s="705">
        <v>4595</v>
      </c>
      <c r="M1996" s="705">
        <v>4177</v>
      </c>
      <c r="N1996" s="705">
        <v>2962</v>
      </c>
      <c r="O1996" s="705">
        <v>1097</v>
      </c>
      <c r="P1996" s="705">
        <v>621</v>
      </c>
      <c r="Q1996" s="705">
        <v>230</v>
      </c>
      <c r="R1996" s="705">
        <v>7679</v>
      </c>
      <c r="S1996" s="705">
        <v>6981</v>
      </c>
      <c r="T1996" s="705">
        <v>0</v>
      </c>
      <c r="U1996" s="705">
        <v>0</v>
      </c>
      <c r="V1996" s="705">
        <v>30735</v>
      </c>
      <c r="W1996" s="705">
        <f t="shared" si="84"/>
        <v>30735</v>
      </c>
      <c r="X1996" s="705">
        <f t="shared" si="85"/>
        <v>35932</v>
      </c>
    </row>
    <row r="1997" spans="2:24">
      <c r="B1997" t="s">
        <v>548</v>
      </c>
      <c r="C1997" t="s">
        <v>118</v>
      </c>
      <c r="D1997" t="s">
        <v>583</v>
      </c>
      <c r="E1997" t="s">
        <v>228</v>
      </c>
      <c r="F1997" s="705">
        <v>2</v>
      </c>
      <c r="G1997" s="705">
        <v>417</v>
      </c>
      <c r="H1997" s="705">
        <v>493</v>
      </c>
      <c r="I1997" s="705">
        <v>58878</v>
      </c>
      <c r="J1997" s="705">
        <v>53525</v>
      </c>
      <c r="K1997" s="705">
        <v>78</v>
      </c>
      <c r="L1997" s="705">
        <v>14480</v>
      </c>
      <c r="M1997" s="705">
        <v>13164</v>
      </c>
      <c r="N1997" s="705">
        <v>8364</v>
      </c>
      <c r="O1997" s="705">
        <v>3098</v>
      </c>
      <c r="P1997" s="705">
        <v>1242</v>
      </c>
      <c r="Q1997" s="705">
        <v>460</v>
      </c>
      <c r="R1997" s="705">
        <v>20559</v>
      </c>
      <c r="S1997" s="705">
        <v>7614</v>
      </c>
      <c r="T1997" s="705">
        <v>0</v>
      </c>
      <c r="U1997" s="705">
        <v>0</v>
      </c>
      <c r="V1997" s="705">
        <v>77861</v>
      </c>
      <c r="W1997" s="705">
        <f t="shared" si="84"/>
        <v>77861</v>
      </c>
      <c r="X1997" s="705">
        <f t="shared" si="85"/>
        <v>103523</v>
      </c>
    </row>
    <row r="1998" spans="2:24">
      <c r="B1998" t="s">
        <v>548</v>
      </c>
      <c r="C1998" t="s">
        <v>118</v>
      </c>
      <c r="D1998" t="s">
        <v>583</v>
      </c>
      <c r="E1998" t="s">
        <v>583</v>
      </c>
      <c r="F1998" s="705">
        <v>1032</v>
      </c>
      <c r="G1998" s="705">
        <v>152072</v>
      </c>
      <c r="H1998" s="705">
        <v>270796</v>
      </c>
      <c r="I1998" s="705">
        <v>24038841</v>
      </c>
      <c r="J1998" s="705">
        <v>21853492</v>
      </c>
      <c r="K1998" s="705">
        <v>79</v>
      </c>
      <c r="L1998" s="705">
        <v>5410543</v>
      </c>
      <c r="M1998" s="705">
        <v>4681688</v>
      </c>
      <c r="N1998" s="705">
        <v>3179790</v>
      </c>
      <c r="O1998" s="705">
        <v>1177700</v>
      </c>
      <c r="P1998" s="705">
        <v>657033</v>
      </c>
      <c r="Q1998" s="705">
        <v>243346</v>
      </c>
      <c r="R1998" s="705">
        <v>5707814</v>
      </c>
      <c r="S1998" s="705">
        <v>5188921</v>
      </c>
      <c r="T1998" s="705">
        <v>1700377</v>
      </c>
      <c r="U1998" s="705">
        <v>629769</v>
      </c>
      <c r="V1998" s="705">
        <v>33774916</v>
      </c>
      <c r="W1998" s="705">
        <f t="shared" si="84"/>
        <v>33774916</v>
      </c>
      <c r="X1998" s="705">
        <f t="shared" si="85"/>
        <v>40694398</v>
      </c>
    </row>
    <row r="1999" spans="2:24">
      <c r="B1999" t="s">
        <v>548</v>
      </c>
      <c r="C1999" t="s">
        <v>118</v>
      </c>
      <c r="D1999" t="s">
        <v>583</v>
      </c>
      <c r="E1999" t="s">
        <v>584</v>
      </c>
      <c r="F1999" s="705">
        <v>2</v>
      </c>
      <c r="G1999" s="705">
        <v>335</v>
      </c>
      <c r="H1999" s="705">
        <v>491</v>
      </c>
      <c r="I1999" s="705">
        <v>44899</v>
      </c>
      <c r="J1999" s="705">
        <v>40817</v>
      </c>
      <c r="K1999" s="705">
        <v>70</v>
      </c>
      <c r="L1999" s="705">
        <v>13964</v>
      </c>
      <c r="M1999" s="705">
        <v>12267</v>
      </c>
      <c r="N1999" s="705">
        <v>6509</v>
      </c>
      <c r="O1999" s="705">
        <v>2411</v>
      </c>
      <c r="P1999" s="705">
        <v>1242</v>
      </c>
      <c r="Q1999" s="705">
        <v>460</v>
      </c>
      <c r="R1999" s="705">
        <v>10093</v>
      </c>
      <c r="S1999" s="705">
        <v>9175</v>
      </c>
      <c r="T1999" s="705">
        <v>5380</v>
      </c>
      <c r="U1999" s="705">
        <v>1993</v>
      </c>
      <c r="V1999" s="705">
        <v>67123</v>
      </c>
      <c r="W1999" s="705">
        <f t="shared" si="84"/>
        <v>67123</v>
      </c>
      <c r="X1999" s="705">
        <f t="shared" si="85"/>
        <v>82087</v>
      </c>
    </row>
    <row r="2000" spans="2:24">
      <c r="B2000" t="s">
        <v>548</v>
      </c>
      <c r="C2000" t="s">
        <v>118</v>
      </c>
      <c r="D2000" t="s">
        <v>666</v>
      </c>
      <c r="E2000" t="s">
        <v>228</v>
      </c>
      <c r="F2000" s="705">
        <v>1</v>
      </c>
      <c r="G2000" s="705">
        <v>204</v>
      </c>
      <c r="H2000" s="705">
        <v>286</v>
      </c>
      <c r="I2000" s="705">
        <v>37920</v>
      </c>
      <c r="J2000" s="705">
        <v>34473</v>
      </c>
      <c r="K2000" s="705">
        <v>50</v>
      </c>
      <c r="L2000" s="705">
        <v>7022</v>
      </c>
      <c r="M2000" s="705">
        <v>6384</v>
      </c>
      <c r="N2000" s="705">
        <v>4964</v>
      </c>
      <c r="O2000" s="705">
        <v>1838</v>
      </c>
      <c r="P2000" s="705">
        <v>351</v>
      </c>
      <c r="Q2000" s="705">
        <v>130</v>
      </c>
      <c r="R2000" s="705">
        <v>8013</v>
      </c>
      <c r="S2000" s="705">
        <v>2968</v>
      </c>
      <c r="T2000" s="705">
        <v>0</v>
      </c>
      <c r="U2000" s="705">
        <v>0</v>
      </c>
      <c r="V2000" s="705">
        <v>45793</v>
      </c>
      <c r="W2000" s="705">
        <f t="shared" si="84"/>
        <v>45793</v>
      </c>
      <c r="X2000" s="705">
        <f t="shared" si="85"/>
        <v>58270</v>
      </c>
    </row>
    <row r="2001" spans="2:24">
      <c r="B2001" t="s">
        <v>548</v>
      </c>
      <c r="C2001" t="s">
        <v>118</v>
      </c>
      <c r="D2001" t="s">
        <v>584</v>
      </c>
      <c r="E2001" t="s">
        <v>583</v>
      </c>
      <c r="F2001" s="705">
        <v>1</v>
      </c>
      <c r="G2001" s="705">
        <v>181</v>
      </c>
      <c r="H2001" s="705">
        <v>276</v>
      </c>
      <c r="I2001" s="705">
        <v>25041</v>
      </c>
      <c r="J2001" s="705">
        <v>22765</v>
      </c>
      <c r="K2001" s="705">
        <v>70</v>
      </c>
      <c r="L2001" s="705">
        <v>10092</v>
      </c>
      <c r="M2001" s="705">
        <v>8410</v>
      </c>
      <c r="N2001" s="705">
        <v>4146</v>
      </c>
      <c r="O2001" s="705">
        <v>1536</v>
      </c>
      <c r="P2001" s="705">
        <v>743</v>
      </c>
      <c r="Q2001" s="705">
        <v>275</v>
      </c>
      <c r="R2001" s="705">
        <v>6064</v>
      </c>
      <c r="S2001" s="705">
        <v>5512</v>
      </c>
      <c r="T2001" s="705">
        <v>3788</v>
      </c>
      <c r="U2001" s="705">
        <v>1403</v>
      </c>
      <c r="V2001" s="705">
        <v>39901</v>
      </c>
      <c r="W2001" s="705">
        <f t="shared" si="84"/>
        <v>39901</v>
      </c>
      <c r="X2001" s="705">
        <f t="shared" si="85"/>
        <v>49874</v>
      </c>
    </row>
    <row r="2002" spans="2:24">
      <c r="B2002" t="s">
        <v>548</v>
      </c>
      <c r="C2002" t="s">
        <v>118</v>
      </c>
      <c r="D2002" t="s">
        <v>584</v>
      </c>
      <c r="E2002" t="s">
        <v>584</v>
      </c>
      <c r="F2002" s="705">
        <v>412</v>
      </c>
      <c r="G2002" s="705">
        <v>52368</v>
      </c>
      <c r="H2002" s="705">
        <v>105581</v>
      </c>
      <c r="I2002" s="705">
        <v>7395396</v>
      </c>
      <c r="J2002" s="705">
        <v>6723088</v>
      </c>
      <c r="K2002" s="705">
        <v>79</v>
      </c>
      <c r="L2002" s="705">
        <v>2250827</v>
      </c>
      <c r="M2002" s="705">
        <v>1967955</v>
      </c>
      <c r="N2002" s="705">
        <v>1068087</v>
      </c>
      <c r="O2002" s="705">
        <v>395588</v>
      </c>
      <c r="P2002" s="705">
        <v>199625</v>
      </c>
      <c r="Q2002" s="705">
        <v>73935</v>
      </c>
      <c r="R2002" s="705">
        <v>2232390</v>
      </c>
      <c r="S2002" s="705">
        <v>2029445</v>
      </c>
      <c r="T2002" s="705">
        <v>461095</v>
      </c>
      <c r="U2002" s="705">
        <v>170776</v>
      </c>
      <c r="V2002" s="705">
        <v>11360787</v>
      </c>
      <c r="W2002" s="705">
        <f t="shared" si="84"/>
        <v>11360787</v>
      </c>
      <c r="X2002" s="705">
        <f t="shared" si="85"/>
        <v>13607420</v>
      </c>
    </row>
    <row r="2003" spans="2:24">
      <c r="B2003" t="s">
        <v>548</v>
      </c>
      <c r="C2003" t="s">
        <v>118</v>
      </c>
      <c r="D2003" t="s">
        <v>665</v>
      </c>
      <c r="E2003" t="s">
        <v>665</v>
      </c>
      <c r="F2003" s="705">
        <v>6</v>
      </c>
      <c r="G2003" s="705">
        <v>911</v>
      </c>
      <c r="H2003" s="705">
        <v>1630</v>
      </c>
      <c r="I2003" s="705">
        <v>148110</v>
      </c>
      <c r="J2003" s="705">
        <v>134645</v>
      </c>
      <c r="K2003" s="705">
        <v>65</v>
      </c>
      <c r="L2003" s="705">
        <v>25133</v>
      </c>
      <c r="M2003" s="705">
        <v>19966</v>
      </c>
      <c r="N2003" s="705">
        <v>17231</v>
      </c>
      <c r="O2003" s="705">
        <v>6382</v>
      </c>
      <c r="P2003" s="705">
        <v>3078</v>
      </c>
      <c r="Q2003" s="705">
        <v>1140</v>
      </c>
      <c r="R2003" s="705">
        <v>32322</v>
      </c>
      <c r="S2003" s="705">
        <v>29384</v>
      </c>
      <c r="T2003" s="705">
        <v>18877</v>
      </c>
      <c r="U2003" s="705">
        <v>6992</v>
      </c>
      <c r="V2003" s="705">
        <v>198509</v>
      </c>
      <c r="W2003" s="705">
        <f t="shared" si="84"/>
        <v>198509</v>
      </c>
      <c r="X2003" s="705">
        <f t="shared" si="85"/>
        <v>244751</v>
      </c>
    </row>
    <row r="2004" spans="2:24">
      <c r="B2004" t="s">
        <v>548</v>
      </c>
      <c r="C2004" t="s">
        <v>118</v>
      </c>
      <c r="D2004" t="s">
        <v>673</v>
      </c>
      <c r="E2004" t="s">
        <v>673</v>
      </c>
      <c r="F2004" s="705">
        <v>1</v>
      </c>
      <c r="G2004" s="705">
        <v>211</v>
      </c>
      <c r="H2004" s="705">
        <v>260</v>
      </c>
      <c r="I2004" s="705">
        <v>39192</v>
      </c>
      <c r="J2004" s="705">
        <v>35629</v>
      </c>
      <c r="K2004" s="705">
        <v>65</v>
      </c>
      <c r="L2004" s="705">
        <v>6290</v>
      </c>
      <c r="M2004" s="705">
        <v>5718</v>
      </c>
      <c r="N2004" s="705">
        <v>3084</v>
      </c>
      <c r="O2004" s="705">
        <v>1142</v>
      </c>
      <c r="P2004" s="705">
        <v>351</v>
      </c>
      <c r="Q2004" s="705">
        <v>130</v>
      </c>
      <c r="R2004" s="705">
        <v>5865</v>
      </c>
      <c r="S2004" s="705">
        <v>5332</v>
      </c>
      <c r="T2004" s="705">
        <v>0</v>
      </c>
      <c r="U2004" s="705">
        <v>0</v>
      </c>
      <c r="V2004" s="705">
        <v>47951</v>
      </c>
      <c r="W2004" s="705">
        <f t="shared" si="84"/>
        <v>47951</v>
      </c>
      <c r="X2004" s="705">
        <f t="shared" si="85"/>
        <v>54782</v>
      </c>
    </row>
    <row r="2005" spans="2:24">
      <c r="B2005" t="s">
        <v>548</v>
      </c>
      <c r="C2005" t="s">
        <v>118</v>
      </c>
      <c r="D2005" t="s">
        <v>585</v>
      </c>
      <c r="E2005" t="s">
        <v>585</v>
      </c>
      <c r="F2005" s="705">
        <v>3</v>
      </c>
      <c r="G2005" s="705">
        <v>532</v>
      </c>
      <c r="H2005" s="705">
        <v>846</v>
      </c>
      <c r="I2005" s="705">
        <v>104888</v>
      </c>
      <c r="J2005" s="705">
        <v>95353</v>
      </c>
      <c r="K2005" s="705">
        <v>66</v>
      </c>
      <c r="L2005" s="705">
        <v>13258</v>
      </c>
      <c r="M2005" s="705">
        <v>12053</v>
      </c>
      <c r="N2005" s="705">
        <v>11764</v>
      </c>
      <c r="O2005" s="705">
        <v>4357</v>
      </c>
      <c r="P2005" s="705">
        <v>1404</v>
      </c>
      <c r="Q2005" s="705">
        <v>520</v>
      </c>
      <c r="R2005" s="705">
        <v>20584</v>
      </c>
      <c r="S2005" s="705">
        <v>18713</v>
      </c>
      <c r="T2005" s="705">
        <v>7848</v>
      </c>
      <c r="U2005" s="705">
        <v>2907</v>
      </c>
      <c r="V2005" s="705">
        <v>133902</v>
      </c>
      <c r="W2005" s="705">
        <f t="shared" si="84"/>
        <v>133903</v>
      </c>
      <c r="X2005" s="705">
        <f t="shared" si="85"/>
        <v>159746</v>
      </c>
    </row>
    <row r="2006" spans="2:24">
      <c r="B2006" t="s">
        <v>548</v>
      </c>
      <c r="C2006" t="s">
        <v>118</v>
      </c>
      <c r="D2006" t="s">
        <v>668</v>
      </c>
      <c r="E2006" t="s">
        <v>668</v>
      </c>
      <c r="F2006" s="705">
        <v>2</v>
      </c>
      <c r="G2006" s="705">
        <v>285</v>
      </c>
      <c r="H2006" s="705">
        <v>546</v>
      </c>
      <c r="I2006" s="705">
        <v>54075</v>
      </c>
      <c r="J2006" s="705">
        <v>49159</v>
      </c>
      <c r="K2006" s="705">
        <v>83</v>
      </c>
      <c r="L2006" s="705">
        <v>8271</v>
      </c>
      <c r="M2006" s="705">
        <v>7519</v>
      </c>
      <c r="N2006" s="705">
        <v>4089</v>
      </c>
      <c r="O2006" s="705">
        <v>1515</v>
      </c>
      <c r="P2006" s="705">
        <v>702</v>
      </c>
      <c r="Q2006" s="705">
        <v>260</v>
      </c>
      <c r="R2006" s="705">
        <v>9163</v>
      </c>
      <c r="S2006" s="705">
        <v>8330</v>
      </c>
      <c r="T2006" s="705">
        <v>0</v>
      </c>
      <c r="U2006" s="705">
        <v>0</v>
      </c>
      <c r="V2006" s="705">
        <v>66783</v>
      </c>
      <c r="W2006" s="705">
        <f t="shared" si="84"/>
        <v>66783</v>
      </c>
      <c r="X2006" s="705">
        <f t="shared" si="85"/>
        <v>76300</v>
      </c>
    </row>
    <row r="2007" spans="2:24">
      <c r="B2007" t="s">
        <v>548</v>
      </c>
      <c r="C2007" t="s">
        <v>120</v>
      </c>
      <c r="D2007" t="s">
        <v>582</v>
      </c>
      <c r="E2007" t="s">
        <v>582</v>
      </c>
      <c r="F2007" s="705">
        <v>7</v>
      </c>
      <c r="G2007" s="705">
        <v>1139</v>
      </c>
      <c r="H2007" s="705">
        <v>2265</v>
      </c>
      <c r="I2007" s="705">
        <v>219722</v>
      </c>
      <c r="J2007" s="705">
        <v>199747</v>
      </c>
      <c r="K2007" s="705">
        <v>83</v>
      </c>
      <c r="L2007" s="705">
        <v>69959</v>
      </c>
      <c r="M2007" s="705">
        <v>61523</v>
      </c>
      <c r="N2007" s="705">
        <v>23800</v>
      </c>
      <c r="O2007" s="705">
        <v>8815</v>
      </c>
      <c r="P2007" s="705">
        <v>3308</v>
      </c>
      <c r="Q2007" s="705">
        <v>1225</v>
      </c>
      <c r="R2007" s="705">
        <v>47658</v>
      </c>
      <c r="S2007" s="705">
        <v>43325</v>
      </c>
      <c r="T2007" s="705">
        <v>5168</v>
      </c>
      <c r="U2007" s="705">
        <v>1914</v>
      </c>
      <c r="V2007" s="705">
        <v>316550</v>
      </c>
      <c r="W2007" s="705">
        <f t="shared" si="84"/>
        <v>316549</v>
      </c>
      <c r="X2007" s="705">
        <f t="shared" si="85"/>
        <v>369615</v>
      </c>
    </row>
    <row r="2008" spans="2:24">
      <c r="B2008" t="s">
        <v>548</v>
      </c>
      <c r="C2008" t="s">
        <v>120</v>
      </c>
      <c r="D2008" t="s">
        <v>228</v>
      </c>
      <c r="E2008" t="s">
        <v>228</v>
      </c>
      <c r="F2008" s="705">
        <v>7</v>
      </c>
      <c r="G2008" s="705">
        <v>955</v>
      </c>
      <c r="H2008" s="705">
        <v>2420</v>
      </c>
      <c r="I2008" s="705">
        <v>228308</v>
      </c>
      <c r="J2008" s="705">
        <v>84558</v>
      </c>
      <c r="K2008" s="705">
        <v>108</v>
      </c>
      <c r="L2008" s="705">
        <v>30252</v>
      </c>
      <c r="M2008" s="705">
        <v>18614</v>
      </c>
      <c r="N2008" s="705">
        <v>20443</v>
      </c>
      <c r="O2008" s="705">
        <v>7572</v>
      </c>
      <c r="P2008" s="705">
        <v>351</v>
      </c>
      <c r="Q2008" s="705">
        <v>130</v>
      </c>
      <c r="R2008" s="705">
        <v>57747</v>
      </c>
      <c r="S2008" s="705">
        <v>21388</v>
      </c>
      <c r="T2008" s="705">
        <v>0</v>
      </c>
      <c r="U2008" s="705">
        <v>0</v>
      </c>
      <c r="V2008" s="705">
        <v>132261</v>
      </c>
      <c r="W2008" s="705">
        <f t="shared" si="84"/>
        <v>132262</v>
      </c>
      <c r="X2008" s="705">
        <f t="shared" si="85"/>
        <v>337101</v>
      </c>
    </row>
    <row r="2009" spans="2:24">
      <c r="B2009" t="s">
        <v>548</v>
      </c>
      <c r="C2009" t="s">
        <v>120</v>
      </c>
      <c r="D2009" t="s">
        <v>583</v>
      </c>
      <c r="E2009" t="s">
        <v>228</v>
      </c>
      <c r="F2009" s="705">
        <v>2</v>
      </c>
      <c r="G2009" s="705">
        <v>204</v>
      </c>
      <c r="H2009" s="705">
        <v>677</v>
      </c>
      <c r="I2009" s="705">
        <v>44462</v>
      </c>
      <c r="J2009" s="705">
        <v>40420</v>
      </c>
      <c r="K2009" s="705">
        <v>78</v>
      </c>
      <c r="L2009" s="705">
        <v>6346</v>
      </c>
      <c r="M2009" s="705">
        <v>5362</v>
      </c>
      <c r="N2009" s="705">
        <v>4841</v>
      </c>
      <c r="O2009" s="705">
        <v>1793</v>
      </c>
      <c r="P2009" s="705">
        <v>1242</v>
      </c>
      <c r="Q2009" s="705">
        <v>460</v>
      </c>
      <c r="R2009" s="705">
        <v>9896</v>
      </c>
      <c r="S2009" s="705">
        <v>3665</v>
      </c>
      <c r="T2009" s="705">
        <v>0</v>
      </c>
      <c r="U2009" s="705">
        <v>0</v>
      </c>
      <c r="V2009" s="705">
        <v>51700</v>
      </c>
      <c r="W2009" s="705">
        <f t="shared" si="84"/>
        <v>51700</v>
      </c>
      <c r="X2009" s="705">
        <f t="shared" si="85"/>
        <v>66787</v>
      </c>
    </row>
    <row r="2010" spans="2:24">
      <c r="B2010" t="s">
        <v>548</v>
      </c>
      <c r="C2010" t="s">
        <v>120</v>
      </c>
      <c r="D2010" t="s">
        <v>583</v>
      </c>
      <c r="E2010" t="s">
        <v>583</v>
      </c>
      <c r="F2010" s="705">
        <v>554</v>
      </c>
      <c r="G2010" s="705">
        <v>70308</v>
      </c>
      <c r="H2010" s="705">
        <v>186653</v>
      </c>
      <c r="I2010" s="705">
        <v>14938239</v>
      </c>
      <c r="J2010" s="705">
        <v>13580217</v>
      </c>
      <c r="K2010" s="705">
        <v>74</v>
      </c>
      <c r="L2010" s="705">
        <v>3143985</v>
      </c>
      <c r="M2010" s="705">
        <v>2750421</v>
      </c>
      <c r="N2010" s="705">
        <v>1485488</v>
      </c>
      <c r="O2010" s="705">
        <v>550181</v>
      </c>
      <c r="P2010" s="705">
        <v>351257</v>
      </c>
      <c r="Q2010" s="705">
        <v>130095</v>
      </c>
      <c r="R2010" s="705">
        <v>3034113</v>
      </c>
      <c r="S2010" s="705">
        <v>2758284</v>
      </c>
      <c r="T2010" s="705">
        <v>1102212</v>
      </c>
      <c r="U2010" s="705">
        <v>408227</v>
      </c>
      <c r="V2010" s="705">
        <v>20177425</v>
      </c>
      <c r="W2010" s="705">
        <f t="shared" si="84"/>
        <v>20177425</v>
      </c>
      <c r="X2010" s="705">
        <f t="shared" si="85"/>
        <v>24055294</v>
      </c>
    </row>
    <row r="2011" spans="2:24">
      <c r="B2011" t="s">
        <v>548</v>
      </c>
      <c r="C2011" t="s">
        <v>120</v>
      </c>
      <c r="D2011" t="s">
        <v>583</v>
      </c>
      <c r="E2011" t="s">
        <v>666</v>
      </c>
      <c r="F2011" s="705">
        <v>1</v>
      </c>
      <c r="G2011" s="705">
        <v>202</v>
      </c>
      <c r="H2011" s="705">
        <v>372</v>
      </c>
      <c r="I2011" s="705">
        <v>49229</v>
      </c>
      <c r="J2011" s="705">
        <v>44754</v>
      </c>
      <c r="K2011" s="705">
        <v>65</v>
      </c>
      <c r="L2011" s="705">
        <v>5634</v>
      </c>
      <c r="M2011" s="705">
        <v>5122</v>
      </c>
      <c r="N2011" s="705">
        <v>4040</v>
      </c>
      <c r="O2011" s="705">
        <v>1496</v>
      </c>
      <c r="P2011" s="705">
        <v>621</v>
      </c>
      <c r="Q2011" s="705">
        <v>230</v>
      </c>
      <c r="R2011" s="705">
        <v>9952</v>
      </c>
      <c r="S2011" s="705">
        <v>9047</v>
      </c>
      <c r="T2011" s="705">
        <v>5771</v>
      </c>
      <c r="U2011" s="705">
        <v>2137</v>
      </c>
      <c r="V2011" s="705">
        <v>62787</v>
      </c>
      <c r="W2011" s="705">
        <f t="shared" si="84"/>
        <v>62786</v>
      </c>
      <c r="X2011" s="705">
        <f t="shared" si="85"/>
        <v>75247</v>
      </c>
    </row>
    <row r="2012" spans="2:24">
      <c r="B2012" t="s">
        <v>548</v>
      </c>
      <c r="C2012" t="s">
        <v>120</v>
      </c>
      <c r="D2012" t="s">
        <v>666</v>
      </c>
      <c r="E2012" t="s">
        <v>666</v>
      </c>
      <c r="F2012" s="705">
        <v>4</v>
      </c>
      <c r="G2012" s="705">
        <v>431</v>
      </c>
      <c r="H2012" s="705">
        <v>1368</v>
      </c>
      <c r="I2012" s="705">
        <v>97262</v>
      </c>
      <c r="J2012" s="705">
        <v>88420</v>
      </c>
      <c r="K2012" s="705">
        <v>59</v>
      </c>
      <c r="L2012" s="705">
        <v>5189</v>
      </c>
      <c r="M2012" s="705">
        <v>11176</v>
      </c>
      <c r="N2012" s="705">
        <v>9528</v>
      </c>
      <c r="O2012" s="705">
        <v>3529</v>
      </c>
      <c r="P2012" s="705">
        <v>2025</v>
      </c>
      <c r="Q2012" s="705">
        <v>750</v>
      </c>
      <c r="R2012" s="705">
        <v>22613</v>
      </c>
      <c r="S2012" s="705">
        <v>20558</v>
      </c>
      <c r="T2012" s="705">
        <v>11343</v>
      </c>
      <c r="U2012" s="705">
        <v>4201</v>
      </c>
      <c r="V2012" s="705">
        <v>128633</v>
      </c>
      <c r="W2012" s="705">
        <f t="shared" si="84"/>
        <v>128634</v>
      </c>
      <c r="X2012" s="705">
        <f t="shared" si="85"/>
        <v>147960</v>
      </c>
    </row>
    <row r="2013" spans="2:24">
      <c r="B2013" t="s">
        <v>548</v>
      </c>
      <c r="C2013" t="s">
        <v>120</v>
      </c>
      <c r="D2013" t="s">
        <v>584</v>
      </c>
      <c r="E2013" t="s">
        <v>584</v>
      </c>
      <c r="F2013" s="705">
        <v>66</v>
      </c>
      <c r="G2013" s="705">
        <v>7782</v>
      </c>
      <c r="H2013" s="705">
        <v>21969</v>
      </c>
      <c r="I2013" s="705">
        <v>1536502</v>
      </c>
      <c r="J2013" s="705">
        <v>1396820</v>
      </c>
      <c r="K2013" s="705">
        <v>79</v>
      </c>
      <c r="L2013" s="705">
        <v>447144</v>
      </c>
      <c r="M2013" s="705">
        <v>390058</v>
      </c>
      <c r="N2013" s="705">
        <v>165481</v>
      </c>
      <c r="O2013" s="705">
        <v>61289</v>
      </c>
      <c r="P2013" s="705">
        <v>31185</v>
      </c>
      <c r="Q2013" s="705">
        <v>11550</v>
      </c>
      <c r="R2013" s="705">
        <v>336506</v>
      </c>
      <c r="S2013" s="705">
        <v>305915</v>
      </c>
      <c r="T2013" s="705">
        <v>94291</v>
      </c>
      <c r="U2013" s="705">
        <v>34922</v>
      </c>
      <c r="V2013" s="705">
        <v>2200554</v>
      </c>
      <c r="W2013" s="705">
        <f t="shared" si="84"/>
        <v>2200554</v>
      </c>
      <c r="X2013" s="705">
        <f t="shared" si="85"/>
        <v>2611109</v>
      </c>
    </row>
    <row r="2014" spans="2:24">
      <c r="B2014" t="s">
        <v>548</v>
      </c>
      <c r="C2014" t="s">
        <v>120</v>
      </c>
      <c r="D2014" t="s">
        <v>669</v>
      </c>
      <c r="E2014" t="s">
        <v>669</v>
      </c>
      <c r="F2014" s="705">
        <v>3</v>
      </c>
      <c r="G2014" s="705">
        <v>294</v>
      </c>
      <c r="H2014" s="705">
        <v>1002</v>
      </c>
      <c r="I2014" s="705">
        <v>80430</v>
      </c>
      <c r="J2014" s="705">
        <v>67025</v>
      </c>
      <c r="K2014" s="705">
        <v>63</v>
      </c>
      <c r="L2014" s="705">
        <v>2903</v>
      </c>
      <c r="M2014" s="705">
        <v>2419</v>
      </c>
      <c r="N2014" s="705">
        <v>6216</v>
      </c>
      <c r="O2014" s="705">
        <v>2302</v>
      </c>
      <c r="P2014" s="705">
        <v>702</v>
      </c>
      <c r="Q2014" s="705">
        <v>260</v>
      </c>
      <c r="R2014" s="705">
        <v>18470</v>
      </c>
      <c r="S2014" s="705">
        <v>15391</v>
      </c>
      <c r="T2014" s="705">
        <v>9394</v>
      </c>
      <c r="U2014" s="705">
        <v>3479</v>
      </c>
      <c r="V2014" s="705">
        <v>90877</v>
      </c>
      <c r="W2014" s="705">
        <f t="shared" si="84"/>
        <v>90876</v>
      </c>
      <c r="X2014" s="705">
        <f t="shared" si="85"/>
        <v>118115</v>
      </c>
    </row>
    <row r="2015" spans="2:24">
      <c r="B2015" t="s">
        <v>548</v>
      </c>
      <c r="C2015" t="s">
        <v>120</v>
      </c>
      <c r="D2015" t="s">
        <v>665</v>
      </c>
      <c r="E2015" t="s">
        <v>665</v>
      </c>
      <c r="F2015" s="705">
        <v>6</v>
      </c>
      <c r="G2015" s="705">
        <v>665</v>
      </c>
      <c r="H2015" s="705">
        <v>2034</v>
      </c>
      <c r="I2015" s="705">
        <v>140839</v>
      </c>
      <c r="J2015" s="705">
        <v>128035</v>
      </c>
      <c r="K2015" s="705">
        <v>63</v>
      </c>
      <c r="L2015" s="705">
        <v>18197</v>
      </c>
      <c r="M2015" s="705">
        <v>14626</v>
      </c>
      <c r="N2015" s="705">
        <v>14508</v>
      </c>
      <c r="O2015" s="705">
        <v>5373</v>
      </c>
      <c r="P2015" s="705">
        <v>2916</v>
      </c>
      <c r="Q2015" s="705">
        <v>1080</v>
      </c>
      <c r="R2015" s="705">
        <v>36645</v>
      </c>
      <c r="S2015" s="705">
        <v>33314</v>
      </c>
      <c r="T2015" s="705">
        <v>13529</v>
      </c>
      <c r="U2015" s="705">
        <v>5011</v>
      </c>
      <c r="V2015" s="705">
        <v>187439</v>
      </c>
      <c r="W2015" s="705">
        <f t="shared" si="84"/>
        <v>187439</v>
      </c>
      <c r="X2015" s="705">
        <f t="shared" si="85"/>
        <v>226634</v>
      </c>
    </row>
    <row r="2016" spans="2:24">
      <c r="B2016" t="s">
        <v>548</v>
      </c>
      <c r="C2016" t="s">
        <v>120</v>
      </c>
      <c r="D2016" t="s">
        <v>585</v>
      </c>
      <c r="E2016" t="s">
        <v>585</v>
      </c>
      <c r="F2016" s="705">
        <v>1</v>
      </c>
      <c r="G2016" s="705">
        <v>156</v>
      </c>
      <c r="H2016" s="705">
        <v>311</v>
      </c>
      <c r="I2016" s="705">
        <v>35449</v>
      </c>
      <c r="J2016" s="705">
        <v>32227</v>
      </c>
      <c r="K2016" s="705">
        <v>65</v>
      </c>
      <c r="L2016" s="705">
        <v>4267</v>
      </c>
      <c r="M2016" s="705">
        <v>3879</v>
      </c>
      <c r="N2016" s="705">
        <v>2274</v>
      </c>
      <c r="O2016" s="705">
        <v>842</v>
      </c>
      <c r="P2016" s="705">
        <v>351</v>
      </c>
      <c r="Q2016" s="705">
        <v>130</v>
      </c>
      <c r="R2016" s="705">
        <v>3971</v>
      </c>
      <c r="S2016" s="705">
        <v>3610</v>
      </c>
      <c r="T2016" s="705">
        <v>2070</v>
      </c>
      <c r="U2016" s="705">
        <v>766</v>
      </c>
      <c r="V2016" s="705">
        <v>41455</v>
      </c>
      <c r="W2016" s="705">
        <f t="shared" si="84"/>
        <v>41454</v>
      </c>
      <c r="X2016" s="705">
        <f t="shared" si="85"/>
        <v>48382</v>
      </c>
    </row>
    <row r="2017" spans="2:24">
      <c r="B2017" t="s">
        <v>548</v>
      </c>
      <c r="C2017" t="s">
        <v>120</v>
      </c>
      <c r="D2017" t="s">
        <v>668</v>
      </c>
      <c r="E2017" t="s">
        <v>668</v>
      </c>
      <c r="F2017" s="705">
        <v>3</v>
      </c>
      <c r="G2017" s="705">
        <v>377</v>
      </c>
      <c r="H2017" s="705">
        <v>1037</v>
      </c>
      <c r="I2017" s="705">
        <v>87216</v>
      </c>
      <c r="J2017" s="705">
        <v>79287</v>
      </c>
      <c r="K2017" s="705">
        <v>76</v>
      </c>
      <c r="L2017" s="705">
        <v>16205</v>
      </c>
      <c r="M2017" s="705">
        <v>14466</v>
      </c>
      <c r="N2017" s="705">
        <v>6018</v>
      </c>
      <c r="O2017" s="705">
        <v>2229</v>
      </c>
      <c r="P2017" s="705">
        <v>1323</v>
      </c>
      <c r="Q2017" s="705">
        <v>490</v>
      </c>
      <c r="R2017" s="705">
        <v>18438</v>
      </c>
      <c r="S2017" s="705">
        <v>16762</v>
      </c>
      <c r="T2017" s="705">
        <v>0</v>
      </c>
      <c r="U2017" s="705">
        <v>0</v>
      </c>
      <c r="V2017" s="705">
        <v>113234</v>
      </c>
      <c r="W2017" s="705">
        <f t="shared" si="84"/>
        <v>113234</v>
      </c>
      <c r="X2017" s="705">
        <f t="shared" si="85"/>
        <v>129200</v>
      </c>
    </row>
    <row r="2018" spans="2:24">
      <c r="B2018" t="s">
        <v>548</v>
      </c>
      <c r="C2018" t="s">
        <v>122</v>
      </c>
      <c r="D2018" t="s">
        <v>582</v>
      </c>
      <c r="E2018" t="s">
        <v>582</v>
      </c>
      <c r="F2018" s="705">
        <v>1</v>
      </c>
      <c r="G2018" s="705">
        <v>156</v>
      </c>
      <c r="H2018" s="705">
        <v>394</v>
      </c>
      <c r="I2018" s="705">
        <v>50180</v>
      </c>
      <c r="J2018" s="705">
        <v>45618</v>
      </c>
      <c r="K2018" s="705">
        <v>81</v>
      </c>
      <c r="L2018" s="705">
        <v>0</v>
      </c>
      <c r="M2018" s="705">
        <v>0</v>
      </c>
      <c r="N2018" s="705">
        <v>3678</v>
      </c>
      <c r="O2018" s="705">
        <v>1362</v>
      </c>
      <c r="P2018" s="705">
        <v>473</v>
      </c>
      <c r="Q2018" s="705">
        <v>175</v>
      </c>
      <c r="R2018" s="705">
        <v>6918</v>
      </c>
      <c r="S2018" s="705">
        <v>6289</v>
      </c>
      <c r="T2018" s="705">
        <v>0</v>
      </c>
      <c r="U2018" s="705">
        <v>0</v>
      </c>
      <c r="V2018" s="705">
        <v>53444</v>
      </c>
      <c r="W2018" s="705">
        <f t="shared" ref="W2018:W2081" si="86">SUM(ABS(J2018),ABS(M2018),ABS(O2018),ABS(Q2018),ABS(S2018),ABS(U2018))</f>
        <v>53444</v>
      </c>
      <c r="X2018" s="705">
        <f t="shared" ref="X2018:X2081" si="87">SUM(ABS(I2018),ABS(N2018),ABS(P2018),ABS(R2018),ABS(T2018),ABS(L2018))</f>
        <v>61249</v>
      </c>
    </row>
    <row r="2019" spans="2:24">
      <c r="B2019" t="s">
        <v>548</v>
      </c>
      <c r="C2019" t="s">
        <v>122</v>
      </c>
      <c r="D2019" t="s">
        <v>228</v>
      </c>
      <c r="E2019" t="s">
        <v>228</v>
      </c>
      <c r="F2019" s="705">
        <v>9</v>
      </c>
      <c r="G2019" s="705">
        <v>958</v>
      </c>
      <c r="H2019" s="705">
        <v>3836</v>
      </c>
      <c r="I2019" s="705">
        <v>264058</v>
      </c>
      <c r="J2019" s="705">
        <v>97799</v>
      </c>
      <c r="K2019" s="705">
        <v>100</v>
      </c>
      <c r="L2019" s="705">
        <v>56062</v>
      </c>
      <c r="M2019" s="705">
        <v>41660</v>
      </c>
      <c r="N2019" s="705">
        <v>20137</v>
      </c>
      <c r="O2019" s="705">
        <v>7458</v>
      </c>
      <c r="P2019" s="705">
        <v>351</v>
      </c>
      <c r="Q2019" s="705">
        <v>130</v>
      </c>
      <c r="R2019" s="705">
        <v>69882</v>
      </c>
      <c r="S2019" s="705">
        <v>25882</v>
      </c>
      <c r="T2019" s="705">
        <v>0</v>
      </c>
      <c r="U2019" s="705">
        <v>0</v>
      </c>
      <c r="V2019" s="705">
        <v>172929</v>
      </c>
      <c r="W2019" s="705">
        <f t="shared" si="86"/>
        <v>172929</v>
      </c>
      <c r="X2019" s="705">
        <f t="shared" si="87"/>
        <v>410490</v>
      </c>
    </row>
    <row r="2020" spans="2:24">
      <c r="B2020" t="s">
        <v>548</v>
      </c>
      <c r="C2020" t="s">
        <v>122</v>
      </c>
      <c r="D2020" t="s">
        <v>228</v>
      </c>
      <c r="E2020" t="s">
        <v>671</v>
      </c>
      <c r="F2020" s="705">
        <v>1</v>
      </c>
      <c r="G2020" s="705">
        <v>62</v>
      </c>
      <c r="H2020" s="705">
        <v>433</v>
      </c>
      <c r="I2020" s="705">
        <v>17499</v>
      </c>
      <c r="J2020" s="705">
        <v>6481</v>
      </c>
      <c r="K2020" s="705">
        <v>100</v>
      </c>
      <c r="L2020" s="705">
        <v>1320</v>
      </c>
      <c r="M2020" s="705">
        <v>1200</v>
      </c>
      <c r="N2020" s="705">
        <v>1426</v>
      </c>
      <c r="O2020" s="705">
        <v>528</v>
      </c>
      <c r="P2020" s="705">
        <v>351</v>
      </c>
      <c r="Q2020" s="705">
        <v>130</v>
      </c>
      <c r="R2020" s="705">
        <v>6214</v>
      </c>
      <c r="S2020" s="705">
        <v>5649</v>
      </c>
      <c r="T2020" s="705">
        <v>0</v>
      </c>
      <c r="U2020" s="705">
        <v>0</v>
      </c>
      <c r="V2020" s="705">
        <v>13989</v>
      </c>
      <c r="W2020" s="705">
        <f t="shared" si="86"/>
        <v>13988</v>
      </c>
      <c r="X2020" s="705">
        <f t="shared" si="87"/>
        <v>26810</v>
      </c>
    </row>
    <row r="2021" spans="2:24">
      <c r="B2021" t="s">
        <v>548</v>
      </c>
      <c r="C2021" t="s">
        <v>122</v>
      </c>
      <c r="D2021" t="s">
        <v>583</v>
      </c>
      <c r="E2021" t="s">
        <v>583</v>
      </c>
      <c r="F2021" s="705">
        <v>242</v>
      </c>
      <c r="G2021" s="705">
        <v>30402</v>
      </c>
      <c r="H2021" s="705">
        <v>99887</v>
      </c>
      <c r="I2021" s="705">
        <v>8321738</v>
      </c>
      <c r="J2021" s="705">
        <v>7565216</v>
      </c>
      <c r="K2021" s="705">
        <v>75</v>
      </c>
      <c r="L2021" s="705">
        <v>1804773</v>
      </c>
      <c r="M2021" s="705">
        <v>1535135</v>
      </c>
      <c r="N2021" s="705">
        <v>649259</v>
      </c>
      <c r="O2021" s="705">
        <v>240466</v>
      </c>
      <c r="P2021" s="705">
        <v>153954</v>
      </c>
      <c r="Q2021" s="705">
        <v>57020</v>
      </c>
      <c r="R2021" s="705">
        <v>1287095</v>
      </c>
      <c r="S2021" s="705">
        <v>1170086</v>
      </c>
      <c r="T2021" s="705">
        <v>479344</v>
      </c>
      <c r="U2021" s="705">
        <v>177535</v>
      </c>
      <c r="V2021" s="705">
        <v>10745459</v>
      </c>
      <c r="W2021" s="705">
        <f t="shared" si="86"/>
        <v>10745458</v>
      </c>
      <c r="X2021" s="705">
        <f t="shared" si="87"/>
        <v>12696163</v>
      </c>
    </row>
    <row r="2022" spans="2:24">
      <c r="B2022" t="s">
        <v>548</v>
      </c>
      <c r="C2022" t="s">
        <v>122</v>
      </c>
      <c r="D2022" t="s">
        <v>583</v>
      </c>
      <c r="E2022" t="s">
        <v>666</v>
      </c>
      <c r="F2022" s="705">
        <v>1</v>
      </c>
      <c r="G2022" s="705">
        <v>69</v>
      </c>
      <c r="H2022" s="705">
        <v>398</v>
      </c>
      <c r="I2022" s="705">
        <v>16349</v>
      </c>
      <c r="J2022" s="705">
        <v>14863</v>
      </c>
      <c r="K2022" s="705">
        <v>79</v>
      </c>
      <c r="L2022" s="705">
        <v>2096</v>
      </c>
      <c r="M2022" s="705">
        <v>1906</v>
      </c>
      <c r="N2022" s="705">
        <v>1091</v>
      </c>
      <c r="O2022" s="705">
        <v>404</v>
      </c>
      <c r="P2022" s="705">
        <v>972</v>
      </c>
      <c r="Q2022" s="705">
        <v>360</v>
      </c>
      <c r="R2022" s="705">
        <v>4204</v>
      </c>
      <c r="S2022" s="705">
        <v>3822</v>
      </c>
      <c r="T2022" s="705">
        <v>2727</v>
      </c>
      <c r="U2022" s="705">
        <v>1010</v>
      </c>
      <c r="V2022" s="705">
        <v>22365</v>
      </c>
      <c r="W2022" s="705">
        <f t="shared" si="86"/>
        <v>22365</v>
      </c>
      <c r="X2022" s="705">
        <f t="shared" si="87"/>
        <v>27439</v>
      </c>
    </row>
    <row r="2023" spans="2:24">
      <c r="B2023" t="s">
        <v>548</v>
      </c>
      <c r="C2023" t="s">
        <v>122</v>
      </c>
      <c r="D2023" t="s">
        <v>583</v>
      </c>
      <c r="E2023" t="s">
        <v>669</v>
      </c>
      <c r="F2023" s="705">
        <v>2</v>
      </c>
      <c r="G2023" s="705">
        <v>248</v>
      </c>
      <c r="H2023" s="705">
        <v>832</v>
      </c>
      <c r="I2023" s="705">
        <v>63838</v>
      </c>
      <c r="J2023" s="705">
        <v>58034</v>
      </c>
      <c r="K2023" s="705">
        <v>65</v>
      </c>
      <c r="L2023" s="705">
        <v>15366</v>
      </c>
      <c r="M2023" s="705">
        <v>13283</v>
      </c>
      <c r="N2023" s="705">
        <v>5699</v>
      </c>
      <c r="O2023" s="705">
        <v>2111</v>
      </c>
      <c r="P2023" s="705">
        <v>1242</v>
      </c>
      <c r="Q2023" s="705">
        <v>460</v>
      </c>
      <c r="R2023" s="705">
        <v>13842</v>
      </c>
      <c r="S2023" s="705">
        <v>11535</v>
      </c>
      <c r="T2023" s="705">
        <v>3553</v>
      </c>
      <c r="U2023" s="705">
        <v>1316</v>
      </c>
      <c r="V2023" s="705">
        <v>86740</v>
      </c>
      <c r="W2023" s="705">
        <f t="shared" si="86"/>
        <v>86739</v>
      </c>
      <c r="X2023" s="705">
        <f t="shared" si="87"/>
        <v>103540</v>
      </c>
    </row>
    <row r="2024" spans="2:24">
      <c r="B2024" t="s">
        <v>548</v>
      </c>
      <c r="C2024" t="s">
        <v>122</v>
      </c>
      <c r="D2024" t="s">
        <v>666</v>
      </c>
      <c r="E2024" t="s">
        <v>228</v>
      </c>
      <c r="F2024" s="705">
        <v>2</v>
      </c>
      <c r="G2024" s="705">
        <v>188</v>
      </c>
      <c r="H2024" s="705">
        <v>866</v>
      </c>
      <c r="I2024" s="705">
        <v>56285</v>
      </c>
      <c r="J2024" s="705">
        <v>51168</v>
      </c>
      <c r="K2024" s="705">
        <v>55</v>
      </c>
      <c r="L2024" s="705">
        <v>5500</v>
      </c>
      <c r="M2024" s="705">
        <v>5000</v>
      </c>
      <c r="N2024" s="705">
        <v>4275</v>
      </c>
      <c r="O2024" s="705">
        <v>1583</v>
      </c>
      <c r="P2024" s="705">
        <v>702</v>
      </c>
      <c r="Q2024" s="705">
        <v>260</v>
      </c>
      <c r="R2024" s="705">
        <v>14689</v>
      </c>
      <c r="S2024" s="705">
        <v>5440</v>
      </c>
      <c r="T2024" s="705">
        <v>0</v>
      </c>
      <c r="U2024" s="705">
        <v>0</v>
      </c>
      <c r="V2024" s="705">
        <v>63452</v>
      </c>
      <c r="W2024" s="705">
        <f t="shared" si="86"/>
        <v>63451</v>
      </c>
      <c r="X2024" s="705">
        <f t="shared" si="87"/>
        <v>81451</v>
      </c>
    </row>
    <row r="2025" spans="2:24">
      <c r="B2025" t="s">
        <v>548</v>
      </c>
      <c r="C2025" t="s">
        <v>122</v>
      </c>
      <c r="D2025" t="s">
        <v>666</v>
      </c>
      <c r="E2025" t="s">
        <v>666</v>
      </c>
      <c r="F2025" s="705">
        <v>2</v>
      </c>
      <c r="G2025" s="705">
        <v>255</v>
      </c>
      <c r="H2025" s="705">
        <v>879</v>
      </c>
      <c r="I2025" s="705">
        <v>78046</v>
      </c>
      <c r="J2025" s="705">
        <v>70951</v>
      </c>
      <c r="K2025" s="705">
        <v>55</v>
      </c>
      <c r="L2025" s="705">
        <v>8693</v>
      </c>
      <c r="M2025" s="705">
        <v>7903</v>
      </c>
      <c r="N2025" s="705">
        <v>5108</v>
      </c>
      <c r="O2025" s="705">
        <v>1892</v>
      </c>
      <c r="P2025" s="705">
        <v>1323</v>
      </c>
      <c r="Q2025" s="705">
        <v>490</v>
      </c>
      <c r="R2025" s="705">
        <v>15798</v>
      </c>
      <c r="S2025" s="705">
        <v>14362</v>
      </c>
      <c r="T2025" s="705">
        <v>3023</v>
      </c>
      <c r="U2025" s="705">
        <v>1120</v>
      </c>
      <c r="V2025" s="705">
        <v>96717</v>
      </c>
      <c r="W2025" s="705">
        <f t="shared" si="86"/>
        <v>96718</v>
      </c>
      <c r="X2025" s="705">
        <f t="shared" si="87"/>
        <v>111991</v>
      </c>
    </row>
    <row r="2026" spans="2:24">
      <c r="B2026" t="s">
        <v>548</v>
      </c>
      <c r="C2026" t="s">
        <v>122</v>
      </c>
      <c r="D2026" t="s">
        <v>584</v>
      </c>
      <c r="E2026" t="s">
        <v>584</v>
      </c>
      <c r="F2026" s="705">
        <v>21</v>
      </c>
      <c r="G2026" s="705">
        <v>2710</v>
      </c>
      <c r="H2026" s="705">
        <v>8628</v>
      </c>
      <c r="I2026" s="705">
        <v>717707</v>
      </c>
      <c r="J2026" s="705">
        <v>652461</v>
      </c>
      <c r="K2026" s="705">
        <v>80</v>
      </c>
      <c r="L2026" s="705">
        <v>210503</v>
      </c>
      <c r="M2026" s="705">
        <v>187620</v>
      </c>
      <c r="N2026" s="705">
        <v>58699</v>
      </c>
      <c r="O2026" s="705">
        <v>21740</v>
      </c>
      <c r="P2026" s="705">
        <v>10773</v>
      </c>
      <c r="Q2026" s="705">
        <v>3990</v>
      </c>
      <c r="R2026" s="705">
        <v>101570</v>
      </c>
      <c r="S2026" s="705">
        <v>92336</v>
      </c>
      <c r="T2026" s="705">
        <v>37246</v>
      </c>
      <c r="U2026" s="705">
        <v>13795</v>
      </c>
      <c r="V2026" s="705">
        <v>971943</v>
      </c>
      <c r="W2026" s="705">
        <f t="shared" si="86"/>
        <v>971942</v>
      </c>
      <c r="X2026" s="705">
        <f t="shared" si="87"/>
        <v>1136498</v>
      </c>
    </row>
    <row r="2027" spans="2:24">
      <c r="B2027" t="s">
        <v>548</v>
      </c>
      <c r="C2027" t="s">
        <v>122</v>
      </c>
      <c r="D2027" t="s">
        <v>669</v>
      </c>
      <c r="E2027" t="s">
        <v>228</v>
      </c>
      <c r="F2027" s="705">
        <v>1</v>
      </c>
      <c r="G2027" s="705">
        <v>128</v>
      </c>
      <c r="H2027" s="705">
        <v>428</v>
      </c>
      <c r="I2027" s="705">
        <v>35655</v>
      </c>
      <c r="J2027" s="705">
        <v>29713</v>
      </c>
      <c r="K2027" s="705">
        <v>45</v>
      </c>
      <c r="L2027" s="705">
        <v>5943</v>
      </c>
      <c r="M2027" s="705">
        <v>4952</v>
      </c>
      <c r="N2027" s="705">
        <v>2970</v>
      </c>
      <c r="O2027" s="705">
        <v>1100</v>
      </c>
      <c r="P2027" s="705">
        <v>351</v>
      </c>
      <c r="Q2027" s="705">
        <v>130</v>
      </c>
      <c r="R2027" s="705">
        <v>9731</v>
      </c>
      <c r="S2027" s="705">
        <v>3604</v>
      </c>
      <c r="T2027" s="705">
        <v>0</v>
      </c>
      <c r="U2027" s="705">
        <v>0</v>
      </c>
      <c r="V2027" s="705">
        <v>39499</v>
      </c>
      <c r="W2027" s="705">
        <f t="shared" si="86"/>
        <v>39499</v>
      </c>
      <c r="X2027" s="705">
        <f t="shared" si="87"/>
        <v>54650</v>
      </c>
    </row>
    <row r="2028" spans="2:24">
      <c r="B2028" t="s">
        <v>548</v>
      </c>
      <c r="C2028" t="s">
        <v>122</v>
      </c>
      <c r="D2028" t="s">
        <v>669</v>
      </c>
      <c r="E2028" t="s">
        <v>669</v>
      </c>
      <c r="F2028" s="705">
        <v>4</v>
      </c>
      <c r="G2028" s="705">
        <v>411</v>
      </c>
      <c r="H2028" s="705">
        <v>1717</v>
      </c>
      <c r="I2028" s="705">
        <v>116428</v>
      </c>
      <c r="J2028" s="705">
        <v>97024</v>
      </c>
      <c r="K2028" s="705">
        <v>58</v>
      </c>
      <c r="L2028" s="705">
        <v>15655</v>
      </c>
      <c r="M2028" s="705">
        <v>13463</v>
      </c>
      <c r="N2028" s="705">
        <v>9178</v>
      </c>
      <c r="O2028" s="705">
        <v>3399</v>
      </c>
      <c r="P2028" s="705">
        <v>1323</v>
      </c>
      <c r="Q2028" s="705">
        <v>490</v>
      </c>
      <c r="R2028" s="705">
        <v>25969</v>
      </c>
      <c r="S2028" s="705">
        <v>21641</v>
      </c>
      <c r="T2028" s="705">
        <v>8097</v>
      </c>
      <c r="U2028" s="705">
        <v>2999</v>
      </c>
      <c r="V2028" s="705">
        <v>139015</v>
      </c>
      <c r="W2028" s="705">
        <f t="shared" si="86"/>
        <v>139016</v>
      </c>
      <c r="X2028" s="705">
        <f t="shared" si="87"/>
        <v>176650</v>
      </c>
    </row>
    <row r="2029" spans="2:24">
      <c r="B2029" t="s">
        <v>548</v>
      </c>
      <c r="C2029" t="s">
        <v>122</v>
      </c>
      <c r="D2029" t="s">
        <v>665</v>
      </c>
      <c r="E2029" t="s">
        <v>665</v>
      </c>
      <c r="F2029" s="705">
        <v>6</v>
      </c>
      <c r="G2029" s="705">
        <v>537</v>
      </c>
      <c r="H2029" s="705">
        <v>2538</v>
      </c>
      <c r="I2029" s="705">
        <v>140615</v>
      </c>
      <c r="J2029" s="705">
        <v>127831</v>
      </c>
      <c r="K2029" s="705">
        <v>58</v>
      </c>
      <c r="L2029" s="705">
        <v>30173</v>
      </c>
      <c r="M2029" s="705">
        <v>23176</v>
      </c>
      <c r="N2029" s="705">
        <v>10540</v>
      </c>
      <c r="O2029" s="705">
        <v>3904</v>
      </c>
      <c r="P2029" s="705">
        <v>2106</v>
      </c>
      <c r="Q2029" s="705">
        <v>780</v>
      </c>
      <c r="R2029" s="705">
        <v>30237</v>
      </c>
      <c r="S2029" s="705">
        <v>27488</v>
      </c>
      <c r="T2029" s="705">
        <v>14221</v>
      </c>
      <c r="U2029" s="705">
        <v>5267</v>
      </c>
      <c r="V2029" s="705">
        <v>188446</v>
      </c>
      <c r="W2029" s="705">
        <f t="shared" si="86"/>
        <v>188446</v>
      </c>
      <c r="X2029" s="705">
        <f t="shared" si="87"/>
        <v>227892</v>
      </c>
    </row>
    <row r="2030" spans="2:24">
      <c r="B2030" t="s">
        <v>548</v>
      </c>
      <c r="C2030" t="s">
        <v>122</v>
      </c>
      <c r="D2030" t="s">
        <v>668</v>
      </c>
      <c r="E2030" t="s">
        <v>668</v>
      </c>
      <c r="F2030" s="705">
        <v>1</v>
      </c>
      <c r="G2030" s="705">
        <v>79</v>
      </c>
      <c r="H2030" s="705">
        <v>395</v>
      </c>
      <c r="I2030" s="705">
        <v>21785</v>
      </c>
      <c r="J2030" s="705">
        <v>19805</v>
      </c>
      <c r="K2030" s="705">
        <v>85</v>
      </c>
      <c r="L2030" s="705">
        <v>3409</v>
      </c>
      <c r="M2030" s="705">
        <v>3099</v>
      </c>
      <c r="N2030" s="705">
        <v>1664</v>
      </c>
      <c r="O2030" s="705">
        <v>616</v>
      </c>
      <c r="P2030" s="705">
        <v>351</v>
      </c>
      <c r="Q2030" s="705">
        <v>130</v>
      </c>
      <c r="R2030" s="705">
        <v>3937</v>
      </c>
      <c r="S2030" s="705">
        <v>3579</v>
      </c>
      <c r="T2030" s="705">
        <v>0</v>
      </c>
      <c r="U2030" s="705">
        <v>0</v>
      </c>
      <c r="V2030" s="705">
        <v>27229</v>
      </c>
      <c r="W2030" s="705">
        <f t="shared" si="86"/>
        <v>27229</v>
      </c>
      <c r="X2030" s="705">
        <f t="shared" si="87"/>
        <v>31146</v>
      </c>
    </row>
    <row r="2031" spans="2:24">
      <c r="B2031" t="s">
        <v>548</v>
      </c>
      <c r="C2031" t="s">
        <v>124</v>
      </c>
      <c r="D2031" t="s">
        <v>582</v>
      </c>
      <c r="E2031" t="s">
        <v>582</v>
      </c>
      <c r="F2031" s="705">
        <v>1</v>
      </c>
      <c r="G2031" s="705">
        <v>71</v>
      </c>
      <c r="H2031" s="705">
        <v>666</v>
      </c>
      <c r="I2031" s="705">
        <v>38638</v>
      </c>
      <c r="J2031" s="705">
        <v>35125</v>
      </c>
      <c r="K2031" s="705">
        <v>63</v>
      </c>
      <c r="L2031" s="705">
        <v>0</v>
      </c>
      <c r="M2031" s="705">
        <v>0</v>
      </c>
      <c r="N2031" s="705">
        <v>1633</v>
      </c>
      <c r="O2031" s="705">
        <v>605</v>
      </c>
      <c r="P2031" s="705">
        <v>351</v>
      </c>
      <c r="Q2031" s="705">
        <v>130</v>
      </c>
      <c r="R2031" s="705">
        <v>4318</v>
      </c>
      <c r="S2031" s="705">
        <v>3925</v>
      </c>
      <c r="T2031" s="705">
        <v>2037</v>
      </c>
      <c r="U2031" s="705">
        <v>755</v>
      </c>
      <c r="V2031" s="705">
        <v>40540</v>
      </c>
      <c r="W2031" s="705">
        <f t="shared" si="86"/>
        <v>40540</v>
      </c>
      <c r="X2031" s="705">
        <f t="shared" si="87"/>
        <v>46977</v>
      </c>
    </row>
    <row r="2032" spans="2:24">
      <c r="B2032" t="s">
        <v>548</v>
      </c>
      <c r="C2032" t="s">
        <v>124</v>
      </c>
      <c r="D2032" t="s">
        <v>582</v>
      </c>
      <c r="E2032" t="s">
        <v>228</v>
      </c>
      <c r="F2032" s="705">
        <v>1</v>
      </c>
      <c r="G2032" s="705">
        <v>64</v>
      </c>
      <c r="H2032" s="705">
        <v>498</v>
      </c>
      <c r="I2032" s="705">
        <v>21775</v>
      </c>
      <c r="J2032" s="705">
        <v>19795</v>
      </c>
      <c r="K2032" s="705">
        <v>65</v>
      </c>
      <c r="L2032" s="705">
        <v>3738</v>
      </c>
      <c r="M2032" s="705">
        <v>3398</v>
      </c>
      <c r="N2032" s="705">
        <v>1406</v>
      </c>
      <c r="O2032" s="705">
        <v>521</v>
      </c>
      <c r="P2032" s="705">
        <v>473</v>
      </c>
      <c r="Q2032" s="705">
        <v>175</v>
      </c>
      <c r="R2032" s="705">
        <v>4553</v>
      </c>
      <c r="S2032" s="705">
        <v>1686</v>
      </c>
      <c r="T2032" s="705">
        <v>0</v>
      </c>
      <c r="U2032" s="705">
        <v>0</v>
      </c>
      <c r="V2032" s="705">
        <v>25576</v>
      </c>
      <c r="W2032" s="705">
        <f t="shared" si="86"/>
        <v>25575</v>
      </c>
      <c r="X2032" s="705">
        <f t="shared" si="87"/>
        <v>31945</v>
      </c>
    </row>
    <row r="2033" spans="2:24">
      <c r="B2033" t="s">
        <v>548</v>
      </c>
      <c r="C2033" t="s">
        <v>124</v>
      </c>
      <c r="D2033" t="s">
        <v>228</v>
      </c>
      <c r="E2033" t="s">
        <v>228</v>
      </c>
      <c r="F2033" s="705">
        <v>74</v>
      </c>
      <c r="G2033" s="705">
        <v>6840</v>
      </c>
      <c r="H2033" s="705">
        <v>57764</v>
      </c>
      <c r="I2033" s="705">
        <v>3817793</v>
      </c>
      <c r="J2033" s="705">
        <v>1413997</v>
      </c>
      <c r="K2033" s="705">
        <v>100</v>
      </c>
      <c r="L2033" s="705">
        <v>624600</v>
      </c>
      <c r="M2033" s="705">
        <v>518488</v>
      </c>
      <c r="N2033" s="705">
        <v>152172</v>
      </c>
      <c r="O2033" s="705">
        <v>56360</v>
      </c>
      <c r="P2033" s="705">
        <v>2727</v>
      </c>
      <c r="Q2033" s="705">
        <v>1010</v>
      </c>
      <c r="R2033" s="705">
        <v>487618</v>
      </c>
      <c r="S2033" s="705">
        <v>180599</v>
      </c>
      <c r="T2033" s="705">
        <v>4756</v>
      </c>
      <c r="U2033" s="705">
        <v>1761</v>
      </c>
      <c r="V2033" s="705">
        <v>2172215</v>
      </c>
      <c r="W2033" s="705">
        <f t="shared" si="86"/>
        <v>2172215</v>
      </c>
      <c r="X2033" s="705">
        <f t="shared" si="87"/>
        <v>5089666</v>
      </c>
    </row>
    <row r="2034" spans="2:24">
      <c r="B2034" t="s">
        <v>548</v>
      </c>
      <c r="C2034" t="s">
        <v>124</v>
      </c>
      <c r="D2034" t="s">
        <v>228</v>
      </c>
      <c r="E2034" t="s">
        <v>583</v>
      </c>
      <c r="F2034" s="705">
        <v>1</v>
      </c>
      <c r="G2034" s="705">
        <v>189</v>
      </c>
      <c r="H2034" s="705">
        <v>747</v>
      </c>
      <c r="I2034" s="705">
        <v>110635</v>
      </c>
      <c r="J2034" s="705">
        <v>40976</v>
      </c>
      <c r="K2034" s="705">
        <v>100</v>
      </c>
      <c r="L2034" s="705">
        <v>16694</v>
      </c>
      <c r="M2034" s="705">
        <v>15176</v>
      </c>
      <c r="N2034" s="705">
        <v>4043</v>
      </c>
      <c r="O2034" s="705">
        <v>1497</v>
      </c>
      <c r="P2034" s="705">
        <v>270</v>
      </c>
      <c r="Q2034" s="705">
        <v>100</v>
      </c>
      <c r="R2034" s="705">
        <v>9198</v>
      </c>
      <c r="S2034" s="705">
        <v>8362</v>
      </c>
      <c r="T2034" s="705">
        <v>0</v>
      </c>
      <c r="U2034" s="705">
        <v>0</v>
      </c>
      <c r="V2034" s="705">
        <v>66111</v>
      </c>
      <c r="W2034" s="705">
        <f t="shared" si="86"/>
        <v>66111</v>
      </c>
      <c r="X2034" s="705">
        <f t="shared" si="87"/>
        <v>140840</v>
      </c>
    </row>
    <row r="2035" spans="2:24">
      <c r="B2035" t="s">
        <v>548</v>
      </c>
      <c r="C2035" t="s">
        <v>124</v>
      </c>
      <c r="D2035" t="s">
        <v>228</v>
      </c>
      <c r="E2035" t="s">
        <v>669</v>
      </c>
      <c r="F2035" s="705">
        <v>1</v>
      </c>
      <c r="G2035" s="705">
        <v>68</v>
      </c>
      <c r="H2035" s="705">
        <v>946</v>
      </c>
      <c r="I2035" s="705">
        <v>47764</v>
      </c>
      <c r="J2035" s="705">
        <v>17690</v>
      </c>
      <c r="K2035" s="705">
        <v>100</v>
      </c>
      <c r="L2035" s="705">
        <v>8325</v>
      </c>
      <c r="M2035" s="705">
        <v>6937</v>
      </c>
      <c r="N2035" s="705">
        <v>1341</v>
      </c>
      <c r="O2035" s="705">
        <v>497</v>
      </c>
      <c r="P2035" s="705">
        <v>0</v>
      </c>
      <c r="Q2035" s="705">
        <v>0</v>
      </c>
      <c r="R2035" s="705">
        <v>5299</v>
      </c>
      <c r="S2035" s="705">
        <v>4416</v>
      </c>
      <c r="T2035" s="705">
        <v>1556</v>
      </c>
      <c r="U2035" s="705">
        <v>576</v>
      </c>
      <c r="V2035" s="705">
        <v>30117</v>
      </c>
      <c r="W2035" s="705">
        <f t="shared" si="86"/>
        <v>30116</v>
      </c>
      <c r="X2035" s="705">
        <f t="shared" si="87"/>
        <v>64285</v>
      </c>
    </row>
    <row r="2036" spans="2:24">
      <c r="B2036" t="s">
        <v>548</v>
      </c>
      <c r="C2036" t="s">
        <v>124</v>
      </c>
      <c r="D2036" t="s">
        <v>228</v>
      </c>
      <c r="E2036" t="s">
        <v>665</v>
      </c>
      <c r="F2036" s="705">
        <v>2</v>
      </c>
      <c r="G2036" s="705">
        <v>164</v>
      </c>
      <c r="H2036" s="705">
        <v>1345</v>
      </c>
      <c r="I2036" s="705">
        <v>72647</v>
      </c>
      <c r="J2036" s="705">
        <v>26906</v>
      </c>
      <c r="K2036" s="705">
        <v>100</v>
      </c>
      <c r="L2036" s="705">
        <v>6953</v>
      </c>
      <c r="M2036" s="705">
        <v>6321</v>
      </c>
      <c r="N2036" s="705">
        <v>3321</v>
      </c>
      <c r="O2036" s="705">
        <v>1230</v>
      </c>
      <c r="P2036" s="705">
        <v>0</v>
      </c>
      <c r="Q2036" s="705">
        <v>0</v>
      </c>
      <c r="R2036" s="705">
        <v>12701</v>
      </c>
      <c r="S2036" s="705">
        <v>11546</v>
      </c>
      <c r="T2036" s="705">
        <v>2576</v>
      </c>
      <c r="U2036" s="705">
        <v>954</v>
      </c>
      <c r="V2036" s="705">
        <v>46958</v>
      </c>
      <c r="W2036" s="705">
        <f t="shared" si="86"/>
        <v>46957</v>
      </c>
      <c r="X2036" s="705">
        <f t="shared" si="87"/>
        <v>98198</v>
      </c>
    </row>
    <row r="2037" spans="2:24">
      <c r="B2037" t="s">
        <v>548</v>
      </c>
      <c r="C2037" t="s">
        <v>124</v>
      </c>
      <c r="D2037" t="s">
        <v>583</v>
      </c>
      <c r="E2037" t="s">
        <v>228</v>
      </c>
      <c r="F2037" s="705">
        <v>9</v>
      </c>
      <c r="G2037" s="705">
        <v>964</v>
      </c>
      <c r="H2037" s="705">
        <v>5706</v>
      </c>
      <c r="I2037" s="705">
        <v>383472</v>
      </c>
      <c r="J2037" s="705">
        <v>348611</v>
      </c>
      <c r="K2037" s="705">
        <v>72</v>
      </c>
      <c r="L2037" s="705">
        <v>99908</v>
      </c>
      <c r="M2037" s="705">
        <v>89289</v>
      </c>
      <c r="N2037" s="705">
        <v>22932</v>
      </c>
      <c r="O2037" s="705">
        <v>8493</v>
      </c>
      <c r="P2037" s="705">
        <v>4968</v>
      </c>
      <c r="Q2037" s="705">
        <v>1840</v>
      </c>
      <c r="R2037" s="705">
        <v>57660</v>
      </c>
      <c r="S2037" s="705">
        <v>21356</v>
      </c>
      <c r="T2037" s="705">
        <v>0</v>
      </c>
      <c r="U2037" s="705">
        <v>0</v>
      </c>
      <c r="V2037" s="705">
        <v>469588</v>
      </c>
      <c r="W2037" s="705">
        <f t="shared" si="86"/>
        <v>469589</v>
      </c>
      <c r="X2037" s="705">
        <f t="shared" si="87"/>
        <v>568940</v>
      </c>
    </row>
    <row r="2038" spans="2:24">
      <c r="B2038" t="s">
        <v>548</v>
      </c>
      <c r="C2038" t="s">
        <v>124</v>
      </c>
      <c r="D2038" t="s">
        <v>583</v>
      </c>
      <c r="E2038" t="s">
        <v>583</v>
      </c>
      <c r="F2038" s="705">
        <v>315</v>
      </c>
      <c r="G2038" s="705">
        <v>31850</v>
      </c>
      <c r="H2038" s="705">
        <v>182600</v>
      </c>
      <c r="I2038" s="705">
        <v>12050766</v>
      </c>
      <c r="J2038" s="705">
        <v>10955242</v>
      </c>
      <c r="K2038" s="705">
        <v>72</v>
      </c>
      <c r="L2038" s="705">
        <v>3166728</v>
      </c>
      <c r="M2038" s="705">
        <v>2785821</v>
      </c>
      <c r="N2038" s="705">
        <v>701604</v>
      </c>
      <c r="O2038" s="705">
        <v>259853</v>
      </c>
      <c r="P2038" s="705">
        <v>199287</v>
      </c>
      <c r="Q2038" s="705">
        <v>73810</v>
      </c>
      <c r="R2038" s="705">
        <v>1615659</v>
      </c>
      <c r="S2038" s="705">
        <v>1468781</v>
      </c>
      <c r="T2038" s="705">
        <v>618031</v>
      </c>
      <c r="U2038" s="705">
        <v>228900</v>
      </c>
      <c r="V2038" s="705">
        <v>15772407</v>
      </c>
      <c r="W2038" s="705">
        <f t="shared" si="86"/>
        <v>15772407</v>
      </c>
      <c r="X2038" s="705">
        <f t="shared" si="87"/>
        <v>18352075</v>
      </c>
    </row>
    <row r="2039" spans="2:24">
      <c r="B2039" t="s">
        <v>548</v>
      </c>
      <c r="C2039" t="s">
        <v>124</v>
      </c>
      <c r="D2039" t="s">
        <v>666</v>
      </c>
      <c r="E2039" t="s">
        <v>228</v>
      </c>
      <c r="F2039" s="705">
        <v>14</v>
      </c>
      <c r="G2039" s="705">
        <v>1221</v>
      </c>
      <c r="H2039" s="705">
        <v>16844</v>
      </c>
      <c r="I2039" s="705">
        <v>1234822</v>
      </c>
      <c r="J2039" s="705">
        <v>1122566</v>
      </c>
      <c r="K2039" s="705">
        <v>34</v>
      </c>
      <c r="L2039" s="705">
        <v>72382</v>
      </c>
      <c r="M2039" s="705">
        <v>34584</v>
      </c>
      <c r="N2039" s="705">
        <v>27386</v>
      </c>
      <c r="O2039" s="705">
        <v>10143</v>
      </c>
      <c r="P2039" s="705">
        <v>1053</v>
      </c>
      <c r="Q2039" s="705">
        <v>390</v>
      </c>
      <c r="R2039" s="705">
        <v>73517</v>
      </c>
      <c r="S2039" s="705">
        <v>27228</v>
      </c>
      <c r="T2039" s="705">
        <v>2152</v>
      </c>
      <c r="U2039" s="705">
        <v>797</v>
      </c>
      <c r="V2039" s="705">
        <v>1195708</v>
      </c>
      <c r="W2039" s="705">
        <f t="shared" si="86"/>
        <v>1195708</v>
      </c>
      <c r="X2039" s="705">
        <f t="shared" si="87"/>
        <v>1411312</v>
      </c>
    </row>
    <row r="2040" spans="2:24">
      <c r="B2040" t="s">
        <v>548</v>
      </c>
      <c r="C2040" t="s">
        <v>124</v>
      </c>
      <c r="D2040" t="s">
        <v>666</v>
      </c>
      <c r="E2040" t="s">
        <v>583</v>
      </c>
      <c r="F2040" s="705">
        <v>1</v>
      </c>
      <c r="G2040" s="705">
        <v>116</v>
      </c>
      <c r="H2040" s="705">
        <v>1181</v>
      </c>
      <c r="I2040" s="705">
        <v>121251</v>
      </c>
      <c r="J2040" s="705">
        <v>110228</v>
      </c>
      <c r="K2040" s="705">
        <v>30</v>
      </c>
      <c r="L2040" s="705">
        <v>6736</v>
      </c>
      <c r="M2040" s="705">
        <v>6124</v>
      </c>
      <c r="N2040" s="705">
        <v>2765</v>
      </c>
      <c r="O2040" s="705">
        <v>1024</v>
      </c>
      <c r="P2040" s="705">
        <v>0</v>
      </c>
      <c r="Q2040" s="705">
        <v>0</v>
      </c>
      <c r="R2040" s="705">
        <v>4512</v>
      </c>
      <c r="S2040" s="705">
        <v>4102</v>
      </c>
      <c r="T2040" s="705">
        <v>2186</v>
      </c>
      <c r="U2040" s="705">
        <v>810</v>
      </c>
      <c r="V2040" s="705">
        <v>122288</v>
      </c>
      <c r="W2040" s="705">
        <f t="shared" si="86"/>
        <v>122288</v>
      </c>
      <c r="X2040" s="705">
        <f t="shared" si="87"/>
        <v>137450</v>
      </c>
    </row>
    <row r="2041" spans="2:24">
      <c r="B2041" t="s">
        <v>548</v>
      </c>
      <c r="C2041" t="s">
        <v>124</v>
      </c>
      <c r="D2041" t="s">
        <v>666</v>
      </c>
      <c r="E2041" t="s">
        <v>666</v>
      </c>
      <c r="F2041" s="705">
        <v>10</v>
      </c>
      <c r="G2041" s="705">
        <v>932</v>
      </c>
      <c r="H2041" s="705">
        <v>6836</v>
      </c>
      <c r="I2041" s="705">
        <v>454125</v>
      </c>
      <c r="J2041" s="705">
        <v>412841</v>
      </c>
      <c r="K2041" s="705">
        <v>55</v>
      </c>
      <c r="L2041" s="705">
        <v>77072</v>
      </c>
      <c r="M2041" s="705">
        <v>65450</v>
      </c>
      <c r="N2041" s="705">
        <v>20846</v>
      </c>
      <c r="O2041" s="705">
        <v>7721</v>
      </c>
      <c r="P2041" s="705">
        <v>3510</v>
      </c>
      <c r="Q2041" s="705">
        <v>1300</v>
      </c>
      <c r="R2041" s="705">
        <v>59060</v>
      </c>
      <c r="S2041" s="705">
        <v>53691</v>
      </c>
      <c r="T2041" s="705">
        <v>17594</v>
      </c>
      <c r="U2041" s="705">
        <v>6516</v>
      </c>
      <c r="V2041" s="705">
        <v>547519</v>
      </c>
      <c r="W2041" s="705">
        <f t="shared" si="86"/>
        <v>547519</v>
      </c>
      <c r="X2041" s="705">
        <f t="shared" si="87"/>
        <v>632207</v>
      </c>
    </row>
    <row r="2042" spans="2:24">
      <c r="B2042" t="s">
        <v>548</v>
      </c>
      <c r="C2042" t="s">
        <v>124</v>
      </c>
      <c r="D2042" t="s">
        <v>584</v>
      </c>
      <c r="E2042" t="s">
        <v>228</v>
      </c>
      <c r="F2042" s="705">
        <v>1</v>
      </c>
      <c r="G2042" s="705">
        <v>76</v>
      </c>
      <c r="H2042" s="705">
        <v>496</v>
      </c>
      <c r="I2042" s="705">
        <v>31632</v>
      </c>
      <c r="J2042" s="705">
        <v>28757</v>
      </c>
      <c r="K2042" s="705">
        <v>68</v>
      </c>
      <c r="L2042" s="705">
        <v>0</v>
      </c>
      <c r="M2042" s="705">
        <v>0</v>
      </c>
      <c r="N2042" s="705">
        <v>922</v>
      </c>
      <c r="O2042" s="705">
        <v>341</v>
      </c>
      <c r="P2042" s="705">
        <v>473</v>
      </c>
      <c r="Q2042" s="705">
        <v>175</v>
      </c>
      <c r="R2042" s="705">
        <v>4504</v>
      </c>
      <c r="S2042" s="705">
        <v>1668</v>
      </c>
      <c r="T2042" s="705">
        <v>0</v>
      </c>
      <c r="U2042" s="705">
        <v>0</v>
      </c>
      <c r="V2042" s="705">
        <v>30941</v>
      </c>
      <c r="W2042" s="705">
        <f t="shared" si="86"/>
        <v>30941</v>
      </c>
      <c r="X2042" s="705">
        <f t="shared" si="87"/>
        <v>37531</v>
      </c>
    </row>
    <row r="2043" spans="2:24">
      <c r="B2043" t="s">
        <v>548</v>
      </c>
      <c r="C2043" t="s">
        <v>124</v>
      </c>
      <c r="D2043" t="s">
        <v>584</v>
      </c>
      <c r="E2043" t="s">
        <v>584</v>
      </c>
      <c r="F2043" s="705">
        <v>24</v>
      </c>
      <c r="G2043" s="705">
        <v>2577</v>
      </c>
      <c r="H2043" s="705">
        <v>12921</v>
      </c>
      <c r="I2043" s="705">
        <v>919560</v>
      </c>
      <c r="J2043" s="705">
        <v>835963</v>
      </c>
      <c r="K2043" s="705">
        <v>75</v>
      </c>
      <c r="L2043" s="705">
        <v>233483</v>
      </c>
      <c r="M2043" s="705">
        <v>193244</v>
      </c>
      <c r="N2043" s="705">
        <v>54953</v>
      </c>
      <c r="O2043" s="705">
        <v>20353</v>
      </c>
      <c r="P2043" s="705">
        <v>11219</v>
      </c>
      <c r="Q2043" s="705">
        <v>4155</v>
      </c>
      <c r="R2043" s="705">
        <v>124359</v>
      </c>
      <c r="S2043" s="705">
        <v>113054</v>
      </c>
      <c r="T2043" s="705">
        <v>36244</v>
      </c>
      <c r="U2043" s="705">
        <v>13424</v>
      </c>
      <c r="V2043" s="705">
        <v>1180192</v>
      </c>
      <c r="W2043" s="705">
        <f t="shared" si="86"/>
        <v>1180193</v>
      </c>
      <c r="X2043" s="705">
        <f t="shared" si="87"/>
        <v>1379818</v>
      </c>
    </row>
    <row r="2044" spans="2:24">
      <c r="B2044" t="s">
        <v>548</v>
      </c>
      <c r="C2044" t="s">
        <v>124</v>
      </c>
      <c r="D2044" t="s">
        <v>669</v>
      </c>
      <c r="E2044" t="s">
        <v>228</v>
      </c>
      <c r="F2044" s="705">
        <v>2</v>
      </c>
      <c r="G2044" s="705">
        <v>123</v>
      </c>
      <c r="H2044" s="705">
        <v>3701</v>
      </c>
      <c r="I2044" s="705">
        <v>200644</v>
      </c>
      <c r="J2044" s="705">
        <v>167204</v>
      </c>
      <c r="K2044" s="705">
        <v>30</v>
      </c>
      <c r="L2044" s="705">
        <v>15048</v>
      </c>
      <c r="M2044" s="705">
        <v>5573</v>
      </c>
      <c r="N2044" s="705">
        <v>2987</v>
      </c>
      <c r="O2044" s="705">
        <v>1106</v>
      </c>
      <c r="P2044" s="705">
        <v>0</v>
      </c>
      <c r="Q2044" s="705">
        <v>0</v>
      </c>
      <c r="R2044" s="705">
        <v>8137</v>
      </c>
      <c r="S2044" s="705">
        <v>3014</v>
      </c>
      <c r="T2044" s="705">
        <v>0</v>
      </c>
      <c r="U2044" s="705">
        <v>0</v>
      </c>
      <c r="V2044" s="705">
        <v>176897</v>
      </c>
      <c r="W2044" s="705">
        <f t="shared" si="86"/>
        <v>176897</v>
      </c>
      <c r="X2044" s="705">
        <f t="shared" si="87"/>
        <v>226816</v>
      </c>
    </row>
    <row r="2045" spans="2:24">
      <c r="B2045" t="s">
        <v>548</v>
      </c>
      <c r="C2045" t="s">
        <v>124</v>
      </c>
      <c r="D2045" t="s">
        <v>669</v>
      </c>
      <c r="E2045" t="s">
        <v>669</v>
      </c>
      <c r="F2045" s="705">
        <v>10</v>
      </c>
      <c r="G2045" s="705">
        <v>992</v>
      </c>
      <c r="H2045" s="705">
        <v>7012</v>
      </c>
      <c r="I2045" s="705">
        <v>511876</v>
      </c>
      <c r="J2045" s="705">
        <v>426563</v>
      </c>
      <c r="K2045" s="705">
        <v>57</v>
      </c>
      <c r="L2045" s="705">
        <v>44608</v>
      </c>
      <c r="M2045" s="705">
        <v>30123</v>
      </c>
      <c r="N2045" s="705">
        <v>20904</v>
      </c>
      <c r="O2045" s="705">
        <v>7742</v>
      </c>
      <c r="P2045" s="705">
        <v>3159</v>
      </c>
      <c r="Q2045" s="705">
        <v>1170</v>
      </c>
      <c r="R2045" s="705">
        <v>64883</v>
      </c>
      <c r="S2045" s="705">
        <v>54069</v>
      </c>
      <c r="T2045" s="705">
        <v>19429</v>
      </c>
      <c r="U2045" s="705">
        <v>7196</v>
      </c>
      <c r="V2045" s="705">
        <v>526863</v>
      </c>
      <c r="W2045" s="705">
        <f t="shared" si="86"/>
        <v>526863</v>
      </c>
      <c r="X2045" s="705">
        <f t="shared" si="87"/>
        <v>664859</v>
      </c>
    </row>
    <row r="2046" spans="2:24">
      <c r="B2046" t="s">
        <v>548</v>
      </c>
      <c r="C2046" t="s">
        <v>124</v>
      </c>
      <c r="D2046" t="s">
        <v>665</v>
      </c>
      <c r="E2046" t="s">
        <v>228</v>
      </c>
      <c r="F2046" s="705">
        <v>20</v>
      </c>
      <c r="G2046" s="705">
        <v>1450</v>
      </c>
      <c r="H2046" s="705">
        <v>26549</v>
      </c>
      <c r="I2046" s="705">
        <v>1576786</v>
      </c>
      <c r="J2046" s="705">
        <v>1433442</v>
      </c>
      <c r="K2046" s="705">
        <v>35</v>
      </c>
      <c r="L2046" s="705">
        <v>121958</v>
      </c>
      <c r="M2046" s="705">
        <v>71593</v>
      </c>
      <c r="N2046" s="705">
        <v>32658</v>
      </c>
      <c r="O2046" s="705">
        <v>12096</v>
      </c>
      <c r="P2046" s="705">
        <v>702</v>
      </c>
      <c r="Q2046" s="705">
        <v>260</v>
      </c>
      <c r="R2046" s="705">
        <v>121319</v>
      </c>
      <c r="S2046" s="705">
        <v>44933</v>
      </c>
      <c r="T2046" s="705">
        <v>0</v>
      </c>
      <c r="U2046" s="705">
        <v>0</v>
      </c>
      <c r="V2046" s="705">
        <v>1562323</v>
      </c>
      <c r="W2046" s="705">
        <f t="shared" si="86"/>
        <v>1562324</v>
      </c>
      <c r="X2046" s="705">
        <f t="shared" si="87"/>
        <v>1853423</v>
      </c>
    </row>
    <row r="2047" spans="2:24">
      <c r="B2047" t="s">
        <v>548</v>
      </c>
      <c r="C2047" t="s">
        <v>124</v>
      </c>
      <c r="D2047" t="s">
        <v>665</v>
      </c>
      <c r="E2047" t="s">
        <v>665</v>
      </c>
      <c r="F2047" s="705">
        <v>30</v>
      </c>
      <c r="G2047" s="705">
        <v>2655</v>
      </c>
      <c r="H2047" s="705">
        <v>23670</v>
      </c>
      <c r="I2047" s="705">
        <v>1427098</v>
      </c>
      <c r="J2047" s="705">
        <v>1297362</v>
      </c>
      <c r="K2047" s="705">
        <v>52</v>
      </c>
      <c r="L2047" s="705">
        <v>236335</v>
      </c>
      <c r="M2047" s="705">
        <v>181158</v>
      </c>
      <c r="N2047" s="705">
        <v>54622</v>
      </c>
      <c r="O2047" s="705">
        <v>20230</v>
      </c>
      <c r="P2047" s="705">
        <v>7722</v>
      </c>
      <c r="Q2047" s="705">
        <v>2860</v>
      </c>
      <c r="R2047" s="705">
        <v>171967</v>
      </c>
      <c r="S2047" s="705">
        <v>156334</v>
      </c>
      <c r="T2047" s="705">
        <v>65719</v>
      </c>
      <c r="U2047" s="705">
        <v>24340</v>
      </c>
      <c r="V2047" s="705">
        <v>1682285</v>
      </c>
      <c r="W2047" s="705">
        <f t="shared" si="86"/>
        <v>1682284</v>
      </c>
      <c r="X2047" s="705">
        <f t="shared" si="87"/>
        <v>1963463</v>
      </c>
    </row>
    <row r="2048" spans="2:24">
      <c r="B2048" t="s">
        <v>548</v>
      </c>
      <c r="C2048" t="s">
        <v>124</v>
      </c>
      <c r="D2048" t="s">
        <v>665</v>
      </c>
      <c r="E2048" t="s">
        <v>722</v>
      </c>
      <c r="F2048" s="705">
        <v>1</v>
      </c>
      <c r="G2048" s="705">
        <v>77</v>
      </c>
      <c r="H2048" s="705">
        <v>565</v>
      </c>
      <c r="I2048" s="705">
        <v>28610</v>
      </c>
      <c r="J2048" s="705">
        <v>26009</v>
      </c>
      <c r="K2048" s="705">
        <v>65</v>
      </c>
      <c r="L2048" s="705">
        <v>6888</v>
      </c>
      <c r="M2048" s="705">
        <v>6262</v>
      </c>
      <c r="N2048" s="705">
        <v>1268</v>
      </c>
      <c r="O2048" s="705">
        <v>469</v>
      </c>
      <c r="P2048" s="705">
        <v>351</v>
      </c>
      <c r="Q2048" s="705">
        <v>130</v>
      </c>
      <c r="R2048" s="705">
        <v>6089</v>
      </c>
      <c r="S2048" s="705">
        <v>5535</v>
      </c>
      <c r="T2048" s="705">
        <v>0</v>
      </c>
      <c r="U2048" s="705">
        <v>0</v>
      </c>
      <c r="V2048" s="705">
        <v>38406</v>
      </c>
      <c r="W2048" s="705">
        <f t="shared" si="86"/>
        <v>38405</v>
      </c>
      <c r="X2048" s="705">
        <f t="shared" si="87"/>
        <v>43206</v>
      </c>
    </row>
    <row r="2049" spans="2:24">
      <c r="B2049" t="s">
        <v>548</v>
      </c>
      <c r="C2049" t="s">
        <v>124</v>
      </c>
      <c r="D2049" t="s">
        <v>585</v>
      </c>
      <c r="E2049" t="s">
        <v>585</v>
      </c>
      <c r="F2049" s="705">
        <v>1</v>
      </c>
      <c r="G2049" s="705">
        <v>125</v>
      </c>
      <c r="H2049" s="705">
        <v>668</v>
      </c>
      <c r="I2049" s="705">
        <v>56785</v>
      </c>
      <c r="J2049" s="705">
        <v>51623</v>
      </c>
      <c r="K2049" s="705">
        <v>65</v>
      </c>
      <c r="L2049" s="705">
        <v>14913</v>
      </c>
      <c r="M2049" s="705">
        <v>12428</v>
      </c>
      <c r="N2049" s="705">
        <v>3039</v>
      </c>
      <c r="O2049" s="705">
        <v>1125</v>
      </c>
      <c r="P2049" s="705">
        <v>351</v>
      </c>
      <c r="Q2049" s="705">
        <v>130</v>
      </c>
      <c r="R2049" s="705">
        <v>5199</v>
      </c>
      <c r="S2049" s="705">
        <v>4726</v>
      </c>
      <c r="T2049" s="705">
        <v>2998</v>
      </c>
      <c r="U2049" s="705">
        <v>1111</v>
      </c>
      <c r="V2049" s="705">
        <v>71143</v>
      </c>
      <c r="W2049" s="705">
        <f t="shared" si="86"/>
        <v>71143</v>
      </c>
      <c r="X2049" s="705">
        <f t="shared" si="87"/>
        <v>83285</v>
      </c>
    </row>
    <row r="2050" spans="2:24">
      <c r="B2050" t="s">
        <v>549</v>
      </c>
      <c r="C2050" t="s">
        <v>108</v>
      </c>
      <c r="D2050" t="s">
        <v>664</v>
      </c>
      <c r="E2050" t="s">
        <v>664</v>
      </c>
      <c r="F2050" s="705">
        <v>1</v>
      </c>
      <c r="G2050" s="705">
        <v>281</v>
      </c>
      <c r="H2050" s="705">
        <v>71</v>
      </c>
      <c r="I2050" s="705">
        <v>7452</v>
      </c>
      <c r="J2050" s="705">
        <v>6775</v>
      </c>
      <c r="K2050" s="705">
        <v>92</v>
      </c>
      <c r="L2050" s="705">
        <v>1167</v>
      </c>
      <c r="M2050" s="705">
        <v>1061</v>
      </c>
      <c r="N2050" s="705">
        <v>5138</v>
      </c>
      <c r="O2050" s="705">
        <v>1903</v>
      </c>
      <c r="P2050" s="705">
        <v>2964</v>
      </c>
      <c r="Q2050" s="705">
        <v>1098</v>
      </c>
      <c r="R2050" s="705">
        <v>3325</v>
      </c>
      <c r="S2050" s="705">
        <v>3022</v>
      </c>
      <c r="T2050" s="705">
        <v>0</v>
      </c>
      <c r="U2050" s="705">
        <v>0</v>
      </c>
      <c r="V2050" s="705">
        <v>13858</v>
      </c>
      <c r="W2050" s="705">
        <f t="shared" si="86"/>
        <v>13859</v>
      </c>
      <c r="X2050" s="705">
        <f t="shared" si="87"/>
        <v>20046</v>
      </c>
    </row>
    <row r="2051" spans="2:24">
      <c r="B2051" t="s">
        <v>549</v>
      </c>
      <c r="C2051" t="s">
        <v>108</v>
      </c>
      <c r="D2051" t="s">
        <v>582</v>
      </c>
      <c r="E2051" t="s">
        <v>582</v>
      </c>
      <c r="F2051" s="705">
        <v>4</v>
      </c>
      <c r="G2051" s="705">
        <v>532</v>
      </c>
      <c r="H2051" s="705">
        <v>287</v>
      </c>
      <c r="I2051" s="705">
        <v>16545</v>
      </c>
      <c r="J2051" s="705">
        <v>15041</v>
      </c>
      <c r="K2051" s="705">
        <v>90</v>
      </c>
      <c r="L2051" s="705">
        <v>2681</v>
      </c>
      <c r="M2051" s="705">
        <v>2437</v>
      </c>
      <c r="N2051" s="705">
        <v>6479</v>
      </c>
      <c r="O2051" s="705">
        <v>2400</v>
      </c>
      <c r="P2051" s="705">
        <v>1890</v>
      </c>
      <c r="Q2051" s="705">
        <v>700</v>
      </c>
      <c r="R2051" s="705">
        <v>10447</v>
      </c>
      <c r="S2051" s="705">
        <v>9498</v>
      </c>
      <c r="T2051" s="705">
        <v>0</v>
      </c>
      <c r="U2051" s="705">
        <v>0</v>
      </c>
      <c r="V2051" s="705">
        <v>30075</v>
      </c>
      <c r="W2051" s="705">
        <f t="shared" si="86"/>
        <v>30076</v>
      </c>
      <c r="X2051" s="705">
        <f t="shared" si="87"/>
        <v>38042</v>
      </c>
    </row>
    <row r="2052" spans="2:24">
      <c r="B2052" t="s">
        <v>549</v>
      </c>
      <c r="C2052" t="s">
        <v>108</v>
      </c>
      <c r="D2052" t="s">
        <v>228</v>
      </c>
      <c r="E2052" t="s">
        <v>228</v>
      </c>
      <c r="F2052" s="705">
        <v>183</v>
      </c>
      <c r="G2052" s="705">
        <v>42719</v>
      </c>
      <c r="H2052" s="705">
        <v>9645</v>
      </c>
      <c r="I2052" s="705">
        <v>238046</v>
      </c>
      <c r="J2052" s="705">
        <v>88165</v>
      </c>
      <c r="K2052" s="705">
        <v>472</v>
      </c>
      <c r="L2052" s="705">
        <v>54460</v>
      </c>
      <c r="M2052" s="705">
        <v>47979</v>
      </c>
      <c r="N2052" s="705">
        <v>583697</v>
      </c>
      <c r="O2052" s="705">
        <v>216184</v>
      </c>
      <c r="P2052" s="705">
        <v>354847</v>
      </c>
      <c r="Q2052" s="705">
        <v>131425</v>
      </c>
      <c r="R2052" s="705">
        <v>982279</v>
      </c>
      <c r="S2052" s="705">
        <v>363807</v>
      </c>
      <c r="T2052" s="705">
        <v>4495</v>
      </c>
      <c r="U2052" s="705">
        <v>1665</v>
      </c>
      <c r="V2052" s="705">
        <v>849225</v>
      </c>
      <c r="W2052" s="705">
        <f t="shared" si="86"/>
        <v>849225</v>
      </c>
      <c r="X2052" s="705">
        <f t="shared" si="87"/>
        <v>2217824</v>
      </c>
    </row>
    <row r="2053" spans="2:24">
      <c r="B2053" t="s">
        <v>549</v>
      </c>
      <c r="C2053" t="s">
        <v>108</v>
      </c>
      <c r="D2053" t="s">
        <v>583</v>
      </c>
      <c r="E2053" t="s">
        <v>228</v>
      </c>
      <c r="F2053" s="705">
        <v>4</v>
      </c>
      <c r="G2053" s="705">
        <v>847</v>
      </c>
      <c r="H2053" s="705">
        <v>241</v>
      </c>
      <c r="I2053" s="705">
        <v>5706</v>
      </c>
      <c r="J2053" s="705">
        <v>5187</v>
      </c>
      <c r="K2053" s="705">
        <v>95</v>
      </c>
      <c r="L2053" s="705">
        <v>938</v>
      </c>
      <c r="M2053" s="705">
        <v>853</v>
      </c>
      <c r="N2053" s="705">
        <v>10316</v>
      </c>
      <c r="O2053" s="705">
        <v>3821</v>
      </c>
      <c r="P2053" s="705">
        <v>7629</v>
      </c>
      <c r="Q2053" s="705">
        <v>2826</v>
      </c>
      <c r="R2053" s="705">
        <v>25585</v>
      </c>
      <c r="S2053" s="705">
        <v>9476</v>
      </c>
      <c r="T2053" s="705">
        <v>0</v>
      </c>
      <c r="U2053" s="705">
        <v>0</v>
      </c>
      <c r="V2053" s="705">
        <v>22162</v>
      </c>
      <c r="W2053" s="705">
        <f t="shared" si="86"/>
        <v>22163</v>
      </c>
      <c r="X2053" s="705">
        <f t="shared" si="87"/>
        <v>50174</v>
      </c>
    </row>
    <row r="2054" spans="2:24">
      <c r="B2054" t="s">
        <v>549</v>
      </c>
      <c r="C2054" t="s">
        <v>108</v>
      </c>
      <c r="D2054" t="s">
        <v>583</v>
      </c>
      <c r="E2054" t="s">
        <v>583</v>
      </c>
      <c r="F2054" s="705">
        <v>76</v>
      </c>
      <c r="G2054" s="705">
        <v>16504</v>
      </c>
      <c r="H2054" s="705">
        <v>4317</v>
      </c>
      <c r="I2054" s="705">
        <v>250282</v>
      </c>
      <c r="J2054" s="705">
        <v>227529</v>
      </c>
      <c r="K2054" s="705">
        <v>98</v>
      </c>
      <c r="L2054" s="705">
        <v>42362</v>
      </c>
      <c r="M2054" s="705">
        <v>43138</v>
      </c>
      <c r="N2054" s="705">
        <v>221631</v>
      </c>
      <c r="O2054" s="705">
        <v>82086</v>
      </c>
      <c r="P2054" s="705">
        <v>143901</v>
      </c>
      <c r="Q2054" s="705">
        <v>53297</v>
      </c>
      <c r="R2054" s="705">
        <v>280713</v>
      </c>
      <c r="S2054" s="705">
        <v>255193</v>
      </c>
      <c r="T2054" s="705">
        <v>2160</v>
      </c>
      <c r="U2054" s="705">
        <v>800</v>
      </c>
      <c r="V2054" s="705">
        <v>662043</v>
      </c>
      <c r="W2054" s="705">
        <f t="shared" si="86"/>
        <v>662043</v>
      </c>
      <c r="X2054" s="705">
        <f t="shared" si="87"/>
        <v>941049</v>
      </c>
    </row>
    <row r="2055" spans="2:24">
      <c r="B2055" t="s">
        <v>549</v>
      </c>
      <c r="C2055" t="s">
        <v>108</v>
      </c>
      <c r="D2055" t="s">
        <v>584</v>
      </c>
      <c r="E2055" t="s">
        <v>228</v>
      </c>
      <c r="F2055" s="705">
        <v>1</v>
      </c>
      <c r="G2055" s="705">
        <v>258</v>
      </c>
      <c r="H2055" s="705">
        <v>52</v>
      </c>
      <c r="I2055" s="705">
        <v>3799</v>
      </c>
      <c r="J2055" s="705">
        <v>3454</v>
      </c>
      <c r="K2055" s="705">
        <v>90</v>
      </c>
      <c r="L2055" s="705">
        <v>556</v>
      </c>
      <c r="M2055" s="705">
        <v>505</v>
      </c>
      <c r="N2055" s="705">
        <v>3140</v>
      </c>
      <c r="O2055" s="705">
        <v>1163</v>
      </c>
      <c r="P2055" s="705">
        <v>473</v>
      </c>
      <c r="Q2055" s="705">
        <v>175</v>
      </c>
      <c r="R2055" s="705">
        <v>5466</v>
      </c>
      <c r="S2055" s="705">
        <v>2024</v>
      </c>
      <c r="T2055" s="705">
        <v>0</v>
      </c>
      <c r="U2055" s="705">
        <v>0</v>
      </c>
      <c r="V2055" s="705">
        <v>7322</v>
      </c>
      <c r="W2055" s="705">
        <f t="shared" si="86"/>
        <v>7321</v>
      </c>
      <c r="X2055" s="705">
        <f t="shared" si="87"/>
        <v>13434</v>
      </c>
    </row>
    <row r="2056" spans="2:24">
      <c r="B2056" t="s">
        <v>549</v>
      </c>
      <c r="C2056" t="s">
        <v>108</v>
      </c>
      <c r="D2056" t="s">
        <v>584</v>
      </c>
      <c r="E2056" t="s">
        <v>584</v>
      </c>
      <c r="F2056" s="705">
        <v>17</v>
      </c>
      <c r="G2056" s="705">
        <v>2569</v>
      </c>
      <c r="H2056" s="705">
        <v>999</v>
      </c>
      <c r="I2056" s="705">
        <v>62977</v>
      </c>
      <c r="J2056" s="705">
        <v>57252</v>
      </c>
      <c r="K2056" s="705">
        <v>90</v>
      </c>
      <c r="L2056" s="705">
        <v>7468</v>
      </c>
      <c r="M2056" s="705">
        <v>7313</v>
      </c>
      <c r="N2056" s="705">
        <v>31391</v>
      </c>
      <c r="O2056" s="705">
        <v>11626</v>
      </c>
      <c r="P2056" s="705">
        <v>11126</v>
      </c>
      <c r="Q2056" s="705">
        <v>4121</v>
      </c>
      <c r="R2056" s="705">
        <v>37937</v>
      </c>
      <c r="S2056" s="705">
        <v>34488</v>
      </c>
      <c r="T2056" s="705">
        <v>0</v>
      </c>
      <c r="U2056" s="705">
        <v>0</v>
      </c>
      <c r="V2056" s="705">
        <v>114800</v>
      </c>
      <c r="W2056" s="705">
        <f t="shared" si="86"/>
        <v>114800</v>
      </c>
      <c r="X2056" s="705">
        <f t="shared" si="87"/>
        <v>150899</v>
      </c>
    </row>
    <row r="2057" spans="2:24">
      <c r="B2057" t="s">
        <v>549</v>
      </c>
      <c r="C2057" t="s">
        <v>108</v>
      </c>
      <c r="D2057" t="s">
        <v>673</v>
      </c>
      <c r="E2057" t="s">
        <v>673</v>
      </c>
      <c r="F2057" s="705">
        <v>1</v>
      </c>
      <c r="G2057" s="705">
        <v>197</v>
      </c>
      <c r="H2057" s="705">
        <v>68</v>
      </c>
      <c r="I2057" s="705">
        <v>3992</v>
      </c>
      <c r="J2057" s="705">
        <v>3629</v>
      </c>
      <c r="K2057" s="705">
        <v>83</v>
      </c>
      <c r="L2057" s="705">
        <v>611</v>
      </c>
      <c r="M2057" s="705">
        <v>556</v>
      </c>
      <c r="N2057" s="705">
        <v>2400</v>
      </c>
      <c r="O2057" s="705">
        <v>889</v>
      </c>
      <c r="P2057" s="705">
        <v>1973</v>
      </c>
      <c r="Q2057" s="705">
        <v>731</v>
      </c>
      <c r="R2057" s="705">
        <v>4345</v>
      </c>
      <c r="S2057" s="705">
        <v>3950</v>
      </c>
      <c r="T2057" s="705">
        <v>0</v>
      </c>
      <c r="U2057" s="705">
        <v>0</v>
      </c>
      <c r="V2057" s="705">
        <v>9755</v>
      </c>
      <c r="W2057" s="705">
        <f t="shared" si="86"/>
        <v>9755</v>
      </c>
      <c r="X2057" s="705">
        <f t="shared" si="87"/>
        <v>13321</v>
      </c>
    </row>
    <row r="2058" spans="2:24">
      <c r="B2058" t="s">
        <v>549</v>
      </c>
      <c r="C2058" t="s">
        <v>108</v>
      </c>
      <c r="D2058" t="s">
        <v>585</v>
      </c>
      <c r="E2058" t="s">
        <v>585</v>
      </c>
      <c r="F2058" s="705">
        <v>1</v>
      </c>
      <c r="G2058" s="705">
        <v>240</v>
      </c>
      <c r="H2058" s="705">
        <v>56</v>
      </c>
      <c r="I2058" s="705">
        <v>2540</v>
      </c>
      <c r="J2058" s="705">
        <v>2309</v>
      </c>
      <c r="K2058" s="705">
        <v>90</v>
      </c>
      <c r="L2058" s="705">
        <v>389</v>
      </c>
      <c r="M2058" s="705">
        <v>353</v>
      </c>
      <c r="N2058" s="705">
        <v>2924</v>
      </c>
      <c r="O2058" s="705">
        <v>1083</v>
      </c>
      <c r="P2058" s="705">
        <v>2525</v>
      </c>
      <c r="Q2058" s="705">
        <v>935</v>
      </c>
      <c r="R2058" s="705">
        <v>5155</v>
      </c>
      <c r="S2058" s="705">
        <v>4686</v>
      </c>
      <c r="T2058" s="705">
        <v>0</v>
      </c>
      <c r="U2058" s="705">
        <v>0</v>
      </c>
      <c r="V2058" s="705">
        <v>9366</v>
      </c>
      <c r="W2058" s="705">
        <f t="shared" si="86"/>
        <v>9366</v>
      </c>
      <c r="X2058" s="705">
        <f t="shared" si="87"/>
        <v>13533</v>
      </c>
    </row>
    <row r="2059" spans="2:24">
      <c r="B2059" t="s">
        <v>549</v>
      </c>
      <c r="C2059" t="s">
        <v>110</v>
      </c>
      <c r="D2059" t="s">
        <v>582</v>
      </c>
      <c r="E2059" t="s">
        <v>582</v>
      </c>
      <c r="F2059" s="705">
        <v>4</v>
      </c>
      <c r="G2059" s="705">
        <v>523</v>
      </c>
      <c r="H2059" s="705">
        <v>348</v>
      </c>
      <c r="I2059" s="705">
        <v>33183</v>
      </c>
      <c r="J2059" s="705">
        <v>30166</v>
      </c>
      <c r="K2059" s="705">
        <v>90</v>
      </c>
      <c r="L2059" s="705">
        <v>4773</v>
      </c>
      <c r="M2059" s="705">
        <v>4340</v>
      </c>
      <c r="N2059" s="705">
        <v>7782</v>
      </c>
      <c r="O2059" s="705">
        <v>2882</v>
      </c>
      <c r="P2059" s="705">
        <v>1890</v>
      </c>
      <c r="Q2059" s="705">
        <v>700</v>
      </c>
      <c r="R2059" s="705">
        <v>10155</v>
      </c>
      <c r="S2059" s="705">
        <v>9232</v>
      </c>
      <c r="T2059" s="705">
        <v>0</v>
      </c>
      <c r="U2059" s="705">
        <v>0</v>
      </c>
      <c r="V2059" s="705">
        <v>47319</v>
      </c>
      <c r="W2059" s="705">
        <f t="shared" si="86"/>
        <v>47320</v>
      </c>
      <c r="X2059" s="705">
        <f t="shared" si="87"/>
        <v>57783</v>
      </c>
    </row>
    <row r="2060" spans="2:24">
      <c r="B2060" t="s">
        <v>549</v>
      </c>
      <c r="C2060" t="s">
        <v>110</v>
      </c>
      <c r="D2060" t="s">
        <v>582</v>
      </c>
      <c r="E2060" t="s">
        <v>228</v>
      </c>
      <c r="F2060" s="705">
        <v>1</v>
      </c>
      <c r="G2060" s="705">
        <v>177</v>
      </c>
      <c r="H2060" s="705">
        <v>90</v>
      </c>
      <c r="I2060" s="705">
        <v>8587</v>
      </c>
      <c r="J2060" s="705">
        <v>7807</v>
      </c>
      <c r="K2060" s="705">
        <v>90</v>
      </c>
      <c r="L2060" s="705">
        <v>1106</v>
      </c>
      <c r="M2060" s="705">
        <v>1005</v>
      </c>
      <c r="N2060" s="705">
        <v>2151</v>
      </c>
      <c r="O2060" s="705">
        <v>797</v>
      </c>
      <c r="P2060" s="705">
        <v>1877</v>
      </c>
      <c r="Q2060" s="705">
        <v>695</v>
      </c>
      <c r="R2060" s="705">
        <v>2206</v>
      </c>
      <c r="S2060" s="705">
        <v>817</v>
      </c>
      <c r="T2060" s="705">
        <v>0</v>
      </c>
      <c r="U2060" s="705">
        <v>0</v>
      </c>
      <c r="V2060" s="705">
        <v>11121</v>
      </c>
      <c r="W2060" s="705">
        <f t="shared" si="86"/>
        <v>11121</v>
      </c>
      <c r="X2060" s="705">
        <f t="shared" si="87"/>
        <v>15927</v>
      </c>
    </row>
    <row r="2061" spans="2:24">
      <c r="B2061" t="s">
        <v>549</v>
      </c>
      <c r="C2061" t="s">
        <v>110</v>
      </c>
      <c r="D2061" t="s">
        <v>228</v>
      </c>
      <c r="E2061" t="s">
        <v>228</v>
      </c>
      <c r="F2061" s="705">
        <v>40</v>
      </c>
      <c r="G2061" s="705">
        <v>8821</v>
      </c>
      <c r="H2061" s="705">
        <v>3563</v>
      </c>
      <c r="I2061" s="705">
        <v>341119</v>
      </c>
      <c r="J2061" s="705">
        <v>126340</v>
      </c>
      <c r="K2061" s="705">
        <v>353</v>
      </c>
      <c r="L2061" s="705">
        <v>80696</v>
      </c>
      <c r="M2061" s="705">
        <v>73083</v>
      </c>
      <c r="N2061" s="705">
        <v>152227</v>
      </c>
      <c r="O2061" s="705">
        <v>56381</v>
      </c>
      <c r="P2061" s="705">
        <v>35229</v>
      </c>
      <c r="Q2061" s="705">
        <v>13048</v>
      </c>
      <c r="R2061" s="705">
        <v>257055</v>
      </c>
      <c r="S2061" s="705">
        <v>95206</v>
      </c>
      <c r="T2061" s="705">
        <v>3452</v>
      </c>
      <c r="U2061" s="705">
        <v>1279</v>
      </c>
      <c r="V2061" s="705">
        <v>365336</v>
      </c>
      <c r="W2061" s="705">
        <f t="shared" si="86"/>
        <v>365337</v>
      </c>
      <c r="X2061" s="705">
        <f t="shared" si="87"/>
        <v>869778</v>
      </c>
    </row>
    <row r="2062" spans="2:24">
      <c r="B2062" t="s">
        <v>549</v>
      </c>
      <c r="C2062" t="s">
        <v>110</v>
      </c>
      <c r="D2062" t="s">
        <v>670</v>
      </c>
      <c r="E2062" t="s">
        <v>670</v>
      </c>
      <c r="F2062" s="705">
        <v>1</v>
      </c>
      <c r="G2062" s="705">
        <v>183</v>
      </c>
      <c r="H2062" s="705">
        <v>99</v>
      </c>
      <c r="I2062" s="705">
        <v>6679</v>
      </c>
      <c r="J2062" s="705">
        <v>2474</v>
      </c>
      <c r="K2062" s="705">
        <v>250</v>
      </c>
      <c r="L2062" s="705">
        <v>1260</v>
      </c>
      <c r="M2062" s="705">
        <v>1145</v>
      </c>
      <c r="N2062" s="705">
        <v>2452</v>
      </c>
      <c r="O2062" s="705">
        <v>908</v>
      </c>
      <c r="P2062" s="705">
        <v>1905</v>
      </c>
      <c r="Q2062" s="705">
        <v>705</v>
      </c>
      <c r="R2062" s="705">
        <v>5725</v>
      </c>
      <c r="S2062" s="705">
        <v>2121</v>
      </c>
      <c r="T2062" s="705">
        <v>0</v>
      </c>
      <c r="U2062" s="705">
        <v>0</v>
      </c>
      <c r="V2062" s="705">
        <v>7353</v>
      </c>
      <c r="W2062" s="705">
        <f t="shared" si="86"/>
        <v>7353</v>
      </c>
      <c r="X2062" s="705">
        <f t="shared" si="87"/>
        <v>18021</v>
      </c>
    </row>
    <row r="2063" spans="2:24">
      <c r="B2063" t="s">
        <v>549</v>
      </c>
      <c r="C2063" t="s">
        <v>110</v>
      </c>
      <c r="D2063" t="s">
        <v>583</v>
      </c>
      <c r="E2063" t="s">
        <v>583</v>
      </c>
      <c r="F2063" s="705">
        <v>58</v>
      </c>
      <c r="G2063" s="705">
        <v>13418</v>
      </c>
      <c r="H2063" s="705">
        <v>5150</v>
      </c>
      <c r="I2063" s="705">
        <v>570157</v>
      </c>
      <c r="J2063" s="705">
        <v>518324</v>
      </c>
      <c r="K2063" s="705">
        <v>95</v>
      </c>
      <c r="L2063" s="705">
        <v>97176</v>
      </c>
      <c r="M2063" s="705">
        <v>85506</v>
      </c>
      <c r="N2063" s="705">
        <v>197573</v>
      </c>
      <c r="O2063" s="705">
        <v>73175</v>
      </c>
      <c r="P2063" s="705">
        <v>70863</v>
      </c>
      <c r="Q2063" s="705">
        <v>26245</v>
      </c>
      <c r="R2063" s="705">
        <v>266296</v>
      </c>
      <c r="S2063" s="705">
        <v>242087</v>
      </c>
      <c r="T2063" s="705">
        <v>9638</v>
      </c>
      <c r="U2063" s="705">
        <v>3570</v>
      </c>
      <c r="V2063" s="705">
        <v>948907</v>
      </c>
      <c r="W2063" s="705">
        <f t="shared" si="86"/>
        <v>948907</v>
      </c>
      <c r="X2063" s="705">
        <f t="shared" si="87"/>
        <v>1211703</v>
      </c>
    </row>
    <row r="2064" spans="2:24">
      <c r="B2064" t="s">
        <v>549</v>
      </c>
      <c r="C2064" t="s">
        <v>110</v>
      </c>
      <c r="D2064" t="s">
        <v>584</v>
      </c>
      <c r="E2064" t="s">
        <v>584</v>
      </c>
      <c r="F2064" s="705">
        <v>5</v>
      </c>
      <c r="G2064" s="705">
        <v>718</v>
      </c>
      <c r="H2064" s="705">
        <v>446</v>
      </c>
      <c r="I2064" s="705">
        <v>31799</v>
      </c>
      <c r="J2064" s="705">
        <v>28908</v>
      </c>
      <c r="K2064" s="705">
        <v>91</v>
      </c>
      <c r="L2064" s="705">
        <v>5109</v>
      </c>
      <c r="M2064" s="705">
        <v>4644</v>
      </c>
      <c r="N2064" s="705">
        <v>9429</v>
      </c>
      <c r="O2064" s="705">
        <v>3492</v>
      </c>
      <c r="P2064" s="705">
        <v>2714</v>
      </c>
      <c r="Q2064" s="705">
        <v>1005</v>
      </c>
      <c r="R2064" s="705">
        <v>11518</v>
      </c>
      <c r="S2064" s="705">
        <v>10470</v>
      </c>
      <c r="T2064" s="705">
        <v>4962</v>
      </c>
      <c r="U2064" s="705">
        <v>1838</v>
      </c>
      <c r="V2064" s="705">
        <v>50358</v>
      </c>
      <c r="W2064" s="705">
        <f t="shared" si="86"/>
        <v>50357</v>
      </c>
      <c r="X2064" s="705">
        <f t="shared" si="87"/>
        <v>65531</v>
      </c>
    </row>
    <row r="2065" spans="2:24">
      <c r="B2065" t="s">
        <v>549</v>
      </c>
      <c r="C2065" t="s">
        <v>110</v>
      </c>
      <c r="D2065" t="s">
        <v>665</v>
      </c>
      <c r="E2065" t="s">
        <v>665</v>
      </c>
      <c r="F2065" s="705">
        <v>1</v>
      </c>
      <c r="G2065" s="705">
        <v>232</v>
      </c>
      <c r="H2065" s="705">
        <v>86</v>
      </c>
      <c r="I2065" s="705">
        <v>9841</v>
      </c>
      <c r="J2065" s="705">
        <v>8946</v>
      </c>
      <c r="K2065" s="705">
        <v>76</v>
      </c>
      <c r="L2065" s="705">
        <v>1108</v>
      </c>
      <c r="M2065" s="705">
        <v>1007</v>
      </c>
      <c r="N2065" s="705">
        <v>2824</v>
      </c>
      <c r="O2065" s="705">
        <v>1046</v>
      </c>
      <c r="P2065" s="705">
        <v>2672</v>
      </c>
      <c r="Q2065" s="705">
        <v>990</v>
      </c>
      <c r="R2065" s="705">
        <v>3525</v>
      </c>
      <c r="S2065" s="705">
        <v>3204</v>
      </c>
      <c r="T2065" s="705">
        <v>0</v>
      </c>
      <c r="U2065" s="705">
        <v>0</v>
      </c>
      <c r="V2065" s="705">
        <v>15193</v>
      </c>
      <c r="W2065" s="705">
        <f t="shared" si="86"/>
        <v>15193</v>
      </c>
      <c r="X2065" s="705">
        <f t="shared" si="87"/>
        <v>19970</v>
      </c>
    </row>
    <row r="2066" spans="2:24">
      <c r="B2066" t="s">
        <v>549</v>
      </c>
      <c r="C2066" t="s">
        <v>110</v>
      </c>
      <c r="D2066" t="s">
        <v>585</v>
      </c>
      <c r="E2066" t="s">
        <v>585</v>
      </c>
      <c r="F2066" s="705">
        <v>1</v>
      </c>
      <c r="G2066" s="705">
        <v>235</v>
      </c>
      <c r="H2066" s="705">
        <v>80</v>
      </c>
      <c r="I2066" s="705">
        <v>9258</v>
      </c>
      <c r="J2066" s="705">
        <v>8416</v>
      </c>
      <c r="K2066" s="705">
        <v>90</v>
      </c>
      <c r="L2066" s="705">
        <v>1251</v>
      </c>
      <c r="M2066" s="705">
        <v>1137</v>
      </c>
      <c r="N2066" s="705">
        <v>2867</v>
      </c>
      <c r="O2066" s="705">
        <v>1062</v>
      </c>
      <c r="P2066" s="705">
        <v>2554</v>
      </c>
      <c r="Q2066" s="705">
        <v>946</v>
      </c>
      <c r="R2066" s="705">
        <v>2832</v>
      </c>
      <c r="S2066" s="705">
        <v>2575</v>
      </c>
      <c r="T2066" s="705">
        <v>0</v>
      </c>
      <c r="U2066" s="705">
        <v>0</v>
      </c>
      <c r="V2066" s="705">
        <v>14137</v>
      </c>
      <c r="W2066" s="705">
        <f t="shared" si="86"/>
        <v>14136</v>
      </c>
      <c r="X2066" s="705">
        <f t="shared" si="87"/>
        <v>18762</v>
      </c>
    </row>
    <row r="2067" spans="2:24">
      <c r="B2067" t="s">
        <v>549</v>
      </c>
      <c r="C2067" t="s">
        <v>112</v>
      </c>
      <c r="D2067" t="s">
        <v>664</v>
      </c>
      <c r="E2067" t="s">
        <v>664</v>
      </c>
      <c r="F2067" s="705">
        <v>1</v>
      </c>
      <c r="G2067" s="705">
        <v>240</v>
      </c>
      <c r="H2067" s="705">
        <v>117</v>
      </c>
      <c r="I2067" s="705">
        <v>15871</v>
      </c>
      <c r="J2067" s="705">
        <v>14428</v>
      </c>
      <c r="K2067" s="705">
        <v>91</v>
      </c>
      <c r="L2067" s="705">
        <v>0</v>
      </c>
      <c r="M2067" s="705">
        <v>0</v>
      </c>
      <c r="N2067" s="705">
        <v>5849</v>
      </c>
      <c r="O2067" s="705">
        <v>2166</v>
      </c>
      <c r="P2067" s="705">
        <v>473</v>
      </c>
      <c r="Q2067" s="705">
        <v>175</v>
      </c>
      <c r="R2067" s="705">
        <v>6010</v>
      </c>
      <c r="S2067" s="705">
        <v>5464</v>
      </c>
      <c r="T2067" s="705">
        <v>0</v>
      </c>
      <c r="U2067" s="705">
        <v>0</v>
      </c>
      <c r="V2067" s="705">
        <v>22233</v>
      </c>
      <c r="W2067" s="705">
        <f t="shared" si="86"/>
        <v>22233</v>
      </c>
      <c r="X2067" s="705">
        <f t="shared" si="87"/>
        <v>28203</v>
      </c>
    </row>
    <row r="2068" spans="2:24">
      <c r="B2068" t="s">
        <v>549</v>
      </c>
      <c r="C2068" t="s">
        <v>112</v>
      </c>
      <c r="D2068" t="s">
        <v>582</v>
      </c>
      <c r="E2068" t="s">
        <v>582</v>
      </c>
      <c r="F2068" s="705">
        <v>14</v>
      </c>
      <c r="G2068" s="705">
        <v>2961</v>
      </c>
      <c r="H2068" s="705">
        <v>1540</v>
      </c>
      <c r="I2068" s="705">
        <v>165858</v>
      </c>
      <c r="J2068" s="705">
        <v>150780</v>
      </c>
      <c r="K2068" s="705">
        <v>91</v>
      </c>
      <c r="L2068" s="705">
        <v>42484</v>
      </c>
      <c r="M2068" s="705">
        <v>38621</v>
      </c>
      <c r="N2068" s="705">
        <v>46871</v>
      </c>
      <c r="O2068" s="705">
        <v>17360</v>
      </c>
      <c r="P2068" s="705">
        <v>6494</v>
      </c>
      <c r="Q2068" s="705">
        <v>2405</v>
      </c>
      <c r="R2068" s="705">
        <v>64007</v>
      </c>
      <c r="S2068" s="705">
        <v>58188</v>
      </c>
      <c r="T2068" s="705">
        <v>3849</v>
      </c>
      <c r="U2068" s="705">
        <v>1425</v>
      </c>
      <c r="V2068" s="705">
        <v>268780</v>
      </c>
      <c r="W2068" s="705">
        <f t="shared" si="86"/>
        <v>268779</v>
      </c>
      <c r="X2068" s="705">
        <f t="shared" si="87"/>
        <v>329563</v>
      </c>
    </row>
    <row r="2069" spans="2:24">
      <c r="B2069" t="s">
        <v>549</v>
      </c>
      <c r="C2069" t="s">
        <v>112</v>
      </c>
      <c r="D2069" t="s">
        <v>228</v>
      </c>
      <c r="E2069" t="s">
        <v>228</v>
      </c>
      <c r="F2069" s="705">
        <v>35</v>
      </c>
      <c r="G2069" s="705">
        <v>7955</v>
      </c>
      <c r="H2069" s="705">
        <v>4008</v>
      </c>
      <c r="I2069" s="705">
        <v>419362</v>
      </c>
      <c r="J2069" s="705">
        <v>155319</v>
      </c>
      <c r="K2069" s="705">
        <v>320</v>
      </c>
      <c r="L2069" s="705">
        <v>100771</v>
      </c>
      <c r="M2069" s="705">
        <v>90311</v>
      </c>
      <c r="N2069" s="705">
        <v>155371</v>
      </c>
      <c r="O2069" s="705">
        <v>57545</v>
      </c>
      <c r="P2069" s="705">
        <v>39242</v>
      </c>
      <c r="Q2069" s="705">
        <v>14534</v>
      </c>
      <c r="R2069" s="705">
        <v>239535</v>
      </c>
      <c r="S2069" s="705">
        <v>88717</v>
      </c>
      <c r="T2069" s="705">
        <v>3393</v>
      </c>
      <c r="U2069" s="705">
        <v>1257</v>
      </c>
      <c r="V2069" s="705">
        <v>407683</v>
      </c>
      <c r="W2069" s="705">
        <f t="shared" si="86"/>
        <v>407683</v>
      </c>
      <c r="X2069" s="705">
        <f t="shared" si="87"/>
        <v>957674</v>
      </c>
    </row>
    <row r="2070" spans="2:24">
      <c r="B2070" t="s">
        <v>549</v>
      </c>
      <c r="C2070" t="s">
        <v>112</v>
      </c>
      <c r="D2070" t="s">
        <v>228</v>
      </c>
      <c r="E2070" t="s">
        <v>583</v>
      </c>
      <c r="F2070" s="705">
        <v>1</v>
      </c>
      <c r="G2070" s="705">
        <v>284</v>
      </c>
      <c r="H2070" s="705">
        <v>123</v>
      </c>
      <c r="I2070" s="705">
        <v>22772</v>
      </c>
      <c r="J2070" s="705">
        <v>8434</v>
      </c>
      <c r="K2070" s="705">
        <v>320</v>
      </c>
      <c r="L2070" s="705">
        <v>2694</v>
      </c>
      <c r="M2070" s="705">
        <v>2449</v>
      </c>
      <c r="N2070" s="705">
        <v>4222</v>
      </c>
      <c r="O2070" s="705">
        <v>1564</v>
      </c>
      <c r="P2070" s="705">
        <v>621</v>
      </c>
      <c r="Q2070" s="705">
        <v>230</v>
      </c>
      <c r="R2070" s="705">
        <v>4613</v>
      </c>
      <c r="S2070" s="705">
        <v>4194</v>
      </c>
      <c r="T2070" s="705">
        <v>0</v>
      </c>
      <c r="U2070" s="705">
        <v>0</v>
      </c>
      <c r="V2070" s="705">
        <v>16871</v>
      </c>
      <c r="W2070" s="705">
        <f t="shared" si="86"/>
        <v>16871</v>
      </c>
      <c r="X2070" s="705">
        <f t="shared" si="87"/>
        <v>34922</v>
      </c>
    </row>
    <row r="2071" spans="2:24">
      <c r="B2071" t="s">
        <v>549</v>
      </c>
      <c r="C2071" t="s">
        <v>112</v>
      </c>
      <c r="D2071" t="s">
        <v>583</v>
      </c>
      <c r="E2071" t="s">
        <v>228</v>
      </c>
      <c r="F2071" s="705">
        <v>1</v>
      </c>
      <c r="G2071" s="705">
        <v>131</v>
      </c>
      <c r="H2071" s="705">
        <v>109</v>
      </c>
      <c r="I2071" s="705">
        <v>13819</v>
      </c>
      <c r="J2071" s="705">
        <v>12563</v>
      </c>
      <c r="K2071" s="705">
        <v>95</v>
      </c>
      <c r="L2071" s="705">
        <v>2244</v>
      </c>
      <c r="M2071" s="705">
        <v>2040</v>
      </c>
      <c r="N2071" s="705">
        <v>3720</v>
      </c>
      <c r="O2071" s="705">
        <v>1378</v>
      </c>
      <c r="P2071" s="705">
        <v>621</v>
      </c>
      <c r="Q2071" s="705">
        <v>230</v>
      </c>
      <c r="R2071" s="705">
        <v>4989</v>
      </c>
      <c r="S2071" s="705">
        <v>1848</v>
      </c>
      <c r="T2071" s="705">
        <v>0</v>
      </c>
      <c r="U2071" s="705">
        <v>0</v>
      </c>
      <c r="V2071" s="705">
        <v>18059</v>
      </c>
      <c r="W2071" s="705">
        <f t="shared" si="86"/>
        <v>18059</v>
      </c>
      <c r="X2071" s="705">
        <f t="shared" si="87"/>
        <v>25393</v>
      </c>
    </row>
    <row r="2072" spans="2:24">
      <c r="B2072" t="s">
        <v>549</v>
      </c>
      <c r="C2072" t="s">
        <v>112</v>
      </c>
      <c r="D2072" t="s">
        <v>583</v>
      </c>
      <c r="E2072" t="s">
        <v>583</v>
      </c>
      <c r="F2072" s="705">
        <v>162</v>
      </c>
      <c r="G2072" s="705">
        <v>36286</v>
      </c>
      <c r="H2072" s="705">
        <v>18789</v>
      </c>
      <c r="I2072" s="705">
        <v>2491492</v>
      </c>
      <c r="J2072" s="705">
        <v>2264993</v>
      </c>
      <c r="K2072" s="705">
        <v>93</v>
      </c>
      <c r="L2072" s="705">
        <v>443609</v>
      </c>
      <c r="M2072" s="705">
        <v>398716</v>
      </c>
      <c r="N2072" s="705">
        <v>651132</v>
      </c>
      <c r="O2072" s="705">
        <v>241160</v>
      </c>
      <c r="P2072" s="705">
        <v>143649</v>
      </c>
      <c r="Q2072" s="705">
        <v>53203</v>
      </c>
      <c r="R2072" s="705">
        <v>805000</v>
      </c>
      <c r="S2072" s="705">
        <v>731818</v>
      </c>
      <c r="T2072" s="705">
        <v>55134</v>
      </c>
      <c r="U2072" s="705">
        <v>20420</v>
      </c>
      <c r="V2072" s="705">
        <v>3710310</v>
      </c>
      <c r="W2072" s="705">
        <f t="shared" si="86"/>
        <v>3710310</v>
      </c>
      <c r="X2072" s="705">
        <f t="shared" si="87"/>
        <v>4590016</v>
      </c>
    </row>
    <row r="2073" spans="2:24">
      <c r="B2073" t="s">
        <v>549</v>
      </c>
      <c r="C2073" t="s">
        <v>112</v>
      </c>
      <c r="D2073" t="s">
        <v>584</v>
      </c>
      <c r="E2073" t="s">
        <v>584</v>
      </c>
      <c r="F2073" s="705">
        <v>10</v>
      </c>
      <c r="G2073" s="705">
        <v>1723</v>
      </c>
      <c r="H2073" s="705">
        <v>1120</v>
      </c>
      <c r="I2073" s="705">
        <v>99042</v>
      </c>
      <c r="J2073" s="705">
        <v>90038</v>
      </c>
      <c r="K2073" s="705">
        <v>91</v>
      </c>
      <c r="L2073" s="705">
        <v>21956</v>
      </c>
      <c r="M2073" s="705">
        <v>18348</v>
      </c>
      <c r="N2073" s="705">
        <v>26628</v>
      </c>
      <c r="O2073" s="705">
        <v>9862</v>
      </c>
      <c r="P2073" s="705">
        <v>6390</v>
      </c>
      <c r="Q2073" s="705">
        <v>2367</v>
      </c>
      <c r="R2073" s="705">
        <v>35667</v>
      </c>
      <c r="S2073" s="705">
        <v>32424</v>
      </c>
      <c r="T2073" s="705">
        <v>10513</v>
      </c>
      <c r="U2073" s="705">
        <v>3894</v>
      </c>
      <c r="V2073" s="705">
        <v>156933</v>
      </c>
      <c r="W2073" s="705">
        <f t="shared" si="86"/>
        <v>156933</v>
      </c>
      <c r="X2073" s="705">
        <f t="shared" si="87"/>
        <v>200196</v>
      </c>
    </row>
    <row r="2074" spans="2:24">
      <c r="B2074" t="s">
        <v>549</v>
      </c>
      <c r="C2074" t="s">
        <v>112</v>
      </c>
      <c r="D2074" t="s">
        <v>665</v>
      </c>
      <c r="E2074" t="s">
        <v>582</v>
      </c>
      <c r="F2074" s="705">
        <v>1</v>
      </c>
      <c r="G2074" s="705">
        <v>252</v>
      </c>
      <c r="H2074" s="705">
        <v>120</v>
      </c>
      <c r="I2074" s="705">
        <v>14486</v>
      </c>
      <c r="J2074" s="705">
        <v>13169</v>
      </c>
      <c r="K2074" s="705">
        <v>91</v>
      </c>
      <c r="L2074" s="705">
        <v>2323</v>
      </c>
      <c r="M2074" s="705">
        <v>2112</v>
      </c>
      <c r="N2074" s="705">
        <v>6068</v>
      </c>
      <c r="O2074" s="705">
        <v>2247</v>
      </c>
      <c r="P2074" s="705">
        <v>3240</v>
      </c>
      <c r="Q2074" s="705">
        <v>1200</v>
      </c>
      <c r="R2074" s="705">
        <v>4078</v>
      </c>
      <c r="S2074" s="705">
        <v>3707</v>
      </c>
      <c r="T2074" s="705">
        <v>0</v>
      </c>
      <c r="U2074" s="705">
        <v>0</v>
      </c>
      <c r="V2074" s="705">
        <v>22436</v>
      </c>
      <c r="W2074" s="705">
        <f t="shared" si="86"/>
        <v>22435</v>
      </c>
      <c r="X2074" s="705">
        <f t="shared" si="87"/>
        <v>30195</v>
      </c>
    </row>
    <row r="2075" spans="2:24">
      <c r="B2075" t="s">
        <v>549</v>
      </c>
      <c r="C2075" t="s">
        <v>112</v>
      </c>
      <c r="D2075" t="s">
        <v>665</v>
      </c>
      <c r="E2075" t="s">
        <v>665</v>
      </c>
      <c r="F2075" s="705">
        <v>1</v>
      </c>
      <c r="G2075" s="705">
        <v>129</v>
      </c>
      <c r="H2075" s="705">
        <v>125</v>
      </c>
      <c r="I2075" s="705">
        <v>12035</v>
      </c>
      <c r="J2075" s="705">
        <v>10941</v>
      </c>
      <c r="K2075" s="705">
        <v>70</v>
      </c>
      <c r="L2075" s="705">
        <v>1270</v>
      </c>
      <c r="M2075" s="705">
        <v>1154</v>
      </c>
      <c r="N2075" s="705">
        <v>5197</v>
      </c>
      <c r="O2075" s="705">
        <v>1925</v>
      </c>
      <c r="P2075" s="705">
        <v>351</v>
      </c>
      <c r="Q2075" s="705">
        <v>130</v>
      </c>
      <c r="R2075" s="705">
        <v>9139</v>
      </c>
      <c r="S2075" s="705">
        <v>8308</v>
      </c>
      <c r="T2075" s="705">
        <v>0</v>
      </c>
      <c r="U2075" s="705">
        <v>0</v>
      </c>
      <c r="V2075" s="705">
        <v>22458</v>
      </c>
      <c r="W2075" s="705">
        <f t="shared" si="86"/>
        <v>22458</v>
      </c>
      <c r="X2075" s="705">
        <f t="shared" si="87"/>
        <v>27992</v>
      </c>
    </row>
    <row r="2076" spans="2:24">
      <c r="B2076" t="s">
        <v>549</v>
      </c>
      <c r="C2076" t="s">
        <v>112</v>
      </c>
      <c r="D2076" t="s">
        <v>585</v>
      </c>
      <c r="E2076" t="s">
        <v>585</v>
      </c>
      <c r="F2076" s="705">
        <v>1</v>
      </c>
      <c r="G2076" s="705">
        <v>276</v>
      </c>
      <c r="H2076" s="705">
        <v>117</v>
      </c>
      <c r="I2076" s="705">
        <v>21231</v>
      </c>
      <c r="J2076" s="705">
        <v>19301</v>
      </c>
      <c r="K2076" s="705">
        <v>86</v>
      </c>
      <c r="L2076" s="705">
        <v>307</v>
      </c>
      <c r="M2076" s="705">
        <v>279</v>
      </c>
      <c r="N2076" s="705">
        <v>4040</v>
      </c>
      <c r="O2076" s="705">
        <v>1496</v>
      </c>
      <c r="P2076" s="705">
        <v>621</v>
      </c>
      <c r="Q2076" s="705">
        <v>230</v>
      </c>
      <c r="R2076" s="705">
        <v>6247</v>
      </c>
      <c r="S2076" s="705">
        <v>5679</v>
      </c>
      <c r="T2076" s="705">
        <v>0</v>
      </c>
      <c r="U2076" s="705">
        <v>0</v>
      </c>
      <c r="V2076" s="705">
        <v>26986</v>
      </c>
      <c r="W2076" s="705">
        <f t="shared" si="86"/>
        <v>26985</v>
      </c>
      <c r="X2076" s="705">
        <f t="shared" si="87"/>
        <v>32446</v>
      </c>
    </row>
    <row r="2077" spans="2:24">
      <c r="B2077" t="s">
        <v>549</v>
      </c>
      <c r="C2077" t="s">
        <v>114</v>
      </c>
      <c r="D2077" t="s">
        <v>582</v>
      </c>
      <c r="E2077" t="s">
        <v>582</v>
      </c>
      <c r="F2077" s="705">
        <v>27</v>
      </c>
      <c r="G2077" s="705">
        <v>5056</v>
      </c>
      <c r="H2077" s="705">
        <v>3829</v>
      </c>
      <c r="I2077" s="705">
        <v>442521</v>
      </c>
      <c r="J2077" s="705">
        <v>402292</v>
      </c>
      <c r="K2077" s="705">
        <v>90</v>
      </c>
      <c r="L2077" s="705">
        <v>91329</v>
      </c>
      <c r="M2077" s="705">
        <v>84811</v>
      </c>
      <c r="N2077" s="705">
        <v>92039</v>
      </c>
      <c r="O2077" s="705">
        <v>34089</v>
      </c>
      <c r="P2077" s="705">
        <v>18394</v>
      </c>
      <c r="Q2077" s="705">
        <v>6813</v>
      </c>
      <c r="R2077" s="705">
        <v>146854</v>
      </c>
      <c r="S2077" s="705">
        <v>133504</v>
      </c>
      <c r="T2077" s="705">
        <v>13502</v>
      </c>
      <c r="U2077" s="705">
        <v>5001</v>
      </c>
      <c r="V2077" s="705">
        <v>666508</v>
      </c>
      <c r="W2077" s="705">
        <f t="shared" si="86"/>
        <v>666510</v>
      </c>
      <c r="X2077" s="705">
        <f t="shared" si="87"/>
        <v>804639</v>
      </c>
    </row>
    <row r="2078" spans="2:24">
      <c r="B2078" t="s">
        <v>549</v>
      </c>
      <c r="C2078" t="s">
        <v>114</v>
      </c>
      <c r="D2078" t="s">
        <v>228</v>
      </c>
      <c r="E2078" t="s">
        <v>228</v>
      </c>
      <c r="F2078" s="705">
        <v>24</v>
      </c>
      <c r="G2078" s="705">
        <v>4693</v>
      </c>
      <c r="H2078" s="705">
        <v>3364</v>
      </c>
      <c r="I2078" s="705">
        <v>335532</v>
      </c>
      <c r="J2078" s="705">
        <v>124271</v>
      </c>
      <c r="K2078" s="705">
        <v>304</v>
      </c>
      <c r="L2078" s="705">
        <v>82764</v>
      </c>
      <c r="M2078" s="705">
        <v>73831</v>
      </c>
      <c r="N2078" s="705">
        <v>94627</v>
      </c>
      <c r="O2078" s="705">
        <v>35047</v>
      </c>
      <c r="P2078" s="705">
        <v>20788</v>
      </c>
      <c r="Q2078" s="705">
        <v>7699</v>
      </c>
      <c r="R2078" s="705">
        <v>194973</v>
      </c>
      <c r="S2078" s="705">
        <v>72212</v>
      </c>
      <c r="T2078" s="705">
        <v>0</v>
      </c>
      <c r="U2078" s="705">
        <v>0</v>
      </c>
      <c r="V2078" s="705">
        <v>313061</v>
      </c>
      <c r="W2078" s="705">
        <f t="shared" si="86"/>
        <v>313060</v>
      </c>
      <c r="X2078" s="705">
        <f t="shared" si="87"/>
        <v>728684</v>
      </c>
    </row>
    <row r="2079" spans="2:24">
      <c r="B2079" t="s">
        <v>549</v>
      </c>
      <c r="C2079" t="s">
        <v>114</v>
      </c>
      <c r="D2079" t="s">
        <v>724</v>
      </c>
      <c r="E2079" t="s">
        <v>724</v>
      </c>
      <c r="F2079" s="705">
        <v>1</v>
      </c>
      <c r="G2079" s="705">
        <v>119</v>
      </c>
      <c r="H2079" s="705">
        <v>134</v>
      </c>
      <c r="I2079" s="705">
        <v>7586</v>
      </c>
      <c r="J2079" s="705">
        <v>2810</v>
      </c>
      <c r="K2079" s="705">
        <v>250</v>
      </c>
      <c r="L2079" s="705">
        <v>1431</v>
      </c>
      <c r="M2079" s="705">
        <v>1301</v>
      </c>
      <c r="N2079" s="705">
        <v>1590</v>
      </c>
      <c r="O2079" s="705">
        <v>589</v>
      </c>
      <c r="P2079" s="705">
        <v>1847</v>
      </c>
      <c r="Q2079" s="705">
        <v>684</v>
      </c>
      <c r="R2079" s="705">
        <v>3481</v>
      </c>
      <c r="S2079" s="705">
        <v>1289</v>
      </c>
      <c r="T2079" s="705">
        <v>0</v>
      </c>
      <c r="U2079" s="705">
        <v>0</v>
      </c>
      <c r="V2079" s="705">
        <v>6673</v>
      </c>
      <c r="W2079" s="705">
        <f t="shared" si="86"/>
        <v>6673</v>
      </c>
      <c r="X2079" s="705">
        <f t="shared" si="87"/>
        <v>15935</v>
      </c>
    </row>
    <row r="2080" spans="2:24">
      <c r="B2080" t="s">
        <v>549</v>
      </c>
      <c r="C2080" t="s">
        <v>114</v>
      </c>
      <c r="D2080" t="s">
        <v>583</v>
      </c>
      <c r="E2080" t="s">
        <v>228</v>
      </c>
      <c r="F2080" s="705">
        <v>3</v>
      </c>
      <c r="G2080" s="705">
        <v>490</v>
      </c>
      <c r="H2080" s="705">
        <v>407</v>
      </c>
      <c r="I2080" s="705">
        <v>38635</v>
      </c>
      <c r="J2080" s="705">
        <v>35123</v>
      </c>
      <c r="K2080" s="705">
        <v>88</v>
      </c>
      <c r="L2080" s="705">
        <v>7994</v>
      </c>
      <c r="M2080" s="705">
        <v>7267</v>
      </c>
      <c r="N2080" s="705">
        <v>7386</v>
      </c>
      <c r="O2080" s="705">
        <v>2736</v>
      </c>
      <c r="P2080" s="705">
        <v>1863</v>
      </c>
      <c r="Q2080" s="705">
        <v>690</v>
      </c>
      <c r="R2080" s="705">
        <v>12914</v>
      </c>
      <c r="S2080" s="705">
        <v>4783</v>
      </c>
      <c r="T2080" s="705">
        <v>0</v>
      </c>
      <c r="U2080" s="705">
        <v>0</v>
      </c>
      <c r="V2080" s="705">
        <v>50598</v>
      </c>
      <c r="W2080" s="705">
        <f t="shared" si="86"/>
        <v>50599</v>
      </c>
      <c r="X2080" s="705">
        <f t="shared" si="87"/>
        <v>68792</v>
      </c>
    </row>
    <row r="2081" spans="2:24">
      <c r="B2081" t="s">
        <v>549</v>
      </c>
      <c r="C2081" t="s">
        <v>114</v>
      </c>
      <c r="D2081" t="s">
        <v>583</v>
      </c>
      <c r="E2081" t="s">
        <v>583</v>
      </c>
      <c r="F2081" s="705">
        <v>622</v>
      </c>
      <c r="G2081" s="705">
        <v>123790</v>
      </c>
      <c r="H2081" s="705">
        <v>87512</v>
      </c>
      <c r="I2081" s="705">
        <v>10420344</v>
      </c>
      <c r="J2081" s="705">
        <v>9473040</v>
      </c>
      <c r="K2081" s="705">
        <v>90</v>
      </c>
      <c r="L2081" s="705">
        <v>1973403</v>
      </c>
      <c r="M2081" s="705">
        <v>1772490</v>
      </c>
      <c r="N2081" s="705">
        <v>2522530</v>
      </c>
      <c r="O2081" s="705">
        <v>934270</v>
      </c>
      <c r="P2081" s="705">
        <v>471093</v>
      </c>
      <c r="Q2081" s="705">
        <v>174479</v>
      </c>
      <c r="R2081" s="705">
        <v>3341772</v>
      </c>
      <c r="S2081" s="705">
        <v>3037974</v>
      </c>
      <c r="T2081" s="705">
        <v>409084</v>
      </c>
      <c r="U2081" s="705">
        <v>151513</v>
      </c>
      <c r="V2081" s="705">
        <v>15543766</v>
      </c>
      <c r="W2081" s="705">
        <f t="shared" si="86"/>
        <v>15543766</v>
      </c>
      <c r="X2081" s="705">
        <f t="shared" si="87"/>
        <v>19138226</v>
      </c>
    </row>
    <row r="2082" spans="2:24">
      <c r="B2082" t="s">
        <v>549</v>
      </c>
      <c r="C2082" t="s">
        <v>114</v>
      </c>
      <c r="D2082" t="s">
        <v>583</v>
      </c>
      <c r="E2082" t="s">
        <v>584</v>
      </c>
      <c r="F2082" s="705">
        <v>1</v>
      </c>
      <c r="G2082" s="705">
        <v>215</v>
      </c>
      <c r="H2082" s="705">
        <v>142</v>
      </c>
      <c r="I2082" s="705">
        <v>17836</v>
      </c>
      <c r="J2082" s="705">
        <v>16215</v>
      </c>
      <c r="K2082" s="705">
        <v>95</v>
      </c>
      <c r="L2082" s="705">
        <v>2759</v>
      </c>
      <c r="M2082" s="705">
        <v>2508</v>
      </c>
      <c r="N2082" s="705">
        <v>2619</v>
      </c>
      <c r="O2082" s="705">
        <v>970</v>
      </c>
      <c r="P2082" s="705">
        <v>1323</v>
      </c>
      <c r="Q2082" s="705">
        <v>490</v>
      </c>
      <c r="R2082" s="705">
        <v>5934</v>
      </c>
      <c r="S2082" s="705">
        <v>5395</v>
      </c>
      <c r="T2082" s="705">
        <v>0</v>
      </c>
      <c r="U2082" s="705">
        <v>0</v>
      </c>
      <c r="V2082" s="705">
        <v>25578</v>
      </c>
      <c r="W2082" s="705">
        <f t="shared" ref="W2082:W2145" si="88">SUM(ABS(J2082),ABS(M2082),ABS(O2082),ABS(Q2082),ABS(S2082),ABS(U2082))</f>
        <v>25578</v>
      </c>
      <c r="X2082" s="705">
        <f t="shared" ref="X2082:X2145" si="89">SUM(ABS(I2082),ABS(N2082),ABS(P2082),ABS(R2082),ABS(T2082),ABS(L2082))</f>
        <v>30471</v>
      </c>
    </row>
    <row r="2083" spans="2:24">
      <c r="B2083" t="s">
        <v>549</v>
      </c>
      <c r="C2083" t="s">
        <v>114</v>
      </c>
      <c r="D2083" t="s">
        <v>583</v>
      </c>
      <c r="E2083" t="s">
        <v>671</v>
      </c>
      <c r="F2083" s="705">
        <v>1</v>
      </c>
      <c r="G2083" s="705">
        <v>151</v>
      </c>
      <c r="H2083" s="705">
        <v>145</v>
      </c>
      <c r="I2083" s="705">
        <v>21430</v>
      </c>
      <c r="J2083" s="705">
        <v>19482</v>
      </c>
      <c r="K2083" s="705">
        <v>86</v>
      </c>
      <c r="L2083" s="705">
        <v>2982</v>
      </c>
      <c r="M2083" s="705">
        <v>2711</v>
      </c>
      <c r="N2083" s="705">
        <v>3107</v>
      </c>
      <c r="O2083" s="705">
        <v>1151</v>
      </c>
      <c r="P2083" s="705">
        <v>621</v>
      </c>
      <c r="Q2083" s="705">
        <v>230</v>
      </c>
      <c r="R2083" s="705">
        <v>6686</v>
      </c>
      <c r="S2083" s="705">
        <v>6079</v>
      </c>
      <c r="T2083" s="705">
        <v>0</v>
      </c>
      <c r="U2083" s="705">
        <v>0</v>
      </c>
      <c r="V2083" s="705">
        <v>29652</v>
      </c>
      <c r="W2083" s="705">
        <f t="shared" si="88"/>
        <v>29653</v>
      </c>
      <c r="X2083" s="705">
        <f t="shared" si="89"/>
        <v>34826</v>
      </c>
    </row>
    <row r="2084" spans="2:24">
      <c r="B2084" t="s">
        <v>549</v>
      </c>
      <c r="C2084" t="s">
        <v>114</v>
      </c>
      <c r="D2084" t="s">
        <v>583</v>
      </c>
      <c r="E2084" t="s">
        <v>673</v>
      </c>
      <c r="F2084" s="705">
        <v>1</v>
      </c>
      <c r="G2084" s="705">
        <v>213</v>
      </c>
      <c r="H2084" s="705">
        <v>147</v>
      </c>
      <c r="I2084" s="705">
        <v>17471</v>
      </c>
      <c r="J2084" s="705">
        <v>15883</v>
      </c>
      <c r="K2084" s="705">
        <v>86</v>
      </c>
      <c r="L2084" s="705">
        <v>2201</v>
      </c>
      <c r="M2084" s="705">
        <v>2001</v>
      </c>
      <c r="N2084" s="705">
        <v>2591</v>
      </c>
      <c r="O2084" s="705">
        <v>960</v>
      </c>
      <c r="P2084" s="705">
        <v>621</v>
      </c>
      <c r="Q2084" s="705">
        <v>230</v>
      </c>
      <c r="R2084" s="705">
        <v>4754</v>
      </c>
      <c r="S2084" s="705">
        <v>4322</v>
      </c>
      <c r="T2084" s="705">
        <v>3592</v>
      </c>
      <c r="U2084" s="705">
        <v>1330</v>
      </c>
      <c r="V2084" s="705">
        <v>24725</v>
      </c>
      <c r="W2084" s="705">
        <f t="shared" si="88"/>
        <v>24726</v>
      </c>
      <c r="X2084" s="705">
        <f t="shared" si="89"/>
        <v>31230</v>
      </c>
    </row>
    <row r="2085" spans="2:24">
      <c r="B2085" t="s">
        <v>549</v>
      </c>
      <c r="C2085" t="s">
        <v>114</v>
      </c>
      <c r="D2085" t="s">
        <v>584</v>
      </c>
      <c r="E2085" t="s">
        <v>584</v>
      </c>
      <c r="F2085" s="705">
        <v>9</v>
      </c>
      <c r="G2085" s="705">
        <v>1467</v>
      </c>
      <c r="H2085" s="705">
        <v>1239</v>
      </c>
      <c r="I2085" s="705">
        <v>109904</v>
      </c>
      <c r="J2085" s="705">
        <v>99913</v>
      </c>
      <c r="K2085" s="705">
        <v>90</v>
      </c>
      <c r="L2085" s="705">
        <v>13856</v>
      </c>
      <c r="M2085" s="705">
        <v>12596</v>
      </c>
      <c r="N2085" s="705">
        <v>31077</v>
      </c>
      <c r="O2085" s="705">
        <v>11510</v>
      </c>
      <c r="P2085" s="705">
        <v>5990</v>
      </c>
      <c r="Q2085" s="705">
        <v>2218</v>
      </c>
      <c r="R2085" s="705">
        <v>39178</v>
      </c>
      <c r="S2085" s="705">
        <v>35617</v>
      </c>
      <c r="T2085" s="705">
        <v>2680</v>
      </c>
      <c r="U2085" s="705">
        <v>993</v>
      </c>
      <c r="V2085" s="705">
        <v>162847</v>
      </c>
      <c r="W2085" s="705">
        <f t="shared" si="88"/>
        <v>162847</v>
      </c>
      <c r="X2085" s="705">
        <f t="shared" si="89"/>
        <v>202685</v>
      </c>
    </row>
    <row r="2086" spans="2:24">
      <c r="B2086" t="s">
        <v>549</v>
      </c>
      <c r="C2086" t="s">
        <v>114</v>
      </c>
      <c r="D2086" t="s">
        <v>665</v>
      </c>
      <c r="E2086" t="s">
        <v>665</v>
      </c>
      <c r="F2086" s="705">
        <v>1</v>
      </c>
      <c r="G2086" s="705">
        <v>372</v>
      </c>
      <c r="H2086" s="705">
        <v>144</v>
      </c>
      <c r="I2086" s="705">
        <v>42285</v>
      </c>
      <c r="J2086" s="705">
        <v>38441</v>
      </c>
      <c r="K2086" s="705">
        <v>78</v>
      </c>
      <c r="L2086" s="705">
        <v>0</v>
      </c>
      <c r="M2086" s="705">
        <v>0</v>
      </c>
      <c r="N2086" s="705">
        <v>5897</v>
      </c>
      <c r="O2086" s="705">
        <v>2184</v>
      </c>
      <c r="P2086" s="705">
        <v>1404</v>
      </c>
      <c r="Q2086" s="705">
        <v>520</v>
      </c>
      <c r="R2086" s="705">
        <v>4131</v>
      </c>
      <c r="S2086" s="705">
        <v>3756</v>
      </c>
      <c r="T2086" s="705">
        <v>0</v>
      </c>
      <c r="U2086" s="705">
        <v>0</v>
      </c>
      <c r="V2086" s="705">
        <v>44901</v>
      </c>
      <c r="W2086" s="705">
        <f t="shared" si="88"/>
        <v>44901</v>
      </c>
      <c r="X2086" s="705">
        <f t="shared" si="89"/>
        <v>53717</v>
      </c>
    </row>
    <row r="2087" spans="2:24">
      <c r="B2087" t="s">
        <v>549</v>
      </c>
      <c r="C2087" t="s">
        <v>114</v>
      </c>
      <c r="D2087" t="s">
        <v>673</v>
      </c>
      <c r="E2087" t="s">
        <v>673</v>
      </c>
      <c r="F2087" s="705">
        <v>1</v>
      </c>
      <c r="G2087" s="705">
        <v>258</v>
      </c>
      <c r="H2087" s="705">
        <v>131</v>
      </c>
      <c r="I2087" s="705">
        <v>19703</v>
      </c>
      <c r="J2087" s="705">
        <v>17912</v>
      </c>
      <c r="K2087" s="705">
        <v>86</v>
      </c>
      <c r="L2087" s="705">
        <v>0</v>
      </c>
      <c r="M2087" s="705">
        <v>0</v>
      </c>
      <c r="N2087" s="705">
        <v>3148</v>
      </c>
      <c r="O2087" s="705">
        <v>1166</v>
      </c>
      <c r="P2087" s="705">
        <v>4442</v>
      </c>
      <c r="Q2087" s="705">
        <v>1645</v>
      </c>
      <c r="R2087" s="705">
        <v>3863</v>
      </c>
      <c r="S2087" s="705">
        <v>3512</v>
      </c>
      <c r="T2087" s="705">
        <v>2717</v>
      </c>
      <c r="U2087" s="705">
        <v>1006</v>
      </c>
      <c r="V2087" s="705">
        <v>25242</v>
      </c>
      <c r="W2087" s="705">
        <f t="shared" si="88"/>
        <v>25241</v>
      </c>
      <c r="X2087" s="705">
        <f t="shared" si="89"/>
        <v>33873</v>
      </c>
    </row>
    <row r="2088" spans="2:24">
      <c r="B2088" t="s">
        <v>549</v>
      </c>
      <c r="C2088" t="s">
        <v>114</v>
      </c>
      <c r="D2088" t="s">
        <v>585</v>
      </c>
      <c r="E2088" t="s">
        <v>585</v>
      </c>
      <c r="F2088" s="705">
        <v>8</v>
      </c>
      <c r="G2088" s="705">
        <v>1717</v>
      </c>
      <c r="H2088" s="705">
        <v>1127</v>
      </c>
      <c r="I2088" s="705">
        <v>173781</v>
      </c>
      <c r="J2088" s="705">
        <v>157983</v>
      </c>
      <c r="K2088" s="705">
        <v>79</v>
      </c>
      <c r="L2088" s="705">
        <v>21369</v>
      </c>
      <c r="M2088" s="705">
        <v>19426</v>
      </c>
      <c r="N2088" s="705">
        <v>31115</v>
      </c>
      <c r="O2088" s="705">
        <v>11524</v>
      </c>
      <c r="P2088" s="705">
        <v>11188</v>
      </c>
      <c r="Q2088" s="705">
        <v>4144</v>
      </c>
      <c r="R2088" s="705">
        <v>35424</v>
      </c>
      <c r="S2088" s="705">
        <v>32203</v>
      </c>
      <c r="T2088" s="705">
        <v>0</v>
      </c>
      <c r="U2088" s="705">
        <v>0</v>
      </c>
      <c r="V2088" s="705">
        <v>225280</v>
      </c>
      <c r="W2088" s="705">
        <f t="shared" si="88"/>
        <v>225280</v>
      </c>
      <c r="X2088" s="705">
        <f t="shared" si="89"/>
        <v>272877</v>
      </c>
    </row>
    <row r="2089" spans="2:24">
      <c r="B2089" t="s">
        <v>549</v>
      </c>
      <c r="C2089" t="s">
        <v>116</v>
      </c>
      <c r="F2089" s="705">
        <v>2</v>
      </c>
      <c r="G2089" s="705">
        <v>449</v>
      </c>
      <c r="H2089" s="705">
        <v>323</v>
      </c>
      <c r="I2089" s="705"/>
      <c r="J2089" s="705">
        <v>0</v>
      </c>
      <c r="K2089" s="705"/>
      <c r="L2089" s="705"/>
      <c r="M2089" s="705">
        <v>0</v>
      </c>
      <c r="N2089" s="705">
        <v>7328</v>
      </c>
      <c r="O2089" s="705">
        <v>2714</v>
      </c>
      <c r="P2089" s="705">
        <v>2997</v>
      </c>
      <c r="Q2089" s="705">
        <v>1110</v>
      </c>
      <c r="R2089" s="705"/>
      <c r="S2089" s="705">
        <v>0</v>
      </c>
      <c r="T2089" s="705">
        <v>0</v>
      </c>
      <c r="U2089" s="705">
        <v>0</v>
      </c>
      <c r="V2089" s="705">
        <v>3824</v>
      </c>
      <c r="W2089" s="705">
        <f t="shared" si="88"/>
        <v>3824</v>
      </c>
      <c r="X2089" s="705">
        <f t="shared" si="89"/>
        <v>10325</v>
      </c>
    </row>
    <row r="2090" spans="2:24">
      <c r="B2090" t="s">
        <v>549</v>
      </c>
      <c r="C2090" t="s">
        <v>116</v>
      </c>
      <c r="D2090" t="s">
        <v>664</v>
      </c>
      <c r="E2090" t="s">
        <v>664</v>
      </c>
      <c r="F2090" s="705">
        <v>12</v>
      </c>
      <c r="G2090" s="705">
        <v>1845</v>
      </c>
      <c r="H2090" s="705">
        <v>2335</v>
      </c>
      <c r="I2090" s="705">
        <v>232942</v>
      </c>
      <c r="J2090" s="705">
        <v>211765</v>
      </c>
      <c r="K2090" s="705">
        <v>81</v>
      </c>
      <c r="L2090" s="705">
        <v>43909</v>
      </c>
      <c r="M2090" s="705">
        <v>39917</v>
      </c>
      <c r="N2090" s="705">
        <v>39210</v>
      </c>
      <c r="O2090" s="705">
        <v>14522</v>
      </c>
      <c r="P2090" s="705">
        <v>6866</v>
      </c>
      <c r="Q2090" s="705">
        <v>2543</v>
      </c>
      <c r="R2090" s="705">
        <v>64465</v>
      </c>
      <c r="S2090" s="705">
        <v>58604</v>
      </c>
      <c r="T2090" s="705">
        <v>7312</v>
      </c>
      <c r="U2090" s="705">
        <v>2708</v>
      </c>
      <c r="V2090" s="705">
        <v>330060</v>
      </c>
      <c r="W2090" s="705">
        <f t="shared" si="88"/>
        <v>330059</v>
      </c>
      <c r="X2090" s="705">
        <f t="shared" si="89"/>
        <v>394704</v>
      </c>
    </row>
    <row r="2091" spans="2:24">
      <c r="B2091" t="s">
        <v>549</v>
      </c>
      <c r="C2091" t="s">
        <v>116</v>
      </c>
      <c r="D2091" t="s">
        <v>582</v>
      </c>
      <c r="E2091" t="s">
        <v>582</v>
      </c>
      <c r="F2091" s="705">
        <v>130</v>
      </c>
      <c r="G2091" s="705">
        <v>20749</v>
      </c>
      <c r="H2091" s="705">
        <v>24315</v>
      </c>
      <c r="I2091" s="705">
        <v>2330769</v>
      </c>
      <c r="J2091" s="705">
        <v>2118881</v>
      </c>
      <c r="K2091" s="705">
        <v>87</v>
      </c>
      <c r="L2091" s="705">
        <v>506466</v>
      </c>
      <c r="M2091" s="705">
        <v>448090</v>
      </c>
      <c r="N2091" s="705">
        <v>416499</v>
      </c>
      <c r="O2091" s="705">
        <v>154259</v>
      </c>
      <c r="P2091" s="705">
        <v>68810</v>
      </c>
      <c r="Q2091" s="705">
        <v>25485</v>
      </c>
      <c r="R2091" s="705">
        <v>657962</v>
      </c>
      <c r="S2091" s="705">
        <v>598147</v>
      </c>
      <c r="T2091" s="705">
        <v>59365</v>
      </c>
      <c r="U2091" s="705">
        <v>21987</v>
      </c>
      <c r="V2091" s="705">
        <v>3366849</v>
      </c>
      <c r="W2091" s="705">
        <f t="shared" si="88"/>
        <v>3366849</v>
      </c>
      <c r="X2091" s="705">
        <f t="shared" si="89"/>
        <v>4039871</v>
      </c>
    </row>
    <row r="2092" spans="2:24">
      <c r="B2092" t="s">
        <v>549</v>
      </c>
      <c r="C2092" t="s">
        <v>116</v>
      </c>
      <c r="D2092" t="s">
        <v>582</v>
      </c>
      <c r="E2092" t="s">
        <v>584</v>
      </c>
      <c r="F2092" s="705">
        <v>2</v>
      </c>
      <c r="G2092" s="705">
        <v>284</v>
      </c>
      <c r="H2092" s="705">
        <v>409</v>
      </c>
      <c r="I2092" s="705">
        <v>33806</v>
      </c>
      <c r="J2092" s="705">
        <v>30733</v>
      </c>
      <c r="K2092" s="705">
        <v>88</v>
      </c>
      <c r="L2092" s="705">
        <v>7204</v>
      </c>
      <c r="M2092" s="705">
        <v>6549</v>
      </c>
      <c r="N2092" s="705">
        <v>4421</v>
      </c>
      <c r="O2092" s="705">
        <v>1638</v>
      </c>
      <c r="P2092" s="705">
        <v>824</v>
      </c>
      <c r="Q2092" s="705">
        <v>305</v>
      </c>
      <c r="R2092" s="705">
        <v>11545</v>
      </c>
      <c r="S2092" s="705">
        <v>10496</v>
      </c>
      <c r="T2092" s="705">
        <v>0</v>
      </c>
      <c r="U2092" s="705">
        <v>0</v>
      </c>
      <c r="V2092" s="705">
        <v>49720</v>
      </c>
      <c r="W2092" s="705">
        <f t="shared" si="88"/>
        <v>49721</v>
      </c>
      <c r="X2092" s="705">
        <f t="shared" si="89"/>
        <v>57800</v>
      </c>
    </row>
    <row r="2093" spans="2:24">
      <c r="B2093" t="s">
        <v>549</v>
      </c>
      <c r="C2093" t="s">
        <v>116</v>
      </c>
      <c r="D2093" t="s">
        <v>228</v>
      </c>
      <c r="E2093" t="s">
        <v>582</v>
      </c>
      <c r="F2093" s="705">
        <v>1</v>
      </c>
      <c r="G2093" s="705">
        <v>352</v>
      </c>
      <c r="H2093" s="705">
        <v>200</v>
      </c>
      <c r="I2093" s="705">
        <v>48934</v>
      </c>
      <c r="J2093" s="705">
        <v>18124</v>
      </c>
      <c r="K2093" s="705">
        <v>320</v>
      </c>
      <c r="L2093" s="705">
        <v>7655</v>
      </c>
      <c r="M2093" s="705">
        <v>6959</v>
      </c>
      <c r="N2093" s="705">
        <v>4285</v>
      </c>
      <c r="O2093" s="705">
        <v>1587</v>
      </c>
      <c r="P2093" s="705">
        <v>4263</v>
      </c>
      <c r="Q2093" s="705">
        <v>1579</v>
      </c>
      <c r="R2093" s="705">
        <v>5139</v>
      </c>
      <c r="S2093" s="705">
        <v>4672</v>
      </c>
      <c r="T2093" s="705">
        <v>0</v>
      </c>
      <c r="U2093" s="705">
        <v>0</v>
      </c>
      <c r="V2093" s="705">
        <v>32920</v>
      </c>
      <c r="W2093" s="705">
        <f t="shared" si="88"/>
        <v>32921</v>
      </c>
      <c r="X2093" s="705">
        <f t="shared" si="89"/>
        <v>70276</v>
      </c>
    </row>
    <row r="2094" spans="2:24">
      <c r="B2094" t="s">
        <v>549</v>
      </c>
      <c r="C2094" t="s">
        <v>116</v>
      </c>
      <c r="D2094" t="s">
        <v>228</v>
      </c>
      <c r="E2094" t="s">
        <v>228</v>
      </c>
      <c r="F2094" s="705">
        <v>27</v>
      </c>
      <c r="G2094" s="705">
        <v>4626</v>
      </c>
      <c r="H2094" s="705">
        <v>4908</v>
      </c>
      <c r="I2094" s="705">
        <v>433219</v>
      </c>
      <c r="J2094" s="705">
        <v>160451</v>
      </c>
      <c r="K2094" s="705">
        <v>235</v>
      </c>
      <c r="L2094" s="705">
        <v>72720</v>
      </c>
      <c r="M2094" s="705">
        <v>60120</v>
      </c>
      <c r="N2094" s="705">
        <v>101730</v>
      </c>
      <c r="O2094" s="705">
        <v>37678</v>
      </c>
      <c r="P2094" s="705">
        <v>11368</v>
      </c>
      <c r="Q2094" s="705">
        <v>4211</v>
      </c>
      <c r="R2094" s="705">
        <v>239893</v>
      </c>
      <c r="S2094" s="705">
        <v>88849</v>
      </c>
      <c r="T2094" s="705">
        <v>0</v>
      </c>
      <c r="U2094" s="705">
        <v>0</v>
      </c>
      <c r="V2094" s="705">
        <v>351309</v>
      </c>
      <c r="W2094" s="705">
        <f t="shared" si="88"/>
        <v>351309</v>
      </c>
      <c r="X2094" s="705">
        <f t="shared" si="89"/>
        <v>858930</v>
      </c>
    </row>
    <row r="2095" spans="2:24">
      <c r="B2095" t="s">
        <v>549</v>
      </c>
      <c r="C2095" t="s">
        <v>116</v>
      </c>
      <c r="D2095" t="s">
        <v>228</v>
      </c>
      <c r="E2095" t="s">
        <v>583</v>
      </c>
      <c r="F2095" s="705">
        <v>1</v>
      </c>
      <c r="G2095" s="705">
        <v>233</v>
      </c>
      <c r="H2095" s="705">
        <v>207</v>
      </c>
      <c r="I2095" s="705">
        <v>33791</v>
      </c>
      <c r="J2095" s="705">
        <v>12515</v>
      </c>
      <c r="K2095" s="705">
        <v>100</v>
      </c>
      <c r="L2095" s="705">
        <v>5099</v>
      </c>
      <c r="M2095" s="705">
        <v>4635</v>
      </c>
      <c r="N2095" s="705">
        <v>5672</v>
      </c>
      <c r="O2095" s="705">
        <v>2101</v>
      </c>
      <c r="P2095" s="705">
        <v>0</v>
      </c>
      <c r="Q2095" s="705">
        <v>0</v>
      </c>
      <c r="R2095" s="705">
        <v>3525</v>
      </c>
      <c r="S2095" s="705">
        <v>3205</v>
      </c>
      <c r="T2095" s="705">
        <v>0</v>
      </c>
      <c r="U2095" s="705">
        <v>0</v>
      </c>
      <c r="V2095" s="705">
        <v>22456</v>
      </c>
      <c r="W2095" s="705">
        <f t="shared" si="88"/>
        <v>22456</v>
      </c>
      <c r="X2095" s="705">
        <f t="shared" si="89"/>
        <v>48087</v>
      </c>
    </row>
    <row r="2096" spans="2:24">
      <c r="B2096" t="s">
        <v>549</v>
      </c>
      <c r="C2096" t="s">
        <v>116</v>
      </c>
      <c r="D2096" t="s">
        <v>228</v>
      </c>
      <c r="E2096" t="s">
        <v>665</v>
      </c>
      <c r="F2096" s="705">
        <v>1</v>
      </c>
      <c r="G2096" s="705">
        <v>167</v>
      </c>
      <c r="H2096" s="705">
        <v>166</v>
      </c>
      <c r="I2096" s="705">
        <v>13985</v>
      </c>
      <c r="J2096" s="705">
        <v>5180</v>
      </c>
      <c r="K2096" s="705">
        <v>100</v>
      </c>
      <c r="L2096" s="705">
        <v>2191</v>
      </c>
      <c r="M2096" s="705">
        <v>1992</v>
      </c>
      <c r="N2096" s="705">
        <v>2173</v>
      </c>
      <c r="O2096" s="705">
        <v>805</v>
      </c>
      <c r="P2096" s="705">
        <v>351</v>
      </c>
      <c r="Q2096" s="705">
        <v>130</v>
      </c>
      <c r="R2096" s="705">
        <v>5622</v>
      </c>
      <c r="S2096" s="705">
        <v>5111</v>
      </c>
      <c r="T2096" s="705">
        <v>3331</v>
      </c>
      <c r="U2096" s="705">
        <v>1234</v>
      </c>
      <c r="V2096" s="705">
        <v>14451</v>
      </c>
      <c r="W2096" s="705">
        <f t="shared" si="88"/>
        <v>14452</v>
      </c>
      <c r="X2096" s="705">
        <f t="shared" si="89"/>
        <v>27653</v>
      </c>
    </row>
    <row r="2097" spans="2:24">
      <c r="B2097" t="s">
        <v>549</v>
      </c>
      <c r="C2097" t="s">
        <v>116</v>
      </c>
      <c r="D2097" t="s">
        <v>583</v>
      </c>
      <c r="E2097" t="s">
        <v>674</v>
      </c>
      <c r="F2097" s="705">
        <v>1</v>
      </c>
      <c r="G2097" s="705">
        <v>139</v>
      </c>
      <c r="H2097" s="705">
        <v>206</v>
      </c>
      <c r="I2097" s="705">
        <v>17727</v>
      </c>
      <c r="J2097" s="705">
        <v>16116</v>
      </c>
      <c r="K2097" s="705">
        <v>79</v>
      </c>
      <c r="L2097" s="705">
        <v>2462</v>
      </c>
      <c r="M2097" s="705">
        <v>2238</v>
      </c>
      <c r="N2097" s="705">
        <v>1691</v>
      </c>
      <c r="O2097" s="705">
        <v>626</v>
      </c>
      <c r="P2097" s="705">
        <v>972</v>
      </c>
      <c r="Q2097" s="705">
        <v>360</v>
      </c>
      <c r="R2097" s="705">
        <v>5729</v>
      </c>
      <c r="S2097" s="705">
        <v>5209</v>
      </c>
      <c r="T2097" s="705">
        <v>0</v>
      </c>
      <c r="U2097" s="705">
        <v>0</v>
      </c>
      <c r="V2097" s="705">
        <v>24549</v>
      </c>
      <c r="W2097" s="705">
        <f t="shared" si="88"/>
        <v>24549</v>
      </c>
      <c r="X2097" s="705">
        <f t="shared" si="89"/>
        <v>28581</v>
      </c>
    </row>
    <row r="2098" spans="2:24">
      <c r="B2098" t="s">
        <v>549</v>
      </c>
      <c r="C2098" t="s">
        <v>116</v>
      </c>
      <c r="D2098" t="s">
        <v>583</v>
      </c>
      <c r="E2098" t="s">
        <v>664</v>
      </c>
      <c r="F2098" s="705">
        <v>4</v>
      </c>
      <c r="G2098" s="705">
        <v>680</v>
      </c>
      <c r="H2098" s="705">
        <v>763</v>
      </c>
      <c r="I2098" s="705">
        <v>80303</v>
      </c>
      <c r="J2098" s="705">
        <v>73003</v>
      </c>
      <c r="K2098" s="705">
        <v>85</v>
      </c>
      <c r="L2098" s="705">
        <v>16872</v>
      </c>
      <c r="M2098" s="705">
        <v>15156</v>
      </c>
      <c r="N2098" s="705">
        <v>15203</v>
      </c>
      <c r="O2098" s="705">
        <v>5631</v>
      </c>
      <c r="P2098" s="705">
        <v>2484</v>
      </c>
      <c r="Q2098" s="705">
        <v>920</v>
      </c>
      <c r="R2098" s="705">
        <v>23687</v>
      </c>
      <c r="S2098" s="705">
        <v>21533</v>
      </c>
      <c r="T2098" s="705">
        <v>3480</v>
      </c>
      <c r="U2098" s="705">
        <v>1289</v>
      </c>
      <c r="V2098" s="705">
        <v>117531</v>
      </c>
      <c r="W2098" s="705">
        <f t="shared" si="88"/>
        <v>117532</v>
      </c>
      <c r="X2098" s="705">
        <f t="shared" si="89"/>
        <v>142029</v>
      </c>
    </row>
    <row r="2099" spans="2:24">
      <c r="B2099" t="s">
        <v>549</v>
      </c>
      <c r="C2099" t="s">
        <v>116</v>
      </c>
      <c r="D2099" t="s">
        <v>583</v>
      </c>
      <c r="E2099" t="s">
        <v>228</v>
      </c>
      <c r="F2099" s="705">
        <v>7</v>
      </c>
      <c r="G2099" s="705">
        <v>1150</v>
      </c>
      <c r="H2099" s="705">
        <v>1464</v>
      </c>
      <c r="I2099" s="705">
        <v>128261</v>
      </c>
      <c r="J2099" s="705">
        <v>116601</v>
      </c>
      <c r="K2099" s="705">
        <v>88</v>
      </c>
      <c r="L2099" s="705">
        <v>36568</v>
      </c>
      <c r="M2099" s="705">
        <v>33244</v>
      </c>
      <c r="N2099" s="705">
        <v>26242</v>
      </c>
      <c r="O2099" s="705">
        <v>9719</v>
      </c>
      <c r="P2099" s="705">
        <v>4428</v>
      </c>
      <c r="Q2099" s="705">
        <v>1640</v>
      </c>
      <c r="R2099" s="705">
        <v>63908</v>
      </c>
      <c r="S2099" s="705">
        <v>23670</v>
      </c>
      <c r="T2099" s="705">
        <v>0</v>
      </c>
      <c r="U2099" s="705">
        <v>0</v>
      </c>
      <c r="V2099" s="705">
        <v>184874</v>
      </c>
      <c r="W2099" s="705">
        <f t="shared" si="88"/>
        <v>184874</v>
      </c>
      <c r="X2099" s="705">
        <f t="shared" si="89"/>
        <v>259407</v>
      </c>
    </row>
    <row r="2100" spans="2:24">
      <c r="B2100" t="s">
        <v>549</v>
      </c>
      <c r="C2100" t="s">
        <v>116</v>
      </c>
      <c r="D2100" t="s">
        <v>583</v>
      </c>
      <c r="E2100" t="s">
        <v>583</v>
      </c>
      <c r="F2100" s="705">
        <v>4086</v>
      </c>
      <c r="G2100" s="705">
        <v>652572</v>
      </c>
      <c r="H2100" s="705">
        <v>786582</v>
      </c>
      <c r="I2100" s="705">
        <v>73938437</v>
      </c>
      <c r="J2100" s="705">
        <v>67216761</v>
      </c>
      <c r="K2100" s="705">
        <v>85</v>
      </c>
      <c r="L2100" s="705">
        <v>15059888</v>
      </c>
      <c r="M2100" s="705">
        <v>13505288</v>
      </c>
      <c r="N2100" s="705">
        <v>13891254</v>
      </c>
      <c r="O2100" s="705">
        <v>5144909</v>
      </c>
      <c r="P2100" s="705">
        <v>2735027</v>
      </c>
      <c r="Q2100" s="705">
        <v>1012973</v>
      </c>
      <c r="R2100" s="705">
        <v>21998971</v>
      </c>
      <c r="S2100" s="705">
        <v>19999064</v>
      </c>
      <c r="T2100" s="705">
        <v>5359035</v>
      </c>
      <c r="U2100" s="705">
        <v>1984828</v>
      </c>
      <c r="V2100" s="705">
        <v>108863823</v>
      </c>
      <c r="W2100" s="705">
        <f t="shared" si="88"/>
        <v>108863823</v>
      </c>
      <c r="X2100" s="705">
        <f t="shared" si="89"/>
        <v>132982612</v>
      </c>
    </row>
    <row r="2101" spans="2:24">
      <c r="B2101" t="s">
        <v>549</v>
      </c>
      <c r="C2101" t="s">
        <v>116</v>
      </c>
      <c r="D2101" t="s">
        <v>583</v>
      </c>
      <c r="E2101" t="s">
        <v>666</v>
      </c>
      <c r="F2101" s="705">
        <v>3</v>
      </c>
      <c r="G2101" s="705">
        <v>400</v>
      </c>
      <c r="H2101" s="705">
        <v>614</v>
      </c>
      <c r="I2101" s="705">
        <v>45461</v>
      </c>
      <c r="J2101" s="705">
        <v>41329</v>
      </c>
      <c r="K2101" s="705">
        <v>86</v>
      </c>
      <c r="L2101" s="705">
        <v>8670</v>
      </c>
      <c r="M2101" s="705">
        <v>7510</v>
      </c>
      <c r="N2101" s="705">
        <v>6837</v>
      </c>
      <c r="O2101" s="705">
        <v>2532</v>
      </c>
      <c r="P2101" s="705">
        <v>1863</v>
      </c>
      <c r="Q2101" s="705">
        <v>690</v>
      </c>
      <c r="R2101" s="705">
        <v>15695</v>
      </c>
      <c r="S2101" s="705">
        <v>14268</v>
      </c>
      <c r="T2101" s="705">
        <v>3153</v>
      </c>
      <c r="U2101" s="705">
        <v>1168</v>
      </c>
      <c r="V2101" s="705">
        <v>67497</v>
      </c>
      <c r="W2101" s="705">
        <f t="shared" si="88"/>
        <v>67497</v>
      </c>
      <c r="X2101" s="705">
        <f t="shared" si="89"/>
        <v>81679</v>
      </c>
    </row>
    <row r="2102" spans="2:24">
      <c r="B2102" t="s">
        <v>549</v>
      </c>
      <c r="C2102" t="s">
        <v>116</v>
      </c>
      <c r="D2102" t="s">
        <v>583</v>
      </c>
      <c r="E2102" t="s">
        <v>671</v>
      </c>
      <c r="F2102" s="705">
        <v>2</v>
      </c>
      <c r="G2102" s="705">
        <v>333</v>
      </c>
      <c r="H2102" s="705">
        <v>389</v>
      </c>
      <c r="I2102" s="705">
        <v>46837</v>
      </c>
      <c r="J2102" s="705">
        <v>42579</v>
      </c>
      <c r="K2102" s="705">
        <v>78</v>
      </c>
      <c r="L2102" s="705">
        <v>8364</v>
      </c>
      <c r="M2102" s="705">
        <v>4844</v>
      </c>
      <c r="N2102" s="705">
        <v>5410</v>
      </c>
      <c r="O2102" s="705">
        <v>2004</v>
      </c>
      <c r="P2102" s="705">
        <v>1242</v>
      </c>
      <c r="Q2102" s="705">
        <v>460</v>
      </c>
      <c r="R2102" s="705">
        <v>11421</v>
      </c>
      <c r="S2102" s="705">
        <v>10383</v>
      </c>
      <c r="T2102" s="705">
        <v>0</v>
      </c>
      <c r="U2102" s="705">
        <v>0</v>
      </c>
      <c r="V2102" s="705">
        <v>60270</v>
      </c>
      <c r="W2102" s="705">
        <f t="shared" si="88"/>
        <v>60270</v>
      </c>
      <c r="X2102" s="705">
        <f t="shared" si="89"/>
        <v>73274</v>
      </c>
    </row>
    <row r="2103" spans="2:24">
      <c r="B2103" t="s">
        <v>549</v>
      </c>
      <c r="C2103" t="s">
        <v>116</v>
      </c>
      <c r="D2103" t="s">
        <v>583</v>
      </c>
      <c r="E2103" t="s">
        <v>665</v>
      </c>
      <c r="F2103" s="705">
        <v>1</v>
      </c>
      <c r="G2103" s="705">
        <v>220</v>
      </c>
      <c r="H2103" s="705">
        <v>194</v>
      </c>
      <c r="I2103" s="705">
        <v>26347</v>
      </c>
      <c r="J2103" s="705">
        <v>23952</v>
      </c>
      <c r="K2103" s="705">
        <v>85</v>
      </c>
      <c r="L2103" s="705">
        <v>3937</v>
      </c>
      <c r="M2103" s="705">
        <v>3580</v>
      </c>
      <c r="N2103" s="705">
        <v>4207</v>
      </c>
      <c r="O2103" s="705">
        <v>1558</v>
      </c>
      <c r="P2103" s="705">
        <v>621</v>
      </c>
      <c r="Q2103" s="705">
        <v>230</v>
      </c>
      <c r="R2103" s="705">
        <v>7521</v>
      </c>
      <c r="S2103" s="705">
        <v>6837</v>
      </c>
      <c r="T2103" s="705">
        <v>0</v>
      </c>
      <c r="U2103" s="705">
        <v>0</v>
      </c>
      <c r="V2103" s="705">
        <v>36157</v>
      </c>
      <c r="W2103" s="705">
        <f t="shared" si="88"/>
        <v>36157</v>
      </c>
      <c r="X2103" s="705">
        <f t="shared" si="89"/>
        <v>42633</v>
      </c>
    </row>
    <row r="2104" spans="2:24">
      <c r="B2104" t="s">
        <v>549</v>
      </c>
      <c r="C2104" t="s">
        <v>116</v>
      </c>
      <c r="D2104" t="s">
        <v>666</v>
      </c>
      <c r="E2104" t="s">
        <v>583</v>
      </c>
      <c r="F2104" s="705">
        <v>1</v>
      </c>
      <c r="G2104" s="705">
        <v>240</v>
      </c>
      <c r="H2104" s="705">
        <v>199</v>
      </c>
      <c r="I2104" s="705">
        <v>25587</v>
      </c>
      <c r="J2104" s="705">
        <v>23261</v>
      </c>
      <c r="K2104" s="705">
        <v>86</v>
      </c>
      <c r="L2104" s="705">
        <v>7714</v>
      </c>
      <c r="M2104" s="705">
        <v>7013</v>
      </c>
      <c r="N2104" s="705">
        <v>4561</v>
      </c>
      <c r="O2104" s="705">
        <v>1689</v>
      </c>
      <c r="P2104" s="705">
        <v>621</v>
      </c>
      <c r="Q2104" s="705">
        <v>230</v>
      </c>
      <c r="R2104" s="705">
        <v>5163</v>
      </c>
      <c r="S2104" s="705">
        <v>4694</v>
      </c>
      <c r="T2104" s="705">
        <v>3995</v>
      </c>
      <c r="U2104" s="705">
        <v>1480</v>
      </c>
      <c r="V2104" s="705">
        <v>38366</v>
      </c>
      <c r="W2104" s="705">
        <f t="shared" si="88"/>
        <v>38367</v>
      </c>
      <c r="X2104" s="705">
        <f t="shared" si="89"/>
        <v>47641</v>
      </c>
    </row>
    <row r="2105" spans="2:24">
      <c r="B2105" t="s">
        <v>549</v>
      </c>
      <c r="C2105" t="s">
        <v>116</v>
      </c>
      <c r="D2105" t="s">
        <v>584</v>
      </c>
      <c r="E2105" t="s">
        <v>582</v>
      </c>
      <c r="F2105" s="705">
        <v>1</v>
      </c>
      <c r="G2105" s="705">
        <v>143</v>
      </c>
      <c r="H2105" s="705">
        <v>207</v>
      </c>
      <c r="I2105" s="705">
        <v>17413</v>
      </c>
      <c r="J2105" s="705">
        <v>15830</v>
      </c>
      <c r="K2105" s="705">
        <v>86</v>
      </c>
      <c r="L2105" s="705">
        <v>3517</v>
      </c>
      <c r="M2105" s="705">
        <v>3197</v>
      </c>
      <c r="N2105" s="705">
        <v>2260</v>
      </c>
      <c r="O2105" s="705">
        <v>837</v>
      </c>
      <c r="P2105" s="705">
        <v>473</v>
      </c>
      <c r="Q2105" s="705">
        <v>175</v>
      </c>
      <c r="R2105" s="705">
        <v>2972</v>
      </c>
      <c r="S2105" s="705">
        <v>2702</v>
      </c>
      <c r="T2105" s="705">
        <v>2939</v>
      </c>
      <c r="U2105" s="705">
        <v>1088</v>
      </c>
      <c r="V2105" s="705">
        <v>23829</v>
      </c>
      <c r="W2105" s="705">
        <f t="shared" si="88"/>
        <v>23829</v>
      </c>
      <c r="X2105" s="705">
        <f t="shared" si="89"/>
        <v>29574</v>
      </c>
    </row>
    <row r="2106" spans="2:24">
      <c r="B2106" t="s">
        <v>549</v>
      </c>
      <c r="C2106" t="s">
        <v>116</v>
      </c>
      <c r="D2106" t="s">
        <v>584</v>
      </c>
      <c r="E2106" t="s">
        <v>584</v>
      </c>
      <c r="F2106" s="705">
        <v>65</v>
      </c>
      <c r="G2106" s="705">
        <v>9610</v>
      </c>
      <c r="H2106" s="705">
        <v>12354</v>
      </c>
      <c r="I2106" s="705">
        <v>1065056</v>
      </c>
      <c r="J2106" s="705">
        <v>968233</v>
      </c>
      <c r="K2106" s="705">
        <v>84</v>
      </c>
      <c r="L2106" s="705">
        <v>221599</v>
      </c>
      <c r="M2106" s="705">
        <v>199068</v>
      </c>
      <c r="N2106" s="705">
        <v>198290</v>
      </c>
      <c r="O2106" s="705">
        <v>73441</v>
      </c>
      <c r="P2106" s="705">
        <v>33264</v>
      </c>
      <c r="Q2106" s="705">
        <v>12320</v>
      </c>
      <c r="R2106" s="705">
        <v>287196</v>
      </c>
      <c r="S2106" s="705">
        <v>261088</v>
      </c>
      <c r="T2106" s="705">
        <v>43385</v>
      </c>
      <c r="U2106" s="705">
        <v>16069</v>
      </c>
      <c r="V2106" s="705">
        <v>1530219</v>
      </c>
      <c r="W2106" s="705">
        <f t="shared" si="88"/>
        <v>1530219</v>
      </c>
      <c r="X2106" s="705">
        <f t="shared" si="89"/>
        <v>1848790</v>
      </c>
    </row>
    <row r="2107" spans="2:24">
      <c r="B2107" t="s">
        <v>549</v>
      </c>
      <c r="C2107" t="s">
        <v>116</v>
      </c>
      <c r="D2107" t="s">
        <v>671</v>
      </c>
      <c r="E2107" t="s">
        <v>671</v>
      </c>
      <c r="F2107" s="705">
        <v>2</v>
      </c>
      <c r="G2107" s="705">
        <v>522</v>
      </c>
      <c r="H2107" s="705">
        <v>385</v>
      </c>
      <c r="I2107" s="705">
        <v>56990</v>
      </c>
      <c r="J2107" s="705">
        <v>51809</v>
      </c>
      <c r="K2107" s="705">
        <v>65</v>
      </c>
      <c r="L2107" s="705">
        <v>11834</v>
      </c>
      <c r="M2107" s="705">
        <v>7921</v>
      </c>
      <c r="N2107" s="705">
        <v>10067</v>
      </c>
      <c r="O2107" s="705">
        <v>3729</v>
      </c>
      <c r="P2107" s="705">
        <v>702</v>
      </c>
      <c r="Q2107" s="705">
        <v>260</v>
      </c>
      <c r="R2107" s="705">
        <v>12344</v>
      </c>
      <c r="S2107" s="705">
        <v>11222</v>
      </c>
      <c r="T2107" s="705">
        <v>7526</v>
      </c>
      <c r="U2107" s="705">
        <v>2787</v>
      </c>
      <c r="V2107" s="705">
        <v>77728</v>
      </c>
      <c r="W2107" s="705">
        <f t="shared" si="88"/>
        <v>77728</v>
      </c>
      <c r="X2107" s="705">
        <f t="shared" si="89"/>
        <v>99463</v>
      </c>
    </row>
    <row r="2108" spans="2:24">
      <c r="B2108" t="s">
        <v>549</v>
      </c>
      <c r="C2108" t="s">
        <v>116</v>
      </c>
      <c r="D2108" t="s">
        <v>665</v>
      </c>
      <c r="E2108" t="s">
        <v>582</v>
      </c>
      <c r="F2108" s="705">
        <v>1</v>
      </c>
      <c r="G2108" s="705">
        <v>135</v>
      </c>
      <c r="H2108" s="705">
        <v>170</v>
      </c>
      <c r="I2108" s="705">
        <v>24085</v>
      </c>
      <c r="J2108" s="705">
        <v>21895</v>
      </c>
      <c r="K2108" s="705">
        <v>76</v>
      </c>
      <c r="L2108" s="705">
        <v>2768</v>
      </c>
      <c r="M2108" s="705">
        <v>2516</v>
      </c>
      <c r="N2108" s="705">
        <v>2925</v>
      </c>
      <c r="O2108" s="705">
        <v>1083</v>
      </c>
      <c r="P2108" s="705">
        <v>351</v>
      </c>
      <c r="Q2108" s="705">
        <v>130</v>
      </c>
      <c r="R2108" s="705">
        <v>5426</v>
      </c>
      <c r="S2108" s="705">
        <v>4932</v>
      </c>
      <c r="T2108" s="705">
        <v>0</v>
      </c>
      <c r="U2108" s="705">
        <v>0</v>
      </c>
      <c r="V2108" s="705">
        <v>30557</v>
      </c>
      <c r="W2108" s="705">
        <f t="shared" si="88"/>
        <v>30556</v>
      </c>
      <c r="X2108" s="705">
        <f t="shared" si="89"/>
        <v>35555</v>
      </c>
    </row>
    <row r="2109" spans="2:24">
      <c r="B2109" t="s">
        <v>549</v>
      </c>
      <c r="C2109" t="s">
        <v>116</v>
      </c>
      <c r="D2109" t="s">
        <v>665</v>
      </c>
      <c r="E2109" t="s">
        <v>665</v>
      </c>
      <c r="F2109" s="705">
        <v>20</v>
      </c>
      <c r="G2109" s="705">
        <v>3115</v>
      </c>
      <c r="H2109" s="705">
        <v>4048</v>
      </c>
      <c r="I2109" s="705">
        <v>437357</v>
      </c>
      <c r="J2109" s="705">
        <v>397597</v>
      </c>
      <c r="K2109" s="705">
        <v>66</v>
      </c>
      <c r="L2109" s="705">
        <v>44950</v>
      </c>
      <c r="M2109" s="705">
        <v>36307</v>
      </c>
      <c r="N2109" s="705">
        <v>63940</v>
      </c>
      <c r="O2109" s="705">
        <v>23681</v>
      </c>
      <c r="P2109" s="705">
        <v>13662</v>
      </c>
      <c r="Q2109" s="705">
        <v>5060</v>
      </c>
      <c r="R2109" s="705">
        <v>119286</v>
      </c>
      <c r="S2109" s="705">
        <v>108441</v>
      </c>
      <c r="T2109" s="705">
        <v>29991</v>
      </c>
      <c r="U2109" s="705">
        <v>11108</v>
      </c>
      <c r="V2109" s="705">
        <v>582195</v>
      </c>
      <c r="W2109" s="705">
        <f t="shared" si="88"/>
        <v>582194</v>
      </c>
      <c r="X2109" s="705">
        <f t="shared" si="89"/>
        <v>709186</v>
      </c>
    </row>
    <row r="2110" spans="2:24">
      <c r="B2110" t="s">
        <v>549</v>
      </c>
      <c r="C2110" t="s">
        <v>116</v>
      </c>
      <c r="D2110" t="s">
        <v>673</v>
      </c>
      <c r="E2110" t="s">
        <v>583</v>
      </c>
      <c r="F2110" s="705">
        <v>1</v>
      </c>
      <c r="G2110" s="705">
        <v>169</v>
      </c>
      <c r="H2110" s="705">
        <v>155</v>
      </c>
      <c r="I2110" s="705">
        <v>13299</v>
      </c>
      <c r="J2110" s="705">
        <v>12090</v>
      </c>
      <c r="K2110" s="705">
        <v>95</v>
      </c>
      <c r="L2110" s="705">
        <v>2221</v>
      </c>
      <c r="M2110" s="705">
        <v>2020</v>
      </c>
      <c r="N2110" s="705">
        <v>4122</v>
      </c>
      <c r="O2110" s="705">
        <v>1527</v>
      </c>
      <c r="P2110" s="705">
        <v>621</v>
      </c>
      <c r="Q2110" s="705">
        <v>230</v>
      </c>
      <c r="R2110" s="705">
        <v>5897</v>
      </c>
      <c r="S2110" s="705">
        <v>5361</v>
      </c>
      <c r="T2110" s="705">
        <v>0</v>
      </c>
      <c r="U2110" s="705">
        <v>0</v>
      </c>
      <c r="V2110" s="705">
        <v>21227</v>
      </c>
      <c r="W2110" s="705">
        <f t="shared" si="88"/>
        <v>21228</v>
      </c>
      <c r="X2110" s="705">
        <f t="shared" si="89"/>
        <v>26160</v>
      </c>
    </row>
    <row r="2111" spans="2:24">
      <c r="B2111" t="s">
        <v>549</v>
      </c>
      <c r="C2111" t="s">
        <v>116</v>
      </c>
      <c r="D2111" t="s">
        <v>673</v>
      </c>
      <c r="E2111" t="s">
        <v>673</v>
      </c>
      <c r="F2111" s="705">
        <v>4</v>
      </c>
      <c r="G2111" s="705">
        <v>892</v>
      </c>
      <c r="H2111" s="705">
        <v>762</v>
      </c>
      <c r="I2111" s="705">
        <v>119766</v>
      </c>
      <c r="J2111" s="705">
        <v>108879</v>
      </c>
      <c r="K2111" s="705">
        <v>73</v>
      </c>
      <c r="L2111" s="705">
        <v>22710</v>
      </c>
      <c r="M2111" s="705">
        <v>20646</v>
      </c>
      <c r="N2111" s="705">
        <v>18926</v>
      </c>
      <c r="O2111" s="705">
        <v>7010</v>
      </c>
      <c r="P2111" s="705">
        <v>2376</v>
      </c>
      <c r="Q2111" s="705">
        <v>880</v>
      </c>
      <c r="R2111" s="705">
        <v>24626</v>
      </c>
      <c r="S2111" s="705">
        <v>22387</v>
      </c>
      <c r="T2111" s="705">
        <v>6903</v>
      </c>
      <c r="U2111" s="705">
        <v>2557</v>
      </c>
      <c r="V2111" s="705">
        <v>162358</v>
      </c>
      <c r="W2111" s="705">
        <f t="shared" si="88"/>
        <v>162359</v>
      </c>
      <c r="X2111" s="705">
        <f t="shared" si="89"/>
        <v>195307</v>
      </c>
    </row>
    <row r="2112" spans="2:24">
      <c r="B2112" t="s">
        <v>549</v>
      </c>
      <c r="C2112" t="s">
        <v>116</v>
      </c>
      <c r="D2112" t="s">
        <v>585</v>
      </c>
      <c r="E2112" t="s">
        <v>585</v>
      </c>
      <c r="F2112" s="705">
        <v>24</v>
      </c>
      <c r="G2112" s="705">
        <v>4894</v>
      </c>
      <c r="H2112" s="705">
        <v>4564</v>
      </c>
      <c r="I2112" s="705">
        <v>625717</v>
      </c>
      <c r="J2112" s="705">
        <v>568834</v>
      </c>
      <c r="K2112" s="705">
        <v>75</v>
      </c>
      <c r="L2112" s="705">
        <v>93042</v>
      </c>
      <c r="M2112" s="705">
        <v>84331</v>
      </c>
      <c r="N2112" s="705">
        <v>99797</v>
      </c>
      <c r="O2112" s="705">
        <v>36962</v>
      </c>
      <c r="P2112" s="705">
        <v>15662</v>
      </c>
      <c r="Q2112" s="705">
        <v>5801</v>
      </c>
      <c r="R2112" s="705">
        <v>131587</v>
      </c>
      <c r="S2112" s="705">
        <v>119625</v>
      </c>
      <c r="T2112" s="705">
        <v>22354</v>
      </c>
      <c r="U2112" s="705">
        <v>8279</v>
      </c>
      <c r="V2112" s="705">
        <v>823831</v>
      </c>
      <c r="W2112" s="705">
        <f t="shared" si="88"/>
        <v>823832</v>
      </c>
      <c r="X2112" s="705">
        <f t="shared" si="89"/>
        <v>988159</v>
      </c>
    </row>
    <row r="2113" spans="2:24">
      <c r="B2113" t="s">
        <v>549</v>
      </c>
      <c r="C2113" t="s">
        <v>116</v>
      </c>
      <c r="D2113" t="s">
        <v>668</v>
      </c>
      <c r="E2113" t="s">
        <v>668</v>
      </c>
      <c r="F2113" s="705">
        <v>2</v>
      </c>
      <c r="G2113" s="705">
        <v>380</v>
      </c>
      <c r="H2113" s="705">
        <v>398</v>
      </c>
      <c r="I2113" s="705">
        <v>49568</v>
      </c>
      <c r="J2113" s="705">
        <v>45062</v>
      </c>
      <c r="K2113" s="705">
        <v>63</v>
      </c>
      <c r="L2113" s="705">
        <v>2452</v>
      </c>
      <c r="M2113" s="705">
        <v>908</v>
      </c>
      <c r="N2113" s="705">
        <v>9628</v>
      </c>
      <c r="O2113" s="705">
        <v>3566</v>
      </c>
      <c r="P2113" s="705">
        <v>3866</v>
      </c>
      <c r="Q2113" s="705">
        <v>1432</v>
      </c>
      <c r="R2113" s="705">
        <v>13004</v>
      </c>
      <c r="S2113" s="705">
        <v>11822</v>
      </c>
      <c r="T2113" s="705">
        <v>3307</v>
      </c>
      <c r="U2113" s="705">
        <v>1225</v>
      </c>
      <c r="V2113" s="705">
        <v>64015</v>
      </c>
      <c r="W2113" s="705">
        <f t="shared" si="88"/>
        <v>64015</v>
      </c>
      <c r="X2113" s="705">
        <f t="shared" si="89"/>
        <v>81825</v>
      </c>
    </row>
    <row r="2114" spans="2:24">
      <c r="B2114" t="s">
        <v>549</v>
      </c>
      <c r="C2114" t="s">
        <v>118</v>
      </c>
      <c r="F2114" s="705">
        <v>1</v>
      </c>
      <c r="G2114" s="705">
        <v>106</v>
      </c>
      <c r="H2114" s="705">
        <v>236</v>
      </c>
      <c r="I2114" s="705"/>
      <c r="J2114" s="705">
        <v>0</v>
      </c>
      <c r="K2114" s="705"/>
      <c r="L2114" s="705"/>
      <c r="M2114" s="705">
        <v>0</v>
      </c>
      <c r="N2114" s="705">
        <v>1419</v>
      </c>
      <c r="O2114" s="705">
        <v>526</v>
      </c>
      <c r="P2114" s="705">
        <v>621</v>
      </c>
      <c r="Q2114" s="705">
        <v>230</v>
      </c>
      <c r="R2114" s="705"/>
      <c r="S2114" s="705">
        <v>0</v>
      </c>
      <c r="T2114" s="705">
        <v>0</v>
      </c>
      <c r="U2114" s="705">
        <v>0</v>
      </c>
      <c r="V2114" s="705">
        <v>756</v>
      </c>
      <c r="W2114" s="705">
        <f t="shared" si="88"/>
        <v>756</v>
      </c>
      <c r="X2114" s="705">
        <f t="shared" si="89"/>
        <v>2040</v>
      </c>
    </row>
    <row r="2115" spans="2:24">
      <c r="B2115" t="s">
        <v>549</v>
      </c>
      <c r="C2115" t="s">
        <v>118</v>
      </c>
      <c r="D2115" t="s">
        <v>664</v>
      </c>
      <c r="E2115" t="s">
        <v>664</v>
      </c>
      <c r="F2115" s="705">
        <v>5</v>
      </c>
      <c r="G2115" s="705">
        <v>574</v>
      </c>
      <c r="H2115" s="705">
        <v>1358</v>
      </c>
      <c r="I2115" s="705">
        <v>94975</v>
      </c>
      <c r="J2115" s="705">
        <v>86341</v>
      </c>
      <c r="K2115" s="705">
        <v>78</v>
      </c>
      <c r="L2115" s="705">
        <v>13952</v>
      </c>
      <c r="M2115" s="705">
        <v>12684</v>
      </c>
      <c r="N2115" s="705">
        <v>11287</v>
      </c>
      <c r="O2115" s="705">
        <v>4180</v>
      </c>
      <c r="P2115" s="705">
        <v>2268</v>
      </c>
      <c r="Q2115" s="705">
        <v>840</v>
      </c>
      <c r="R2115" s="705">
        <v>24806</v>
      </c>
      <c r="S2115" s="705">
        <v>22551</v>
      </c>
      <c r="T2115" s="705">
        <v>8218</v>
      </c>
      <c r="U2115" s="705">
        <v>3044</v>
      </c>
      <c r="V2115" s="705">
        <v>129639</v>
      </c>
      <c r="W2115" s="705">
        <f t="shared" si="88"/>
        <v>129640</v>
      </c>
      <c r="X2115" s="705">
        <f t="shared" si="89"/>
        <v>155506</v>
      </c>
    </row>
    <row r="2116" spans="2:24">
      <c r="B2116" t="s">
        <v>549</v>
      </c>
      <c r="C2116" t="s">
        <v>118</v>
      </c>
      <c r="D2116" t="s">
        <v>582</v>
      </c>
      <c r="E2116" t="s">
        <v>582</v>
      </c>
      <c r="F2116" s="705">
        <v>46</v>
      </c>
      <c r="G2116" s="705">
        <v>6403</v>
      </c>
      <c r="H2116" s="705">
        <v>11871</v>
      </c>
      <c r="I2116" s="705">
        <v>1021755</v>
      </c>
      <c r="J2116" s="705">
        <v>928868</v>
      </c>
      <c r="K2116" s="705">
        <v>82</v>
      </c>
      <c r="L2116" s="705">
        <v>226896</v>
      </c>
      <c r="M2116" s="705">
        <v>208843</v>
      </c>
      <c r="N2116" s="705">
        <v>132580</v>
      </c>
      <c r="O2116" s="705">
        <v>49104</v>
      </c>
      <c r="P2116" s="705">
        <v>22734</v>
      </c>
      <c r="Q2116" s="705">
        <v>8420</v>
      </c>
      <c r="R2116" s="705">
        <v>251657</v>
      </c>
      <c r="S2116" s="705">
        <v>228779</v>
      </c>
      <c r="T2116" s="705">
        <v>34661</v>
      </c>
      <c r="U2116" s="705">
        <v>12837</v>
      </c>
      <c r="V2116" s="705">
        <v>1436851</v>
      </c>
      <c r="W2116" s="705">
        <f t="shared" si="88"/>
        <v>1436851</v>
      </c>
      <c r="X2116" s="705">
        <f t="shared" si="89"/>
        <v>1690283</v>
      </c>
    </row>
    <row r="2117" spans="2:24">
      <c r="B2117" t="s">
        <v>549</v>
      </c>
      <c r="C2117" t="s">
        <v>118</v>
      </c>
      <c r="D2117" t="s">
        <v>582</v>
      </c>
      <c r="E2117" t="s">
        <v>228</v>
      </c>
      <c r="F2117" s="705">
        <v>1</v>
      </c>
      <c r="G2117" s="705">
        <v>125</v>
      </c>
      <c r="H2117" s="705">
        <v>278</v>
      </c>
      <c r="I2117" s="705">
        <v>18134</v>
      </c>
      <c r="J2117" s="705">
        <v>16485</v>
      </c>
      <c r="K2117" s="705">
        <v>90</v>
      </c>
      <c r="L2117" s="705">
        <v>2277</v>
      </c>
      <c r="M2117" s="705">
        <v>2070</v>
      </c>
      <c r="N2117" s="705">
        <v>3056</v>
      </c>
      <c r="O2117" s="705">
        <v>1132</v>
      </c>
      <c r="P2117" s="705">
        <v>351</v>
      </c>
      <c r="Q2117" s="705">
        <v>130</v>
      </c>
      <c r="R2117" s="705">
        <v>11001</v>
      </c>
      <c r="S2117" s="705">
        <v>4075</v>
      </c>
      <c r="T2117" s="705">
        <v>0</v>
      </c>
      <c r="U2117" s="705">
        <v>0</v>
      </c>
      <c r="V2117" s="705">
        <v>23892</v>
      </c>
      <c r="W2117" s="705">
        <f t="shared" si="88"/>
        <v>23892</v>
      </c>
      <c r="X2117" s="705">
        <f t="shared" si="89"/>
        <v>34819</v>
      </c>
    </row>
    <row r="2118" spans="2:24">
      <c r="B2118" t="s">
        <v>549</v>
      </c>
      <c r="C2118" t="s">
        <v>118</v>
      </c>
      <c r="D2118" t="s">
        <v>582</v>
      </c>
      <c r="E2118" t="s">
        <v>583</v>
      </c>
      <c r="F2118" s="705">
        <v>1</v>
      </c>
      <c r="G2118" s="705">
        <v>348</v>
      </c>
      <c r="H2118" s="705">
        <v>237</v>
      </c>
      <c r="I2118" s="705">
        <v>61117</v>
      </c>
      <c r="J2118" s="705">
        <v>55561</v>
      </c>
      <c r="K2118" s="705">
        <v>91</v>
      </c>
      <c r="L2118" s="705">
        <v>8985</v>
      </c>
      <c r="M2118" s="705">
        <v>8168</v>
      </c>
      <c r="N2118" s="705">
        <v>7882</v>
      </c>
      <c r="O2118" s="705">
        <v>2919</v>
      </c>
      <c r="P2118" s="705">
        <v>824</v>
      </c>
      <c r="Q2118" s="705">
        <v>305</v>
      </c>
      <c r="R2118" s="705">
        <v>3479</v>
      </c>
      <c r="S2118" s="705">
        <v>3163</v>
      </c>
      <c r="T2118" s="705">
        <v>0</v>
      </c>
      <c r="U2118" s="705">
        <v>0</v>
      </c>
      <c r="V2118" s="705">
        <v>70116</v>
      </c>
      <c r="W2118" s="705">
        <f t="shared" si="88"/>
        <v>70116</v>
      </c>
      <c r="X2118" s="705">
        <f t="shared" si="89"/>
        <v>82287</v>
      </c>
    </row>
    <row r="2119" spans="2:24">
      <c r="B2119" t="s">
        <v>549</v>
      </c>
      <c r="C2119" t="s">
        <v>118</v>
      </c>
      <c r="D2119" t="s">
        <v>582</v>
      </c>
      <c r="E2119" t="s">
        <v>584</v>
      </c>
      <c r="F2119" s="705">
        <v>1</v>
      </c>
      <c r="G2119" s="705">
        <v>115</v>
      </c>
      <c r="H2119" s="705">
        <v>279</v>
      </c>
      <c r="I2119" s="705">
        <v>20537</v>
      </c>
      <c r="J2119" s="705">
        <v>18670</v>
      </c>
      <c r="K2119" s="705">
        <v>73</v>
      </c>
      <c r="L2119" s="705">
        <v>2639</v>
      </c>
      <c r="M2119" s="705">
        <v>2399</v>
      </c>
      <c r="N2119" s="705">
        <v>2102</v>
      </c>
      <c r="O2119" s="705">
        <v>779</v>
      </c>
      <c r="P2119" s="705">
        <v>621</v>
      </c>
      <c r="Q2119" s="705">
        <v>230</v>
      </c>
      <c r="R2119" s="705">
        <v>3619</v>
      </c>
      <c r="S2119" s="705">
        <v>3290</v>
      </c>
      <c r="T2119" s="705">
        <v>2615</v>
      </c>
      <c r="U2119" s="705">
        <v>969</v>
      </c>
      <c r="V2119" s="705">
        <v>26336</v>
      </c>
      <c r="W2119" s="705">
        <f t="shared" si="88"/>
        <v>26337</v>
      </c>
      <c r="X2119" s="705">
        <f t="shared" si="89"/>
        <v>32133</v>
      </c>
    </row>
    <row r="2120" spans="2:24">
      <c r="B2120" t="s">
        <v>549</v>
      </c>
      <c r="C2120" t="s">
        <v>118</v>
      </c>
      <c r="D2120" t="s">
        <v>228</v>
      </c>
      <c r="E2120" t="s">
        <v>228</v>
      </c>
      <c r="F2120" s="705">
        <v>48</v>
      </c>
      <c r="G2120" s="705">
        <v>6954</v>
      </c>
      <c r="H2120" s="705">
        <v>12966</v>
      </c>
      <c r="I2120" s="705">
        <v>1253643</v>
      </c>
      <c r="J2120" s="705">
        <v>464312</v>
      </c>
      <c r="K2120" s="705">
        <v>109</v>
      </c>
      <c r="L2120" s="705">
        <v>171961</v>
      </c>
      <c r="M2120" s="705">
        <v>126131</v>
      </c>
      <c r="N2120" s="705">
        <v>165585</v>
      </c>
      <c r="O2120" s="705">
        <v>61328</v>
      </c>
      <c r="P2120" s="705">
        <v>3078</v>
      </c>
      <c r="Q2120" s="705">
        <v>1140</v>
      </c>
      <c r="R2120" s="705">
        <v>413128</v>
      </c>
      <c r="S2120" s="705">
        <v>153010</v>
      </c>
      <c r="T2120" s="705">
        <v>0</v>
      </c>
      <c r="U2120" s="705">
        <v>0</v>
      </c>
      <c r="V2120" s="705">
        <v>805922</v>
      </c>
      <c r="W2120" s="705">
        <f t="shared" si="88"/>
        <v>805921</v>
      </c>
      <c r="X2120" s="705">
        <f t="shared" si="89"/>
        <v>2007395</v>
      </c>
    </row>
    <row r="2121" spans="2:24">
      <c r="B2121" t="s">
        <v>549</v>
      </c>
      <c r="C2121" t="s">
        <v>118</v>
      </c>
      <c r="D2121" t="s">
        <v>583</v>
      </c>
      <c r="E2121" t="s">
        <v>664</v>
      </c>
      <c r="F2121" s="705">
        <v>2</v>
      </c>
      <c r="G2121" s="705">
        <v>281</v>
      </c>
      <c r="H2121" s="705">
        <v>523</v>
      </c>
      <c r="I2121" s="705">
        <v>52847</v>
      </c>
      <c r="J2121" s="705">
        <v>48043</v>
      </c>
      <c r="K2121" s="705">
        <v>75</v>
      </c>
      <c r="L2121" s="705">
        <v>8969</v>
      </c>
      <c r="M2121" s="705">
        <v>8154</v>
      </c>
      <c r="N2121" s="705">
        <v>6923</v>
      </c>
      <c r="O2121" s="705">
        <v>2564</v>
      </c>
      <c r="P2121" s="705">
        <v>1512</v>
      </c>
      <c r="Q2121" s="705">
        <v>560</v>
      </c>
      <c r="R2121" s="705">
        <v>13512</v>
      </c>
      <c r="S2121" s="705">
        <v>12284</v>
      </c>
      <c r="T2121" s="705">
        <v>3410</v>
      </c>
      <c r="U2121" s="705">
        <v>1263</v>
      </c>
      <c r="V2121" s="705">
        <v>72868</v>
      </c>
      <c r="W2121" s="705">
        <f t="shared" si="88"/>
        <v>72868</v>
      </c>
      <c r="X2121" s="705">
        <f t="shared" si="89"/>
        <v>87173</v>
      </c>
    </row>
    <row r="2122" spans="2:24">
      <c r="B2122" t="s">
        <v>549</v>
      </c>
      <c r="C2122" t="s">
        <v>118</v>
      </c>
      <c r="D2122" t="s">
        <v>583</v>
      </c>
      <c r="E2122" t="s">
        <v>228</v>
      </c>
      <c r="F2122" s="705">
        <v>8</v>
      </c>
      <c r="G2122" s="705">
        <v>1084</v>
      </c>
      <c r="H2122" s="705">
        <v>2097</v>
      </c>
      <c r="I2122" s="705">
        <v>174433</v>
      </c>
      <c r="J2122" s="705">
        <v>158575</v>
      </c>
      <c r="K2122" s="705">
        <v>77</v>
      </c>
      <c r="L2122" s="705">
        <v>28293</v>
      </c>
      <c r="M2122" s="705">
        <v>23363</v>
      </c>
      <c r="N2122" s="705">
        <v>22490</v>
      </c>
      <c r="O2122" s="705">
        <v>8329</v>
      </c>
      <c r="P2122" s="705">
        <v>5268</v>
      </c>
      <c r="Q2122" s="705">
        <v>1951</v>
      </c>
      <c r="R2122" s="705">
        <v>53598</v>
      </c>
      <c r="S2122" s="705">
        <v>19851</v>
      </c>
      <c r="T2122" s="705">
        <v>0</v>
      </c>
      <c r="U2122" s="705">
        <v>0</v>
      </c>
      <c r="V2122" s="705">
        <v>212070</v>
      </c>
      <c r="W2122" s="705">
        <f t="shared" si="88"/>
        <v>212069</v>
      </c>
      <c r="X2122" s="705">
        <f t="shared" si="89"/>
        <v>284082</v>
      </c>
    </row>
    <row r="2123" spans="2:24">
      <c r="B2123" t="s">
        <v>549</v>
      </c>
      <c r="C2123" t="s">
        <v>118</v>
      </c>
      <c r="D2123" t="s">
        <v>583</v>
      </c>
      <c r="E2123" t="s">
        <v>583</v>
      </c>
      <c r="F2123" s="705">
        <v>2920</v>
      </c>
      <c r="G2123" s="705">
        <v>364406</v>
      </c>
      <c r="H2123" s="705">
        <v>761283</v>
      </c>
      <c r="I2123" s="705">
        <v>56490536</v>
      </c>
      <c r="J2123" s="705">
        <v>51355033</v>
      </c>
      <c r="K2123" s="705">
        <v>79</v>
      </c>
      <c r="L2123" s="705">
        <v>11062097</v>
      </c>
      <c r="M2123" s="705">
        <v>9878146</v>
      </c>
      <c r="N2123" s="705">
        <v>7725339</v>
      </c>
      <c r="O2123" s="705">
        <v>2861237</v>
      </c>
      <c r="P2123" s="705">
        <v>1944054</v>
      </c>
      <c r="Q2123" s="705">
        <v>720020</v>
      </c>
      <c r="R2123" s="705">
        <v>15190764</v>
      </c>
      <c r="S2123" s="705">
        <v>13809785</v>
      </c>
      <c r="T2123" s="705">
        <v>4728838</v>
      </c>
      <c r="U2123" s="705">
        <v>1751421</v>
      </c>
      <c r="V2123" s="705">
        <v>80375641</v>
      </c>
      <c r="W2123" s="705">
        <f t="shared" si="88"/>
        <v>80375642</v>
      </c>
      <c r="X2123" s="705">
        <f t="shared" si="89"/>
        <v>97141628</v>
      </c>
    </row>
    <row r="2124" spans="2:24">
      <c r="B2124" t="s">
        <v>549</v>
      </c>
      <c r="C2124" t="s">
        <v>118</v>
      </c>
      <c r="D2124" t="s">
        <v>583</v>
      </c>
      <c r="E2124" t="s">
        <v>666</v>
      </c>
      <c r="F2124" s="705">
        <v>1</v>
      </c>
      <c r="G2124" s="705">
        <v>116</v>
      </c>
      <c r="H2124" s="705">
        <v>285</v>
      </c>
      <c r="I2124" s="705">
        <v>18436</v>
      </c>
      <c r="J2124" s="705">
        <v>16760</v>
      </c>
      <c r="K2124" s="705">
        <v>86</v>
      </c>
      <c r="L2124" s="705">
        <v>5544</v>
      </c>
      <c r="M2124" s="705">
        <v>5040</v>
      </c>
      <c r="N2124" s="705">
        <v>2818</v>
      </c>
      <c r="O2124" s="705">
        <v>1044</v>
      </c>
      <c r="P2124" s="705">
        <v>621</v>
      </c>
      <c r="Q2124" s="705">
        <v>230</v>
      </c>
      <c r="R2124" s="705">
        <v>3324</v>
      </c>
      <c r="S2124" s="705">
        <v>3022</v>
      </c>
      <c r="T2124" s="705">
        <v>2177</v>
      </c>
      <c r="U2124" s="705">
        <v>806</v>
      </c>
      <c r="V2124" s="705">
        <v>26902</v>
      </c>
      <c r="W2124" s="705">
        <f t="shared" si="88"/>
        <v>26902</v>
      </c>
      <c r="X2124" s="705">
        <f t="shared" si="89"/>
        <v>32920</v>
      </c>
    </row>
    <row r="2125" spans="2:24">
      <c r="B2125" t="s">
        <v>549</v>
      </c>
      <c r="C2125" t="s">
        <v>118</v>
      </c>
      <c r="D2125" t="s">
        <v>583</v>
      </c>
      <c r="E2125" t="s">
        <v>667</v>
      </c>
      <c r="F2125" s="705">
        <v>1</v>
      </c>
      <c r="G2125" s="705">
        <v>167</v>
      </c>
      <c r="H2125" s="705">
        <v>234</v>
      </c>
      <c r="I2125" s="705">
        <v>21365</v>
      </c>
      <c r="J2125" s="705">
        <v>19423</v>
      </c>
      <c r="K2125" s="705">
        <v>95</v>
      </c>
      <c r="L2125" s="705">
        <v>3889</v>
      </c>
      <c r="M2125" s="705">
        <v>3535</v>
      </c>
      <c r="N2125" s="705">
        <v>3550</v>
      </c>
      <c r="O2125" s="705">
        <v>1315</v>
      </c>
      <c r="P2125" s="705">
        <v>351</v>
      </c>
      <c r="Q2125" s="705">
        <v>130</v>
      </c>
      <c r="R2125" s="705">
        <v>6795</v>
      </c>
      <c r="S2125" s="705">
        <v>6177</v>
      </c>
      <c r="T2125" s="705">
        <v>3205</v>
      </c>
      <c r="U2125" s="705">
        <v>1187</v>
      </c>
      <c r="V2125" s="705">
        <v>31767</v>
      </c>
      <c r="W2125" s="705">
        <f t="shared" si="88"/>
        <v>31767</v>
      </c>
      <c r="X2125" s="705">
        <f t="shared" si="89"/>
        <v>39155</v>
      </c>
    </row>
    <row r="2126" spans="2:24">
      <c r="B2126" t="s">
        <v>549</v>
      </c>
      <c r="C2126" t="s">
        <v>118</v>
      </c>
      <c r="D2126" t="s">
        <v>583</v>
      </c>
      <c r="E2126" t="s">
        <v>671</v>
      </c>
      <c r="F2126" s="705">
        <v>2</v>
      </c>
      <c r="G2126" s="705">
        <v>192</v>
      </c>
      <c r="H2126" s="705">
        <v>545</v>
      </c>
      <c r="I2126" s="705">
        <v>25323</v>
      </c>
      <c r="J2126" s="705">
        <v>23021</v>
      </c>
      <c r="K2126" s="705">
        <v>85</v>
      </c>
      <c r="L2126" s="705">
        <v>5070</v>
      </c>
      <c r="M2126" s="705">
        <v>4609</v>
      </c>
      <c r="N2126" s="705">
        <v>3448</v>
      </c>
      <c r="O2126" s="705">
        <v>1277</v>
      </c>
      <c r="P2126" s="705">
        <v>1323</v>
      </c>
      <c r="Q2126" s="705">
        <v>490</v>
      </c>
      <c r="R2126" s="705">
        <v>11706</v>
      </c>
      <c r="S2126" s="705">
        <v>10641</v>
      </c>
      <c r="T2126" s="705">
        <v>5099</v>
      </c>
      <c r="U2126" s="705">
        <v>1889</v>
      </c>
      <c r="V2126" s="705">
        <v>41927</v>
      </c>
      <c r="W2126" s="705">
        <f t="shared" si="88"/>
        <v>41927</v>
      </c>
      <c r="X2126" s="705">
        <f t="shared" si="89"/>
        <v>51969</v>
      </c>
    </row>
    <row r="2127" spans="2:24">
      <c r="B2127" t="s">
        <v>549</v>
      </c>
      <c r="C2127" t="s">
        <v>118</v>
      </c>
      <c r="D2127" t="s">
        <v>583</v>
      </c>
      <c r="E2127" t="s">
        <v>665</v>
      </c>
      <c r="F2127" s="705">
        <v>3</v>
      </c>
      <c r="G2127" s="705">
        <v>459</v>
      </c>
      <c r="H2127" s="705">
        <v>804</v>
      </c>
      <c r="I2127" s="705">
        <v>74398</v>
      </c>
      <c r="J2127" s="705">
        <v>67634</v>
      </c>
      <c r="K2127" s="705">
        <v>70</v>
      </c>
      <c r="L2127" s="705">
        <v>12231</v>
      </c>
      <c r="M2127" s="705">
        <v>11119</v>
      </c>
      <c r="N2127" s="705">
        <v>10112</v>
      </c>
      <c r="O2127" s="705">
        <v>3745</v>
      </c>
      <c r="P2127" s="705">
        <v>2214</v>
      </c>
      <c r="Q2127" s="705">
        <v>820</v>
      </c>
      <c r="R2127" s="705">
        <v>19678</v>
      </c>
      <c r="S2127" s="705">
        <v>17889</v>
      </c>
      <c r="T2127" s="705">
        <v>5860</v>
      </c>
      <c r="U2127" s="705">
        <v>2170</v>
      </c>
      <c r="V2127" s="705">
        <v>103377</v>
      </c>
      <c r="W2127" s="705">
        <f t="shared" si="88"/>
        <v>103377</v>
      </c>
      <c r="X2127" s="705">
        <f t="shared" si="89"/>
        <v>124493</v>
      </c>
    </row>
    <row r="2128" spans="2:24">
      <c r="B2128" t="s">
        <v>549</v>
      </c>
      <c r="C2128" t="s">
        <v>118</v>
      </c>
      <c r="D2128" t="s">
        <v>583</v>
      </c>
      <c r="E2128" t="s">
        <v>673</v>
      </c>
      <c r="F2128" s="705">
        <v>1</v>
      </c>
      <c r="G2128" s="705">
        <v>112</v>
      </c>
      <c r="H2128" s="705">
        <v>254</v>
      </c>
      <c r="I2128" s="705">
        <v>15252</v>
      </c>
      <c r="J2128" s="705">
        <v>13866</v>
      </c>
      <c r="K2128" s="705">
        <v>86</v>
      </c>
      <c r="L2128" s="705">
        <v>3058</v>
      </c>
      <c r="M2128" s="705">
        <v>2780</v>
      </c>
      <c r="N2128" s="705">
        <v>2537</v>
      </c>
      <c r="O2128" s="705">
        <v>940</v>
      </c>
      <c r="P2128" s="705">
        <v>972</v>
      </c>
      <c r="Q2128" s="705">
        <v>360</v>
      </c>
      <c r="R2128" s="705">
        <v>3867</v>
      </c>
      <c r="S2128" s="705">
        <v>3516</v>
      </c>
      <c r="T2128" s="705">
        <v>2711</v>
      </c>
      <c r="U2128" s="705">
        <v>1004</v>
      </c>
      <c r="V2128" s="705">
        <v>22465</v>
      </c>
      <c r="W2128" s="705">
        <f t="shared" si="88"/>
        <v>22466</v>
      </c>
      <c r="X2128" s="705">
        <f t="shared" si="89"/>
        <v>28397</v>
      </c>
    </row>
    <row r="2129" spans="2:24">
      <c r="B2129" t="s">
        <v>549</v>
      </c>
      <c r="C2129" t="s">
        <v>118</v>
      </c>
      <c r="D2129" t="s">
        <v>666</v>
      </c>
      <c r="E2129" t="s">
        <v>674</v>
      </c>
      <c r="F2129" s="705">
        <v>1</v>
      </c>
      <c r="G2129" s="705">
        <v>105</v>
      </c>
      <c r="H2129" s="705">
        <v>291</v>
      </c>
      <c r="I2129" s="705">
        <v>16854</v>
      </c>
      <c r="J2129" s="705">
        <v>15321</v>
      </c>
      <c r="K2129" s="705">
        <v>65</v>
      </c>
      <c r="L2129" s="705">
        <v>4057</v>
      </c>
      <c r="M2129" s="705">
        <v>3689</v>
      </c>
      <c r="N2129" s="705">
        <v>2143</v>
      </c>
      <c r="O2129" s="705">
        <v>794</v>
      </c>
      <c r="P2129" s="705">
        <v>351</v>
      </c>
      <c r="Q2129" s="705">
        <v>130</v>
      </c>
      <c r="R2129" s="705">
        <v>4548</v>
      </c>
      <c r="S2129" s="705">
        <v>4134</v>
      </c>
      <c r="T2129" s="705">
        <v>2487</v>
      </c>
      <c r="U2129" s="705">
        <v>921</v>
      </c>
      <c r="V2129" s="705">
        <v>24989</v>
      </c>
      <c r="W2129" s="705">
        <f t="shared" si="88"/>
        <v>24989</v>
      </c>
      <c r="X2129" s="705">
        <f t="shared" si="89"/>
        <v>30440</v>
      </c>
    </row>
    <row r="2130" spans="2:24">
      <c r="B2130" t="s">
        <v>549</v>
      </c>
      <c r="C2130" t="s">
        <v>118</v>
      </c>
      <c r="D2130" t="s">
        <v>666</v>
      </c>
      <c r="E2130" t="s">
        <v>228</v>
      </c>
      <c r="F2130" s="705">
        <v>1</v>
      </c>
      <c r="G2130" s="705">
        <v>55</v>
      </c>
      <c r="H2130" s="705">
        <v>261</v>
      </c>
      <c r="I2130" s="705">
        <v>8542</v>
      </c>
      <c r="J2130" s="705">
        <v>7765</v>
      </c>
      <c r="K2130" s="705">
        <v>79</v>
      </c>
      <c r="L2130" s="705">
        <v>1701</v>
      </c>
      <c r="M2130" s="705">
        <v>630</v>
      </c>
      <c r="N2130" s="705">
        <v>674</v>
      </c>
      <c r="O2130" s="705">
        <v>250</v>
      </c>
      <c r="P2130" s="705">
        <v>0</v>
      </c>
      <c r="Q2130" s="705">
        <v>0</v>
      </c>
      <c r="R2130" s="705">
        <v>3550</v>
      </c>
      <c r="S2130" s="705">
        <v>1315</v>
      </c>
      <c r="T2130" s="705">
        <v>0</v>
      </c>
      <c r="U2130" s="705">
        <v>0</v>
      </c>
      <c r="V2130" s="705">
        <v>9959</v>
      </c>
      <c r="W2130" s="705">
        <f t="shared" si="88"/>
        <v>9960</v>
      </c>
      <c r="X2130" s="705">
        <f t="shared" si="89"/>
        <v>14467</v>
      </c>
    </row>
    <row r="2131" spans="2:24">
      <c r="B2131" t="s">
        <v>549</v>
      </c>
      <c r="C2131" t="s">
        <v>118</v>
      </c>
      <c r="D2131" t="s">
        <v>666</v>
      </c>
      <c r="E2131" t="s">
        <v>583</v>
      </c>
      <c r="F2131" s="705">
        <v>2</v>
      </c>
      <c r="G2131" s="705">
        <v>316</v>
      </c>
      <c r="H2131" s="705">
        <v>549</v>
      </c>
      <c r="I2131" s="705">
        <v>63350</v>
      </c>
      <c r="J2131" s="705">
        <v>57591</v>
      </c>
      <c r="K2131" s="705">
        <v>75</v>
      </c>
      <c r="L2131" s="705">
        <v>2644</v>
      </c>
      <c r="M2131" s="705">
        <v>2404</v>
      </c>
      <c r="N2131" s="705">
        <v>7459</v>
      </c>
      <c r="O2131" s="705">
        <v>2762</v>
      </c>
      <c r="P2131" s="705">
        <v>972</v>
      </c>
      <c r="Q2131" s="705">
        <v>360</v>
      </c>
      <c r="R2131" s="705">
        <v>11219</v>
      </c>
      <c r="S2131" s="705">
        <v>10199</v>
      </c>
      <c r="T2131" s="705">
        <v>2126</v>
      </c>
      <c r="U2131" s="705">
        <v>787</v>
      </c>
      <c r="V2131" s="705">
        <v>74103</v>
      </c>
      <c r="W2131" s="705">
        <f t="shared" si="88"/>
        <v>74103</v>
      </c>
      <c r="X2131" s="705">
        <f t="shared" si="89"/>
        <v>87770</v>
      </c>
    </row>
    <row r="2132" spans="2:24">
      <c r="B2132" t="s">
        <v>549</v>
      </c>
      <c r="C2132" t="s">
        <v>118</v>
      </c>
      <c r="D2132" t="s">
        <v>584</v>
      </c>
      <c r="E2132" t="s">
        <v>584</v>
      </c>
      <c r="F2132" s="705">
        <v>12</v>
      </c>
      <c r="G2132" s="705">
        <v>1510</v>
      </c>
      <c r="H2132" s="705">
        <v>3049</v>
      </c>
      <c r="I2132" s="705">
        <v>236915</v>
      </c>
      <c r="J2132" s="705">
        <v>215378</v>
      </c>
      <c r="K2132" s="705">
        <v>85</v>
      </c>
      <c r="L2132" s="705">
        <v>44467</v>
      </c>
      <c r="M2132" s="705">
        <v>40424</v>
      </c>
      <c r="N2132" s="705">
        <v>33052</v>
      </c>
      <c r="O2132" s="705">
        <v>12241</v>
      </c>
      <c r="P2132" s="705">
        <v>5670</v>
      </c>
      <c r="Q2132" s="705">
        <v>2100</v>
      </c>
      <c r="R2132" s="705">
        <v>50174</v>
      </c>
      <c r="S2132" s="705">
        <v>45612</v>
      </c>
      <c r="T2132" s="705">
        <v>12484</v>
      </c>
      <c r="U2132" s="705">
        <v>4624</v>
      </c>
      <c r="V2132" s="705">
        <v>320379</v>
      </c>
      <c r="W2132" s="705">
        <f t="shared" si="88"/>
        <v>320379</v>
      </c>
      <c r="X2132" s="705">
        <f t="shared" si="89"/>
        <v>382762</v>
      </c>
    </row>
    <row r="2133" spans="2:24">
      <c r="B2133" t="s">
        <v>549</v>
      </c>
      <c r="C2133" t="s">
        <v>118</v>
      </c>
      <c r="D2133" t="s">
        <v>669</v>
      </c>
      <c r="E2133" t="s">
        <v>669</v>
      </c>
      <c r="F2133" s="705">
        <v>1</v>
      </c>
      <c r="G2133" s="705">
        <v>108</v>
      </c>
      <c r="H2133" s="705">
        <v>285</v>
      </c>
      <c r="I2133" s="705">
        <v>15405</v>
      </c>
      <c r="J2133" s="705">
        <v>12837</v>
      </c>
      <c r="K2133" s="705">
        <v>65</v>
      </c>
      <c r="L2133" s="705">
        <v>3526</v>
      </c>
      <c r="M2133" s="705">
        <v>2938</v>
      </c>
      <c r="N2133" s="705">
        <v>2636</v>
      </c>
      <c r="O2133" s="705">
        <v>976</v>
      </c>
      <c r="P2133" s="705">
        <v>351</v>
      </c>
      <c r="Q2133" s="705">
        <v>130</v>
      </c>
      <c r="R2133" s="705">
        <v>5937</v>
      </c>
      <c r="S2133" s="705">
        <v>4947</v>
      </c>
      <c r="T2133" s="705">
        <v>2976</v>
      </c>
      <c r="U2133" s="705">
        <v>1102</v>
      </c>
      <c r="V2133" s="705">
        <v>22931</v>
      </c>
      <c r="W2133" s="705">
        <f t="shared" si="88"/>
        <v>22930</v>
      </c>
      <c r="X2133" s="705">
        <f t="shared" si="89"/>
        <v>30831</v>
      </c>
    </row>
    <row r="2134" spans="2:24">
      <c r="B2134" t="s">
        <v>549</v>
      </c>
      <c r="C2134" t="s">
        <v>118</v>
      </c>
      <c r="D2134" t="s">
        <v>667</v>
      </c>
      <c r="E2134" t="s">
        <v>667</v>
      </c>
      <c r="F2134" s="705">
        <v>2</v>
      </c>
      <c r="G2134" s="705">
        <v>323</v>
      </c>
      <c r="H2134" s="705">
        <v>555</v>
      </c>
      <c r="I2134" s="705">
        <v>60419</v>
      </c>
      <c r="J2134" s="705">
        <v>54926</v>
      </c>
      <c r="K2134" s="705">
        <v>68</v>
      </c>
      <c r="L2134" s="705">
        <v>11994</v>
      </c>
      <c r="M2134" s="705">
        <v>10903</v>
      </c>
      <c r="N2134" s="705">
        <v>7523</v>
      </c>
      <c r="O2134" s="705">
        <v>2786</v>
      </c>
      <c r="P2134" s="705">
        <v>1053</v>
      </c>
      <c r="Q2134" s="705">
        <v>390</v>
      </c>
      <c r="R2134" s="705">
        <v>10291</v>
      </c>
      <c r="S2134" s="705">
        <v>9355</v>
      </c>
      <c r="T2134" s="705">
        <v>6730</v>
      </c>
      <c r="U2134" s="705">
        <v>2493</v>
      </c>
      <c r="V2134" s="705">
        <v>80854</v>
      </c>
      <c r="W2134" s="705">
        <f t="shared" si="88"/>
        <v>80853</v>
      </c>
      <c r="X2134" s="705">
        <f t="shared" si="89"/>
        <v>98010</v>
      </c>
    </row>
    <row r="2135" spans="2:24">
      <c r="B2135" t="s">
        <v>549</v>
      </c>
      <c r="C2135" t="s">
        <v>118</v>
      </c>
      <c r="D2135" t="s">
        <v>671</v>
      </c>
      <c r="E2135" t="s">
        <v>583</v>
      </c>
      <c r="F2135" s="705">
        <v>1</v>
      </c>
      <c r="G2135" s="705">
        <v>123</v>
      </c>
      <c r="H2135" s="705">
        <v>254</v>
      </c>
      <c r="I2135" s="705">
        <v>21947</v>
      </c>
      <c r="J2135" s="705">
        <v>19952</v>
      </c>
      <c r="K2135" s="705">
        <v>65</v>
      </c>
      <c r="L2135" s="705">
        <v>2006</v>
      </c>
      <c r="M2135" s="705">
        <v>1824</v>
      </c>
      <c r="N2135" s="705">
        <v>2163</v>
      </c>
      <c r="O2135" s="705">
        <v>801</v>
      </c>
      <c r="P2135" s="705">
        <v>621</v>
      </c>
      <c r="Q2135" s="705">
        <v>230</v>
      </c>
      <c r="R2135" s="705">
        <v>4627</v>
      </c>
      <c r="S2135" s="705">
        <v>4206</v>
      </c>
      <c r="T2135" s="705">
        <v>0</v>
      </c>
      <c r="U2135" s="705">
        <v>0</v>
      </c>
      <c r="V2135" s="705">
        <v>27013</v>
      </c>
      <c r="W2135" s="705">
        <f t="shared" si="88"/>
        <v>27013</v>
      </c>
      <c r="X2135" s="705">
        <f t="shared" si="89"/>
        <v>31364</v>
      </c>
    </row>
    <row r="2136" spans="2:24">
      <c r="B2136" t="s">
        <v>549</v>
      </c>
      <c r="C2136" t="s">
        <v>118</v>
      </c>
      <c r="D2136" t="s">
        <v>671</v>
      </c>
      <c r="E2136" t="s">
        <v>671</v>
      </c>
      <c r="F2136" s="705">
        <v>3</v>
      </c>
      <c r="G2136" s="705">
        <v>403</v>
      </c>
      <c r="H2136" s="705">
        <v>853</v>
      </c>
      <c r="I2136" s="705">
        <v>68540</v>
      </c>
      <c r="J2136" s="705">
        <v>62309</v>
      </c>
      <c r="K2136" s="705">
        <v>66</v>
      </c>
      <c r="L2136" s="705">
        <v>12328</v>
      </c>
      <c r="M2136" s="705">
        <v>11207</v>
      </c>
      <c r="N2136" s="705">
        <v>9010</v>
      </c>
      <c r="O2136" s="705">
        <v>3337</v>
      </c>
      <c r="P2136" s="705">
        <v>1323</v>
      </c>
      <c r="Q2136" s="705">
        <v>490</v>
      </c>
      <c r="R2136" s="705">
        <v>18584</v>
      </c>
      <c r="S2136" s="705">
        <v>16895</v>
      </c>
      <c r="T2136" s="705">
        <v>5202</v>
      </c>
      <c r="U2136" s="705">
        <v>1927</v>
      </c>
      <c r="V2136" s="705">
        <v>96164</v>
      </c>
      <c r="W2136" s="705">
        <f t="shared" si="88"/>
        <v>96165</v>
      </c>
      <c r="X2136" s="705">
        <f t="shared" si="89"/>
        <v>114987</v>
      </c>
    </row>
    <row r="2137" spans="2:24">
      <c r="B2137" t="s">
        <v>549</v>
      </c>
      <c r="C2137" t="s">
        <v>118</v>
      </c>
      <c r="D2137" t="s">
        <v>665</v>
      </c>
      <c r="E2137" t="s">
        <v>228</v>
      </c>
      <c r="F2137" s="705">
        <v>1</v>
      </c>
      <c r="G2137" s="705">
        <v>63</v>
      </c>
      <c r="H2137" s="705">
        <v>294</v>
      </c>
      <c r="I2137" s="705">
        <v>11227</v>
      </c>
      <c r="J2137" s="705">
        <v>10206</v>
      </c>
      <c r="K2137" s="705">
        <v>60</v>
      </c>
      <c r="L2137" s="705">
        <v>1837</v>
      </c>
      <c r="M2137" s="705">
        <v>680</v>
      </c>
      <c r="N2137" s="705">
        <v>1001</v>
      </c>
      <c r="O2137" s="705">
        <v>371</v>
      </c>
      <c r="P2137" s="705">
        <v>0</v>
      </c>
      <c r="Q2137" s="705">
        <v>0</v>
      </c>
      <c r="R2137" s="705">
        <v>4514</v>
      </c>
      <c r="S2137" s="705">
        <v>1672</v>
      </c>
      <c r="T2137" s="705">
        <v>0</v>
      </c>
      <c r="U2137" s="705">
        <v>0</v>
      </c>
      <c r="V2137" s="705">
        <v>12929</v>
      </c>
      <c r="W2137" s="705">
        <f t="shared" si="88"/>
        <v>12929</v>
      </c>
      <c r="X2137" s="705">
        <f t="shared" si="89"/>
        <v>18579</v>
      </c>
    </row>
    <row r="2138" spans="2:24">
      <c r="B2138" t="s">
        <v>549</v>
      </c>
      <c r="C2138" t="s">
        <v>118</v>
      </c>
      <c r="D2138" t="s">
        <v>665</v>
      </c>
      <c r="E2138" t="s">
        <v>583</v>
      </c>
      <c r="F2138" s="705">
        <v>2</v>
      </c>
      <c r="G2138" s="705">
        <v>212</v>
      </c>
      <c r="H2138" s="705">
        <v>508</v>
      </c>
      <c r="I2138" s="705">
        <v>30482</v>
      </c>
      <c r="J2138" s="705">
        <v>27711</v>
      </c>
      <c r="K2138" s="705">
        <v>70</v>
      </c>
      <c r="L2138" s="705">
        <v>4238</v>
      </c>
      <c r="M2138" s="705">
        <v>3853</v>
      </c>
      <c r="N2138" s="705">
        <v>5169</v>
      </c>
      <c r="O2138" s="705">
        <v>1914</v>
      </c>
      <c r="P2138" s="705">
        <v>972</v>
      </c>
      <c r="Q2138" s="705">
        <v>360</v>
      </c>
      <c r="R2138" s="705">
        <v>8480</v>
      </c>
      <c r="S2138" s="705">
        <v>7709</v>
      </c>
      <c r="T2138" s="705">
        <v>5700</v>
      </c>
      <c r="U2138" s="705">
        <v>2111</v>
      </c>
      <c r="V2138" s="705">
        <v>43658</v>
      </c>
      <c r="W2138" s="705">
        <f t="shared" si="88"/>
        <v>43658</v>
      </c>
      <c r="X2138" s="705">
        <f t="shared" si="89"/>
        <v>55041</v>
      </c>
    </row>
    <row r="2139" spans="2:24">
      <c r="B2139" t="s">
        <v>549</v>
      </c>
      <c r="C2139" t="s">
        <v>118</v>
      </c>
      <c r="D2139" t="s">
        <v>665</v>
      </c>
      <c r="E2139" t="s">
        <v>665</v>
      </c>
      <c r="F2139" s="705">
        <v>100</v>
      </c>
      <c r="G2139" s="705">
        <v>13176</v>
      </c>
      <c r="H2139" s="705">
        <v>27100</v>
      </c>
      <c r="I2139" s="705">
        <v>2223827</v>
      </c>
      <c r="J2139" s="705">
        <v>2021661</v>
      </c>
      <c r="K2139" s="705">
        <v>65</v>
      </c>
      <c r="L2139" s="705">
        <v>341293</v>
      </c>
      <c r="M2139" s="705">
        <v>292510</v>
      </c>
      <c r="N2139" s="705">
        <v>268505</v>
      </c>
      <c r="O2139" s="705">
        <v>99446</v>
      </c>
      <c r="P2139" s="705">
        <v>53258</v>
      </c>
      <c r="Q2139" s="705">
        <v>19725</v>
      </c>
      <c r="R2139" s="705">
        <v>591444</v>
      </c>
      <c r="S2139" s="705">
        <v>537677</v>
      </c>
      <c r="T2139" s="705">
        <v>195968</v>
      </c>
      <c r="U2139" s="705">
        <v>72581</v>
      </c>
      <c r="V2139" s="705">
        <v>3043600</v>
      </c>
      <c r="W2139" s="705">
        <f t="shared" si="88"/>
        <v>3043600</v>
      </c>
      <c r="X2139" s="705">
        <f t="shared" si="89"/>
        <v>3674295</v>
      </c>
    </row>
    <row r="2140" spans="2:24">
      <c r="B2140" t="s">
        <v>549</v>
      </c>
      <c r="C2140" t="s">
        <v>118</v>
      </c>
      <c r="D2140" t="s">
        <v>673</v>
      </c>
      <c r="E2140" t="s">
        <v>673</v>
      </c>
      <c r="F2140" s="705">
        <v>4</v>
      </c>
      <c r="G2140" s="705">
        <v>592</v>
      </c>
      <c r="H2140" s="705">
        <v>999</v>
      </c>
      <c r="I2140" s="705">
        <v>87936</v>
      </c>
      <c r="J2140" s="705">
        <v>79942</v>
      </c>
      <c r="K2140" s="705">
        <v>73</v>
      </c>
      <c r="L2140" s="705">
        <v>13293</v>
      </c>
      <c r="M2140" s="705">
        <v>12084</v>
      </c>
      <c r="N2140" s="705">
        <v>13646</v>
      </c>
      <c r="O2140" s="705">
        <v>5054</v>
      </c>
      <c r="P2140" s="705">
        <v>2214</v>
      </c>
      <c r="Q2140" s="705">
        <v>820</v>
      </c>
      <c r="R2140" s="705">
        <v>22000</v>
      </c>
      <c r="S2140" s="705">
        <v>20000</v>
      </c>
      <c r="T2140" s="705">
        <v>8734</v>
      </c>
      <c r="U2140" s="705">
        <v>3235</v>
      </c>
      <c r="V2140" s="705">
        <v>121135</v>
      </c>
      <c r="W2140" s="705">
        <f t="shared" si="88"/>
        <v>121135</v>
      </c>
      <c r="X2140" s="705">
        <f t="shared" si="89"/>
        <v>147823</v>
      </c>
    </row>
    <row r="2141" spans="2:24">
      <c r="B2141" t="s">
        <v>549</v>
      </c>
      <c r="C2141" t="s">
        <v>118</v>
      </c>
      <c r="D2141" t="s">
        <v>585</v>
      </c>
      <c r="E2141" t="s">
        <v>585</v>
      </c>
      <c r="F2141" s="705">
        <v>4</v>
      </c>
      <c r="G2141" s="705">
        <v>655</v>
      </c>
      <c r="H2141" s="705">
        <v>1033</v>
      </c>
      <c r="I2141" s="705">
        <v>122713</v>
      </c>
      <c r="J2141" s="705">
        <v>111557</v>
      </c>
      <c r="K2141" s="705">
        <v>65</v>
      </c>
      <c r="L2141" s="705">
        <v>14319</v>
      </c>
      <c r="M2141" s="705">
        <v>13018</v>
      </c>
      <c r="N2141" s="705">
        <v>13393</v>
      </c>
      <c r="O2141" s="705">
        <v>4960</v>
      </c>
      <c r="P2141" s="705">
        <v>1404</v>
      </c>
      <c r="Q2141" s="705">
        <v>520</v>
      </c>
      <c r="R2141" s="705">
        <v>20575</v>
      </c>
      <c r="S2141" s="705">
        <v>18705</v>
      </c>
      <c r="T2141" s="705">
        <v>11234</v>
      </c>
      <c r="U2141" s="705">
        <v>4161</v>
      </c>
      <c r="V2141" s="705">
        <v>152920</v>
      </c>
      <c r="W2141" s="705">
        <f t="shared" si="88"/>
        <v>152921</v>
      </c>
      <c r="X2141" s="705">
        <f t="shared" si="89"/>
        <v>183638</v>
      </c>
    </row>
    <row r="2142" spans="2:24">
      <c r="B2142" t="s">
        <v>549</v>
      </c>
      <c r="C2142" t="s">
        <v>120</v>
      </c>
      <c r="F2142" s="705">
        <v>1</v>
      </c>
      <c r="G2142" s="705">
        <v>113</v>
      </c>
      <c r="H2142" s="705">
        <v>306</v>
      </c>
      <c r="I2142" s="705"/>
      <c r="J2142" s="705">
        <v>0</v>
      </c>
      <c r="K2142" s="705"/>
      <c r="L2142" s="705"/>
      <c r="M2142" s="705">
        <v>0</v>
      </c>
      <c r="N2142" s="705">
        <v>4302</v>
      </c>
      <c r="O2142" s="705">
        <v>1593</v>
      </c>
      <c r="P2142" s="705">
        <v>621</v>
      </c>
      <c r="Q2142" s="705">
        <v>230</v>
      </c>
      <c r="R2142" s="705"/>
      <c r="S2142" s="705">
        <v>0</v>
      </c>
      <c r="T2142" s="705">
        <v>3478</v>
      </c>
      <c r="U2142" s="705">
        <v>1288</v>
      </c>
      <c r="V2142" s="705">
        <v>3111</v>
      </c>
      <c r="W2142" s="705">
        <f t="shared" si="88"/>
        <v>3111</v>
      </c>
      <c r="X2142" s="705">
        <f t="shared" si="89"/>
        <v>8401</v>
      </c>
    </row>
    <row r="2143" spans="2:24">
      <c r="B2143" t="s">
        <v>549</v>
      </c>
      <c r="C2143" t="s">
        <v>120</v>
      </c>
      <c r="D2143" t="s">
        <v>664</v>
      </c>
      <c r="E2143" t="s">
        <v>228</v>
      </c>
      <c r="F2143" s="705">
        <v>1</v>
      </c>
      <c r="G2143" s="705">
        <v>66</v>
      </c>
      <c r="H2143" s="705">
        <v>340</v>
      </c>
      <c r="I2143" s="705">
        <v>11474</v>
      </c>
      <c r="J2143" s="705">
        <v>10431</v>
      </c>
      <c r="K2143" s="705">
        <v>72</v>
      </c>
      <c r="L2143" s="705">
        <v>2253</v>
      </c>
      <c r="M2143" s="705">
        <v>835</v>
      </c>
      <c r="N2143" s="705">
        <v>1605</v>
      </c>
      <c r="O2143" s="705">
        <v>594</v>
      </c>
      <c r="P2143" s="705">
        <v>0</v>
      </c>
      <c r="Q2143" s="705">
        <v>0</v>
      </c>
      <c r="R2143" s="705">
        <v>7056</v>
      </c>
      <c r="S2143" s="705">
        <v>2613</v>
      </c>
      <c r="T2143" s="705">
        <v>0</v>
      </c>
      <c r="U2143" s="705">
        <v>0</v>
      </c>
      <c r="V2143" s="705">
        <v>14473</v>
      </c>
      <c r="W2143" s="705">
        <f t="shared" si="88"/>
        <v>14473</v>
      </c>
      <c r="X2143" s="705">
        <f t="shared" si="89"/>
        <v>22388</v>
      </c>
    </row>
    <row r="2144" spans="2:24">
      <c r="B2144" t="s">
        <v>549</v>
      </c>
      <c r="C2144" t="s">
        <v>120</v>
      </c>
      <c r="D2144" t="s">
        <v>582</v>
      </c>
      <c r="E2144" t="s">
        <v>582</v>
      </c>
      <c r="F2144" s="705">
        <v>17</v>
      </c>
      <c r="G2144" s="705">
        <v>2494</v>
      </c>
      <c r="H2144" s="705">
        <v>5651</v>
      </c>
      <c r="I2144" s="705">
        <v>564059</v>
      </c>
      <c r="J2144" s="705">
        <v>512781</v>
      </c>
      <c r="K2144" s="705">
        <v>79</v>
      </c>
      <c r="L2144" s="705">
        <v>102637</v>
      </c>
      <c r="M2144" s="705">
        <v>93306</v>
      </c>
      <c r="N2144" s="705">
        <v>51154</v>
      </c>
      <c r="O2144" s="705">
        <v>18946</v>
      </c>
      <c r="P2144" s="705">
        <v>7425</v>
      </c>
      <c r="Q2144" s="705">
        <v>2750</v>
      </c>
      <c r="R2144" s="705">
        <v>86727</v>
      </c>
      <c r="S2144" s="705">
        <v>78843</v>
      </c>
      <c r="T2144" s="705">
        <v>21631</v>
      </c>
      <c r="U2144" s="705">
        <v>8011</v>
      </c>
      <c r="V2144" s="705">
        <v>714637</v>
      </c>
      <c r="W2144" s="705">
        <f t="shared" si="88"/>
        <v>714637</v>
      </c>
      <c r="X2144" s="705">
        <f t="shared" si="89"/>
        <v>833633</v>
      </c>
    </row>
    <row r="2145" spans="2:24">
      <c r="B2145" t="s">
        <v>549</v>
      </c>
      <c r="C2145" t="s">
        <v>120</v>
      </c>
      <c r="D2145" t="s">
        <v>582</v>
      </c>
      <c r="E2145" t="s">
        <v>228</v>
      </c>
      <c r="F2145" s="705">
        <v>1</v>
      </c>
      <c r="G2145" s="705">
        <v>279</v>
      </c>
      <c r="H2145" s="705">
        <v>329</v>
      </c>
      <c r="I2145" s="705">
        <v>58430</v>
      </c>
      <c r="J2145" s="705">
        <v>53118</v>
      </c>
      <c r="K2145" s="705">
        <v>92</v>
      </c>
      <c r="L2145" s="705">
        <v>13991</v>
      </c>
      <c r="M2145" s="705">
        <v>5182</v>
      </c>
      <c r="N2145" s="705">
        <v>5681</v>
      </c>
      <c r="O2145" s="705">
        <v>2104</v>
      </c>
      <c r="P2145" s="705">
        <v>351</v>
      </c>
      <c r="Q2145" s="705">
        <v>130</v>
      </c>
      <c r="R2145" s="705">
        <v>13350</v>
      </c>
      <c r="S2145" s="705">
        <v>4945</v>
      </c>
      <c r="T2145" s="705">
        <v>0</v>
      </c>
      <c r="U2145" s="705">
        <v>0</v>
      </c>
      <c r="V2145" s="705">
        <v>65479</v>
      </c>
      <c r="W2145" s="705">
        <f t="shared" si="88"/>
        <v>65479</v>
      </c>
      <c r="X2145" s="705">
        <f t="shared" si="89"/>
        <v>91803</v>
      </c>
    </row>
    <row r="2146" spans="2:24">
      <c r="B2146" t="s">
        <v>549</v>
      </c>
      <c r="C2146" t="s">
        <v>120</v>
      </c>
      <c r="D2146" t="s">
        <v>228</v>
      </c>
      <c r="E2146" t="s">
        <v>228</v>
      </c>
      <c r="F2146" s="705">
        <v>98</v>
      </c>
      <c r="G2146" s="705">
        <v>10631</v>
      </c>
      <c r="H2146" s="705">
        <v>33624</v>
      </c>
      <c r="I2146" s="705">
        <v>2373270</v>
      </c>
      <c r="J2146" s="705">
        <v>878989</v>
      </c>
      <c r="K2146" s="705">
        <v>105</v>
      </c>
      <c r="L2146" s="705">
        <v>391037</v>
      </c>
      <c r="M2146" s="705">
        <v>251911</v>
      </c>
      <c r="N2146" s="705">
        <v>245689</v>
      </c>
      <c r="O2146" s="705">
        <v>90996</v>
      </c>
      <c r="P2146" s="705">
        <v>2744</v>
      </c>
      <c r="Q2146" s="705">
        <v>1016</v>
      </c>
      <c r="R2146" s="705">
        <v>743627</v>
      </c>
      <c r="S2146" s="705">
        <v>275417</v>
      </c>
      <c r="T2146" s="705">
        <v>1885</v>
      </c>
      <c r="U2146" s="705">
        <v>698</v>
      </c>
      <c r="V2146" s="705">
        <v>1499027</v>
      </c>
      <c r="W2146" s="705">
        <f t="shared" ref="W2146:W2209" si="90">SUM(ABS(J2146),ABS(M2146),ABS(O2146),ABS(Q2146),ABS(S2146),ABS(U2146))</f>
        <v>1499027</v>
      </c>
      <c r="X2146" s="705">
        <f t="shared" ref="X2146:X2209" si="91">SUM(ABS(I2146),ABS(N2146),ABS(P2146),ABS(R2146),ABS(T2146),ABS(L2146))</f>
        <v>3758252</v>
      </c>
    </row>
    <row r="2147" spans="2:24">
      <c r="B2147" t="s">
        <v>549</v>
      </c>
      <c r="C2147" t="s">
        <v>120</v>
      </c>
      <c r="D2147" t="s">
        <v>228</v>
      </c>
      <c r="E2147" t="s">
        <v>671</v>
      </c>
      <c r="F2147" s="705">
        <v>1</v>
      </c>
      <c r="G2147" s="705">
        <v>72</v>
      </c>
      <c r="H2147" s="705">
        <v>351</v>
      </c>
      <c r="I2147" s="705">
        <v>17099</v>
      </c>
      <c r="J2147" s="705">
        <v>6333</v>
      </c>
      <c r="K2147" s="705">
        <v>100</v>
      </c>
      <c r="L2147" s="705">
        <v>1191</v>
      </c>
      <c r="M2147" s="705">
        <v>1083</v>
      </c>
      <c r="N2147" s="705">
        <v>1030</v>
      </c>
      <c r="O2147" s="705">
        <v>382</v>
      </c>
      <c r="P2147" s="705">
        <v>0</v>
      </c>
      <c r="Q2147" s="705">
        <v>0</v>
      </c>
      <c r="R2147" s="705">
        <v>4006</v>
      </c>
      <c r="S2147" s="705">
        <v>3642</v>
      </c>
      <c r="T2147" s="705">
        <v>2061</v>
      </c>
      <c r="U2147" s="705">
        <v>763</v>
      </c>
      <c r="V2147" s="705">
        <v>12202</v>
      </c>
      <c r="W2147" s="705">
        <f t="shared" si="90"/>
        <v>12203</v>
      </c>
      <c r="X2147" s="705">
        <f t="shared" si="91"/>
        <v>25387</v>
      </c>
    </row>
    <row r="2148" spans="2:24">
      <c r="B2148" t="s">
        <v>549</v>
      </c>
      <c r="C2148" t="s">
        <v>120</v>
      </c>
      <c r="D2148" t="s">
        <v>228</v>
      </c>
      <c r="E2148" t="s">
        <v>665</v>
      </c>
      <c r="F2148" s="705">
        <v>1</v>
      </c>
      <c r="G2148" s="705">
        <v>67</v>
      </c>
      <c r="H2148" s="705">
        <v>339</v>
      </c>
      <c r="I2148" s="705">
        <v>13479</v>
      </c>
      <c r="J2148" s="705">
        <v>4992</v>
      </c>
      <c r="K2148" s="705">
        <v>100</v>
      </c>
      <c r="L2148" s="705">
        <v>2112</v>
      </c>
      <c r="M2148" s="705">
        <v>1920</v>
      </c>
      <c r="N2148" s="705">
        <v>1085</v>
      </c>
      <c r="O2148" s="705">
        <v>402</v>
      </c>
      <c r="P2148" s="705">
        <v>351</v>
      </c>
      <c r="Q2148" s="705">
        <v>130</v>
      </c>
      <c r="R2148" s="705">
        <v>3570</v>
      </c>
      <c r="S2148" s="705">
        <v>3246</v>
      </c>
      <c r="T2148" s="705">
        <v>2262</v>
      </c>
      <c r="U2148" s="705">
        <v>838</v>
      </c>
      <c r="V2148" s="705">
        <v>11528</v>
      </c>
      <c r="W2148" s="705">
        <f t="shared" si="90"/>
        <v>11528</v>
      </c>
      <c r="X2148" s="705">
        <f t="shared" si="91"/>
        <v>22859</v>
      </c>
    </row>
    <row r="2149" spans="2:24">
      <c r="B2149" t="s">
        <v>549</v>
      </c>
      <c r="C2149" t="s">
        <v>120</v>
      </c>
      <c r="D2149" t="s">
        <v>583</v>
      </c>
      <c r="E2149" t="s">
        <v>228</v>
      </c>
      <c r="F2149" s="705">
        <v>2</v>
      </c>
      <c r="G2149" s="705">
        <v>168</v>
      </c>
      <c r="H2149" s="705">
        <v>690</v>
      </c>
      <c r="I2149" s="705">
        <v>38665</v>
      </c>
      <c r="J2149" s="705">
        <v>35150</v>
      </c>
      <c r="K2149" s="705">
        <v>85</v>
      </c>
      <c r="L2149" s="705">
        <v>5809</v>
      </c>
      <c r="M2149" s="705">
        <v>5281</v>
      </c>
      <c r="N2149" s="705">
        <v>2423</v>
      </c>
      <c r="O2149" s="705">
        <v>898</v>
      </c>
      <c r="P2149" s="705">
        <v>1242</v>
      </c>
      <c r="Q2149" s="705">
        <v>460</v>
      </c>
      <c r="R2149" s="705">
        <v>10016</v>
      </c>
      <c r="S2149" s="705">
        <v>3710</v>
      </c>
      <c r="T2149" s="705">
        <v>0</v>
      </c>
      <c r="U2149" s="705">
        <v>0</v>
      </c>
      <c r="V2149" s="705">
        <v>45498</v>
      </c>
      <c r="W2149" s="705">
        <f t="shared" si="90"/>
        <v>45499</v>
      </c>
      <c r="X2149" s="705">
        <f t="shared" si="91"/>
        <v>58155</v>
      </c>
    </row>
    <row r="2150" spans="2:24">
      <c r="B2150" t="s">
        <v>549</v>
      </c>
      <c r="C2150" t="s">
        <v>120</v>
      </c>
      <c r="D2150" t="s">
        <v>583</v>
      </c>
      <c r="E2150" t="s">
        <v>583</v>
      </c>
      <c r="F2150" s="705">
        <v>1154</v>
      </c>
      <c r="G2150" s="705">
        <v>132268</v>
      </c>
      <c r="H2150" s="705">
        <v>389519</v>
      </c>
      <c r="I2150" s="705">
        <v>28395626</v>
      </c>
      <c r="J2150" s="705">
        <v>25814205</v>
      </c>
      <c r="K2150" s="705">
        <v>76</v>
      </c>
      <c r="L2150" s="705">
        <v>5234604</v>
      </c>
      <c r="M2150" s="705">
        <v>4667917</v>
      </c>
      <c r="N2150" s="705">
        <v>2801892</v>
      </c>
      <c r="O2150" s="705">
        <v>1037738</v>
      </c>
      <c r="P2150" s="705">
        <v>756706</v>
      </c>
      <c r="Q2150" s="705">
        <v>280262</v>
      </c>
      <c r="R2150" s="705">
        <v>5991306</v>
      </c>
      <c r="S2150" s="705">
        <v>5446642</v>
      </c>
      <c r="T2150" s="705">
        <v>2007037</v>
      </c>
      <c r="U2150" s="705">
        <v>743347</v>
      </c>
      <c r="V2150" s="705">
        <v>37990110</v>
      </c>
      <c r="W2150" s="705">
        <f t="shared" si="90"/>
        <v>37990111</v>
      </c>
      <c r="X2150" s="705">
        <f t="shared" si="91"/>
        <v>45187171</v>
      </c>
    </row>
    <row r="2151" spans="2:24">
      <c r="B2151" t="s">
        <v>549</v>
      </c>
      <c r="C2151" t="s">
        <v>120</v>
      </c>
      <c r="D2151" t="s">
        <v>583</v>
      </c>
      <c r="E2151" t="s">
        <v>666</v>
      </c>
      <c r="F2151" s="705">
        <v>1</v>
      </c>
      <c r="G2151" s="705">
        <v>102</v>
      </c>
      <c r="H2151" s="705">
        <v>354</v>
      </c>
      <c r="I2151" s="705">
        <v>23981</v>
      </c>
      <c r="J2151" s="705">
        <v>21801</v>
      </c>
      <c r="K2151" s="705">
        <v>95</v>
      </c>
      <c r="L2151" s="705">
        <v>5341</v>
      </c>
      <c r="M2151" s="705">
        <v>4855</v>
      </c>
      <c r="N2151" s="705">
        <v>1941</v>
      </c>
      <c r="O2151" s="705">
        <v>719</v>
      </c>
      <c r="P2151" s="705">
        <v>621</v>
      </c>
      <c r="Q2151" s="705">
        <v>230</v>
      </c>
      <c r="R2151" s="705">
        <v>4284</v>
      </c>
      <c r="S2151" s="705">
        <v>3894</v>
      </c>
      <c r="T2151" s="705">
        <v>0</v>
      </c>
      <c r="U2151" s="705">
        <v>0</v>
      </c>
      <c r="V2151" s="705">
        <v>31499</v>
      </c>
      <c r="W2151" s="705">
        <f t="shared" si="90"/>
        <v>31499</v>
      </c>
      <c r="X2151" s="705">
        <f t="shared" si="91"/>
        <v>36168</v>
      </c>
    </row>
    <row r="2152" spans="2:24">
      <c r="B2152" t="s">
        <v>549</v>
      </c>
      <c r="C2152" t="s">
        <v>120</v>
      </c>
      <c r="D2152" t="s">
        <v>583</v>
      </c>
      <c r="E2152" t="s">
        <v>671</v>
      </c>
      <c r="F2152" s="705">
        <v>3</v>
      </c>
      <c r="G2152" s="705">
        <v>276</v>
      </c>
      <c r="H2152" s="705">
        <v>1062</v>
      </c>
      <c r="I2152" s="705">
        <v>50363</v>
      </c>
      <c r="J2152" s="705">
        <v>45784</v>
      </c>
      <c r="K2152" s="705">
        <v>86</v>
      </c>
      <c r="L2152" s="705">
        <v>9885</v>
      </c>
      <c r="M2152" s="705">
        <v>8987</v>
      </c>
      <c r="N2152" s="705">
        <v>4324</v>
      </c>
      <c r="O2152" s="705">
        <v>1601</v>
      </c>
      <c r="P2152" s="705">
        <v>1944</v>
      </c>
      <c r="Q2152" s="705">
        <v>720</v>
      </c>
      <c r="R2152" s="705">
        <v>29127</v>
      </c>
      <c r="S2152" s="705">
        <v>26479</v>
      </c>
      <c r="T2152" s="705">
        <v>2060</v>
      </c>
      <c r="U2152" s="705">
        <v>763</v>
      </c>
      <c r="V2152" s="705">
        <v>84334</v>
      </c>
      <c r="W2152" s="705">
        <f t="shared" si="90"/>
        <v>84334</v>
      </c>
      <c r="X2152" s="705">
        <f t="shared" si="91"/>
        <v>97703</v>
      </c>
    </row>
    <row r="2153" spans="2:24">
      <c r="B2153" t="s">
        <v>549</v>
      </c>
      <c r="C2153" t="s">
        <v>120</v>
      </c>
      <c r="D2153" t="s">
        <v>583</v>
      </c>
      <c r="E2153" t="s">
        <v>665</v>
      </c>
      <c r="F2153" s="705">
        <v>2</v>
      </c>
      <c r="G2153" s="705">
        <v>207</v>
      </c>
      <c r="H2153" s="705">
        <v>650</v>
      </c>
      <c r="I2153" s="705">
        <v>44124</v>
      </c>
      <c r="J2153" s="705">
        <v>40113</v>
      </c>
      <c r="K2153" s="705">
        <v>75</v>
      </c>
      <c r="L2153" s="705">
        <v>4924</v>
      </c>
      <c r="M2153" s="705">
        <v>10387</v>
      </c>
      <c r="N2153" s="705">
        <v>4475</v>
      </c>
      <c r="O2153" s="705">
        <v>1657</v>
      </c>
      <c r="P2153" s="705">
        <v>1242</v>
      </c>
      <c r="Q2153" s="705">
        <v>460</v>
      </c>
      <c r="R2153" s="705">
        <v>9494</v>
      </c>
      <c r="S2153" s="705">
        <v>8631</v>
      </c>
      <c r="T2153" s="705">
        <v>2586</v>
      </c>
      <c r="U2153" s="705">
        <v>958</v>
      </c>
      <c r="V2153" s="705">
        <v>62206</v>
      </c>
      <c r="W2153" s="705">
        <f t="shared" si="90"/>
        <v>62206</v>
      </c>
      <c r="X2153" s="705">
        <f t="shared" si="91"/>
        <v>66845</v>
      </c>
    </row>
    <row r="2154" spans="2:24">
      <c r="B2154" t="s">
        <v>549</v>
      </c>
      <c r="C2154" t="s">
        <v>120</v>
      </c>
      <c r="D2154" t="s">
        <v>666</v>
      </c>
      <c r="E2154" t="s">
        <v>228</v>
      </c>
      <c r="F2154" s="705">
        <v>1</v>
      </c>
      <c r="G2154" s="705">
        <v>53</v>
      </c>
      <c r="H2154" s="705">
        <v>344</v>
      </c>
      <c r="I2154" s="705">
        <v>11549</v>
      </c>
      <c r="J2154" s="705">
        <v>10499</v>
      </c>
      <c r="K2154" s="705">
        <v>60</v>
      </c>
      <c r="L2154" s="705">
        <v>1890</v>
      </c>
      <c r="M2154" s="705">
        <v>700</v>
      </c>
      <c r="N2154" s="705">
        <v>873</v>
      </c>
      <c r="O2154" s="705">
        <v>323</v>
      </c>
      <c r="P2154" s="705">
        <v>351</v>
      </c>
      <c r="Q2154" s="705">
        <v>130</v>
      </c>
      <c r="R2154" s="705">
        <v>3451</v>
      </c>
      <c r="S2154" s="705">
        <v>1278</v>
      </c>
      <c r="T2154" s="705">
        <v>0</v>
      </c>
      <c r="U2154" s="705">
        <v>0</v>
      </c>
      <c r="V2154" s="705">
        <v>12930</v>
      </c>
      <c r="W2154" s="705">
        <f t="shared" si="90"/>
        <v>12930</v>
      </c>
      <c r="X2154" s="705">
        <f t="shared" si="91"/>
        <v>18114</v>
      </c>
    </row>
    <row r="2155" spans="2:24">
      <c r="B2155" t="s">
        <v>549</v>
      </c>
      <c r="C2155" t="s">
        <v>120</v>
      </c>
      <c r="D2155" t="s">
        <v>666</v>
      </c>
      <c r="E2155" t="s">
        <v>666</v>
      </c>
      <c r="F2155" s="705">
        <v>3</v>
      </c>
      <c r="G2155" s="705">
        <v>330</v>
      </c>
      <c r="H2155" s="705">
        <v>1006</v>
      </c>
      <c r="I2155" s="705">
        <v>90723</v>
      </c>
      <c r="J2155" s="705">
        <v>82475</v>
      </c>
      <c r="K2155" s="705">
        <v>60</v>
      </c>
      <c r="L2155" s="705">
        <v>12890</v>
      </c>
      <c r="M2155" s="705">
        <v>6851</v>
      </c>
      <c r="N2155" s="705">
        <v>6944</v>
      </c>
      <c r="O2155" s="705">
        <v>2572</v>
      </c>
      <c r="P2155" s="705">
        <v>1053</v>
      </c>
      <c r="Q2155" s="705">
        <v>390</v>
      </c>
      <c r="R2155" s="705">
        <v>18517</v>
      </c>
      <c r="S2155" s="705">
        <v>16834</v>
      </c>
      <c r="T2155" s="705">
        <v>9957</v>
      </c>
      <c r="U2155" s="705">
        <v>3688</v>
      </c>
      <c r="V2155" s="705">
        <v>112810</v>
      </c>
      <c r="W2155" s="705">
        <f t="shared" si="90"/>
        <v>112810</v>
      </c>
      <c r="X2155" s="705">
        <f t="shared" si="91"/>
        <v>140084</v>
      </c>
    </row>
    <row r="2156" spans="2:24">
      <c r="B2156" t="s">
        <v>549</v>
      </c>
      <c r="C2156" t="s">
        <v>120</v>
      </c>
      <c r="D2156" t="s">
        <v>584</v>
      </c>
      <c r="E2156" t="s">
        <v>584</v>
      </c>
      <c r="F2156" s="705">
        <v>4</v>
      </c>
      <c r="G2156" s="705">
        <v>478</v>
      </c>
      <c r="H2156" s="705">
        <v>1281</v>
      </c>
      <c r="I2156" s="705">
        <v>93091</v>
      </c>
      <c r="J2156" s="705">
        <v>84629</v>
      </c>
      <c r="K2156" s="705">
        <v>87</v>
      </c>
      <c r="L2156" s="705">
        <v>28861</v>
      </c>
      <c r="M2156" s="705">
        <v>26238</v>
      </c>
      <c r="N2156" s="705">
        <v>8107</v>
      </c>
      <c r="O2156" s="705">
        <v>3003</v>
      </c>
      <c r="P2156" s="705">
        <v>1890</v>
      </c>
      <c r="Q2156" s="705">
        <v>700</v>
      </c>
      <c r="R2156" s="705">
        <v>18018</v>
      </c>
      <c r="S2156" s="705">
        <v>16380</v>
      </c>
      <c r="T2156" s="705">
        <v>3053</v>
      </c>
      <c r="U2156" s="705">
        <v>1131</v>
      </c>
      <c r="V2156" s="705">
        <v>132080</v>
      </c>
      <c r="W2156" s="705">
        <f t="shared" si="90"/>
        <v>132081</v>
      </c>
      <c r="X2156" s="705">
        <f t="shared" si="91"/>
        <v>153020</v>
      </c>
    </row>
    <row r="2157" spans="2:24">
      <c r="B2157" t="s">
        <v>549</v>
      </c>
      <c r="C2157" t="s">
        <v>120</v>
      </c>
      <c r="D2157" t="s">
        <v>669</v>
      </c>
      <c r="E2157" t="s">
        <v>669</v>
      </c>
      <c r="F2157" s="705">
        <v>1</v>
      </c>
      <c r="G2157" s="705">
        <v>47</v>
      </c>
      <c r="H2157" s="705">
        <v>377</v>
      </c>
      <c r="I2157" s="705">
        <v>10730</v>
      </c>
      <c r="J2157" s="705">
        <v>8942</v>
      </c>
      <c r="K2157" s="705">
        <v>65</v>
      </c>
      <c r="L2157" s="705">
        <v>0</v>
      </c>
      <c r="M2157" s="705">
        <v>0</v>
      </c>
      <c r="N2157" s="705">
        <v>950</v>
      </c>
      <c r="O2157" s="705">
        <v>352</v>
      </c>
      <c r="P2157" s="705">
        <v>351</v>
      </c>
      <c r="Q2157" s="705">
        <v>130</v>
      </c>
      <c r="R2157" s="705">
        <v>3867</v>
      </c>
      <c r="S2157" s="705">
        <v>3222</v>
      </c>
      <c r="T2157" s="705">
        <v>1698</v>
      </c>
      <c r="U2157" s="705">
        <v>629</v>
      </c>
      <c r="V2157" s="705">
        <v>13275</v>
      </c>
      <c r="W2157" s="705">
        <f t="shared" si="90"/>
        <v>13275</v>
      </c>
      <c r="X2157" s="705">
        <f t="shared" si="91"/>
        <v>17596</v>
      </c>
    </row>
    <row r="2158" spans="2:24">
      <c r="B2158" t="s">
        <v>549</v>
      </c>
      <c r="C2158" t="s">
        <v>120</v>
      </c>
      <c r="D2158" t="s">
        <v>667</v>
      </c>
      <c r="E2158" t="s">
        <v>667</v>
      </c>
      <c r="F2158" s="705">
        <v>3</v>
      </c>
      <c r="G2158" s="705">
        <v>290</v>
      </c>
      <c r="H2158" s="705">
        <v>967</v>
      </c>
      <c r="I2158" s="705">
        <v>49558</v>
      </c>
      <c r="J2158" s="705">
        <v>45053</v>
      </c>
      <c r="K2158" s="705">
        <v>69</v>
      </c>
      <c r="L2158" s="705">
        <v>17494</v>
      </c>
      <c r="M2158" s="705">
        <v>13265</v>
      </c>
      <c r="N2158" s="705">
        <v>6521</v>
      </c>
      <c r="O2158" s="705">
        <v>2415</v>
      </c>
      <c r="P2158" s="705">
        <v>702</v>
      </c>
      <c r="Q2158" s="705">
        <v>260</v>
      </c>
      <c r="R2158" s="705">
        <v>11819</v>
      </c>
      <c r="S2158" s="705">
        <v>10745</v>
      </c>
      <c r="T2158" s="705">
        <v>7004</v>
      </c>
      <c r="U2158" s="705">
        <v>2594</v>
      </c>
      <c r="V2158" s="705">
        <v>74333</v>
      </c>
      <c r="W2158" s="705">
        <f t="shared" si="90"/>
        <v>74332</v>
      </c>
      <c r="X2158" s="705">
        <f t="shared" si="91"/>
        <v>93098</v>
      </c>
    </row>
    <row r="2159" spans="2:24">
      <c r="B2159" t="s">
        <v>549</v>
      </c>
      <c r="C2159" t="s">
        <v>120</v>
      </c>
      <c r="D2159" t="s">
        <v>671</v>
      </c>
      <c r="E2159" t="s">
        <v>671</v>
      </c>
      <c r="F2159" s="705">
        <v>23</v>
      </c>
      <c r="G2159" s="705">
        <v>2633</v>
      </c>
      <c r="H2159" s="705">
        <v>7934</v>
      </c>
      <c r="I2159" s="705">
        <v>595895</v>
      </c>
      <c r="J2159" s="705">
        <v>541722</v>
      </c>
      <c r="K2159" s="705">
        <v>58</v>
      </c>
      <c r="L2159" s="705">
        <v>95261</v>
      </c>
      <c r="M2159" s="705">
        <v>88357</v>
      </c>
      <c r="N2159" s="705">
        <v>53862</v>
      </c>
      <c r="O2159" s="705">
        <v>19949</v>
      </c>
      <c r="P2159" s="705">
        <v>8613</v>
      </c>
      <c r="Q2159" s="705">
        <v>3190</v>
      </c>
      <c r="R2159" s="705">
        <v>132355</v>
      </c>
      <c r="S2159" s="705">
        <v>120323</v>
      </c>
      <c r="T2159" s="705">
        <v>44983</v>
      </c>
      <c r="U2159" s="705">
        <v>16660</v>
      </c>
      <c r="V2159" s="705">
        <v>790202</v>
      </c>
      <c r="W2159" s="705">
        <f t="shared" si="90"/>
        <v>790201</v>
      </c>
      <c r="X2159" s="705">
        <f t="shared" si="91"/>
        <v>930969</v>
      </c>
    </row>
    <row r="2160" spans="2:24">
      <c r="B2160" t="s">
        <v>549</v>
      </c>
      <c r="C2160" t="s">
        <v>120</v>
      </c>
      <c r="D2160" t="s">
        <v>665</v>
      </c>
      <c r="E2160" t="s">
        <v>228</v>
      </c>
      <c r="F2160" s="705">
        <v>1</v>
      </c>
      <c r="G2160" s="705">
        <v>131</v>
      </c>
      <c r="H2160" s="705">
        <v>329</v>
      </c>
      <c r="I2160" s="705">
        <v>29808</v>
      </c>
      <c r="J2160" s="705">
        <v>27098</v>
      </c>
      <c r="K2160" s="705">
        <v>60</v>
      </c>
      <c r="L2160" s="705">
        <v>3312</v>
      </c>
      <c r="M2160" s="705">
        <v>3011</v>
      </c>
      <c r="N2160" s="705">
        <v>2778</v>
      </c>
      <c r="O2160" s="705">
        <v>1029</v>
      </c>
      <c r="P2160" s="705">
        <v>0</v>
      </c>
      <c r="Q2160" s="705">
        <v>0</v>
      </c>
      <c r="R2160" s="705">
        <v>7152</v>
      </c>
      <c r="S2160" s="705">
        <v>2649</v>
      </c>
      <c r="T2160" s="705">
        <v>0</v>
      </c>
      <c r="U2160" s="705">
        <v>0</v>
      </c>
      <c r="V2160" s="705">
        <v>33787</v>
      </c>
      <c r="W2160" s="705">
        <f t="shared" si="90"/>
        <v>33787</v>
      </c>
      <c r="X2160" s="705">
        <f t="shared" si="91"/>
        <v>43050</v>
      </c>
    </row>
    <row r="2161" spans="2:24">
      <c r="B2161" t="s">
        <v>549</v>
      </c>
      <c r="C2161" t="s">
        <v>120</v>
      </c>
      <c r="D2161" t="s">
        <v>665</v>
      </c>
      <c r="E2161" t="s">
        <v>583</v>
      </c>
      <c r="F2161" s="705">
        <v>1</v>
      </c>
      <c r="G2161" s="705">
        <v>68</v>
      </c>
      <c r="H2161" s="705">
        <v>360</v>
      </c>
      <c r="I2161" s="705">
        <v>13871</v>
      </c>
      <c r="J2161" s="705">
        <v>12610</v>
      </c>
      <c r="K2161" s="705">
        <v>65</v>
      </c>
      <c r="L2161" s="705">
        <v>2459</v>
      </c>
      <c r="M2161" s="705">
        <v>911</v>
      </c>
      <c r="N2161" s="705">
        <v>1243</v>
      </c>
      <c r="O2161" s="705">
        <v>460</v>
      </c>
      <c r="P2161" s="705">
        <v>351</v>
      </c>
      <c r="Q2161" s="705">
        <v>130</v>
      </c>
      <c r="R2161" s="705">
        <v>6544</v>
      </c>
      <c r="S2161" s="705">
        <v>5950</v>
      </c>
      <c r="T2161" s="705">
        <v>0</v>
      </c>
      <c r="U2161" s="705">
        <v>0</v>
      </c>
      <c r="V2161" s="705">
        <v>20060</v>
      </c>
      <c r="W2161" s="705">
        <f t="shared" si="90"/>
        <v>20061</v>
      </c>
      <c r="X2161" s="705">
        <f t="shared" si="91"/>
        <v>24468</v>
      </c>
    </row>
    <row r="2162" spans="2:24">
      <c r="B2162" t="s">
        <v>549</v>
      </c>
      <c r="C2162" t="s">
        <v>120</v>
      </c>
      <c r="D2162" t="s">
        <v>665</v>
      </c>
      <c r="E2162" t="s">
        <v>665</v>
      </c>
      <c r="F2162" s="705">
        <v>172</v>
      </c>
      <c r="G2162" s="705">
        <v>17038</v>
      </c>
      <c r="H2162" s="705">
        <v>59144</v>
      </c>
      <c r="I2162" s="705">
        <v>3698134</v>
      </c>
      <c r="J2162" s="705">
        <v>3361940</v>
      </c>
      <c r="K2162" s="705">
        <v>60</v>
      </c>
      <c r="L2162" s="705">
        <v>549651</v>
      </c>
      <c r="M2162" s="705">
        <v>464573</v>
      </c>
      <c r="N2162" s="705">
        <v>358933</v>
      </c>
      <c r="O2162" s="705">
        <v>132938</v>
      </c>
      <c r="P2162" s="705">
        <v>71307</v>
      </c>
      <c r="Q2162" s="705">
        <v>26410</v>
      </c>
      <c r="R2162" s="705">
        <v>963639</v>
      </c>
      <c r="S2162" s="705">
        <v>876035</v>
      </c>
      <c r="T2162" s="705">
        <v>352720</v>
      </c>
      <c r="U2162" s="705">
        <v>130637</v>
      </c>
      <c r="V2162" s="705">
        <v>4992533</v>
      </c>
      <c r="W2162" s="705">
        <f t="shared" si="90"/>
        <v>4992533</v>
      </c>
      <c r="X2162" s="705">
        <f t="shared" si="91"/>
        <v>5994384</v>
      </c>
    </row>
    <row r="2163" spans="2:24">
      <c r="B2163" t="s">
        <v>549</v>
      </c>
      <c r="C2163" t="s">
        <v>120</v>
      </c>
      <c r="D2163" t="s">
        <v>673</v>
      </c>
      <c r="E2163" t="s">
        <v>673</v>
      </c>
      <c r="F2163" s="705">
        <v>3</v>
      </c>
      <c r="G2163" s="705">
        <v>275</v>
      </c>
      <c r="H2163" s="705">
        <v>1059</v>
      </c>
      <c r="I2163" s="705">
        <v>65414</v>
      </c>
      <c r="J2163" s="705">
        <v>59468</v>
      </c>
      <c r="K2163" s="705">
        <v>62</v>
      </c>
      <c r="L2163" s="705">
        <v>5766</v>
      </c>
      <c r="M2163" s="705">
        <v>5242</v>
      </c>
      <c r="N2163" s="705">
        <v>4909</v>
      </c>
      <c r="O2163" s="705">
        <v>1818</v>
      </c>
      <c r="P2163" s="705">
        <v>1053</v>
      </c>
      <c r="Q2163" s="705">
        <v>390</v>
      </c>
      <c r="R2163" s="705">
        <v>12586</v>
      </c>
      <c r="S2163" s="705">
        <v>11442</v>
      </c>
      <c r="T2163" s="705">
        <v>6635</v>
      </c>
      <c r="U2163" s="705">
        <v>2457</v>
      </c>
      <c r="V2163" s="705">
        <v>80817</v>
      </c>
      <c r="W2163" s="705">
        <f t="shared" si="90"/>
        <v>80817</v>
      </c>
      <c r="X2163" s="705">
        <f t="shared" si="91"/>
        <v>96363</v>
      </c>
    </row>
    <row r="2164" spans="2:24">
      <c r="B2164" t="s">
        <v>549</v>
      </c>
      <c r="C2164" t="s">
        <v>120</v>
      </c>
      <c r="D2164" t="s">
        <v>585</v>
      </c>
      <c r="E2164" t="s">
        <v>585</v>
      </c>
      <c r="F2164" s="705">
        <v>2</v>
      </c>
      <c r="G2164" s="705">
        <v>218</v>
      </c>
      <c r="H2164" s="705">
        <v>702</v>
      </c>
      <c r="I2164" s="705">
        <v>61455</v>
      </c>
      <c r="J2164" s="705">
        <v>55868</v>
      </c>
      <c r="K2164" s="705">
        <v>87</v>
      </c>
      <c r="L2164" s="705">
        <v>13876</v>
      </c>
      <c r="M2164" s="705">
        <v>12615</v>
      </c>
      <c r="N2164" s="705">
        <v>5529</v>
      </c>
      <c r="O2164" s="705">
        <v>2048</v>
      </c>
      <c r="P2164" s="705">
        <v>1242</v>
      </c>
      <c r="Q2164" s="705">
        <v>460</v>
      </c>
      <c r="R2164" s="705">
        <v>10979</v>
      </c>
      <c r="S2164" s="705">
        <v>9981</v>
      </c>
      <c r="T2164" s="705">
        <v>0</v>
      </c>
      <c r="U2164" s="705">
        <v>0</v>
      </c>
      <c r="V2164" s="705">
        <v>80971</v>
      </c>
      <c r="W2164" s="705">
        <f t="shared" si="90"/>
        <v>80972</v>
      </c>
      <c r="X2164" s="705">
        <f t="shared" si="91"/>
        <v>93081</v>
      </c>
    </row>
    <row r="2165" spans="2:24">
      <c r="B2165" t="s">
        <v>549</v>
      </c>
      <c r="C2165" t="s">
        <v>120</v>
      </c>
      <c r="D2165" t="s">
        <v>668</v>
      </c>
      <c r="E2165" t="s">
        <v>668</v>
      </c>
      <c r="F2165" s="705">
        <v>2</v>
      </c>
      <c r="G2165" s="705">
        <v>273</v>
      </c>
      <c r="H2165" s="705">
        <v>692</v>
      </c>
      <c r="I2165" s="705">
        <v>60715</v>
      </c>
      <c r="J2165" s="705">
        <v>55195</v>
      </c>
      <c r="K2165" s="705">
        <v>86</v>
      </c>
      <c r="L2165" s="705">
        <v>13610</v>
      </c>
      <c r="M2165" s="705">
        <v>12372</v>
      </c>
      <c r="N2165" s="705">
        <v>5267</v>
      </c>
      <c r="O2165" s="705">
        <v>1951</v>
      </c>
      <c r="P2165" s="705">
        <v>1053</v>
      </c>
      <c r="Q2165" s="705">
        <v>390</v>
      </c>
      <c r="R2165" s="705">
        <v>7719</v>
      </c>
      <c r="S2165" s="705">
        <v>7018</v>
      </c>
      <c r="T2165" s="705">
        <v>5870</v>
      </c>
      <c r="U2165" s="705">
        <v>2174</v>
      </c>
      <c r="V2165" s="705">
        <v>79100</v>
      </c>
      <c r="W2165" s="705">
        <f t="shared" si="90"/>
        <v>79100</v>
      </c>
      <c r="X2165" s="705">
        <f t="shared" si="91"/>
        <v>94234</v>
      </c>
    </row>
    <row r="2166" spans="2:24">
      <c r="B2166" t="s">
        <v>549</v>
      </c>
      <c r="C2166" t="s">
        <v>122</v>
      </c>
      <c r="F2166" s="705">
        <v>1</v>
      </c>
      <c r="G2166" s="705">
        <v>110</v>
      </c>
      <c r="H2166" s="705">
        <v>390</v>
      </c>
      <c r="I2166" s="705"/>
      <c r="J2166" s="705">
        <v>0</v>
      </c>
      <c r="K2166" s="705"/>
      <c r="L2166" s="705"/>
      <c r="M2166" s="705">
        <v>0</v>
      </c>
      <c r="N2166" s="705">
        <v>2488</v>
      </c>
      <c r="O2166" s="705">
        <v>922</v>
      </c>
      <c r="P2166" s="705">
        <v>621</v>
      </c>
      <c r="Q2166" s="705">
        <v>230</v>
      </c>
      <c r="R2166" s="705"/>
      <c r="S2166" s="705">
        <v>0</v>
      </c>
      <c r="T2166" s="705">
        <v>2469</v>
      </c>
      <c r="U2166" s="705">
        <v>914</v>
      </c>
      <c r="V2166" s="705">
        <v>2066</v>
      </c>
      <c r="W2166" s="705">
        <f t="shared" si="90"/>
        <v>2066</v>
      </c>
      <c r="X2166" s="705">
        <f t="shared" si="91"/>
        <v>5578</v>
      </c>
    </row>
    <row r="2167" spans="2:24">
      <c r="B2167" t="s">
        <v>549</v>
      </c>
      <c r="C2167" t="s">
        <v>122</v>
      </c>
      <c r="D2167" t="s">
        <v>664</v>
      </c>
      <c r="E2167" t="s">
        <v>664</v>
      </c>
      <c r="F2167" s="705">
        <v>1</v>
      </c>
      <c r="G2167" s="705">
        <v>82</v>
      </c>
      <c r="H2167" s="705">
        <v>412</v>
      </c>
      <c r="I2167" s="705">
        <v>25546</v>
      </c>
      <c r="J2167" s="705">
        <v>23223</v>
      </c>
      <c r="K2167" s="705">
        <v>89</v>
      </c>
      <c r="L2167" s="705">
        <v>4002</v>
      </c>
      <c r="M2167" s="705">
        <v>3638</v>
      </c>
      <c r="N2167" s="705">
        <v>1116</v>
      </c>
      <c r="O2167" s="705">
        <v>413</v>
      </c>
      <c r="P2167" s="705">
        <v>473</v>
      </c>
      <c r="Q2167" s="705">
        <v>175</v>
      </c>
      <c r="R2167" s="705">
        <v>2545</v>
      </c>
      <c r="S2167" s="705">
        <v>2313</v>
      </c>
      <c r="T2167" s="705">
        <v>0</v>
      </c>
      <c r="U2167" s="705">
        <v>0</v>
      </c>
      <c r="V2167" s="705">
        <v>29764</v>
      </c>
      <c r="W2167" s="705">
        <f t="shared" si="90"/>
        <v>29762</v>
      </c>
      <c r="X2167" s="705">
        <f t="shared" si="91"/>
        <v>33682</v>
      </c>
    </row>
    <row r="2168" spans="2:24">
      <c r="B2168" t="s">
        <v>549</v>
      </c>
      <c r="C2168" t="s">
        <v>122</v>
      </c>
      <c r="D2168" t="s">
        <v>582</v>
      </c>
      <c r="E2168" t="s">
        <v>582</v>
      </c>
      <c r="F2168" s="705">
        <v>6</v>
      </c>
      <c r="G2168" s="705">
        <v>812</v>
      </c>
      <c r="H2168" s="705">
        <v>2538</v>
      </c>
      <c r="I2168" s="705">
        <v>227260</v>
      </c>
      <c r="J2168" s="705">
        <v>206600</v>
      </c>
      <c r="K2168" s="705">
        <v>77</v>
      </c>
      <c r="L2168" s="705">
        <v>59499</v>
      </c>
      <c r="M2168" s="705">
        <v>41561</v>
      </c>
      <c r="N2168" s="705">
        <v>18255</v>
      </c>
      <c r="O2168" s="705">
        <v>6761</v>
      </c>
      <c r="P2168" s="705">
        <v>2714</v>
      </c>
      <c r="Q2168" s="705">
        <v>1005</v>
      </c>
      <c r="R2168" s="705">
        <v>32192</v>
      </c>
      <c r="S2168" s="705">
        <v>29265</v>
      </c>
      <c r="T2168" s="705">
        <v>2738</v>
      </c>
      <c r="U2168" s="705">
        <v>1014</v>
      </c>
      <c r="V2168" s="705">
        <v>286206</v>
      </c>
      <c r="W2168" s="705">
        <f t="shared" si="90"/>
        <v>286206</v>
      </c>
      <c r="X2168" s="705">
        <f t="shared" si="91"/>
        <v>342658</v>
      </c>
    </row>
    <row r="2169" spans="2:24">
      <c r="B2169" t="s">
        <v>549</v>
      </c>
      <c r="C2169" t="s">
        <v>122</v>
      </c>
      <c r="D2169" t="s">
        <v>228</v>
      </c>
      <c r="E2169" t="s">
        <v>228</v>
      </c>
      <c r="F2169" s="705">
        <v>49</v>
      </c>
      <c r="G2169" s="705">
        <v>5235</v>
      </c>
      <c r="H2169" s="705">
        <v>20231</v>
      </c>
      <c r="I2169" s="705">
        <v>1547492</v>
      </c>
      <c r="J2169" s="705">
        <v>573145</v>
      </c>
      <c r="K2169" s="705">
        <v>100</v>
      </c>
      <c r="L2169" s="705">
        <v>197693</v>
      </c>
      <c r="M2169" s="705">
        <v>175779</v>
      </c>
      <c r="N2169" s="705">
        <v>120194</v>
      </c>
      <c r="O2169" s="705">
        <v>44516</v>
      </c>
      <c r="P2169" s="705">
        <v>702</v>
      </c>
      <c r="Q2169" s="705">
        <v>260</v>
      </c>
      <c r="R2169" s="705">
        <v>384979</v>
      </c>
      <c r="S2169" s="705">
        <v>142585</v>
      </c>
      <c r="T2169" s="705">
        <v>0</v>
      </c>
      <c r="U2169" s="705">
        <v>0</v>
      </c>
      <c r="V2169" s="705">
        <v>936285</v>
      </c>
      <c r="W2169" s="705">
        <f t="shared" si="90"/>
        <v>936285</v>
      </c>
      <c r="X2169" s="705">
        <f t="shared" si="91"/>
        <v>2251060</v>
      </c>
    </row>
    <row r="2170" spans="2:24">
      <c r="B2170" t="s">
        <v>549</v>
      </c>
      <c r="C2170" t="s">
        <v>122</v>
      </c>
      <c r="D2170" t="s">
        <v>228</v>
      </c>
      <c r="E2170" t="s">
        <v>665</v>
      </c>
      <c r="F2170" s="705">
        <v>6</v>
      </c>
      <c r="G2170" s="705">
        <v>590</v>
      </c>
      <c r="H2170" s="705">
        <v>2551</v>
      </c>
      <c r="I2170" s="705">
        <v>167258</v>
      </c>
      <c r="J2170" s="705">
        <v>61947</v>
      </c>
      <c r="K2170" s="705">
        <v>100</v>
      </c>
      <c r="L2170" s="705">
        <v>20832</v>
      </c>
      <c r="M2170" s="705">
        <v>18939</v>
      </c>
      <c r="N2170" s="705">
        <v>11831</v>
      </c>
      <c r="O2170" s="705">
        <v>4382</v>
      </c>
      <c r="P2170" s="705">
        <v>702</v>
      </c>
      <c r="Q2170" s="705">
        <v>260</v>
      </c>
      <c r="R2170" s="705">
        <v>40358</v>
      </c>
      <c r="S2170" s="705">
        <v>36689</v>
      </c>
      <c r="T2170" s="705">
        <v>8760</v>
      </c>
      <c r="U2170" s="705">
        <v>3244</v>
      </c>
      <c r="V2170" s="705">
        <v>125462</v>
      </c>
      <c r="W2170" s="705">
        <f t="shared" si="90"/>
        <v>125461</v>
      </c>
      <c r="X2170" s="705">
        <f t="shared" si="91"/>
        <v>249741</v>
      </c>
    </row>
    <row r="2171" spans="2:24">
      <c r="B2171" t="s">
        <v>549</v>
      </c>
      <c r="C2171" t="s">
        <v>122</v>
      </c>
      <c r="D2171" t="s">
        <v>583</v>
      </c>
      <c r="E2171" t="s">
        <v>228</v>
      </c>
      <c r="F2171" s="705">
        <v>5</v>
      </c>
      <c r="G2171" s="705">
        <v>560</v>
      </c>
      <c r="H2171" s="705">
        <v>1982</v>
      </c>
      <c r="I2171" s="705">
        <v>157069</v>
      </c>
      <c r="J2171" s="705">
        <v>142790</v>
      </c>
      <c r="K2171" s="705">
        <v>72</v>
      </c>
      <c r="L2171" s="705">
        <v>10143</v>
      </c>
      <c r="M2171" s="705">
        <v>9221</v>
      </c>
      <c r="N2171" s="705">
        <v>12552</v>
      </c>
      <c r="O2171" s="705">
        <v>4649</v>
      </c>
      <c r="P2171" s="705">
        <v>3105</v>
      </c>
      <c r="Q2171" s="705">
        <v>1150</v>
      </c>
      <c r="R2171" s="705">
        <v>38608</v>
      </c>
      <c r="S2171" s="705">
        <v>14299</v>
      </c>
      <c r="T2171" s="705">
        <v>0</v>
      </c>
      <c r="U2171" s="705">
        <v>0</v>
      </c>
      <c r="V2171" s="705">
        <v>172109</v>
      </c>
      <c r="W2171" s="705">
        <f t="shared" si="90"/>
        <v>172109</v>
      </c>
      <c r="X2171" s="705">
        <f t="shared" si="91"/>
        <v>221477</v>
      </c>
    </row>
    <row r="2172" spans="2:24">
      <c r="B2172" t="s">
        <v>549</v>
      </c>
      <c r="C2172" t="s">
        <v>122</v>
      </c>
      <c r="D2172" t="s">
        <v>583</v>
      </c>
      <c r="E2172" t="s">
        <v>583</v>
      </c>
      <c r="F2172" s="705">
        <v>502</v>
      </c>
      <c r="G2172" s="705">
        <v>53598</v>
      </c>
      <c r="H2172" s="705">
        <v>208210</v>
      </c>
      <c r="I2172" s="705">
        <v>14868146</v>
      </c>
      <c r="J2172" s="705">
        <v>13516496</v>
      </c>
      <c r="K2172" s="705">
        <v>76</v>
      </c>
      <c r="L2172" s="705">
        <v>2789387</v>
      </c>
      <c r="M2172" s="705">
        <v>2483035</v>
      </c>
      <c r="N2172" s="705">
        <v>1148625</v>
      </c>
      <c r="O2172" s="705">
        <v>425417</v>
      </c>
      <c r="P2172" s="705">
        <v>330561</v>
      </c>
      <c r="Q2172" s="705">
        <v>122430</v>
      </c>
      <c r="R2172" s="705">
        <v>2461353</v>
      </c>
      <c r="S2172" s="705">
        <v>2237594</v>
      </c>
      <c r="T2172" s="705">
        <v>870299</v>
      </c>
      <c r="U2172" s="705">
        <v>322333</v>
      </c>
      <c r="V2172" s="705">
        <v>19107305</v>
      </c>
      <c r="W2172" s="705">
        <f t="shared" si="90"/>
        <v>19107305</v>
      </c>
      <c r="X2172" s="705">
        <f t="shared" si="91"/>
        <v>22468371</v>
      </c>
    </row>
    <row r="2173" spans="2:24">
      <c r="B2173" t="s">
        <v>549</v>
      </c>
      <c r="C2173" t="s">
        <v>122</v>
      </c>
      <c r="D2173" t="s">
        <v>583</v>
      </c>
      <c r="E2173" t="s">
        <v>584</v>
      </c>
      <c r="F2173" s="705">
        <v>1</v>
      </c>
      <c r="G2173" s="705">
        <v>76</v>
      </c>
      <c r="H2173" s="705">
        <v>398</v>
      </c>
      <c r="I2173" s="705">
        <v>16208</v>
      </c>
      <c r="J2173" s="705">
        <v>14735</v>
      </c>
      <c r="K2173" s="705">
        <v>85</v>
      </c>
      <c r="L2173" s="705">
        <v>4844</v>
      </c>
      <c r="M2173" s="705">
        <v>4404</v>
      </c>
      <c r="N2173" s="705">
        <v>1858</v>
      </c>
      <c r="O2173" s="705">
        <v>688</v>
      </c>
      <c r="P2173" s="705">
        <v>621</v>
      </c>
      <c r="Q2173" s="705">
        <v>230</v>
      </c>
      <c r="R2173" s="705">
        <v>4010</v>
      </c>
      <c r="S2173" s="705">
        <v>3646</v>
      </c>
      <c r="T2173" s="705">
        <v>2828</v>
      </c>
      <c r="U2173" s="705">
        <v>1047</v>
      </c>
      <c r="V2173" s="705">
        <v>24750</v>
      </c>
      <c r="W2173" s="705">
        <f t="shared" si="90"/>
        <v>24750</v>
      </c>
      <c r="X2173" s="705">
        <f t="shared" si="91"/>
        <v>30369</v>
      </c>
    </row>
    <row r="2174" spans="2:24">
      <c r="B2174" t="s">
        <v>549</v>
      </c>
      <c r="C2174" t="s">
        <v>122</v>
      </c>
      <c r="D2174" t="s">
        <v>583</v>
      </c>
      <c r="E2174" t="s">
        <v>671</v>
      </c>
      <c r="F2174" s="705">
        <v>2</v>
      </c>
      <c r="G2174" s="705">
        <v>172</v>
      </c>
      <c r="H2174" s="705">
        <v>773</v>
      </c>
      <c r="I2174" s="705">
        <v>37354</v>
      </c>
      <c r="J2174" s="705">
        <v>33958</v>
      </c>
      <c r="K2174" s="705">
        <v>74</v>
      </c>
      <c r="L2174" s="705">
        <v>4748</v>
      </c>
      <c r="M2174" s="705">
        <v>4316</v>
      </c>
      <c r="N2174" s="705">
        <v>3458</v>
      </c>
      <c r="O2174" s="705">
        <v>1281</v>
      </c>
      <c r="P2174" s="705">
        <v>1242</v>
      </c>
      <c r="Q2174" s="705">
        <v>460</v>
      </c>
      <c r="R2174" s="705">
        <v>19409</v>
      </c>
      <c r="S2174" s="705">
        <v>17645</v>
      </c>
      <c r="T2174" s="705">
        <v>0</v>
      </c>
      <c r="U2174" s="705">
        <v>0</v>
      </c>
      <c r="V2174" s="705">
        <v>57660</v>
      </c>
      <c r="W2174" s="705">
        <f t="shared" si="90"/>
        <v>57660</v>
      </c>
      <c r="X2174" s="705">
        <f t="shared" si="91"/>
        <v>66211</v>
      </c>
    </row>
    <row r="2175" spans="2:24">
      <c r="B2175" t="s">
        <v>549</v>
      </c>
      <c r="C2175" t="s">
        <v>122</v>
      </c>
      <c r="D2175" t="s">
        <v>666</v>
      </c>
      <c r="E2175" t="s">
        <v>666</v>
      </c>
      <c r="F2175" s="705">
        <v>2</v>
      </c>
      <c r="G2175" s="705">
        <v>244</v>
      </c>
      <c r="H2175" s="705">
        <v>859</v>
      </c>
      <c r="I2175" s="705">
        <v>72093</v>
      </c>
      <c r="J2175" s="705">
        <v>65539</v>
      </c>
      <c r="K2175" s="705">
        <v>50</v>
      </c>
      <c r="L2175" s="705">
        <v>8872</v>
      </c>
      <c r="M2175" s="705">
        <v>5378</v>
      </c>
      <c r="N2175" s="705">
        <v>4200</v>
      </c>
      <c r="O2175" s="705">
        <v>1556</v>
      </c>
      <c r="P2175" s="705">
        <v>702</v>
      </c>
      <c r="Q2175" s="705">
        <v>260</v>
      </c>
      <c r="R2175" s="705">
        <v>12259</v>
      </c>
      <c r="S2175" s="705">
        <v>11145</v>
      </c>
      <c r="T2175" s="705">
        <v>6372</v>
      </c>
      <c r="U2175" s="705">
        <v>2360</v>
      </c>
      <c r="V2175" s="705">
        <v>86237</v>
      </c>
      <c r="W2175" s="705">
        <f t="shared" si="90"/>
        <v>86238</v>
      </c>
      <c r="X2175" s="705">
        <f t="shared" si="91"/>
        <v>104498</v>
      </c>
    </row>
    <row r="2176" spans="2:24">
      <c r="B2176" t="s">
        <v>549</v>
      </c>
      <c r="C2176" t="s">
        <v>122</v>
      </c>
      <c r="D2176" t="s">
        <v>584</v>
      </c>
      <c r="E2176" t="s">
        <v>584</v>
      </c>
      <c r="F2176" s="705">
        <v>2</v>
      </c>
      <c r="G2176" s="705">
        <v>178</v>
      </c>
      <c r="H2176" s="705">
        <v>825</v>
      </c>
      <c r="I2176" s="705">
        <v>49432</v>
      </c>
      <c r="J2176" s="705">
        <v>44938</v>
      </c>
      <c r="K2176" s="705">
        <v>82</v>
      </c>
      <c r="L2176" s="705">
        <v>12298</v>
      </c>
      <c r="M2176" s="705">
        <v>11180</v>
      </c>
      <c r="N2176" s="705">
        <v>2166</v>
      </c>
      <c r="O2176" s="705">
        <v>802</v>
      </c>
      <c r="P2176" s="705">
        <v>945</v>
      </c>
      <c r="Q2176" s="705">
        <v>350</v>
      </c>
      <c r="R2176" s="705">
        <v>6928</v>
      </c>
      <c r="S2176" s="705">
        <v>6298</v>
      </c>
      <c r="T2176" s="705">
        <v>1912</v>
      </c>
      <c r="U2176" s="705">
        <v>708</v>
      </c>
      <c r="V2176" s="705">
        <v>64277</v>
      </c>
      <c r="W2176" s="705">
        <f t="shared" si="90"/>
        <v>64276</v>
      </c>
      <c r="X2176" s="705">
        <f t="shared" si="91"/>
        <v>73681</v>
      </c>
    </row>
    <row r="2177" spans="2:24">
      <c r="B2177" t="s">
        <v>549</v>
      </c>
      <c r="C2177" t="s">
        <v>122</v>
      </c>
      <c r="D2177" t="s">
        <v>669</v>
      </c>
      <c r="E2177" t="s">
        <v>669</v>
      </c>
      <c r="F2177" s="705">
        <v>2</v>
      </c>
      <c r="G2177" s="705">
        <v>149</v>
      </c>
      <c r="H2177" s="705">
        <v>849</v>
      </c>
      <c r="I2177" s="705">
        <v>35858</v>
      </c>
      <c r="J2177" s="705">
        <v>29881</v>
      </c>
      <c r="K2177" s="705">
        <v>45</v>
      </c>
      <c r="L2177" s="705">
        <v>5976</v>
      </c>
      <c r="M2177" s="705">
        <v>4980</v>
      </c>
      <c r="N2177" s="705">
        <v>3643</v>
      </c>
      <c r="O2177" s="705">
        <v>1349</v>
      </c>
      <c r="P2177" s="705">
        <v>702</v>
      </c>
      <c r="Q2177" s="705">
        <v>260</v>
      </c>
      <c r="R2177" s="705">
        <v>13028</v>
      </c>
      <c r="S2177" s="705">
        <v>10857</v>
      </c>
      <c r="T2177" s="705">
        <v>4323</v>
      </c>
      <c r="U2177" s="705">
        <v>1601</v>
      </c>
      <c r="V2177" s="705">
        <v>48929</v>
      </c>
      <c r="W2177" s="705">
        <f t="shared" si="90"/>
        <v>48928</v>
      </c>
      <c r="X2177" s="705">
        <f t="shared" si="91"/>
        <v>63530</v>
      </c>
    </row>
    <row r="2178" spans="2:24">
      <c r="B2178" t="s">
        <v>549</v>
      </c>
      <c r="C2178" t="s">
        <v>122</v>
      </c>
      <c r="D2178" t="s">
        <v>667</v>
      </c>
      <c r="E2178" t="s">
        <v>667</v>
      </c>
      <c r="F2178" s="705">
        <v>2</v>
      </c>
      <c r="G2178" s="705">
        <v>257</v>
      </c>
      <c r="H2178" s="705">
        <v>890</v>
      </c>
      <c r="I2178" s="705">
        <v>74142</v>
      </c>
      <c r="J2178" s="705">
        <v>67402</v>
      </c>
      <c r="K2178" s="705">
        <v>50</v>
      </c>
      <c r="L2178" s="705">
        <v>13594</v>
      </c>
      <c r="M2178" s="705">
        <v>12358</v>
      </c>
      <c r="N2178" s="705">
        <v>5902</v>
      </c>
      <c r="O2178" s="705">
        <v>2186</v>
      </c>
      <c r="P2178" s="705">
        <v>702</v>
      </c>
      <c r="Q2178" s="705">
        <v>260</v>
      </c>
      <c r="R2178" s="705">
        <v>16258</v>
      </c>
      <c r="S2178" s="705">
        <v>14780</v>
      </c>
      <c r="T2178" s="705">
        <v>3764</v>
      </c>
      <c r="U2178" s="705">
        <v>1394</v>
      </c>
      <c r="V2178" s="705">
        <v>98379</v>
      </c>
      <c r="W2178" s="705">
        <f t="shared" si="90"/>
        <v>98380</v>
      </c>
      <c r="X2178" s="705">
        <f t="shared" si="91"/>
        <v>114362</v>
      </c>
    </row>
    <row r="2179" spans="2:24">
      <c r="B2179" t="s">
        <v>549</v>
      </c>
      <c r="C2179" t="s">
        <v>122</v>
      </c>
      <c r="D2179" t="s">
        <v>671</v>
      </c>
      <c r="E2179" t="s">
        <v>671</v>
      </c>
      <c r="F2179" s="705">
        <v>23</v>
      </c>
      <c r="G2179" s="705">
        <v>2283</v>
      </c>
      <c r="H2179" s="705">
        <v>9650</v>
      </c>
      <c r="I2179" s="705">
        <v>634763</v>
      </c>
      <c r="J2179" s="705">
        <v>577057</v>
      </c>
      <c r="K2179" s="705">
        <v>53</v>
      </c>
      <c r="L2179" s="705">
        <v>102051</v>
      </c>
      <c r="M2179" s="705">
        <v>89987</v>
      </c>
      <c r="N2179" s="705">
        <v>47094</v>
      </c>
      <c r="O2179" s="705">
        <v>17442</v>
      </c>
      <c r="P2179" s="705">
        <v>8343</v>
      </c>
      <c r="Q2179" s="705">
        <v>3090</v>
      </c>
      <c r="R2179" s="705">
        <v>138739</v>
      </c>
      <c r="S2179" s="705">
        <v>126127</v>
      </c>
      <c r="T2179" s="705">
        <v>41444</v>
      </c>
      <c r="U2179" s="705">
        <v>15350</v>
      </c>
      <c r="V2179" s="705">
        <v>829052</v>
      </c>
      <c r="W2179" s="705">
        <f t="shared" si="90"/>
        <v>829053</v>
      </c>
      <c r="X2179" s="705">
        <f t="shared" si="91"/>
        <v>972434</v>
      </c>
    </row>
    <row r="2180" spans="2:24">
      <c r="B2180" t="s">
        <v>549</v>
      </c>
      <c r="C2180" t="s">
        <v>122</v>
      </c>
      <c r="D2180" t="s">
        <v>665</v>
      </c>
      <c r="E2180" t="s">
        <v>228</v>
      </c>
      <c r="F2180" s="705">
        <v>1</v>
      </c>
      <c r="G2180" s="705">
        <v>50</v>
      </c>
      <c r="H2180" s="705">
        <v>444</v>
      </c>
      <c r="I2180" s="705">
        <v>14943</v>
      </c>
      <c r="J2180" s="705">
        <v>13585</v>
      </c>
      <c r="K2180" s="705">
        <v>61</v>
      </c>
      <c r="L2180" s="705">
        <v>2490</v>
      </c>
      <c r="M2180" s="705">
        <v>922</v>
      </c>
      <c r="N2180" s="705">
        <v>853</v>
      </c>
      <c r="O2180" s="705">
        <v>316</v>
      </c>
      <c r="P2180" s="705">
        <v>0</v>
      </c>
      <c r="Q2180" s="705">
        <v>0</v>
      </c>
      <c r="R2180" s="705">
        <v>3944</v>
      </c>
      <c r="S2180" s="705">
        <v>1461</v>
      </c>
      <c r="T2180" s="705">
        <v>0</v>
      </c>
      <c r="U2180" s="705">
        <v>0</v>
      </c>
      <c r="V2180" s="705">
        <v>16284</v>
      </c>
      <c r="W2180" s="705">
        <f t="shared" si="90"/>
        <v>16284</v>
      </c>
      <c r="X2180" s="705">
        <f t="shared" si="91"/>
        <v>22230</v>
      </c>
    </row>
    <row r="2181" spans="2:24">
      <c r="B2181" t="s">
        <v>549</v>
      </c>
      <c r="C2181" t="s">
        <v>122</v>
      </c>
      <c r="D2181" t="s">
        <v>665</v>
      </c>
      <c r="E2181" t="s">
        <v>583</v>
      </c>
      <c r="F2181" s="705">
        <v>1</v>
      </c>
      <c r="G2181" s="705">
        <v>121</v>
      </c>
      <c r="H2181" s="705">
        <v>402</v>
      </c>
      <c r="I2181" s="705">
        <v>33879</v>
      </c>
      <c r="J2181" s="705">
        <v>30799</v>
      </c>
      <c r="K2181" s="705">
        <v>65</v>
      </c>
      <c r="L2181" s="705">
        <v>6006</v>
      </c>
      <c r="M2181" s="705">
        <v>2224</v>
      </c>
      <c r="N2181" s="705">
        <v>2067</v>
      </c>
      <c r="O2181" s="705">
        <v>766</v>
      </c>
      <c r="P2181" s="705">
        <v>351</v>
      </c>
      <c r="Q2181" s="705">
        <v>130</v>
      </c>
      <c r="R2181" s="705">
        <v>6428</v>
      </c>
      <c r="S2181" s="705">
        <v>5844</v>
      </c>
      <c r="T2181" s="705">
        <v>0</v>
      </c>
      <c r="U2181" s="705">
        <v>0</v>
      </c>
      <c r="V2181" s="705">
        <v>39763</v>
      </c>
      <c r="W2181" s="705">
        <f t="shared" si="90"/>
        <v>39763</v>
      </c>
      <c r="X2181" s="705">
        <f t="shared" si="91"/>
        <v>48731</v>
      </c>
    </row>
    <row r="2182" spans="2:24">
      <c r="B2182" t="s">
        <v>549</v>
      </c>
      <c r="C2182" t="s">
        <v>122</v>
      </c>
      <c r="D2182" t="s">
        <v>665</v>
      </c>
      <c r="E2182" t="s">
        <v>665</v>
      </c>
      <c r="F2182" s="705">
        <v>160</v>
      </c>
      <c r="G2182" s="705">
        <v>16085</v>
      </c>
      <c r="H2182" s="705">
        <v>66526</v>
      </c>
      <c r="I2182" s="705">
        <v>4325147</v>
      </c>
      <c r="J2182" s="705">
        <v>3931952</v>
      </c>
      <c r="K2182" s="705">
        <v>53</v>
      </c>
      <c r="L2182" s="705">
        <v>616233</v>
      </c>
      <c r="M2182" s="705">
        <v>535881</v>
      </c>
      <c r="N2182" s="705">
        <v>334489</v>
      </c>
      <c r="O2182" s="705">
        <v>123885</v>
      </c>
      <c r="P2182" s="705">
        <v>65475</v>
      </c>
      <c r="Q2182" s="705">
        <v>24250</v>
      </c>
      <c r="R2182" s="705">
        <v>1015625</v>
      </c>
      <c r="S2182" s="705">
        <v>923295</v>
      </c>
      <c r="T2182" s="705">
        <v>377179</v>
      </c>
      <c r="U2182" s="705">
        <v>139696</v>
      </c>
      <c r="V2182" s="705">
        <v>5678959</v>
      </c>
      <c r="W2182" s="705">
        <f t="shared" si="90"/>
        <v>5678959</v>
      </c>
      <c r="X2182" s="705">
        <f t="shared" si="91"/>
        <v>6734148</v>
      </c>
    </row>
    <row r="2183" spans="2:24">
      <c r="B2183" t="s">
        <v>549</v>
      </c>
      <c r="C2183" t="s">
        <v>122</v>
      </c>
      <c r="D2183" t="s">
        <v>673</v>
      </c>
      <c r="E2183" t="s">
        <v>673</v>
      </c>
      <c r="F2183" s="705">
        <v>1</v>
      </c>
      <c r="G2183" s="705">
        <v>104</v>
      </c>
      <c r="H2183" s="705">
        <v>442</v>
      </c>
      <c r="I2183" s="705">
        <v>34150</v>
      </c>
      <c r="J2183" s="705">
        <v>31045</v>
      </c>
      <c r="K2183" s="705">
        <v>65</v>
      </c>
      <c r="L2183" s="705">
        <v>3794</v>
      </c>
      <c r="M2183" s="705">
        <v>3449</v>
      </c>
      <c r="N2183" s="705">
        <v>1457</v>
      </c>
      <c r="O2183" s="705">
        <v>539</v>
      </c>
      <c r="P2183" s="705">
        <v>351</v>
      </c>
      <c r="Q2183" s="705">
        <v>130</v>
      </c>
      <c r="R2183" s="705">
        <v>3675</v>
      </c>
      <c r="S2183" s="705">
        <v>3341</v>
      </c>
      <c r="T2183" s="705">
        <v>2567</v>
      </c>
      <c r="U2183" s="705">
        <v>951</v>
      </c>
      <c r="V2183" s="705">
        <v>39456</v>
      </c>
      <c r="W2183" s="705">
        <f t="shared" si="90"/>
        <v>39455</v>
      </c>
      <c r="X2183" s="705">
        <f t="shared" si="91"/>
        <v>45994</v>
      </c>
    </row>
    <row r="2184" spans="2:24">
      <c r="B2184" t="s">
        <v>549</v>
      </c>
      <c r="C2184" t="s">
        <v>124</v>
      </c>
      <c r="F2184" s="705">
        <v>2</v>
      </c>
      <c r="G2184" s="705">
        <v>204</v>
      </c>
      <c r="H2184" s="705">
        <v>945</v>
      </c>
      <c r="I2184" s="705"/>
      <c r="J2184" s="705">
        <v>0</v>
      </c>
      <c r="K2184" s="705"/>
      <c r="L2184" s="705"/>
      <c r="M2184" s="705">
        <v>0</v>
      </c>
      <c r="N2184" s="705">
        <v>4105</v>
      </c>
      <c r="O2184" s="705">
        <v>1520</v>
      </c>
      <c r="P2184" s="705">
        <v>1242</v>
      </c>
      <c r="Q2184" s="705">
        <v>460</v>
      </c>
      <c r="R2184" s="705"/>
      <c r="S2184" s="705">
        <v>0</v>
      </c>
      <c r="T2184" s="705">
        <v>1455</v>
      </c>
      <c r="U2184" s="705">
        <v>539</v>
      </c>
      <c r="V2184" s="705">
        <v>2519</v>
      </c>
      <c r="W2184" s="705">
        <f t="shared" si="90"/>
        <v>2519</v>
      </c>
      <c r="X2184" s="705">
        <f t="shared" si="91"/>
        <v>6802</v>
      </c>
    </row>
    <row r="2185" spans="2:24">
      <c r="B2185" t="s">
        <v>549</v>
      </c>
      <c r="C2185" t="s">
        <v>124</v>
      </c>
      <c r="D2185" t="s">
        <v>664</v>
      </c>
      <c r="E2185" t="s">
        <v>664</v>
      </c>
      <c r="F2185" s="705">
        <v>2</v>
      </c>
      <c r="G2185" s="705">
        <v>225</v>
      </c>
      <c r="H2185" s="705">
        <v>958</v>
      </c>
      <c r="I2185" s="705">
        <v>80066</v>
      </c>
      <c r="J2185" s="705">
        <v>72787</v>
      </c>
      <c r="K2185" s="705">
        <v>78</v>
      </c>
      <c r="L2185" s="705">
        <v>10290</v>
      </c>
      <c r="M2185" s="705">
        <v>9355</v>
      </c>
      <c r="N2185" s="705">
        <v>5018</v>
      </c>
      <c r="O2185" s="705">
        <v>1858</v>
      </c>
      <c r="P2185" s="705">
        <v>1647</v>
      </c>
      <c r="Q2185" s="705">
        <v>610</v>
      </c>
      <c r="R2185" s="705">
        <v>7319</v>
      </c>
      <c r="S2185" s="705">
        <v>6654</v>
      </c>
      <c r="T2185" s="705">
        <v>3202</v>
      </c>
      <c r="U2185" s="705">
        <v>1186</v>
      </c>
      <c r="V2185" s="705">
        <v>92450</v>
      </c>
      <c r="W2185" s="705">
        <f t="shared" si="90"/>
        <v>92450</v>
      </c>
      <c r="X2185" s="705">
        <f t="shared" si="91"/>
        <v>107542</v>
      </c>
    </row>
    <row r="2186" spans="2:24">
      <c r="B2186" t="s">
        <v>549</v>
      </c>
      <c r="C2186" t="s">
        <v>124</v>
      </c>
      <c r="D2186" t="s">
        <v>582</v>
      </c>
      <c r="E2186" t="s">
        <v>582</v>
      </c>
      <c r="F2186" s="705">
        <v>10</v>
      </c>
      <c r="G2186" s="705">
        <v>923</v>
      </c>
      <c r="H2186" s="705">
        <v>5446</v>
      </c>
      <c r="I2186" s="705">
        <v>321906</v>
      </c>
      <c r="J2186" s="705">
        <v>292641</v>
      </c>
      <c r="K2186" s="705">
        <v>76</v>
      </c>
      <c r="L2186" s="705">
        <v>88910</v>
      </c>
      <c r="M2186" s="705">
        <v>80827</v>
      </c>
      <c r="N2186" s="705">
        <v>20214</v>
      </c>
      <c r="O2186" s="705">
        <v>7487</v>
      </c>
      <c r="P2186" s="705">
        <v>4482</v>
      </c>
      <c r="Q2186" s="705">
        <v>1660</v>
      </c>
      <c r="R2186" s="705">
        <v>45466</v>
      </c>
      <c r="S2186" s="705">
        <v>41333</v>
      </c>
      <c r="T2186" s="705">
        <v>9897</v>
      </c>
      <c r="U2186" s="705">
        <v>3665</v>
      </c>
      <c r="V2186" s="705">
        <v>427613</v>
      </c>
      <c r="W2186" s="705">
        <f t="shared" si="90"/>
        <v>427613</v>
      </c>
      <c r="X2186" s="705">
        <f t="shared" si="91"/>
        <v>490875</v>
      </c>
    </row>
    <row r="2187" spans="2:24">
      <c r="B2187" t="s">
        <v>549</v>
      </c>
      <c r="C2187" t="s">
        <v>124</v>
      </c>
      <c r="D2187" t="s">
        <v>228</v>
      </c>
      <c r="E2187" t="s">
        <v>664</v>
      </c>
      <c r="F2187" s="705">
        <v>1</v>
      </c>
      <c r="G2187" s="705">
        <v>53</v>
      </c>
      <c r="H2187" s="705">
        <v>824</v>
      </c>
      <c r="I2187" s="705">
        <v>41070</v>
      </c>
      <c r="J2187" s="705">
        <v>15211</v>
      </c>
      <c r="K2187" s="705">
        <v>100</v>
      </c>
      <c r="L2187" s="705">
        <v>0</v>
      </c>
      <c r="M2187" s="705">
        <v>0</v>
      </c>
      <c r="N2187" s="705">
        <v>1049</v>
      </c>
      <c r="O2187" s="705">
        <v>389</v>
      </c>
      <c r="P2187" s="705">
        <v>0</v>
      </c>
      <c r="Q2187" s="705">
        <v>0</v>
      </c>
      <c r="R2187" s="705">
        <v>1408</v>
      </c>
      <c r="S2187" s="705">
        <v>1280</v>
      </c>
      <c r="T2187" s="705">
        <v>0</v>
      </c>
      <c r="U2187" s="705">
        <v>0</v>
      </c>
      <c r="V2187" s="705">
        <v>16880</v>
      </c>
      <c r="W2187" s="705">
        <f t="shared" si="90"/>
        <v>16880</v>
      </c>
      <c r="X2187" s="705">
        <f t="shared" si="91"/>
        <v>43527</v>
      </c>
    </row>
    <row r="2188" spans="2:24">
      <c r="B2188" t="s">
        <v>549</v>
      </c>
      <c r="C2188" t="s">
        <v>124</v>
      </c>
      <c r="D2188" t="s">
        <v>228</v>
      </c>
      <c r="E2188" t="s">
        <v>228</v>
      </c>
      <c r="F2188" s="705">
        <v>197</v>
      </c>
      <c r="G2188" s="705">
        <v>16480</v>
      </c>
      <c r="H2188" s="705">
        <v>153801</v>
      </c>
      <c r="I2188" s="705">
        <v>9215280</v>
      </c>
      <c r="J2188" s="705">
        <v>3413067</v>
      </c>
      <c r="K2188" s="705">
        <v>100</v>
      </c>
      <c r="L2188" s="705">
        <v>1443951</v>
      </c>
      <c r="M2188" s="705">
        <v>1225399</v>
      </c>
      <c r="N2188" s="705">
        <v>366949</v>
      </c>
      <c r="O2188" s="705">
        <v>135907</v>
      </c>
      <c r="P2188" s="705">
        <v>6426</v>
      </c>
      <c r="Q2188" s="705">
        <v>2380</v>
      </c>
      <c r="R2188" s="705">
        <v>1328404</v>
      </c>
      <c r="S2188" s="705">
        <v>492002</v>
      </c>
      <c r="T2188" s="705">
        <v>5151</v>
      </c>
      <c r="U2188" s="705">
        <v>1908</v>
      </c>
      <c r="V2188" s="705">
        <v>5270662</v>
      </c>
      <c r="W2188" s="705">
        <f t="shared" si="90"/>
        <v>5270663</v>
      </c>
      <c r="X2188" s="705">
        <f t="shared" si="91"/>
        <v>12366161</v>
      </c>
    </row>
    <row r="2189" spans="2:24">
      <c r="B2189" t="s">
        <v>549</v>
      </c>
      <c r="C2189" t="s">
        <v>124</v>
      </c>
      <c r="D2189" t="s">
        <v>228</v>
      </c>
      <c r="E2189" t="s">
        <v>666</v>
      </c>
      <c r="F2189" s="705">
        <v>1</v>
      </c>
      <c r="G2189" s="705">
        <v>97</v>
      </c>
      <c r="H2189" s="705">
        <v>474</v>
      </c>
      <c r="I2189" s="705">
        <v>29810</v>
      </c>
      <c r="J2189" s="705">
        <v>11041</v>
      </c>
      <c r="K2189" s="705">
        <v>100</v>
      </c>
      <c r="L2189" s="705">
        <v>4273</v>
      </c>
      <c r="M2189" s="705">
        <v>3885</v>
      </c>
      <c r="N2189" s="705">
        <v>2257</v>
      </c>
      <c r="O2189" s="705">
        <v>836</v>
      </c>
      <c r="P2189" s="705">
        <v>0</v>
      </c>
      <c r="Q2189" s="705">
        <v>0</v>
      </c>
      <c r="R2189" s="705">
        <v>9648</v>
      </c>
      <c r="S2189" s="705">
        <v>8771</v>
      </c>
      <c r="T2189" s="705">
        <v>0</v>
      </c>
      <c r="U2189" s="705">
        <v>0</v>
      </c>
      <c r="V2189" s="705">
        <v>24533</v>
      </c>
      <c r="W2189" s="705">
        <f t="shared" si="90"/>
        <v>24533</v>
      </c>
      <c r="X2189" s="705">
        <f t="shared" si="91"/>
        <v>45988</v>
      </c>
    </row>
    <row r="2190" spans="2:24">
      <c r="B2190" t="s">
        <v>549</v>
      </c>
      <c r="C2190" t="s">
        <v>124</v>
      </c>
      <c r="D2190" t="s">
        <v>228</v>
      </c>
      <c r="E2190" t="s">
        <v>671</v>
      </c>
      <c r="F2190" s="705">
        <v>7</v>
      </c>
      <c r="G2190" s="705">
        <v>623</v>
      </c>
      <c r="H2190" s="705">
        <v>5909</v>
      </c>
      <c r="I2190" s="705">
        <v>408610</v>
      </c>
      <c r="J2190" s="705">
        <v>151337</v>
      </c>
      <c r="K2190" s="705">
        <v>100</v>
      </c>
      <c r="L2190" s="705">
        <v>37087</v>
      </c>
      <c r="M2190" s="705">
        <v>33715</v>
      </c>
      <c r="N2190" s="705">
        <v>13493</v>
      </c>
      <c r="O2190" s="705">
        <v>4997</v>
      </c>
      <c r="P2190" s="705">
        <v>621</v>
      </c>
      <c r="Q2190" s="705">
        <v>230</v>
      </c>
      <c r="R2190" s="705">
        <v>46478</v>
      </c>
      <c r="S2190" s="705">
        <v>42253</v>
      </c>
      <c r="T2190" s="705">
        <v>11339</v>
      </c>
      <c r="U2190" s="705">
        <v>4200</v>
      </c>
      <c r="V2190" s="705">
        <v>236733</v>
      </c>
      <c r="W2190" s="705">
        <f t="shared" si="90"/>
        <v>236732</v>
      </c>
      <c r="X2190" s="705">
        <f t="shared" si="91"/>
        <v>517628</v>
      </c>
    </row>
    <row r="2191" spans="2:24">
      <c r="B2191" t="s">
        <v>549</v>
      </c>
      <c r="C2191" t="s">
        <v>124</v>
      </c>
      <c r="D2191" t="s">
        <v>228</v>
      </c>
      <c r="E2191" t="s">
        <v>665</v>
      </c>
      <c r="F2191" s="705">
        <v>28</v>
      </c>
      <c r="G2191" s="705">
        <v>2197</v>
      </c>
      <c r="H2191" s="705">
        <v>21421</v>
      </c>
      <c r="I2191" s="705">
        <v>1300121</v>
      </c>
      <c r="J2191" s="705">
        <v>481526</v>
      </c>
      <c r="K2191" s="705">
        <v>100</v>
      </c>
      <c r="L2191" s="705">
        <v>156275</v>
      </c>
      <c r="M2191" s="705">
        <v>143358</v>
      </c>
      <c r="N2191" s="705">
        <v>47958</v>
      </c>
      <c r="O2191" s="705">
        <v>17762</v>
      </c>
      <c r="P2191" s="705">
        <v>1755</v>
      </c>
      <c r="Q2191" s="705">
        <v>650</v>
      </c>
      <c r="R2191" s="705">
        <v>144228</v>
      </c>
      <c r="S2191" s="705">
        <v>131117</v>
      </c>
      <c r="T2191" s="705">
        <v>32366</v>
      </c>
      <c r="U2191" s="705">
        <v>11987</v>
      </c>
      <c r="V2191" s="705">
        <v>786401</v>
      </c>
      <c r="W2191" s="705">
        <f t="shared" si="90"/>
        <v>786400</v>
      </c>
      <c r="X2191" s="705">
        <f t="shared" si="91"/>
        <v>1682703</v>
      </c>
    </row>
    <row r="2192" spans="2:24">
      <c r="B2192" t="s">
        <v>549</v>
      </c>
      <c r="C2192" t="s">
        <v>124</v>
      </c>
      <c r="D2192" t="s">
        <v>583</v>
      </c>
      <c r="E2192" t="s">
        <v>228</v>
      </c>
      <c r="F2192" s="705">
        <v>15</v>
      </c>
      <c r="G2192" s="705">
        <v>1155</v>
      </c>
      <c r="H2192" s="705">
        <v>9264</v>
      </c>
      <c r="I2192" s="705">
        <v>484993</v>
      </c>
      <c r="J2192" s="705">
        <v>440903</v>
      </c>
      <c r="K2192" s="705">
        <v>73</v>
      </c>
      <c r="L2192" s="705">
        <v>93078</v>
      </c>
      <c r="M2192" s="705">
        <v>82314</v>
      </c>
      <c r="N2192" s="705">
        <v>25718</v>
      </c>
      <c r="O2192" s="705">
        <v>9525</v>
      </c>
      <c r="P2192" s="705">
        <v>8694</v>
      </c>
      <c r="Q2192" s="705">
        <v>3220</v>
      </c>
      <c r="R2192" s="705">
        <v>83601</v>
      </c>
      <c r="S2192" s="705">
        <v>30963</v>
      </c>
      <c r="T2192" s="705">
        <v>2681</v>
      </c>
      <c r="U2192" s="705">
        <v>993</v>
      </c>
      <c r="V2192" s="705">
        <v>567919</v>
      </c>
      <c r="W2192" s="705">
        <f t="shared" si="90"/>
        <v>567918</v>
      </c>
      <c r="X2192" s="705">
        <f t="shared" si="91"/>
        <v>698765</v>
      </c>
    </row>
    <row r="2193" spans="2:24">
      <c r="B2193" t="s">
        <v>549</v>
      </c>
      <c r="C2193" t="s">
        <v>124</v>
      </c>
      <c r="D2193" t="s">
        <v>583</v>
      </c>
      <c r="E2193" t="s">
        <v>583</v>
      </c>
      <c r="F2193" s="705">
        <v>669</v>
      </c>
      <c r="G2193" s="705">
        <v>65396</v>
      </c>
      <c r="H2193" s="705">
        <v>388267</v>
      </c>
      <c r="I2193" s="705">
        <v>25256603</v>
      </c>
      <c r="J2193" s="705">
        <v>22960548</v>
      </c>
      <c r="K2193" s="705">
        <v>73</v>
      </c>
      <c r="L2193" s="705">
        <v>6360604</v>
      </c>
      <c r="M2193" s="705">
        <v>5704233</v>
      </c>
      <c r="N2193" s="705">
        <v>1443370</v>
      </c>
      <c r="O2193" s="705">
        <v>534581</v>
      </c>
      <c r="P2193" s="705">
        <v>432394</v>
      </c>
      <c r="Q2193" s="705">
        <v>160146</v>
      </c>
      <c r="R2193" s="705">
        <v>3285959</v>
      </c>
      <c r="S2193" s="705">
        <v>2987235</v>
      </c>
      <c r="T2193" s="705">
        <v>1107667</v>
      </c>
      <c r="U2193" s="705">
        <v>410247</v>
      </c>
      <c r="V2193" s="705">
        <v>32756991</v>
      </c>
      <c r="W2193" s="705">
        <f t="shared" si="90"/>
        <v>32756990</v>
      </c>
      <c r="X2193" s="705">
        <f t="shared" si="91"/>
        <v>37886597</v>
      </c>
    </row>
    <row r="2194" spans="2:24">
      <c r="B2194" t="s">
        <v>549</v>
      </c>
      <c r="C2194" t="s">
        <v>124</v>
      </c>
      <c r="D2194" t="s">
        <v>583</v>
      </c>
      <c r="E2194" t="s">
        <v>671</v>
      </c>
      <c r="F2194" s="705">
        <v>2</v>
      </c>
      <c r="G2194" s="705">
        <v>147</v>
      </c>
      <c r="H2194" s="705">
        <v>1239</v>
      </c>
      <c r="I2194" s="705">
        <v>61347</v>
      </c>
      <c r="J2194" s="705">
        <v>55770</v>
      </c>
      <c r="K2194" s="705">
        <v>78</v>
      </c>
      <c r="L2194" s="705">
        <v>8062</v>
      </c>
      <c r="M2194" s="705">
        <v>7329</v>
      </c>
      <c r="N2194" s="705">
        <v>3545</v>
      </c>
      <c r="O2194" s="705">
        <v>1313</v>
      </c>
      <c r="P2194" s="705">
        <v>1242</v>
      </c>
      <c r="Q2194" s="705">
        <v>460</v>
      </c>
      <c r="R2194" s="705">
        <v>11166</v>
      </c>
      <c r="S2194" s="705">
        <v>10151</v>
      </c>
      <c r="T2194" s="705">
        <v>0</v>
      </c>
      <c r="U2194" s="705">
        <v>0</v>
      </c>
      <c r="V2194" s="705">
        <v>75023</v>
      </c>
      <c r="W2194" s="705">
        <f t="shared" si="90"/>
        <v>75023</v>
      </c>
      <c r="X2194" s="705">
        <f t="shared" si="91"/>
        <v>85362</v>
      </c>
    </row>
    <row r="2195" spans="2:24">
      <c r="B2195" t="s">
        <v>549</v>
      </c>
      <c r="C2195" t="s">
        <v>124</v>
      </c>
      <c r="D2195" t="s">
        <v>583</v>
      </c>
      <c r="E2195" t="s">
        <v>665</v>
      </c>
      <c r="F2195" s="705">
        <v>2</v>
      </c>
      <c r="G2195" s="705">
        <v>120</v>
      </c>
      <c r="H2195" s="705">
        <v>1323</v>
      </c>
      <c r="I2195" s="705">
        <v>55778</v>
      </c>
      <c r="J2195" s="705">
        <v>50707</v>
      </c>
      <c r="K2195" s="705">
        <v>65</v>
      </c>
      <c r="L2195" s="705">
        <v>7011</v>
      </c>
      <c r="M2195" s="705">
        <v>6373</v>
      </c>
      <c r="N2195" s="705">
        <v>2915</v>
      </c>
      <c r="O2195" s="705">
        <v>1080</v>
      </c>
      <c r="P2195" s="705">
        <v>1242</v>
      </c>
      <c r="Q2195" s="705">
        <v>460</v>
      </c>
      <c r="R2195" s="705">
        <v>9502</v>
      </c>
      <c r="S2195" s="705">
        <v>8638</v>
      </c>
      <c r="T2195" s="705">
        <v>2786</v>
      </c>
      <c r="U2195" s="705">
        <v>1032</v>
      </c>
      <c r="V2195" s="705">
        <v>68290</v>
      </c>
      <c r="W2195" s="705">
        <f t="shared" si="90"/>
        <v>68290</v>
      </c>
      <c r="X2195" s="705">
        <f t="shared" si="91"/>
        <v>79234</v>
      </c>
    </row>
    <row r="2196" spans="2:24">
      <c r="B2196" t="s">
        <v>549</v>
      </c>
      <c r="C2196" t="s">
        <v>124</v>
      </c>
      <c r="D2196" t="s">
        <v>666</v>
      </c>
      <c r="E2196" t="s">
        <v>228</v>
      </c>
      <c r="F2196" s="705">
        <v>7</v>
      </c>
      <c r="G2196" s="705">
        <v>844</v>
      </c>
      <c r="H2196" s="705">
        <v>7642</v>
      </c>
      <c r="I2196" s="705">
        <v>617453</v>
      </c>
      <c r="J2196" s="705">
        <v>561321</v>
      </c>
      <c r="K2196" s="705">
        <v>46</v>
      </c>
      <c r="L2196" s="705">
        <v>82678</v>
      </c>
      <c r="M2196" s="705">
        <v>59728</v>
      </c>
      <c r="N2196" s="705">
        <v>20002</v>
      </c>
      <c r="O2196" s="705">
        <v>7408</v>
      </c>
      <c r="P2196" s="705">
        <v>702</v>
      </c>
      <c r="Q2196" s="705">
        <v>260</v>
      </c>
      <c r="R2196" s="705">
        <v>64612</v>
      </c>
      <c r="S2196" s="705">
        <v>23930</v>
      </c>
      <c r="T2196" s="705">
        <v>4072</v>
      </c>
      <c r="U2196" s="705">
        <v>1508</v>
      </c>
      <c r="V2196" s="705">
        <v>654156</v>
      </c>
      <c r="W2196" s="705">
        <f t="shared" si="90"/>
        <v>654155</v>
      </c>
      <c r="X2196" s="705">
        <f t="shared" si="91"/>
        <v>789519</v>
      </c>
    </row>
    <row r="2197" spans="2:24">
      <c r="B2197" t="s">
        <v>549</v>
      </c>
      <c r="C2197" t="s">
        <v>124</v>
      </c>
      <c r="D2197" t="s">
        <v>666</v>
      </c>
      <c r="E2197" t="s">
        <v>666</v>
      </c>
      <c r="F2197" s="705">
        <v>15</v>
      </c>
      <c r="G2197" s="705">
        <v>1226</v>
      </c>
      <c r="H2197" s="705">
        <v>11153</v>
      </c>
      <c r="I2197" s="705">
        <v>641745</v>
      </c>
      <c r="J2197" s="705">
        <v>583404</v>
      </c>
      <c r="K2197" s="705">
        <v>53</v>
      </c>
      <c r="L2197" s="705">
        <v>105582</v>
      </c>
      <c r="M2197" s="705">
        <v>84001</v>
      </c>
      <c r="N2197" s="705">
        <v>27787</v>
      </c>
      <c r="O2197" s="705">
        <v>10292</v>
      </c>
      <c r="P2197" s="705">
        <v>4914</v>
      </c>
      <c r="Q2197" s="705">
        <v>1820</v>
      </c>
      <c r="R2197" s="705">
        <v>107811</v>
      </c>
      <c r="S2197" s="705">
        <v>98010</v>
      </c>
      <c r="T2197" s="705">
        <v>17793</v>
      </c>
      <c r="U2197" s="705">
        <v>6590</v>
      </c>
      <c r="V2197" s="705">
        <v>784116</v>
      </c>
      <c r="W2197" s="705">
        <f t="shared" si="90"/>
        <v>784117</v>
      </c>
      <c r="X2197" s="705">
        <f t="shared" si="91"/>
        <v>905632</v>
      </c>
    </row>
    <row r="2198" spans="2:24">
      <c r="B2198" t="s">
        <v>549</v>
      </c>
      <c r="C2198" t="s">
        <v>124</v>
      </c>
      <c r="D2198" t="s">
        <v>584</v>
      </c>
      <c r="E2198" t="s">
        <v>584</v>
      </c>
      <c r="F2198" s="705">
        <v>2</v>
      </c>
      <c r="G2198" s="705">
        <v>165</v>
      </c>
      <c r="H2198" s="705">
        <v>963</v>
      </c>
      <c r="I2198" s="705">
        <v>57829</v>
      </c>
      <c r="J2198" s="705">
        <v>52571</v>
      </c>
      <c r="K2198" s="705">
        <v>84</v>
      </c>
      <c r="L2198" s="705">
        <v>8096</v>
      </c>
      <c r="M2198" s="705">
        <v>7360</v>
      </c>
      <c r="N2198" s="705">
        <v>3741</v>
      </c>
      <c r="O2198" s="705">
        <v>1386</v>
      </c>
      <c r="P2198" s="705">
        <v>1215</v>
      </c>
      <c r="Q2198" s="705">
        <v>450</v>
      </c>
      <c r="R2198" s="705">
        <v>8573</v>
      </c>
      <c r="S2198" s="705">
        <v>7794</v>
      </c>
      <c r="T2198" s="705">
        <v>0</v>
      </c>
      <c r="U2198" s="705">
        <v>0</v>
      </c>
      <c r="V2198" s="705">
        <v>69561</v>
      </c>
      <c r="W2198" s="705">
        <f t="shared" si="90"/>
        <v>69561</v>
      </c>
      <c r="X2198" s="705">
        <f t="shared" si="91"/>
        <v>79454</v>
      </c>
    </row>
    <row r="2199" spans="2:24">
      <c r="B2199" t="s">
        <v>549</v>
      </c>
      <c r="C2199" t="s">
        <v>124</v>
      </c>
      <c r="D2199" t="s">
        <v>667</v>
      </c>
      <c r="E2199" t="s">
        <v>228</v>
      </c>
      <c r="F2199" s="705">
        <v>1</v>
      </c>
      <c r="G2199" s="705">
        <v>61</v>
      </c>
      <c r="H2199" s="705">
        <v>992</v>
      </c>
      <c r="I2199" s="705">
        <v>40438</v>
      </c>
      <c r="J2199" s="705">
        <v>36762</v>
      </c>
      <c r="K2199" s="705">
        <v>60</v>
      </c>
      <c r="L2199" s="705">
        <v>22057</v>
      </c>
      <c r="M2199" s="705">
        <v>8169</v>
      </c>
      <c r="N2199" s="705">
        <v>1676</v>
      </c>
      <c r="O2199" s="705">
        <v>621</v>
      </c>
      <c r="P2199" s="705">
        <v>0</v>
      </c>
      <c r="Q2199" s="705">
        <v>0</v>
      </c>
      <c r="R2199" s="705">
        <v>4037</v>
      </c>
      <c r="S2199" s="705">
        <v>1495</v>
      </c>
      <c r="T2199" s="705">
        <v>0</v>
      </c>
      <c r="U2199" s="705">
        <v>0</v>
      </c>
      <c r="V2199" s="705">
        <v>47047</v>
      </c>
      <c r="W2199" s="705">
        <f t="shared" si="90"/>
        <v>47047</v>
      </c>
      <c r="X2199" s="705">
        <f t="shared" si="91"/>
        <v>68208</v>
      </c>
    </row>
    <row r="2200" spans="2:24">
      <c r="B2200" t="s">
        <v>549</v>
      </c>
      <c r="C2200" t="s">
        <v>124</v>
      </c>
      <c r="D2200" t="s">
        <v>667</v>
      </c>
      <c r="E2200" t="s">
        <v>667</v>
      </c>
      <c r="F2200" s="705">
        <v>2</v>
      </c>
      <c r="G2200" s="705">
        <v>202</v>
      </c>
      <c r="H2200" s="705">
        <v>1136</v>
      </c>
      <c r="I2200" s="705">
        <v>81544</v>
      </c>
      <c r="J2200" s="705">
        <v>74131</v>
      </c>
      <c r="K2200" s="705">
        <v>50</v>
      </c>
      <c r="L2200" s="705">
        <v>10867</v>
      </c>
      <c r="M2200" s="705">
        <v>9879</v>
      </c>
      <c r="N2200" s="705">
        <v>4916</v>
      </c>
      <c r="O2200" s="705">
        <v>1821</v>
      </c>
      <c r="P2200" s="705">
        <v>702</v>
      </c>
      <c r="Q2200" s="705">
        <v>260</v>
      </c>
      <c r="R2200" s="705">
        <v>16450</v>
      </c>
      <c r="S2200" s="705">
        <v>14955</v>
      </c>
      <c r="T2200" s="705">
        <v>0</v>
      </c>
      <c r="U2200" s="705">
        <v>0</v>
      </c>
      <c r="V2200" s="705">
        <v>101045</v>
      </c>
      <c r="W2200" s="705">
        <f t="shared" si="90"/>
        <v>101046</v>
      </c>
      <c r="X2200" s="705">
        <f t="shared" si="91"/>
        <v>114479</v>
      </c>
    </row>
    <row r="2201" spans="2:24">
      <c r="B2201" t="s">
        <v>549</v>
      </c>
      <c r="C2201" t="s">
        <v>124</v>
      </c>
      <c r="D2201" t="s">
        <v>671</v>
      </c>
      <c r="E2201" t="s">
        <v>664</v>
      </c>
      <c r="F2201" s="705">
        <v>2</v>
      </c>
      <c r="G2201" s="705">
        <v>247</v>
      </c>
      <c r="H2201" s="705">
        <v>1878</v>
      </c>
      <c r="I2201" s="705">
        <v>198120</v>
      </c>
      <c r="J2201" s="705">
        <v>180109</v>
      </c>
      <c r="K2201" s="705">
        <v>30</v>
      </c>
      <c r="L2201" s="705">
        <v>20913</v>
      </c>
      <c r="M2201" s="705">
        <v>19011</v>
      </c>
      <c r="N2201" s="705">
        <v>3009</v>
      </c>
      <c r="O2201" s="705">
        <v>1115</v>
      </c>
      <c r="P2201" s="705">
        <v>0</v>
      </c>
      <c r="Q2201" s="705">
        <v>0</v>
      </c>
      <c r="R2201" s="705">
        <v>8619</v>
      </c>
      <c r="S2201" s="705">
        <v>7836</v>
      </c>
      <c r="T2201" s="705">
        <v>0</v>
      </c>
      <c r="U2201" s="705">
        <v>0</v>
      </c>
      <c r="V2201" s="705">
        <v>208071</v>
      </c>
      <c r="W2201" s="705">
        <f t="shared" si="90"/>
        <v>208071</v>
      </c>
      <c r="X2201" s="705">
        <f t="shared" si="91"/>
        <v>230661</v>
      </c>
    </row>
    <row r="2202" spans="2:24">
      <c r="B2202" t="s">
        <v>549</v>
      </c>
      <c r="C2202" t="s">
        <v>124</v>
      </c>
      <c r="D2202" t="s">
        <v>671</v>
      </c>
      <c r="E2202" t="s">
        <v>228</v>
      </c>
      <c r="F2202" s="705">
        <v>11</v>
      </c>
      <c r="G2202" s="705">
        <v>710</v>
      </c>
      <c r="H2202" s="705">
        <v>17770</v>
      </c>
      <c r="I2202" s="705">
        <v>982218</v>
      </c>
      <c r="J2202" s="705">
        <v>892926</v>
      </c>
      <c r="K2202" s="705">
        <v>33</v>
      </c>
      <c r="L2202" s="705">
        <v>69576</v>
      </c>
      <c r="M2202" s="705">
        <v>48170</v>
      </c>
      <c r="N2202" s="705">
        <v>16643</v>
      </c>
      <c r="O2202" s="705">
        <v>6164</v>
      </c>
      <c r="P2202" s="705">
        <v>351</v>
      </c>
      <c r="Q2202" s="705">
        <v>130</v>
      </c>
      <c r="R2202" s="705">
        <v>67199</v>
      </c>
      <c r="S2202" s="705">
        <v>24888</v>
      </c>
      <c r="T2202" s="705">
        <v>0</v>
      </c>
      <c r="U2202" s="705">
        <v>0</v>
      </c>
      <c r="V2202" s="705">
        <v>972278</v>
      </c>
      <c r="W2202" s="705">
        <f t="shared" si="90"/>
        <v>972278</v>
      </c>
      <c r="X2202" s="705">
        <f t="shared" si="91"/>
        <v>1135987</v>
      </c>
    </row>
    <row r="2203" spans="2:24">
      <c r="B2203" t="s">
        <v>549</v>
      </c>
      <c r="C2203" t="s">
        <v>124</v>
      </c>
      <c r="D2203" t="s">
        <v>671</v>
      </c>
      <c r="E2203" t="s">
        <v>671</v>
      </c>
      <c r="F2203" s="705">
        <v>38</v>
      </c>
      <c r="G2203" s="705">
        <v>3442</v>
      </c>
      <c r="H2203" s="705">
        <v>25792</v>
      </c>
      <c r="I2203" s="705">
        <v>1626555</v>
      </c>
      <c r="J2203" s="705">
        <v>1478686</v>
      </c>
      <c r="K2203" s="705">
        <v>53</v>
      </c>
      <c r="L2203" s="705">
        <v>241192</v>
      </c>
      <c r="M2203" s="705">
        <v>212382</v>
      </c>
      <c r="N2203" s="705">
        <v>73394</v>
      </c>
      <c r="O2203" s="705">
        <v>27183</v>
      </c>
      <c r="P2203" s="705">
        <v>11583</v>
      </c>
      <c r="Q2203" s="705">
        <v>4290</v>
      </c>
      <c r="R2203" s="705">
        <v>228923</v>
      </c>
      <c r="S2203" s="705">
        <v>208111</v>
      </c>
      <c r="T2203" s="705">
        <v>78170</v>
      </c>
      <c r="U2203" s="705">
        <v>28952</v>
      </c>
      <c r="V2203" s="705">
        <v>1959604</v>
      </c>
      <c r="W2203" s="705">
        <f t="shared" si="90"/>
        <v>1959604</v>
      </c>
      <c r="X2203" s="705">
        <f t="shared" si="91"/>
        <v>2259817</v>
      </c>
    </row>
    <row r="2204" spans="2:24">
      <c r="B2204" t="s">
        <v>549</v>
      </c>
      <c r="C2204" t="s">
        <v>124</v>
      </c>
      <c r="D2204" t="s">
        <v>665</v>
      </c>
      <c r="E2204" t="s">
        <v>228</v>
      </c>
      <c r="F2204" s="705">
        <v>123</v>
      </c>
      <c r="G2204" s="705">
        <v>9754</v>
      </c>
      <c r="H2204" s="705">
        <v>158550</v>
      </c>
      <c r="I2204" s="705">
        <v>10512330</v>
      </c>
      <c r="J2204" s="705">
        <v>9556663</v>
      </c>
      <c r="K2204" s="705">
        <v>35</v>
      </c>
      <c r="L2204" s="705">
        <v>740889</v>
      </c>
      <c r="M2204" s="705">
        <v>432157</v>
      </c>
      <c r="N2204" s="705">
        <v>228291</v>
      </c>
      <c r="O2204" s="705">
        <v>84552</v>
      </c>
      <c r="P2204" s="705">
        <v>4631</v>
      </c>
      <c r="Q2204" s="705">
        <v>1715</v>
      </c>
      <c r="R2204" s="705">
        <v>688595</v>
      </c>
      <c r="S2204" s="705">
        <v>255035</v>
      </c>
      <c r="T2204" s="705">
        <v>3775</v>
      </c>
      <c r="U2204" s="705">
        <v>1398</v>
      </c>
      <c r="V2204" s="705">
        <v>10331521</v>
      </c>
      <c r="W2204" s="705">
        <f t="shared" si="90"/>
        <v>10331520</v>
      </c>
      <c r="X2204" s="705">
        <f t="shared" si="91"/>
        <v>12178511</v>
      </c>
    </row>
    <row r="2205" spans="2:24">
      <c r="B2205" t="s">
        <v>549</v>
      </c>
      <c r="C2205" t="s">
        <v>124</v>
      </c>
      <c r="D2205" t="s">
        <v>665</v>
      </c>
      <c r="E2205" t="s">
        <v>583</v>
      </c>
      <c r="F2205" s="705">
        <v>1</v>
      </c>
      <c r="G2205" s="705">
        <v>54</v>
      </c>
      <c r="H2205" s="705">
        <v>464</v>
      </c>
      <c r="I2205" s="705">
        <v>17944</v>
      </c>
      <c r="J2205" s="705">
        <v>16312</v>
      </c>
      <c r="K2205" s="705">
        <v>55</v>
      </c>
      <c r="L2205" s="705">
        <v>0</v>
      </c>
      <c r="M2205" s="705">
        <v>0</v>
      </c>
      <c r="N2205" s="705">
        <v>1326</v>
      </c>
      <c r="O2205" s="705">
        <v>491</v>
      </c>
      <c r="P2205" s="705">
        <v>351</v>
      </c>
      <c r="Q2205" s="705">
        <v>130</v>
      </c>
      <c r="R2205" s="705">
        <v>5624</v>
      </c>
      <c r="S2205" s="705">
        <v>5112</v>
      </c>
      <c r="T2205" s="705">
        <v>0</v>
      </c>
      <c r="U2205" s="705">
        <v>0</v>
      </c>
      <c r="V2205" s="705">
        <v>22046</v>
      </c>
      <c r="W2205" s="705">
        <f t="shared" si="90"/>
        <v>22045</v>
      </c>
      <c r="X2205" s="705">
        <f t="shared" si="91"/>
        <v>25245</v>
      </c>
    </row>
    <row r="2206" spans="2:24">
      <c r="B2206" t="s">
        <v>549</v>
      </c>
      <c r="C2206" t="s">
        <v>124</v>
      </c>
      <c r="D2206" t="s">
        <v>665</v>
      </c>
      <c r="E2206" t="s">
        <v>665</v>
      </c>
      <c r="F2206" s="705">
        <v>327</v>
      </c>
      <c r="G2206" s="705">
        <v>29617</v>
      </c>
      <c r="H2206" s="705">
        <v>236191</v>
      </c>
      <c r="I2206" s="705">
        <v>15638973</v>
      </c>
      <c r="J2206" s="705">
        <v>14217248</v>
      </c>
      <c r="K2206" s="705">
        <v>51</v>
      </c>
      <c r="L2206" s="705">
        <v>2187305</v>
      </c>
      <c r="M2206" s="705">
        <v>1805368</v>
      </c>
      <c r="N2206" s="705">
        <v>641380</v>
      </c>
      <c r="O2206" s="705">
        <v>237548</v>
      </c>
      <c r="P2206" s="705">
        <v>111888</v>
      </c>
      <c r="Q2206" s="705">
        <v>41440</v>
      </c>
      <c r="R2206" s="705">
        <v>1970745</v>
      </c>
      <c r="S2206" s="705">
        <v>1791586</v>
      </c>
      <c r="T2206" s="705">
        <v>616548</v>
      </c>
      <c r="U2206" s="705">
        <v>228351</v>
      </c>
      <c r="V2206" s="705">
        <v>18321541</v>
      </c>
      <c r="W2206" s="705">
        <f t="shared" si="90"/>
        <v>18321541</v>
      </c>
      <c r="X2206" s="705">
        <f t="shared" si="91"/>
        <v>21166839</v>
      </c>
    </row>
    <row r="2207" spans="2:24">
      <c r="B2207" t="s">
        <v>549</v>
      </c>
      <c r="C2207" t="s">
        <v>124</v>
      </c>
      <c r="D2207" t="s">
        <v>673</v>
      </c>
      <c r="E2207" t="s">
        <v>228</v>
      </c>
      <c r="F2207" s="705">
        <v>1</v>
      </c>
      <c r="G2207" s="705">
        <v>50</v>
      </c>
      <c r="H2207" s="705">
        <v>1033</v>
      </c>
      <c r="I2207" s="705">
        <v>81244</v>
      </c>
      <c r="J2207" s="705">
        <v>73858</v>
      </c>
      <c r="K2207" s="705">
        <v>30</v>
      </c>
      <c r="L2207" s="705">
        <v>14956</v>
      </c>
      <c r="M2207" s="705">
        <v>5539</v>
      </c>
      <c r="N2207" s="705">
        <v>2036</v>
      </c>
      <c r="O2207" s="705">
        <v>754</v>
      </c>
      <c r="P2207" s="705">
        <v>0</v>
      </c>
      <c r="Q2207" s="705">
        <v>0</v>
      </c>
      <c r="R2207" s="705">
        <v>3421</v>
      </c>
      <c r="S2207" s="705">
        <v>1267</v>
      </c>
      <c r="T2207" s="705">
        <v>1685</v>
      </c>
      <c r="U2207" s="705">
        <v>624</v>
      </c>
      <c r="V2207" s="705">
        <v>82043</v>
      </c>
      <c r="W2207" s="705">
        <f t="shared" si="90"/>
        <v>82042</v>
      </c>
      <c r="X2207" s="705">
        <f t="shared" si="91"/>
        <v>103342</v>
      </c>
    </row>
    <row r="2208" spans="2:24">
      <c r="B2208" t="s">
        <v>549</v>
      </c>
      <c r="C2208" t="s">
        <v>124</v>
      </c>
      <c r="D2208" t="s">
        <v>673</v>
      </c>
      <c r="E2208" t="s">
        <v>673</v>
      </c>
      <c r="F2208" s="705">
        <v>3</v>
      </c>
      <c r="G2208" s="705">
        <v>366</v>
      </c>
      <c r="H2208" s="705">
        <v>1657</v>
      </c>
      <c r="I2208" s="705">
        <v>159158</v>
      </c>
      <c r="J2208" s="705">
        <v>144689</v>
      </c>
      <c r="K2208" s="705">
        <v>62</v>
      </c>
      <c r="L2208" s="705">
        <v>10057</v>
      </c>
      <c r="M2208" s="705">
        <v>22622</v>
      </c>
      <c r="N2208" s="705">
        <v>7744</v>
      </c>
      <c r="O2208" s="705">
        <v>2868</v>
      </c>
      <c r="P2208" s="705">
        <v>1053</v>
      </c>
      <c r="Q2208" s="705">
        <v>390</v>
      </c>
      <c r="R2208" s="705">
        <v>23311</v>
      </c>
      <c r="S2208" s="705">
        <v>21192</v>
      </c>
      <c r="T2208" s="705">
        <v>2315</v>
      </c>
      <c r="U2208" s="705">
        <v>857</v>
      </c>
      <c r="V2208" s="705">
        <v>192619</v>
      </c>
      <c r="W2208" s="705">
        <f t="shared" si="90"/>
        <v>192618</v>
      </c>
      <c r="X2208" s="705">
        <f t="shared" si="91"/>
        <v>203638</v>
      </c>
    </row>
    <row r="2209" spans="2:24">
      <c r="B2209" t="s">
        <v>550</v>
      </c>
      <c r="C2209" t="s">
        <v>108</v>
      </c>
      <c r="F2209" s="705">
        <v>1</v>
      </c>
      <c r="G2209" s="705">
        <v>235</v>
      </c>
      <c r="H2209" s="705">
        <v>50</v>
      </c>
      <c r="I2209" s="705"/>
      <c r="J2209" s="705">
        <v>0</v>
      </c>
      <c r="K2209" s="705"/>
      <c r="L2209" s="705"/>
      <c r="M2209" s="705">
        <v>0</v>
      </c>
      <c r="N2209" s="705">
        <v>2863</v>
      </c>
      <c r="O2209" s="705">
        <v>1060</v>
      </c>
      <c r="P2209" s="705">
        <v>2313</v>
      </c>
      <c r="Q2209" s="705">
        <v>857</v>
      </c>
      <c r="R2209" s="705"/>
      <c r="S2209" s="705">
        <v>0</v>
      </c>
      <c r="T2209" s="705">
        <v>0</v>
      </c>
      <c r="U2209" s="705">
        <v>0</v>
      </c>
      <c r="V2209" s="705">
        <v>1917</v>
      </c>
      <c r="W2209" s="705">
        <f t="shared" si="90"/>
        <v>1917</v>
      </c>
      <c r="X2209" s="705">
        <f t="shared" si="91"/>
        <v>5176</v>
      </c>
    </row>
    <row r="2210" spans="2:24">
      <c r="B2210" t="s">
        <v>550</v>
      </c>
      <c r="C2210" t="s">
        <v>108</v>
      </c>
      <c r="D2210" t="s">
        <v>664</v>
      </c>
      <c r="E2210" t="s">
        <v>664</v>
      </c>
      <c r="F2210" s="705">
        <v>1</v>
      </c>
      <c r="G2210" s="705">
        <v>223</v>
      </c>
      <c r="H2210" s="705">
        <v>72</v>
      </c>
      <c r="I2210" s="705">
        <v>7430</v>
      </c>
      <c r="J2210" s="705">
        <v>6754</v>
      </c>
      <c r="K2210" s="705">
        <v>91</v>
      </c>
      <c r="L2210" s="705">
        <v>1014</v>
      </c>
      <c r="M2210" s="705">
        <v>922</v>
      </c>
      <c r="N2210" s="705">
        <v>2719</v>
      </c>
      <c r="O2210" s="705">
        <v>1007</v>
      </c>
      <c r="P2210" s="705">
        <v>473</v>
      </c>
      <c r="Q2210" s="705">
        <v>175</v>
      </c>
      <c r="R2210" s="705">
        <v>4457</v>
      </c>
      <c r="S2210" s="705">
        <v>4051</v>
      </c>
      <c r="T2210" s="705">
        <v>0</v>
      </c>
      <c r="U2210" s="705">
        <v>0</v>
      </c>
      <c r="V2210" s="705">
        <v>12910</v>
      </c>
      <c r="W2210" s="705">
        <f t="shared" ref="W2210:W2273" si="92">SUM(ABS(J2210),ABS(M2210),ABS(O2210),ABS(Q2210),ABS(S2210),ABS(U2210))</f>
        <v>12909</v>
      </c>
      <c r="X2210" s="705">
        <f t="shared" ref="X2210:X2273" si="93">SUM(ABS(I2210),ABS(N2210),ABS(P2210),ABS(R2210),ABS(T2210),ABS(L2210))</f>
        <v>16093</v>
      </c>
    </row>
    <row r="2211" spans="2:24">
      <c r="B2211" t="s">
        <v>550</v>
      </c>
      <c r="C2211" t="s">
        <v>108</v>
      </c>
      <c r="D2211" t="s">
        <v>228</v>
      </c>
      <c r="E2211" t="s">
        <v>228</v>
      </c>
      <c r="F2211" s="705">
        <v>560</v>
      </c>
      <c r="G2211" s="705">
        <v>123338</v>
      </c>
      <c r="H2211" s="705">
        <v>29863</v>
      </c>
      <c r="I2211" s="705">
        <v>763162</v>
      </c>
      <c r="J2211" s="705">
        <v>282653</v>
      </c>
      <c r="K2211" s="705">
        <v>466</v>
      </c>
      <c r="L2211" s="705">
        <v>187345</v>
      </c>
      <c r="M2211" s="705">
        <v>163213</v>
      </c>
      <c r="N2211" s="705">
        <v>1591806</v>
      </c>
      <c r="O2211" s="705">
        <v>589558</v>
      </c>
      <c r="P2211" s="705">
        <v>816801</v>
      </c>
      <c r="Q2211" s="705">
        <v>302519</v>
      </c>
      <c r="R2211" s="705">
        <v>3150193</v>
      </c>
      <c r="S2211" s="705">
        <v>1166738</v>
      </c>
      <c r="T2211" s="705">
        <v>0</v>
      </c>
      <c r="U2211" s="705">
        <v>0</v>
      </c>
      <c r="V2211" s="705">
        <v>2504681</v>
      </c>
      <c r="W2211" s="705">
        <f t="shared" si="92"/>
        <v>2504681</v>
      </c>
      <c r="X2211" s="705">
        <f t="shared" si="93"/>
        <v>6509307</v>
      </c>
    </row>
    <row r="2212" spans="2:24">
      <c r="B2212" t="s">
        <v>550</v>
      </c>
      <c r="C2212" t="s">
        <v>108</v>
      </c>
      <c r="D2212" t="s">
        <v>228</v>
      </c>
      <c r="E2212" t="s">
        <v>583</v>
      </c>
      <c r="F2212" s="705">
        <v>1</v>
      </c>
      <c r="G2212" s="705">
        <v>60</v>
      </c>
      <c r="H2212" s="705">
        <v>31</v>
      </c>
      <c r="I2212" s="705">
        <v>-896</v>
      </c>
      <c r="J2212" s="705">
        <v>-332</v>
      </c>
      <c r="K2212" s="705">
        <v>345</v>
      </c>
      <c r="L2212" s="705">
        <v>-191</v>
      </c>
      <c r="M2212" s="705">
        <v>-174</v>
      </c>
      <c r="N2212" s="705">
        <v>733</v>
      </c>
      <c r="O2212" s="705">
        <v>272</v>
      </c>
      <c r="P2212" s="705">
        <v>351</v>
      </c>
      <c r="Q2212" s="705">
        <v>130</v>
      </c>
      <c r="R2212" s="705">
        <v>1872</v>
      </c>
      <c r="S2212" s="705">
        <v>1702</v>
      </c>
      <c r="T2212" s="705">
        <v>0</v>
      </c>
      <c r="U2212" s="705">
        <v>0</v>
      </c>
      <c r="V2212" s="705">
        <v>1598</v>
      </c>
      <c r="W2212" s="705">
        <f t="shared" si="92"/>
        <v>2610</v>
      </c>
      <c r="X2212" s="705">
        <f t="shared" si="93"/>
        <v>4043</v>
      </c>
    </row>
    <row r="2213" spans="2:24">
      <c r="B2213" t="s">
        <v>550</v>
      </c>
      <c r="C2213" t="s">
        <v>108</v>
      </c>
      <c r="D2213" t="s">
        <v>583</v>
      </c>
      <c r="E2213" t="s">
        <v>228</v>
      </c>
      <c r="F2213" s="705">
        <v>1</v>
      </c>
      <c r="G2213" s="705">
        <v>216</v>
      </c>
      <c r="H2213" s="705">
        <v>52</v>
      </c>
      <c r="I2213" s="705">
        <v>3960</v>
      </c>
      <c r="J2213" s="705">
        <v>3600</v>
      </c>
      <c r="K2213" s="705">
        <v>97</v>
      </c>
      <c r="L2213" s="705">
        <v>719</v>
      </c>
      <c r="M2213" s="705">
        <v>653</v>
      </c>
      <c r="N2213" s="705">
        <v>2626</v>
      </c>
      <c r="O2213" s="705">
        <v>973</v>
      </c>
      <c r="P2213" s="705">
        <v>621</v>
      </c>
      <c r="Q2213" s="705">
        <v>230</v>
      </c>
      <c r="R2213" s="705">
        <v>3309</v>
      </c>
      <c r="S2213" s="705">
        <v>1225</v>
      </c>
      <c r="T2213" s="705">
        <v>0</v>
      </c>
      <c r="U2213" s="705">
        <v>0</v>
      </c>
      <c r="V2213" s="705">
        <v>6681</v>
      </c>
      <c r="W2213" s="705">
        <f t="shared" si="92"/>
        <v>6681</v>
      </c>
      <c r="X2213" s="705">
        <f t="shared" si="93"/>
        <v>11235</v>
      </c>
    </row>
    <row r="2214" spans="2:24">
      <c r="B2214" t="s">
        <v>550</v>
      </c>
      <c r="C2214" t="s">
        <v>108</v>
      </c>
      <c r="D2214" t="s">
        <v>583</v>
      </c>
      <c r="E2214" t="s">
        <v>583</v>
      </c>
      <c r="F2214" s="705">
        <v>55</v>
      </c>
      <c r="G2214" s="705">
        <v>12291</v>
      </c>
      <c r="H2214" s="705">
        <v>3397</v>
      </c>
      <c r="I2214" s="705">
        <v>246969</v>
      </c>
      <c r="J2214" s="705">
        <v>224517</v>
      </c>
      <c r="K2214" s="705">
        <v>95</v>
      </c>
      <c r="L2214" s="705">
        <v>38967</v>
      </c>
      <c r="M2214" s="705">
        <v>35322</v>
      </c>
      <c r="N2214" s="705">
        <v>158351</v>
      </c>
      <c r="O2214" s="705">
        <v>58649</v>
      </c>
      <c r="P2214" s="705">
        <v>68023</v>
      </c>
      <c r="Q2214" s="705">
        <v>25194</v>
      </c>
      <c r="R2214" s="705">
        <v>247409</v>
      </c>
      <c r="S2214" s="705">
        <v>224917</v>
      </c>
      <c r="T2214" s="705">
        <v>0</v>
      </c>
      <c r="U2214" s="705">
        <v>0</v>
      </c>
      <c r="V2214" s="705">
        <v>568598</v>
      </c>
      <c r="W2214" s="705">
        <f t="shared" si="92"/>
        <v>568599</v>
      </c>
      <c r="X2214" s="705">
        <f t="shared" si="93"/>
        <v>759719</v>
      </c>
    </row>
    <row r="2215" spans="2:24">
      <c r="B2215" t="s">
        <v>550</v>
      </c>
      <c r="C2215" t="s">
        <v>108</v>
      </c>
      <c r="D2215" t="s">
        <v>584</v>
      </c>
      <c r="E2215" t="s">
        <v>228</v>
      </c>
      <c r="F2215" s="705">
        <v>1</v>
      </c>
      <c r="G2215" s="705">
        <v>302</v>
      </c>
      <c r="H2215" s="705">
        <v>51</v>
      </c>
      <c r="I2215" s="705">
        <v>2280</v>
      </c>
      <c r="J2215" s="705">
        <v>2073</v>
      </c>
      <c r="K2215" s="705">
        <v>91</v>
      </c>
      <c r="L2215" s="705">
        <v>385</v>
      </c>
      <c r="M2215" s="705">
        <v>350</v>
      </c>
      <c r="N2215" s="705">
        <v>3681</v>
      </c>
      <c r="O2215" s="705">
        <v>1363</v>
      </c>
      <c r="P2215" s="705">
        <v>473</v>
      </c>
      <c r="Q2215" s="705">
        <v>175</v>
      </c>
      <c r="R2215" s="705">
        <v>8440</v>
      </c>
      <c r="S2215" s="705">
        <v>3126</v>
      </c>
      <c r="T2215" s="705">
        <v>0</v>
      </c>
      <c r="U2215" s="705">
        <v>0</v>
      </c>
      <c r="V2215" s="705">
        <v>7087</v>
      </c>
      <c r="W2215" s="705">
        <f t="shared" si="92"/>
        <v>7087</v>
      </c>
      <c r="X2215" s="705">
        <f t="shared" si="93"/>
        <v>15259</v>
      </c>
    </row>
    <row r="2216" spans="2:24">
      <c r="B2216" t="s">
        <v>550</v>
      </c>
      <c r="C2216" t="s">
        <v>108</v>
      </c>
      <c r="D2216" t="s">
        <v>584</v>
      </c>
      <c r="E2216" t="s">
        <v>584</v>
      </c>
      <c r="F2216" s="705">
        <v>202</v>
      </c>
      <c r="G2216" s="705">
        <v>30288</v>
      </c>
      <c r="H2216" s="705">
        <v>11585</v>
      </c>
      <c r="I2216" s="705">
        <v>363881</v>
      </c>
      <c r="J2216" s="705">
        <v>330801</v>
      </c>
      <c r="K2216" s="705">
        <v>91</v>
      </c>
      <c r="L2216" s="705">
        <v>8653</v>
      </c>
      <c r="M2216" s="705">
        <v>7666</v>
      </c>
      <c r="N2216" s="705">
        <v>373481</v>
      </c>
      <c r="O2216" s="705">
        <v>138326</v>
      </c>
      <c r="P2216" s="705">
        <v>180535</v>
      </c>
      <c r="Q2216" s="705">
        <v>66865</v>
      </c>
      <c r="R2216" s="705">
        <v>799758</v>
      </c>
      <c r="S2216" s="705">
        <v>727053</v>
      </c>
      <c r="T2216" s="705">
        <v>0</v>
      </c>
      <c r="U2216" s="705">
        <v>0</v>
      </c>
      <c r="V2216" s="705">
        <v>1270711</v>
      </c>
      <c r="W2216" s="705">
        <f t="shared" si="92"/>
        <v>1270711</v>
      </c>
      <c r="X2216" s="705">
        <f t="shared" si="93"/>
        <v>1726308</v>
      </c>
    </row>
    <row r="2217" spans="2:24">
      <c r="B2217" t="s">
        <v>550</v>
      </c>
      <c r="C2217" t="s">
        <v>108</v>
      </c>
      <c r="D2217" t="s">
        <v>673</v>
      </c>
      <c r="E2217" t="s">
        <v>673</v>
      </c>
      <c r="F2217" s="705">
        <v>2</v>
      </c>
      <c r="G2217" s="705">
        <v>481</v>
      </c>
      <c r="H2217" s="705">
        <v>118</v>
      </c>
      <c r="I2217" s="705">
        <v>6941</v>
      </c>
      <c r="J2217" s="705">
        <v>6310</v>
      </c>
      <c r="K2217" s="705">
        <v>75</v>
      </c>
      <c r="L2217" s="705">
        <v>65</v>
      </c>
      <c r="M2217" s="705">
        <v>59</v>
      </c>
      <c r="N2217" s="705">
        <v>5859</v>
      </c>
      <c r="O2217" s="705">
        <v>2170</v>
      </c>
      <c r="P2217" s="705">
        <v>5845</v>
      </c>
      <c r="Q2217" s="705">
        <v>2165</v>
      </c>
      <c r="R2217" s="705">
        <v>8728</v>
      </c>
      <c r="S2217" s="705">
        <v>7934</v>
      </c>
      <c r="T2217" s="705">
        <v>858</v>
      </c>
      <c r="U2217" s="705">
        <v>318</v>
      </c>
      <c r="V2217" s="705">
        <v>18956</v>
      </c>
      <c r="W2217" s="705">
        <f t="shared" si="92"/>
        <v>18956</v>
      </c>
      <c r="X2217" s="705">
        <f t="shared" si="93"/>
        <v>28296</v>
      </c>
    </row>
    <row r="2218" spans="2:24">
      <c r="B2218" t="s">
        <v>550</v>
      </c>
      <c r="C2218" t="s">
        <v>108</v>
      </c>
      <c r="D2218" t="s">
        <v>585</v>
      </c>
      <c r="E2218" t="s">
        <v>585</v>
      </c>
      <c r="F2218" s="705">
        <v>1</v>
      </c>
      <c r="G2218" s="705">
        <v>244</v>
      </c>
      <c r="H2218" s="705">
        <v>49</v>
      </c>
      <c r="I2218" s="705">
        <v>2959</v>
      </c>
      <c r="J2218" s="705">
        <v>2690</v>
      </c>
      <c r="K2218" s="705">
        <v>83</v>
      </c>
      <c r="L2218" s="705">
        <v>391</v>
      </c>
      <c r="M2218" s="705">
        <v>356</v>
      </c>
      <c r="N2218" s="705">
        <v>2971</v>
      </c>
      <c r="O2218" s="705">
        <v>1101</v>
      </c>
      <c r="P2218" s="705">
        <v>2520</v>
      </c>
      <c r="Q2218" s="705">
        <v>933</v>
      </c>
      <c r="R2218" s="705">
        <v>3079</v>
      </c>
      <c r="S2218" s="705">
        <v>2799</v>
      </c>
      <c r="T2218" s="705">
        <v>0</v>
      </c>
      <c r="U2218" s="705">
        <v>0</v>
      </c>
      <c r="V2218" s="705">
        <v>7879</v>
      </c>
      <c r="W2218" s="705">
        <f t="shared" si="92"/>
        <v>7879</v>
      </c>
      <c r="X2218" s="705">
        <f t="shared" si="93"/>
        <v>11920</v>
      </c>
    </row>
    <row r="2219" spans="2:24">
      <c r="B2219" t="s">
        <v>550</v>
      </c>
      <c r="C2219" t="s">
        <v>110</v>
      </c>
      <c r="D2219" t="s">
        <v>582</v>
      </c>
      <c r="E2219" t="s">
        <v>582</v>
      </c>
      <c r="F2219" s="705">
        <v>5</v>
      </c>
      <c r="G2219" s="705">
        <v>1177</v>
      </c>
      <c r="H2219" s="705">
        <v>469</v>
      </c>
      <c r="I2219" s="705">
        <v>64833</v>
      </c>
      <c r="J2219" s="705">
        <v>58939</v>
      </c>
      <c r="K2219" s="705">
        <v>92</v>
      </c>
      <c r="L2219" s="705">
        <v>9550</v>
      </c>
      <c r="M2219" s="705">
        <v>6974</v>
      </c>
      <c r="N2219" s="705">
        <v>18112</v>
      </c>
      <c r="O2219" s="705">
        <v>6708</v>
      </c>
      <c r="P2219" s="705">
        <v>2241</v>
      </c>
      <c r="Q2219" s="705">
        <v>830</v>
      </c>
      <c r="R2219" s="705">
        <v>24211</v>
      </c>
      <c r="S2219" s="705">
        <v>22010</v>
      </c>
      <c r="T2219" s="705">
        <v>0</v>
      </c>
      <c r="U2219" s="705">
        <v>0</v>
      </c>
      <c r="V2219" s="705">
        <v>95461</v>
      </c>
      <c r="W2219" s="705">
        <f t="shared" si="92"/>
        <v>95461</v>
      </c>
      <c r="X2219" s="705">
        <f t="shared" si="93"/>
        <v>118947</v>
      </c>
    </row>
    <row r="2220" spans="2:24">
      <c r="B2220" t="s">
        <v>550</v>
      </c>
      <c r="C2220" t="s">
        <v>110</v>
      </c>
      <c r="D2220" t="s">
        <v>228</v>
      </c>
      <c r="E2220" t="s">
        <v>228</v>
      </c>
      <c r="F2220" s="705">
        <v>26</v>
      </c>
      <c r="G2220" s="705">
        <v>8014</v>
      </c>
      <c r="H2220" s="705">
        <v>2341</v>
      </c>
      <c r="I2220" s="705">
        <v>332199</v>
      </c>
      <c r="J2220" s="705">
        <v>123037</v>
      </c>
      <c r="K2220" s="705">
        <v>354</v>
      </c>
      <c r="L2220" s="705">
        <v>75460</v>
      </c>
      <c r="M2220" s="705">
        <v>60577</v>
      </c>
      <c r="N2220" s="705">
        <v>131498</v>
      </c>
      <c r="O2220" s="705">
        <v>48703</v>
      </c>
      <c r="P2220" s="705">
        <v>37446</v>
      </c>
      <c r="Q2220" s="705">
        <v>13869</v>
      </c>
      <c r="R2220" s="705">
        <v>169111</v>
      </c>
      <c r="S2220" s="705">
        <v>62634</v>
      </c>
      <c r="T2220" s="705">
        <v>3849</v>
      </c>
      <c r="U2220" s="705">
        <v>1426</v>
      </c>
      <c r="V2220" s="705">
        <v>310245</v>
      </c>
      <c r="W2220" s="705">
        <f t="shared" si="92"/>
        <v>310246</v>
      </c>
      <c r="X2220" s="705">
        <f t="shared" si="93"/>
        <v>749563</v>
      </c>
    </row>
    <row r="2221" spans="2:24">
      <c r="B2221" t="s">
        <v>550</v>
      </c>
      <c r="C2221" t="s">
        <v>110</v>
      </c>
      <c r="D2221" t="s">
        <v>228</v>
      </c>
      <c r="E2221" t="s">
        <v>583</v>
      </c>
      <c r="F2221" s="705">
        <v>1</v>
      </c>
      <c r="G2221" s="705">
        <v>268</v>
      </c>
      <c r="H2221" s="705">
        <v>92</v>
      </c>
      <c r="I2221" s="705">
        <v>5788</v>
      </c>
      <c r="J2221" s="705">
        <v>2144</v>
      </c>
      <c r="K2221" s="705">
        <v>380</v>
      </c>
      <c r="L2221" s="705">
        <v>3319</v>
      </c>
      <c r="M2221" s="705">
        <v>3017</v>
      </c>
      <c r="N2221" s="705">
        <v>3825</v>
      </c>
      <c r="O2221" s="705">
        <v>1417</v>
      </c>
      <c r="P2221" s="705">
        <v>3559</v>
      </c>
      <c r="Q2221" s="705">
        <v>1318</v>
      </c>
      <c r="R2221" s="705">
        <v>8272</v>
      </c>
      <c r="S2221" s="705">
        <v>7520</v>
      </c>
      <c r="T2221" s="705">
        <v>0</v>
      </c>
      <c r="U2221" s="705">
        <v>0</v>
      </c>
      <c r="V2221" s="705">
        <v>15415</v>
      </c>
      <c r="W2221" s="705">
        <f t="shared" si="92"/>
        <v>15416</v>
      </c>
      <c r="X2221" s="705">
        <f t="shared" si="93"/>
        <v>24763</v>
      </c>
    </row>
    <row r="2222" spans="2:24">
      <c r="B2222" t="s">
        <v>550</v>
      </c>
      <c r="C2222" t="s">
        <v>110</v>
      </c>
      <c r="D2222" t="s">
        <v>583</v>
      </c>
      <c r="E2222" t="s">
        <v>228</v>
      </c>
      <c r="F2222" s="705">
        <v>1</v>
      </c>
      <c r="G2222" s="705">
        <v>267</v>
      </c>
      <c r="H2222" s="705">
        <v>85</v>
      </c>
      <c r="I2222" s="705">
        <v>11305</v>
      </c>
      <c r="J2222" s="705">
        <v>10277</v>
      </c>
      <c r="K2222" s="705">
        <v>94</v>
      </c>
      <c r="L2222" s="705">
        <v>1960</v>
      </c>
      <c r="M2222" s="705">
        <v>1781</v>
      </c>
      <c r="N2222" s="705">
        <v>3249</v>
      </c>
      <c r="O2222" s="705">
        <v>1203</v>
      </c>
      <c r="P2222" s="705">
        <v>621</v>
      </c>
      <c r="Q2222" s="705">
        <v>230</v>
      </c>
      <c r="R2222" s="705">
        <v>5452</v>
      </c>
      <c r="S2222" s="705">
        <v>2019</v>
      </c>
      <c r="T2222" s="705">
        <v>0</v>
      </c>
      <c r="U2222" s="705">
        <v>0</v>
      </c>
      <c r="V2222" s="705">
        <v>15511</v>
      </c>
      <c r="W2222" s="705">
        <f t="shared" si="92"/>
        <v>15510</v>
      </c>
      <c r="X2222" s="705">
        <f t="shared" si="93"/>
        <v>22587</v>
      </c>
    </row>
    <row r="2223" spans="2:24">
      <c r="B2223" t="s">
        <v>550</v>
      </c>
      <c r="C2223" t="s">
        <v>110</v>
      </c>
      <c r="D2223" t="s">
        <v>583</v>
      </c>
      <c r="E2223" t="s">
        <v>583</v>
      </c>
      <c r="F2223" s="705">
        <v>47</v>
      </c>
      <c r="G2223" s="705">
        <v>12245</v>
      </c>
      <c r="H2223" s="705">
        <v>4313</v>
      </c>
      <c r="I2223" s="705">
        <v>605132</v>
      </c>
      <c r="J2223" s="705">
        <v>550120</v>
      </c>
      <c r="K2223" s="705">
        <v>93</v>
      </c>
      <c r="L2223" s="705">
        <v>95927</v>
      </c>
      <c r="M2223" s="705">
        <v>84420</v>
      </c>
      <c r="N2223" s="705">
        <v>172545</v>
      </c>
      <c r="O2223" s="705">
        <v>63906</v>
      </c>
      <c r="P2223" s="705">
        <v>44675</v>
      </c>
      <c r="Q2223" s="705">
        <v>16546</v>
      </c>
      <c r="R2223" s="705">
        <v>219248</v>
      </c>
      <c r="S2223" s="705">
        <v>199316</v>
      </c>
      <c r="T2223" s="705">
        <v>6294</v>
      </c>
      <c r="U2223" s="705">
        <v>2331</v>
      </c>
      <c r="V2223" s="705">
        <v>916639</v>
      </c>
      <c r="W2223" s="705">
        <f t="shared" si="92"/>
        <v>916639</v>
      </c>
      <c r="X2223" s="705">
        <f t="shared" si="93"/>
        <v>1143821</v>
      </c>
    </row>
    <row r="2224" spans="2:24">
      <c r="B2224" t="s">
        <v>550</v>
      </c>
      <c r="C2224" t="s">
        <v>110</v>
      </c>
      <c r="D2224" t="s">
        <v>584</v>
      </c>
      <c r="E2224" t="s">
        <v>584</v>
      </c>
      <c r="F2224" s="705">
        <v>40</v>
      </c>
      <c r="G2224" s="705">
        <v>7321</v>
      </c>
      <c r="H2224" s="705">
        <v>3673</v>
      </c>
      <c r="I2224" s="705">
        <v>344566</v>
      </c>
      <c r="J2224" s="705">
        <v>313242</v>
      </c>
      <c r="K2224" s="705">
        <v>91</v>
      </c>
      <c r="L2224" s="705">
        <v>54906</v>
      </c>
      <c r="M2224" s="705">
        <v>46179</v>
      </c>
      <c r="N2224" s="705">
        <v>101244</v>
      </c>
      <c r="O2224" s="705">
        <v>37498</v>
      </c>
      <c r="P2224" s="705">
        <v>19251</v>
      </c>
      <c r="Q2224" s="705">
        <v>7130</v>
      </c>
      <c r="R2224" s="705">
        <v>149772</v>
      </c>
      <c r="S2224" s="705">
        <v>136156</v>
      </c>
      <c r="T2224" s="705">
        <v>5858</v>
      </c>
      <c r="U2224" s="705">
        <v>2170</v>
      </c>
      <c r="V2224" s="705">
        <v>542375</v>
      </c>
      <c r="W2224" s="705">
        <f t="shared" si="92"/>
        <v>542375</v>
      </c>
      <c r="X2224" s="705">
        <f t="shared" si="93"/>
        <v>675597</v>
      </c>
    </row>
    <row r="2225" spans="2:24">
      <c r="B2225" t="s">
        <v>550</v>
      </c>
      <c r="C2225" t="s">
        <v>112</v>
      </c>
      <c r="D2225" t="s">
        <v>664</v>
      </c>
      <c r="E2225" t="s">
        <v>583</v>
      </c>
      <c r="F2225" s="705">
        <v>1</v>
      </c>
      <c r="G2225" s="705">
        <v>283</v>
      </c>
      <c r="H2225" s="705">
        <v>125</v>
      </c>
      <c r="I2225" s="705">
        <v>18994</v>
      </c>
      <c r="J2225" s="705">
        <v>17268</v>
      </c>
      <c r="K2225" s="705">
        <v>85</v>
      </c>
      <c r="L2225" s="705">
        <v>2846</v>
      </c>
      <c r="M2225" s="705">
        <v>2587</v>
      </c>
      <c r="N2225" s="705">
        <v>5168</v>
      </c>
      <c r="O2225" s="705">
        <v>1914</v>
      </c>
      <c r="P2225" s="705">
        <v>621</v>
      </c>
      <c r="Q2225" s="705">
        <v>230</v>
      </c>
      <c r="R2225" s="705">
        <v>4011</v>
      </c>
      <c r="S2225" s="705">
        <v>3646</v>
      </c>
      <c r="T2225" s="705">
        <v>3604</v>
      </c>
      <c r="U2225" s="705">
        <v>1335</v>
      </c>
      <c r="V2225" s="705">
        <v>26979</v>
      </c>
      <c r="W2225" s="705">
        <f t="shared" si="92"/>
        <v>26980</v>
      </c>
      <c r="X2225" s="705">
        <f t="shared" si="93"/>
        <v>35244</v>
      </c>
    </row>
    <row r="2226" spans="2:24">
      <c r="B2226" t="s">
        <v>550</v>
      </c>
      <c r="C2226" t="s">
        <v>112</v>
      </c>
      <c r="D2226" t="s">
        <v>582</v>
      </c>
      <c r="E2226" t="s">
        <v>582</v>
      </c>
      <c r="F2226" s="705">
        <v>9</v>
      </c>
      <c r="G2226" s="705">
        <v>2145</v>
      </c>
      <c r="H2226" s="705">
        <v>1073</v>
      </c>
      <c r="I2226" s="705">
        <v>167034</v>
      </c>
      <c r="J2226" s="705">
        <v>151849</v>
      </c>
      <c r="K2226" s="705">
        <v>91</v>
      </c>
      <c r="L2226" s="705">
        <v>18343</v>
      </c>
      <c r="M2226" s="705">
        <v>16560</v>
      </c>
      <c r="N2226" s="705">
        <v>35651</v>
      </c>
      <c r="O2226" s="705">
        <v>13204</v>
      </c>
      <c r="P2226" s="705">
        <v>4604</v>
      </c>
      <c r="Q2226" s="705">
        <v>1705</v>
      </c>
      <c r="R2226" s="705">
        <v>48469</v>
      </c>
      <c r="S2226" s="705">
        <v>44063</v>
      </c>
      <c r="T2226" s="705">
        <v>0</v>
      </c>
      <c r="U2226" s="705">
        <v>0</v>
      </c>
      <c r="V2226" s="705">
        <v>227381</v>
      </c>
      <c r="W2226" s="705">
        <f t="shared" si="92"/>
        <v>227381</v>
      </c>
      <c r="X2226" s="705">
        <f t="shared" si="93"/>
        <v>274101</v>
      </c>
    </row>
    <row r="2227" spans="2:24">
      <c r="B2227" t="s">
        <v>550</v>
      </c>
      <c r="C2227" t="s">
        <v>112</v>
      </c>
      <c r="D2227" t="s">
        <v>228</v>
      </c>
      <c r="E2227" t="s">
        <v>228</v>
      </c>
      <c r="F2227" s="705">
        <v>17</v>
      </c>
      <c r="G2227" s="705">
        <v>4381</v>
      </c>
      <c r="H2227" s="705">
        <v>1925</v>
      </c>
      <c r="I2227" s="705">
        <v>243792</v>
      </c>
      <c r="J2227" s="705">
        <v>90293</v>
      </c>
      <c r="K2227" s="705">
        <v>337</v>
      </c>
      <c r="L2227" s="705">
        <v>77756</v>
      </c>
      <c r="M2227" s="705">
        <v>70687</v>
      </c>
      <c r="N2227" s="705">
        <v>94860</v>
      </c>
      <c r="O2227" s="705">
        <v>35133</v>
      </c>
      <c r="P2227" s="705">
        <v>21933</v>
      </c>
      <c r="Q2227" s="705">
        <v>8123</v>
      </c>
      <c r="R2227" s="705">
        <v>113219</v>
      </c>
      <c r="S2227" s="705">
        <v>41933</v>
      </c>
      <c r="T2227" s="705">
        <v>3987</v>
      </c>
      <c r="U2227" s="705">
        <v>1477</v>
      </c>
      <c r="V2227" s="705">
        <v>247647</v>
      </c>
      <c r="W2227" s="705">
        <f t="shared" si="92"/>
        <v>247646</v>
      </c>
      <c r="X2227" s="705">
        <f t="shared" si="93"/>
        <v>555547</v>
      </c>
    </row>
    <row r="2228" spans="2:24">
      <c r="B2228" t="s">
        <v>550</v>
      </c>
      <c r="C2228" t="s">
        <v>112</v>
      </c>
      <c r="D2228" t="s">
        <v>228</v>
      </c>
      <c r="E2228" t="s">
        <v>583</v>
      </c>
      <c r="F2228" s="705">
        <v>1</v>
      </c>
      <c r="G2228" s="705">
        <v>323</v>
      </c>
      <c r="H2228" s="705">
        <v>101</v>
      </c>
      <c r="I2228" s="705">
        <v>14006</v>
      </c>
      <c r="J2228" s="705">
        <v>5187</v>
      </c>
      <c r="K2228" s="705">
        <v>300</v>
      </c>
      <c r="L2228" s="705">
        <v>2926</v>
      </c>
      <c r="M2228" s="705">
        <v>2660</v>
      </c>
      <c r="N2228" s="705">
        <v>5466</v>
      </c>
      <c r="O2228" s="705">
        <v>2024</v>
      </c>
      <c r="P2228" s="705">
        <v>1323</v>
      </c>
      <c r="Q2228" s="705">
        <v>490</v>
      </c>
      <c r="R2228" s="705">
        <v>8957</v>
      </c>
      <c r="S2228" s="705">
        <v>8143</v>
      </c>
      <c r="T2228" s="705">
        <v>0</v>
      </c>
      <c r="U2228" s="705">
        <v>0</v>
      </c>
      <c r="V2228" s="705">
        <v>18505</v>
      </c>
      <c r="W2228" s="705">
        <f t="shared" si="92"/>
        <v>18504</v>
      </c>
      <c r="X2228" s="705">
        <f t="shared" si="93"/>
        <v>32678</v>
      </c>
    </row>
    <row r="2229" spans="2:24">
      <c r="B2229" t="s">
        <v>550</v>
      </c>
      <c r="C2229" t="s">
        <v>112</v>
      </c>
      <c r="D2229" t="s">
        <v>228</v>
      </c>
      <c r="E2229" t="s">
        <v>584</v>
      </c>
      <c r="F2229" s="705">
        <v>1</v>
      </c>
      <c r="G2229" s="705">
        <v>302</v>
      </c>
      <c r="H2229" s="705">
        <v>119</v>
      </c>
      <c r="I2229" s="705">
        <v>19011</v>
      </c>
      <c r="J2229" s="705">
        <v>7041</v>
      </c>
      <c r="K2229" s="705">
        <v>320</v>
      </c>
      <c r="L2229" s="705">
        <v>4590</v>
      </c>
      <c r="M2229" s="705">
        <v>4172</v>
      </c>
      <c r="N2229" s="705">
        <v>3902</v>
      </c>
      <c r="O2229" s="705">
        <v>1445</v>
      </c>
      <c r="P2229" s="705">
        <v>351</v>
      </c>
      <c r="Q2229" s="705">
        <v>130</v>
      </c>
      <c r="R2229" s="705">
        <v>8206</v>
      </c>
      <c r="S2229" s="705">
        <v>7460</v>
      </c>
      <c r="T2229" s="705">
        <v>0</v>
      </c>
      <c r="U2229" s="705">
        <v>0</v>
      </c>
      <c r="V2229" s="705">
        <v>20248</v>
      </c>
      <c r="W2229" s="705">
        <f t="shared" si="92"/>
        <v>20248</v>
      </c>
      <c r="X2229" s="705">
        <f t="shared" si="93"/>
        <v>36060</v>
      </c>
    </row>
    <row r="2230" spans="2:24">
      <c r="B2230" t="s">
        <v>550</v>
      </c>
      <c r="C2230" t="s">
        <v>112</v>
      </c>
      <c r="D2230" t="s">
        <v>724</v>
      </c>
      <c r="E2230" t="s">
        <v>724</v>
      </c>
      <c r="F2230" s="705">
        <v>1</v>
      </c>
      <c r="G2230" s="705">
        <v>323</v>
      </c>
      <c r="H2230" s="705">
        <v>115</v>
      </c>
      <c r="I2230" s="705">
        <v>15934</v>
      </c>
      <c r="J2230" s="705">
        <v>5901</v>
      </c>
      <c r="K2230" s="705">
        <v>300</v>
      </c>
      <c r="L2230" s="705">
        <v>7213</v>
      </c>
      <c r="M2230" s="705">
        <v>6557</v>
      </c>
      <c r="N2230" s="705">
        <v>6461</v>
      </c>
      <c r="O2230" s="705">
        <v>2393</v>
      </c>
      <c r="P2230" s="705">
        <v>351</v>
      </c>
      <c r="Q2230" s="705">
        <v>130</v>
      </c>
      <c r="R2230" s="705">
        <v>7369</v>
      </c>
      <c r="S2230" s="705">
        <v>2729</v>
      </c>
      <c r="T2230" s="705">
        <v>0</v>
      </c>
      <c r="U2230" s="705">
        <v>0</v>
      </c>
      <c r="V2230" s="705">
        <v>17711</v>
      </c>
      <c r="W2230" s="705">
        <f t="shared" si="92"/>
        <v>17710</v>
      </c>
      <c r="X2230" s="705">
        <f t="shared" si="93"/>
        <v>37328</v>
      </c>
    </row>
    <row r="2231" spans="2:24">
      <c r="B2231" t="s">
        <v>550</v>
      </c>
      <c r="C2231" t="s">
        <v>112</v>
      </c>
      <c r="D2231" t="s">
        <v>583</v>
      </c>
      <c r="E2231" t="s">
        <v>664</v>
      </c>
      <c r="F2231" s="705">
        <v>1</v>
      </c>
      <c r="G2231" s="705">
        <v>239</v>
      </c>
      <c r="H2231" s="705">
        <v>122</v>
      </c>
      <c r="I2231" s="705">
        <v>17011</v>
      </c>
      <c r="J2231" s="705">
        <v>15465</v>
      </c>
      <c r="K2231" s="705">
        <v>86</v>
      </c>
      <c r="L2231" s="705">
        <v>2492</v>
      </c>
      <c r="M2231" s="705">
        <v>2266</v>
      </c>
      <c r="N2231" s="705">
        <v>2912</v>
      </c>
      <c r="O2231" s="705">
        <v>1079</v>
      </c>
      <c r="P2231" s="705">
        <v>621</v>
      </c>
      <c r="Q2231" s="705">
        <v>230</v>
      </c>
      <c r="R2231" s="705">
        <v>6207</v>
      </c>
      <c r="S2231" s="705">
        <v>5642</v>
      </c>
      <c r="T2231" s="705">
        <v>0</v>
      </c>
      <c r="U2231" s="705">
        <v>0</v>
      </c>
      <c r="V2231" s="705">
        <v>24681</v>
      </c>
      <c r="W2231" s="705">
        <f t="shared" si="92"/>
        <v>24682</v>
      </c>
      <c r="X2231" s="705">
        <f t="shared" si="93"/>
        <v>29243</v>
      </c>
    </row>
    <row r="2232" spans="2:24">
      <c r="B2232" t="s">
        <v>550</v>
      </c>
      <c r="C2232" t="s">
        <v>112</v>
      </c>
      <c r="D2232" t="s">
        <v>583</v>
      </c>
      <c r="E2232" t="s">
        <v>583</v>
      </c>
      <c r="F2232" s="705">
        <v>163</v>
      </c>
      <c r="G2232" s="705">
        <v>39912</v>
      </c>
      <c r="H2232" s="705">
        <v>19028</v>
      </c>
      <c r="I2232" s="705">
        <v>2695822</v>
      </c>
      <c r="J2232" s="705">
        <v>2450747</v>
      </c>
      <c r="K2232" s="705">
        <v>92</v>
      </c>
      <c r="L2232" s="705">
        <v>537997</v>
      </c>
      <c r="M2232" s="705">
        <v>480371</v>
      </c>
      <c r="N2232" s="705">
        <v>732435</v>
      </c>
      <c r="O2232" s="705">
        <v>271272</v>
      </c>
      <c r="P2232" s="705">
        <v>122213</v>
      </c>
      <c r="Q2232" s="705">
        <v>45264</v>
      </c>
      <c r="R2232" s="705">
        <v>879211</v>
      </c>
      <c r="S2232" s="705">
        <v>799283</v>
      </c>
      <c r="T2232" s="705">
        <v>15608</v>
      </c>
      <c r="U2232" s="705">
        <v>5781</v>
      </c>
      <c r="V2232" s="705">
        <v>4052718</v>
      </c>
      <c r="W2232" s="705">
        <f t="shared" si="92"/>
        <v>4052718</v>
      </c>
      <c r="X2232" s="705">
        <f t="shared" si="93"/>
        <v>4983286</v>
      </c>
    </row>
    <row r="2233" spans="2:24">
      <c r="B2233" t="s">
        <v>550</v>
      </c>
      <c r="C2233" t="s">
        <v>112</v>
      </c>
      <c r="D2233" t="s">
        <v>583</v>
      </c>
      <c r="E2233" t="s">
        <v>584</v>
      </c>
      <c r="F2233" s="705">
        <v>1</v>
      </c>
      <c r="G2233" s="705">
        <v>194</v>
      </c>
      <c r="H2233" s="705">
        <v>118</v>
      </c>
      <c r="I2233" s="705">
        <v>21627</v>
      </c>
      <c r="J2233" s="705">
        <v>19661</v>
      </c>
      <c r="K2233" s="705">
        <v>86</v>
      </c>
      <c r="L2233" s="705">
        <v>6520</v>
      </c>
      <c r="M2233" s="705">
        <v>5927</v>
      </c>
      <c r="N2233" s="705">
        <v>7898</v>
      </c>
      <c r="O2233" s="705">
        <v>2925</v>
      </c>
      <c r="P2233" s="705">
        <v>621</v>
      </c>
      <c r="Q2233" s="705">
        <v>230</v>
      </c>
      <c r="R2233" s="705">
        <v>8219</v>
      </c>
      <c r="S2233" s="705">
        <v>7472</v>
      </c>
      <c r="T2233" s="705">
        <v>0</v>
      </c>
      <c r="U2233" s="705">
        <v>0</v>
      </c>
      <c r="V2233" s="705">
        <v>36215</v>
      </c>
      <c r="W2233" s="705">
        <f t="shared" si="92"/>
        <v>36215</v>
      </c>
      <c r="X2233" s="705">
        <f t="shared" si="93"/>
        <v>44885</v>
      </c>
    </row>
    <row r="2234" spans="2:24">
      <c r="B2234" t="s">
        <v>550</v>
      </c>
      <c r="C2234" t="s">
        <v>112</v>
      </c>
      <c r="D2234" t="s">
        <v>584</v>
      </c>
      <c r="E2234" t="s">
        <v>584</v>
      </c>
      <c r="F2234" s="705">
        <v>111</v>
      </c>
      <c r="G2234" s="705">
        <v>17318</v>
      </c>
      <c r="H2234" s="705">
        <v>12905</v>
      </c>
      <c r="I2234" s="705">
        <v>1054634</v>
      </c>
      <c r="J2234" s="705">
        <v>958758</v>
      </c>
      <c r="K2234" s="705">
        <v>90</v>
      </c>
      <c r="L2234" s="705">
        <v>185817</v>
      </c>
      <c r="M2234" s="705">
        <v>162012</v>
      </c>
      <c r="N2234" s="705">
        <v>276648</v>
      </c>
      <c r="O2234" s="705">
        <v>102462</v>
      </c>
      <c r="P2234" s="705">
        <v>59494</v>
      </c>
      <c r="Q2234" s="705">
        <v>22035</v>
      </c>
      <c r="R2234" s="705">
        <v>484775</v>
      </c>
      <c r="S2234" s="705">
        <v>440705</v>
      </c>
      <c r="T2234" s="705">
        <v>5938</v>
      </c>
      <c r="U2234" s="705">
        <v>2199</v>
      </c>
      <c r="V2234" s="705">
        <v>1688172</v>
      </c>
      <c r="W2234" s="705">
        <f t="shared" si="92"/>
        <v>1688171</v>
      </c>
      <c r="X2234" s="705">
        <f t="shared" si="93"/>
        <v>2067306</v>
      </c>
    </row>
    <row r="2235" spans="2:24">
      <c r="B2235" t="s">
        <v>550</v>
      </c>
      <c r="C2235" t="s">
        <v>112</v>
      </c>
      <c r="D2235" t="s">
        <v>585</v>
      </c>
      <c r="E2235" t="s">
        <v>585</v>
      </c>
      <c r="F2235" s="705">
        <v>2</v>
      </c>
      <c r="G2235" s="705">
        <v>483</v>
      </c>
      <c r="H2235" s="705">
        <v>235</v>
      </c>
      <c r="I2235" s="705">
        <v>51098</v>
      </c>
      <c r="J2235" s="705">
        <v>46452</v>
      </c>
      <c r="K2235" s="705">
        <v>92</v>
      </c>
      <c r="L2235" s="705">
        <v>8042</v>
      </c>
      <c r="M2235" s="705">
        <v>7311</v>
      </c>
      <c r="N2235" s="705">
        <v>12062</v>
      </c>
      <c r="O2235" s="705">
        <v>4467</v>
      </c>
      <c r="P2235" s="705">
        <v>702</v>
      </c>
      <c r="Q2235" s="705">
        <v>260</v>
      </c>
      <c r="R2235" s="705">
        <v>11997</v>
      </c>
      <c r="S2235" s="705">
        <v>10906</v>
      </c>
      <c r="T2235" s="705">
        <v>0</v>
      </c>
      <c r="U2235" s="705">
        <v>0</v>
      </c>
      <c r="V2235" s="705">
        <v>69397</v>
      </c>
      <c r="W2235" s="705">
        <f t="shared" si="92"/>
        <v>69396</v>
      </c>
      <c r="X2235" s="705">
        <f t="shared" si="93"/>
        <v>83901</v>
      </c>
    </row>
    <row r="2236" spans="2:24">
      <c r="B2236" t="s">
        <v>550</v>
      </c>
      <c r="C2236" t="s">
        <v>114</v>
      </c>
      <c r="D2236" t="s">
        <v>664</v>
      </c>
      <c r="E2236" t="s">
        <v>664</v>
      </c>
      <c r="F2236" s="705">
        <v>1</v>
      </c>
      <c r="G2236" s="705">
        <v>151</v>
      </c>
      <c r="H2236" s="705">
        <v>149</v>
      </c>
      <c r="I2236" s="705">
        <v>14595</v>
      </c>
      <c r="J2236" s="705">
        <v>13268</v>
      </c>
      <c r="K2236" s="705">
        <v>90</v>
      </c>
      <c r="L2236" s="705">
        <v>2319</v>
      </c>
      <c r="M2236" s="705">
        <v>2108</v>
      </c>
      <c r="N2236" s="705">
        <v>1836</v>
      </c>
      <c r="O2236" s="705">
        <v>680</v>
      </c>
      <c r="P2236" s="705">
        <v>473</v>
      </c>
      <c r="Q2236" s="705">
        <v>175</v>
      </c>
      <c r="R2236" s="705">
        <v>3228</v>
      </c>
      <c r="S2236" s="705">
        <v>2935</v>
      </c>
      <c r="T2236" s="705">
        <v>0</v>
      </c>
      <c r="U2236" s="705">
        <v>0</v>
      </c>
      <c r="V2236" s="705">
        <v>19166</v>
      </c>
      <c r="W2236" s="705">
        <f t="shared" si="92"/>
        <v>19166</v>
      </c>
      <c r="X2236" s="705">
        <f t="shared" si="93"/>
        <v>22451</v>
      </c>
    </row>
    <row r="2237" spans="2:24">
      <c r="B2237" t="s">
        <v>550</v>
      </c>
      <c r="C2237" t="s">
        <v>114</v>
      </c>
      <c r="D2237" t="s">
        <v>582</v>
      </c>
      <c r="E2237" t="s">
        <v>582</v>
      </c>
      <c r="F2237" s="705">
        <v>17</v>
      </c>
      <c r="G2237" s="705">
        <v>3537</v>
      </c>
      <c r="H2237" s="705">
        <v>2435</v>
      </c>
      <c r="I2237" s="705">
        <v>318729</v>
      </c>
      <c r="J2237" s="705">
        <v>289754</v>
      </c>
      <c r="K2237" s="705">
        <v>90</v>
      </c>
      <c r="L2237" s="705">
        <v>67525</v>
      </c>
      <c r="M2237" s="705">
        <v>60938</v>
      </c>
      <c r="N2237" s="705">
        <v>61797</v>
      </c>
      <c r="O2237" s="705">
        <v>22888</v>
      </c>
      <c r="P2237" s="705">
        <v>8505</v>
      </c>
      <c r="Q2237" s="705">
        <v>3150</v>
      </c>
      <c r="R2237" s="705">
        <v>90742</v>
      </c>
      <c r="S2237" s="705">
        <v>82493</v>
      </c>
      <c r="T2237" s="705">
        <v>1464</v>
      </c>
      <c r="U2237" s="705">
        <v>542</v>
      </c>
      <c r="V2237" s="705">
        <v>459765</v>
      </c>
      <c r="W2237" s="705">
        <f t="shared" si="92"/>
        <v>459765</v>
      </c>
      <c r="X2237" s="705">
        <f t="shared" si="93"/>
        <v>548762</v>
      </c>
    </row>
    <row r="2238" spans="2:24">
      <c r="B2238" t="s">
        <v>550</v>
      </c>
      <c r="C2238" t="s">
        <v>114</v>
      </c>
      <c r="D2238" t="s">
        <v>228</v>
      </c>
      <c r="E2238" t="s">
        <v>228</v>
      </c>
      <c r="F2238" s="705">
        <v>20</v>
      </c>
      <c r="G2238" s="705">
        <v>5143</v>
      </c>
      <c r="H2238" s="705">
        <v>2739</v>
      </c>
      <c r="I2238" s="705">
        <v>321238</v>
      </c>
      <c r="J2238" s="705">
        <v>118977</v>
      </c>
      <c r="K2238" s="705">
        <v>309</v>
      </c>
      <c r="L2238" s="705">
        <v>113916</v>
      </c>
      <c r="M2238" s="705">
        <v>102252</v>
      </c>
      <c r="N2238" s="705">
        <v>104444</v>
      </c>
      <c r="O2238" s="705">
        <v>38683</v>
      </c>
      <c r="P2238" s="705">
        <v>10000</v>
      </c>
      <c r="Q2238" s="705">
        <v>3704</v>
      </c>
      <c r="R2238" s="705">
        <v>194122</v>
      </c>
      <c r="S2238" s="705">
        <v>71897</v>
      </c>
      <c r="T2238" s="705">
        <v>0</v>
      </c>
      <c r="U2238" s="705">
        <v>0</v>
      </c>
      <c r="V2238" s="705">
        <v>335513</v>
      </c>
      <c r="W2238" s="705">
        <f t="shared" si="92"/>
        <v>335513</v>
      </c>
      <c r="X2238" s="705">
        <f t="shared" si="93"/>
        <v>743720</v>
      </c>
    </row>
    <row r="2239" spans="2:24">
      <c r="B2239" t="s">
        <v>550</v>
      </c>
      <c r="C2239" t="s">
        <v>114</v>
      </c>
      <c r="D2239" t="s">
        <v>583</v>
      </c>
      <c r="E2239" t="s">
        <v>228</v>
      </c>
      <c r="F2239" s="705">
        <v>2</v>
      </c>
      <c r="G2239" s="705">
        <v>360</v>
      </c>
      <c r="H2239" s="705">
        <v>298</v>
      </c>
      <c r="I2239" s="705">
        <v>23991</v>
      </c>
      <c r="J2239" s="705">
        <v>21810</v>
      </c>
      <c r="K2239" s="705">
        <v>90</v>
      </c>
      <c r="L2239" s="705">
        <v>5509</v>
      </c>
      <c r="M2239" s="705">
        <v>5008</v>
      </c>
      <c r="N2239" s="705">
        <v>4812</v>
      </c>
      <c r="O2239" s="705">
        <v>1782</v>
      </c>
      <c r="P2239" s="705">
        <v>1242</v>
      </c>
      <c r="Q2239" s="705">
        <v>460</v>
      </c>
      <c r="R2239" s="705">
        <v>18044</v>
      </c>
      <c r="S2239" s="705">
        <v>6683</v>
      </c>
      <c r="T2239" s="705">
        <v>0</v>
      </c>
      <c r="U2239" s="705">
        <v>0</v>
      </c>
      <c r="V2239" s="705">
        <v>35743</v>
      </c>
      <c r="W2239" s="705">
        <f t="shared" si="92"/>
        <v>35743</v>
      </c>
      <c r="X2239" s="705">
        <f t="shared" si="93"/>
        <v>53598</v>
      </c>
    </row>
    <row r="2240" spans="2:24">
      <c r="B2240" t="s">
        <v>550</v>
      </c>
      <c r="C2240" t="s">
        <v>114</v>
      </c>
      <c r="D2240" t="s">
        <v>583</v>
      </c>
      <c r="E2240" t="s">
        <v>583</v>
      </c>
      <c r="F2240" s="705">
        <v>526</v>
      </c>
      <c r="G2240" s="705">
        <v>110203</v>
      </c>
      <c r="H2240" s="705">
        <v>73498</v>
      </c>
      <c r="I2240" s="705">
        <v>9022084</v>
      </c>
      <c r="J2240" s="705">
        <v>8201894</v>
      </c>
      <c r="K2240" s="705">
        <v>91</v>
      </c>
      <c r="L2240" s="705">
        <v>1983643</v>
      </c>
      <c r="M2240" s="705">
        <v>1780822</v>
      </c>
      <c r="N2240" s="705">
        <v>2127469</v>
      </c>
      <c r="O2240" s="705">
        <v>787952</v>
      </c>
      <c r="P2240" s="705">
        <v>373404</v>
      </c>
      <c r="Q2240" s="705">
        <v>138298</v>
      </c>
      <c r="R2240" s="705">
        <v>2828950</v>
      </c>
      <c r="S2240" s="705">
        <v>2571773</v>
      </c>
      <c r="T2240" s="705">
        <v>146130</v>
      </c>
      <c r="U2240" s="705">
        <v>54122</v>
      </c>
      <c r="V2240" s="705">
        <v>13534861</v>
      </c>
      <c r="W2240" s="705">
        <f t="shared" si="92"/>
        <v>13534861</v>
      </c>
      <c r="X2240" s="705">
        <f t="shared" si="93"/>
        <v>16481680</v>
      </c>
    </row>
    <row r="2241" spans="2:24">
      <c r="B2241" t="s">
        <v>550</v>
      </c>
      <c r="C2241" t="s">
        <v>114</v>
      </c>
      <c r="D2241" t="s">
        <v>583</v>
      </c>
      <c r="E2241" t="s">
        <v>666</v>
      </c>
      <c r="F2241" s="705">
        <v>1</v>
      </c>
      <c r="G2241" s="705">
        <v>234</v>
      </c>
      <c r="H2241" s="705">
        <v>149</v>
      </c>
      <c r="I2241" s="705">
        <v>17620</v>
      </c>
      <c r="J2241" s="705">
        <v>16018</v>
      </c>
      <c r="K2241" s="705">
        <v>97</v>
      </c>
      <c r="L2241" s="705">
        <v>6330</v>
      </c>
      <c r="M2241" s="705">
        <v>5755</v>
      </c>
      <c r="N2241" s="705">
        <v>4732</v>
      </c>
      <c r="O2241" s="705">
        <v>1753</v>
      </c>
      <c r="P2241" s="705">
        <v>621</v>
      </c>
      <c r="Q2241" s="705">
        <v>230</v>
      </c>
      <c r="R2241" s="705">
        <v>5433</v>
      </c>
      <c r="S2241" s="705">
        <v>4939</v>
      </c>
      <c r="T2241" s="705">
        <v>0</v>
      </c>
      <c r="U2241" s="705">
        <v>0</v>
      </c>
      <c r="V2241" s="705">
        <v>28694</v>
      </c>
      <c r="W2241" s="705">
        <f t="shared" si="92"/>
        <v>28695</v>
      </c>
      <c r="X2241" s="705">
        <f t="shared" si="93"/>
        <v>34736</v>
      </c>
    </row>
    <row r="2242" spans="2:24">
      <c r="B2242" t="s">
        <v>550</v>
      </c>
      <c r="C2242" t="s">
        <v>114</v>
      </c>
      <c r="D2242" t="s">
        <v>584</v>
      </c>
      <c r="E2242" t="s">
        <v>228</v>
      </c>
      <c r="F2242" s="705">
        <v>1</v>
      </c>
      <c r="G2242" s="705">
        <v>154</v>
      </c>
      <c r="H2242" s="705">
        <v>142</v>
      </c>
      <c r="I2242" s="705">
        <v>13836</v>
      </c>
      <c r="J2242" s="705">
        <v>12578</v>
      </c>
      <c r="K2242" s="705">
        <v>78</v>
      </c>
      <c r="L2242" s="705">
        <v>2177</v>
      </c>
      <c r="M2242" s="705">
        <v>1814</v>
      </c>
      <c r="N2242" s="705">
        <v>3594</v>
      </c>
      <c r="O2242" s="705">
        <v>1331</v>
      </c>
      <c r="P2242" s="705">
        <v>473</v>
      </c>
      <c r="Q2242" s="705">
        <v>175</v>
      </c>
      <c r="R2242" s="705">
        <v>1767</v>
      </c>
      <c r="S2242" s="705">
        <v>655</v>
      </c>
      <c r="T2242" s="705">
        <v>0</v>
      </c>
      <c r="U2242" s="705">
        <v>0</v>
      </c>
      <c r="V2242" s="705">
        <v>16553</v>
      </c>
      <c r="W2242" s="705">
        <f t="shared" si="92"/>
        <v>16553</v>
      </c>
      <c r="X2242" s="705">
        <f t="shared" si="93"/>
        <v>21847</v>
      </c>
    </row>
    <row r="2243" spans="2:24">
      <c r="B2243" t="s">
        <v>550</v>
      </c>
      <c r="C2243" t="s">
        <v>114</v>
      </c>
      <c r="D2243" t="s">
        <v>584</v>
      </c>
      <c r="E2243" t="s">
        <v>584</v>
      </c>
      <c r="F2243" s="705">
        <v>345</v>
      </c>
      <c r="G2243" s="705">
        <v>66394</v>
      </c>
      <c r="H2243" s="705">
        <v>48419</v>
      </c>
      <c r="I2243" s="705">
        <v>5019397</v>
      </c>
      <c r="J2243" s="705">
        <v>4563088</v>
      </c>
      <c r="K2243" s="705">
        <v>88</v>
      </c>
      <c r="L2243" s="705">
        <v>1196606</v>
      </c>
      <c r="M2243" s="705">
        <v>1051111</v>
      </c>
      <c r="N2243" s="705">
        <v>1235100</v>
      </c>
      <c r="O2243" s="705">
        <v>457445</v>
      </c>
      <c r="P2243" s="705">
        <v>201015</v>
      </c>
      <c r="Q2243" s="705">
        <v>74450</v>
      </c>
      <c r="R2243" s="705">
        <v>1863921</v>
      </c>
      <c r="S2243" s="705">
        <v>1694473</v>
      </c>
      <c r="T2243" s="705">
        <v>49573</v>
      </c>
      <c r="U2243" s="705">
        <v>18360</v>
      </c>
      <c r="V2243" s="705">
        <v>7858927</v>
      </c>
      <c r="W2243" s="705">
        <f t="shared" si="92"/>
        <v>7858927</v>
      </c>
      <c r="X2243" s="705">
        <f t="shared" si="93"/>
        <v>9565612</v>
      </c>
    </row>
    <row r="2244" spans="2:24">
      <c r="B2244" t="s">
        <v>550</v>
      </c>
      <c r="C2244" t="s">
        <v>114</v>
      </c>
      <c r="D2244" t="s">
        <v>585</v>
      </c>
      <c r="E2244" t="s">
        <v>585</v>
      </c>
      <c r="F2244" s="705">
        <v>7</v>
      </c>
      <c r="G2244" s="705">
        <v>2071</v>
      </c>
      <c r="H2244" s="705">
        <v>998</v>
      </c>
      <c r="I2244" s="705">
        <v>171280</v>
      </c>
      <c r="J2244" s="705">
        <v>155709</v>
      </c>
      <c r="K2244" s="705">
        <v>83</v>
      </c>
      <c r="L2244" s="705">
        <v>35947</v>
      </c>
      <c r="M2244" s="705">
        <v>32679</v>
      </c>
      <c r="N2244" s="705">
        <v>36148</v>
      </c>
      <c r="O2244" s="705">
        <v>13388</v>
      </c>
      <c r="P2244" s="705">
        <v>14069</v>
      </c>
      <c r="Q2244" s="705">
        <v>5211</v>
      </c>
      <c r="R2244" s="705">
        <v>34320</v>
      </c>
      <c r="S2244" s="705">
        <v>31200</v>
      </c>
      <c r="T2244" s="705">
        <v>4148</v>
      </c>
      <c r="U2244" s="705">
        <v>1536</v>
      </c>
      <c r="V2244" s="705">
        <v>239723</v>
      </c>
      <c r="W2244" s="705">
        <f t="shared" si="92"/>
        <v>239723</v>
      </c>
      <c r="X2244" s="705">
        <f t="shared" si="93"/>
        <v>295912</v>
      </c>
    </row>
    <row r="2245" spans="2:24">
      <c r="B2245" t="s">
        <v>550</v>
      </c>
      <c r="C2245" t="s">
        <v>116</v>
      </c>
      <c r="D2245" t="s">
        <v>664</v>
      </c>
      <c r="E2245" t="s">
        <v>664</v>
      </c>
      <c r="F2245" s="705">
        <v>5</v>
      </c>
      <c r="G2245" s="705">
        <v>736</v>
      </c>
      <c r="H2245" s="705">
        <v>1053</v>
      </c>
      <c r="I2245" s="705">
        <v>89256</v>
      </c>
      <c r="J2245" s="705">
        <v>81142</v>
      </c>
      <c r="K2245" s="705">
        <v>85</v>
      </c>
      <c r="L2245" s="705">
        <v>23937</v>
      </c>
      <c r="M2245" s="705">
        <v>21761</v>
      </c>
      <c r="N2245" s="705">
        <v>13455</v>
      </c>
      <c r="O2245" s="705">
        <v>4983</v>
      </c>
      <c r="P2245" s="705">
        <v>2363</v>
      </c>
      <c r="Q2245" s="705">
        <v>875</v>
      </c>
      <c r="R2245" s="705">
        <v>27379</v>
      </c>
      <c r="S2245" s="705">
        <v>24890</v>
      </c>
      <c r="T2245" s="705">
        <v>2784</v>
      </c>
      <c r="U2245" s="705">
        <v>1031</v>
      </c>
      <c r="V2245" s="705">
        <v>134682</v>
      </c>
      <c r="W2245" s="705">
        <f t="shared" si="92"/>
        <v>134682</v>
      </c>
      <c r="X2245" s="705">
        <f t="shared" si="93"/>
        <v>159174</v>
      </c>
    </row>
    <row r="2246" spans="2:24">
      <c r="B2246" t="s">
        <v>550</v>
      </c>
      <c r="C2246" t="s">
        <v>116</v>
      </c>
      <c r="D2246" t="s">
        <v>664</v>
      </c>
      <c r="E2246" t="s">
        <v>583</v>
      </c>
      <c r="F2246" s="705">
        <v>1</v>
      </c>
      <c r="G2246" s="705">
        <v>150</v>
      </c>
      <c r="H2246" s="705">
        <v>202</v>
      </c>
      <c r="I2246" s="705">
        <v>29331</v>
      </c>
      <c r="J2246" s="705">
        <v>26664</v>
      </c>
      <c r="K2246" s="705">
        <v>79</v>
      </c>
      <c r="L2246" s="705">
        <v>5432</v>
      </c>
      <c r="M2246" s="705">
        <v>4938</v>
      </c>
      <c r="N2246" s="705">
        <v>5927</v>
      </c>
      <c r="O2246" s="705">
        <v>2195</v>
      </c>
      <c r="P2246" s="705">
        <v>972</v>
      </c>
      <c r="Q2246" s="705">
        <v>360</v>
      </c>
      <c r="R2246" s="705">
        <v>8845</v>
      </c>
      <c r="S2246" s="705">
        <v>8041</v>
      </c>
      <c r="T2246" s="705">
        <v>0</v>
      </c>
      <c r="U2246" s="705">
        <v>0</v>
      </c>
      <c r="V2246" s="705">
        <v>42198</v>
      </c>
      <c r="W2246" s="705">
        <f t="shared" si="92"/>
        <v>42198</v>
      </c>
      <c r="X2246" s="705">
        <f t="shared" si="93"/>
        <v>50507</v>
      </c>
    </row>
    <row r="2247" spans="2:24">
      <c r="B2247" t="s">
        <v>550</v>
      </c>
      <c r="C2247" t="s">
        <v>116</v>
      </c>
      <c r="D2247" t="s">
        <v>582</v>
      </c>
      <c r="E2247" t="s">
        <v>582</v>
      </c>
      <c r="F2247" s="705">
        <v>80</v>
      </c>
      <c r="G2247" s="705">
        <v>13717</v>
      </c>
      <c r="H2247" s="705">
        <v>15026</v>
      </c>
      <c r="I2247" s="705">
        <v>1515749</v>
      </c>
      <c r="J2247" s="705">
        <v>1377953</v>
      </c>
      <c r="K2247" s="705">
        <v>89</v>
      </c>
      <c r="L2247" s="705">
        <v>376204</v>
      </c>
      <c r="M2247" s="705">
        <v>345453</v>
      </c>
      <c r="N2247" s="705">
        <v>287581</v>
      </c>
      <c r="O2247" s="705">
        <v>106512</v>
      </c>
      <c r="P2247" s="705">
        <v>47434</v>
      </c>
      <c r="Q2247" s="705">
        <v>17568</v>
      </c>
      <c r="R2247" s="705">
        <v>430943</v>
      </c>
      <c r="S2247" s="705">
        <v>391766</v>
      </c>
      <c r="T2247" s="705">
        <v>6925</v>
      </c>
      <c r="U2247" s="705">
        <v>2565</v>
      </c>
      <c r="V2247" s="705">
        <v>2241817</v>
      </c>
      <c r="W2247" s="705">
        <f t="shared" si="92"/>
        <v>2241817</v>
      </c>
      <c r="X2247" s="705">
        <f t="shared" si="93"/>
        <v>2664836</v>
      </c>
    </row>
    <row r="2248" spans="2:24">
      <c r="B2248" t="s">
        <v>550</v>
      </c>
      <c r="C2248" t="s">
        <v>116</v>
      </c>
      <c r="D2248" t="s">
        <v>582</v>
      </c>
      <c r="E2248" t="s">
        <v>228</v>
      </c>
      <c r="F2248" s="705">
        <v>1</v>
      </c>
      <c r="G2248" s="705">
        <v>166</v>
      </c>
      <c r="H2248" s="705">
        <v>175</v>
      </c>
      <c r="I2248" s="705">
        <v>18120</v>
      </c>
      <c r="J2248" s="705">
        <v>16473</v>
      </c>
      <c r="K2248" s="705">
        <v>83</v>
      </c>
      <c r="L2248" s="705">
        <v>2571</v>
      </c>
      <c r="M2248" s="705">
        <v>2337</v>
      </c>
      <c r="N2248" s="705">
        <v>3457</v>
      </c>
      <c r="O2248" s="705">
        <v>1280</v>
      </c>
      <c r="P2248" s="705">
        <v>473</v>
      </c>
      <c r="Q2248" s="705">
        <v>175</v>
      </c>
      <c r="R2248" s="705">
        <v>4406</v>
      </c>
      <c r="S2248" s="705">
        <v>1632</v>
      </c>
      <c r="T2248" s="705">
        <v>0</v>
      </c>
      <c r="U2248" s="705">
        <v>0</v>
      </c>
      <c r="V2248" s="705">
        <v>21897</v>
      </c>
      <c r="W2248" s="705">
        <f t="shared" si="92"/>
        <v>21897</v>
      </c>
      <c r="X2248" s="705">
        <f t="shared" si="93"/>
        <v>29027</v>
      </c>
    </row>
    <row r="2249" spans="2:24">
      <c r="B2249" t="s">
        <v>550</v>
      </c>
      <c r="C2249" t="s">
        <v>116</v>
      </c>
      <c r="D2249" t="s">
        <v>582</v>
      </c>
      <c r="E2249" t="s">
        <v>584</v>
      </c>
      <c r="F2249" s="705">
        <v>1</v>
      </c>
      <c r="G2249" s="705">
        <v>151</v>
      </c>
      <c r="H2249" s="705">
        <v>195</v>
      </c>
      <c r="I2249" s="705">
        <v>17883</v>
      </c>
      <c r="J2249" s="705">
        <v>16258</v>
      </c>
      <c r="K2249" s="705">
        <v>90</v>
      </c>
      <c r="L2249" s="705">
        <v>2845</v>
      </c>
      <c r="M2249" s="705">
        <v>2586</v>
      </c>
      <c r="N2249" s="705">
        <v>2079</v>
      </c>
      <c r="O2249" s="705">
        <v>770</v>
      </c>
      <c r="P2249" s="705">
        <v>473</v>
      </c>
      <c r="Q2249" s="705">
        <v>175</v>
      </c>
      <c r="R2249" s="705">
        <v>3196</v>
      </c>
      <c r="S2249" s="705">
        <v>2905</v>
      </c>
      <c r="T2249" s="705">
        <v>2941</v>
      </c>
      <c r="U2249" s="705">
        <v>1089</v>
      </c>
      <c r="V2249" s="705">
        <v>23783</v>
      </c>
      <c r="W2249" s="705">
        <f t="shared" si="92"/>
        <v>23783</v>
      </c>
      <c r="X2249" s="705">
        <f t="shared" si="93"/>
        <v>29417</v>
      </c>
    </row>
    <row r="2250" spans="2:24">
      <c r="B2250" t="s">
        <v>550</v>
      </c>
      <c r="C2250" t="s">
        <v>116</v>
      </c>
      <c r="D2250" t="s">
        <v>228</v>
      </c>
      <c r="E2250" t="s">
        <v>228</v>
      </c>
      <c r="F2250" s="705">
        <v>20</v>
      </c>
      <c r="G2250" s="705">
        <v>4321</v>
      </c>
      <c r="H2250" s="705">
        <v>3569</v>
      </c>
      <c r="I2250" s="705">
        <v>429466</v>
      </c>
      <c r="J2250" s="705">
        <v>159062</v>
      </c>
      <c r="K2250" s="705">
        <v>238</v>
      </c>
      <c r="L2250" s="705">
        <v>102041</v>
      </c>
      <c r="M2250" s="705">
        <v>90840</v>
      </c>
      <c r="N2250" s="705">
        <v>83205</v>
      </c>
      <c r="O2250" s="705">
        <v>30817</v>
      </c>
      <c r="P2250" s="705">
        <v>16607</v>
      </c>
      <c r="Q2250" s="705">
        <v>6151</v>
      </c>
      <c r="R2250" s="705">
        <v>166579</v>
      </c>
      <c r="S2250" s="705">
        <v>61696</v>
      </c>
      <c r="T2250" s="705">
        <v>0</v>
      </c>
      <c r="U2250" s="705">
        <v>0</v>
      </c>
      <c r="V2250" s="705">
        <v>348565</v>
      </c>
      <c r="W2250" s="705">
        <f t="shared" si="92"/>
        <v>348566</v>
      </c>
      <c r="X2250" s="705">
        <f t="shared" si="93"/>
        <v>797898</v>
      </c>
    </row>
    <row r="2251" spans="2:24">
      <c r="B2251" t="s">
        <v>550</v>
      </c>
      <c r="C2251" t="s">
        <v>116</v>
      </c>
      <c r="D2251" t="s">
        <v>583</v>
      </c>
      <c r="E2251" t="s">
        <v>664</v>
      </c>
      <c r="F2251" s="705">
        <v>1</v>
      </c>
      <c r="G2251" s="705">
        <v>216</v>
      </c>
      <c r="H2251" s="705">
        <v>195</v>
      </c>
      <c r="I2251" s="705">
        <v>24519</v>
      </c>
      <c r="J2251" s="705">
        <v>22290</v>
      </c>
      <c r="K2251" s="705">
        <v>86</v>
      </c>
      <c r="L2251" s="705">
        <v>3696</v>
      </c>
      <c r="M2251" s="705">
        <v>3360</v>
      </c>
      <c r="N2251" s="705">
        <v>4608</v>
      </c>
      <c r="O2251" s="705">
        <v>1707</v>
      </c>
      <c r="P2251" s="705">
        <v>621</v>
      </c>
      <c r="Q2251" s="705">
        <v>230</v>
      </c>
      <c r="R2251" s="705">
        <v>4965</v>
      </c>
      <c r="S2251" s="705">
        <v>4514</v>
      </c>
      <c r="T2251" s="705">
        <v>3800</v>
      </c>
      <c r="U2251" s="705">
        <v>1408</v>
      </c>
      <c r="V2251" s="705">
        <v>33508</v>
      </c>
      <c r="W2251" s="705">
        <f t="shared" si="92"/>
        <v>33509</v>
      </c>
      <c r="X2251" s="705">
        <f t="shared" si="93"/>
        <v>42209</v>
      </c>
    </row>
    <row r="2252" spans="2:24">
      <c r="B2252" t="s">
        <v>550</v>
      </c>
      <c r="C2252" t="s">
        <v>116</v>
      </c>
      <c r="D2252" t="s">
        <v>583</v>
      </c>
      <c r="E2252" t="s">
        <v>228</v>
      </c>
      <c r="F2252" s="705">
        <v>3</v>
      </c>
      <c r="G2252" s="705">
        <v>661</v>
      </c>
      <c r="H2252" s="705">
        <v>588</v>
      </c>
      <c r="I2252" s="705">
        <v>68668</v>
      </c>
      <c r="J2252" s="705">
        <v>62426</v>
      </c>
      <c r="K2252" s="705">
        <v>85</v>
      </c>
      <c r="L2252" s="705">
        <v>19169</v>
      </c>
      <c r="M2252" s="705">
        <v>15077</v>
      </c>
      <c r="N2252" s="705">
        <v>13352</v>
      </c>
      <c r="O2252" s="705">
        <v>4945</v>
      </c>
      <c r="P2252" s="705">
        <v>1512</v>
      </c>
      <c r="Q2252" s="705">
        <v>560</v>
      </c>
      <c r="R2252" s="705">
        <v>27074</v>
      </c>
      <c r="S2252" s="705">
        <v>10027</v>
      </c>
      <c r="T2252" s="705">
        <v>0</v>
      </c>
      <c r="U2252" s="705">
        <v>0</v>
      </c>
      <c r="V2252" s="705">
        <v>93035</v>
      </c>
      <c r="W2252" s="705">
        <f t="shared" si="92"/>
        <v>93035</v>
      </c>
      <c r="X2252" s="705">
        <f t="shared" si="93"/>
        <v>129775</v>
      </c>
    </row>
    <row r="2253" spans="2:24">
      <c r="B2253" t="s">
        <v>550</v>
      </c>
      <c r="C2253" t="s">
        <v>116</v>
      </c>
      <c r="D2253" t="s">
        <v>583</v>
      </c>
      <c r="E2253" t="s">
        <v>583</v>
      </c>
      <c r="F2253" s="705">
        <v>2873</v>
      </c>
      <c r="G2253" s="705">
        <v>491833</v>
      </c>
      <c r="H2253" s="705">
        <v>546436</v>
      </c>
      <c r="I2253" s="705">
        <v>54991591</v>
      </c>
      <c r="J2253" s="705">
        <v>49992356</v>
      </c>
      <c r="K2253" s="705">
        <v>86</v>
      </c>
      <c r="L2253" s="705">
        <v>12533174</v>
      </c>
      <c r="M2253" s="705">
        <v>11095755</v>
      </c>
      <c r="N2253" s="705">
        <v>10112419</v>
      </c>
      <c r="O2253" s="705">
        <v>3745340</v>
      </c>
      <c r="P2253" s="705">
        <v>1900274</v>
      </c>
      <c r="Q2253" s="705">
        <v>703805</v>
      </c>
      <c r="R2253" s="705">
        <v>15679993</v>
      </c>
      <c r="S2253" s="705">
        <v>14254539</v>
      </c>
      <c r="T2253" s="705">
        <v>2738980</v>
      </c>
      <c r="U2253" s="705">
        <v>1014437</v>
      </c>
      <c r="V2253" s="705">
        <v>80806233</v>
      </c>
      <c r="W2253" s="705">
        <f t="shared" si="92"/>
        <v>80806232</v>
      </c>
      <c r="X2253" s="705">
        <f t="shared" si="93"/>
        <v>97956431</v>
      </c>
    </row>
    <row r="2254" spans="2:24">
      <c r="B2254" t="s">
        <v>550</v>
      </c>
      <c r="C2254" t="s">
        <v>116</v>
      </c>
      <c r="D2254" t="s">
        <v>583</v>
      </c>
      <c r="E2254" t="s">
        <v>584</v>
      </c>
      <c r="F2254" s="705">
        <v>3</v>
      </c>
      <c r="G2254" s="705">
        <v>505</v>
      </c>
      <c r="H2254" s="705">
        <v>577</v>
      </c>
      <c r="I2254" s="705">
        <v>69630</v>
      </c>
      <c r="J2254" s="705">
        <v>63300</v>
      </c>
      <c r="K2254" s="705">
        <v>80</v>
      </c>
      <c r="L2254" s="705">
        <v>14713</v>
      </c>
      <c r="M2254" s="705">
        <v>13066</v>
      </c>
      <c r="N2254" s="705">
        <v>13704</v>
      </c>
      <c r="O2254" s="705">
        <v>5075</v>
      </c>
      <c r="P2254" s="705">
        <v>1863</v>
      </c>
      <c r="Q2254" s="705">
        <v>690</v>
      </c>
      <c r="R2254" s="705">
        <v>21453</v>
      </c>
      <c r="S2254" s="705">
        <v>19503</v>
      </c>
      <c r="T2254" s="705">
        <v>0</v>
      </c>
      <c r="U2254" s="705">
        <v>0</v>
      </c>
      <c r="V2254" s="705">
        <v>101634</v>
      </c>
      <c r="W2254" s="705">
        <f t="shared" si="92"/>
        <v>101634</v>
      </c>
      <c r="X2254" s="705">
        <f t="shared" si="93"/>
        <v>121363</v>
      </c>
    </row>
    <row r="2255" spans="2:24">
      <c r="B2255" t="s">
        <v>550</v>
      </c>
      <c r="C2255" t="s">
        <v>116</v>
      </c>
      <c r="D2255" t="s">
        <v>583</v>
      </c>
      <c r="E2255" t="s">
        <v>665</v>
      </c>
      <c r="F2255" s="705">
        <v>1</v>
      </c>
      <c r="G2255" s="705">
        <v>210</v>
      </c>
      <c r="H2255" s="705">
        <v>186</v>
      </c>
      <c r="I2255" s="705">
        <v>26549</v>
      </c>
      <c r="J2255" s="705">
        <v>24136</v>
      </c>
      <c r="K2255" s="705">
        <v>79</v>
      </c>
      <c r="L2255" s="705">
        <v>3687</v>
      </c>
      <c r="M2255" s="705">
        <v>3352</v>
      </c>
      <c r="N2255" s="705">
        <v>4368</v>
      </c>
      <c r="O2255" s="705">
        <v>1618</v>
      </c>
      <c r="P2255" s="705">
        <v>621</v>
      </c>
      <c r="Q2255" s="705">
        <v>230</v>
      </c>
      <c r="R2255" s="705">
        <v>3087</v>
      </c>
      <c r="S2255" s="705">
        <v>2806</v>
      </c>
      <c r="T2255" s="705">
        <v>621</v>
      </c>
      <c r="U2255" s="705">
        <v>230</v>
      </c>
      <c r="V2255" s="705">
        <v>32372</v>
      </c>
      <c r="W2255" s="705">
        <f t="shared" si="92"/>
        <v>32372</v>
      </c>
      <c r="X2255" s="705">
        <f t="shared" si="93"/>
        <v>38933</v>
      </c>
    </row>
    <row r="2256" spans="2:24">
      <c r="B2256" t="s">
        <v>550</v>
      </c>
      <c r="C2256" t="s">
        <v>116</v>
      </c>
      <c r="D2256" t="s">
        <v>584</v>
      </c>
      <c r="E2256" t="s">
        <v>228</v>
      </c>
      <c r="F2256" s="705">
        <v>1</v>
      </c>
      <c r="G2256" s="705">
        <v>143</v>
      </c>
      <c r="H2256" s="705">
        <v>180</v>
      </c>
      <c r="I2256" s="705">
        <v>15404</v>
      </c>
      <c r="J2256" s="705">
        <v>14004</v>
      </c>
      <c r="K2256" s="705">
        <v>73</v>
      </c>
      <c r="L2256" s="705">
        <v>0</v>
      </c>
      <c r="M2256" s="705">
        <v>0</v>
      </c>
      <c r="N2256" s="705">
        <v>3483</v>
      </c>
      <c r="O2256" s="705">
        <v>1290</v>
      </c>
      <c r="P2256" s="705">
        <v>473</v>
      </c>
      <c r="Q2256" s="705">
        <v>175</v>
      </c>
      <c r="R2256" s="705">
        <v>6428</v>
      </c>
      <c r="S2256" s="705">
        <v>2381</v>
      </c>
      <c r="T2256" s="705">
        <v>0</v>
      </c>
      <c r="U2256" s="705">
        <v>0</v>
      </c>
      <c r="V2256" s="705">
        <v>17849</v>
      </c>
      <c r="W2256" s="705">
        <f t="shared" si="92"/>
        <v>17850</v>
      </c>
      <c r="X2256" s="705">
        <f t="shared" si="93"/>
        <v>25788</v>
      </c>
    </row>
    <row r="2257" spans="2:24">
      <c r="B2257" t="s">
        <v>550</v>
      </c>
      <c r="C2257" t="s">
        <v>116</v>
      </c>
      <c r="D2257" t="s">
        <v>584</v>
      </c>
      <c r="E2257" t="s">
        <v>584</v>
      </c>
      <c r="F2257" s="705">
        <v>1469</v>
      </c>
      <c r="G2257" s="705">
        <v>232077</v>
      </c>
      <c r="H2257" s="705">
        <v>271212</v>
      </c>
      <c r="I2257" s="705">
        <v>22876968</v>
      </c>
      <c r="J2257" s="705">
        <v>20797244</v>
      </c>
      <c r="K2257" s="705">
        <v>84</v>
      </c>
      <c r="L2257" s="705">
        <v>6721766</v>
      </c>
      <c r="M2257" s="705">
        <v>5943622</v>
      </c>
      <c r="N2257" s="705">
        <v>4606278</v>
      </c>
      <c r="O2257" s="705">
        <v>1706029</v>
      </c>
      <c r="P2257" s="705">
        <v>704121</v>
      </c>
      <c r="Q2257" s="705">
        <v>260786</v>
      </c>
      <c r="R2257" s="705">
        <v>8256384</v>
      </c>
      <c r="S2257" s="705">
        <v>7505803</v>
      </c>
      <c r="T2257" s="705">
        <v>633724</v>
      </c>
      <c r="U2257" s="705">
        <v>234712</v>
      </c>
      <c r="V2257" s="705">
        <v>36448196</v>
      </c>
      <c r="W2257" s="705">
        <f t="shared" si="92"/>
        <v>36448196</v>
      </c>
      <c r="X2257" s="705">
        <f t="shared" si="93"/>
        <v>43799241</v>
      </c>
    </row>
    <row r="2258" spans="2:24">
      <c r="B2258" t="s">
        <v>550</v>
      </c>
      <c r="C2258" t="s">
        <v>116</v>
      </c>
      <c r="D2258" t="s">
        <v>671</v>
      </c>
      <c r="E2258" t="s">
        <v>671</v>
      </c>
      <c r="F2258" s="705">
        <v>1</v>
      </c>
      <c r="G2258" s="705">
        <v>224</v>
      </c>
      <c r="H2258" s="705">
        <v>222</v>
      </c>
      <c r="I2258" s="705">
        <v>28226</v>
      </c>
      <c r="J2258" s="705">
        <v>25660</v>
      </c>
      <c r="K2258" s="705">
        <v>65</v>
      </c>
      <c r="L2258" s="705">
        <v>6795</v>
      </c>
      <c r="M2258" s="705">
        <v>6177</v>
      </c>
      <c r="N2258" s="705">
        <v>4558</v>
      </c>
      <c r="O2258" s="705">
        <v>1688</v>
      </c>
      <c r="P2258" s="705">
        <v>351</v>
      </c>
      <c r="Q2258" s="705">
        <v>130</v>
      </c>
      <c r="R2258" s="705">
        <v>6134</v>
      </c>
      <c r="S2258" s="705">
        <v>5576</v>
      </c>
      <c r="T2258" s="705">
        <v>3733</v>
      </c>
      <c r="U2258" s="705">
        <v>1383</v>
      </c>
      <c r="V2258" s="705">
        <v>40615</v>
      </c>
      <c r="W2258" s="705">
        <f t="shared" si="92"/>
        <v>40614</v>
      </c>
      <c r="X2258" s="705">
        <f t="shared" si="93"/>
        <v>49797</v>
      </c>
    </row>
    <row r="2259" spans="2:24">
      <c r="B2259" t="s">
        <v>550</v>
      </c>
      <c r="C2259" t="s">
        <v>116</v>
      </c>
      <c r="D2259" t="s">
        <v>665</v>
      </c>
      <c r="E2259" t="s">
        <v>665</v>
      </c>
      <c r="F2259" s="705">
        <v>2</v>
      </c>
      <c r="G2259" s="705">
        <v>316</v>
      </c>
      <c r="H2259" s="705">
        <v>429</v>
      </c>
      <c r="I2259" s="705">
        <v>48715</v>
      </c>
      <c r="J2259" s="705">
        <v>44286</v>
      </c>
      <c r="K2259" s="705">
        <v>70</v>
      </c>
      <c r="L2259" s="705">
        <v>10321</v>
      </c>
      <c r="M2259" s="705">
        <v>9383</v>
      </c>
      <c r="N2259" s="705">
        <v>8346</v>
      </c>
      <c r="O2259" s="705">
        <v>3091</v>
      </c>
      <c r="P2259" s="705">
        <v>702</v>
      </c>
      <c r="Q2259" s="705">
        <v>260</v>
      </c>
      <c r="R2259" s="705">
        <v>10380</v>
      </c>
      <c r="S2259" s="705">
        <v>9437</v>
      </c>
      <c r="T2259" s="705">
        <v>7136</v>
      </c>
      <c r="U2259" s="705">
        <v>2643</v>
      </c>
      <c r="V2259" s="705">
        <v>69100</v>
      </c>
      <c r="W2259" s="705">
        <f t="shared" si="92"/>
        <v>69100</v>
      </c>
      <c r="X2259" s="705">
        <f t="shared" si="93"/>
        <v>85600</v>
      </c>
    </row>
    <row r="2260" spans="2:24">
      <c r="B2260" t="s">
        <v>550</v>
      </c>
      <c r="C2260" t="s">
        <v>116</v>
      </c>
      <c r="D2260" t="s">
        <v>585</v>
      </c>
      <c r="E2260" t="s">
        <v>228</v>
      </c>
      <c r="F2260" s="705">
        <v>1</v>
      </c>
      <c r="G2260" s="705">
        <v>211</v>
      </c>
      <c r="H2260" s="705">
        <v>170</v>
      </c>
      <c r="I2260" s="705">
        <v>21350</v>
      </c>
      <c r="J2260" s="705">
        <v>19409</v>
      </c>
      <c r="K2260" s="705">
        <v>86</v>
      </c>
      <c r="L2260" s="705">
        <v>3709</v>
      </c>
      <c r="M2260" s="705">
        <v>3091</v>
      </c>
      <c r="N2260" s="705">
        <v>4043</v>
      </c>
      <c r="O2260" s="705">
        <v>1497</v>
      </c>
      <c r="P2260" s="705">
        <v>621</v>
      </c>
      <c r="Q2260" s="705">
        <v>230</v>
      </c>
      <c r="R2260" s="705">
        <v>6268</v>
      </c>
      <c r="S2260" s="705">
        <v>2321</v>
      </c>
      <c r="T2260" s="705">
        <v>0</v>
      </c>
      <c r="U2260" s="705">
        <v>0</v>
      </c>
      <c r="V2260" s="705">
        <v>26549</v>
      </c>
      <c r="W2260" s="705">
        <f t="shared" si="92"/>
        <v>26548</v>
      </c>
      <c r="X2260" s="705">
        <f t="shared" si="93"/>
        <v>35991</v>
      </c>
    </row>
    <row r="2261" spans="2:24">
      <c r="B2261" t="s">
        <v>550</v>
      </c>
      <c r="C2261" t="s">
        <v>116</v>
      </c>
      <c r="D2261" t="s">
        <v>585</v>
      </c>
      <c r="E2261" t="s">
        <v>585</v>
      </c>
      <c r="F2261" s="705">
        <v>22</v>
      </c>
      <c r="G2261" s="705">
        <v>4933</v>
      </c>
      <c r="H2261" s="705">
        <v>4194</v>
      </c>
      <c r="I2261" s="705">
        <v>584860</v>
      </c>
      <c r="J2261" s="705">
        <v>531691</v>
      </c>
      <c r="K2261" s="705">
        <v>73</v>
      </c>
      <c r="L2261" s="705">
        <v>110074</v>
      </c>
      <c r="M2261" s="705">
        <v>95834</v>
      </c>
      <c r="N2261" s="705">
        <v>95751</v>
      </c>
      <c r="O2261" s="705">
        <v>35464</v>
      </c>
      <c r="P2261" s="705">
        <v>11894</v>
      </c>
      <c r="Q2261" s="705">
        <v>4405</v>
      </c>
      <c r="R2261" s="705">
        <v>154361</v>
      </c>
      <c r="S2261" s="705">
        <v>140328</v>
      </c>
      <c r="T2261" s="705">
        <v>6261</v>
      </c>
      <c r="U2261" s="705">
        <v>2319</v>
      </c>
      <c r="V2261" s="705">
        <v>810040</v>
      </c>
      <c r="W2261" s="705">
        <f t="shared" si="92"/>
        <v>810041</v>
      </c>
      <c r="X2261" s="705">
        <f t="shared" si="93"/>
        <v>963201</v>
      </c>
    </row>
    <row r="2262" spans="2:24">
      <c r="B2262" t="s">
        <v>550</v>
      </c>
      <c r="C2262" t="s">
        <v>116</v>
      </c>
      <c r="D2262" t="s">
        <v>668</v>
      </c>
      <c r="E2262" t="s">
        <v>228</v>
      </c>
      <c r="F2262" s="705">
        <v>1</v>
      </c>
      <c r="G2262" s="705">
        <v>131</v>
      </c>
      <c r="H2262" s="705">
        <v>199</v>
      </c>
      <c r="I2262" s="705">
        <v>16885</v>
      </c>
      <c r="J2262" s="705">
        <v>15350</v>
      </c>
      <c r="K2262" s="705">
        <v>88</v>
      </c>
      <c r="L2262" s="705">
        <v>0</v>
      </c>
      <c r="M2262" s="705">
        <v>0</v>
      </c>
      <c r="N2262" s="705">
        <v>1596</v>
      </c>
      <c r="O2262" s="705">
        <v>591</v>
      </c>
      <c r="P2262" s="705">
        <v>351</v>
      </c>
      <c r="Q2262" s="705">
        <v>130</v>
      </c>
      <c r="R2262" s="705">
        <v>7218</v>
      </c>
      <c r="S2262" s="705">
        <v>2673</v>
      </c>
      <c r="T2262" s="705">
        <v>0</v>
      </c>
      <c r="U2262" s="705">
        <v>0</v>
      </c>
      <c r="V2262" s="705">
        <v>18745</v>
      </c>
      <c r="W2262" s="705">
        <f t="shared" si="92"/>
        <v>18744</v>
      </c>
      <c r="X2262" s="705">
        <f t="shared" si="93"/>
        <v>26050</v>
      </c>
    </row>
    <row r="2263" spans="2:24">
      <c r="B2263" t="s">
        <v>550</v>
      </c>
      <c r="C2263" t="s">
        <v>118</v>
      </c>
      <c r="D2263" t="s">
        <v>664</v>
      </c>
      <c r="E2263" t="s">
        <v>664</v>
      </c>
      <c r="F2263" s="705">
        <v>3</v>
      </c>
      <c r="G2263" s="705">
        <v>317</v>
      </c>
      <c r="H2263" s="705">
        <v>834</v>
      </c>
      <c r="I2263" s="705">
        <v>44910</v>
      </c>
      <c r="J2263" s="705">
        <v>40827</v>
      </c>
      <c r="K2263" s="705">
        <v>74</v>
      </c>
      <c r="L2263" s="705">
        <v>12239</v>
      </c>
      <c r="M2263" s="705">
        <v>11126</v>
      </c>
      <c r="N2263" s="705">
        <v>6003</v>
      </c>
      <c r="O2263" s="705">
        <v>2223</v>
      </c>
      <c r="P2263" s="705">
        <v>1418</v>
      </c>
      <c r="Q2263" s="705">
        <v>525</v>
      </c>
      <c r="R2263" s="705">
        <v>18180</v>
      </c>
      <c r="S2263" s="705">
        <v>16528</v>
      </c>
      <c r="T2263" s="705">
        <v>5384</v>
      </c>
      <c r="U2263" s="705">
        <v>1994</v>
      </c>
      <c r="V2263" s="705">
        <v>73223</v>
      </c>
      <c r="W2263" s="705">
        <f t="shared" si="92"/>
        <v>73223</v>
      </c>
      <c r="X2263" s="705">
        <f t="shared" si="93"/>
        <v>88134</v>
      </c>
    </row>
    <row r="2264" spans="2:24">
      <c r="B2264" t="s">
        <v>550</v>
      </c>
      <c r="C2264" t="s">
        <v>118</v>
      </c>
      <c r="D2264" t="s">
        <v>664</v>
      </c>
      <c r="E2264" t="s">
        <v>583</v>
      </c>
      <c r="F2264" s="705">
        <v>1</v>
      </c>
      <c r="G2264" s="705">
        <v>119</v>
      </c>
      <c r="H2264" s="705">
        <v>295</v>
      </c>
      <c r="I2264" s="705">
        <v>21577</v>
      </c>
      <c r="J2264" s="705">
        <v>19616</v>
      </c>
      <c r="K2264" s="705">
        <v>95</v>
      </c>
      <c r="L2264" s="705">
        <v>7592</v>
      </c>
      <c r="M2264" s="705">
        <v>6902</v>
      </c>
      <c r="N2264" s="705">
        <v>1879</v>
      </c>
      <c r="O2264" s="705">
        <v>696</v>
      </c>
      <c r="P2264" s="705">
        <v>972</v>
      </c>
      <c r="Q2264" s="705">
        <v>360</v>
      </c>
      <c r="R2264" s="705">
        <v>2998</v>
      </c>
      <c r="S2264" s="705">
        <v>2725</v>
      </c>
      <c r="T2264" s="705">
        <v>0</v>
      </c>
      <c r="U2264" s="705">
        <v>0</v>
      </c>
      <c r="V2264" s="705">
        <v>30298</v>
      </c>
      <c r="W2264" s="705">
        <f t="shared" si="92"/>
        <v>30299</v>
      </c>
      <c r="X2264" s="705">
        <f t="shared" si="93"/>
        <v>35018</v>
      </c>
    </row>
    <row r="2265" spans="2:24">
      <c r="B2265" t="s">
        <v>550</v>
      </c>
      <c r="C2265" t="s">
        <v>118</v>
      </c>
      <c r="D2265" t="s">
        <v>582</v>
      </c>
      <c r="E2265" t="s">
        <v>582</v>
      </c>
      <c r="F2265" s="705">
        <v>26</v>
      </c>
      <c r="G2265" s="705">
        <v>4625</v>
      </c>
      <c r="H2265" s="705">
        <v>6754</v>
      </c>
      <c r="I2265" s="705">
        <v>786516</v>
      </c>
      <c r="J2265" s="705">
        <v>715015</v>
      </c>
      <c r="K2265" s="705">
        <v>83</v>
      </c>
      <c r="L2265" s="705">
        <v>197164</v>
      </c>
      <c r="M2265" s="705">
        <v>175198</v>
      </c>
      <c r="N2265" s="705">
        <v>99420</v>
      </c>
      <c r="O2265" s="705">
        <v>36822</v>
      </c>
      <c r="P2265" s="705">
        <v>14931</v>
      </c>
      <c r="Q2265" s="705">
        <v>5530</v>
      </c>
      <c r="R2265" s="705">
        <v>144751</v>
      </c>
      <c r="S2265" s="705">
        <v>131592</v>
      </c>
      <c r="T2265" s="705">
        <v>16398</v>
      </c>
      <c r="U2265" s="705">
        <v>6073</v>
      </c>
      <c r="V2265" s="705">
        <v>1070230</v>
      </c>
      <c r="W2265" s="705">
        <f t="shared" si="92"/>
        <v>1070230</v>
      </c>
      <c r="X2265" s="705">
        <f t="shared" si="93"/>
        <v>1259180</v>
      </c>
    </row>
    <row r="2266" spans="2:24">
      <c r="B2266" t="s">
        <v>550</v>
      </c>
      <c r="C2266" t="s">
        <v>118</v>
      </c>
      <c r="D2266" t="s">
        <v>228</v>
      </c>
      <c r="E2266" t="s">
        <v>228</v>
      </c>
      <c r="F2266" s="705">
        <v>21</v>
      </c>
      <c r="G2266" s="705">
        <v>4085</v>
      </c>
      <c r="H2266" s="705">
        <v>5458</v>
      </c>
      <c r="I2266" s="705">
        <v>681403</v>
      </c>
      <c r="J2266" s="705">
        <v>252371</v>
      </c>
      <c r="K2266" s="705">
        <v>110</v>
      </c>
      <c r="L2266" s="705">
        <v>92866</v>
      </c>
      <c r="M2266" s="705">
        <v>80543</v>
      </c>
      <c r="N2266" s="705">
        <v>85296</v>
      </c>
      <c r="O2266" s="705">
        <v>31591</v>
      </c>
      <c r="P2266" s="705">
        <v>1404</v>
      </c>
      <c r="Q2266" s="705">
        <v>520</v>
      </c>
      <c r="R2266" s="705">
        <v>198826</v>
      </c>
      <c r="S2266" s="705">
        <v>73639</v>
      </c>
      <c r="T2266" s="705">
        <v>0</v>
      </c>
      <c r="U2266" s="705">
        <v>0</v>
      </c>
      <c r="V2266" s="705">
        <v>438665</v>
      </c>
      <c r="W2266" s="705">
        <f t="shared" si="92"/>
        <v>438664</v>
      </c>
      <c r="X2266" s="705">
        <f t="shared" si="93"/>
        <v>1059795</v>
      </c>
    </row>
    <row r="2267" spans="2:24">
      <c r="B2267" t="s">
        <v>550</v>
      </c>
      <c r="C2267" t="s">
        <v>118</v>
      </c>
      <c r="D2267" t="s">
        <v>583</v>
      </c>
      <c r="E2267" t="s">
        <v>228</v>
      </c>
      <c r="F2267" s="705">
        <v>4</v>
      </c>
      <c r="G2267" s="705">
        <v>621</v>
      </c>
      <c r="H2267" s="705">
        <v>1041</v>
      </c>
      <c r="I2267" s="705">
        <v>98640</v>
      </c>
      <c r="J2267" s="705">
        <v>89673</v>
      </c>
      <c r="K2267" s="705">
        <v>73</v>
      </c>
      <c r="L2267" s="705">
        <v>17791</v>
      </c>
      <c r="M2267" s="705">
        <v>16173</v>
      </c>
      <c r="N2267" s="705">
        <v>13148</v>
      </c>
      <c r="O2267" s="705">
        <v>4870</v>
      </c>
      <c r="P2267" s="705">
        <v>3083</v>
      </c>
      <c r="Q2267" s="705">
        <v>1142</v>
      </c>
      <c r="R2267" s="705">
        <v>31031</v>
      </c>
      <c r="S2267" s="705">
        <v>11493</v>
      </c>
      <c r="T2267" s="705">
        <v>0</v>
      </c>
      <c r="U2267" s="705">
        <v>0</v>
      </c>
      <c r="V2267" s="705">
        <v>123350</v>
      </c>
      <c r="W2267" s="705">
        <f t="shared" si="92"/>
        <v>123351</v>
      </c>
      <c r="X2267" s="705">
        <f t="shared" si="93"/>
        <v>163693</v>
      </c>
    </row>
    <row r="2268" spans="2:24">
      <c r="B2268" t="s">
        <v>550</v>
      </c>
      <c r="C2268" t="s">
        <v>118</v>
      </c>
      <c r="D2268" t="s">
        <v>583</v>
      </c>
      <c r="E2268" t="s">
        <v>583</v>
      </c>
      <c r="F2268" s="705">
        <v>2009</v>
      </c>
      <c r="G2268" s="705">
        <v>290003</v>
      </c>
      <c r="H2268" s="705">
        <v>524177</v>
      </c>
      <c r="I2268" s="705">
        <v>46040492</v>
      </c>
      <c r="J2268" s="705">
        <v>41854992</v>
      </c>
      <c r="K2268" s="705">
        <v>80</v>
      </c>
      <c r="L2268" s="705">
        <v>9778840</v>
      </c>
      <c r="M2268" s="705">
        <v>8701433</v>
      </c>
      <c r="N2268" s="705">
        <v>5967585</v>
      </c>
      <c r="O2268" s="705">
        <v>2210217</v>
      </c>
      <c r="P2268" s="705">
        <v>1308901</v>
      </c>
      <c r="Q2268" s="705">
        <v>484778</v>
      </c>
      <c r="R2268" s="705">
        <v>11163876</v>
      </c>
      <c r="S2268" s="705">
        <v>10148978</v>
      </c>
      <c r="T2268" s="705">
        <v>3042421</v>
      </c>
      <c r="U2268" s="705">
        <v>1126823</v>
      </c>
      <c r="V2268" s="705">
        <v>64527221</v>
      </c>
      <c r="W2268" s="705">
        <f t="shared" si="92"/>
        <v>64527221</v>
      </c>
      <c r="X2268" s="705">
        <f t="shared" si="93"/>
        <v>77302115</v>
      </c>
    </row>
    <row r="2269" spans="2:24">
      <c r="B2269" t="s">
        <v>550</v>
      </c>
      <c r="C2269" t="s">
        <v>118</v>
      </c>
      <c r="D2269" t="s">
        <v>583</v>
      </c>
      <c r="E2269" t="s">
        <v>666</v>
      </c>
      <c r="F2269" s="705">
        <v>4</v>
      </c>
      <c r="G2269" s="705">
        <v>550</v>
      </c>
      <c r="H2269" s="705">
        <v>1076</v>
      </c>
      <c r="I2269" s="705">
        <v>84952</v>
      </c>
      <c r="J2269" s="705">
        <v>77229</v>
      </c>
      <c r="K2269" s="705">
        <v>71</v>
      </c>
      <c r="L2269" s="705">
        <v>15847</v>
      </c>
      <c r="M2269" s="705">
        <v>14407</v>
      </c>
      <c r="N2269" s="705">
        <v>11417</v>
      </c>
      <c r="O2269" s="705">
        <v>4229</v>
      </c>
      <c r="P2269" s="705">
        <v>2484</v>
      </c>
      <c r="Q2269" s="705">
        <v>920</v>
      </c>
      <c r="R2269" s="705">
        <v>20140</v>
      </c>
      <c r="S2269" s="705">
        <v>18309</v>
      </c>
      <c r="T2269" s="705">
        <v>12625</v>
      </c>
      <c r="U2269" s="705">
        <v>4676</v>
      </c>
      <c r="V2269" s="705">
        <v>119770</v>
      </c>
      <c r="W2269" s="705">
        <f t="shared" si="92"/>
        <v>119770</v>
      </c>
      <c r="X2269" s="705">
        <f t="shared" si="93"/>
        <v>147465</v>
      </c>
    </row>
    <row r="2270" spans="2:24">
      <c r="B2270" t="s">
        <v>550</v>
      </c>
      <c r="C2270" t="s">
        <v>118</v>
      </c>
      <c r="D2270" t="s">
        <v>583</v>
      </c>
      <c r="E2270" t="s">
        <v>665</v>
      </c>
      <c r="F2270" s="705">
        <v>2</v>
      </c>
      <c r="G2270" s="705">
        <v>332</v>
      </c>
      <c r="H2270" s="705">
        <v>551</v>
      </c>
      <c r="I2270" s="705">
        <v>52968</v>
      </c>
      <c r="J2270" s="705">
        <v>48153</v>
      </c>
      <c r="K2270" s="705">
        <v>79</v>
      </c>
      <c r="L2270" s="705">
        <v>11939</v>
      </c>
      <c r="M2270" s="705">
        <v>10853</v>
      </c>
      <c r="N2270" s="705">
        <v>7751</v>
      </c>
      <c r="O2270" s="705">
        <v>2871</v>
      </c>
      <c r="P2270" s="705">
        <v>1242</v>
      </c>
      <c r="Q2270" s="705">
        <v>460</v>
      </c>
      <c r="R2270" s="705">
        <v>14999</v>
      </c>
      <c r="S2270" s="705">
        <v>13635</v>
      </c>
      <c r="T2270" s="705">
        <v>3646</v>
      </c>
      <c r="U2270" s="705">
        <v>1350</v>
      </c>
      <c r="V2270" s="705">
        <v>77322</v>
      </c>
      <c r="W2270" s="705">
        <f t="shared" si="92"/>
        <v>77322</v>
      </c>
      <c r="X2270" s="705">
        <f t="shared" si="93"/>
        <v>92545</v>
      </c>
    </row>
    <row r="2271" spans="2:24">
      <c r="B2271" t="s">
        <v>550</v>
      </c>
      <c r="C2271" t="s">
        <v>118</v>
      </c>
      <c r="D2271" t="s">
        <v>666</v>
      </c>
      <c r="E2271" t="s">
        <v>666</v>
      </c>
      <c r="F2271" s="705">
        <v>1</v>
      </c>
      <c r="G2271" s="705">
        <v>118</v>
      </c>
      <c r="H2271" s="705">
        <v>268</v>
      </c>
      <c r="I2271" s="705">
        <v>19893</v>
      </c>
      <c r="J2271" s="705">
        <v>18085</v>
      </c>
      <c r="K2271" s="705">
        <v>55</v>
      </c>
      <c r="L2271" s="705">
        <v>1422</v>
      </c>
      <c r="M2271" s="705">
        <v>1293</v>
      </c>
      <c r="N2271" s="705">
        <v>2484</v>
      </c>
      <c r="O2271" s="705">
        <v>920</v>
      </c>
      <c r="P2271" s="705">
        <v>621</v>
      </c>
      <c r="Q2271" s="705">
        <v>230</v>
      </c>
      <c r="R2271" s="705">
        <v>7166</v>
      </c>
      <c r="S2271" s="705">
        <v>6515</v>
      </c>
      <c r="T2271" s="705">
        <v>0</v>
      </c>
      <c r="U2271" s="705">
        <v>0</v>
      </c>
      <c r="V2271" s="705">
        <v>27042</v>
      </c>
      <c r="W2271" s="705">
        <f t="shared" si="92"/>
        <v>27043</v>
      </c>
      <c r="X2271" s="705">
        <f t="shared" si="93"/>
        <v>31586</v>
      </c>
    </row>
    <row r="2272" spans="2:24">
      <c r="B2272" t="s">
        <v>550</v>
      </c>
      <c r="C2272" t="s">
        <v>118</v>
      </c>
      <c r="D2272" t="s">
        <v>584</v>
      </c>
      <c r="E2272" t="s">
        <v>583</v>
      </c>
      <c r="F2272" s="705">
        <v>1</v>
      </c>
      <c r="G2272" s="705">
        <v>147</v>
      </c>
      <c r="H2272" s="705">
        <v>276</v>
      </c>
      <c r="I2272" s="705">
        <v>25088</v>
      </c>
      <c r="J2272" s="705">
        <v>22807</v>
      </c>
      <c r="K2272" s="705">
        <v>73</v>
      </c>
      <c r="L2272" s="705">
        <v>3517</v>
      </c>
      <c r="M2272" s="705">
        <v>2931</v>
      </c>
      <c r="N2272" s="705">
        <v>3570</v>
      </c>
      <c r="O2272" s="705">
        <v>1322</v>
      </c>
      <c r="P2272" s="705">
        <v>473</v>
      </c>
      <c r="Q2272" s="705">
        <v>175</v>
      </c>
      <c r="R2272" s="705">
        <v>4852</v>
      </c>
      <c r="S2272" s="705">
        <v>4411</v>
      </c>
      <c r="T2272" s="705">
        <v>2981</v>
      </c>
      <c r="U2272" s="705">
        <v>1104</v>
      </c>
      <c r="V2272" s="705">
        <v>32751</v>
      </c>
      <c r="W2272" s="705">
        <f t="shared" si="92"/>
        <v>32750</v>
      </c>
      <c r="X2272" s="705">
        <f t="shared" si="93"/>
        <v>40481</v>
      </c>
    </row>
    <row r="2273" spans="2:24">
      <c r="B2273" t="s">
        <v>550</v>
      </c>
      <c r="C2273" t="s">
        <v>118</v>
      </c>
      <c r="D2273" t="s">
        <v>584</v>
      </c>
      <c r="E2273" t="s">
        <v>584</v>
      </c>
      <c r="F2273" s="705">
        <v>330</v>
      </c>
      <c r="G2273" s="705">
        <v>44328</v>
      </c>
      <c r="H2273" s="705">
        <v>84038</v>
      </c>
      <c r="I2273" s="705">
        <v>6206924</v>
      </c>
      <c r="J2273" s="705">
        <v>5642659</v>
      </c>
      <c r="K2273" s="705">
        <v>79</v>
      </c>
      <c r="L2273" s="705">
        <v>1884817</v>
      </c>
      <c r="M2273" s="705">
        <v>1667459</v>
      </c>
      <c r="N2273" s="705">
        <v>935480</v>
      </c>
      <c r="O2273" s="705">
        <v>346474</v>
      </c>
      <c r="P2273" s="705">
        <v>157383</v>
      </c>
      <c r="Q2273" s="705">
        <v>58290</v>
      </c>
      <c r="R2273" s="705">
        <v>1850052</v>
      </c>
      <c r="S2273" s="705">
        <v>1681865</v>
      </c>
      <c r="T2273" s="705">
        <v>440692</v>
      </c>
      <c r="U2273" s="705">
        <v>163219</v>
      </c>
      <c r="V2273" s="705">
        <v>9559966</v>
      </c>
      <c r="W2273" s="705">
        <f t="shared" si="92"/>
        <v>9559966</v>
      </c>
      <c r="X2273" s="705">
        <f t="shared" si="93"/>
        <v>11475348</v>
      </c>
    </row>
    <row r="2274" spans="2:24">
      <c r="B2274" t="s">
        <v>550</v>
      </c>
      <c r="C2274" t="s">
        <v>118</v>
      </c>
      <c r="D2274" t="s">
        <v>669</v>
      </c>
      <c r="E2274" t="s">
        <v>669</v>
      </c>
      <c r="F2274" s="705">
        <v>3</v>
      </c>
      <c r="G2274" s="705">
        <v>434</v>
      </c>
      <c r="H2274" s="705">
        <v>843</v>
      </c>
      <c r="I2274" s="705">
        <v>74830</v>
      </c>
      <c r="J2274" s="705">
        <v>62358</v>
      </c>
      <c r="K2274" s="705">
        <v>66</v>
      </c>
      <c r="L2274" s="705">
        <v>12449</v>
      </c>
      <c r="M2274" s="705">
        <v>8954</v>
      </c>
      <c r="N2274" s="705">
        <v>7612</v>
      </c>
      <c r="O2274" s="705">
        <v>2819</v>
      </c>
      <c r="P2274" s="705">
        <v>1445</v>
      </c>
      <c r="Q2274" s="705">
        <v>535</v>
      </c>
      <c r="R2274" s="705">
        <v>22580</v>
      </c>
      <c r="S2274" s="705">
        <v>18817</v>
      </c>
      <c r="T2274" s="705">
        <v>3073</v>
      </c>
      <c r="U2274" s="705">
        <v>1138</v>
      </c>
      <c r="V2274" s="705">
        <v>94622</v>
      </c>
      <c r="W2274" s="705">
        <f t="shared" ref="W2274:W2337" si="94">SUM(ABS(J2274),ABS(M2274),ABS(O2274),ABS(Q2274),ABS(S2274),ABS(U2274))</f>
        <v>94621</v>
      </c>
      <c r="X2274" s="705">
        <f t="shared" ref="X2274:X2337" si="95">SUM(ABS(I2274),ABS(N2274),ABS(P2274),ABS(R2274),ABS(T2274),ABS(L2274))</f>
        <v>121989</v>
      </c>
    </row>
    <row r="2275" spans="2:24">
      <c r="B2275" t="s">
        <v>550</v>
      </c>
      <c r="C2275" t="s">
        <v>118</v>
      </c>
      <c r="D2275" t="s">
        <v>667</v>
      </c>
      <c r="E2275" t="s">
        <v>667</v>
      </c>
      <c r="F2275" s="705">
        <v>1</v>
      </c>
      <c r="G2275" s="705">
        <v>127</v>
      </c>
      <c r="H2275" s="705">
        <v>246</v>
      </c>
      <c r="I2275" s="705">
        <v>19026</v>
      </c>
      <c r="J2275" s="705">
        <v>17297</v>
      </c>
      <c r="K2275" s="705">
        <v>65</v>
      </c>
      <c r="L2275" s="705">
        <v>2290</v>
      </c>
      <c r="M2275" s="705">
        <v>2082</v>
      </c>
      <c r="N2275" s="705">
        <v>1547</v>
      </c>
      <c r="O2275" s="705">
        <v>573</v>
      </c>
      <c r="P2275" s="705">
        <v>351</v>
      </c>
      <c r="Q2275" s="705">
        <v>130</v>
      </c>
      <c r="R2275" s="705">
        <v>7980</v>
      </c>
      <c r="S2275" s="705">
        <v>7255</v>
      </c>
      <c r="T2275" s="705">
        <v>0</v>
      </c>
      <c r="U2275" s="705">
        <v>0</v>
      </c>
      <c r="V2275" s="705">
        <v>27336</v>
      </c>
      <c r="W2275" s="705">
        <f t="shared" si="94"/>
        <v>27337</v>
      </c>
      <c r="X2275" s="705">
        <f t="shared" si="95"/>
        <v>31194</v>
      </c>
    </row>
    <row r="2276" spans="2:24">
      <c r="B2276" t="s">
        <v>550</v>
      </c>
      <c r="C2276" t="s">
        <v>118</v>
      </c>
      <c r="D2276" t="s">
        <v>671</v>
      </c>
      <c r="E2276" t="s">
        <v>671</v>
      </c>
      <c r="F2276" s="705">
        <v>1</v>
      </c>
      <c r="G2276" s="705">
        <v>179</v>
      </c>
      <c r="H2276" s="705">
        <v>260</v>
      </c>
      <c r="I2276" s="705">
        <v>29268</v>
      </c>
      <c r="J2276" s="705">
        <v>26607</v>
      </c>
      <c r="K2276" s="705">
        <v>65</v>
      </c>
      <c r="L2276" s="705">
        <v>2467</v>
      </c>
      <c r="M2276" s="705">
        <v>2242</v>
      </c>
      <c r="N2276" s="705">
        <v>4137</v>
      </c>
      <c r="O2276" s="705">
        <v>1532</v>
      </c>
      <c r="P2276" s="705">
        <v>621</v>
      </c>
      <c r="Q2276" s="705">
        <v>230</v>
      </c>
      <c r="R2276" s="705">
        <v>6174</v>
      </c>
      <c r="S2276" s="705">
        <v>5613</v>
      </c>
      <c r="T2276" s="705">
        <v>3765</v>
      </c>
      <c r="U2276" s="705">
        <v>1394</v>
      </c>
      <c r="V2276" s="705">
        <v>37619</v>
      </c>
      <c r="W2276" s="705">
        <f t="shared" si="94"/>
        <v>37618</v>
      </c>
      <c r="X2276" s="705">
        <f t="shared" si="95"/>
        <v>46432</v>
      </c>
    </row>
    <row r="2277" spans="2:24">
      <c r="B2277" t="s">
        <v>550</v>
      </c>
      <c r="C2277" t="s">
        <v>118</v>
      </c>
      <c r="D2277" t="s">
        <v>665</v>
      </c>
      <c r="E2277" t="s">
        <v>665</v>
      </c>
      <c r="F2277" s="705">
        <v>16</v>
      </c>
      <c r="G2277" s="705">
        <v>2128</v>
      </c>
      <c r="H2277" s="705">
        <v>4452</v>
      </c>
      <c r="I2277" s="705">
        <v>381673</v>
      </c>
      <c r="J2277" s="705">
        <v>346976</v>
      </c>
      <c r="K2277" s="705">
        <v>66</v>
      </c>
      <c r="L2277" s="705">
        <v>47749</v>
      </c>
      <c r="M2277" s="705">
        <v>40014</v>
      </c>
      <c r="N2277" s="705">
        <v>39632</v>
      </c>
      <c r="O2277" s="705">
        <v>14679</v>
      </c>
      <c r="P2277" s="705">
        <v>7587</v>
      </c>
      <c r="Q2277" s="705">
        <v>2810</v>
      </c>
      <c r="R2277" s="705">
        <v>84331</v>
      </c>
      <c r="S2277" s="705">
        <v>76664</v>
      </c>
      <c r="T2277" s="705">
        <v>46661</v>
      </c>
      <c r="U2277" s="705">
        <v>17282</v>
      </c>
      <c r="V2277" s="705">
        <v>498425</v>
      </c>
      <c r="W2277" s="705">
        <f t="shared" si="94"/>
        <v>498425</v>
      </c>
      <c r="X2277" s="705">
        <f t="shared" si="95"/>
        <v>607633</v>
      </c>
    </row>
    <row r="2278" spans="2:24">
      <c r="B2278" t="s">
        <v>550</v>
      </c>
      <c r="C2278" t="s">
        <v>118</v>
      </c>
      <c r="D2278" t="s">
        <v>673</v>
      </c>
      <c r="E2278" t="s">
        <v>673</v>
      </c>
      <c r="F2278" s="705">
        <v>3</v>
      </c>
      <c r="G2278" s="705">
        <v>365</v>
      </c>
      <c r="H2278" s="705">
        <v>855</v>
      </c>
      <c r="I2278" s="705">
        <v>74638</v>
      </c>
      <c r="J2278" s="705">
        <v>67853</v>
      </c>
      <c r="K2278" s="705">
        <v>65</v>
      </c>
      <c r="L2278" s="705">
        <v>12547</v>
      </c>
      <c r="M2278" s="705">
        <v>9556</v>
      </c>
      <c r="N2278" s="705">
        <v>9234</v>
      </c>
      <c r="O2278" s="705">
        <v>3420</v>
      </c>
      <c r="P2278" s="705">
        <v>1323</v>
      </c>
      <c r="Q2278" s="705">
        <v>490</v>
      </c>
      <c r="R2278" s="705">
        <v>20835</v>
      </c>
      <c r="S2278" s="705">
        <v>18941</v>
      </c>
      <c r="T2278" s="705">
        <v>0</v>
      </c>
      <c r="U2278" s="705">
        <v>0</v>
      </c>
      <c r="V2278" s="705">
        <v>100260</v>
      </c>
      <c r="W2278" s="705">
        <f t="shared" si="94"/>
        <v>100260</v>
      </c>
      <c r="X2278" s="705">
        <f t="shared" si="95"/>
        <v>118577</v>
      </c>
    </row>
    <row r="2279" spans="2:24">
      <c r="B2279" t="s">
        <v>550</v>
      </c>
      <c r="C2279" t="s">
        <v>118</v>
      </c>
      <c r="D2279" t="s">
        <v>585</v>
      </c>
      <c r="E2279" t="s">
        <v>585</v>
      </c>
      <c r="F2279" s="705">
        <v>9</v>
      </c>
      <c r="G2279" s="705">
        <v>1675</v>
      </c>
      <c r="H2279" s="705">
        <v>2350</v>
      </c>
      <c r="I2279" s="705">
        <v>290137</v>
      </c>
      <c r="J2279" s="705">
        <v>263761</v>
      </c>
      <c r="K2279" s="705">
        <v>74</v>
      </c>
      <c r="L2279" s="705">
        <v>44985</v>
      </c>
      <c r="M2279" s="705">
        <v>40895</v>
      </c>
      <c r="N2279" s="705">
        <v>31691</v>
      </c>
      <c r="O2279" s="705">
        <v>11737</v>
      </c>
      <c r="P2279" s="705">
        <v>4671</v>
      </c>
      <c r="Q2279" s="705">
        <v>1730</v>
      </c>
      <c r="R2279" s="705">
        <v>54976</v>
      </c>
      <c r="S2279" s="705">
        <v>49978</v>
      </c>
      <c r="T2279" s="705">
        <v>6986</v>
      </c>
      <c r="U2279" s="705">
        <v>2588</v>
      </c>
      <c r="V2279" s="705">
        <v>370689</v>
      </c>
      <c r="W2279" s="705">
        <f t="shared" si="94"/>
        <v>370689</v>
      </c>
      <c r="X2279" s="705">
        <f t="shared" si="95"/>
        <v>433446</v>
      </c>
    </row>
    <row r="2280" spans="2:24">
      <c r="B2280" t="s">
        <v>550</v>
      </c>
      <c r="C2280" t="s">
        <v>118</v>
      </c>
      <c r="D2280" t="s">
        <v>668</v>
      </c>
      <c r="E2280" t="s">
        <v>668</v>
      </c>
      <c r="F2280" s="705">
        <v>2</v>
      </c>
      <c r="G2280" s="705">
        <v>341</v>
      </c>
      <c r="H2280" s="705">
        <v>506</v>
      </c>
      <c r="I2280" s="705">
        <v>56143</v>
      </c>
      <c r="J2280" s="705">
        <v>51039</v>
      </c>
      <c r="K2280" s="705">
        <v>65</v>
      </c>
      <c r="L2280" s="705">
        <v>6520</v>
      </c>
      <c r="M2280" s="705">
        <v>5927</v>
      </c>
      <c r="N2280" s="705">
        <v>6399</v>
      </c>
      <c r="O2280" s="705">
        <v>2370</v>
      </c>
      <c r="P2280" s="705">
        <v>1053</v>
      </c>
      <c r="Q2280" s="705">
        <v>390</v>
      </c>
      <c r="R2280" s="705">
        <v>10462</v>
      </c>
      <c r="S2280" s="705">
        <v>9511</v>
      </c>
      <c r="T2280" s="705">
        <v>5483</v>
      </c>
      <c r="U2280" s="705">
        <v>2031</v>
      </c>
      <c r="V2280" s="705">
        <v>71267</v>
      </c>
      <c r="W2280" s="705">
        <f t="shared" si="94"/>
        <v>71268</v>
      </c>
      <c r="X2280" s="705">
        <f t="shared" si="95"/>
        <v>86060</v>
      </c>
    </row>
    <row r="2281" spans="2:24">
      <c r="B2281" t="s">
        <v>550</v>
      </c>
      <c r="C2281" t="s">
        <v>120</v>
      </c>
      <c r="F2281" s="705">
        <v>1</v>
      </c>
      <c r="G2281" s="705">
        <v>142</v>
      </c>
      <c r="H2281" s="705">
        <v>347</v>
      </c>
      <c r="I2281" s="705"/>
      <c r="J2281" s="705">
        <v>0</v>
      </c>
      <c r="K2281" s="705"/>
      <c r="L2281" s="705"/>
      <c r="M2281" s="705">
        <v>0</v>
      </c>
      <c r="N2281" s="705">
        <v>3192</v>
      </c>
      <c r="O2281" s="705">
        <v>1182</v>
      </c>
      <c r="P2281" s="705">
        <v>621</v>
      </c>
      <c r="Q2281" s="705">
        <v>230</v>
      </c>
      <c r="R2281" s="705"/>
      <c r="S2281" s="705">
        <v>0</v>
      </c>
      <c r="T2281" s="705">
        <v>0</v>
      </c>
      <c r="U2281" s="705">
        <v>0</v>
      </c>
      <c r="V2281" s="705">
        <v>1412</v>
      </c>
      <c r="W2281" s="705">
        <f t="shared" si="94"/>
        <v>1412</v>
      </c>
      <c r="X2281" s="705">
        <f t="shared" si="95"/>
        <v>3813</v>
      </c>
    </row>
    <row r="2282" spans="2:24">
      <c r="B2282" t="s">
        <v>550</v>
      </c>
      <c r="C2282" t="s">
        <v>120</v>
      </c>
      <c r="D2282" t="s">
        <v>582</v>
      </c>
      <c r="E2282" t="s">
        <v>582</v>
      </c>
      <c r="F2282" s="705">
        <v>8</v>
      </c>
      <c r="G2282" s="705">
        <v>813</v>
      </c>
      <c r="H2282" s="705">
        <v>2625</v>
      </c>
      <c r="I2282" s="705">
        <v>188759</v>
      </c>
      <c r="J2282" s="705">
        <v>171599</v>
      </c>
      <c r="K2282" s="705">
        <v>81</v>
      </c>
      <c r="L2282" s="705">
        <v>37743</v>
      </c>
      <c r="M2282" s="705">
        <v>34312</v>
      </c>
      <c r="N2282" s="705">
        <v>17326</v>
      </c>
      <c r="O2282" s="705">
        <v>6417</v>
      </c>
      <c r="P2282" s="705">
        <v>3780</v>
      </c>
      <c r="Q2282" s="705">
        <v>1400</v>
      </c>
      <c r="R2282" s="705">
        <v>41098</v>
      </c>
      <c r="S2282" s="705">
        <v>37362</v>
      </c>
      <c r="T2282" s="705">
        <v>7333</v>
      </c>
      <c r="U2282" s="705">
        <v>2716</v>
      </c>
      <c r="V2282" s="705">
        <v>253805</v>
      </c>
      <c r="W2282" s="705">
        <f t="shared" si="94"/>
        <v>253806</v>
      </c>
      <c r="X2282" s="705">
        <f t="shared" si="95"/>
        <v>296039</v>
      </c>
    </row>
    <row r="2283" spans="2:24">
      <c r="B2283" t="s">
        <v>550</v>
      </c>
      <c r="C2283" t="s">
        <v>120</v>
      </c>
      <c r="D2283" t="s">
        <v>228</v>
      </c>
      <c r="E2283" t="s">
        <v>228</v>
      </c>
      <c r="F2283" s="705">
        <v>13</v>
      </c>
      <c r="G2283" s="705">
        <v>1699</v>
      </c>
      <c r="H2283" s="705">
        <v>4585</v>
      </c>
      <c r="I2283" s="705">
        <v>438517</v>
      </c>
      <c r="J2283" s="705">
        <v>162414</v>
      </c>
      <c r="K2283" s="705">
        <v>100</v>
      </c>
      <c r="L2283" s="705">
        <v>40375</v>
      </c>
      <c r="M2283" s="705">
        <v>32341</v>
      </c>
      <c r="N2283" s="705">
        <v>31856</v>
      </c>
      <c r="O2283" s="705">
        <v>11798</v>
      </c>
      <c r="P2283" s="705">
        <v>835</v>
      </c>
      <c r="Q2283" s="705">
        <v>309</v>
      </c>
      <c r="R2283" s="705">
        <v>101089</v>
      </c>
      <c r="S2283" s="705">
        <v>37440</v>
      </c>
      <c r="T2283" s="705">
        <v>0</v>
      </c>
      <c r="U2283" s="705">
        <v>0</v>
      </c>
      <c r="V2283" s="705">
        <v>244302</v>
      </c>
      <c r="W2283" s="705">
        <f t="shared" si="94"/>
        <v>244302</v>
      </c>
      <c r="X2283" s="705">
        <f t="shared" si="95"/>
        <v>612672</v>
      </c>
    </row>
    <row r="2284" spans="2:24">
      <c r="B2284" t="s">
        <v>550</v>
      </c>
      <c r="C2284" t="s">
        <v>120</v>
      </c>
      <c r="D2284" t="s">
        <v>228</v>
      </c>
      <c r="E2284" t="s">
        <v>583</v>
      </c>
      <c r="F2284" s="705">
        <v>1</v>
      </c>
      <c r="G2284" s="705">
        <v>160</v>
      </c>
      <c r="H2284" s="705">
        <v>375</v>
      </c>
      <c r="I2284" s="705">
        <v>71632</v>
      </c>
      <c r="J2284" s="705">
        <v>26530</v>
      </c>
      <c r="K2284" s="705">
        <v>100</v>
      </c>
      <c r="L2284" s="705">
        <v>4632</v>
      </c>
      <c r="M2284" s="705">
        <v>4211</v>
      </c>
      <c r="N2284" s="705">
        <v>5951</v>
      </c>
      <c r="O2284" s="705">
        <v>2204</v>
      </c>
      <c r="P2284" s="705">
        <v>621</v>
      </c>
      <c r="Q2284" s="705">
        <v>230</v>
      </c>
      <c r="R2284" s="705">
        <v>8785</v>
      </c>
      <c r="S2284" s="705">
        <v>7986</v>
      </c>
      <c r="T2284" s="705">
        <v>0</v>
      </c>
      <c r="U2284" s="705">
        <v>0</v>
      </c>
      <c r="V2284" s="705">
        <v>41162</v>
      </c>
      <c r="W2284" s="705">
        <f t="shared" si="94"/>
        <v>41161</v>
      </c>
      <c r="X2284" s="705">
        <f t="shared" si="95"/>
        <v>91621</v>
      </c>
    </row>
    <row r="2285" spans="2:24">
      <c r="B2285" t="s">
        <v>550</v>
      </c>
      <c r="C2285" t="s">
        <v>120</v>
      </c>
      <c r="D2285" t="s">
        <v>583</v>
      </c>
      <c r="E2285" t="s">
        <v>664</v>
      </c>
      <c r="F2285" s="705">
        <v>1</v>
      </c>
      <c r="G2285" s="705">
        <v>110</v>
      </c>
      <c r="H2285" s="705">
        <v>356</v>
      </c>
      <c r="I2285" s="705">
        <v>26272</v>
      </c>
      <c r="J2285" s="705">
        <v>23884</v>
      </c>
      <c r="K2285" s="705">
        <v>79</v>
      </c>
      <c r="L2285" s="705">
        <v>3981</v>
      </c>
      <c r="M2285" s="705">
        <v>3619</v>
      </c>
      <c r="N2285" s="705">
        <v>2252</v>
      </c>
      <c r="O2285" s="705">
        <v>834</v>
      </c>
      <c r="P2285" s="705">
        <v>621</v>
      </c>
      <c r="Q2285" s="705">
        <v>230</v>
      </c>
      <c r="R2285" s="705">
        <v>5988</v>
      </c>
      <c r="S2285" s="705">
        <v>5443</v>
      </c>
      <c r="T2285" s="705">
        <v>0</v>
      </c>
      <c r="U2285" s="705">
        <v>0</v>
      </c>
      <c r="V2285" s="705">
        <v>34009</v>
      </c>
      <c r="W2285" s="705">
        <f t="shared" si="94"/>
        <v>34010</v>
      </c>
      <c r="X2285" s="705">
        <f t="shared" si="95"/>
        <v>39114</v>
      </c>
    </row>
    <row r="2286" spans="2:24">
      <c r="B2286" t="s">
        <v>550</v>
      </c>
      <c r="C2286" t="s">
        <v>120</v>
      </c>
      <c r="D2286" t="s">
        <v>583</v>
      </c>
      <c r="E2286" t="s">
        <v>228</v>
      </c>
      <c r="F2286" s="705">
        <v>6</v>
      </c>
      <c r="G2286" s="705">
        <v>751</v>
      </c>
      <c r="H2286" s="705">
        <v>1953</v>
      </c>
      <c r="I2286" s="705">
        <v>139956</v>
      </c>
      <c r="J2286" s="705">
        <v>127233</v>
      </c>
      <c r="K2286" s="705">
        <v>82</v>
      </c>
      <c r="L2286" s="705">
        <v>34743</v>
      </c>
      <c r="M2286" s="705">
        <v>28343</v>
      </c>
      <c r="N2286" s="705">
        <v>15252</v>
      </c>
      <c r="O2286" s="705">
        <v>5649</v>
      </c>
      <c r="P2286" s="705">
        <v>4028</v>
      </c>
      <c r="Q2286" s="705">
        <v>1492</v>
      </c>
      <c r="R2286" s="705">
        <v>47025</v>
      </c>
      <c r="S2286" s="705">
        <v>17417</v>
      </c>
      <c r="T2286" s="705">
        <v>0</v>
      </c>
      <c r="U2286" s="705">
        <v>0</v>
      </c>
      <c r="V2286" s="705">
        <v>180133</v>
      </c>
      <c r="W2286" s="705">
        <f t="shared" si="94"/>
        <v>180134</v>
      </c>
      <c r="X2286" s="705">
        <f t="shared" si="95"/>
        <v>241004</v>
      </c>
    </row>
    <row r="2287" spans="2:24">
      <c r="B2287" t="s">
        <v>550</v>
      </c>
      <c r="C2287" t="s">
        <v>120</v>
      </c>
      <c r="D2287" t="s">
        <v>583</v>
      </c>
      <c r="E2287" t="s">
        <v>583</v>
      </c>
      <c r="F2287" s="705">
        <v>838</v>
      </c>
      <c r="G2287" s="705">
        <v>108295</v>
      </c>
      <c r="H2287" s="705">
        <v>284459</v>
      </c>
      <c r="I2287" s="705">
        <v>23457560</v>
      </c>
      <c r="J2287" s="705">
        <v>21325054</v>
      </c>
      <c r="K2287" s="705">
        <v>76</v>
      </c>
      <c r="L2287" s="705">
        <v>4770200</v>
      </c>
      <c r="M2287" s="705">
        <v>4248361</v>
      </c>
      <c r="N2287" s="705">
        <v>2223920</v>
      </c>
      <c r="O2287" s="705">
        <v>823674</v>
      </c>
      <c r="P2287" s="705">
        <v>543304</v>
      </c>
      <c r="Q2287" s="705">
        <v>201224</v>
      </c>
      <c r="R2287" s="705">
        <v>4614481</v>
      </c>
      <c r="S2287" s="705">
        <v>4194983</v>
      </c>
      <c r="T2287" s="705">
        <v>1450973</v>
      </c>
      <c r="U2287" s="705">
        <v>537397</v>
      </c>
      <c r="V2287" s="705">
        <v>31330693</v>
      </c>
      <c r="W2287" s="705">
        <f t="shared" si="94"/>
        <v>31330693</v>
      </c>
      <c r="X2287" s="705">
        <f t="shared" si="95"/>
        <v>37060438</v>
      </c>
    </row>
    <row r="2288" spans="2:24">
      <c r="B2288" t="s">
        <v>550</v>
      </c>
      <c r="C2288" t="s">
        <v>120</v>
      </c>
      <c r="D2288" t="s">
        <v>583</v>
      </c>
      <c r="E2288" t="s">
        <v>666</v>
      </c>
      <c r="F2288" s="705">
        <v>1</v>
      </c>
      <c r="G2288" s="705">
        <v>131</v>
      </c>
      <c r="H2288" s="705">
        <v>309</v>
      </c>
      <c r="I2288" s="705">
        <v>25730</v>
      </c>
      <c r="J2288" s="705">
        <v>23391</v>
      </c>
      <c r="K2288" s="705">
        <v>72</v>
      </c>
      <c r="L2288" s="705">
        <v>3743</v>
      </c>
      <c r="M2288" s="705">
        <v>3402</v>
      </c>
      <c r="N2288" s="705">
        <v>3156</v>
      </c>
      <c r="O2288" s="705">
        <v>1169</v>
      </c>
      <c r="P2288" s="705">
        <v>1194</v>
      </c>
      <c r="Q2288" s="705">
        <v>442</v>
      </c>
      <c r="R2288" s="705">
        <v>4375</v>
      </c>
      <c r="S2288" s="705">
        <v>3977</v>
      </c>
      <c r="T2288" s="705">
        <v>2365</v>
      </c>
      <c r="U2288" s="705">
        <v>876</v>
      </c>
      <c r="V2288" s="705">
        <v>33258</v>
      </c>
      <c r="W2288" s="705">
        <f t="shared" si="94"/>
        <v>33257</v>
      </c>
      <c r="X2288" s="705">
        <f t="shared" si="95"/>
        <v>40563</v>
      </c>
    </row>
    <row r="2289" spans="2:24">
      <c r="B2289" t="s">
        <v>550</v>
      </c>
      <c r="C2289" t="s">
        <v>120</v>
      </c>
      <c r="D2289" t="s">
        <v>583</v>
      </c>
      <c r="E2289" t="s">
        <v>584</v>
      </c>
      <c r="F2289" s="705">
        <v>1</v>
      </c>
      <c r="G2289" s="705">
        <v>135</v>
      </c>
      <c r="H2289" s="705">
        <v>312</v>
      </c>
      <c r="I2289" s="705">
        <v>26524</v>
      </c>
      <c r="J2289" s="705">
        <v>24112</v>
      </c>
      <c r="K2289" s="705">
        <v>70</v>
      </c>
      <c r="L2289" s="705">
        <v>3111</v>
      </c>
      <c r="M2289" s="705">
        <v>2828</v>
      </c>
      <c r="N2289" s="705">
        <v>2344</v>
      </c>
      <c r="O2289" s="705">
        <v>868</v>
      </c>
      <c r="P2289" s="705">
        <v>621</v>
      </c>
      <c r="Q2289" s="705">
        <v>230</v>
      </c>
      <c r="R2289" s="705">
        <v>5779</v>
      </c>
      <c r="S2289" s="705">
        <v>5254</v>
      </c>
      <c r="T2289" s="705">
        <v>3559</v>
      </c>
      <c r="U2289" s="705">
        <v>1318</v>
      </c>
      <c r="V2289" s="705">
        <v>34611</v>
      </c>
      <c r="W2289" s="705">
        <f t="shared" si="94"/>
        <v>34610</v>
      </c>
      <c r="X2289" s="705">
        <f t="shared" si="95"/>
        <v>41938</v>
      </c>
    </row>
    <row r="2290" spans="2:24">
      <c r="B2290" t="s">
        <v>550</v>
      </c>
      <c r="C2290" t="s">
        <v>120</v>
      </c>
      <c r="D2290" t="s">
        <v>583</v>
      </c>
      <c r="E2290" t="s">
        <v>665</v>
      </c>
      <c r="F2290" s="705">
        <v>1</v>
      </c>
      <c r="G2290" s="705">
        <v>91</v>
      </c>
      <c r="H2290" s="705">
        <v>348</v>
      </c>
      <c r="I2290" s="705">
        <v>17210</v>
      </c>
      <c r="J2290" s="705">
        <v>15645</v>
      </c>
      <c r="K2290" s="705">
        <v>70</v>
      </c>
      <c r="L2290" s="705">
        <v>2826</v>
      </c>
      <c r="M2290" s="705">
        <v>2569</v>
      </c>
      <c r="N2290" s="705">
        <v>2157</v>
      </c>
      <c r="O2290" s="705">
        <v>799</v>
      </c>
      <c r="P2290" s="705">
        <v>972</v>
      </c>
      <c r="Q2290" s="705">
        <v>360</v>
      </c>
      <c r="R2290" s="705">
        <v>6253</v>
      </c>
      <c r="S2290" s="705">
        <v>5684</v>
      </c>
      <c r="T2290" s="705">
        <v>2315</v>
      </c>
      <c r="U2290" s="705">
        <v>857</v>
      </c>
      <c r="V2290" s="705">
        <v>25914</v>
      </c>
      <c r="W2290" s="705">
        <f t="shared" si="94"/>
        <v>25914</v>
      </c>
      <c r="X2290" s="705">
        <f t="shared" si="95"/>
        <v>31733</v>
      </c>
    </row>
    <row r="2291" spans="2:24">
      <c r="B2291" t="s">
        <v>550</v>
      </c>
      <c r="C2291" t="s">
        <v>120</v>
      </c>
      <c r="D2291" t="s">
        <v>666</v>
      </c>
      <c r="E2291" t="s">
        <v>666</v>
      </c>
      <c r="F2291" s="705">
        <v>4</v>
      </c>
      <c r="G2291" s="705">
        <v>381</v>
      </c>
      <c r="H2291" s="705">
        <v>1387</v>
      </c>
      <c r="I2291" s="705">
        <v>77059</v>
      </c>
      <c r="J2291" s="705">
        <v>70054</v>
      </c>
      <c r="K2291" s="705">
        <v>61</v>
      </c>
      <c r="L2291" s="705">
        <v>10925</v>
      </c>
      <c r="M2291" s="705">
        <v>8100</v>
      </c>
      <c r="N2291" s="705">
        <v>8346</v>
      </c>
      <c r="O2291" s="705">
        <v>3091</v>
      </c>
      <c r="P2291" s="705">
        <v>2025</v>
      </c>
      <c r="Q2291" s="705">
        <v>750</v>
      </c>
      <c r="R2291" s="705">
        <v>20893</v>
      </c>
      <c r="S2291" s="705">
        <v>18994</v>
      </c>
      <c r="T2291" s="705">
        <v>11154</v>
      </c>
      <c r="U2291" s="705">
        <v>4131</v>
      </c>
      <c r="V2291" s="705">
        <v>105119</v>
      </c>
      <c r="W2291" s="705">
        <f t="shared" si="94"/>
        <v>105120</v>
      </c>
      <c r="X2291" s="705">
        <f t="shared" si="95"/>
        <v>130402</v>
      </c>
    </row>
    <row r="2292" spans="2:24">
      <c r="B2292" t="s">
        <v>550</v>
      </c>
      <c r="C2292" t="s">
        <v>120</v>
      </c>
      <c r="D2292" t="s">
        <v>584</v>
      </c>
      <c r="E2292" t="s">
        <v>584</v>
      </c>
      <c r="F2292" s="705">
        <v>52</v>
      </c>
      <c r="G2292" s="705">
        <v>5315</v>
      </c>
      <c r="H2292" s="705">
        <v>17323</v>
      </c>
      <c r="I2292" s="705">
        <v>1040570</v>
      </c>
      <c r="J2292" s="705">
        <v>945972</v>
      </c>
      <c r="K2292" s="705">
        <v>76</v>
      </c>
      <c r="L2292" s="705">
        <v>284358</v>
      </c>
      <c r="M2292" s="705">
        <v>250406</v>
      </c>
      <c r="N2292" s="705">
        <v>110115</v>
      </c>
      <c r="O2292" s="705">
        <v>40784</v>
      </c>
      <c r="P2292" s="705">
        <v>25029</v>
      </c>
      <c r="Q2292" s="705">
        <v>9270</v>
      </c>
      <c r="R2292" s="705">
        <v>278419</v>
      </c>
      <c r="S2292" s="705">
        <v>253108</v>
      </c>
      <c r="T2292" s="705">
        <v>59698</v>
      </c>
      <c r="U2292" s="705">
        <v>22110</v>
      </c>
      <c r="V2292" s="705">
        <v>1521650</v>
      </c>
      <c r="W2292" s="705">
        <f t="shared" si="94"/>
        <v>1521650</v>
      </c>
      <c r="X2292" s="705">
        <f t="shared" si="95"/>
        <v>1798189</v>
      </c>
    </row>
    <row r="2293" spans="2:24">
      <c r="B2293" t="s">
        <v>550</v>
      </c>
      <c r="C2293" t="s">
        <v>120</v>
      </c>
      <c r="D2293" t="s">
        <v>669</v>
      </c>
      <c r="E2293" t="s">
        <v>228</v>
      </c>
      <c r="F2293" s="705">
        <v>1</v>
      </c>
      <c r="G2293" s="705">
        <v>296</v>
      </c>
      <c r="H2293" s="705">
        <v>323</v>
      </c>
      <c r="I2293" s="705">
        <v>82224</v>
      </c>
      <c r="J2293" s="705">
        <v>68520</v>
      </c>
      <c r="K2293" s="705">
        <v>30</v>
      </c>
      <c r="L2293" s="705">
        <v>0</v>
      </c>
      <c r="M2293" s="705">
        <v>0</v>
      </c>
      <c r="N2293" s="705">
        <v>3607</v>
      </c>
      <c r="O2293" s="705">
        <v>1336</v>
      </c>
      <c r="P2293" s="705">
        <v>0</v>
      </c>
      <c r="Q2293" s="705">
        <v>0</v>
      </c>
      <c r="R2293" s="705">
        <v>9776</v>
      </c>
      <c r="S2293" s="705">
        <v>3621</v>
      </c>
      <c r="T2293" s="705">
        <v>0</v>
      </c>
      <c r="U2293" s="705">
        <v>0</v>
      </c>
      <c r="V2293" s="705">
        <v>73477</v>
      </c>
      <c r="W2293" s="705">
        <f t="shared" si="94"/>
        <v>73477</v>
      </c>
      <c r="X2293" s="705">
        <f t="shared" si="95"/>
        <v>95607</v>
      </c>
    </row>
    <row r="2294" spans="2:24">
      <c r="B2294" t="s">
        <v>550</v>
      </c>
      <c r="C2294" t="s">
        <v>120</v>
      </c>
      <c r="D2294" t="s">
        <v>669</v>
      </c>
      <c r="E2294" t="s">
        <v>669</v>
      </c>
      <c r="F2294" s="705">
        <v>2</v>
      </c>
      <c r="G2294" s="705">
        <v>236</v>
      </c>
      <c r="H2294" s="705">
        <v>705</v>
      </c>
      <c r="I2294" s="705">
        <v>52810</v>
      </c>
      <c r="J2294" s="705">
        <v>44008</v>
      </c>
      <c r="K2294" s="705">
        <v>60</v>
      </c>
      <c r="L2294" s="705">
        <v>5257</v>
      </c>
      <c r="M2294" s="705">
        <v>4546</v>
      </c>
      <c r="N2294" s="705">
        <v>5312</v>
      </c>
      <c r="O2294" s="705">
        <v>1967</v>
      </c>
      <c r="P2294" s="705">
        <v>1323</v>
      </c>
      <c r="Q2294" s="705">
        <v>490</v>
      </c>
      <c r="R2294" s="705">
        <v>12373</v>
      </c>
      <c r="S2294" s="705">
        <v>10311</v>
      </c>
      <c r="T2294" s="705">
        <v>6010</v>
      </c>
      <c r="U2294" s="705">
        <v>2226</v>
      </c>
      <c r="V2294" s="705">
        <v>63548</v>
      </c>
      <c r="W2294" s="705">
        <f t="shared" si="94"/>
        <v>63548</v>
      </c>
      <c r="X2294" s="705">
        <f t="shared" si="95"/>
        <v>83085</v>
      </c>
    </row>
    <row r="2295" spans="2:24">
      <c r="B2295" t="s">
        <v>550</v>
      </c>
      <c r="C2295" t="s">
        <v>120</v>
      </c>
      <c r="D2295" t="s">
        <v>665</v>
      </c>
      <c r="E2295" t="s">
        <v>665</v>
      </c>
      <c r="F2295" s="705">
        <v>25</v>
      </c>
      <c r="G2295" s="705">
        <v>3002</v>
      </c>
      <c r="H2295" s="705">
        <v>8425</v>
      </c>
      <c r="I2295" s="705">
        <v>656720</v>
      </c>
      <c r="J2295" s="705">
        <v>597018</v>
      </c>
      <c r="K2295" s="705">
        <v>62</v>
      </c>
      <c r="L2295" s="705">
        <v>91968</v>
      </c>
      <c r="M2295" s="705">
        <v>82000</v>
      </c>
      <c r="N2295" s="705">
        <v>62338</v>
      </c>
      <c r="O2295" s="705">
        <v>23088</v>
      </c>
      <c r="P2295" s="705">
        <v>11367</v>
      </c>
      <c r="Q2295" s="705">
        <v>4210</v>
      </c>
      <c r="R2295" s="705">
        <v>147583</v>
      </c>
      <c r="S2295" s="705">
        <v>134166</v>
      </c>
      <c r="T2295" s="705">
        <v>62892</v>
      </c>
      <c r="U2295" s="705">
        <v>23294</v>
      </c>
      <c r="V2295" s="705">
        <v>863776</v>
      </c>
      <c r="W2295" s="705">
        <f t="shared" si="94"/>
        <v>863776</v>
      </c>
      <c r="X2295" s="705">
        <f t="shared" si="95"/>
        <v>1032868</v>
      </c>
    </row>
    <row r="2296" spans="2:24">
      <c r="B2296" t="s">
        <v>550</v>
      </c>
      <c r="C2296" t="s">
        <v>120</v>
      </c>
      <c r="D2296" t="s">
        <v>673</v>
      </c>
      <c r="E2296" t="s">
        <v>673</v>
      </c>
      <c r="F2296" s="705">
        <v>2</v>
      </c>
      <c r="G2296" s="705">
        <v>198</v>
      </c>
      <c r="H2296" s="705">
        <v>704</v>
      </c>
      <c r="I2296" s="705">
        <v>43255</v>
      </c>
      <c r="J2296" s="705">
        <v>39323</v>
      </c>
      <c r="K2296" s="705">
        <v>60</v>
      </c>
      <c r="L2296" s="705">
        <v>9569</v>
      </c>
      <c r="M2296" s="705">
        <v>8699</v>
      </c>
      <c r="N2296" s="705">
        <v>3248</v>
      </c>
      <c r="O2296" s="705">
        <v>1203</v>
      </c>
      <c r="P2296" s="705">
        <v>972</v>
      </c>
      <c r="Q2296" s="705">
        <v>360</v>
      </c>
      <c r="R2296" s="705">
        <v>9725</v>
      </c>
      <c r="S2296" s="705">
        <v>8841</v>
      </c>
      <c r="T2296" s="705">
        <v>2893</v>
      </c>
      <c r="U2296" s="705">
        <v>1072</v>
      </c>
      <c r="V2296" s="705">
        <v>59497</v>
      </c>
      <c r="W2296" s="705">
        <f t="shared" si="94"/>
        <v>59498</v>
      </c>
      <c r="X2296" s="705">
        <f t="shared" si="95"/>
        <v>69662</v>
      </c>
    </row>
    <row r="2297" spans="2:24">
      <c r="B2297" t="s">
        <v>550</v>
      </c>
      <c r="C2297" t="s">
        <v>120</v>
      </c>
      <c r="D2297" t="s">
        <v>585</v>
      </c>
      <c r="E2297" t="s">
        <v>585</v>
      </c>
      <c r="F2297" s="705">
        <v>2</v>
      </c>
      <c r="G2297" s="705">
        <v>349</v>
      </c>
      <c r="H2297" s="705">
        <v>649</v>
      </c>
      <c r="I2297" s="705">
        <v>79874</v>
      </c>
      <c r="J2297" s="705">
        <v>72613</v>
      </c>
      <c r="K2297" s="705">
        <v>65</v>
      </c>
      <c r="L2297" s="705">
        <v>9102</v>
      </c>
      <c r="M2297" s="705">
        <v>8275</v>
      </c>
      <c r="N2297" s="705">
        <v>7489</v>
      </c>
      <c r="O2297" s="705">
        <v>2774</v>
      </c>
      <c r="P2297" s="705">
        <v>1323</v>
      </c>
      <c r="Q2297" s="705">
        <v>490</v>
      </c>
      <c r="R2297" s="705">
        <v>15131</v>
      </c>
      <c r="S2297" s="705">
        <v>13756</v>
      </c>
      <c r="T2297" s="705">
        <v>0</v>
      </c>
      <c r="U2297" s="705">
        <v>0</v>
      </c>
      <c r="V2297" s="705">
        <v>97907</v>
      </c>
      <c r="W2297" s="705">
        <f t="shared" si="94"/>
        <v>97908</v>
      </c>
      <c r="X2297" s="705">
        <f t="shared" si="95"/>
        <v>112919</v>
      </c>
    </row>
    <row r="2298" spans="2:24">
      <c r="B2298" t="s">
        <v>550</v>
      </c>
      <c r="C2298" t="s">
        <v>122</v>
      </c>
      <c r="D2298" t="s">
        <v>664</v>
      </c>
      <c r="E2298" t="s">
        <v>664</v>
      </c>
      <c r="F2298" s="705">
        <v>1</v>
      </c>
      <c r="G2298" s="705">
        <v>93</v>
      </c>
      <c r="H2298" s="705">
        <v>423</v>
      </c>
      <c r="I2298" s="705">
        <v>30451</v>
      </c>
      <c r="J2298" s="705">
        <v>27683</v>
      </c>
      <c r="K2298" s="705">
        <v>68</v>
      </c>
      <c r="L2298" s="705">
        <v>3122</v>
      </c>
      <c r="M2298" s="705">
        <v>2839</v>
      </c>
      <c r="N2298" s="705">
        <v>1651</v>
      </c>
      <c r="O2298" s="705">
        <v>612</v>
      </c>
      <c r="P2298" s="705">
        <v>621</v>
      </c>
      <c r="Q2298" s="705">
        <v>230</v>
      </c>
      <c r="R2298" s="705">
        <v>3645</v>
      </c>
      <c r="S2298" s="705">
        <v>3313</v>
      </c>
      <c r="T2298" s="705">
        <v>0</v>
      </c>
      <c r="U2298" s="705">
        <v>0</v>
      </c>
      <c r="V2298" s="705">
        <v>34676</v>
      </c>
      <c r="W2298" s="705">
        <f t="shared" si="94"/>
        <v>34677</v>
      </c>
      <c r="X2298" s="705">
        <f t="shared" si="95"/>
        <v>39490</v>
      </c>
    </row>
    <row r="2299" spans="2:24">
      <c r="B2299" t="s">
        <v>550</v>
      </c>
      <c r="C2299" t="s">
        <v>122</v>
      </c>
      <c r="D2299" t="s">
        <v>582</v>
      </c>
      <c r="E2299" t="s">
        <v>582</v>
      </c>
      <c r="F2299" s="705">
        <v>5</v>
      </c>
      <c r="G2299" s="705">
        <v>825</v>
      </c>
      <c r="H2299" s="705">
        <v>2073</v>
      </c>
      <c r="I2299" s="705">
        <v>238529</v>
      </c>
      <c r="J2299" s="705">
        <v>216845</v>
      </c>
      <c r="K2299" s="705">
        <v>77</v>
      </c>
      <c r="L2299" s="705">
        <v>50081</v>
      </c>
      <c r="M2299" s="705">
        <v>45528</v>
      </c>
      <c r="N2299" s="705">
        <v>18283</v>
      </c>
      <c r="O2299" s="705">
        <v>6772</v>
      </c>
      <c r="P2299" s="705">
        <v>2363</v>
      </c>
      <c r="Q2299" s="705">
        <v>875</v>
      </c>
      <c r="R2299" s="705">
        <v>25746</v>
      </c>
      <c r="S2299" s="705">
        <v>23405</v>
      </c>
      <c r="T2299" s="705">
        <v>13590</v>
      </c>
      <c r="U2299" s="705">
        <v>5033</v>
      </c>
      <c r="V2299" s="705">
        <v>298458</v>
      </c>
      <c r="W2299" s="705">
        <f t="shared" si="94"/>
        <v>298458</v>
      </c>
      <c r="X2299" s="705">
        <f t="shared" si="95"/>
        <v>348592</v>
      </c>
    </row>
    <row r="2300" spans="2:24">
      <c r="B2300" t="s">
        <v>550</v>
      </c>
      <c r="C2300" t="s">
        <v>122</v>
      </c>
      <c r="D2300" t="s">
        <v>228</v>
      </c>
      <c r="E2300" t="s">
        <v>228</v>
      </c>
      <c r="F2300" s="705">
        <v>6</v>
      </c>
      <c r="G2300" s="705">
        <v>471</v>
      </c>
      <c r="H2300" s="705">
        <v>2417</v>
      </c>
      <c r="I2300" s="705">
        <v>125848</v>
      </c>
      <c r="J2300" s="705">
        <v>46610</v>
      </c>
      <c r="K2300" s="705">
        <v>100</v>
      </c>
      <c r="L2300" s="705">
        <v>14274</v>
      </c>
      <c r="M2300" s="705">
        <v>10575</v>
      </c>
      <c r="N2300" s="705">
        <v>8717</v>
      </c>
      <c r="O2300" s="705">
        <v>3228</v>
      </c>
      <c r="P2300" s="705">
        <v>0</v>
      </c>
      <c r="Q2300" s="705">
        <v>0</v>
      </c>
      <c r="R2300" s="705">
        <v>39739</v>
      </c>
      <c r="S2300" s="705">
        <v>14718</v>
      </c>
      <c r="T2300" s="705">
        <v>0</v>
      </c>
      <c r="U2300" s="705">
        <v>0</v>
      </c>
      <c r="V2300" s="705">
        <v>75132</v>
      </c>
      <c r="W2300" s="705">
        <f t="shared" si="94"/>
        <v>75131</v>
      </c>
      <c r="X2300" s="705">
        <f t="shared" si="95"/>
        <v>188578</v>
      </c>
    </row>
    <row r="2301" spans="2:24">
      <c r="B2301" t="s">
        <v>550</v>
      </c>
      <c r="C2301" t="s">
        <v>122</v>
      </c>
      <c r="D2301" t="s">
        <v>583</v>
      </c>
      <c r="E2301" t="s">
        <v>228</v>
      </c>
      <c r="F2301" s="705">
        <v>2</v>
      </c>
      <c r="G2301" s="705">
        <v>163</v>
      </c>
      <c r="H2301" s="705">
        <v>834</v>
      </c>
      <c r="I2301" s="705">
        <v>44459</v>
      </c>
      <c r="J2301" s="705">
        <v>40418</v>
      </c>
      <c r="K2301" s="705">
        <v>81</v>
      </c>
      <c r="L2301" s="705">
        <v>9804</v>
      </c>
      <c r="M2301" s="705">
        <v>8913</v>
      </c>
      <c r="N2301" s="705">
        <v>3851</v>
      </c>
      <c r="O2301" s="705">
        <v>1426</v>
      </c>
      <c r="P2301" s="705">
        <v>1242</v>
      </c>
      <c r="Q2301" s="705">
        <v>460</v>
      </c>
      <c r="R2301" s="705">
        <v>9825</v>
      </c>
      <c r="S2301" s="705">
        <v>3639</v>
      </c>
      <c r="T2301" s="705">
        <v>0</v>
      </c>
      <c r="U2301" s="705">
        <v>0</v>
      </c>
      <c r="V2301" s="705">
        <v>54856</v>
      </c>
      <c r="W2301" s="705">
        <f t="shared" si="94"/>
        <v>54856</v>
      </c>
      <c r="X2301" s="705">
        <f t="shared" si="95"/>
        <v>69181</v>
      </c>
    </row>
    <row r="2302" spans="2:24">
      <c r="B2302" t="s">
        <v>550</v>
      </c>
      <c r="C2302" t="s">
        <v>122</v>
      </c>
      <c r="D2302" t="s">
        <v>583</v>
      </c>
      <c r="E2302" t="s">
        <v>583</v>
      </c>
      <c r="F2302" s="705">
        <v>404</v>
      </c>
      <c r="G2302" s="705">
        <v>49309</v>
      </c>
      <c r="H2302" s="705">
        <v>167365</v>
      </c>
      <c r="I2302" s="705">
        <v>13497547</v>
      </c>
      <c r="J2302" s="705">
        <v>12270497</v>
      </c>
      <c r="K2302" s="705">
        <v>75</v>
      </c>
      <c r="L2302" s="705">
        <v>2876041</v>
      </c>
      <c r="M2302" s="705">
        <v>2567310</v>
      </c>
      <c r="N2302" s="705">
        <v>1033330</v>
      </c>
      <c r="O2302" s="705">
        <v>382715</v>
      </c>
      <c r="P2302" s="705">
        <v>261916</v>
      </c>
      <c r="Q2302" s="705">
        <v>97006</v>
      </c>
      <c r="R2302" s="705">
        <v>2204451</v>
      </c>
      <c r="S2302" s="705">
        <v>2004046</v>
      </c>
      <c r="T2302" s="705">
        <v>710198</v>
      </c>
      <c r="U2302" s="705">
        <v>263036</v>
      </c>
      <c r="V2302" s="705">
        <v>17584610</v>
      </c>
      <c r="W2302" s="705">
        <f t="shared" si="94"/>
        <v>17584610</v>
      </c>
      <c r="X2302" s="705">
        <f t="shared" si="95"/>
        <v>20583483</v>
      </c>
    </row>
    <row r="2303" spans="2:24">
      <c r="B2303" t="s">
        <v>550</v>
      </c>
      <c r="C2303" t="s">
        <v>122</v>
      </c>
      <c r="D2303" t="s">
        <v>583</v>
      </c>
      <c r="E2303" t="s">
        <v>665</v>
      </c>
      <c r="F2303" s="705">
        <v>1</v>
      </c>
      <c r="G2303" s="705">
        <v>83</v>
      </c>
      <c r="H2303" s="705">
        <v>426</v>
      </c>
      <c r="I2303" s="705">
        <v>24011</v>
      </c>
      <c r="J2303" s="705">
        <v>21828</v>
      </c>
      <c r="K2303" s="705">
        <v>65</v>
      </c>
      <c r="L2303" s="705">
        <v>2668</v>
      </c>
      <c r="M2303" s="705">
        <v>2425</v>
      </c>
      <c r="N2303" s="705">
        <v>1262</v>
      </c>
      <c r="O2303" s="705">
        <v>467</v>
      </c>
      <c r="P2303" s="705">
        <v>972</v>
      </c>
      <c r="Q2303" s="705">
        <v>360</v>
      </c>
      <c r="R2303" s="705">
        <v>4189</v>
      </c>
      <c r="S2303" s="705">
        <v>3808</v>
      </c>
      <c r="T2303" s="705">
        <v>2205</v>
      </c>
      <c r="U2303" s="705">
        <v>817</v>
      </c>
      <c r="V2303" s="705">
        <v>29705</v>
      </c>
      <c r="W2303" s="705">
        <f t="shared" si="94"/>
        <v>29705</v>
      </c>
      <c r="X2303" s="705">
        <f t="shared" si="95"/>
        <v>35307</v>
      </c>
    </row>
    <row r="2304" spans="2:24">
      <c r="B2304" t="s">
        <v>550</v>
      </c>
      <c r="C2304" t="s">
        <v>122</v>
      </c>
      <c r="D2304" t="s">
        <v>666</v>
      </c>
      <c r="E2304" t="s">
        <v>666</v>
      </c>
      <c r="F2304" s="705">
        <v>2</v>
      </c>
      <c r="G2304" s="705">
        <v>192</v>
      </c>
      <c r="H2304" s="705">
        <v>811</v>
      </c>
      <c r="I2304" s="705">
        <v>46136</v>
      </c>
      <c r="J2304" s="705">
        <v>41942</v>
      </c>
      <c r="K2304" s="705">
        <v>50</v>
      </c>
      <c r="L2304" s="705">
        <v>8134</v>
      </c>
      <c r="M2304" s="705">
        <v>7394</v>
      </c>
      <c r="N2304" s="705">
        <v>4518</v>
      </c>
      <c r="O2304" s="705">
        <v>1673</v>
      </c>
      <c r="P2304" s="705">
        <v>702</v>
      </c>
      <c r="Q2304" s="705">
        <v>260</v>
      </c>
      <c r="R2304" s="705">
        <v>12350</v>
      </c>
      <c r="S2304" s="705">
        <v>11227</v>
      </c>
      <c r="T2304" s="705">
        <v>5095</v>
      </c>
      <c r="U2304" s="705">
        <v>1887</v>
      </c>
      <c r="V2304" s="705">
        <v>64384</v>
      </c>
      <c r="W2304" s="705">
        <f t="shared" si="94"/>
        <v>64383</v>
      </c>
      <c r="X2304" s="705">
        <f t="shared" si="95"/>
        <v>76935</v>
      </c>
    </row>
    <row r="2305" spans="2:24">
      <c r="B2305" t="s">
        <v>550</v>
      </c>
      <c r="C2305" t="s">
        <v>122</v>
      </c>
      <c r="D2305" t="s">
        <v>584</v>
      </c>
      <c r="E2305" t="s">
        <v>584</v>
      </c>
      <c r="F2305" s="705">
        <v>13</v>
      </c>
      <c r="G2305" s="705">
        <v>1371</v>
      </c>
      <c r="H2305" s="705">
        <v>5338</v>
      </c>
      <c r="I2305" s="705">
        <v>371097</v>
      </c>
      <c r="J2305" s="705">
        <v>337361</v>
      </c>
      <c r="K2305" s="705">
        <v>76</v>
      </c>
      <c r="L2305" s="705">
        <v>71180</v>
      </c>
      <c r="M2305" s="705">
        <v>60665</v>
      </c>
      <c r="N2305" s="705">
        <v>27907</v>
      </c>
      <c r="O2305" s="705">
        <v>10336</v>
      </c>
      <c r="P2305" s="705">
        <v>6251</v>
      </c>
      <c r="Q2305" s="705">
        <v>2315</v>
      </c>
      <c r="R2305" s="705">
        <v>70781</v>
      </c>
      <c r="S2305" s="705">
        <v>64347</v>
      </c>
      <c r="T2305" s="705">
        <v>13192</v>
      </c>
      <c r="U2305" s="705">
        <v>4886</v>
      </c>
      <c r="V2305" s="705">
        <v>479909</v>
      </c>
      <c r="W2305" s="705">
        <f t="shared" si="94"/>
        <v>479910</v>
      </c>
      <c r="X2305" s="705">
        <f t="shared" si="95"/>
        <v>560408</v>
      </c>
    </row>
    <row r="2306" spans="2:24">
      <c r="B2306" t="s">
        <v>550</v>
      </c>
      <c r="C2306" t="s">
        <v>122</v>
      </c>
      <c r="D2306" t="s">
        <v>669</v>
      </c>
      <c r="E2306" t="s">
        <v>669</v>
      </c>
      <c r="F2306" s="705">
        <v>4</v>
      </c>
      <c r="G2306" s="705">
        <v>294</v>
      </c>
      <c r="H2306" s="705">
        <v>1638</v>
      </c>
      <c r="I2306" s="705">
        <v>68541</v>
      </c>
      <c r="J2306" s="705">
        <v>57117</v>
      </c>
      <c r="K2306" s="705">
        <v>53</v>
      </c>
      <c r="L2306" s="705">
        <v>10070</v>
      </c>
      <c r="M2306" s="705">
        <v>6685</v>
      </c>
      <c r="N2306" s="705">
        <v>4661</v>
      </c>
      <c r="O2306" s="705">
        <v>1726</v>
      </c>
      <c r="P2306" s="705">
        <v>1404</v>
      </c>
      <c r="Q2306" s="705">
        <v>520</v>
      </c>
      <c r="R2306" s="705">
        <v>27925</v>
      </c>
      <c r="S2306" s="705">
        <v>23271</v>
      </c>
      <c r="T2306" s="705">
        <v>6518</v>
      </c>
      <c r="U2306" s="705">
        <v>2414</v>
      </c>
      <c r="V2306" s="705">
        <v>91734</v>
      </c>
      <c r="W2306" s="705">
        <f t="shared" si="94"/>
        <v>91733</v>
      </c>
      <c r="X2306" s="705">
        <f t="shared" si="95"/>
        <v>119119</v>
      </c>
    </row>
    <row r="2307" spans="2:24">
      <c r="B2307" t="s">
        <v>550</v>
      </c>
      <c r="C2307" t="s">
        <v>122</v>
      </c>
      <c r="D2307" t="s">
        <v>667</v>
      </c>
      <c r="E2307" t="s">
        <v>667</v>
      </c>
      <c r="F2307" s="705">
        <v>1</v>
      </c>
      <c r="G2307" s="705">
        <v>162</v>
      </c>
      <c r="H2307" s="705">
        <v>424</v>
      </c>
      <c r="I2307" s="705">
        <v>45616</v>
      </c>
      <c r="J2307" s="705">
        <v>41469</v>
      </c>
      <c r="K2307" s="705">
        <v>65</v>
      </c>
      <c r="L2307" s="705">
        <v>10982</v>
      </c>
      <c r="M2307" s="705">
        <v>9983</v>
      </c>
      <c r="N2307" s="705">
        <v>3347</v>
      </c>
      <c r="O2307" s="705">
        <v>1240</v>
      </c>
      <c r="P2307" s="705">
        <v>473</v>
      </c>
      <c r="Q2307" s="705">
        <v>175</v>
      </c>
      <c r="R2307" s="705">
        <v>8037</v>
      </c>
      <c r="S2307" s="705">
        <v>7307</v>
      </c>
      <c r="T2307" s="705">
        <v>0</v>
      </c>
      <c r="U2307" s="705">
        <v>0</v>
      </c>
      <c r="V2307" s="705">
        <v>60173</v>
      </c>
      <c r="W2307" s="705">
        <f t="shared" si="94"/>
        <v>60174</v>
      </c>
      <c r="X2307" s="705">
        <f t="shared" si="95"/>
        <v>68455</v>
      </c>
    </row>
    <row r="2308" spans="2:24">
      <c r="B2308" t="s">
        <v>550</v>
      </c>
      <c r="C2308" t="s">
        <v>122</v>
      </c>
      <c r="D2308" t="s">
        <v>671</v>
      </c>
      <c r="E2308" t="s">
        <v>671</v>
      </c>
      <c r="F2308" s="705">
        <v>1</v>
      </c>
      <c r="G2308" s="705">
        <v>88</v>
      </c>
      <c r="H2308" s="705">
        <v>446</v>
      </c>
      <c r="I2308" s="705">
        <v>22526</v>
      </c>
      <c r="J2308" s="705">
        <v>20478</v>
      </c>
      <c r="K2308" s="705">
        <v>45</v>
      </c>
      <c r="L2308" s="705">
        <v>3754</v>
      </c>
      <c r="M2308" s="705">
        <v>3413</v>
      </c>
      <c r="N2308" s="705">
        <v>1874</v>
      </c>
      <c r="O2308" s="705">
        <v>694</v>
      </c>
      <c r="P2308" s="705">
        <v>621</v>
      </c>
      <c r="Q2308" s="705">
        <v>230</v>
      </c>
      <c r="R2308" s="705">
        <v>7483</v>
      </c>
      <c r="S2308" s="705">
        <v>6803</v>
      </c>
      <c r="T2308" s="705">
        <v>2984</v>
      </c>
      <c r="U2308" s="705">
        <v>1105</v>
      </c>
      <c r="V2308" s="705">
        <v>32723</v>
      </c>
      <c r="W2308" s="705">
        <f t="shared" si="94"/>
        <v>32723</v>
      </c>
      <c r="X2308" s="705">
        <f t="shared" si="95"/>
        <v>39242</v>
      </c>
    </row>
    <row r="2309" spans="2:24">
      <c r="B2309" t="s">
        <v>550</v>
      </c>
      <c r="C2309" t="s">
        <v>122</v>
      </c>
      <c r="D2309" t="s">
        <v>665</v>
      </c>
      <c r="E2309" t="s">
        <v>228</v>
      </c>
      <c r="F2309" s="705">
        <v>1</v>
      </c>
      <c r="G2309" s="705">
        <v>78</v>
      </c>
      <c r="H2309" s="705">
        <v>392</v>
      </c>
      <c r="I2309" s="705">
        <v>16489</v>
      </c>
      <c r="J2309" s="705">
        <v>14990</v>
      </c>
      <c r="K2309" s="705">
        <v>60</v>
      </c>
      <c r="L2309" s="705">
        <v>6071</v>
      </c>
      <c r="M2309" s="705">
        <v>2249</v>
      </c>
      <c r="N2309" s="705">
        <v>1845</v>
      </c>
      <c r="O2309" s="705">
        <v>683</v>
      </c>
      <c r="P2309" s="705">
        <v>0</v>
      </c>
      <c r="Q2309" s="705">
        <v>0</v>
      </c>
      <c r="R2309" s="705">
        <v>6213</v>
      </c>
      <c r="S2309" s="705">
        <v>2301</v>
      </c>
      <c r="T2309" s="705">
        <v>0</v>
      </c>
      <c r="U2309" s="705">
        <v>0</v>
      </c>
      <c r="V2309" s="705">
        <v>20223</v>
      </c>
      <c r="W2309" s="705">
        <f t="shared" si="94"/>
        <v>20223</v>
      </c>
      <c r="X2309" s="705">
        <f t="shared" si="95"/>
        <v>30618</v>
      </c>
    </row>
    <row r="2310" spans="2:24">
      <c r="B2310" t="s">
        <v>550</v>
      </c>
      <c r="C2310" t="s">
        <v>122</v>
      </c>
      <c r="D2310" t="s">
        <v>665</v>
      </c>
      <c r="E2310" t="s">
        <v>665</v>
      </c>
      <c r="F2310" s="705">
        <v>30</v>
      </c>
      <c r="G2310" s="705">
        <v>3616</v>
      </c>
      <c r="H2310" s="705">
        <v>12519</v>
      </c>
      <c r="I2310" s="705">
        <v>1061132</v>
      </c>
      <c r="J2310" s="705">
        <v>964666</v>
      </c>
      <c r="K2310" s="705">
        <v>57</v>
      </c>
      <c r="L2310" s="705">
        <v>119280</v>
      </c>
      <c r="M2310" s="705">
        <v>95584</v>
      </c>
      <c r="N2310" s="705">
        <v>74240</v>
      </c>
      <c r="O2310" s="705">
        <v>27496</v>
      </c>
      <c r="P2310" s="705">
        <v>13122</v>
      </c>
      <c r="Q2310" s="705">
        <v>4860</v>
      </c>
      <c r="R2310" s="705">
        <v>180681</v>
      </c>
      <c r="S2310" s="705">
        <v>164256</v>
      </c>
      <c r="T2310" s="705">
        <v>68194</v>
      </c>
      <c r="U2310" s="705">
        <v>25257</v>
      </c>
      <c r="V2310" s="705">
        <v>1282119</v>
      </c>
      <c r="W2310" s="705">
        <f t="shared" si="94"/>
        <v>1282119</v>
      </c>
      <c r="X2310" s="705">
        <f t="shared" si="95"/>
        <v>1516649</v>
      </c>
    </row>
    <row r="2311" spans="2:24">
      <c r="B2311" t="s">
        <v>550</v>
      </c>
      <c r="C2311" t="s">
        <v>122</v>
      </c>
      <c r="D2311" t="s">
        <v>673</v>
      </c>
      <c r="E2311" t="s">
        <v>673</v>
      </c>
      <c r="F2311" s="705">
        <v>2</v>
      </c>
      <c r="G2311" s="705">
        <v>398</v>
      </c>
      <c r="H2311" s="705">
        <v>786</v>
      </c>
      <c r="I2311" s="705">
        <v>108904</v>
      </c>
      <c r="J2311" s="705">
        <v>99004</v>
      </c>
      <c r="K2311" s="705">
        <v>50</v>
      </c>
      <c r="L2311" s="705">
        <v>18889</v>
      </c>
      <c r="M2311" s="705">
        <v>10106</v>
      </c>
      <c r="N2311" s="705">
        <v>6775</v>
      </c>
      <c r="O2311" s="705">
        <v>2509</v>
      </c>
      <c r="P2311" s="705">
        <v>702</v>
      </c>
      <c r="Q2311" s="705">
        <v>260</v>
      </c>
      <c r="R2311" s="705">
        <v>13652</v>
      </c>
      <c r="S2311" s="705">
        <v>12411</v>
      </c>
      <c r="T2311" s="705">
        <v>7111</v>
      </c>
      <c r="U2311" s="705">
        <v>2634</v>
      </c>
      <c r="V2311" s="705">
        <v>126924</v>
      </c>
      <c r="W2311" s="705">
        <f t="shared" si="94"/>
        <v>126924</v>
      </c>
      <c r="X2311" s="705">
        <f t="shared" si="95"/>
        <v>156033</v>
      </c>
    </row>
    <row r="2312" spans="2:24">
      <c r="B2312" t="s">
        <v>550</v>
      </c>
      <c r="C2312" t="s">
        <v>124</v>
      </c>
      <c r="F2312" s="705">
        <v>1</v>
      </c>
      <c r="G2312" s="705">
        <v>75</v>
      </c>
      <c r="H2312" s="705">
        <v>641</v>
      </c>
      <c r="I2312" s="705"/>
      <c r="J2312" s="705">
        <v>0</v>
      </c>
      <c r="K2312" s="705"/>
      <c r="L2312" s="705"/>
      <c r="M2312" s="705">
        <v>0</v>
      </c>
      <c r="N2312" s="705">
        <v>1118</v>
      </c>
      <c r="O2312" s="705">
        <v>414</v>
      </c>
      <c r="P2312" s="705">
        <v>621</v>
      </c>
      <c r="Q2312" s="705">
        <v>230</v>
      </c>
      <c r="R2312" s="705"/>
      <c r="S2312" s="705">
        <v>0</v>
      </c>
      <c r="T2312" s="705">
        <v>0</v>
      </c>
      <c r="U2312" s="705">
        <v>0</v>
      </c>
      <c r="V2312" s="705">
        <v>644</v>
      </c>
      <c r="W2312" s="705">
        <f t="shared" si="94"/>
        <v>644</v>
      </c>
      <c r="X2312" s="705">
        <f t="shared" si="95"/>
        <v>1739</v>
      </c>
    </row>
    <row r="2313" spans="2:24">
      <c r="B2313" t="s">
        <v>550</v>
      </c>
      <c r="C2313" t="s">
        <v>124</v>
      </c>
      <c r="D2313" t="s">
        <v>674</v>
      </c>
      <c r="E2313" t="s">
        <v>674</v>
      </c>
      <c r="F2313" s="705">
        <v>1</v>
      </c>
      <c r="G2313" s="705">
        <v>138</v>
      </c>
      <c r="H2313" s="705">
        <v>453</v>
      </c>
      <c r="I2313" s="705">
        <v>41316</v>
      </c>
      <c r="J2313" s="705">
        <v>37560</v>
      </c>
      <c r="K2313" s="705">
        <v>45</v>
      </c>
      <c r="L2313" s="705">
        <v>6886</v>
      </c>
      <c r="M2313" s="705">
        <v>6260</v>
      </c>
      <c r="N2313" s="705">
        <v>3134</v>
      </c>
      <c r="O2313" s="705">
        <v>1161</v>
      </c>
      <c r="P2313" s="705">
        <v>351</v>
      </c>
      <c r="Q2313" s="705">
        <v>130</v>
      </c>
      <c r="R2313" s="705">
        <v>10908</v>
      </c>
      <c r="S2313" s="705">
        <v>9916</v>
      </c>
      <c r="T2313" s="705">
        <v>0</v>
      </c>
      <c r="U2313" s="705">
        <v>0</v>
      </c>
      <c r="V2313" s="705">
        <v>55027</v>
      </c>
      <c r="W2313" s="705">
        <f t="shared" si="94"/>
        <v>55027</v>
      </c>
      <c r="X2313" s="705">
        <f t="shared" si="95"/>
        <v>62595</v>
      </c>
    </row>
    <row r="2314" spans="2:24">
      <c r="B2314" t="s">
        <v>550</v>
      </c>
      <c r="C2314" t="s">
        <v>124</v>
      </c>
      <c r="D2314" t="s">
        <v>664</v>
      </c>
      <c r="E2314" t="s">
        <v>664</v>
      </c>
      <c r="F2314" s="705">
        <v>1</v>
      </c>
      <c r="G2314" s="705">
        <v>73</v>
      </c>
      <c r="H2314" s="705">
        <v>464</v>
      </c>
      <c r="I2314" s="705">
        <v>22669</v>
      </c>
      <c r="J2314" s="705">
        <v>20608</v>
      </c>
      <c r="K2314" s="705">
        <v>78</v>
      </c>
      <c r="L2314" s="705">
        <v>3222</v>
      </c>
      <c r="M2314" s="705">
        <v>2929</v>
      </c>
      <c r="N2314" s="705">
        <v>1116</v>
      </c>
      <c r="O2314" s="705">
        <v>413</v>
      </c>
      <c r="P2314" s="705">
        <v>473</v>
      </c>
      <c r="Q2314" s="705">
        <v>175</v>
      </c>
      <c r="R2314" s="705">
        <v>4022</v>
      </c>
      <c r="S2314" s="705">
        <v>3656</v>
      </c>
      <c r="T2314" s="705">
        <v>2520</v>
      </c>
      <c r="U2314" s="705">
        <v>933</v>
      </c>
      <c r="V2314" s="705">
        <v>28716</v>
      </c>
      <c r="W2314" s="705">
        <f t="shared" si="94"/>
        <v>28714</v>
      </c>
      <c r="X2314" s="705">
        <f t="shared" si="95"/>
        <v>34022</v>
      </c>
    </row>
    <row r="2315" spans="2:24">
      <c r="B2315" t="s">
        <v>550</v>
      </c>
      <c r="C2315" t="s">
        <v>124</v>
      </c>
      <c r="D2315" t="s">
        <v>664</v>
      </c>
      <c r="E2315" t="s">
        <v>583</v>
      </c>
      <c r="F2315" s="705">
        <v>1</v>
      </c>
      <c r="G2315" s="705">
        <v>122</v>
      </c>
      <c r="H2315" s="705">
        <v>487</v>
      </c>
      <c r="I2315" s="705">
        <v>40380</v>
      </c>
      <c r="J2315" s="705">
        <v>36709</v>
      </c>
      <c r="K2315" s="705">
        <v>70</v>
      </c>
      <c r="L2315" s="705">
        <v>5967</v>
      </c>
      <c r="M2315" s="705">
        <v>5425</v>
      </c>
      <c r="N2315" s="705">
        <v>2594</v>
      </c>
      <c r="O2315" s="705">
        <v>961</v>
      </c>
      <c r="P2315" s="705">
        <v>1323</v>
      </c>
      <c r="Q2315" s="705">
        <v>490</v>
      </c>
      <c r="R2315" s="705">
        <v>5591</v>
      </c>
      <c r="S2315" s="705">
        <v>5083</v>
      </c>
      <c r="T2315" s="705">
        <v>3408</v>
      </c>
      <c r="U2315" s="705">
        <v>1262</v>
      </c>
      <c r="V2315" s="705">
        <v>49929</v>
      </c>
      <c r="W2315" s="705">
        <f t="shared" si="94"/>
        <v>49930</v>
      </c>
      <c r="X2315" s="705">
        <f t="shared" si="95"/>
        <v>59263</v>
      </c>
    </row>
    <row r="2316" spans="2:24">
      <c r="B2316" t="s">
        <v>550</v>
      </c>
      <c r="C2316" t="s">
        <v>124</v>
      </c>
      <c r="D2316" t="s">
        <v>582</v>
      </c>
      <c r="E2316" t="s">
        <v>582</v>
      </c>
      <c r="F2316" s="705">
        <v>2</v>
      </c>
      <c r="G2316" s="705">
        <v>151</v>
      </c>
      <c r="H2316" s="705">
        <v>1025</v>
      </c>
      <c r="I2316" s="705">
        <v>51509</v>
      </c>
      <c r="J2316" s="705">
        <v>46827</v>
      </c>
      <c r="K2316" s="705">
        <v>87</v>
      </c>
      <c r="L2316" s="705">
        <v>10532</v>
      </c>
      <c r="M2316" s="705">
        <v>9575</v>
      </c>
      <c r="N2316" s="705">
        <v>3265</v>
      </c>
      <c r="O2316" s="705">
        <v>1209</v>
      </c>
      <c r="P2316" s="705">
        <v>945</v>
      </c>
      <c r="Q2316" s="705">
        <v>350</v>
      </c>
      <c r="R2316" s="705">
        <v>7688</v>
      </c>
      <c r="S2316" s="705">
        <v>6989</v>
      </c>
      <c r="T2316" s="705">
        <v>2413</v>
      </c>
      <c r="U2316" s="705">
        <v>894</v>
      </c>
      <c r="V2316" s="705">
        <v>65843</v>
      </c>
      <c r="W2316" s="705">
        <f t="shared" si="94"/>
        <v>65844</v>
      </c>
      <c r="X2316" s="705">
        <f t="shared" si="95"/>
        <v>76352</v>
      </c>
    </row>
    <row r="2317" spans="2:24">
      <c r="B2317" t="s">
        <v>550</v>
      </c>
      <c r="C2317" t="s">
        <v>124</v>
      </c>
      <c r="D2317" t="s">
        <v>228</v>
      </c>
      <c r="E2317" t="s">
        <v>228</v>
      </c>
      <c r="F2317" s="705">
        <v>98</v>
      </c>
      <c r="G2317" s="705">
        <v>8864</v>
      </c>
      <c r="H2317" s="705">
        <v>76472</v>
      </c>
      <c r="I2317" s="705">
        <v>5103364</v>
      </c>
      <c r="J2317" s="705">
        <v>1890135</v>
      </c>
      <c r="K2317" s="705">
        <v>100</v>
      </c>
      <c r="L2317" s="705">
        <v>783538</v>
      </c>
      <c r="M2317" s="705">
        <v>680837</v>
      </c>
      <c r="N2317" s="705">
        <v>204402</v>
      </c>
      <c r="O2317" s="705">
        <v>75705</v>
      </c>
      <c r="P2317" s="705">
        <v>2673</v>
      </c>
      <c r="Q2317" s="705">
        <v>990</v>
      </c>
      <c r="R2317" s="705">
        <v>646329</v>
      </c>
      <c r="S2317" s="705">
        <v>239381</v>
      </c>
      <c r="T2317" s="705">
        <v>2988</v>
      </c>
      <c r="U2317" s="705">
        <v>1107</v>
      </c>
      <c r="V2317" s="705">
        <v>2888154</v>
      </c>
      <c r="W2317" s="705">
        <f t="shared" si="94"/>
        <v>2888155</v>
      </c>
      <c r="X2317" s="705">
        <f t="shared" si="95"/>
        <v>6743294</v>
      </c>
    </row>
    <row r="2318" spans="2:24">
      <c r="B2318" t="s">
        <v>550</v>
      </c>
      <c r="C2318" t="s">
        <v>124</v>
      </c>
      <c r="D2318" t="s">
        <v>228</v>
      </c>
      <c r="E2318" t="s">
        <v>583</v>
      </c>
      <c r="F2318" s="705">
        <v>1</v>
      </c>
      <c r="G2318" s="705">
        <v>286</v>
      </c>
      <c r="H2318" s="705">
        <v>524</v>
      </c>
      <c r="I2318" s="705">
        <v>126192</v>
      </c>
      <c r="J2318" s="705">
        <v>46738</v>
      </c>
      <c r="K2318" s="705">
        <v>100</v>
      </c>
      <c r="L2318" s="705">
        <v>7753</v>
      </c>
      <c r="M2318" s="705">
        <v>7048</v>
      </c>
      <c r="N2318" s="705">
        <v>5989</v>
      </c>
      <c r="O2318" s="705">
        <v>2218</v>
      </c>
      <c r="P2318" s="705">
        <v>0</v>
      </c>
      <c r="Q2318" s="705">
        <v>0</v>
      </c>
      <c r="R2318" s="705">
        <v>5997</v>
      </c>
      <c r="S2318" s="705">
        <v>5452</v>
      </c>
      <c r="T2318" s="705">
        <v>3734</v>
      </c>
      <c r="U2318" s="705">
        <v>1383</v>
      </c>
      <c r="V2318" s="705">
        <v>62839</v>
      </c>
      <c r="W2318" s="705">
        <f t="shared" si="94"/>
        <v>62839</v>
      </c>
      <c r="X2318" s="705">
        <f t="shared" si="95"/>
        <v>149665</v>
      </c>
    </row>
    <row r="2319" spans="2:24">
      <c r="B2319" t="s">
        <v>550</v>
      </c>
      <c r="C2319" t="s">
        <v>124</v>
      </c>
      <c r="D2319" t="s">
        <v>228</v>
      </c>
      <c r="E2319" t="s">
        <v>666</v>
      </c>
      <c r="F2319" s="705">
        <v>1</v>
      </c>
      <c r="G2319" s="705">
        <v>120</v>
      </c>
      <c r="H2319" s="705">
        <v>764</v>
      </c>
      <c r="I2319" s="705">
        <v>69893</v>
      </c>
      <c r="J2319" s="705">
        <v>25886</v>
      </c>
      <c r="K2319" s="705">
        <v>100</v>
      </c>
      <c r="L2319" s="705">
        <v>10546</v>
      </c>
      <c r="M2319" s="705">
        <v>9588</v>
      </c>
      <c r="N2319" s="705">
        <v>2833</v>
      </c>
      <c r="O2319" s="705">
        <v>1049</v>
      </c>
      <c r="P2319" s="705">
        <v>0</v>
      </c>
      <c r="Q2319" s="705">
        <v>0</v>
      </c>
      <c r="R2319" s="705">
        <v>6093</v>
      </c>
      <c r="S2319" s="705">
        <v>5539</v>
      </c>
      <c r="T2319" s="705">
        <v>2228</v>
      </c>
      <c r="U2319" s="705">
        <v>825</v>
      </c>
      <c r="V2319" s="705">
        <v>42887</v>
      </c>
      <c r="W2319" s="705">
        <f t="shared" si="94"/>
        <v>42887</v>
      </c>
      <c r="X2319" s="705">
        <f t="shared" si="95"/>
        <v>91593</v>
      </c>
    </row>
    <row r="2320" spans="2:24">
      <c r="B2320" t="s">
        <v>550</v>
      </c>
      <c r="C2320" t="s">
        <v>124</v>
      </c>
      <c r="D2320" t="s">
        <v>228</v>
      </c>
      <c r="E2320" t="s">
        <v>665</v>
      </c>
      <c r="F2320" s="705">
        <v>7</v>
      </c>
      <c r="G2320" s="705">
        <v>690</v>
      </c>
      <c r="H2320" s="705">
        <v>5484</v>
      </c>
      <c r="I2320" s="705">
        <v>425365</v>
      </c>
      <c r="J2320" s="705">
        <v>157543</v>
      </c>
      <c r="K2320" s="705">
        <v>100</v>
      </c>
      <c r="L2320" s="705">
        <v>52573</v>
      </c>
      <c r="M2320" s="705">
        <v>47794</v>
      </c>
      <c r="N2320" s="705">
        <v>16212</v>
      </c>
      <c r="O2320" s="705">
        <v>6005</v>
      </c>
      <c r="P2320" s="705">
        <v>1053</v>
      </c>
      <c r="Q2320" s="705">
        <v>390</v>
      </c>
      <c r="R2320" s="705">
        <v>38029</v>
      </c>
      <c r="S2320" s="705">
        <v>34572</v>
      </c>
      <c r="T2320" s="705">
        <v>12617</v>
      </c>
      <c r="U2320" s="705">
        <v>4673</v>
      </c>
      <c r="V2320" s="705">
        <v>250975</v>
      </c>
      <c r="W2320" s="705">
        <f t="shared" si="94"/>
        <v>250977</v>
      </c>
      <c r="X2320" s="705">
        <f t="shared" si="95"/>
        <v>545849</v>
      </c>
    </row>
    <row r="2321" spans="2:24">
      <c r="B2321" t="s">
        <v>550</v>
      </c>
      <c r="C2321" t="s">
        <v>124</v>
      </c>
      <c r="D2321" t="s">
        <v>583</v>
      </c>
      <c r="E2321" t="s">
        <v>228</v>
      </c>
      <c r="F2321" s="705">
        <v>11</v>
      </c>
      <c r="G2321" s="705">
        <v>1095</v>
      </c>
      <c r="H2321" s="705">
        <v>7237</v>
      </c>
      <c r="I2321" s="705">
        <v>481478</v>
      </c>
      <c r="J2321" s="705">
        <v>437707</v>
      </c>
      <c r="K2321" s="705">
        <v>66</v>
      </c>
      <c r="L2321" s="705">
        <v>105679</v>
      </c>
      <c r="M2321" s="705">
        <v>87276</v>
      </c>
      <c r="N2321" s="705">
        <v>24508</v>
      </c>
      <c r="O2321" s="705">
        <v>9077</v>
      </c>
      <c r="P2321" s="705">
        <v>6210</v>
      </c>
      <c r="Q2321" s="705">
        <v>2300</v>
      </c>
      <c r="R2321" s="705">
        <v>79937</v>
      </c>
      <c r="S2321" s="705">
        <v>29606</v>
      </c>
      <c r="T2321" s="705">
        <v>0</v>
      </c>
      <c r="U2321" s="705">
        <v>0</v>
      </c>
      <c r="V2321" s="705">
        <v>565967</v>
      </c>
      <c r="W2321" s="705">
        <f t="shared" si="94"/>
        <v>565966</v>
      </c>
      <c r="X2321" s="705">
        <f t="shared" si="95"/>
        <v>697812</v>
      </c>
    </row>
    <row r="2322" spans="2:24">
      <c r="B2322" t="s">
        <v>550</v>
      </c>
      <c r="C2322" t="s">
        <v>124</v>
      </c>
      <c r="D2322" t="s">
        <v>583</v>
      </c>
      <c r="E2322" t="s">
        <v>583</v>
      </c>
      <c r="F2322" s="705">
        <v>488</v>
      </c>
      <c r="G2322" s="705">
        <v>49846</v>
      </c>
      <c r="H2322" s="705">
        <v>287164</v>
      </c>
      <c r="I2322" s="705">
        <v>18895171</v>
      </c>
      <c r="J2322" s="705">
        <v>17177428</v>
      </c>
      <c r="K2322" s="705">
        <v>71</v>
      </c>
      <c r="L2322" s="705">
        <v>5724272</v>
      </c>
      <c r="M2322" s="705">
        <v>5129571</v>
      </c>
      <c r="N2322" s="705">
        <v>1065443</v>
      </c>
      <c r="O2322" s="705">
        <v>394608</v>
      </c>
      <c r="P2322" s="705">
        <v>313902</v>
      </c>
      <c r="Q2322" s="705">
        <v>116260</v>
      </c>
      <c r="R2322" s="705">
        <v>2617146</v>
      </c>
      <c r="S2322" s="705">
        <v>2379224</v>
      </c>
      <c r="T2322" s="705">
        <v>855208</v>
      </c>
      <c r="U2322" s="705">
        <v>316744</v>
      </c>
      <c r="V2322" s="705">
        <v>25513834</v>
      </c>
      <c r="W2322" s="705">
        <f t="shared" si="94"/>
        <v>25513835</v>
      </c>
      <c r="X2322" s="705">
        <f t="shared" si="95"/>
        <v>29471142</v>
      </c>
    </row>
    <row r="2323" spans="2:24">
      <c r="B2323" t="s">
        <v>550</v>
      </c>
      <c r="C2323" t="s">
        <v>124</v>
      </c>
      <c r="D2323" t="s">
        <v>583</v>
      </c>
      <c r="E2323" t="s">
        <v>584</v>
      </c>
      <c r="F2323" s="705">
        <v>1</v>
      </c>
      <c r="G2323" s="705">
        <v>67</v>
      </c>
      <c r="H2323" s="705">
        <v>678</v>
      </c>
      <c r="I2323" s="705">
        <v>30991</v>
      </c>
      <c r="J2323" s="705">
        <v>28174</v>
      </c>
      <c r="K2323" s="705">
        <v>65</v>
      </c>
      <c r="L2323" s="705">
        <v>7094</v>
      </c>
      <c r="M2323" s="705">
        <v>6449</v>
      </c>
      <c r="N2323" s="705">
        <v>1514</v>
      </c>
      <c r="O2323" s="705">
        <v>561</v>
      </c>
      <c r="P2323" s="705">
        <v>621</v>
      </c>
      <c r="Q2323" s="705">
        <v>230</v>
      </c>
      <c r="R2323" s="705">
        <v>3519</v>
      </c>
      <c r="S2323" s="705">
        <v>3199</v>
      </c>
      <c r="T2323" s="705">
        <v>1540</v>
      </c>
      <c r="U2323" s="705">
        <v>570</v>
      </c>
      <c r="V2323" s="705">
        <v>39183</v>
      </c>
      <c r="W2323" s="705">
        <f t="shared" si="94"/>
        <v>39183</v>
      </c>
      <c r="X2323" s="705">
        <f t="shared" si="95"/>
        <v>45279</v>
      </c>
    </row>
    <row r="2324" spans="2:24">
      <c r="B2324" t="s">
        <v>550</v>
      </c>
      <c r="C2324" t="s">
        <v>124</v>
      </c>
      <c r="D2324" t="s">
        <v>583</v>
      </c>
      <c r="E2324" t="s">
        <v>665</v>
      </c>
      <c r="F2324" s="705">
        <v>1</v>
      </c>
      <c r="G2324" s="705">
        <v>101</v>
      </c>
      <c r="H2324" s="705">
        <v>505</v>
      </c>
      <c r="I2324" s="705">
        <v>33508</v>
      </c>
      <c r="J2324" s="705">
        <v>30461</v>
      </c>
      <c r="K2324" s="705">
        <v>65</v>
      </c>
      <c r="L2324" s="705">
        <v>7670</v>
      </c>
      <c r="M2324" s="705">
        <v>6972</v>
      </c>
      <c r="N2324" s="705">
        <v>1929</v>
      </c>
      <c r="O2324" s="705">
        <v>714</v>
      </c>
      <c r="P2324" s="705">
        <v>621</v>
      </c>
      <c r="Q2324" s="705">
        <v>230</v>
      </c>
      <c r="R2324" s="705">
        <v>4912</v>
      </c>
      <c r="S2324" s="705">
        <v>4466</v>
      </c>
      <c r="T2324" s="705">
        <v>2580</v>
      </c>
      <c r="U2324" s="705">
        <v>956</v>
      </c>
      <c r="V2324" s="705">
        <v>43799</v>
      </c>
      <c r="W2324" s="705">
        <f t="shared" si="94"/>
        <v>43799</v>
      </c>
      <c r="X2324" s="705">
        <f t="shared" si="95"/>
        <v>51220</v>
      </c>
    </row>
    <row r="2325" spans="2:24">
      <c r="B2325" t="s">
        <v>550</v>
      </c>
      <c r="C2325" t="s">
        <v>124</v>
      </c>
      <c r="D2325" t="s">
        <v>666</v>
      </c>
      <c r="E2325" t="s">
        <v>228</v>
      </c>
      <c r="F2325" s="705">
        <v>10</v>
      </c>
      <c r="G2325" s="705">
        <v>1741</v>
      </c>
      <c r="H2325" s="705">
        <v>13181</v>
      </c>
      <c r="I2325" s="705">
        <v>1230441</v>
      </c>
      <c r="J2325" s="705">
        <v>1118583</v>
      </c>
      <c r="K2325" s="705">
        <v>37</v>
      </c>
      <c r="L2325" s="705">
        <v>182788</v>
      </c>
      <c r="M2325" s="705">
        <v>154214</v>
      </c>
      <c r="N2325" s="705">
        <v>42426</v>
      </c>
      <c r="O2325" s="705">
        <v>15713</v>
      </c>
      <c r="P2325" s="705">
        <v>702</v>
      </c>
      <c r="Q2325" s="705">
        <v>260</v>
      </c>
      <c r="R2325" s="705">
        <v>110540</v>
      </c>
      <c r="S2325" s="705">
        <v>40941</v>
      </c>
      <c r="T2325" s="705">
        <v>0</v>
      </c>
      <c r="U2325" s="705">
        <v>0</v>
      </c>
      <c r="V2325" s="705">
        <v>1329711</v>
      </c>
      <c r="W2325" s="705">
        <f t="shared" si="94"/>
        <v>1329711</v>
      </c>
      <c r="X2325" s="705">
        <f t="shared" si="95"/>
        <v>1566897</v>
      </c>
    </row>
    <row r="2326" spans="2:24">
      <c r="B2326" t="s">
        <v>550</v>
      </c>
      <c r="C2326" t="s">
        <v>124</v>
      </c>
      <c r="D2326" t="s">
        <v>666</v>
      </c>
      <c r="E2326" t="s">
        <v>666</v>
      </c>
      <c r="F2326" s="705">
        <v>14</v>
      </c>
      <c r="G2326" s="705">
        <v>980</v>
      </c>
      <c r="H2326" s="705">
        <v>10764</v>
      </c>
      <c r="I2326" s="705">
        <v>516421</v>
      </c>
      <c r="J2326" s="705">
        <v>469473</v>
      </c>
      <c r="K2326" s="705">
        <v>54</v>
      </c>
      <c r="L2326" s="705">
        <v>88185</v>
      </c>
      <c r="M2326" s="705">
        <v>76053</v>
      </c>
      <c r="N2326" s="705">
        <v>21924</v>
      </c>
      <c r="O2326" s="705">
        <v>8120</v>
      </c>
      <c r="P2326" s="705">
        <v>4914</v>
      </c>
      <c r="Q2326" s="705">
        <v>1820</v>
      </c>
      <c r="R2326" s="705">
        <v>77427</v>
      </c>
      <c r="S2326" s="705">
        <v>70388</v>
      </c>
      <c r="T2326" s="705">
        <v>26262</v>
      </c>
      <c r="U2326" s="705">
        <v>9727</v>
      </c>
      <c r="V2326" s="705">
        <v>635581</v>
      </c>
      <c r="W2326" s="705">
        <f t="shared" si="94"/>
        <v>635581</v>
      </c>
      <c r="X2326" s="705">
        <f t="shared" si="95"/>
        <v>735133</v>
      </c>
    </row>
    <row r="2327" spans="2:24">
      <c r="B2327" t="s">
        <v>550</v>
      </c>
      <c r="C2327" t="s">
        <v>124</v>
      </c>
      <c r="D2327" t="s">
        <v>584</v>
      </c>
      <c r="E2327" t="s">
        <v>584</v>
      </c>
      <c r="F2327" s="705">
        <v>12</v>
      </c>
      <c r="G2327" s="705">
        <v>939</v>
      </c>
      <c r="H2327" s="705">
        <v>6295</v>
      </c>
      <c r="I2327" s="705">
        <v>323790</v>
      </c>
      <c r="J2327" s="705">
        <v>294354</v>
      </c>
      <c r="K2327" s="705">
        <v>77</v>
      </c>
      <c r="L2327" s="705">
        <v>79435</v>
      </c>
      <c r="M2327" s="705">
        <v>66176</v>
      </c>
      <c r="N2327" s="705">
        <v>20025</v>
      </c>
      <c r="O2327" s="705">
        <v>7417</v>
      </c>
      <c r="P2327" s="705">
        <v>6021</v>
      </c>
      <c r="Q2327" s="705">
        <v>2230</v>
      </c>
      <c r="R2327" s="705">
        <v>54686</v>
      </c>
      <c r="S2327" s="705">
        <v>49715</v>
      </c>
      <c r="T2327" s="705">
        <v>14390</v>
      </c>
      <c r="U2327" s="705">
        <v>5330</v>
      </c>
      <c r="V2327" s="705">
        <v>425222</v>
      </c>
      <c r="W2327" s="705">
        <f t="shared" si="94"/>
        <v>425222</v>
      </c>
      <c r="X2327" s="705">
        <f t="shared" si="95"/>
        <v>498347</v>
      </c>
    </row>
    <row r="2328" spans="2:24">
      <c r="B2328" t="s">
        <v>550</v>
      </c>
      <c r="C2328" t="s">
        <v>124</v>
      </c>
      <c r="D2328" t="s">
        <v>669</v>
      </c>
      <c r="E2328" t="s">
        <v>228</v>
      </c>
      <c r="F2328" s="705">
        <v>3</v>
      </c>
      <c r="G2328" s="705">
        <v>203</v>
      </c>
      <c r="H2328" s="705">
        <v>4097</v>
      </c>
      <c r="I2328" s="705">
        <v>257005</v>
      </c>
      <c r="J2328" s="705">
        <v>214171</v>
      </c>
      <c r="K2328" s="705">
        <v>38</v>
      </c>
      <c r="L2328" s="705">
        <v>7832</v>
      </c>
      <c r="M2328" s="705">
        <v>6527</v>
      </c>
      <c r="N2328" s="705">
        <v>4226</v>
      </c>
      <c r="O2328" s="705">
        <v>1565</v>
      </c>
      <c r="P2328" s="705">
        <v>351</v>
      </c>
      <c r="Q2328" s="705">
        <v>130</v>
      </c>
      <c r="R2328" s="705">
        <v>13941</v>
      </c>
      <c r="S2328" s="705">
        <v>5163</v>
      </c>
      <c r="T2328" s="705">
        <v>0</v>
      </c>
      <c r="U2328" s="705">
        <v>0</v>
      </c>
      <c r="V2328" s="705">
        <v>227557</v>
      </c>
      <c r="W2328" s="705">
        <f t="shared" si="94"/>
        <v>227556</v>
      </c>
      <c r="X2328" s="705">
        <f t="shared" si="95"/>
        <v>283355</v>
      </c>
    </row>
    <row r="2329" spans="2:24">
      <c r="B2329" t="s">
        <v>550</v>
      </c>
      <c r="C2329" t="s">
        <v>124</v>
      </c>
      <c r="D2329" t="s">
        <v>669</v>
      </c>
      <c r="E2329" t="s">
        <v>669</v>
      </c>
      <c r="F2329" s="705">
        <v>27</v>
      </c>
      <c r="G2329" s="705">
        <v>3056</v>
      </c>
      <c r="H2329" s="705">
        <v>21639</v>
      </c>
      <c r="I2329" s="705">
        <v>1671455</v>
      </c>
      <c r="J2329" s="705">
        <v>1392879</v>
      </c>
      <c r="K2329" s="705">
        <v>51</v>
      </c>
      <c r="L2329" s="705">
        <v>238820</v>
      </c>
      <c r="M2329" s="705">
        <v>192415</v>
      </c>
      <c r="N2329" s="705">
        <v>60563</v>
      </c>
      <c r="O2329" s="705">
        <v>22431</v>
      </c>
      <c r="P2329" s="705">
        <v>9315</v>
      </c>
      <c r="Q2329" s="705">
        <v>3450</v>
      </c>
      <c r="R2329" s="705">
        <v>176671</v>
      </c>
      <c r="S2329" s="705">
        <v>147226</v>
      </c>
      <c r="T2329" s="705">
        <v>60185</v>
      </c>
      <c r="U2329" s="705">
        <v>22291</v>
      </c>
      <c r="V2329" s="705">
        <v>1780691</v>
      </c>
      <c r="W2329" s="705">
        <f t="shared" si="94"/>
        <v>1780692</v>
      </c>
      <c r="X2329" s="705">
        <f t="shared" si="95"/>
        <v>2217009</v>
      </c>
    </row>
    <row r="2330" spans="2:24">
      <c r="B2330" t="s">
        <v>550</v>
      </c>
      <c r="C2330" t="s">
        <v>124</v>
      </c>
      <c r="D2330" t="s">
        <v>667</v>
      </c>
      <c r="E2330" t="s">
        <v>667</v>
      </c>
      <c r="F2330" s="705">
        <v>2</v>
      </c>
      <c r="G2330" s="705">
        <v>183</v>
      </c>
      <c r="H2330" s="705">
        <v>1174</v>
      </c>
      <c r="I2330" s="705">
        <v>72168</v>
      </c>
      <c r="J2330" s="705">
        <v>65608</v>
      </c>
      <c r="K2330" s="705">
        <v>50</v>
      </c>
      <c r="L2330" s="705">
        <v>13377</v>
      </c>
      <c r="M2330" s="705">
        <v>12161</v>
      </c>
      <c r="N2330" s="705">
        <v>3810</v>
      </c>
      <c r="O2330" s="705">
        <v>1411</v>
      </c>
      <c r="P2330" s="705">
        <v>702</v>
      </c>
      <c r="Q2330" s="705">
        <v>260</v>
      </c>
      <c r="R2330" s="705">
        <v>11748</v>
      </c>
      <c r="S2330" s="705">
        <v>10680</v>
      </c>
      <c r="T2330" s="705">
        <v>5349</v>
      </c>
      <c r="U2330" s="705">
        <v>1981</v>
      </c>
      <c r="V2330" s="705">
        <v>92101</v>
      </c>
      <c r="W2330" s="705">
        <f t="shared" si="94"/>
        <v>92101</v>
      </c>
      <c r="X2330" s="705">
        <f t="shared" si="95"/>
        <v>107154</v>
      </c>
    </row>
    <row r="2331" spans="2:24">
      <c r="B2331" t="s">
        <v>550</v>
      </c>
      <c r="C2331" t="s">
        <v>124</v>
      </c>
      <c r="D2331" t="s">
        <v>671</v>
      </c>
      <c r="E2331" t="s">
        <v>671</v>
      </c>
      <c r="F2331" s="705">
        <v>3</v>
      </c>
      <c r="G2331" s="705">
        <v>290</v>
      </c>
      <c r="H2331" s="705">
        <v>2810</v>
      </c>
      <c r="I2331" s="705">
        <v>192677</v>
      </c>
      <c r="J2331" s="705">
        <v>175161</v>
      </c>
      <c r="K2331" s="705">
        <v>50</v>
      </c>
      <c r="L2331" s="705">
        <v>34127</v>
      </c>
      <c r="M2331" s="705">
        <v>31025</v>
      </c>
      <c r="N2331" s="705">
        <v>7054</v>
      </c>
      <c r="O2331" s="705">
        <v>2613</v>
      </c>
      <c r="P2331" s="705">
        <v>702</v>
      </c>
      <c r="Q2331" s="705">
        <v>260</v>
      </c>
      <c r="R2331" s="705">
        <v>35702</v>
      </c>
      <c r="S2331" s="705">
        <v>32456</v>
      </c>
      <c r="T2331" s="705">
        <v>4857</v>
      </c>
      <c r="U2331" s="705">
        <v>1799</v>
      </c>
      <c r="V2331" s="705">
        <v>243314</v>
      </c>
      <c r="W2331" s="705">
        <f t="shared" si="94"/>
        <v>243314</v>
      </c>
      <c r="X2331" s="705">
        <f t="shared" si="95"/>
        <v>275119</v>
      </c>
    </row>
    <row r="2332" spans="2:24">
      <c r="B2332" t="s">
        <v>550</v>
      </c>
      <c r="C2332" t="s">
        <v>124</v>
      </c>
      <c r="D2332" t="s">
        <v>665</v>
      </c>
      <c r="E2332" t="s">
        <v>228</v>
      </c>
      <c r="F2332" s="705">
        <v>36</v>
      </c>
      <c r="G2332" s="705">
        <v>3296</v>
      </c>
      <c r="H2332" s="705">
        <v>44077</v>
      </c>
      <c r="I2332" s="705">
        <v>3335912</v>
      </c>
      <c r="J2332" s="705">
        <v>3032648</v>
      </c>
      <c r="K2332" s="705">
        <v>36</v>
      </c>
      <c r="L2332" s="705">
        <v>267599</v>
      </c>
      <c r="M2332" s="705">
        <v>131945</v>
      </c>
      <c r="N2332" s="705">
        <v>74243</v>
      </c>
      <c r="O2332" s="705">
        <v>27497</v>
      </c>
      <c r="P2332" s="705">
        <v>1053</v>
      </c>
      <c r="Q2332" s="705">
        <v>390</v>
      </c>
      <c r="R2332" s="705">
        <v>212099</v>
      </c>
      <c r="S2332" s="705">
        <v>78555</v>
      </c>
      <c r="T2332" s="705">
        <v>1979</v>
      </c>
      <c r="U2332" s="705">
        <v>733</v>
      </c>
      <c r="V2332" s="705">
        <v>3271769</v>
      </c>
      <c r="W2332" s="705">
        <f t="shared" si="94"/>
        <v>3271768</v>
      </c>
      <c r="X2332" s="705">
        <f t="shared" si="95"/>
        <v>3892885</v>
      </c>
    </row>
    <row r="2333" spans="2:24">
      <c r="B2333" t="s">
        <v>550</v>
      </c>
      <c r="C2333" t="s">
        <v>124</v>
      </c>
      <c r="D2333" t="s">
        <v>665</v>
      </c>
      <c r="E2333" t="s">
        <v>665</v>
      </c>
      <c r="F2333" s="705">
        <v>110</v>
      </c>
      <c r="G2333" s="705">
        <v>9303</v>
      </c>
      <c r="H2333" s="705">
        <v>85335</v>
      </c>
      <c r="I2333" s="705">
        <v>5219082</v>
      </c>
      <c r="J2333" s="705">
        <v>4744620</v>
      </c>
      <c r="K2333" s="705">
        <v>52</v>
      </c>
      <c r="L2333" s="705">
        <v>776638</v>
      </c>
      <c r="M2333" s="705">
        <v>641297</v>
      </c>
      <c r="N2333" s="705">
        <v>196939</v>
      </c>
      <c r="O2333" s="705">
        <v>72940</v>
      </c>
      <c r="P2333" s="705">
        <v>37482</v>
      </c>
      <c r="Q2333" s="705">
        <v>13882</v>
      </c>
      <c r="R2333" s="705">
        <v>647250</v>
      </c>
      <c r="S2333" s="705">
        <v>588409</v>
      </c>
      <c r="T2333" s="705">
        <v>215591</v>
      </c>
      <c r="U2333" s="705">
        <v>79849</v>
      </c>
      <c r="V2333" s="705">
        <v>6140998</v>
      </c>
      <c r="W2333" s="705">
        <f t="shared" si="94"/>
        <v>6140997</v>
      </c>
      <c r="X2333" s="705">
        <f t="shared" si="95"/>
        <v>7092982</v>
      </c>
    </row>
    <row r="2334" spans="2:24">
      <c r="B2334" t="s">
        <v>550</v>
      </c>
      <c r="C2334" t="s">
        <v>124</v>
      </c>
      <c r="D2334" t="s">
        <v>722</v>
      </c>
      <c r="E2334" t="s">
        <v>228</v>
      </c>
      <c r="F2334" s="705">
        <v>1</v>
      </c>
      <c r="G2334" s="705">
        <v>140</v>
      </c>
      <c r="H2334" s="705">
        <v>681</v>
      </c>
      <c r="I2334" s="705">
        <v>79168</v>
      </c>
      <c r="J2334" s="705">
        <v>71971</v>
      </c>
      <c r="K2334" s="705">
        <v>30</v>
      </c>
      <c r="L2334" s="705">
        <v>6477</v>
      </c>
      <c r="M2334" s="705">
        <v>2399</v>
      </c>
      <c r="N2334" s="705">
        <v>3416</v>
      </c>
      <c r="O2334" s="705">
        <v>1265</v>
      </c>
      <c r="P2334" s="705">
        <v>0</v>
      </c>
      <c r="Q2334" s="705">
        <v>0</v>
      </c>
      <c r="R2334" s="705">
        <v>6348</v>
      </c>
      <c r="S2334" s="705">
        <v>2351</v>
      </c>
      <c r="T2334" s="705">
        <v>0</v>
      </c>
      <c r="U2334" s="705">
        <v>0</v>
      </c>
      <c r="V2334" s="705">
        <v>77986</v>
      </c>
      <c r="W2334" s="705">
        <f t="shared" si="94"/>
        <v>77986</v>
      </c>
      <c r="X2334" s="705">
        <f t="shared" si="95"/>
        <v>95409</v>
      </c>
    </row>
    <row r="2335" spans="2:24">
      <c r="B2335" t="s">
        <v>550</v>
      </c>
      <c r="C2335" t="s">
        <v>124</v>
      </c>
      <c r="D2335" t="s">
        <v>673</v>
      </c>
      <c r="E2335" t="s">
        <v>673</v>
      </c>
      <c r="F2335" s="705">
        <v>5</v>
      </c>
      <c r="G2335" s="705">
        <v>468</v>
      </c>
      <c r="H2335" s="705">
        <v>3945</v>
      </c>
      <c r="I2335" s="705">
        <v>230795</v>
      </c>
      <c r="J2335" s="705">
        <v>209814</v>
      </c>
      <c r="K2335" s="705">
        <v>47</v>
      </c>
      <c r="L2335" s="705">
        <v>42004</v>
      </c>
      <c r="M2335" s="705">
        <v>38185</v>
      </c>
      <c r="N2335" s="705">
        <v>10051</v>
      </c>
      <c r="O2335" s="705">
        <v>3723</v>
      </c>
      <c r="P2335" s="705">
        <v>1404</v>
      </c>
      <c r="Q2335" s="705">
        <v>520</v>
      </c>
      <c r="R2335" s="705">
        <v>50570</v>
      </c>
      <c r="S2335" s="705">
        <v>45972</v>
      </c>
      <c r="T2335" s="705">
        <v>11264</v>
      </c>
      <c r="U2335" s="705">
        <v>4172</v>
      </c>
      <c r="V2335" s="705">
        <v>302386</v>
      </c>
      <c r="W2335" s="705">
        <f t="shared" si="94"/>
        <v>302386</v>
      </c>
      <c r="X2335" s="705">
        <f t="shared" si="95"/>
        <v>346088</v>
      </c>
    </row>
    <row r="2336" spans="2:24">
      <c r="B2336" t="s">
        <v>551</v>
      </c>
      <c r="C2336" t="s">
        <v>108</v>
      </c>
      <c r="D2336" t="s">
        <v>582</v>
      </c>
      <c r="E2336" t="s">
        <v>582</v>
      </c>
      <c r="F2336" s="705">
        <v>2</v>
      </c>
      <c r="G2336" s="705">
        <v>393</v>
      </c>
      <c r="H2336" s="705">
        <v>108</v>
      </c>
      <c r="I2336" s="705">
        <v>8777</v>
      </c>
      <c r="J2336" s="705">
        <v>7979</v>
      </c>
      <c r="K2336" s="705">
        <v>91</v>
      </c>
      <c r="L2336" s="705">
        <v>1190</v>
      </c>
      <c r="M2336" s="705">
        <v>1082</v>
      </c>
      <c r="N2336" s="705">
        <v>4787</v>
      </c>
      <c r="O2336" s="705">
        <v>1773</v>
      </c>
      <c r="P2336" s="705">
        <v>945</v>
      </c>
      <c r="Q2336" s="705">
        <v>350</v>
      </c>
      <c r="R2336" s="705">
        <v>5449</v>
      </c>
      <c r="S2336" s="705">
        <v>4953</v>
      </c>
      <c r="T2336" s="705">
        <v>0</v>
      </c>
      <c r="U2336" s="705">
        <v>0</v>
      </c>
      <c r="V2336" s="705">
        <v>16137</v>
      </c>
      <c r="W2336" s="705">
        <f t="shared" si="94"/>
        <v>16137</v>
      </c>
      <c r="X2336" s="705">
        <f t="shared" si="95"/>
        <v>21148</v>
      </c>
    </row>
    <row r="2337" spans="2:24">
      <c r="B2337" t="s">
        <v>551</v>
      </c>
      <c r="C2337" t="s">
        <v>108</v>
      </c>
      <c r="D2337" t="s">
        <v>228</v>
      </c>
      <c r="E2337" t="s">
        <v>228</v>
      </c>
      <c r="F2337" s="705">
        <v>60</v>
      </c>
      <c r="G2337" s="705">
        <v>14422</v>
      </c>
      <c r="H2337" s="705">
        <v>3076</v>
      </c>
      <c r="I2337" s="705">
        <v>58545</v>
      </c>
      <c r="J2337" s="705">
        <v>21683</v>
      </c>
      <c r="K2337" s="705">
        <v>479</v>
      </c>
      <c r="L2337" s="705">
        <v>11178</v>
      </c>
      <c r="M2337" s="705">
        <v>9348</v>
      </c>
      <c r="N2337" s="705">
        <v>188188</v>
      </c>
      <c r="O2337" s="705">
        <v>69699</v>
      </c>
      <c r="P2337" s="705">
        <v>96140</v>
      </c>
      <c r="Q2337" s="705">
        <v>35607</v>
      </c>
      <c r="R2337" s="705">
        <v>375215</v>
      </c>
      <c r="S2337" s="705">
        <v>138968</v>
      </c>
      <c r="T2337" s="705">
        <v>0</v>
      </c>
      <c r="U2337" s="705">
        <v>0</v>
      </c>
      <c r="V2337" s="705">
        <v>275306</v>
      </c>
      <c r="W2337" s="705">
        <f t="shared" si="94"/>
        <v>275305</v>
      </c>
      <c r="X2337" s="705">
        <f t="shared" si="95"/>
        <v>729266</v>
      </c>
    </row>
    <row r="2338" spans="2:24">
      <c r="B2338" t="s">
        <v>551</v>
      </c>
      <c r="C2338" t="s">
        <v>108</v>
      </c>
      <c r="D2338" t="s">
        <v>583</v>
      </c>
      <c r="E2338" t="s">
        <v>583</v>
      </c>
      <c r="F2338" s="705">
        <v>24</v>
      </c>
      <c r="G2338" s="705">
        <v>5825</v>
      </c>
      <c r="H2338" s="705">
        <v>1424</v>
      </c>
      <c r="I2338" s="705">
        <v>125062</v>
      </c>
      <c r="J2338" s="705">
        <v>113693</v>
      </c>
      <c r="K2338" s="705">
        <v>95</v>
      </c>
      <c r="L2338" s="705">
        <v>16998</v>
      </c>
      <c r="M2338" s="705">
        <v>15444</v>
      </c>
      <c r="N2338" s="705">
        <v>76024</v>
      </c>
      <c r="O2338" s="705">
        <v>28157</v>
      </c>
      <c r="P2338" s="705">
        <v>41872</v>
      </c>
      <c r="Q2338" s="705">
        <v>15508</v>
      </c>
      <c r="R2338" s="705">
        <v>88324</v>
      </c>
      <c r="S2338" s="705">
        <v>80295</v>
      </c>
      <c r="T2338" s="705">
        <v>0</v>
      </c>
      <c r="U2338" s="705">
        <v>0</v>
      </c>
      <c r="V2338" s="705">
        <v>253097</v>
      </c>
      <c r="W2338" s="705">
        <f t="shared" ref="W2338:W2347" si="96">SUM(ABS(J2338),ABS(M2338),ABS(O2338),ABS(Q2338),ABS(S2338),ABS(U2338))</f>
        <v>253097</v>
      </c>
      <c r="X2338" s="705">
        <f t="shared" ref="X2338:X2347" si="97">SUM(ABS(I2338),ABS(N2338),ABS(P2338),ABS(R2338),ABS(T2338),ABS(L2338))</f>
        <v>348280</v>
      </c>
    </row>
    <row r="2339" spans="2:24">
      <c r="B2339" t="s">
        <v>551</v>
      </c>
      <c r="C2339" t="s">
        <v>108</v>
      </c>
      <c r="D2339" t="s">
        <v>584</v>
      </c>
      <c r="E2339" t="s">
        <v>584</v>
      </c>
      <c r="F2339" s="705">
        <v>3</v>
      </c>
      <c r="G2339" s="705">
        <v>378</v>
      </c>
      <c r="H2339" s="705">
        <v>172</v>
      </c>
      <c r="I2339" s="705">
        <v>3664</v>
      </c>
      <c r="J2339" s="705">
        <v>3331</v>
      </c>
      <c r="K2339" s="705">
        <v>90</v>
      </c>
      <c r="L2339" s="705">
        <v>-25</v>
      </c>
      <c r="M2339" s="705">
        <v>-23</v>
      </c>
      <c r="N2339" s="705">
        <v>4599</v>
      </c>
      <c r="O2339" s="705">
        <v>1703</v>
      </c>
      <c r="P2339" s="705">
        <v>1418</v>
      </c>
      <c r="Q2339" s="705">
        <v>525</v>
      </c>
      <c r="R2339" s="705">
        <v>12015</v>
      </c>
      <c r="S2339" s="705">
        <v>10923</v>
      </c>
      <c r="T2339" s="705">
        <v>0</v>
      </c>
      <c r="U2339" s="705">
        <v>0</v>
      </c>
      <c r="V2339" s="705">
        <v>16460</v>
      </c>
      <c r="W2339" s="705">
        <f t="shared" si="96"/>
        <v>16505</v>
      </c>
      <c r="X2339" s="705">
        <f t="shared" si="97"/>
        <v>21721</v>
      </c>
    </row>
    <row r="2340" spans="2:24">
      <c r="B2340" t="s">
        <v>551</v>
      </c>
      <c r="C2340" t="s">
        <v>110</v>
      </c>
      <c r="D2340" t="s">
        <v>582</v>
      </c>
      <c r="E2340" t="s">
        <v>582</v>
      </c>
      <c r="F2340" s="705">
        <v>1</v>
      </c>
      <c r="G2340" s="705">
        <v>273</v>
      </c>
      <c r="H2340" s="705">
        <v>83</v>
      </c>
      <c r="I2340" s="705">
        <v>12807</v>
      </c>
      <c r="J2340" s="705">
        <v>11643</v>
      </c>
      <c r="K2340" s="705">
        <v>93</v>
      </c>
      <c r="L2340" s="705">
        <v>0</v>
      </c>
      <c r="M2340" s="705">
        <v>0</v>
      </c>
      <c r="N2340" s="705">
        <v>4615</v>
      </c>
      <c r="O2340" s="705">
        <v>1709</v>
      </c>
      <c r="P2340" s="705">
        <v>473</v>
      </c>
      <c r="Q2340" s="705">
        <v>175</v>
      </c>
      <c r="R2340" s="705">
        <v>4747</v>
      </c>
      <c r="S2340" s="705">
        <v>4315</v>
      </c>
      <c r="T2340" s="705">
        <v>0</v>
      </c>
      <c r="U2340" s="705">
        <v>0</v>
      </c>
      <c r="V2340" s="705">
        <v>17843</v>
      </c>
      <c r="W2340" s="705">
        <f t="shared" si="96"/>
        <v>17842</v>
      </c>
      <c r="X2340" s="705">
        <f t="shared" si="97"/>
        <v>22642</v>
      </c>
    </row>
    <row r="2341" spans="2:24">
      <c r="B2341" t="s">
        <v>551</v>
      </c>
      <c r="C2341" t="s">
        <v>110</v>
      </c>
      <c r="D2341" t="s">
        <v>228</v>
      </c>
      <c r="E2341" t="s">
        <v>228</v>
      </c>
      <c r="F2341" s="705">
        <v>12</v>
      </c>
      <c r="G2341" s="705">
        <v>3023</v>
      </c>
      <c r="H2341" s="705">
        <v>1077</v>
      </c>
      <c r="I2341" s="705">
        <v>112594</v>
      </c>
      <c r="J2341" s="705">
        <v>41701</v>
      </c>
      <c r="K2341" s="705">
        <v>347</v>
      </c>
      <c r="L2341" s="705">
        <v>35037</v>
      </c>
      <c r="M2341" s="705">
        <v>32309</v>
      </c>
      <c r="N2341" s="705">
        <v>55845</v>
      </c>
      <c r="O2341" s="705">
        <v>20683</v>
      </c>
      <c r="P2341" s="705">
        <v>12055</v>
      </c>
      <c r="Q2341" s="705">
        <v>4465</v>
      </c>
      <c r="R2341" s="705">
        <v>76966</v>
      </c>
      <c r="S2341" s="705">
        <v>28506</v>
      </c>
      <c r="T2341" s="705">
        <v>0</v>
      </c>
      <c r="U2341" s="705">
        <v>0</v>
      </c>
      <c r="V2341" s="705">
        <v>127664</v>
      </c>
      <c r="W2341" s="705">
        <f t="shared" si="96"/>
        <v>127664</v>
      </c>
      <c r="X2341" s="705">
        <f t="shared" si="97"/>
        <v>292497</v>
      </c>
    </row>
    <row r="2342" spans="2:24">
      <c r="B2342" t="s">
        <v>551</v>
      </c>
      <c r="C2342" t="s">
        <v>110</v>
      </c>
      <c r="D2342" t="s">
        <v>583</v>
      </c>
      <c r="E2342" t="s">
        <v>583</v>
      </c>
      <c r="F2342" s="705">
        <v>38</v>
      </c>
      <c r="G2342" s="705">
        <v>8172</v>
      </c>
      <c r="H2342" s="705">
        <v>3518</v>
      </c>
      <c r="I2342" s="705">
        <v>377193</v>
      </c>
      <c r="J2342" s="705">
        <v>342903</v>
      </c>
      <c r="K2342" s="705">
        <v>90</v>
      </c>
      <c r="L2342" s="705">
        <v>61258</v>
      </c>
      <c r="M2342" s="705">
        <v>55603</v>
      </c>
      <c r="N2342" s="705">
        <v>122121</v>
      </c>
      <c r="O2342" s="705">
        <v>45230</v>
      </c>
      <c r="P2342" s="705">
        <v>48790</v>
      </c>
      <c r="Q2342" s="705">
        <v>18070</v>
      </c>
      <c r="R2342" s="705">
        <v>140304</v>
      </c>
      <c r="S2342" s="705">
        <v>127549</v>
      </c>
      <c r="T2342" s="705">
        <v>0</v>
      </c>
      <c r="U2342" s="705">
        <v>0</v>
      </c>
      <c r="V2342" s="705">
        <v>589355</v>
      </c>
      <c r="W2342" s="705">
        <f t="shared" si="96"/>
        <v>589355</v>
      </c>
      <c r="X2342" s="705">
        <f t="shared" si="97"/>
        <v>749666</v>
      </c>
    </row>
    <row r="2343" spans="2:24">
      <c r="B2343" t="s">
        <v>551</v>
      </c>
      <c r="C2343" t="s">
        <v>110</v>
      </c>
      <c r="D2343" t="s">
        <v>585</v>
      </c>
      <c r="E2343" t="s">
        <v>585</v>
      </c>
      <c r="F2343" s="705">
        <v>3</v>
      </c>
      <c r="G2343" s="705">
        <v>693</v>
      </c>
      <c r="H2343" s="705">
        <v>275</v>
      </c>
      <c r="I2343" s="705">
        <v>45518</v>
      </c>
      <c r="J2343" s="705">
        <v>41380</v>
      </c>
      <c r="K2343" s="705">
        <v>90</v>
      </c>
      <c r="L2343" s="705">
        <v>1877</v>
      </c>
      <c r="M2343" s="705">
        <v>4637</v>
      </c>
      <c r="N2343" s="705">
        <v>8439</v>
      </c>
      <c r="O2343" s="705">
        <v>3126</v>
      </c>
      <c r="P2343" s="705">
        <v>1053</v>
      </c>
      <c r="Q2343" s="705">
        <v>390</v>
      </c>
      <c r="R2343" s="705">
        <v>6683</v>
      </c>
      <c r="S2343" s="705">
        <v>6075</v>
      </c>
      <c r="T2343" s="705">
        <v>0</v>
      </c>
      <c r="U2343" s="705">
        <v>0</v>
      </c>
      <c r="V2343" s="705">
        <v>55608</v>
      </c>
      <c r="W2343" s="705">
        <f t="shared" si="96"/>
        <v>55608</v>
      </c>
      <c r="X2343" s="705">
        <f t="shared" si="97"/>
        <v>63570</v>
      </c>
    </row>
    <row r="2344" spans="2:24">
      <c r="B2344" t="s">
        <v>551</v>
      </c>
      <c r="C2344" t="s">
        <v>112</v>
      </c>
      <c r="F2344" s="705">
        <v>1</v>
      </c>
      <c r="G2344" s="705">
        <v>112</v>
      </c>
      <c r="H2344" s="705">
        <v>120</v>
      </c>
      <c r="I2344" s="705"/>
      <c r="J2344" s="705">
        <v>0</v>
      </c>
      <c r="K2344" s="705"/>
      <c r="L2344" s="705"/>
      <c r="M2344" s="705">
        <v>0</v>
      </c>
      <c r="N2344" s="705">
        <v>1969</v>
      </c>
      <c r="O2344" s="705">
        <v>729</v>
      </c>
      <c r="P2344" s="705">
        <v>0</v>
      </c>
      <c r="Q2344" s="705">
        <v>0</v>
      </c>
      <c r="R2344" s="705"/>
      <c r="S2344" s="705">
        <v>0</v>
      </c>
      <c r="T2344" s="705">
        <v>0</v>
      </c>
      <c r="U2344" s="705">
        <v>0</v>
      </c>
      <c r="V2344" s="705">
        <v>729</v>
      </c>
      <c r="W2344" s="705">
        <f t="shared" si="96"/>
        <v>729</v>
      </c>
      <c r="X2344" s="705">
        <f t="shared" si="97"/>
        <v>1969</v>
      </c>
    </row>
    <row r="2345" spans="2:24">
      <c r="B2345" t="s">
        <v>551</v>
      </c>
      <c r="C2345" t="s">
        <v>112</v>
      </c>
      <c r="D2345" t="s">
        <v>582</v>
      </c>
      <c r="E2345" t="s">
        <v>582</v>
      </c>
      <c r="F2345" s="705">
        <v>1</v>
      </c>
      <c r="G2345" s="705">
        <v>159</v>
      </c>
      <c r="H2345" s="705">
        <v>124</v>
      </c>
      <c r="I2345" s="705">
        <v>11669</v>
      </c>
      <c r="J2345" s="705">
        <v>10608</v>
      </c>
      <c r="K2345" s="705">
        <v>91</v>
      </c>
      <c r="L2345" s="705">
        <v>1956</v>
      </c>
      <c r="M2345" s="705">
        <v>1778</v>
      </c>
      <c r="N2345" s="705">
        <v>3100</v>
      </c>
      <c r="O2345" s="705">
        <v>1148</v>
      </c>
      <c r="P2345" s="705">
        <v>473</v>
      </c>
      <c r="Q2345" s="705">
        <v>175</v>
      </c>
      <c r="R2345" s="705">
        <v>2502</v>
      </c>
      <c r="S2345" s="705">
        <v>2274</v>
      </c>
      <c r="T2345" s="705">
        <v>0</v>
      </c>
      <c r="U2345" s="705">
        <v>0</v>
      </c>
      <c r="V2345" s="705">
        <v>15983</v>
      </c>
      <c r="W2345" s="705">
        <f t="shared" si="96"/>
        <v>15983</v>
      </c>
      <c r="X2345" s="705">
        <f t="shared" si="97"/>
        <v>19700</v>
      </c>
    </row>
    <row r="2346" spans="2:24">
      <c r="B2346" t="s">
        <v>551</v>
      </c>
      <c r="C2346" t="s">
        <v>112</v>
      </c>
      <c r="D2346" t="s">
        <v>228</v>
      </c>
      <c r="E2346" t="s">
        <v>228</v>
      </c>
      <c r="F2346" s="705">
        <v>5</v>
      </c>
      <c r="G2346" s="705">
        <v>1181</v>
      </c>
      <c r="H2346" s="705">
        <v>548</v>
      </c>
      <c r="I2346" s="705">
        <v>62058</v>
      </c>
      <c r="J2346" s="705">
        <v>22984</v>
      </c>
      <c r="K2346" s="705">
        <v>306</v>
      </c>
      <c r="L2346" s="705">
        <v>10871</v>
      </c>
      <c r="M2346" s="705">
        <v>9882</v>
      </c>
      <c r="N2346" s="705">
        <v>19120</v>
      </c>
      <c r="O2346" s="705">
        <v>7082</v>
      </c>
      <c r="P2346" s="705">
        <v>1755</v>
      </c>
      <c r="Q2346" s="705">
        <v>650</v>
      </c>
      <c r="R2346" s="705">
        <v>39655</v>
      </c>
      <c r="S2346" s="705">
        <v>14687</v>
      </c>
      <c r="T2346" s="705">
        <v>0</v>
      </c>
      <c r="U2346" s="705">
        <v>0</v>
      </c>
      <c r="V2346" s="705">
        <v>55286</v>
      </c>
      <c r="W2346" s="705">
        <f t="shared" si="96"/>
        <v>55285</v>
      </c>
      <c r="X2346" s="705">
        <f t="shared" si="97"/>
        <v>133459</v>
      </c>
    </row>
    <row r="2347" spans="2:24">
      <c r="B2347" t="s">
        <v>551</v>
      </c>
      <c r="C2347" t="s">
        <v>112</v>
      </c>
      <c r="D2347" t="s">
        <v>583</v>
      </c>
      <c r="E2347" t="s">
        <v>583</v>
      </c>
      <c r="F2347" s="705">
        <v>81</v>
      </c>
      <c r="G2347" s="705">
        <v>18673</v>
      </c>
      <c r="H2347" s="705">
        <v>9494</v>
      </c>
      <c r="I2347" s="705">
        <v>1208907</v>
      </c>
      <c r="J2347" s="705">
        <v>1099007</v>
      </c>
      <c r="K2347" s="705">
        <v>91</v>
      </c>
      <c r="L2347" s="705">
        <v>222041</v>
      </c>
      <c r="M2347" s="705">
        <v>470172</v>
      </c>
      <c r="N2347" s="705">
        <v>344377</v>
      </c>
      <c r="O2347" s="705">
        <v>127547</v>
      </c>
      <c r="P2347" s="705">
        <v>76769</v>
      </c>
      <c r="Q2347" s="705">
        <v>28433</v>
      </c>
      <c r="R2347" s="705">
        <v>431704</v>
      </c>
      <c r="S2347" s="705">
        <v>392458</v>
      </c>
      <c r="T2347" s="705">
        <v>9589</v>
      </c>
      <c r="U2347" s="705">
        <v>3551</v>
      </c>
      <c r="V2347" s="705">
        <v>2121168</v>
      </c>
      <c r="W2347" s="705">
        <f t="shared" si="96"/>
        <v>2121168</v>
      </c>
      <c r="X2347" s="705">
        <f t="shared" si="97"/>
        <v>2293387</v>
      </c>
    </row>
    <row r="2348" spans="2:24">
      <c r="B2348" t="s">
        <v>551</v>
      </c>
      <c r="C2348" t="s">
        <v>112</v>
      </c>
      <c r="D2348" t="s">
        <v>583</v>
      </c>
      <c r="E2348" t="s">
        <v>584</v>
      </c>
      <c r="F2348" s="705">
        <v>1</v>
      </c>
      <c r="G2348" s="705">
        <v>227</v>
      </c>
      <c r="H2348" s="705">
        <v>106</v>
      </c>
      <c r="I2348" s="705">
        <v>13826</v>
      </c>
      <c r="J2348" s="705">
        <v>12570</v>
      </c>
      <c r="K2348" s="705">
        <v>92</v>
      </c>
      <c r="L2348" s="705">
        <v>0</v>
      </c>
      <c r="M2348" s="705">
        <v>0</v>
      </c>
      <c r="N2348" s="705">
        <v>7049</v>
      </c>
      <c r="O2348" s="705">
        <v>2611</v>
      </c>
      <c r="P2348" s="705">
        <v>621</v>
      </c>
      <c r="Q2348" s="705">
        <v>230</v>
      </c>
      <c r="R2348" s="705">
        <v>9049</v>
      </c>
      <c r="S2348" s="705">
        <v>8227</v>
      </c>
      <c r="T2348" s="705">
        <v>0</v>
      </c>
      <c r="U2348" s="705">
        <v>0</v>
      </c>
      <c r="V2348" s="705">
        <v>23637</v>
      </c>
      <c r="W2348" s="705">
        <f t="shared" ref="W2348:W2411" si="98">SUM(ABS(J2348),ABS(M2348),ABS(O2348),ABS(Q2348),ABS(S2348),ABS(U2348))</f>
        <v>23638</v>
      </c>
      <c r="X2348" s="705">
        <f t="shared" ref="X2348:X2411" si="99">SUM(ABS(I2348),ABS(N2348),ABS(P2348),ABS(R2348),ABS(T2348),ABS(L2348))</f>
        <v>30545</v>
      </c>
    </row>
    <row r="2349" spans="2:24">
      <c r="B2349" t="s">
        <v>551</v>
      </c>
      <c r="C2349" t="s">
        <v>112</v>
      </c>
      <c r="D2349" t="s">
        <v>584</v>
      </c>
      <c r="E2349" t="s">
        <v>584</v>
      </c>
      <c r="F2349" s="705">
        <v>5</v>
      </c>
      <c r="G2349" s="705">
        <v>855</v>
      </c>
      <c r="H2349" s="705">
        <v>563</v>
      </c>
      <c r="I2349" s="705">
        <v>51010</v>
      </c>
      <c r="J2349" s="705">
        <v>46373</v>
      </c>
      <c r="K2349" s="705">
        <v>89</v>
      </c>
      <c r="L2349" s="705">
        <v>17907</v>
      </c>
      <c r="M2349" s="705">
        <v>16279</v>
      </c>
      <c r="N2349" s="705">
        <v>12592</v>
      </c>
      <c r="O2349" s="705">
        <v>4664</v>
      </c>
      <c r="P2349" s="705">
        <v>2363</v>
      </c>
      <c r="Q2349" s="705">
        <v>875</v>
      </c>
      <c r="R2349" s="705">
        <v>15499</v>
      </c>
      <c r="S2349" s="705">
        <v>14090</v>
      </c>
      <c r="T2349" s="705">
        <v>0</v>
      </c>
      <c r="U2349" s="705">
        <v>0</v>
      </c>
      <c r="V2349" s="705">
        <v>82281</v>
      </c>
      <c r="W2349" s="705">
        <f t="shared" si="98"/>
        <v>82281</v>
      </c>
      <c r="X2349" s="705">
        <f t="shared" si="99"/>
        <v>99371</v>
      </c>
    </row>
    <row r="2350" spans="2:24">
      <c r="B2350" t="s">
        <v>551</v>
      </c>
      <c r="C2350" t="s">
        <v>112</v>
      </c>
      <c r="D2350" t="s">
        <v>585</v>
      </c>
      <c r="E2350" t="s">
        <v>585</v>
      </c>
      <c r="F2350" s="705">
        <v>1</v>
      </c>
      <c r="G2350" s="705">
        <v>259</v>
      </c>
      <c r="H2350" s="705">
        <v>124</v>
      </c>
      <c r="I2350" s="705">
        <v>19830</v>
      </c>
      <c r="J2350" s="705">
        <v>18027</v>
      </c>
      <c r="K2350" s="705">
        <v>81</v>
      </c>
      <c r="L2350" s="705">
        <v>2291</v>
      </c>
      <c r="M2350" s="705">
        <v>2083</v>
      </c>
      <c r="N2350" s="705">
        <v>3156</v>
      </c>
      <c r="O2350" s="705">
        <v>1169</v>
      </c>
      <c r="P2350" s="705">
        <v>1404</v>
      </c>
      <c r="Q2350" s="705">
        <v>520</v>
      </c>
      <c r="R2350" s="705">
        <v>5497</v>
      </c>
      <c r="S2350" s="705">
        <v>4997</v>
      </c>
      <c r="T2350" s="705">
        <v>0</v>
      </c>
      <c r="U2350" s="705">
        <v>0</v>
      </c>
      <c r="V2350" s="705">
        <v>26796</v>
      </c>
      <c r="W2350" s="705">
        <f t="shared" si="98"/>
        <v>26796</v>
      </c>
      <c r="X2350" s="705">
        <f t="shared" si="99"/>
        <v>32178</v>
      </c>
    </row>
    <row r="2351" spans="2:24">
      <c r="B2351" t="s">
        <v>551</v>
      </c>
      <c r="C2351" t="s">
        <v>114</v>
      </c>
      <c r="D2351" t="s">
        <v>582</v>
      </c>
      <c r="E2351" t="s">
        <v>582</v>
      </c>
      <c r="F2351" s="705">
        <v>6</v>
      </c>
      <c r="G2351" s="705">
        <v>1482</v>
      </c>
      <c r="H2351" s="705">
        <v>833</v>
      </c>
      <c r="I2351" s="705">
        <v>125543</v>
      </c>
      <c r="J2351" s="705">
        <v>114130</v>
      </c>
      <c r="K2351" s="705">
        <v>90</v>
      </c>
      <c r="L2351" s="705">
        <v>21884</v>
      </c>
      <c r="M2351" s="705">
        <v>19895</v>
      </c>
      <c r="N2351" s="705">
        <v>27176</v>
      </c>
      <c r="O2351" s="705">
        <v>10065</v>
      </c>
      <c r="P2351" s="705">
        <v>6176</v>
      </c>
      <c r="Q2351" s="705">
        <v>2288</v>
      </c>
      <c r="R2351" s="705">
        <v>38195</v>
      </c>
      <c r="S2351" s="705">
        <v>34723</v>
      </c>
      <c r="T2351" s="705">
        <v>0</v>
      </c>
      <c r="U2351" s="705">
        <v>0</v>
      </c>
      <c r="V2351" s="705">
        <v>181101</v>
      </c>
      <c r="W2351" s="705">
        <f t="shared" si="98"/>
        <v>181101</v>
      </c>
      <c r="X2351" s="705">
        <f t="shared" si="99"/>
        <v>218974</v>
      </c>
    </row>
    <row r="2352" spans="2:24">
      <c r="B2352" t="s">
        <v>551</v>
      </c>
      <c r="C2352" t="s">
        <v>114</v>
      </c>
      <c r="D2352" t="s">
        <v>228</v>
      </c>
      <c r="E2352" t="s">
        <v>228</v>
      </c>
      <c r="F2352" s="705">
        <v>5</v>
      </c>
      <c r="G2352" s="705">
        <v>1115</v>
      </c>
      <c r="H2352" s="705">
        <v>656</v>
      </c>
      <c r="I2352" s="705">
        <v>99134</v>
      </c>
      <c r="J2352" s="705">
        <v>36716</v>
      </c>
      <c r="K2352" s="705">
        <v>298</v>
      </c>
      <c r="L2352" s="705">
        <v>26108</v>
      </c>
      <c r="M2352" s="705">
        <v>18472</v>
      </c>
      <c r="N2352" s="705">
        <v>22902</v>
      </c>
      <c r="O2352" s="705">
        <v>8482</v>
      </c>
      <c r="P2352" s="705">
        <v>5569</v>
      </c>
      <c r="Q2352" s="705">
        <v>2063</v>
      </c>
      <c r="R2352" s="705">
        <v>40473</v>
      </c>
      <c r="S2352" s="705">
        <v>14990</v>
      </c>
      <c r="T2352" s="705">
        <v>4342</v>
      </c>
      <c r="U2352" s="705">
        <v>1608</v>
      </c>
      <c r="V2352" s="705">
        <v>82331</v>
      </c>
      <c r="W2352" s="705">
        <f t="shared" si="98"/>
        <v>82331</v>
      </c>
      <c r="X2352" s="705">
        <f t="shared" si="99"/>
        <v>198528</v>
      </c>
    </row>
    <row r="2353" spans="2:24">
      <c r="B2353" t="s">
        <v>551</v>
      </c>
      <c r="C2353" t="s">
        <v>114</v>
      </c>
      <c r="D2353" t="s">
        <v>228</v>
      </c>
      <c r="E2353" t="s">
        <v>585</v>
      </c>
      <c r="F2353" s="705">
        <v>1</v>
      </c>
      <c r="G2353" s="705">
        <v>187</v>
      </c>
      <c r="H2353" s="705">
        <v>141</v>
      </c>
      <c r="I2353" s="705">
        <v>14919</v>
      </c>
      <c r="J2353" s="705">
        <v>5526</v>
      </c>
      <c r="K2353" s="705">
        <v>320</v>
      </c>
      <c r="L2353" s="705">
        <v>2327</v>
      </c>
      <c r="M2353" s="705">
        <v>2116</v>
      </c>
      <c r="N2353" s="705">
        <v>3557</v>
      </c>
      <c r="O2353" s="705">
        <v>1317</v>
      </c>
      <c r="P2353" s="705">
        <v>351</v>
      </c>
      <c r="Q2353" s="705">
        <v>130</v>
      </c>
      <c r="R2353" s="705">
        <v>5294</v>
      </c>
      <c r="S2353" s="705">
        <v>4813</v>
      </c>
      <c r="T2353" s="705">
        <v>0</v>
      </c>
      <c r="U2353" s="705">
        <v>0</v>
      </c>
      <c r="V2353" s="705">
        <v>13902</v>
      </c>
      <c r="W2353" s="705">
        <f t="shared" si="98"/>
        <v>13902</v>
      </c>
      <c r="X2353" s="705">
        <f t="shared" si="99"/>
        <v>26448</v>
      </c>
    </row>
    <row r="2354" spans="2:24">
      <c r="B2354" t="s">
        <v>551</v>
      </c>
      <c r="C2354" t="s">
        <v>114</v>
      </c>
      <c r="D2354" t="s">
        <v>583</v>
      </c>
      <c r="E2354" t="s">
        <v>664</v>
      </c>
      <c r="F2354" s="705">
        <v>1</v>
      </c>
      <c r="G2354" s="705">
        <v>283</v>
      </c>
      <c r="H2354" s="705">
        <v>129</v>
      </c>
      <c r="I2354" s="705">
        <v>20870</v>
      </c>
      <c r="J2354" s="705">
        <v>18972</v>
      </c>
      <c r="K2354" s="705">
        <v>86</v>
      </c>
      <c r="L2354" s="705">
        <v>3312</v>
      </c>
      <c r="M2354" s="705">
        <v>3011</v>
      </c>
      <c r="N2354" s="705">
        <v>5000</v>
      </c>
      <c r="O2354" s="705">
        <v>1852</v>
      </c>
      <c r="P2354" s="705">
        <v>621</v>
      </c>
      <c r="Q2354" s="705">
        <v>230</v>
      </c>
      <c r="R2354" s="705">
        <v>6779</v>
      </c>
      <c r="S2354" s="705">
        <v>6163</v>
      </c>
      <c r="T2354" s="705">
        <v>0</v>
      </c>
      <c r="U2354" s="705">
        <v>0</v>
      </c>
      <c r="V2354" s="705">
        <v>30228</v>
      </c>
      <c r="W2354" s="705">
        <f t="shared" si="98"/>
        <v>30228</v>
      </c>
      <c r="X2354" s="705">
        <f t="shared" si="99"/>
        <v>36582</v>
      </c>
    </row>
    <row r="2355" spans="2:24">
      <c r="B2355" t="s">
        <v>551</v>
      </c>
      <c r="C2355" t="s">
        <v>114</v>
      </c>
      <c r="D2355" t="s">
        <v>583</v>
      </c>
      <c r="E2355" t="s">
        <v>228</v>
      </c>
      <c r="F2355" s="705">
        <v>1</v>
      </c>
      <c r="G2355" s="705">
        <v>231</v>
      </c>
      <c r="H2355" s="705">
        <v>140</v>
      </c>
      <c r="I2355" s="705">
        <v>17422</v>
      </c>
      <c r="J2355" s="705">
        <v>15838</v>
      </c>
      <c r="K2355" s="705">
        <v>79</v>
      </c>
      <c r="L2355" s="705">
        <v>2353</v>
      </c>
      <c r="M2355" s="705">
        <v>2139</v>
      </c>
      <c r="N2355" s="705">
        <v>3512</v>
      </c>
      <c r="O2355" s="705">
        <v>1301</v>
      </c>
      <c r="P2355" s="705">
        <v>972</v>
      </c>
      <c r="Q2355" s="705">
        <v>360</v>
      </c>
      <c r="R2355" s="705">
        <v>8138</v>
      </c>
      <c r="S2355" s="705">
        <v>3014</v>
      </c>
      <c r="T2355" s="705">
        <v>0</v>
      </c>
      <c r="U2355" s="705">
        <v>0</v>
      </c>
      <c r="V2355" s="705">
        <v>22651</v>
      </c>
      <c r="W2355" s="705">
        <f t="shared" si="98"/>
        <v>22652</v>
      </c>
      <c r="X2355" s="705">
        <f t="shared" si="99"/>
        <v>32397</v>
      </c>
    </row>
    <row r="2356" spans="2:24">
      <c r="B2356" t="s">
        <v>551</v>
      </c>
      <c r="C2356" t="s">
        <v>114</v>
      </c>
      <c r="D2356" t="s">
        <v>583</v>
      </c>
      <c r="E2356" t="s">
        <v>583</v>
      </c>
      <c r="F2356" s="705">
        <v>256</v>
      </c>
      <c r="G2356" s="705">
        <v>54389</v>
      </c>
      <c r="H2356" s="705">
        <v>35863</v>
      </c>
      <c r="I2356" s="705">
        <v>4332277</v>
      </c>
      <c r="J2356" s="705">
        <v>3938433</v>
      </c>
      <c r="K2356" s="705">
        <v>88</v>
      </c>
      <c r="L2356" s="705">
        <v>927405</v>
      </c>
      <c r="M2356" s="705">
        <v>829885</v>
      </c>
      <c r="N2356" s="705">
        <v>1106949</v>
      </c>
      <c r="O2356" s="705">
        <v>409981</v>
      </c>
      <c r="P2356" s="705">
        <v>165385</v>
      </c>
      <c r="Q2356" s="705">
        <v>61254</v>
      </c>
      <c r="R2356" s="705">
        <v>1477999</v>
      </c>
      <c r="S2356" s="705">
        <v>1343636</v>
      </c>
      <c r="T2356" s="705">
        <v>71570</v>
      </c>
      <c r="U2356" s="705">
        <v>26507</v>
      </c>
      <c r="V2356" s="705">
        <v>6609696</v>
      </c>
      <c r="W2356" s="705">
        <f t="shared" si="98"/>
        <v>6609696</v>
      </c>
      <c r="X2356" s="705">
        <f t="shared" si="99"/>
        <v>8081585</v>
      </c>
    </row>
    <row r="2357" spans="2:24">
      <c r="B2357" t="s">
        <v>551</v>
      </c>
      <c r="C2357" t="s">
        <v>114</v>
      </c>
      <c r="D2357" t="s">
        <v>583</v>
      </c>
      <c r="E2357" t="s">
        <v>584</v>
      </c>
      <c r="F2357" s="705">
        <v>1</v>
      </c>
      <c r="G2357" s="705">
        <v>150</v>
      </c>
      <c r="H2357" s="705">
        <v>128</v>
      </c>
      <c r="I2357" s="705">
        <v>8016</v>
      </c>
      <c r="J2357" s="705">
        <v>7288</v>
      </c>
      <c r="K2357" s="705">
        <v>93</v>
      </c>
      <c r="L2357" s="705">
        <v>1274</v>
      </c>
      <c r="M2357" s="705">
        <v>1159</v>
      </c>
      <c r="N2357" s="705">
        <v>3538</v>
      </c>
      <c r="O2357" s="705">
        <v>1311</v>
      </c>
      <c r="P2357" s="705">
        <v>621</v>
      </c>
      <c r="Q2357" s="705">
        <v>230</v>
      </c>
      <c r="R2357" s="705">
        <v>5814</v>
      </c>
      <c r="S2357" s="705">
        <v>5285</v>
      </c>
      <c r="T2357" s="705">
        <v>0</v>
      </c>
      <c r="U2357" s="705">
        <v>0</v>
      </c>
      <c r="V2357" s="705">
        <v>15272</v>
      </c>
      <c r="W2357" s="705">
        <f t="shared" si="98"/>
        <v>15273</v>
      </c>
      <c r="X2357" s="705">
        <f t="shared" si="99"/>
        <v>19263</v>
      </c>
    </row>
    <row r="2358" spans="2:24">
      <c r="B2358" t="s">
        <v>551</v>
      </c>
      <c r="C2358" t="s">
        <v>114</v>
      </c>
      <c r="D2358" t="s">
        <v>584</v>
      </c>
      <c r="E2358" t="s">
        <v>584</v>
      </c>
      <c r="F2358" s="705">
        <v>13</v>
      </c>
      <c r="G2358" s="705">
        <v>2075</v>
      </c>
      <c r="H2358" s="705">
        <v>1828</v>
      </c>
      <c r="I2358" s="705">
        <v>155869</v>
      </c>
      <c r="J2358" s="705">
        <v>141699</v>
      </c>
      <c r="K2358" s="705">
        <v>89</v>
      </c>
      <c r="L2358" s="705">
        <v>34952</v>
      </c>
      <c r="M2358" s="705">
        <v>31775</v>
      </c>
      <c r="N2358" s="705">
        <v>37616</v>
      </c>
      <c r="O2358" s="705">
        <v>13932</v>
      </c>
      <c r="P2358" s="705">
        <v>6143</v>
      </c>
      <c r="Q2358" s="705">
        <v>2275</v>
      </c>
      <c r="R2358" s="705">
        <v>65556</v>
      </c>
      <c r="S2358" s="705">
        <v>59597</v>
      </c>
      <c r="T2358" s="705">
        <v>0</v>
      </c>
      <c r="U2358" s="705">
        <v>0</v>
      </c>
      <c r="V2358" s="705">
        <v>249278</v>
      </c>
      <c r="W2358" s="705">
        <f t="shared" si="98"/>
        <v>249278</v>
      </c>
      <c r="X2358" s="705">
        <f t="shared" si="99"/>
        <v>300136</v>
      </c>
    </row>
    <row r="2359" spans="2:24">
      <c r="B2359" t="s">
        <v>551</v>
      </c>
      <c r="C2359" t="s">
        <v>114</v>
      </c>
      <c r="D2359" t="s">
        <v>585</v>
      </c>
      <c r="E2359" t="s">
        <v>585</v>
      </c>
      <c r="F2359" s="705">
        <v>2</v>
      </c>
      <c r="G2359" s="705">
        <v>570</v>
      </c>
      <c r="H2359" s="705">
        <v>297</v>
      </c>
      <c r="I2359" s="705">
        <v>51907</v>
      </c>
      <c r="J2359" s="705">
        <v>47188</v>
      </c>
      <c r="K2359" s="705">
        <v>75</v>
      </c>
      <c r="L2359" s="705">
        <v>9481</v>
      </c>
      <c r="M2359" s="705">
        <v>8619</v>
      </c>
      <c r="N2359" s="705">
        <v>6951</v>
      </c>
      <c r="O2359" s="705">
        <v>2574</v>
      </c>
      <c r="P2359" s="705">
        <v>702</v>
      </c>
      <c r="Q2359" s="705">
        <v>260</v>
      </c>
      <c r="R2359" s="705">
        <v>15621</v>
      </c>
      <c r="S2359" s="705">
        <v>14201</v>
      </c>
      <c r="T2359" s="705">
        <v>0</v>
      </c>
      <c r="U2359" s="705">
        <v>0</v>
      </c>
      <c r="V2359" s="705">
        <v>72842</v>
      </c>
      <c r="W2359" s="705">
        <f t="shared" si="98"/>
        <v>72842</v>
      </c>
      <c r="X2359" s="705">
        <f t="shared" si="99"/>
        <v>84662</v>
      </c>
    </row>
    <row r="2360" spans="2:24">
      <c r="B2360" t="s">
        <v>551</v>
      </c>
      <c r="C2360" t="s">
        <v>116</v>
      </c>
      <c r="D2360" t="s">
        <v>664</v>
      </c>
      <c r="E2360" t="s">
        <v>664</v>
      </c>
      <c r="F2360" s="705">
        <v>1</v>
      </c>
      <c r="G2360" s="705">
        <v>130</v>
      </c>
      <c r="H2360" s="705">
        <v>195</v>
      </c>
      <c r="I2360" s="705">
        <v>17280</v>
      </c>
      <c r="J2360" s="705">
        <v>15709</v>
      </c>
      <c r="K2360" s="705">
        <v>92</v>
      </c>
      <c r="L2360" s="705">
        <v>2585</v>
      </c>
      <c r="M2360" s="705">
        <v>2350</v>
      </c>
      <c r="N2360" s="705">
        <v>1579</v>
      </c>
      <c r="O2360" s="705">
        <v>585</v>
      </c>
      <c r="P2360" s="705">
        <v>473</v>
      </c>
      <c r="Q2360" s="705">
        <v>175</v>
      </c>
      <c r="R2360" s="705">
        <v>3307</v>
      </c>
      <c r="S2360" s="705">
        <v>3006</v>
      </c>
      <c r="T2360" s="705">
        <v>0</v>
      </c>
      <c r="U2360" s="705">
        <v>0</v>
      </c>
      <c r="V2360" s="705">
        <v>21825</v>
      </c>
      <c r="W2360" s="705">
        <f t="shared" si="98"/>
        <v>21825</v>
      </c>
      <c r="X2360" s="705">
        <f t="shared" si="99"/>
        <v>25224</v>
      </c>
    </row>
    <row r="2361" spans="2:24">
      <c r="B2361" t="s">
        <v>551</v>
      </c>
      <c r="C2361" t="s">
        <v>116</v>
      </c>
      <c r="D2361" t="s">
        <v>664</v>
      </c>
      <c r="E2361" t="s">
        <v>583</v>
      </c>
      <c r="F2361" s="705">
        <v>3</v>
      </c>
      <c r="G2361" s="705">
        <v>545</v>
      </c>
      <c r="H2361" s="705">
        <v>555</v>
      </c>
      <c r="I2361" s="705">
        <v>52178</v>
      </c>
      <c r="J2361" s="705">
        <v>47435</v>
      </c>
      <c r="K2361" s="705">
        <v>81</v>
      </c>
      <c r="L2361" s="705">
        <v>15096</v>
      </c>
      <c r="M2361" s="705">
        <v>13723</v>
      </c>
      <c r="N2361" s="705">
        <v>13119</v>
      </c>
      <c r="O2361" s="705">
        <v>4859</v>
      </c>
      <c r="P2361" s="705">
        <v>1863</v>
      </c>
      <c r="Q2361" s="705">
        <v>690</v>
      </c>
      <c r="R2361" s="705">
        <v>19214</v>
      </c>
      <c r="S2361" s="705">
        <v>17467</v>
      </c>
      <c r="T2361" s="705">
        <v>0</v>
      </c>
      <c r="U2361" s="705">
        <v>0</v>
      </c>
      <c r="V2361" s="705">
        <v>84174</v>
      </c>
      <c r="W2361" s="705">
        <f t="shared" si="98"/>
        <v>84174</v>
      </c>
      <c r="X2361" s="705">
        <f t="shared" si="99"/>
        <v>101470</v>
      </c>
    </row>
    <row r="2362" spans="2:24">
      <c r="B2362" t="s">
        <v>551</v>
      </c>
      <c r="C2362" t="s">
        <v>116</v>
      </c>
      <c r="D2362" t="s">
        <v>582</v>
      </c>
      <c r="E2362" t="s">
        <v>582</v>
      </c>
      <c r="F2362" s="705">
        <v>20</v>
      </c>
      <c r="G2362" s="705">
        <v>3771</v>
      </c>
      <c r="H2362" s="705">
        <v>3833</v>
      </c>
      <c r="I2362" s="705">
        <v>426630</v>
      </c>
      <c r="J2362" s="705">
        <v>387845</v>
      </c>
      <c r="K2362" s="705">
        <v>84</v>
      </c>
      <c r="L2362" s="705">
        <v>108010</v>
      </c>
      <c r="M2362" s="705">
        <v>94967</v>
      </c>
      <c r="N2362" s="705">
        <v>83568</v>
      </c>
      <c r="O2362" s="705">
        <v>30951</v>
      </c>
      <c r="P2362" s="705">
        <v>10908</v>
      </c>
      <c r="Q2362" s="705">
        <v>4040</v>
      </c>
      <c r="R2362" s="705">
        <v>133039</v>
      </c>
      <c r="S2362" s="705">
        <v>120945</v>
      </c>
      <c r="T2362" s="705">
        <v>0</v>
      </c>
      <c r="U2362" s="705">
        <v>0</v>
      </c>
      <c r="V2362" s="705">
        <v>638748</v>
      </c>
      <c r="W2362" s="705">
        <f t="shared" si="98"/>
        <v>638748</v>
      </c>
      <c r="X2362" s="705">
        <f t="shared" si="99"/>
        <v>762155</v>
      </c>
    </row>
    <row r="2363" spans="2:24">
      <c r="B2363" t="s">
        <v>551</v>
      </c>
      <c r="C2363" t="s">
        <v>116</v>
      </c>
      <c r="D2363" t="s">
        <v>228</v>
      </c>
      <c r="E2363" t="s">
        <v>228</v>
      </c>
      <c r="F2363" s="705">
        <v>11</v>
      </c>
      <c r="G2363" s="705">
        <v>2199</v>
      </c>
      <c r="H2363" s="705">
        <v>2301</v>
      </c>
      <c r="I2363" s="705">
        <v>313577</v>
      </c>
      <c r="J2363" s="705">
        <v>116140</v>
      </c>
      <c r="K2363" s="705">
        <v>132</v>
      </c>
      <c r="L2363" s="705">
        <v>27847</v>
      </c>
      <c r="M2363" s="705">
        <v>20622</v>
      </c>
      <c r="N2363" s="705">
        <v>54935</v>
      </c>
      <c r="O2363" s="705">
        <v>20346</v>
      </c>
      <c r="P2363" s="705">
        <v>1822</v>
      </c>
      <c r="Q2363" s="705">
        <v>675</v>
      </c>
      <c r="R2363" s="705">
        <v>95249</v>
      </c>
      <c r="S2363" s="705">
        <v>35277</v>
      </c>
      <c r="T2363" s="705">
        <v>0</v>
      </c>
      <c r="U2363" s="705">
        <v>0</v>
      </c>
      <c r="V2363" s="705">
        <v>193060</v>
      </c>
      <c r="W2363" s="705">
        <f t="shared" si="98"/>
        <v>193060</v>
      </c>
      <c r="X2363" s="705">
        <f t="shared" si="99"/>
        <v>493430</v>
      </c>
    </row>
    <row r="2364" spans="2:24">
      <c r="B2364" t="s">
        <v>551</v>
      </c>
      <c r="C2364" t="s">
        <v>116</v>
      </c>
      <c r="D2364" t="s">
        <v>583</v>
      </c>
      <c r="E2364" t="s">
        <v>674</v>
      </c>
      <c r="F2364" s="705">
        <v>1</v>
      </c>
      <c r="G2364" s="705">
        <v>169</v>
      </c>
      <c r="H2364" s="705">
        <v>185</v>
      </c>
      <c r="I2364" s="705">
        <v>15767</v>
      </c>
      <c r="J2364" s="705">
        <v>14334</v>
      </c>
      <c r="K2364" s="705">
        <v>85</v>
      </c>
      <c r="L2364" s="705">
        <v>4724</v>
      </c>
      <c r="M2364" s="705">
        <v>4295</v>
      </c>
      <c r="N2364" s="705">
        <v>4106</v>
      </c>
      <c r="O2364" s="705">
        <v>1521</v>
      </c>
      <c r="P2364" s="705">
        <v>621</v>
      </c>
      <c r="Q2364" s="705">
        <v>230</v>
      </c>
      <c r="R2364" s="705">
        <v>5938</v>
      </c>
      <c r="S2364" s="705">
        <v>5398</v>
      </c>
      <c r="T2364" s="705">
        <v>0</v>
      </c>
      <c r="U2364" s="705">
        <v>0</v>
      </c>
      <c r="V2364" s="705">
        <v>25777</v>
      </c>
      <c r="W2364" s="705">
        <f t="shared" si="98"/>
        <v>25778</v>
      </c>
      <c r="X2364" s="705">
        <f t="shared" si="99"/>
        <v>31156</v>
      </c>
    </row>
    <row r="2365" spans="2:24">
      <c r="B2365" t="s">
        <v>551</v>
      </c>
      <c r="C2365" t="s">
        <v>116</v>
      </c>
      <c r="D2365" t="s">
        <v>583</v>
      </c>
      <c r="E2365" t="s">
        <v>664</v>
      </c>
      <c r="F2365" s="705">
        <v>1</v>
      </c>
      <c r="G2365" s="705">
        <v>169</v>
      </c>
      <c r="H2365" s="705">
        <v>225</v>
      </c>
      <c r="I2365" s="705">
        <v>22955</v>
      </c>
      <c r="J2365" s="705">
        <v>20869</v>
      </c>
      <c r="K2365" s="705">
        <v>97</v>
      </c>
      <c r="L2365" s="705">
        <v>3729</v>
      </c>
      <c r="M2365" s="705">
        <v>3390</v>
      </c>
      <c r="N2365" s="705">
        <v>3948</v>
      </c>
      <c r="O2365" s="705">
        <v>1462</v>
      </c>
      <c r="P2365" s="705">
        <v>621</v>
      </c>
      <c r="Q2365" s="705">
        <v>230</v>
      </c>
      <c r="R2365" s="705">
        <v>6677</v>
      </c>
      <c r="S2365" s="705">
        <v>6070</v>
      </c>
      <c r="T2365" s="705">
        <v>0</v>
      </c>
      <c r="U2365" s="705">
        <v>0</v>
      </c>
      <c r="V2365" s="705">
        <v>32020</v>
      </c>
      <c r="W2365" s="705">
        <f t="shared" si="98"/>
        <v>32021</v>
      </c>
      <c r="X2365" s="705">
        <f t="shared" si="99"/>
        <v>37930</v>
      </c>
    </row>
    <row r="2366" spans="2:24">
      <c r="B2366" t="s">
        <v>551</v>
      </c>
      <c r="C2366" t="s">
        <v>116</v>
      </c>
      <c r="D2366" t="s">
        <v>583</v>
      </c>
      <c r="E2366" t="s">
        <v>228</v>
      </c>
      <c r="F2366" s="705">
        <v>2</v>
      </c>
      <c r="G2366" s="705">
        <v>317</v>
      </c>
      <c r="H2366" s="705">
        <v>393</v>
      </c>
      <c r="I2366" s="705">
        <v>30106</v>
      </c>
      <c r="J2366" s="705">
        <v>27369</v>
      </c>
      <c r="K2366" s="705">
        <v>89</v>
      </c>
      <c r="L2366" s="705">
        <v>7051</v>
      </c>
      <c r="M2366" s="705">
        <v>6410</v>
      </c>
      <c r="N2366" s="705">
        <v>6562</v>
      </c>
      <c r="O2366" s="705">
        <v>2430</v>
      </c>
      <c r="P2366" s="705">
        <v>1242</v>
      </c>
      <c r="Q2366" s="705">
        <v>460</v>
      </c>
      <c r="R2366" s="705">
        <v>15369</v>
      </c>
      <c r="S2366" s="705">
        <v>5692</v>
      </c>
      <c r="T2366" s="705">
        <v>0</v>
      </c>
      <c r="U2366" s="705">
        <v>0</v>
      </c>
      <c r="V2366" s="705">
        <v>42361</v>
      </c>
      <c r="W2366" s="705">
        <f t="shared" si="98"/>
        <v>42361</v>
      </c>
      <c r="X2366" s="705">
        <f t="shared" si="99"/>
        <v>60330</v>
      </c>
    </row>
    <row r="2367" spans="2:24">
      <c r="B2367" t="s">
        <v>551</v>
      </c>
      <c r="C2367" t="s">
        <v>116</v>
      </c>
      <c r="D2367" t="s">
        <v>583</v>
      </c>
      <c r="E2367" t="s">
        <v>583</v>
      </c>
      <c r="F2367" s="705">
        <v>1141</v>
      </c>
      <c r="G2367" s="705">
        <v>199595</v>
      </c>
      <c r="H2367" s="705">
        <v>215071</v>
      </c>
      <c r="I2367" s="705">
        <v>21570002</v>
      </c>
      <c r="J2367" s="705">
        <v>19609093</v>
      </c>
      <c r="K2367" s="705">
        <v>84</v>
      </c>
      <c r="L2367" s="705">
        <v>4821591</v>
      </c>
      <c r="M2367" s="705">
        <v>4255025</v>
      </c>
      <c r="N2367" s="705">
        <v>4221453</v>
      </c>
      <c r="O2367" s="705">
        <v>1563501</v>
      </c>
      <c r="P2367" s="705">
        <v>739307</v>
      </c>
      <c r="Q2367" s="705">
        <v>273817</v>
      </c>
      <c r="R2367" s="705">
        <v>6500269</v>
      </c>
      <c r="S2367" s="705">
        <v>5909335</v>
      </c>
      <c r="T2367" s="705">
        <v>1257023</v>
      </c>
      <c r="U2367" s="705">
        <v>465564</v>
      </c>
      <c r="V2367" s="705">
        <v>32076336</v>
      </c>
      <c r="W2367" s="705">
        <f t="shared" si="98"/>
        <v>32076335</v>
      </c>
      <c r="X2367" s="705">
        <f t="shared" si="99"/>
        <v>39109645</v>
      </c>
    </row>
    <row r="2368" spans="2:24">
      <c r="B2368" t="s">
        <v>551</v>
      </c>
      <c r="C2368" t="s">
        <v>116</v>
      </c>
      <c r="D2368" t="s">
        <v>583</v>
      </c>
      <c r="E2368" t="s">
        <v>666</v>
      </c>
      <c r="F2368" s="705">
        <v>1</v>
      </c>
      <c r="G2368" s="705">
        <v>97</v>
      </c>
      <c r="H2368" s="705">
        <v>177</v>
      </c>
      <c r="I2368" s="705">
        <v>9203</v>
      </c>
      <c r="J2368" s="705">
        <v>8366</v>
      </c>
      <c r="K2368" s="705">
        <v>93</v>
      </c>
      <c r="L2368" s="705">
        <v>2385</v>
      </c>
      <c r="M2368" s="705">
        <v>2168</v>
      </c>
      <c r="N2368" s="705">
        <v>1185</v>
      </c>
      <c r="O2368" s="705">
        <v>439</v>
      </c>
      <c r="P2368" s="705">
        <v>621</v>
      </c>
      <c r="Q2368" s="705">
        <v>230</v>
      </c>
      <c r="R2368" s="705">
        <v>3803</v>
      </c>
      <c r="S2368" s="705">
        <v>3457</v>
      </c>
      <c r="T2368" s="705">
        <v>0</v>
      </c>
      <c r="U2368" s="705">
        <v>0</v>
      </c>
      <c r="V2368" s="705">
        <v>14660</v>
      </c>
      <c r="W2368" s="705">
        <f t="shared" si="98"/>
        <v>14660</v>
      </c>
      <c r="X2368" s="705">
        <f t="shared" si="99"/>
        <v>17197</v>
      </c>
    </row>
    <row r="2369" spans="2:24">
      <c r="B2369" t="s">
        <v>551</v>
      </c>
      <c r="C2369" t="s">
        <v>116</v>
      </c>
      <c r="D2369" t="s">
        <v>583</v>
      </c>
      <c r="E2369" t="s">
        <v>665</v>
      </c>
      <c r="F2369" s="705">
        <v>2</v>
      </c>
      <c r="G2369" s="705">
        <v>437</v>
      </c>
      <c r="H2369" s="705">
        <v>376</v>
      </c>
      <c r="I2369" s="705">
        <v>44287</v>
      </c>
      <c r="J2369" s="705">
        <v>40261</v>
      </c>
      <c r="K2369" s="705">
        <v>82</v>
      </c>
      <c r="L2369" s="705">
        <v>8798</v>
      </c>
      <c r="M2369" s="705">
        <v>7998</v>
      </c>
      <c r="N2369" s="705">
        <v>9636</v>
      </c>
      <c r="O2369" s="705">
        <v>3569</v>
      </c>
      <c r="P2369" s="705">
        <v>1242</v>
      </c>
      <c r="Q2369" s="705">
        <v>460</v>
      </c>
      <c r="R2369" s="705">
        <v>16224</v>
      </c>
      <c r="S2369" s="705">
        <v>14750</v>
      </c>
      <c r="T2369" s="705">
        <v>0</v>
      </c>
      <c r="U2369" s="705">
        <v>0</v>
      </c>
      <c r="V2369" s="705">
        <v>67038</v>
      </c>
      <c r="W2369" s="705">
        <f t="shared" si="98"/>
        <v>67038</v>
      </c>
      <c r="X2369" s="705">
        <f t="shared" si="99"/>
        <v>80187</v>
      </c>
    </row>
    <row r="2370" spans="2:24">
      <c r="B2370" t="s">
        <v>551</v>
      </c>
      <c r="C2370" t="s">
        <v>116</v>
      </c>
      <c r="D2370" t="s">
        <v>584</v>
      </c>
      <c r="E2370" t="s">
        <v>584</v>
      </c>
      <c r="F2370" s="705">
        <v>50</v>
      </c>
      <c r="G2370" s="705">
        <v>7632</v>
      </c>
      <c r="H2370" s="705">
        <v>9478</v>
      </c>
      <c r="I2370" s="705">
        <v>778951</v>
      </c>
      <c r="J2370" s="705">
        <v>708137</v>
      </c>
      <c r="K2370" s="705">
        <v>85</v>
      </c>
      <c r="L2370" s="705">
        <v>191574</v>
      </c>
      <c r="M2370" s="705">
        <v>163280</v>
      </c>
      <c r="N2370" s="705">
        <v>154727</v>
      </c>
      <c r="O2370" s="705">
        <v>57306</v>
      </c>
      <c r="P2370" s="705">
        <v>23895</v>
      </c>
      <c r="Q2370" s="705">
        <v>8850</v>
      </c>
      <c r="R2370" s="705">
        <v>265657</v>
      </c>
      <c r="S2370" s="705">
        <v>241506</v>
      </c>
      <c r="T2370" s="705">
        <v>20962</v>
      </c>
      <c r="U2370" s="705">
        <v>7764</v>
      </c>
      <c r="V2370" s="705">
        <v>1186843</v>
      </c>
      <c r="W2370" s="705">
        <f t="shared" si="98"/>
        <v>1186843</v>
      </c>
      <c r="X2370" s="705">
        <f t="shared" si="99"/>
        <v>1435766</v>
      </c>
    </row>
    <row r="2371" spans="2:24">
      <c r="B2371" t="s">
        <v>551</v>
      </c>
      <c r="C2371" t="s">
        <v>116</v>
      </c>
      <c r="D2371" t="s">
        <v>665</v>
      </c>
      <c r="E2371" t="s">
        <v>665</v>
      </c>
      <c r="F2371" s="705">
        <v>5</v>
      </c>
      <c r="G2371" s="705">
        <v>1227</v>
      </c>
      <c r="H2371" s="705">
        <v>997</v>
      </c>
      <c r="I2371" s="705">
        <v>159245</v>
      </c>
      <c r="J2371" s="705">
        <v>144768</v>
      </c>
      <c r="K2371" s="705">
        <v>65</v>
      </c>
      <c r="L2371" s="705">
        <v>14066</v>
      </c>
      <c r="M2371" s="705">
        <v>12787</v>
      </c>
      <c r="N2371" s="705">
        <v>19126</v>
      </c>
      <c r="O2371" s="705">
        <v>7084</v>
      </c>
      <c r="P2371" s="705">
        <v>2565</v>
      </c>
      <c r="Q2371" s="705">
        <v>950</v>
      </c>
      <c r="R2371" s="705">
        <v>29926</v>
      </c>
      <c r="S2371" s="705">
        <v>27206</v>
      </c>
      <c r="T2371" s="705">
        <v>15660</v>
      </c>
      <c r="U2371" s="705">
        <v>5800</v>
      </c>
      <c r="V2371" s="705">
        <v>198594</v>
      </c>
      <c r="W2371" s="705">
        <f t="shared" si="98"/>
        <v>198595</v>
      </c>
      <c r="X2371" s="705">
        <f t="shared" si="99"/>
        <v>240588</v>
      </c>
    </row>
    <row r="2372" spans="2:24">
      <c r="B2372" t="s">
        <v>551</v>
      </c>
      <c r="C2372" t="s">
        <v>116</v>
      </c>
      <c r="D2372" t="s">
        <v>722</v>
      </c>
      <c r="E2372" t="s">
        <v>722</v>
      </c>
      <c r="F2372" s="705">
        <v>1</v>
      </c>
      <c r="G2372" s="705">
        <v>229</v>
      </c>
      <c r="H2372" s="705">
        <v>179</v>
      </c>
      <c r="I2372" s="705">
        <v>21356</v>
      </c>
      <c r="J2372" s="705">
        <v>19415</v>
      </c>
      <c r="K2372" s="705">
        <v>65</v>
      </c>
      <c r="L2372" s="705">
        <v>5141</v>
      </c>
      <c r="M2372" s="705">
        <v>4674</v>
      </c>
      <c r="N2372" s="705">
        <v>5581</v>
      </c>
      <c r="O2372" s="705">
        <v>2067</v>
      </c>
      <c r="P2372" s="705">
        <v>351</v>
      </c>
      <c r="Q2372" s="705">
        <v>130</v>
      </c>
      <c r="R2372" s="705">
        <v>8456</v>
      </c>
      <c r="S2372" s="705">
        <v>7687</v>
      </c>
      <c r="T2372" s="705">
        <v>0</v>
      </c>
      <c r="U2372" s="705">
        <v>0</v>
      </c>
      <c r="V2372" s="705">
        <v>33973</v>
      </c>
      <c r="W2372" s="705">
        <f t="shared" si="98"/>
        <v>33973</v>
      </c>
      <c r="X2372" s="705">
        <f t="shared" si="99"/>
        <v>40885</v>
      </c>
    </row>
    <row r="2373" spans="2:24">
      <c r="B2373" t="s">
        <v>551</v>
      </c>
      <c r="C2373" t="s">
        <v>116</v>
      </c>
      <c r="D2373" t="s">
        <v>673</v>
      </c>
      <c r="E2373" t="s">
        <v>673</v>
      </c>
      <c r="F2373" s="705">
        <v>1</v>
      </c>
      <c r="G2373" s="705">
        <v>229</v>
      </c>
      <c r="H2373" s="705">
        <v>208</v>
      </c>
      <c r="I2373" s="705">
        <v>32114</v>
      </c>
      <c r="J2373" s="705">
        <v>29195</v>
      </c>
      <c r="K2373" s="705">
        <v>60</v>
      </c>
      <c r="L2373" s="705">
        <v>7137</v>
      </c>
      <c r="M2373" s="705">
        <v>6488</v>
      </c>
      <c r="N2373" s="705">
        <v>3230</v>
      </c>
      <c r="O2373" s="705">
        <v>1196</v>
      </c>
      <c r="P2373" s="705">
        <v>351</v>
      </c>
      <c r="Q2373" s="705">
        <v>130</v>
      </c>
      <c r="R2373" s="705">
        <v>4779</v>
      </c>
      <c r="S2373" s="705">
        <v>4344</v>
      </c>
      <c r="T2373" s="705">
        <v>0</v>
      </c>
      <c r="U2373" s="705">
        <v>0</v>
      </c>
      <c r="V2373" s="705">
        <v>41353</v>
      </c>
      <c r="W2373" s="705">
        <f t="shared" si="98"/>
        <v>41353</v>
      </c>
      <c r="X2373" s="705">
        <f t="shared" si="99"/>
        <v>47611</v>
      </c>
    </row>
    <row r="2374" spans="2:24">
      <c r="B2374" t="s">
        <v>551</v>
      </c>
      <c r="C2374" t="s">
        <v>116</v>
      </c>
      <c r="D2374" t="s">
        <v>585</v>
      </c>
      <c r="E2374" t="s">
        <v>585</v>
      </c>
      <c r="F2374" s="705">
        <v>4</v>
      </c>
      <c r="G2374" s="705">
        <v>1018</v>
      </c>
      <c r="H2374" s="705">
        <v>726</v>
      </c>
      <c r="I2374" s="705">
        <v>126526</v>
      </c>
      <c r="J2374" s="705">
        <v>115023</v>
      </c>
      <c r="K2374" s="705">
        <v>65</v>
      </c>
      <c r="L2374" s="705">
        <v>14736</v>
      </c>
      <c r="M2374" s="705">
        <v>13397</v>
      </c>
      <c r="N2374" s="705">
        <v>24584</v>
      </c>
      <c r="O2374" s="705">
        <v>9105</v>
      </c>
      <c r="P2374" s="705">
        <v>1404</v>
      </c>
      <c r="Q2374" s="705">
        <v>520</v>
      </c>
      <c r="R2374" s="705">
        <v>35086</v>
      </c>
      <c r="S2374" s="705">
        <v>31897</v>
      </c>
      <c r="T2374" s="705">
        <v>0</v>
      </c>
      <c r="U2374" s="705">
        <v>0</v>
      </c>
      <c r="V2374" s="705">
        <v>169942</v>
      </c>
      <c r="W2374" s="705">
        <f t="shared" si="98"/>
        <v>169942</v>
      </c>
      <c r="X2374" s="705">
        <f t="shared" si="99"/>
        <v>202336</v>
      </c>
    </row>
    <row r="2375" spans="2:24">
      <c r="B2375" t="s">
        <v>551</v>
      </c>
      <c r="C2375" t="s">
        <v>116</v>
      </c>
      <c r="D2375" t="s">
        <v>585</v>
      </c>
      <c r="E2375" t="s">
        <v>668</v>
      </c>
      <c r="F2375" s="705">
        <v>1</v>
      </c>
      <c r="G2375" s="705">
        <v>266</v>
      </c>
      <c r="H2375" s="705">
        <v>181</v>
      </c>
      <c r="I2375" s="705">
        <v>25656</v>
      </c>
      <c r="J2375" s="705">
        <v>23324</v>
      </c>
      <c r="K2375" s="705">
        <v>65</v>
      </c>
      <c r="L2375" s="705">
        <v>6176</v>
      </c>
      <c r="M2375" s="705">
        <v>5615</v>
      </c>
      <c r="N2375" s="705">
        <v>6481</v>
      </c>
      <c r="O2375" s="705">
        <v>2400</v>
      </c>
      <c r="P2375" s="705">
        <v>351</v>
      </c>
      <c r="Q2375" s="705">
        <v>130</v>
      </c>
      <c r="R2375" s="705">
        <v>9591</v>
      </c>
      <c r="S2375" s="705">
        <v>8719</v>
      </c>
      <c r="T2375" s="705">
        <v>0</v>
      </c>
      <c r="U2375" s="705">
        <v>0</v>
      </c>
      <c r="V2375" s="705">
        <v>40188</v>
      </c>
      <c r="W2375" s="705">
        <f t="shared" si="98"/>
        <v>40188</v>
      </c>
      <c r="X2375" s="705">
        <f t="shared" si="99"/>
        <v>48255</v>
      </c>
    </row>
    <row r="2376" spans="2:24">
      <c r="B2376" t="s">
        <v>551</v>
      </c>
      <c r="C2376" t="s">
        <v>118</v>
      </c>
      <c r="F2376" s="705">
        <v>1</v>
      </c>
      <c r="G2376" s="705">
        <v>43</v>
      </c>
      <c r="H2376" s="705">
        <v>298</v>
      </c>
      <c r="I2376" s="705"/>
      <c r="J2376" s="705">
        <v>0</v>
      </c>
      <c r="K2376" s="705"/>
      <c r="L2376" s="705"/>
      <c r="M2376" s="705">
        <v>0</v>
      </c>
      <c r="N2376" s="705">
        <v>631</v>
      </c>
      <c r="O2376" s="705">
        <v>234</v>
      </c>
      <c r="P2376" s="705">
        <v>0</v>
      </c>
      <c r="Q2376" s="705">
        <v>0</v>
      </c>
      <c r="R2376" s="705"/>
      <c r="S2376" s="705">
        <v>0</v>
      </c>
      <c r="T2376" s="705">
        <v>1557</v>
      </c>
      <c r="U2376" s="705">
        <v>577</v>
      </c>
      <c r="V2376" s="705">
        <v>811</v>
      </c>
      <c r="W2376" s="705">
        <f t="shared" si="98"/>
        <v>811</v>
      </c>
      <c r="X2376" s="705">
        <f t="shared" si="99"/>
        <v>2188</v>
      </c>
    </row>
    <row r="2377" spans="2:24">
      <c r="B2377" t="s">
        <v>551</v>
      </c>
      <c r="C2377" t="s">
        <v>118</v>
      </c>
      <c r="D2377" t="s">
        <v>664</v>
      </c>
      <c r="E2377" t="s">
        <v>664</v>
      </c>
      <c r="F2377" s="705">
        <v>1</v>
      </c>
      <c r="G2377" s="705">
        <v>134</v>
      </c>
      <c r="H2377" s="705">
        <v>225</v>
      </c>
      <c r="I2377" s="705">
        <v>17766</v>
      </c>
      <c r="J2377" s="705">
        <v>16151</v>
      </c>
      <c r="K2377" s="705">
        <v>83</v>
      </c>
      <c r="L2377" s="705">
        <v>2393</v>
      </c>
      <c r="M2377" s="705">
        <v>2176</v>
      </c>
      <c r="N2377" s="705">
        <v>2614</v>
      </c>
      <c r="O2377" s="705">
        <v>968</v>
      </c>
      <c r="P2377" s="705">
        <v>473</v>
      </c>
      <c r="Q2377" s="705">
        <v>175</v>
      </c>
      <c r="R2377" s="705">
        <v>4121</v>
      </c>
      <c r="S2377" s="705">
        <v>3746</v>
      </c>
      <c r="T2377" s="705">
        <v>2841</v>
      </c>
      <c r="U2377" s="705">
        <v>1052</v>
      </c>
      <c r="V2377" s="705">
        <v>24268</v>
      </c>
      <c r="W2377" s="705">
        <f t="shared" si="98"/>
        <v>24268</v>
      </c>
      <c r="X2377" s="705">
        <f t="shared" si="99"/>
        <v>30208</v>
      </c>
    </row>
    <row r="2378" spans="2:24">
      <c r="B2378" t="s">
        <v>551</v>
      </c>
      <c r="C2378" t="s">
        <v>118</v>
      </c>
      <c r="D2378" t="s">
        <v>582</v>
      </c>
      <c r="E2378" t="s">
        <v>582</v>
      </c>
      <c r="F2378" s="705">
        <v>8</v>
      </c>
      <c r="G2378" s="705">
        <v>1360</v>
      </c>
      <c r="H2378" s="705">
        <v>2074</v>
      </c>
      <c r="I2378" s="705">
        <v>229468</v>
      </c>
      <c r="J2378" s="705">
        <v>208607</v>
      </c>
      <c r="K2378" s="705">
        <v>82</v>
      </c>
      <c r="L2378" s="705">
        <v>45799</v>
      </c>
      <c r="M2378" s="705">
        <v>41635</v>
      </c>
      <c r="N2378" s="705">
        <v>29299</v>
      </c>
      <c r="O2378" s="705">
        <v>10851</v>
      </c>
      <c r="P2378" s="705">
        <v>4050</v>
      </c>
      <c r="Q2378" s="705">
        <v>1500</v>
      </c>
      <c r="R2378" s="705">
        <v>41527</v>
      </c>
      <c r="S2378" s="705">
        <v>37752</v>
      </c>
      <c r="T2378" s="705">
        <v>3506</v>
      </c>
      <c r="U2378" s="705">
        <v>1299</v>
      </c>
      <c r="V2378" s="705">
        <v>301644</v>
      </c>
      <c r="W2378" s="705">
        <f t="shared" si="98"/>
        <v>301644</v>
      </c>
      <c r="X2378" s="705">
        <f t="shared" si="99"/>
        <v>353649</v>
      </c>
    </row>
    <row r="2379" spans="2:24">
      <c r="B2379" t="s">
        <v>551</v>
      </c>
      <c r="C2379" t="s">
        <v>118</v>
      </c>
      <c r="D2379" t="s">
        <v>582</v>
      </c>
      <c r="E2379" t="s">
        <v>584</v>
      </c>
      <c r="F2379" s="705">
        <v>1</v>
      </c>
      <c r="G2379" s="705">
        <v>153</v>
      </c>
      <c r="H2379" s="705">
        <v>246</v>
      </c>
      <c r="I2379" s="705">
        <v>22343</v>
      </c>
      <c r="J2379" s="705">
        <v>20312</v>
      </c>
      <c r="K2379" s="705">
        <v>91</v>
      </c>
      <c r="L2379" s="705">
        <v>3567</v>
      </c>
      <c r="M2379" s="705">
        <v>3242</v>
      </c>
      <c r="N2379" s="705">
        <v>2990</v>
      </c>
      <c r="O2379" s="705">
        <v>1108</v>
      </c>
      <c r="P2379" s="705">
        <v>1094</v>
      </c>
      <c r="Q2379" s="705">
        <v>405</v>
      </c>
      <c r="R2379" s="705">
        <v>4320</v>
      </c>
      <c r="S2379" s="705">
        <v>3927</v>
      </c>
      <c r="T2379" s="705">
        <v>3413</v>
      </c>
      <c r="U2379" s="705">
        <v>1264</v>
      </c>
      <c r="V2379" s="705">
        <v>30258</v>
      </c>
      <c r="W2379" s="705">
        <f t="shared" si="98"/>
        <v>30258</v>
      </c>
      <c r="X2379" s="705">
        <f t="shared" si="99"/>
        <v>37727</v>
      </c>
    </row>
    <row r="2380" spans="2:24">
      <c r="B2380" t="s">
        <v>551</v>
      </c>
      <c r="C2380" t="s">
        <v>118</v>
      </c>
      <c r="D2380" t="s">
        <v>228</v>
      </c>
      <c r="E2380" t="s">
        <v>228</v>
      </c>
      <c r="F2380" s="705">
        <v>11</v>
      </c>
      <c r="G2380" s="705">
        <v>2188</v>
      </c>
      <c r="H2380" s="705">
        <v>2766</v>
      </c>
      <c r="I2380" s="705">
        <v>349215</v>
      </c>
      <c r="J2380" s="705">
        <v>129339</v>
      </c>
      <c r="K2380" s="705">
        <v>100</v>
      </c>
      <c r="L2380" s="705">
        <v>38889</v>
      </c>
      <c r="M2380" s="705">
        <v>31835</v>
      </c>
      <c r="N2380" s="705">
        <v>50917</v>
      </c>
      <c r="O2380" s="705">
        <v>18858</v>
      </c>
      <c r="P2380" s="705">
        <v>1944</v>
      </c>
      <c r="Q2380" s="705">
        <v>720</v>
      </c>
      <c r="R2380" s="705">
        <v>103757</v>
      </c>
      <c r="S2380" s="705">
        <v>38428</v>
      </c>
      <c r="T2380" s="705">
        <v>0</v>
      </c>
      <c r="U2380" s="705">
        <v>0</v>
      </c>
      <c r="V2380" s="705">
        <v>219181</v>
      </c>
      <c r="W2380" s="705">
        <f t="shared" si="98"/>
        <v>219180</v>
      </c>
      <c r="X2380" s="705">
        <f t="shared" si="99"/>
        <v>544722</v>
      </c>
    </row>
    <row r="2381" spans="2:24">
      <c r="B2381" t="s">
        <v>551</v>
      </c>
      <c r="C2381" t="s">
        <v>118</v>
      </c>
      <c r="D2381" t="s">
        <v>228</v>
      </c>
      <c r="E2381" t="s">
        <v>665</v>
      </c>
      <c r="F2381" s="705">
        <v>1</v>
      </c>
      <c r="G2381" s="705">
        <v>155</v>
      </c>
      <c r="H2381" s="705">
        <v>289</v>
      </c>
      <c r="I2381" s="705">
        <v>27163</v>
      </c>
      <c r="J2381" s="705">
        <v>10060</v>
      </c>
      <c r="K2381" s="705">
        <v>100</v>
      </c>
      <c r="L2381" s="705">
        <v>2732</v>
      </c>
      <c r="M2381" s="705">
        <v>2484</v>
      </c>
      <c r="N2381" s="705">
        <v>3414</v>
      </c>
      <c r="O2381" s="705">
        <v>1265</v>
      </c>
      <c r="P2381" s="705">
        <v>0</v>
      </c>
      <c r="Q2381" s="705">
        <v>0</v>
      </c>
      <c r="R2381" s="705">
        <v>8136</v>
      </c>
      <c r="S2381" s="705">
        <v>7397</v>
      </c>
      <c r="T2381" s="705">
        <v>3339</v>
      </c>
      <c r="U2381" s="705">
        <v>1237</v>
      </c>
      <c r="V2381" s="705">
        <v>22442</v>
      </c>
      <c r="W2381" s="705">
        <f t="shared" si="98"/>
        <v>22443</v>
      </c>
      <c r="X2381" s="705">
        <f t="shared" si="99"/>
        <v>44784</v>
      </c>
    </row>
    <row r="2382" spans="2:24">
      <c r="B2382" t="s">
        <v>551</v>
      </c>
      <c r="C2382" t="s">
        <v>118</v>
      </c>
      <c r="D2382" t="s">
        <v>583</v>
      </c>
      <c r="E2382" t="s">
        <v>664</v>
      </c>
      <c r="F2382" s="705">
        <v>1</v>
      </c>
      <c r="G2382" s="705">
        <v>157</v>
      </c>
      <c r="H2382" s="705">
        <v>264</v>
      </c>
      <c r="I2382" s="705">
        <v>23190</v>
      </c>
      <c r="J2382" s="705">
        <v>21082</v>
      </c>
      <c r="K2382" s="705">
        <v>70</v>
      </c>
      <c r="L2382" s="705">
        <v>5712</v>
      </c>
      <c r="M2382" s="705">
        <v>5192</v>
      </c>
      <c r="N2382" s="705">
        <v>1908</v>
      </c>
      <c r="O2382" s="705">
        <v>707</v>
      </c>
      <c r="P2382" s="705">
        <v>621</v>
      </c>
      <c r="Q2382" s="705">
        <v>230</v>
      </c>
      <c r="R2382" s="705">
        <v>6084</v>
      </c>
      <c r="S2382" s="705">
        <v>5531</v>
      </c>
      <c r="T2382" s="705">
        <v>3804</v>
      </c>
      <c r="U2382" s="705">
        <v>1409</v>
      </c>
      <c r="V2382" s="705">
        <v>34151</v>
      </c>
      <c r="W2382" s="705">
        <f t="shared" si="98"/>
        <v>34151</v>
      </c>
      <c r="X2382" s="705">
        <f t="shared" si="99"/>
        <v>41319</v>
      </c>
    </row>
    <row r="2383" spans="2:24">
      <c r="B2383" t="s">
        <v>551</v>
      </c>
      <c r="C2383" t="s">
        <v>118</v>
      </c>
      <c r="D2383" t="s">
        <v>583</v>
      </c>
      <c r="E2383" t="s">
        <v>228</v>
      </c>
      <c r="F2383" s="705">
        <v>2</v>
      </c>
      <c r="G2383" s="705">
        <v>339</v>
      </c>
      <c r="H2383" s="705">
        <v>531</v>
      </c>
      <c r="I2383" s="705">
        <v>52723</v>
      </c>
      <c r="J2383" s="705">
        <v>47930</v>
      </c>
      <c r="K2383" s="705">
        <v>72</v>
      </c>
      <c r="L2383" s="705">
        <v>10171</v>
      </c>
      <c r="M2383" s="705">
        <v>9246</v>
      </c>
      <c r="N2383" s="705">
        <v>7404</v>
      </c>
      <c r="O2383" s="705">
        <v>2742</v>
      </c>
      <c r="P2383" s="705">
        <v>1242</v>
      </c>
      <c r="Q2383" s="705">
        <v>460</v>
      </c>
      <c r="R2383" s="705">
        <v>17602</v>
      </c>
      <c r="S2383" s="705">
        <v>6519</v>
      </c>
      <c r="T2383" s="705">
        <v>0</v>
      </c>
      <c r="U2383" s="705">
        <v>0</v>
      </c>
      <c r="V2383" s="705">
        <v>66898</v>
      </c>
      <c r="W2383" s="705">
        <f t="shared" si="98"/>
        <v>66897</v>
      </c>
      <c r="X2383" s="705">
        <f t="shared" si="99"/>
        <v>89142</v>
      </c>
    </row>
    <row r="2384" spans="2:24">
      <c r="B2384" t="s">
        <v>551</v>
      </c>
      <c r="C2384" t="s">
        <v>118</v>
      </c>
      <c r="D2384" t="s">
        <v>583</v>
      </c>
      <c r="E2384" t="s">
        <v>583</v>
      </c>
      <c r="F2384" s="705">
        <v>858</v>
      </c>
      <c r="G2384" s="705">
        <v>118936</v>
      </c>
      <c r="H2384" s="705">
        <v>223623</v>
      </c>
      <c r="I2384" s="705">
        <v>18379711</v>
      </c>
      <c r="J2384" s="705">
        <v>16708828</v>
      </c>
      <c r="K2384" s="705">
        <v>77</v>
      </c>
      <c r="L2384" s="705">
        <v>3739514</v>
      </c>
      <c r="M2384" s="705">
        <v>3284589</v>
      </c>
      <c r="N2384" s="705">
        <v>2503910</v>
      </c>
      <c r="O2384" s="705">
        <v>927374</v>
      </c>
      <c r="P2384" s="705">
        <v>548175</v>
      </c>
      <c r="Q2384" s="705">
        <v>203028</v>
      </c>
      <c r="R2384" s="705">
        <v>4701542</v>
      </c>
      <c r="S2384" s="705">
        <v>4274129</v>
      </c>
      <c r="T2384" s="705">
        <v>1675567</v>
      </c>
      <c r="U2384" s="705">
        <v>620580</v>
      </c>
      <c r="V2384" s="705">
        <v>26018528</v>
      </c>
      <c r="W2384" s="705">
        <f t="shared" si="98"/>
        <v>26018528</v>
      </c>
      <c r="X2384" s="705">
        <f t="shared" si="99"/>
        <v>31548419</v>
      </c>
    </row>
    <row r="2385" spans="2:24">
      <c r="B2385" t="s">
        <v>551</v>
      </c>
      <c r="C2385" t="s">
        <v>118</v>
      </c>
      <c r="D2385" t="s">
        <v>583</v>
      </c>
      <c r="E2385" t="s">
        <v>666</v>
      </c>
      <c r="F2385" s="705">
        <v>1</v>
      </c>
      <c r="G2385" s="705">
        <v>218</v>
      </c>
      <c r="H2385" s="705">
        <v>252</v>
      </c>
      <c r="I2385" s="705">
        <v>38122</v>
      </c>
      <c r="J2385" s="705">
        <v>34656</v>
      </c>
      <c r="K2385" s="705">
        <v>79</v>
      </c>
      <c r="L2385" s="705">
        <v>5776</v>
      </c>
      <c r="M2385" s="705">
        <v>5251</v>
      </c>
      <c r="N2385" s="705">
        <v>2654</v>
      </c>
      <c r="O2385" s="705">
        <v>983</v>
      </c>
      <c r="P2385" s="705">
        <v>621</v>
      </c>
      <c r="Q2385" s="705">
        <v>230</v>
      </c>
      <c r="R2385" s="705">
        <v>7770</v>
      </c>
      <c r="S2385" s="705">
        <v>7064</v>
      </c>
      <c r="T2385" s="705">
        <v>0</v>
      </c>
      <c r="U2385" s="705">
        <v>0</v>
      </c>
      <c r="V2385" s="705">
        <v>48183</v>
      </c>
      <c r="W2385" s="705">
        <f t="shared" si="98"/>
        <v>48184</v>
      </c>
      <c r="X2385" s="705">
        <f t="shared" si="99"/>
        <v>54943</v>
      </c>
    </row>
    <row r="2386" spans="2:24">
      <c r="B2386" t="s">
        <v>551</v>
      </c>
      <c r="C2386" t="s">
        <v>118</v>
      </c>
      <c r="D2386" t="s">
        <v>583</v>
      </c>
      <c r="E2386" t="s">
        <v>669</v>
      </c>
      <c r="F2386" s="705">
        <v>1</v>
      </c>
      <c r="G2386" s="705">
        <v>167</v>
      </c>
      <c r="H2386" s="705">
        <v>226</v>
      </c>
      <c r="I2386" s="705">
        <v>18841</v>
      </c>
      <c r="J2386" s="705">
        <v>17128</v>
      </c>
      <c r="K2386" s="705">
        <v>75</v>
      </c>
      <c r="L2386" s="705">
        <v>7463</v>
      </c>
      <c r="M2386" s="705">
        <v>6785</v>
      </c>
      <c r="N2386" s="705">
        <v>2827</v>
      </c>
      <c r="O2386" s="705">
        <v>1047</v>
      </c>
      <c r="P2386" s="705">
        <v>621</v>
      </c>
      <c r="Q2386" s="705">
        <v>230</v>
      </c>
      <c r="R2386" s="705">
        <v>8020</v>
      </c>
      <c r="S2386" s="705">
        <v>6683</v>
      </c>
      <c r="T2386" s="705">
        <v>0</v>
      </c>
      <c r="U2386" s="705">
        <v>0</v>
      </c>
      <c r="V2386" s="705">
        <v>31873</v>
      </c>
      <c r="W2386" s="705">
        <f t="shared" si="98"/>
        <v>31873</v>
      </c>
      <c r="X2386" s="705">
        <f t="shared" si="99"/>
        <v>37772</v>
      </c>
    </row>
    <row r="2387" spans="2:24">
      <c r="B2387" t="s">
        <v>551</v>
      </c>
      <c r="C2387" t="s">
        <v>118</v>
      </c>
      <c r="D2387" t="s">
        <v>583</v>
      </c>
      <c r="E2387" t="s">
        <v>665</v>
      </c>
      <c r="F2387" s="705">
        <v>1</v>
      </c>
      <c r="G2387" s="705">
        <v>173</v>
      </c>
      <c r="H2387" s="705">
        <v>284</v>
      </c>
      <c r="I2387" s="705">
        <v>32329</v>
      </c>
      <c r="J2387" s="705">
        <v>29390</v>
      </c>
      <c r="K2387" s="705">
        <v>65</v>
      </c>
      <c r="L2387" s="705">
        <v>3415</v>
      </c>
      <c r="M2387" s="705">
        <v>3105</v>
      </c>
      <c r="N2387" s="705">
        <v>3166</v>
      </c>
      <c r="O2387" s="705">
        <v>1172</v>
      </c>
      <c r="P2387" s="705">
        <v>621</v>
      </c>
      <c r="Q2387" s="705">
        <v>230</v>
      </c>
      <c r="R2387" s="705">
        <v>5991</v>
      </c>
      <c r="S2387" s="705">
        <v>5446</v>
      </c>
      <c r="T2387" s="705">
        <v>3621</v>
      </c>
      <c r="U2387" s="705">
        <v>1341</v>
      </c>
      <c r="V2387" s="705">
        <v>40685</v>
      </c>
      <c r="W2387" s="705">
        <f t="shared" si="98"/>
        <v>40684</v>
      </c>
      <c r="X2387" s="705">
        <f t="shared" si="99"/>
        <v>49143</v>
      </c>
    </row>
    <row r="2388" spans="2:24">
      <c r="B2388" t="s">
        <v>551</v>
      </c>
      <c r="C2388" t="s">
        <v>118</v>
      </c>
      <c r="D2388" t="s">
        <v>666</v>
      </c>
      <c r="E2388" t="s">
        <v>666</v>
      </c>
      <c r="F2388" s="705">
        <v>1</v>
      </c>
      <c r="G2388" s="705">
        <v>50</v>
      </c>
      <c r="H2388" s="705">
        <v>287</v>
      </c>
      <c r="I2388" s="705">
        <v>13237</v>
      </c>
      <c r="J2388" s="705">
        <v>12034</v>
      </c>
      <c r="K2388" s="705">
        <v>65</v>
      </c>
      <c r="L2388" s="705">
        <v>3187</v>
      </c>
      <c r="M2388" s="705">
        <v>2897</v>
      </c>
      <c r="N2388" s="705">
        <v>2121</v>
      </c>
      <c r="O2388" s="705">
        <v>785</v>
      </c>
      <c r="P2388" s="705">
        <v>351</v>
      </c>
      <c r="Q2388" s="705">
        <v>130</v>
      </c>
      <c r="R2388" s="705">
        <v>4918</v>
      </c>
      <c r="S2388" s="705">
        <v>4471</v>
      </c>
      <c r="T2388" s="705">
        <v>2778</v>
      </c>
      <c r="U2388" s="705">
        <v>1029</v>
      </c>
      <c r="V2388" s="705">
        <v>21346</v>
      </c>
      <c r="W2388" s="705">
        <f t="shared" si="98"/>
        <v>21346</v>
      </c>
      <c r="X2388" s="705">
        <f t="shared" si="99"/>
        <v>26592</v>
      </c>
    </row>
    <row r="2389" spans="2:24">
      <c r="B2389" t="s">
        <v>551</v>
      </c>
      <c r="C2389" t="s">
        <v>118</v>
      </c>
      <c r="D2389" t="s">
        <v>584</v>
      </c>
      <c r="E2389" t="s">
        <v>584</v>
      </c>
      <c r="F2389" s="705">
        <v>12</v>
      </c>
      <c r="G2389" s="705">
        <v>1569</v>
      </c>
      <c r="H2389" s="705">
        <v>3254</v>
      </c>
      <c r="I2389" s="705">
        <v>228809</v>
      </c>
      <c r="J2389" s="705">
        <v>208008</v>
      </c>
      <c r="K2389" s="705">
        <v>82</v>
      </c>
      <c r="L2389" s="705">
        <v>78130</v>
      </c>
      <c r="M2389" s="705">
        <v>67527</v>
      </c>
      <c r="N2389" s="705">
        <v>33994</v>
      </c>
      <c r="O2389" s="705">
        <v>12590</v>
      </c>
      <c r="P2389" s="705">
        <v>5670</v>
      </c>
      <c r="Q2389" s="705">
        <v>2100</v>
      </c>
      <c r="R2389" s="705">
        <v>63451</v>
      </c>
      <c r="S2389" s="705">
        <v>57683</v>
      </c>
      <c r="T2389" s="705">
        <v>13576</v>
      </c>
      <c r="U2389" s="705">
        <v>5028</v>
      </c>
      <c r="V2389" s="705">
        <v>352937</v>
      </c>
      <c r="W2389" s="705">
        <f t="shared" si="98"/>
        <v>352936</v>
      </c>
      <c r="X2389" s="705">
        <f t="shared" si="99"/>
        <v>423630</v>
      </c>
    </row>
    <row r="2390" spans="2:24">
      <c r="B2390" t="s">
        <v>551</v>
      </c>
      <c r="C2390" t="s">
        <v>118</v>
      </c>
      <c r="D2390" t="s">
        <v>665</v>
      </c>
      <c r="E2390" t="s">
        <v>665</v>
      </c>
      <c r="F2390" s="705">
        <v>28</v>
      </c>
      <c r="G2390" s="705">
        <v>4068</v>
      </c>
      <c r="H2390" s="705">
        <v>7357</v>
      </c>
      <c r="I2390" s="705">
        <v>659397</v>
      </c>
      <c r="J2390" s="705">
        <v>599452</v>
      </c>
      <c r="K2390" s="705">
        <v>64</v>
      </c>
      <c r="L2390" s="705">
        <v>81372</v>
      </c>
      <c r="M2390" s="705">
        <v>73975</v>
      </c>
      <c r="N2390" s="705">
        <v>86649</v>
      </c>
      <c r="O2390" s="705">
        <v>32092</v>
      </c>
      <c r="P2390" s="705">
        <v>14931</v>
      </c>
      <c r="Q2390" s="705">
        <v>5530</v>
      </c>
      <c r="R2390" s="705">
        <v>152386</v>
      </c>
      <c r="S2390" s="705">
        <v>138533</v>
      </c>
      <c r="T2390" s="705">
        <v>88189</v>
      </c>
      <c r="U2390" s="705">
        <v>32663</v>
      </c>
      <c r="V2390" s="705">
        <v>882244</v>
      </c>
      <c r="W2390" s="705">
        <f t="shared" si="98"/>
        <v>882245</v>
      </c>
      <c r="X2390" s="705">
        <f t="shared" si="99"/>
        <v>1082924</v>
      </c>
    </row>
    <row r="2391" spans="2:24">
      <c r="B2391" t="s">
        <v>551</v>
      </c>
      <c r="C2391" t="s">
        <v>118</v>
      </c>
      <c r="D2391" t="s">
        <v>673</v>
      </c>
      <c r="E2391" t="s">
        <v>673</v>
      </c>
      <c r="F2391" s="705">
        <v>3</v>
      </c>
      <c r="G2391" s="705">
        <v>514</v>
      </c>
      <c r="H2391" s="705">
        <v>721</v>
      </c>
      <c r="I2391" s="705">
        <v>100282</v>
      </c>
      <c r="J2391" s="705">
        <v>91165</v>
      </c>
      <c r="K2391" s="705">
        <v>60</v>
      </c>
      <c r="L2391" s="705">
        <v>13975</v>
      </c>
      <c r="M2391" s="705">
        <v>12705</v>
      </c>
      <c r="N2391" s="705">
        <v>9995</v>
      </c>
      <c r="O2391" s="705">
        <v>3702</v>
      </c>
      <c r="P2391" s="705">
        <v>1593</v>
      </c>
      <c r="Q2391" s="705">
        <v>590</v>
      </c>
      <c r="R2391" s="705">
        <v>17464</v>
      </c>
      <c r="S2391" s="705">
        <v>15877</v>
      </c>
      <c r="T2391" s="705">
        <v>3735</v>
      </c>
      <c r="U2391" s="705">
        <v>1383</v>
      </c>
      <c r="V2391" s="705">
        <v>125422</v>
      </c>
      <c r="W2391" s="705">
        <f t="shared" si="98"/>
        <v>125422</v>
      </c>
      <c r="X2391" s="705">
        <f t="shared" si="99"/>
        <v>147044</v>
      </c>
    </row>
    <row r="2392" spans="2:24">
      <c r="B2392" t="s">
        <v>551</v>
      </c>
      <c r="C2392" t="s">
        <v>118</v>
      </c>
      <c r="D2392" t="s">
        <v>585</v>
      </c>
      <c r="E2392" t="s">
        <v>585</v>
      </c>
      <c r="F2392" s="705">
        <v>1</v>
      </c>
      <c r="G2392" s="705">
        <v>169</v>
      </c>
      <c r="H2392" s="705">
        <v>274</v>
      </c>
      <c r="I2392" s="705">
        <v>26687</v>
      </c>
      <c r="J2392" s="705">
        <v>24261</v>
      </c>
      <c r="K2392" s="705">
        <v>65</v>
      </c>
      <c r="L2392" s="705">
        <v>6425</v>
      </c>
      <c r="M2392" s="705">
        <v>5841</v>
      </c>
      <c r="N2392" s="705">
        <v>4107</v>
      </c>
      <c r="O2392" s="705">
        <v>1521</v>
      </c>
      <c r="P2392" s="705">
        <v>473</v>
      </c>
      <c r="Q2392" s="705">
        <v>175</v>
      </c>
      <c r="R2392" s="705">
        <v>8428</v>
      </c>
      <c r="S2392" s="705">
        <v>7662</v>
      </c>
      <c r="T2392" s="705">
        <v>0</v>
      </c>
      <c r="U2392" s="705">
        <v>0</v>
      </c>
      <c r="V2392" s="705">
        <v>39459</v>
      </c>
      <c r="W2392" s="705">
        <f t="shared" si="98"/>
        <v>39460</v>
      </c>
      <c r="X2392" s="705">
        <f t="shared" si="99"/>
        <v>46120</v>
      </c>
    </row>
    <row r="2393" spans="2:24">
      <c r="B2393" t="s">
        <v>551</v>
      </c>
      <c r="C2393" t="s">
        <v>120</v>
      </c>
      <c r="D2393" t="s">
        <v>582</v>
      </c>
      <c r="E2393" t="s">
        <v>582</v>
      </c>
      <c r="F2393" s="705">
        <v>3</v>
      </c>
      <c r="G2393" s="705">
        <v>394</v>
      </c>
      <c r="H2393" s="705">
        <v>1000</v>
      </c>
      <c r="I2393" s="705">
        <v>87223</v>
      </c>
      <c r="J2393" s="705">
        <v>79293</v>
      </c>
      <c r="K2393" s="705">
        <v>78</v>
      </c>
      <c r="L2393" s="705">
        <v>14665</v>
      </c>
      <c r="M2393" s="705">
        <v>13331</v>
      </c>
      <c r="N2393" s="705">
        <v>7342</v>
      </c>
      <c r="O2393" s="705">
        <v>2719</v>
      </c>
      <c r="P2393" s="705">
        <v>1418</v>
      </c>
      <c r="Q2393" s="705">
        <v>525</v>
      </c>
      <c r="R2393" s="705">
        <v>14912</v>
      </c>
      <c r="S2393" s="705">
        <v>13556</v>
      </c>
      <c r="T2393" s="705">
        <v>5594</v>
      </c>
      <c r="U2393" s="705">
        <v>2072</v>
      </c>
      <c r="V2393" s="705">
        <v>111497</v>
      </c>
      <c r="W2393" s="705">
        <f t="shared" si="98"/>
        <v>111496</v>
      </c>
      <c r="X2393" s="705">
        <f t="shared" si="99"/>
        <v>131154</v>
      </c>
    </row>
    <row r="2394" spans="2:24">
      <c r="B2394" t="s">
        <v>551</v>
      </c>
      <c r="C2394" t="s">
        <v>120</v>
      </c>
      <c r="D2394" t="s">
        <v>228</v>
      </c>
      <c r="E2394" t="s">
        <v>228</v>
      </c>
      <c r="F2394" s="705">
        <v>5</v>
      </c>
      <c r="G2394" s="705">
        <v>908</v>
      </c>
      <c r="H2394" s="705">
        <v>1701</v>
      </c>
      <c r="I2394" s="705">
        <v>200972</v>
      </c>
      <c r="J2394" s="705">
        <v>74434</v>
      </c>
      <c r="K2394" s="705">
        <v>100</v>
      </c>
      <c r="L2394" s="705">
        <v>44489</v>
      </c>
      <c r="M2394" s="705">
        <v>26812</v>
      </c>
      <c r="N2394" s="705">
        <v>22118</v>
      </c>
      <c r="O2394" s="705">
        <v>8192</v>
      </c>
      <c r="P2394" s="705">
        <v>0</v>
      </c>
      <c r="Q2394" s="705">
        <v>0</v>
      </c>
      <c r="R2394" s="705">
        <v>42548</v>
      </c>
      <c r="S2394" s="705">
        <v>15759</v>
      </c>
      <c r="T2394" s="705">
        <v>0</v>
      </c>
      <c r="U2394" s="705">
        <v>0</v>
      </c>
      <c r="V2394" s="705">
        <v>125196</v>
      </c>
      <c r="W2394" s="705">
        <f t="shared" si="98"/>
        <v>125197</v>
      </c>
      <c r="X2394" s="705">
        <f t="shared" si="99"/>
        <v>310127</v>
      </c>
    </row>
    <row r="2395" spans="2:24">
      <c r="B2395" t="s">
        <v>551</v>
      </c>
      <c r="C2395" t="s">
        <v>120</v>
      </c>
      <c r="D2395" t="s">
        <v>583</v>
      </c>
      <c r="E2395" t="s">
        <v>583</v>
      </c>
      <c r="F2395" s="705">
        <v>380</v>
      </c>
      <c r="G2395" s="705">
        <v>47095</v>
      </c>
      <c r="H2395" s="705">
        <v>127868</v>
      </c>
      <c r="I2395" s="705">
        <v>9960311</v>
      </c>
      <c r="J2395" s="705">
        <v>9054828</v>
      </c>
      <c r="K2395" s="705">
        <v>73</v>
      </c>
      <c r="L2395" s="705">
        <v>1886962</v>
      </c>
      <c r="M2395" s="705">
        <v>1668162</v>
      </c>
      <c r="N2395" s="705">
        <v>998313</v>
      </c>
      <c r="O2395" s="705">
        <v>369746</v>
      </c>
      <c r="P2395" s="705">
        <v>241758</v>
      </c>
      <c r="Q2395" s="705">
        <v>89540</v>
      </c>
      <c r="R2395" s="705">
        <v>2059517</v>
      </c>
      <c r="S2395" s="705">
        <v>1872288</v>
      </c>
      <c r="T2395" s="705">
        <v>831598</v>
      </c>
      <c r="U2395" s="705">
        <v>307999</v>
      </c>
      <c r="V2395" s="705">
        <v>13362563</v>
      </c>
      <c r="W2395" s="705">
        <f t="shared" si="98"/>
        <v>13362563</v>
      </c>
      <c r="X2395" s="705">
        <f t="shared" si="99"/>
        <v>15978459</v>
      </c>
    </row>
    <row r="2396" spans="2:24">
      <c r="B2396" t="s">
        <v>551</v>
      </c>
      <c r="C2396" t="s">
        <v>120</v>
      </c>
      <c r="D2396" t="s">
        <v>583</v>
      </c>
      <c r="E2396" t="s">
        <v>665</v>
      </c>
      <c r="F2396" s="705">
        <v>1</v>
      </c>
      <c r="G2396" s="705">
        <v>106</v>
      </c>
      <c r="H2396" s="705">
        <v>308</v>
      </c>
      <c r="I2396" s="705">
        <v>20307</v>
      </c>
      <c r="J2396" s="705">
        <v>18461</v>
      </c>
      <c r="K2396" s="705">
        <v>70</v>
      </c>
      <c r="L2396" s="705">
        <v>2308</v>
      </c>
      <c r="M2396" s="705">
        <v>2099</v>
      </c>
      <c r="N2396" s="705">
        <v>2406</v>
      </c>
      <c r="O2396" s="705">
        <v>891</v>
      </c>
      <c r="P2396" s="705">
        <v>621</v>
      </c>
      <c r="Q2396" s="705">
        <v>230</v>
      </c>
      <c r="R2396" s="705">
        <v>4572</v>
      </c>
      <c r="S2396" s="705">
        <v>4156</v>
      </c>
      <c r="T2396" s="705">
        <v>2506</v>
      </c>
      <c r="U2396" s="705">
        <v>928</v>
      </c>
      <c r="V2396" s="705">
        <v>26765</v>
      </c>
      <c r="W2396" s="705">
        <f t="shared" si="98"/>
        <v>26765</v>
      </c>
      <c r="X2396" s="705">
        <f t="shared" si="99"/>
        <v>32720</v>
      </c>
    </row>
    <row r="2397" spans="2:24">
      <c r="B2397" t="s">
        <v>551</v>
      </c>
      <c r="C2397" t="s">
        <v>120</v>
      </c>
      <c r="D2397" t="s">
        <v>666</v>
      </c>
      <c r="E2397" t="s">
        <v>666</v>
      </c>
      <c r="F2397" s="705">
        <v>1</v>
      </c>
      <c r="G2397" s="705">
        <v>112</v>
      </c>
      <c r="H2397" s="705">
        <v>323</v>
      </c>
      <c r="I2397" s="705">
        <v>23287</v>
      </c>
      <c r="J2397" s="705">
        <v>21170</v>
      </c>
      <c r="K2397" s="705">
        <v>55</v>
      </c>
      <c r="L2397" s="705">
        <v>3162</v>
      </c>
      <c r="M2397" s="705">
        <v>2875</v>
      </c>
      <c r="N2397" s="705">
        <v>1363</v>
      </c>
      <c r="O2397" s="705">
        <v>505</v>
      </c>
      <c r="P2397" s="705">
        <v>351</v>
      </c>
      <c r="Q2397" s="705">
        <v>130</v>
      </c>
      <c r="R2397" s="705">
        <v>5094</v>
      </c>
      <c r="S2397" s="705">
        <v>4631</v>
      </c>
      <c r="T2397" s="705">
        <v>2844</v>
      </c>
      <c r="U2397" s="705">
        <v>1053</v>
      </c>
      <c r="V2397" s="705">
        <v>30364</v>
      </c>
      <c r="W2397" s="705">
        <f t="shared" si="98"/>
        <v>30364</v>
      </c>
      <c r="X2397" s="705">
        <f t="shared" si="99"/>
        <v>36101</v>
      </c>
    </row>
    <row r="2398" spans="2:24">
      <c r="B2398" t="s">
        <v>551</v>
      </c>
      <c r="C2398" t="s">
        <v>120</v>
      </c>
      <c r="D2398" t="s">
        <v>584</v>
      </c>
      <c r="E2398" t="s">
        <v>584</v>
      </c>
      <c r="F2398" s="705">
        <v>7</v>
      </c>
      <c r="G2398" s="705">
        <v>781</v>
      </c>
      <c r="H2398" s="705">
        <v>2275</v>
      </c>
      <c r="I2398" s="705">
        <v>163294</v>
      </c>
      <c r="J2398" s="705">
        <v>148449</v>
      </c>
      <c r="K2398" s="705">
        <v>80</v>
      </c>
      <c r="L2398" s="705">
        <v>31372</v>
      </c>
      <c r="M2398" s="705">
        <v>28520</v>
      </c>
      <c r="N2398" s="705">
        <v>18070</v>
      </c>
      <c r="O2398" s="705">
        <v>6693</v>
      </c>
      <c r="P2398" s="705">
        <v>3308</v>
      </c>
      <c r="Q2398" s="705">
        <v>1225</v>
      </c>
      <c r="R2398" s="705">
        <v>29850</v>
      </c>
      <c r="S2398" s="705">
        <v>27136</v>
      </c>
      <c r="T2398" s="705">
        <v>9239</v>
      </c>
      <c r="U2398" s="705">
        <v>3422</v>
      </c>
      <c r="V2398" s="705">
        <v>215445</v>
      </c>
      <c r="W2398" s="705">
        <f t="shared" si="98"/>
        <v>215445</v>
      </c>
      <c r="X2398" s="705">
        <f t="shared" si="99"/>
        <v>255133</v>
      </c>
    </row>
    <row r="2399" spans="2:24">
      <c r="B2399" t="s">
        <v>551</v>
      </c>
      <c r="C2399" t="s">
        <v>120</v>
      </c>
      <c r="D2399" t="s">
        <v>665</v>
      </c>
      <c r="E2399" t="s">
        <v>665</v>
      </c>
      <c r="F2399" s="705">
        <v>26</v>
      </c>
      <c r="G2399" s="705">
        <v>2986</v>
      </c>
      <c r="H2399" s="705">
        <v>8801</v>
      </c>
      <c r="I2399" s="705">
        <v>643947</v>
      </c>
      <c r="J2399" s="705">
        <v>585407</v>
      </c>
      <c r="K2399" s="705">
        <v>61</v>
      </c>
      <c r="L2399" s="705">
        <v>77976</v>
      </c>
      <c r="M2399" s="705">
        <v>70887</v>
      </c>
      <c r="N2399" s="705">
        <v>61553</v>
      </c>
      <c r="O2399" s="705">
        <v>22798</v>
      </c>
      <c r="P2399" s="705">
        <v>14688</v>
      </c>
      <c r="Q2399" s="705">
        <v>5440</v>
      </c>
      <c r="R2399" s="705">
        <v>144135</v>
      </c>
      <c r="S2399" s="705">
        <v>131031</v>
      </c>
      <c r="T2399" s="705">
        <v>66635</v>
      </c>
      <c r="U2399" s="705">
        <v>24680</v>
      </c>
      <c r="V2399" s="705">
        <v>840242</v>
      </c>
      <c r="W2399" s="705">
        <f t="shared" si="98"/>
        <v>840243</v>
      </c>
      <c r="X2399" s="705">
        <f t="shared" si="99"/>
        <v>1008934</v>
      </c>
    </row>
    <row r="2400" spans="2:24">
      <c r="B2400" t="s">
        <v>551</v>
      </c>
      <c r="C2400" t="s">
        <v>120</v>
      </c>
      <c r="D2400" t="s">
        <v>585</v>
      </c>
      <c r="E2400" t="s">
        <v>585</v>
      </c>
      <c r="F2400" s="705">
        <v>2</v>
      </c>
      <c r="G2400" s="705">
        <v>202</v>
      </c>
      <c r="H2400" s="705">
        <v>641</v>
      </c>
      <c r="I2400" s="705">
        <v>51098</v>
      </c>
      <c r="J2400" s="705">
        <v>46453</v>
      </c>
      <c r="K2400" s="705">
        <v>89</v>
      </c>
      <c r="L2400" s="705">
        <v>11451</v>
      </c>
      <c r="M2400" s="705">
        <v>10410</v>
      </c>
      <c r="N2400" s="705">
        <v>3683</v>
      </c>
      <c r="O2400" s="705">
        <v>1364</v>
      </c>
      <c r="P2400" s="705">
        <v>702</v>
      </c>
      <c r="Q2400" s="705">
        <v>260</v>
      </c>
      <c r="R2400" s="705">
        <v>9881</v>
      </c>
      <c r="S2400" s="705">
        <v>8982</v>
      </c>
      <c r="T2400" s="705">
        <v>2881</v>
      </c>
      <c r="U2400" s="705">
        <v>1067</v>
      </c>
      <c r="V2400" s="705">
        <v>68536</v>
      </c>
      <c r="W2400" s="705">
        <f t="shared" si="98"/>
        <v>68536</v>
      </c>
      <c r="X2400" s="705">
        <f t="shared" si="99"/>
        <v>79696</v>
      </c>
    </row>
    <row r="2401" spans="2:24">
      <c r="B2401" t="s">
        <v>551</v>
      </c>
      <c r="C2401" t="s">
        <v>122</v>
      </c>
      <c r="D2401" t="s">
        <v>582</v>
      </c>
      <c r="E2401" t="s">
        <v>582</v>
      </c>
      <c r="F2401" s="705">
        <v>1</v>
      </c>
      <c r="G2401" s="705">
        <v>56</v>
      </c>
      <c r="H2401" s="705">
        <v>423</v>
      </c>
      <c r="I2401" s="705">
        <v>14858</v>
      </c>
      <c r="J2401" s="705">
        <v>13507</v>
      </c>
      <c r="K2401" s="705">
        <v>65</v>
      </c>
      <c r="L2401" s="705">
        <v>1759</v>
      </c>
      <c r="M2401" s="705">
        <v>1599</v>
      </c>
      <c r="N2401" s="705">
        <v>758</v>
      </c>
      <c r="O2401" s="705">
        <v>281</v>
      </c>
      <c r="P2401" s="705">
        <v>473</v>
      </c>
      <c r="Q2401" s="705">
        <v>175</v>
      </c>
      <c r="R2401" s="705">
        <v>3533</v>
      </c>
      <c r="S2401" s="705">
        <v>3212</v>
      </c>
      <c r="T2401" s="705">
        <v>2094</v>
      </c>
      <c r="U2401" s="705">
        <v>776</v>
      </c>
      <c r="V2401" s="705">
        <v>19549</v>
      </c>
      <c r="W2401" s="705">
        <f t="shared" si="98"/>
        <v>19550</v>
      </c>
      <c r="X2401" s="705">
        <f t="shared" si="99"/>
        <v>23475</v>
      </c>
    </row>
    <row r="2402" spans="2:24">
      <c r="B2402" t="s">
        <v>551</v>
      </c>
      <c r="C2402" t="s">
        <v>122</v>
      </c>
      <c r="D2402" t="s">
        <v>582</v>
      </c>
      <c r="E2402" t="s">
        <v>583</v>
      </c>
      <c r="F2402" s="705">
        <v>1</v>
      </c>
      <c r="G2402" s="705">
        <v>128</v>
      </c>
      <c r="H2402" s="705">
        <v>399</v>
      </c>
      <c r="I2402" s="705">
        <v>36293</v>
      </c>
      <c r="J2402" s="705">
        <v>32994</v>
      </c>
      <c r="K2402" s="705">
        <v>85</v>
      </c>
      <c r="L2402" s="705">
        <v>10848</v>
      </c>
      <c r="M2402" s="705">
        <v>9861</v>
      </c>
      <c r="N2402" s="705">
        <v>2659</v>
      </c>
      <c r="O2402" s="705">
        <v>985</v>
      </c>
      <c r="P2402" s="705">
        <v>621</v>
      </c>
      <c r="Q2402" s="705">
        <v>230</v>
      </c>
      <c r="R2402" s="705">
        <v>4429</v>
      </c>
      <c r="S2402" s="705">
        <v>4027</v>
      </c>
      <c r="T2402" s="705">
        <v>3237</v>
      </c>
      <c r="U2402" s="705">
        <v>1199</v>
      </c>
      <c r="V2402" s="705">
        <v>49296</v>
      </c>
      <c r="W2402" s="705">
        <f t="shared" si="98"/>
        <v>49296</v>
      </c>
      <c r="X2402" s="705">
        <f t="shared" si="99"/>
        <v>58087</v>
      </c>
    </row>
    <row r="2403" spans="2:24">
      <c r="B2403" t="s">
        <v>551</v>
      </c>
      <c r="C2403" t="s">
        <v>122</v>
      </c>
      <c r="D2403" t="s">
        <v>228</v>
      </c>
      <c r="E2403" t="s">
        <v>228</v>
      </c>
      <c r="F2403" s="705">
        <v>4</v>
      </c>
      <c r="G2403" s="705">
        <v>429</v>
      </c>
      <c r="H2403" s="705">
        <v>1649</v>
      </c>
      <c r="I2403" s="705">
        <v>124258</v>
      </c>
      <c r="J2403" s="705">
        <v>46022</v>
      </c>
      <c r="K2403" s="705">
        <v>100</v>
      </c>
      <c r="L2403" s="705">
        <v>13404</v>
      </c>
      <c r="M2403" s="705">
        <v>12185</v>
      </c>
      <c r="N2403" s="705">
        <v>8801</v>
      </c>
      <c r="O2403" s="705">
        <v>3260</v>
      </c>
      <c r="P2403" s="705">
        <v>351</v>
      </c>
      <c r="Q2403" s="705">
        <v>130</v>
      </c>
      <c r="R2403" s="705">
        <v>28179</v>
      </c>
      <c r="S2403" s="705">
        <v>10437</v>
      </c>
      <c r="T2403" s="705">
        <v>0</v>
      </c>
      <c r="U2403" s="705">
        <v>0</v>
      </c>
      <c r="V2403" s="705">
        <v>72033</v>
      </c>
      <c r="W2403" s="705">
        <f t="shared" si="98"/>
        <v>72034</v>
      </c>
      <c r="X2403" s="705">
        <f t="shared" si="99"/>
        <v>174993</v>
      </c>
    </row>
    <row r="2404" spans="2:24">
      <c r="B2404" t="s">
        <v>551</v>
      </c>
      <c r="C2404" t="s">
        <v>122</v>
      </c>
      <c r="D2404" t="s">
        <v>583</v>
      </c>
      <c r="E2404" t="s">
        <v>228</v>
      </c>
      <c r="F2404" s="705">
        <v>1</v>
      </c>
      <c r="G2404" s="705">
        <v>197</v>
      </c>
      <c r="H2404" s="705">
        <v>396</v>
      </c>
      <c r="I2404" s="705">
        <v>42759</v>
      </c>
      <c r="J2404" s="705">
        <v>38872</v>
      </c>
      <c r="K2404" s="705">
        <v>60</v>
      </c>
      <c r="L2404" s="705">
        <v>10557</v>
      </c>
      <c r="M2404" s="705">
        <v>3910</v>
      </c>
      <c r="N2404" s="705">
        <v>3596</v>
      </c>
      <c r="O2404" s="705">
        <v>1332</v>
      </c>
      <c r="P2404" s="705">
        <v>621</v>
      </c>
      <c r="Q2404" s="705">
        <v>230</v>
      </c>
      <c r="R2404" s="705">
        <v>16791</v>
      </c>
      <c r="S2404" s="705">
        <v>6219</v>
      </c>
      <c r="T2404" s="705">
        <v>3627</v>
      </c>
      <c r="U2404" s="705">
        <v>1343</v>
      </c>
      <c r="V2404" s="705">
        <v>51906</v>
      </c>
      <c r="W2404" s="705">
        <f t="shared" si="98"/>
        <v>51906</v>
      </c>
      <c r="X2404" s="705">
        <f t="shared" si="99"/>
        <v>77951</v>
      </c>
    </row>
    <row r="2405" spans="2:24">
      <c r="B2405" t="s">
        <v>551</v>
      </c>
      <c r="C2405" t="s">
        <v>122</v>
      </c>
      <c r="D2405" t="s">
        <v>583</v>
      </c>
      <c r="E2405" t="s">
        <v>583</v>
      </c>
      <c r="F2405" s="705">
        <v>158</v>
      </c>
      <c r="G2405" s="705">
        <v>17094</v>
      </c>
      <c r="H2405" s="705">
        <v>65568</v>
      </c>
      <c r="I2405" s="705">
        <v>4627657</v>
      </c>
      <c r="J2405" s="705">
        <v>4206961</v>
      </c>
      <c r="K2405" s="705">
        <v>72</v>
      </c>
      <c r="L2405" s="705">
        <v>907693</v>
      </c>
      <c r="M2405" s="705">
        <v>790765</v>
      </c>
      <c r="N2405" s="705">
        <v>361361</v>
      </c>
      <c r="O2405" s="705">
        <v>133837</v>
      </c>
      <c r="P2405" s="705">
        <v>99995</v>
      </c>
      <c r="Q2405" s="705">
        <v>37035</v>
      </c>
      <c r="R2405" s="705">
        <v>838334</v>
      </c>
      <c r="S2405" s="705">
        <v>762122</v>
      </c>
      <c r="T2405" s="705">
        <v>352657</v>
      </c>
      <c r="U2405" s="705">
        <v>130614</v>
      </c>
      <c r="V2405" s="705">
        <v>6061333</v>
      </c>
      <c r="W2405" s="705">
        <f t="shared" si="98"/>
        <v>6061334</v>
      </c>
      <c r="X2405" s="705">
        <f t="shared" si="99"/>
        <v>7187697</v>
      </c>
    </row>
    <row r="2406" spans="2:24">
      <c r="B2406" t="s">
        <v>551</v>
      </c>
      <c r="C2406" t="s">
        <v>122</v>
      </c>
      <c r="D2406" t="s">
        <v>666</v>
      </c>
      <c r="E2406" t="s">
        <v>666</v>
      </c>
      <c r="F2406" s="705">
        <v>3</v>
      </c>
      <c r="G2406" s="705">
        <v>368</v>
      </c>
      <c r="H2406" s="705">
        <v>1251</v>
      </c>
      <c r="I2406" s="705">
        <v>123926</v>
      </c>
      <c r="J2406" s="705">
        <v>112660</v>
      </c>
      <c r="K2406" s="705">
        <v>53</v>
      </c>
      <c r="L2406" s="705">
        <v>23398</v>
      </c>
      <c r="M2406" s="705">
        <v>21271</v>
      </c>
      <c r="N2406" s="705">
        <v>7396</v>
      </c>
      <c r="O2406" s="705">
        <v>2739</v>
      </c>
      <c r="P2406" s="705">
        <v>1053</v>
      </c>
      <c r="Q2406" s="705">
        <v>390</v>
      </c>
      <c r="R2406" s="705">
        <v>19171</v>
      </c>
      <c r="S2406" s="705">
        <v>17428</v>
      </c>
      <c r="T2406" s="705">
        <v>9554</v>
      </c>
      <c r="U2406" s="705">
        <v>3539</v>
      </c>
      <c r="V2406" s="705">
        <v>158027</v>
      </c>
      <c r="W2406" s="705">
        <f t="shared" si="98"/>
        <v>158027</v>
      </c>
      <c r="X2406" s="705">
        <f t="shared" si="99"/>
        <v>184498</v>
      </c>
    </row>
    <row r="2407" spans="2:24">
      <c r="B2407" t="s">
        <v>551</v>
      </c>
      <c r="C2407" t="s">
        <v>122</v>
      </c>
      <c r="D2407" t="s">
        <v>584</v>
      </c>
      <c r="E2407" t="s">
        <v>584</v>
      </c>
      <c r="F2407" s="705">
        <v>1</v>
      </c>
      <c r="G2407" s="705">
        <v>114</v>
      </c>
      <c r="H2407" s="705">
        <v>424</v>
      </c>
      <c r="I2407" s="705">
        <v>32855</v>
      </c>
      <c r="J2407" s="705">
        <v>29868</v>
      </c>
      <c r="K2407" s="705">
        <v>91</v>
      </c>
      <c r="L2407" s="705">
        <v>6841</v>
      </c>
      <c r="M2407" s="705">
        <v>6219</v>
      </c>
      <c r="N2407" s="705">
        <v>2133</v>
      </c>
      <c r="O2407" s="705">
        <v>790</v>
      </c>
      <c r="P2407" s="705">
        <v>473</v>
      </c>
      <c r="Q2407" s="705">
        <v>175</v>
      </c>
      <c r="R2407" s="705">
        <v>5919</v>
      </c>
      <c r="S2407" s="705">
        <v>5381</v>
      </c>
      <c r="T2407" s="705">
        <v>0</v>
      </c>
      <c r="U2407" s="705">
        <v>0</v>
      </c>
      <c r="V2407" s="705">
        <v>42433</v>
      </c>
      <c r="W2407" s="705">
        <f t="shared" si="98"/>
        <v>42433</v>
      </c>
      <c r="X2407" s="705">
        <f t="shared" si="99"/>
        <v>48221</v>
      </c>
    </row>
    <row r="2408" spans="2:24">
      <c r="B2408" t="s">
        <v>551</v>
      </c>
      <c r="C2408" t="s">
        <v>122</v>
      </c>
      <c r="D2408" t="s">
        <v>669</v>
      </c>
      <c r="E2408" t="s">
        <v>669</v>
      </c>
      <c r="F2408" s="705">
        <v>1</v>
      </c>
      <c r="G2408" s="705">
        <v>126</v>
      </c>
      <c r="H2408" s="705">
        <v>398</v>
      </c>
      <c r="I2408" s="705">
        <v>33271</v>
      </c>
      <c r="J2408" s="705">
        <v>27726</v>
      </c>
      <c r="K2408" s="705">
        <v>45</v>
      </c>
      <c r="L2408" s="705">
        <v>2773</v>
      </c>
      <c r="M2408" s="705">
        <v>2311</v>
      </c>
      <c r="N2408" s="705">
        <v>2406</v>
      </c>
      <c r="O2408" s="705">
        <v>891</v>
      </c>
      <c r="P2408" s="705">
        <v>351</v>
      </c>
      <c r="Q2408" s="705">
        <v>130</v>
      </c>
      <c r="R2408" s="705">
        <v>8219</v>
      </c>
      <c r="S2408" s="705">
        <v>6849</v>
      </c>
      <c r="T2408" s="705">
        <v>3012</v>
      </c>
      <c r="U2408" s="705">
        <v>1115</v>
      </c>
      <c r="V2408" s="705">
        <v>39022</v>
      </c>
      <c r="W2408" s="705">
        <f t="shared" si="98"/>
        <v>39022</v>
      </c>
      <c r="X2408" s="705">
        <f t="shared" si="99"/>
        <v>50032</v>
      </c>
    </row>
    <row r="2409" spans="2:24">
      <c r="B2409" t="s">
        <v>551</v>
      </c>
      <c r="C2409" t="s">
        <v>122</v>
      </c>
      <c r="D2409" t="s">
        <v>665</v>
      </c>
      <c r="E2409" t="s">
        <v>665</v>
      </c>
      <c r="F2409" s="705">
        <v>14</v>
      </c>
      <c r="G2409" s="705">
        <v>1424</v>
      </c>
      <c r="H2409" s="705">
        <v>5771</v>
      </c>
      <c r="I2409" s="705">
        <v>383139</v>
      </c>
      <c r="J2409" s="705">
        <v>348308</v>
      </c>
      <c r="K2409" s="705">
        <v>55</v>
      </c>
      <c r="L2409" s="705">
        <v>50575</v>
      </c>
      <c r="M2409" s="705">
        <v>45977</v>
      </c>
      <c r="N2409" s="705">
        <v>29689</v>
      </c>
      <c r="O2409" s="705">
        <v>10996</v>
      </c>
      <c r="P2409" s="705">
        <v>6615</v>
      </c>
      <c r="Q2409" s="705">
        <v>2450</v>
      </c>
      <c r="R2409" s="705">
        <v>85338</v>
      </c>
      <c r="S2409" s="705">
        <v>77580</v>
      </c>
      <c r="T2409" s="705">
        <v>32297</v>
      </c>
      <c r="U2409" s="705">
        <v>11962</v>
      </c>
      <c r="V2409" s="705">
        <v>497274</v>
      </c>
      <c r="W2409" s="705">
        <f t="shared" si="98"/>
        <v>497273</v>
      </c>
      <c r="X2409" s="705">
        <f t="shared" si="99"/>
        <v>587653</v>
      </c>
    </row>
    <row r="2410" spans="2:24">
      <c r="B2410" t="s">
        <v>551</v>
      </c>
      <c r="C2410" t="s">
        <v>122</v>
      </c>
      <c r="D2410" t="s">
        <v>673</v>
      </c>
      <c r="E2410" t="s">
        <v>673</v>
      </c>
      <c r="F2410" s="705">
        <v>1</v>
      </c>
      <c r="G2410" s="705">
        <v>110</v>
      </c>
      <c r="H2410" s="705">
        <v>420</v>
      </c>
      <c r="I2410" s="705">
        <v>35763</v>
      </c>
      <c r="J2410" s="705">
        <v>32512</v>
      </c>
      <c r="K2410" s="705">
        <v>70</v>
      </c>
      <c r="L2410" s="705">
        <v>4279</v>
      </c>
      <c r="M2410" s="705">
        <v>3890</v>
      </c>
      <c r="N2410" s="705">
        <v>2354</v>
      </c>
      <c r="O2410" s="705">
        <v>872</v>
      </c>
      <c r="P2410" s="705">
        <v>351</v>
      </c>
      <c r="Q2410" s="705">
        <v>130</v>
      </c>
      <c r="R2410" s="705">
        <v>2303</v>
      </c>
      <c r="S2410" s="705">
        <v>2093</v>
      </c>
      <c r="T2410" s="705">
        <v>1333</v>
      </c>
      <c r="U2410" s="705">
        <v>494</v>
      </c>
      <c r="V2410" s="705">
        <v>39991</v>
      </c>
      <c r="W2410" s="705">
        <f t="shared" si="98"/>
        <v>39991</v>
      </c>
      <c r="X2410" s="705">
        <f t="shared" si="99"/>
        <v>46383</v>
      </c>
    </row>
    <row r="2411" spans="2:24">
      <c r="B2411" t="s">
        <v>551</v>
      </c>
      <c r="C2411" t="s">
        <v>124</v>
      </c>
      <c r="D2411" t="s">
        <v>582</v>
      </c>
      <c r="E2411" t="s">
        <v>228</v>
      </c>
      <c r="F2411" s="705">
        <v>1</v>
      </c>
      <c r="G2411" s="705">
        <v>39</v>
      </c>
      <c r="H2411" s="705">
        <v>1063</v>
      </c>
      <c r="I2411" s="705">
        <v>35253</v>
      </c>
      <c r="J2411" s="705">
        <v>32048</v>
      </c>
      <c r="K2411" s="705">
        <v>45</v>
      </c>
      <c r="L2411" s="705">
        <v>0</v>
      </c>
      <c r="M2411" s="705">
        <v>0</v>
      </c>
      <c r="N2411" s="705">
        <v>891</v>
      </c>
      <c r="O2411" s="705">
        <v>330</v>
      </c>
      <c r="P2411" s="705">
        <v>0</v>
      </c>
      <c r="Q2411" s="705">
        <v>0</v>
      </c>
      <c r="R2411" s="705">
        <v>5626</v>
      </c>
      <c r="S2411" s="705">
        <v>2084</v>
      </c>
      <c r="T2411" s="705">
        <v>0</v>
      </c>
      <c r="U2411" s="705">
        <v>0</v>
      </c>
      <c r="V2411" s="705">
        <v>34462</v>
      </c>
      <c r="W2411" s="705">
        <f t="shared" si="98"/>
        <v>34462</v>
      </c>
      <c r="X2411" s="705">
        <f t="shared" si="99"/>
        <v>41770</v>
      </c>
    </row>
    <row r="2412" spans="2:24">
      <c r="B2412" t="s">
        <v>551</v>
      </c>
      <c r="C2412" t="s">
        <v>124</v>
      </c>
      <c r="D2412" t="s">
        <v>228</v>
      </c>
      <c r="E2412" t="s">
        <v>228</v>
      </c>
      <c r="F2412" s="705">
        <v>29</v>
      </c>
      <c r="G2412" s="705">
        <v>3040</v>
      </c>
      <c r="H2412" s="705">
        <v>20936</v>
      </c>
      <c r="I2412" s="705">
        <v>1597201</v>
      </c>
      <c r="J2412" s="705">
        <v>591556</v>
      </c>
      <c r="K2412" s="705">
        <v>100</v>
      </c>
      <c r="L2412" s="705">
        <v>223368</v>
      </c>
      <c r="M2412" s="705">
        <v>186651</v>
      </c>
      <c r="N2412" s="705">
        <v>73032</v>
      </c>
      <c r="O2412" s="705">
        <v>27049</v>
      </c>
      <c r="P2412" s="705">
        <v>0</v>
      </c>
      <c r="Q2412" s="705">
        <v>0</v>
      </c>
      <c r="R2412" s="705">
        <v>191710</v>
      </c>
      <c r="S2412" s="705">
        <v>71004</v>
      </c>
      <c r="T2412" s="705">
        <v>1317</v>
      </c>
      <c r="U2412" s="705">
        <v>488</v>
      </c>
      <c r="V2412" s="705">
        <v>876747</v>
      </c>
      <c r="W2412" s="705">
        <f t="shared" ref="W2412:W2475" si="100">SUM(ABS(J2412),ABS(M2412),ABS(O2412),ABS(Q2412),ABS(S2412),ABS(U2412))</f>
        <v>876748</v>
      </c>
      <c r="X2412" s="705">
        <f t="shared" ref="X2412:X2475" si="101">SUM(ABS(I2412),ABS(N2412),ABS(P2412),ABS(R2412),ABS(T2412),ABS(L2412))</f>
        <v>2086628</v>
      </c>
    </row>
    <row r="2413" spans="2:24">
      <c r="B2413" t="s">
        <v>551</v>
      </c>
      <c r="C2413" t="s">
        <v>124</v>
      </c>
      <c r="D2413" t="s">
        <v>228</v>
      </c>
      <c r="E2413" t="s">
        <v>583</v>
      </c>
      <c r="F2413" s="705">
        <v>1</v>
      </c>
      <c r="G2413" s="705">
        <v>72</v>
      </c>
      <c r="H2413" s="705">
        <v>1138</v>
      </c>
      <c r="I2413" s="705">
        <v>63039</v>
      </c>
      <c r="J2413" s="705">
        <v>23348</v>
      </c>
      <c r="K2413" s="705">
        <v>100</v>
      </c>
      <c r="L2413" s="705">
        <v>4756</v>
      </c>
      <c r="M2413" s="705">
        <v>4324</v>
      </c>
      <c r="N2413" s="705">
        <v>1753</v>
      </c>
      <c r="O2413" s="705">
        <v>649</v>
      </c>
      <c r="P2413" s="705">
        <v>270</v>
      </c>
      <c r="Q2413" s="705">
        <v>100</v>
      </c>
      <c r="R2413" s="705">
        <v>7794</v>
      </c>
      <c r="S2413" s="705">
        <v>7086</v>
      </c>
      <c r="T2413" s="705">
        <v>4284</v>
      </c>
      <c r="U2413" s="705">
        <v>1587</v>
      </c>
      <c r="V2413" s="705">
        <v>37093</v>
      </c>
      <c r="W2413" s="705">
        <f t="shared" si="100"/>
        <v>37094</v>
      </c>
      <c r="X2413" s="705">
        <f t="shared" si="101"/>
        <v>81896</v>
      </c>
    </row>
    <row r="2414" spans="2:24">
      <c r="B2414" t="s">
        <v>551</v>
      </c>
      <c r="C2414" t="s">
        <v>124</v>
      </c>
      <c r="D2414" t="s">
        <v>228</v>
      </c>
      <c r="E2414" t="s">
        <v>665</v>
      </c>
      <c r="F2414" s="705">
        <v>4</v>
      </c>
      <c r="G2414" s="705">
        <v>330</v>
      </c>
      <c r="H2414" s="705">
        <v>2540</v>
      </c>
      <c r="I2414" s="705">
        <v>150628</v>
      </c>
      <c r="J2414" s="705">
        <v>55788</v>
      </c>
      <c r="K2414" s="705">
        <v>100</v>
      </c>
      <c r="L2414" s="705">
        <v>17117</v>
      </c>
      <c r="M2414" s="705">
        <v>15561</v>
      </c>
      <c r="N2414" s="705">
        <v>7418</v>
      </c>
      <c r="O2414" s="705">
        <v>2747</v>
      </c>
      <c r="P2414" s="705">
        <v>0</v>
      </c>
      <c r="Q2414" s="705">
        <v>0</v>
      </c>
      <c r="R2414" s="705">
        <v>20855</v>
      </c>
      <c r="S2414" s="705">
        <v>18959</v>
      </c>
      <c r="T2414" s="705">
        <v>8785</v>
      </c>
      <c r="U2414" s="705">
        <v>3254</v>
      </c>
      <c r="V2414" s="705">
        <v>96309</v>
      </c>
      <c r="W2414" s="705">
        <f t="shared" si="100"/>
        <v>96309</v>
      </c>
      <c r="X2414" s="705">
        <f t="shared" si="101"/>
        <v>204803</v>
      </c>
    </row>
    <row r="2415" spans="2:24">
      <c r="B2415" t="s">
        <v>551</v>
      </c>
      <c r="C2415" t="s">
        <v>124</v>
      </c>
      <c r="D2415" t="s">
        <v>228</v>
      </c>
      <c r="E2415" t="s">
        <v>673</v>
      </c>
      <c r="F2415" s="705">
        <v>1</v>
      </c>
      <c r="G2415" s="705">
        <v>73</v>
      </c>
      <c r="H2415" s="705">
        <v>989</v>
      </c>
      <c r="I2415" s="705">
        <v>54183</v>
      </c>
      <c r="J2415" s="705">
        <v>20068</v>
      </c>
      <c r="K2415" s="705">
        <v>100</v>
      </c>
      <c r="L2415" s="705">
        <v>4460</v>
      </c>
      <c r="M2415" s="705">
        <v>4054</v>
      </c>
      <c r="N2415" s="705">
        <v>1787</v>
      </c>
      <c r="O2415" s="705">
        <v>662</v>
      </c>
      <c r="P2415" s="705">
        <v>0</v>
      </c>
      <c r="Q2415" s="705">
        <v>0</v>
      </c>
      <c r="R2415" s="705">
        <v>12098</v>
      </c>
      <c r="S2415" s="705">
        <v>10998</v>
      </c>
      <c r="T2415" s="705">
        <v>0</v>
      </c>
      <c r="U2415" s="705">
        <v>0</v>
      </c>
      <c r="V2415" s="705">
        <v>35782</v>
      </c>
      <c r="W2415" s="705">
        <f t="shared" si="100"/>
        <v>35782</v>
      </c>
      <c r="X2415" s="705">
        <f t="shared" si="101"/>
        <v>72528</v>
      </c>
    </row>
    <row r="2416" spans="2:24">
      <c r="B2416" t="s">
        <v>551</v>
      </c>
      <c r="C2416" t="s">
        <v>124</v>
      </c>
      <c r="D2416" t="s">
        <v>583</v>
      </c>
      <c r="E2416" t="s">
        <v>228</v>
      </c>
      <c r="F2416" s="705">
        <v>3</v>
      </c>
      <c r="G2416" s="705">
        <v>460</v>
      </c>
      <c r="H2416" s="705">
        <v>1626</v>
      </c>
      <c r="I2416" s="705">
        <v>170309</v>
      </c>
      <c r="J2416" s="705">
        <v>154826</v>
      </c>
      <c r="K2416" s="705">
        <v>62</v>
      </c>
      <c r="L2416" s="705">
        <v>38477</v>
      </c>
      <c r="M2416" s="705">
        <v>34979</v>
      </c>
      <c r="N2416" s="705">
        <v>7344</v>
      </c>
      <c r="O2416" s="705">
        <v>2720</v>
      </c>
      <c r="P2416" s="705">
        <v>1242</v>
      </c>
      <c r="Q2416" s="705">
        <v>460</v>
      </c>
      <c r="R2416" s="705">
        <v>24723</v>
      </c>
      <c r="S2416" s="705">
        <v>9157</v>
      </c>
      <c r="T2416" s="705">
        <v>0</v>
      </c>
      <c r="U2416" s="705">
        <v>0</v>
      </c>
      <c r="V2416" s="705">
        <v>202142</v>
      </c>
      <c r="W2416" s="705">
        <f t="shared" si="100"/>
        <v>202142</v>
      </c>
      <c r="X2416" s="705">
        <f t="shared" si="101"/>
        <v>242095</v>
      </c>
    </row>
    <row r="2417" spans="2:24">
      <c r="B2417" t="s">
        <v>551</v>
      </c>
      <c r="C2417" t="s">
        <v>124</v>
      </c>
      <c r="D2417" t="s">
        <v>583</v>
      </c>
      <c r="E2417" t="s">
        <v>583</v>
      </c>
      <c r="F2417" s="705">
        <v>195</v>
      </c>
      <c r="G2417" s="705">
        <v>20096</v>
      </c>
      <c r="H2417" s="705">
        <v>109907</v>
      </c>
      <c r="I2417" s="705">
        <v>7721721</v>
      </c>
      <c r="J2417" s="705">
        <v>7019747</v>
      </c>
      <c r="K2417" s="705">
        <v>70</v>
      </c>
      <c r="L2417" s="705">
        <v>1569058</v>
      </c>
      <c r="M2417" s="705">
        <v>1385065</v>
      </c>
      <c r="N2417" s="705">
        <v>448625</v>
      </c>
      <c r="O2417" s="705">
        <v>166158</v>
      </c>
      <c r="P2417" s="705">
        <v>120825</v>
      </c>
      <c r="Q2417" s="705">
        <v>44750</v>
      </c>
      <c r="R2417" s="705">
        <v>1030677</v>
      </c>
      <c r="S2417" s="705">
        <v>936980</v>
      </c>
      <c r="T2417" s="705">
        <v>375225</v>
      </c>
      <c r="U2417" s="705">
        <v>138972</v>
      </c>
      <c r="V2417" s="705">
        <v>9691670</v>
      </c>
      <c r="W2417" s="705">
        <f t="shared" si="100"/>
        <v>9691672</v>
      </c>
      <c r="X2417" s="705">
        <f t="shared" si="101"/>
        <v>11266131</v>
      </c>
    </row>
    <row r="2418" spans="2:24">
      <c r="B2418" t="s">
        <v>551</v>
      </c>
      <c r="C2418" t="s">
        <v>124</v>
      </c>
      <c r="D2418" t="s">
        <v>583</v>
      </c>
      <c r="E2418" t="s">
        <v>666</v>
      </c>
      <c r="F2418" s="705">
        <v>1</v>
      </c>
      <c r="G2418" s="705">
        <v>66</v>
      </c>
      <c r="H2418" s="705">
        <v>657</v>
      </c>
      <c r="I2418" s="705">
        <v>28628</v>
      </c>
      <c r="J2418" s="705">
        <v>26026</v>
      </c>
      <c r="K2418" s="705">
        <v>60</v>
      </c>
      <c r="L2418" s="705">
        <v>6044</v>
      </c>
      <c r="M2418" s="705">
        <v>5494</v>
      </c>
      <c r="N2418" s="705">
        <v>1507</v>
      </c>
      <c r="O2418" s="705">
        <v>558</v>
      </c>
      <c r="P2418" s="705">
        <v>621</v>
      </c>
      <c r="Q2418" s="705">
        <v>230</v>
      </c>
      <c r="R2418" s="705">
        <v>4711</v>
      </c>
      <c r="S2418" s="705">
        <v>4283</v>
      </c>
      <c r="T2418" s="705">
        <v>2159</v>
      </c>
      <c r="U2418" s="705">
        <v>800</v>
      </c>
      <c r="V2418" s="705">
        <v>37390</v>
      </c>
      <c r="W2418" s="705">
        <f t="shared" si="100"/>
        <v>37391</v>
      </c>
      <c r="X2418" s="705">
        <f t="shared" si="101"/>
        <v>43670</v>
      </c>
    </row>
    <row r="2419" spans="2:24">
      <c r="B2419" t="s">
        <v>551</v>
      </c>
      <c r="C2419" t="s">
        <v>124</v>
      </c>
      <c r="D2419" t="s">
        <v>583</v>
      </c>
      <c r="E2419" t="s">
        <v>665</v>
      </c>
      <c r="F2419" s="705">
        <v>2</v>
      </c>
      <c r="G2419" s="705">
        <v>353</v>
      </c>
      <c r="H2419" s="705">
        <v>1158</v>
      </c>
      <c r="I2419" s="705">
        <v>153799</v>
      </c>
      <c r="J2419" s="705">
        <v>139818</v>
      </c>
      <c r="K2419" s="705">
        <v>65</v>
      </c>
      <c r="L2419" s="705">
        <v>22846</v>
      </c>
      <c r="M2419" s="705">
        <v>20770</v>
      </c>
      <c r="N2419" s="705">
        <v>7824</v>
      </c>
      <c r="O2419" s="705">
        <v>2898</v>
      </c>
      <c r="P2419" s="705">
        <v>1593</v>
      </c>
      <c r="Q2419" s="705">
        <v>590</v>
      </c>
      <c r="R2419" s="705">
        <v>11680</v>
      </c>
      <c r="S2419" s="705">
        <v>10618</v>
      </c>
      <c r="T2419" s="705">
        <v>6177</v>
      </c>
      <c r="U2419" s="705">
        <v>2288</v>
      </c>
      <c r="V2419" s="705">
        <v>176981</v>
      </c>
      <c r="W2419" s="705">
        <f t="shared" si="100"/>
        <v>176982</v>
      </c>
      <c r="X2419" s="705">
        <f t="shared" si="101"/>
        <v>203919</v>
      </c>
    </row>
    <row r="2420" spans="2:24">
      <c r="B2420" t="s">
        <v>551</v>
      </c>
      <c r="C2420" t="s">
        <v>124</v>
      </c>
      <c r="D2420" t="s">
        <v>666</v>
      </c>
      <c r="E2420" t="s">
        <v>228</v>
      </c>
      <c r="F2420" s="705">
        <v>3</v>
      </c>
      <c r="G2420" s="705">
        <v>189</v>
      </c>
      <c r="H2420" s="705">
        <v>3327</v>
      </c>
      <c r="I2420" s="705">
        <v>155048</v>
      </c>
      <c r="J2420" s="705">
        <v>140953</v>
      </c>
      <c r="K2420" s="705">
        <v>50</v>
      </c>
      <c r="L2420" s="705">
        <v>24489</v>
      </c>
      <c r="M2420" s="705">
        <v>19134</v>
      </c>
      <c r="N2420" s="705">
        <v>4611</v>
      </c>
      <c r="O2420" s="705">
        <v>1708</v>
      </c>
      <c r="P2420" s="705">
        <v>351</v>
      </c>
      <c r="Q2420" s="705">
        <v>130</v>
      </c>
      <c r="R2420" s="705">
        <v>14335</v>
      </c>
      <c r="S2420" s="705">
        <v>5309</v>
      </c>
      <c r="T2420" s="705">
        <v>0</v>
      </c>
      <c r="U2420" s="705">
        <v>0</v>
      </c>
      <c r="V2420" s="705">
        <v>167234</v>
      </c>
      <c r="W2420" s="705">
        <f t="shared" si="100"/>
        <v>167234</v>
      </c>
      <c r="X2420" s="705">
        <f t="shared" si="101"/>
        <v>198834</v>
      </c>
    </row>
    <row r="2421" spans="2:24">
      <c r="B2421" t="s">
        <v>551</v>
      </c>
      <c r="C2421" t="s">
        <v>124</v>
      </c>
      <c r="D2421" t="s">
        <v>666</v>
      </c>
      <c r="E2421" t="s">
        <v>666</v>
      </c>
      <c r="F2421" s="705">
        <v>4</v>
      </c>
      <c r="G2421" s="705">
        <v>255</v>
      </c>
      <c r="H2421" s="705">
        <v>3196</v>
      </c>
      <c r="I2421" s="705">
        <v>163119</v>
      </c>
      <c r="J2421" s="705">
        <v>148290</v>
      </c>
      <c r="K2421" s="705">
        <v>53</v>
      </c>
      <c r="L2421" s="705">
        <v>35677</v>
      </c>
      <c r="M2421" s="705">
        <v>25912</v>
      </c>
      <c r="N2421" s="705">
        <v>6843</v>
      </c>
      <c r="O2421" s="705">
        <v>2534</v>
      </c>
      <c r="P2421" s="705">
        <v>702</v>
      </c>
      <c r="Q2421" s="705">
        <v>260</v>
      </c>
      <c r="R2421" s="705">
        <v>21167</v>
      </c>
      <c r="S2421" s="705">
        <v>19243</v>
      </c>
      <c r="T2421" s="705">
        <v>4879</v>
      </c>
      <c r="U2421" s="705">
        <v>1807</v>
      </c>
      <c r="V2421" s="705">
        <v>198046</v>
      </c>
      <c r="W2421" s="705">
        <f t="shared" si="100"/>
        <v>198046</v>
      </c>
      <c r="X2421" s="705">
        <f t="shared" si="101"/>
        <v>232387</v>
      </c>
    </row>
    <row r="2422" spans="2:24">
      <c r="B2422" t="s">
        <v>551</v>
      </c>
      <c r="C2422" t="s">
        <v>124</v>
      </c>
      <c r="D2422" t="s">
        <v>584</v>
      </c>
      <c r="E2422" t="s">
        <v>584</v>
      </c>
      <c r="F2422" s="705">
        <v>1</v>
      </c>
      <c r="G2422" s="705">
        <v>66</v>
      </c>
      <c r="H2422" s="705">
        <v>476</v>
      </c>
      <c r="I2422" s="705">
        <v>19563</v>
      </c>
      <c r="J2422" s="705">
        <v>17785</v>
      </c>
      <c r="K2422" s="705">
        <v>63</v>
      </c>
      <c r="L2422" s="705">
        <v>2063</v>
      </c>
      <c r="M2422" s="705">
        <v>1876</v>
      </c>
      <c r="N2422" s="705">
        <v>1533</v>
      </c>
      <c r="O2422" s="705">
        <v>568</v>
      </c>
      <c r="P2422" s="705">
        <v>473</v>
      </c>
      <c r="Q2422" s="705">
        <v>175</v>
      </c>
      <c r="R2422" s="705">
        <v>4702</v>
      </c>
      <c r="S2422" s="705">
        <v>4275</v>
      </c>
      <c r="T2422" s="705">
        <v>2859</v>
      </c>
      <c r="U2422" s="705">
        <v>1059</v>
      </c>
      <c r="V2422" s="705">
        <v>25736</v>
      </c>
      <c r="W2422" s="705">
        <f t="shared" si="100"/>
        <v>25738</v>
      </c>
      <c r="X2422" s="705">
        <f t="shared" si="101"/>
        <v>31193</v>
      </c>
    </row>
    <row r="2423" spans="2:24">
      <c r="B2423" t="s">
        <v>551</v>
      </c>
      <c r="C2423" t="s">
        <v>124</v>
      </c>
      <c r="D2423" t="s">
        <v>665</v>
      </c>
      <c r="E2423" t="s">
        <v>228</v>
      </c>
      <c r="F2423" s="705">
        <v>16</v>
      </c>
      <c r="G2423" s="705">
        <v>1370</v>
      </c>
      <c r="H2423" s="705">
        <v>17434</v>
      </c>
      <c r="I2423" s="705">
        <v>1203337</v>
      </c>
      <c r="J2423" s="705">
        <v>1093943</v>
      </c>
      <c r="K2423" s="705">
        <v>39</v>
      </c>
      <c r="L2423" s="705">
        <v>109142</v>
      </c>
      <c r="M2423" s="705">
        <v>59041</v>
      </c>
      <c r="N2423" s="705">
        <v>33235</v>
      </c>
      <c r="O2423" s="705">
        <v>12309</v>
      </c>
      <c r="P2423" s="705">
        <v>702</v>
      </c>
      <c r="Q2423" s="705">
        <v>260</v>
      </c>
      <c r="R2423" s="705">
        <v>92419</v>
      </c>
      <c r="S2423" s="705">
        <v>34229</v>
      </c>
      <c r="T2423" s="705">
        <v>0</v>
      </c>
      <c r="U2423" s="705">
        <v>0</v>
      </c>
      <c r="V2423" s="705">
        <v>1199782</v>
      </c>
      <c r="W2423" s="705">
        <f t="shared" si="100"/>
        <v>1199782</v>
      </c>
      <c r="X2423" s="705">
        <f t="shared" si="101"/>
        <v>1438835</v>
      </c>
    </row>
    <row r="2424" spans="2:24">
      <c r="B2424" t="s">
        <v>551</v>
      </c>
      <c r="C2424" t="s">
        <v>124</v>
      </c>
      <c r="D2424" t="s">
        <v>665</v>
      </c>
      <c r="E2424" t="s">
        <v>665</v>
      </c>
      <c r="F2424" s="705">
        <v>49</v>
      </c>
      <c r="G2424" s="705">
        <v>5295</v>
      </c>
      <c r="H2424" s="705">
        <v>37840</v>
      </c>
      <c r="I2424" s="705">
        <v>3094897</v>
      </c>
      <c r="J2424" s="705">
        <v>2813542</v>
      </c>
      <c r="K2424" s="705">
        <v>50</v>
      </c>
      <c r="L2424" s="705">
        <v>416095</v>
      </c>
      <c r="M2424" s="705">
        <v>320999</v>
      </c>
      <c r="N2424" s="705">
        <v>115354</v>
      </c>
      <c r="O2424" s="705">
        <v>42724</v>
      </c>
      <c r="P2424" s="705">
        <v>17874</v>
      </c>
      <c r="Q2424" s="705">
        <v>6620</v>
      </c>
      <c r="R2424" s="705">
        <v>302739</v>
      </c>
      <c r="S2424" s="705">
        <v>275218</v>
      </c>
      <c r="T2424" s="705">
        <v>118512</v>
      </c>
      <c r="U2424" s="705">
        <v>43893</v>
      </c>
      <c r="V2424" s="705">
        <v>3502997</v>
      </c>
      <c r="W2424" s="705">
        <f t="shared" si="100"/>
        <v>3502996</v>
      </c>
      <c r="X2424" s="705">
        <f t="shared" si="101"/>
        <v>4065471</v>
      </c>
    </row>
    <row r="2425" spans="2:24">
      <c r="B2425" t="s">
        <v>551</v>
      </c>
      <c r="C2425" t="s">
        <v>124</v>
      </c>
      <c r="D2425" t="s">
        <v>722</v>
      </c>
      <c r="E2425" t="s">
        <v>228</v>
      </c>
      <c r="F2425" s="705">
        <v>1</v>
      </c>
      <c r="G2425" s="705">
        <v>122</v>
      </c>
      <c r="H2425" s="705">
        <v>1082</v>
      </c>
      <c r="I2425" s="705">
        <v>108831</v>
      </c>
      <c r="J2425" s="705">
        <v>98937</v>
      </c>
      <c r="K2425" s="705">
        <v>30</v>
      </c>
      <c r="L2425" s="705">
        <v>14142</v>
      </c>
      <c r="M2425" s="705">
        <v>5238</v>
      </c>
      <c r="N2425" s="705">
        <v>2966</v>
      </c>
      <c r="O2425" s="705">
        <v>1099</v>
      </c>
      <c r="P2425" s="705">
        <v>0</v>
      </c>
      <c r="Q2425" s="705">
        <v>0</v>
      </c>
      <c r="R2425" s="705">
        <v>5796</v>
      </c>
      <c r="S2425" s="705">
        <v>2146</v>
      </c>
      <c r="T2425" s="705">
        <v>0</v>
      </c>
      <c r="U2425" s="705">
        <v>0</v>
      </c>
      <c r="V2425" s="705">
        <v>107420</v>
      </c>
      <c r="W2425" s="705">
        <f t="shared" si="100"/>
        <v>107420</v>
      </c>
      <c r="X2425" s="705">
        <f t="shared" si="101"/>
        <v>131735</v>
      </c>
    </row>
    <row r="2426" spans="2:24">
      <c r="B2426" t="s">
        <v>552</v>
      </c>
      <c r="C2426" t="s">
        <v>108</v>
      </c>
      <c r="D2426" t="s">
        <v>228</v>
      </c>
      <c r="E2426" t="s">
        <v>228</v>
      </c>
      <c r="F2426" s="705">
        <v>65</v>
      </c>
      <c r="G2426" s="705">
        <v>14202</v>
      </c>
      <c r="H2426" s="705">
        <v>3804</v>
      </c>
      <c r="I2426" s="705">
        <v>145415</v>
      </c>
      <c r="J2426" s="705">
        <v>53857</v>
      </c>
      <c r="K2426" s="705">
        <v>454</v>
      </c>
      <c r="L2426" s="705">
        <v>35176</v>
      </c>
      <c r="M2426" s="705">
        <v>30340</v>
      </c>
      <c r="N2426" s="705">
        <v>185832</v>
      </c>
      <c r="O2426" s="705">
        <v>68827</v>
      </c>
      <c r="P2426" s="705">
        <v>104906</v>
      </c>
      <c r="Q2426" s="705">
        <v>38854</v>
      </c>
      <c r="R2426" s="705">
        <v>357581</v>
      </c>
      <c r="S2426" s="705">
        <v>132437</v>
      </c>
      <c r="T2426" s="705">
        <v>0</v>
      </c>
      <c r="U2426" s="705">
        <v>0</v>
      </c>
      <c r="V2426" s="705">
        <v>324316</v>
      </c>
      <c r="W2426" s="705">
        <f t="shared" si="100"/>
        <v>324315</v>
      </c>
      <c r="X2426" s="705">
        <f t="shared" si="101"/>
        <v>828910</v>
      </c>
    </row>
    <row r="2427" spans="2:24">
      <c r="B2427" t="s">
        <v>552</v>
      </c>
      <c r="C2427" t="s">
        <v>108</v>
      </c>
      <c r="D2427" t="s">
        <v>228</v>
      </c>
      <c r="E2427" t="s">
        <v>583</v>
      </c>
      <c r="F2427" s="705">
        <v>1</v>
      </c>
      <c r="G2427" s="705">
        <v>246</v>
      </c>
      <c r="H2427" s="705">
        <v>51</v>
      </c>
      <c r="I2427" s="705">
        <v>4693</v>
      </c>
      <c r="J2427" s="705">
        <v>1738</v>
      </c>
      <c r="K2427" s="705">
        <v>468</v>
      </c>
      <c r="L2427" s="705">
        <v>1657</v>
      </c>
      <c r="M2427" s="705">
        <v>1506</v>
      </c>
      <c r="N2427" s="705">
        <v>3327</v>
      </c>
      <c r="O2427" s="705">
        <v>1232</v>
      </c>
      <c r="P2427" s="705">
        <v>351</v>
      </c>
      <c r="Q2427" s="705">
        <v>130</v>
      </c>
      <c r="R2427" s="705">
        <v>2412</v>
      </c>
      <c r="S2427" s="705">
        <v>2193</v>
      </c>
      <c r="T2427" s="705">
        <v>0</v>
      </c>
      <c r="U2427" s="705">
        <v>0</v>
      </c>
      <c r="V2427" s="705">
        <v>6800</v>
      </c>
      <c r="W2427" s="705">
        <f t="shared" si="100"/>
        <v>6799</v>
      </c>
      <c r="X2427" s="705">
        <f t="shared" si="101"/>
        <v>12440</v>
      </c>
    </row>
    <row r="2428" spans="2:24">
      <c r="B2428" t="s">
        <v>552</v>
      </c>
      <c r="C2428" t="s">
        <v>108</v>
      </c>
      <c r="D2428" t="s">
        <v>583</v>
      </c>
      <c r="E2428" t="s">
        <v>583</v>
      </c>
      <c r="F2428" s="705">
        <v>31</v>
      </c>
      <c r="G2428" s="705">
        <v>5875</v>
      </c>
      <c r="H2428" s="705">
        <v>2064</v>
      </c>
      <c r="I2428" s="705">
        <v>150280</v>
      </c>
      <c r="J2428" s="705">
        <v>136619</v>
      </c>
      <c r="K2428" s="705">
        <v>95</v>
      </c>
      <c r="L2428" s="705">
        <v>21794</v>
      </c>
      <c r="M2428" s="705">
        <v>18640</v>
      </c>
      <c r="N2428" s="705">
        <v>72911</v>
      </c>
      <c r="O2428" s="705">
        <v>27004</v>
      </c>
      <c r="P2428" s="705">
        <v>45378</v>
      </c>
      <c r="Q2428" s="705">
        <v>16807</v>
      </c>
      <c r="R2428" s="705">
        <v>104130</v>
      </c>
      <c r="S2428" s="705">
        <v>94664</v>
      </c>
      <c r="T2428" s="705">
        <v>0</v>
      </c>
      <c r="U2428" s="705">
        <v>0</v>
      </c>
      <c r="V2428" s="705">
        <v>293733</v>
      </c>
      <c r="W2428" s="705">
        <f t="shared" si="100"/>
        <v>293734</v>
      </c>
      <c r="X2428" s="705">
        <f t="shared" si="101"/>
        <v>394493</v>
      </c>
    </row>
    <row r="2429" spans="2:24">
      <c r="B2429" t="s">
        <v>552</v>
      </c>
      <c r="C2429" t="s">
        <v>108</v>
      </c>
      <c r="D2429" t="s">
        <v>673</v>
      </c>
      <c r="E2429" t="s">
        <v>228</v>
      </c>
      <c r="F2429" s="705">
        <v>1</v>
      </c>
      <c r="G2429" s="705">
        <v>230</v>
      </c>
      <c r="H2429" s="705">
        <v>56</v>
      </c>
      <c r="I2429" s="705">
        <v>3755</v>
      </c>
      <c r="J2429" s="705">
        <v>3414</v>
      </c>
      <c r="K2429" s="705">
        <v>70</v>
      </c>
      <c r="L2429" s="705">
        <v>390</v>
      </c>
      <c r="M2429" s="705">
        <v>355</v>
      </c>
      <c r="N2429" s="705">
        <v>2808</v>
      </c>
      <c r="O2429" s="705">
        <v>1040</v>
      </c>
      <c r="P2429" s="705">
        <v>2480</v>
      </c>
      <c r="Q2429" s="705">
        <v>919</v>
      </c>
      <c r="R2429" s="705">
        <v>3462</v>
      </c>
      <c r="S2429" s="705">
        <v>1282</v>
      </c>
      <c r="T2429" s="705">
        <v>0</v>
      </c>
      <c r="U2429" s="705">
        <v>0</v>
      </c>
      <c r="V2429" s="705">
        <v>7009</v>
      </c>
      <c r="W2429" s="705">
        <f t="shared" si="100"/>
        <v>7010</v>
      </c>
      <c r="X2429" s="705">
        <f t="shared" si="101"/>
        <v>12895</v>
      </c>
    </row>
    <row r="2430" spans="2:24">
      <c r="B2430" t="s">
        <v>552</v>
      </c>
      <c r="C2430" t="s">
        <v>108</v>
      </c>
      <c r="D2430" t="s">
        <v>673</v>
      </c>
      <c r="E2430" t="s">
        <v>673</v>
      </c>
      <c r="F2430" s="705">
        <v>1</v>
      </c>
      <c r="G2430" s="705">
        <v>203</v>
      </c>
      <c r="H2430" s="705">
        <v>72</v>
      </c>
      <c r="I2430" s="705">
        <v>3387</v>
      </c>
      <c r="J2430" s="705">
        <v>3079</v>
      </c>
      <c r="K2430" s="705">
        <v>81</v>
      </c>
      <c r="L2430" s="705">
        <v>0</v>
      </c>
      <c r="M2430" s="705">
        <v>0</v>
      </c>
      <c r="N2430" s="705">
        <v>2473</v>
      </c>
      <c r="O2430" s="705">
        <v>916</v>
      </c>
      <c r="P2430" s="705">
        <v>2388</v>
      </c>
      <c r="Q2430" s="705">
        <v>884</v>
      </c>
      <c r="R2430" s="705">
        <v>6307</v>
      </c>
      <c r="S2430" s="705">
        <v>5734</v>
      </c>
      <c r="T2430" s="705">
        <v>0</v>
      </c>
      <c r="U2430" s="705">
        <v>0</v>
      </c>
      <c r="V2430" s="705">
        <v>10613</v>
      </c>
      <c r="W2430" s="705">
        <f t="shared" si="100"/>
        <v>10613</v>
      </c>
      <c r="X2430" s="705">
        <f t="shared" si="101"/>
        <v>14555</v>
      </c>
    </row>
    <row r="2431" spans="2:24">
      <c r="B2431" t="s">
        <v>552</v>
      </c>
      <c r="C2431" t="s">
        <v>108</v>
      </c>
      <c r="D2431" t="s">
        <v>585</v>
      </c>
      <c r="E2431" t="s">
        <v>585</v>
      </c>
      <c r="F2431" s="705">
        <v>2</v>
      </c>
      <c r="G2431" s="705">
        <v>473</v>
      </c>
      <c r="H2431" s="705">
        <v>115</v>
      </c>
      <c r="I2431" s="705">
        <v>9174</v>
      </c>
      <c r="J2431" s="705">
        <v>8340</v>
      </c>
      <c r="K2431" s="705">
        <v>90</v>
      </c>
      <c r="L2431" s="705">
        <v>1199</v>
      </c>
      <c r="M2431" s="705">
        <v>1090</v>
      </c>
      <c r="N2431" s="705">
        <v>5766</v>
      </c>
      <c r="O2431" s="705">
        <v>2136</v>
      </c>
      <c r="P2431" s="705">
        <v>4924</v>
      </c>
      <c r="Q2431" s="705">
        <v>1824</v>
      </c>
      <c r="R2431" s="705">
        <v>6217</v>
      </c>
      <c r="S2431" s="705">
        <v>5652</v>
      </c>
      <c r="T2431" s="705">
        <v>0</v>
      </c>
      <c r="U2431" s="705">
        <v>0</v>
      </c>
      <c r="V2431" s="705">
        <v>19041</v>
      </c>
      <c r="W2431" s="705">
        <f t="shared" si="100"/>
        <v>19042</v>
      </c>
      <c r="X2431" s="705">
        <f t="shared" si="101"/>
        <v>27280</v>
      </c>
    </row>
    <row r="2432" spans="2:24">
      <c r="B2432" t="s">
        <v>552</v>
      </c>
      <c r="C2432" t="s">
        <v>110</v>
      </c>
      <c r="D2432" t="s">
        <v>228</v>
      </c>
      <c r="E2432" t="s">
        <v>228</v>
      </c>
      <c r="F2432" s="705">
        <v>13</v>
      </c>
      <c r="G2432" s="705">
        <v>3362</v>
      </c>
      <c r="H2432" s="705">
        <v>1154</v>
      </c>
      <c r="I2432" s="705">
        <v>116267</v>
      </c>
      <c r="J2432" s="705">
        <v>43062</v>
      </c>
      <c r="K2432" s="705">
        <v>385</v>
      </c>
      <c r="L2432" s="705">
        <v>34409</v>
      </c>
      <c r="M2432" s="705">
        <v>31281</v>
      </c>
      <c r="N2432" s="705">
        <v>45365</v>
      </c>
      <c r="O2432" s="705">
        <v>16802</v>
      </c>
      <c r="P2432" s="705">
        <v>16012</v>
      </c>
      <c r="Q2432" s="705">
        <v>5930</v>
      </c>
      <c r="R2432" s="705">
        <v>84068</v>
      </c>
      <c r="S2432" s="705">
        <v>31136</v>
      </c>
      <c r="T2432" s="705">
        <v>0</v>
      </c>
      <c r="U2432" s="705">
        <v>0</v>
      </c>
      <c r="V2432" s="705">
        <v>128211</v>
      </c>
      <c r="W2432" s="705">
        <f t="shared" si="100"/>
        <v>128211</v>
      </c>
      <c r="X2432" s="705">
        <f t="shared" si="101"/>
        <v>296121</v>
      </c>
    </row>
    <row r="2433" spans="2:24">
      <c r="B2433" t="s">
        <v>552</v>
      </c>
      <c r="C2433" t="s">
        <v>110</v>
      </c>
      <c r="D2433" t="s">
        <v>583</v>
      </c>
      <c r="E2433" t="s">
        <v>583</v>
      </c>
      <c r="F2433" s="705">
        <v>28</v>
      </c>
      <c r="G2433" s="705">
        <v>6598</v>
      </c>
      <c r="H2433" s="705">
        <v>2455</v>
      </c>
      <c r="I2433" s="705">
        <v>298356</v>
      </c>
      <c r="J2433" s="705">
        <v>271233</v>
      </c>
      <c r="K2433" s="705">
        <v>95</v>
      </c>
      <c r="L2433" s="705">
        <v>49380</v>
      </c>
      <c r="M2433" s="705">
        <v>44891</v>
      </c>
      <c r="N2433" s="705">
        <v>89792</v>
      </c>
      <c r="O2433" s="705">
        <v>33256</v>
      </c>
      <c r="P2433" s="705">
        <v>33091</v>
      </c>
      <c r="Q2433" s="705">
        <v>12256</v>
      </c>
      <c r="R2433" s="705">
        <v>113820</v>
      </c>
      <c r="S2433" s="705">
        <v>103473</v>
      </c>
      <c r="T2433" s="705">
        <v>764</v>
      </c>
      <c r="U2433" s="705">
        <v>283</v>
      </c>
      <c r="V2433" s="705">
        <v>465392</v>
      </c>
      <c r="W2433" s="705">
        <f t="shared" si="100"/>
        <v>465392</v>
      </c>
      <c r="X2433" s="705">
        <f t="shared" si="101"/>
        <v>585203</v>
      </c>
    </row>
    <row r="2434" spans="2:24">
      <c r="B2434" t="s">
        <v>552</v>
      </c>
      <c r="C2434" t="s">
        <v>110</v>
      </c>
      <c r="D2434" t="s">
        <v>722</v>
      </c>
      <c r="E2434" t="s">
        <v>722</v>
      </c>
      <c r="F2434" s="705">
        <v>1</v>
      </c>
      <c r="G2434" s="705">
        <v>471</v>
      </c>
      <c r="H2434" s="705">
        <v>98</v>
      </c>
      <c r="I2434" s="705">
        <v>27378</v>
      </c>
      <c r="J2434" s="705">
        <v>24889</v>
      </c>
      <c r="K2434" s="705">
        <v>93</v>
      </c>
      <c r="L2434" s="705">
        <v>3536</v>
      </c>
      <c r="M2434" s="705">
        <v>3215</v>
      </c>
      <c r="N2434" s="705">
        <v>7288</v>
      </c>
      <c r="O2434" s="705">
        <v>2699</v>
      </c>
      <c r="P2434" s="705">
        <v>351</v>
      </c>
      <c r="Q2434" s="705">
        <v>130</v>
      </c>
      <c r="R2434" s="705">
        <v>7443</v>
      </c>
      <c r="S2434" s="705">
        <v>6767</v>
      </c>
      <c r="T2434" s="705">
        <v>0</v>
      </c>
      <c r="U2434" s="705">
        <v>0</v>
      </c>
      <c r="V2434" s="705">
        <v>37699</v>
      </c>
      <c r="W2434" s="705">
        <f t="shared" si="100"/>
        <v>37700</v>
      </c>
      <c r="X2434" s="705">
        <f t="shared" si="101"/>
        <v>45996</v>
      </c>
    </row>
    <row r="2435" spans="2:24">
      <c r="B2435" t="s">
        <v>552</v>
      </c>
      <c r="C2435" t="s">
        <v>110</v>
      </c>
      <c r="D2435" t="s">
        <v>585</v>
      </c>
      <c r="E2435" t="s">
        <v>585</v>
      </c>
      <c r="F2435" s="705">
        <v>3</v>
      </c>
      <c r="G2435" s="705">
        <v>781</v>
      </c>
      <c r="H2435" s="705">
        <v>250</v>
      </c>
      <c r="I2435" s="705">
        <v>32163</v>
      </c>
      <c r="J2435" s="705">
        <v>29239</v>
      </c>
      <c r="K2435" s="705">
        <v>88</v>
      </c>
      <c r="L2435" s="705">
        <v>4566</v>
      </c>
      <c r="M2435" s="705">
        <v>4151</v>
      </c>
      <c r="N2435" s="705">
        <v>12900</v>
      </c>
      <c r="O2435" s="705">
        <v>4778</v>
      </c>
      <c r="P2435" s="705">
        <v>1053</v>
      </c>
      <c r="Q2435" s="705">
        <v>390</v>
      </c>
      <c r="R2435" s="705">
        <v>14651</v>
      </c>
      <c r="S2435" s="705">
        <v>13319</v>
      </c>
      <c r="T2435" s="705">
        <v>0</v>
      </c>
      <c r="U2435" s="705">
        <v>0</v>
      </c>
      <c r="V2435" s="705">
        <v>51877</v>
      </c>
      <c r="W2435" s="705">
        <f t="shared" si="100"/>
        <v>51877</v>
      </c>
      <c r="X2435" s="705">
        <f t="shared" si="101"/>
        <v>65333</v>
      </c>
    </row>
    <row r="2436" spans="2:24">
      <c r="B2436" t="s">
        <v>552</v>
      </c>
      <c r="C2436" t="s">
        <v>112</v>
      </c>
      <c r="D2436" t="s">
        <v>582</v>
      </c>
      <c r="E2436" t="s">
        <v>582</v>
      </c>
      <c r="F2436" s="705">
        <v>3</v>
      </c>
      <c r="G2436" s="705">
        <v>788</v>
      </c>
      <c r="H2436" s="705">
        <v>347</v>
      </c>
      <c r="I2436" s="705">
        <v>49580</v>
      </c>
      <c r="J2436" s="705">
        <v>45073</v>
      </c>
      <c r="K2436" s="705">
        <v>90</v>
      </c>
      <c r="L2436" s="705">
        <v>10764</v>
      </c>
      <c r="M2436" s="705">
        <v>9786</v>
      </c>
      <c r="N2436" s="705">
        <v>11604</v>
      </c>
      <c r="O2436" s="705">
        <v>4298</v>
      </c>
      <c r="P2436" s="705">
        <v>1418</v>
      </c>
      <c r="Q2436" s="705">
        <v>525</v>
      </c>
      <c r="R2436" s="705">
        <v>17883</v>
      </c>
      <c r="S2436" s="705">
        <v>16257</v>
      </c>
      <c r="T2436" s="705">
        <v>0</v>
      </c>
      <c r="U2436" s="705">
        <v>0</v>
      </c>
      <c r="V2436" s="705">
        <v>75939</v>
      </c>
      <c r="W2436" s="705">
        <f t="shared" si="100"/>
        <v>75939</v>
      </c>
      <c r="X2436" s="705">
        <f t="shared" si="101"/>
        <v>91249</v>
      </c>
    </row>
    <row r="2437" spans="2:24">
      <c r="B2437" t="s">
        <v>552</v>
      </c>
      <c r="C2437" t="s">
        <v>112</v>
      </c>
      <c r="D2437" t="s">
        <v>228</v>
      </c>
      <c r="E2437" t="s">
        <v>228</v>
      </c>
      <c r="F2437" s="705">
        <v>17</v>
      </c>
      <c r="G2437" s="705">
        <v>4707</v>
      </c>
      <c r="H2437" s="705">
        <v>1940</v>
      </c>
      <c r="I2437" s="705">
        <v>225537</v>
      </c>
      <c r="J2437" s="705">
        <v>83532</v>
      </c>
      <c r="K2437" s="705">
        <v>349</v>
      </c>
      <c r="L2437" s="705">
        <v>69512</v>
      </c>
      <c r="M2437" s="705">
        <v>63193</v>
      </c>
      <c r="N2437" s="705">
        <v>79660</v>
      </c>
      <c r="O2437" s="705">
        <v>29504</v>
      </c>
      <c r="P2437" s="705">
        <v>19938</v>
      </c>
      <c r="Q2437" s="705">
        <v>7384</v>
      </c>
      <c r="R2437" s="705">
        <v>145215</v>
      </c>
      <c r="S2437" s="705">
        <v>53783</v>
      </c>
      <c r="T2437" s="705">
        <v>4341</v>
      </c>
      <c r="U2437" s="705">
        <v>1608</v>
      </c>
      <c r="V2437" s="705">
        <v>239004</v>
      </c>
      <c r="W2437" s="705">
        <f t="shared" si="100"/>
        <v>239004</v>
      </c>
      <c r="X2437" s="705">
        <f t="shared" si="101"/>
        <v>544203</v>
      </c>
    </row>
    <row r="2438" spans="2:24">
      <c r="B2438" t="s">
        <v>552</v>
      </c>
      <c r="C2438" t="s">
        <v>112</v>
      </c>
      <c r="D2438" t="s">
        <v>583</v>
      </c>
      <c r="E2438" t="s">
        <v>583</v>
      </c>
      <c r="F2438" s="705">
        <v>66</v>
      </c>
      <c r="G2438" s="705">
        <v>14592</v>
      </c>
      <c r="H2438" s="705">
        <v>7617</v>
      </c>
      <c r="I2438" s="705">
        <v>943578</v>
      </c>
      <c r="J2438" s="705">
        <v>857798</v>
      </c>
      <c r="K2438" s="705">
        <v>92</v>
      </c>
      <c r="L2438" s="705">
        <v>158931</v>
      </c>
      <c r="M2438" s="705">
        <v>144482</v>
      </c>
      <c r="N2438" s="705">
        <v>245109</v>
      </c>
      <c r="O2438" s="705">
        <v>90781</v>
      </c>
      <c r="P2438" s="705">
        <v>56511</v>
      </c>
      <c r="Q2438" s="705">
        <v>20930</v>
      </c>
      <c r="R2438" s="705">
        <v>321863</v>
      </c>
      <c r="S2438" s="705">
        <v>292603</v>
      </c>
      <c r="T2438" s="705">
        <v>7726</v>
      </c>
      <c r="U2438" s="705">
        <v>2861</v>
      </c>
      <c r="V2438" s="705">
        <v>1409456</v>
      </c>
      <c r="W2438" s="705">
        <f t="shared" si="100"/>
        <v>1409455</v>
      </c>
      <c r="X2438" s="705">
        <f t="shared" si="101"/>
        <v>1733718</v>
      </c>
    </row>
    <row r="2439" spans="2:24">
      <c r="B2439" t="s">
        <v>552</v>
      </c>
      <c r="C2439" t="s">
        <v>112</v>
      </c>
      <c r="D2439" t="s">
        <v>584</v>
      </c>
      <c r="E2439" t="s">
        <v>584</v>
      </c>
      <c r="F2439" s="705">
        <v>1</v>
      </c>
      <c r="G2439" s="705">
        <v>87</v>
      </c>
      <c r="H2439" s="705">
        <v>125</v>
      </c>
      <c r="I2439" s="705">
        <v>4174</v>
      </c>
      <c r="J2439" s="705">
        <v>3795</v>
      </c>
      <c r="K2439" s="705">
        <v>86</v>
      </c>
      <c r="L2439" s="705">
        <v>0</v>
      </c>
      <c r="M2439" s="705">
        <v>0</v>
      </c>
      <c r="N2439" s="705">
        <v>2114</v>
      </c>
      <c r="O2439" s="705">
        <v>783</v>
      </c>
      <c r="P2439" s="705">
        <v>473</v>
      </c>
      <c r="Q2439" s="705">
        <v>175</v>
      </c>
      <c r="R2439" s="705">
        <v>4042</v>
      </c>
      <c r="S2439" s="705">
        <v>3675</v>
      </c>
      <c r="T2439" s="705">
        <v>0</v>
      </c>
      <c r="U2439" s="705">
        <v>0</v>
      </c>
      <c r="V2439" s="705">
        <v>8427</v>
      </c>
      <c r="W2439" s="705">
        <f t="shared" si="100"/>
        <v>8428</v>
      </c>
      <c r="X2439" s="705">
        <f t="shared" si="101"/>
        <v>10803</v>
      </c>
    </row>
    <row r="2440" spans="2:24">
      <c r="B2440" t="s">
        <v>552</v>
      </c>
      <c r="C2440" t="s">
        <v>112</v>
      </c>
      <c r="D2440" t="s">
        <v>665</v>
      </c>
      <c r="E2440" t="s">
        <v>665</v>
      </c>
      <c r="F2440" s="705">
        <v>1</v>
      </c>
      <c r="G2440" s="705">
        <v>111</v>
      </c>
      <c r="H2440" s="705">
        <v>117</v>
      </c>
      <c r="I2440" s="705">
        <v>5854</v>
      </c>
      <c r="J2440" s="705">
        <v>5322</v>
      </c>
      <c r="K2440" s="705">
        <v>76</v>
      </c>
      <c r="L2440" s="705">
        <v>0</v>
      </c>
      <c r="M2440" s="705">
        <v>0</v>
      </c>
      <c r="N2440" s="705">
        <v>1358</v>
      </c>
      <c r="O2440" s="705">
        <v>503</v>
      </c>
      <c r="P2440" s="705">
        <v>1250</v>
      </c>
      <c r="Q2440" s="705">
        <v>463</v>
      </c>
      <c r="R2440" s="705">
        <v>2914</v>
      </c>
      <c r="S2440" s="705">
        <v>2649</v>
      </c>
      <c r="T2440" s="705">
        <v>1701</v>
      </c>
      <c r="U2440" s="705">
        <v>630</v>
      </c>
      <c r="V2440" s="705">
        <v>9567</v>
      </c>
      <c r="W2440" s="705">
        <f t="shared" si="100"/>
        <v>9567</v>
      </c>
      <c r="X2440" s="705">
        <f t="shared" si="101"/>
        <v>13077</v>
      </c>
    </row>
    <row r="2441" spans="2:24">
      <c r="B2441" t="s">
        <v>552</v>
      </c>
      <c r="C2441" t="s">
        <v>112</v>
      </c>
      <c r="D2441" t="s">
        <v>585</v>
      </c>
      <c r="E2441" t="s">
        <v>585</v>
      </c>
      <c r="F2441" s="705">
        <v>1</v>
      </c>
      <c r="G2441" s="705">
        <v>249</v>
      </c>
      <c r="H2441" s="705">
        <v>110</v>
      </c>
      <c r="I2441" s="705">
        <v>13649</v>
      </c>
      <c r="J2441" s="705">
        <v>12408</v>
      </c>
      <c r="K2441" s="705">
        <v>93</v>
      </c>
      <c r="L2441" s="705">
        <v>4706</v>
      </c>
      <c r="M2441" s="705">
        <v>4279</v>
      </c>
      <c r="N2441" s="705">
        <v>4923</v>
      </c>
      <c r="O2441" s="705">
        <v>1823</v>
      </c>
      <c r="P2441" s="705">
        <v>1404</v>
      </c>
      <c r="Q2441" s="705">
        <v>520</v>
      </c>
      <c r="R2441" s="705">
        <v>2734</v>
      </c>
      <c r="S2441" s="705">
        <v>2486</v>
      </c>
      <c r="T2441" s="705">
        <v>0</v>
      </c>
      <c r="U2441" s="705">
        <v>0</v>
      </c>
      <c r="V2441" s="705">
        <v>21516</v>
      </c>
      <c r="W2441" s="705">
        <f t="shared" si="100"/>
        <v>21516</v>
      </c>
      <c r="X2441" s="705">
        <f t="shared" si="101"/>
        <v>27416</v>
      </c>
    </row>
    <row r="2442" spans="2:24">
      <c r="B2442" t="s">
        <v>552</v>
      </c>
      <c r="C2442" t="s">
        <v>114</v>
      </c>
      <c r="D2442" t="s">
        <v>664</v>
      </c>
      <c r="E2442" t="s">
        <v>583</v>
      </c>
      <c r="F2442" s="705">
        <v>1</v>
      </c>
      <c r="G2442" s="705">
        <v>244</v>
      </c>
      <c r="H2442" s="705">
        <v>140</v>
      </c>
      <c r="I2442" s="705">
        <v>22842</v>
      </c>
      <c r="J2442" s="705">
        <v>20766</v>
      </c>
      <c r="K2442" s="705">
        <v>97</v>
      </c>
      <c r="L2442" s="705">
        <v>3896</v>
      </c>
      <c r="M2442" s="705">
        <v>3542</v>
      </c>
      <c r="N2442" s="705">
        <v>6741</v>
      </c>
      <c r="O2442" s="705">
        <v>2497</v>
      </c>
      <c r="P2442" s="705">
        <v>972</v>
      </c>
      <c r="Q2442" s="705">
        <v>360</v>
      </c>
      <c r="R2442" s="705">
        <v>6061</v>
      </c>
      <c r="S2442" s="705">
        <v>5510</v>
      </c>
      <c r="T2442" s="705">
        <v>0</v>
      </c>
      <c r="U2442" s="705">
        <v>0</v>
      </c>
      <c r="V2442" s="705">
        <v>32674</v>
      </c>
      <c r="W2442" s="705">
        <f t="shared" si="100"/>
        <v>32675</v>
      </c>
      <c r="X2442" s="705">
        <f t="shared" si="101"/>
        <v>40512</v>
      </c>
    </row>
    <row r="2443" spans="2:24">
      <c r="B2443" t="s">
        <v>552</v>
      </c>
      <c r="C2443" t="s">
        <v>114</v>
      </c>
      <c r="D2443" t="s">
        <v>582</v>
      </c>
      <c r="E2443" t="s">
        <v>582</v>
      </c>
      <c r="F2443" s="705">
        <v>3</v>
      </c>
      <c r="G2443" s="705">
        <v>654</v>
      </c>
      <c r="H2443" s="705">
        <v>415</v>
      </c>
      <c r="I2443" s="705">
        <v>54819</v>
      </c>
      <c r="J2443" s="705">
        <v>49836</v>
      </c>
      <c r="K2443" s="705">
        <v>91</v>
      </c>
      <c r="L2443" s="705">
        <v>8395</v>
      </c>
      <c r="M2443" s="705">
        <v>7632</v>
      </c>
      <c r="N2443" s="705">
        <v>16284</v>
      </c>
      <c r="O2443" s="705">
        <v>6031</v>
      </c>
      <c r="P2443" s="705">
        <v>2822</v>
      </c>
      <c r="Q2443" s="705">
        <v>1045</v>
      </c>
      <c r="R2443" s="705">
        <v>19234</v>
      </c>
      <c r="S2443" s="705">
        <v>17485</v>
      </c>
      <c r="T2443" s="705">
        <v>0</v>
      </c>
      <c r="U2443" s="705">
        <v>0</v>
      </c>
      <c r="V2443" s="705">
        <v>82029</v>
      </c>
      <c r="W2443" s="705">
        <f t="shared" si="100"/>
        <v>82029</v>
      </c>
      <c r="X2443" s="705">
        <f t="shared" si="101"/>
        <v>101554</v>
      </c>
    </row>
    <row r="2444" spans="2:24">
      <c r="B2444" t="s">
        <v>552</v>
      </c>
      <c r="C2444" t="s">
        <v>114</v>
      </c>
      <c r="D2444" t="s">
        <v>228</v>
      </c>
      <c r="E2444" t="s">
        <v>228</v>
      </c>
      <c r="F2444" s="705">
        <v>14</v>
      </c>
      <c r="G2444" s="705">
        <v>3045</v>
      </c>
      <c r="H2444" s="705">
        <v>1975</v>
      </c>
      <c r="I2444" s="705">
        <v>198483</v>
      </c>
      <c r="J2444" s="705">
        <v>73512</v>
      </c>
      <c r="K2444" s="705">
        <v>295</v>
      </c>
      <c r="L2444" s="705">
        <v>61103</v>
      </c>
      <c r="M2444" s="705">
        <v>55548</v>
      </c>
      <c r="N2444" s="705">
        <v>64054</v>
      </c>
      <c r="O2444" s="705">
        <v>23724</v>
      </c>
      <c r="P2444" s="705">
        <v>7722</v>
      </c>
      <c r="Q2444" s="705">
        <v>2860</v>
      </c>
      <c r="R2444" s="705">
        <v>113946</v>
      </c>
      <c r="S2444" s="705">
        <v>42202</v>
      </c>
      <c r="T2444" s="705">
        <v>0</v>
      </c>
      <c r="U2444" s="705">
        <v>0</v>
      </c>
      <c r="V2444" s="705">
        <v>197846</v>
      </c>
      <c r="W2444" s="705">
        <f t="shared" si="100"/>
        <v>197846</v>
      </c>
      <c r="X2444" s="705">
        <f t="shared" si="101"/>
        <v>445308</v>
      </c>
    </row>
    <row r="2445" spans="2:24">
      <c r="B2445" t="s">
        <v>552</v>
      </c>
      <c r="C2445" t="s">
        <v>114</v>
      </c>
      <c r="D2445" t="s">
        <v>228</v>
      </c>
      <c r="E2445" t="s">
        <v>583</v>
      </c>
      <c r="F2445" s="705">
        <v>1</v>
      </c>
      <c r="G2445" s="705">
        <v>404</v>
      </c>
      <c r="H2445" s="705">
        <v>135</v>
      </c>
      <c r="I2445" s="705">
        <v>25369</v>
      </c>
      <c r="J2445" s="705">
        <v>9396</v>
      </c>
      <c r="K2445" s="705">
        <v>250</v>
      </c>
      <c r="L2445" s="705">
        <v>9570</v>
      </c>
      <c r="M2445" s="705">
        <v>8700</v>
      </c>
      <c r="N2445" s="705">
        <v>9586</v>
      </c>
      <c r="O2445" s="705">
        <v>3551</v>
      </c>
      <c r="P2445" s="705">
        <v>972</v>
      </c>
      <c r="Q2445" s="705">
        <v>360</v>
      </c>
      <c r="R2445" s="705">
        <v>8773</v>
      </c>
      <c r="S2445" s="705">
        <v>7975</v>
      </c>
      <c r="T2445" s="705">
        <v>0</v>
      </c>
      <c r="U2445" s="705">
        <v>0</v>
      </c>
      <c r="V2445" s="705">
        <v>29982</v>
      </c>
      <c r="W2445" s="705">
        <f t="shared" si="100"/>
        <v>29982</v>
      </c>
      <c r="X2445" s="705">
        <f t="shared" si="101"/>
        <v>54270</v>
      </c>
    </row>
    <row r="2446" spans="2:24">
      <c r="B2446" t="s">
        <v>552</v>
      </c>
      <c r="C2446" t="s">
        <v>114</v>
      </c>
      <c r="D2446" t="s">
        <v>670</v>
      </c>
      <c r="E2446" t="s">
        <v>670</v>
      </c>
      <c r="F2446" s="705">
        <v>1</v>
      </c>
      <c r="G2446" s="705">
        <v>141</v>
      </c>
      <c r="H2446" s="705">
        <v>129</v>
      </c>
      <c r="I2446" s="705">
        <v>5947</v>
      </c>
      <c r="J2446" s="705">
        <v>2202</v>
      </c>
      <c r="K2446" s="705">
        <v>250</v>
      </c>
      <c r="L2446" s="705">
        <v>0</v>
      </c>
      <c r="M2446" s="705">
        <v>0</v>
      </c>
      <c r="N2446" s="705">
        <v>3441</v>
      </c>
      <c r="O2446" s="705">
        <v>1275</v>
      </c>
      <c r="P2446" s="705">
        <v>1489</v>
      </c>
      <c r="Q2446" s="705">
        <v>552</v>
      </c>
      <c r="R2446" s="705">
        <v>4478</v>
      </c>
      <c r="S2446" s="705">
        <v>1659</v>
      </c>
      <c r="T2446" s="705">
        <v>2833</v>
      </c>
      <c r="U2446" s="705">
        <v>1049</v>
      </c>
      <c r="V2446" s="705">
        <v>6737</v>
      </c>
      <c r="W2446" s="705">
        <f t="shared" si="100"/>
        <v>6737</v>
      </c>
      <c r="X2446" s="705">
        <f t="shared" si="101"/>
        <v>18188</v>
      </c>
    </row>
    <row r="2447" spans="2:24">
      <c r="B2447" t="s">
        <v>552</v>
      </c>
      <c r="C2447" t="s">
        <v>114</v>
      </c>
      <c r="D2447" t="s">
        <v>583</v>
      </c>
      <c r="E2447" t="s">
        <v>228</v>
      </c>
      <c r="F2447" s="705">
        <v>1</v>
      </c>
      <c r="G2447" s="705">
        <v>162</v>
      </c>
      <c r="H2447" s="705">
        <v>145</v>
      </c>
      <c r="I2447" s="705">
        <v>22511</v>
      </c>
      <c r="J2447" s="705">
        <v>20465</v>
      </c>
      <c r="K2447" s="705">
        <v>85</v>
      </c>
      <c r="L2447" s="705">
        <v>7087</v>
      </c>
      <c r="M2447" s="705">
        <v>6443</v>
      </c>
      <c r="N2447" s="705">
        <v>4267</v>
      </c>
      <c r="O2447" s="705">
        <v>1581</v>
      </c>
      <c r="P2447" s="705">
        <v>621</v>
      </c>
      <c r="Q2447" s="705">
        <v>230</v>
      </c>
      <c r="R2447" s="705">
        <v>2564</v>
      </c>
      <c r="S2447" s="705">
        <v>950</v>
      </c>
      <c r="T2447" s="705">
        <v>0</v>
      </c>
      <c r="U2447" s="705">
        <v>0</v>
      </c>
      <c r="V2447" s="705">
        <v>29668</v>
      </c>
      <c r="W2447" s="705">
        <f t="shared" si="100"/>
        <v>29669</v>
      </c>
      <c r="X2447" s="705">
        <f t="shared" si="101"/>
        <v>37050</v>
      </c>
    </row>
    <row r="2448" spans="2:24">
      <c r="B2448" t="s">
        <v>552</v>
      </c>
      <c r="C2448" t="s">
        <v>114</v>
      </c>
      <c r="D2448" t="s">
        <v>583</v>
      </c>
      <c r="E2448" t="s">
        <v>583</v>
      </c>
      <c r="F2448" s="705">
        <v>225</v>
      </c>
      <c r="G2448" s="705">
        <v>46011</v>
      </c>
      <c r="H2448" s="705">
        <v>31407</v>
      </c>
      <c r="I2448" s="705">
        <v>3798870</v>
      </c>
      <c r="J2448" s="705">
        <v>3453518</v>
      </c>
      <c r="K2448" s="705">
        <v>90</v>
      </c>
      <c r="L2448" s="705">
        <v>698908</v>
      </c>
      <c r="M2448" s="705">
        <v>651209</v>
      </c>
      <c r="N2448" s="705">
        <v>922300</v>
      </c>
      <c r="O2448" s="705">
        <v>341593</v>
      </c>
      <c r="P2448" s="705">
        <v>167832</v>
      </c>
      <c r="Q2448" s="705">
        <v>62160</v>
      </c>
      <c r="R2448" s="705">
        <v>1171505</v>
      </c>
      <c r="S2448" s="705">
        <v>1065005</v>
      </c>
      <c r="T2448" s="705">
        <v>100199</v>
      </c>
      <c r="U2448" s="705">
        <v>37111</v>
      </c>
      <c r="V2448" s="705">
        <v>5610595</v>
      </c>
      <c r="W2448" s="705">
        <f t="shared" si="100"/>
        <v>5610596</v>
      </c>
      <c r="X2448" s="705">
        <f t="shared" si="101"/>
        <v>6859614</v>
      </c>
    </row>
    <row r="2449" spans="2:24">
      <c r="B2449" t="s">
        <v>552</v>
      </c>
      <c r="C2449" t="s">
        <v>114</v>
      </c>
      <c r="D2449" t="s">
        <v>584</v>
      </c>
      <c r="E2449" t="s">
        <v>584</v>
      </c>
      <c r="F2449" s="705">
        <v>20</v>
      </c>
      <c r="G2449" s="705">
        <v>2710</v>
      </c>
      <c r="H2449" s="705">
        <v>2799</v>
      </c>
      <c r="I2449" s="705">
        <v>220156</v>
      </c>
      <c r="J2449" s="705">
        <v>200142</v>
      </c>
      <c r="K2449" s="705">
        <v>87</v>
      </c>
      <c r="L2449" s="705">
        <v>33475</v>
      </c>
      <c r="M2449" s="705">
        <v>31579</v>
      </c>
      <c r="N2449" s="705">
        <v>55967</v>
      </c>
      <c r="O2449" s="705">
        <v>20729</v>
      </c>
      <c r="P2449" s="705">
        <v>9450</v>
      </c>
      <c r="Q2449" s="705">
        <v>3500</v>
      </c>
      <c r="R2449" s="705">
        <v>96440</v>
      </c>
      <c r="S2449" s="705">
        <v>87673</v>
      </c>
      <c r="T2449" s="705">
        <v>0</v>
      </c>
      <c r="U2449" s="705">
        <v>0</v>
      </c>
      <c r="V2449" s="705">
        <v>343621</v>
      </c>
      <c r="W2449" s="705">
        <f t="shared" si="100"/>
        <v>343623</v>
      </c>
      <c r="X2449" s="705">
        <f t="shared" si="101"/>
        <v>415488</v>
      </c>
    </row>
    <row r="2450" spans="2:24">
      <c r="B2450" t="s">
        <v>552</v>
      </c>
      <c r="C2450" t="s">
        <v>114</v>
      </c>
      <c r="D2450" t="s">
        <v>665</v>
      </c>
      <c r="E2450" t="s">
        <v>665</v>
      </c>
      <c r="F2450" s="705">
        <v>1</v>
      </c>
      <c r="G2450" s="705">
        <v>210</v>
      </c>
      <c r="H2450" s="705">
        <v>147</v>
      </c>
      <c r="I2450" s="705">
        <v>15029</v>
      </c>
      <c r="J2450" s="705">
        <v>13663</v>
      </c>
      <c r="K2450" s="705">
        <v>60</v>
      </c>
      <c r="L2450" s="705">
        <v>1670</v>
      </c>
      <c r="M2450" s="705">
        <v>1518</v>
      </c>
      <c r="N2450" s="705">
        <v>4824</v>
      </c>
      <c r="O2450" s="705">
        <v>1787</v>
      </c>
      <c r="P2450" s="705">
        <v>351</v>
      </c>
      <c r="Q2450" s="705">
        <v>130</v>
      </c>
      <c r="R2450" s="705">
        <v>5859</v>
      </c>
      <c r="S2450" s="705">
        <v>5326</v>
      </c>
      <c r="T2450" s="705">
        <v>3163</v>
      </c>
      <c r="U2450" s="705">
        <v>1171</v>
      </c>
      <c r="V2450" s="705">
        <v>23595</v>
      </c>
      <c r="W2450" s="705">
        <f t="shared" si="100"/>
        <v>23595</v>
      </c>
      <c r="X2450" s="705">
        <f t="shared" si="101"/>
        <v>30896</v>
      </c>
    </row>
    <row r="2451" spans="2:24">
      <c r="B2451" t="s">
        <v>552</v>
      </c>
      <c r="C2451" t="s">
        <v>114</v>
      </c>
      <c r="D2451" t="s">
        <v>585</v>
      </c>
      <c r="E2451" t="s">
        <v>585</v>
      </c>
      <c r="F2451" s="705">
        <v>4</v>
      </c>
      <c r="G2451" s="705">
        <v>874</v>
      </c>
      <c r="H2451" s="705">
        <v>580</v>
      </c>
      <c r="I2451" s="705">
        <v>89238</v>
      </c>
      <c r="J2451" s="705">
        <v>81126</v>
      </c>
      <c r="K2451" s="705">
        <v>83</v>
      </c>
      <c r="L2451" s="705">
        <v>15064</v>
      </c>
      <c r="M2451" s="705">
        <v>13694</v>
      </c>
      <c r="N2451" s="705">
        <v>18289</v>
      </c>
      <c r="O2451" s="705">
        <v>6774</v>
      </c>
      <c r="P2451" s="705">
        <v>2025</v>
      </c>
      <c r="Q2451" s="705">
        <v>750</v>
      </c>
      <c r="R2451" s="705">
        <v>24279</v>
      </c>
      <c r="S2451" s="705">
        <v>22072</v>
      </c>
      <c r="T2451" s="705">
        <v>0</v>
      </c>
      <c r="U2451" s="705">
        <v>0</v>
      </c>
      <c r="V2451" s="705">
        <v>124416</v>
      </c>
      <c r="W2451" s="705">
        <f t="shared" si="100"/>
        <v>124416</v>
      </c>
      <c r="X2451" s="705">
        <f t="shared" si="101"/>
        <v>148895</v>
      </c>
    </row>
    <row r="2452" spans="2:24">
      <c r="B2452" t="s">
        <v>552</v>
      </c>
      <c r="C2452" t="s">
        <v>116</v>
      </c>
      <c r="D2452" t="s">
        <v>664</v>
      </c>
      <c r="E2452" t="s">
        <v>583</v>
      </c>
      <c r="F2452" s="705">
        <v>1</v>
      </c>
      <c r="G2452" s="705">
        <v>182</v>
      </c>
      <c r="H2452" s="705">
        <v>168</v>
      </c>
      <c r="I2452" s="705">
        <v>17476</v>
      </c>
      <c r="J2452" s="705">
        <v>15887</v>
      </c>
      <c r="K2452" s="705">
        <v>85</v>
      </c>
      <c r="L2452" s="705">
        <v>2118</v>
      </c>
      <c r="M2452" s="705">
        <v>1925</v>
      </c>
      <c r="N2452" s="705">
        <v>3406</v>
      </c>
      <c r="O2452" s="705">
        <v>1261</v>
      </c>
      <c r="P2452" s="705">
        <v>621</v>
      </c>
      <c r="Q2452" s="705">
        <v>230</v>
      </c>
      <c r="R2452" s="705">
        <v>6780</v>
      </c>
      <c r="S2452" s="705">
        <v>6163</v>
      </c>
      <c r="T2452" s="705">
        <v>0</v>
      </c>
      <c r="U2452" s="705">
        <v>0</v>
      </c>
      <c r="V2452" s="705">
        <v>25467</v>
      </c>
      <c r="W2452" s="705">
        <f t="shared" si="100"/>
        <v>25466</v>
      </c>
      <c r="X2452" s="705">
        <f t="shared" si="101"/>
        <v>30401</v>
      </c>
    </row>
    <row r="2453" spans="2:24">
      <c r="B2453" t="s">
        <v>552</v>
      </c>
      <c r="C2453" t="s">
        <v>116</v>
      </c>
      <c r="D2453" t="s">
        <v>582</v>
      </c>
      <c r="E2453" t="s">
        <v>582</v>
      </c>
      <c r="F2453" s="705">
        <v>25</v>
      </c>
      <c r="G2453" s="705">
        <v>3814</v>
      </c>
      <c r="H2453" s="705">
        <v>4835</v>
      </c>
      <c r="I2453" s="705">
        <v>438628</v>
      </c>
      <c r="J2453" s="705">
        <v>398752</v>
      </c>
      <c r="K2453" s="705">
        <v>89</v>
      </c>
      <c r="L2453" s="705">
        <v>103927</v>
      </c>
      <c r="M2453" s="705">
        <v>91500</v>
      </c>
      <c r="N2453" s="705">
        <v>79612</v>
      </c>
      <c r="O2453" s="705">
        <v>29486</v>
      </c>
      <c r="P2453" s="705">
        <v>13014</v>
      </c>
      <c r="Q2453" s="705">
        <v>4820</v>
      </c>
      <c r="R2453" s="705">
        <v>137420</v>
      </c>
      <c r="S2453" s="705">
        <v>124927</v>
      </c>
      <c r="T2453" s="705">
        <v>6990</v>
      </c>
      <c r="U2453" s="705">
        <v>2589</v>
      </c>
      <c r="V2453" s="705">
        <v>652074</v>
      </c>
      <c r="W2453" s="705">
        <f t="shared" si="100"/>
        <v>652074</v>
      </c>
      <c r="X2453" s="705">
        <f t="shared" si="101"/>
        <v>779591</v>
      </c>
    </row>
    <row r="2454" spans="2:24">
      <c r="B2454" t="s">
        <v>552</v>
      </c>
      <c r="C2454" t="s">
        <v>116</v>
      </c>
      <c r="D2454" t="s">
        <v>228</v>
      </c>
      <c r="E2454" t="s">
        <v>228</v>
      </c>
      <c r="F2454" s="705">
        <v>12</v>
      </c>
      <c r="G2454" s="705">
        <v>2730</v>
      </c>
      <c r="H2454" s="705">
        <v>2188</v>
      </c>
      <c r="I2454" s="705">
        <v>251935</v>
      </c>
      <c r="J2454" s="705">
        <v>93309</v>
      </c>
      <c r="K2454" s="705">
        <v>257</v>
      </c>
      <c r="L2454" s="705">
        <v>76995</v>
      </c>
      <c r="M2454" s="705">
        <v>69996</v>
      </c>
      <c r="N2454" s="705">
        <v>59779</v>
      </c>
      <c r="O2454" s="705">
        <v>22140</v>
      </c>
      <c r="P2454" s="705">
        <v>8524</v>
      </c>
      <c r="Q2454" s="705">
        <v>3157</v>
      </c>
      <c r="R2454" s="705">
        <v>104442</v>
      </c>
      <c r="S2454" s="705">
        <v>38682</v>
      </c>
      <c r="T2454" s="705">
        <v>0</v>
      </c>
      <c r="U2454" s="705">
        <v>0</v>
      </c>
      <c r="V2454" s="705">
        <v>227285</v>
      </c>
      <c r="W2454" s="705">
        <f t="shared" si="100"/>
        <v>227284</v>
      </c>
      <c r="X2454" s="705">
        <f t="shared" si="101"/>
        <v>501675</v>
      </c>
    </row>
    <row r="2455" spans="2:24">
      <c r="B2455" t="s">
        <v>552</v>
      </c>
      <c r="C2455" t="s">
        <v>116</v>
      </c>
      <c r="D2455" t="s">
        <v>228</v>
      </c>
      <c r="E2455" t="s">
        <v>583</v>
      </c>
      <c r="F2455" s="705">
        <v>1</v>
      </c>
      <c r="G2455" s="705">
        <v>325</v>
      </c>
      <c r="H2455" s="705">
        <v>196</v>
      </c>
      <c r="I2455" s="705">
        <v>35364</v>
      </c>
      <c r="J2455" s="705">
        <v>13098</v>
      </c>
      <c r="K2455" s="705">
        <v>300</v>
      </c>
      <c r="L2455" s="705">
        <v>5603</v>
      </c>
      <c r="M2455" s="705">
        <v>5094</v>
      </c>
      <c r="N2455" s="705">
        <v>7094</v>
      </c>
      <c r="O2455" s="705">
        <v>2627</v>
      </c>
      <c r="P2455" s="705">
        <v>972</v>
      </c>
      <c r="Q2455" s="705">
        <v>360</v>
      </c>
      <c r="R2455" s="705">
        <v>9153</v>
      </c>
      <c r="S2455" s="705">
        <v>8321</v>
      </c>
      <c r="T2455" s="705">
        <v>5552</v>
      </c>
      <c r="U2455" s="705">
        <v>2056</v>
      </c>
      <c r="V2455" s="705">
        <v>31556</v>
      </c>
      <c r="W2455" s="705">
        <f t="shared" si="100"/>
        <v>31556</v>
      </c>
      <c r="X2455" s="705">
        <f t="shared" si="101"/>
        <v>63738</v>
      </c>
    </row>
    <row r="2456" spans="2:24">
      <c r="B2456" t="s">
        <v>552</v>
      </c>
      <c r="C2456" t="s">
        <v>116</v>
      </c>
      <c r="D2456" t="s">
        <v>583</v>
      </c>
      <c r="E2456" t="s">
        <v>664</v>
      </c>
      <c r="F2456" s="705">
        <v>1</v>
      </c>
      <c r="G2456" s="705">
        <v>136</v>
      </c>
      <c r="H2456" s="705">
        <v>210</v>
      </c>
      <c r="I2456" s="705">
        <v>14199</v>
      </c>
      <c r="J2456" s="705">
        <v>12908</v>
      </c>
      <c r="K2456" s="705">
        <v>85</v>
      </c>
      <c r="L2456" s="705">
        <v>4244</v>
      </c>
      <c r="M2456" s="705">
        <v>3858</v>
      </c>
      <c r="N2456" s="705">
        <v>3181</v>
      </c>
      <c r="O2456" s="705">
        <v>1178</v>
      </c>
      <c r="P2456" s="705">
        <v>621</v>
      </c>
      <c r="Q2456" s="705">
        <v>230</v>
      </c>
      <c r="R2456" s="705">
        <v>6243</v>
      </c>
      <c r="S2456" s="705">
        <v>5676</v>
      </c>
      <c r="T2456" s="705">
        <v>0</v>
      </c>
      <c r="U2456" s="705">
        <v>0</v>
      </c>
      <c r="V2456" s="705">
        <v>23850</v>
      </c>
      <c r="W2456" s="705">
        <f t="shared" si="100"/>
        <v>23850</v>
      </c>
      <c r="X2456" s="705">
        <f t="shared" si="101"/>
        <v>28488</v>
      </c>
    </row>
    <row r="2457" spans="2:24">
      <c r="B2457" t="s">
        <v>552</v>
      </c>
      <c r="C2457" t="s">
        <v>116</v>
      </c>
      <c r="D2457" t="s">
        <v>583</v>
      </c>
      <c r="E2457" t="s">
        <v>582</v>
      </c>
      <c r="F2457" s="705">
        <v>1</v>
      </c>
      <c r="G2457" s="705">
        <v>111</v>
      </c>
      <c r="H2457" s="705">
        <v>199</v>
      </c>
      <c r="I2457" s="705">
        <v>10187</v>
      </c>
      <c r="J2457" s="705">
        <v>9261</v>
      </c>
      <c r="K2457" s="705">
        <v>93</v>
      </c>
      <c r="L2457" s="705">
        <v>3509</v>
      </c>
      <c r="M2457" s="705">
        <v>3190</v>
      </c>
      <c r="N2457" s="705">
        <v>2705</v>
      </c>
      <c r="O2457" s="705">
        <v>1002</v>
      </c>
      <c r="P2457" s="705">
        <v>621</v>
      </c>
      <c r="Q2457" s="705">
        <v>230</v>
      </c>
      <c r="R2457" s="705">
        <v>5026</v>
      </c>
      <c r="S2457" s="705">
        <v>4569</v>
      </c>
      <c r="T2457" s="705">
        <v>0</v>
      </c>
      <c r="U2457" s="705">
        <v>0</v>
      </c>
      <c r="V2457" s="705">
        <v>18252</v>
      </c>
      <c r="W2457" s="705">
        <f t="shared" si="100"/>
        <v>18252</v>
      </c>
      <c r="X2457" s="705">
        <f t="shared" si="101"/>
        <v>22048</v>
      </c>
    </row>
    <row r="2458" spans="2:24">
      <c r="B2458" t="s">
        <v>552</v>
      </c>
      <c r="C2458" t="s">
        <v>116</v>
      </c>
      <c r="D2458" t="s">
        <v>583</v>
      </c>
      <c r="E2458" t="s">
        <v>228</v>
      </c>
      <c r="F2458" s="705">
        <v>1</v>
      </c>
      <c r="G2458" s="705">
        <v>196</v>
      </c>
      <c r="H2458" s="705">
        <v>184</v>
      </c>
      <c r="I2458" s="705">
        <v>21277</v>
      </c>
      <c r="J2458" s="705">
        <v>19343</v>
      </c>
      <c r="K2458" s="705">
        <v>86</v>
      </c>
      <c r="L2458" s="705">
        <v>2138</v>
      </c>
      <c r="M2458" s="705">
        <v>1944</v>
      </c>
      <c r="N2458" s="705">
        <v>4330</v>
      </c>
      <c r="O2458" s="705">
        <v>1604</v>
      </c>
      <c r="P2458" s="705">
        <v>621</v>
      </c>
      <c r="Q2458" s="705">
        <v>230</v>
      </c>
      <c r="R2458" s="705">
        <v>7841</v>
      </c>
      <c r="S2458" s="705">
        <v>2904</v>
      </c>
      <c r="T2458" s="705">
        <v>0</v>
      </c>
      <c r="U2458" s="705">
        <v>0</v>
      </c>
      <c r="V2458" s="705">
        <v>26024</v>
      </c>
      <c r="W2458" s="705">
        <f t="shared" si="100"/>
        <v>26025</v>
      </c>
      <c r="X2458" s="705">
        <f t="shared" si="101"/>
        <v>36207</v>
      </c>
    </row>
    <row r="2459" spans="2:24">
      <c r="B2459" t="s">
        <v>552</v>
      </c>
      <c r="C2459" t="s">
        <v>116</v>
      </c>
      <c r="D2459" t="s">
        <v>583</v>
      </c>
      <c r="E2459" t="s">
        <v>583</v>
      </c>
      <c r="F2459" s="705">
        <v>1538</v>
      </c>
      <c r="G2459" s="705">
        <v>243806</v>
      </c>
      <c r="H2459" s="705">
        <v>296552</v>
      </c>
      <c r="I2459" s="705">
        <v>27966078</v>
      </c>
      <c r="J2459" s="705">
        <v>25423708</v>
      </c>
      <c r="K2459" s="705">
        <v>86</v>
      </c>
      <c r="L2459" s="705">
        <v>5459228</v>
      </c>
      <c r="M2459" s="705">
        <v>4932779</v>
      </c>
      <c r="N2459" s="705">
        <v>5154239</v>
      </c>
      <c r="O2459" s="705">
        <v>1908977</v>
      </c>
      <c r="P2459" s="705">
        <v>1051623</v>
      </c>
      <c r="Q2459" s="705">
        <v>389490</v>
      </c>
      <c r="R2459" s="705">
        <v>8439866</v>
      </c>
      <c r="S2459" s="705">
        <v>7672605</v>
      </c>
      <c r="T2459" s="705">
        <v>1487527</v>
      </c>
      <c r="U2459" s="705">
        <v>550936</v>
      </c>
      <c r="V2459" s="705">
        <v>40878495</v>
      </c>
      <c r="W2459" s="705">
        <f t="shared" si="100"/>
        <v>40878495</v>
      </c>
      <c r="X2459" s="705">
        <f t="shared" si="101"/>
        <v>49558561</v>
      </c>
    </row>
    <row r="2460" spans="2:24">
      <c r="B2460" t="s">
        <v>552</v>
      </c>
      <c r="C2460" t="s">
        <v>116</v>
      </c>
      <c r="D2460" t="s">
        <v>583</v>
      </c>
      <c r="E2460" t="s">
        <v>584</v>
      </c>
      <c r="F2460" s="705">
        <v>1</v>
      </c>
      <c r="G2460" s="705">
        <v>127</v>
      </c>
      <c r="H2460" s="705">
        <v>217</v>
      </c>
      <c r="I2460" s="705">
        <v>14549</v>
      </c>
      <c r="J2460" s="705">
        <v>13226</v>
      </c>
      <c r="K2460" s="705">
        <v>85</v>
      </c>
      <c r="L2460" s="705">
        <v>2007</v>
      </c>
      <c r="M2460" s="705">
        <v>1825</v>
      </c>
      <c r="N2460" s="705">
        <v>2975</v>
      </c>
      <c r="O2460" s="705">
        <v>1102</v>
      </c>
      <c r="P2460" s="705">
        <v>972</v>
      </c>
      <c r="Q2460" s="705">
        <v>360</v>
      </c>
      <c r="R2460" s="705">
        <v>6960</v>
      </c>
      <c r="S2460" s="705">
        <v>6327</v>
      </c>
      <c r="T2460" s="705">
        <v>0</v>
      </c>
      <c r="U2460" s="705">
        <v>0</v>
      </c>
      <c r="V2460" s="705">
        <v>22839</v>
      </c>
      <c r="W2460" s="705">
        <f t="shared" si="100"/>
        <v>22840</v>
      </c>
      <c r="X2460" s="705">
        <f t="shared" si="101"/>
        <v>27463</v>
      </c>
    </row>
    <row r="2461" spans="2:24">
      <c r="B2461" t="s">
        <v>552</v>
      </c>
      <c r="C2461" t="s">
        <v>116</v>
      </c>
      <c r="D2461" t="s">
        <v>583</v>
      </c>
      <c r="E2461" t="s">
        <v>669</v>
      </c>
      <c r="F2461" s="705">
        <v>1</v>
      </c>
      <c r="G2461" s="705">
        <v>119</v>
      </c>
      <c r="H2461" s="705">
        <v>196</v>
      </c>
      <c r="I2461" s="705">
        <v>21812</v>
      </c>
      <c r="J2461" s="705">
        <v>19829</v>
      </c>
      <c r="K2461" s="705">
        <v>97</v>
      </c>
      <c r="L2461" s="705">
        <v>3746</v>
      </c>
      <c r="M2461" s="705">
        <v>3122</v>
      </c>
      <c r="N2461" s="705">
        <v>2735</v>
      </c>
      <c r="O2461" s="705">
        <v>1013</v>
      </c>
      <c r="P2461" s="705">
        <v>621</v>
      </c>
      <c r="Q2461" s="705">
        <v>230</v>
      </c>
      <c r="R2461" s="705">
        <v>4395</v>
      </c>
      <c r="S2461" s="705">
        <v>3662</v>
      </c>
      <c r="T2461" s="705">
        <v>3401</v>
      </c>
      <c r="U2461" s="705">
        <v>1260</v>
      </c>
      <c r="V2461" s="705">
        <v>29116</v>
      </c>
      <c r="W2461" s="705">
        <f t="shared" si="100"/>
        <v>29116</v>
      </c>
      <c r="X2461" s="705">
        <f t="shared" si="101"/>
        <v>36710</v>
      </c>
    </row>
    <row r="2462" spans="2:24">
      <c r="B2462" t="s">
        <v>552</v>
      </c>
      <c r="C2462" t="s">
        <v>116</v>
      </c>
      <c r="D2462" t="s">
        <v>583</v>
      </c>
      <c r="E2462" t="s">
        <v>665</v>
      </c>
      <c r="F2462" s="705">
        <v>6</v>
      </c>
      <c r="G2462" s="705">
        <v>977</v>
      </c>
      <c r="H2462" s="705">
        <v>1181</v>
      </c>
      <c r="I2462" s="705">
        <v>102035</v>
      </c>
      <c r="J2462" s="705">
        <v>92759</v>
      </c>
      <c r="K2462" s="705">
        <v>83</v>
      </c>
      <c r="L2462" s="705">
        <v>20186</v>
      </c>
      <c r="M2462" s="705">
        <v>18350</v>
      </c>
      <c r="N2462" s="705">
        <v>20209</v>
      </c>
      <c r="O2462" s="705">
        <v>7485</v>
      </c>
      <c r="P2462" s="705">
        <v>3726</v>
      </c>
      <c r="Q2462" s="705">
        <v>1380</v>
      </c>
      <c r="R2462" s="705">
        <v>40705</v>
      </c>
      <c r="S2462" s="705">
        <v>37005</v>
      </c>
      <c r="T2462" s="705">
        <v>0</v>
      </c>
      <c r="U2462" s="705">
        <v>0</v>
      </c>
      <c r="V2462" s="705">
        <v>156979</v>
      </c>
      <c r="W2462" s="705">
        <f t="shared" si="100"/>
        <v>156979</v>
      </c>
      <c r="X2462" s="705">
        <f t="shared" si="101"/>
        <v>186861</v>
      </c>
    </row>
    <row r="2463" spans="2:24">
      <c r="B2463" t="s">
        <v>552</v>
      </c>
      <c r="C2463" t="s">
        <v>116</v>
      </c>
      <c r="D2463" t="s">
        <v>583</v>
      </c>
      <c r="E2463" t="s">
        <v>722</v>
      </c>
      <c r="F2463" s="705">
        <v>1</v>
      </c>
      <c r="G2463" s="705">
        <v>192</v>
      </c>
      <c r="H2463" s="705">
        <v>217</v>
      </c>
      <c r="I2463" s="705">
        <v>23056</v>
      </c>
      <c r="J2463" s="705">
        <v>20960</v>
      </c>
      <c r="K2463" s="705">
        <v>85</v>
      </c>
      <c r="L2463" s="705">
        <v>6891</v>
      </c>
      <c r="M2463" s="705">
        <v>6265</v>
      </c>
      <c r="N2463" s="705">
        <v>2805</v>
      </c>
      <c r="O2463" s="705">
        <v>1039</v>
      </c>
      <c r="P2463" s="705">
        <v>621</v>
      </c>
      <c r="Q2463" s="705">
        <v>230</v>
      </c>
      <c r="R2463" s="705">
        <v>8294</v>
      </c>
      <c r="S2463" s="705">
        <v>7540</v>
      </c>
      <c r="T2463" s="705">
        <v>0</v>
      </c>
      <c r="U2463" s="705">
        <v>0</v>
      </c>
      <c r="V2463" s="705">
        <v>36033</v>
      </c>
      <c r="W2463" s="705">
        <f t="shared" si="100"/>
        <v>36034</v>
      </c>
      <c r="X2463" s="705">
        <f t="shared" si="101"/>
        <v>41667</v>
      </c>
    </row>
    <row r="2464" spans="2:24">
      <c r="B2464" t="s">
        <v>552</v>
      </c>
      <c r="C2464" t="s">
        <v>116</v>
      </c>
      <c r="D2464" t="s">
        <v>666</v>
      </c>
      <c r="E2464" t="s">
        <v>666</v>
      </c>
      <c r="F2464" s="705">
        <v>1</v>
      </c>
      <c r="G2464" s="705">
        <v>237</v>
      </c>
      <c r="H2464" s="705">
        <v>215</v>
      </c>
      <c r="I2464" s="705">
        <v>41398</v>
      </c>
      <c r="J2464" s="705">
        <v>37635</v>
      </c>
      <c r="K2464" s="705">
        <v>71</v>
      </c>
      <c r="L2464" s="705">
        <v>7298</v>
      </c>
      <c r="M2464" s="705">
        <v>6635</v>
      </c>
      <c r="N2464" s="705">
        <v>5725</v>
      </c>
      <c r="O2464" s="705">
        <v>2120</v>
      </c>
      <c r="P2464" s="705">
        <v>702</v>
      </c>
      <c r="Q2464" s="705">
        <v>260</v>
      </c>
      <c r="R2464" s="705">
        <v>9244</v>
      </c>
      <c r="S2464" s="705">
        <v>8404</v>
      </c>
      <c r="T2464" s="705">
        <v>0</v>
      </c>
      <c r="U2464" s="705">
        <v>0</v>
      </c>
      <c r="V2464" s="705">
        <v>55053</v>
      </c>
      <c r="W2464" s="705">
        <f t="shared" si="100"/>
        <v>55054</v>
      </c>
      <c r="X2464" s="705">
        <f t="shared" si="101"/>
        <v>64367</v>
      </c>
    </row>
    <row r="2465" spans="2:24">
      <c r="B2465" t="s">
        <v>552</v>
      </c>
      <c r="C2465" t="s">
        <v>116</v>
      </c>
      <c r="D2465" t="s">
        <v>584</v>
      </c>
      <c r="E2465" t="s">
        <v>584</v>
      </c>
      <c r="F2465" s="705">
        <v>93</v>
      </c>
      <c r="G2465" s="705">
        <v>11522</v>
      </c>
      <c r="H2465" s="705">
        <v>17585</v>
      </c>
      <c r="I2465" s="705">
        <v>1127156</v>
      </c>
      <c r="J2465" s="705">
        <v>1024687</v>
      </c>
      <c r="K2465" s="705">
        <v>81</v>
      </c>
      <c r="L2465" s="705">
        <v>279571</v>
      </c>
      <c r="M2465" s="705">
        <v>248728</v>
      </c>
      <c r="N2465" s="705">
        <v>221999</v>
      </c>
      <c r="O2465" s="705">
        <v>82222</v>
      </c>
      <c r="P2465" s="705">
        <v>46049</v>
      </c>
      <c r="Q2465" s="705">
        <v>17055</v>
      </c>
      <c r="R2465" s="705">
        <v>481799</v>
      </c>
      <c r="S2465" s="705">
        <v>437999</v>
      </c>
      <c r="T2465" s="705">
        <v>20458</v>
      </c>
      <c r="U2465" s="705">
        <v>7577</v>
      </c>
      <c r="V2465" s="705">
        <v>1818268</v>
      </c>
      <c r="W2465" s="705">
        <f t="shared" si="100"/>
        <v>1818268</v>
      </c>
      <c r="X2465" s="705">
        <f t="shared" si="101"/>
        <v>2177032</v>
      </c>
    </row>
    <row r="2466" spans="2:24">
      <c r="B2466" t="s">
        <v>552</v>
      </c>
      <c r="C2466" t="s">
        <v>116</v>
      </c>
      <c r="D2466" t="s">
        <v>665</v>
      </c>
      <c r="E2466" t="s">
        <v>665</v>
      </c>
      <c r="F2466" s="705">
        <v>7</v>
      </c>
      <c r="G2466" s="705">
        <v>1195</v>
      </c>
      <c r="H2466" s="705">
        <v>1440</v>
      </c>
      <c r="I2466" s="705">
        <v>183635</v>
      </c>
      <c r="J2466" s="705">
        <v>166941</v>
      </c>
      <c r="K2466" s="705">
        <v>70</v>
      </c>
      <c r="L2466" s="705">
        <v>14640</v>
      </c>
      <c r="M2466" s="705">
        <v>13309</v>
      </c>
      <c r="N2466" s="705">
        <v>25632</v>
      </c>
      <c r="O2466" s="705">
        <v>9493</v>
      </c>
      <c r="P2466" s="705">
        <v>4509</v>
      </c>
      <c r="Q2466" s="705">
        <v>1670</v>
      </c>
      <c r="R2466" s="705">
        <v>48710</v>
      </c>
      <c r="S2466" s="705">
        <v>44281</v>
      </c>
      <c r="T2466" s="705">
        <v>15416</v>
      </c>
      <c r="U2466" s="705">
        <v>5710</v>
      </c>
      <c r="V2466" s="705">
        <v>241405</v>
      </c>
      <c r="W2466" s="705">
        <f t="shared" si="100"/>
        <v>241404</v>
      </c>
      <c r="X2466" s="705">
        <f t="shared" si="101"/>
        <v>292542</v>
      </c>
    </row>
    <row r="2467" spans="2:24">
      <c r="B2467" t="s">
        <v>552</v>
      </c>
      <c r="C2467" t="s">
        <v>116</v>
      </c>
      <c r="D2467" t="s">
        <v>673</v>
      </c>
      <c r="E2467" t="s">
        <v>673</v>
      </c>
      <c r="F2467" s="705">
        <v>2</v>
      </c>
      <c r="G2467" s="705">
        <v>300</v>
      </c>
      <c r="H2467" s="705">
        <v>381</v>
      </c>
      <c r="I2467" s="705">
        <v>48558</v>
      </c>
      <c r="J2467" s="705">
        <v>44144</v>
      </c>
      <c r="K2467" s="705">
        <v>70</v>
      </c>
      <c r="L2467" s="705">
        <v>5530</v>
      </c>
      <c r="M2467" s="705">
        <v>5027</v>
      </c>
      <c r="N2467" s="705">
        <v>7678</v>
      </c>
      <c r="O2467" s="705">
        <v>2844</v>
      </c>
      <c r="P2467" s="705">
        <v>702</v>
      </c>
      <c r="Q2467" s="705">
        <v>260</v>
      </c>
      <c r="R2467" s="705">
        <v>14336</v>
      </c>
      <c r="S2467" s="705">
        <v>13033</v>
      </c>
      <c r="T2467" s="705">
        <v>0</v>
      </c>
      <c r="U2467" s="705">
        <v>0</v>
      </c>
      <c r="V2467" s="705">
        <v>65307</v>
      </c>
      <c r="W2467" s="705">
        <f t="shared" si="100"/>
        <v>65308</v>
      </c>
      <c r="X2467" s="705">
        <f t="shared" si="101"/>
        <v>76804</v>
      </c>
    </row>
    <row r="2468" spans="2:24">
      <c r="B2468" t="s">
        <v>552</v>
      </c>
      <c r="C2468" t="s">
        <v>116</v>
      </c>
      <c r="D2468" t="s">
        <v>585</v>
      </c>
      <c r="E2468" t="s">
        <v>585</v>
      </c>
      <c r="F2468" s="705">
        <v>10</v>
      </c>
      <c r="G2468" s="705">
        <v>1865</v>
      </c>
      <c r="H2468" s="705">
        <v>1909</v>
      </c>
      <c r="I2468" s="705">
        <v>222520</v>
      </c>
      <c r="J2468" s="705">
        <v>202291</v>
      </c>
      <c r="K2468" s="705">
        <v>77</v>
      </c>
      <c r="L2468" s="705">
        <v>40537</v>
      </c>
      <c r="M2468" s="705">
        <v>36852</v>
      </c>
      <c r="N2468" s="705">
        <v>37047</v>
      </c>
      <c r="O2468" s="705">
        <v>13721</v>
      </c>
      <c r="P2468" s="705">
        <v>4131</v>
      </c>
      <c r="Q2468" s="705">
        <v>1530</v>
      </c>
      <c r="R2468" s="705">
        <v>59915</v>
      </c>
      <c r="S2468" s="705">
        <v>54468</v>
      </c>
      <c r="T2468" s="705">
        <v>7100</v>
      </c>
      <c r="U2468" s="705">
        <v>2630</v>
      </c>
      <c r="V2468" s="705">
        <v>311492</v>
      </c>
      <c r="W2468" s="705">
        <f t="shared" si="100"/>
        <v>311492</v>
      </c>
      <c r="X2468" s="705">
        <f t="shared" si="101"/>
        <v>371250</v>
      </c>
    </row>
    <row r="2469" spans="2:24">
      <c r="B2469" t="s">
        <v>552</v>
      </c>
      <c r="C2469" t="s">
        <v>116</v>
      </c>
      <c r="D2469" t="s">
        <v>668</v>
      </c>
      <c r="E2469" t="s">
        <v>668</v>
      </c>
      <c r="F2469" s="705">
        <v>6</v>
      </c>
      <c r="G2469" s="705">
        <v>740</v>
      </c>
      <c r="H2469" s="705">
        <v>1183</v>
      </c>
      <c r="I2469" s="705">
        <v>94012</v>
      </c>
      <c r="J2469" s="705">
        <v>85466</v>
      </c>
      <c r="K2469" s="705">
        <v>85</v>
      </c>
      <c r="L2469" s="705">
        <v>12879</v>
      </c>
      <c r="M2469" s="705">
        <v>11708</v>
      </c>
      <c r="N2469" s="705">
        <v>15380</v>
      </c>
      <c r="O2469" s="705">
        <v>5696</v>
      </c>
      <c r="P2469" s="705">
        <v>5494</v>
      </c>
      <c r="Q2469" s="705">
        <v>2035</v>
      </c>
      <c r="R2469" s="705">
        <v>30355</v>
      </c>
      <c r="S2469" s="705">
        <v>27596</v>
      </c>
      <c r="T2469" s="705">
        <v>5412</v>
      </c>
      <c r="U2469" s="705">
        <v>2005</v>
      </c>
      <c r="V2469" s="705">
        <v>134506</v>
      </c>
      <c r="W2469" s="705">
        <f t="shared" si="100"/>
        <v>134506</v>
      </c>
      <c r="X2469" s="705">
        <f t="shared" si="101"/>
        <v>163532</v>
      </c>
    </row>
    <row r="2470" spans="2:24">
      <c r="B2470" t="s">
        <v>552</v>
      </c>
      <c r="C2470" t="s">
        <v>118</v>
      </c>
      <c r="D2470" t="s">
        <v>664</v>
      </c>
      <c r="E2470" t="s">
        <v>664</v>
      </c>
      <c r="F2470" s="705">
        <v>1</v>
      </c>
      <c r="G2470" s="705">
        <v>171</v>
      </c>
      <c r="H2470" s="705">
        <v>251</v>
      </c>
      <c r="I2470" s="705">
        <v>21743</v>
      </c>
      <c r="J2470" s="705">
        <v>19766</v>
      </c>
      <c r="K2470" s="705">
        <v>78</v>
      </c>
      <c r="L2470" s="705">
        <v>8963</v>
      </c>
      <c r="M2470" s="705">
        <v>8148</v>
      </c>
      <c r="N2470" s="705">
        <v>4155</v>
      </c>
      <c r="O2470" s="705">
        <v>1539</v>
      </c>
      <c r="P2470" s="705">
        <v>473</v>
      </c>
      <c r="Q2470" s="705">
        <v>175</v>
      </c>
      <c r="R2470" s="705">
        <v>7417</v>
      </c>
      <c r="S2470" s="705">
        <v>6743</v>
      </c>
      <c r="T2470" s="705">
        <v>0</v>
      </c>
      <c r="U2470" s="705">
        <v>0</v>
      </c>
      <c r="V2470" s="705">
        <v>36371</v>
      </c>
      <c r="W2470" s="705">
        <f t="shared" si="100"/>
        <v>36371</v>
      </c>
      <c r="X2470" s="705">
        <f t="shared" si="101"/>
        <v>42751</v>
      </c>
    </row>
    <row r="2471" spans="2:24">
      <c r="B2471" t="s">
        <v>552</v>
      </c>
      <c r="C2471" t="s">
        <v>118</v>
      </c>
      <c r="D2471" t="s">
        <v>664</v>
      </c>
      <c r="E2471" t="s">
        <v>583</v>
      </c>
      <c r="F2471" s="705">
        <v>2</v>
      </c>
      <c r="G2471" s="705">
        <v>183</v>
      </c>
      <c r="H2471" s="705">
        <v>465</v>
      </c>
      <c r="I2471" s="705">
        <v>34627</v>
      </c>
      <c r="J2471" s="705">
        <v>31479</v>
      </c>
      <c r="K2471" s="705">
        <v>77</v>
      </c>
      <c r="L2471" s="705">
        <v>4503</v>
      </c>
      <c r="M2471" s="705">
        <v>3988</v>
      </c>
      <c r="N2471" s="705">
        <v>3175</v>
      </c>
      <c r="O2471" s="705">
        <v>1176</v>
      </c>
      <c r="P2471" s="705">
        <v>1242</v>
      </c>
      <c r="Q2471" s="705">
        <v>460</v>
      </c>
      <c r="R2471" s="705">
        <v>10883</v>
      </c>
      <c r="S2471" s="705">
        <v>9894</v>
      </c>
      <c r="T2471" s="705">
        <v>0</v>
      </c>
      <c r="U2471" s="705">
        <v>0</v>
      </c>
      <c r="V2471" s="705">
        <v>46997</v>
      </c>
      <c r="W2471" s="705">
        <f t="shared" si="100"/>
        <v>46997</v>
      </c>
      <c r="X2471" s="705">
        <f t="shared" si="101"/>
        <v>54430</v>
      </c>
    </row>
    <row r="2472" spans="2:24">
      <c r="B2472" t="s">
        <v>552</v>
      </c>
      <c r="C2472" t="s">
        <v>118</v>
      </c>
      <c r="D2472" t="s">
        <v>582</v>
      </c>
      <c r="E2472" t="s">
        <v>582</v>
      </c>
      <c r="F2472" s="705">
        <v>14</v>
      </c>
      <c r="G2472" s="705">
        <v>1933</v>
      </c>
      <c r="H2472" s="705">
        <v>3781</v>
      </c>
      <c r="I2472" s="705">
        <v>335945</v>
      </c>
      <c r="J2472" s="705">
        <v>305405</v>
      </c>
      <c r="K2472" s="705">
        <v>87</v>
      </c>
      <c r="L2472" s="705">
        <v>76820</v>
      </c>
      <c r="M2472" s="705">
        <v>69836</v>
      </c>
      <c r="N2472" s="705">
        <v>40236</v>
      </c>
      <c r="O2472" s="705">
        <v>14902</v>
      </c>
      <c r="P2472" s="705">
        <v>6993</v>
      </c>
      <c r="Q2472" s="705">
        <v>2590</v>
      </c>
      <c r="R2472" s="705">
        <v>63278</v>
      </c>
      <c r="S2472" s="705">
        <v>57526</v>
      </c>
      <c r="T2472" s="705">
        <v>5514</v>
      </c>
      <c r="U2472" s="705">
        <v>2042</v>
      </c>
      <c r="V2472" s="705">
        <v>452301</v>
      </c>
      <c r="W2472" s="705">
        <f t="shared" si="100"/>
        <v>452301</v>
      </c>
      <c r="X2472" s="705">
        <f t="shared" si="101"/>
        <v>528786</v>
      </c>
    </row>
    <row r="2473" spans="2:24">
      <c r="B2473" t="s">
        <v>552</v>
      </c>
      <c r="C2473" t="s">
        <v>118</v>
      </c>
      <c r="D2473" t="s">
        <v>582</v>
      </c>
      <c r="E2473" t="s">
        <v>584</v>
      </c>
      <c r="F2473" s="705">
        <v>1</v>
      </c>
      <c r="G2473" s="705">
        <v>88</v>
      </c>
      <c r="H2473" s="705">
        <v>263</v>
      </c>
      <c r="I2473" s="705">
        <v>13649</v>
      </c>
      <c r="J2473" s="705">
        <v>12408</v>
      </c>
      <c r="K2473" s="705">
        <v>91</v>
      </c>
      <c r="L2473" s="705">
        <v>4358</v>
      </c>
      <c r="M2473" s="705">
        <v>3961</v>
      </c>
      <c r="N2473" s="705">
        <v>2119</v>
      </c>
      <c r="O2473" s="705">
        <v>785</v>
      </c>
      <c r="P2473" s="705">
        <v>473</v>
      </c>
      <c r="Q2473" s="705">
        <v>175</v>
      </c>
      <c r="R2473" s="705">
        <v>2623</v>
      </c>
      <c r="S2473" s="705">
        <v>2384</v>
      </c>
      <c r="T2473" s="705">
        <v>0</v>
      </c>
      <c r="U2473" s="705">
        <v>0</v>
      </c>
      <c r="V2473" s="705">
        <v>19714</v>
      </c>
      <c r="W2473" s="705">
        <f t="shared" si="100"/>
        <v>19713</v>
      </c>
      <c r="X2473" s="705">
        <f t="shared" si="101"/>
        <v>23222</v>
      </c>
    </row>
    <row r="2474" spans="2:24">
      <c r="B2474" t="s">
        <v>552</v>
      </c>
      <c r="C2474" t="s">
        <v>118</v>
      </c>
      <c r="D2474" t="s">
        <v>228</v>
      </c>
      <c r="E2474" t="s">
        <v>228</v>
      </c>
      <c r="F2474" s="705">
        <v>17</v>
      </c>
      <c r="G2474" s="705">
        <v>2985</v>
      </c>
      <c r="H2474" s="705">
        <v>4604</v>
      </c>
      <c r="I2474" s="705">
        <v>520179</v>
      </c>
      <c r="J2474" s="705">
        <v>192659</v>
      </c>
      <c r="K2474" s="705">
        <v>118</v>
      </c>
      <c r="L2474" s="705">
        <v>74142</v>
      </c>
      <c r="M2474" s="705">
        <v>66186</v>
      </c>
      <c r="N2474" s="705">
        <v>67388</v>
      </c>
      <c r="O2474" s="705">
        <v>24959</v>
      </c>
      <c r="P2474" s="705">
        <v>3161</v>
      </c>
      <c r="Q2474" s="705">
        <v>1171</v>
      </c>
      <c r="R2474" s="705">
        <v>151619</v>
      </c>
      <c r="S2474" s="705">
        <v>56155</v>
      </c>
      <c r="T2474" s="705">
        <v>0</v>
      </c>
      <c r="U2474" s="705">
        <v>0</v>
      </c>
      <c r="V2474" s="705">
        <v>341130</v>
      </c>
      <c r="W2474" s="705">
        <f t="shared" si="100"/>
        <v>341130</v>
      </c>
      <c r="X2474" s="705">
        <f t="shared" si="101"/>
        <v>816489</v>
      </c>
    </row>
    <row r="2475" spans="2:24">
      <c r="B2475" t="s">
        <v>552</v>
      </c>
      <c r="C2475" t="s">
        <v>118</v>
      </c>
      <c r="D2475" t="s">
        <v>583</v>
      </c>
      <c r="E2475" t="s">
        <v>228</v>
      </c>
      <c r="F2475" s="705">
        <v>2</v>
      </c>
      <c r="G2475" s="705">
        <v>174</v>
      </c>
      <c r="H2475" s="705">
        <v>508</v>
      </c>
      <c r="I2475" s="705">
        <v>27940</v>
      </c>
      <c r="J2475" s="705">
        <v>25400</v>
      </c>
      <c r="K2475" s="705">
        <v>83</v>
      </c>
      <c r="L2475" s="705">
        <v>2424</v>
      </c>
      <c r="M2475" s="705">
        <v>2204</v>
      </c>
      <c r="N2475" s="705">
        <v>3129</v>
      </c>
      <c r="O2475" s="705">
        <v>1159</v>
      </c>
      <c r="P2475" s="705">
        <v>1242</v>
      </c>
      <c r="Q2475" s="705">
        <v>460</v>
      </c>
      <c r="R2475" s="705">
        <v>7107</v>
      </c>
      <c r="S2475" s="705">
        <v>2632</v>
      </c>
      <c r="T2475" s="705">
        <v>0</v>
      </c>
      <c r="U2475" s="705">
        <v>0</v>
      </c>
      <c r="V2475" s="705">
        <v>31855</v>
      </c>
      <c r="W2475" s="705">
        <f t="shared" si="100"/>
        <v>31855</v>
      </c>
      <c r="X2475" s="705">
        <f t="shared" si="101"/>
        <v>41842</v>
      </c>
    </row>
    <row r="2476" spans="2:24">
      <c r="B2476" t="s">
        <v>552</v>
      </c>
      <c r="C2476" t="s">
        <v>118</v>
      </c>
      <c r="D2476" t="s">
        <v>583</v>
      </c>
      <c r="E2476" t="s">
        <v>583</v>
      </c>
      <c r="F2476" s="705">
        <v>1043</v>
      </c>
      <c r="G2476" s="705">
        <v>135010</v>
      </c>
      <c r="H2476" s="705">
        <v>271285</v>
      </c>
      <c r="I2476" s="705">
        <v>21078908</v>
      </c>
      <c r="J2476" s="705">
        <v>19162644</v>
      </c>
      <c r="K2476" s="705">
        <v>82</v>
      </c>
      <c r="L2476" s="705">
        <v>4167789</v>
      </c>
      <c r="M2476" s="705">
        <v>3734678</v>
      </c>
      <c r="N2476" s="705">
        <v>2799757</v>
      </c>
      <c r="O2476" s="705">
        <v>1036947</v>
      </c>
      <c r="P2476" s="705">
        <v>723623</v>
      </c>
      <c r="Q2476" s="705">
        <v>268008</v>
      </c>
      <c r="R2476" s="705">
        <v>5403875</v>
      </c>
      <c r="S2476" s="705">
        <v>4912613</v>
      </c>
      <c r="T2476" s="705">
        <v>1542603</v>
      </c>
      <c r="U2476" s="705">
        <v>571335</v>
      </c>
      <c r="V2476" s="705">
        <v>29686225</v>
      </c>
      <c r="W2476" s="705">
        <f t="shared" ref="W2476:W2539" si="102">SUM(ABS(J2476),ABS(M2476),ABS(O2476),ABS(Q2476),ABS(S2476),ABS(U2476))</f>
        <v>29686225</v>
      </c>
      <c r="X2476" s="705">
        <f t="shared" ref="X2476:X2539" si="103">SUM(ABS(I2476),ABS(N2476),ABS(P2476),ABS(R2476),ABS(T2476),ABS(L2476))</f>
        <v>35716555</v>
      </c>
    </row>
    <row r="2477" spans="2:24">
      <c r="B2477" t="s">
        <v>552</v>
      </c>
      <c r="C2477" t="s">
        <v>118</v>
      </c>
      <c r="D2477" t="s">
        <v>666</v>
      </c>
      <c r="E2477" t="s">
        <v>666</v>
      </c>
      <c r="F2477" s="705">
        <v>2</v>
      </c>
      <c r="G2477" s="705">
        <v>251</v>
      </c>
      <c r="H2477" s="705">
        <v>592</v>
      </c>
      <c r="I2477" s="705">
        <v>54396</v>
      </c>
      <c r="J2477" s="705">
        <v>49451</v>
      </c>
      <c r="K2477" s="705">
        <v>65</v>
      </c>
      <c r="L2477" s="705">
        <v>0</v>
      </c>
      <c r="M2477" s="705">
        <v>0</v>
      </c>
      <c r="N2477" s="705">
        <v>4753</v>
      </c>
      <c r="O2477" s="705">
        <v>1760</v>
      </c>
      <c r="P2477" s="705">
        <v>702</v>
      </c>
      <c r="Q2477" s="705">
        <v>260</v>
      </c>
      <c r="R2477" s="705">
        <v>9040</v>
      </c>
      <c r="S2477" s="705">
        <v>8218</v>
      </c>
      <c r="T2477" s="705">
        <v>5473</v>
      </c>
      <c r="U2477" s="705">
        <v>2027</v>
      </c>
      <c r="V2477" s="705">
        <v>61717</v>
      </c>
      <c r="W2477" s="705">
        <f t="shared" si="102"/>
        <v>61716</v>
      </c>
      <c r="X2477" s="705">
        <f t="shared" si="103"/>
        <v>74364</v>
      </c>
    </row>
    <row r="2478" spans="2:24">
      <c r="B2478" t="s">
        <v>552</v>
      </c>
      <c r="C2478" t="s">
        <v>118</v>
      </c>
      <c r="D2478" t="s">
        <v>584</v>
      </c>
      <c r="E2478" t="s">
        <v>584</v>
      </c>
      <c r="F2478" s="705">
        <v>13</v>
      </c>
      <c r="G2478" s="705">
        <v>1504</v>
      </c>
      <c r="H2478" s="705">
        <v>3231</v>
      </c>
      <c r="I2478" s="705">
        <v>207604</v>
      </c>
      <c r="J2478" s="705">
        <v>188731</v>
      </c>
      <c r="K2478" s="705">
        <v>77</v>
      </c>
      <c r="L2478" s="705">
        <v>54415</v>
      </c>
      <c r="M2478" s="705">
        <v>49468</v>
      </c>
      <c r="N2478" s="705">
        <v>28398</v>
      </c>
      <c r="O2478" s="705">
        <v>10518</v>
      </c>
      <c r="P2478" s="705">
        <v>6143</v>
      </c>
      <c r="Q2478" s="705">
        <v>2275</v>
      </c>
      <c r="R2478" s="705">
        <v>67606</v>
      </c>
      <c r="S2478" s="705">
        <v>61460</v>
      </c>
      <c r="T2478" s="705">
        <v>7602</v>
      </c>
      <c r="U2478" s="705">
        <v>2816</v>
      </c>
      <c r="V2478" s="705">
        <v>315268</v>
      </c>
      <c r="W2478" s="705">
        <f t="shared" si="102"/>
        <v>315268</v>
      </c>
      <c r="X2478" s="705">
        <f t="shared" si="103"/>
        <v>371768</v>
      </c>
    </row>
    <row r="2479" spans="2:24">
      <c r="B2479" t="s">
        <v>552</v>
      </c>
      <c r="C2479" t="s">
        <v>118</v>
      </c>
      <c r="D2479" t="s">
        <v>667</v>
      </c>
      <c r="E2479" t="s">
        <v>667</v>
      </c>
      <c r="F2479" s="705">
        <v>1</v>
      </c>
      <c r="G2479" s="705">
        <v>124</v>
      </c>
      <c r="H2479" s="705">
        <v>256</v>
      </c>
      <c r="I2479" s="705">
        <v>19785</v>
      </c>
      <c r="J2479" s="705">
        <v>17986</v>
      </c>
      <c r="K2479" s="705">
        <v>70</v>
      </c>
      <c r="L2479" s="705">
        <v>2565</v>
      </c>
      <c r="M2479" s="705">
        <v>2332</v>
      </c>
      <c r="N2479" s="705">
        <v>2005</v>
      </c>
      <c r="O2479" s="705">
        <v>743</v>
      </c>
      <c r="P2479" s="705">
        <v>351</v>
      </c>
      <c r="Q2479" s="705">
        <v>130</v>
      </c>
      <c r="R2479" s="705">
        <v>7012</v>
      </c>
      <c r="S2479" s="705">
        <v>6375</v>
      </c>
      <c r="T2479" s="705">
        <v>0</v>
      </c>
      <c r="U2479" s="705">
        <v>0</v>
      </c>
      <c r="V2479" s="705">
        <v>27565</v>
      </c>
      <c r="W2479" s="705">
        <f t="shared" si="102"/>
        <v>27566</v>
      </c>
      <c r="X2479" s="705">
        <f t="shared" si="103"/>
        <v>31718</v>
      </c>
    </row>
    <row r="2480" spans="2:24">
      <c r="B2480" t="s">
        <v>552</v>
      </c>
      <c r="C2480" t="s">
        <v>118</v>
      </c>
      <c r="D2480" t="s">
        <v>671</v>
      </c>
      <c r="E2480" t="s">
        <v>671</v>
      </c>
      <c r="F2480" s="705">
        <v>2</v>
      </c>
      <c r="G2480" s="705">
        <v>171</v>
      </c>
      <c r="H2480" s="705">
        <v>556</v>
      </c>
      <c r="I2480" s="705">
        <v>32717</v>
      </c>
      <c r="J2480" s="705">
        <v>29743</v>
      </c>
      <c r="K2480" s="705">
        <v>65</v>
      </c>
      <c r="L2480" s="705">
        <v>9501</v>
      </c>
      <c r="M2480" s="705">
        <v>4257</v>
      </c>
      <c r="N2480" s="705">
        <v>4608</v>
      </c>
      <c r="O2480" s="705">
        <v>1707</v>
      </c>
      <c r="P2480" s="705">
        <v>702</v>
      </c>
      <c r="Q2480" s="705">
        <v>260</v>
      </c>
      <c r="R2480" s="705">
        <v>9749</v>
      </c>
      <c r="S2480" s="705">
        <v>8863</v>
      </c>
      <c r="T2480" s="705">
        <v>3479</v>
      </c>
      <c r="U2480" s="705">
        <v>1288</v>
      </c>
      <c r="V2480" s="705">
        <v>46118</v>
      </c>
      <c r="W2480" s="705">
        <f t="shared" si="102"/>
        <v>46118</v>
      </c>
      <c r="X2480" s="705">
        <f t="shared" si="103"/>
        <v>60756</v>
      </c>
    </row>
    <row r="2481" spans="2:24">
      <c r="B2481" t="s">
        <v>552</v>
      </c>
      <c r="C2481" t="s">
        <v>118</v>
      </c>
      <c r="D2481" t="s">
        <v>665</v>
      </c>
      <c r="E2481" t="s">
        <v>665</v>
      </c>
      <c r="F2481" s="705">
        <v>85</v>
      </c>
      <c r="G2481" s="705">
        <v>10846</v>
      </c>
      <c r="H2481" s="705">
        <v>23196</v>
      </c>
      <c r="I2481" s="705">
        <v>1970419</v>
      </c>
      <c r="J2481" s="705">
        <v>1791290</v>
      </c>
      <c r="K2481" s="705">
        <v>62</v>
      </c>
      <c r="L2481" s="705">
        <v>289637</v>
      </c>
      <c r="M2481" s="705">
        <v>256350</v>
      </c>
      <c r="N2481" s="705">
        <v>210900</v>
      </c>
      <c r="O2481" s="705">
        <v>78111</v>
      </c>
      <c r="P2481" s="705">
        <v>35964</v>
      </c>
      <c r="Q2481" s="705">
        <v>13320</v>
      </c>
      <c r="R2481" s="705">
        <v>454403</v>
      </c>
      <c r="S2481" s="705">
        <v>413093</v>
      </c>
      <c r="T2481" s="705">
        <v>207012</v>
      </c>
      <c r="U2481" s="705">
        <v>76671</v>
      </c>
      <c r="V2481" s="705">
        <v>2628835</v>
      </c>
      <c r="W2481" s="705">
        <f t="shared" si="102"/>
        <v>2628835</v>
      </c>
      <c r="X2481" s="705">
        <f t="shared" si="103"/>
        <v>3168335</v>
      </c>
    </row>
    <row r="2482" spans="2:24">
      <c r="B2482" t="s">
        <v>552</v>
      </c>
      <c r="C2482" t="s">
        <v>118</v>
      </c>
      <c r="D2482" t="s">
        <v>665</v>
      </c>
      <c r="E2482" t="s">
        <v>722</v>
      </c>
      <c r="F2482" s="705">
        <v>2</v>
      </c>
      <c r="G2482" s="705">
        <v>303</v>
      </c>
      <c r="H2482" s="705">
        <v>571</v>
      </c>
      <c r="I2482" s="705">
        <v>66543</v>
      </c>
      <c r="J2482" s="705">
        <v>60494</v>
      </c>
      <c r="K2482" s="705">
        <v>55</v>
      </c>
      <c r="L2482" s="705">
        <v>3521</v>
      </c>
      <c r="M2482" s="705">
        <v>3201</v>
      </c>
      <c r="N2482" s="705">
        <v>7510</v>
      </c>
      <c r="O2482" s="705">
        <v>2782</v>
      </c>
      <c r="P2482" s="705">
        <v>1404</v>
      </c>
      <c r="Q2482" s="705">
        <v>520</v>
      </c>
      <c r="R2482" s="705">
        <v>14272</v>
      </c>
      <c r="S2482" s="705">
        <v>12974</v>
      </c>
      <c r="T2482" s="705">
        <v>3446</v>
      </c>
      <c r="U2482" s="705">
        <v>1276</v>
      </c>
      <c r="V2482" s="705">
        <v>81247</v>
      </c>
      <c r="W2482" s="705">
        <f t="shared" si="102"/>
        <v>81247</v>
      </c>
      <c r="X2482" s="705">
        <f t="shared" si="103"/>
        <v>96696</v>
      </c>
    </row>
    <row r="2483" spans="2:24">
      <c r="B2483" t="s">
        <v>552</v>
      </c>
      <c r="C2483" t="s">
        <v>118</v>
      </c>
      <c r="D2483" t="s">
        <v>673</v>
      </c>
      <c r="E2483" t="s">
        <v>673</v>
      </c>
      <c r="F2483" s="705">
        <v>1</v>
      </c>
      <c r="G2483" s="705">
        <v>100</v>
      </c>
      <c r="H2483" s="705">
        <v>262</v>
      </c>
      <c r="I2483" s="705">
        <v>16931</v>
      </c>
      <c r="J2483" s="705">
        <v>15392</v>
      </c>
      <c r="K2483" s="705">
        <v>65</v>
      </c>
      <c r="L2483" s="705">
        <v>0</v>
      </c>
      <c r="M2483" s="705">
        <v>0</v>
      </c>
      <c r="N2483" s="705">
        <v>1984</v>
      </c>
      <c r="O2483" s="705">
        <v>735</v>
      </c>
      <c r="P2483" s="705">
        <v>351</v>
      </c>
      <c r="Q2483" s="705">
        <v>130</v>
      </c>
      <c r="R2483" s="705">
        <v>4491</v>
      </c>
      <c r="S2483" s="705">
        <v>4083</v>
      </c>
      <c r="T2483" s="705">
        <v>2426</v>
      </c>
      <c r="U2483" s="705">
        <v>899</v>
      </c>
      <c r="V2483" s="705">
        <v>21238</v>
      </c>
      <c r="W2483" s="705">
        <f t="shared" si="102"/>
        <v>21239</v>
      </c>
      <c r="X2483" s="705">
        <f t="shared" si="103"/>
        <v>26183</v>
      </c>
    </row>
    <row r="2484" spans="2:24">
      <c r="B2484" t="s">
        <v>552</v>
      </c>
      <c r="C2484" t="s">
        <v>118</v>
      </c>
      <c r="D2484" t="s">
        <v>668</v>
      </c>
      <c r="E2484" t="s">
        <v>668</v>
      </c>
      <c r="F2484" s="705">
        <v>2</v>
      </c>
      <c r="G2484" s="705">
        <v>220</v>
      </c>
      <c r="H2484" s="705">
        <v>499</v>
      </c>
      <c r="I2484" s="705">
        <v>34332</v>
      </c>
      <c r="J2484" s="705">
        <v>31211</v>
      </c>
      <c r="K2484" s="705">
        <v>86</v>
      </c>
      <c r="L2484" s="705">
        <v>3994</v>
      </c>
      <c r="M2484" s="705">
        <v>3630</v>
      </c>
      <c r="N2484" s="705">
        <v>3679</v>
      </c>
      <c r="O2484" s="705">
        <v>1363</v>
      </c>
      <c r="P2484" s="705">
        <v>1944</v>
      </c>
      <c r="Q2484" s="705">
        <v>720</v>
      </c>
      <c r="R2484" s="705">
        <v>6133</v>
      </c>
      <c r="S2484" s="705">
        <v>5575</v>
      </c>
      <c r="T2484" s="705">
        <v>4209</v>
      </c>
      <c r="U2484" s="705">
        <v>1559</v>
      </c>
      <c r="V2484" s="705">
        <v>44059</v>
      </c>
      <c r="W2484" s="705">
        <f t="shared" si="102"/>
        <v>44058</v>
      </c>
      <c r="X2484" s="705">
        <f t="shared" si="103"/>
        <v>54291</v>
      </c>
    </row>
    <row r="2485" spans="2:24">
      <c r="B2485" t="s">
        <v>552</v>
      </c>
      <c r="C2485" t="s">
        <v>120</v>
      </c>
      <c r="D2485" t="s">
        <v>664</v>
      </c>
      <c r="E2485" t="s">
        <v>664</v>
      </c>
      <c r="F2485" s="705">
        <v>1</v>
      </c>
      <c r="G2485" s="705">
        <v>268</v>
      </c>
      <c r="H2485" s="705">
        <v>302</v>
      </c>
      <c r="I2485" s="705">
        <v>58413</v>
      </c>
      <c r="J2485" s="705">
        <v>53103</v>
      </c>
      <c r="K2485" s="705">
        <v>79</v>
      </c>
      <c r="L2485" s="705">
        <v>8113</v>
      </c>
      <c r="M2485" s="705">
        <v>7375</v>
      </c>
      <c r="N2485" s="705">
        <v>5220</v>
      </c>
      <c r="O2485" s="705">
        <v>1933</v>
      </c>
      <c r="P2485" s="705">
        <v>473</v>
      </c>
      <c r="Q2485" s="705">
        <v>175</v>
      </c>
      <c r="R2485" s="705">
        <v>8703</v>
      </c>
      <c r="S2485" s="705">
        <v>7912</v>
      </c>
      <c r="T2485" s="705">
        <v>0</v>
      </c>
      <c r="U2485" s="705">
        <v>0</v>
      </c>
      <c r="V2485" s="705">
        <v>70499</v>
      </c>
      <c r="W2485" s="705">
        <f t="shared" si="102"/>
        <v>70498</v>
      </c>
      <c r="X2485" s="705">
        <f t="shared" si="103"/>
        <v>80922</v>
      </c>
    </row>
    <row r="2486" spans="2:24">
      <c r="B2486" t="s">
        <v>552</v>
      </c>
      <c r="C2486" t="s">
        <v>120</v>
      </c>
      <c r="D2486" t="s">
        <v>582</v>
      </c>
      <c r="E2486" t="s">
        <v>582</v>
      </c>
      <c r="F2486" s="705">
        <v>1</v>
      </c>
      <c r="G2486" s="705">
        <v>197</v>
      </c>
      <c r="H2486" s="705">
        <v>311</v>
      </c>
      <c r="I2486" s="705">
        <v>34980</v>
      </c>
      <c r="J2486" s="705">
        <v>31800</v>
      </c>
      <c r="K2486" s="705">
        <v>75</v>
      </c>
      <c r="L2486" s="705">
        <v>13914</v>
      </c>
      <c r="M2486" s="705">
        <v>12649</v>
      </c>
      <c r="N2486" s="705">
        <v>4805</v>
      </c>
      <c r="O2486" s="705">
        <v>1780</v>
      </c>
      <c r="P2486" s="705">
        <v>473</v>
      </c>
      <c r="Q2486" s="705">
        <v>175</v>
      </c>
      <c r="R2486" s="705">
        <v>7195</v>
      </c>
      <c r="S2486" s="705">
        <v>6541</v>
      </c>
      <c r="T2486" s="705">
        <v>0</v>
      </c>
      <c r="U2486" s="705">
        <v>0</v>
      </c>
      <c r="V2486" s="705">
        <v>52944</v>
      </c>
      <c r="W2486" s="705">
        <f t="shared" si="102"/>
        <v>52945</v>
      </c>
      <c r="X2486" s="705">
        <f t="shared" si="103"/>
        <v>61367</v>
      </c>
    </row>
    <row r="2487" spans="2:24">
      <c r="B2487" t="s">
        <v>552</v>
      </c>
      <c r="C2487" t="s">
        <v>120</v>
      </c>
      <c r="D2487" t="s">
        <v>228</v>
      </c>
      <c r="E2487" t="s">
        <v>228</v>
      </c>
      <c r="F2487" s="705">
        <v>21</v>
      </c>
      <c r="G2487" s="705">
        <v>3258</v>
      </c>
      <c r="H2487" s="705">
        <v>7267</v>
      </c>
      <c r="I2487" s="705">
        <v>749073</v>
      </c>
      <c r="J2487" s="705">
        <v>277434</v>
      </c>
      <c r="K2487" s="705">
        <v>100</v>
      </c>
      <c r="L2487" s="705">
        <v>118124</v>
      </c>
      <c r="M2487" s="705">
        <v>100259</v>
      </c>
      <c r="N2487" s="705">
        <v>76627</v>
      </c>
      <c r="O2487" s="705">
        <v>28381</v>
      </c>
      <c r="P2487" s="705">
        <v>351</v>
      </c>
      <c r="Q2487" s="705">
        <v>130</v>
      </c>
      <c r="R2487" s="705">
        <v>186009</v>
      </c>
      <c r="S2487" s="705">
        <v>68892</v>
      </c>
      <c r="T2487" s="705">
        <v>0</v>
      </c>
      <c r="U2487" s="705">
        <v>0</v>
      </c>
      <c r="V2487" s="705">
        <v>475096</v>
      </c>
      <c r="W2487" s="705">
        <f t="shared" si="102"/>
        <v>475096</v>
      </c>
      <c r="X2487" s="705">
        <f t="shared" si="103"/>
        <v>1130184</v>
      </c>
    </row>
    <row r="2488" spans="2:24">
      <c r="B2488" t="s">
        <v>552</v>
      </c>
      <c r="C2488" t="s">
        <v>120</v>
      </c>
      <c r="D2488" t="s">
        <v>583</v>
      </c>
      <c r="E2488" t="s">
        <v>228</v>
      </c>
      <c r="F2488" s="705">
        <v>5</v>
      </c>
      <c r="G2488" s="705">
        <v>671</v>
      </c>
      <c r="H2488" s="705">
        <v>1647</v>
      </c>
      <c r="I2488" s="705">
        <v>161445</v>
      </c>
      <c r="J2488" s="705">
        <v>146768</v>
      </c>
      <c r="K2488" s="705">
        <v>78</v>
      </c>
      <c r="L2488" s="705">
        <v>25666</v>
      </c>
      <c r="M2488" s="705">
        <v>23333</v>
      </c>
      <c r="N2488" s="705">
        <v>16683</v>
      </c>
      <c r="O2488" s="705">
        <v>6179</v>
      </c>
      <c r="P2488" s="705">
        <v>3807</v>
      </c>
      <c r="Q2488" s="705">
        <v>1410</v>
      </c>
      <c r="R2488" s="705">
        <v>38483</v>
      </c>
      <c r="S2488" s="705">
        <v>14253</v>
      </c>
      <c r="T2488" s="705">
        <v>0</v>
      </c>
      <c r="U2488" s="705">
        <v>0</v>
      </c>
      <c r="V2488" s="705">
        <v>191943</v>
      </c>
      <c r="W2488" s="705">
        <f t="shared" si="102"/>
        <v>191943</v>
      </c>
      <c r="X2488" s="705">
        <f t="shared" si="103"/>
        <v>246084</v>
      </c>
    </row>
    <row r="2489" spans="2:24">
      <c r="B2489" t="s">
        <v>552</v>
      </c>
      <c r="C2489" t="s">
        <v>120</v>
      </c>
      <c r="D2489" t="s">
        <v>583</v>
      </c>
      <c r="E2489" t="s">
        <v>583</v>
      </c>
      <c r="F2489" s="705">
        <v>374</v>
      </c>
      <c r="G2489" s="705">
        <v>46547</v>
      </c>
      <c r="H2489" s="705">
        <v>126339</v>
      </c>
      <c r="I2489" s="705">
        <v>10087646</v>
      </c>
      <c r="J2489" s="705">
        <v>9170587</v>
      </c>
      <c r="K2489" s="705">
        <v>79</v>
      </c>
      <c r="L2489" s="705">
        <v>1989104</v>
      </c>
      <c r="M2489" s="705">
        <v>1792465</v>
      </c>
      <c r="N2489" s="705">
        <v>991483</v>
      </c>
      <c r="O2489" s="705">
        <v>367216</v>
      </c>
      <c r="P2489" s="705">
        <v>258255</v>
      </c>
      <c r="Q2489" s="705">
        <v>95650</v>
      </c>
      <c r="R2489" s="705">
        <v>1954599</v>
      </c>
      <c r="S2489" s="705">
        <v>1776908</v>
      </c>
      <c r="T2489" s="705">
        <v>589010</v>
      </c>
      <c r="U2489" s="705">
        <v>218152</v>
      </c>
      <c r="V2489" s="705">
        <v>13420978</v>
      </c>
      <c r="W2489" s="705">
        <f t="shared" si="102"/>
        <v>13420978</v>
      </c>
      <c r="X2489" s="705">
        <f t="shared" si="103"/>
        <v>15870097</v>
      </c>
    </row>
    <row r="2490" spans="2:24">
      <c r="B2490" t="s">
        <v>552</v>
      </c>
      <c r="C2490" t="s">
        <v>120</v>
      </c>
      <c r="D2490" t="s">
        <v>666</v>
      </c>
      <c r="E2490" t="s">
        <v>666</v>
      </c>
      <c r="F2490" s="705">
        <v>6</v>
      </c>
      <c r="G2490" s="705">
        <v>643</v>
      </c>
      <c r="H2490" s="705">
        <v>2024</v>
      </c>
      <c r="I2490" s="705">
        <v>137514</v>
      </c>
      <c r="J2490" s="705">
        <v>125013</v>
      </c>
      <c r="K2490" s="705">
        <v>58</v>
      </c>
      <c r="L2490" s="705">
        <v>26847</v>
      </c>
      <c r="M2490" s="705">
        <v>22442</v>
      </c>
      <c r="N2490" s="705">
        <v>10202</v>
      </c>
      <c r="O2490" s="705">
        <v>3779</v>
      </c>
      <c r="P2490" s="705">
        <v>2106</v>
      </c>
      <c r="Q2490" s="705">
        <v>780</v>
      </c>
      <c r="R2490" s="705">
        <v>29595</v>
      </c>
      <c r="S2490" s="705">
        <v>26905</v>
      </c>
      <c r="T2490" s="705">
        <v>11117</v>
      </c>
      <c r="U2490" s="705">
        <v>4117</v>
      </c>
      <c r="V2490" s="705">
        <v>183035</v>
      </c>
      <c r="W2490" s="705">
        <f t="shared" si="102"/>
        <v>183036</v>
      </c>
      <c r="X2490" s="705">
        <f t="shared" si="103"/>
        <v>217381</v>
      </c>
    </row>
    <row r="2491" spans="2:24">
      <c r="B2491" t="s">
        <v>552</v>
      </c>
      <c r="C2491" t="s">
        <v>120</v>
      </c>
      <c r="D2491" t="s">
        <v>669</v>
      </c>
      <c r="E2491" t="s">
        <v>669</v>
      </c>
      <c r="F2491" s="705">
        <v>4</v>
      </c>
      <c r="G2491" s="705">
        <v>499</v>
      </c>
      <c r="H2491" s="705">
        <v>1392</v>
      </c>
      <c r="I2491" s="705">
        <v>110443</v>
      </c>
      <c r="J2491" s="705">
        <v>92036</v>
      </c>
      <c r="K2491" s="705">
        <v>60</v>
      </c>
      <c r="L2491" s="705">
        <v>17205</v>
      </c>
      <c r="M2491" s="705">
        <v>14337</v>
      </c>
      <c r="N2491" s="705">
        <v>10455</v>
      </c>
      <c r="O2491" s="705">
        <v>3872</v>
      </c>
      <c r="P2491" s="705">
        <v>1404</v>
      </c>
      <c r="Q2491" s="705">
        <v>520</v>
      </c>
      <c r="R2491" s="705">
        <v>24050</v>
      </c>
      <c r="S2491" s="705">
        <v>20042</v>
      </c>
      <c r="T2491" s="705">
        <v>10194</v>
      </c>
      <c r="U2491" s="705">
        <v>3776</v>
      </c>
      <c r="V2491" s="705">
        <v>134582</v>
      </c>
      <c r="W2491" s="705">
        <f t="shared" si="102"/>
        <v>134583</v>
      </c>
      <c r="X2491" s="705">
        <f t="shared" si="103"/>
        <v>173751</v>
      </c>
    </row>
    <row r="2492" spans="2:24">
      <c r="B2492" t="s">
        <v>552</v>
      </c>
      <c r="C2492" t="s">
        <v>120</v>
      </c>
      <c r="D2492" t="s">
        <v>667</v>
      </c>
      <c r="E2492" t="s">
        <v>667</v>
      </c>
      <c r="F2492" s="705">
        <v>3</v>
      </c>
      <c r="G2492" s="705">
        <v>286</v>
      </c>
      <c r="H2492" s="705">
        <v>993</v>
      </c>
      <c r="I2492" s="705">
        <v>53806</v>
      </c>
      <c r="J2492" s="705">
        <v>48914</v>
      </c>
      <c r="K2492" s="705">
        <v>62</v>
      </c>
      <c r="L2492" s="705">
        <v>12279</v>
      </c>
      <c r="M2492" s="705">
        <v>11163</v>
      </c>
      <c r="N2492" s="705">
        <v>4687</v>
      </c>
      <c r="O2492" s="705">
        <v>1736</v>
      </c>
      <c r="P2492" s="705">
        <v>1053</v>
      </c>
      <c r="Q2492" s="705">
        <v>390</v>
      </c>
      <c r="R2492" s="705">
        <v>20300</v>
      </c>
      <c r="S2492" s="705">
        <v>18454</v>
      </c>
      <c r="T2492" s="705">
        <v>2912</v>
      </c>
      <c r="U2492" s="705">
        <v>1079</v>
      </c>
      <c r="V2492" s="705">
        <v>81736</v>
      </c>
      <c r="W2492" s="705">
        <f t="shared" si="102"/>
        <v>81736</v>
      </c>
      <c r="X2492" s="705">
        <f t="shared" si="103"/>
        <v>95037</v>
      </c>
    </row>
    <row r="2493" spans="2:24">
      <c r="B2493" t="s">
        <v>552</v>
      </c>
      <c r="C2493" t="s">
        <v>120</v>
      </c>
      <c r="D2493" t="s">
        <v>671</v>
      </c>
      <c r="E2493" t="s">
        <v>671</v>
      </c>
      <c r="F2493" s="705">
        <v>6</v>
      </c>
      <c r="G2493" s="705">
        <v>809</v>
      </c>
      <c r="H2493" s="705">
        <v>2063</v>
      </c>
      <c r="I2493" s="705">
        <v>182408</v>
      </c>
      <c r="J2493" s="705">
        <v>165825</v>
      </c>
      <c r="K2493" s="705">
        <v>58</v>
      </c>
      <c r="L2493" s="705">
        <v>26998</v>
      </c>
      <c r="M2493" s="705">
        <v>22490</v>
      </c>
      <c r="N2493" s="705">
        <v>17213</v>
      </c>
      <c r="O2493" s="705">
        <v>6375</v>
      </c>
      <c r="P2493" s="705">
        <v>2376</v>
      </c>
      <c r="Q2493" s="705">
        <v>880</v>
      </c>
      <c r="R2493" s="705">
        <v>38267</v>
      </c>
      <c r="S2493" s="705">
        <v>34788</v>
      </c>
      <c r="T2493" s="705">
        <v>12448</v>
      </c>
      <c r="U2493" s="705">
        <v>4610</v>
      </c>
      <c r="V2493" s="705">
        <v>234969</v>
      </c>
      <c r="W2493" s="705">
        <f t="shared" si="102"/>
        <v>234968</v>
      </c>
      <c r="X2493" s="705">
        <f t="shared" si="103"/>
        <v>279710</v>
      </c>
    </row>
    <row r="2494" spans="2:24">
      <c r="B2494" t="s">
        <v>552</v>
      </c>
      <c r="C2494" t="s">
        <v>120</v>
      </c>
      <c r="D2494" t="s">
        <v>665</v>
      </c>
      <c r="E2494" t="s">
        <v>665</v>
      </c>
      <c r="F2494" s="705">
        <v>105</v>
      </c>
      <c r="G2494" s="705">
        <v>12483</v>
      </c>
      <c r="H2494" s="705">
        <v>36158</v>
      </c>
      <c r="I2494" s="705">
        <v>2772508</v>
      </c>
      <c r="J2494" s="705">
        <v>2520462</v>
      </c>
      <c r="K2494" s="705">
        <v>56</v>
      </c>
      <c r="L2494" s="705">
        <v>416104</v>
      </c>
      <c r="M2494" s="705">
        <v>376440</v>
      </c>
      <c r="N2494" s="705">
        <v>255295</v>
      </c>
      <c r="O2494" s="705">
        <v>94554</v>
      </c>
      <c r="P2494" s="705">
        <v>41391</v>
      </c>
      <c r="Q2494" s="705">
        <v>15330</v>
      </c>
      <c r="R2494" s="705">
        <v>648248</v>
      </c>
      <c r="S2494" s="705">
        <v>589316</v>
      </c>
      <c r="T2494" s="705">
        <v>252631</v>
      </c>
      <c r="U2494" s="705">
        <v>93567</v>
      </c>
      <c r="V2494" s="705">
        <v>3689668</v>
      </c>
      <c r="W2494" s="705">
        <f t="shared" si="102"/>
        <v>3689669</v>
      </c>
      <c r="X2494" s="705">
        <f t="shared" si="103"/>
        <v>4386177</v>
      </c>
    </row>
    <row r="2495" spans="2:24">
      <c r="B2495" t="s">
        <v>552</v>
      </c>
      <c r="C2495" t="s">
        <v>120</v>
      </c>
      <c r="D2495" t="s">
        <v>673</v>
      </c>
      <c r="E2495" t="s">
        <v>673</v>
      </c>
      <c r="F2495" s="705">
        <v>1</v>
      </c>
      <c r="G2495" s="705">
        <v>162</v>
      </c>
      <c r="H2495" s="705">
        <v>323</v>
      </c>
      <c r="I2495" s="705">
        <v>45462</v>
      </c>
      <c r="J2495" s="705">
        <v>41329</v>
      </c>
      <c r="K2495" s="705">
        <v>92</v>
      </c>
      <c r="L2495" s="705">
        <v>7728</v>
      </c>
      <c r="M2495" s="705">
        <v>7026</v>
      </c>
      <c r="N2495" s="705">
        <v>3219</v>
      </c>
      <c r="O2495" s="705">
        <v>1192</v>
      </c>
      <c r="P2495" s="705">
        <v>351</v>
      </c>
      <c r="Q2495" s="705">
        <v>130</v>
      </c>
      <c r="R2495" s="705">
        <v>1642</v>
      </c>
      <c r="S2495" s="705">
        <v>1493</v>
      </c>
      <c r="T2495" s="705">
        <v>0</v>
      </c>
      <c r="U2495" s="705">
        <v>0</v>
      </c>
      <c r="V2495" s="705">
        <v>51170</v>
      </c>
      <c r="W2495" s="705">
        <f t="shared" si="102"/>
        <v>51170</v>
      </c>
      <c r="X2495" s="705">
        <f t="shared" si="103"/>
        <v>58402</v>
      </c>
    </row>
    <row r="2496" spans="2:24">
      <c r="B2496" t="s">
        <v>552</v>
      </c>
      <c r="C2496" t="s">
        <v>120</v>
      </c>
      <c r="D2496" t="s">
        <v>585</v>
      </c>
      <c r="E2496" t="s">
        <v>585</v>
      </c>
      <c r="F2496" s="705">
        <v>1</v>
      </c>
      <c r="G2496" s="705">
        <v>228</v>
      </c>
      <c r="H2496" s="705">
        <v>353</v>
      </c>
      <c r="I2496" s="705">
        <v>80683</v>
      </c>
      <c r="J2496" s="705">
        <v>73348</v>
      </c>
      <c r="K2496" s="705">
        <v>60</v>
      </c>
      <c r="L2496" s="705">
        <v>8965</v>
      </c>
      <c r="M2496" s="705">
        <v>8150</v>
      </c>
      <c r="N2496" s="705">
        <v>5132</v>
      </c>
      <c r="O2496" s="705">
        <v>1901</v>
      </c>
      <c r="P2496" s="705">
        <v>351</v>
      </c>
      <c r="Q2496" s="705">
        <v>130</v>
      </c>
      <c r="R2496" s="705">
        <v>4279</v>
      </c>
      <c r="S2496" s="705">
        <v>3890</v>
      </c>
      <c r="T2496" s="705">
        <v>-136</v>
      </c>
      <c r="U2496" s="705">
        <v>-50</v>
      </c>
      <c r="V2496" s="705">
        <v>87368</v>
      </c>
      <c r="W2496" s="705">
        <f t="shared" si="102"/>
        <v>87469</v>
      </c>
      <c r="X2496" s="705">
        <f t="shared" si="103"/>
        <v>99546</v>
      </c>
    </row>
    <row r="2497" spans="2:24">
      <c r="B2497" t="s">
        <v>552</v>
      </c>
      <c r="C2497" t="s">
        <v>122</v>
      </c>
      <c r="F2497" s="705">
        <v>1</v>
      </c>
      <c r="G2497" s="705">
        <v>120</v>
      </c>
      <c r="H2497" s="705">
        <v>414</v>
      </c>
      <c r="I2497" s="705"/>
      <c r="J2497" s="705">
        <v>0</v>
      </c>
      <c r="K2497" s="705"/>
      <c r="L2497" s="705"/>
      <c r="M2497" s="705">
        <v>0</v>
      </c>
      <c r="N2497" s="705">
        <v>2918</v>
      </c>
      <c r="O2497" s="705">
        <v>1081</v>
      </c>
      <c r="P2497" s="705">
        <v>0</v>
      </c>
      <c r="Q2497" s="705">
        <v>0</v>
      </c>
      <c r="R2497" s="705"/>
      <c r="S2497" s="705">
        <v>0</v>
      </c>
      <c r="T2497" s="705">
        <v>2227</v>
      </c>
      <c r="U2497" s="705">
        <v>825</v>
      </c>
      <c r="V2497" s="705">
        <v>1906</v>
      </c>
      <c r="W2497" s="705">
        <f t="shared" si="102"/>
        <v>1906</v>
      </c>
      <c r="X2497" s="705">
        <f t="shared" si="103"/>
        <v>5145</v>
      </c>
    </row>
    <row r="2498" spans="2:24">
      <c r="B2498" t="s">
        <v>552</v>
      </c>
      <c r="C2498" t="s">
        <v>122</v>
      </c>
      <c r="D2498" t="s">
        <v>664</v>
      </c>
      <c r="E2498" t="s">
        <v>664</v>
      </c>
      <c r="F2498" s="705">
        <v>1</v>
      </c>
      <c r="G2498" s="705">
        <v>85</v>
      </c>
      <c r="H2498" s="705">
        <v>393</v>
      </c>
      <c r="I2498" s="705">
        <v>20775</v>
      </c>
      <c r="J2498" s="705">
        <v>18886</v>
      </c>
      <c r="K2498" s="705">
        <v>73</v>
      </c>
      <c r="L2498" s="705">
        <v>2465</v>
      </c>
      <c r="M2498" s="705">
        <v>2241</v>
      </c>
      <c r="N2498" s="705">
        <v>1736</v>
      </c>
      <c r="O2498" s="705">
        <v>643</v>
      </c>
      <c r="P2498" s="705">
        <v>824</v>
      </c>
      <c r="Q2498" s="705">
        <v>305</v>
      </c>
      <c r="R2498" s="705">
        <v>4814</v>
      </c>
      <c r="S2498" s="705">
        <v>4377</v>
      </c>
      <c r="T2498" s="705">
        <v>2949</v>
      </c>
      <c r="U2498" s="705">
        <v>1092</v>
      </c>
      <c r="V2498" s="705">
        <v>27544</v>
      </c>
      <c r="W2498" s="705">
        <f t="shared" si="102"/>
        <v>27544</v>
      </c>
      <c r="X2498" s="705">
        <f t="shared" si="103"/>
        <v>33563</v>
      </c>
    </row>
    <row r="2499" spans="2:24">
      <c r="B2499" t="s">
        <v>552</v>
      </c>
      <c r="C2499" t="s">
        <v>122</v>
      </c>
      <c r="D2499" t="s">
        <v>582</v>
      </c>
      <c r="E2499" t="s">
        <v>582</v>
      </c>
      <c r="F2499" s="705">
        <v>1</v>
      </c>
      <c r="G2499" s="705">
        <v>487</v>
      </c>
      <c r="H2499" s="705">
        <v>402</v>
      </c>
      <c r="I2499" s="705">
        <v>137894</v>
      </c>
      <c r="J2499" s="705">
        <v>125358</v>
      </c>
      <c r="K2499" s="705">
        <v>73</v>
      </c>
      <c r="L2499" s="705">
        <v>35444</v>
      </c>
      <c r="M2499" s="705">
        <v>32222</v>
      </c>
      <c r="N2499" s="705">
        <v>11866</v>
      </c>
      <c r="O2499" s="705">
        <v>4395</v>
      </c>
      <c r="P2499" s="705">
        <v>473</v>
      </c>
      <c r="Q2499" s="705">
        <v>175</v>
      </c>
      <c r="R2499" s="705">
        <v>10124</v>
      </c>
      <c r="S2499" s="705">
        <v>9204</v>
      </c>
      <c r="T2499" s="705">
        <v>0</v>
      </c>
      <c r="U2499" s="705">
        <v>0</v>
      </c>
      <c r="V2499" s="705">
        <v>171353</v>
      </c>
      <c r="W2499" s="705">
        <f t="shared" si="102"/>
        <v>171354</v>
      </c>
      <c r="X2499" s="705">
        <f t="shared" si="103"/>
        <v>195801</v>
      </c>
    </row>
    <row r="2500" spans="2:24">
      <c r="B2500" t="s">
        <v>552</v>
      </c>
      <c r="C2500" t="s">
        <v>122</v>
      </c>
      <c r="D2500" t="s">
        <v>228</v>
      </c>
      <c r="E2500" t="s">
        <v>228</v>
      </c>
      <c r="F2500" s="705">
        <v>13</v>
      </c>
      <c r="G2500" s="705">
        <v>1468</v>
      </c>
      <c r="H2500" s="705">
        <v>5346</v>
      </c>
      <c r="I2500" s="705">
        <v>438997</v>
      </c>
      <c r="J2500" s="705">
        <v>162591</v>
      </c>
      <c r="K2500" s="705">
        <v>100</v>
      </c>
      <c r="L2500" s="705">
        <v>69145</v>
      </c>
      <c r="M2500" s="705">
        <v>69451</v>
      </c>
      <c r="N2500" s="705">
        <v>34705</v>
      </c>
      <c r="O2500" s="705">
        <v>12854</v>
      </c>
      <c r="P2500" s="705">
        <v>0</v>
      </c>
      <c r="Q2500" s="705">
        <v>0</v>
      </c>
      <c r="R2500" s="705">
        <v>87549</v>
      </c>
      <c r="S2500" s="705">
        <v>32425</v>
      </c>
      <c r="T2500" s="705">
        <v>0</v>
      </c>
      <c r="U2500" s="705">
        <v>0</v>
      </c>
      <c r="V2500" s="705">
        <v>277322</v>
      </c>
      <c r="W2500" s="705">
        <f t="shared" si="102"/>
        <v>277321</v>
      </c>
      <c r="X2500" s="705">
        <f t="shared" si="103"/>
        <v>630396</v>
      </c>
    </row>
    <row r="2501" spans="2:24">
      <c r="B2501" t="s">
        <v>552</v>
      </c>
      <c r="C2501" t="s">
        <v>122</v>
      </c>
      <c r="D2501" t="s">
        <v>228</v>
      </c>
      <c r="E2501" t="s">
        <v>665</v>
      </c>
      <c r="F2501" s="705">
        <v>2</v>
      </c>
      <c r="G2501" s="705">
        <v>147</v>
      </c>
      <c r="H2501" s="705">
        <v>838</v>
      </c>
      <c r="I2501" s="705">
        <v>39976</v>
      </c>
      <c r="J2501" s="705">
        <v>14806</v>
      </c>
      <c r="K2501" s="705">
        <v>100</v>
      </c>
      <c r="L2501" s="705">
        <v>4850</v>
      </c>
      <c r="M2501" s="705">
        <v>4409</v>
      </c>
      <c r="N2501" s="705">
        <v>2682</v>
      </c>
      <c r="O2501" s="705">
        <v>993</v>
      </c>
      <c r="P2501" s="705">
        <v>0</v>
      </c>
      <c r="Q2501" s="705">
        <v>0</v>
      </c>
      <c r="R2501" s="705">
        <v>9269</v>
      </c>
      <c r="S2501" s="705">
        <v>8426</v>
      </c>
      <c r="T2501" s="705">
        <v>4419</v>
      </c>
      <c r="U2501" s="705">
        <v>1637</v>
      </c>
      <c r="V2501" s="705">
        <v>30271</v>
      </c>
      <c r="W2501" s="705">
        <f t="shared" si="102"/>
        <v>30271</v>
      </c>
      <c r="X2501" s="705">
        <f t="shared" si="103"/>
        <v>61196</v>
      </c>
    </row>
    <row r="2502" spans="2:24">
      <c r="B2502" t="s">
        <v>552</v>
      </c>
      <c r="C2502" t="s">
        <v>122</v>
      </c>
      <c r="D2502" t="s">
        <v>583</v>
      </c>
      <c r="E2502" t="s">
        <v>664</v>
      </c>
      <c r="F2502" s="705">
        <v>2</v>
      </c>
      <c r="G2502" s="705">
        <v>248</v>
      </c>
      <c r="H2502" s="705">
        <v>831</v>
      </c>
      <c r="I2502" s="705">
        <v>76715</v>
      </c>
      <c r="J2502" s="705">
        <v>69741</v>
      </c>
      <c r="K2502" s="705">
        <v>68</v>
      </c>
      <c r="L2502" s="705">
        <v>8214</v>
      </c>
      <c r="M2502" s="705">
        <v>7467</v>
      </c>
      <c r="N2502" s="705">
        <v>4711</v>
      </c>
      <c r="O2502" s="705">
        <v>1745</v>
      </c>
      <c r="P2502" s="705">
        <v>1944</v>
      </c>
      <c r="Q2502" s="705">
        <v>720</v>
      </c>
      <c r="R2502" s="705">
        <v>8217</v>
      </c>
      <c r="S2502" s="705">
        <v>7470</v>
      </c>
      <c r="T2502" s="705">
        <v>3381</v>
      </c>
      <c r="U2502" s="705">
        <v>1252</v>
      </c>
      <c r="V2502" s="705">
        <v>88395</v>
      </c>
      <c r="W2502" s="705">
        <f t="shared" si="102"/>
        <v>88395</v>
      </c>
      <c r="X2502" s="705">
        <f t="shared" si="103"/>
        <v>103182</v>
      </c>
    </row>
    <row r="2503" spans="2:24">
      <c r="B2503" t="s">
        <v>552</v>
      </c>
      <c r="C2503" t="s">
        <v>122</v>
      </c>
      <c r="D2503" t="s">
        <v>583</v>
      </c>
      <c r="E2503" t="s">
        <v>228</v>
      </c>
      <c r="F2503" s="705">
        <v>3</v>
      </c>
      <c r="G2503" s="705">
        <v>429</v>
      </c>
      <c r="H2503" s="705">
        <v>1206</v>
      </c>
      <c r="I2503" s="705">
        <v>110361</v>
      </c>
      <c r="J2503" s="705">
        <v>100328</v>
      </c>
      <c r="K2503" s="705">
        <v>62</v>
      </c>
      <c r="L2503" s="705">
        <v>18704</v>
      </c>
      <c r="M2503" s="705">
        <v>17004</v>
      </c>
      <c r="N2503" s="705">
        <v>9725</v>
      </c>
      <c r="O2503" s="705">
        <v>3602</v>
      </c>
      <c r="P2503" s="705">
        <v>2214</v>
      </c>
      <c r="Q2503" s="705">
        <v>820</v>
      </c>
      <c r="R2503" s="705">
        <v>31053</v>
      </c>
      <c r="S2503" s="705">
        <v>11501</v>
      </c>
      <c r="T2503" s="705">
        <v>0</v>
      </c>
      <c r="U2503" s="705">
        <v>0</v>
      </c>
      <c r="V2503" s="705">
        <v>133255</v>
      </c>
      <c r="W2503" s="705">
        <f t="shared" si="102"/>
        <v>133255</v>
      </c>
      <c r="X2503" s="705">
        <f t="shared" si="103"/>
        <v>172057</v>
      </c>
    </row>
    <row r="2504" spans="2:24">
      <c r="B2504" t="s">
        <v>552</v>
      </c>
      <c r="C2504" t="s">
        <v>122</v>
      </c>
      <c r="D2504" t="s">
        <v>583</v>
      </c>
      <c r="E2504" t="s">
        <v>583</v>
      </c>
      <c r="F2504" s="705">
        <v>183</v>
      </c>
      <c r="G2504" s="705">
        <v>20085</v>
      </c>
      <c r="H2504" s="705">
        <v>75748</v>
      </c>
      <c r="I2504" s="705">
        <v>5598482</v>
      </c>
      <c r="J2504" s="705">
        <v>5089529</v>
      </c>
      <c r="K2504" s="705">
        <v>77</v>
      </c>
      <c r="L2504" s="705">
        <v>1054806</v>
      </c>
      <c r="M2504" s="705">
        <v>935529</v>
      </c>
      <c r="N2504" s="705">
        <v>420148</v>
      </c>
      <c r="O2504" s="705">
        <v>155610</v>
      </c>
      <c r="P2504" s="705">
        <v>123822</v>
      </c>
      <c r="Q2504" s="705">
        <v>45860</v>
      </c>
      <c r="R2504" s="705">
        <v>890533</v>
      </c>
      <c r="S2504" s="705">
        <v>809575</v>
      </c>
      <c r="T2504" s="705">
        <v>330974</v>
      </c>
      <c r="U2504" s="705">
        <v>122583</v>
      </c>
      <c r="V2504" s="705">
        <v>7158686</v>
      </c>
      <c r="W2504" s="705">
        <f t="shared" si="102"/>
        <v>7158686</v>
      </c>
      <c r="X2504" s="705">
        <f t="shared" si="103"/>
        <v>8418765</v>
      </c>
    </row>
    <row r="2505" spans="2:24">
      <c r="B2505" t="s">
        <v>552</v>
      </c>
      <c r="C2505" t="s">
        <v>122</v>
      </c>
      <c r="D2505" t="s">
        <v>583</v>
      </c>
      <c r="E2505" t="s">
        <v>665</v>
      </c>
      <c r="F2505" s="705">
        <v>3</v>
      </c>
      <c r="G2505" s="705">
        <v>485</v>
      </c>
      <c r="H2505" s="705">
        <v>1233</v>
      </c>
      <c r="I2505" s="705">
        <v>149640</v>
      </c>
      <c r="J2505" s="705">
        <v>136036</v>
      </c>
      <c r="K2505" s="705">
        <v>81</v>
      </c>
      <c r="L2505" s="705">
        <v>22293</v>
      </c>
      <c r="M2505" s="705">
        <v>26641</v>
      </c>
      <c r="N2505" s="705">
        <v>10001</v>
      </c>
      <c r="O2505" s="705">
        <v>3704</v>
      </c>
      <c r="P2505" s="705">
        <v>1863</v>
      </c>
      <c r="Q2505" s="705">
        <v>690</v>
      </c>
      <c r="R2505" s="705">
        <v>24058</v>
      </c>
      <c r="S2505" s="705">
        <v>21871</v>
      </c>
      <c r="T2505" s="705">
        <v>6378</v>
      </c>
      <c r="U2505" s="705">
        <v>2362</v>
      </c>
      <c r="V2505" s="705">
        <v>191304</v>
      </c>
      <c r="W2505" s="705">
        <f t="shared" si="102"/>
        <v>191304</v>
      </c>
      <c r="X2505" s="705">
        <f t="shared" si="103"/>
        <v>214233</v>
      </c>
    </row>
    <row r="2506" spans="2:24">
      <c r="B2506" t="s">
        <v>552</v>
      </c>
      <c r="C2506" t="s">
        <v>122</v>
      </c>
      <c r="D2506" t="s">
        <v>669</v>
      </c>
      <c r="E2506" t="s">
        <v>669</v>
      </c>
      <c r="F2506" s="705">
        <v>1</v>
      </c>
      <c r="G2506" s="705">
        <v>62</v>
      </c>
      <c r="H2506" s="705">
        <v>444</v>
      </c>
      <c r="I2506" s="705">
        <v>15531</v>
      </c>
      <c r="J2506" s="705">
        <v>12942</v>
      </c>
      <c r="K2506" s="705">
        <v>55</v>
      </c>
      <c r="L2506" s="705">
        <v>3164</v>
      </c>
      <c r="M2506" s="705">
        <v>2636</v>
      </c>
      <c r="N2506" s="705">
        <v>1502</v>
      </c>
      <c r="O2506" s="705">
        <v>556</v>
      </c>
      <c r="P2506" s="705">
        <v>351</v>
      </c>
      <c r="Q2506" s="705">
        <v>130</v>
      </c>
      <c r="R2506" s="705">
        <v>4922</v>
      </c>
      <c r="S2506" s="705">
        <v>4102</v>
      </c>
      <c r="T2506" s="705">
        <v>1913</v>
      </c>
      <c r="U2506" s="705">
        <v>708</v>
      </c>
      <c r="V2506" s="705">
        <v>21075</v>
      </c>
      <c r="W2506" s="705">
        <f t="shared" si="102"/>
        <v>21074</v>
      </c>
      <c r="X2506" s="705">
        <f t="shared" si="103"/>
        <v>27383</v>
      </c>
    </row>
    <row r="2507" spans="2:24">
      <c r="B2507" t="s">
        <v>552</v>
      </c>
      <c r="C2507" t="s">
        <v>122</v>
      </c>
      <c r="D2507" t="s">
        <v>671</v>
      </c>
      <c r="E2507" t="s">
        <v>671</v>
      </c>
      <c r="F2507" s="705">
        <v>8</v>
      </c>
      <c r="G2507" s="705">
        <v>919</v>
      </c>
      <c r="H2507" s="705">
        <v>3360</v>
      </c>
      <c r="I2507" s="705">
        <v>257658</v>
      </c>
      <c r="J2507" s="705">
        <v>234234</v>
      </c>
      <c r="K2507" s="705">
        <v>57</v>
      </c>
      <c r="L2507" s="705">
        <v>37485</v>
      </c>
      <c r="M2507" s="705">
        <v>28053</v>
      </c>
      <c r="N2507" s="705">
        <v>20117</v>
      </c>
      <c r="O2507" s="705">
        <v>7451</v>
      </c>
      <c r="P2507" s="705">
        <v>3159</v>
      </c>
      <c r="Q2507" s="705">
        <v>1170</v>
      </c>
      <c r="R2507" s="705">
        <v>52407</v>
      </c>
      <c r="S2507" s="705">
        <v>47642</v>
      </c>
      <c r="T2507" s="705">
        <v>15099</v>
      </c>
      <c r="U2507" s="705">
        <v>5592</v>
      </c>
      <c r="V2507" s="705">
        <v>324143</v>
      </c>
      <c r="W2507" s="705">
        <f t="shared" si="102"/>
        <v>324142</v>
      </c>
      <c r="X2507" s="705">
        <f t="shared" si="103"/>
        <v>385925</v>
      </c>
    </row>
    <row r="2508" spans="2:24">
      <c r="B2508" t="s">
        <v>552</v>
      </c>
      <c r="C2508" t="s">
        <v>122</v>
      </c>
      <c r="D2508" t="s">
        <v>665</v>
      </c>
      <c r="E2508" t="s">
        <v>583</v>
      </c>
      <c r="F2508" s="705">
        <v>1</v>
      </c>
      <c r="G2508" s="705">
        <v>161</v>
      </c>
      <c r="H2508" s="705">
        <v>420</v>
      </c>
      <c r="I2508" s="705">
        <v>49442</v>
      </c>
      <c r="J2508" s="705">
        <v>44948</v>
      </c>
      <c r="K2508" s="705">
        <v>65</v>
      </c>
      <c r="L2508" s="705">
        <v>4761</v>
      </c>
      <c r="M2508" s="705">
        <v>4328</v>
      </c>
      <c r="N2508" s="705">
        <v>3525</v>
      </c>
      <c r="O2508" s="705">
        <v>1305</v>
      </c>
      <c r="P2508" s="705">
        <v>972</v>
      </c>
      <c r="Q2508" s="705">
        <v>360</v>
      </c>
      <c r="R2508" s="705">
        <v>5698</v>
      </c>
      <c r="S2508" s="705">
        <v>5180</v>
      </c>
      <c r="T2508" s="705">
        <v>3046</v>
      </c>
      <c r="U2508" s="705">
        <v>1128</v>
      </c>
      <c r="V2508" s="705">
        <v>57250</v>
      </c>
      <c r="W2508" s="705">
        <f t="shared" si="102"/>
        <v>57249</v>
      </c>
      <c r="X2508" s="705">
        <f t="shared" si="103"/>
        <v>67444</v>
      </c>
    </row>
    <row r="2509" spans="2:24">
      <c r="B2509" t="s">
        <v>552</v>
      </c>
      <c r="C2509" t="s">
        <v>122</v>
      </c>
      <c r="D2509" t="s">
        <v>665</v>
      </c>
      <c r="E2509" t="s">
        <v>665</v>
      </c>
      <c r="F2509" s="705">
        <v>95</v>
      </c>
      <c r="G2509" s="705">
        <v>10454</v>
      </c>
      <c r="H2509" s="705">
        <v>39574</v>
      </c>
      <c r="I2509" s="705">
        <v>2815711</v>
      </c>
      <c r="J2509" s="705">
        <v>2559738</v>
      </c>
      <c r="K2509" s="705">
        <v>51</v>
      </c>
      <c r="L2509" s="705">
        <v>420273</v>
      </c>
      <c r="M2509" s="705">
        <v>379457</v>
      </c>
      <c r="N2509" s="705">
        <v>215602</v>
      </c>
      <c r="O2509" s="705">
        <v>79853</v>
      </c>
      <c r="P2509" s="705">
        <v>35492</v>
      </c>
      <c r="Q2509" s="705">
        <v>13145</v>
      </c>
      <c r="R2509" s="705">
        <v>638474</v>
      </c>
      <c r="S2509" s="705">
        <v>580431</v>
      </c>
      <c r="T2509" s="705">
        <v>227774</v>
      </c>
      <c r="U2509" s="705">
        <v>84361</v>
      </c>
      <c r="V2509" s="705">
        <v>3696984</v>
      </c>
      <c r="W2509" s="705">
        <f t="shared" si="102"/>
        <v>3696985</v>
      </c>
      <c r="X2509" s="705">
        <f t="shared" si="103"/>
        <v>4353326</v>
      </c>
    </row>
    <row r="2510" spans="2:24">
      <c r="B2510" t="s">
        <v>552</v>
      </c>
      <c r="C2510" t="s">
        <v>122</v>
      </c>
      <c r="D2510" t="s">
        <v>673</v>
      </c>
      <c r="E2510" t="s">
        <v>673</v>
      </c>
      <c r="F2510" s="705">
        <v>1</v>
      </c>
      <c r="G2510" s="705">
        <v>93</v>
      </c>
      <c r="H2510" s="705">
        <v>394</v>
      </c>
      <c r="I2510" s="705">
        <v>23043</v>
      </c>
      <c r="J2510" s="705">
        <v>20948</v>
      </c>
      <c r="K2510" s="705">
        <v>65</v>
      </c>
      <c r="L2510" s="705">
        <v>5547</v>
      </c>
      <c r="M2510" s="705">
        <v>5043</v>
      </c>
      <c r="N2510" s="705">
        <v>2038</v>
      </c>
      <c r="O2510" s="705">
        <v>755</v>
      </c>
      <c r="P2510" s="705">
        <v>351</v>
      </c>
      <c r="Q2510" s="705">
        <v>130</v>
      </c>
      <c r="R2510" s="705">
        <v>3790</v>
      </c>
      <c r="S2510" s="705">
        <v>3446</v>
      </c>
      <c r="T2510" s="705">
        <v>1891</v>
      </c>
      <c r="U2510" s="705">
        <v>700</v>
      </c>
      <c r="V2510" s="705">
        <v>31022</v>
      </c>
      <c r="W2510" s="705">
        <f t="shared" si="102"/>
        <v>31022</v>
      </c>
      <c r="X2510" s="705">
        <f t="shared" si="103"/>
        <v>36660</v>
      </c>
    </row>
    <row r="2511" spans="2:24">
      <c r="B2511" t="s">
        <v>552</v>
      </c>
      <c r="C2511" t="s">
        <v>122</v>
      </c>
      <c r="D2511" t="s">
        <v>585</v>
      </c>
      <c r="E2511" t="s">
        <v>585</v>
      </c>
      <c r="F2511" s="705">
        <v>1</v>
      </c>
      <c r="G2511" s="705">
        <v>189</v>
      </c>
      <c r="H2511" s="705">
        <v>400</v>
      </c>
      <c r="I2511" s="705">
        <v>53169</v>
      </c>
      <c r="J2511" s="705">
        <v>48336</v>
      </c>
      <c r="K2511" s="705">
        <v>65</v>
      </c>
      <c r="L2511" s="705">
        <v>12800</v>
      </c>
      <c r="M2511" s="705">
        <v>11636</v>
      </c>
      <c r="N2511" s="705">
        <v>3910</v>
      </c>
      <c r="O2511" s="705">
        <v>1448</v>
      </c>
      <c r="P2511" s="705">
        <v>702</v>
      </c>
      <c r="Q2511" s="705">
        <v>260</v>
      </c>
      <c r="R2511" s="705">
        <v>3831</v>
      </c>
      <c r="S2511" s="705">
        <v>3483</v>
      </c>
      <c r="T2511" s="705">
        <v>1057</v>
      </c>
      <c r="U2511" s="705">
        <v>391</v>
      </c>
      <c r="V2511" s="705">
        <v>65554</v>
      </c>
      <c r="W2511" s="705">
        <f t="shared" si="102"/>
        <v>65554</v>
      </c>
      <c r="X2511" s="705">
        <f t="shared" si="103"/>
        <v>75469</v>
      </c>
    </row>
    <row r="2512" spans="2:24">
      <c r="B2512" t="s">
        <v>552</v>
      </c>
      <c r="C2512" t="s">
        <v>124</v>
      </c>
      <c r="D2512" t="s">
        <v>582</v>
      </c>
      <c r="E2512" t="s">
        <v>664</v>
      </c>
      <c r="F2512" s="705">
        <v>1</v>
      </c>
      <c r="G2512" s="705">
        <v>99</v>
      </c>
      <c r="H2512" s="705">
        <v>505</v>
      </c>
      <c r="I2512" s="705">
        <v>31740</v>
      </c>
      <c r="J2512" s="705">
        <v>28854</v>
      </c>
      <c r="K2512" s="705">
        <v>63</v>
      </c>
      <c r="L2512" s="705">
        <v>7030</v>
      </c>
      <c r="M2512" s="705">
        <v>6391</v>
      </c>
      <c r="N2512" s="705">
        <v>1632</v>
      </c>
      <c r="O2512" s="705">
        <v>604</v>
      </c>
      <c r="P2512" s="705">
        <v>351</v>
      </c>
      <c r="Q2512" s="705">
        <v>130</v>
      </c>
      <c r="R2512" s="705">
        <v>5816</v>
      </c>
      <c r="S2512" s="705">
        <v>5287</v>
      </c>
      <c r="T2512" s="705">
        <v>3121</v>
      </c>
      <c r="U2512" s="705">
        <v>1156</v>
      </c>
      <c r="V2512" s="705">
        <v>42422</v>
      </c>
      <c r="W2512" s="705">
        <f t="shared" si="102"/>
        <v>42422</v>
      </c>
      <c r="X2512" s="705">
        <f t="shared" si="103"/>
        <v>49690</v>
      </c>
    </row>
    <row r="2513" spans="2:24">
      <c r="B2513" t="s">
        <v>552</v>
      </c>
      <c r="C2513" t="s">
        <v>124</v>
      </c>
      <c r="D2513" t="s">
        <v>582</v>
      </c>
      <c r="E2513" t="s">
        <v>582</v>
      </c>
      <c r="F2513" s="705">
        <v>2</v>
      </c>
      <c r="G2513" s="705">
        <v>290</v>
      </c>
      <c r="H2513" s="705">
        <v>999</v>
      </c>
      <c r="I2513" s="705">
        <v>98385</v>
      </c>
      <c r="J2513" s="705">
        <v>89441</v>
      </c>
      <c r="K2513" s="705">
        <v>69</v>
      </c>
      <c r="L2513" s="705">
        <v>23447</v>
      </c>
      <c r="M2513" s="705">
        <v>21316</v>
      </c>
      <c r="N2513" s="705">
        <v>6485</v>
      </c>
      <c r="O2513" s="705">
        <v>2402</v>
      </c>
      <c r="P2513" s="705">
        <v>945</v>
      </c>
      <c r="Q2513" s="705">
        <v>350</v>
      </c>
      <c r="R2513" s="705">
        <v>14046</v>
      </c>
      <c r="S2513" s="705">
        <v>12769</v>
      </c>
      <c r="T2513" s="705">
        <v>3583</v>
      </c>
      <c r="U2513" s="705">
        <v>1327</v>
      </c>
      <c r="V2513" s="705">
        <v>127605</v>
      </c>
      <c r="W2513" s="705">
        <f t="shared" si="102"/>
        <v>127605</v>
      </c>
      <c r="X2513" s="705">
        <f t="shared" si="103"/>
        <v>146891</v>
      </c>
    </row>
    <row r="2514" spans="2:24">
      <c r="B2514" t="s">
        <v>552</v>
      </c>
      <c r="C2514" t="s">
        <v>124</v>
      </c>
      <c r="D2514" t="s">
        <v>228</v>
      </c>
      <c r="E2514" t="s">
        <v>228</v>
      </c>
      <c r="F2514" s="705">
        <v>32</v>
      </c>
      <c r="G2514" s="705">
        <v>2781</v>
      </c>
      <c r="H2514" s="705">
        <v>24652</v>
      </c>
      <c r="I2514" s="705">
        <v>1512129</v>
      </c>
      <c r="J2514" s="705">
        <v>560048</v>
      </c>
      <c r="K2514" s="705">
        <v>100</v>
      </c>
      <c r="L2514" s="705">
        <v>266506</v>
      </c>
      <c r="M2514" s="705">
        <v>229104</v>
      </c>
      <c r="N2514" s="705">
        <v>61469</v>
      </c>
      <c r="O2514" s="705">
        <v>22766</v>
      </c>
      <c r="P2514" s="705">
        <v>702</v>
      </c>
      <c r="Q2514" s="705">
        <v>260</v>
      </c>
      <c r="R2514" s="705">
        <v>181927</v>
      </c>
      <c r="S2514" s="705">
        <v>67380</v>
      </c>
      <c r="T2514" s="705">
        <v>0</v>
      </c>
      <c r="U2514" s="705">
        <v>0</v>
      </c>
      <c r="V2514" s="705">
        <v>879558</v>
      </c>
      <c r="W2514" s="705">
        <f t="shared" si="102"/>
        <v>879558</v>
      </c>
      <c r="X2514" s="705">
        <f t="shared" si="103"/>
        <v>2022733</v>
      </c>
    </row>
    <row r="2515" spans="2:24">
      <c r="B2515" t="s">
        <v>552</v>
      </c>
      <c r="C2515" t="s">
        <v>124</v>
      </c>
      <c r="D2515" t="s">
        <v>228</v>
      </c>
      <c r="E2515" t="s">
        <v>583</v>
      </c>
      <c r="F2515" s="705">
        <v>1</v>
      </c>
      <c r="G2515" s="705">
        <v>62</v>
      </c>
      <c r="H2515" s="705">
        <v>604</v>
      </c>
      <c r="I2515" s="705">
        <v>28291</v>
      </c>
      <c r="J2515" s="705">
        <v>10478</v>
      </c>
      <c r="K2515" s="705">
        <v>100</v>
      </c>
      <c r="L2515" s="705">
        <v>2134</v>
      </c>
      <c r="M2515" s="705">
        <v>1940</v>
      </c>
      <c r="N2515" s="705">
        <v>1516</v>
      </c>
      <c r="O2515" s="705">
        <v>561</v>
      </c>
      <c r="P2515" s="705">
        <v>621</v>
      </c>
      <c r="Q2515" s="705">
        <v>230</v>
      </c>
      <c r="R2515" s="705">
        <v>3532</v>
      </c>
      <c r="S2515" s="705">
        <v>3211</v>
      </c>
      <c r="T2515" s="705">
        <v>1475</v>
      </c>
      <c r="U2515" s="705">
        <v>546</v>
      </c>
      <c r="V2515" s="705">
        <v>16968</v>
      </c>
      <c r="W2515" s="705">
        <f t="shared" si="102"/>
        <v>16966</v>
      </c>
      <c r="X2515" s="705">
        <f t="shared" si="103"/>
        <v>37569</v>
      </c>
    </row>
    <row r="2516" spans="2:24">
      <c r="B2516" t="s">
        <v>552</v>
      </c>
      <c r="C2516" t="s">
        <v>124</v>
      </c>
      <c r="D2516" t="s">
        <v>228</v>
      </c>
      <c r="E2516" t="s">
        <v>671</v>
      </c>
      <c r="F2516" s="705">
        <v>2</v>
      </c>
      <c r="G2516" s="705">
        <v>205</v>
      </c>
      <c r="H2516" s="705">
        <v>1471</v>
      </c>
      <c r="I2516" s="705">
        <v>130360</v>
      </c>
      <c r="J2516" s="705">
        <v>48282</v>
      </c>
      <c r="K2516" s="705">
        <v>83</v>
      </c>
      <c r="L2516" s="705">
        <v>8875</v>
      </c>
      <c r="M2516" s="705">
        <v>8068</v>
      </c>
      <c r="N2516" s="705">
        <v>4238</v>
      </c>
      <c r="O2516" s="705">
        <v>1570</v>
      </c>
      <c r="P2516" s="705">
        <v>0</v>
      </c>
      <c r="Q2516" s="705">
        <v>0</v>
      </c>
      <c r="R2516" s="705">
        <v>12993</v>
      </c>
      <c r="S2516" s="705">
        <v>11812</v>
      </c>
      <c r="T2516" s="705">
        <v>3286</v>
      </c>
      <c r="U2516" s="705">
        <v>1217</v>
      </c>
      <c r="V2516" s="705">
        <v>70948</v>
      </c>
      <c r="W2516" s="705">
        <f t="shared" si="102"/>
        <v>70949</v>
      </c>
      <c r="X2516" s="705">
        <f t="shared" si="103"/>
        <v>159752</v>
      </c>
    </row>
    <row r="2517" spans="2:24">
      <c r="B2517" t="s">
        <v>552</v>
      </c>
      <c r="C2517" t="s">
        <v>124</v>
      </c>
      <c r="D2517" t="s">
        <v>228</v>
      </c>
      <c r="E2517" t="s">
        <v>665</v>
      </c>
      <c r="F2517" s="705">
        <v>6</v>
      </c>
      <c r="G2517" s="705">
        <v>509</v>
      </c>
      <c r="H2517" s="705">
        <v>4678</v>
      </c>
      <c r="I2517" s="705">
        <v>277065</v>
      </c>
      <c r="J2517" s="705">
        <v>102617</v>
      </c>
      <c r="K2517" s="705">
        <v>100</v>
      </c>
      <c r="L2517" s="705">
        <v>35741</v>
      </c>
      <c r="M2517" s="705">
        <v>32492</v>
      </c>
      <c r="N2517" s="705">
        <v>11807</v>
      </c>
      <c r="O2517" s="705">
        <v>4373</v>
      </c>
      <c r="P2517" s="705">
        <v>1404</v>
      </c>
      <c r="Q2517" s="705">
        <v>520</v>
      </c>
      <c r="R2517" s="705">
        <v>28898</v>
      </c>
      <c r="S2517" s="705">
        <v>26271</v>
      </c>
      <c r="T2517" s="705">
        <v>11964</v>
      </c>
      <c r="U2517" s="705">
        <v>4431</v>
      </c>
      <c r="V2517" s="705">
        <v>170703</v>
      </c>
      <c r="W2517" s="705">
        <f t="shared" si="102"/>
        <v>170704</v>
      </c>
      <c r="X2517" s="705">
        <f t="shared" si="103"/>
        <v>366879</v>
      </c>
    </row>
    <row r="2518" spans="2:24">
      <c r="B2518" t="s">
        <v>552</v>
      </c>
      <c r="C2518" t="s">
        <v>124</v>
      </c>
      <c r="D2518" t="s">
        <v>583</v>
      </c>
      <c r="E2518" t="s">
        <v>228</v>
      </c>
      <c r="F2518" s="705">
        <v>1</v>
      </c>
      <c r="G2518" s="705">
        <v>81</v>
      </c>
      <c r="H2518" s="705">
        <v>462</v>
      </c>
      <c r="I2518" s="705">
        <v>25880</v>
      </c>
      <c r="J2518" s="705">
        <v>23527</v>
      </c>
      <c r="K2518" s="705">
        <v>79</v>
      </c>
      <c r="L2518" s="705">
        <v>4793</v>
      </c>
      <c r="M2518" s="705">
        <v>4357</v>
      </c>
      <c r="N2518" s="705">
        <v>1596</v>
      </c>
      <c r="O2518" s="705">
        <v>591</v>
      </c>
      <c r="P2518" s="705">
        <v>621</v>
      </c>
      <c r="Q2518" s="705">
        <v>230</v>
      </c>
      <c r="R2518" s="705">
        <v>4462</v>
      </c>
      <c r="S2518" s="705">
        <v>1653</v>
      </c>
      <c r="T2518" s="705">
        <v>0</v>
      </c>
      <c r="U2518" s="705">
        <v>0</v>
      </c>
      <c r="V2518" s="705">
        <v>30358</v>
      </c>
      <c r="W2518" s="705">
        <f t="shared" si="102"/>
        <v>30358</v>
      </c>
      <c r="X2518" s="705">
        <f t="shared" si="103"/>
        <v>37352</v>
      </c>
    </row>
    <row r="2519" spans="2:24">
      <c r="B2519" t="s">
        <v>552</v>
      </c>
      <c r="C2519" t="s">
        <v>124</v>
      </c>
      <c r="D2519" t="s">
        <v>583</v>
      </c>
      <c r="E2519" t="s">
        <v>583</v>
      </c>
      <c r="F2519" s="705">
        <v>183</v>
      </c>
      <c r="G2519" s="705">
        <v>18314</v>
      </c>
      <c r="H2519" s="705">
        <v>106033</v>
      </c>
      <c r="I2519" s="705">
        <v>6817843</v>
      </c>
      <c r="J2519" s="705">
        <v>6198039</v>
      </c>
      <c r="K2519" s="705">
        <v>74</v>
      </c>
      <c r="L2519" s="705">
        <v>2094293</v>
      </c>
      <c r="M2519" s="705">
        <v>1894735</v>
      </c>
      <c r="N2519" s="705">
        <v>392267</v>
      </c>
      <c r="O2519" s="705">
        <v>145284</v>
      </c>
      <c r="P2519" s="705">
        <v>125496</v>
      </c>
      <c r="Q2519" s="705">
        <v>46480</v>
      </c>
      <c r="R2519" s="705">
        <v>919643</v>
      </c>
      <c r="S2519" s="705">
        <v>836039</v>
      </c>
      <c r="T2519" s="705">
        <v>313530</v>
      </c>
      <c r="U2519" s="705">
        <v>116122</v>
      </c>
      <c r="V2519" s="705">
        <v>9236699</v>
      </c>
      <c r="W2519" s="705">
        <f t="shared" si="102"/>
        <v>9236699</v>
      </c>
      <c r="X2519" s="705">
        <f t="shared" si="103"/>
        <v>10663072</v>
      </c>
    </row>
    <row r="2520" spans="2:24">
      <c r="B2520" t="s">
        <v>552</v>
      </c>
      <c r="C2520" t="s">
        <v>124</v>
      </c>
      <c r="D2520" t="s">
        <v>666</v>
      </c>
      <c r="E2520" t="s">
        <v>666</v>
      </c>
      <c r="F2520" s="705">
        <v>2</v>
      </c>
      <c r="G2520" s="705">
        <v>173</v>
      </c>
      <c r="H2520" s="705">
        <v>1399</v>
      </c>
      <c r="I2520" s="705">
        <v>79606</v>
      </c>
      <c r="J2520" s="705">
        <v>72369</v>
      </c>
      <c r="K2520" s="705">
        <v>45</v>
      </c>
      <c r="L2520" s="705">
        <v>13268</v>
      </c>
      <c r="M2520" s="705">
        <v>12061</v>
      </c>
      <c r="N2520" s="705">
        <v>2219</v>
      </c>
      <c r="O2520" s="705">
        <v>822</v>
      </c>
      <c r="P2520" s="705">
        <v>702</v>
      </c>
      <c r="Q2520" s="705">
        <v>260</v>
      </c>
      <c r="R2520" s="705">
        <v>19430</v>
      </c>
      <c r="S2520" s="705">
        <v>17664</v>
      </c>
      <c r="T2520" s="705">
        <v>4437</v>
      </c>
      <c r="U2520" s="705">
        <v>1644</v>
      </c>
      <c r="V2520" s="705">
        <v>104820</v>
      </c>
      <c r="W2520" s="705">
        <f t="shared" si="102"/>
        <v>104820</v>
      </c>
      <c r="X2520" s="705">
        <f t="shared" si="103"/>
        <v>119662</v>
      </c>
    </row>
    <row r="2521" spans="2:24">
      <c r="B2521" t="s">
        <v>552</v>
      </c>
      <c r="C2521" t="s">
        <v>124</v>
      </c>
      <c r="D2521" t="s">
        <v>666</v>
      </c>
      <c r="E2521" t="s">
        <v>671</v>
      </c>
      <c r="F2521" s="705">
        <v>1</v>
      </c>
      <c r="G2521" s="705">
        <v>124</v>
      </c>
      <c r="H2521" s="705">
        <v>502</v>
      </c>
      <c r="I2521" s="705">
        <v>43271</v>
      </c>
      <c r="J2521" s="705">
        <v>39337</v>
      </c>
      <c r="K2521" s="705">
        <v>55</v>
      </c>
      <c r="L2521" s="705">
        <v>7555</v>
      </c>
      <c r="M2521" s="705">
        <v>6868</v>
      </c>
      <c r="N2521" s="705">
        <v>2425</v>
      </c>
      <c r="O2521" s="705">
        <v>898</v>
      </c>
      <c r="P2521" s="705">
        <v>351</v>
      </c>
      <c r="Q2521" s="705">
        <v>130</v>
      </c>
      <c r="R2521" s="705">
        <v>8843</v>
      </c>
      <c r="S2521" s="705">
        <v>8039</v>
      </c>
      <c r="T2521" s="705">
        <v>0</v>
      </c>
      <c r="U2521" s="705">
        <v>0</v>
      </c>
      <c r="V2521" s="705">
        <v>55272</v>
      </c>
      <c r="W2521" s="705">
        <f t="shared" si="102"/>
        <v>55272</v>
      </c>
      <c r="X2521" s="705">
        <f t="shared" si="103"/>
        <v>62445</v>
      </c>
    </row>
    <row r="2522" spans="2:24">
      <c r="B2522" t="s">
        <v>552</v>
      </c>
      <c r="C2522" t="s">
        <v>124</v>
      </c>
      <c r="D2522" t="s">
        <v>584</v>
      </c>
      <c r="E2522" t="s">
        <v>584</v>
      </c>
      <c r="F2522" s="705">
        <v>1</v>
      </c>
      <c r="G2522" s="705">
        <v>84</v>
      </c>
      <c r="H2522" s="705">
        <v>483</v>
      </c>
      <c r="I2522" s="705">
        <v>28274</v>
      </c>
      <c r="J2522" s="705">
        <v>25703</v>
      </c>
      <c r="K2522" s="705">
        <v>65</v>
      </c>
      <c r="L2522" s="705">
        <v>4854</v>
      </c>
      <c r="M2522" s="705">
        <v>4412</v>
      </c>
      <c r="N2522" s="705">
        <v>1956</v>
      </c>
      <c r="O2522" s="705">
        <v>724</v>
      </c>
      <c r="P2522" s="705">
        <v>473</v>
      </c>
      <c r="Q2522" s="705">
        <v>175</v>
      </c>
      <c r="R2522" s="705">
        <v>3098</v>
      </c>
      <c r="S2522" s="705">
        <v>2816</v>
      </c>
      <c r="T2522" s="705">
        <v>1769</v>
      </c>
      <c r="U2522" s="705">
        <v>655</v>
      </c>
      <c r="V2522" s="705">
        <v>34486</v>
      </c>
      <c r="W2522" s="705">
        <f t="shared" si="102"/>
        <v>34485</v>
      </c>
      <c r="X2522" s="705">
        <f t="shared" si="103"/>
        <v>40424</v>
      </c>
    </row>
    <row r="2523" spans="2:24">
      <c r="B2523" t="s">
        <v>552</v>
      </c>
      <c r="C2523" t="s">
        <v>124</v>
      </c>
      <c r="D2523" t="s">
        <v>669</v>
      </c>
      <c r="E2523" t="s">
        <v>669</v>
      </c>
      <c r="F2523" s="705">
        <v>2</v>
      </c>
      <c r="G2523" s="705">
        <v>176</v>
      </c>
      <c r="H2523" s="705">
        <v>2258</v>
      </c>
      <c r="I2523" s="705">
        <v>134379</v>
      </c>
      <c r="J2523" s="705">
        <v>111982</v>
      </c>
      <c r="K2523" s="705">
        <v>48</v>
      </c>
      <c r="L2523" s="705">
        <v>7845</v>
      </c>
      <c r="M2523" s="705">
        <v>6538</v>
      </c>
      <c r="N2523" s="705">
        <v>4237</v>
      </c>
      <c r="O2523" s="705">
        <v>1569</v>
      </c>
      <c r="P2523" s="705">
        <v>351</v>
      </c>
      <c r="Q2523" s="705">
        <v>130</v>
      </c>
      <c r="R2523" s="705">
        <v>11242</v>
      </c>
      <c r="S2523" s="705">
        <v>9369</v>
      </c>
      <c r="T2523" s="705">
        <v>1178</v>
      </c>
      <c r="U2523" s="705">
        <v>436</v>
      </c>
      <c r="V2523" s="705">
        <v>130024</v>
      </c>
      <c r="W2523" s="705">
        <f t="shared" si="102"/>
        <v>130024</v>
      </c>
      <c r="X2523" s="705">
        <f t="shared" si="103"/>
        <v>159232</v>
      </c>
    </row>
    <row r="2524" spans="2:24">
      <c r="B2524" t="s">
        <v>552</v>
      </c>
      <c r="C2524" t="s">
        <v>124</v>
      </c>
      <c r="D2524" t="s">
        <v>667</v>
      </c>
      <c r="E2524" t="s">
        <v>667</v>
      </c>
      <c r="F2524" s="705">
        <v>6</v>
      </c>
      <c r="G2524" s="705">
        <v>664</v>
      </c>
      <c r="H2524" s="705">
        <v>4205</v>
      </c>
      <c r="I2524" s="705">
        <v>343715</v>
      </c>
      <c r="J2524" s="705">
        <v>312468</v>
      </c>
      <c r="K2524" s="705">
        <v>47</v>
      </c>
      <c r="L2524" s="705">
        <v>47596</v>
      </c>
      <c r="M2524" s="705">
        <v>43269</v>
      </c>
      <c r="N2524" s="705">
        <v>12509</v>
      </c>
      <c r="O2524" s="705">
        <v>4633</v>
      </c>
      <c r="P2524" s="705">
        <v>2106</v>
      </c>
      <c r="Q2524" s="705">
        <v>780</v>
      </c>
      <c r="R2524" s="705">
        <v>39263</v>
      </c>
      <c r="S2524" s="705">
        <v>35694</v>
      </c>
      <c r="T2524" s="705">
        <v>11911</v>
      </c>
      <c r="U2524" s="705">
        <v>4411</v>
      </c>
      <c r="V2524" s="705">
        <v>401256</v>
      </c>
      <c r="W2524" s="705">
        <f t="shared" si="102"/>
        <v>401255</v>
      </c>
      <c r="X2524" s="705">
        <f t="shared" si="103"/>
        <v>457100</v>
      </c>
    </row>
    <row r="2525" spans="2:24">
      <c r="B2525" t="s">
        <v>552</v>
      </c>
      <c r="C2525" t="s">
        <v>124</v>
      </c>
      <c r="D2525" t="s">
        <v>667</v>
      </c>
      <c r="E2525" t="s">
        <v>665</v>
      </c>
      <c r="F2525" s="705">
        <v>1</v>
      </c>
      <c r="G2525" s="705">
        <v>65</v>
      </c>
      <c r="H2525" s="705">
        <v>691</v>
      </c>
      <c r="I2525" s="705">
        <v>30861</v>
      </c>
      <c r="J2525" s="705">
        <v>28056</v>
      </c>
      <c r="K2525" s="705">
        <v>65</v>
      </c>
      <c r="L2525" s="705">
        <v>5471</v>
      </c>
      <c r="M2525" s="705">
        <v>2026</v>
      </c>
      <c r="N2525" s="705">
        <v>1584</v>
      </c>
      <c r="O2525" s="705">
        <v>587</v>
      </c>
      <c r="P2525" s="705">
        <v>351</v>
      </c>
      <c r="Q2525" s="705">
        <v>130</v>
      </c>
      <c r="R2525" s="705">
        <v>6634</v>
      </c>
      <c r="S2525" s="705">
        <v>6031</v>
      </c>
      <c r="T2525" s="705">
        <v>0</v>
      </c>
      <c r="U2525" s="705">
        <v>0</v>
      </c>
      <c r="V2525" s="705">
        <v>36829</v>
      </c>
      <c r="W2525" s="705">
        <f t="shared" si="102"/>
        <v>36830</v>
      </c>
      <c r="X2525" s="705">
        <f t="shared" si="103"/>
        <v>44901</v>
      </c>
    </row>
    <row r="2526" spans="2:24">
      <c r="B2526" t="s">
        <v>552</v>
      </c>
      <c r="C2526" t="s">
        <v>124</v>
      </c>
      <c r="D2526" t="s">
        <v>671</v>
      </c>
      <c r="E2526" t="s">
        <v>228</v>
      </c>
      <c r="F2526" s="705">
        <v>1</v>
      </c>
      <c r="G2526" s="705">
        <v>49</v>
      </c>
      <c r="H2526" s="705">
        <v>1282</v>
      </c>
      <c r="I2526" s="705">
        <v>52987</v>
      </c>
      <c r="J2526" s="705">
        <v>48170</v>
      </c>
      <c r="K2526" s="705">
        <v>30</v>
      </c>
      <c r="L2526" s="705">
        <v>4335</v>
      </c>
      <c r="M2526" s="705">
        <v>1606</v>
      </c>
      <c r="N2526" s="705">
        <v>595</v>
      </c>
      <c r="O2526" s="705">
        <v>220</v>
      </c>
      <c r="P2526" s="705">
        <v>0</v>
      </c>
      <c r="Q2526" s="705">
        <v>0</v>
      </c>
      <c r="R2526" s="705">
        <v>4657</v>
      </c>
      <c r="S2526" s="705">
        <v>1725</v>
      </c>
      <c r="T2526" s="705">
        <v>0</v>
      </c>
      <c r="U2526" s="705">
        <v>0</v>
      </c>
      <c r="V2526" s="705">
        <v>51721</v>
      </c>
      <c r="W2526" s="705">
        <f t="shared" si="102"/>
        <v>51721</v>
      </c>
      <c r="X2526" s="705">
        <f t="shared" si="103"/>
        <v>62574</v>
      </c>
    </row>
    <row r="2527" spans="2:24">
      <c r="B2527" t="s">
        <v>552</v>
      </c>
      <c r="C2527" t="s">
        <v>124</v>
      </c>
      <c r="D2527" t="s">
        <v>671</v>
      </c>
      <c r="E2527" t="s">
        <v>671</v>
      </c>
      <c r="F2527" s="705">
        <v>36</v>
      </c>
      <c r="G2527" s="705">
        <v>3222</v>
      </c>
      <c r="H2527" s="705">
        <v>25445</v>
      </c>
      <c r="I2527" s="705">
        <v>1592008</v>
      </c>
      <c r="J2527" s="705">
        <v>1447280</v>
      </c>
      <c r="K2527" s="705">
        <v>49</v>
      </c>
      <c r="L2527" s="705">
        <v>220514</v>
      </c>
      <c r="M2527" s="705">
        <v>193114</v>
      </c>
      <c r="N2527" s="705">
        <v>67233</v>
      </c>
      <c r="O2527" s="705">
        <v>24901</v>
      </c>
      <c r="P2527" s="705">
        <v>11934</v>
      </c>
      <c r="Q2527" s="705">
        <v>4420</v>
      </c>
      <c r="R2527" s="705">
        <v>247332</v>
      </c>
      <c r="S2527" s="705">
        <v>224847</v>
      </c>
      <c r="T2527" s="705">
        <v>60840</v>
      </c>
      <c r="U2527" s="705">
        <v>22533</v>
      </c>
      <c r="V2527" s="705">
        <v>1917095</v>
      </c>
      <c r="W2527" s="705">
        <f t="shared" si="102"/>
        <v>1917095</v>
      </c>
      <c r="X2527" s="705">
        <f t="shared" si="103"/>
        <v>2199861</v>
      </c>
    </row>
    <row r="2528" spans="2:24">
      <c r="B2528" t="s">
        <v>552</v>
      </c>
      <c r="C2528" t="s">
        <v>124</v>
      </c>
      <c r="D2528" t="s">
        <v>665</v>
      </c>
      <c r="E2528" t="s">
        <v>228</v>
      </c>
      <c r="F2528" s="705">
        <v>22</v>
      </c>
      <c r="G2528" s="705">
        <v>1902</v>
      </c>
      <c r="H2528" s="705">
        <v>25717</v>
      </c>
      <c r="I2528" s="705">
        <v>1776216</v>
      </c>
      <c r="J2528" s="705">
        <v>1614742</v>
      </c>
      <c r="K2528" s="705">
        <v>40</v>
      </c>
      <c r="L2528" s="705">
        <v>176420</v>
      </c>
      <c r="M2528" s="705">
        <v>128105</v>
      </c>
      <c r="N2528" s="705">
        <v>41138</v>
      </c>
      <c r="O2528" s="705">
        <v>15236</v>
      </c>
      <c r="P2528" s="705">
        <v>1169</v>
      </c>
      <c r="Q2528" s="705">
        <v>433</v>
      </c>
      <c r="R2528" s="705">
        <v>116538</v>
      </c>
      <c r="S2528" s="705">
        <v>43162</v>
      </c>
      <c r="T2528" s="705">
        <v>0</v>
      </c>
      <c r="U2528" s="705">
        <v>0</v>
      </c>
      <c r="V2528" s="705">
        <v>1801678</v>
      </c>
      <c r="W2528" s="705">
        <f t="shared" si="102"/>
        <v>1801678</v>
      </c>
      <c r="X2528" s="705">
        <f t="shared" si="103"/>
        <v>2111481</v>
      </c>
    </row>
    <row r="2529" spans="2:24">
      <c r="B2529" t="s">
        <v>552</v>
      </c>
      <c r="C2529" t="s">
        <v>124</v>
      </c>
      <c r="D2529" t="s">
        <v>665</v>
      </c>
      <c r="E2529" t="s">
        <v>583</v>
      </c>
      <c r="F2529" s="705">
        <v>1</v>
      </c>
      <c r="G2529" s="705">
        <v>140</v>
      </c>
      <c r="H2529" s="705">
        <v>474</v>
      </c>
      <c r="I2529" s="705">
        <v>54231</v>
      </c>
      <c r="J2529" s="705">
        <v>49301</v>
      </c>
      <c r="K2529" s="705">
        <v>60</v>
      </c>
      <c r="L2529" s="705">
        <v>0</v>
      </c>
      <c r="M2529" s="705">
        <v>0</v>
      </c>
      <c r="N2529" s="705">
        <v>3070</v>
      </c>
      <c r="O2529" s="705">
        <v>1137</v>
      </c>
      <c r="P2529" s="705">
        <v>351</v>
      </c>
      <c r="Q2529" s="705">
        <v>130</v>
      </c>
      <c r="R2529" s="705">
        <v>5798</v>
      </c>
      <c r="S2529" s="705">
        <v>5271</v>
      </c>
      <c r="T2529" s="705">
        <v>2908</v>
      </c>
      <c r="U2529" s="705">
        <v>1077</v>
      </c>
      <c r="V2529" s="705">
        <v>56916</v>
      </c>
      <c r="W2529" s="705">
        <f t="shared" si="102"/>
        <v>56916</v>
      </c>
      <c r="X2529" s="705">
        <f t="shared" si="103"/>
        <v>66358</v>
      </c>
    </row>
    <row r="2530" spans="2:24">
      <c r="B2530" t="s">
        <v>552</v>
      </c>
      <c r="C2530" t="s">
        <v>124</v>
      </c>
      <c r="D2530" t="s">
        <v>665</v>
      </c>
      <c r="E2530" t="s">
        <v>665</v>
      </c>
      <c r="F2530" s="705">
        <v>228</v>
      </c>
      <c r="G2530" s="705">
        <v>21495</v>
      </c>
      <c r="H2530" s="705">
        <v>161319</v>
      </c>
      <c r="I2530" s="705">
        <v>10827789</v>
      </c>
      <c r="J2530" s="705">
        <v>9843444</v>
      </c>
      <c r="K2530" s="705">
        <v>51</v>
      </c>
      <c r="L2530" s="705">
        <v>1595332</v>
      </c>
      <c r="M2530" s="705">
        <v>1405633</v>
      </c>
      <c r="N2530" s="705">
        <v>445395</v>
      </c>
      <c r="O2530" s="705">
        <v>164961</v>
      </c>
      <c r="P2530" s="705">
        <v>77436</v>
      </c>
      <c r="Q2530" s="705">
        <v>28680</v>
      </c>
      <c r="R2530" s="705">
        <v>1475870</v>
      </c>
      <c r="S2530" s="705">
        <v>1341700</v>
      </c>
      <c r="T2530" s="705">
        <v>471549</v>
      </c>
      <c r="U2530" s="705">
        <v>174648</v>
      </c>
      <c r="V2530" s="705">
        <v>12959066</v>
      </c>
      <c r="W2530" s="705">
        <f t="shared" si="102"/>
        <v>12959066</v>
      </c>
      <c r="X2530" s="705">
        <f t="shared" si="103"/>
        <v>14893371</v>
      </c>
    </row>
    <row r="2531" spans="2:24">
      <c r="B2531" t="s">
        <v>552</v>
      </c>
      <c r="C2531" t="s">
        <v>124</v>
      </c>
      <c r="D2531" t="s">
        <v>673</v>
      </c>
      <c r="E2531" t="s">
        <v>673</v>
      </c>
      <c r="F2531" s="705">
        <v>1</v>
      </c>
      <c r="G2531" s="705">
        <v>81</v>
      </c>
      <c r="H2531" s="705">
        <v>666</v>
      </c>
      <c r="I2531" s="705">
        <v>38148</v>
      </c>
      <c r="J2531" s="705">
        <v>34680</v>
      </c>
      <c r="K2531" s="705">
        <v>65</v>
      </c>
      <c r="L2531" s="705">
        <v>9184</v>
      </c>
      <c r="M2531" s="705">
        <v>8349</v>
      </c>
      <c r="N2531" s="705">
        <v>1084</v>
      </c>
      <c r="O2531" s="705">
        <v>402</v>
      </c>
      <c r="P2531" s="705">
        <v>351</v>
      </c>
      <c r="Q2531" s="705">
        <v>130</v>
      </c>
      <c r="R2531" s="705">
        <v>3180</v>
      </c>
      <c r="S2531" s="705">
        <v>2891</v>
      </c>
      <c r="T2531" s="705">
        <v>1955</v>
      </c>
      <c r="U2531" s="705">
        <v>724</v>
      </c>
      <c r="V2531" s="705">
        <v>47175</v>
      </c>
      <c r="W2531" s="705">
        <f t="shared" si="102"/>
        <v>47176</v>
      </c>
      <c r="X2531" s="705">
        <f t="shared" si="103"/>
        <v>53902</v>
      </c>
    </row>
    <row r="2532" spans="2:24">
      <c r="B2532" t="s">
        <v>552</v>
      </c>
      <c r="C2532" t="s">
        <v>124</v>
      </c>
      <c r="D2532" t="s">
        <v>668</v>
      </c>
      <c r="E2532" t="s">
        <v>668</v>
      </c>
      <c r="F2532" s="705">
        <v>1</v>
      </c>
      <c r="G2532" s="705">
        <v>81</v>
      </c>
      <c r="H2532" s="705">
        <v>543</v>
      </c>
      <c r="I2532" s="705">
        <v>31866</v>
      </c>
      <c r="J2532" s="705">
        <v>28969</v>
      </c>
      <c r="K2532" s="705">
        <v>65</v>
      </c>
      <c r="L2532" s="705">
        <v>3836</v>
      </c>
      <c r="M2532" s="705">
        <v>3487</v>
      </c>
      <c r="N2532" s="705">
        <v>1678</v>
      </c>
      <c r="O2532" s="705">
        <v>621</v>
      </c>
      <c r="P2532" s="705">
        <v>351</v>
      </c>
      <c r="Q2532" s="705">
        <v>130</v>
      </c>
      <c r="R2532" s="705">
        <v>4100</v>
      </c>
      <c r="S2532" s="705">
        <v>3727</v>
      </c>
      <c r="T2532" s="705">
        <v>2135</v>
      </c>
      <c r="U2532" s="705">
        <v>791</v>
      </c>
      <c r="V2532" s="705">
        <v>37726</v>
      </c>
      <c r="W2532" s="705">
        <f t="shared" si="102"/>
        <v>37725</v>
      </c>
      <c r="X2532" s="705">
        <f t="shared" si="103"/>
        <v>43966</v>
      </c>
    </row>
    <row r="2533" spans="2:24">
      <c r="B2533" t="s">
        <v>553</v>
      </c>
      <c r="C2533" t="s">
        <v>108</v>
      </c>
      <c r="D2533" t="s">
        <v>582</v>
      </c>
      <c r="E2533" t="s">
        <v>582</v>
      </c>
      <c r="F2533" s="705">
        <v>2</v>
      </c>
      <c r="G2533" s="705">
        <v>678</v>
      </c>
      <c r="H2533" s="705">
        <v>120</v>
      </c>
      <c r="I2533" s="705">
        <v>16547</v>
      </c>
      <c r="J2533" s="705">
        <v>15042</v>
      </c>
      <c r="K2533" s="705">
        <v>91</v>
      </c>
      <c r="L2533" s="705">
        <v>2050</v>
      </c>
      <c r="M2533" s="705">
        <v>1864</v>
      </c>
      <c r="N2533" s="705">
        <v>8919</v>
      </c>
      <c r="O2533" s="705">
        <v>3304</v>
      </c>
      <c r="P2533" s="705">
        <v>6882</v>
      </c>
      <c r="Q2533" s="705">
        <v>2549</v>
      </c>
      <c r="R2533" s="705">
        <v>3271</v>
      </c>
      <c r="S2533" s="705">
        <v>2974</v>
      </c>
      <c r="T2533" s="705">
        <v>0</v>
      </c>
      <c r="U2533" s="705">
        <v>0</v>
      </c>
      <c r="V2533" s="705">
        <v>25732</v>
      </c>
      <c r="W2533" s="705">
        <f t="shared" si="102"/>
        <v>25733</v>
      </c>
      <c r="X2533" s="705">
        <f t="shared" si="103"/>
        <v>37669</v>
      </c>
    </row>
    <row r="2534" spans="2:24">
      <c r="B2534" t="s">
        <v>553</v>
      </c>
      <c r="C2534" t="s">
        <v>108</v>
      </c>
      <c r="D2534" t="s">
        <v>228</v>
      </c>
      <c r="E2534" t="s">
        <v>228</v>
      </c>
      <c r="F2534" s="705">
        <v>62</v>
      </c>
      <c r="G2534" s="705">
        <v>13692</v>
      </c>
      <c r="H2534" s="705">
        <v>3585</v>
      </c>
      <c r="I2534" s="705">
        <v>135912</v>
      </c>
      <c r="J2534" s="705">
        <v>50338</v>
      </c>
      <c r="K2534" s="705">
        <v>451</v>
      </c>
      <c r="L2534" s="705">
        <v>39595</v>
      </c>
      <c r="M2534" s="705">
        <v>35337</v>
      </c>
      <c r="N2534" s="705">
        <v>191166</v>
      </c>
      <c r="O2534" s="705">
        <v>70802</v>
      </c>
      <c r="P2534" s="705">
        <v>95513</v>
      </c>
      <c r="Q2534" s="705">
        <v>35375</v>
      </c>
      <c r="R2534" s="705">
        <v>316782</v>
      </c>
      <c r="S2534" s="705">
        <v>117327</v>
      </c>
      <c r="T2534" s="705">
        <v>0</v>
      </c>
      <c r="U2534" s="705">
        <v>0</v>
      </c>
      <c r="V2534" s="705">
        <v>309179</v>
      </c>
      <c r="W2534" s="705">
        <f t="shared" si="102"/>
        <v>309179</v>
      </c>
      <c r="X2534" s="705">
        <f t="shared" si="103"/>
        <v>778968</v>
      </c>
    </row>
    <row r="2535" spans="2:24">
      <c r="B2535" t="s">
        <v>553</v>
      </c>
      <c r="C2535" t="s">
        <v>108</v>
      </c>
      <c r="D2535" t="s">
        <v>583</v>
      </c>
      <c r="E2535" t="s">
        <v>670</v>
      </c>
      <c r="F2535" s="705">
        <v>1</v>
      </c>
      <c r="G2535" s="705">
        <v>166</v>
      </c>
      <c r="H2535" s="705">
        <v>61</v>
      </c>
      <c r="I2535" s="705">
        <v>4399</v>
      </c>
      <c r="J2535" s="705">
        <v>3999</v>
      </c>
      <c r="K2535" s="705">
        <v>93</v>
      </c>
      <c r="L2535" s="705">
        <v>0</v>
      </c>
      <c r="M2535" s="705">
        <v>0</v>
      </c>
      <c r="N2535" s="705">
        <v>2016</v>
      </c>
      <c r="O2535" s="705">
        <v>747</v>
      </c>
      <c r="P2535" s="705">
        <v>621</v>
      </c>
      <c r="Q2535" s="705">
        <v>230</v>
      </c>
      <c r="R2535" s="705">
        <v>3015</v>
      </c>
      <c r="S2535" s="705">
        <v>1117</v>
      </c>
      <c r="T2535" s="705">
        <v>0</v>
      </c>
      <c r="U2535" s="705">
        <v>0</v>
      </c>
      <c r="V2535" s="705">
        <v>6093</v>
      </c>
      <c r="W2535" s="705">
        <f t="shared" si="102"/>
        <v>6093</v>
      </c>
      <c r="X2535" s="705">
        <f t="shared" si="103"/>
        <v>10051</v>
      </c>
    </row>
    <row r="2536" spans="2:24">
      <c r="B2536" t="s">
        <v>553</v>
      </c>
      <c r="C2536" t="s">
        <v>108</v>
      </c>
      <c r="D2536" t="s">
        <v>583</v>
      </c>
      <c r="E2536" t="s">
        <v>583</v>
      </c>
      <c r="F2536" s="705">
        <v>10</v>
      </c>
      <c r="G2536" s="705">
        <v>2318</v>
      </c>
      <c r="H2536" s="705">
        <v>606</v>
      </c>
      <c r="I2536" s="705">
        <v>42026</v>
      </c>
      <c r="J2536" s="705">
        <v>38205</v>
      </c>
      <c r="K2536" s="705">
        <v>94</v>
      </c>
      <c r="L2536" s="705">
        <v>4904</v>
      </c>
      <c r="M2536" s="705">
        <v>4458</v>
      </c>
      <c r="N2536" s="705">
        <v>35373</v>
      </c>
      <c r="O2536" s="705">
        <v>13101</v>
      </c>
      <c r="P2536" s="705">
        <v>16709</v>
      </c>
      <c r="Q2536" s="705">
        <v>6188</v>
      </c>
      <c r="R2536" s="705">
        <v>38918</v>
      </c>
      <c r="S2536" s="705">
        <v>35380</v>
      </c>
      <c r="T2536" s="705">
        <v>0</v>
      </c>
      <c r="U2536" s="705">
        <v>0</v>
      </c>
      <c r="V2536" s="705">
        <v>97332</v>
      </c>
      <c r="W2536" s="705">
        <f t="shared" si="102"/>
        <v>97332</v>
      </c>
      <c r="X2536" s="705">
        <f t="shared" si="103"/>
        <v>137930</v>
      </c>
    </row>
    <row r="2537" spans="2:24">
      <c r="B2537" t="s">
        <v>553</v>
      </c>
      <c r="C2537" t="s">
        <v>110</v>
      </c>
      <c r="D2537" t="s">
        <v>228</v>
      </c>
      <c r="E2537" t="s">
        <v>228</v>
      </c>
      <c r="F2537" s="705">
        <v>16</v>
      </c>
      <c r="G2537" s="705">
        <v>3128</v>
      </c>
      <c r="H2537" s="705">
        <v>1444</v>
      </c>
      <c r="I2537" s="705">
        <v>117981</v>
      </c>
      <c r="J2537" s="705">
        <v>43697</v>
      </c>
      <c r="K2537" s="705">
        <v>385</v>
      </c>
      <c r="L2537" s="705">
        <v>42643</v>
      </c>
      <c r="M2537" s="705">
        <v>37639</v>
      </c>
      <c r="N2537" s="705">
        <v>61054</v>
      </c>
      <c r="O2537" s="705">
        <v>22613</v>
      </c>
      <c r="P2537" s="705">
        <v>11317</v>
      </c>
      <c r="Q2537" s="705">
        <v>4192</v>
      </c>
      <c r="R2537" s="705">
        <v>74264</v>
      </c>
      <c r="S2537" s="705">
        <v>27505</v>
      </c>
      <c r="T2537" s="705">
        <v>0</v>
      </c>
      <c r="U2537" s="705">
        <v>0</v>
      </c>
      <c r="V2537" s="705">
        <v>135645</v>
      </c>
      <c r="W2537" s="705">
        <f t="shared" si="102"/>
        <v>135646</v>
      </c>
      <c r="X2537" s="705">
        <f t="shared" si="103"/>
        <v>307259</v>
      </c>
    </row>
    <row r="2538" spans="2:24">
      <c r="B2538" t="s">
        <v>553</v>
      </c>
      <c r="C2538" t="s">
        <v>110</v>
      </c>
      <c r="D2538" t="s">
        <v>583</v>
      </c>
      <c r="E2538" t="s">
        <v>583</v>
      </c>
      <c r="F2538" s="705">
        <v>11</v>
      </c>
      <c r="G2538" s="705">
        <v>3123</v>
      </c>
      <c r="H2538" s="705">
        <v>1019</v>
      </c>
      <c r="I2538" s="705">
        <v>163155</v>
      </c>
      <c r="J2538" s="705">
        <v>148323</v>
      </c>
      <c r="K2538" s="705">
        <v>94</v>
      </c>
      <c r="L2538" s="705">
        <v>26267</v>
      </c>
      <c r="M2538" s="705">
        <v>23880</v>
      </c>
      <c r="N2538" s="705">
        <v>48024</v>
      </c>
      <c r="O2538" s="705">
        <v>17787</v>
      </c>
      <c r="P2538" s="705">
        <v>12192</v>
      </c>
      <c r="Q2538" s="705">
        <v>4516</v>
      </c>
      <c r="R2538" s="705">
        <v>41031</v>
      </c>
      <c r="S2538" s="705">
        <v>37301</v>
      </c>
      <c r="T2538" s="705">
        <v>0</v>
      </c>
      <c r="U2538" s="705">
        <v>0</v>
      </c>
      <c r="V2538" s="705">
        <v>231806</v>
      </c>
      <c r="W2538" s="705">
        <f t="shared" si="102"/>
        <v>231807</v>
      </c>
      <c r="X2538" s="705">
        <f t="shared" si="103"/>
        <v>290669</v>
      </c>
    </row>
    <row r="2539" spans="2:24">
      <c r="B2539" t="s">
        <v>553</v>
      </c>
      <c r="C2539" t="s">
        <v>110</v>
      </c>
      <c r="D2539" t="s">
        <v>665</v>
      </c>
      <c r="E2539" t="s">
        <v>228</v>
      </c>
      <c r="F2539" s="705">
        <v>1</v>
      </c>
      <c r="G2539" s="705">
        <v>160</v>
      </c>
      <c r="H2539" s="705">
        <v>97</v>
      </c>
      <c r="I2539" s="705">
        <v>6648</v>
      </c>
      <c r="J2539" s="705">
        <v>6044</v>
      </c>
      <c r="K2539" s="705">
        <v>79</v>
      </c>
      <c r="L2539" s="705">
        <v>0</v>
      </c>
      <c r="M2539" s="705">
        <v>0</v>
      </c>
      <c r="N2539" s="705">
        <v>1951</v>
      </c>
      <c r="O2539" s="705">
        <v>723</v>
      </c>
      <c r="P2539" s="705">
        <v>0</v>
      </c>
      <c r="Q2539" s="705">
        <v>0</v>
      </c>
      <c r="R2539" s="705">
        <v>6911</v>
      </c>
      <c r="S2539" s="705">
        <v>2560</v>
      </c>
      <c r="T2539" s="705">
        <v>0</v>
      </c>
      <c r="U2539" s="705">
        <v>0</v>
      </c>
      <c r="V2539" s="705">
        <v>9326</v>
      </c>
      <c r="W2539" s="705">
        <f t="shared" si="102"/>
        <v>9327</v>
      </c>
      <c r="X2539" s="705">
        <f t="shared" si="103"/>
        <v>15510</v>
      </c>
    </row>
    <row r="2540" spans="2:24">
      <c r="B2540" t="s">
        <v>553</v>
      </c>
      <c r="C2540" t="s">
        <v>112</v>
      </c>
      <c r="D2540" t="s">
        <v>582</v>
      </c>
      <c r="E2540" t="s">
        <v>582</v>
      </c>
      <c r="F2540" s="705">
        <v>8</v>
      </c>
      <c r="G2540" s="705">
        <v>1475</v>
      </c>
      <c r="H2540" s="705">
        <v>948</v>
      </c>
      <c r="I2540" s="705">
        <v>100643</v>
      </c>
      <c r="J2540" s="705">
        <v>91494</v>
      </c>
      <c r="K2540" s="705">
        <v>89</v>
      </c>
      <c r="L2540" s="705">
        <v>21128</v>
      </c>
      <c r="M2540" s="705">
        <v>19207</v>
      </c>
      <c r="N2540" s="705">
        <v>22061</v>
      </c>
      <c r="O2540" s="705">
        <v>8171</v>
      </c>
      <c r="P2540" s="705">
        <v>3780</v>
      </c>
      <c r="Q2540" s="705">
        <v>1400</v>
      </c>
      <c r="R2540" s="705">
        <v>40715</v>
      </c>
      <c r="S2540" s="705">
        <v>37013</v>
      </c>
      <c r="T2540" s="705">
        <v>0</v>
      </c>
      <c r="U2540" s="705">
        <v>0</v>
      </c>
      <c r="V2540" s="705">
        <v>157285</v>
      </c>
      <c r="W2540" s="705">
        <f t="shared" ref="W2540:W2603" si="104">SUM(ABS(J2540),ABS(M2540),ABS(O2540),ABS(Q2540),ABS(S2540),ABS(U2540))</f>
        <v>157285</v>
      </c>
      <c r="X2540" s="705">
        <f t="shared" ref="X2540:X2603" si="105">SUM(ABS(I2540),ABS(N2540),ABS(P2540),ABS(R2540),ABS(T2540),ABS(L2540))</f>
        <v>188327</v>
      </c>
    </row>
    <row r="2541" spans="2:24">
      <c r="B2541" t="s">
        <v>553</v>
      </c>
      <c r="C2541" t="s">
        <v>112</v>
      </c>
      <c r="D2541" t="s">
        <v>228</v>
      </c>
      <c r="E2541" t="s">
        <v>228</v>
      </c>
      <c r="F2541" s="705">
        <v>15</v>
      </c>
      <c r="G2541" s="705">
        <v>3111</v>
      </c>
      <c r="H2541" s="705">
        <v>1742</v>
      </c>
      <c r="I2541" s="705">
        <v>158558</v>
      </c>
      <c r="J2541" s="705">
        <v>58725</v>
      </c>
      <c r="K2541" s="705">
        <v>338</v>
      </c>
      <c r="L2541" s="705">
        <v>45927</v>
      </c>
      <c r="M2541" s="705">
        <v>39964</v>
      </c>
      <c r="N2541" s="705">
        <v>63336</v>
      </c>
      <c r="O2541" s="705">
        <v>23458</v>
      </c>
      <c r="P2541" s="705">
        <v>7831</v>
      </c>
      <c r="Q2541" s="705">
        <v>2900</v>
      </c>
      <c r="R2541" s="705">
        <v>99139</v>
      </c>
      <c r="S2541" s="705">
        <v>36718</v>
      </c>
      <c r="T2541" s="705">
        <v>8172</v>
      </c>
      <c r="U2541" s="705">
        <v>3027</v>
      </c>
      <c r="V2541" s="705">
        <v>164792</v>
      </c>
      <c r="W2541" s="705">
        <f t="shared" si="104"/>
        <v>164792</v>
      </c>
      <c r="X2541" s="705">
        <f t="shared" si="105"/>
        <v>382963</v>
      </c>
    </row>
    <row r="2542" spans="2:24">
      <c r="B2542" t="s">
        <v>553</v>
      </c>
      <c r="C2542" t="s">
        <v>112</v>
      </c>
      <c r="D2542" t="s">
        <v>228</v>
      </c>
      <c r="E2542" t="s">
        <v>583</v>
      </c>
      <c r="F2542" s="705">
        <v>1</v>
      </c>
      <c r="G2542" s="705">
        <v>307</v>
      </c>
      <c r="H2542" s="705">
        <v>114</v>
      </c>
      <c r="I2542" s="705">
        <v>17931</v>
      </c>
      <c r="J2542" s="705">
        <v>6641</v>
      </c>
      <c r="K2542" s="705">
        <v>320</v>
      </c>
      <c r="L2542" s="705">
        <v>4329</v>
      </c>
      <c r="M2542" s="705">
        <v>3935</v>
      </c>
      <c r="N2542" s="705">
        <v>7476</v>
      </c>
      <c r="O2542" s="705">
        <v>2769</v>
      </c>
      <c r="P2542" s="705">
        <v>702</v>
      </c>
      <c r="Q2542" s="705">
        <v>260</v>
      </c>
      <c r="R2542" s="705">
        <v>4563</v>
      </c>
      <c r="S2542" s="705">
        <v>4148</v>
      </c>
      <c r="T2542" s="705">
        <v>0</v>
      </c>
      <c r="U2542" s="705">
        <v>0</v>
      </c>
      <c r="V2542" s="705">
        <v>17754</v>
      </c>
      <c r="W2542" s="705">
        <f t="shared" si="104"/>
        <v>17753</v>
      </c>
      <c r="X2542" s="705">
        <f t="shared" si="105"/>
        <v>35001</v>
      </c>
    </row>
    <row r="2543" spans="2:24">
      <c r="B2543" t="s">
        <v>553</v>
      </c>
      <c r="C2543" t="s">
        <v>112</v>
      </c>
      <c r="D2543" t="s">
        <v>583</v>
      </c>
      <c r="E2543" t="s">
        <v>228</v>
      </c>
      <c r="F2543" s="705">
        <v>2</v>
      </c>
      <c r="G2543" s="705">
        <v>456</v>
      </c>
      <c r="H2543" s="705">
        <v>226</v>
      </c>
      <c r="I2543" s="705">
        <v>23410</v>
      </c>
      <c r="J2543" s="705">
        <v>21281</v>
      </c>
      <c r="K2543" s="705">
        <v>95</v>
      </c>
      <c r="L2543" s="705">
        <v>4091</v>
      </c>
      <c r="M2543" s="705">
        <v>3719</v>
      </c>
      <c r="N2543" s="705">
        <v>8270</v>
      </c>
      <c r="O2543" s="705">
        <v>3063</v>
      </c>
      <c r="P2543" s="705">
        <v>1242</v>
      </c>
      <c r="Q2543" s="705">
        <v>460</v>
      </c>
      <c r="R2543" s="705">
        <v>15320</v>
      </c>
      <c r="S2543" s="705">
        <v>5674</v>
      </c>
      <c r="T2543" s="705">
        <v>0</v>
      </c>
      <c r="U2543" s="705">
        <v>0</v>
      </c>
      <c r="V2543" s="705">
        <v>34198</v>
      </c>
      <c r="W2543" s="705">
        <f t="shared" si="104"/>
        <v>34197</v>
      </c>
      <c r="X2543" s="705">
        <f t="shared" si="105"/>
        <v>52333</v>
      </c>
    </row>
    <row r="2544" spans="2:24">
      <c r="B2544" t="s">
        <v>553</v>
      </c>
      <c r="C2544" t="s">
        <v>112</v>
      </c>
      <c r="D2544" t="s">
        <v>583</v>
      </c>
      <c r="E2544" t="s">
        <v>583</v>
      </c>
      <c r="F2544" s="705">
        <v>69</v>
      </c>
      <c r="G2544" s="705">
        <v>16407</v>
      </c>
      <c r="H2544" s="705">
        <v>8075</v>
      </c>
      <c r="I2544" s="705">
        <v>1055195</v>
      </c>
      <c r="J2544" s="705">
        <v>959268</v>
      </c>
      <c r="K2544" s="705">
        <v>91</v>
      </c>
      <c r="L2544" s="705">
        <v>193121</v>
      </c>
      <c r="M2544" s="705">
        <v>170969</v>
      </c>
      <c r="N2544" s="705">
        <v>304929</v>
      </c>
      <c r="O2544" s="705">
        <v>112937</v>
      </c>
      <c r="P2544" s="705">
        <v>62782</v>
      </c>
      <c r="Q2544" s="705">
        <v>23253</v>
      </c>
      <c r="R2544" s="705">
        <v>367492</v>
      </c>
      <c r="S2544" s="705">
        <v>334084</v>
      </c>
      <c r="T2544" s="705">
        <v>16837</v>
      </c>
      <c r="U2544" s="705">
        <v>6236</v>
      </c>
      <c r="V2544" s="705">
        <v>1606746</v>
      </c>
      <c r="W2544" s="705">
        <f t="shared" si="104"/>
        <v>1606747</v>
      </c>
      <c r="X2544" s="705">
        <f t="shared" si="105"/>
        <v>2000356</v>
      </c>
    </row>
    <row r="2545" spans="2:24">
      <c r="B2545" t="s">
        <v>553</v>
      </c>
      <c r="C2545" t="s">
        <v>112</v>
      </c>
      <c r="D2545" t="s">
        <v>583</v>
      </c>
      <c r="E2545" t="s">
        <v>666</v>
      </c>
      <c r="F2545" s="705">
        <v>1</v>
      </c>
      <c r="G2545" s="705">
        <v>142</v>
      </c>
      <c r="H2545" s="705">
        <v>118</v>
      </c>
      <c r="I2545" s="705">
        <v>15012</v>
      </c>
      <c r="J2545" s="705">
        <v>13647</v>
      </c>
      <c r="K2545" s="705">
        <v>97</v>
      </c>
      <c r="L2545" s="705">
        <v>2560</v>
      </c>
      <c r="M2545" s="705">
        <v>2328</v>
      </c>
      <c r="N2545" s="705">
        <v>2709</v>
      </c>
      <c r="O2545" s="705">
        <v>1003</v>
      </c>
      <c r="P2545" s="705">
        <v>621</v>
      </c>
      <c r="Q2545" s="705">
        <v>230</v>
      </c>
      <c r="R2545" s="705">
        <v>5413</v>
      </c>
      <c r="S2545" s="705">
        <v>4921</v>
      </c>
      <c r="T2545" s="705">
        <v>0</v>
      </c>
      <c r="U2545" s="705">
        <v>0</v>
      </c>
      <c r="V2545" s="705">
        <v>22129</v>
      </c>
      <c r="W2545" s="705">
        <f t="shared" si="104"/>
        <v>22129</v>
      </c>
      <c r="X2545" s="705">
        <f t="shared" si="105"/>
        <v>26315</v>
      </c>
    </row>
    <row r="2546" spans="2:24">
      <c r="B2546" t="s">
        <v>553</v>
      </c>
      <c r="C2546" t="s">
        <v>112</v>
      </c>
      <c r="D2546" t="s">
        <v>673</v>
      </c>
      <c r="E2546" t="s">
        <v>673</v>
      </c>
      <c r="F2546" s="705">
        <v>1</v>
      </c>
      <c r="G2546" s="705">
        <v>191</v>
      </c>
      <c r="H2546" s="705">
        <v>114</v>
      </c>
      <c r="I2546" s="705">
        <v>12033</v>
      </c>
      <c r="J2546" s="705">
        <v>10939</v>
      </c>
      <c r="K2546" s="705">
        <v>92</v>
      </c>
      <c r="L2546" s="705">
        <v>1500</v>
      </c>
      <c r="M2546" s="705">
        <v>1364</v>
      </c>
      <c r="N2546" s="705">
        <v>3070</v>
      </c>
      <c r="O2546" s="705">
        <v>1137</v>
      </c>
      <c r="P2546" s="705">
        <v>621</v>
      </c>
      <c r="Q2546" s="705">
        <v>230</v>
      </c>
      <c r="R2546" s="705">
        <v>4621</v>
      </c>
      <c r="S2546" s="705">
        <v>4201</v>
      </c>
      <c r="T2546" s="705">
        <v>0</v>
      </c>
      <c r="U2546" s="705">
        <v>0</v>
      </c>
      <c r="V2546" s="705">
        <v>17871</v>
      </c>
      <c r="W2546" s="705">
        <f t="shared" si="104"/>
        <v>17871</v>
      </c>
      <c r="X2546" s="705">
        <f t="shared" si="105"/>
        <v>21845</v>
      </c>
    </row>
    <row r="2547" spans="2:24">
      <c r="B2547" t="s">
        <v>553</v>
      </c>
      <c r="C2547" t="s">
        <v>114</v>
      </c>
      <c r="D2547" t="s">
        <v>664</v>
      </c>
      <c r="E2547" t="s">
        <v>664</v>
      </c>
      <c r="F2547" s="705">
        <v>2</v>
      </c>
      <c r="G2547" s="705">
        <v>538</v>
      </c>
      <c r="H2547" s="705">
        <v>281</v>
      </c>
      <c r="I2547" s="705">
        <v>42678</v>
      </c>
      <c r="J2547" s="705">
        <v>38798</v>
      </c>
      <c r="K2547" s="705">
        <v>78</v>
      </c>
      <c r="L2547" s="705">
        <v>5384</v>
      </c>
      <c r="M2547" s="705">
        <v>4895</v>
      </c>
      <c r="N2547" s="705">
        <v>10074</v>
      </c>
      <c r="O2547" s="705">
        <v>3731</v>
      </c>
      <c r="P2547" s="705">
        <v>945</v>
      </c>
      <c r="Q2547" s="705">
        <v>350</v>
      </c>
      <c r="R2547" s="705">
        <v>12518</v>
      </c>
      <c r="S2547" s="705">
        <v>11380</v>
      </c>
      <c r="T2547" s="705">
        <v>4322</v>
      </c>
      <c r="U2547" s="705">
        <v>1601</v>
      </c>
      <c r="V2547" s="705">
        <v>60754</v>
      </c>
      <c r="W2547" s="705">
        <f t="shared" si="104"/>
        <v>60755</v>
      </c>
      <c r="X2547" s="705">
        <f t="shared" si="105"/>
        <v>75921</v>
      </c>
    </row>
    <row r="2548" spans="2:24">
      <c r="B2548" t="s">
        <v>553</v>
      </c>
      <c r="C2548" t="s">
        <v>114</v>
      </c>
      <c r="D2548" t="s">
        <v>664</v>
      </c>
      <c r="E2548" t="s">
        <v>582</v>
      </c>
      <c r="F2548" s="705">
        <v>1</v>
      </c>
      <c r="G2548" s="705">
        <v>134</v>
      </c>
      <c r="H2548" s="705">
        <v>137</v>
      </c>
      <c r="I2548" s="705">
        <v>10019</v>
      </c>
      <c r="J2548" s="705">
        <v>9108</v>
      </c>
      <c r="K2548" s="705">
        <v>93</v>
      </c>
      <c r="L2548" s="705">
        <v>1596</v>
      </c>
      <c r="M2548" s="705">
        <v>1451</v>
      </c>
      <c r="N2548" s="705">
        <v>1637</v>
      </c>
      <c r="O2548" s="705">
        <v>606</v>
      </c>
      <c r="P2548" s="705">
        <v>473</v>
      </c>
      <c r="Q2548" s="705">
        <v>175</v>
      </c>
      <c r="R2548" s="705">
        <v>4665</v>
      </c>
      <c r="S2548" s="705">
        <v>4241</v>
      </c>
      <c r="T2548" s="705">
        <v>0</v>
      </c>
      <c r="U2548" s="705">
        <v>0</v>
      </c>
      <c r="V2548" s="705">
        <v>15582</v>
      </c>
      <c r="W2548" s="705">
        <f t="shared" si="104"/>
        <v>15581</v>
      </c>
      <c r="X2548" s="705">
        <f t="shared" si="105"/>
        <v>18390</v>
      </c>
    </row>
    <row r="2549" spans="2:24">
      <c r="B2549" t="s">
        <v>553</v>
      </c>
      <c r="C2549" t="s">
        <v>114</v>
      </c>
      <c r="D2549" t="s">
        <v>582</v>
      </c>
      <c r="E2549" t="s">
        <v>582</v>
      </c>
      <c r="F2549" s="705">
        <v>17</v>
      </c>
      <c r="G2549" s="705">
        <v>3402</v>
      </c>
      <c r="H2549" s="705">
        <v>2395</v>
      </c>
      <c r="I2549" s="705">
        <v>280194</v>
      </c>
      <c r="J2549" s="705">
        <v>254721</v>
      </c>
      <c r="K2549" s="705">
        <v>87</v>
      </c>
      <c r="L2549" s="705">
        <v>56621</v>
      </c>
      <c r="M2549" s="705">
        <v>50864</v>
      </c>
      <c r="N2549" s="705">
        <v>70276</v>
      </c>
      <c r="O2549" s="705">
        <v>26028</v>
      </c>
      <c r="P2549" s="705">
        <v>8640</v>
      </c>
      <c r="Q2549" s="705">
        <v>3200</v>
      </c>
      <c r="R2549" s="705">
        <v>90648</v>
      </c>
      <c r="S2549" s="705">
        <v>82408</v>
      </c>
      <c r="T2549" s="705">
        <v>0</v>
      </c>
      <c r="U2549" s="705">
        <v>0</v>
      </c>
      <c r="V2549" s="705">
        <v>417221</v>
      </c>
      <c r="W2549" s="705">
        <f t="shared" si="104"/>
        <v>417221</v>
      </c>
      <c r="X2549" s="705">
        <f t="shared" si="105"/>
        <v>506379</v>
      </c>
    </row>
    <row r="2550" spans="2:24">
      <c r="B2550" t="s">
        <v>553</v>
      </c>
      <c r="C2550" t="s">
        <v>114</v>
      </c>
      <c r="D2550" t="s">
        <v>228</v>
      </c>
      <c r="E2550" t="s">
        <v>228</v>
      </c>
      <c r="F2550" s="705">
        <v>7</v>
      </c>
      <c r="G2550" s="705">
        <v>1073</v>
      </c>
      <c r="H2550" s="705">
        <v>962</v>
      </c>
      <c r="I2550" s="705">
        <v>70690</v>
      </c>
      <c r="J2550" s="705">
        <v>26182</v>
      </c>
      <c r="K2550" s="705">
        <v>344</v>
      </c>
      <c r="L2550" s="705">
        <v>27766</v>
      </c>
      <c r="M2550" s="705">
        <v>25242</v>
      </c>
      <c r="N2550" s="705">
        <v>20946</v>
      </c>
      <c r="O2550" s="705">
        <v>7758</v>
      </c>
      <c r="P2550" s="705">
        <v>3510</v>
      </c>
      <c r="Q2550" s="705">
        <v>1300</v>
      </c>
      <c r="R2550" s="705">
        <v>32980</v>
      </c>
      <c r="S2550" s="705">
        <v>12215</v>
      </c>
      <c r="T2550" s="705">
        <v>0</v>
      </c>
      <c r="U2550" s="705">
        <v>0</v>
      </c>
      <c r="V2550" s="705">
        <v>72696</v>
      </c>
      <c r="W2550" s="705">
        <f t="shared" si="104"/>
        <v>72697</v>
      </c>
      <c r="X2550" s="705">
        <f t="shared" si="105"/>
        <v>155892</v>
      </c>
    </row>
    <row r="2551" spans="2:24">
      <c r="B2551" t="s">
        <v>553</v>
      </c>
      <c r="C2551" t="s">
        <v>114</v>
      </c>
      <c r="D2551" t="s">
        <v>583</v>
      </c>
      <c r="E2551" t="s">
        <v>228</v>
      </c>
      <c r="F2551" s="705">
        <v>1</v>
      </c>
      <c r="G2551" s="705">
        <v>255</v>
      </c>
      <c r="H2551" s="705">
        <v>148</v>
      </c>
      <c r="I2551" s="705">
        <v>11367</v>
      </c>
      <c r="J2551" s="705">
        <v>10333</v>
      </c>
      <c r="K2551" s="705">
        <v>79</v>
      </c>
      <c r="L2551" s="705">
        <v>3326</v>
      </c>
      <c r="M2551" s="705">
        <v>3024</v>
      </c>
      <c r="N2551" s="705">
        <v>3104</v>
      </c>
      <c r="O2551" s="705">
        <v>1150</v>
      </c>
      <c r="P2551" s="705">
        <v>621</v>
      </c>
      <c r="Q2551" s="705">
        <v>230</v>
      </c>
      <c r="R2551" s="705">
        <v>19408</v>
      </c>
      <c r="S2551" s="705">
        <v>7188</v>
      </c>
      <c r="T2551" s="705">
        <v>0</v>
      </c>
      <c r="U2551" s="705">
        <v>0</v>
      </c>
      <c r="V2551" s="705">
        <v>21925</v>
      </c>
      <c r="W2551" s="705">
        <f t="shared" si="104"/>
        <v>21925</v>
      </c>
      <c r="X2551" s="705">
        <f t="shared" si="105"/>
        <v>37826</v>
      </c>
    </row>
    <row r="2552" spans="2:24">
      <c r="B2552" t="s">
        <v>553</v>
      </c>
      <c r="C2552" t="s">
        <v>114</v>
      </c>
      <c r="D2552" t="s">
        <v>583</v>
      </c>
      <c r="E2552" t="s">
        <v>583</v>
      </c>
      <c r="F2552" s="705">
        <v>326</v>
      </c>
      <c r="G2552" s="705">
        <v>65066</v>
      </c>
      <c r="H2552" s="705">
        <v>45850</v>
      </c>
      <c r="I2552" s="705">
        <v>5238525</v>
      </c>
      <c r="J2552" s="705">
        <v>4762296</v>
      </c>
      <c r="K2552" s="705">
        <v>89</v>
      </c>
      <c r="L2552" s="705">
        <v>953715</v>
      </c>
      <c r="M2552" s="705">
        <v>851116</v>
      </c>
      <c r="N2552" s="705">
        <v>1311938</v>
      </c>
      <c r="O2552" s="705">
        <v>485903</v>
      </c>
      <c r="P2552" s="705">
        <v>236084</v>
      </c>
      <c r="Q2552" s="705">
        <v>87438</v>
      </c>
      <c r="R2552" s="705">
        <v>1826975</v>
      </c>
      <c r="S2552" s="705">
        <v>1660886</v>
      </c>
      <c r="T2552" s="705">
        <v>123578</v>
      </c>
      <c r="U2552" s="705">
        <v>45770</v>
      </c>
      <c r="V2552" s="705">
        <v>7893409</v>
      </c>
      <c r="W2552" s="705">
        <f t="shared" si="104"/>
        <v>7893409</v>
      </c>
      <c r="X2552" s="705">
        <f t="shared" si="105"/>
        <v>9690815</v>
      </c>
    </row>
    <row r="2553" spans="2:24">
      <c r="B2553" t="s">
        <v>553</v>
      </c>
      <c r="C2553" t="s">
        <v>114</v>
      </c>
      <c r="D2553" t="s">
        <v>583</v>
      </c>
      <c r="E2553" t="s">
        <v>666</v>
      </c>
      <c r="F2553" s="705">
        <v>1</v>
      </c>
      <c r="G2553" s="705">
        <v>280</v>
      </c>
      <c r="H2553" s="705">
        <v>130</v>
      </c>
      <c r="I2553" s="705">
        <v>25945</v>
      </c>
      <c r="J2553" s="705">
        <v>23586</v>
      </c>
      <c r="K2553" s="705">
        <v>79</v>
      </c>
      <c r="L2553" s="705">
        <v>3253</v>
      </c>
      <c r="M2553" s="705">
        <v>2958</v>
      </c>
      <c r="N2553" s="705">
        <v>4611</v>
      </c>
      <c r="O2553" s="705">
        <v>1708</v>
      </c>
      <c r="P2553" s="705">
        <v>891</v>
      </c>
      <c r="Q2553" s="705">
        <v>330</v>
      </c>
      <c r="R2553" s="705">
        <v>1662</v>
      </c>
      <c r="S2553" s="705">
        <v>1511</v>
      </c>
      <c r="T2553" s="705">
        <v>0</v>
      </c>
      <c r="U2553" s="705">
        <v>0</v>
      </c>
      <c r="V2553" s="705">
        <v>30093</v>
      </c>
      <c r="W2553" s="705">
        <f t="shared" si="104"/>
        <v>30093</v>
      </c>
      <c r="X2553" s="705">
        <f t="shared" si="105"/>
        <v>36362</v>
      </c>
    </row>
    <row r="2554" spans="2:24">
      <c r="B2554" t="s">
        <v>553</v>
      </c>
      <c r="C2554" t="s">
        <v>114</v>
      </c>
      <c r="D2554" t="s">
        <v>584</v>
      </c>
      <c r="E2554" t="s">
        <v>584</v>
      </c>
      <c r="F2554" s="705">
        <v>16</v>
      </c>
      <c r="G2554" s="705">
        <v>2375</v>
      </c>
      <c r="H2554" s="705">
        <v>2306</v>
      </c>
      <c r="I2554" s="705">
        <v>189761</v>
      </c>
      <c r="J2554" s="705">
        <v>172510</v>
      </c>
      <c r="K2554" s="705">
        <v>88</v>
      </c>
      <c r="L2554" s="705">
        <v>33356</v>
      </c>
      <c r="M2554" s="705">
        <v>37167</v>
      </c>
      <c r="N2554" s="705">
        <v>42520</v>
      </c>
      <c r="O2554" s="705">
        <v>15748</v>
      </c>
      <c r="P2554" s="705">
        <v>9580</v>
      </c>
      <c r="Q2554" s="705">
        <v>3548</v>
      </c>
      <c r="R2554" s="705">
        <v>78265</v>
      </c>
      <c r="S2554" s="705">
        <v>71150</v>
      </c>
      <c r="T2554" s="705">
        <v>5245</v>
      </c>
      <c r="U2554" s="705">
        <v>1943</v>
      </c>
      <c r="V2554" s="705">
        <v>302066</v>
      </c>
      <c r="W2554" s="705">
        <f t="shared" si="104"/>
        <v>302066</v>
      </c>
      <c r="X2554" s="705">
        <f t="shared" si="105"/>
        <v>358727</v>
      </c>
    </row>
    <row r="2555" spans="2:24">
      <c r="B2555" t="s">
        <v>553</v>
      </c>
      <c r="C2555" t="s">
        <v>114</v>
      </c>
      <c r="D2555" t="s">
        <v>665</v>
      </c>
      <c r="E2555" t="s">
        <v>665</v>
      </c>
      <c r="F2555" s="705">
        <v>1</v>
      </c>
      <c r="G2555" s="705">
        <v>313</v>
      </c>
      <c r="H2555" s="705">
        <v>144</v>
      </c>
      <c r="I2555" s="705">
        <v>25160</v>
      </c>
      <c r="J2555" s="705">
        <v>22873</v>
      </c>
      <c r="K2555" s="705">
        <v>70</v>
      </c>
      <c r="L2555" s="705">
        <v>6476</v>
      </c>
      <c r="M2555" s="705">
        <v>5888</v>
      </c>
      <c r="N2555" s="705">
        <v>3809</v>
      </c>
      <c r="O2555" s="705">
        <v>1411</v>
      </c>
      <c r="P2555" s="705">
        <v>702</v>
      </c>
      <c r="Q2555" s="705">
        <v>260</v>
      </c>
      <c r="R2555" s="705">
        <v>8897</v>
      </c>
      <c r="S2555" s="705">
        <v>8088</v>
      </c>
      <c r="T2555" s="705">
        <v>0</v>
      </c>
      <c r="U2555" s="705">
        <v>0</v>
      </c>
      <c r="V2555" s="705">
        <v>38519</v>
      </c>
      <c r="W2555" s="705">
        <f t="shared" si="104"/>
        <v>38520</v>
      </c>
      <c r="X2555" s="705">
        <f t="shared" si="105"/>
        <v>45044</v>
      </c>
    </row>
    <row r="2556" spans="2:24">
      <c r="B2556" t="s">
        <v>553</v>
      </c>
      <c r="C2556" t="s">
        <v>114</v>
      </c>
      <c r="D2556" t="s">
        <v>585</v>
      </c>
      <c r="E2556" t="s">
        <v>228</v>
      </c>
      <c r="F2556" s="705">
        <v>1</v>
      </c>
      <c r="G2556" s="705">
        <v>199</v>
      </c>
      <c r="H2556" s="705">
        <v>128</v>
      </c>
      <c r="I2556" s="705">
        <v>12029</v>
      </c>
      <c r="J2556" s="705">
        <v>10936</v>
      </c>
      <c r="K2556" s="705">
        <v>90</v>
      </c>
      <c r="L2556" s="705">
        <v>1998</v>
      </c>
      <c r="M2556" s="705">
        <v>1817</v>
      </c>
      <c r="N2556" s="705">
        <v>3460</v>
      </c>
      <c r="O2556" s="705">
        <v>1282</v>
      </c>
      <c r="P2556" s="705">
        <v>351</v>
      </c>
      <c r="Q2556" s="705">
        <v>130</v>
      </c>
      <c r="R2556" s="705">
        <v>7533</v>
      </c>
      <c r="S2556" s="705">
        <v>2790</v>
      </c>
      <c r="T2556" s="705">
        <v>0</v>
      </c>
      <c r="U2556" s="705">
        <v>0</v>
      </c>
      <c r="V2556" s="705">
        <v>16954</v>
      </c>
      <c r="W2556" s="705">
        <f t="shared" si="104"/>
        <v>16955</v>
      </c>
      <c r="X2556" s="705">
        <f t="shared" si="105"/>
        <v>25371</v>
      </c>
    </row>
    <row r="2557" spans="2:24">
      <c r="B2557" t="s">
        <v>553</v>
      </c>
      <c r="C2557" t="s">
        <v>114</v>
      </c>
      <c r="D2557" t="s">
        <v>585</v>
      </c>
      <c r="E2557" t="s">
        <v>585</v>
      </c>
      <c r="F2557" s="705">
        <v>7</v>
      </c>
      <c r="G2557" s="705">
        <v>1618</v>
      </c>
      <c r="H2557" s="705">
        <v>993</v>
      </c>
      <c r="I2557" s="705">
        <v>145793</v>
      </c>
      <c r="J2557" s="705">
        <v>132539</v>
      </c>
      <c r="K2557" s="705">
        <v>75</v>
      </c>
      <c r="L2557" s="705">
        <v>19989</v>
      </c>
      <c r="M2557" s="705">
        <v>18172</v>
      </c>
      <c r="N2557" s="705">
        <v>29241</v>
      </c>
      <c r="O2557" s="705">
        <v>10830</v>
      </c>
      <c r="P2557" s="705">
        <v>2457</v>
      </c>
      <c r="Q2557" s="705">
        <v>910</v>
      </c>
      <c r="R2557" s="705">
        <v>34583</v>
      </c>
      <c r="S2557" s="705">
        <v>31439</v>
      </c>
      <c r="T2557" s="705">
        <v>0</v>
      </c>
      <c r="U2557" s="705">
        <v>0</v>
      </c>
      <c r="V2557" s="705">
        <v>193890</v>
      </c>
      <c r="W2557" s="705">
        <f t="shared" si="104"/>
        <v>193890</v>
      </c>
      <c r="X2557" s="705">
        <f t="shared" si="105"/>
        <v>232063</v>
      </c>
    </row>
    <row r="2558" spans="2:24">
      <c r="B2558" t="s">
        <v>553</v>
      </c>
      <c r="C2558" t="s">
        <v>116</v>
      </c>
      <c r="F2558" s="705">
        <v>1</v>
      </c>
      <c r="G2558" s="705">
        <v>541</v>
      </c>
      <c r="H2558" s="705">
        <v>174</v>
      </c>
      <c r="I2558" s="705"/>
      <c r="J2558" s="705">
        <v>0</v>
      </c>
      <c r="K2558" s="705"/>
      <c r="L2558" s="705"/>
      <c r="M2558" s="705">
        <v>0</v>
      </c>
      <c r="N2558" s="705">
        <v>6986</v>
      </c>
      <c r="O2558" s="705">
        <v>2588</v>
      </c>
      <c r="P2558" s="705">
        <v>621</v>
      </c>
      <c r="Q2558" s="705">
        <v>230</v>
      </c>
      <c r="R2558" s="705"/>
      <c r="S2558" s="705">
        <v>0</v>
      </c>
      <c r="T2558" s="705">
        <v>0</v>
      </c>
      <c r="U2558" s="705">
        <v>0</v>
      </c>
      <c r="V2558" s="705">
        <v>2818</v>
      </c>
      <c r="W2558" s="705">
        <f t="shared" si="104"/>
        <v>2818</v>
      </c>
      <c r="X2558" s="705">
        <f t="shared" si="105"/>
        <v>7607</v>
      </c>
    </row>
    <row r="2559" spans="2:24">
      <c r="B2559" t="s">
        <v>553</v>
      </c>
      <c r="C2559" t="s">
        <v>116</v>
      </c>
      <c r="D2559" t="s">
        <v>664</v>
      </c>
      <c r="E2559" t="s">
        <v>664</v>
      </c>
      <c r="F2559" s="705">
        <v>4</v>
      </c>
      <c r="G2559" s="705">
        <v>883</v>
      </c>
      <c r="H2559" s="705">
        <v>689</v>
      </c>
      <c r="I2559" s="705">
        <v>96418</v>
      </c>
      <c r="J2559" s="705">
        <v>87652</v>
      </c>
      <c r="K2559" s="705">
        <v>88</v>
      </c>
      <c r="L2559" s="705">
        <v>15729</v>
      </c>
      <c r="M2559" s="705">
        <v>14299</v>
      </c>
      <c r="N2559" s="705">
        <v>18091</v>
      </c>
      <c r="O2559" s="705">
        <v>6700</v>
      </c>
      <c r="P2559" s="705">
        <v>2511</v>
      </c>
      <c r="Q2559" s="705">
        <v>930</v>
      </c>
      <c r="R2559" s="705">
        <v>21075</v>
      </c>
      <c r="S2559" s="705">
        <v>19159</v>
      </c>
      <c r="T2559" s="705">
        <v>4241</v>
      </c>
      <c r="U2559" s="705">
        <v>1571</v>
      </c>
      <c r="V2559" s="705">
        <v>130312</v>
      </c>
      <c r="W2559" s="705">
        <f t="shared" si="104"/>
        <v>130311</v>
      </c>
      <c r="X2559" s="705">
        <f t="shared" si="105"/>
        <v>158065</v>
      </c>
    </row>
    <row r="2560" spans="2:24">
      <c r="B2560" t="s">
        <v>553</v>
      </c>
      <c r="C2560" t="s">
        <v>116</v>
      </c>
      <c r="D2560" t="s">
        <v>582</v>
      </c>
      <c r="E2560" t="s">
        <v>582</v>
      </c>
      <c r="F2560" s="705">
        <v>76</v>
      </c>
      <c r="G2560" s="705">
        <v>11633</v>
      </c>
      <c r="H2560" s="705">
        <v>14057</v>
      </c>
      <c r="I2560" s="705">
        <v>1169985</v>
      </c>
      <c r="J2560" s="705">
        <v>1063622</v>
      </c>
      <c r="K2560" s="705">
        <v>85</v>
      </c>
      <c r="L2560" s="705">
        <v>287356</v>
      </c>
      <c r="M2560" s="705">
        <v>256656</v>
      </c>
      <c r="N2560" s="705">
        <v>250537</v>
      </c>
      <c r="O2560" s="705">
        <v>92791</v>
      </c>
      <c r="P2560" s="705">
        <v>43005</v>
      </c>
      <c r="Q2560" s="705">
        <v>15928</v>
      </c>
      <c r="R2560" s="705">
        <v>382779</v>
      </c>
      <c r="S2560" s="705">
        <v>347981</v>
      </c>
      <c r="T2560" s="705">
        <v>31971</v>
      </c>
      <c r="U2560" s="705">
        <v>11841</v>
      </c>
      <c r="V2560" s="705">
        <v>1788819</v>
      </c>
      <c r="W2560" s="705">
        <f t="shared" si="104"/>
        <v>1788819</v>
      </c>
      <c r="X2560" s="705">
        <f t="shared" si="105"/>
        <v>2165633</v>
      </c>
    </row>
    <row r="2561" spans="2:24">
      <c r="B2561" t="s">
        <v>553</v>
      </c>
      <c r="C2561" t="s">
        <v>116</v>
      </c>
      <c r="D2561" t="s">
        <v>582</v>
      </c>
      <c r="E2561" t="s">
        <v>228</v>
      </c>
      <c r="F2561" s="705">
        <v>2</v>
      </c>
      <c r="G2561" s="705">
        <v>330</v>
      </c>
      <c r="H2561" s="705">
        <v>309</v>
      </c>
      <c r="I2561" s="705">
        <v>30539</v>
      </c>
      <c r="J2561" s="705">
        <v>27763</v>
      </c>
      <c r="K2561" s="705">
        <v>92</v>
      </c>
      <c r="L2561" s="705">
        <v>6461</v>
      </c>
      <c r="M2561" s="705">
        <v>5873</v>
      </c>
      <c r="N2561" s="705">
        <v>7644</v>
      </c>
      <c r="O2561" s="705">
        <v>2831</v>
      </c>
      <c r="P2561" s="705">
        <v>945</v>
      </c>
      <c r="Q2561" s="705">
        <v>350</v>
      </c>
      <c r="R2561" s="705">
        <v>15434</v>
      </c>
      <c r="S2561" s="705">
        <v>5716</v>
      </c>
      <c r="T2561" s="705">
        <v>0</v>
      </c>
      <c r="U2561" s="705">
        <v>0</v>
      </c>
      <c r="V2561" s="705">
        <v>42534</v>
      </c>
      <c r="W2561" s="705">
        <f t="shared" si="104"/>
        <v>42533</v>
      </c>
      <c r="X2561" s="705">
        <f t="shared" si="105"/>
        <v>61023</v>
      </c>
    </row>
    <row r="2562" spans="2:24">
      <c r="B2562" t="s">
        <v>553</v>
      </c>
      <c r="C2562" t="s">
        <v>116</v>
      </c>
      <c r="D2562" t="s">
        <v>582</v>
      </c>
      <c r="E2562" t="s">
        <v>583</v>
      </c>
      <c r="F2562" s="705">
        <v>1</v>
      </c>
      <c r="G2562" s="705">
        <v>153</v>
      </c>
      <c r="H2562" s="705">
        <v>182</v>
      </c>
      <c r="I2562" s="705">
        <v>13525</v>
      </c>
      <c r="J2562" s="705">
        <v>12295</v>
      </c>
      <c r="K2562" s="705">
        <v>79</v>
      </c>
      <c r="L2562" s="705">
        <v>3757</v>
      </c>
      <c r="M2562" s="705">
        <v>3415</v>
      </c>
      <c r="N2562" s="705">
        <v>3201</v>
      </c>
      <c r="O2562" s="705">
        <v>1186</v>
      </c>
      <c r="P2562" s="705">
        <v>473</v>
      </c>
      <c r="Q2562" s="705">
        <v>175</v>
      </c>
      <c r="R2562" s="705">
        <v>6805</v>
      </c>
      <c r="S2562" s="705">
        <v>6186</v>
      </c>
      <c r="T2562" s="705">
        <v>0</v>
      </c>
      <c r="U2562" s="705">
        <v>0</v>
      </c>
      <c r="V2562" s="705">
        <v>23258</v>
      </c>
      <c r="W2562" s="705">
        <f t="shared" si="104"/>
        <v>23257</v>
      </c>
      <c r="X2562" s="705">
        <f t="shared" si="105"/>
        <v>27761</v>
      </c>
    </row>
    <row r="2563" spans="2:24">
      <c r="B2563" t="s">
        <v>553</v>
      </c>
      <c r="C2563" t="s">
        <v>116</v>
      </c>
      <c r="D2563" t="s">
        <v>228</v>
      </c>
      <c r="E2563" t="s">
        <v>228</v>
      </c>
      <c r="F2563" s="705">
        <v>6</v>
      </c>
      <c r="G2563" s="705">
        <v>974</v>
      </c>
      <c r="H2563" s="705">
        <v>1128</v>
      </c>
      <c r="I2563" s="705">
        <v>97121</v>
      </c>
      <c r="J2563" s="705">
        <v>35971</v>
      </c>
      <c r="K2563" s="705">
        <v>229</v>
      </c>
      <c r="L2563" s="705">
        <v>24044</v>
      </c>
      <c r="M2563" s="705">
        <v>27117</v>
      </c>
      <c r="N2563" s="705">
        <v>21709</v>
      </c>
      <c r="O2563" s="705">
        <v>8040</v>
      </c>
      <c r="P2563" s="705">
        <v>1323</v>
      </c>
      <c r="Q2563" s="705">
        <v>490</v>
      </c>
      <c r="R2563" s="705">
        <v>39658</v>
      </c>
      <c r="S2563" s="705">
        <v>14688</v>
      </c>
      <c r="T2563" s="705">
        <v>0</v>
      </c>
      <c r="U2563" s="705">
        <v>0</v>
      </c>
      <c r="V2563" s="705">
        <v>86306</v>
      </c>
      <c r="W2563" s="705">
        <f t="shared" si="104"/>
        <v>86306</v>
      </c>
      <c r="X2563" s="705">
        <f t="shared" si="105"/>
        <v>183855</v>
      </c>
    </row>
    <row r="2564" spans="2:24">
      <c r="B2564" t="s">
        <v>553</v>
      </c>
      <c r="C2564" t="s">
        <v>116</v>
      </c>
      <c r="D2564" t="s">
        <v>583</v>
      </c>
      <c r="E2564" t="s">
        <v>228</v>
      </c>
      <c r="F2564" s="705">
        <v>2</v>
      </c>
      <c r="G2564" s="705">
        <v>259</v>
      </c>
      <c r="H2564" s="705">
        <v>327</v>
      </c>
      <c r="I2564" s="705">
        <v>23613</v>
      </c>
      <c r="J2564" s="705">
        <v>21466</v>
      </c>
      <c r="K2564" s="705">
        <v>89</v>
      </c>
      <c r="L2564" s="705">
        <v>1410</v>
      </c>
      <c r="M2564" s="705">
        <v>1282</v>
      </c>
      <c r="N2564" s="705">
        <v>6312</v>
      </c>
      <c r="O2564" s="705">
        <v>2338</v>
      </c>
      <c r="P2564" s="705">
        <v>1242</v>
      </c>
      <c r="Q2564" s="705">
        <v>460</v>
      </c>
      <c r="R2564" s="705">
        <v>10004</v>
      </c>
      <c r="S2564" s="705">
        <v>3705</v>
      </c>
      <c r="T2564" s="705">
        <v>0</v>
      </c>
      <c r="U2564" s="705">
        <v>0</v>
      </c>
      <c r="V2564" s="705">
        <v>29252</v>
      </c>
      <c r="W2564" s="705">
        <f t="shared" si="104"/>
        <v>29251</v>
      </c>
      <c r="X2564" s="705">
        <f t="shared" si="105"/>
        <v>42581</v>
      </c>
    </row>
    <row r="2565" spans="2:24">
      <c r="B2565" t="s">
        <v>553</v>
      </c>
      <c r="C2565" t="s">
        <v>116</v>
      </c>
      <c r="D2565" t="s">
        <v>583</v>
      </c>
      <c r="E2565" t="s">
        <v>583</v>
      </c>
      <c r="F2565" s="705">
        <v>2036</v>
      </c>
      <c r="G2565" s="705">
        <v>325814</v>
      </c>
      <c r="H2565" s="705">
        <v>388027</v>
      </c>
      <c r="I2565" s="705">
        <v>34919235</v>
      </c>
      <c r="J2565" s="705">
        <v>31744759</v>
      </c>
      <c r="K2565" s="705">
        <v>85</v>
      </c>
      <c r="L2565" s="705">
        <v>7350688</v>
      </c>
      <c r="M2565" s="705">
        <v>6604174</v>
      </c>
      <c r="N2565" s="705">
        <v>6883426</v>
      </c>
      <c r="O2565" s="705">
        <v>2549417</v>
      </c>
      <c r="P2565" s="705">
        <v>1327445</v>
      </c>
      <c r="Q2565" s="705">
        <v>491646</v>
      </c>
      <c r="R2565" s="705">
        <v>10710931</v>
      </c>
      <c r="S2565" s="705">
        <v>9737210</v>
      </c>
      <c r="T2565" s="705">
        <v>2915649</v>
      </c>
      <c r="U2565" s="705">
        <v>1079870</v>
      </c>
      <c r="V2565" s="705">
        <v>52207077</v>
      </c>
      <c r="W2565" s="705">
        <f t="shared" si="104"/>
        <v>52207076</v>
      </c>
      <c r="X2565" s="705">
        <f t="shared" si="105"/>
        <v>64107374</v>
      </c>
    </row>
    <row r="2566" spans="2:24">
      <c r="B2566" t="s">
        <v>553</v>
      </c>
      <c r="C2566" t="s">
        <v>116</v>
      </c>
      <c r="D2566" t="s">
        <v>583</v>
      </c>
      <c r="E2566" t="s">
        <v>669</v>
      </c>
      <c r="F2566" s="705">
        <v>1</v>
      </c>
      <c r="G2566" s="705">
        <v>174</v>
      </c>
      <c r="H2566" s="705">
        <v>186</v>
      </c>
      <c r="I2566" s="705">
        <v>15696</v>
      </c>
      <c r="J2566" s="705">
        <v>14269</v>
      </c>
      <c r="K2566" s="705">
        <v>86</v>
      </c>
      <c r="L2566" s="705">
        <v>4970</v>
      </c>
      <c r="M2566" s="705">
        <v>4519</v>
      </c>
      <c r="N2566" s="705">
        <v>3851</v>
      </c>
      <c r="O2566" s="705">
        <v>1426</v>
      </c>
      <c r="P2566" s="705">
        <v>621</v>
      </c>
      <c r="Q2566" s="705">
        <v>230</v>
      </c>
      <c r="R2566" s="705">
        <v>7073</v>
      </c>
      <c r="S2566" s="705">
        <v>5894</v>
      </c>
      <c r="T2566" s="705">
        <v>0</v>
      </c>
      <c r="U2566" s="705">
        <v>0</v>
      </c>
      <c r="V2566" s="705">
        <v>26338</v>
      </c>
      <c r="W2566" s="705">
        <f t="shared" si="104"/>
        <v>26338</v>
      </c>
      <c r="X2566" s="705">
        <f t="shared" si="105"/>
        <v>32211</v>
      </c>
    </row>
    <row r="2567" spans="2:24">
      <c r="B2567" t="s">
        <v>553</v>
      </c>
      <c r="C2567" t="s">
        <v>116</v>
      </c>
      <c r="D2567" t="s">
        <v>583</v>
      </c>
      <c r="E2567" t="s">
        <v>671</v>
      </c>
      <c r="F2567" s="705">
        <v>1</v>
      </c>
      <c r="G2567" s="705">
        <v>190</v>
      </c>
      <c r="H2567" s="705">
        <v>179</v>
      </c>
      <c r="I2567" s="705">
        <v>17904</v>
      </c>
      <c r="J2567" s="705">
        <v>16277</v>
      </c>
      <c r="K2567" s="705">
        <v>86</v>
      </c>
      <c r="L2567" s="705">
        <v>5605</v>
      </c>
      <c r="M2567" s="705">
        <v>5096</v>
      </c>
      <c r="N2567" s="705">
        <v>2662</v>
      </c>
      <c r="O2567" s="705">
        <v>986</v>
      </c>
      <c r="P2567" s="705">
        <v>621</v>
      </c>
      <c r="Q2567" s="705">
        <v>230</v>
      </c>
      <c r="R2567" s="705">
        <v>3810</v>
      </c>
      <c r="S2567" s="705">
        <v>3464</v>
      </c>
      <c r="T2567" s="705">
        <v>3429</v>
      </c>
      <c r="U2567" s="705">
        <v>1270</v>
      </c>
      <c r="V2567" s="705">
        <v>27322</v>
      </c>
      <c r="W2567" s="705">
        <f t="shared" si="104"/>
        <v>27323</v>
      </c>
      <c r="X2567" s="705">
        <f t="shared" si="105"/>
        <v>34031</v>
      </c>
    </row>
    <row r="2568" spans="2:24">
      <c r="B2568" t="s">
        <v>553</v>
      </c>
      <c r="C2568" t="s">
        <v>116</v>
      </c>
      <c r="D2568" t="s">
        <v>583</v>
      </c>
      <c r="E2568" t="s">
        <v>665</v>
      </c>
      <c r="F2568" s="705">
        <v>4</v>
      </c>
      <c r="G2568" s="705">
        <v>919</v>
      </c>
      <c r="H2568" s="705">
        <v>784</v>
      </c>
      <c r="I2568" s="705">
        <v>104273</v>
      </c>
      <c r="J2568" s="705">
        <v>94794</v>
      </c>
      <c r="K2568" s="705">
        <v>83</v>
      </c>
      <c r="L2568" s="705">
        <v>16882</v>
      </c>
      <c r="M2568" s="705">
        <v>15347</v>
      </c>
      <c r="N2568" s="705">
        <v>18713</v>
      </c>
      <c r="O2568" s="705">
        <v>6931</v>
      </c>
      <c r="P2568" s="705">
        <v>2835</v>
      </c>
      <c r="Q2568" s="705">
        <v>1050</v>
      </c>
      <c r="R2568" s="705">
        <v>21891</v>
      </c>
      <c r="S2568" s="705">
        <v>19901</v>
      </c>
      <c r="T2568" s="705">
        <v>11684</v>
      </c>
      <c r="U2568" s="705">
        <v>4327</v>
      </c>
      <c r="V2568" s="705">
        <v>142350</v>
      </c>
      <c r="W2568" s="705">
        <f t="shared" si="104"/>
        <v>142350</v>
      </c>
      <c r="X2568" s="705">
        <f t="shared" si="105"/>
        <v>176278</v>
      </c>
    </row>
    <row r="2569" spans="2:24">
      <c r="B2569" t="s">
        <v>553</v>
      </c>
      <c r="C2569" t="s">
        <v>116</v>
      </c>
      <c r="D2569" t="s">
        <v>584</v>
      </c>
      <c r="E2569" t="s">
        <v>584</v>
      </c>
      <c r="F2569" s="705">
        <v>43</v>
      </c>
      <c r="G2569" s="705">
        <v>6092</v>
      </c>
      <c r="H2569" s="705">
        <v>7735</v>
      </c>
      <c r="I2569" s="705">
        <v>558179</v>
      </c>
      <c r="J2569" s="705">
        <v>507435</v>
      </c>
      <c r="K2569" s="705">
        <v>80</v>
      </c>
      <c r="L2569" s="705">
        <v>134630</v>
      </c>
      <c r="M2569" s="705">
        <v>138431</v>
      </c>
      <c r="N2569" s="705">
        <v>125785</v>
      </c>
      <c r="O2569" s="705">
        <v>46587</v>
      </c>
      <c r="P2569" s="705">
        <v>24300</v>
      </c>
      <c r="Q2569" s="705">
        <v>9000</v>
      </c>
      <c r="R2569" s="705">
        <v>224122</v>
      </c>
      <c r="S2569" s="705">
        <v>203747</v>
      </c>
      <c r="T2569" s="705">
        <v>32394</v>
      </c>
      <c r="U2569" s="705">
        <v>11998</v>
      </c>
      <c r="V2569" s="705">
        <v>917198</v>
      </c>
      <c r="W2569" s="705">
        <f t="shared" si="104"/>
        <v>917198</v>
      </c>
      <c r="X2569" s="705">
        <f t="shared" si="105"/>
        <v>1099410</v>
      </c>
    </row>
    <row r="2570" spans="2:24">
      <c r="B2570" t="s">
        <v>553</v>
      </c>
      <c r="C2570" t="s">
        <v>116</v>
      </c>
      <c r="D2570" t="s">
        <v>584</v>
      </c>
      <c r="E2570" t="s">
        <v>665</v>
      </c>
      <c r="F2570" s="705">
        <v>1</v>
      </c>
      <c r="G2570" s="705">
        <v>175</v>
      </c>
      <c r="H2570" s="705">
        <v>171</v>
      </c>
      <c r="I2570" s="705">
        <v>15509</v>
      </c>
      <c r="J2570" s="705">
        <v>14099</v>
      </c>
      <c r="K2570" s="705">
        <v>79</v>
      </c>
      <c r="L2570" s="705">
        <v>4538</v>
      </c>
      <c r="M2570" s="705">
        <v>4125</v>
      </c>
      <c r="N2570" s="705">
        <v>3191</v>
      </c>
      <c r="O2570" s="705">
        <v>1182</v>
      </c>
      <c r="P2570" s="705">
        <v>473</v>
      </c>
      <c r="Q2570" s="705">
        <v>175</v>
      </c>
      <c r="R2570" s="705">
        <v>6181</v>
      </c>
      <c r="S2570" s="705">
        <v>5619</v>
      </c>
      <c r="T2570" s="705">
        <v>0</v>
      </c>
      <c r="U2570" s="705">
        <v>0</v>
      </c>
      <c r="V2570" s="705">
        <v>25200</v>
      </c>
      <c r="W2570" s="705">
        <f t="shared" si="104"/>
        <v>25200</v>
      </c>
      <c r="X2570" s="705">
        <f t="shared" si="105"/>
        <v>29892</v>
      </c>
    </row>
    <row r="2571" spans="2:24">
      <c r="B2571" t="s">
        <v>553</v>
      </c>
      <c r="C2571" t="s">
        <v>116</v>
      </c>
      <c r="D2571" t="s">
        <v>665</v>
      </c>
      <c r="E2571" t="s">
        <v>665</v>
      </c>
      <c r="F2571" s="705">
        <v>6</v>
      </c>
      <c r="G2571" s="705">
        <v>788</v>
      </c>
      <c r="H2571" s="705">
        <v>1244</v>
      </c>
      <c r="I2571" s="705">
        <v>115148</v>
      </c>
      <c r="J2571" s="705">
        <v>104680</v>
      </c>
      <c r="K2571" s="705">
        <v>73</v>
      </c>
      <c r="L2571" s="705">
        <v>11244</v>
      </c>
      <c r="M2571" s="705">
        <v>10222</v>
      </c>
      <c r="N2571" s="705">
        <v>16034</v>
      </c>
      <c r="O2571" s="705">
        <v>5939</v>
      </c>
      <c r="P2571" s="705">
        <v>3267</v>
      </c>
      <c r="Q2571" s="705">
        <v>1210</v>
      </c>
      <c r="R2571" s="705">
        <v>29692</v>
      </c>
      <c r="S2571" s="705">
        <v>26993</v>
      </c>
      <c r="T2571" s="705">
        <v>10114</v>
      </c>
      <c r="U2571" s="705">
        <v>3746</v>
      </c>
      <c r="V2571" s="705">
        <v>152790</v>
      </c>
      <c r="W2571" s="705">
        <f t="shared" si="104"/>
        <v>152790</v>
      </c>
      <c r="X2571" s="705">
        <f t="shared" si="105"/>
        <v>185499</v>
      </c>
    </row>
    <row r="2572" spans="2:24">
      <c r="B2572" t="s">
        <v>553</v>
      </c>
      <c r="C2572" t="s">
        <v>116</v>
      </c>
      <c r="D2572" t="s">
        <v>665</v>
      </c>
      <c r="E2572" t="s">
        <v>673</v>
      </c>
      <c r="F2572" s="705">
        <v>1</v>
      </c>
      <c r="G2572" s="705">
        <v>251</v>
      </c>
      <c r="H2572" s="705">
        <v>204</v>
      </c>
      <c r="I2572" s="705">
        <v>33508</v>
      </c>
      <c r="J2572" s="705">
        <v>30462</v>
      </c>
      <c r="K2572" s="705">
        <v>55</v>
      </c>
      <c r="L2572" s="705">
        <v>2395</v>
      </c>
      <c r="M2572" s="705">
        <v>2177</v>
      </c>
      <c r="N2572" s="705">
        <v>4580</v>
      </c>
      <c r="O2572" s="705">
        <v>1696</v>
      </c>
      <c r="P2572" s="705">
        <v>351</v>
      </c>
      <c r="Q2572" s="705">
        <v>130</v>
      </c>
      <c r="R2572" s="705">
        <v>10368</v>
      </c>
      <c r="S2572" s="705">
        <v>9426</v>
      </c>
      <c r="T2572" s="705">
        <v>0</v>
      </c>
      <c r="U2572" s="705">
        <v>0</v>
      </c>
      <c r="V2572" s="705">
        <v>43891</v>
      </c>
      <c r="W2572" s="705">
        <f t="shared" si="104"/>
        <v>43891</v>
      </c>
      <c r="X2572" s="705">
        <f t="shared" si="105"/>
        <v>51202</v>
      </c>
    </row>
    <row r="2573" spans="2:24">
      <c r="B2573" t="s">
        <v>553</v>
      </c>
      <c r="C2573" t="s">
        <v>116</v>
      </c>
      <c r="D2573" t="s">
        <v>585</v>
      </c>
      <c r="E2573" t="s">
        <v>585</v>
      </c>
      <c r="F2573" s="705">
        <v>9</v>
      </c>
      <c r="G2573" s="705">
        <v>1507</v>
      </c>
      <c r="H2573" s="705">
        <v>1668</v>
      </c>
      <c r="I2573" s="705">
        <v>198997</v>
      </c>
      <c r="J2573" s="705">
        <v>180906</v>
      </c>
      <c r="K2573" s="705">
        <v>72</v>
      </c>
      <c r="L2573" s="705">
        <v>31051</v>
      </c>
      <c r="M2573" s="705">
        <v>28228</v>
      </c>
      <c r="N2573" s="705">
        <v>30937</v>
      </c>
      <c r="O2573" s="705">
        <v>11458</v>
      </c>
      <c r="P2573" s="705">
        <v>4050</v>
      </c>
      <c r="Q2573" s="705">
        <v>1500</v>
      </c>
      <c r="R2573" s="705">
        <v>57316</v>
      </c>
      <c r="S2573" s="705">
        <v>52106</v>
      </c>
      <c r="T2573" s="705">
        <v>10379</v>
      </c>
      <c r="U2573" s="705">
        <v>3844</v>
      </c>
      <c r="V2573" s="705">
        <v>278042</v>
      </c>
      <c r="W2573" s="705">
        <f t="shared" si="104"/>
        <v>278042</v>
      </c>
      <c r="X2573" s="705">
        <f t="shared" si="105"/>
        <v>332730</v>
      </c>
    </row>
    <row r="2574" spans="2:24">
      <c r="B2574" t="s">
        <v>553</v>
      </c>
      <c r="C2574" t="s">
        <v>118</v>
      </c>
      <c r="D2574" t="s">
        <v>664</v>
      </c>
      <c r="E2574" t="s">
        <v>664</v>
      </c>
      <c r="F2574" s="705">
        <v>1</v>
      </c>
      <c r="G2574" s="705">
        <v>186</v>
      </c>
      <c r="H2574" s="705">
        <v>295</v>
      </c>
      <c r="I2574" s="705">
        <v>31689</v>
      </c>
      <c r="J2574" s="705">
        <v>28808</v>
      </c>
      <c r="K2574" s="705">
        <v>65</v>
      </c>
      <c r="L2574" s="705">
        <v>3348</v>
      </c>
      <c r="M2574" s="705">
        <v>3043</v>
      </c>
      <c r="N2574" s="705">
        <v>4399</v>
      </c>
      <c r="O2574" s="705">
        <v>1629</v>
      </c>
      <c r="P2574" s="705">
        <v>824</v>
      </c>
      <c r="Q2574" s="705">
        <v>305</v>
      </c>
      <c r="R2574" s="705">
        <v>8983</v>
      </c>
      <c r="S2574" s="705">
        <v>8167</v>
      </c>
      <c r="T2574" s="705">
        <v>5619</v>
      </c>
      <c r="U2574" s="705">
        <v>2081</v>
      </c>
      <c r="V2574" s="705">
        <v>44033</v>
      </c>
      <c r="W2574" s="705">
        <f t="shared" si="104"/>
        <v>44033</v>
      </c>
      <c r="X2574" s="705">
        <f t="shared" si="105"/>
        <v>54862</v>
      </c>
    </row>
    <row r="2575" spans="2:24">
      <c r="B2575" t="s">
        <v>553</v>
      </c>
      <c r="C2575" t="s">
        <v>118</v>
      </c>
      <c r="D2575" t="s">
        <v>582</v>
      </c>
      <c r="E2575" t="s">
        <v>582</v>
      </c>
      <c r="F2575" s="705">
        <v>15</v>
      </c>
      <c r="G2575" s="705">
        <v>1787</v>
      </c>
      <c r="H2575" s="705">
        <v>3797</v>
      </c>
      <c r="I2575" s="705">
        <v>270034</v>
      </c>
      <c r="J2575" s="705">
        <v>245485</v>
      </c>
      <c r="K2575" s="705">
        <v>80</v>
      </c>
      <c r="L2575" s="705">
        <v>66014</v>
      </c>
      <c r="M2575" s="705">
        <v>50784</v>
      </c>
      <c r="N2575" s="705">
        <v>37713</v>
      </c>
      <c r="O2575" s="705">
        <v>13968</v>
      </c>
      <c r="P2575" s="705">
        <v>6723</v>
      </c>
      <c r="Q2575" s="705">
        <v>2490</v>
      </c>
      <c r="R2575" s="705">
        <v>71440</v>
      </c>
      <c r="S2575" s="705">
        <v>64945</v>
      </c>
      <c r="T2575" s="705">
        <v>15117</v>
      </c>
      <c r="U2575" s="705">
        <v>5599</v>
      </c>
      <c r="V2575" s="705">
        <v>383271</v>
      </c>
      <c r="W2575" s="705">
        <f t="shared" si="104"/>
        <v>383271</v>
      </c>
      <c r="X2575" s="705">
        <f t="shared" si="105"/>
        <v>467041</v>
      </c>
    </row>
    <row r="2576" spans="2:24">
      <c r="B2576" t="s">
        <v>553</v>
      </c>
      <c r="C2576" t="s">
        <v>118</v>
      </c>
      <c r="D2576" t="s">
        <v>228</v>
      </c>
      <c r="E2576" t="s">
        <v>228</v>
      </c>
      <c r="F2576" s="705">
        <v>55</v>
      </c>
      <c r="G2576" s="705">
        <v>8635</v>
      </c>
      <c r="H2576" s="705">
        <v>14276</v>
      </c>
      <c r="I2576" s="705">
        <v>1445193</v>
      </c>
      <c r="J2576" s="705">
        <v>535257</v>
      </c>
      <c r="K2576" s="705">
        <v>104</v>
      </c>
      <c r="L2576" s="705">
        <v>266831</v>
      </c>
      <c r="M2576" s="705">
        <v>227307</v>
      </c>
      <c r="N2576" s="705">
        <v>217380</v>
      </c>
      <c r="O2576" s="705">
        <v>80511</v>
      </c>
      <c r="P2576" s="705">
        <v>11724</v>
      </c>
      <c r="Q2576" s="705">
        <v>4342</v>
      </c>
      <c r="R2576" s="705">
        <v>525063</v>
      </c>
      <c r="S2576" s="705">
        <v>194468</v>
      </c>
      <c r="T2576" s="705">
        <v>0</v>
      </c>
      <c r="U2576" s="705">
        <v>0</v>
      </c>
      <c r="V2576" s="705">
        <v>1041886</v>
      </c>
      <c r="W2576" s="705">
        <f t="shared" si="104"/>
        <v>1041885</v>
      </c>
      <c r="X2576" s="705">
        <f t="shared" si="105"/>
        <v>2466191</v>
      </c>
    </row>
    <row r="2577" spans="2:24">
      <c r="B2577" t="s">
        <v>553</v>
      </c>
      <c r="C2577" t="s">
        <v>118</v>
      </c>
      <c r="D2577" t="s">
        <v>583</v>
      </c>
      <c r="E2577" t="s">
        <v>228</v>
      </c>
      <c r="F2577" s="705">
        <v>9</v>
      </c>
      <c r="G2577" s="705">
        <v>1406</v>
      </c>
      <c r="H2577" s="705">
        <v>2290</v>
      </c>
      <c r="I2577" s="705">
        <v>228361</v>
      </c>
      <c r="J2577" s="705">
        <v>207601</v>
      </c>
      <c r="K2577" s="705">
        <v>85</v>
      </c>
      <c r="L2577" s="705">
        <v>48974</v>
      </c>
      <c r="M2577" s="705">
        <v>44522</v>
      </c>
      <c r="N2577" s="705">
        <v>30091</v>
      </c>
      <c r="O2577" s="705">
        <v>11145</v>
      </c>
      <c r="P2577" s="705">
        <v>4968</v>
      </c>
      <c r="Q2577" s="705">
        <v>1840</v>
      </c>
      <c r="R2577" s="705">
        <v>59753</v>
      </c>
      <c r="S2577" s="705">
        <v>22131</v>
      </c>
      <c r="T2577" s="705">
        <v>0</v>
      </c>
      <c r="U2577" s="705">
        <v>0</v>
      </c>
      <c r="V2577" s="705">
        <v>287238</v>
      </c>
      <c r="W2577" s="705">
        <f t="shared" si="104"/>
        <v>287239</v>
      </c>
      <c r="X2577" s="705">
        <f t="shared" si="105"/>
        <v>372147</v>
      </c>
    </row>
    <row r="2578" spans="2:24">
      <c r="B2578" t="s">
        <v>553</v>
      </c>
      <c r="C2578" t="s">
        <v>118</v>
      </c>
      <c r="D2578" t="s">
        <v>583</v>
      </c>
      <c r="E2578" t="s">
        <v>583</v>
      </c>
      <c r="F2578" s="705">
        <v>1229</v>
      </c>
      <c r="G2578" s="705">
        <v>156815</v>
      </c>
      <c r="H2578" s="705">
        <v>320182</v>
      </c>
      <c r="I2578" s="705">
        <v>23888034</v>
      </c>
      <c r="J2578" s="705">
        <v>21716394</v>
      </c>
      <c r="K2578" s="705">
        <v>80</v>
      </c>
      <c r="L2578" s="705">
        <v>4660649</v>
      </c>
      <c r="M2578" s="705">
        <v>4185537</v>
      </c>
      <c r="N2578" s="705">
        <v>3300049</v>
      </c>
      <c r="O2578" s="705">
        <v>1222240</v>
      </c>
      <c r="P2578" s="705">
        <v>805964</v>
      </c>
      <c r="Q2578" s="705">
        <v>298505</v>
      </c>
      <c r="R2578" s="705">
        <v>5969264</v>
      </c>
      <c r="S2578" s="705">
        <v>5426604</v>
      </c>
      <c r="T2578" s="705">
        <v>2536531</v>
      </c>
      <c r="U2578" s="705">
        <v>939456</v>
      </c>
      <c r="V2578" s="705">
        <v>33788736</v>
      </c>
      <c r="W2578" s="705">
        <f t="shared" si="104"/>
        <v>33788736</v>
      </c>
      <c r="X2578" s="705">
        <f t="shared" si="105"/>
        <v>41160491</v>
      </c>
    </row>
    <row r="2579" spans="2:24">
      <c r="B2579" t="s">
        <v>553</v>
      </c>
      <c r="C2579" t="s">
        <v>118</v>
      </c>
      <c r="D2579" t="s">
        <v>583</v>
      </c>
      <c r="E2579" t="s">
        <v>666</v>
      </c>
      <c r="F2579" s="705">
        <v>2</v>
      </c>
      <c r="G2579" s="705">
        <v>189</v>
      </c>
      <c r="H2579" s="705">
        <v>552</v>
      </c>
      <c r="I2579" s="705">
        <v>28289</v>
      </c>
      <c r="J2579" s="705">
        <v>25717</v>
      </c>
      <c r="K2579" s="705">
        <v>75</v>
      </c>
      <c r="L2579" s="705">
        <v>4934</v>
      </c>
      <c r="M2579" s="705">
        <v>4485</v>
      </c>
      <c r="N2579" s="705">
        <v>4320</v>
      </c>
      <c r="O2579" s="705">
        <v>1600</v>
      </c>
      <c r="P2579" s="705">
        <v>1242</v>
      </c>
      <c r="Q2579" s="705">
        <v>460</v>
      </c>
      <c r="R2579" s="705">
        <v>13111</v>
      </c>
      <c r="S2579" s="705">
        <v>11919</v>
      </c>
      <c r="T2579" s="705">
        <v>0</v>
      </c>
      <c r="U2579" s="705">
        <v>0</v>
      </c>
      <c r="V2579" s="705">
        <v>44182</v>
      </c>
      <c r="W2579" s="705">
        <f t="shared" si="104"/>
        <v>44181</v>
      </c>
      <c r="X2579" s="705">
        <f t="shared" si="105"/>
        <v>51896</v>
      </c>
    </row>
    <row r="2580" spans="2:24">
      <c r="B2580" t="s">
        <v>553</v>
      </c>
      <c r="C2580" t="s">
        <v>118</v>
      </c>
      <c r="D2580" t="s">
        <v>583</v>
      </c>
      <c r="E2580" t="s">
        <v>671</v>
      </c>
      <c r="F2580" s="705">
        <v>2</v>
      </c>
      <c r="G2580" s="705">
        <v>314</v>
      </c>
      <c r="H2580" s="705">
        <v>533</v>
      </c>
      <c r="I2580" s="705">
        <v>47177</v>
      </c>
      <c r="J2580" s="705">
        <v>42888</v>
      </c>
      <c r="K2580" s="705">
        <v>79</v>
      </c>
      <c r="L2580" s="705">
        <v>6950</v>
      </c>
      <c r="M2580" s="705">
        <v>6318</v>
      </c>
      <c r="N2580" s="705">
        <v>6656</v>
      </c>
      <c r="O2580" s="705">
        <v>2465</v>
      </c>
      <c r="P2580" s="705">
        <v>1863</v>
      </c>
      <c r="Q2580" s="705">
        <v>690</v>
      </c>
      <c r="R2580" s="705">
        <v>13192</v>
      </c>
      <c r="S2580" s="705">
        <v>11993</v>
      </c>
      <c r="T2580" s="705">
        <v>6657</v>
      </c>
      <c r="U2580" s="705">
        <v>2466</v>
      </c>
      <c r="V2580" s="705">
        <v>66820</v>
      </c>
      <c r="W2580" s="705">
        <f t="shared" si="104"/>
        <v>66820</v>
      </c>
      <c r="X2580" s="705">
        <f t="shared" si="105"/>
        <v>82495</v>
      </c>
    </row>
    <row r="2581" spans="2:24">
      <c r="B2581" t="s">
        <v>553</v>
      </c>
      <c r="C2581" t="s">
        <v>118</v>
      </c>
      <c r="D2581" t="s">
        <v>583</v>
      </c>
      <c r="E2581" t="s">
        <v>665</v>
      </c>
      <c r="F2581" s="705">
        <v>3</v>
      </c>
      <c r="G2581" s="705">
        <v>402</v>
      </c>
      <c r="H2581" s="705">
        <v>829</v>
      </c>
      <c r="I2581" s="705">
        <v>74588</v>
      </c>
      <c r="J2581" s="705">
        <v>67807</v>
      </c>
      <c r="K2581" s="705">
        <v>67</v>
      </c>
      <c r="L2581" s="705">
        <v>14697</v>
      </c>
      <c r="M2581" s="705">
        <v>13361</v>
      </c>
      <c r="N2581" s="705">
        <v>8565</v>
      </c>
      <c r="O2581" s="705">
        <v>3172</v>
      </c>
      <c r="P2581" s="705">
        <v>1863</v>
      </c>
      <c r="Q2581" s="705">
        <v>690</v>
      </c>
      <c r="R2581" s="705">
        <v>22594</v>
      </c>
      <c r="S2581" s="705">
        <v>20540</v>
      </c>
      <c r="T2581" s="705">
        <v>6021</v>
      </c>
      <c r="U2581" s="705">
        <v>2230</v>
      </c>
      <c r="V2581" s="705">
        <v>107800</v>
      </c>
      <c r="W2581" s="705">
        <f t="shared" si="104"/>
        <v>107800</v>
      </c>
      <c r="X2581" s="705">
        <f t="shared" si="105"/>
        <v>128328</v>
      </c>
    </row>
    <row r="2582" spans="2:24">
      <c r="B2582" t="s">
        <v>553</v>
      </c>
      <c r="C2582" t="s">
        <v>118</v>
      </c>
      <c r="D2582" t="s">
        <v>584</v>
      </c>
      <c r="E2582" t="s">
        <v>584</v>
      </c>
      <c r="F2582" s="705">
        <v>5</v>
      </c>
      <c r="G2582" s="705">
        <v>619</v>
      </c>
      <c r="H2582" s="705">
        <v>1238</v>
      </c>
      <c r="I2582" s="705">
        <v>86608</v>
      </c>
      <c r="J2582" s="705">
        <v>78735</v>
      </c>
      <c r="K2582" s="705">
        <v>77</v>
      </c>
      <c r="L2582" s="705">
        <v>21509</v>
      </c>
      <c r="M2582" s="705">
        <v>19553</v>
      </c>
      <c r="N2582" s="705">
        <v>11635</v>
      </c>
      <c r="O2582" s="705">
        <v>4309</v>
      </c>
      <c r="P2582" s="705">
        <v>2363</v>
      </c>
      <c r="Q2582" s="705">
        <v>875</v>
      </c>
      <c r="R2582" s="705">
        <v>26647</v>
      </c>
      <c r="S2582" s="705">
        <v>24224</v>
      </c>
      <c r="T2582" s="705">
        <v>2191</v>
      </c>
      <c r="U2582" s="705">
        <v>811</v>
      </c>
      <c r="V2582" s="705">
        <v>128507</v>
      </c>
      <c r="W2582" s="705">
        <f t="shared" si="104"/>
        <v>128507</v>
      </c>
      <c r="X2582" s="705">
        <f t="shared" si="105"/>
        <v>150953</v>
      </c>
    </row>
    <row r="2583" spans="2:24">
      <c r="B2583" t="s">
        <v>553</v>
      </c>
      <c r="C2583" t="s">
        <v>118</v>
      </c>
      <c r="D2583" t="s">
        <v>667</v>
      </c>
      <c r="E2583" t="s">
        <v>667</v>
      </c>
      <c r="F2583" s="705">
        <v>1</v>
      </c>
      <c r="G2583" s="705">
        <v>142</v>
      </c>
      <c r="H2583" s="705">
        <v>272</v>
      </c>
      <c r="I2583" s="705">
        <v>23459</v>
      </c>
      <c r="J2583" s="705">
        <v>21327</v>
      </c>
      <c r="K2583" s="705">
        <v>65</v>
      </c>
      <c r="L2583" s="705">
        <v>2607</v>
      </c>
      <c r="M2583" s="705">
        <v>2370</v>
      </c>
      <c r="N2583" s="705">
        <v>3189</v>
      </c>
      <c r="O2583" s="705">
        <v>1181</v>
      </c>
      <c r="P2583" s="705">
        <v>621</v>
      </c>
      <c r="Q2583" s="705">
        <v>230</v>
      </c>
      <c r="R2583" s="705">
        <v>5446</v>
      </c>
      <c r="S2583" s="705">
        <v>4951</v>
      </c>
      <c r="T2583" s="705">
        <v>3193</v>
      </c>
      <c r="U2583" s="705">
        <v>1183</v>
      </c>
      <c r="V2583" s="705">
        <v>31241</v>
      </c>
      <c r="W2583" s="705">
        <f t="shared" si="104"/>
        <v>31242</v>
      </c>
      <c r="X2583" s="705">
        <f t="shared" si="105"/>
        <v>38515</v>
      </c>
    </row>
    <row r="2584" spans="2:24">
      <c r="B2584" t="s">
        <v>553</v>
      </c>
      <c r="C2584" t="s">
        <v>118</v>
      </c>
      <c r="D2584" t="s">
        <v>671</v>
      </c>
      <c r="E2584" t="s">
        <v>671</v>
      </c>
      <c r="F2584" s="705">
        <v>1</v>
      </c>
      <c r="G2584" s="705">
        <v>228</v>
      </c>
      <c r="H2584" s="705">
        <v>243</v>
      </c>
      <c r="I2584" s="705">
        <v>37543</v>
      </c>
      <c r="J2584" s="705">
        <v>34130</v>
      </c>
      <c r="K2584" s="705">
        <v>55</v>
      </c>
      <c r="L2584" s="705">
        <v>3278</v>
      </c>
      <c r="M2584" s="705">
        <v>2980</v>
      </c>
      <c r="N2584" s="705">
        <v>4866</v>
      </c>
      <c r="O2584" s="705">
        <v>1802</v>
      </c>
      <c r="P2584" s="705">
        <v>621</v>
      </c>
      <c r="Q2584" s="705">
        <v>230</v>
      </c>
      <c r="R2584" s="705">
        <v>9177</v>
      </c>
      <c r="S2584" s="705">
        <v>8343</v>
      </c>
      <c r="T2584" s="705">
        <v>0</v>
      </c>
      <c r="U2584" s="705">
        <v>0</v>
      </c>
      <c r="V2584" s="705">
        <v>47485</v>
      </c>
      <c r="W2584" s="705">
        <f t="shared" si="104"/>
        <v>47485</v>
      </c>
      <c r="X2584" s="705">
        <f t="shared" si="105"/>
        <v>55485</v>
      </c>
    </row>
    <row r="2585" spans="2:24">
      <c r="B2585" t="s">
        <v>553</v>
      </c>
      <c r="C2585" t="s">
        <v>118</v>
      </c>
      <c r="D2585" t="s">
        <v>665</v>
      </c>
      <c r="E2585" t="s">
        <v>665</v>
      </c>
      <c r="F2585" s="705">
        <v>35</v>
      </c>
      <c r="G2585" s="705">
        <v>4888</v>
      </c>
      <c r="H2585" s="705">
        <v>9456</v>
      </c>
      <c r="I2585" s="705">
        <v>869211</v>
      </c>
      <c r="J2585" s="705">
        <v>790192</v>
      </c>
      <c r="K2585" s="705">
        <v>65</v>
      </c>
      <c r="L2585" s="705">
        <v>105952</v>
      </c>
      <c r="M2585" s="705">
        <v>89640</v>
      </c>
      <c r="N2585" s="705">
        <v>96003</v>
      </c>
      <c r="O2585" s="705">
        <v>35557</v>
      </c>
      <c r="P2585" s="705">
        <v>18882</v>
      </c>
      <c r="Q2585" s="705">
        <v>6993</v>
      </c>
      <c r="R2585" s="705">
        <v>204102</v>
      </c>
      <c r="S2585" s="705">
        <v>185547</v>
      </c>
      <c r="T2585" s="705">
        <v>77104</v>
      </c>
      <c r="U2585" s="705">
        <v>28557</v>
      </c>
      <c r="V2585" s="705">
        <v>1136485</v>
      </c>
      <c r="W2585" s="705">
        <f t="shared" si="104"/>
        <v>1136486</v>
      </c>
      <c r="X2585" s="705">
        <f t="shared" si="105"/>
        <v>1371254</v>
      </c>
    </row>
    <row r="2586" spans="2:24">
      <c r="B2586" t="s">
        <v>553</v>
      </c>
      <c r="C2586" t="s">
        <v>118</v>
      </c>
      <c r="D2586" t="s">
        <v>673</v>
      </c>
      <c r="E2586" t="s">
        <v>673</v>
      </c>
      <c r="F2586" s="705">
        <v>2</v>
      </c>
      <c r="G2586" s="705">
        <v>420</v>
      </c>
      <c r="H2586" s="705">
        <v>501</v>
      </c>
      <c r="I2586" s="705">
        <v>100652</v>
      </c>
      <c r="J2586" s="705">
        <v>91502</v>
      </c>
      <c r="K2586" s="705">
        <v>53</v>
      </c>
      <c r="L2586" s="705">
        <v>10594</v>
      </c>
      <c r="M2586" s="705">
        <v>9631</v>
      </c>
      <c r="N2586" s="705">
        <v>9605</v>
      </c>
      <c r="O2586" s="705">
        <v>3557</v>
      </c>
      <c r="P2586" s="705">
        <v>1175</v>
      </c>
      <c r="Q2586" s="705">
        <v>435</v>
      </c>
      <c r="R2586" s="705">
        <v>12933</v>
      </c>
      <c r="S2586" s="705">
        <v>11757</v>
      </c>
      <c r="T2586" s="705">
        <v>4274</v>
      </c>
      <c r="U2586" s="705">
        <v>1583</v>
      </c>
      <c r="V2586" s="705">
        <v>118465</v>
      </c>
      <c r="W2586" s="705">
        <f t="shared" si="104"/>
        <v>118465</v>
      </c>
      <c r="X2586" s="705">
        <f t="shared" si="105"/>
        <v>139233</v>
      </c>
    </row>
    <row r="2587" spans="2:24">
      <c r="B2587" t="s">
        <v>553</v>
      </c>
      <c r="C2587" t="s">
        <v>118</v>
      </c>
      <c r="D2587" t="s">
        <v>585</v>
      </c>
      <c r="E2587" t="s">
        <v>585</v>
      </c>
      <c r="F2587" s="705">
        <v>4</v>
      </c>
      <c r="G2587" s="705">
        <v>739</v>
      </c>
      <c r="H2587" s="705">
        <v>1032</v>
      </c>
      <c r="I2587" s="705">
        <v>125436</v>
      </c>
      <c r="J2587" s="705">
        <v>114033</v>
      </c>
      <c r="K2587" s="705">
        <v>68</v>
      </c>
      <c r="L2587" s="705">
        <v>16058</v>
      </c>
      <c r="M2587" s="705">
        <v>11370</v>
      </c>
      <c r="N2587" s="705">
        <v>15624</v>
      </c>
      <c r="O2587" s="705">
        <v>5787</v>
      </c>
      <c r="P2587" s="705">
        <v>1674</v>
      </c>
      <c r="Q2587" s="705">
        <v>620</v>
      </c>
      <c r="R2587" s="705">
        <v>25135</v>
      </c>
      <c r="S2587" s="705">
        <v>22850</v>
      </c>
      <c r="T2587" s="705">
        <v>7101</v>
      </c>
      <c r="U2587" s="705">
        <v>2630</v>
      </c>
      <c r="V2587" s="705">
        <v>157290</v>
      </c>
      <c r="W2587" s="705">
        <f t="shared" si="104"/>
        <v>157290</v>
      </c>
      <c r="X2587" s="705">
        <f t="shared" si="105"/>
        <v>191028</v>
      </c>
    </row>
    <row r="2588" spans="2:24">
      <c r="B2588" t="s">
        <v>553</v>
      </c>
      <c r="C2588" t="s">
        <v>120</v>
      </c>
      <c r="D2588" t="s">
        <v>664</v>
      </c>
      <c r="E2588" t="s">
        <v>664</v>
      </c>
      <c r="F2588" s="705">
        <v>2</v>
      </c>
      <c r="G2588" s="705">
        <v>309</v>
      </c>
      <c r="H2588" s="705">
        <v>667</v>
      </c>
      <c r="I2588" s="705">
        <v>70244</v>
      </c>
      <c r="J2588" s="705">
        <v>63858</v>
      </c>
      <c r="K2588" s="705">
        <v>69</v>
      </c>
      <c r="L2588" s="705">
        <v>11731</v>
      </c>
      <c r="M2588" s="705">
        <v>10664</v>
      </c>
      <c r="N2588" s="705">
        <v>7522</v>
      </c>
      <c r="O2588" s="705">
        <v>2786</v>
      </c>
      <c r="P2588" s="705">
        <v>1175</v>
      </c>
      <c r="Q2588" s="705">
        <v>435</v>
      </c>
      <c r="R2588" s="705">
        <v>12761</v>
      </c>
      <c r="S2588" s="705">
        <v>11601</v>
      </c>
      <c r="T2588" s="705">
        <v>0</v>
      </c>
      <c r="U2588" s="705">
        <v>0</v>
      </c>
      <c r="V2588" s="705">
        <v>89345</v>
      </c>
      <c r="W2588" s="705">
        <f t="shared" si="104"/>
        <v>89344</v>
      </c>
      <c r="X2588" s="705">
        <f t="shared" si="105"/>
        <v>103433</v>
      </c>
    </row>
    <row r="2589" spans="2:24">
      <c r="B2589" t="s">
        <v>553</v>
      </c>
      <c r="C2589" t="s">
        <v>120</v>
      </c>
      <c r="D2589" t="s">
        <v>664</v>
      </c>
      <c r="E2589" t="s">
        <v>583</v>
      </c>
      <c r="F2589" s="705">
        <v>1</v>
      </c>
      <c r="G2589" s="705">
        <v>123</v>
      </c>
      <c r="H2589" s="705">
        <v>374</v>
      </c>
      <c r="I2589" s="705">
        <v>31685</v>
      </c>
      <c r="J2589" s="705">
        <v>28805</v>
      </c>
      <c r="K2589" s="705">
        <v>85</v>
      </c>
      <c r="L2589" s="705">
        <v>5166</v>
      </c>
      <c r="M2589" s="705">
        <v>4696</v>
      </c>
      <c r="N2589" s="705">
        <v>2901</v>
      </c>
      <c r="O2589" s="705">
        <v>1074</v>
      </c>
      <c r="P2589" s="705">
        <v>621</v>
      </c>
      <c r="Q2589" s="705">
        <v>230</v>
      </c>
      <c r="R2589" s="705">
        <v>5745</v>
      </c>
      <c r="S2589" s="705">
        <v>5223</v>
      </c>
      <c r="T2589" s="705">
        <v>0</v>
      </c>
      <c r="U2589" s="705">
        <v>0</v>
      </c>
      <c r="V2589" s="705">
        <v>40028</v>
      </c>
      <c r="W2589" s="705">
        <f t="shared" si="104"/>
        <v>40028</v>
      </c>
      <c r="X2589" s="705">
        <f t="shared" si="105"/>
        <v>46118</v>
      </c>
    </row>
    <row r="2590" spans="2:24">
      <c r="B2590" t="s">
        <v>553</v>
      </c>
      <c r="C2590" t="s">
        <v>120</v>
      </c>
      <c r="D2590" t="s">
        <v>582</v>
      </c>
      <c r="E2590" t="s">
        <v>582</v>
      </c>
      <c r="F2590" s="705">
        <v>5</v>
      </c>
      <c r="G2590" s="705">
        <v>621</v>
      </c>
      <c r="H2590" s="705">
        <v>1652</v>
      </c>
      <c r="I2590" s="705">
        <v>125015</v>
      </c>
      <c r="J2590" s="705">
        <v>113650</v>
      </c>
      <c r="K2590" s="705">
        <v>80</v>
      </c>
      <c r="L2590" s="705">
        <v>27440</v>
      </c>
      <c r="M2590" s="705">
        <v>24945</v>
      </c>
      <c r="N2590" s="705">
        <v>13096</v>
      </c>
      <c r="O2590" s="705">
        <v>4850</v>
      </c>
      <c r="P2590" s="705">
        <v>2417</v>
      </c>
      <c r="Q2590" s="705">
        <v>895</v>
      </c>
      <c r="R2590" s="705">
        <v>25563</v>
      </c>
      <c r="S2590" s="705">
        <v>23239</v>
      </c>
      <c r="T2590" s="705">
        <v>9521</v>
      </c>
      <c r="U2590" s="705">
        <v>3526</v>
      </c>
      <c r="V2590" s="705">
        <v>171106</v>
      </c>
      <c r="W2590" s="705">
        <f t="shared" si="104"/>
        <v>171105</v>
      </c>
      <c r="X2590" s="705">
        <f t="shared" si="105"/>
        <v>203052</v>
      </c>
    </row>
    <row r="2591" spans="2:24">
      <c r="B2591" t="s">
        <v>553</v>
      </c>
      <c r="C2591" t="s">
        <v>120</v>
      </c>
      <c r="D2591" t="s">
        <v>228</v>
      </c>
      <c r="E2591" t="s">
        <v>228</v>
      </c>
      <c r="F2591" s="705">
        <v>27</v>
      </c>
      <c r="G2591" s="705">
        <v>2874</v>
      </c>
      <c r="H2591" s="705">
        <v>9196</v>
      </c>
      <c r="I2591" s="705">
        <v>613121</v>
      </c>
      <c r="J2591" s="705">
        <v>227082</v>
      </c>
      <c r="K2591" s="705">
        <v>100</v>
      </c>
      <c r="L2591" s="705">
        <v>124785</v>
      </c>
      <c r="M2591" s="705">
        <v>106328</v>
      </c>
      <c r="N2591" s="705">
        <v>65583</v>
      </c>
      <c r="O2591" s="705">
        <v>24290</v>
      </c>
      <c r="P2591" s="705">
        <v>351</v>
      </c>
      <c r="Q2591" s="705">
        <v>130</v>
      </c>
      <c r="R2591" s="705">
        <v>178677</v>
      </c>
      <c r="S2591" s="705">
        <v>66177</v>
      </c>
      <c r="T2591" s="705">
        <v>1934</v>
      </c>
      <c r="U2591" s="705">
        <v>716</v>
      </c>
      <c r="V2591" s="705">
        <v>424722</v>
      </c>
      <c r="W2591" s="705">
        <f t="shared" si="104"/>
        <v>424723</v>
      </c>
      <c r="X2591" s="705">
        <f t="shared" si="105"/>
        <v>984451</v>
      </c>
    </row>
    <row r="2592" spans="2:24">
      <c r="B2592" t="s">
        <v>553</v>
      </c>
      <c r="C2592" t="s">
        <v>120</v>
      </c>
      <c r="D2592" t="s">
        <v>228</v>
      </c>
      <c r="E2592" t="s">
        <v>583</v>
      </c>
      <c r="F2592" s="705">
        <v>1</v>
      </c>
      <c r="G2592" s="705">
        <v>87</v>
      </c>
      <c r="H2592" s="705">
        <v>333</v>
      </c>
      <c r="I2592" s="705">
        <v>21025</v>
      </c>
      <c r="J2592" s="705">
        <v>7787</v>
      </c>
      <c r="K2592" s="705">
        <v>100</v>
      </c>
      <c r="L2592" s="705">
        <v>1360</v>
      </c>
      <c r="M2592" s="705">
        <v>1236</v>
      </c>
      <c r="N2592" s="705">
        <v>1056</v>
      </c>
      <c r="O2592" s="705">
        <v>391</v>
      </c>
      <c r="P2592" s="705">
        <v>0</v>
      </c>
      <c r="Q2592" s="705">
        <v>0</v>
      </c>
      <c r="R2592" s="705">
        <v>5407</v>
      </c>
      <c r="S2592" s="705">
        <v>4915</v>
      </c>
      <c r="T2592" s="705">
        <v>0</v>
      </c>
      <c r="U2592" s="705">
        <v>0</v>
      </c>
      <c r="V2592" s="705">
        <v>14330</v>
      </c>
      <c r="W2592" s="705">
        <f t="shared" si="104"/>
        <v>14329</v>
      </c>
      <c r="X2592" s="705">
        <f t="shared" si="105"/>
        <v>28848</v>
      </c>
    </row>
    <row r="2593" spans="2:24">
      <c r="B2593" t="s">
        <v>553</v>
      </c>
      <c r="C2593" t="s">
        <v>120</v>
      </c>
      <c r="D2593" t="s">
        <v>583</v>
      </c>
      <c r="E2593" t="s">
        <v>664</v>
      </c>
      <c r="F2593" s="705">
        <v>1</v>
      </c>
      <c r="G2593" s="705">
        <v>219</v>
      </c>
      <c r="H2593" s="705">
        <v>325</v>
      </c>
      <c r="I2593" s="705">
        <v>47911</v>
      </c>
      <c r="J2593" s="705">
        <v>43556</v>
      </c>
      <c r="K2593" s="705">
        <v>65</v>
      </c>
      <c r="L2593" s="705">
        <v>7311</v>
      </c>
      <c r="M2593" s="705">
        <v>6646</v>
      </c>
      <c r="N2593" s="705">
        <v>4273</v>
      </c>
      <c r="O2593" s="705">
        <v>1583</v>
      </c>
      <c r="P2593" s="705">
        <v>621</v>
      </c>
      <c r="Q2593" s="705">
        <v>230</v>
      </c>
      <c r="R2593" s="705">
        <v>6999</v>
      </c>
      <c r="S2593" s="705">
        <v>6363</v>
      </c>
      <c r="T2593" s="705">
        <v>4138</v>
      </c>
      <c r="U2593" s="705">
        <v>1533</v>
      </c>
      <c r="V2593" s="705">
        <v>59910</v>
      </c>
      <c r="W2593" s="705">
        <f t="shared" si="104"/>
        <v>59911</v>
      </c>
      <c r="X2593" s="705">
        <f t="shared" si="105"/>
        <v>71253</v>
      </c>
    </row>
    <row r="2594" spans="2:24">
      <c r="B2594" t="s">
        <v>553</v>
      </c>
      <c r="C2594" t="s">
        <v>120</v>
      </c>
      <c r="D2594" t="s">
        <v>583</v>
      </c>
      <c r="E2594" t="s">
        <v>228</v>
      </c>
      <c r="F2594" s="705">
        <v>5</v>
      </c>
      <c r="G2594" s="705">
        <v>690</v>
      </c>
      <c r="H2594" s="705">
        <v>1677</v>
      </c>
      <c r="I2594" s="705">
        <v>145803</v>
      </c>
      <c r="J2594" s="705">
        <v>132548</v>
      </c>
      <c r="K2594" s="705">
        <v>74</v>
      </c>
      <c r="L2594" s="705">
        <v>24607</v>
      </c>
      <c r="M2594" s="705">
        <v>22370</v>
      </c>
      <c r="N2594" s="705">
        <v>15504</v>
      </c>
      <c r="O2594" s="705">
        <v>5742</v>
      </c>
      <c r="P2594" s="705">
        <v>3105</v>
      </c>
      <c r="Q2594" s="705">
        <v>1150</v>
      </c>
      <c r="R2594" s="705">
        <v>39796</v>
      </c>
      <c r="S2594" s="705">
        <v>14739</v>
      </c>
      <c r="T2594" s="705">
        <v>0</v>
      </c>
      <c r="U2594" s="705">
        <v>0</v>
      </c>
      <c r="V2594" s="705">
        <v>176549</v>
      </c>
      <c r="W2594" s="705">
        <f t="shared" si="104"/>
        <v>176549</v>
      </c>
      <c r="X2594" s="705">
        <f t="shared" si="105"/>
        <v>228815</v>
      </c>
    </row>
    <row r="2595" spans="2:24">
      <c r="B2595" t="s">
        <v>553</v>
      </c>
      <c r="C2595" t="s">
        <v>120</v>
      </c>
      <c r="D2595" t="s">
        <v>583</v>
      </c>
      <c r="E2595" t="s">
        <v>583</v>
      </c>
      <c r="F2595" s="705">
        <v>568</v>
      </c>
      <c r="G2595" s="705">
        <v>63676</v>
      </c>
      <c r="H2595" s="705">
        <v>190584</v>
      </c>
      <c r="I2595" s="705">
        <v>13493518</v>
      </c>
      <c r="J2595" s="705">
        <v>12266834</v>
      </c>
      <c r="K2595" s="705">
        <v>78</v>
      </c>
      <c r="L2595" s="705">
        <v>2567488</v>
      </c>
      <c r="M2595" s="705">
        <v>2312927</v>
      </c>
      <c r="N2595" s="705">
        <v>1344037</v>
      </c>
      <c r="O2595" s="705">
        <v>497792</v>
      </c>
      <c r="P2595" s="705">
        <v>366387</v>
      </c>
      <c r="Q2595" s="705">
        <v>135699</v>
      </c>
      <c r="R2595" s="705">
        <v>2739202</v>
      </c>
      <c r="S2595" s="705">
        <v>2490184</v>
      </c>
      <c r="T2595" s="705">
        <v>1088840</v>
      </c>
      <c r="U2595" s="705">
        <v>403274</v>
      </c>
      <c r="V2595" s="705">
        <v>18106709</v>
      </c>
      <c r="W2595" s="705">
        <f t="shared" si="104"/>
        <v>18106710</v>
      </c>
      <c r="X2595" s="705">
        <f t="shared" si="105"/>
        <v>21599472</v>
      </c>
    </row>
    <row r="2596" spans="2:24">
      <c r="B2596" t="s">
        <v>553</v>
      </c>
      <c r="C2596" t="s">
        <v>120</v>
      </c>
      <c r="D2596" t="s">
        <v>583</v>
      </c>
      <c r="E2596" t="s">
        <v>665</v>
      </c>
      <c r="F2596" s="705">
        <v>2</v>
      </c>
      <c r="G2596" s="705">
        <v>191</v>
      </c>
      <c r="H2596" s="705">
        <v>668</v>
      </c>
      <c r="I2596" s="705">
        <v>37024</v>
      </c>
      <c r="J2596" s="705">
        <v>33658</v>
      </c>
      <c r="K2596" s="705">
        <v>85</v>
      </c>
      <c r="L2596" s="705">
        <v>6034</v>
      </c>
      <c r="M2596" s="705">
        <v>5486</v>
      </c>
      <c r="N2596" s="705">
        <v>3640</v>
      </c>
      <c r="O2596" s="705">
        <v>1348</v>
      </c>
      <c r="P2596" s="705">
        <v>1242</v>
      </c>
      <c r="Q2596" s="705">
        <v>460</v>
      </c>
      <c r="R2596" s="705">
        <v>8636</v>
      </c>
      <c r="S2596" s="705">
        <v>7851</v>
      </c>
      <c r="T2596" s="705">
        <v>6959</v>
      </c>
      <c r="U2596" s="705">
        <v>2578</v>
      </c>
      <c r="V2596" s="705">
        <v>51380</v>
      </c>
      <c r="W2596" s="705">
        <f t="shared" si="104"/>
        <v>51381</v>
      </c>
      <c r="X2596" s="705">
        <f t="shared" si="105"/>
        <v>63535</v>
      </c>
    </row>
    <row r="2597" spans="2:24">
      <c r="B2597" t="s">
        <v>553</v>
      </c>
      <c r="C2597" t="s">
        <v>120</v>
      </c>
      <c r="D2597" t="s">
        <v>666</v>
      </c>
      <c r="E2597" t="s">
        <v>666</v>
      </c>
      <c r="F2597" s="705">
        <v>5</v>
      </c>
      <c r="G2597" s="705">
        <v>575</v>
      </c>
      <c r="H2597" s="705">
        <v>1652</v>
      </c>
      <c r="I2597" s="705">
        <v>116937</v>
      </c>
      <c r="J2597" s="705">
        <v>106307</v>
      </c>
      <c r="K2597" s="705">
        <v>61</v>
      </c>
      <c r="L2597" s="705">
        <v>22460</v>
      </c>
      <c r="M2597" s="705">
        <v>20418</v>
      </c>
      <c r="N2597" s="705">
        <v>12390</v>
      </c>
      <c r="O2597" s="705">
        <v>4589</v>
      </c>
      <c r="P2597" s="705">
        <v>1674</v>
      </c>
      <c r="Q2597" s="705">
        <v>620</v>
      </c>
      <c r="R2597" s="705">
        <v>26661</v>
      </c>
      <c r="S2597" s="705">
        <v>24237</v>
      </c>
      <c r="T2597" s="705">
        <v>13949</v>
      </c>
      <c r="U2597" s="705">
        <v>5166</v>
      </c>
      <c r="V2597" s="705">
        <v>161336</v>
      </c>
      <c r="W2597" s="705">
        <f t="shared" si="104"/>
        <v>161337</v>
      </c>
      <c r="X2597" s="705">
        <f t="shared" si="105"/>
        <v>194071</v>
      </c>
    </row>
    <row r="2598" spans="2:24">
      <c r="B2598" t="s">
        <v>553</v>
      </c>
      <c r="C2598" t="s">
        <v>120</v>
      </c>
      <c r="D2598" t="s">
        <v>669</v>
      </c>
      <c r="E2598" t="s">
        <v>669</v>
      </c>
      <c r="F2598" s="705">
        <v>2</v>
      </c>
      <c r="G2598" s="705">
        <v>95</v>
      </c>
      <c r="H2598" s="705">
        <v>714</v>
      </c>
      <c r="I2598" s="705">
        <v>19203</v>
      </c>
      <c r="J2598" s="705">
        <v>16003</v>
      </c>
      <c r="K2598" s="705">
        <v>65</v>
      </c>
      <c r="L2598" s="705">
        <v>1067</v>
      </c>
      <c r="M2598" s="705">
        <v>395</v>
      </c>
      <c r="N2598" s="705">
        <v>1785</v>
      </c>
      <c r="O2598" s="705">
        <v>661</v>
      </c>
      <c r="P2598" s="705">
        <v>702</v>
      </c>
      <c r="Q2598" s="705">
        <v>260</v>
      </c>
      <c r="R2598" s="705">
        <v>6740</v>
      </c>
      <c r="S2598" s="705">
        <v>5616</v>
      </c>
      <c r="T2598" s="705">
        <v>3768</v>
      </c>
      <c r="U2598" s="705">
        <v>1395</v>
      </c>
      <c r="V2598" s="705">
        <v>24331</v>
      </c>
      <c r="W2598" s="705">
        <f t="shared" si="104"/>
        <v>24330</v>
      </c>
      <c r="X2598" s="705">
        <f t="shared" si="105"/>
        <v>33265</v>
      </c>
    </row>
    <row r="2599" spans="2:24">
      <c r="B2599" t="s">
        <v>553</v>
      </c>
      <c r="C2599" t="s">
        <v>120</v>
      </c>
      <c r="D2599" t="s">
        <v>667</v>
      </c>
      <c r="E2599" t="s">
        <v>667</v>
      </c>
      <c r="F2599" s="705">
        <v>2</v>
      </c>
      <c r="G2599" s="705">
        <v>314</v>
      </c>
      <c r="H2599" s="705">
        <v>722</v>
      </c>
      <c r="I2599" s="705">
        <v>76236</v>
      </c>
      <c r="J2599" s="705">
        <v>69306</v>
      </c>
      <c r="K2599" s="705">
        <v>60</v>
      </c>
      <c r="L2599" s="705">
        <v>9748</v>
      </c>
      <c r="M2599" s="705">
        <v>8862</v>
      </c>
      <c r="N2599" s="705">
        <v>6656</v>
      </c>
      <c r="O2599" s="705">
        <v>2465</v>
      </c>
      <c r="P2599" s="705">
        <v>1323</v>
      </c>
      <c r="Q2599" s="705">
        <v>490</v>
      </c>
      <c r="R2599" s="705">
        <v>14470</v>
      </c>
      <c r="S2599" s="705">
        <v>13155</v>
      </c>
      <c r="T2599" s="705">
        <v>3510</v>
      </c>
      <c r="U2599" s="705">
        <v>1300</v>
      </c>
      <c r="V2599" s="705">
        <v>95577</v>
      </c>
      <c r="W2599" s="705">
        <f t="shared" si="104"/>
        <v>95578</v>
      </c>
      <c r="X2599" s="705">
        <f t="shared" si="105"/>
        <v>111943</v>
      </c>
    </row>
    <row r="2600" spans="2:24">
      <c r="B2600" t="s">
        <v>553</v>
      </c>
      <c r="C2600" t="s">
        <v>120</v>
      </c>
      <c r="D2600" t="s">
        <v>671</v>
      </c>
      <c r="E2600" t="s">
        <v>671</v>
      </c>
      <c r="F2600" s="705">
        <v>4</v>
      </c>
      <c r="G2600" s="705">
        <v>456</v>
      </c>
      <c r="H2600" s="705">
        <v>1284</v>
      </c>
      <c r="I2600" s="705">
        <v>97248</v>
      </c>
      <c r="J2600" s="705">
        <v>88407</v>
      </c>
      <c r="K2600" s="705">
        <v>60</v>
      </c>
      <c r="L2600" s="705">
        <v>8373</v>
      </c>
      <c r="M2600" s="705">
        <v>7611</v>
      </c>
      <c r="N2600" s="705">
        <v>9196</v>
      </c>
      <c r="O2600" s="705">
        <v>3406</v>
      </c>
      <c r="P2600" s="705">
        <v>2295</v>
      </c>
      <c r="Q2600" s="705">
        <v>850</v>
      </c>
      <c r="R2600" s="705">
        <v>19737</v>
      </c>
      <c r="S2600" s="705">
        <v>17942</v>
      </c>
      <c r="T2600" s="705">
        <v>10750</v>
      </c>
      <c r="U2600" s="705">
        <v>3981</v>
      </c>
      <c r="V2600" s="705">
        <v>122198</v>
      </c>
      <c r="W2600" s="705">
        <f t="shared" si="104"/>
        <v>122197</v>
      </c>
      <c r="X2600" s="705">
        <f t="shared" si="105"/>
        <v>147599</v>
      </c>
    </row>
    <row r="2601" spans="2:24">
      <c r="B2601" t="s">
        <v>553</v>
      </c>
      <c r="C2601" t="s">
        <v>120</v>
      </c>
      <c r="D2601" t="s">
        <v>665</v>
      </c>
      <c r="E2601" t="s">
        <v>228</v>
      </c>
      <c r="F2601" s="705">
        <v>1</v>
      </c>
      <c r="G2601" s="705">
        <v>123</v>
      </c>
      <c r="H2601" s="705">
        <v>377</v>
      </c>
      <c r="I2601" s="705">
        <v>26219</v>
      </c>
      <c r="J2601" s="705">
        <v>23835</v>
      </c>
      <c r="K2601" s="705">
        <v>55</v>
      </c>
      <c r="L2601" s="705">
        <v>5341</v>
      </c>
      <c r="M2601" s="705">
        <v>4855</v>
      </c>
      <c r="N2601" s="705">
        <v>2842</v>
      </c>
      <c r="O2601" s="705">
        <v>1053</v>
      </c>
      <c r="P2601" s="705">
        <v>351</v>
      </c>
      <c r="Q2601" s="705">
        <v>130</v>
      </c>
      <c r="R2601" s="705">
        <v>8625</v>
      </c>
      <c r="S2601" s="705">
        <v>3195</v>
      </c>
      <c r="T2601" s="705">
        <v>3161</v>
      </c>
      <c r="U2601" s="705">
        <v>1171</v>
      </c>
      <c r="V2601" s="705">
        <v>34239</v>
      </c>
      <c r="W2601" s="705">
        <f t="shared" si="104"/>
        <v>34239</v>
      </c>
      <c r="X2601" s="705">
        <f t="shared" si="105"/>
        <v>46539</v>
      </c>
    </row>
    <row r="2602" spans="2:24">
      <c r="B2602" t="s">
        <v>553</v>
      </c>
      <c r="C2602" t="s">
        <v>120</v>
      </c>
      <c r="D2602" t="s">
        <v>665</v>
      </c>
      <c r="E2602" t="s">
        <v>665</v>
      </c>
      <c r="F2602" s="705">
        <v>63</v>
      </c>
      <c r="G2602" s="705">
        <v>6823</v>
      </c>
      <c r="H2602" s="705">
        <v>21329</v>
      </c>
      <c r="I2602" s="705">
        <v>1465830</v>
      </c>
      <c r="J2602" s="705">
        <v>1332573</v>
      </c>
      <c r="K2602" s="705">
        <v>59</v>
      </c>
      <c r="L2602" s="705">
        <v>211527</v>
      </c>
      <c r="M2602" s="705">
        <v>180299</v>
      </c>
      <c r="N2602" s="705">
        <v>140311</v>
      </c>
      <c r="O2602" s="705">
        <v>51967</v>
      </c>
      <c r="P2602" s="705">
        <v>26960</v>
      </c>
      <c r="Q2602" s="705">
        <v>9985</v>
      </c>
      <c r="R2602" s="705">
        <v>362149</v>
      </c>
      <c r="S2602" s="705">
        <v>329227</v>
      </c>
      <c r="T2602" s="705">
        <v>134924</v>
      </c>
      <c r="U2602" s="705">
        <v>49972</v>
      </c>
      <c r="V2602" s="705">
        <v>1954023</v>
      </c>
      <c r="W2602" s="705">
        <f t="shared" si="104"/>
        <v>1954023</v>
      </c>
      <c r="X2602" s="705">
        <f t="shared" si="105"/>
        <v>2341701</v>
      </c>
    </row>
    <row r="2603" spans="2:24">
      <c r="B2603" t="s">
        <v>553</v>
      </c>
      <c r="C2603" t="s">
        <v>120</v>
      </c>
      <c r="D2603" t="s">
        <v>673</v>
      </c>
      <c r="E2603" t="s">
        <v>673</v>
      </c>
      <c r="F2603" s="705">
        <v>1</v>
      </c>
      <c r="G2603" s="705">
        <v>304</v>
      </c>
      <c r="H2603" s="705">
        <v>339</v>
      </c>
      <c r="I2603" s="705">
        <v>82130</v>
      </c>
      <c r="J2603" s="705">
        <v>74664</v>
      </c>
      <c r="K2603" s="705">
        <v>55</v>
      </c>
      <c r="L2603" s="705">
        <v>9126</v>
      </c>
      <c r="M2603" s="705">
        <v>8296</v>
      </c>
      <c r="N2603" s="705">
        <v>5401</v>
      </c>
      <c r="O2603" s="705">
        <v>2000</v>
      </c>
      <c r="P2603" s="705">
        <v>621</v>
      </c>
      <c r="Q2603" s="705">
        <v>230</v>
      </c>
      <c r="R2603" s="705">
        <v>5783</v>
      </c>
      <c r="S2603" s="705">
        <v>5257</v>
      </c>
      <c r="T2603" s="705">
        <v>0</v>
      </c>
      <c r="U2603" s="705">
        <v>0</v>
      </c>
      <c r="V2603" s="705">
        <v>90447</v>
      </c>
      <c r="W2603" s="705">
        <f t="shared" si="104"/>
        <v>90447</v>
      </c>
      <c r="X2603" s="705">
        <f t="shared" si="105"/>
        <v>103061</v>
      </c>
    </row>
    <row r="2604" spans="2:24">
      <c r="B2604" t="s">
        <v>553</v>
      </c>
      <c r="C2604" t="s">
        <v>120</v>
      </c>
      <c r="D2604" t="s">
        <v>585</v>
      </c>
      <c r="E2604" t="s">
        <v>585</v>
      </c>
      <c r="F2604" s="705">
        <v>1</v>
      </c>
      <c r="G2604" s="705">
        <v>165</v>
      </c>
      <c r="H2604" s="705">
        <v>324</v>
      </c>
      <c r="I2604" s="705">
        <v>39036</v>
      </c>
      <c r="J2604" s="705">
        <v>35488</v>
      </c>
      <c r="K2604" s="705">
        <v>65</v>
      </c>
      <c r="L2604" s="705">
        <v>4337</v>
      </c>
      <c r="M2604" s="705">
        <v>3943</v>
      </c>
      <c r="N2604" s="705">
        <v>3649</v>
      </c>
      <c r="O2604" s="705">
        <v>1351</v>
      </c>
      <c r="P2604" s="705">
        <v>2025</v>
      </c>
      <c r="Q2604" s="705">
        <v>750</v>
      </c>
      <c r="R2604" s="705">
        <v>3289</v>
      </c>
      <c r="S2604" s="705">
        <v>2990</v>
      </c>
      <c r="T2604" s="705">
        <v>1336</v>
      </c>
      <c r="U2604" s="705">
        <v>495</v>
      </c>
      <c r="V2604" s="705">
        <v>45017</v>
      </c>
      <c r="W2604" s="705">
        <f t="shared" ref="W2604:W2667" si="106">SUM(ABS(J2604),ABS(M2604),ABS(O2604),ABS(Q2604),ABS(S2604),ABS(U2604))</f>
        <v>45017</v>
      </c>
      <c r="X2604" s="705">
        <f t="shared" ref="X2604:X2667" si="107">SUM(ABS(I2604),ABS(N2604),ABS(P2604),ABS(R2604),ABS(T2604),ABS(L2604))</f>
        <v>53672</v>
      </c>
    </row>
    <row r="2605" spans="2:24">
      <c r="B2605" t="s">
        <v>553</v>
      </c>
      <c r="C2605" t="s">
        <v>122</v>
      </c>
      <c r="D2605" t="s">
        <v>664</v>
      </c>
      <c r="E2605" t="s">
        <v>664</v>
      </c>
      <c r="F2605" s="705">
        <v>1</v>
      </c>
      <c r="G2605" s="705">
        <v>84</v>
      </c>
      <c r="H2605" s="705">
        <v>381</v>
      </c>
      <c r="I2605" s="705">
        <v>23620</v>
      </c>
      <c r="J2605" s="705">
        <v>21473</v>
      </c>
      <c r="K2605" s="705">
        <v>90</v>
      </c>
      <c r="L2605" s="705">
        <v>3507</v>
      </c>
      <c r="M2605" s="705">
        <v>3189</v>
      </c>
      <c r="N2605" s="705">
        <v>1670</v>
      </c>
      <c r="O2605" s="705">
        <v>619</v>
      </c>
      <c r="P2605" s="705">
        <v>473</v>
      </c>
      <c r="Q2605" s="705">
        <v>175</v>
      </c>
      <c r="R2605" s="705">
        <v>2545</v>
      </c>
      <c r="S2605" s="705">
        <v>2314</v>
      </c>
      <c r="T2605" s="705">
        <v>0</v>
      </c>
      <c r="U2605" s="705">
        <v>0</v>
      </c>
      <c r="V2605" s="705">
        <v>27769</v>
      </c>
      <c r="W2605" s="705">
        <f t="shared" si="106"/>
        <v>27770</v>
      </c>
      <c r="X2605" s="705">
        <f t="shared" si="107"/>
        <v>31815</v>
      </c>
    </row>
    <row r="2606" spans="2:24">
      <c r="B2606" t="s">
        <v>553</v>
      </c>
      <c r="C2606" t="s">
        <v>122</v>
      </c>
      <c r="D2606" t="s">
        <v>582</v>
      </c>
      <c r="E2606" t="s">
        <v>582</v>
      </c>
      <c r="F2606" s="705">
        <v>4</v>
      </c>
      <c r="G2606" s="705">
        <v>591</v>
      </c>
      <c r="H2606" s="705">
        <v>1667</v>
      </c>
      <c r="I2606" s="705">
        <v>173152</v>
      </c>
      <c r="J2606" s="705">
        <v>157410</v>
      </c>
      <c r="K2606" s="705">
        <v>68</v>
      </c>
      <c r="L2606" s="705">
        <v>25097</v>
      </c>
      <c r="M2606" s="705">
        <v>22816</v>
      </c>
      <c r="N2606" s="705">
        <v>13860</v>
      </c>
      <c r="O2606" s="705">
        <v>5133</v>
      </c>
      <c r="P2606" s="705">
        <v>2268</v>
      </c>
      <c r="Q2606" s="705">
        <v>840</v>
      </c>
      <c r="R2606" s="705">
        <v>21259</v>
      </c>
      <c r="S2606" s="705">
        <v>19326</v>
      </c>
      <c r="T2606" s="705">
        <v>12136</v>
      </c>
      <c r="U2606" s="705">
        <v>4495</v>
      </c>
      <c r="V2606" s="705">
        <v>210021</v>
      </c>
      <c r="W2606" s="705">
        <f t="shared" si="106"/>
        <v>210020</v>
      </c>
      <c r="X2606" s="705">
        <f t="shared" si="107"/>
        <v>247772</v>
      </c>
    </row>
    <row r="2607" spans="2:24">
      <c r="B2607" t="s">
        <v>553</v>
      </c>
      <c r="C2607" t="s">
        <v>122</v>
      </c>
      <c r="D2607" t="s">
        <v>582</v>
      </c>
      <c r="E2607" t="s">
        <v>228</v>
      </c>
      <c r="F2607" s="705">
        <v>1</v>
      </c>
      <c r="G2607" s="705">
        <v>171</v>
      </c>
      <c r="H2607" s="705">
        <v>434</v>
      </c>
      <c r="I2607" s="705">
        <v>63751</v>
      </c>
      <c r="J2607" s="705">
        <v>57955</v>
      </c>
      <c r="K2607" s="705">
        <v>83</v>
      </c>
      <c r="L2607" s="705">
        <v>0</v>
      </c>
      <c r="M2607" s="705">
        <v>0</v>
      </c>
      <c r="N2607" s="705">
        <v>2355</v>
      </c>
      <c r="O2607" s="705">
        <v>872</v>
      </c>
      <c r="P2607" s="705">
        <v>473</v>
      </c>
      <c r="Q2607" s="705">
        <v>175</v>
      </c>
      <c r="R2607" s="705">
        <v>7583</v>
      </c>
      <c r="S2607" s="705">
        <v>2808</v>
      </c>
      <c r="T2607" s="705">
        <v>0</v>
      </c>
      <c r="U2607" s="705">
        <v>0</v>
      </c>
      <c r="V2607" s="705">
        <v>61811</v>
      </c>
      <c r="W2607" s="705">
        <f t="shared" si="106"/>
        <v>61810</v>
      </c>
      <c r="X2607" s="705">
        <f t="shared" si="107"/>
        <v>74162</v>
      </c>
    </row>
    <row r="2608" spans="2:24">
      <c r="B2608" t="s">
        <v>553</v>
      </c>
      <c r="C2608" t="s">
        <v>122</v>
      </c>
      <c r="D2608" t="s">
        <v>228</v>
      </c>
      <c r="E2608" t="s">
        <v>228</v>
      </c>
      <c r="F2608" s="705">
        <v>20</v>
      </c>
      <c r="G2608" s="705">
        <v>2185</v>
      </c>
      <c r="H2608" s="705">
        <v>8330</v>
      </c>
      <c r="I2608" s="705">
        <v>644062</v>
      </c>
      <c r="J2608" s="705">
        <v>238541</v>
      </c>
      <c r="K2608" s="705">
        <v>100</v>
      </c>
      <c r="L2608" s="705">
        <v>80320</v>
      </c>
      <c r="M2608" s="705">
        <v>71656</v>
      </c>
      <c r="N2608" s="705">
        <v>50980</v>
      </c>
      <c r="O2608" s="705">
        <v>18881</v>
      </c>
      <c r="P2608" s="705">
        <v>351</v>
      </c>
      <c r="Q2608" s="705">
        <v>130</v>
      </c>
      <c r="R2608" s="705">
        <v>134384</v>
      </c>
      <c r="S2608" s="705">
        <v>49772</v>
      </c>
      <c r="T2608" s="705">
        <v>0</v>
      </c>
      <c r="U2608" s="705">
        <v>0</v>
      </c>
      <c r="V2608" s="705">
        <v>378980</v>
      </c>
      <c r="W2608" s="705">
        <f t="shared" si="106"/>
        <v>378980</v>
      </c>
      <c r="X2608" s="705">
        <f t="shared" si="107"/>
        <v>910097</v>
      </c>
    </row>
    <row r="2609" spans="2:24">
      <c r="B2609" t="s">
        <v>553</v>
      </c>
      <c r="C2609" t="s">
        <v>122</v>
      </c>
      <c r="D2609" t="s">
        <v>228</v>
      </c>
      <c r="E2609" t="s">
        <v>665</v>
      </c>
      <c r="F2609" s="705">
        <v>1</v>
      </c>
      <c r="G2609" s="705">
        <v>77</v>
      </c>
      <c r="H2609" s="705">
        <v>384</v>
      </c>
      <c r="I2609" s="705">
        <v>17237</v>
      </c>
      <c r="J2609" s="705">
        <v>6384</v>
      </c>
      <c r="K2609" s="705">
        <v>100</v>
      </c>
      <c r="L2609" s="705">
        <v>2754</v>
      </c>
      <c r="M2609" s="705">
        <v>2504</v>
      </c>
      <c r="N2609" s="705">
        <v>1679</v>
      </c>
      <c r="O2609" s="705">
        <v>622</v>
      </c>
      <c r="P2609" s="705">
        <v>0</v>
      </c>
      <c r="Q2609" s="705">
        <v>0</v>
      </c>
      <c r="R2609" s="705">
        <v>5916</v>
      </c>
      <c r="S2609" s="705">
        <v>5378</v>
      </c>
      <c r="T2609" s="705">
        <v>2132</v>
      </c>
      <c r="U2609" s="705">
        <v>789</v>
      </c>
      <c r="V2609" s="705">
        <v>15677</v>
      </c>
      <c r="W2609" s="705">
        <f t="shared" si="106"/>
        <v>15677</v>
      </c>
      <c r="X2609" s="705">
        <f t="shared" si="107"/>
        <v>29718</v>
      </c>
    </row>
    <row r="2610" spans="2:24">
      <c r="B2610" t="s">
        <v>553</v>
      </c>
      <c r="C2610" t="s">
        <v>122</v>
      </c>
      <c r="D2610" t="s">
        <v>583</v>
      </c>
      <c r="E2610" t="s">
        <v>228</v>
      </c>
      <c r="F2610" s="705">
        <v>3</v>
      </c>
      <c r="G2610" s="705">
        <v>614</v>
      </c>
      <c r="H2610" s="705">
        <v>1295</v>
      </c>
      <c r="I2610" s="705">
        <v>195496</v>
      </c>
      <c r="J2610" s="705">
        <v>177723</v>
      </c>
      <c r="K2610" s="705">
        <v>81</v>
      </c>
      <c r="L2610" s="705">
        <v>53092</v>
      </c>
      <c r="M2610" s="705">
        <v>48266</v>
      </c>
      <c r="N2610" s="705">
        <v>15696</v>
      </c>
      <c r="O2610" s="705">
        <v>5813</v>
      </c>
      <c r="P2610" s="705">
        <v>1863</v>
      </c>
      <c r="Q2610" s="705">
        <v>690</v>
      </c>
      <c r="R2610" s="705">
        <v>27695</v>
      </c>
      <c r="S2610" s="705">
        <v>10257</v>
      </c>
      <c r="T2610" s="705">
        <v>0</v>
      </c>
      <c r="U2610" s="705">
        <v>0</v>
      </c>
      <c r="V2610" s="705">
        <v>242749</v>
      </c>
      <c r="W2610" s="705">
        <f t="shared" si="106"/>
        <v>242749</v>
      </c>
      <c r="X2610" s="705">
        <f t="shared" si="107"/>
        <v>293842</v>
      </c>
    </row>
    <row r="2611" spans="2:24">
      <c r="B2611" t="s">
        <v>553</v>
      </c>
      <c r="C2611" t="s">
        <v>122</v>
      </c>
      <c r="D2611" t="s">
        <v>583</v>
      </c>
      <c r="E2611" t="s">
        <v>583</v>
      </c>
      <c r="F2611" s="705">
        <v>289</v>
      </c>
      <c r="G2611" s="705">
        <v>32032</v>
      </c>
      <c r="H2611" s="705">
        <v>120026</v>
      </c>
      <c r="I2611" s="705">
        <v>8900715</v>
      </c>
      <c r="J2611" s="705">
        <v>8091559</v>
      </c>
      <c r="K2611" s="705">
        <v>76</v>
      </c>
      <c r="L2611" s="705">
        <v>1673810</v>
      </c>
      <c r="M2611" s="705">
        <v>1500214</v>
      </c>
      <c r="N2611" s="705">
        <v>684713</v>
      </c>
      <c r="O2611" s="705">
        <v>253597</v>
      </c>
      <c r="P2611" s="705">
        <v>185996</v>
      </c>
      <c r="Q2611" s="705">
        <v>68888</v>
      </c>
      <c r="R2611" s="705">
        <v>1372815</v>
      </c>
      <c r="S2611" s="705">
        <v>1248013</v>
      </c>
      <c r="T2611" s="705">
        <v>568735</v>
      </c>
      <c r="U2611" s="705">
        <v>210643</v>
      </c>
      <c r="V2611" s="705">
        <v>11372914</v>
      </c>
      <c r="W2611" s="705">
        <f t="shared" si="106"/>
        <v>11372914</v>
      </c>
      <c r="X2611" s="705">
        <f t="shared" si="107"/>
        <v>13386784</v>
      </c>
    </row>
    <row r="2612" spans="2:24">
      <c r="B2612" t="s">
        <v>553</v>
      </c>
      <c r="C2612" t="s">
        <v>122</v>
      </c>
      <c r="D2612" t="s">
        <v>666</v>
      </c>
      <c r="E2612" t="s">
        <v>583</v>
      </c>
      <c r="F2612" s="705">
        <v>1</v>
      </c>
      <c r="G2612" s="705">
        <v>117</v>
      </c>
      <c r="H2612" s="705">
        <v>448</v>
      </c>
      <c r="I2612" s="705">
        <v>36586</v>
      </c>
      <c r="J2612" s="705">
        <v>33260</v>
      </c>
      <c r="K2612" s="705">
        <v>86</v>
      </c>
      <c r="L2612" s="705">
        <v>7335</v>
      </c>
      <c r="M2612" s="705">
        <v>6668</v>
      </c>
      <c r="N2612" s="705">
        <v>2235</v>
      </c>
      <c r="O2612" s="705">
        <v>828</v>
      </c>
      <c r="P2612" s="705">
        <v>621</v>
      </c>
      <c r="Q2612" s="705">
        <v>230</v>
      </c>
      <c r="R2612" s="705">
        <v>3339</v>
      </c>
      <c r="S2612" s="705">
        <v>3035</v>
      </c>
      <c r="T2612" s="705">
        <v>2191</v>
      </c>
      <c r="U2612" s="705">
        <v>812</v>
      </c>
      <c r="V2612" s="705">
        <v>44833</v>
      </c>
      <c r="W2612" s="705">
        <f t="shared" si="106"/>
        <v>44833</v>
      </c>
      <c r="X2612" s="705">
        <f t="shared" si="107"/>
        <v>52307</v>
      </c>
    </row>
    <row r="2613" spans="2:24">
      <c r="B2613" t="s">
        <v>553</v>
      </c>
      <c r="C2613" t="s">
        <v>122</v>
      </c>
      <c r="D2613" t="s">
        <v>666</v>
      </c>
      <c r="E2613" t="s">
        <v>666</v>
      </c>
      <c r="F2613" s="705">
        <v>2</v>
      </c>
      <c r="G2613" s="705">
        <v>156</v>
      </c>
      <c r="H2613" s="705">
        <v>785</v>
      </c>
      <c r="I2613" s="705">
        <v>37558</v>
      </c>
      <c r="J2613" s="705">
        <v>34144</v>
      </c>
      <c r="K2613" s="705">
        <v>45</v>
      </c>
      <c r="L2613" s="705">
        <v>3461</v>
      </c>
      <c r="M2613" s="705">
        <v>3146</v>
      </c>
      <c r="N2613" s="705">
        <v>3483</v>
      </c>
      <c r="O2613" s="705">
        <v>1290</v>
      </c>
      <c r="P2613" s="705">
        <v>702</v>
      </c>
      <c r="Q2613" s="705">
        <v>260</v>
      </c>
      <c r="R2613" s="705">
        <v>11340</v>
      </c>
      <c r="S2613" s="705">
        <v>10309</v>
      </c>
      <c r="T2613" s="705">
        <v>4539</v>
      </c>
      <c r="U2613" s="705">
        <v>1681</v>
      </c>
      <c r="V2613" s="705">
        <v>50830</v>
      </c>
      <c r="W2613" s="705">
        <f t="shared" si="106"/>
        <v>50830</v>
      </c>
      <c r="X2613" s="705">
        <f t="shared" si="107"/>
        <v>61083</v>
      </c>
    </row>
    <row r="2614" spans="2:24">
      <c r="B2614" t="s">
        <v>553</v>
      </c>
      <c r="C2614" t="s">
        <v>122</v>
      </c>
      <c r="D2614" t="s">
        <v>669</v>
      </c>
      <c r="E2614" t="s">
        <v>669</v>
      </c>
      <c r="F2614" s="705">
        <v>1</v>
      </c>
      <c r="G2614" s="705">
        <v>121</v>
      </c>
      <c r="H2614" s="705">
        <v>442</v>
      </c>
      <c r="I2614" s="705">
        <v>35640</v>
      </c>
      <c r="J2614" s="705">
        <v>29700</v>
      </c>
      <c r="K2614" s="705">
        <v>65</v>
      </c>
      <c r="L2614" s="705">
        <v>5792</v>
      </c>
      <c r="M2614" s="705">
        <v>2145</v>
      </c>
      <c r="N2614" s="705">
        <v>2066</v>
      </c>
      <c r="O2614" s="705">
        <v>765</v>
      </c>
      <c r="P2614" s="705">
        <v>351</v>
      </c>
      <c r="Q2614" s="705">
        <v>130</v>
      </c>
      <c r="R2614" s="705">
        <v>6230</v>
      </c>
      <c r="S2614" s="705">
        <v>5192</v>
      </c>
      <c r="T2614" s="705">
        <v>3401</v>
      </c>
      <c r="U2614" s="705">
        <v>1260</v>
      </c>
      <c r="V2614" s="705">
        <v>39192</v>
      </c>
      <c r="W2614" s="705">
        <f t="shared" si="106"/>
        <v>39192</v>
      </c>
      <c r="X2614" s="705">
        <f t="shared" si="107"/>
        <v>53480</v>
      </c>
    </row>
    <row r="2615" spans="2:24">
      <c r="B2615" t="s">
        <v>553</v>
      </c>
      <c r="C2615" t="s">
        <v>122</v>
      </c>
      <c r="D2615" t="s">
        <v>671</v>
      </c>
      <c r="E2615" t="s">
        <v>671</v>
      </c>
      <c r="F2615" s="705">
        <v>4</v>
      </c>
      <c r="G2615" s="705">
        <v>424</v>
      </c>
      <c r="H2615" s="705">
        <v>1597</v>
      </c>
      <c r="I2615" s="705">
        <v>121957</v>
      </c>
      <c r="J2615" s="705">
        <v>110870</v>
      </c>
      <c r="K2615" s="705">
        <v>53</v>
      </c>
      <c r="L2615" s="705">
        <v>18983</v>
      </c>
      <c r="M2615" s="705">
        <v>17258</v>
      </c>
      <c r="N2615" s="705">
        <v>9195</v>
      </c>
      <c r="O2615" s="705">
        <v>3406</v>
      </c>
      <c r="P2615" s="705">
        <v>1674</v>
      </c>
      <c r="Q2615" s="705">
        <v>620</v>
      </c>
      <c r="R2615" s="705">
        <v>26589</v>
      </c>
      <c r="S2615" s="705">
        <v>24172</v>
      </c>
      <c r="T2615" s="705">
        <v>8938</v>
      </c>
      <c r="U2615" s="705">
        <v>3310</v>
      </c>
      <c r="V2615" s="705">
        <v>159635</v>
      </c>
      <c r="W2615" s="705">
        <f t="shared" si="106"/>
        <v>159636</v>
      </c>
      <c r="X2615" s="705">
        <f t="shared" si="107"/>
        <v>187336</v>
      </c>
    </row>
    <row r="2616" spans="2:24">
      <c r="B2616" t="s">
        <v>553</v>
      </c>
      <c r="C2616" t="s">
        <v>122</v>
      </c>
      <c r="D2616" t="s">
        <v>665</v>
      </c>
      <c r="E2616" t="s">
        <v>583</v>
      </c>
      <c r="F2616" s="705">
        <v>1</v>
      </c>
      <c r="G2616" s="705">
        <v>83</v>
      </c>
      <c r="H2616" s="705">
        <v>405</v>
      </c>
      <c r="I2616" s="705">
        <v>18033</v>
      </c>
      <c r="J2616" s="705">
        <v>16393</v>
      </c>
      <c r="K2616" s="705">
        <v>45</v>
      </c>
      <c r="L2616" s="705">
        <v>3005</v>
      </c>
      <c r="M2616" s="705">
        <v>2732</v>
      </c>
      <c r="N2616" s="705">
        <v>2028</v>
      </c>
      <c r="O2616" s="705">
        <v>751</v>
      </c>
      <c r="P2616" s="705">
        <v>351</v>
      </c>
      <c r="Q2616" s="705">
        <v>130</v>
      </c>
      <c r="R2616" s="705">
        <v>7369</v>
      </c>
      <c r="S2616" s="705">
        <v>6699</v>
      </c>
      <c r="T2616" s="705">
        <v>2922</v>
      </c>
      <c r="U2616" s="705">
        <v>1082</v>
      </c>
      <c r="V2616" s="705">
        <v>27788</v>
      </c>
      <c r="W2616" s="705">
        <f t="shared" si="106"/>
        <v>27787</v>
      </c>
      <c r="X2616" s="705">
        <f t="shared" si="107"/>
        <v>33708</v>
      </c>
    </row>
    <row r="2617" spans="2:24">
      <c r="B2617" t="s">
        <v>553</v>
      </c>
      <c r="C2617" t="s">
        <v>122</v>
      </c>
      <c r="D2617" t="s">
        <v>665</v>
      </c>
      <c r="E2617" t="s">
        <v>665</v>
      </c>
      <c r="F2617" s="705">
        <v>68</v>
      </c>
      <c r="G2617" s="705">
        <v>7073</v>
      </c>
      <c r="H2617" s="705">
        <v>28448</v>
      </c>
      <c r="I2617" s="705">
        <v>1923881</v>
      </c>
      <c r="J2617" s="705">
        <v>1748983</v>
      </c>
      <c r="K2617" s="705">
        <v>52</v>
      </c>
      <c r="L2617" s="705">
        <v>272479</v>
      </c>
      <c r="M2617" s="705">
        <v>245267</v>
      </c>
      <c r="N2617" s="705">
        <v>148284</v>
      </c>
      <c r="O2617" s="705">
        <v>54920</v>
      </c>
      <c r="P2617" s="705">
        <v>27014</v>
      </c>
      <c r="Q2617" s="705">
        <v>10005</v>
      </c>
      <c r="R2617" s="705">
        <v>428346</v>
      </c>
      <c r="S2617" s="705">
        <v>389405</v>
      </c>
      <c r="T2617" s="705">
        <v>153049</v>
      </c>
      <c r="U2617" s="705">
        <v>56685</v>
      </c>
      <c r="V2617" s="705">
        <v>2505266</v>
      </c>
      <c r="W2617" s="705">
        <f t="shared" si="106"/>
        <v>2505265</v>
      </c>
      <c r="X2617" s="705">
        <f t="shared" si="107"/>
        <v>2953053</v>
      </c>
    </row>
    <row r="2618" spans="2:24">
      <c r="B2618" t="s">
        <v>553</v>
      </c>
      <c r="C2618" t="s">
        <v>122</v>
      </c>
      <c r="D2618" t="s">
        <v>673</v>
      </c>
      <c r="E2618" t="s">
        <v>673</v>
      </c>
      <c r="F2618" s="705">
        <v>2</v>
      </c>
      <c r="G2618" s="705">
        <v>249</v>
      </c>
      <c r="H2618" s="705">
        <v>841</v>
      </c>
      <c r="I2618" s="705">
        <v>71754</v>
      </c>
      <c r="J2618" s="705">
        <v>65231</v>
      </c>
      <c r="K2618" s="705">
        <v>58</v>
      </c>
      <c r="L2618" s="705">
        <v>12335</v>
      </c>
      <c r="M2618" s="705">
        <v>11214</v>
      </c>
      <c r="N2618" s="705">
        <v>4396</v>
      </c>
      <c r="O2618" s="705">
        <v>1628</v>
      </c>
      <c r="P2618" s="705">
        <v>702</v>
      </c>
      <c r="Q2618" s="705">
        <v>260</v>
      </c>
      <c r="R2618" s="705">
        <v>12745</v>
      </c>
      <c r="S2618" s="705">
        <v>11586</v>
      </c>
      <c r="T2618" s="705">
        <v>2727</v>
      </c>
      <c r="U2618" s="705">
        <v>1010</v>
      </c>
      <c r="V2618" s="705">
        <v>90929</v>
      </c>
      <c r="W2618" s="705">
        <f t="shared" si="106"/>
        <v>90929</v>
      </c>
      <c r="X2618" s="705">
        <f t="shared" si="107"/>
        <v>104659</v>
      </c>
    </row>
    <row r="2619" spans="2:24">
      <c r="B2619" t="s">
        <v>553</v>
      </c>
      <c r="C2619" t="s">
        <v>122</v>
      </c>
      <c r="D2619" t="s">
        <v>585</v>
      </c>
      <c r="E2619" t="s">
        <v>585</v>
      </c>
      <c r="F2619" s="705">
        <v>1</v>
      </c>
      <c r="G2619" s="705">
        <v>72</v>
      </c>
      <c r="H2619" s="705">
        <v>405</v>
      </c>
      <c r="I2619" s="705">
        <v>17746</v>
      </c>
      <c r="J2619" s="705">
        <v>16133</v>
      </c>
      <c r="K2619" s="705">
        <v>65</v>
      </c>
      <c r="L2619" s="705">
        <v>3146</v>
      </c>
      <c r="M2619" s="705">
        <v>1165</v>
      </c>
      <c r="N2619" s="705">
        <v>1155</v>
      </c>
      <c r="O2619" s="705">
        <v>428</v>
      </c>
      <c r="P2619" s="705">
        <v>351</v>
      </c>
      <c r="Q2619" s="705">
        <v>130</v>
      </c>
      <c r="R2619" s="705">
        <v>4338</v>
      </c>
      <c r="S2619" s="705">
        <v>3944</v>
      </c>
      <c r="T2619" s="705">
        <v>2322</v>
      </c>
      <c r="U2619" s="705">
        <v>860</v>
      </c>
      <c r="V2619" s="705">
        <v>22660</v>
      </c>
      <c r="W2619" s="705">
        <f t="shared" si="106"/>
        <v>22660</v>
      </c>
      <c r="X2619" s="705">
        <f t="shared" si="107"/>
        <v>29058</v>
      </c>
    </row>
    <row r="2620" spans="2:24">
      <c r="B2620" t="s">
        <v>553</v>
      </c>
      <c r="C2620" t="s">
        <v>124</v>
      </c>
      <c r="D2620" t="s">
        <v>664</v>
      </c>
      <c r="E2620" t="s">
        <v>664</v>
      </c>
      <c r="F2620" s="705">
        <v>2</v>
      </c>
      <c r="G2620" s="705">
        <v>206</v>
      </c>
      <c r="H2620" s="705">
        <v>1110</v>
      </c>
      <c r="I2620" s="705">
        <v>80525</v>
      </c>
      <c r="J2620" s="705">
        <v>73204</v>
      </c>
      <c r="K2620" s="705">
        <v>76</v>
      </c>
      <c r="L2620" s="705">
        <v>16915</v>
      </c>
      <c r="M2620" s="705">
        <v>14964</v>
      </c>
      <c r="N2620" s="705">
        <v>4778</v>
      </c>
      <c r="O2620" s="705">
        <v>1770</v>
      </c>
      <c r="P2620" s="705">
        <v>945</v>
      </c>
      <c r="Q2620" s="705">
        <v>350</v>
      </c>
      <c r="R2620" s="705">
        <v>8926</v>
      </c>
      <c r="S2620" s="705">
        <v>8114</v>
      </c>
      <c r="T2620" s="705">
        <v>1877</v>
      </c>
      <c r="U2620" s="705">
        <v>695</v>
      </c>
      <c r="V2620" s="705">
        <v>99097</v>
      </c>
      <c r="W2620" s="705">
        <f t="shared" si="106"/>
        <v>99097</v>
      </c>
      <c r="X2620" s="705">
        <f t="shared" si="107"/>
        <v>113966</v>
      </c>
    </row>
    <row r="2621" spans="2:24">
      <c r="B2621" t="s">
        <v>553</v>
      </c>
      <c r="C2621" t="s">
        <v>124</v>
      </c>
      <c r="D2621" t="s">
        <v>664</v>
      </c>
      <c r="E2621" t="s">
        <v>228</v>
      </c>
      <c r="F2621" s="705">
        <v>2</v>
      </c>
      <c r="G2621" s="705">
        <v>165</v>
      </c>
      <c r="H2621" s="705">
        <v>1051</v>
      </c>
      <c r="I2621" s="705">
        <v>56817</v>
      </c>
      <c r="J2621" s="705">
        <v>51652</v>
      </c>
      <c r="K2621" s="705">
        <v>84</v>
      </c>
      <c r="L2621" s="705">
        <v>16693</v>
      </c>
      <c r="M2621" s="705">
        <v>15176</v>
      </c>
      <c r="N2621" s="705">
        <v>3758</v>
      </c>
      <c r="O2621" s="705">
        <v>1392</v>
      </c>
      <c r="P2621" s="705">
        <v>351</v>
      </c>
      <c r="Q2621" s="705">
        <v>130</v>
      </c>
      <c r="R2621" s="705">
        <v>8974</v>
      </c>
      <c r="S2621" s="705">
        <v>3324</v>
      </c>
      <c r="T2621" s="705">
        <v>0</v>
      </c>
      <c r="U2621" s="705">
        <v>0</v>
      </c>
      <c r="V2621" s="705">
        <v>71673</v>
      </c>
      <c r="W2621" s="705">
        <f t="shared" si="106"/>
        <v>71674</v>
      </c>
      <c r="X2621" s="705">
        <f t="shared" si="107"/>
        <v>86593</v>
      </c>
    </row>
    <row r="2622" spans="2:24">
      <c r="B2622" t="s">
        <v>553</v>
      </c>
      <c r="C2622" t="s">
        <v>124</v>
      </c>
      <c r="D2622" t="s">
        <v>582</v>
      </c>
      <c r="E2622" t="s">
        <v>582</v>
      </c>
      <c r="F2622" s="705">
        <v>4</v>
      </c>
      <c r="G2622" s="705">
        <v>424</v>
      </c>
      <c r="H2622" s="705">
        <v>2225</v>
      </c>
      <c r="I2622" s="705">
        <v>157293</v>
      </c>
      <c r="J2622" s="705">
        <v>142994</v>
      </c>
      <c r="K2622" s="705">
        <v>79</v>
      </c>
      <c r="L2622" s="705">
        <v>39190</v>
      </c>
      <c r="M2622" s="705">
        <v>35627</v>
      </c>
      <c r="N2622" s="705">
        <v>9578</v>
      </c>
      <c r="O2622" s="705">
        <v>3547</v>
      </c>
      <c r="P2622" s="705">
        <v>1647</v>
      </c>
      <c r="Q2622" s="705">
        <v>610</v>
      </c>
      <c r="R2622" s="705">
        <v>15064</v>
      </c>
      <c r="S2622" s="705">
        <v>13694</v>
      </c>
      <c r="T2622" s="705">
        <v>0</v>
      </c>
      <c r="U2622" s="705">
        <v>0</v>
      </c>
      <c r="V2622" s="705">
        <v>196473</v>
      </c>
      <c r="W2622" s="705">
        <f t="shared" si="106"/>
        <v>196472</v>
      </c>
      <c r="X2622" s="705">
        <f t="shared" si="107"/>
        <v>222772</v>
      </c>
    </row>
    <row r="2623" spans="2:24">
      <c r="B2623" t="s">
        <v>553</v>
      </c>
      <c r="C2623" t="s">
        <v>124</v>
      </c>
      <c r="D2623" t="s">
        <v>228</v>
      </c>
      <c r="E2623" t="s">
        <v>228</v>
      </c>
      <c r="F2623" s="705">
        <v>120</v>
      </c>
      <c r="G2623" s="705">
        <v>11836</v>
      </c>
      <c r="H2623" s="705">
        <v>89400</v>
      </c>
      <c r="I2623" s="705">
        <v>6171816</v>
      </c>
      <c r="J2623" s="705">
        <v>2285858</v>
      </c>
      <c r="K2623" s="705">
        <v>100</v>
      </c>
      <c r="L2623" s="705">
        <v>1067218</v>
      </c>
      <c r="M2623" s="705">
        <v>926406</v>
      </c>
      <c r="N2623" s="705">
        <v>272193</v>
      </c>
      <c r="O2623" s="705">
        <v>100812</v>
      </c>
      <c r="P2623" s="705">
        <v>1404</v>
      </c>
      <c r="Q2623" s="705">
        <v>520</v>
      </c>
      <c r="R2623" s="705">
        <v>843929</v>
      </c>
      <c r="S2623" s="705">
        <v>312566</v>
      </c>
      <c r="T2623" s="705">
        <v>15140</v>
      </c>
      <c r="U2623" s="705">
        <v>5608</v>
      </c>
      <c r="V2623" s="705">
        <v>3631770</v>
      </c>
      <c r="W2623" s="705">
        <f t="shared" si="106"/>
        <v>3631770</v>
      </c>
      <c r="X2623" s="705">
        <f t="shared" si="107"/>
        <v>8371700</v>
      </c>
    </row>
    <row r="2624" spans="2:24">
      <c r="B2624" t="s">
        <v>553</v>
      </c>
      <c r="C2624" t="s">
        <v>124</v>
      </c>
      <c r="D2624" t="s">
        <v>228</v>
      </c>
      <c r="E2624" t="s">
        <v>583</v>
      </c>
      <c r="F2624" s="705">
        <v>2</v>
      </c>
      <c r="G2624" s="705">
        <v>222</v>
      </c>
      <c r="H2624" s="705">
        <v>1003</v>
      </c>
      <c r="I2624" s="705">
        <v>82514</v>
      </c>
      <c r="J2624" s="705">
        <v>30561</v>
      </c>
      <c r="K2624" s="705">
        <v>100</v>
      </c>
      <c r="L2624" s="705">
        <v>10260</v>
      </c>
      <c r="M2624" s="705">
        <v>9327</v>
      </c>
      <c r="N2624" s="705">
        <v>4552</v>
      </c>
      <c r="O2624" s="705">
        <v>1686</v>
      </c>
      <c r="P2624" s="705">
        <v>621</v>
      </c>
      <c r="Q2624" s="705">
        <v>230</v>
      </c>
      <c r="R2624" s="705">
        <v>9453</v>
      </c>
      <c r="S2624" s="705">
        <v>8594</v>
      </c>
      <c r="T2624" s="705">
        <v>4759</v>
      </c>
      <c r="U2624" s="705">
        <v>1763</v>
      </c>
      <c r="V2624" s="705">
        <v>52160</v>
      </c>
      <c r="W2624" s="705">
        <f t="shared" si="106"/>
        <v>52161</v>
      </c>
      <c r="X2624" s="705">
        <f t="shared" si="107"/>
        <v>112159</v>
      </c>
    </row>
    <row r="2625" spans="2:24">
      <c r="B2625" t="s">
        <v>553</v>
      </c>
      <c r="C2625" t="s">
        <v>124</v>
      </c>
      <c r="D2625" t="s">
        <v>228</v>
      </c>
      <c r="E2625" t="s">
        <v>669</v>
      </c>
      <c r="F2625" s="705">
        <v>1</v>
      </c>
      <c r="G2625" s="705">
        <v>74</v>
      </c>
      <c r="H2625" s="705">
        <v>652</v>
      </c>
      <c r="I2625" s="705">
        <v>32068</v>
      </c>
      <c r="J2625" s="705">
        <v>11877</v>
      </c>
      <c r="K2625" s="705">
        <v>100</v>
      </c>
      <c r="L2625" s="705">
        <v>5279</v>
      </c>
      <c r="M2625" s="705">
        <v>4399</v>
      </c>
      <c r="N2625" s="705">
        <v>1806</v>
      </c>
      <c r="O2625" s="705">
        <v>669</v>
      </c>
      <c r="P2625" s="705">
        <v>351</v>
      </c>
      <c r="Q2625" s="705">
        <v>130</v>
      </c>
      <c r="R2625" s="705">
        <v>6370</v>
      </c>
      <c r="S2625" s="705">
        <v>5308</v>
      </c>
      <c r="T2625" s="705">
        <v>2443</v>
      </c>
      <c r="U2625" s="705">
        <v>905</v>
      </c>
      <c r="V2625" s="705">
        <v>23288</v>
      </c>
      <c r="W2625" s="705">
        <f t="shared" si="106"/>
        <v>23288</v>
      </c>
      <c r="X2625" s="705">
        <f t="shared" si="107"/>
        <v>48317</v>
      </c>
    </row>
    <row r="2626" spans="2:24">
      <c r="B2626" t="s">
        <v>553</v>
      </c>
      <c r="C2626" t="s">
        <v>124</v>
      </c>
      <c r="D2626" t="s">
        <v>228</v>
      </c>
      <c r="E2626" t="s">
        <v>665</v>
      </c>
      <c r="F2626" s="705">
        <v>22</v>
      </c>
      <c r="G2626" s="705">
        <v>2081</v>
      </c>
      <c r="H2626" s="705">
        <v>15593</v>
      </c>
      <c r="I2626" s="705">
        <v>1064252</v>
      </c>
      <c r="J2626" s="705">
        <v>394168</v>
      </c>
      <c r="K2626" s="705">
        <v>100</v>
      </c>
      <c r="L2626" s="705">
        <v>157994</v>
      </c>
      <c r="M2626" s="705">
        <v>143631</v>
      </c>
      <c r="N2626" s="705">
        <v>47967</v>
      </c>
      <c r="O2626" s="705">
        <v>17766</v>
      </c>
      <c r="P2626" s="705">
        <v>1755</v>
      </c>
      <c r="Q2626" s="705">
        <v>650</v>
      </c>
      <c r="R2626" s="705">
        <v>143254</v>
      </c>
      <c r="S2626" s="705">
        <v>130231</v>
      </c>
      <c r="T2626" s="705">
        <v>37036</v>
      </c>
      <c r="U2626" s="705">
        <v>13717</v>
      </c>
      <c r="V2626" s="705">
        <v>700162</v>
      </c>
      <c r="W2626" s="705">
        <f t="shared" si="106"/>
        <v>700163</v>
      </c>
      <c r="X2626" s="705">
        <f t="shared" si="107"/>
        <v>1452258</v>
      </c>
    </row>
    <row r="2627" spans="2:24">
      <c r="B2627" t="s">
        <v>553</v>
      </c>
      <c r="C2627" t="s">
        <v>124</v>
      </c>
      <c r="D2627" t="s">
        <v>583</v>
      </c>
      <c r="E2627" t="s">
        <v>228</v>
      </c>
      <c r="F2627" s="705">
        <v>20</v>
      </c>
      <c r="G2627" s="705">
        <v>1765</v>
      </c>
      <c r="H2627" s="705">
        <v>13176</v>
      </c>
      <c r="I2627" s="705">
        <v>824545</v>
      </c>
      <c r="J2627" s="705">
        <v>749586</v>
      </c>
      <c r="K2627" s="705">
        <v>68</v>
      </c>
      <c r="L2627" s="705">
        <v>160409</v>
      </c>
      <c r="M2627" s="705">
        <v>141184</v>
      </c>
      <c r="N2627" s="705">
        <v>38582</v>
      </c>
      <c r="O2627" s="705">
        <v>14290</v>
      </c>
      <c r="P2627" s="705">
        <v>9855</v>
      </c>
      <c r="Q2627" s="705">
        <v>3650</v>
      </c>
      <c r="R2627" s="705">
        <v>106893</v>
      </c>
      <c r="S2627" s="705">
        <v>39590</v>
      </c>
      <c r="T2627" s="705">
        <v>0</v>
      </c>
      <c r="U2627" s="705">
        <v>0</v>
      </c>
      <c r="V2627" s="705">
        <v>948300</v>
      </c>
      <c r="W2627" s="705">
        <f t="shared" si="106"/>
        <v>948300</v>
      </c>
      <c r="X2627" s="705">
        <f t="shared" si="107"/>
        <v>1140284</v>
      </c>
    </row>
    <row r="2628" spans="2:24">
      <c r="B2628" t="s">
        <v>553</v>
      </c>
      <c r="C2628" t="s">
        <v>124</v>
      </c>
      <c r="D2628" t="s">
        <v>583</v>
      </c>
      <c r="E2628" t="s">
        <v>583</v>
      </c>
      <c r="F2628" s="705">
        <v>376</v>
      </c>
      <c r="G2628" s="705">
        <v>35862</v>
      </c>
      <c r="H2628" s="705">
        <v>212215</v>
      </c>
      <c r="I2628" s="705">
        <v>13770727</v>
      </c>
      <c r="J2628" s="705">
        <v>12518842</v>
      </c>
      <c r="K2628" s="705">
        <v>73</v>
      </c>
      <c r="L2628" s="705">
        <v>2745651</v>
      </c>
      <c r="M2628" s="705">
        <v>2476040</v>
      </c>
      <c r="N2628" s="705">
        <v>794759</v>
      </c>
      <c r="O2628" s="705">
        <v>294355</v>
      </c>
      <c r="P2628" s="705">
        <v>239436</v>
      </c>
      <c r="Q2628" s="705">
        <v>88680</v>
      </c>
      <c r="R2628" s="705">
        <v>1771703</v>
      </c>
      <c r="S2628" s="705">
        <v>1610639</v>
      </c>
      <c r="T2628" s="705">
        <v>706041</v>
      </c>
      <c r="U2628" s="705">
        <v>261497</v>
      </c>
      <c r="V2628" s="705">
        <v>17250054</v>
      </c>
      <c r="W2628" s="705">
        <f t="shared" si="106"/>
        <v>17250053</v>
      </c>
      <c r="X2628" s="705">
        <f t="shared" si="107"/>
        <v>20028317</v>
      </c>
    </row>
    <row r="2629" spans="2:24">
      <c r="B2629" t="s">
        <v>553</v>
      </c>
      <c r="C2629" t="s">
        <v>124</v>
      </c>
      <c r="D2629" t="s">
        <v>583</v>
      </c>
      <c r="E2629" t="s">
        <v>669</v>
      </c>
      <c r="F2629" s="705">
        <v>1</v>
      </c>
      <c r="G2629" s="705">
        <v>67</v>
      </c>
      <c r="H2629" s="705">
        <v>558</v>
      </c>
      <c r="I2629" s="705">
        <v>25416</v>
      </c>
      <c r="J2629" s="705">
        <v>23105</v>
      </c>
      <c r="K2629" s="705">
        <v>85</v>
      </c>
      <c r="L2629" s="705">
        <v>4144</v>
      </c>
      <c r="M2629" s="705">
        <v>3453</v>
      </c>
      <c r="N2629" s="705">
        <v>1274</v>
      </c>
      <c r="O2629" s="705">
        <v>472</v>
      </c>
      <c r="P2629" s="705">
        <v>621</v>
      </c>
      <c r="Q2629" s="705">
        <v>230</v>
      </c>
      <c r="R2629" s="705">
        <v>3579</v>
      </c>
      <c r="S2629" s="705">
        <v>2983</v>
      </c>
      <c r="T2629" s="705">
        <v>2116</v>
      </c>
      <c r="U2629" s="705">
        <v>784</v>
      </c>
      <c r="V2629" s="705">
        <v>31026</v>
      </c>
      <c r="W2629" s="705">
        <f t="shared" si="106"/>
        <v>31027</v>
      </c>
      <c r="X2629" s="705">
        <f t="shared" si="107"/>
        <v>37150</v>
      </c>
    </row>
    <row r="2630" spans="2:24">
      <c r="B2630" t="s">
        <v>553</v>
      </c>
      <c r="C2630" t="s">
        <v>124</v>
      </c>
      <c r="D2630" t="s">
        <v>583</v>
      </c>
      <c r="E2630" t="s">
        <v>671</v>
      </c>
      <c r="F2630" s="705">
        <v>1</v>
      </c>
      <c r="G2630" s="705">
        <v>69</v>
      </c>
      <c r="H2630" s="705">
        <v>590</v>
      </c>
      <c r="I2630" s="705">
        <v>25557</v>
      </c>
      <c r="J2630" s="705">
        <v>23234</v>
      </c>
      <c r="K2630" s="705">
        <v>79</v>
      </c>
      <c r="L2630" s="705">
        <v>4733</v>
      </c>
      <c r="M2630" s="705">
        <v>4303</v>
      </c>
      <c r="N2630" s="705">
        <v>1477</v>
      </c>
      <c r="O2630" s="705">
        <v>547</v>
      </c>
      <c r="P2630" s="705">
        <v>621</v>
      </c>
      <c r="Q2630" s="705">
        <v>230</v>
      </c>
      <c r="R2630" s="705">
        <v>6202</v>
      </c>
      <c r="S2630" s="705">
        <v>5638</v>
      </c>
      <c r="T2630" s="705">
        <v>2287</v>
      </c>
      <c r="U2630" s="705">
        <v>847</v>
      </c>
      <c r="V2630" s="705">
        <v>34798</v>
      </c>
      <c r="W2630" s="705">
        <f t="shared" si="106"/>
        <v>34799</v>
      </c>
      <c r="X2630" s="705">
        <f t="shared" si="107"/>
        <v>40877</v>
      </c>
    </row>
    <row r="2631" spans="2:24">
      <c r="B2631" t="s">
        <v>553</v>
      </c>
      <c r="C2631" t="s">
        <v>124</v>
      </c>
      <c r="D2631" t="s">
        <v>583</v>
      </c>
      <c r="E2631" t="s">
        <v>665</v>
      </c>
      <c r="F2631" s="705">
        <v>1</v>
      </c>
      <c r="G2631" s="705">
        <v>151</v>
      </c>
      <c r="H2631" s="705">
        <v>544</v>
      </c>
      <c r="I2631" s="705">
        <v>62118</v>
      </c>
      <c r="J2631" s="705">
        <v>56471</v>
      </c>
      <c r="K2631" s="705">
        <v>65</v>
      </c>
      <c r="L2631" s="705">
        <v>7755</v>
      </c>
      <c r="M2631" s="705">
        <v>7050</v>
      </c>
      <c r="N2631" s="705">
        <v>3538</v>
      </c>
      <c r="O2631" s="705">
        <v>1311</v>
      </c>
      <c r="P2631" s="705">
        <v>621</v>
      </c>
      <c r="Q2631" s="705">
        <v>230</v>
      </c>
      <c r="R2631" s="705">
        <v>8249</v>
      </c>
      <c r="S2631" s="705">
        <v>7499</v>
      </c>
      <c r="T2631" s="705">
        <v>0</v>
      </c>
      <c r="U2631" s="705">
        <v>0</v>
      </c>
      <c r="V2631" s="705">
        <v>72561</v>
      </c>
      <c r="W2631" s="705">
        <f t="shared" si="106"/>
        <v>72561</v>
      </c>
      <c r="X2631" s="705">
        <f t="shared" si="107"/>
        <v>82281</v>
      </c>
    </row>
    <row r="2632" spans="2:24">
      <c r="B2632" t="s">
        <v>553</v>
      </c>
      <c r="C2632" t="s">
        <v>124</v>
      </c>
      <c r="D2632" t="s">
        <v>666</v>
      </c>
      <c r="E2632" t="s">
        <v>581</v>
      </c>
      <c r="F2632" s="705">
        <v>1</v>
      </c>
      <c r="G2632" s="705">
        <v>73</v>
      </c>
      <c r="H2632" s="705">
        <v>573</v>
      </c>
      <c r="I2632" s="705">
        <v>30251</v>
      </c>
      <c r="J2632" s="705">
        <v>27501</v>
      </c>
      <c r="K2632" s="705">
        <v>60</v>
      </c>
      <c r="L2632" s="705">
        <v>4950</v>
      </c>
      <c r="M2632" s="705">
        <v>1833</v>
      </c>
      <c r="N2632" s="705">
        <v>1783</v>
      </c>
      <c r="O2632" s="705">
        <v>660</v>
      </c>
      <c r="P2632" s="705">
        <v>0</v>
      </c>
      <c r="Q2632" s="705">
        <v>0</v>
      </c>
      <c r="R2632" s="705">
        <v>3305</v>
      </c>
      <c r="S2632" s="705">
        <v>1224</v>
      </c>
      <c r="T2632" s="705">
        <v>1628</v>
      </c>
      <c r="U2632" s="705">
        <v>603</v>
      </c>
      <c r="V2632" s="705">
        <v>31822</v>
      </c>
      <c r="W2632" s="705">
        <f t="shared" si="106"/>
        <v>31821</v>
      </c>
      <c r="X2632" s="705">
        <f t="shared" si="107"/>
        <v>41917</v>
      </c>
    </row>
    <row r="2633" spans="2:24">
      <c r="B2633" t="s">
        <v>553</v>
      </c>
      <c r="C2633" t="s">
        <v>124</v>
      </c>
      <c r="D2633" t="s">
        <v>666</v>
      </c>
      <c r="E2633" t="s">
        <v>228</v>
      </c>
      <c r="F2633" s="705">
        <v>3</v>
      </c>
      <c r="G2633" s="705">
        <v>219</v>
      </c>
      <c r="H2633" s="705">
        <v>3095</v>
      </c>
      <c r="I2633" s="705">
        <v>169782</v>
      </c>
      <c r="J2633" s="705">
        <v>154347</v>
      </c>
      <c r="K2633" s="705">
        <v>52</v>
      </c>
      <c r="L2633" s="705">
        <v>15171</v>
      </c>
      <c r="M2633" s="705">
        <v>11602</v>
      </c>
      <c r="N2633" s="705">
        <v>4925</v>
      </c>
      <c r="O2633" s="705">
        <v>1824</v>
      </c>
      <c r="P2633" s="705">
        <v>0</v>
      </c>
      <c r="Q2633" s="705">
        <v>0</v>
      </c>
      <c r="R2633" s="705">
        <v>33415</v>
      </c>
      <c r="S2633" s="705">
        <v>12376</v>
      </c>
      <c r="T2633" s="705">
        <v>0</v>
      </c>
      <c r="U2633" s="705">
        <v>0</v>
      </c>
      <c r="V2633" s="705">
        <v>180149</v>
      </c>
      <c r="W2633" s="705">
        <f t="shared" si="106"/>
        <v>180149</v>
      </c>
      <c r="X2633" s="705">
        <f t="shared" si="107"/>
        <v>223293</v>
      </c>
    </row>
    <row r="2634" spans="2:24">
      <c r="B2634" t="s">
        <v>553</v>
      </c>
      <c r="C2634" t="s">
        <v>124</v>
      </c>
      <c r="D2634" t="s">
        <v>666</v>
      </c>
      <c r="E2634" t="s">
        <v>666</v>
      </c>
      <c r="F2634" s="705">
        <v>12</v>
      </c>
      <c r="G2634" s="705">
        <v>1052</v>
      </c>
      <c r="H2634" s="705">
        <v>8660</v>
      </c>
      <c r="I2634" s="705">
        <v>546677</v>
      </c>
      <c r="J2634" s="705">
        <v>496979</v>
      </c>
      <c r="K2634" s="705">
        <v>55</v>
      </c>
      <c r="L2634" s="705">
        <v>103619</v>
      </c>
      <c r="M2634" s="705">
        <v>75812</v>
      </c>
      <c r="N2634" s="705">
        <v>22419</v>
      </c>
      <c r="O2634" s="705">
        <v>8303</v>
      </c>
      <c r="P2634" s="705">
        <v>4401</v>
      </c>
      <c r="Q2634" s="705">
        <v>1630</v>
      </c>
      <c r="R2634" s="705">
        <v>63110</v>
      </c>
      <c r="S2634" s="705">
        <v>57373</v>
      </c>
      <c r="T2634" s="705">
        <v>10693</v>
      </c>
      <c r="U2634" s="705">
        <v>3960</v>
      </c>
      <c r="V2634" s="705">
        <v>644058</v>
      </c>
      <c r="W2634" s="705">
        <f t="shared" si="106"/>
        <v>644057</v>
      </c>
      <c r="X2634" s="705">
        <f t="shared" si="107"/>
        <v>750919</v>
      </c>
    </row>
    <row r="2635" spans="2:24">
      <c r="B2635" t="s">
        <v>553</v>
      </c>
      <c r="C2635" t="s">
        <v>124</v>
      </c>
      <c r="D2635" t="s">
        <v>669</v>
      </c>
      <c r="E2635" t="s">
        <v>669</v>
      </c>
      <c r="F2635" s="705">
        <v>7</v>
      </c>
      <c r="G2635" s="705">
        <v>655</v>
      </c>
      <c r="H2635" s="705">
        <v>7602</v>
      </c>
      <c r="I2635" s="705">
        <v>517306</v>
      </c>
      <c r="J2635" s="705">
        <v>431088</v>
      </c>
      <c r="K2635" s="705">
        <v>54</v>
      </c>
      <c r="L2635" s="705">
        <v>98694</v>
      </c>
      <c r="M2635" s="705">
        <v>82245</v>
      </c>
      <c r="N2635" s="705">
        <v>12473</v>
      </c>
      <c r="O2635" s="705">
        <v>4620</v>
      </c>
      <c r="P2635" s="705">
        <v>2106</v>
      </c>
      <c r="Q2635" s="705">
        <v>780</v>
      </c>
      <c r="R2635" s="705">
        <v>37351</v>
      </c>
      <c r="S2635" s="705">
        <v>31126</v>
      </c>
      <c r="T2635" s="705">
        <v>14387</v>
      </c>
      <c r="U2635" s="705">
        <v>5328</v>
      </c>
      <c r="V2635" s="705">
        <v>555187</v>
      </c>
      <c r="W2635" s="705">
        <f t="shared" si="106"/>
        <v>555187</v>
      </c>
      <c r="X2635" s="705">
        <f t="shared" si="107"/>
        <v>682317</v>
      </c>
    </row>
    <row r="2636" spans="2:24">
      <c r="B2636" t="s">
        <v>553</v>
      </c>
      <c r="C2636" t="s">
        <v>124</v>
      </c>
      <c r="D2636" t="s">
        <v>671</v>
      </c>
      <c r="E2636" t="s">
        <v>228</v>
      </c>
      <c r="F2636" s="705">
        <v>1</v>
      </c>
      <c r="G2636" s="705">
        <v>61</v>
      </c>
      <c r="H2636" s="705">
        <v>714</v>
      </c>
      <c r="I2636" s="705">
        <v>29035</v>
      </c>
      <c r="J2636" s="705">
        <v>26395</v>
      </c>
      <c r="K2636" s="705">
        <v>60</v>
      </c>
      <c r="L2636" s="705">
        <v>0</v>
      </c>
      <c r="M2636" s="705">
        <v>0</v>
      </c>
      <c r="N2636" s="705">
        <v>746</v>
      </c>
      <c r="O2636" s="705">
        <v>276</v>
      </c>
      <c r="P2636" s="705">
        <v>0</v>
      </c>
      <c r="Q2636" s="705">
        <v>0</v>
      </c>
      <c r="R2636" s="705">
        <v>13923</v>
      </c>
      <c r="S2636" s="705">
        <v>5157</v>
      </c>
      <c r="T2636" s="705">
        <v>0</v>
      </c>
      <c r="U2636" s="705">
        <v>0</v>
      </c>
      <c r="V2636" s="705">
        <v>31828</v>
      </c>
      <c r="W2636" s="705">
        <f t="shared" si="106"/>
        <v>31828</v>
      </c>
      <c r="X2636" s="705">
        <f t="shared" si="107"/>
        <v>43704</v>
      </c>
    </row>
    <row r="2637" spans="2:24">
      <c r="B2637" t="s">
        <v>553</v>
      </c>
      <c r="C2637" t="s">
        <v>124</v>
      </c>
      <c r="D2637" t="s">
        <v>671</v>
      </c>
      <c r="E2637" t="s">
        <v>671</v>
      </c>
      <c r="F2637" s="705">
        <v>11</v>
      </c>
      <c r="G2637" s="705">
        <v>974</v>
      </c>
      <c r="H2637" s="705">
        <v>8703</v>
      </c>
      <c r="I2637" s="705">
        <v>571807</v>
      </c>
      <c r="J2637" s="705">
        <v>519824</v>
      </c>
      <c r="K2637" s="705">
        <v>46</v>
      </c>
      <c r="L2637" s="705">
        <v>75630</v>
      </c>
      <c r="M2637" s="705">
        <v>68755</v>
      </c>
      <c r="N2637" s="705">
        <v>20742</v>
      </c>
      <c r="O2637" s="705">
        <v>7682</v>
      </c>
      <c r="P2637" s="705">
        <v>3348</v>
      </c>
      <c r="Q2637" s="705">
        <v>1240</v>
      </c>
      <c r="R2637" s="705">
        <v>79512</v>
      </c>
      <c r="S2637" s="705">
        <v>72284</v>
      </c>
      <c r="T2637" s="705">
        <v>19054</v>
      </c>
      <c r="U2637" s="705">
        <v>7057</v>
      </c>
      <c r="V2637" s="705">
        <v>676842</v>
      </c>
      <c r="W2637" s="705">
        <f t="shared" si="106"/>
        <v>676842</v>
      </c>
      <c r="X2637" s="705">
        <f t="shared" si="107"/>
        <v>770093</v>
      </c>
    </row>
    <row r="2638" spans="2:24">
      <c r="B2638" t="s">
        <v>553</v>
      </c>
      <c r="C2638" t="s">
        <v>124</v>
      </c>
      <c r="D2638" t="s">
        <v>665</v>
      </c>
      <c r="E2638" t="s">
        <v>228</v>
      </c>
      <c r="F2638" s="705">
        <v>59</v>
      </c>
      <c r="G2638" s="705">
        <v>4881</v>
      </c>
      <c r="H2638" s="705">
        <v>69884</v>
      </c>
      <c r="I2638" s="705">
        <v>4578676</v>
      </c>
      <c r="J2638" s="705">
        <v>4162433</v>
      </c>
      <c r="K2638" s="705">
        <v>39</v>
      </c>
      <c r="L2638" s="705">
        <v>438898</v>
      </c>
      <c r="M2638" s="705">
        <v>257910</v>
      </c>
      <c r="N2638" s="705">
        <v>112655</v>
      </c>
      <c r="O2638" s="705">
        <v>41724</v>
      </c>
      <c r="P2638" s="705">
        <v>1053</v>
      </c>
      <c r="Q2638" s="705">
        <v>390</v>
      </c>
      <c r="R2638" s="705">
        <v>354958</v>
      </c>
      <c r="S2638" s="705">
        <v>131466</v>
      </c>
      <c r="T2638" s="705">
        <v>0</v>
      </c>
      <c r="U2638" s="705">
        <v>0</v>
      </c>
      <c r="V2638" s="705">
        <v>4593923</v>
      </c>
      <c r="W2638" s="705">
        <f t="shared" si="106"/>
        <v>4593923</v>
      </c>
      <c r="X2638" s="705">
        <f t="shared" si="107"/>
        <v>5486240</v>
      </c>
    </row>
    <row r="2639" spans="2:24">
      <c r="B2639" t="s">
        <v>553</v>
      </c>
      <c r="C2639" t="s">
        <v>124</v>
      </c>
      <c r="D2639" t="s">
        <v>665</v>
      </c>
      <c r="E2639" t="s">
        <v>583</v>
      </c>
      <c r="F2639" s="705">
        <v>1</v>
      </c>
      <c r="G2639" s="705">
        <v>156</v>
      </c>
      <c r="H2639" s="705">
        <v>797</v>
      </c>
      <c r="I2639" s="705">
        <v>107543</v>
      </c>
      <c r="J2639" s="705">
        <v>97766</v>
      </c>
      <c r="K2639" s="705">
        <v>30</v>
      </c>
      <c r="L2639" s="705">
        <v>0</v>
      </c>
      <c r="M2639" s="705">
        <v>0</v>
      </c>
      <c r="N2639" s="705">
        <v>3796</v>
      </c>
      <c r="O2639" s="705">
        <v>1406</v>
      </c>
      <c r="P2639" s="705">
        <v>0</v>
      </c>
      <c r="Q2639" s="705">
        <v>0</v>
      </c>
      <c r="R2639" s="705">
        <v>10269</v>
      </c>
      <c r="S2639" s="705">
        <v>9335</v>
      </c>
      <c r="T2639" s="705">
        <v>2637</v>
      </c>
      <c r="U2639" s="705">
        <v>977</v>
      </c>
      <c r="V2639" s="705">
        <v>109485</v>
      </c>
      <c r="W2639" s="705">
        <f t="shared" si="106"/>
        <v>109484</v>
      </c>
      <c r="X2639" s="705">
        <f t="shared" si="107"/>
        <v>124245</v>
      </c>
    </row>
    <row r="2640" spans="2:24">
      <c r="B2640" t="s">
        <v>553</v>
      </c>
      <c r="C2640" t="s">
        <v>124</v>
      </c>
      <c r="D2640" t="s">
        <v>665</v>
      </c>
      <c r="E2640" t="s">
        <v>665</v>
      </c>
      <c r="F2640" s="705">
        <v>242</v>
      </c>
      <c r="G2640" s="705">
        <v>22211</v>
      </c>
      <c r="H2640" s="705">
        <v>175793</v>
      </c>
      <c r="I2640" s="705">
        <v>11616199</v>
      </c>
      <c r="J2640" s="705">
        <v>10560181</v>
      </c>
      <c r="K2640" s="705">
        <v>51</v>
      </c>
      <c r="L2640" s="705">
        <v>1792348</v>
      </c>
      <c r="M2640" s="705">
        <v>1568533</v>
      </c>
      <c r="N2640" s="705">
        <v>494438</v>
      </c>
      <c r="O2640" s="705">
        <v>183125</v>
      </c>
      <c r="P2640" s="705">
        <v>81738</v>
      </c>
      <c r="Q2640" s="705">
        <v>30273</v>
      </c>
      <c r="R2640" s="705">
        <v>1537733</v>
      </c>
      <c r="S2640" s="705">
        <v>1397939</v>
      </c>
      <c r="T2640" s="705">
        <v>478112</v>
      </c>
      <c r="U2640" s="705">
        <v>177079</v>
      </c>
      <c r="V2640" s="705">
        <v>13917130</v>
      </c>
      <c r="W2640" s="705">
        <f t="shared" si="106"/>
        <v>13917130</v>
      </c>
      <c r="X2640" s="705">
        <f t="shared" si="107"/>
        <v>16000568</v>
      </c>
    </row>
    <row r="2641" spans="2:24">
      <c r="B2641" t="s">
        <v>553</v>
      </c>
      <c r="C2641" t="s">
        <v>124</v>
      </c>
      <c r="D2641" t="s">
        <v>673</v>
      </c>
      <c r="E2641" t="s">
        <v>228</v>
      </c>
      <c r="F2641" s="705">
        <v>1</v>
      </c>
      <c r="G2641" s="705">
        <v>69</v>
      </c>
      <c r="H2641" s="705">
        <v>1222</v>
      </c>
      <c r="I2641" s="705">
        <v>72783</v>
      </c>
      <c r="J2641" s="705">
        <v>66167</v>
      </c>
      <c r="K2641" s="705">
        <v>30</v>
      </c>
      <c r="L2641" s="705">
        <v>5955</v>
      </c>
      <c r="M2641" s="705">
        <v>2206</v>
      </c>
      <c r="N2641" s="705">
        <v>1684</v>
      </c>
      <c r="O2641" s="705">
        <v>624</v>
      </c>
      <c r="P2641" s="705">
        <v>0</v>
      </c>
      <c r="Q2641" s="705">
        <v>0</v>
      </c>
      <c r="R2641" s="705">
        <v>4048</v>
      </c>
      <c r="S2641" s="705">
        <v>1499</v>
      </c>
      <c r="T2641" s="705">
        <v>0</v>
      </c>
      <c r="U2641" s="705">
        <v>0</v>
      </c>
      <c r="V2641" s="705">
        <v>70495</v>
      </c>
      <c r="W2641" s="705">
        <f t="shared" si="106"/>
        <v>70496</v>
      </c>
      <c r="X2641" s="705">
        <f t="shared" si="107"/>
        <v>84470</v>
      </c>
    </row>
    <row r="2642" spans="2:24">
      <c r="B2642" t="s">
        <v>553</v>
      </c>
      <c r="C2642" t="s">
        <v>124</v>
      </c>
      <c r="D2642" t="s">
        <v>673</v>
      </c>
      <c r="E2642" t="s">
        <v>673</v>
      </c>
      <c r="F2642" s="705">
        <v>3</v>
      </c>
      <c r="G2642" s="705">
        <v>229</v>
      </c>
      <c r="H2642" s="705">
        <v>2985</v>
      </c>
      <c r="I2642" s="705">
        <v>172677</v>
      </c>
      <c r="J2642" s="705">
        <v>156979</v>
      </c>
      <c r="K2642" s="705">
        <v>48</v>
      </c>
      <c r="L2642" s="705">
        <v>15845</v>
      </c>
      <c r="M2642" s="705">
        <v>14405</v>
      </c>
      <c r="N2642" s="705">
        <v>5055</v>
      </c>
      <c r="O2642" s="705">
        <v>1872</v>
      </c>
      <c r="P2642" s="705">
        <v>1053</v>
      </c>
      <c r="Q2642" s="705">
        <v>390</v>
      </c>
      <c r="R2642" s="705">
        <v>25462</v>
      </c>
      <c r="S2642" s="705">
        <v>23147</v>
      </c>
      <c r="T2642" s="705">
        <v>4159</v>
      </c>
      <c r="U2642" s="705">
        <v>1540</v>
      </c>
      <c r="V2642" s="705">
        <v>198334</v>
      </c>
      <c r="W2642" s="705">
        <f t="shared" si="106"/>
        <v>198333</v>
      </c>
      <c r="X2642" s="705">
        <f t="shared" si="107"/>
        <v>224251</v>
      </c>
    </row>
    <row r="2643" spans="2:24">
      <c r="B2643" t="s">
        <v>553</v>
      </c>
      <c r="C2643" t="s">
        <v>124</v>
      </c>
      <c r="D2643" t="s">
        <v>585</v>
      </c>
      <c r="E2643" t="s">
        <v>585</v>
      </c>
      <c r="F2643" s="705">
        <v>1</v>
      </c>
      <c r="G2643" s="705">
        <v>113</v>
      </c>
      <c r="H2643" s="705">
        <v>488</v>
      </c>
      <c r="I2643" s="705">
        <v>39531</v>
      </c>
      <c r="J2643" s="705">
        <v>35937</v>
      </c>
      <c r="K2643" s="705">
        <v>65</v>
      </c>
      <c r="L2643" s="705">
        <v>6344</v>
      </c>
      <c r="M2643" s="705">
        <v>5768</v>
      </c>
      <c r="N2643" s="705">
        <v>2441</v>
      </c>
      <c r="O2643" s="705">
        <v>904</v>
      </c>
      <c r="P2643" s="705">
        <v>702</v>
      </c>
      <c r="Q2643" s="705">
        <v>260</v>
      </c>
      <c r="R2643" s="705">
        <v>5941</v>
      </c>
      <c r="S2643" s="705">
        <v>5401</v>
      </c>
      <c r="T2643" s="705">
        <v>0</v>
      </c>
      <c r="U2643" s="705">
        <v>0</v>
      </c>
      <c r="V2643" s="705">
        <v>48270</v>
      </c>
      <c r="W2643" s="705">
        <f t="shared" si="106"/>
        <v>48270</v>
      </c>
      <c r="X2643" s="705">
        <f t="shared" si="107"/>
        <v>54959</v>
      </c>
    </row>
    <row r="2644" spans="2:24">
      <c r="B2644" t="s">
        <v>554</v>
      </c>
      <c r="C2644" t="s">
        <v>108</v>
      </c>
      <c r="D2644" t="s">
        <v>582</v>
      </c>
      <c r="E2644" t="s">
        <v>582</v>
      </c>
      <c r="F2644" s="705">
        <v>1</v>
      </c>
      <c r="G2644" s="705">
        <v>281</v>
      </c>
      <c r="H2644" s="705">
        <v>71</v>
      </c>
      <c r="I2644" s="705">
        <v>8156</v>
      </c>
      <c r="J2644" s="705">
        <v>7415</v>
      </c>
      <c r="K2644" s="705">
        <v>92</v>
      </c>
      <c r="L2644" s="705">
        <v>1287</v>
      </c>
      <c r="M2644" s="705">
        <v>1170</v>
      </c>
      <c r="N2644" s="705">
        <v>3426</v>
      </c>
      <c r="O2644" s="705">
        <v>1269</v>
      </c>
      <c r="P2644" s="705">
        <v>2801</v>
      </c>
      <c r="Q2644" s="705">
        <v>1037</v>
      </c>
      <c r="R2644" s="705">
        <v>4395</v>
      </c>
      <c r="S2644" s="705">
        <v>3996</v>
      </c>
      <c r="T2644" s="705">
        <v>0</v>
      </c>
      <c r="U2644" s="705">
        <v>0</v>
      </c>
      <c r="V2644" s="705">
        <v>14886</v>
      </c>
      <c r="W2644" s="705">
        <f t="shared" si="106"/>
        <v>14887</v>
      </c>
      <c r="X2644" s="705">
        <f t="shared" si="107"/>
        <v>20065</v>
      </c>
    </row>
    <row r="2645" spans="2:24">
      <c r="B2645" t="s">
        <v>554</v>
      </c>
      <c r="C2645" t="s">
        <v>108</v>
      </c>
      <c r="D2645" t="s">
        <v>582</v>
      </c>
      <c r="E2645" t="s">
        <v>228</v>
      </c>
      <c r="F2645" s="705">
        <v>1</v>
      </c>
      <c r="G2645" s="705">
        <v>245</v>
      </c>
      <c r="H2645" s="705">
        <v>69</v>
      </c>
      <c r="I2645" s="705">
        <v>4510</v>
      </c>
      <c r="J2645" s="705">
        <v>4100</v>
      </c>
      <c r="K2645" s="705">
        <v>92</v>
      </c>
      <c r="L2645" s="705">
        <v>772</v>
      </c>
      <c r="M2645" s="705">
        <v>702</v>
      </c>
      <c r="N2645" s="705">
        <v>3100</v>
      </c>
      <c r="O2645" s="705">
        <v>1148</v>
      </c>
      <c r="P2645" s="705">
        <v>2857</v>
      </c>
      <c r="Q2645" s="705">
        <v>1058</v>
      </c>
      <c r="R2645" s="705">
        <v>5707</v>
      </c>
      <c r="S2645" s="705">
        <v>2114</v>
      </c>
      <c r="T2645" s="705">
        <v>0</v>
      </c>
      <c r="U2645" s="705">
        <v>0</v>
      </c>
      <c r="V2645" s="705">
        <v>9122</v>
      </c>
      <c r="W2645" s="705">
        <f t="shared" si="106"/>
        <v>9122</v>
      </c>
      <c r="X2645" s="705">
        <f t="shared" si="107"/>
        <v>16946</v>
      </c>
    </row>
    <row r="2646" spans="2:24">
      <c r="B2646" t="s">
        <v>554</v>
      </c>
      <c r="C2646" t="s">
        <v>108</v>
      </c>
      <c r="D2646" t="s">
        <v>228</v>
      </c>
      <c r="E2646" t="s">
        <v>228</v>
      </c>
      <c r="F2646" s="705">
        <v>109</v>
      </c>
      <c r="G2646" s="705">
        <v>26062</v>
      </c>
      <c r="H2646" s="705">
        <v>6129</v>
      </c>
      <c r="I2646" s="705">
        <v>227655</v>
      </c>
      <c r="J2646" s="705">
        <v>84317</v>
      </c>
      <c r="K2646" s="705">
        <v>452</v>
      </c>
      <c r="L2646" s="705">
        <v>62120</v>
      </c>
      <c r="M2646" s="705">
        <v>56834</v>
      </c>
      <c r="N2646" s="705">
        <v>351247</v>
      </c>
      <c r="O2646" s="705">
        <v>130092</v>
      </c>
      <c r="P2646" s="705">
        <v>196551</v>
      </c>
      <c r="Q2646" s="705">
        <v>72797</v>
      </c>
      <c r="R2646" s="705">
        <v>616040</v>
      </c>
      <c r="S2646" s="705">
        <v>228163</v>
      </c>
      <c r="T2646" s="705">
        <v>0</v>
      </c>
      <c r="U2646" s="705">
        <v>0</v>
      </c>
      <c r="V2646" s="705">
        <v>572202</v>
      </c>
      <c r="W2646" s="705">
        <f t="shared" si="106"/>
        <v>572203</v>
      </c>
      <c r="X2646" s="705">
        <f t="shared" si="107"/>
        <v>1453613</v>
      </c>
    </row>
    <row r="2647" spans="2:24">
      <c r="B2647" t="s">
        <v>554</v>
      </c>
      <c r="C2647" t="s">
        <v>108</v>
      </c>
      <c r="D2647" t="s">
        <v>583</v>
      </c>
      <c r="E2647" t="s">
        <v>228</v>
      </c>
      <c r="F2647" s="705">
        <v>7</v>
      </c>
      <c r="G2647" s="705">
        <v>1530</v>
      </c>
      <c r="H2647" s="705">
        <v>402</v>
      </c>
      <c r="I2647" s="705">
        <v>22040</v>
      </c>
      <c r="J2647" s="705">
        <v>20037</v>
      </c>
      <c r="K2647" s="705">
        <v>96</v>
      </c>
      <c r="L2647" s="705">
        <v>3461</v>
      </c>
      <c r="M2647" s="705">
        <v>3146</v>
      </c>
      <c r="N2647" s="705">
        <v>18638</v>
      </c>
      <c r="O2647" s="705">
        <v>6903</v>
      </c>
      <c r="P2647" s="705">
        <v>16321</v>
      </c>
      <c r="Q2647" s="705">
        <v>6045</v>
      </c>
      <c r="R2647" s="705">
        <v>26313</v>
      </c>
      <c r="S2647" s="705">
        <v>9746</v>
      </c>
      <c r="T2647" s="705">
        <v>0</v>
      </c>
      <c r="U2647" s="705">
        <v>0</v>
      </c>
      <c r="V2647" s="705">
        <v>45877</v>
      </c>
      <c r="W2647" s="705">
        <f t="shared" si="106"/>
        <v>45877</v>
      </c>
      <c r="X2647" s="705">
        <f t="shared" si="107"/>
        <v>86773</v>
      </c>
    </row>
    <row r="2648" spans="2:24">
      <c r="B2648" t="s">
        <v>554</v>
      </c>
      <c r="C2648" t="s">
        <v>108</v>
      </c>
      <c r="D2648" t="s">
        <v>583</v>
      </c>
      <c r="E2648" t="s">
        <v>583</v>
      </c>
      <c r="F2648" s="705">
        <v>15</v>
      </c>
      <c r="G2648" s="705">
        <v>3963</v>
      </c>
      <c r="H2648" s="705">
        <v>954</v>
      </c>
      <c r="I2648" s="705">
        <v>100660</v>
      </c>
      <c r="J2648" s="705">
        <v>91509</v>
      </c>
      <c r="K2648" s="705">
        <v>95</v>
      </c>
      <c r="L2648" s="705">
        <v>16390</v>
      </c>
      <c r="M2648" s="705">
        <v>14821</v>
      </c>
      <c r="N2648" s="705">
        <v>48802</v>
      </c>
      <c r="O2648" s="705">
        <v>18075</v>
      </c>
      <c r="P2648" s="705">
        <v>37200</v>
      </c>
      <c r="Q2648" s="705">
        <v>13778</v>
      </c>
      <c r="R2648" s="705">
        <v>54672</v>
      </c>
      <c r="S2648" s="705">
        <v>49702</v>
      </c>
      <c r="T2648" s="705">
        <v>0</v>
      </c>
      <c r="U2648" s="705">
        <v>0</v>
      </c>
      <c r="V2648" s="705">
        <v>187885</v>
      </c>
      <c r="W2648" s="705">
        <f t="shared" si="106"/>
        <v>187885</v>
      </c>
      <c r="X2648" s="705">
        <f t="shared" si="107"/>
        <v>257724</v>
      </c>
    </row>
    <row r="2649" spans="2:24">
      <c r="B2649" t="s">
        <v>554</v>
      </c>
      <c r="C2649" t="s">
        <v>110</v>
      </c>
      <c r="D2649" t="s">
        <v>582</v>
      </c>
      <c r="E2649" t="s">
        <v>582</v>
      </c>
      <c r="F2649" s="705">
        <v>1</v>
      </c>
      <c r="G2649" s="705">
        <v>255</v>
      </c>
      <c r="H2649" s="705">
        <v>100</v>
      </c>
      <c r="I2649" s="705">
        <v>14658</v>
      </c>
      <c r="J2649" s="705">
        <v>13326</v>
      </c>
      <c r="K2649" s="705">
        <v>90</v>
      </c>
      <c r="L2649" s="705">
        <v>1896</v>
      </c>
      <c r="M2649" s="705">
        <v>1724</v>
      </c>
      <c r="N2649" s="705">
        <v>3576</v>
      </c>
      <c r="O2649" s="705">
        <v>1324</v>
      </c>
      <c r="P2649" s="705">
        <v>473</v>
      </c>
      <c r="Q2649" s="705">
        <v>175</v>
      </c>
      <c r="R2649" s="705">
        <v>4851</v>
      </c>
      <c r="S2649" s="705">
        <v>4410</v>
      </c>
      <c r="T2649" s="705">
        <v>0</v>
      </c>
      <c r="U2649" s="705">
        <v>0</v>
      </c>
      <c r="V2649" s="705">
        <v>20959</v>
      </c>
      <c r="W2649" s="705">
        <f t="shared" si="106"/>
        <v>20959</v>
      </c>
      <c r="X2649" s="705">
        <f t="shared" si="107"/>
        <v>25454</v>
      </c>
    </row>
    <row r="2650" spans="2:24">
      <c r="B2650" t="s">
        <v>554</v>
      </c>
      <c r="C2650" t="s">
        <v>110</v>
      </c>
      <c r="D2650" t="s">
        <v>228</v>
      </c>
      <c r="E2650" t="s">
        <v>228</v>
      </c>
      <c r="F2650" s="705">
        <v>18</v>
      </c>
      <c r="G2650" s="705">
        <v>4354</v>
      </c>
      <c r="H2650" s="705">
        <v>1591</v>
      </c>
      <c r="I2650" s="705">
        <v>119749</v>
      </c>
      <c r="J2650" s="705">
        <v>44352</v>
      </c>
      <c r="K2650" s="705">
        <v>396</v>
      </c>
      <c r="L2650" s="705">
        <v>36694</v>
      </c>
      <c r="M2650" s="705">
        <v>32819</v>
      </c>
      <c r="N2650" s="705">
        <v>76420</v>
      </c>
      <c r="O2650" s="705">
        <v>28304</v>
      </c>
      <c r="P2650" s="705">
        <v>20386</v>
      </c>
      <c r="Q2650" s="705">
        <v>7550</v>
      </c>
      <c r="R2650" s="705">
        <v>140810</v>
      </c>
      <c r="S2650" s="705">
        <v>52152</v>
      </c>
      <c r="T2650" s="705">
        <v>4503</v>
      </c>
      <c r="U2650" s="705">
        <v>1668</v>
      </c>
      <c r="V2650" s="705">
        <v>166844</v>
      </c>
      <c r="W2650" s="705">
        <f t="shared" si="106"/>
        <v>166845</v>
      </c>
      <c r="X2650" s="705">
        <f t="shared" si="107"/>
        <v>398562</v>
      </c>
    </row>
    <row r="2651" spans="2:24">
      <c r="B2651" t="s">
        <v>554</v>
      </c>
      <c r="C2651" t="s">
        <v>110</v>
      </c>
      <c r="D2651" t="s">
        <v>670</v>
      </c>
      <c r="E2651" t="s">
        <v>670</v>
      </c>
      <c r="F2651" s="705">
        <v>1</v>
      </c>
      <c r="G2651" s="705">
        <v>238</v>
      </c>
      <c r="H2651" s="705">
        <v>100</v>
      </c>
      <c r="I2651" s="705">
        <v>10403</v>
      </c>
      <c r="J2651" s="705">
        <v>3853</v>
      </c>
      <c r="K2651" s="705">
        <v>320</v>
      </c>
      <c r="L2651" s="705">
        <v>2740</v>
      </c>
      <c r="M2651" s="705">
        <v>2491</v>
      </c>
      <c r="N2651" s="705">
        <v>2896</v>
      </c>
      <c r="O2651" s="705">
        <v>1072</v>
      </c>
      <c r="P2651" s="705">
        <v>2439</v>
      </c>
      <c r="Q2651" s="705">
        <v>903</v>
      </c>
      <c r="R2651" s="705">
        <v>5200</v>
      </c>
      <c r="S2651" s="705">
        <v>1926</v>
      </c>
      <c r="T2651" s="705">
        <v>0</v>
      </c>
      <c r="U2651" s="705">
        <v>0</v>
      </c>
      <c r="V2651" s="705">
        <v>10245</v>
      </c>
      <c r="W2651" s="705">
        <f t="shared" si="106"/>
        <v>10245</v>
      </c>
      <c r="X2651" s="705">
        <f t="shared" si="107"/>
        <v>23678</v>
      </c>
    </row>
    <row r="2652" spans="2:24">
      <c r="B2652" t="s">
        <v>554</v>
      </c>
      <c r="C2652" t="s">
        <v>110</v>
      </c>
      <c r="D2652" t="s">
        <v>583</v>
      </c>
      <c r="E2652" t="s">
        <v>228</v>
      </c>
      <c r="F2652" s="705">
        <v>2</v>
      </c>
      <c r="G2652" s="705">
        <v>465</v>
      </c>
      <c r="H2652" s="705">
        <v>154</v>
      </c>
      <c r="I2652" s="705">
        <v>19957</v>
      </c>
      <c r="J2652" s="705">
        <v>18142</v>
      </c>
      <c r="K2652" s="705">
        <v>93</v>
      </c>
      <c r="L2652" s="705">
        <v>2790</v>
      </c>
      <c r="M2652" s="705">
        <v>2536</v>
      </c>
      <c r="N2652" s="705">
        <v>5717</v>
      </c>
      <c r="O2652" s="705">
        <v>2117</v>
      </c>
      <c r="P2652" s="705">
        <v>1242</v>
      </c>
      <c r="Q2652" s="705">
        <v>460</v>
      </c>
      <c r="R2652" s="705">
        <v>6111</v>
      </c>
      <c r="S2652" s="705">
        <v>2263</v>
      </c>
      <c r="T2652" s="705">
        <v>0</v>
      </c>
      <c r="U2652" s="705">
        <v>0</v>
      </c>
      <c r="V2652" s="705">
        <v>25519</v>
      </c>
      <c r="W2652" s="705">
        <f t="shared" si="106"/>
        <v>25518</v>
      </c>
      <c r="X2652" s="705">
        <f t="shared" si="107"/>
        <v>35817</v>
      </c>
    </row>
    <row r="2653" spans="2:24">
      <c r="B2653" t="s">
        <v>554</v>
      </c>
      <c r="C2653" t="s">
        <v>110</v>
      </c>
      <c r="D2653" t="s">
        <v>583</v>
      </c>
      <c r="E2653" t="s">
        <v>583</v>
      </c>
      <c r="F2653" s="705">
        <v>43</v>
      </c>
      <c r="G2653" s="705">
        <v>9818</v>
      </c>
      <c r="H2653" s="705">
        <v>3829</v>
      </c>
      <c r="I2653" s="705">
        <v>441226</v>
      </c>
      <c r="J2653" s="705">
        <v>401115</v>
      </c>
      <c r="K2653" s="705">
        <v>93</v>
      </c>
      <c r="L2653" s="705">
        <v>72732</v>
      </c>
      <c r="M2653" s="705">
        <v>63828</v>
      </c>
      <c r="N2653" s="705">
        <v>135464</v>
      </c>
      <c r="O2653" s="705">
        <v>50172</v>
      </c>
      <c r="P2653" s="705">
        <v>44245</v>
      </c>
      <c r="Q2653" s="705">
        <v>16387</v>
      </c>
      <c r="R2653" s="705">
        <v>194328</v>
      </c>
      <c r="S2653" s="705">
        <v>176661</v>
      </c>
      <c r="T2653" s="705">
        <v>0</v>
      </c>
      <c r="U2653" s="705">
        <v>0</v>
      </c>
      <c r="V2653" s="705">
        <v>708163</v>
      </c>
      <c r="W2653" s="705">
        <f t="shared" si="106"/>
        <v>708163</v>
      </c>
      <c r="X2653" s="705">
        <f t="shared" si="107"/>
        <v>887995</v>
      </c>
    </row>
    <row r="2654" spans="2:24">
      <c r="B2654" t="s">
        <v>554</v>
      </c>
      <c r="C2654" t="s">
        <v>110</v>
      </c>
      <c r="D2654" t="s">
        <v>665</v>
      </c>
      <c r="E2654" t="s">
        <v>665</v>
      </c>
      <c r="F2654" s="705">
        <v>1</v>
      </c>
      <c r="G2654" s="705">
        <v>303</v>
      </c>
      <c r="H2654" s="705">
        <v>97</v>
      </c>
      <c r="I2654" s="705">
        <v>12551</v>
      </c>
      <c r="J2654" s="705">
        <v>11410</v>
      </c>
      <c r="K2654" s="705">
        <v>72</v>
      </c>
      <c r="L2654" s="705">
        <v>2465</v>
      </c>
      <c r="M2654" s="705">
        <v>913</v>
      </c>
      <c r="N2654" s="705">
        <v>3692</v>
      </c>
      <c r="O2654" s="705">
        <v>1368</v>
      </c>
      <c r="P2654" s="705">
        <v>621</v>
      </c>
      <c r="Q2654" s="705">
        <v>230</v>
      </c>
      <c r="R2654" s="705">
        <v>5593</v>
      </c>
      <c r="S2654" s="705">
        <v>5084</v>
      </c>
      <c r="T2654" s="705">
        <v>4547</v>
      </c>
      <c r="U2654" s="705">
        <v>1684</v>
      </c>
      <c r="V2654" s="705">
        <v>20689</v>
      </c>
      <c r="W2654" s="705">
        <f t="shared" si="106"/>
        <v>20689</v>
      </c>
      <c r="X2654" s="705">
        <f t="shared" si="107"/>
        <v>29469</v>
      </c>
    </row>
    <row r="2655" spans="2:24">
      <c r="B2655" t="s">
        <v>554</v>
      </c>
      <c r="C2655" t="s">
        <v>110</v>
      </c>
      <c r="D2655" t="s">
        <v>673</v>
      </c>
      <c r="E2655" t="s">
        <v>228</v>
      </c>
      <c r="F2655" s="705">
        <v>1</v>
      </c>
      <c r="G2655" s="705">
        <v>244</v>
      </c>
      <c r="H2655" s="705">
        <v>83</v>
      </c>
      <c r="I2655" s="705">
        <v>6325</v>
      </c>
      <c r="J2655" s="705">
        <v>5750</v>
      </c>
      <c r="K2655" s="705">
        <v>81</v>
      </c>
      <c r="L2655" s="705">
        <v>1397</v>
      </c>
      <c r="M2655" s="705">
        <v>518</v>
      </c>
      <c r="N2655" s="705">
        <v>3126</v>
      </c>
      <c r="O2655" s="705">
        <v>1158</v>
      </c>
      <c r="P2655" s="705">
        <v>2950</v>
      </c>
      <c r="Q2655" s="705">
        <v>1092</v>
      </c>
      <c r="R2655" s="705">
        <v>6446</v>
      </c>
      <c r="S2655" s="705">
        <v>2388</v>
      </c>
      <c r="T2655" s="705">
        <v>0</v>
      </c>
      <c r="U2655" s="705">
        <v>0</v>
      </c>
      <c r="V2655" s="705">
        <v>10906</v>
      </c>
      <c r="W2655" s="705">
        <f t="shared" si="106"/>
        <v>10906</v>
      </c>
      <c r="X2655" s="705">
        <f t="shared" si="107"/>
        <v>20244</v>
      </c>
    </row>
    <row r="2656" spans="2:24">
      <c r="B2656" t="s">
        <v>554</v>
      </c>
      <c r="C2656" t="s">
        <v>112</v>
      </c>
      <c r="D2656" t="s">
        <v>582</v>
      </c>
      <c r="E2656" t="s">
        <v>582</v>
      </c>
      <c r="F2656" s="705">
        <v>3</v>
      </c>
      <c r="G2656" s="705">
        <v>466</v>
      </c>
      <c r="H2656" s="705">
        <v>371</v>
      </c>
      <c r="I2656" s="705">
        <v>28497</v>
      </c>
      <c r="J2656" s="705">
        <v>25906</v>
      </c>
      <c r="K2656" s="705">
        <v>91</v>
      </c>
      <c r="L2656" s="705">
        <v>4658</v>
      </c>
      <c r="M2656" s="705">
        <v>4235</v>
      </c>
      <c r="N2656" s="705">
        <v>10769</v>
      </c>
      <c r="O2656" s="705">
        <v>3988</v>
      </c>
      <c r="P2656" s="705">
        <v>1175</v>
      </c>
      <c r="Q2656" s="705">
        <v>435</v>
      </c>
      <c r="R2656" s="705">
        <v>12554</v>
      </c>
      <c r="S2656" s="705">
        <v>11413</v>
      </c>
      <c r="T2656" s="705">
        <v>0</v>
      </c>
      <c r="U2656" s="705">
        <v>0</v>
      </c>
      <c r="V2656" s="705">
        <v>45977</v>
      </c>
      <c r="W2656" s="705">
        <f t="shared" si="106"/>
        <v>45977</v>
      </c>
      <c r="X2656" s="705">
        <f t="shared" si="107"/>
        <v>57653</v>
      </c>
    </row>
    <row r="2657" spans="2:24">
      <c r="B2657" t="s">
        <v>554</v>
      </c>
      <c r="C2657" t="s">
        <v>112</v>
      </c>
      <c r="D2657" t="s">
        <v>228</v>
      </c>
      <c r="E2657" t="s">
        <v>228</v>
      </c>
      <c r="F2657" s="705">
        <v>13</v>
      </c>
      <c r="G2657" s="705">
        <v>2370</v>
      </c>
      <c r="H2657" s="705">
        <v>1471</v>
      </c>
      <c r="I2657" s="705">
        <v>120258</v>
      </c>
      <c r="J2657" s="705">
        <v>44540</v>
      </c>
      <c r="K2657" s="705">
        <v>364</v>
      </c>
      <c r="L2657" s="705">
        <v>32658</v>
      </c>
      <c r="M2657" s="705">
        <v>29381</v>
      </c>
      <c r="N2657" s="705">
        <v>43129</v>
      </c>
      <c r="O2657" s="705">
        <v>15974</v>
      </c>
      <c r="P2657" s="705">
        <v>8090</v>
      </c>
      <c r="Q2657" s="705">
        <v>2996</v>
      </c>
      <c r="R2657" s="705">
        <v>105040</v>
      </c>
      <c r="S2657" s="705">
        <v>38904</v>
      </c>
      <c r="T2657" s="705">
        <v>0</v>
      </c>
      <c r="U2657" s="705">
        <v>0</v>
      </c>
      <c r="V2657" s="705">
        <v>131794</v>
      </c>
      <c r="W2657" s="705">
        <f t="shared" si="106"/>
        <v>131795</v>
      </c>
      <c r="X2657" s="705">
        <f t="shared" si="107"/>
        <v>309175</v>
      </c>
    </row>
    <row r="2658" spans="2:24">
      <c r="B2658" t="s">
        <v>554</v>
      </c>
      <c r="C2658" t="s">
        <v>112</v>
      </c>
      <c r="D2658" t="s">
        <v>583</v>
      </c>
      <c r="E2658" t="s">
        <v>228</v>
      </c>
      <c r="F2658" s="705">
        <v>1</v>
      </c>
      <c r="G2658" s="705">
        <v>306</v>
      </c>
      <c r="H2658" s="705">
        <v>102</v>
      </c>
      <c r="I2658" s="705">
        <v>19725</v>
      </c>
      <c r="J2658" s="705">
        <v>17932</v>
      </c>
      <c r="K2658" s="705">
        <v>82</v>
      </c>
      <c r="L2658" s="705">
        <v>2489</v>
      </c>
      <c r="M2658" s="705">
        <v>2263</v>
      </c>
      <c r="N2658" s="705">
        <v>3725</v>
      </c>
      <c r="O2658" s="705">
        <v>1379</v>
      </c>
      <c r="P2658" s="705">
        <v>621</v>
      </c>
      <c r="Q2658" s="705">
        <v>230</v>
      </c>
      <c r="R2658" s="705">
        <v>4680</v>
      </c>
      <c r="S2658" s="705">
        <v>1733</v>
      </c>
      <c r="T2658" s="705">
        <v>0</v>
      </c>
      <c r="U2658" s="705">
        <v>0</v>
      </c>
      <c r="V2658" s="705">
        <v>23537</v>
      </c>
      <c r="W2658" s="705">
        <f t="shared" si="106"/>
        <v>23537</v>
      </c>
      <c r="X2658" s="705">
        <f t="shared" si="107"/>
        <v>31240</v>
      </c>
    </row>
    <row r="2659" spans="2:24">
      <c r="B2659" t="s">
        <v>554</v>
      </c>
      <c r="C2659" t="s">
        <v>112</v>
      </c>
      <c r="D2659" t="s">
        <v>583</v>
      </c>
      <c r="E2659" t="s">
        <v>583</v>
      </c>
      <c r="F2659" s="705">
        <v>92</v>
      </c>
      <c r="G2659" s="705">
        <v>18970</v>
      </c>
      <c r="H2659" s="705">
        <v>10775</v>
      </c>
      <c r="I2659" s="705">
        <v>1228319</v>
      </c>
      <c r="J2659" s="705">
        <v>1116654</v>
      </c>
      <c r="K2659" s="705">
        <v>93</v>
      </c>
      <c r="L2659" s="705">
        <v>211061</v>
      </c>
      <c r="M2659" s="705">
        <v>188914</v>
      </c>
      <c r="N2659" s="705">
        <v>333562</v>
      </c>
      <c r="O2659" s="705">
        <v>123542</v>
      </c>
      <c r="P2659" s="705">
        <v>73962</v>
      </c>
      <c r="Q2659" s="705">
        <v>27393</v>
      </c>
      <c r="R2659" s="705">
        <v>445235</v>
      </c>
      <c r="S2659" s="705">
        <v>404759</v>
      </c>
      <c r="T2659" s="705">
        <v>20465</v>
      </c>
      <c r="U2659" s="705">
        <v>7580</v>
      </c>
      <c r="V2659" s="705">
        <v>1868842</v>
      </c>
      <c r="W2659" s="705">
        <f t="shared" si="106"/>
        <v>1868842</v>
      </c>
      <c r="X2659" s="705">
        <f t="shared" si="107"/>
        <v>2312604</v>
      </c>
    </row>
    <row r="2660" spans="2:24">
      <c r="B2660" t="s">
        <v>554</v>
      </c>
      <c r="C2660" t="s">
        <v>112</v>
      </c>
      <c r="D2660" t="s">
        <v>584</v>
      </c>
      <c r="E2660" t="s">
        <v>584</v>
      </c>
      <c r="F2660" s="705">
        <v>1</v>
      </c>
      <c r="G2660" s="705">
        <v>145</v>
      </c>
      <c r="H2660" s="705">
        <v>116</v>
      </c>
      <c r="I2660" s="705">
        <v>16308</v>
      </c>
      <c r="J2660" s="705">
        <v>14826</v>
      </c>
      <c r="K2660" s="705">
        <v>92</v>
      </c>
      <c r="L2660" s="705">
        <v>0</v>
      </c>
      <c r="M2660" s="705">
        <v>2406</v>
      </c>
      <c r="N2660" s="705">
        <v>5329</v>
      </c>
      <c r="O2660" s="705">
        <v>1974</v>
      </c>
      <c r="P2660" s="705">
        <v>473</v>
      </c>
      <c r="Q2660" s="705">
        <v>175</v>
      </c>
      <c r="R2660" s="705">
        <v>4492</v>
      </c>
      <c r="S2660" s="705">
        <v>4084</v>
      </c>
      <c r="T2660" s="705">
        <v>0</v>
      </c>
      <c r="U2660" s="705">
        <v>0</v>
      </c>
      <c r="V2660" s="705">
        <v>23464</v>
      </c>
      <c r="W2660" s="705">
        <f t="shared" si="106"/>
        <v>23465</v>
      </c>
      <c r="X2660" s="705">
        <f t="shared" si="107"/>
        <v>26602</v>
      </c>
    </row>
    <row r="2661" spans="2:24">
      <c r="B2661" t="s">
        <v>554</v>
      </c>
      <c r="C2661" t="s">
        <v>112</v>
      </c>
      <c r="D2661" t="s">
        <v>673</v>
      </c>
      <c r="E2661" t="s">
        <v>673</v>
      </c>
      <c r="F2661" s="705">
        <v>2</v>
      </c>
      <c r="G2661" s="705">
        <v>595</v>
      </c>
      <c r="H2661" s="705">
        <v>237</v>
      </c>
      <c r="I2661" s="705">
        <v>36949</v>
      </c>
      <c r="J2661" s="705">
        <v>33590</v>
      </c>
      <c r="K2661" s="705">
        <v>65</v>
      </c>
      <c r="L2661" s="705">
        <v>6308</v>
      </c>
      <c r="M2661" s="705">
        <v>5735</v>
      </c>
      <c r="N2661" s="705">
        <v>9772</v>
      </c>
      <c r="O2661" s="705">
        <v>3619</v>
      </c>
      <c r="P2661" s="705">
        <v>3328</v>
      </c>
      <c r="Q2661" s="705">
        <v>1233</v>
      </c>
      <c r="R2661" s="705">
        <v>13908</v>
      </c>
      <c r="S2661" s="705">
        <v>12644</v>
      </c>
      <c r="T2661" s="705">
        <v>0</v>
      </c>
      <c r="U2661" s="705">
        <v>0</v>
      </c>
      <c r="V2661" s="705">
        <v>56820</v>
      </c>
      <c r="W2661" s="705">
        <f t="shared" si="106"/>
        <v>56821</v>
      </c>
      <c r="X2661" s="705">
        <f t="shared" si="107"/>
        <v>70265</v>
      </c>
    </row>
    <row r="2662" spans="2:24">
      <c r="B2662" t="s">
        <v>554</v>
      </c>
      <c r="C2662" t="s">
        <v>114</v>
      </c>
      <c r="D2662" t="s">
        <v>664</v>
      </c>
      <c r="E2662" t="s">
        <v>664</v>
      </c>
      <c r="F2662" s="705">
        <v>3</v>
      </c>
      <c r="G2662" s="705">
        <v>661</v>
      </c>
      <c r="H2662" s="705">
        <v>428</v>
      </c>
      <c r="I2662" s="705">
        <v>59870</v>
      </c>
      <c r="J2662" s="705">
        <v>54427</v>
      </c>
      <c r="K2662" s="705">
        <v>88</v>
      </c>
      <c r="L2662" s="705">
        <v>13445</v>
      </c>
      <c r="M2662" s="705">
        <v>12032</v>
      </c>
      <c r="N2662" s="705">
        <v>12095</v>
      </c>
      <c r="O2662" s="705">
        <v>4480</v>
      </c>
      <c r="P2662" s="705">
        <v>1418</v>
      </c>
      <c r="Q2662" s="705">
        <v>525</v>
      </c>
      <c r="R2662" s="705">
        <v>16303</v>
      </c>
      <c r="S2662" s="705">
        <v>14821</v>
      </c>
      <c r="T2662" s="705">
        <v>0</v>
      </c>
      <c r="U2662" s="705">
        <v>0</v>
      </c>
      <c r="V2662" s="705">
        <v>86285</v>
      </c>
      <c r="W2662" s="705">
        <f t="shared" si="106"/>
        <v>86285</v>
      </c>
      <c r="X2662" s="705">
        <f t="shared" si="107"/>
        <v>103131</v>
      </c>
    </row>
    <row r="2663" spans="2:24">
      <c r="B2663" t="s">
        <v>554</v>
      </c>
      <c r="C2663" t="s">
        <v>114</v>
      </c>
      <c r="D2663" t="s">
        <v>582</v>
      </c>
      <c r="E2663" t="s">
        <v>582</v>
      </c>
      <c r="F2663" s="705">
        <v>29</v>
      </c>
      <c r="G2663" s="705">
        <v>5031</v>
      </c>
      <c r="H2663" s="705">
        <v>3991</v>
      </c>
      <c r="I2663" s="705">
        <v>370607</v>
      </c>
      <c r="J2663" s="705">
        <v>336915</v>
      </c>
      <c r="K2663" s="705">
        <v>90</v>
      </c>
      <c r="L2663" s="705">
        <v>83499</v>
      </c>
      <c r="M2663" s="705">
        <v>62445</v>
      </c>
      <c r="N2663" s="705">
        <v>93208</v>
      </c>
      <c r="O2663" s="705">
        <v>34521</v>
      </c>
      <c r="P2663" s="705">
        <v>13095</v>
      </c>
      <c r="Q2663" s="705">
        <v>4850</v>
      </c>
      <c r="R2663" s="705">
        <v>142306</v>
      </c>
      <c r="S2663" s="705">
        <v>129369</v>
      </c>
      <c r="T2663" s="705">
        <v>2948</v>
      </c>
      <c r="U2663" s="705">
        <v>1092</v>
      </c>
      <c r="V2663" s="705">
        <v>569193</v>
      </c>
      <c r="W2663" s="705">
        <f t="shared" si="106"/>
        <v>569192</v>
      </c>
      <c r="X2663" s="705">
        <f t="shared" si="107"/>
        <v>705663</v>
      </c>
    </row>
    <row r="2664" spans="2:24">
      <c r="B2664" t="s">
        <v>554</v>
      </c>
      <c r="C2664" t="s">
        <v>114</v>
      </c>
      <c r="D2664" t="s">
        <v>228</v>
      </c>
      <c r="E2664" t="s">
        <v>228</v>
      </c>
      <c r="F2664" s="705">
        <v>17</v>
      </c>
      <c r="G2664" s="705">
        <v>3303</v>
      </c>
      <c r="H2664" s="705">
        <v>2364</v>
      </c>
      <c r="I2664" s="705">
        <v>229577</v>
      </c>
      <c r="J2664" s="705">
        <v>85029</v>
      </c>
      <c r="K2664" s="705">
        <v>324</v>
      </c>
      <c r="L2664" s="705">
        <v>62441</v>
      </c>
      <c r="M2664" s="705">
        <v>56572</v>
      </c>
      <c r="N2664" s="705">
        <v>67288</v>
      </c>
      <c r="O2664" s="705">
        <v>24922</v>
      </c>
      <c r="P2664" s="705">
        <v>21068</v>
      </c>
      <c r="Q2664" s="705">
        <v>7803</v>
      </c>
      <c r="R2664" s="705">
        <v>113730</v>
      </c>
      <c r="S2664" s="705">
        <v>42122</v>
      </c>
      <c r="T2664" s="705">
        <v>0</v>
      </c>
      <c r="U2664" s="705">
        <v>0</v>
      </c>
      <c r="V2664" s="705">
        <v>216447</v>
      </c>
      <c r="W2664" s="705">
        <f t="shared" si="106"/>
        <v>216448</v>
      </c>
      <c r="X2664" s="705">
        <f t="shared" si="107"/>
        <v>494104</v>
      </c>
    </row>
    <row r="2665" spans="2:24">
      <c r="B2665" t="s">
        <v>554</v>
      </c>
      <c r="C2665" t="s">
        <v>114</v>
      </c>
      <c r="D2665" t="s">
        <v>583</v>
      </c>
      <c r="E2665" t="s">
        <v>228</v>
      </c>
      <c r="F2665" s="705">
        <v>1</v>
      </c>
      <c r="G2665" s="705">
        <v>149</v>
      </c>
      <c r="H2665" s="705">
        <v>127</v>
      </c>
      <c r="I2665" s="705">
        <v>17214</v>
      </c>
      <c r="J2665" s="705">
        <v>15649</v>
      </c>
      <c r="K2665" s="705">
        <v>86</v>
      </c>
      <c r="L2665" s="705">
        <v>2516</v>
      </c>
      <c r="M2665" s="705">
        <v>2287</v>
      </c>
      <c r="N2665" s="705">
        <v>2946</v>
      </c>
      <c r="O2665" s="705">
        <v>1091</v>
      </c>
      <c r="P2665" s="705">
        <v>621</v>
      </c>
      <c r="Q2665" s="705">
        <v>230</v>
      </c>
      <c r="R2665" s="705">
        <v>7498</v>
      </c>
      <c r="S2665" s="705">
        <v>2777</v>
      </c>
      <c r="T2665" s="705">
        <v>0</v>
      </c>
      <c r="U2665" s="705">
        <v>0</v>
      </c>
      <c r="V2665" s="705">
        <v>22034</v>
      </c>
      <c r="W2665" s="705">
        <f t="shared" si="106"/>
        <v>22034</v>
      </c>
      <c r="X2665" s="705">
        <f t="shared" si="107"/>
        <v>30795</v>
      </c>
    </row>
    <row r="2666" spans="2:24">
      <c r="B2666" t="s">
        <v>554</v>
      </c>
      <c r="C2666" t="s">
        <v>114</v>
      </c>
      <c r="D2666" t="s">
        <v>583</v>
      </c>
      <c r="E2666" t="s">
        <v>583</v>
      </c>
      <c r="F2666" s="705">
        <v>322</v>
      </c>
      <c r="G2666" s="705">
        <v>60393</v>
      </c>
      <c r="H2666" s="705">
        <v>45393</v>
      </c>
      <c r="I2666" s="705">
        <v>4871764</v>
      </c>
      <c r="J2666" s="705">
        <v>4428876</v>
      </c>
      <c r="K2666" s="705">
        <v>90</v>
      </c>
      <c r="L2666" s="705">
        <v>945203</v>
      </c>
      <c r="M2666" s="705">
        <v>835491</v>
      </c>
      <c r="N2666" s="705">
        <v>1195059</v>
      </c>
      <c r="O2666" s="705">
        <v>442614</v>
      </c>
      <c r="P2666" s="705">
        <v>231745</v>
      </c>
      <c r="Q2666" s="705">
        <v>85831</v>
      </c>
      <c r="R2666" s="705">
        <v>1696042</v>
      </c>
      <c r="S2666" s="705">
        <v>1541857</v>
      </c>
      <c r="T2666" s="705">
        <v>124130</v>
      </c>
      <c r="U2666" s="705">
        <v>45974</v>
      </c>
      <c r="V2666" s="705">
        <v>7380643</v>
      </c>
      <c r="W2666" s="705">
        <f t="shared" si="106"/>
        <v>7380643</v>
      </c>
      <c r="X2666" s="705">
        <f t="shared" si="107"/>
        <v>9063943</v>
      </c>
    </row>
    <row r="2667" spans="2:24">
      <c r="B2667" t="s">
        <v>554</v>
      </c>
      <c r="C2667" t="s">
        <v>114</v>
      </c>
      <c r="D2667" t="s">
        <v>583</v>
      </c>
      <c r="E2667" t="s">
        <v>666</v>
      </c>
      <c r="F2667" s="705">
        <v>1</v>
      </c>
      <c r="G2667" s="705">
        <v>176</v>
      </c>
      <c r="H2667" s="705">
        <v>135</v>
      </c>
      <c r="I2667" s="705">
        <v>15717</v>
      </c>
      <c r="J2667" s="705">
        <v>14288</v>
      </c>
      <c r="K2667" s="705">
        <v>85</v>
      </c>
      <c r="L2667" s="705">
        <v>2284</v>
      </c>
      <c r="M2667" s="705">
        <v>2076</v>
      </c>
      <c r="N2667" s="705">
        <v>2480</v>
      </c>
      <c r="O2667" s="705">
        <v>919</v>
      </c>
      <c r="P2667" s="705">
        <v>621</v>
      </c>
      <c r="Q2667" s="705">
        <v>230</v>
      </c>
      <c r="R2667" s="705">
        <v>2659</v>
      </c>
      <c r="S2667" s="705">
        <v>2417</v>
      </c>
      <c r="T2667" s="705">
        <v>0</v>
      </c>
      <c r="U2667" s="705">
        <v>0</v>
      </c>
      <c r="V2667" s="705">
        <v>19929</v>
      </c>
      <c r="W2667" s="705">
        <f t="shared" si="106"/>
        <v>19930</v>
      </c>
      <c r="X2667" s="705">
        <f t="shared" si="107"/>
        <v>23761</v>
      </c>
    </row>
    <row r="2668" spans="2:24">
      <c r="B2668" t="s">
        <v>554</v>
      </c>
      <c r="C2668" t="s">
        <v>114</v>
      </c>
      <c r="D2668" t="s">
        <v>584</v>
      </c>
      <c r="E2668" t="s">
        <v>584</v>
      </c>
      <c r="F2668" s="705">
        <v>2</v>
      </c>
      <c r="G2668" s="705">
        <v>272</v>
      </c>
      <c r="H2668" s="705">
        <v>285</v>
      </c>
      <c r="I2668" s="705">
        <v>28397</v>
      </c>
      <c r="J2668" s="705">
        <v>25816</v>
      </c>
      <c r="K2668" s="705">
        <v>91</v>
      </c>
      <c r="L2668" s="705">
        <v>1808</v>
      </c>
      <c r="M2668" s="705">
        <v>1643</v>
      </c>
      <c r="N2668" s="705">
        <v>8665</v>
      </c>
      <c r="O2668" s="705">
        <v>3209</v>
      </c>
      <c r="P2668" s="705">
        <v>1296</v>
      </c>
      <c r="Q2668" s="705">
        <v>480</v>
      </c>
      <c r="R2668" s="705">
        <v>10961</v>
      </c>
      <c r="S2668" s="705">
        <v>9964</v>
      </c>
      <c r="T2668" s="705">
        <v>0</v>
      </c>
      <c r="U2668" s="705">
        <v>0</v>
      </c>
      <c r="V2668" s="705">
        <v>41112</v>
      </c>
      <c r="W2668" s="705">
        <f t="shared" ref="W2668:W2731" si="108">SUM(ABS(J2668),ABS(M2668),ABS(O2668),ABS(Q2668),ABS(S2668),ABS(U2668))</f>
        <v>41112</v>
      </c>
      <c r="X2668" s="705">
        <f t="shared" ref="X2668:X2731" si="109">SUM(ABS(I2668),ABS(N2668),ABS(P2668),ABS(R2668),ABS(T2668),ABS(L2668))</f>
        <v>51127</v>
      </c>
    </row>
    <row r="2669" spans="2:24">
      <c r="B2669" t="s">
        <v>554</v>
      </c>
      <c r="C2669" t="s">
        <v>114</v>
      </c>
      <c r="D2669" t="s">
        <v>673</v>
      </c>
      <c r="E2669" t="s">
        <v>673</v>
      </c>
      <c r="F2669" s="705">
        <v>1</v>
      </c>
      <c r="G2669" s="705">
        <v>212</v>
      </c>
      <c r="H2669" s="705">
        <v>138</v>
      </c>
      <c r="I2669" s="705">
        <v>18562</v>
      </c>
      <c r="J2669" s="705">
        <v>16874</v>
      </c>
      <c r="K2669" s="705">
        <v>71</v>
      </c>
      <c r="L2669" s="705">
        <v>0</v>
      </c>
      <c r="M2669" s="705">
        <v>0</v>
      </c>
      <c r="N2669" s="705">
        <v>2581</v>
      </c>
      <c r="O2669" s="705">
        <v>956</v>
      </c>
      <c r="P2669" s="705">
        <v>351</v>
      </c>
      <c r="Q2669" s="705">
        <v>130</v>
      </c>
      <c r="R2669" s="705">
        <v>7720</v>
      </c>
      <c r="S2669" s="705">
        <v>7018</v>
      </c>
      <c r="T2669" s="705">
        <v>0</v>
      </c>
      <c r="U2669" s="705">
        <v>0</v>
      </c>
      <c r="V2669" s="705">
        <v>24978</v>
      </c>
      <c r="W2669" s="705">
        <f t="shared" si="108"/>
        <v>24978</v>
      </c>
      <c r="X2669" s="705">
        <f t="shared" si="109"/>
        <v>29214</v>
      </c>
    </row>
    <row r="2670" spans="2:24">
      <c r="B2670" t="s">
        <v>554</v>
      </c>
      <c r="C2670" t="s">
        <v>114</v>
      </c>
      <c r="D2670" t="s">
        <v>585</v>
      </c>
      <c r="E2670" t="s">
        <v>585</v>
      </c>
      <c r="F2670" s="705">
        <v>1</v>
      </c>
      <c r="G2670" s="705">
        <v>287</v>
      </c>
      <c r="H2670" s="705">
        <v>150</v>
      </c>
      <c r="I2670" s="705">
        <v>27425</v>
      </c>
      <c r="J2670" s="705">
        <v>24932</v>
      </c>
      <c r="K2670" s="705">
        <v>87</v>
      </c>
      <c r="L2670" s="705">
        <v>4175</v>
      </c>
      <c r="M2670" s="705">
        <v>3795</v>
      </c>
      <c r="N2670" s="705">
        <v>3501</v>
      </c>
      <c r="O2670" s="705">
        <v>1297</v>
      </c>
      <c r="P2670" s="705">
        <v>351</v>
      </c>
      <c r="Q2670" s="705">
        <v>130</v>
      </c>
      <c r="R2670" s="705">
        <v>7530</v>
      </c>
      <c r="S2670" s="705">
        <v>6846</v>
      </c>
      <c r="T2670" s="705">
        <v>0</v>
      </c>
      <c r="U2670" s="705">
        <v>0</v>
      </c>
      <c r="V2670" s="705">
        <v>37000</v>
      </c>
      <c r="W2670" s="705">
        <f t="shared" si="108"/>
        <v>37000</v>
      </c>
      <c r="X2670" s="705">
        <f t="shared" si="109"/>
        <v>42982</v>
      </c>
    </row>
    <row r="2671" spans="2:24">
      <c r="B2671" t="s">
        <v>554</v>
      </c>
      <c r="C2671" t="s">
        <v>116</v>
      </c>
      <c r="D2671" t="s">
        <v>664</v>
      </c>
      <c r="E2671" t="s">
        <v>664</v>
      </c>
      <c r="F2671" s="705">
        <v>5</v>
      </c>
      <c r="G2671" s="705">
        <v>648</v>
      </c>
      <c r="H2671" s="705">
        <v>949</v>
      </c>
      <c r="I2671" s="705">
        <v>69041</v>
      </c>
      <c r="J2671" s="705">
        <v>62764</v>
      </c>
      <c r="K2671" s="705">
        <v>87</v>
      </c>
      <c r="L2671" s="705">
        <v>20431</v>
      </c>
      <c r="M2671" s="705">
        <v>18573</v>
      </c>
      <c r="N2671" s="705">
        <v>12994</v>
      </c>
      <c r="O2671" s="705">
        <v>4813</v>
      </c>
      <c r="P2671" s="705">
        <v>2363</v>
      </c>
      <c r="Q2671" s="705">
        <v>875</v>
      </c>
      <c r="R2671" s="705">
        <v>23097</v>
      </c>
      <c r="S2671" s="705">
        <v>20997</v>
      </c>
      <c r="T2671" s="705">
        <v>2679</v>
      </c>
      <c r="U2671" s="705">
        <v>992</v>
      </c>
      <c r="V2671" s="705">
        <v>109015</v>
      </c>
      <c r="W2671" s="705">
        <f t="shared" si="108"/>
        <v>109014</v>
      </c>
      <c r="X2671" s="705">
        <f t="shared" si="109"/>
        <v>130605</v>
      </c>
    </row>
    <row r="2672" spans="2:24">
      <c r="B2672" t="s">
        <v>554</v>
      </c>
      <c r="C2672" t="s">
        <v>116</v>
      </c>
      <c r="D2672" t="s">
        <v>664</v>
      </c>
      <c r="E2672" t="s">
        <v>583</v>
      </c>
      <c r="F2672" s="705">
        <v>1</v>
      </c>
      <c r="G2672" s="705">
        <v>208</v>
      </c>
      <c r="H2672" s="705">
        <v>185</v>
      </c>
      <c r="I2672" s="705">
        <v>20032</v>
      </c>
      <c r="J2672" s="705">
        <v>18211</v>
      </c>
      <c r="K2672" s="705">
        <v>86</v>
      </c>
      <c r="L2672" s="705">
        <v>3020</v>
      </c>
      <c r="M2672" s="705">
        <v>2745</v>
      </c>
      <c r="N2672" s="705">
        <v>5064</v>
      </c>
      <c r="O2672" s="705">
        <v>1876</v>
      </c>
      <c r="P2672" s="705">
        <v>621</v>
      </c>
      <c r="Q2672" s="705">
        <v>230</v>
      </c>
      <c r="R2672" s="705">
        <v>5480</v>
      </c>
      <c r="S2672" s="705">
        <v>4981</v>
      </c>
      <c r="T2672" s="705">
        <v>4306</v>
      </c>
      <c r="U2672" s="705">
        <v>1595</v>
      </c>
      <c r="V2672" s="705">
        <v>29638</v>
      </c>
      <c r="W2672" s="705">
        <f t="shared" si="108"/>
        <v>29638</v>
      </c>
      <c r="X2672" s="705">
        <f t="shared" si="109"/>
        <v>38523</v>
      </c>
    </row>
    <row r="2673" spans="2:24">
      <c r="B2673" t="s">
        <v>554</v>
      </c>
      <c r="C2673" t="s">
        <v>116</v>
      </c>
      <c r="D2673" t="s">
        <v>582</v>
      </c>
      <c r="E2673" t="s">
        <v>664</v>
      </c>
      <c r="F2673" s="705">
        <v>2</v>
      </c>
      <c r="G2673" s="705">
        <v>249</v>
      </c>
      <c r="H2673" s="705">
        <v>372</v>
      </c>
      <c r="I2673" s="705">
        <v>28428</v>
      </c>
      <c r="J2673" s="705">
        <v>25844</v>
      </c>
      <c r="K2673" s="705">
        <v>86</v>
      </c>
      <c r="L2673" s="705">
        <v>2527</v>
      </c>
      <c r="M2673" s="705">
        <v>3825</v>
      </c>
      <c r="N2673" s="705">
        <v>4615</v>
      </c>
      <c r="O2673" s="705">
        <v>1709</v>
      </c>
      <c r="P2673" s="705">
        <v>945</v>
      </c>
      <c r="Q2673" s="705">
        <v>350</v>
      </c>
      <c r="R2673" s="705">
        <v>10448</v>
      </c>
      <c r="S2673" s="705">
        <v>9498</v>
      </c>
      <c r="T2673" s="705">
        <v>0</v>
      </c>
      <c r="U2673" s="705">
        <v>0</v>
      </c>
      <c r="V2673" s="705">
        <v>41226</v>
      </c>
      <c r="W2673" s="705">
        <f t="shared" si="108"/>
        <v>41226</v>
      </c>
      <c r="X2673" s="705">
        <f t="shared" si="109"/>
        <v>46963</v>
      </c>
    </row>
    <row r="2674" spans="2:24">
      <c r="B2674" t="s">
        <v>554</v>
      </c>
      <c r="C2674" t="s">
        <v>116</v>
      </c>
      <c r="D2674" t="s">
        <v>582</v>
      </c>
      <c r="E2674" t="s">
        <v>582</v>
      </c>
      <c r="F2674" s="705">
        <v>64</v>
      </c>
      <c r="G2674" s="705">
        <v>9978</v>
      </c>
      <c r="H2674" s="705">
        <v>11957</v>
      </c>
      <c r="I2674" s="705">
        <v>1025482</v>
      </c>
      <c r="J2674" s="705">
        <v>932257</v>
      </c>
      <c r="K2674" s="705">
        <v>83</v>
      </c>
      <c r="L2674" s="705">
        <v>253033</v>
      </c>
      <c r="M2674" s="705">
        <v>224036</v>
      </c>
      <c r="N2674" s="705">
        <v>206204</v>
      </c>
      <c r="O2674" s="705">
        <v>76372</v>
      </c>
      <c r="P2674" s="705">
        <v>36747</v>
      </c>
      <c r="Q2674" s="705">
        <v>13610</v>
      </c>
      <c r="R2674" s="705">
        <v>333466</v>
      </c>
      <c r="S2674" s="705">
        <v>303151</v>
      </c>
      <c r="T2674" s="705">
        <v>46169</v>
      </c>
      <c r="U2674" s="705">
        <v>17100</v>
      </c>
      <c r="V2674" s="705">
        <v>1566525</v>
      </c>
      <c r="W2674" s="705">
        <f t="shared" si="108"/>
        <v>1566526</v>
      </c>
      <c r="X2674" s="705">
        <f t="shared" si="109"/>
        <v>1901101</v>
      </c>
    </row>
    <row r="2675" spans="2:24">
      <c r="B2675" t="s">
        <v>554</v>
      </c>
      <c r="C2675" t="s">
        <v>116</v>
      </c>
      <c r="D2675" t="s">
        <v>582</v>
      </c>
      <c r="E2675" t="s">
        <v>228</v>
      </c>
      <c r="F2675" s="705">
        <v>2</v>
      </c>
      <c r="G2675" s="705">
        <v>587</v>
      </c>
      <c r="H2675" s="705">
        <v>357</v>
      </c>
      <c r="I2675" s="705">
        <v>59568</v>
      </c>
      <c r="J2675" s="705">
        <v>54153</v>
      </c>
      <c r="K2675" s="705">
        <v>92</v>
      </c>
      <c r="L2675" s="705">
        <v>14490</v>
      </c>
      <c r="M2675" s="705">
        <v>7138</v>
      </c>
      <c r="N2675" s="705">
        <v>8300</v>
      </c>
      <c r="O2675" s="705">
        <v>3074</v>
      </c>
      <c r="P2675" s="705">
        <v>945</v>
      </c>
      <c r="Q2675" s="705">
        <v>350</v>
      </c>
      <c r="R2675" s="705">
        <v>13959</v>
      </c>
      <c r="S2675" s="705">
        <v>5170</v>
      </c>
      <c r="T2675" s="705">
        <v>0</v>
      </c>
      <c r="U2675" s="705">
        <v>0</v>
      </c>
      <c r="V2675" s="705">
        <v>69885</v>
      </c>
      <c r="W2675" s="705">
        <f t="shared" si="108"/>
        <v>69885</v>
      </c>
      <c r="X2675" s="705">
        <f t="shared" si="109"/>
        <v>97262</v>
      </c>
    </row>
    <row r="2676" spans="2:24">
      <c r="B2676" t="s">
        <v>554</v>
      </c>
      <c r="C2676" t="s">
        <v>116</v>
      </c>
      <c r="D2676" t="s">
        <v>228</v>
      </c>
      <c r="E2676" t="s">
        <v>228</v>
      </c>
      <c r="F2676" s="705">
        <v>19</v>
      </c>
      <c r="G2676" s="705">
        <v>2814</v>
      </c>
      <c r="H2676" s="705">
        <v>3741</v>
      </c>
      <c r="I2676" s="705">
        <v>283818</v>
      </c>
      <c r="J2676" s="705">
        <v>105118</v>
      </c>
      <c r="K2676" s="705">
        <v>158</v>
      </c>
      <c r="L2676" s="705">
        <v>69832</v>
      </c>
      <c r="M2676" s="705">
        <v>54649</v>
      </c>
      <c r="N2676" s="705">
        <v>60493</v>
      </c>
      <c r="O2676" s="705">
        <v>22405</v>
      </c>
      <c r="P2676" s="705">
        <v>3699</v>
      </c>
      <c r="Q2676" s="705">
        <v>1370</v>
      </c>
      <c r="R2676" s="705">
        <v>160698</v>
      </c>
      <c r="S2676" s="705">
        <v>59518</v>
      </c>
      <c r="T2676" s="705">
        <v>0</v>
      </c>
      <c r="U2676" s="705">
        <v>0</v>
      </c>
      <c r="V2676" s="705">
        <v>243059</v>
      </c>
      <c r="W2676" s="705">
        <f t="shared" si="108"/>
        <v>243060</v>
      </c>
      <c r="X2676" s="705">
        <f t="shared" si="109"/>
        <v>578540</v>
      </c>
    </row>
    <row r="2677" spans="2:24">
      <c r="B2677" t="s">
        <v>554</v>
      </c>
      <c r="C2677" t="s">
        <v>116</v>
      </c>
      <c r="D2677" t="s">
        <v>583</v>
      </c>
      <c r="E2677" t="s">
        <v>674</v>
      </c>
      <c r="F2677" s="705">
        <v>1</v>
      </c>
      <c r="G2677" s="705">
        <v>145</v>
      </c>
      <c r="H2677" s="705">
        <v>175</v>
      </c>
      <c r="I2677" s="705">
        <v>11000</v>
      </c>
      <c r="J2677" s="705">
        <v>10000</v>
      </c>
      <c r="K2677" s="705">
        <v>95</v>
      </c>
      <c r="L2677" s="705">
        <v>5512</v>
      </c>
      <c r="M2677" s="705">
        <v>5011</v>
      </c>
      <c r="N2677" s="705">
        <v>3146</v>
      </c>
      <c r="O2677" s="705">
        <v>1165</v>
      </c>
      <c r="P2677" s="705">
        <v>972</v>
      </c>
      <c r="Q2677" s="705">
        <v>360</v>
      </c>
      <c r="R2677" s="705">
        <v>4739</v>
      </c>
      <c r="S2677" s="705">
        <v>4308</v>
      </c>
      <c r="T2677" s="705">
        <v>0</v>
      </c>
      <c r="U2677" s="705">
        <v>0</v>
      </c>
      <c r="V2677" s="705">
        <v>20845</v>
      </c>
      <c r="W2677" s="705">
        <f t="shared" si="108"/>
        <v>20844</v>
      </c>
      <c r="X2677" s="705">
        <f t="shared" si="109"/>
        <v>25369</v>
      </c>
    </row>
    <row r="2678" spans="2:24">
      <c r="B2678" t="s">
        <v>554</v>
      </c>
      <c r="C2678" t="s">
        <v>116</v>
      </c>
      <c r="D2678" t="s">
        <v>583</v>
      </c>
      <c r="E2678" t="s">
        <v>664</v>
      </c>
      <c r="F2678" s="705">
        <v>1</v>
      </c>
      <c r="G2678" s="705">
        <v>123</v>
      </c>
      <c r="H2678" s="705">
        <v>218</v>
      </c>
      <c r="I2678" s="705">
        <v>15059</v>
      </c>
      <c r="J2678" s="705">
        <v>13690</v>
      </c>
      <c r="K2678" s="705">
        <v>79</v>
      </c>
      <c r="L2678" s="705">
        <v>2282</v>
      </c>
      <c r="M2678" s="705">
        <v>2074</v>
      </c>
      <c r="N2678" s="705">
        <v>2695</v>
      </c>
      <c r="O2678" s="705">
        <v>998</v>
      </c>
      <c r="P2678" s="705">
        <v>621</v>
      </c>
      <c r="Q2678" s="705">
        <v>230</v>
      </c>
      <c r="R2678" s="705">
        <v>6173</v>
      </c>
      <c r="S2678" s="705">
        <v>5611</v>
      </c>
      <c r="T2678" s="705">
        <v>0</v>
      </c>
      <c r="U2678" s="705">
        <v>0</v>
      </c>
      <c r="V2678" s="705">
        <v>22604</v>
      </c>
      <c r="W2678" s="705">
        <f t="shared" si="108"/>
        <v>22603</v>
      </c>
      <c r="X2678" s="705">
        <f t="shared" si="109"/>
        <v>26830</v>
      </c>
    </row>
    <row r="2679" spans="2:24">
      <c r="B2679" t="s">
        <v>554</v>
      </c>
      <c r="C2679" t="s">
        <v>116</v>
      </c>
      <c r="D2679" t="s">
        <v>583</v>
      </c>
      <c r="E2679" t="s">
        <v>228</v>
      </c>
      <c r="F2679" s="705">
        <v>5</v>
      </c>
      <c r="G2679" s="705">
        <v>824</v>
      </c>
      <c r="H2679" s="705">
        <v>916</v>
      </c>
      <c r="I2679" s="705">
        <v>73760</v>
      </c>
      <c r="J2679" s="705">
        <v>67055</v>
      </c>
      <c r="K2679" s="705">
        <v>85</v>
      </c>
      <c r="L2679" s="705">
        <v>17881</v>
      </c>
      <c r="M2679" s="705">
        <v>16256</v>
      </c>
      <c r="N2679" s="705">
        <v>15791</v>
      </c>
      <c r="O2679" s="705">
        <v>5849</v>
      </c>
      <c r="P2679" s="705">
        <v>3105</v>
      </c>
      <c r="Q2679" s="705">
        <v>1150</v>
      </c>
      <c r="R2679" s="705">
        <v>32075</v>
      </c>
      <c r="S2679" s="705">
        <v>11880</v>
      </c>
      <c r="T2679" s="705">
        <v>1963</v>
      </c>
      <c r="U2679" s="705">
        <v>727</v>
      </c>
      <c r="V2679" s="705">
        <v>102916</v>
      </c>
      <c r="W2679" s="705">
        <f t="shared" si="108"/>
        <v>102917</v>
      </c>
      <c r="X2679" s="705">
        <f t="shared" si="109"/>
        <v>144575</v>
      </c>
    </row>
    <row r="2680" spans="2:24">
      <c r="B2680" t="s">
        <v>554</v>
      </c>
      <c r="C2680" t="s">
        <v>116</v>
      </c>
      <c r="D2680" t="s">
        <v>583</v>
      </c>
      <c r="E2680" t="s">
        <v>583</v>
      </c>
      <c r="F2680" s="705">
        <v>1618</v>
      </c>
      <c r="G2680" s="705">
        <v>254270</v>
      </c>
      <c r="H2680" s="705">
        <v>308815</v>
      </c>
      <c r="I2680" s="705">
        <v>28021583</v>
      </c>
      <c r="J2680" s="705">
        <v>25474167</v>
      </c>
      <c r="K2680" s="705">
        <v>86</v>
      </c>
      <c r="L2680" s="705">
        <v>6110814</v>
      </c>
      <c r="M2680" s="705">
        <v>5441098</v>
      </c>
      <c r="N2680" s="705">
        <v>5441424</v>
      </c>
      <c r="O2680" s="705">
        <v>2015342</v>
      </c>
      <c r="P2680" s="705">
        <v>1087500</v>
      </c>
      <c r="Q2680" s="705">
        <v>402778</v>
      </c>
      <c r="R2680" s="705">
        <v>8457100</v>
      </c>
      <c r="S2680" s="705">
        <v>7688273</v>
      </c>
      <c r="T2680" s="705">
        <v>1933832</v>
      </c>
      <c r="U2680" s="705">
        <v>716234</v>
      </c>
      <c r="V2680" s="705">
        <v>41737891</v>
      </c>
      <c r="W2680" s="705">
        <f t="shared" si="108"/>
        <v>41737892</v>
      </c>
      <c r="X2680" s="705">
        <f t="shared" si="109"/>
        <v>51052253</v>
      </c>
    </row>
    <row r="2681" spans="2:24">
      <c r="B2681" t="s">
        <v>554</v>
      </c>
      <c r="C2681" t="s">
        <v>116</v>
      </c>
      <c r="D2681" t="s">
        <v>583</v>
      </c>
      <c r="E2681" t="s">
        <v>666</v>
      </c>
      <c r="F2681" s="705">
        <v>1</v>
      </c>
      <c r="G2681" s="705">
        <v>169</v>
      </c>
      <c r="H2681" s="705">
        <v>168</v>
      </c>
      <c r="I2681" s="705">
        <v>16200</v>
      </c>
      <c r="J2681" s="705">
        <v>14727</v>
      </c>
      <c r="K2681" s="705">
        <v>86</v>
      </c>
      <c r="L2681" s="705">
        <v>1928</v>
      </c>
      <c r="M2681" s="705">
        <v>1753</v>
      </c>
      <c r="N2681" s="705">
        <v>4084</v>
      </c>
      <c r="O2681" s="705">
        <v>1512</v>
      </c>
      <c r="P2681" s="705">
        <v>621</v>
      </c>
      <c r="Q2681" s="705">
        <v>230</v>
      </c>
      <c r="R2681" s="705">
        <v>5579</v>
      </c>
      <c r="S2681" s="705">
        <v>5071</v>
      </c>
      <c r="T2681" s="705">
        <v>0</v>
      </c>
      <c r="U2681" s="705">
        <v>0</v>
      </c>
      <c r="V2681" s="705">
        <v>23294</v>
      </c>
      <c r="W2681" s="705">
        <f t="shared" si="108"/>
        <v>23293</v>
      </c>
      <c r="X2681" s="705">
        <f t="shared" si="109"/>
        <v>28412</v>
      </c>
    </row>
    <row r="2682" spans="2:24">
      <c r="B2682" t="s">
        <v>554</v>
      </c>
      <c r="C2682" t="s">
        <v>116</v>
      </c>
      <c r="D2682" t="s">
        <v>666</v>
      </c>
      <c r="E2682" t="s">
        <v>583</v>
      </c>
      <c r="F2682" s="705">
        <v>1</v>
      </c>
      <c r="G2682" s="705">
        <v>136</v>
      </c>
      <c r="H2682" s="705">
        <v>193</v>
      </c>
      <c r="I2682" s="705">
        <v>24664</v>
      </c>
      <c r="J2682" s="705">
        <v>22422</v>
      </c>
      <c r="K2682" s="705">
        <v>95</v>
      </c>
      <c r="L2682" s="705">
        <v>4734</v>
      </c>
      <c r="M2682" s="705">
        <v>3945</v>
      </c>
      <c r="N2682" s="705">
        <v>2335</v>
      </c>
      <c r="O2682" s="705">
        <v>865</v>
      </c>
      <c r="P2682" s="705">
        <v>621</v>
      </c>
      <c r="Q2682" s="705">
        <v>230</v>
      </c>
      <c r="R2682" s="705">
        <v>3831</v>
      </c>
      <c r="S2682" s="705">
        <v>3483</v>
      </c>
      <c r="T2682" s="705">
        <v>0</v>
      </c>
      <c r="U2682" s="705">
        <v>0</v>
      </c>
      <c r="V2682" s="705">
        <v>30944</v>
      </c>
      <c r="W2682" s="705">
        <f t="shared" si="108"/>
        <v>30945</v>
      </c>
      <c r="X2682" s="705">
        <f t="shared" si="109"/>
        <v>36185</v>
      </c>
    </row>
    <row r="2683" spans="2:24">
      <c r="B2683" t="s">
        <v>554</v>
      </c>
      <c r="C2683" t="s">
        <v>116</v>
      </c>
      <c r="D2683" t="s">
        <v>666</v>
      </c>
      <c r="E2683" t="s">
        <v>666</v>
      </c>
      <c r="F2683" s="705">
        <v>3</v>
      </c>
      <c r="G2683" s="705">
        <v>656</v>
      </c>
      <c r="H2683" s="705">
        <v>556</v>
      </c>
      <c r="I2683" s="705">
        <v>74775</v>
      </c>
      <c r="J2683" s="705">
        <v>67978</v>
      </c>
      <c r="K2683" s="705">
        <v>66</v>
      </c>
      <c r="L2683" s="705">
        <v>12399</v>
      </c>
      <c r="M2683" s="705">
        <v>11272</v>
      </c>
      <c r="N2683" s="705">
        <v>11070</v>
      </c>
      <c r="O2683" s="705">
        <v>4100</v>
      </c>
      <c r="P2683" s="705">
        <v>1323</v>
      </c>
      <c r="Q2683" s="705">
        <v>490</v>
      </c>
      <c r="R2683" s="705">
        <v>19921</v>
      </c>
      <c r="S2683" s="705">
        <v>18110</v>
      </c>
      <c r="T2683" s="705">
        <v>2567</v>
      </c>
      <c r="U2683" s="705">
        <v>951</v>
      </c>
      <c r="V2683" s="705">
        <v>102900</v>
      </c>
      <c r="W2683" s="705">
        <f t="shared" si="108"/>
        <v>102901</v>
      </c>
      <c r="X2683" s="705">
        <f t="shared" si="109"/>
        <v>122055</v>
      </c>
    </row>
    <row r="2684" spans="2:24">
      <c r="B2684" t="s">
        <v>554</v>
      </c>
      <c r="C2684" t="s">
        <v>116</v>
      </c>
      <c r="D2684" t="s">
        <v>584</v>
      </c>
      <c r="E2684" t="s">
        <v>584</v>
      </c>
      <c r="F2684" s="705">
        <v>11</v>
      </c>
      <c r="G2684" s="705">
        <v>1600</v>
      </c>
      <c r="H2684" s="705">
        <v>2107</v>
      </c>
      <c r="I2684" s="705">
        <v>149470</v>
      </c>
      <c r="J2684" s="705">
        <v>135882</v>
      </c>
      <c r="K2684" s="705">
        <v>89</v>
      </c>
      <c r="L2684" s="705">
        <v>48096</v>
      </c>
      <c r="M2684" s="705">
        <v>38620</v>
      </c>
      <c r="N2684" s="705">
        <v>33810</v>
      </c>
      <c r="O2684" s="705">
        <v>12522</v>
      </c>
      <c r="P2684" s="705">
        <v>5198</v>
      </c>
      <c r="Q2684" s="705">
        <v>1925</v>
      </c>
      <c r="R2684" s="705">
        <v>54844</v>
      </c>
      <c r="S2684" s="705">
        <v>49858</v>
      </c>
      <c r="T2684" s="705">
        <v>12170</v>
      </c>
      <c r="U2684" s="705">
        <v>4507</v>
      </c>
      <c r="V2684" s="705">
        <v>243315</v>
      </c>
      <c r="W2684" s="705">
        <f t="shared" si="108"/>
        <v>243314</v>
      </c>
      <c r="X2684" s="705">
        <f t="shared" si="109"/>
        <v>303588</v>
      </c>
    </row>
    <row r="2685" spans="2:24">
      <c r="B2685" t="s">
        <v>554</v>
      </c>
      <c r="C2685" t="s">
        <v>116</v>
      </c>
      <c r="D2685" t="s">
        <v>665</v>
      </c>
      <c r="E2685" t="s">
        <v>665</v>
      </c>
      <c r="F2685" s="705">
        <v>10</v>
      </c>
      <c r="G2685" s="705">
        <v>1915</v>
      </c>
      <c r="H2685" s="705">
        <v>2076</v>
      </c>
      <c r="I2685" s="705">
        <v>297511</v>
      </c>
      <c r="J2685" s="705">
        <v>270464</v>
      </c>
      <c r="K2685" s="705">
        <v>65</v>
      </c>
      <c r="L2685" s="705">
        <v>25971</v>
      </c>
      <c r="M2685" s="705">
        <v>23610</v>
      </c>
      <c r="N2685" s="705">
        <v>40711</v>
      </c>
      <c r="O2685" s="705">
        <v>15078</v>
      </c>
      <c r="P2685" s="705">
        <v>8046</v>
      </c>
      <c r="Q2685" s="705">
        <v>2980</v>
      </c>
      <c r="R2685" s="705">
        <v>68701</v>
      </c>
      <c r="S2685" s="705">
        <v>62456</v>
      </c>
      <c r="T2685" s="705">
        <v>24508</v>
      </c>
      <c r="U2685" s="705">
        <v>9077</v>
      </c>
      <c r="V2685" s="705">
        <v>383664</v>
      </c>
      <c r="W2685" s="705">
        <f t="shared" si="108"/>
        <v>383665</v>
      </c>
      <c r="X2685" s="705">
        <f t="shared" si="109"/>
        <v>465448</v>
      </c>
    </row>
    <row r="2686" spans="2:24">
      <c r="B2686" t="s">
        <v>554</v>
      </c>
      <c r="C2686" t="s">
        <v>116</v>
      </c>
      <c r="D2686" t="s">
        <v>585</v>
      </c>
      <c r="E2686" t="s">
        <v>585</v>
      </c>
      <c r="F2686" s="705">
        <v>4</v>
      </c>
      <c r="G2686" s="705">
        <v>747</v>
      </c>
      <c r="H2686" s="705">
        <v>778</v>
      </c>
      <c r="I2686" s="705">
        <v>92535</v>
      </c>
      <c r="J2686" s="705">
        <v>84123</v>
      </c>
      <c r="K2686" s="705">
        <v>72</v>
      </c>
      <c r="L2686" s="705">
        <v>13759</v>
      </c>
      <c r="M2686" s="705">
        <v>12508</v>
      </c>
      <c r="N2686" s="705">
        <v>16609</v>
      </c>
      <c r="O2686" s="705">
        <v>6152</v>
      </c>
      <c r="P2686" s="705">
        <v>1944</v>
      </c>
      <c r="Q2686" s="705">
        <v>720</v>
      </c>
      <c r="R2686" s="705">
        <v>30297</v>
      </c>
      <c r="S2686" s="705">
        <v>27543</v>
      </c>
      <c r="T2686" s="705">
        <v>0</v>
      </c>
      <c r="U2686" s="705">
        <v>0</v>
      </c>
      <c r="V2686" s="705">
        <v>131045</v>
      </c>
      <c r="W2686" s="705">
        <f t="shared" si="108"/>
        <v>131046</v>
      </c>
      <c r="X2686" s="705">
        <f t="shared" si="109"/>
        <v>155144</v>
      </c>
    </row>
    <row r="2687" spans="2:24">
      <c r="B2687" t="s">
        <v>554</v>
      </c>
      <c r="C2687" t="s">
        <v>116</v>
      </c>
      <c r="D2687" t="s">
        <v>585</v>
      </c>
      <c r="E2687" t="s">
        <v>668</v>
      </c>
      <c r="F2687" s="705">
        <v>1</v>
      </c>
      <c r="G2687" s="705">
        <v>99</v>
      </c>
      <c r="H2687" s="705">
        <v>157</v>
      </c>
      <c r="I2687" s="705">
        <v>7757</v>
      </c>
      <c r="J2687" s="705">
        <v>7052</v>
      </c>
      <c r="K2687" s="705">
        <v>65</v>
      </c>
      <c r="L2687" s="705">
        <v>0</v>
      </c>
      <c r="M2687" s="705">
        <v>0</v>
      </c>
      <c r="N2687" s="705">
        <v>1565</v>
      </c>
      <c r="O2687" s="705">
        <v>580</v>
      </c>
      <c r="P2687" s="705">
        <v>702</v>
      </c>
      <c r="Q2687" s="705">
        <v>260</v>
      </c>
      <c r="R2687" s="705">
        <v>5446</v>
      </c>
      <c r="S2687" s="705">
        <v>4951</v>
      </c>
      <c r="T2687" s="705">
        <v>0</v>
      </c>
      <c r="U2687" s="705">
        <v>0</v>
      </c>
      <c r="V2687" s="705">
        <v>12842</v>
      </c>
      <c r="W2687" s="705">
        <f t="shared" si="108"/>
        <v>12843</v>
      </c>
      <c r="X2687" s="705">
        <f t="shared" si="109"/>
        <v>15470</v>
      </c>
    </row>
    <row r="2688" spans="2:24">
      <c r="B2688" t="s">
        <v>554</v>
      </c>
      <c r="C2688" t="s">
        <v>118</v>
      </c>
      <c r="F2688" s="705">
        <v>1</v>
      </c>
      <c r="G2688" s="705">
        <v>165</v>
      </c>
      <c r="H2688" s="705">
        <v>228</v>
      </c>
      <c r="I2688" s="705"/>
      <c r="J2688" s="705">
        <v>0</v>
      </c>
      <c r="K2688" s="705"/>
      <c r="L2688" s="705"/>
      <c r="M2688" s="705">
        <v>0</v>
      </c>
      <c r="N2688" s="705">
        <v>3913</v>
      </c>
      <c r="O2688" s="705">
        <v>1449</v>
      </c>
      <c r="P2688" s="705">
        <v>891</v>
      </c>
      <c r="Q2688" s="705">
        <v>330</v>
      </c>
      <c r="R2688" s="705"/>
      <c r="S2688" s="705">
        <v>0</v>
      </c>
      <c r="T2688" s="705">
        <v>3355</v>
      </c>
      <c r="U2688" s="705">
        <v>1243</v>
      </c>
      <c r="V2688" s="705">
        <v>3022</v>
      </c>
      <c r="W2688" s="705">
        <f t="shared" si="108"/>
        <v>3022</v>
      </c>
      <c r="X2688" s="705">
        <f t="shared" si="109"/>
        <v>8159</v>
      </c>
    </row>
    <row r="2689" spans="2:24">
      <c r="B2689" t="s">
        <v>554</v>
      </c>
      <c r="C2689" t="s">
        <v>118</v>
      </c>
      <c r="D2689" t="s">
        <v>664</v>
      </c>
      <c r="E2689" t="s">
        <v>664</v>
      </c>
      <c r="F2689" s="705">
        <v>1</v>
      </c>
      <c r="G2689" s="705">
        <v>148</v>
      </c>
      <c r="H2689" s="705">
        <v>291</v>
      </c>
      <c r="I2689" s="705">
        <v>27148</v>
      </c>
      <c r="J2689" s="705">
        <v>24680</v>
      </c>
      <c r="K2689" s="705">
        <v>81</v>
      </c>
      <c r="L2689" s="705">
        <v>8104</v>
      </c>
      <c r="M2689" s="705">
        <v>7368</v>
      </c>
      <c r="N2689" s="705">
        <v>3487</v>
      </c>
      <c r="O2689" s="705">
        <v>1291</v>
      </c>
      <c r="P2689" s="705">
        <v>473</v>
      </c>
      <c r="Q2689" s="705">
        <v>175</v>
      </c>
      <c r="R2689" s="705">
        <v>3914</v>
      </c>
      <c r="S2689" s="705">
        <v>3558</v>
      </c>
      <c r="T2689" s="705">
        <v>0</v>
      </c>
      <c r="U2689" s="705">
        <v>0</v>
      </c>
      <c r="V2689" s="705">
        <v>37073</v>
      </c>
      <c r="W2689" s="705">
        <f t="shared" si="108"/>
        <v>37072</v>
      </c>
      <c r="X2689" s="705">
        <f t="shared" si="109"/>
        <v>43126</v>
      </c>
    </row>
    <row r="2690" spans="2:24">
      <c r="B2690" t="s">
        <v>554</v>
      </c>
      <c r="C2690" t="s">
        <v>118</v>
      </c>
      <c r="D2690" t="s">
        <v>664</v>
      </c>
      <c r="E2690" t="s">
        <v>583</v>
      </c>
      <c r="F2690" s="705">
        <v>1</v>
      </c>
      <c r="G2690" s="705">
        <v>103</v>
      </c>
      <c r="H2690" s="705">
        <v>277</v>
      </c>
      <c r="I2690" s="705">
        <v>14438</v>
      </c>
      <c r="J2690" s="705">
        <v>13125</v>
      </c>
      <c r="K2690" s="705">
        <v>92</v>
      </c>
      <c r="L2690" s="705">
        <v>5379</v>
      </c>
      <c r="M2690" s="705">
        <v>4482</v>
      </c>
      <c r="N2690" s="705">
        <v>1594</v>
      </c>
      <c r="O2690" s="705">
        <v>590</v>
      </c>
      <c r="P2690" s="705">
        <v>621</v>
      </c>
      <c r="Q2690" s="705">
        <v>230</v>
      </c>
      <c r="R2690" s="705">
        <v>3587</v>
      </c>
      <c r="S2690" s="705">
        <v>3261</v>
      </c>
      <c r="T2690" s="705">
        <v>2911</v>
      </c>
      <c r="U2690" s="705">
        <v>1078</v>
      </c>
      <c r="V2690" s="705">
        <v>22767</v>
      </c>
      <c r="W2690" s="705">
        <f t="shared" si="108"/>
        <v>22766</v>
      </c>
      <c r="X2690" s="705">
        <f t="shared" si="109"/>
        <v>28530</v>
      </c>
    </row>
    <row r="2691" spans="2:24">
      <c r="B2691" t="s">
        <v>554</v>
      </c>
      <c r="C2691" t="s">
        <v>118</v>
      </c>
      <c r="D2691" t="s">
        <v>582</v>
      </c>
      <c r="E2691" t="s">
        <v>582</v>
      </c>
      <c r="F2691" s="705">
        <v>23</v>
      </c>
      <c r="G2691" s="705">
        <v>3075</v>
      </c>
      <c r="H2691" s="705">
        <v>5929</v>
      </c>
      <c r="I2691" s="705">
        <v>454656</v>
      </c>
      <c r="J2691" s="705">
        <v>413324</v>
      </c>
      <c r="K2691" s="705">
        <v>81</v>
      </c>
      <c r="L2691" s="705">
        <v>123860</v>
      </c>
      <c r="M2691" s="705">
        <v>102270</v>
      </c>
      <c r="N2691" s="705">
        <v>64375</v>
      </c>
      <c r="O2691" s="705">
        <v>23842</v>
      </c>
      <c r="P2691" s="705">
        <v>10611</v>
      </c>
      <c r="Q2691" s="705">
        <v>3930</v>
      </c>
      <c r="R2691" s="705">
        <v>107895</v>
      </c>
      <c r="S2691" s="705">
        <v>98087</v>
      </c>
      <c r="T2691" s="705">
        <v>25349</v>
      </c>
      <c r="U2691" s="705">
        <v>9388</v>
      </c>
      <c r="V2691" s="705">
        <v>650841</v>
      </c>
      <c r="W2691" s="705">
        <f t="shared" si="108"/>
        <v>650841</v>
      </c>
      <c r="X2691" s="705">
        <f t="shared" si="109"/>
        <v>786746</v>
      </c>
    </row>
    <row r="2692" spans="2:24">
      <c r="B2692" t="s">
        <v>554</v>
      </c>
      <c r="C2692" t="s">
        <v>118</v>
      </c>
      <c r="D2692" t="s">
        <v>582</v>
      </c>
      <c r="E2692" t="s">
        <v>583</v>
      </c>
      <c r="F2692" s="705">
        <v>2</v>
      </c>
      <c r="G2692" s="705">
        <v>396</v>
      </c>
      <c r="H2692" s="705">
        <v>535</v>
      </c>
      <c r="I2692" s="705">
        <v>65924</v>
      </c>
      <c r="J2692" s="705">
        <v>59931</v>
      </c>
      <c r="K2692" s="705">
        <v>89</v>
      </c>
      <c r="L2692" s="705">
        <v>13999</v>
      </c>
      <c r="M2692" s="705">
        <v>12726</v>
      </c>
      <c r="N2692" s="705">
        <v>8890</v>
      </c>
      <c r="O2692" s="705">
        <v>3293</v>
      </c>
      <c r="P2692" s="705">
        <v>1094</v>
      </c>
      <c r="Q2692" s="705">
        <v>405</v>
      </c>
      <c r="R2692" s="705">
        <v>9116</v>
      </c>
      <c r="S2692" s="705">
        <v>8288</v>
      </c>
      <c r="T2692" s="705">
        <v>7113</v>
      </c>
      <c r="U2692" s="705">
        <v>2634</v>
      </c>
      <c r="V2692" s="705">
        <v>87276</v>
      </c>
      <c r="W2692" s="705">
        <f t="shared" si="108"/>
        <v>87277</v>
      </c>
      <c r="X2692" s="705">
        <f t="shared" si="109"/>
        <v>106136</v>
      </c>
    </row>
    <row r="2693" spans="2:24">
      <c r="B2693" t="s">
        <v>554</v>
      </c>
      <c r="C2693" t="s">
        <v>118</v>
      </c>
      <c r="D2693" t="s">
        <v>228</v>
      </c>
      <c r="E2693" t="s">
        <v>228</v>
      </c>
      <c r="F2693" s="705">
        <v>37</v>
      </c>
      <c r="G2693" s="705">
        <v>4671</v>
      </c>
      <c r="H2693" s="705">
        <v>9793</v>
      </c>
      <c r="I2693" s="705">
        <v>789605</v>
      </c>
      <c r="J2693" s="705">
        <v>292446</v>
      </c>
      <c r="K2693" s="705">
        <v>100</v>
      </c>
      <c r="L2693" s="705">
        <v>123537</v>
      </c>
      <c r="M2693" s="705">
        <v>87843</v>
      </c>
      <c r="N2693" s="705">
        <v>112210</v>
      </c>
      <c r="O2693" s="705">
        <v>41559</v>
      </c>
      <c r="P2693" s="705">
        <v>1323</v>
      </c>
      <c r="Q2693" s="705">
        <v>490</v>
      </c>
      <c r="R2693" s="705">
        <v>310337</v>
      </c>
      <c r="S2693" s="705">
        <v>114940</v>
      </c>
      <c r="T2693" s="705">
        <v>2172</v>
      </c>
      <c r="U2693" s="705">
        <v>804</v>
      </c>
      <c r="V2693" s="705">
        <v>538082</v>
      </c>
      <c r="W2693" s="705">
        <f t="shared" si="108"/>
        <v>538082</v>
      </c>
      <c r="X2693" s="705">
        <f t="shared" si="109"/>
        <v>1339184</v>
      </c>
    </row>
    <row r="2694" spans="2:24">
      <c r="B2694" t="s">
        <v>554</v>
      </c>
      <c r="C2694" t="s">
        <v>118</v>
      </c>
      <c r="D2694" t="s">
        <v>583</v>
      </c>
      <c r="E2694" t="s">
        <v>674</v>
      </c>
      <c r="F2694" s="705">
        <v>1</v>
      </c>
      <c r="G2694" s="705">
        <v>128</v>
      </c>
      <c r="H2694" s="705">
        <v>254</v>
      </c>
      <c r="I2694" s="705">
        <v>19737</v>
      </c>
      <c r="J2694" s="705">
        <v>17943</v>
      </c>
      <c r="K2694" s="705">
        <v>65</v>
      </c>
      <c r="L2694" s="705">
        <v>2085</v>
      </c>
      <c r="M2694" s="705">
        <v>1895</v>
      </c>
      <c r="N2694" s="705">
        <v>2612</v>
      </c>
      <c r="O2694" s="705">
        <v>968</v>
      </c>
      <c r="P2694" s="705">
        <v>621</v>
      </c>
      <c r="Q2694" s="705">
        <v>230</v>
      </c>
      <c r="R2694" s="705">
        <v>7524</v>
      </c>
      <c r="S2694" s="705">
        <v>6840</v>
      </c>
      <c r="T2694" s="705">
        <v>0</v>
      </c>
      <c r="U2694" s="705">
        <v>0</v>
      </c>
      <c r="V2694" s="705">
        <v>27876</v>
      </c>
      <c r="W2694" s="705">
        <f t="shared" si="108"/>
        <v>27876</v>
      </c>
      <c r="X2694" s="705">
        <f t="shared" si="109"/>
        <v>32579</v>
      </c>
    </row>
    <row r="2695" spans="2:24">
      <c r="B2695" t="s">
        <v>554</v>
      </c>
      <c r="C2695" t="s">
        <v>118</v>
      </c>
      <c r="D2695" t="s">
        <v>583</v>
      </c>
      <c r="E2695" t="s">
        <v>228</v>
      </c>
      <c r="F2695" s="705">
        <v>4</v>
      </c>
      <c r="G2695" s="705">
        <v>518</v>
      </c>
      <c r="H2695" s="705">
        <v>1054</v>
      </c>
      <c r="I2695" s="705">
        <v>95980</v>
      </c>
      <c r="J2695" s="705">
        <v>87255</v>
      </c>
      <c r="K2695" s="705">
        <v>80</v>
      </c>
      <c r="L2695" s="705">
        <v>14105</v>
      </c>
      <c r="M2695" s="705">
        <v>12823</v>
      </c>
      <c r="N2695" s="705">
        <v>11663</v>
      </c>
      <c r="O2695" s="705">
        <v>4320</v>
      </c>
      <c r="P2695" s="705">
        <v>2484</v>
      </c>
      <c r="Q2695" s="705">
        <v>920</v>
      </c>
      <c r="R2695" s="705">
        <v>30077</v>
      </c>
      <c r="S2695" s="705">
        <v>11140</v>
      </c>
      <c r="T2695" s="705">
        <v>0</v>
      </c>
      <c r="U2695" s="705">
        <v>0</v>
      </c>
      <c r="V2695" s="705">
        <v>116457</v>
      </c>
      <c r="W2695" s="705">
        <f t="shared" si="108"/>
        <v>116458</v>
      </c>
      <c r="X2695" s="705">
        <f t="shared" si="109"/>
        <v>154309</v>
      </c>
    </row>
    <row r="2696" spans="2:24">
      <c r="B2696" t="s">
        <v>554</v>
      </c>
      <c r="C2696" t="s">
        <v>118</v>
      </c>
      <c r="D2696" t="s">
        <v>583</v>
      </c>
      <c r="E2696" t="s">
        <v>583</v>
      </c>
      <c r="F2696" s="705">
        <v>1123</v>
      </c>
      <c r="G2696" s="705">
        <v>142302</v>
      </c>
      <c r="H2696" s="705">
        <v>293022</v>
      </c>
      <c r="I2696" s="705">
        <v>21982724</v>
      </c>
      <c r="J2696" s="705">
        <v>19984294</v>
      </c>
      <c r="K2696" s="705">
        <v>80</v>
      </c>
      <c r="L2696" s="705">
        <v>4649003</v>
      </c>
      <c r="M2696" s="705">
        <v>4108826</v>
      </c>
      <c r="N2696" s="705">
        <v>3020080</v>
      </c>
      <c r="O2696" s="705">
        <v>1118548</v>
      </c>
      <c r="P2696" s="705">
        <v>736519</v>
      </c>
      <c r="Q2696" s="705">
        <v>272785</v>
      </c>
      <c r="R2696" s="705">
        <v>5655727</v>
      </c>
      <c r="S2696" s="705">
        <v>5141570</v>
      </c>
      <c r="T2696" s="705">
        <v>2021749</v>
      </c>
      <c r="U2696" s="705">
        <v>748796</v>
      </c>
      <c r="V2696" s="705">
        <v>31374819</v>
      </c>
      <c r="W2696" s="705">
        <f t="shared" si="108"/>
        <v>31374819</v>
      </c>
      <c r="X2696" s="705">
        <f t="shared" si="109"/>
        <v>38065802</v>
      </c>
    </row>
    <row r="2697" spans="2:24">
      <c r="B2697" t="s">
        <v>554</v>
      </c>
      <c r="C2697" t="s">
        <v>118</v>
      </c>
      <c r="D2697" t="s">
        <v>583</v>
      </c>
      <c r="E2697" t="s">
        <v>665</v>
      </c>
      <c r="F2697" s="705">
        <v>2</v>
      </c>
      <c r="G2697" s="705">
        <v>329</v>
      </c>
      <c r="H2697" s="705">
        <v>541</v>
      </c>
      <c r="I2697" s="705">
        <v>46313</v>
      </c>
      <c r="J2697" s="705">
        <v>42103</v>
      </c>
      <c r="K2697" s="705">
        <v>78</v>
      </c>
      <c r="L2697" s="705">
        <v>23610</v>
      </c>
      <c r="M2697" s="705">
        <v>11567</v>
      </c>
      <c r="N2697" s="705">
        <v>6790</v>
      </c>
      <c r="O2697" s="705">
        <v>2515</v>
      </c>
      <c r="P2697" s="705">
        <v>1242</v>
      </c>
      <c r="Q2697" s="705">
        <v>460</v>
      </c>
      <c r="R2697" s="705">
        <v>8079</v>
      </c>
      <c r="S2697" s="705">
        <v>7344</v>
      </c>
      <c r="T2697" s="705">
        <v>2871</v>
      </c>
      <c r="U2697" s="705">
        <v>1063</v>
      </c>
      <c r="V2697" s="705">
        <v>65052</v>
      </c>
      <c r="W2697" s="705">
        <f t="shared" si="108"/>
        <v>65052</v>
      </c>
      <c r="X2697" s="705">
        <f t="shared" si="109"/>
        <v>88905</v>
      </c>
    </row>
    <row r="2698" spans="2:24">
      <c r="B2698" t="s">
        <v>554</v>
      </c>
      <c r="C2698" t="s">
        <v>118</v>
      </c>
      <c r="D2698" t="s">
        <v>583</v>
      </c>
      <c r="E2698" t="s">
        <v>722</v>
      </c>
      <c r="F2698" s="705">
        <v>1</v>
      </c>
      <c r="G2698" s="705">
        <v>129</v>
      </c>
      <c r="H2698" s="705">
        <v>292</v>
      </c>
      <c r="I2698" s="705">
        <v>21909</v>
      </c>
      <c r="J2698" s="705">
        <v>19917</v>
      </c>
      <c r="K2698" s="705">
        <v>83</v>
      </c>
      <c r="L2698" s="705">
        <v>6394</v>
      </c>
      <c r="M2698" s="705">
        <v>5813</v>
      </c>
      <c r="N2698" s="705">
        <v>2714</v>
      </c>
      <c r="O2698" s="705">
        <v>1005</v>
      </c>
      <c r="P2698" s="705">
        <v>621</v>
      </c>
      <c r="Q2698" s="705">
        <v>230</v>
      </c>
      <c r="R2698" s="705">
        <v>3588</v>
      </c>
      <c r="S2698" s="705">
        <v>3262</v>
      </c>
      <c r="T2698" s="705">
        <v>2333</v>
      </c>
      <c r="U2698" s="705">
        <v>864</v>
      </c>
      <c r="V2698" s="705">
        <v>31091</v>
      </c>
      <c r="W2698" s="705">
        <f t="shared" si="108"/>
        <v>31091</v>
      </c>
      <c r="X2698" s="705">
        <f t="shared" si="109"/>
        <v>37559</v>
      </c>
    </row>
    <row r="2699" spans="2:24">
      <c r="B2699" t="s">
        <v>554</v>
      </c>
      <c r="C2699" t="s">
        <v>118</v>
      </c>
      <c r="D2699" t="s">
        <v>666</v>
      </c>
      <c r="E2699" t="s">
        <v>666</v>
      </c>
      <c r="F2699" s="705">
        <v>1</v>
      </c>
      <c r="G2699" s="705">
        <v>183</v>
      </c>
      <c r="H2699" s="705">
        <v>291</v>
      </c>
      <c r="I2699" s="705">
        <v>37599</v>
      </c>
      <c r="J2699" s="705">
        <v>34181</v>
      </c>
      <c r="K2699" s="705">
        <v>55</v>
      </c>
      <c r="L2699" s="705">
        <v>5640</v>
      </c>
      <c r="M2699" s="705">
        <v>2089</v>
      </c>
      <c r="N2699" s="705">
        <v>3493</v>
      </c>
      <c r="O2699" s="705">
        <v>1294</v>
      </c>
      <c r="P2699" s="705">
        <v>351</v>
      </c>
      <c r="Q2699" s="705">
        <v>130</v>
      </c>
      <c r="R2699" s="705">
        <v>4646</v>
      </c>
      <c r="S2699" s="705">
        <v>4224</v>
      </c>
      <c r="T2699" s="705">
        <v>1455</v>
      </c>
      <c r="U2699" s="705">
        <v>539</v>
      </c>
      <c r="V2699" s="705">
        <v>42456</v>
      </c>
      <c r="W2699" s="705">
        <f t="shared" si="108"/>
        <v>42457</v>
      </c>
      <c r="X2699" s="705">
        <f t="shared" si="109"/>
        <v>53184</v>
      </c>
    </row>
    <row r="2700" spans="2:24">
      <c r="B2700" t="s">
        <v>554</v>
      </c>
      <c r="C2700" t="s">
        <v>118</v>
      </c>
      <c r="D2700" t="s">
        <v>584</v>
      </c>
      <c r="E2700" t="s">
        <v>584</v>
      </c>
      <c r="F2700" s="705">
        <v>3</v>
      </c>
      <c r="G2700" s="705">
        <v>326</v>
      </c>
      <c r="H2700" s="705">
        <v>814</v>
      </c>
      <c r="I2700" s="705">
        <v>50118</v>
      </c>
      <c r="J2700" s="705">
        <v>45561</v>
      </c>
      <c r="K2700" s="705">
        <v>74</v>
      </c>
      <c r="L2700" s="705">
        <v>9939</v>
      </c>
      <c r="M2700" s="705">
        <v>9348</v>
      </c>
      <c r="N2700" s="705">
        <v>7164</v>
      </c>
      <c r="O2700" s="705">
        <v>2653</v>
      </c>
      <c r="P2700" s="705">
        <v>1418</v>
      </c>
      <c r="Q2700" s="705">
        <v>525</v>
      </c>
      <c r="R2700" s="705">
        <v>11469</v>
      </c>
      <c r="S2700" s="705">
        <v>10426</v>
      </c>
      <c r="T2700" s="705">
        <v>7953</v>
      </c>
      <c r="U2700" s="705">
        <v>2946</v>
      </c>
      <c r="V2700" s="705">
        <v>71460</v>
      </c>
      <c r="W2700" s="705">
        <f t="shared" si="108"/>
        <v>71459</v>
      </c>
      <c r="X2700" s="705">
        <f t="shared" si="109"/>
        <v>88061</v>
      </c>
    </row>
    <row r="2701" spans="2:24">
      <c r="B2701" t="s">
        <v>554</v>
      </c>
      <c r="C2701" t="s">
        <v>118</v>
      </c>
      <c r="D2701" t="s">
        <v>669</v>
      </c>
      <c r="E2701" t="s">
        <v>669</v>
      </c>
      <c r="F2701" s="705">
        <v>1</v>
      </c>
      <c r="G2701" s="705">
        <v>83</v>
      </c>
      <c r="H2701" s="705">
        <v>297</v>
      </c>
      <c r="I2701" s="705">
        <v>13013</v>
      </c>
      <c r="J2701" s="705">
        <v>10844</v>
      </c>
      <c r="K2701" s="705">
        <v>55</v>
      </c>
      <c r="L2701" s="705">
        <v>814</v>
      </c>
      <c r="M2701" s="705">
        <v>740</v>
      </c>
      <c r="N2701" s="705">
        <v>1779</v>
      </c>
      <c r="O2701" s="705">
        <v>659</v>
      </c>
      <c r="P2701" s="705">
        <v>621</v>
      </c>
      <c r="Q2701" s="705">
        <v>230</v>
      </c>
      <c r="R2701" s="705">
        <v>5906</v>
      </c>
      <c r="S2701" s="705">
        <v>4922</v>
      </c>
      <c r="T2701" s="705">
        <v>2333</v>
      </c>
      <c r="U2701" s="705">
        <v>864</v>
      </c>
      <c r="V2701" s="705">
        <v>18259</v>
      </c>
      <c r="W2701" s="705">
        <f t="shared" si="108"/>
        <v>18259</v>
      </c>
      <c r="X2701" s="705">
        <f t="shared" si="109"/>
        <v>24466</v>
      </c>
    </row>
    <row r="2702" spans="2:24">
      <c r="B2702" t="s">
        <v>554</v>
      </c>
      <c r="C2702" t="s">
        <v>118</v>
      </c>
      <c r="D2702" t="s">
        <v>671</v>
      </c>
      <c r="E2702" t="s">
        <v>671</v>
      </c>
      <c r="F2702" s="705">
        <v>2</v>
      </c>
      <c r="G2702" s="705">
        <v>295</v>
      </c>
      <c r="H2702" s="705">
        <v>580</v>
      </c>
      <c r="I2702" s="705">
        <v>67802</v>
      </c>
      <c r="J2702" s="705">
        <v>61638</v>
      </c>
      <c r="K2702" s="705">
        <v>58</v>
      </c>
      <c r="L2702" s="705">
        <v>5825</v>
      </c>
      <c r="M2702" s="705">
        <v>5296</v>
      </c>
      <c r="N2702" s="705">
        <v>8844</v>
      </c>
      <c r="O2702" s="705">
        <v>3276</v>
      </c>
      <c r="P2702" s="705">
        <v>1242</v>
      </c>
      <c r="Q2702" s="705">
        <v>460</v>
      </c>
      <c r="R2702" s="705">
        <v>20404</v>
      </c>
      <c r="S2702" s="705">
        <v>18549</v>
      </c>
      <c r="T2702" s="705">
        <v>4175</v>
      </c>
      <c r="U2702" s="705">
        <v>1546</v>
      </c>
      <c r="V2702" s="705">
        <v>90765</v>
      </c>
      <c r="W2702" s="705">
        <f t="shared" si="108"/>
        <v>90765</v>
      </c>
      <c r="X2702" s="705">
        <f t="shared" si="109"/>
        <v>108292</v>
      </c>
    </row>
    <row r="2703" spans="2:24">
      <c r="B2703" t="s">
        <v>554</v>
      </c>
      <c r="C2703" t="s">
        <v>118</v>
      </c>
      <c r="D2703" t="s">
        <v>665</v>
      </c>
      <c r="E2703" t="s">
        <v>228</v>
      </c>
      <c r="F2703" s="705">
        <v>1</v>
      </c>
      <c r="G2703" s="705">
        <v>149</v>
      </c>
      <c r="H2703" s="705">
        <v>273</v>
      </c>
      <c r="I2703" s="705">
        <v>46084</v>
      </c>
      <c r="J2703" s="705">
        <v>41895</v>
      </c>
      <c r="K2703" s="705">
        <v>45</v>
      </c>
      <c r="L2703" s="705">
        <v>3657</v>
      </c>
      <c r="M2703" s="705">
        <v>3325</v>
      </c>
      <c r="N2703" s="705">
        <v>3849</v>
      </c>
      <c r="O2703" s="705">
        <v>1426</v>
      </c>
      <c r="P2703" s="705">
        <v>351</v>
      </c>
      <c r="Q2703" s="705">
        <v>130</v>
      </c>
      <c r="R2703" s="705">
        <v>2720</v>
      </c>
      <c r="S2703" s="705">
        <v>1007</v>
      </c>
      <c r="T2703" s="705">
        <v>0</v>
      </c>
      <c r="U2703" s="705">
        <v>0</v>
      </c>
      <c r="V2703" s="705">
        <v>47783</v>
      </c>
      <c r="W2703" s="705">
        <f t="shared" si="108"/>
        <v>47783</v>
      </c>
      <c r="X2703" s="705">
        <f t="shared" si="109"/>
        <v>56661</v>
      </c>
    </row>
    <row r="2704" spans="2:24">
      <c r="B2704" t="s">
        <v>554</v>
      </c>
      <c r="C2704" t="s">
        <v>118</v>
      </c>
      <c r="D2704" t="s">
        <v>665</v>
      </c>
      <c r="E2704" t="s">
        <v>665</v>
      </c>
      <c r="F2704" s="705">
        <v>49</v>
      </c>
      <c r="G2704" s="705">
        <v>6687</v>
      </c>
      <c r="H2704" s="705">
        <v>13242</v>
      </c>
      <c r="I2704" s="705">
        <v>1229850</v>
      </c>
      <c r="J2704" s="705">
        <v>1118045</v>
      </c>
      <c r="K2704" s="705">
        <v>64</v>
      </c>
      <c r="L2704" s="705">
        <v>151645</v>
      </c>
      <c r="M2704" s="705">
        <v>133576</v>
      </c>
      <c r="N2704" s="705">
        <v>151646</v>
      </c>
      <c r="O2704" s="705">
        <v>56165</v>
      </c>
      <c r="P2704" s="705">
        <v>34668</v>
      </c>
      <c r="Q2704" s="705">
        <v>12840</v>
      </c>
      <c r="R2704" s="705">
        <v>281735</v>
      </c>
      <c r="S2704" s="705">
        <v>256123</v>
      </c>
      <c r="T2704" s="705">
        <v>133474</v>
      </c>
      <c r="U2704" s="705">
        <v>49435</v>
      </c>
      <c r="V2704" s="705">
        <v>1626184</v>
      </c>
      <c r="W2704" s="705">
        <f t="shared" si="108"/>
        <v>1626184</v>
      </c>
      <c r="X2704" s="705">
        <f t="shared" si="109"/>
        <v>1983018</v>
      </c>
    </row>
    <row r="2705" spans="2:24">
      <c r="B2705" t="s">
        <v>554</v>
      </c>
      <c r="C2705" t="s">
        <v>118</v>
      </c>
      <c r="D2705" t="s">
        <v>673</v>
      </c>
      <c r="E2705" t="s">
        <v>673</v>
      </c>
      <c r="F2705" s="705">
        <v>2</v>
      </c>
      <c r="G2705" s="705">
        <v>262</v>
      </c>
      <c r="H2705" s="705">
        <v>510</v>
      </c>
      <c r="I2705" s="705">
        <v>40721</v>
      </c>
      <c r="J2705" s="705">
        <v>37019</v>
      </c>
      <c r="K2705" s="705">
        <v>70</v>
      </c>
      <c r="L2705" s="705">
        <v>8508</v>
      </c>
      <c r="M2705" s="705">
        <v>5053</v>
      </c>
      <c r="N2705" s="705">
        <v>5585</v>
      </c>
      <c r="O2705" s="705">
        <v>2068</v>
      </c>
      <c r="P2705" s="705">
        <v>702</v>
      </c>
      <c r="Q2705" s="705">
        <v>260</v>
      </c>
      <c r="R2705" s="705">
        <v>7508</v>
      </c>
      <c r="S2705" s="705">
        <v>6825</v>
      </c>
      <c r="T2705" s="705">
        <v>5411</v>
      </c>
      <c r="U2705" s="705">
        <v>2004</v>
      </c>
      <c r="V2705" s="705">
        <v>53230</v>
      </c>
      <c r="W2705" s="705">
        <f t="shared" si="108"/>
        <v>53229</v>
      </c>
      <c r="X2705" s="705">
        <f t="shared" si="109"/>
        <v>68435</v>
      </c>
    </row>
    <row r="2706" spans="2:24">
      <c r="B2706" t="s">
        <v>554</v>
      </c>
      <c r="C2706" t="s">
        <v>118</v>
      </c>
      <c r="D2706" t="s">
        <v>585</v>
      </c>
      <c r="E2706" t="s">
        <v>585</v>
      </c>
      <c r="F2706" s="705">
        <v>1</v>
      </c>
      <c r="G2706" s="705">
        <v>122</v>
      </c>
      <c r="H2706" s="705">
        <v>271</v>
      </c>
      <c r="I2706" s="705">
        <v>19763</v>
      </c>
      <c r="J2706" s="705">
        <v>17967</v>
      </c>
      <c r="K2706" s="705">
        <v>65</v>
      </c>
      <c r="L2706" s="705">
        <v>2595</v>
      </c>
      <c r="M2706" s="705">
        <v>2359</v>
      </c>
      <c r="N2706" s="705">
        <v>2596</v>
      </c>
      <c r="O2706" s="705">
        <v>962</v>
      </c>
      <c r="P2706" s="705">
        <v>621</v>
      </c>
      <c r="Q2706" s="705">
        <v>230</v>
      </c>
      <c r="R2706" s="705">
        <v>4758</v>
      </c>
      <c r="S2706" s="705">
        <v>4326</v>
      </c>
      <c r="T2706" s="705">
        <v>2652</v>
      </c>
      <c r="U2706" s="705">
        <v>982</v>
      </c>
      <c r="V2706" s="705">
        <v>26825</v>
      </c>
      <c r="W2706" s="705">
        <f t="shared" si="108"/>
        <v>26826</v>
      </c>
      <c r="X2706" s="705">
        <f t="shared" si="109"/>
        <v>32985</v>
      </c>
    </row>
    <row r="2707" spans="2:24">
      <c r="B2707" t="s">
        <v>554</v>
      </c>
      <c r="C2707" t="s">
        <v>120</v>
      </c>
      <c r="F2707" s="705">
        <v>2</v>
      </c>
      <c r="G2707" s="705">
        <v>85</v>
      </c>
      <c r="H2707" s="705">
        <v>704</v>
      </c>
      <c r="I2707" s="705"/>
      <c r="J2707" s="705">
        <v>0</v>
      </c>
      <c r="K2707" s="705"/>
      <c r="L2707" s="705"/>
      <c r="M2707" s="705">
        <v>0</v>
      </c>
      <c r="N2707" s="705">
        <v>1583</v>
      </c>
      <c r="O2707" s="705">
        <v>586</v>
      </c>
      <c r="P2707" s="705">
        <v>0</v>
      </c>
      <c r="Q2707" s="705">
        <v>0</v>
      </c>
      <c r="R2707" s="705"/>
      <c r="S2707" s="705">
        <v>0</v>
      </c>
      <c r="T2707" s="705">
        <v>5406</v>
      </c>
      <c r="U2707" s="705">
        <v>2002</v>
      </c>
      <c r="V2707" s="705">
        <v>2589</v>
      </c>
      <c r="W2707" s="705">
        <f t="shared" si="108"/>
        <v>2588</v>
      </c>
      <c r="X2707" s="705">
        <f t="shared" si="109"/>
        <v>6989</v>
      </c>
    </row>
    <row r="2708" spans="2:24">
      <c r="B2708" t="s">
        <v>554</v>
      </c>
      <c r="C2708" t="s">
        <v>120</v>
      </c>
      <c r="D2708" t="s">
        <v>664</v>
      </c>
      <c r="E2708" t="s">
        <v>664</v>
      </c>
      <c r="F2708" s="705">
        <v>1</v>
      </c>
      <c r="G2708" s="705">
        <v>63</v>
      </c>
      <c r="H2708" s="705">
        <v>355</v>
      </c>
      <c r="I2708" s="705">
        <v>13704</v>
      </c>
      <c r="J2708" s="705">
        <v>12458</v>
      </c>
      <c r="K2708" s="705">
        <v>74</v>
      </c>
      <c r="L2708" s="705">
        <v>1743</v>
      </c>
      <c r="M2708" s="705">
        <v>1584</v>
      </c>
      <c r="N2708" s="705">
        <v>1329</v>
      </c>
      <c r="O2708" s="705">
        <v>492</v>
      </c>
      <c r="P2708" s="705">
        <v>351</v>
      </c>
      <c r="Q2708" s="705">
        <v>130</v>
      </c>
      <c r="R2708" s="705">
        <v>5233</v>
      </c>
      <c r="S2708" s="705">
        <v>4757</v>
      </c>
      <c r="T2708" s="705">
        <v>0</v>
      </c>
      <c r="U2708" s="705">
        <v>0</v>
      </c>
      <c r="V2708" s="705">
        <v>19421</v>
      </c>
      <c r="W2708" s="705">
        <f t="shared" si="108"/>
        <v>19421</v>
      </c>
      <c r="X2708" s="705">
        <f t="shared" si="109"/>
        <v>22360</v>
      </c>
    </row>
    <row r="2709" spans="2:24">
      <c r="B2709" t="s">
        <v>554</v>
      </c>
      <c r="C2709" t="s">
        <v>120</v>
      </c>
      <c r="D2709" t="s">
        <v>582</v>
      </c>
      <c r="E2709" t="s">
        <v>582</v>
      </c>
      <c r="F2709" s="705">
        <v>9</v>
      </c>
      <c r="G2709" s="705">
        <v>1157</v>
      </c>
      <c r="H2709" s="705">
        <v>3125</v>
      </c>
      <c r="I2709" s="705">
        <v>258537</v>
      </c>
      <c r="J2709" s="705">
        <v>235033</v>
      </c>
      <c r="K2709" s="705">
        <v>82</v>
      </c>
      <c r="L2709" s="705">
        <v>61387</v>
      </c>
      <c r="M2709" s="705">
        <v>55273</v>
      </c>
      <c r="N2709" s="705">
        <v>25793</v>
      </c>
      <c r="O2709" s="705">
        <v>9553</v>
      </c>
      <c r="P2709" s="705">
        <v>5022</v>
      </c>
      <c r="Q2709" s="705">
        <v>1860</v>
      </c>
      <c r="R2709" s="705">
        <v>44847</v>
      </c>
      <c r="S2709" s="705">
        <v>40770</v>
      </c>
      <c r="T2709" s="705">
        <v>16274</v>
      </c>
      <c r="U2709" s="705">
        <v>6028</v>
      </c>
      <c r="V2709" s="705">
        <v>348517</v>
      </c>
      <c r="W2709" s="705">
        <f t="shared" si="108"/>
        <v>348517</v>
      </c>
      <c r="X2709" s="705">
        <f t="shared" si="109"/>
        <v>411860</v>
      </c>
    </row>
    <row r="2710" spans="2:24">
      <c r="B2710" t="s">
        <v>554</v>
      </c>
      <c r="C2710" t="s">
        <v>120</v>
      </c>
      <c r="D2710" t="s">
        <v>582</v>
      </c>
      <c r="E2710" t="s">
        <v>228</v>
      </c>
      <c r="F2710" s="705">
        <v>1</v>
      </c>
      <c r="G2710" s="705">
        <v>99</v>
      </c>
      <c r="H2710" s="705">
        <v>371</v>
      </c>
      <c r="I2710" s="705">
        <v>20990</v>
      </c>
      <c r="J2710" s="705">
        <v>19082</v>
      </c>
      <c r="K2710" s="705">
        <v>68</v>
      </c>
      <c r="L2710" s="705">
        <v>2511</v>
      </c>
      <c r="M2710" s="705">
        <v>2283</v>
      </c>
      <c r="N2710" s="705">
        <v>2226</v>
      </c>
      <c r="O2710" s="705">
        <v>824</v>
      </c>
      <c r="P2710" s="705">
        <v>351</v>
      </c>
      <c r="Q2710" s="705">
        <v>130</v>
      </c>
      <c r="R2710" s="705">
        <v>10601</v>
      </c>
      <c r="S2710" s="705">
        <v>3926</v>
      </c>
      <c r="T2710" s="705">
        <v>0</v>
      </c>
      <c r="U2710" s="705">
        <v>0</v>
      </c>
      <c r="V2710" s="705">
        <v>26245</v>
      </c>
      <c r="W2710" s="705">
        <f t="shared" si="108"/>
        <v>26245</v>
      </c>
      <c r="X2710" s="705">
        <f t="shared" si="109"/>
        <v>36679</v>
      </c>
    </row>
    <row r="2711" spans="2:24">
      <c r="B2711" t="s">
        <v>554</v>
      </c>
      <c r="C2711" t="s">
        <v>120</v>
      </c>
      <c r="D2711" t="s">
        <v>228</v>
      </c>
      <c r="E2711" t="s">
        <v>228</v>
      </c>
      <c r="F2711" s="705">
        <v>51</v>
      </c>
      <c r="G2711" s="705">
        <v>5471</v>
      </c>
      <c r="H2711" s="705">
        <v>17033</v>
      </c>
      <c r="I2711" s="705">
        <v>1368676</v>
      </c>
      <c r="J2711" s="705">
        <v>506917</v>
      </c>
      <c r="K2711" s="705">
        <v>100</v>
      </c>
      <c r="L2711" s="705">
        <v>162756</v>
      </c>
      <c r="M2711" s="705">
        <v>128693</v>
      </c>
      <c r="N2711" s="705">
        <v>137029</v>
      </c>
      <c r="O2711" s="705">
        <v>50752</v>
      </c>
      <c r="P2711" s="705">
        <v>0</v>
      </c>
      <c r="Q2711" s="705">
        <v>0</v>
      </c>
      <c r="R2711" s="705">
        <v>391401</v>
      </c>
      <c r="S2711" s="705">
        <v>144963</v>
      </c>
      <c r="T2711" s="705">
        <v>0</v>
      </c>
      <c r="U2711" s="705">
        <v>0</v>
      </c>
      <c r="V2711" s="705">
        <v>831325</v>
      </c>
      <c r="W2711" s="705">
        <f t="shared" si="108"/>
        <v>831325</v>
      </c>
      <c r="X2711" s="705">
        <f t="shared" si="109"/>
        <v>2059862</v>
      </c>
    </row>
    <row r="2712" spans="2:24">
      <c r="B2712" t="s">
        <v>554</v>
      </c>
      <c r="C2712" t="s">
        <v>120</v>
      </c>
      <c r="D2712" t="s">
        <v>228</v>
      </c>
      <c r="E2712" t="s">
        <v>583</v>
      </c>
      <c r="F2712" s="705">
        <v>1</v>
      </c>
      <c r="G2712" s="705">
        <v>90</v>
      </c>
      <c r="H2712" s="705">
        <v>356</v>
      </c>
      <c r="I2712" s="705">
        <v>21504</v>
      </c>
      <c r="J2712" s="705">
        <v>7964</v>
      </c>
      <c r="K2712" s="705">
        <v>100</v>
      </c>
      <c r="L2712" s="705">
        <v>1622</v>
      </c>
      <c r="M2712" s="705">
        <v>1475</v>
      </c>
      <c r="N2712" s="705">
        <v>1649</v>
      </c>
      <c r="O2712" s="705">
        <v>611</v>
      </c>
      <c r="P2712" s="705">
        <v>0</v>
      </c>
      <c r="Q2712" s="705">
        <v>0</v>
      </c>
      <c r="R2712" s="705">
        <v>7339</v>
      </c>
      <c r="S2712" s="705">
        <v>6672</v>
      </c>
      <c r="T2712" s="705">
        <v>0</v>
      </c>
      <c r="U2712" s="705">
        <v>0</v>
      </c>
      <c r="V2712" s="705">
        <v>16722</v>
      </c>
      <c r="W2712" s="705">
        <f t="shared" si="108"/>
        <v>16722</v>
      </c>
      <c r="X2712" s="705">
        <f t="shared" si="109"/>
        <v>32114</v>
      </c>
    </row>
    <row r="2713" spans="2:24">
      <c r="B2713" t="s">
        <v>554</v>
      </c>
      <c r="C2713" t="s">
        <v>120</v>
      </c>
      <c r="D2713" t="s">
        <v>583</v>
      </c>
      <c r="E2713" t="s">
        <v>228</v>
      </c>
      <c r="F2713" s="705">
        <v>2</v>
      </c>
      <c r="G2713" s="705">
        <v>257</v>
      </c>
      <c r="H2713" s="705">
        <v>699</v>
      </c>
      <c r="I2713" s="705">
        <v>56769</v>
      </c>
      <c r="J2713" s="705">
        <v>51608</v>
      </c>
      <c r="K2713" s="705">
        <v>70</v>
      </c>
      <c r="L2713" s="705">
        <v>14761</v>
      </c>
      <c r="M2713" s="705">
        <v>12711</v>
      </c>
      <c r="N2713" s="705">
        <v>5809</v>
      </c>
      <c r="O2713" s="705">
        <v>2152</v>
      </c>
      <c r="P2713" s="705">
        <v>1242</v>
      </c>
      <c r="Q2713" s="705">
        <v>460</v>
      </c>
      <c r="R2713" s="705">
        <v>12333</v>
      </c>
      <c r="S2713" s="705">
        <v>4568</v>
      </c>
      <c r="T2713" s="705">
        <v>0</v>
      </c>
      <c r="U2713" s="705">
        <v>0</v>
      </c>
      <c r="V2713" s="705">
        <v>71498</v>
      </c>
      <c r="W2713" s="705">
        <f t="shared" si="108"/>
        <v>71499</v>
      </c>
      <c r="X2713" s="705">
        <f t="shared" si="109"/>
        <v>90914</v>
      </c>
    </row>
    <row r="2714" spans="2:24">
      <c r="B2714" t="s">
        <v>554</v>
      </c>
      <c r="C2714" t="s">
        <v>120</v>
      </c>
      <c r="D2714" t="s">
        <v>583</v>
      </c>
      <c r="E2714" t="s">
        <v>583</v>
      </c>
      <c r="F2714" s="705">
        <v>486</v>
      </c>
      <c r="G2714" s="705">
        <v>57898</v>
      </c>
      <c r="H2714" s="705">
        <v>164879</v>
      </c>
      <c r="I2714" s="705">
        <v>12690151</v>
      </c>
      <c r="J2714" s="705">
        <v>11536501</v>
      </c>
      <c r="K2714" s="705">
        <v>76</v>
      </c>
      <c r="L2714" s="705">
        <v>2446205</v>
      </c>
      <c r="M2714" s="705">
        <v>2179793</v>
      </c>
      <c r="N2714" s="705">
        <v>1223312</v>
      </c>
      <c r="O2714" s="705">
        <v>453078</v>
      </c>
      <c r="P2714" s="705">
        <v>322327</v>
      </c>
      <c r="Q2714" s="705">
        <v>119381</v>
      </c>
      <c r="R2714" s="705">
        <v>2496391</v>
      </c>
      <c r="S2714" s="705">
        <v>2269447</v>
      </c>
      <c r="T2714" s="705">
        <v>875942</v>
      </c>
      <c r="U2714" s="705">
        <v>324423</v>
      </c>
      <c r="V2714" s="705">
        <v>16882623</v>
      </c>
      <c r="W2714" s="705">
        <f t="shared" si="108"/>
        <v>16882623</v>
      </c>
      <c r="X2714" s="705">
        <f t="shared" si="109"/>
        <v>20054328</v>
      </c>
    </row>
    <row r="2715" spans="2:24">
      <c r="B2715" t="s">
        <v>554</v>
      </c>
      <c r="C2715" t="s">
        <v>120</v>
      </c>
      <c r="D2715" t="s">
        <v>583</v>
      </c>
      <c r="E2715" t="s">
        <v>665</v>
      </c>
      <c r="F2715" s="705">
        <v>3</v>
      </c>
      <c r="G2715" s="705">
        <v>271</v>
      </c>
      <c r="H2715" s="705">
        <v>1003</v>
      </c>
      <c r="I2715" s="705">
        <v>52212</v>
      </c>
      <c r="J2715" s="705">
        <v>47465</v>
      </c>
      <c r="K2715" s="705">
        <v>77</v>
      </c>
      <c r="L2715" s="705">
        <v>8354</v>
      </c>
      <c r="M2715" s="705">
        <v>7595</v>
      </c>
      <c r="N2715" s="705">
        <v>5900</v>
      </c>
      <c r="O2715" s="705">
        <v>2185</v>
      </c>
      <c r="P2715" s="705">
        <v>1863</v>
      </c>
      <c r="Q2715" s="705">
        <v>690</v>
      </c>
      <c r="R2715" s="705">
        <v>18071</v>
      </c>
      <c r="S2715" s="705">
        <v>16428</v>
      </c>
      <c r="T2715" s="705">
        <v>3392</v>
      </c>
      <c r="U2715" s="705">
        <v>1256</v>
      </c>
      <c r="V2715" s="705">
        <v>75620</v>
      </c>
      <c r="W2715" s="705">
        <f t="shared" si="108"/>
        <v>75619</v>
      </c>
      <c r="X2715" s="705">
        <f t="shared" si="109"/>
        <v>89792</v>
      </c>
    </row>
    <row r="2716" spans="2:24">
      <c r="B2716" t="s">
        <v>554</v>
      </c>
      <c r="C2716" t="s">
        <v>120</v>
      </c>
      <c r="D2716" t="s">
        <v>666</v>
      </c>
      <c r="E2716" t="s">
        <v>228</v>
      </c>
      <c r="F2716" s="705">
        <v>1</v>
      </c>
      <c r="G2716" s="705">
        <v>43</v>
      </c>
      <c r="H2716" s="705">
        <v>331</v>
      </c>
      <c r="I2716" s="705">
        <v>9100</v>
      </c>
      <c r="J2716" s="705">
        <v>8273</v>
      </c>
      <c r="K2716" s="705">
        <v>60</v>
      </c>
      <c r="L2716" s="705">
        <v>1489</v>
      </c>
      <c r="M2716" s="705">
        <v>552</v>
      </c>
      <c r="N2716" s="705">
        <v>659</v>
      </c>
      <c r="O2716" s="705">
        <v>244</v>
      </c>
      <c r="P2716" s="705">
        <v>0</v>
      </c>
      <c r="Q2716" s="705">
        <v>0</v>
      </c>
      <c r="R2716" s="705">
        <v>3099</v>
      </c>
      <c r="S2716" s="705">
        <v>1148</v>
      </c>
      <c r="T2716" s="705">
        <v>0</v>
      </c>
      <c r="U2716" s="705">
        <v>0</v>
      </c>
      <c r="V2716" s="705">
        <v>10216</v>
      </c>
      <c r="W2716" s="705">
        <f t="shared" si="108"/>
        <v>10217</v>
      </c>
      <c r="X2716" s="705">
        <f t="shared" si="109"/>
        <v>14347</v>
      </c>
    </row>
    <row r="2717" spans="2:24">
      <c r="B2717" t="s">
        <v>554</v>
      </c>
      <c r="C2717" t="s">
        <v>120</v>
      </c>
      <c r="D2717" t="s">
        <v>666</v>
      </c>
      <c r="E2717" t="s">
        <v>666</v>
      </c>
      <c r="F2717" s="705">
        <v>3</v>
      </c>
      <c r="G2717" s="705">
        <v>313</v>
      </c>
      <c r="H2717" s="705">
        <v>1118</v>
      </c>
      <c r="I2717" s="705">
        <v>69375</v>
      </c>
      <c r="J2717" s="705">
        <v>63069</v>
      </c>
      <c r="K2717" s="705">
        <v>60</v>
      </c>
      <c r="L2717" s="705">
        <v>14352</v>
      </c>
      <c r="M2717" s="705">
        <v>11302</v>
      </c>
      <c r="N2717" s="705">
        <v>6317</v>
      </c>
      <c r="O2717" s="705">
        <v>2340</v>
      </c>
      <c r="P2717" s="705">
        <v>1053</v>
      </c>
      <c r="Q2717" s="705">
        <v>390</v>
      </c>
      <c r="R2717" s="705">
        <v>16704</v>
      </c>
      <c r="S2717" s="705">
        <v>15186</v>
      </c>
      <c r="T2717" s="705">
        <v>8866</v>
      </c>
      <c r="U2717" s="705">
        <v>3284</v>
      </c>
      <c r="V2717" s="705">
        <v>95570</v>
      </c>
      <c r="W2717" s="705">
        <f t="shared" si="108"/>
        <v>95571</v>
      </c>
      <c r="X2717" s="705">
        <f t="shared" si="109"/>
        <v>116667</v>
      </c>
    </row>
    <row r="2718" spans="2:24">
      <c r="B2718" t="s">
        <v>554</v>
      </c>
      <c r="C2718" t="s">
        <v>120</v>
      </c>
      <c r="D2718" t="s">
        <v>669</v>
      </c>
      <c r="E2718" t="s">
        <v>669</v>
      </c>
      <c r="F2718" s="705">
        <v>4</v>
      </c>
      <c r="G2718" s="705">
        <v>396</v>
      </c>
      <c r="H2718" s="705">
        <v>1284</v>
      </c>
      <c r="I2718" s="705">
        <v>72767</v>
      </c>
      <c r="J2718" s="705">
        <v>60639</v>
      </c>
      <c r="K2718" s="705">
        <v>55</v>
      </c>
      <c r="L2718" s="705">
        <v>9320</v>
      </c>
      <c r="M2718" s="705">
        <v>7997</v>
      </c>
      <c r="N2718" s="705">
        <v>8599</v>
      </c>
      <c r="O2718" s="705">
        <v>3185</v>
      </c>
      <c r="P2718" s="705">
        <v>1944</v>
      </c>
      <c r="Q2718" s="705">
        <v>720</v>
      </c>
      <c r="R2718" s="705">
        <v>24303</v>
      </c>
      <c r="S2718" s="705">
        <v>20253</v>
      </c>
      <c r="T2718" s="705">
        <v>10095</v>
      </c>
      <c r="U2718" s="705">
        <v>3739</v>
      </c>
      <c r="V2718" s="705">
        <v>96533</v>
      </c>
      <c r="W2718" s="705">
        <f t="shared" si="108"/>
        <v>96533</v>
      </c>
      <c r="X2718" s="705">
        <f t="shared" si="109"/>
        <v>127028</v>
      </c>
    </row>
    <row r="2719" spans="2:24">
      <c r="B2719" t="s">
        <v>554</v>
      </c>
      <c r="C2719" t="s">
        <v>120</v>
      </c>
      <c r="D2719" t="s">
        <v>665</v>
      </c>
      <c r="E2719" t="s">
        <v>228</v>
      </c>
      <c r="F2719" s="705">
        <v>1</v>
      </c>
      <c r="G2719" s="705">
        <v>127</v>
      </c>
      <c r="H2719" s="705">
        <v>315</v>
      </c>
      <c r="I2719" s="705">
        <v>24578</v>
      </c>
      <c r="J2719" s="705">
        <v>22343</v>
      </c>
      <c r="K2719" s="705">
        <v>60</v>
      </c>
      <c r="L2719" s="705">
        <v>4022</v>
      </c>
      <c r="M2719" s="705">
        <v>1490</v>
      </c>
      <c r="N2719" s="705">
        <v>3103</v>
      </c>
      <c r="O2719" s="705">
        <v>1149</v>
      </c>
      <c r="P2719" s="705">
        <v>0</v>
      </c>
      <c r="Q2719" s="705">
        <v>0</v>
      </c>
      <c r="R2719" s="705">
        <v>8370</v>
      </c>
      <c r="S2719" s="705">
        <v>3100</v>
      </c>
      <c r="T2719" s="705">
        <v>0</v>
      </c>
      <c r="U2719" s="705">
        <v>0</v>
      </c>
      <c r="V2719" s="705">
        <v>28082</v>
      </c>
      <c r="W2719" s="705">
        <f t="shared" si="108"/>
        <v>28082</v>
      </c>
      <c r="X2719" s="705">
        <f t="shared" si="109"/>
        <v>40073</v>
      </c>
    </row>
    <row r="2720" spans="2:24">
      <c r="B2720" t="s">
        <v>554</v>
      </c>
      <c r="C2720" t="s">
        <v>120</v>
      </c>
      <c r="D2720" t="s">
        <v>665</v>
      </c>
      <c r="E2720" t="s">
        <v>665</v>
      </c>
      <c r="F2720" s="705">
        <v>55</v>
      </c>
      <c r="G2720" s="705">
        <v>5909</v>
      </c>
      <c r="H2720" s="705">
        <v>19004</v>
      </c>
      <c r="I2720" s="705">
        <v>1312720</v>
      </c>
      <c r="J2720" s="705">
        <v>1193381</v>
      </c>
      <c r="K2720" s="705">
        <v>58</v>
      </c>
      <c r="L2720" s="705">
        <v>193815</v>
      </c>
      <c r="M2720" s="705">
        <v>171287</v>
      </c>
      <c r="N2720" s="705">
        <v>125348</v>
      </c>
      <c r="O2720" s="705">
        <v>46425</v>
      </c>
      <c r="P2720" s="705">
        <v>26325</v>
      </c>
      <c r="Q2720" s="705">
        <v>9750</v>
      </c>
      <c r="R2720" s="705">
        <v>316480</v>
      </c>
      <c r="S2720" s="705">
        <v>287709</v>
      </c>
      <c r="T2720" s="705">
        <v>133739</v>
      </c>
      <c r="U2720" s="705">
        <v>49533</v>
      </c>
      <c r="V2720" s="705">
        <v>1758085</v>
      </c>
      <c r="W2720" s="705">
        <f t="shared" si="108"/>
        <v>1758085</v>
      </c>
      <c r="X2720" s="705">
        <f t="shared" si="109"/>
        <v>2108427</v>
      </c>
    </row>
    <row r="2721" spans="2:24">
      <c r="B2721" t="s">
        <v>554</v>
      </c>
      <c r="C2721" t="s">
        <v>122</v>
      </c>
      <c r="D2721" t="s">
        <v>582</v>
      </c>
      <c r="E2721" t="s">
        <v>582</v>
      </c>
      <c r="F2721" s="705">
        <v>3</v>
      </c>
      <c r="G2721" s="705">
        <v>292</v>
      </c>
      <c r="H2721" s="705">
        <v>1264</v>
      </c>
      <c r="I2721" s="705">
        <v>74801</v>
      </c>
      <c r="J2721" s="705">
        <v>68001</v>
      </c>
      <c r="K2721" s="705">
        <v>70</v>
      </c>
      <c r="L2721" s="705">
        <v>16668</v>
      </c>
      <c r="M2721" s="705">
        <v>12707</v>
      </c>
      <c r="N2721" s="705">
        <v>4974</v>
      </c>
      <c r="O2721" s="705">
        <v>1842</v>
      </c>
      <c r="P2721" s="705">
        <v>1418</v>
      </c>
      <c r="Q2721" s="705">
        <v>525</v>
      </c>
      <c r="R2721" s="705">
        <v>22497</v>
      </c>
      <c r="S2721" s="705">
        <v>20452</v>
      </c>
      <c r="T2721" s="705">
        <v>2421</v>
      </c>
      <c r="U2721" s="705">
        <v>897</v>
      </c>
      <c r="V2721" s="705">
        <v>104423</v>
      </c>
      <c r="W2721" s="705">
        <f t="shared" si="108"/>
        <v>104424</v>
      </c>
      <c r="X2721" s="705">
        <f t="shared" si="109"/>
        <v>122779</v>
      </c>
    </row>
    <row r="2722" spans="2:24">
      <c r="B2722" t="s">
        <v>554</v>
      </c>
      <c r="C2722" t="s">
        <v>122</v>
      </c>
      <c r="D2722" t="s">
        <v>228</v>
      </c>
      <c r="E2722" t="s">
        <v>228</v>
      </c>
      <c r="F2722" s="705">
        <v>15</v>
      </c>
      <c r="G2722" s="705">
        <v>1718</v>
      </c>
      <c r="H2722" s="705">
        <v>6253</v>
      </c>
      <c r="I2722" s="705">
        <v>526943</v>
      </c>
      <c r="J2722" s="705">
        <v>195164</v>
      </c>
      <c r="K2722" s="705">
        <v>100</v>
      </c>
      <c r="L2722" s="705">
        <v>77199</v>
      </c>
      <c r="M2722" s="705">
        <v>58670</v>
      </c>
      <c r="N2722" s="705">
        <v>40758</v>
      </c>
      <c r="O2722" s="705">
        <v>15095</v>
      </c>
      <c r="P2722" s="705">
        <v>0</v>
      </c>
      <c r="Q2722" s="705">
        <v>0</v>
      </c>
      <c r="R2722" s="705">
        <v>124417</v>
      </c>
      <c r="S2722" s="705">
        <v>46080</v>
      </c>
      <c r="T2722" s="705">
        <v>0</v>
      </c>
      <c r="U2722" s="705">
        <v>0</v>
      </c>
      <c r="V2722" s="705">
        <v>315010</v>
      </c>
      <c r="W2722" s="705">
        <f t="shared" si="108"/>
        <v>315009</v>
      </c>
      <c r="X2722" s="705">
        <f t="shared" si="109"/>
        <v>769317</v>
      </c>
    </row>
    <row r="2723" spans="2:24">
      <c r="B2723" t="s">
        <v>554</v>
      </c>
      <c r="C2723" t="s">
        <v>122</v>
      </c>
      <c r="D2723" t="s">
        <v>228</v>
      </c>
      <c r="E2723" t="s">
        <v>665</v>
      </c>
      <c r="F2723" s="705">
        <v>2</v>
      </c>
      <c r="G2723" s="705">
        <v>129</v>
      </c>
      <c r="H2723" s="705">
        <v>812</v>
      </c>
      <c r="I2723" s="705">
        <v>29519</v>
      </c>
      <c r="J2723" s="705">
        <v>10933</v>
      </c>
      <c r="K2723" s="705">
        <v>100</v>
      </c>
      <c r="L2723" s="705">
        <v>3469</v>
      </c>
      <c r="M2723" s="705">
        <v>3154</v>
      </c>
      <c r="N2723" s="705">
        <v>2929</v>
      </c>
      <c r="O2723" s="705">
        <v>1085</v>
      </c>
      <c r="P2723" s="705">
        <v>0</v>
      </c>
      <c r="Q2723" s="705">
        <v>0</v>
      </c>
      <c r="R2723" s="705">
        <v>13681</v>
      </c>
      <c r="S2723" s="705">
        <v>12437</v>
      </c>
      <c r="T2723" s="705">
        <v>2755</v>
      </c>
      <c r="U2723" s="705">
        <v>1020</v>
      </c>
      <c r="V2723" s="705">
        <v>28630</v>
      </c>
      <c r="W2723" s="705">
        <f t="shared" si="108"/>
        <v>28629</v>
      </c>
      <c r="X2723" s="705">
        <f t="shared" si="109"/>
        <v>52353</v>
      </c>
    </row>
    <row r="2724" spans="2:24">
      <c r="B2724" t="s">
        <v>554</v>
      </c>
      <c r="C2724" t="s">
        <v>122</v>
      </c>
      <c r="D2724" t="s">
        <v>583</v>
      </c>
      <c r="E2724" t="s">
        <v>583</v>
      </c>
      <c r="F2724" s="705">
        <v>271</v>
      </c>
      <c r="G2724" s="705">
        <v>28971</v>
      </c>
      <c r="H2724" s="705">
        <v>112084</v>
      </c>
      <c r="I2724" s="705">
        <v>7925694</v>
      </c>
      <c r="J2724" s="705">
        <v>7205177</v>
      </c>
      <c r="K2724" s="705">
        <v>78</v>
      </c>
      <c r="L2724" s="705">
        <v>1524473</v>
      </c>
      <c r="M2724" s="705">
        <v>1342487</v>
      </c>
      <c r="N2724" s="705">
        <v>603207</v>
      </c>
      <c r="O2724" s="705">
        <v>223410</v>
      </c>
      <c r="P2724" s="705">
        <v>177097</v>
      </c>
      <c r="Q2724" s="705">
        <v>65591</v>
      </c>
      <c r="R2724" s="705">
        <v>1312086</v>
      </c>
      <c r="S2724" s="705">
        <v>1192806</v>
      </c>
      <c r="T2724" s="705">
        <v>542837</v>
      </c>
      <c r="U2724" s="705">
        <v>201051</v>
      </c>
      <c r="V2724" s="705">
        <v>10230521</v>
      </c>
      <c r="W2724" s="705">
        <f t="shared" si="108"/>
        <v>10230522</v>
      </c>
      <c r="X2724" s="705">
        <f t="shared" si="109"/>
        <v>12085394</v>
      </c>
    </row>
    <row r="2725" spans="2:24">
      <c r="B2725" t="s">
        <v>554</v>
      </c>
      <c r="C2725" t="s">
        <v>122</v>
      </c>
      <c r="D2725" t="s">
        <v>583</v>
      </c>
      <c r="E2725" t="s">
        <v>671</v>
      </c>
      <c r="F2725" s="705">
        <v>1</v>
      </c>
      <c r="G2725" s="705">
        <v>151</v>
      </c>
      <c r="H2725" s="705">
        <v>407</v>
      </c>
      <c r="I2725" s="705">
        <v>68109</v>
      </c>
      <c r="J2725" s="705">
        <v>61917</v>
      </c>
      <c r="K2725" s="705">
        <v>73</v>
      </c>
      <c r="L2725" s="705">
        <v>12891</v>
      </c>
      <c r="M2725" s="705">
        <v>4774</v>
      </c>
      <c r="N2725" s="705">
        <v>6082</v>
      </c>
      <c r="O2725" s="705">
        <v>2253</v>
      </c>
      <c r="P2725" s="705">
        <v>621</v>
      </c>
      <c r="Q2725" s="705">
        <v>230</v>
      </c>
      <c r="R2725" s="705">
        <v>14318</v>
      </c>
      <c r="S2725" s="705">
        <v>13017</v>
      </c>
      <c r="T2725" s="705">
        <v>0</v>
      </c>
      <c r="U2725" s="705">
        <v>0</v>
      </c>
      <c r="V2725" s="705">
        <v>82191</v>
      </c>
      <c r="W2725" s="705">
        <f t="shared" si="108"/>
        <v>82191</v>
      </c>
      <c r="X2725" s="705">
        <f t="shared" si="109"/>
        <v>102021</v>
      </c>
    </row>
    <row r="2726" spans="2:24">
      <c r="B2726" t="s">
        <v>554</v>
      </c>
      <c r="C2726" t="s">
        <v>122</v>
      </c>
      <c r="D2726" t="s">
        <v>583</v>
      </c>
      <c r="E2726" t="s">
        <v>665</v>
      </c>
      <c r="F2726" s="705">
        <v>2</v>
      </c>
      <c r="G2726" s="705">
        <v>169</v>
      </c>
      <c r="H2726" s="705">
        <v>876</v>
      </c>
      <c r="I2726" s="705">
        <v>40490</v>
      </c>
      <c r="J2726" s="705">
        <v>36809</v>
      </c>
      <c r="K2726" s="705">
        <v>85</v>
      </c>
      <c r="L2726" s="705">
        <v>6652</v>
      </c>
      <c r="M2726" s="705">
        <v>6047</v>
      </c>
      <c r="N2726" s="705">
        <v>3608</v>
      </c>
      <c r="O2726" s="705">
        <v>1336</v>
      </c>
      <c r="P2726" s="705">
        <v>1242</v>
      </c>
      <c r="Q2726" s="705">
        <v>460</v>
      </c>
      <c r="R2726" s="705">
        <v>19669</v>
      </c>
      <c r="S2726" s="705">
        <v>17881</v>
      </c>
      <c r="T2726" s="705">
        <v>2192</v>
      </c>
      <c r="U2726" s="705">
        <v>812</v>
      </c>
      <c r="V2726" s="705">
        <v>63345</v>
      </c>
      <c r="W2726" s="705">
        <f t="shared" si="108"/>
        <v>63345</v>
      </c>
      <c r="X2726" s="705">
        <f t="shared" si="109"/>
        <v>73853</v>
      </c>
    </row>
    <row r="2727" spans="2:24">
      <c r="B2727" t="s">
        <v>554</v>
      </c>
      <c r="C2727" t="s">
        <v>122</v>
      </c>
      <c r="D2727" t="s">
        <v>666</v>
      </c>
      <c r="E2727" t="s">
        <v>583</v>
      </c>
      <c r="F2727" s="705">
        <v>1</v>
      </c>
      <c r="G2727" s="705">
        <v>118</v>
      </c>
      <c r="H2727" s="705">
        <v>432</v>
      </c>
      <c r="I2727" s="705">
        <v>29302</v>
      </c>
      <c r="J2727" s="705">
        <v>26638</v>
      </c>
      <c r="K2727" s="705">
        <v>74</v>
      </c>
      <c r="L2727" s="705">
        <v>13306</v>
      </c>
      <c r="M2727" s="705">
        <v>4928</v>
      </c>
      <c r="N2727" s="705">
        <v>2505</v>
      </c>
      <c r="O2727" s="705">
        <v>928</v>
      </c>
      <c r="P2727" s="705">
        <v>621</v>
      </c>
      <c r="Q2727" s="705">
        <v>230</v>
      </c>
      <c r="R2727" s="705">
        <v>4983</v>
      </c>
      <c r="S2727" s="705">
        <v>4530</v>
      </c>
      <c r="T2727" s="705">
        <v>0</v>
      </c>
      <c r="U2727" s="705">
        <v>0</v>
      </c>
      <c r="V2727" s="705">
        <v>37254</v>
      </c>
      <c r="W2727" s="705">
        <f t="shared" si="108"/>
        <v>37254</v>
      </c>
      <c r="X2727" s="705">
        <f t="shared" si="109"/>
        <v>50717</v>
      </c>
    </row>
    <row r="2728" spans="2:24">
      <c r="B2728" t="s">
        <v>554</v>
      </c>
      <c r="C2728" t="s">
        <v>122</v>
      </c>
      <c r="D2728" t="s">
        <v>666</v>
      </c>
      <c r="E2728" t="s">
        <v>666</v>
      </c>
      <c r="F2728" s="705">
        <v>1</v>
      </c>
      <c r="G2728" s="705">
        <v>94</v>
      </c>
      <c r="H2728" s="705">
        <v>450</v>
      </c>
      <c r="I2728" s="705">
        <v>27030</v>
      </c>
      <c r="J2728" s="705">
        <v>24572</v>
      </c>
      <c r="K2728" s="705">
        <v>65</v>
      </c>
      <c r="L2728" s="705">
        <v>5578</v>
      </c>
      <c r="M2728" s="705">
        <v>5071</v>
      </c>
      <c r="N2728" s="705">
        <v>1827</v>
      </c>
      <c r="O2728" s="705">
        <v>677</v>
      </c>
      <c r="P2728" s="705">
        <v>351</v>
      </c>
      <c r="Q2728" s="705">
        <v>130</v>
      </c>
      <c r="R2728" s="705">
        <v>7368</v>
      </c>
      <c r="S2728" s="705">
        <v>6698</v>
      </c>
      <c r="T2728" s="705">
        <v>0</v>
      </c>
      <c r="U2728" s="705">
        <v>0</v>
      </c>
      <c r="V2728" s="705">
        <v>37148</v>
      </c>
      <c r="W2728" s="705">
        <f t="shared" si="108"/>
        <v>37148</v>
      </c>
      <c r="X2728" s="705">
        <f t="shared" si="109"/>
        <v>42154</v>
      </c>
    </row>
    <row r="2729" spans="2:24">
      <c r="B2729" t="s">
        <v>554</v>
      </c>
      <c r="C2729" t="s">
        <v>122</v>
      </c>
      <c r="D2729" t="s">
        <v>669</v>
      </c>
      <c r="E2729" t="s">
        <v>669</v>
      </c>
      <c r="F2729" s="705">
        <v>2</v>
      </c>
      <c r="G2729" s="705">
        <v>152</v>
      </c>
      <c r="H2729" s="705">
        <v>894</v>
      </c>
      <c r="I2729" s="705">
        <v>48283</v>
      </c>
      <c r="J2729" s="705">
        <v>40236</v>
      </c>
      <c r="K2729" s="705">
        <v>55</v>
      </c>
      <c r="L2729" s="705">
        <v>2042</v>
      </c>
      <c r="M2729" s="705">
        <v>1857</v>
      </c>
      <c r="N2729" s="705">
        <v>2748</v>
      </c>
      <c r="O2729" s="705">
        <v>1018</v>
      </c>
      <c r="P2729" s="705">
        <v>972</v>
      </c>
      <c r="Q2729" s="705">
        <v>360</v>
      </c>
      <c r="R2729" s="705">
        <v>9584</v>
      </c>
      <c r="S2729" s="705">
        <v>7987</v>
      </c>
      <c r="T2729" s="705">
        <v>4211</v>
      </c>
      <c r="U2729" s="705">
        <v>1560</v>
      </c>
      <c r="V2729" s="705">
        <v>53017</v>
      </c>
      <c r="W2729" s="705">
        <f t="shared" si="108"/>
        <v>53018</v>
      </c>
      <c r="X2729" s="705">
        <f t="shared" si="109"/>
        <v>67840</v>
      </c>
    </row>
    <row r="2730" spans="2:24">
      <c r="B2730" t="s">
        <v>554</v>
      </c>
      <c r="C2730" t="s">
        <v>122</v>
      </c>
      <c r="D2730" t="s">
        <v>671</v>
      </c>
      <c r="E2730" t="s">
        <v>671</v>
      </c>
      <c r="F2730" s="705">
        <v>1</v>
      </c>
      <c r="G2730" s="705">
        <v>109</v>
      </c>
      <c r="H2730" s="705">
        <v>408</v>
      </c>
      <c r="I2730" s="705">
        <v>28714</v>
      </c>
      <c r="J2730" s="705">
        <v>26104</v>
      </c>
      <c r="K2730" s="705">
        <v>45</v>
      </c>
      <c r="L2730" s="705">
        <v>4786</v>
      </c>
      <c r="M2730" s="705">
        <v>4351</v>
      </c>
      <c r="N2730" s="705">
        <v>2503</v>
      </c>
      <c r="O2730" s="705">
        <v>927</v>
      </c>
      <c r="P2730" s="705">
        <v>351</v>
      </c>
      <c r="Q2730" s="705">
        <v>130</v>
      </c>
      <c r="R2730" s="705">
        <v>5842</v>
      </c>
      <c r="S2730" s="705">
        <v>5311</v>
      </c>
      <c r="T2730" s="705">
        <v>2091</v>
      </c>
      <c r="U2730" s="705">
        <v>774</v>
      </c>
      <c r="V2730" s="705">
        <v>37597</v>
      </c>
      <c r="W2730" s="705">
        <f t="shared" si="108"/>
        <v>37597</v>
      </c>
      <c r="X2730" s="705">
        <f t="shared" si="109"/>
        <v>44287</v>
      </c>
    </row>
    <row r="2731" spans="2:24">
      <c r="B2731" t="s">
        <v>554</v>
      </c>
      <c r="C2731" t="s">
        <v>122</v>
      </c>
      <c r="D2731" t="s">
        <v>665</v>
      </c>
      <c r="E2731" t="s">
        <v>228</v>
      </c>
      <c r="F2731" s="705">
        <v>3</v>
      </c>
      <c r="G2731" s="705">
        <v>215</v>
      </c>
      <c r="H2731" s="705">
        <v>1279</v>
      </c>
      <c r="I2731" s="705">
        <v>63719</v>
      </c>
      <c r="J2731" s="705">
        <v>57926</v>
      </c>
      <c r="K2731" s="705">
        <v>50</v>
      </c>
      <c r="L2731" s="705">
        <v>8947</v>
      </c>
      <c r="M2731" s="705">
        <v>6408</v>
      </c>
      <c r="N2731" s="705">
        <v>4508</v>
      </c>
      <c r="O2731" s="705">
        <v>1670</v>
      </c>
      <c r="P2731" s="705">
        <v>0</v>
      </c>
      <c r="Q2731" s="705">
        <v>0</v>
      </c>
      <c r="R2731" s="705">
        <v>14550</v>
      </c>
      <c r="S2731" s="705">
        <v>5389</v>
      </c>
      <c r="T2731" s="705">
        <v>0</v>
      </c>
      <c r="U2731" s="705">
        <v>0</v>
      </c>
      <c r="V2731" s="705">
        <v>71393</v>
      </c>
      <c r="W2731" s="705">
        <f t="shared" si="108"/>
        <v>71393</v>
      </c>
      <c r="X2731" s="705">
        <f t="shared" si="109"/>
        <v>91724</v>
      </c>
    </row>
    <row r="2732" spans="2:24">
      <c r="B2732" t="s">
        <v>554</v>
      </c>
      <c r="C2732" t="s">
        <v>122</v>
      </c>
      <c r="D2732" t="s">
        <v>665</v>
      </c>
      <c r="E2732" t="s">
        <v>583</v>
      </c>
      <c r="F2732" s="705">
        <v>1</v>
      </c>
      <c r="G2732" s="705">
        <v>77</v>
      </c>
      <c r="H2732" s="705">
        <v>449</v>
      </c>
      <c r="I2732" s="705">
        <v>20186</v>
      </c>
      <c r="J2732" s="705">
        <v>18351</v>
      </c>
      <c r="K2732" s="705">
        <v>45</v>
      </c>
      <c r="L2732" s="705">
        <v>3364</v>
      </c>
      <c r="M2732" s="705">
        <v>3059</v>
      </c>
      <c r="N2732" s="705">
        <v>1398</v>
      </c>
      <c r="O2732" s="705">
        <v>518</v>
      </c>
      <c r="P2732" s="705">
        <v>351</v>
      </c>
      <c r="Q2732" s="705">
        <v>130</v>
      </c>
      <c r="R2732" s="705">
        <v>6548</v>
      </c>
      <c r="S2732" s="705">
        <v>5952</v>
      </c>
      <c r="T2732" s="705">
        <v>2475</v>
      </c>
      <c r="U2732" s="705">
        <v>917</v>
      </c>
      <c r="V2732" s="705">
        <v>28927</v>
      </c>
      <c r="W2732" s="705">
        <f t="shared" ref="W2732:W2795" si="110">SUM(ABS(J2732),ABS(M2732),ABS(O2732),ABS(Q2732),ABS(S2732),ABS(U2732))</f>
        <v>28927</v>
      </c>
      <c r="X2732" s="705">
        <f t="shared" ref="X2732:X2795" si="111">SUM(ABS(I2732),ABS(N2732),ABS(P2732),ABS(R2732),ABS(T2732),ABS(L2732))</f>
        <v>34322</v>
      </c>
    </row>
    <row r="2733" spans="2:24">
      <c r="B2733" t="s">
        <v>554</v>
      </c>
      <c r="C2733" t="s">
        <v>122</v>
      </c>
      <c r="D2733" t="s">
        <v>665</v>
      </c>
      <c r="E2733" t="s">
        <v>665</v>
      </c>
      <c r="F2733" s="705">
        <v>77</v>
      </c>
      <c r="G2733" s="705">
        <v>7362</v>
      </c>
      <c r="H2733" s="705">
        <v>32079</v>
      </c>
      <c r="I2733" s="705">
        <v>1945955</v>
      </c>
      <c r="J2733" s="705">
        <v>1769050</v>
      </c>
      <c r="K2733" s="705">
        <v>50</v>
      </c>
      <c r="L2733" s="705">
        <v>310168</v>
      </c>
      <c r="M2733" s="705">
        <v>262981</v>
      </c>
      <c r="N2733" s="705">
        <v>147744</v>
      </c>
      <c r="O2733" s="705">
        <v>54720</v>
      </c>
      <c r="P2733" s="705">
        <v>29538</v>
      </c>
      <c r="Q2733" s="705">
        <v>10940</v>
      </c>
      <c r="R2733" s="705">
        <v>480811</v>
      </c>
      <c r="S2733" s="705">
        <v>437101</v>
      </c>
      <c r="T2733" s="705">
        <v>165036</v>
      </c>
      <c r="U2733" s="705">
        <v>61125</v>
      </c>
      <c r="V2733" s="705">
        <v>2595917</v>
      </c>
      <c r="W2733" s="705">
        <f t="shared" si="110"/>
        <v>2595917</v>
      </c>
      <c r="X2733" s="705">
        <f t="shared" si="111"/>
        <v>3079252</v>
      </c>
    </row>
    <row r="2734" spans="2:24">
      <c r="B2734" t="s">
        <v>554</v>
      </c>
      <c r="C2734" t="s">
        <v>124</v>
      </c>
      <c r="D2734" t="s">
        <v>664</v>
      </c>
      <c r="E2734" t="s">
        <v>664</v>
      </c>
      <c r="F2734" s="705">
        <v>2</v>
      </c>
      <c r="G2734" s="705">
        <v>168</v>
      </c>
      <c r="H2734" s="705">
        <v>1003</v>
      </c>
      <c r="I2734" s="705">
        <v>59573</v>
      </c>
      <c r="J2734" s="705">
        <v>54158</v>
      </c>
      <c r="K2734" s="705">
        <v>73</v>
      </c>
      <c r="L2734" s="705">
        <v>7488</v>
      </c>
      <c r="M2734" s="705">
        <v>6807</v>
      </c>
      <c r="N2734" s="705">
        <v>3501</v>
      </c>
      <c r="O2734" s="705">
        <v>1297</v>
      </c>
      <c r="P2734" s="705">
        <v>824</v>
      </c>
      <c r="Q2734" s="705">
        <v>305</v>
      </c>
      <c r="R2734" s="705">
        <v>7587</v>
      </c>
      <c r="S2734" s="705">
        <v>6898</v>
      </c>
      <c r="T2734" s="705">
        <v>3981</v>
      </c>
      <c r="U2734" s="705">
        <v>1474</v>
      </c>
      <c r="V2734" s="705">
        <v>70938</v>
      </c>
      <c r="W2734" s="705">
        <f t="shared" si="110"/>
        <v>70939</v>
      </c>
      <c r="X2734" s="705">
        <f t="shared" si="111"/>
        <v>82954</v>
      </c>
    </row>
    <row r="2735" spans="2:24">
      <c r="B2735" t="s">
        <v>554</v>
      </c>
      <c r="C2735" t="s">
        <v>124</v>
      </c>
      <c r="D2735" t="s">
        <v>582</v>
      </c>
      <c r="E2735" t="s">
        <v>582</v>
      </c>
      <c r="F2735" s="705">
        <v>5</v>
      </c>
      <c r="G2735" s="705">
        <v>447</v>
      </c>
      <c r="H2735" s="705">
        <v>2736</v>
      </c>
      <c r="I2735" s="705">
        <v>169052</v>
      </c>
      <c r="J2735" s="705">
        <v>153684</v>
      </c>
      <c r="K2735" s="705">
        <v>71</v>
      </c>
      <c r="L2735" s="705">
        <v>27360</v>
      </c>
      <c r="M2735" s="705">
        <v>21339</v>
      </c>
      <c r="N2735" s="705">
        <v>8739</v>
      </c>
      <c r="O2735" s="705">
        <v>3237</v>
      </c>
      <c r="P2735" s="705">
        <v>2241</v>
      </c>
      <c r="Q2735" s="705">
        <v>830</v>
      </c>
      <c r="R2735" s="705">
        <v>24240</v>
      </c>
      <c r="S2735" s="705">
        <v>22036</v>
      </c>
      <c r="T2735" s="705">
        <v>6679</v>
      </c>
      <c r="U2735" s="705">
        <v>2474</v>
      </c>
      <c r="V2735" s="705">
        <v>203599</v>
      </c>
      <c r="W2735" s="705">
        <f t="shared" si="110"/>
        <v>203600</v>
      </c>
      <c r="X2735" s="705">
        <f t="shared" si="111"/>
        <v>238311</v>
      </c>
    </row>
    <row r="2736" spans="2:24">
      <c r="B2736" t="s">
        <v>554</v>
      </c>
      <c r="C2736" t="s">
        <v>124</v>
      </c>
      <c r="D2736" t="s">
        <v>582</v>
      </c>
      <c r="E2736" t="s">
        <v>228</v>
      </c>
      <c r="F2736" s="705">
        <v>1</v>
      </c>
      <c r="G2736" s="705">
        <v>81</v>
      </c>
      <c r="H2736" s="705">
        <v>702</v>
      </c>
      <c r="I2736" s="705">
        <v>37369</v>
      </c>
      <c r="J2736" s="705">
        <v>33972</v>
      </c>
      <c r="K2736" s="705">
        <v>68</v>
      </c>
      <c r="L2736" s="705">
        <v>8941</v>
      </c>
      <c r="M2736" s="705">
        <v>8128</v>
      </c>
      <c r="N2736" s="705">
        <v>1183</v>
      </c>
      <c r="O2736" s="705">
        <v>438</v>
      </c>
      <c r="P2736" s="705">
        <v>473</v>
      </c>
      <c r="Q2736" s="705">
        <v>175</v>
      </c>
      <c r="R2736" s="705">
        <v>6629</v>
      </c>
      <c r="S2736" s="705">
        <v>2455</v>
      </c>
      <c r="T2736" s="705">
        <v>2178</v>
      </c>
      <c r="U2736" s="705">
        <v>807</v>
      </c>
      <c r="V2736" s="705">
        <v>45975</v>
      </c>
      <c r="W2736" s="705">
        <f t="shared" si="110"/>
        <v>45975</v>
      </c>
      <c r="X2736" s="705">
        <f t="shared" si="111"/>
        <v>56773</v>
      </c>
    </row>
    <row r="2737" spans="2:24">
      <c r="B2737" t="s">
        <v>554</v>
      </c>
      <c r="C2737" t="s">
        <v>124</v>
      </c>
      <c r="D2737" t="s">
        <v>228</v>
      </c>
      <c r="E2737" t="s">
        <v>228</v>
      </c>
      <c r="F2737" s="705">
        <v>85</v>
      </c>
      <c r="G2737" s="705">
        <v>7391</v>
      </c>
      <c r="H2737" s="705">
        <v>64083</v>
      </c>
      <c r="I2737" s="705">
        <v>3934984</v>
      </c>
      <c r="J2737" s="705">
        <v>1457401</v>
      </c>
      <c r="K2737" s="705">
        <v>100</v>
      </c>
      <c r="L2737" s="705">
        <v>604452</v>
      </c>
      <c r="M2737" s="705">
        <v>508036</v>
      </c>
      <c r="N2737" s="705">
        <v>162775</v>
      </c>
      <c r="O2737" s="705">
        <v>60287</v>
      </c>
      <c r="P2737" s="705">
        <v>351</v>
      </c>
      <c r="Q2737" s="705">
        <v>130</v>
      </c>
      <c r="R2737" s="705">
        <v>624715</v>
      </c>
      <c r="S2737" s="705">
        <v>231376</v>
      </c>
      <c r="T2737" s="705">
        <v>0</v>
      </c>
      <c r="U2737" s="705">
        <v>0</v>
      </c>
      <c r="V2737" s="705">
        <v>2257230</v>
      </c>
      <c r="W2737" s="705">
        <f t="shared" si="110"/>
        <v>2257230</v>
      </c>
      <c r="X2737" s="705">
        <f t="shared" si="111"/>
        <v>5327277</v>
      </c>
    </row>
    <row r="2738" spans="2:24">
      <c r="B2738" t="s">
        <v>554</v>
      </c>
      <c r="C2738" t="s">
        <v>124</v>
      </c>
      <c r="D2738" t="s">
        <v>228</v>
      </c>
      <c r="E2738" t="s">
        <v>583</v>
      </c>
      <c r="F2738" s="705">
        <v>2</v>
      </c>
      <c r="G2738" s="705">
        <v>207</v>
      </c>
      <c r="H2738" s="705">
        <v>1375</v>
      </c>
      <c r="I2738" s="705">
        <v>115785</v>
      </c>
      <c r="J2738" s="705">
        <v>42883</v>
      </c>
      <c r="K2738" s="705">
        <v>100</v>
      </c>
      <c r="L2738" s="705">
        <v>8064</v>
      </c>
      <c r="M2738" s="705">
        <v>7330</v>
      </c>
      <c r="N2738" s="705">
        <v>4891</v>
      </c>
      <c r="O2738" s="705">
        <v>1812</v>
      </c>
      <c r="P2738" s="705">
        <v>621</v>
      </c>
      <c r="Q2738" s="705">
        <v>230</v>
      </c>
      <c r="R2738" s="705">
        <v>10194</v>
      </c>
      <c r="S2738" s="705">
        <v>9268</v>
      </c>
      <c r="T2738" s="705">
        <v>3092</v>
      </c>
      <c r="U2738" s="705">
        <v>1145</v>
      </c>
      <c r="V2738" s="705">
        <v>62668</v>
      </c>
      <c r="W2738" s="705">
        <f t="shared" si="110"/>
        <v>62668</v>
      </c>
      <c r="X2738" s="705">
        <f t="shared" si="111"/>
        <v>142647</v>
      </c>
    </row>
    <row r="2739" spans="2:24">
      <c r="B2739" t="s">
        <v>554</v>
      </c>
      <c r="C2739" t="s">
        <v>124</v>
      </c>
      <c r="D2739" t="s">
        <v>228</v>
      </c>
      <c r="E2739" t="s">
        <v>666</v>
      </c>
      <c r="F2739" s="705">
        <v>2</v>
      </c>
      <c r="G2739" s="705">
        <v>114</v>
      </c>
      <c r="H2739" s="705">
        <v>2336</v>
      </c>
      <c r="I2739" s="705">
        <v>103963</v>
      </c>
      <c r="J2739" s="705">
        <v>38505</v>
      </c>
      <c r="K2739" s="705">
        <v>100</v>
      </c>
      <c r="L2739" s="705">
        <v>8832</v>
      </c>
      <c r="M2739" s="705">
        <v>8029</v>
      </c>
      <c r="N2739" s="705">
        <v>2398</v>
      </c>
      <c r="O2739" s="705">
        <v>888</v>
      </c>
      <c r="P2739" s="705">
        <v>351</v>
      </c>
      <c r="Q2739" s="705">
        <v>130</v>
      </c>
      <c r="R2739" s="705">
        <v>16681</v>
      </c>
      <c r="S2739" s="705">
        <v>15164</v>
      </c>
      <c r="T2739" s="705">
        <v>0</v>
      </c>
      <c r="U2739" s="705">
        <v>0</v>
      </c>
      <c r="V2739" s="705">
        <v>62716</v>
      </c>
      <c r="W2739" s="705">
        <f t="shared" si="110"/>
        <v>62716</v>
      </c>
      <c r="X2739" s="705">
        <f t="shared" si="111"/>
        <v>132225</v>
      </c>
    </row>
    <row r="2740" spans="2:24">
      <c r="B2740" t="s">
        <v>554</v>
      </c>
      <c r="C2740" t="s">
        <v>124</v>
      </c>
      <c r="D2740" t="s">
        <v>228</v>
      </c>
      <c r="E2740" t="s">
        <v>671</v>
      </c>
      <c r="F2740" s="705">
        <v>1</v>
      </c>
      <c r="G2740" s="705">
        <v>65</v>
      </c>
      <c r="H2740" s="705">
        <v>990</v>
      </c>
      <c r="I2740" s="705">
        <v>54723</v>
      </c>
      <c r="J2740" s="705">
        <v>20268</v>
      </c>
      <c r="K2740" s="705">
        <v>100</v>
      </c>
      <c r="L2740" s="705">
        <v>4954</v>
      </c>
      <c r="M2740" s="705">
        <v>4504</v>
      </c>
      <c r="N2740" s="705">
        <v>1549</v>
      </c>
      <c r="O2740" s="705">
        <v>574</v>
      </c>
      <c r="P2740" s="705">
        <v>0</v>
      </c>
      <c r="Q2740" s="705">
        <v>0</v>
      </c>
      <c r="R2740" s="705">
        <v>1793</v>
      </c>
      <c r="S2740" s="705">
        <v>1630</v>
      </c>
      <c r="T2740" s="705">
        <v>1517</v>
      </c>
      <c r="U2740" s="705">
        <v>562</v>
      </c>
      <c r="V2740" s="705">
        <v>27537</v>
      </c>
      <c r="W2740" s="705">
        <f t="shared" si="110"/>
        <v>27538</v>
      </c>
      <c r="X2740" s="705">
        <f t="shared" si="111"/>
        <v>64536</v>
      </c>
    </row>
    <row r="2741" spans="2:24">
      <c r="B2741" t="s">
        <v>554</v>
      </c>
      <c r="C2741" t="s">
        <v>124</v>
      </c>
      <c r="D2741" t="s">
        <v>228</v>
      </c>
      <c r="E2741" t="s">
        <v>665</v>
      </c>
      <c r="F2741" s="705">
        <v>13</v>
      </c>
      <c r="G2741" s="705">
        <v>1255</v>
      </c>
      <c r="H2741" s="705">
        <v>10395</v>
      </c>
      <c r="I2741" s="705">
        <v>781185</v>
      </c>
      <c r="J2741" s="705">
        <v>289328</v>
      </c>
      <c r="K2741" s="705">
        <v>100</v>
      </c>
      <c r="L2741" s="705">
        <v>91385</v>
      </c>
      <c r="M2741" s="705">
        <v>82575</v>
      </c>
      <c r="N2741" s="705">
        <v>26691</v>
      </c>
      <c r="O2741" s="705">
        <v>9885</v>
      </c>
      <c r="P2741" s="705">
        <v>351</v>
      </c>
      <c r="Q2741" s="705">
        <v>130</v>
      </c>
      <c r="R2741" s="705">
        <v>101138</v>
      </c>
      <c r="S2741" s="705">
        <v>91944</v>
      </c>
      <c r="T2741" s="705">
        <v>22478</v>
      </c>
      <c r="U2741" s="705">
        <v>8325</v>
      </c>
      <c r="V2741" s="705">
        <v>482187</v>
      </c>
      <c r="W2741" s="705">
        <f t="shared" si="110"/>
        <v>482187</v>
      </c>
      <c r="X2741" s="705">
        <f t="shared" si="111"/>
        <v>1023228</v>
      </c>
    </row>
    <row r="2742" spans="2:24">
      <c r="B2742" t="s">
        <v>554</v>
      </c>
      <c r="C2742" t="s">
        <v>124</v>
      </c>
      <c r="D2742" t="s">
        <v>583</v>
      </c>
      <c r="E2742" t="s">
        <v>674</v>
      </c>
      <c r="F2742" s="705">
        <v>1</v>
      </c>
      <c r="G2742" s="705">
        <v>92</v>
      </c>
      <c r="H2742" s="705">
        <v>589</v>
      </c>
      <c r="I2742" s="705">
        <v>35429</v>
      </c>
      <c r="J2742" s="705">
        <v>32209</v>
      </c>
      <c r="K2742" s="705">
        <v>79</v>
      </c>
      <c r="L2742" s="705">
        <v>9842</v>
      </c>
      <c r="M2742" s="705">
        <v>8947</v>
      </c>
      <c r="N2742" s="705">
        <v>2246</v>
      </c>
      <c r="O2742" s="705">
        <v>832</v>
      </c>
      <c r="P2742" s="705">
        <v>621</v>
      </c>
      <c r="Q2742" s="705">
        <v>230</v>
      </c>
      <c r="R2742" s="705">
        <v>3763</v>
      </c>
      <c r="S2742" s="705">
        <v>3421</v>
      </c>
      <c r="T2742" s="705">
        <v>2327</v>
      </c>
      <c r="U2742" s="705">
        <v>862</v>
      </c>
      <c r="V2742" s="705">
        <v>46500</v>
      </c>
      <c r="W2742" s="705">
        <f t="shared" si="110"/>
        <v>46501</v>
      </c>
      <c r="X2742" s="705">
        <f t="shared" si="111"/>
        <v>54228</v>
      </c>
    </row>
    <row r="2743" spans="2:24">
      <c r="B2743" t="s">
        <v>554</v>
      </c>
      <c r="C2743" t="s">
        <v>124</v>
      </c>
      <c r="D2743" t="s">
        <v>583</v>
      </c>
      <c r="E2743" t="s">
        <v>228</v>
      </c>
      <c r="F2743" s="705">
        <v>5</v>
      </c>
      <c r="G2743" s="705">
        <v>931</v>
      </c>
      <c r="H2743" s="705">
        <v>2647</v>
      </c>
      <c r="I2743" s="705">
        <v>323664</v>
      </c>
      <c r="J2743" s="705">
        <v>294240</v>
      </c>
      <c r="K2743" s="705">
        <v>67</v>
      </c>
      <c r="L2743" s="705">
        <v>70657</v>
      </c>
      <c r="M2743" s="705">
        <v>59105</v>
      </c>
      <c r="N2743" s="705">
        <v>21533</v>
      </c>
      <c r="O2743" s="705">
        <v>7975</v>
      </c>
      <c r="P2743" s="705">
        <v>2484</v>
      </c>
      <c r="Q2743" s="705">
        <v>920</v>
      </c>
      <c r="R2743" s="705">
        <v>50610</v>
      </c>
      <c r="S2743" s="705">
        <v>18744</v>
      </c>
      <c r="T2743" s="705">
        <v>0</v>
      </c>
      <c r="U2743" s="705">
        <v>0</v>
      </c>
      <c r="V2743" s="705">
        <v>380984</v>
      </c>
      <c r="W2743" s="705">
        <f t="shared" si="110"/>
        <v>380984</v>
      </c>
      <c r="X2743" s="705">
        <f t="shared" si="111"/>
        <v>468948</v>
      </c>
    </row>
    <row r="2744" spans="2:24">
      <c r="B2744" t="s">
        <v>554</v>
      </c>
      <c r="C2744" t="s">
        <v>124</v>
      </c>
      <c r="D2744" t="s">
        <v>583</v>
      </c>
      <c r="E2744" t="s">
        <v>583</v>
      </c>
      <c r="F2744" s="705">
        <v>293</v>
      </c>
      <c r="G2744" s="705">
        <v>29051</v>
      </c>
      <c r="H2744" s="705">
        <v>161704</v>
      </c>
      <c r="I2744" s="705">
        <v>10711786</v>
      </c>
      <c r="J2744" s="705">
        <v>9737987</v>
      </c>
      <c r="K2744" s="705">
        <v>74</v>
      </c>
      <c r="L2744" s="705">
        <v>2558478</v>
      </c>
      <c r="M2744" s="705">
        <v>2278960</v>
      </c>
      <c r="N2744" s="705">
        <v>646844</v>
      </c>
      <c r="O2744" s="705">
        <v>239572</v>
      </c>
      <c r="P2744" s="705">
        <v>191943</v>
      </c>
      <c r="Q2744" s="705">
        <v>71090</v>
      </c>
      <c r="R2744" s="705">
        <v>1409717</v>
      </c>
      <c r="S2744" s="705">
        <v>1281561</v>
      </c>
      <c r="T2744" s="705">
        <v>540849</v>
      </c>
      <c r="U2744" s="705">
        <v>200314</v>
      </c>
      <c r="V2744" s="705">
        <v>13809484</v>
      </c>
      <c r="W2744" s="705">
        <f t="shared" si="110"/>
        <v>13809484</v>
      </c>
      <c r="X2744" s="705">
        <f t="shared" si="111"/>
        <v>16059617</v>
      </c>
    </row>
    <row r="2745" spans="2:24">
      <c r="B2745" t="s">
        <v>554</v>
      </c>
      <c r="C2745" t="s">
        <v>124</v>
      </c>
      <c r="D2745" t="s">
        <v>583</v>
      </c>
      <c r="E2745" t="s">
        <v>665</v>
      </c>
      <c r="F2745" s="705">
        <v>1</v>
      </c>
      <c r="G2745" s="705">
        <v>77</v>
      </c>
      <c r="H2745" s="705">
        <v>534</v>
      </c>
      <c r="I2745" s="705">
        <v>28786</v>
      </c>
      <c r="J2745" s="705">
        <v>26169</v>
      </c>
      <c r="K2745" s="705">
        <v>65</v>
      </c>
      <c r="L2745" s="705">
        <v>3594</v>
      </c>
      <c r="M2745" s="705">
        <v>3267</v>
      </c>
      <c r="N2745" s="705">
        <v>1563</v>
      </c>
      <c r="O2745" s="705">
        <v>579</v>
      </c>
      <c r="P2745" s="705">
        <v>621</v>
      </c>
      <c r="Q2745" s="705">
        <v>230</v>
      </c>
      <c r="R2745" s="705">
        <v>4299</v>
      </c>
      <c r="S2745" s="705">
        <v>3909</v>
      </c>
      <c r="T2745" s="705">
        <v>2123</v>
      </c>
      <c r="U2745" s="705">
        <v>786</v>
      </c>
      <c r="V2745" s="705">
        <v>34940</v>
      </c>
      <c r="W2745" s="705">
        <f t="shared" si="110"/>
        <v>34940</v>
      </c>
      <c r="X2745" s="705">
        <f t="shared" si="111"/>
        <v>40986</v>
      </c>
    </row>
    <row r="2746" spans="2:24">
      <c r="B2746" t="s">
        <v>554</v>
      </c>
      <c r="C2746" t="s">
        <v>124</v>
      </c>
      <c r="D2746" t="s">
        <v>666</v>
      </c>
      <c r="E2746" t="s">
        <v>228</v>
      </c>
      <c r="F2746" s="705">
        <v>6</v>
      </c>
      <c r="G2746" s="705">
        <v>332</v>
      </c>
      <c r="H2746" s="705">
        <v>8099</v>
      </c>
      <c r="I2746" s="705">
        <v>365848</v>
      </c>
      <c r="J2746" s="705">
        <v>332589</v>
      </c>
      <c r="K2746" s="705">
        <v>42</v>
      </c>
      <c r="L2746" s="705">
        <v>45525</v>
      </c>
      <c r="M2746" s="705">
        <v>22957</v>
      </c>
      <c r="N2746" s="705">
        <v>7877</v>
      </c>
      <c r="O2746" s="705">
        <v>2917</v>
      </c>
      <c r="P2746" s="705">
        <v>0</v>
      </c>
      <c r="Q2746" s="705">
        <v>0</v>
      </c>
      <c r="R2746" s="705">
        <v>30726</v>
      </c>
      <c r="S2746" s="705">
        <v>11380</v>
      </c>
      <c r="T2746" s="705">
        <v>0</v>
      </c>
      <c r="U2746" s="705">
        <v>0</v>
      </c>
      <c r="V2746" s="705">
        <v>369843</v>
      </c>
      <c r="W2746" s="705">
        <f t="shared" si="110"/>
        <v>369843</v>
      </c>
      <c r="X2746" s="705">
        <f t="shared" si="111"/>
        <v>449976</v>
      </c>
    </row>
    <row r="2747" spans="2:24">
      <c r="B2747" t="s">
        <v>554</v>
      </c>
      <c r="C2747" t="s">
        <v>124</v>
      </c>
      <c r="D2747" t="s">
        <v>666</v>
      </c>
      <c r="E2747" t="s">
        <v>666</v>
      </c>
      <c r="F2747" s="705">
        <v>6</v>
      </c>
      <c r="G2747" s="705">
        <v>548</v>
      </c>
      <c r="H2747" s="705">
        <v>3940</v>
      </c>
      <c r="I2747" s="705">
        <v>253851</v>
      </c>
      <c r="J2747" s="705">
        <v>230774</v>
      </c>
      <c r="K2747" s="705">
        <v>55</v>
      </c>
      <c r="L2747" s="705">
        <v>47057</v>
      </c>
      <c r="M2747" s="705">
        <v>34079</v>
      </c>
      <c r="N2747" s="705">
        <v>11814</v>
      </c>
      <c r="O2747" s="705">
        <v>4375</v>
      </c>
      <c r="P2747" s="705">
        <v>1755</v>
      </c>
      <c r="Q2747" s="705">
        <v>650</v>
      </c>
      <c r="R2747" s="705">
        <v>34990</v>
      </c>
      <c r="S2747" s="705">
        <v>31809</v>
      </c>
      <c r="T2747" s="705">
        <v>11143</v>
      </c>
      <c r="U2747" s="705">
        <v>4127</v>
      </c>
      <c r="V2747" s="705">
        <v>305815</v>
      </c>
      <c r="W2747" s="705">
        <f t="shared" si="110"/>
        <v>305814</v>
      </c>
      <c r="X2747" s="705">
        <f t="shared" si="111"/>
        <v>360610</v>
      </c>
    </row>
    <row r="2748" spans="2:24">
      <c r="B2748" t="s">
        <v>554</v>
      </c>
      <c r="C2748" t="s">
        <v>124</v>
      </c>
      <c r="D2748" t="s">
        <v>669</v>
      </c>
      <c r="E2748" t="s">
        <v>669</v>
      </c>
      <c r="F2748" s="705">
        <v>3</v>
      </c>
      <c r="G2748" s="705">
        <v>318</v>
      </c>
      <c r="H2748" s="705">
        <v>2347</v>
      </c>
      <c r="I2748" s="705">
        <v>165303</v>
      </c>
      <c r="J2748" s="705">
        <v>137752</v>
      </c>
      <c r="K2748" s="705">
        <v>58</v>
      </c>
      <c r="L2748" s="705">
        <v>26327</v>
      </c>
      <c r="M2748" s="705">
        <v>19661</v>
      </c>
      <c r="N2748" s="705">
        <v>6629</v>
      </c>
      <c r="O2748" s="705">
        <v>2455</v>
      </c>
      <c r="P2748" s="705">
        <v>1053</v>
      </c>
      <c r="Q2748" s="705">
        <v>390</v>
      </c>
      <c r="R2748" s="705">
        <v>18341</v>
      </c>
      <c r="S2748" s="705">
        <v>15284</v>
      </c>
      <c r="T2748" s="705">
        <v>8436</v>
      </c>
      <c r="U2748" s="705">
        <v>3124</v>
      </c>
      <c r="V2748" s="705">
        <v>178667</v>
      </c>
      <c r="W2748" s="705">
        <f t="shared" si="110"/>
        <v>178666</v>
      </c>
      <c r="X2748" s="705">
        <f t="shared" si="111"/>
        <v>226089</v>
      </c>
    </row>
    <row r="2749" spans="2:24">
      <c r="B2749" t="s">
        <v>554</v>
      </c>
      <c r="C2749" t="s">
        <v>124</v>
      </c>
      <c r="D2749" t="s">
        <v>671</v>
      </c>
      <c r="E2749" t="s">
        <v>228</v>
      </c>
      <c r="F2749" s="705">
        <v>4</v>
      </c>
      <c r="G2749" s="705">
        <v>232</v>
      </c>
      <c r="H2749" s="705">
        <v>6303</v>
      </c>
      <c r="I2749" s="705">
        <v>297412</v>
      </c>
      <c r="J2749" s="705">
        <v>270374</v>
      </c>
      <c r="K2749" s="705">
        <v>30</v>
      </c>
      <c r="L2749" s="705">
        <v>41085</v>
      </c>
      <c r="M2749" s="705">
        <v>15217</v>
      </c>
      <c r="N2749" s="705">
        <v>5647</v>
      </c>
      <c r="O2749" s="705">
        <v>2092</v>
      </c>
      <c r="P2749" s="705">
        <v>0</v>
      </c>
      <c r="Q2749" s="705">
        <v>0</v>
      </c>
      <c r="R2749" s="705">
        <v>24588</v>
      </c>
      <c r="S2749" s="705">
        <v>9107</v>
      </c>
      <c r="T2749" s="705">
        <v>0</v>
      </c>
      <c r="U2749" s="705">
        <v>0</v>
      </c>
      <c r="V2749" s="705">
        <v>296789</v>
      </c>
      <c r="W2749" s="705">
        <f t="shared" si="110"/>
        <v>296790</v>
      </c>
      <c r="X2749" s="705">
        <f t="shared" si="111"/>
        <v>368732</v>
      </c>
    </row>
    <row r="2750" spans="2:24">
      <c r="B2750" t="s">
        <v>554</v>
      </c>
      <c r="C2750" t="s">
        <v>124</v>
      </c>
      <c r="D2750" t="s">
        <v>671</v>
      </c>
      <c r="E2750" t="s">
        <v>671</v>
      </c>
      <c r="F2750" s="705">
        <v>4</v>
      </c>
      <c r="G2750" s="705">
        <v>358</v>
      </c>
      <c r="H2750" s="705">
        <v>2570</v>
      </c>
      <c r="I2750" s="705">
        <v>171133</v>
      </c>
      <c r="J2750" s="705">
        <v>155575</v>
      </c>
      <c r="K2750" s="705">
        <v>50</v>
      </c>
      <c r="L2750" s="705">
        <v>22180</v>
      </c>
      <c r="M2750" s="705">
        <v>28278</v>
      </c>
      <c r="N2750" s="705">
        <v>7907</v>
      </c>
      <c r="O2750" s="705">
        <v>2929</v>
      </c>
      <c r="P2750" s="705">
        <v>1404</v>
      </c>
      <c r="Q2750" s="705">
        <v>520</v>
      </c>
      <c r="R2750" s="705">
        <v>22159</v>
      </c>
      <c r="S2750" s="705">
        <v>20144</v>
      </c>
      <c r="T2750" s="705">
        <v>6632</v>
      </c>
      <c r="U2750" s="705">
        <v>2456</v>
      </c>
      <c r="V2750" s="705">
        <v>209902</v>
      </c>
      <c r="W2750" s="705">
        <f t="shared" si="110"/>
        <v>209902</v>
      </c>
      <c r="X2750" s="705">
        <f t="shared" si="111"/>
        <v>231415</v>
      </c>
    </row>
    <row r="2751" spans="2:24">
      <c r="B2751" t="s">
        <v>554</v>
      </c>
      <c r="C2751" t="s">
        <v>124</v>
      </c>
      <c r="D2751" t="s">
        <v>665</v>
      </c>
      <c r="E2751" t="s">
        <v>228</v>
      </c>
      <c r="F2751" s="705">
        <v>42</v>
      </c>
      <c r="G2751" s="705">
        <v>3484</v>
      </c>
      <c r="H2751" s="705">
        <v>48703</v>
      </c>
      <c r="I2751" s="705">
        <v>3296891</v>
      </c>
      <c r="J2751" s="705">
        <v>2997174</v>
      </c>
      <c r="K2751" s="705">
        <v>42</v>
      </c>
      <c r="L2751" s="705">
        <v>268582</v>
      </c>
      <c r="M2751" s="705">
        <v>165871</v>
      </c>
      <c r="N2751" s="705">
        <v>76939</v>
      </c>
      <c r="O2751" s="705">
        <v>28496</v>
      </c>
      <c r="P2751" s="705">
        <v>1404</v>
      </c>
      <c r="Q2751" s="705">
        <v>520</v>
      </c>
      <c r="R2751" s="705">
        <v>257000</v>
      </c>
      <c r="S2751" s="705">
        <v>95185</v>
      </c>
      <c r="T2751" s="705">
        <v>1604</v>
      </c>
      <c r="U2751" s="705">
        <v>594</v>
      </c>
      <c r="V2751" s="705">
        <v>3287840</v>
      </c>
      <c r="W2751" s="705">
        <f t="shared" si="110"/>
        <v>3287840</v>
      </c>
      <c r="X2751" s="705">
        <f t="shared" si="111"/>
        <v>3902420</v>
      </c>
    </row>
    <row r="2752" spans="2:24">
      <c r="B2752" t="s">
        <v>554</v>
      </c>
      <c r="C2752" t="s">
        <v>124</v>
      </c>
      <c r="D2752" t="s">
        <v>665</v>
      </c>
      <c r="E2752" t="s">
        <v>665</v>
      </c>
      <c r="F2752" s="705">
        <v>146</v>
      </c>
      <c r="G2752" s="705">
        <v>12296</v>
      </c>
      <c r="H2752" s="705">
        <v>100674</v>
      </c>
      <c r="I2752" s="705">
        <v>6027348</v>
      </c>
      <c r="J2752" s="705">
        <v>5479407</v>
      </c>
      <c r="K2752" s="705">
        <v>51</v>
      </c>
      <c r="L2752" s="705">
        <v>890567</v>
      </c>
      <c r="M2752" s="705">
        <v>748992</v>
      </c>
      <c r="N2752" s="705">
        <v>270652</v>
      </c>
      <c r="O2752" s="705">
        <v>100242</v>
      </c>
      <c r="P2752" s="705">
        <v>54610</v>
      </c>
      <c r="Q2752" s="705">
        <v>20226</v>
      </c>
      <c r="R2752" s="705">
        <v>877856</v>
      </c>
      <c r="S2752" s="705">
        <v>798051</v>
      </c>
      <c r="T2752" s="705">
        <v>300644</v>
      </c>
      <c r="U2752" s="705">
        <v>111350</v>
      </c>
      <c r="V2752" s="705">
        <v>7258267</v>
      </c>
      <c r="W2752" s="705">
        <f t="shared" si="110"/>
        <v>7258268</v>
      </c>
      <c r="X2752" s="705">
        <f t="shared" si="111"/>
        <v>8421677</v>
      </c>
    </row>
    <row r="2753" spans="2:24">
      <c r="B2753" t="s">
        <v>554</v>
      </c>
      <c r="C2753" t="s">
        <v>124</v>
      </c>
      <c r="D2753" t="s">
        <v>722</v>
      </c>
      <c r="E2753" t="s">
        <v>665</v>
      </c>
      <c r="F2753" s="705">
        <v>1</v>
      </c>
      <c r="G2753" s="705">
        <v>104</v>
      </c>
      <c r="H2753" s="705">
        <v>527</v>
      </c>
      <c r="I2753" s="705">
        <v>36591</v>
      </c>
      <c r="J2753" s="705">
        <v>33264</v>
      </c>
      <c r="K2753" s="705">
        <v>65</v>
      </c>
      <c r="L2753" s="705">
        <v>8809</v>
      </c>
      <c r="M2753" s="705">
        <v>8008</v>
      </c>
      <c r="N2753" s="705">
        <v>2174</v>
      </c>
      <c r="O2753" s="705">
        <v>805</v>
      </c>
      <c r="P2753" s="705">
        <v>351</v>
      </c>
      <c r="Q2753" s="705">
        <v>130</v>
      </c>
      <c r="R2753" s="705">
        <v>4542</v>
      </c>
      <c r="S2753" s="705">
        <v>4129</v>
      </c>
      <c r="T2753" s="705">
        <v>2482</v>
      </c>
      <c r="U2753" s="705">
        <v>919</v>
      </c>
      <c r="V2753" s="705">
        <v>47256</v>
      </c>
      <c r="W2753" s="705">
        <f t="shared" si="110"/>
        <v>47255</v>
      </c>
      <c r="X2753" s="705">
        <f t="shared" si="111"/>
        <v>54949</v>
      </c>
    </row>
    <row r="2754" spans="2:24">
      <c r="B2754" t="s">
        <v>554</v>
      </c>
      <c r="C2754" t="s">
        <v>124</v>
      </c>
      <c r="D2754" t="s">
        <v>673</v>
      </c>
      <c r="E2754" t="s">
        <v>673</v>
      </c>
      <c r="F2754" s="705">
        <v>4</v>
      </c>
      <c r="G2754" s="705">
        <v>282</v>
      </c>
      <c r="H2754" s="705">
        <v>2275</v>
      </c>
      <c r="I2754" s="705">
        <v>116967</v>
      </c>
      <c r="J2754" s="705">
        <v>106333</v>
      </c>
      <c r="K2754" s="705">
        <v>56</v>
      </c>
      <c r="L2754" s="705">
        <v>11024</v>
      </c>
      <c r="M2754" s="705">
        <v>9059</v>
      </c>
      <c r="N2754" s="705">
        <v>4929</v>
      </c>
      <c r="O2754" s="705">
        <v>1826</v>
      </c>
      <c r="P2754" s="705">
        <v>1404</v>
      </c>
      <c r="Q2754" s="705">
        <v>520</v>
      </c>
      <c r="R2754" s="705">
        <v>21268</v>
      </c>
      <c r="S2754" s="705">
        <v>19335</v>
      </c>
      <c r="T2754" s="705">
        <v>4225</v>
      </c>
      <c r="U2754" s="705">
        <v>1565</v>
      </c>
      <c r="V2754" s="705">
        <v>138638</v>
      </c>
      <c r="W2754" s="705">
        <f t="shared" si="110"/>
        <v>138638</v>
      </c>
      <c r="X2754" s="705">
        <f t="shared" si="111"/>
        <v>159817</v>
      </c>
    </row>
    <row r="2755" spans="2:24">
      <c r="B2755" t="s">
        <v>555</v>
      </c>
      <c r="C2755" t="s">
        <v>108</v>
      </c>
      <c r="F2755" s="705">
        <v>8</v>
      </c>
      <c r="G2755" s="705">
        <v>1584</v>
      </c>
      <c r="H2755" s="705">
        <v>510</v>
      </c>
      <c r="I2755" s="705"/>
      <c r="J2755" s="705">
        <v>0</v>
      </c>
      <c r="K2755" s="705"/>
      <c r="L2755" s="705"/>
      <c r="M2755" s="705">
        <v>0</v>
      </c>
      <c r="N2755" s="705">
        <v>19413</v>
      </c>
      <c r="O2755" s="705">
        <v>7190</v>
      </c>
      <c r="P2755" s="705">
        <v>16329</v>
      </c>
      <c r="Q2755" s="705">
        <v>6048</v>
      </c>
      <c r="R2755" s="705"/>
      <c r="S2755" s="705">
        <v>0</v>
      </c>
      <c r="T2755" s="705">
        <v>0</v>
      </c>
      <c r="U2755" s="705">
        <v>0</v>
      </c>
      <c r="V2755" s="705">
        <v>13238</v>
      </c>
      <c r="W2755" s="705">
        <f t="shared" si="110"/>
        <v>13238</v>
      </c>
      <c r="X2755" s="705">
        <f t="shared" si="111"/>
        <v>35742</v>
      </c>
    </row>
    <row r="2756" spans="2:24">
      <c r="B2756" t="s">
        <v>555</v>
      </c>
      <c r="C2756" t="s">
        <v>108</v>
      </c>
      <c r="D2756" t="s">
        <v>582</v>
      </c>
      <c r="E2756" t="s">
        <v>582</v>
      </c>
      <c r="F2756" s="705">
        <v>2</v>
      </c>
      <c r="G2756" s="705">
        <v>276</v>
      </c>
      <c r="H2756" s="705">
        <v>122</v>
      </c>
      <c r="I2756" s="705">
        <v>4309</v>
      </c>
      <c r="J2756" s="705">
        <v>3917</v>
      </c>
      <c r="K2756" s="705">
        <v>91</v>
      </c>
      <c r="L2756" s="705">
        <v>571</v>
      </c>
      <c r="M2756" s="705">
        <v>519</v>
      </c>
      <c r="N2756" s="705">
        <v>3358</v>
      </c>
      <c r="O2756" s="705">
        <v>1244</v>
      </c>
      <c r="P2756" s="705">
        <v>945</v>
      </c>
      <c r="Q2756" s="705">
        <v>350</v>
      </c>
      <c r="R2756" s="705">
        <v>7620</v>
      </c>
      <c r="S2756" s="705">
        <v>6927</v>
      </c>
      <c r="T2756" s="705">
        <v>0</v>
      </c>
      <c r="U2756" s="705">
        <v>0</v>
      </c>
      <c r="V2756" s="705">
        <v>12958</v>
      </c>
      <c r="W2756" s="705">
        <f t="shared" si="110"/>
        <v>12957</v>
      </c>
      <c r="X2756" s="705">
        <f t="shared" si="111"/>
        <v>16803</v>
      </c>
    </row>
    <row r="2757" spans="2:24">
      <c r="B2757" t="s">
        <v>555</v>
      </c>
      <c r="C2757" t="s">
        <v>108</v>
      </c>
      <c r="D2757" t="s">
        <v>228</v>
      </c>
      <c r="E2757" t="s">
        <v>228</v>
      </c>
      <c r="F2757" s="705">
        <v>171</v>
      </c>
      <c r="G2757" s="705">
        <v>36598</v>
      </c>
      <c r="H2757" s="705">
        <v>9764</v>
      </c>
      <c r="I2757" s="705">
        <v>289456</v>
      </c>
      <c r="J2757" s="705">
        <v>107206</v>
      </c>
      <c r="K2757" s="705">
        <v>446</v>
      </c>
      <c r="L2757" s="705">
        <v>82996</v>
      </c>
      <c r="M2757" s="705">
        <v>69965</v>
      </c>
      <c r="N2757" s="705">
        <v>485886</v>
      </c>
      <c r="O2757" s="705">
        <v>179958</v>
      </c>
      <c r="P2757" s="705">
        <v>284377</v>
      </c>
      <c r="Q2757" s="705">
        <v>105325</v>
      </c>
      <c r="R2757" s="705">
        <v>911009</v>
      </c>
      <c r="S2757" s="705">
        <v>337411</v>
      </c>
      <c r="T2757" s="705">
        <v>4005</v>
      </c>
      <c r="U2757" s="705">
        <v>1483</v>
      </c>
      <c r="V2757" s="705">
        <v>801347</v>
      </c>
      <c r="W2757" s="705">
        <f t="shared" si="110"/>
        <v>801348</v>
      </c>
      <c r="X2757" s="705">
        <f t="shared" si="111"/>
        <v>2057729</v>
      </c>
    </row>
    <row r="2758" spans="2:24">
      <c r="B2758" t="s">
        <v>555</v>
      </c>
      <c r="C2758" t="s">
        <v>108</v>
      </c>
      <c r="D2758" t="s">
        <v>228</v>
      </c>
      <c r="E2758" t="s">
        <v>583</v>
      </c>
      <c r="F2758" s="705">
        <v>1</v>
      </c>
      <c r="G2758" s="705">
        <v>430</v>
      </c>
      <c r="H2758" s="705">
        <v>75</v>
      </c>
      <c r="I2758" s="705">
        <v>19083</v>
      </c>
      <c r="J2758" s="705">
        <v>7068</v>
      </c>
      <c r="K2758" s="705">
        <v>400</v>
      </c>
      <c r="L2758" s="705">
        <v>3645</v>
      </c>
      <c r="M2758" s="705">
        <v>3314</v>
      </c>
      <c r="N2758" s="705">
        <v>5233</v>
      </c>
      <c r="O2758" s="705">
        <v>1938</v>
      </c>
      <c r="P2758" s="705">
        <v>621</v>
      </c>
      <c r="Q2758" s="705">
        <v>230</v>
      </c>
      <c r="R2758" s="705">
        <v>3612</v>
      </c>
      <c r="S2758" s="705">
        <v>3284</v>
      </c>
      <c r="T2758" s="705">
        <v>0</v>
      </c>
      <c r="U2758" s="705">
        <v>0</v>
      </c>
      <c r="V2758" s="705">
        <v>15833</v>
      </c>
      <c r="W2758" s="705">
        <f t="shared" si="110"/>
        <v>15834</v>
      </c>
      <c r="X2758" s="705">
        <f t="shared" si="111"/>
        <v>32194</v>
      </c>
    </row>
    <row r="2759" spans="2:24">
      <c r="B2759" t="s">
        <v>555</v>
      </c>
      <c r="C2759" t="s">
        <v>108</v>
      </c>
      <c r="D2759" t="s">
        <v>583</v>
      </c>
      <c r="E2759" t="s">
        <v>228</v>
      </c>
      <c r="F2759" s="705">
        <v>1</v>
      </c>
      <c r="G2759" s="705">
        <v>297</v>
      </c>
      <c r="H2759" s="705">
        <v>44</v>
      </c>
      <c r="I2759" s="705">
        <v>-129</v>
      </c>
      <c r="J2759" s="705">
        <v>-118</v>
      </c>
      <c r="K2759" s="705">
        <v>93</v>
      </c>
      <c r="L2759" s="705">
        <v>-20</v>
      </c>
      <c r="M2759" s="705">
        <v>-19</v>
      </c>
      <c r="N2759" s="705">
        <v>3723</v>
      </c>
      <c r="O2759" s="705">
        <v>1379</v>
      </c>
      <c r="P2759" s="705">
        <v>3435</v>
      </c>
      <c r="Q2759" s="705">
        <v>1272</v>
      </c>
      <c r="R2759" s="705">
        <v>6132</v>
      </c>
      <c r="S2759" s="705">
        <v>2271</v>
      </c>
      <c r="T2759" s="705">
        <v>0</v>
      </c>
      <c r="U2759" s="705">
        <v>0</v>
      </c>
      <c r="V2759" s="705">
        <v>4786</v>
      </c>
      <c r="W2759" s="705">
        <f t="shared" si="110"/>
        <v>5059</v>
      </c>
      <c r="X2759" s="705">
        <f t="shared" si="111"/>
        <v>13439</v>
      </c>
    </row>
    <row r="2760" spans="2:24">
      <c r="B2760" t="s">
        <v>555</v>
      </c>
      <c r="C2760" t="s">
        <v>108</v>
      </c>
      <c r="D2760" t="s">
        <v>583</v>
      </c>
      <c r="E2760" t="s">
        <v>583</v>
      </c>
      <c r="F2760" s="705">
        <v>40</v>
      </c>
      <c r="G2760" s="705">
        <v>8166</v>
      </c>
      <c r="H2760" s="705">
        <v>2430</v>
      </c>
      <c r="I2760" s="705">
        <v>172844</v>
      </c>
      <c r="J2760" s="705">
        <v>157131</v>
      </c>
      <c r="K2760" s="705">
        <v>95</v>
      </c>
      <c r="L2760" s="705">
        <v>25221</v>
      </c>
      <c r="M2760" s="705">
        <v>22929</v>
      </c>
      <c r="N2760" s="705">
        <v>107856</v>
      </c>
      <c r="O2760" s="705">
        <v>39947</v>
      </c>
      <c r="P2760" s="705">
        <v>41669</v>
      </c>
      <c r="Q2760" s="705">
        <v>15433</v>
      </c>
      <c r="R2760" s="705">
        <v>145250</v>
      </c>
      <c r="S2760" s="705">
        <v>132046</v>
      </c>
      <c r="T2760" s="705">
        <v>0</v>
      </c>
      <c r="U2760" s="705">
        <v>0</v>
      </c>
      <c r="V2760" s="705">
        <v>367485</v>
      </c>
      <c r="W2760" s="705">
        <f t="shared" si="110"/>
        <v>367486</v>
      </c>
      <c r="X2760" s="705">
        <f t="shared" si="111"/>
        <v>492840</v>
      </c>
    </row>
    <row r="2761" spans="2:24">
      <c r="B2761" t="s">
        <v>555</v>
      </c>
      <c r="C2761" t="s">
        <v>108</v>
      </c>
      <c r="D2761" t="s">
        <v>584</v>
      </c>
      <c r="E2761" t="s">
        <v>584</v>
      </c>
      <c r="F2761" s="705">
        <v>10</v>
      </c>
      <c r="G2761" s="705">
        <v>1982</v>
      </c>
      <c r="H2761" s="705">
        <v>567</v>
      </c>
      <c r="I2761" s="705">
        <v>37147</v>
      </c>
      <c r="J2761" s="705">
        <v>33770</v>
      </c>
      <c r="K2761" s="705">
        <v>91</v>
      </c>
      <c r="L2761" s="705">
        <v>3624</v>
      </c>
      <c r="M2761" s="705">
        <v>3295</v>
      </c>
      <c r="N2761" s="705">
        <v>24148</v>
      </c>
      <c r="O2761" s="705">
        <v>8944</v>
      </c>
      <c r="P2761" s="705">
        <v>8983</v>
      </c>
      <c r="Q2761" s="705">
        <v>3327</v>
      </c>
      <c r="R2761" s="705">
        <v>38649</v>
      </c>
      <c r="S2761" s="705">
        <v>35136</v>
      </c>
      <c r="T2761" s="705">
        <v>0</v>
      </c>
      <c r="U2761" s="705">
        <v>0</v>
      </c>
      <c r="V2761" s="705">
        <v>84472</v>
      </c>
      <c r="W2761" s="705">
        <f t="shared" si="110"/>
        <v>84472</v>
      </c>
      <c r="X2761" s="705">
        <f t="shared" si="111"/>
        <v>112551</v>
      </c>
    </row>
    <row r="2762" spans="2:24">
      <c r="B2762" t="s">
        <v>555</v>
      </c>
      <c r="C2762" t="s">
        <v>110</v>
      </c>
      <c r="F2762" s="705">
        <v>14</v>
      </c>
      <c r="G2762" s="705">
        <v>2472</v>
      </c>
      <c r="H2762" s="705">
        <v>1259</v>
      </c>
      <c r="I2762" s="705"/>
      <c r="J2762" s="705">
        <v>0</v>
      </c>
      <c r="K2762" s="705"/>
      <c r="L2762" s="705"/>
      <c r="M2762" s="705">
        <v>0</v>
      </c>
      <c r="N2762" s="705">
        <v>35801</v>
      </c>
      <c r="O2762" s="705">
        <v>13260</v>
      </c>
      <c r="P2762" s="705">
        <v>12602</v>
      </c>
      <c r="Q2762" s="705">
        <v>4667</v>
      </c>
      <c r="R2762" s="705"/>
      <c r="S2762" s="705">
        <v>0</v>
      </c>
      <c r="T2762" s="705">
        <v>0</v>
      </c>
      <c r="U2762" s="705">
        <v>0</v>
      </c>
      <c r="V2762" s="705">
        <v>17927</v>
      </c>
      <c r="W2762" s="705">
        <f t="shared" si="110"/>
        <v>17927</v>
      </c>
      <c r="X2762" s="705">
        <f t="shared" si="111"/>
        <v>48403</v>
      </c>
    </row>
    <row r="2763" spans="2:24">
      <c r="B2763" t="s">
        <v>555</v>
      </c>
      <c r="C2763" t="s">
        <v>110</v>
      </c>
      <c r="D2763" t="s">
        <v>582</v>
      </c>
      <c r="E2763" t="s">
        <v>582</v>
      </c>
      <c r="F2763" s="705">
        <v>1</v>
      </c>
      <c r="G2763" s="705">
        <v>237</v>
      </c>
      <c r="H2763" s="705">
        <v>88</v>
      </c>
      <c r="I2763" s="705">
        <v>11310</v>
      </c>
      <c r="J2763" s="705">
        <v>10282</v>
      </c>
      <c r="K2763" s="705">
        <v>90</v>
      </c>
      <c r="L2763" s="705">
        <v>1379</v>
      </c>
      <c r="M2763" s="705">
        <v>1254</v>
      </c>
      <c r="N2763" s="705">
        <v>2885</v>
      </c>
      <c r="O2763" s="705">
        <v>1069</v>
      </c>
      <c r="P2763" s="705">
        <v>473</v>
      </c>
      <c r="Q2763" s="705">
        <v>175</v>
      </c>
      <c r="R2763" s="705">
        <v>4855</v>
      </c>
      <c r="S2763" s="705">
        <v>4414</v>
      </c>
      <c r="T2763" s="705">
        <v>0</v>
      </c>
      <c r="U2763" s="705">
        <v>0</v>
      </c>
      <c r="V2763" s="705">
        <v>17193</v>
      </c>
      <c r="W2763" s="705">
        <f t="shared" si="110"/>
        <v>17194</v>
      </c>
      <c r="X2763" s="705">
        <f t="shared" si="111"/>
        <v>20902</v>
      </c>
    </row>
    <row r="2764" spans="2:24">
      <c r="B2764" t="s">
        <v>555</v>
      </c>
      <c r="C2764" t="s">
        <v>110</v>
      </c>
      <c r="D2764" t="s">
        <v>228</v>
      </c>
      <c r="E2764" t="s">
        <v>228</v>
      </c>
      <c r="F2764" s="705">
        <v>52</v>
      </c>
      <c r="G2764" s="705">
        <v>10779</v>
      </c>
      <c r="H2764" s="705">
        <v>4596</v>
      </c>
      <c r="I2764" s="705">
        <v>353522</v>
      </c>
      <c r="J2764" s="705">
        <v>130934</v>
      </c>
      <c r="K2764" s="705">
        <v>371</v>
      </c>
      <c r="L2764" s="705">
        <v>89518</v>
      </c>
      <c r="M2764" s="705">
        <v>80123</v>
      </c>
      <c r="N2764" s="705">
        <v>174774</v>
      </c>
      <c r="O2764" s="705">
        <v>64731</v>
      </c>
      <c r="P2764" s="705">
        <v>58569</v>
      </c>
      <c r="Q2764" s="705">
        <v>21692</v>
      </c>
      <c r="R2764" s="705">
        <v>312746</v>
      </c>
      <c r="S2764" s="705">
        <v>115832</v>
      </c>
      <c r="T2764" s="705">
        <v>0</v>
      </c>
      <c r="U2764" s="705">
        <v>0</v>
      </c>
      <c r="V2764" s="705">
        <v>413313</v>
      </c>
      <c r="W2764" s="705">
        <f t="shared" si="110"/>
        <v>413312</v>
      </c>
      <c r="X2764" s="705">
        <f t="shared" si="111"/>
        <v>989129</v>
      </c>
    </row>
    <row r="2765" spans="2:24">
      <c r="B2765" t="s">
        <v>555</v>
      </c>
      <c r="C2765" t="s">
        <v>110</v>
      </c>
      <c r="D2765" t="s">
        <v>583</v>
      </c>
      <c r="E2765" t="s">
        <v>228</v>
      </c>
      <c r="F2765" s="705">
        <v>1</v>
      </c>
      <c r="G2765" s="705">
        <v>294</v>
      </c>
      <c r="H2765" s="705">
        <v>81</v>
      </c>
      <c r="I2765" s="705">
        <v>3215</v>
      </c>
      <c r="J2765" s="705">
        <v>2923</v>
      </c>
      <c r="K2765" s="705">
        <v>219</v>
      </c>
      <c r="L2765" s="705">
        <v>1304</v>
      </c>
      <c r="M2765" s="705">
        <v>1185</v>
      </c>
      <c r="N2765" s="705">
        <v>3582</v>
      </c>
      <c r="O2765" s="705">
        <v>1327</v>
      </c>
      <c r="P2765" s="705">
        <v>621</v>
      </c>
      <c r="Q2765" s="705">
        <v>230</v>
      </c>
      <c r="R2765" s="705">
        <v>14974</v>
      </c>
      <c r="S2765" s="705">
        <v>5546</v>
      </c>
      <c r="T2765" s="705">
        <v>0</v>
      </c>
      <c r="U2765" s="705">
        <v>0</v>
      </c>
      <c r="V2765" s="705">
        <v>11211</v>
      </c>
      <c r="W2765" s="705">
        <f t="shared" si="110"/>
        <v>11211</v>
      </c>
      <c r="X2765" s="705">
        <f t="shared" si="111"/>
        <v>23696</v>
      </c>
    </row>
    <row r="2766" spans="2:24">
      <c r="B2766" t="s">
        <v>555</v>
      </c>
      <c r="C2766" t="s">
        <v>110</v>
      </c>
      <c r="D2766" t="s">
        <v>583</v>
      </c>
      <c r="E2766" t="s">
        <v>583</v>
      </c>
      <c r="F2766" s="705">
        <v>66</v>
      </c>
      <c r="G2766" s="705">
        <v>13390</v>
      </c>
      <c r="H2766" s="705">
        <v>5897</v>
      </c>
      <c r="I2766" s="705">
        <v>626354</v>
      </c>
      <c r="J2766" s="705">
        <v>569413</v>
      </c>
      <c r="K2766" s="705">
        <v>94</v>
      </c>
      <c r="L2766" s="705">
        <v>90500</v>
      </c>
      <c r="M2766" s="705">
        <v>82564</v>
      </c>
      <c r="N2766" s="705">
        <v>198372</v>
      </c>
      <c r="O2766" s="705">
        <v>73471</v>
      </c>
      <c r="P2766" s="705">
        <v>46944</v>
      </c>
      <c r="Q2766" s="705">
        <v>17387</v>
      </c>
      <c r="R2766" s="705">
        <v>251137</v>
      </c>
      <c r="S2766" s="705">
        <v>228307</v>
      </c>
      <c r="T2766" s="705">
        <v>7210</v>
      </c>
      <c r="U2766" s="705">
        <v>2670</v>
      </c>
      <c r="V2766" s="705">
        <v>973812</v>
      </c>
      <c r="W2766" s="705">
        <f t="shared" si="110"/>
        <v>973812</v>
      </c>
      <c r="X2766" s="705">
        <f t="shared" si="111"/>
        <v>1220517</v>
      </c>
    </row>
    <row r="2767" spans="2:24">
      <c r="B2767" t="s">
        <v>555</v>
      </c>
      <c r="C2767" t="s">
        <v>110</v>
      </c>
      <c r="D2767" t="s">
        <v>584</v>
      </c>
      <c r="E2767" t="s">
        <v>584</v>
      </c>
      <c r="F2767" s="705">
        <v>7</v>
      </c>
      <c r="G2767" s="705">
        <v>1333</v>
      </c>
      <c r="H2767" s="705">
        <v>659</v>
      </c>
      <c r="I2767" s="705">
        <v>64309</v>
      </c>
      <c r="J2767" s="705">
        <v>58463</v>
      </c>
      <c r="K2767" s="705">
        <v>91</v>
      </c>
      <c r="L2767" s="705">
        <v>9802</v>
      </c>
      <c r="M2767" s="705">
        <v>8755</v>
      </c>
      <c r="N2767" s="705">
        <v>16637</v>
      </c>
      <c r="O2767" s="705">
        <v>6162</v>
      </c>
      <c r="P2767" s="705">
        <v>5901</v>
      </c>
      <c r="Q2767" s="705">
        <v>2185</v>
      </c>
      <c r="R2767" s="705">
        <v>28631</v>
      </c>
      <c r="S2767" s="705">
        <v>26028</v>
      </c>
      <c r="T2767" s="705">
        <v>0</v>
      </c>
      <c r="U2767" s="705">
        <v>0</v>
      </c>
      <c r="V2767" s="705">
        <v>101593</v>
      </c>
      <c r="W2767" s="705">
        <f t="shared" si="110"/>
        <v>101593</v>
      </c>
      <c r="X2767" s="705">
        <f t="shared" si="111"/>
        <v>125280</v>
      </c>
    </row>
    <row r="2768" spans="2:24">
      <c r="B2768" t="s">
        <v>555</v>
      </c>
      <c r="C2768" t="s">
        <v>110</v>
      </c>
      <c r="D2768" t="s">
        <v>585</v>
      </c>
      <c r="E2768" t="s">
        <v>585</v>
      </c>
      <c r="F2768" s="705">
        <v>2</v>
      </c>
      <c r="G2768" s="705">
        <v>499</v>
      </c>
      <c r="H2768" s="705">
        <v>187</v>
      </c>
      <c r="I2768" s="705">
        <v>28879</v>
      </c>
      <c r="J2768" s="705">
        <v>26254</v>
      </c>
      <c r="K2768" s="705">
        <v>93</v>
      </c>
      <c r="L2768" s="705">
        <v>4160</v>
      </c>
      <c r="M2768" s="705">
        <v>3782</v>
      </c>
      <c r="N2768" s="705">
        <v>11886</v>
      </c>
      <c r="O2768" s="705">
        <v>4402</v>
      </c>
      <c r="P2768" s="705">
        <v>1404</v>
      </c>
      <c r="Q2768" s="705">
        <v>520</v>
      </c>
      <c r="R2768" s="705">
        <v>10552</v>
      </c>
      <c r="S2768" s="705">
        <v>9593</v>
      </c>
      <c r="T2768" s="705">
        <v>0</v>
      </c>
      <c r="U2768" s="705">
        <v>0</v>
      </c>
      <c r="V2768" s="705">
        <v>44551</v>
      </c>
      <c r="W2768" s="705">
        <f t="shared" si="110"/>
        <v>44551</v>
      </c>
      <c r="X2768" s="705">
        <f t="shared" si="111"/>
        <v>56881</v>
      </c>
    </row>
    <row r="2769" spans="2:24">
      <c r="B2769" t="s">
        <v>555</v>
      </c>
      <c r="C2769" t="s">
        <v>112</v>
      </c>
      <c r="F2769" s="705">
        <v>1</v>
      </c>
      <c r="G2769" s="705">
        <v>85</v>
      </c>
      <c r="H2769" s="705">
        <v>115</v>
      </c>
      <c r="I2769" s="705"/>
      <c r="J2769" s="705">
        <v>0</v>
      </c>
      <c r="K2769" s="705"/>
      <c r="L2769" s="705"/>
      <c r="M2769" s="705">
        <v>0</v>
      </c>
      <c r="N2769" s="705">
        <v>1039</v>
      </c>
      <c r="O2769" s="705">
        <v>385</v>
      </c>
      <c r="P2769" s="705">
        <v>702</v>
      </c>
      <c r="Q2769" s="705">
        <v>260</v>
      </c>
      <c r="R2769" s="705"/>
      <c r="S2769" s="705">
        <v>0</v>
      </c>
      <c r="T2769" s="705">
        <v>0</v>
      </c>
      <c r="U2769" s="705">
        <v>0</v>
      </c>
      <c r="V2769" s="705">
        <v>645</v>
      </c>
      <c r="W2769" s="705">
        <f t="shared" si="110"/>
        <v>645</v>
      </c>
      <c r="X2769" s="705">
        <f t="shared" si="111"/>
        <v>1741</v>
      </c>
    </row>
    <row r="2770" spans="2:24">
      <c r="B2770" t="s">
        <v>555</v>
      </c>
      <c r="C2770" t="s">
        <v>112</v>
      </c>
      <c r="D2770" t="s">
        <v>582</v>
      </c>
      <c r="E2770" t="s">
        <v>582</v>
      </c>
      <c r="F2770" s="705">
        <v>2</v>
      </c>
      <c r="G2770" s="705">
        <v>437</v>
      </c>
      <c r="H2770" s="705">
        <v>236</v>
      </c>
      <c r="I2770" s="705">
        <v>31080</v>
      </c>
      <c r="J2770" s="705">
        <v>28254</v>
      </c>
      <c r="K2770" s="705">
        <v>92</v>
      </c>
      <c r="L2770" s="705">
        <v>4183</v>
      </c>
      <c r="M2770" s="705">
        <v>3802</v>
      </c>
      <c r="N2770" s="705">
        <v>9414</v>
      </c>
      <c r="O2770" s="705">
        <v>3487</v>
      </c>
      <c r="P2770" s="705">
        <v>1647</v>
      </c>
      <c r="Q2770" s="705">
        <v>610</v>
      </c>
      <c r="R2770" s="705">
        <v>6693</v>
      </c>
      <c r="S2770" s="705">
        <v>6085</v>
      </c>
      <c r="T2770" s="705">
        <v>2129</v>
      </c>
      <c r="U2770" s="705">
        <v>788</v>
      </c>
      <c r="V2770" s="705">
        <v>43026</v>
      </c>
      <c r="W2770" s="705">
        <f t="shared" si="110"/>
        <v>43026</v>
      </c>
      <c r="X2770" s="705">
        <f t="shared" si="111"/>
        <v>55146</v>
      </c>
    </row>
    <row r="2771" spans="2:24">
      <c r="B2771" t="s">
        <v>555</v>
      </c>
      <c r="C2771" t="s">
        <v>112</v>
      </c>
      <c r="D2771" t="s">
        <v>228</v>
      </c>
      <c r="E2771" t="s">
        <v>228</v>
      </c>
      <c r="F2771" s="705">
        <v>46</v>
      </c>
      <c r="G2771" s="705">
        <v>9276</v>
      </c>
      <c r="H2771" s="705">
        <v>5097</v>
      </c>
      <c r="I2771" s="705">
        <v>476761</v>
      </c>
      <c r="J2771" s="705">
        <v>176578</v>
      </c>
      <c r="K2771" s="705">
        <v>337</v>
      </c>
      <c r="L2771" s="705">
        <v>123464</v>
      </c>
      <c r="M2771" s="705">
        <v>105882</v>
      </c>
      <c r="N2771" s="705">
        <v>161906</v>
      </c>
      <c r="O2771" s="705">
        <v>59965</v>
      </c>
      <c r="P2771" s="705">
        <v>43040</v>
      </c>
      <c r="Q2771" s="705">
        <v>15941</v>
      </c>
      <c r="R2771" s="705">
        <v>255143</v>
      </c>
      <c r="S2771" s="705">
        <v>94497</v>
      </c>
      <c r="T2771" s="705">
        <v>0</v>
      </c>
      <c r="U2771" s="705">
        <v>0</v>
      </c>
      <c r="V2771" s="705">
        <v>452863</v>
      </c>
      <c r="W2771" s="705">
        <f t="shared" si="110"/>
        <v>452863</v>
      </c>
      <c r="X2771" s="705">
        <f t="shared" si="111"/>
        <v>1060314</v>
      </c>
    </row>
    <row r="2772" spans="2:24">
      <c r="B2772" t="s">
        <v>555</v>
      </c>
      <c r="C2772" t="s">
        <v>112</v>
      </c>
      <c r="D2772" t="s">
        <v>583</v>
      </c>
      <c r="E2772" t="s">
        <v>582</v>
      </c>
      <c r="F2772" s="705">
        <v>1</v>
      </c>
      <c r="G2772" s="705">
        <v>242</v>
      </c>
      <c r="H2772" s="705">
        <v>112</v>
      </c>
      <c r="I2772" s="705">
        <v>14186</v>
      </c>
      <c r="J2772" s="705">
        <v>12897</v>
      </c>
      <c r="K2772" s="705">
        <v>83</v>
      </c>
      <c r="L2772" s="705">
        <v>1911</v>
      </c>
      <c r="M2772" s="705">
        <v>1737</v>
      </c>
      <c r="N2772" s="705">
        <v>4281</v>
      </c>
      <c r="O2772" s="705">
        <v>1585</v>
      </c>
      <c r="P2772" s="705">
        <v>621</v>
      </c>
      <c r="Q2772" s="705">
        <v>230</v>
      </c>
      <c r="R2772" s="705">
        <v>3217</v>
      </c>
      <c r="S2772" s="705">
        <v>2924</v>
      </c>
      <c r="T2772" s="705">
        <v>2919</v>
      </c>
      <c r="U2772" s="705">
        <v>1081</v>
      </c>
      <c r="V2772" s="705">
        <v>20455</v>
      </c>
      <c r="W2772" s="705">
        <f t="shared" si="110"/>
        <v>20454</v>
      </c>
      <c r="X2772" s="705">
        <f t="shared" si="111"/>
        <v>27135</v>
      </c>
    </row>
    <row r="2773" spans="2:24">
      <c r="B2773" t="s">
        <v>555</v>
      </c>
      <c r="C2773" t="s">
        <v>112</v>
      </c>
      <c r="D2773" t="s">
        <v>583</v>
      </c>
      <c r="E2773" t="s">
        <v>583</v>
      </c>
      <c r="F2773" s="705">
        <v>193</v>
      </c>
      <c r="G2773" s="705">
        <v>43358</v>
      </c>
      <c r="H2773" s="705">
        <v>22580</v>
      </c>
      <c r="I2773" s="705">
        <v>2994905</v>
      </c>
      <c r="J2773" s="705">
        <v>2722641</v>
      </c>
      <c r="K2773" s="705">
        <v>92</v>
      </c>
      <c r="L2773" s="705">
        <v>541673</v>
      </c>
      <c r="M2773" s="705">
        <v>497070</v>
      </c>
      <c r="N2773" s="705">
        <v>776217</v>
      </c>
      <c r="O2773" s="705">
        <v>287488</v>
      </c>
      <c r="P2773" s="705">
        <v>140181</v>
      </c>
      <c r="Q2773" s="705">
        <v>51919</v>
      </c>
      <c r="R2773" s="705">
        <v>897361</v>
      </c>
      <c r="S2773" s="705">
        <v>815783</v>
      </c>
      <c r="T2773" s="705">
        <v>52087</v>
      </c>
      <c r="U2773" s="705">
        <v>19292</v>
      </c>
      <c r="V2773" s="705">
        <v>4394192</v>
      </c>
      <c r="W2773" s="705">
        <f t="shared" si="110"/>
        <v>4394193</v>
      </c>
      <c r="X2773" s="705">
        <f t="shared" si="111"/>
        <v>5402424</v>
      </c>
    </row>
    <row r="2774" spans="2:24">
      <c r="B2774" t="s">
        <v>555</v>
      </c>
      <c r="C2774" t="s">
        <v>112</v>
      </c>
      <c r="D2774" t="s">
        <v>584</v>
      </c>
      <c r="E2774" t="s">
        <v>228</v>
      </c>
      <c r="F2774" s="705">
        <v>6</v>
      </c>
      <c r="G2774" s="705">
        <v>1108</v>
      </c>
      <c r="H2774" s="705">
        <v>655</v>
      </c>
      <c r="I2774" s="705">
        <v>63877</v>
      </c>
      <c r="J2774" s="705">
        <v>58070</v>
      </c>
      <c r="K2774" s="705">
        <v>91</v>
      </c>
      <c r="L2774" s="705">
        <v>10636</v>
      </c>
      <c r="M2774" s="705">
        <v>9534</v>
      </c>
      <c r="N2774" s="705">
        <v>18740</v>
      </c>
      <c r="O2774" s="705">
        <v>6941</v>
      </c>
      <c r="P2774" s="705">
        <v>4590</v>
      </c>
      <c r="Q2774" s="705">
        <v>1700</v>
      </c>
      <c r="R2774" s="705">
        <v>23594</v>
      </c>
      <c r="S2774" s="705">
        <v>8738</v>
      </c>
      <c r="T2774" s="705">
        <v>0</v>
      </c>
      <c r="U2774" s="705">
        <v>0</v>
      </c>
      <c r="V2774" s="705">
        <v>84983</v>
      </c>
      <c r="W2774" s="705">
        <f t="shared" si="110"/>
        <v>84983</v>
      </c>
      <c r="X2774" s="705">
        <f t="shared" si="111"/>
        <v>121437</v>
      </c>
    </row>
    <row r="2775" spans="2:24">
      <c r="B2775" t="s">
        <v>555</v>
      </c>
      <c r="C2775" t="s">
        <v>112</v>
      </c>
      <c r="D2775" t="s">
        <v>584</v>
      </c>
      <c r="E2775" t="s">
        <v>584</v>
      </c>
      <c r="F2775" s="705">
        <v>23</v>
      </c>
      <c r="G2775" s="705">
        <v>4998</v>
      </c>
      <c r="H2775" s="705">
        <v>2717</v>
      </c>
      <c r="I2775" s="705">
        <v>328967</v>
      </c>
      <c r="J2775" s="705">
        <v>299061</v>
      </c>
      <c r="K2775" s="705">
        <v>90</v>
      </c>
      <c r="L2775" s="705">
        <v>58120</v>
      </c>
      <c r="M2775" s="705">
        <v>51985</v>
      </c>
      <c r="N2775" s="705">
        <v>91552</v>
      </c>
      <c r="O2775" s="705">
        <v>33908</v>
      </c>
      <c r="P2775" s="705">
        <v>11921</v>
      </c>
      <c r="Q2775" s="705">
        <v>4415</v>
      </c>
      <c r="R2775" s="705">
        <v>107614</v>
      </c>
      <c r="S2775" s="705">
        <v>97831</v>
      </c>
      <c r="T2775" s="705">
        <v>2256</v>
      </c>
      <c r="U2775" s="705">
        <v>835</v>
      </c>
      <c r="V2775" s="705">
        <v>488035</v>
      </c>
      <c r="W2775" s="705">
        <f t="shared" si="110"/>
        <v>488035</v>
      </c>
      <c r="X2775" s="705">
        <f t="shared" si="111"/>
        <v>600430</v>
      </c>
    </row>
    <row r="2776" spans="2:24">
      <c r="B2776" t="s">
        <v>555</v>
      </c>
      <c r="C2776" t="s">
        <v>112</v>
      </c>
      <c r="D2776" t="s">
        <v>673</v>
      </c>
      <c r="E2776" t="s">
        <v>673</v>
      </c>
      <c r="F2776" s="705">
        <v>1</v>
      </c>
      <c r="G2776" s="705">
        <v>375</v>
      </c>
      <c r="H2776" s="705">
        <v>124</v>
      </c>
      <c r="I2776" s="705">
        <v>30773</v>
      </c>
      <c r="J2776" s="705">
        <v>27976</v>
      </c>
      <c r="K2776" s="705">
        <v>83</v>
      </c>
      <c r="L2776" s="705">
        <v>4178</v>
      </c>
      <c r="M2776" s="705">
        <v>3798</v>
      </c>
      <c r="N2776" s="705">
        <v>6116</v>
      </c>
      <c r="O2776" s="705">
        <v>2265</v>
      </c>
      <c r="P2776" s="705">
        <v>2457</v>
      </c>
      <c r="Q2776" s="705">
        <v>910</v>
      </c>
      <c r="R2776" s="705">
        <v>2804</v>
      </c>
      <c r="S2776" s="705">
        <v>2549</v>
      </c>
      <c r="T2776" s="705">
        <v>0</v>
      </c>
      <c r="U2776" s="705">
        <v>0</v>
      </c>
      <c r="V2776" s="705">
        <v>37498</v>
      </c>
      <c r="W2776" s="705">
        <f t="shared" si="110"/>
        <v>37498</v>
      </c>
      <c r="X2776" s="705">
        <f t="shared" si="111"/>
        <v>46328</v>
      </c>
    </row>
    <row r="2777" spans="2:24">
      <c r="B2777" t="s">
        <v>555</v>
      </c>
      <c r="C2777" t="s">
        <v>114</v>
      </c>
      <c r="D2777" t="s">
        <v>664</v>
      </c>
      <c r="E2777" t="s">
        <v>664</v>
      </c>
      <c r="F2777" s="705">
        <v>3</v>
      </c>
      <c r="G2777" s="705">
        <v>1010</v>
      </c>
      <c r="H2777" s="705">
        <v>406</v>
      </c>
      <c r="I2777" s="705">
        <v>88951</v>
      </c>
      <c r="J2777" s="705">
        <v>80865</v>
      </c>
      <c r="K2777" s="705">
        <v>88</v>
      </c>
      <c r="L2777" s="705">
        <v>17784</v>
      </c>
      <c r="M2777" s="705">
        <v>16168</v>
      </c>
      <c r="N2777" s="705">
        <v>19661</v>
      </c>
      <c r="O2777" s="705">
        <v>7282</v>
      </c>
      <c r="P2777" s="705">
        <v>3065</v>
      </c>
      <c r="Q2777" s="705">
        <v>1135</v>
      </c>
      <c r="R2777" s="705">
        <v>19362</v>
      </c>
      <c r="S2777" s="705">
        <v>17601</v>
      </c>
      <c r="T2777" s="705">
        <v>0</v>
      </c>
      <c r="U2777" s="705">
        <v>0</v>
      </c>
      <c r="V2777" s="705">
        <v>123051</v>
      </c>
      <c r="W2777" s="705">
        <f t="shared" si="110"/>
        <v>123051</v>
      </c>
      <c r="X2777" s="705">
        <f t="shared" si="111"/>
        <v>148823</v>
      </c>
    </row>
    <row r="2778" spans="2:24">
      <c r="B2778" t="s">
        <v>555</v>
      </c>
      <c r="C2778" t="s">
        <v>114</v>
      </c>
      <c r="D2778" t="s">
        <v>664</v>
      </c>
      <c r="E2778" t="s">
        <v>582</v>
      </c>
      <c r="F2778" s="705">
        <v>1</v>
      </c>
      <c r="G2778" s="705">
        <v>268</v>
      </c>
      <c r="H2778" s="705">
        <v>136</v>
      </c>
      <c r="I2778" s="705">
        <v>18517</v>
      </c>
      <c r="J2778" s="705">
        <v>16833</v>
      </c>
      <c r="K2778" s="705">
        <v>90</v>
      </c>
      <c r="L2778" s="705">
        <v>4408</v>
      </c>
      <c r="M2778" s="705">
        <v>4007</v>
      </c>
      <c r="N2778" s="705">
        <v>6537</v>
      </c>
      <c r="O2778" s="705">
        <v>2421</v>
      </c>
      <c r="P2778" s="705">
        <v>473</v>
      </c>
      <c r="Q2778" s="705">
        <v>175</v>
      </c>
      <c r="R2778" s="705">
        <v>6578</v>
      </c>
      <c r="S2778" s="705">
        <v>5980</v>
      </c>
      <c r="T2778" s="705">
        <v>0</v>
      </c>
      <c r="U2778" s="705">
        <v>0</v>
      </c>
      <c r="V2778" s="705">
        <v>29417</v>
      </c>
      <c r="W2778" s="705">
        <f t="shared" si="110"/>
        <v>29416</v>
      </c>
      <c r="X2778" s="705">
        <f t="shared" si="111"/>
        <v>36513</v>
      </c>
    </row>
    <row r="2779" spans="2:24">
      <c r="B2779" t="s">
        <v>555</v>
      </c>
      <c r="C2779" t="s">
        <v>114</v>
      </c>
      <c r="D2779" t="s">
        <v>582</v>
      </c>
      <c r="E2779" t="s">
        <v>582</v>
      </c>
      <c r="F2779" s="705">
        <v>20</v>
      </c>
      <c r="G2779" s="705">
        <v>3716</v>
      </c>
      <c r="H2779" s="705">
        <v>2831</v>
      </c>
      <c r="I2779" s="705">
        <v>287332</v>
      </c>
      <c r="J2779" s="705">
        <v>261211</v>
      </c>
      <c r="K2779" s="705">
        <v>87</v>
      </c>
      <c r="L2779" s="705">
        <v>53961</v>
      </c>
      <c r="M2779" s="705">
        <v>49056</v>
      </c>
      <c r="N2779" s="705">
        <v>60693</v>
      </c>
      <c r="O2779" s="705">
        <v>22479</v>
      </c>
      <c r="P2779" s="705">
        <v>12275</v>
      </c>
      <c r="Q2779" s="705">
        <v>4546</v>
      </c>
      <c r="R2779" s="705">
        <v>104230</v>
      </c>
      <c r="S2779" s="705">
        <v>94755</v>
      </c>
      <c r="T2779" s="705">
        <v>4389</v>
      </c>
      <c r="U2779" s="705">
        <v>1625</v>
      </c>
      <c r="V2779" s="705">
        <v>433672</v>
      </c>
      <c r="W2779" s="705">
        <f t="shared" si="110"/>
        <v>433672</v>
      </c>
      <c r="X2779" s="705">
        <f t="shared" si="111"/>
        <v>522880</v>
      </c>
    </row>
    <row r="2780" spans="2:24">
      <c r="B2780" t="s">
        <v>555</v>
      </c>
      <c r="C2780" t="s">
        <v>114</v>
      </c>
      <c r="D2780" t="s">
        <v>228</v>
      </c>
      <c r="E2780" t="s">
        <v>228</v>
      </c>
      <c r="F2780" s="705">
        <v>24</v>
      </c>
      <c r="G2780" s="705">
        <v>4732</v>
      </c>
      <c r="H2780" s="705">
        <v>3298</v>
      </c>
      <c r="I2780" s="705">
        <v>367075</v>
      </c>
      <c r="J2780" s="705">
        <v>135954</v>
      </c>
      <c r="K2780" s="705">
        <v>292</v>
      </c>
      <c r="L2780" s="705">
        <v>89680</v>
      </c>
      <c r="M2780" s="705">
        <v>83093</v>
      </c>
      <c r="N2780" s="705">
        <v>99840</v>
      </c>
      <c r="O2780" s="705">
        <v>36978</v>
      </c>
      <c r="P2780" s="705">
        <v>28149</v>
      </c>
      <c r="Q2780" s="705">
        <v>10425</v>
      </c>
      <c r="R2780" s="705">
        <v>155472</v>
      </c>
      <c r="S2780" s="705">
        <v>57582</v>
      </c>
      <c r="T2780" s="705">
        <v>0</v>
      </c>
      <c r="U2780" s="705">
        <v>0</v>
      </c>
      <c r="V2780" s="705">
        <v>324033</v>
      </c>
      <c r="W2780" s="705">
        <f t="shared" si="110"/>
        <v>324032</v>
      </c>
      <c r="X2780" s="705">
        <f t="shared" si="111"/>
        <v>740216</v>
      </c>
    </row>
    <row r="2781" spans="2:24">
      <c r="B2781" t="s">
        <v>555</v>
      </c>
      <c r="C2781" t="s">
        <v>114</v>
      </c>
      <c r="D2781" t="s">
        <v>228</v>
      </c>
      <c r="E2781" t="s">
        <v>583</v>
      </c>
      <c r="F2781" s="705">
        <v>1</v>
      </c>
      <c r="G2781" s="705">
        <v>147</v>
      </c>
      <c r="H2781" s="705">
        <v>141</v>
      </c>
      <c r="I2781" s="705">
        <v>11316</v>
      </c>
      <c r="J2781" s="705">
        <v>4191</v>
      </c>
      <c r="K2781" s="705">
        <v>320</v>
      </c>
      <c r="L2781" s="705">
        <v>2732</v>
      </c>
      <c r="M2781" s="705">
        <v>2484</v>
      </c>
      <c r="N2781" s="705">
        <v>2064</v>
      </c>
      <c r="O2781" s="705">
        <v>764</v>
      </c>
      <c r="P2781" s="705">
        <v>972</v>
      </c>
      <c r="Q2781" s="705">
        <v>360</v>
      </c>
      <c r="R2781" s="705">
        <v>3736</v>
      </c>
      <c r="S2781" s="705">
        <v>3396</v>
      </c>
      <c r="T2781" s="705">
        <v>0</v>
      </c>
      <c r="U2781" s="705">
        <v>0</v>
      </c>
      <c r="V2781" s="705">
        <v>11195</v>
      </c>
      <c r="W2781" s="705">
        <f t="shared" si="110"/>
        <v>11195</v>
      </c>
      <c r="X2781" s="705">
        <f t="shared" si="111"/>
        <v>20820</v>
      </c>
    </row>
    <row r="2782" spans="2:24">
      <c r="B2782" t="s">
        <v>555</v>
      </c>
      <c r="C2782" t="s">
        <v>114</v>
      </c>
      <c r="D2782" t="s">
        <v>583</v>
      </c>
      <c r="E2782" t="s">
        <v>228</v>
      </c>
      <c r="F2782" s="705">
        <v>3</v>
      </c>
      <c r="G2782" s="705">
        <v>626</v>
      </c>
      <c r="H2782" s="705">
        <v>426</v>
      </c>
      <c r="I2782" s="705">
        <v>63722</v>
      </c>
      <c r="J2782" s="705">
        <v>57929</v>
      </c>
      <c r="K2782" s="705">
        <v>86</v>
      </c>
      <c r="L2782" s="705">
        <v>13256</v>
      </c>
      <c r="M2782" s="705">
        <v>12050</v>
      </c>
      <c r="N2782" s="705">
        <v>13825</v>
      </c>
      <c r="O2782" s="705">
        <v>5120</v>
      </c>
      <c r="P2782" s="705">
        <v>1863</v>
      </c>
      <c r="Q2782" s="705">
        <v>690</v>
      </c>
      <c r="R2782" s="705">
        <v>10483</v>
      </c>
      <c r="S2782" s="705">
        <v>3883</v>
      </c>
      <c r="T2782" s="705">
        <v>0</v>
      </c>
      <c r="U2782" s="705">
        <v>0</v>
      </c>
      <c r="V2782" s="705">
        <v>79672</v>
      </c>
      <c r="W2782" s="705">
        <f t="shared" si="110"/>
        <v>79672</v>
      </c>
      <c r="X2782" s="705">
        <f t="shared" si="111"/>
        <v>103149</v>
      </c>
    </row>
    <row r="2783" spans="2:24">
      <c r="B2783" t="s">
        <v>555</v>
      </c>
      <c r="C2783" t="s">
        <v>114</v>
      </c>
      <c r="D2783" t="s">
        <v>583</v>
      </c>
      <c r="E2783" t="s">
        <v>583</v>
      </c>
      <c r="F2783" s="705">
        <v>607</v>
      </c>
      <c r="G2783" s="705">
        <v>122123</v>
      </c>
      <c r="H2783" s="705">
        <v>85222</v>
      </c>
      <c r="I2783" s="705">
        <v>9990550</v>
      </c>
      <c r="J2783" s="705">
        <v>9082318</v>
      </c>
      <c r="K2783" s="705">
        <v>90</v>
      </c>
      <c r="L2783" s="705">
        <v>1994319</v>
      </c>
      <c r="M2783" s="705">
        <v>1967082</v>
      </c>
      <c r="N2783" s="705">
        <v>2428355</v>
      </c>
      <c r="O2783" s="705">
        <v>899391</v>
      </c>
      <c r="P2783" s="705">
        <v>409695</v>
      </c>
      <c r="Q2783" s="705">
        <v>151739</v>
      </c>
      <c r="R2783" s="705">
        <v>3154666</v>
      </c>
      <c r="S2783" s="705">
        <v>2867878</v>
      </c>
      <c r="T2783" s="705">
        <v>295130</v>
      </c>
      <c r="U2783" s="705">
        <v>109307</v>
      </c>
      <c r="V2783" s="705">
        <v>15077716</v>
      </c>
      <c r="W2783" s="705">
        <f t="shared" si="110"/>
        <v>15077715</v>
      </c>
      <c r="X2783" s="705">
        <f t="shared" si="111"/>
        <v>18272715</v>
      </c>
    </row>
    <row r="2784" spans="2:24">
      <c r="B2784" t="s">
        <v>555</v>
      </c>
      <c r="C2784" t="s">
        <v>114</v>
      </c>
      <c r="D2784" t="s">
        <v>583</v>
      </c>
      <c r="E2784" t="s">
        <v>666</v>
      </c>
      <c r="F2784" s="705">
        <v>1</v>
      </c>
      <c r="G2784" s="705">
        <v>190</v>
      </c>
      <c r="H2784" s="705">
        <v>129</v>
      </c>
      <c r="I2784" s="705">
        <v>13552</v>
      </c>
      <c r="J2784" s="705">
        <v>12320</v>
      </c>
      <c r="K2784" s="705">
        <v>93</v>
      </c>
      <c r="L2784" s="705">
        <v>2341</v>
      </c>
      <c r="M2784" s="705">
        <v>2129</v>
      </c>
      <c r="N2784" s="705">
        <v>2738</v>
      </c>
      <c r="O2784" s="705">
        <v>1014</v>
      </c>
      <c r="P2784" s="705">
        <v>621</v>
      </c>
      <c r="Q2784" s="705">
        <v>230</v>
      </c>
      <c r="R2784" s="705">
        <v>5263</v>
      </c>
      <c r="S2784" s="705">
        <v>4785</v>
      </c>
      <c r="T2784" s="705">
        <v>0</v>
      </c>
      <c r="U2784" s="705">
        <v>0</v>
      </c>
      <c r="V2784" s="705">
        <v>20478</v>
      </c>
      <c r="W2784" s="705">
        <f t="shared" si="110"/>
        <v>20478</v>
      </c>
      <c r="X2784" s="705">
        <f t="shared" si="111"/>
        <v>24515</v>
      </c>
    </row>
    <row r="2785" spans="2:24">
      <c r="B2785" t="s">
        <v>555</v>
      </c>
      <c r="C2785" t="s">
        <v>114</v>
      </c>
      <c r="D2785" t="s">
        <v>584</v>
      </c>
      <c r="E2785" t="s">
        <v>584</v>
      </c>
      <c r="F2785" s="705">
        <v>104</v>
      </c>
      <c r="G2785" s="705">
        <v>19325</v>
      </c>
      <c r="H2785" s="705">
        <v>14604</v>
      </c>
      <c r="I2785" s="705">
        <v>1484035</v>
      </c>
      <c r="J2785" s="705">
        <v>1349122</v>
      </c>
      <c r="K2785" s="705">
        <v>87</v>
      </c>
      <c r="L2785" s="705">
        <v>284903</v>
      </c>
      <c r="M2785" s="705">
        <v>254111</v>
      </c>
      <c r="N2785" s="705">
        <v>350788</v>
      </c>
      <c r="O2785" s="705">
        <v>129921</v>
      </c>
      <c r="P2785" s="705">
        <v>59429</v>
      </c>
      <c r="Q2785" s="705">
        <v>22011</v>
      </c>
      <c r="R2785" s="705">
        <v>555920</v>
      </c>
      <c r="S2785" s="705">
        <v>505381</v>
      </c>
      <c r="T2785" s="705">
        <v>20654</v>
      </c>
      <c r="U2785" s="705">
        <v>7649</v>
      </c>
      <c r="V2785" s="705">
        <v>2268196</v>
      </c>
      <c r="W2785" s="705">
        <f t="shared" si="110"/>
        <v>2268195</v>
      </c>
      <c r="X2785" s="705">
        <f t="shared" si="111"/>
        <v>2755729</v>
      </c>
    </row>
    <row r="2786" spans="2:24">
      <c r="B2786" t="s">
        <v>555</v>
      </c>
      <c r="C2786" t="s">
        <v>114</v>
      </c>
      <c r="D2786" t="s">
        <v>665</v>
      </c>
      <c r="E2786" t="s">
        <v>228</v>
      </c>
      <c r="F2786" s="705">
        <v>2</v>
      </c>
      <c r="G2786" s="705">
        <v>359</v>
      </c>
      <c r="H2786" s="705">
        <v>294</v>
      </c>
      <c r="I2786" s="705">
        <v>46370</v>
      </c>
      <c r="J2786" s="705">
        <v>42155</v>
      </c>
      <c r="K2786" s="705">
        <v>70</v>
      </c>
      <c r="L2786" s="705">
        <v>2681</v>
      </c>
      <c r="M2786" s="705">
        <v>2437</v>
      </c>
      <c r="N2786" s="705">
        <v>7419</v>
      </c>
      <c r="O2786" s="705">
        <v>2748</v>
      </c>
      <c r="P2786" s="705">
        <v>351</v>
      </c>
      <c r="Q2786" s="705">
        <v>130</v>
      </c>
      <c r="R2786" s="705">
        <v>11289</v>
      </c>
      <c r="S2786" s="705">
        <v>4181</v>
      </c>
      <c r="T2786" s="705">
        <v>0</v>
      </c>
      <c r="U2786" s="705">
        <v>0</v>
      </c>
      <c r="V2786" s="705">
        <v>51651</v>
      </c>
      <c r="W2786" s="705">
        <f t="shared" si="110"/>
        <v>51651</v>
      </c>
      <c r="X2786" s="705">
        <f t="shared" si="111"/>
        <v>68110</v>
      </c>
    </row>
    <row r="2787" spans="2:24">
      <c r="B2787" t="s">
        <v>555</v>
      </c>
      <c r="C2787" t="s">
        <v>114</v>
      </c>
      <c r="D2787" t="s">
        <v>665</v>
      </c>
      <c r="E2787" t="s">
        <v>665</v>
      </c>
      <c r="F2787" s="705">
        <v>1</v>
      </c>
      <c r="G2787" s="705">
        <v>217</v>
      </c>
      <c r="H2787" s="705">
        <v>143</v>
      </c>
      <c r="I2787" s="705">
        <v>36093</v>
      </c>
      <c r="J2787" s="705">
        <v>32812</v>
      </c>
      <c r="K2787" s="705">
        <v>86</v>
      </c>
      <c r="L2787" s="705">
        <v>3992</v>
      </c>
      <c r="M2787" s="705">
        <v>3629</v>
      </c>
      <c r="N2787" s="705">
        <v>8567</v>
      </c>
      <c r="O2787" s="705">
        <v>3173</v>
      </c>
      <c r="P2787" s="705">
        <v>351</v>
      </c>
      <c r="Q2787" s="705">
        <v>130</v>
      </c>
      <c r="R2787" s="705">
        <v>1184</v>
      </c>
      <c r="S2787" s="705">
        <v>1076</v>
      </c>
      <c r="T2787" s="705">
        <v>0</v>
      </c>
      <c r="U2787" s="705">
        <v>0</v>
      </c>
      <c r="V2787" s="705">
        <v>40819</v>
      </c>
      <c r="W2787" s="705">
        <f t="shared" si="110"/>
        <v>40820</v>
      </c>
      <c r="X2787" s="705">
        <f t="shared" si="111"/>
        <v>50187</v>
      </c>
    </row>
    <row r="2788" spans="2:24">
      <c r="B2788" t="s">
        <v>555</v>
      </c>
      <c r="C2788" t="s">
        <v>114</v>
      </c>
      <c r="D2788" t="s">
        <v>722</v>
      </c>
      <c r="E2788" t="s">
        <v>722</v>
      </c>
      <c r="F2788" s="705">
        <v>1</v>
      </c>
      <c r="G2788" s="705">
        <v>287</v>
      </c>
      <c r="H2788" s="705">
        <v>142</v>
      </c>
      <c r="I2788" s="705">
        <v>24606</v>
      </c>
      <c r="J2788" s="705">
        <v>22369</v>
      </c>
      <c r="K2788" s="705">
        <v>85</v>
      </c>
      <c r="L2788" s="705">
        <v>3873</v>
      </c>
      <c r="M2788" s="705">
        <v>3521</v>
      </c>
      <c r="N2788" s="705">
        <v>5245</v>
      </c>
      <c r="O2788" s="705">
        <v>1943</v>
      </c>
      <c r="P2788" s="705">
        <v>351</v>
      </c>
      <c r="Q2788" s="705">
        <v>130</v>
      </c>
      <c r="R2788" s="705">
        <v>6771</v>
      </c>
      <c r="S2788" s="705">
        <v>6156</v>
      </c>
      <c r="T2788" s="705">
        <v>0</v>
      </c>
      <c r="U2788" s="705">
        <v>0</v>
      </c>
      <c r="V2788" s="705">
        <v>34119</v>
      </c>
      <c r="W2788" s="705">
        <f t="shared" si="110"/>
        <v>34119</v>
      </c>
      <c r="X2788" s="705">
        <f t="shared" si="111"/>
        <v>40846</v>
      </c>
    </row>
    <row r="2789" spans="2:24">
      <c r="B2789" t="s">
        <v>555</v>
      </c>
      <c r="C2789" t="s">
        <v>114</v>
      </c>
      <c r="D2789" t="s">
        <v>585</v>
      </c>
      <c r="E2789" t="s">
        <v>585</v>
      </c>
      <c r="F2789" s="705">
        <v>8</v>
      </c>
      <c r="G2789" s="705">
        <v>1890</v>
      </c>
      <c r="H2789" s="705">
        <v>1122</v>
      </c>
      <c r="I2789" s="705">
        <v>171005</v>
      </c>
      <c r="J2789" s="705">
        <v>155459</v>
      </c>
      <c r="K2789" s="705">
        <v>76</v>
      </c>
      <c r="L2789" s="705">
        <v>27758</v>
      </c>
      <c r="M2789" s="705">
        <v>25235</v>
      </c>
      <c r="N2789" s="705">
        <v>34690</v>
      </c>
      <c r="O2789" s="705">
        <v>12848</v>
      </c>
      <c r="P2789" s="705">
        <v>5535</v>
      </c>
      <c r="Q2789" s="705">
        <v>2050</v>
      </c>
      <c r="R2789" s="705">
        <v>40918</v>
      </c>
      <c r="S2789" s="705">
        <v>37198</v>
      </c>
      <c r="T2789" s="705">
        <v>4785</v>
      </c>
      <c r="U2789" s="705">
        <v>1772</v>
      </c>
      <c r="V2789" s="705">
        <v>234562</v>
      </c>
      <c r="W2789" s="705">
        <f t="shared" si="110"/>
        <v>234562</v>
      </c>
      <c r="X2789" s="705">
        <f t="shared" si="111"/>
        <v>284691</v>
      </c>
    </row>
    <row r="2790" spans="2:24">
      <c r="B2790" t="s">
        <v>555</v>
      </c>
      <c r="C2790" t="s">
        <v>116</v>
      </c>
      <c r="F2790" s="705">
        <v>1</v>
      </c>
      <c r="G2790" s="705">
        <v>317</v>
      </c>
      <c r="H2790" s="705">
        <v>172</v>
      </c>
      <c r="I2790" s="705"/>
      <c r="J2790" s="705">
        <v>0</v>
      </c>
      <c r="K2790" s="705"/>
      <c r="L2790" s="705"/>
      <c r="M2790" s="705">
        <v>0</v>
      </c>
      <c r="N2790" s="705">
        <v>4673</v>
      </c>
      <c r="O2790" s="705">
        <v>1731</v>
      </c>
      <c r="P2790" s="705">
        <v>351</v>
      </c>
      <c r="Q2790" s="705">
        <v>130</v>
      </c>
      <c r="R2790" s="705"/>
      <c r="S2790" s="705">
        <v>0</v>
      </c>
      <c r="T2790" s="705">
        <v>0</v>
      </c>
      <c r="U2790" s="705">
        <v>0</v>
      </c>
      <c r="V2790" s="705">
        <v>1861</v>
      </c>
      <c r="W2790" s="705">
        <f t="shared" si="110"/>
        <v>1861</v>
      </c>
      <c r="X2790" s="705">
        <f t="shared" si="111"/>
        <v>5024</v>
      </c>
    </row>
    <row r="2791" spans="2:24">
      <c r="B2791" t="s">
        <v>555</v>
      </c>
      <c r="C2791" t="s">
        <v>116</v>
      </c>
      <c r="D2791" t="s">
        <v>664</v>
      </c>
      <c r="E2791" t="s">
        <v>664</v>
      </c>
      <c r="F2791" s="705">
        <v>7</v>
      </c>
      <c r="G2791" s="705">
        <v>1019</v>
      </c>
      <c r="H2791" s="705">
        <v>1273</v>
      </c>
      <c r="I2791" s="705">
        <v>129384</v>
      </c>
      <c r="J2791" s="705">
        <v>117622</v>
      </c>
      <c r="K2791" s="705">
        <v>89</v>
      </c>
      <c r="L2791" s="705">
        <v>20173</v>
      </c>
      <c r="M2791" s="705">
        <v>19904</v>
      </c>
      <c r="N2791" s="705">
        <v>22541</v>
      </c>
      <c r="O2791" s="705">
        <v>8348</v>
      </c>
      <c r="P2791" s="705">
        <v>3335</v>
      </c>
      <c r="Q2791" s="705">
        <v>1235</v>
      </c>
      <c r="R2791" s="705">
        <v>35320</v>
      </c>
      <c r="S2791" s="705">
        <v>32109</v>
      </c>
      <c r="T2791" s="705">
        <v>0</v>
      </c>
      <c r="U2791" s="705">
        <v>0</v>
      </c>
      <c r="V2791" s="705">
        <v>179219</v>
      </c>
      <c r="W2791" s="705">
        <f t="shared" si="110"/>
        <v>179218</v>
      </c>
      <c r="X2791" s="705">
        <f t="shared" si="111"/>
        <v>210753</v>
      </c>
    </row>
    <row r="2792" spans="2:24">
      <c r="B2792" t="s">
        <v>555</v>
      </c>
      <c r="C2792" t="s">
        <v>116</v>
      </c>
      <c r="D2792" t="s">
        <v>664</v>
      </c>
      <c r="E2792" t="s">
        <v>583</v>
      </c>
      <c r="F2792" s="705">
        <v>1</v>
      </c>
      <c r="G2792" s="705">
        <v>218</v>
      </c>
      <c r="H2792" s="705">
        <v>155</v>
      </c>
      <c r="I2792" s="705">
        <v>19278</v>
      </c>
      <c r="J2792" s="705">
        <v>17525</v>
      </c>
      <c r="K2792" s="705">
        <v>92</v>
      </c>
      <c r="L2792" s="705">
        <v>3591</v>
      </c>
      <c r="M2792" s="705">
        <v>3264</v>
      </c>
      <c r="N2792" s="705">
        <v>5190</v>
      </c>
      <c r="O2792" s="705">
        <v>1922</v>
      </c>
      <c r="P2792" s="705">
        <v>621</v>
      </c>
      <c r="Q2792" s="705">
        <v>230</v>
      </c>
      <c r="R2792" s="705">
        <v>5246</v>
      </c>
      <c r="S2792" s="705">
        <v>4769</v>
      </c>
      <c r="T2792" s="705">
        <v>0</v>
      </c>
      <c r="U2792" s="705">
        <v>0</v>
      </c>
      <c r="V2792" s="705">
        <v>27711</v>
      </c>
      <c r="W2792" s="705">
        <f t="shared" si="110"/>
        <v>27710</v>
      </c>
      <c r="X2792" s="705">
        <f t="shared" si="111"/>
        <v>33926</v>
      </c>
    </row>
    <row r="2793" spans="2:24">
      <c r="B2793" t="s">
        <v>555</v>
      </c>
      <c r="C2793" t="s">
        <v>116</v>
      </c>
      <c r="D2793" t="s">
        <v>582</v>
      </c>
      <c r="E2793" t="s">
        <v>582</v>
      </c>
      <c r="F2793" s="705">
        <v>89</v>
      </c>
      <c r="G2793" s="705">
        <v>12565</v>
      </c>
      <c r="H2793" s="705">
        <v>17142</v>
      </c>
      <c r="I2793" s="705">
        <v>1406172</v>
      </c>
      <c r="J2793" s="705">
        <v>1278338</v>
      </c>
      <c r="K2793" s="705">
        <v>85</v>
      </c>
      <c r="L2793" s="705">
        <v>282353</v>
      </c>
      <c r="M2793" s="705">
        <v>246471</v>
      </c>
      <c r="N2793" s="705">
        <v>269395</v>
      </c>
      <c r="O2793" s="705">
        <v>99776</v>
      </c>
      <c r="P2793" s="705">
        <v>43524</v>
      </c>
      <c r="Q2793" s="705">
        <v>16120</v>
      </c>
      <c r="R2793" s="705">
        <v>427167</v>
      </c>
      <c r="S2793" s="705">
        <v>388334</v>
      </c>
      <c r="T2793" s="705">
        <v>62103</v>
      </c>
      <c r="U2793" s="705">
        <v>23001</v>
      </c>
      <c r="V2793" s="705">
        <v>2052040</v>
      </c>
      <c r="W2793" s="705">
        <f t="shared" si="110"/>
        <v>2052040</v>
      </c>
      <c r="X2793" s="705">
        <f t="shared" si="111"/>
        <v>2490714</v>
      </c>
    </row>
    <row r="2794" spans="2:24">
      <c r="B2794" t="s">
        <v>555</v>
      </c>
      <c r="C2794" t="s">
        <v>116</v>
      </c>
      <c r="D2794" t="s">
        <v>228</v>
      </c>
      <c r="E2794" t="s">
        <v>228</v>
      </c>
      <c r="F2794" s="705">
        <v>30</v>
      </c>
      <c r="G2794" s="705">
        <v>5724</v>
      </c>
      <c r="H2794" s="705">
        <v>5389</v>
      </c>
      <c r="I2794" s="705">
        <v>609265</v>
      </c>
      <c r="J2794" s="705">
        <v>225654</v>
      </c>
      <c r="K2794" s="705">
        <v>241</v>
      </c>
      <c r="L2794" s="705">
        <v>116674</v>
      </c>
      <c r="M2794" s="705">
        <v>94255</v>
      </c>
      <c r="N2794" s="705">
        <v>113420</v>
      </c>
      <c r="O2794" s="705">
        <v>42007</v>
      </c>
      <c r="P2794" s="705">
        <v>16884</v>
      </c>
      <c r="Q2794" s="705">
        <v>6253</v>
      </c>
      <c r="R2794" s="705">
        <v>227580</v>
      </c>
      <c r="S2794" s="705">
        <v>84289</v>
      </c>
      <c r="T2794" s="705">
        <v>0</v>
      </c>
      <c r="U2794" s="705">
        <v>0</v>
      </c>
      <c r="V2794" s="705">
        <v>452458</v>
      </c>
      <c r="W2794" s="705">
        <f t="shared" si="110"/>
        <v>452458</v>
      </c>
      <c r="X2794" s="705">
        <f t="shared" si="111"/>
        <v>1083823</v>
      </c>
    </row>
    <row r="2795" spans="2:24">
      <c r="B2795" t="s">
        <v>555</v>
      </c>
      <c r="C2795" t="s">
        <v>116</v>
      </c>
      <c r="D2795" t="s">
        <v>583</v>
      </c>
      <c r="E2795" t="s">
        <v>664</v>
      </c>
      <c r="F2795" s="705">
        <v>2</v>
      </c>
      <c r="G2795" s="705">
        <v>309</v>
      </c>
      <c r="H2795" s="705">
        <v>396</v>
      </c>
      <c r="I2795" s="705">
        <v>41830</v>
      </c>
      <c r="J2795" s="705">
        <v>38027</v>
      </c>
      <c r="K2795" s="705">
        <v>82</v>
      </c>
      <c r="L2795" s="705">
        <v>5609</v>
      </c>
      <c r="M2795" s="705">
        <v>5100</v>
      </c>
      <c r="N2795" s="705">
        <v>5585</v>
      </c>
      <c r="O2795" s="705">
        <v>2069</v>
      </c>
      <c r="P2795" s="705">
        <v>1242</v>
      </c>
      <c r="Q2795" s="705">
        <v>460</v>
      </c>
      <c r="R2795" s="705">
        <v>6083</v>
      </c>
      <c r="S2795" s="705">
        <v>5530</v>
      </c>
      <c r="T2795" s="705">
        <v>803</v>
      </c>
      <c r="U2795" s="705">
        <v>297</v>
      </c>
      <c r="V2795" s="705">
        <v>51483</v>
      </c>
      <c r="W2795" s="705">
        <f t="shared" si="110"/>
        <v>51483</v>
      </c>
      <c r="X2795" s="705">
        <f t="shared" si="111"/>
        <v>61152</v>
      </c>
    </row>
    <row r="2796" spans="2:24">
      <c r="B2796" t="s">
        <v>555</v>
      </c>
      <c r="C2796" t="s">
        <v>116</v>
      </c>
      <c r="D2796" t="s">
        <v>583</v>
      </c>
      <c r="E2796" t="s">
        <v>228</v>
      </c>
      <c r="F2796" s="705">
        <v>10</v>
      </c>
      <c r="G2796" s="705">
        <v>1425</v>
      </c>
      <c r="H2796" s="705">
        <v>1912</v>
      </c>
      <c r="I2796" s="705">
        <v>193673</v>
      </c>
      <c r="J2796" s="705">
        <v>176067</v>
      </c>
      <c r="K2796" s="705">
        <v>86</v>
      </c>
      <c r="L2796" s="705">
        <v>38084</v>
      </c>
      <c r="M2796" s="705">
        <v>34622</v>
      </c>
      <c r="N2796" s="705">
        <v>33001</v>
      </c>
      <c r="O2796" s="705">
        <v>12223</v>
      </c>
      <c r="P2796" s="705">
        <v>6561</v>
      </c>
      <c r="Q2796" s="705">
        <v>2430</v>
      </c>
      <c r="R2796" s="705">
        <v>54402</v>
      </c>
      <c r="S2796" s="705">
        <v>20149</v>
      </c>
      <c r="T2796" s="705">
        <v>0</v>
      </c>
      <c r="U2796" s="705">
        <v>0</v>
      </c>
      <c r="V2796" s="705">
        <v>245490</v>
      </c>
      <c r="W2796" s="705">
        <f t="shared" ref="W2796:W2859" si="112">SUM(ABS(J2796),ABS(M2796),ABS(O2796),ABS(Q2796),ABS(S2796),ABS(U2796))</f>
        <v>245491</v>
      </c>
      <c r="X2796" s="705">
        <f t="shared" ref="X2796:X2859" si="113">SUM(ABS(I2796),ABS(N2796),ABS(P2796),ABS(R2796),ABS(T2796),ABS(L2796))</f>
        <v>325721</v>
      </c>
    </row>
    <row r="2797" spans="2:24">
      <c r="B2797" t="s">
        <v>555</v>
      </c>
      <c r="C2797" t="s">
        <v>116</v>
      </c>
      <c r="D2797" t="s">
        <v>583</v>
      </c>
      <c r="E2797" t="s">
        <v>583</v>
      </c>
      <c r="F2797" s="705">
        <v>3666</v>
      </c>
      <c r="G2797" s="705">
        <v>594081</v>
      </c>
      <c r="H2797" s="705">
        <v>700501</v>
      </c>
      <c r="I2797" s="705">
        <v>66125755</v>
      </c>
      <c r="J2797" s="705">
        <v>60114323</v>
      </c>
      <c r="K2797" s="705">
        <v>85</v>
      </c>
      <c r="L2797" s="705">
        <v>13740349</v>
      </c>
      <c r="M2797" s="705">
        <v>12325779</v>
      </c>
      <c r="N2797" s="705">
        <v>12385295</v>
      </c>
      <c r="O2797" s="705">
        <v>4587146</v>
      </c>
      <c r="P2797" s="705">
        <v>2375699</v>
      </c>
      <c r="Q2797" s="705">
        <v>879888</v>
      </c>
      <c r="R2797" s="705">
        <v>19616490</v>
      </c>
      <c r="S2797" s="705">
        <v>17833172</v>
      </c>
      <c r="T2797" s="705">
        <v>4138708</v>
      </c>
      <c r="U2797" s="705">
        <v>1532855</v>
      </c>
      <c r="V2797" s="705">
        <v>97273164</v>
      </c>
      <c r="W2797" s="705">
        <f t="shared" si="112"/>
        <v>97273163</v>
      </c>
      <c r="X2797" s="705">
        <f t="shared" si="113"/>
        <v>118382296</v>
      </c>
    </row>
    <row r="2798" spans="2:24">
      <c r="B2798" t="s">
        <v>555</v>
      </c>
      <c r="C2798" t="s">
        <v>116</v>
      </c>
      <c r="D2798" t="s">
        <v>583</v>
      </c>
      <c r="E2798" t="s">
        <v>665</v>
      </c>
      <c r="F2798" s="705">
        <v>2</v>
      </c>
      <c r="G2798" s="705">
        <v>252</v>
      </c>
      <c r="H2798" s="705">
        <v>405</v>
      </c>
      <c r="I2798" s="705">
        <v>27659</v>
      </c>
      <c r="J2798" s="705">
        <v>25145</v>
      </c>
      <c r="K2798" s="705">
        <v>87</v>
      </c>
      <c r="L2798" s="705">
        <v>4269</v>
      </c>
      <c r="M2798" s="705">
        <v>3881</v>
      </c>
      <c r="N2798" s="705">
        <v>5378</v>
      </c>
      <c r="O2798" s="705">
        <v>1992</v>
      </c>
      <c r="P2798" s="705">
        <v>1242</v>
      </c>
      <c r="Q2798" s="705">
        <v>460</v>
      </c>
      <c r="R2798" s="705">
        <v>7161</v>
      </c>
      <c r="S2798" s="705">
        <v>6510</v>
      </c>
      <c r="T2798" s="705">
        <v>5492</v>
      </c>
      <c r="U2798" s="705">
        <v>2034</v>
      </c>
      <c r="V2798" s="705">
        <v>40021</v>
      </c>
      <c r="W2798" s="705">
        <f t="shared" si="112"/>
        <v>40022</v>
      </c>
      <c r="X2798" s="705">
        <f t="shared" si="113"/>
        <v>51201</v>
      </c>
    </row>
    <row r="2799" spans="2:24">
      <c r="B2799" t="s">
        <v>555</v>
      </c>
      <c r="C2799" t="s">
        <v>116</v>
      </c>
      <c r="D2799" t="s">
        <v>583</v>
      </c>
      <c r="E2799" t="s">
        <v>673</v>
      </c>
      <c r="F2799" s="705">
        <v>1</v>
      </c>
      <c r="G2799" s="705">
        <v>247</v>
      </c>
      <c r="H2799" s="705">
        <v>172</v>
      </c>
      <c r="I2799" s="705">
        <v>24024</v>
      </c>
      <c r="J2799" s="705">
        <v>21840</v>
      </c>
      <c r="K2799" s="705">
        <v>86</v>
      </c>
      <c r="L2799" s="705">
        <v>3635</v>
      </c>
      <c r="M2799" s="705">
        <v>3304</v>
      </c>
      <c r="N2799" s="705">
        <v>5781</v>
      </c>
      <c r="O2799" s="705">
        <v>2141</v>
      </c>
      <c r="P2799" s="705">
        <v>1670</v>
      </c>
      <c r="Q2799" s="705">
        <v>619</v>
      </c>
      <c r="R2799" s="705">
        <v>7493</v>
      </c>
      <c r="S2799" s="705">
        <v>6812</v>
      </c>
      <c r="T2799" s="705">
        <v>0</v>
      </c>
      <c r="U2799" s="705">
        <v>0</v>
      </c>
      <c r="V2799" s="705">
        <v>34716</v>
      </c>
      <c r="W2799" s="705">
        <f t="shared" si="112"/>
        <v>34716</v>
      </c>
      <c r="X2799" s="705">
        <f t="shared" si="113"/>
        <v>42603</v>
      </c>
    </row>
    <row r="2800" spans="2:24">
      <c r="B2800" t="s">
        <v>555</v>
      </c>
      <c r="C2800" t="s">
        <v>116</v>
      </c>
      <c r="D2800" t="s">
        <v>583</v>
      </c>
      <c r="E2800" t="s">
        <v>668</v>
      </c>
      <c r="F2800" s="705">
        <v>1</v>
      </c>
      <c r="G2800" s="705">
        <v>175</v>
      </c>
      <c r="H2800" s="705">
        <v>206</v>
      </c>
      <c r="I2800" s="705">
        <v>21032</v>
      </c>
      <c r="J2800" s="705">
        <v>19120</v>
      </c>
      <c r="K2800" s="705">
        <v>79</v>
      </c>
      <c r="L2800" s="705">
        <v>2696</v>
      </c>
      <c r="M2800" s="705">
        <v>2451</v>
      </c>
      <c r="N2800" s="705">
        <v>4270</v>
      </c>
      <c r="O2800" s="705">
        <v>1582</v>
      </c>
      <c r="P2800" s="705">
        <v>621</v>
      </c>
      <c r="Q2800" s="705">
        <v>230</v>
      </c>
      <c r="R2800" s="705">
        <v>7411</v>
      </c>
      <c r="S2800" s="705">
        <v>6738</v>
      </c>
      <c r="T2800" s="705">
        <v>0</v>
      </c>
      <c r="U2800" s="705">
        <v>0</v>
      </c>
      <c r="V2800" s="705">
        <v>30121</v>
      </c>
      <c r="W2800" s="705">
        <f t="shared" si="112"/>
        <v>30121</v>
      </c>
      <c r="X2800" s="705">
        <f t="shared" si="113"/>
        <v>36030</v>
      </c>
    </row>
    <row r="2801" spans="2:24">
      <c r="B2801" t="s">
        <v>555</v>
      </c>
      <c r="C2801" t="s">
        <v>116</v>
      </c>
      <c r="D2801" t="s">
        <v>666</v>
      </c>
      <c r="E2801" t="s">
        <v>583</v>
      </c>
      <c r="F2801" s="705">
        <v>1</v>
      </c>
      <c r="G2801" s="705">
        <v>204</v>
      </c>
      <c r="H2801" s="705">
        <v>187</v>
      </c>
      <c r="I2801" s="705">
        <v>21076</v>
      </c>
      <c r="J2801" s="705">
        <v>19160</v>
      </c>
      <c r="K2801" s="705">
        <v>79</v>
      </c>
      <c r="L2801" s="705">
        <v>2342</v>
      </c>
      <c r="M2801" s="705">
        <v>2129</v>
      </c>
      <c r="N2801" s="705">
        <v>5340</v>
      </c>
      <c r="O2801" s="705">
        <v>1978</v>
      </c>
      <c r="P2801" s="705">
        <v>621</v>
      </c>
      <c r="Q2801" s="705">
        <v>230</v>
      </c>
      <c r="R2801" s="705">
        <v>11526</v>
      </c>
      <c r="S2801" s="705">
        <v>10478</v>
      </c>
      <c r="T2801" s="705">
        <v>0</v>
      </c>
      <c r="U2801" s="705">
        <v>0</v>
      </c>
      <c r="V2801" s="705">
        <v>33975</v>
      </c>
      <c r="W2801" s="705">
        <f t="shared" si="112"/>
        <v>33975</v>
      </c>
      <c r="X2801" s="705">
        <f t="shared" si="113"/>
        <v>40905</v>
      </c>
    </row>
    <row r="2802" spans="2:24">
      <c r="B2802" t="s">
        <v>555</v>
      </c>
      <c r="C2802" t="s">
        <v>116</v>
      </c>
      <c r="D2802" t="s">
        <v>666</v>
      </c>
      <c r="E2802" t="s">
        <v>666</v>
      </c>
      <c r="F2802" s="705">
        <v>1</v>
      </c>
      <c r="G2802" s="705">
        <v>94</v>
      </c>
      <c r="H2802" s="705">
        <v>174</v>
      </c>
      <c r="I2802" s="705">
        <v>7956</v>
      </c>
      <c r="J2802" s="705">
        <v>7233</v>
      </c>
      <c r="K2802" s="705">
        <v>65</v>
      </c>
      <c r="L2802" s="705">
        <v>0</v>
      </c>
      <c r="M2802" s="705">
        <v>580</v>
      </c>
      <c r="N2802" s="705">
        <v>1142</v>
      </c>
      <c r="O2802" s="705">
        <v>423</v>
      </c>
      <c r="P2802" s="705">
        <v>351</v>
      </c>
      <c r="Q2802" s="705">
        <v>130</v>
      </c>
      <c r="R2802" s="705">
        <v>4133</v>
      </c>
      <c r="S2802" s="705">
        <v>3757</v>
      </c>
      <c r="T2802" s="705">
        <v>2704</v>
      </c>
      <c r="U2802" s="705">
        <v>1002</v>
      </c>
      <c r="V2802" s="705">
        <v>13125</v>
      </c>
      <c r="W2802" s="705">
        <f t="shared" si="112"/>
        <v>13125</v>
      </c>
      <c r="X2802" s="705">
        <f t="shared" si="113"/>
        <v>16286</v>
      </c>
    </row>
    <row r="2803" spans="2:24">
      <c r="B2803" t="s">
        <v>555</v>
      </c>
      <c r="C2803" t="s">
        <v>116</v>
      </c>
      <c r="D2803" t="s">
        <v>584</v>
      </c>
      <c r="E2803" t="s">
        <v>583</v>
      </c>
      <c r="F2803" s="705">
        <v>1</v>
      </c>
      <c r="G2803" s="705">
        <v>159</v>
      </c>
      <c r="H2803" s="705">
        <v>200</v>
      </c>
      <c r="I2803" s="705">
        <v>19338</v>
      </c>
      <c r="J2803" s="705">
        <v>17580</v>
      </c>
      <c r="K2803" s="705">
        <v>78</v>
      </c>
      <c r="L2803" s="705">
        <v>2531</v>
      </c>
      <c r="M2803" s="705">
        <v>2301</v>
      </c>
      <c r="N2803" s="705">
        <v>2511</v>
      </c>
      <c r="O2803" s="705">
        <v>930</v>
      </c>
      <c r="P2803" s="705">
        <v>473</v>
      </c>
      <c r="Q2803" s="705">
        <v>175</v>
      </c>
      <c r="R2803" s="705">
        <v>6839</v>
      </c>
      <c r="S2803" s="705">
        <v>6217</v>
      </c>
      <c r="T2803" s="705">
        <v>0</v>
      </c>
      <c r="U2803" s="705">
        <v>0</v>
      </c>
      <c r="V2803" s="705">
        <v>27203</v>
      </c>
      <c r="W2803" s="705">
        <f t="shared" si="112"/>
        <v>27203</v>
      </c>
      <c r="X2803" s="705">
        <f t="shared" si="113"/>
        <v>31692</v>
      </c>
    </row>
    <row r="2804" spans="2:24">
      <c r="B2804" t="s">
        <v>555</v>
      </c>
      <c r="C2804" t="s">
        <v>116</v>
      </c>
      <c r="D2804" t="s">
        <v>584</v>
      </c>
      <c r="E2804" t="s">
        <v>584</v>
      </c>
      <c r="F2804" s="705">
        <v>538</v>
      </c>
      <c r="G2804" s="705">
        <v>83029</v>
      </c>
      <c r="H2804" s="705">
        <v>100145</v>
      </c>
      <c r="I2804" s="705">
        <v>8348161</v>
      </c>
      <c r="J2804" s="705">
        <v>7589237</v>
      </c>
      <c r="K2804" s="705">
        <v>82</v>
      </c>
      <c r="L2804" s="705">
        <v>1988729</v>
      </c>
      <c r="M2804" s="705">
        <v>1765526</v>
      </c>
      <c r="N2804" s="705">
        <v>1702635</v>
      </c>
      <c r="O2804" s="705">
        <v>630605</v>
      </c>
      <c r="P2804" s="705">
        <v>261527</v>
      </c>
      <c r="Q2804" s="705">
        <v>96862</v>
      </c>
      <c r="R2804" s="705">
        <v>3005147</v>
      </c>
      <c r="S2804" s="705">
        <v>2731952</v>
      </c>
      <c r="T2804" s="705">
        <v>366897</v>
      </c>
      <c r="U2804" s="705">
        <v>135888</v>
      </c>
      <c r="V2804" s="705">
        <v>12950070</v>
      </c>
      <c r="W2804" s="705">
        <f t="shared" si="112"/>
        <v>12950070</v>
      </c>
      <c r="X2804" s="705">
        <f t="shared" si="113"/>
        <v>15673096</v>
      </c>
    </row>
    <row r="2805" spans="2:24">
      <c r="B2805" t="s">
        <v>555</v>
      </c>
      <c r="C2805" t="s">
        <v>116</v>
      </c>
      <c r="D2805" t="s">
        <v>584</v>
      </c>
      <c r="E2805" t="s">
        <v>665</v>
      </c>
      <c r="F2805" s="705">
        <v>1</v>
      </c>
      <c r="G2805" s="705">
        <v>219</v>
      </c>
      <c r="H2805" s="705">
        <v>155</v>
      </c>
      <c r="I2805" s="705">
        <v>16543</v>
      </c>
      <c r="J2805" s="705">
        <v>15039</v>
      </c>
      <c r="K2805" s="705">
        <v>78</v>
      </c>
      <c r="L2805" s="705">
        <v>4779</v>
      </c>
      <c r="M2805" s="705">
        <v>4345</v>
      </c>
      <c r="N2805" s="705">
        <v>5328</v>
      </c>
      <c r="O2805" s="705">
        <v>1973</v>
      </c>
      <c r="P2805" s="705">
        <v>702</v>
      </c>
      <c r="Q2805" s="705">
        <v>260</v>
      </c>
      <c r="R2805" s="705">
        <v>6627</v>
      </c>
      <c r="S2805" s="705">
        <v>6024</v>
      </c>
      <c r="T2805" s="705">
        <v>0</v>
      </c>
      <c r="U2805" s="705">
        <v>0</v>
      </c>
      <c r="V2805" s="705">
        <v>27642</v>
      </c>
      <c r="W2805" s="705">
        <f t="shared" si="112"/>
        <v>27641</v>
      </c>
      <c r="X2805" s="705">
        <f t="shared" si="113"/>
        <v>33979</v>
      </c>
    </row>
    <row r="2806" spans="2:24">
      <c r="B2806" t="s">
        <v>555</v>
      </c>
      <c r="C2806" t="s">
        <v>116</v>
      </c>
      <c r="D2806" t="s">
        <v>669</v>
      </c>
      <c r="E2806" t="s">
        <v>228</v>
      </c>
      <c r="F2806" s="705">
        <v>1</v>
      </c>
      <c r="G2806" s="705">
        <v>102</v>
      </c>
      <c r="H2806" s="705">
        <v>220</v>
      </c>
      <c r="I2806" s="705">
        <v>15116</v>
      </c>
      <c r="J2806" s="705">
        <v>12597</v>
      </c>
      <c r="K2806" s="705">
        <v>65</v>
      </c>
      <c r="L2806" s="705">
        <v>2456</v>
      </c>
      <c r="M2806" s="705">
        <v>910</v>
      </c>
      <c r="N2806" s="705">
        <v>1239</v>
      </c>
      <c r="O2806" s="705">
        <v>459</v>
      </c>
      <c r="P2806" s="705">
        <v>0</v>
      </c>
      <c r="Q2806" s="705">
        <v>0</v>
      </c>
      <c r="R2806" s="705">
        <v>3535</v>
      </c>
      <c r="S2806" s="705">
        <v>1309</v>
      </c>
      <c r="T2806" s="705">
        <v>0</v>
      </c>
      <c r="U2806" s="705">
        <v>0</v>
      </c>
      <c r="V2806" s="705">
        <v>15275</v>
      </c>
      <c r="W2806" s="705">
        <f t="shared" si="112"/>
        <v>15275</v>
      </c>
      <c r="X2806" s="705">
        <f t="shared" si="113"/>
        <v>22346</v>
      </c>
    </row>
    <row r="2807" spans="2:24">
      <c r="B2807" t="s">
        <v>555</v>
      </c>
      <c r="C2807" t="s">
        <v>116</v>
      </c>
      <c r="D2807" t="s">
        <v>665</v>
      </c>
      <c r="E2807" t="s">
        <v>583</v>
      </c>
      <c r="F2807" s="705">
        <v>1</v>
      </c>
      <c r="G2807" s="705">
        <v>155</v>
      </c>
      <c r="H2807" s="705">
        <v>161</v>
      </c>
      <c r="I2807" s="705">
        <v>12937</v>
      </c>
      <c r="J2807" s="705">
        <v>11761</v>
      </c>
      <c r="K2807" s="705">
        <v>79</v>
      </c>
      <c r="L2807" s="705">
        <v>0</v>
      </c>
      <c r="M2807" s="705">
        <v>3267</v>
      </c>
      <c r="N2807" s="705">
        <v>3779</v>
      </c>
      <c r="O2807" s="705">
        <v>1400</v>
      </c>
      <c r="P2807" s="705">
        <v>621</v>
      </c>
      <c r="Q2807" s="705">
        <v>230</v>
      </c>
      <c r="R2807" s="705">
        <v>4538</v>
      </c>
      <c r="S2807" s="705">
        <v>4125</v>
      </c>
      <c r="T2807" s="705">
        <v>3030</v>
      </c>
      <c r="U2807" s="705">
        <v>1122</v>
      </c>
      <c r="V2807" s="705">
        <v>21906</v>
      </c>
      <c r="W2807" s="705">
        <f t="shared" si="112"/>
        <v>21905</v>
      </c>
      <c r="X2807" s="705">
        <f t="shared" si="113"/>
        <v>24905</v>
      </c>
    </row>
    <row r="2808" spans="2:24">
      <c r="B2808" t="s">
        <v>555</v>
      </c>
      <c r="C2808" t="s">
        <v>116</v>
      </c>
      <c r="D2808" t="s">
        <v>665</v>
      </c>
      <c r="E2808" t="s">
        <v>665</v>
      </c>
      <c r="F2808" s="705">
        <v>16</v>
      </c>
      <c r="G2808" s="705">
        <v>2819</v>
      </c>
      <c r="H2808" s="705">
        <v>3252</v>
      </c>
      <c r="I2808" s="705">
        <v>392431</v>
      </c>
      <c r="J2808" s="705">
        <v>356755</v>
      </c>
      <c r="K2808" s="705">
        <v>67</v>
      </c>
      <c r="L2808" s="705">
        <v>44445</v>
      </c>
      <c r="M2808" s="705">
        <v>38826</v>
      </c>
      <c r="N2808" s="705">
        <v>58153</v>
      </c>
      <c r="O2808" s="705">
        <v>21538</v>
      </c>
      <c r="P2808" s="705">
        <v>7398</v>
      </c>
      <c r="Q2808" s="705">
        <v>2740</v>
      </c>
      <c r="R2808" s="705">
        <v>92874</v>
      </c>
      <c r="S2808" s="705">
        <v>84431</v>
      </c>
      <c r="T2808" s="705">
        <v>37500</v>
      </c>
      <c r="U2808" s="705">
        <v>13889</v>
      </c>
      <c r="V2808" s="705">
        <v>518179</v>
      </c>
      <c r="W2808" s="705">
        <f t="shared" si="112"/>
        <v>518179</v>
      </c>
      <c r="X2808" s="705">
        <f t="shared" si="113"/>
        <v>632801</v>
      </c>
    </row>
    <row r="2809" spans="2:24">
      <c r="B2809" t="s">
        <v>555</v>
      </c>
      <c r="C2809" t="s">
        <v>116</v>
      </c>
      <c r="D2809" t="s">
        <v>722</v>
      </c>
      <c r="E2809" t="s">
        <v>722</v>
      </c>
      <c r="F2809" s="705">
        <v>1</v>
      </c>
      <c r="G2809" s="705">
        <v>167</v>
      </c>
      <c r="H2809" s="705">
        <v>199</v>
      </c>
      <c r="I2809" s="705">
        <v>19176</v>
      </c>
      <c r="J2809" s="705">
        <v>17433</v>
      </c>
      <c r="K2809" s="705">
        <v>65</v>
      </c>
      <c r="L2809" s="705">
        <v>0</v>
      </c>
      <c r="M2809" s="705">
        <v>0</v>
      </c>
      <c r="N2809" s="705">
        <v>3660</v>
      </c>
      <c r="O2809" s="705">
        <v>1355</v>
      </c>
      <c r="P2809" s="705">
        <v>1404</v>
      </c>
      <c r="Q2809" s="705">
        <v>520</v>
      </c>
      <c r="R2809" s="705">
        <v>5625</v>
      </c>
      <c r="S2809" s="705">
        <v>5113</v>
      </c>
      <c r="T2809" s="705">
        <v>3333</v>
      </c>
      <c r="U2809" s="705">
        <v>1234</v>
      </c>
      <c r="V2809" s="705">
        <v>25656</v>
      </c>
      <c r="W2809" s="705">
        <f t="shared" si="112"/>
        <v>25655</v>
      </c>
      <c r="X2809" s="705">
        <f t="shared" si="113"/>
        <v>33198</v>
      </c>
    </row>
    <row r="2810" spans="2:24">
      <c r="B2810" t="s">
        <v>555</v>
      </c>
      <c r="C2810" t="s">
        <v>116</v>
      </c>
      <c r="D2810" t="s">
        <v>673</v>
      </c>
      <c r="E2810" t="s">
        <v>228</v>
      </c>
      <c r="F2810" s="705">
        <v>1</v>
      </c>
      <c r="G2810" s="705">
        <v>149</v>
      </c>
      <c r="H2810" s="705">
        <v>204</v>
      </c>
      <c r="I2810" s="705">
        <v>17754</v>
      </c>
      <c r="J2810" s="705">
        <v>16140</v>
      </c>
      <c r="K2810" s="705">
        <v>60</v>
      </c>
      <c r="L2810" s="705">
        <v>2905</v>
      </c>
      <c r="M2810" s="705">
        <v>1076</v>
      </c>
      <c r="N2810" s="705">
        <v>1815</v>
      </c>
      <c r="O2810" s="705">
        <v>672</v>
      </c>
      <c r="P2810" s="705">
        <v>1235</v>
      </c>
      <c r="Q2810" s="705">
        <v>457</v>
      </c>
      <c r="R2810" s="705">
        <v>6688</v>
      </c>
      <c r="S2810" s="705">
        <v>2477</v>
      </c>
      <c r="T2810" s="705">
        <v>0</v>
      </c>
      <c r="U2810" s="705">
        <v>0</v>
      </c>
      <c r="V2810" s="705">
        <v>20823</v>
      </c>
      <c r="W2810" s="705">
        <f t="shared" si="112"/>
        <v>20822</v>
      </c>
      <c r="X2810" s="705">
        <f t="shared" si="113"/>
        <v>30397</v>
      </c>
    </row>
    <row r="2811" spans="2:24">
      <c r="B2811" t="s">
        <v>555</v>
      </c>
      <c r="C2811" t="s">
        <v>116</v>
      </c>
      <c r="D2811" t="s">
        <v>673</v>
      </c>
      <c r="E2811" t="s">
        <v>673</v>
      </c>
      <c r="F2811" s="705">
        <v>2</v>
      </c>
      <c r="G2811" s="705">
        <v>250</v>
      </c>
      <c r="H2811" s="705">
        <v>396</v>
      </c>
      <c r="I2811" s="705">
        <v>31134</v>
      </c>
      <c r="J2811" s="705">
        <v>28304</v>
      </c>
      <c r="K2811" s="705">
        <v>71</v>
      </c>
      <c r="L2811" s="705">
        <v>3892</v>
      </c>
      <c r="M2811" s="705">
        <v>3538</v>
      </c>
      <c r="N2811" s="705">
        <v>3402</v>
      </c>
      <c r="O2811" s="705">
        <v>1260</v>
      </c>
      <c r="P2811" s="705">
        <v>702</v>
      </c>
      <c r="Q2811" s="705">
        <v>260</v>
      </c>
      <c r="R2811" s="705">
        <v>7362</v>
      </c>
      <c r="S2811" s="705">
        <v>6693</v>
      </c>
      <c r="T2811" s="705">
        <v>2594</v>
      </c>
      <c r="U2811" s="705">
        <v>961</v>
      </c>
      <c r="V2811" s="705">
        <v>41016</v>
      </c>
      <c r="W2811" s="705">
        <f t="shared" si="112"/>
        <v>41016</v>
      </c>
      <c r="X2811" s="705">
        <f t="shared" si="113"/>
        <v>49086</v>
      </c>
    </row>
    <row r="2812" spans="2:24">
      <c r="B2812" t="s">
        <v>555</v>
      </c>
      <c r="C2812" t="s">
        <v>116</v>
      </c>
      <c r="D2812" t="s">
        <v>585</v>
      </c>
      <c r="E2812" t="s">
        <v>585</v>
      </c>
      <c r="F2812" s="705">
        <v>16</v>
      </c>
      <c r="G2812" s="705">
        <v>3505</v>
      </c>
      <c r="H2812" s="705">
        <v>2909</v>
      </c>
      <c r="I2812" s="705">
        <v>444309</v>
      </c>
      <c r="J2812" s="705">
        <v>403917</v>
      </c>
      <c r="K2812" s="705">
        <v>77</v>
      </c>
      <c r="L2812" s="705">
        <v>74122</v>
      </c>
      <c r="M2812" s="705">
        <v>67384</v>
      </c>
      <c r="N2812" s="705">
        <v>72823</v>
      </c>
      <c r="O2812" s="705">
        <v>26971</v>
      </c>
      <c r="P2812" s="705">
        <v>7722</v>
      </c>
      <c r="Q2812" s="705">
        <v>2860</v>
      </c>
      <c r="R2812" s="705">
        <v>95383</v>
      </c>
      <c r="S2812" s="705">
        <v>86712</v>
      </c>
      <c r="T2812" s="705">
        <v>6438</v>
      </c>
      <c r="U2812" s="705">
        <v>2384</v>
      </c>
      <c r="V2812" s="705">
        <v>590229</v>
      </c>
      <c r="W2812" s="705">
        <f t="shared" si="112"/>
        <v>590228</v>
      </c>
      <c r="X2812" s="705">
        <f t="shared" si="113"/>
        <v>700797</v>
      </c>
    </row>
    <row r="2813" spans="2:24">
      <c r="B2813" t="s">
        <v>555</v>
      </c>
      <c r="C2813" t="s">
        <v>118</v>
      </c>
      <c r="D2813" t="s">
        <v>664</v>
      </c>
      <c r="E2813" t="s">
        <v>664</v>
      </c>
      <c r="F2813" s="705">
        <v>3</v>
      </c>
      <c r="G2813" s="705">
        <v>472</v>
      </c>
      <c r="H2813" s="705">
        <v>784</v>
      </c>
      <c r="I2813" s="705">
        <v>82735</v>
      </c>
      <c r="J2813" s="705">
        <v>75214</v>
      </c>
      <c r="K2813" s="705">
        <v>79</v>
      </c>
      <c r="L2813" s="705">
        <v>16961</v>
      </c>
      <c r="M2813" s="705">
        <v>15419</v>
      </c>
      <c r="N2813" s="705">
        <v>12298</v>
      </c>
      <c r="O2813" s="705">
        <v>4555</v>
      </c>
      <c r="P2813" s="705">
        <v>1418</v>
      </c>
      <c r="Q2813" s="705">
        <v>525</v>
      </c>
      <c r="R2813" s="705">
        <v>20053</v>
      </c>
      <c r="S2813" s="705">
        <v>18230</v>
      </c>
      <c r="T2813" s="705">
        <v>3828</v>
      </c>
      <c r="U2813" s="705">
        <v>1418</v>
      </c>
      <c r="V2813" s="705">
        <v>115360</v>
      </c>
      <c r="W2813" s="705">
        <f t="shared" si="112"/>
        <v>115361</v>
      </c>
      <c r="X2813" s="705">
        <f t="shared" si="113"/>
        <v>137293</v>
      </c>
    </row>
    <row r="2814" spans="2:24">
      <c r="B2814" t="s">
        <v>555</v>
      </c>
      <c r="C2814" t="s">
        <v>118</v>
      </c>
      <c r="D2814" t="s">
        <v>664</v>
      </c>
      <c r="E2814" t="s">
        <v>583</v>
      </c>
      <c r="F2814" s="705">
        <v>1</v>
      </c>
      <c r="G2814" s="705">
        <v>135</v>
      </c>
      <c r="H2814" s="705">
        <v>253</v>
      </c>
      <c r="I2814" s="705">
        <v>20886</v>
      </c>
      <c r="J2814" s="705">
        <v>18987</v>
      </c>
      <c r="K2814" s="705">
        <v>85</v>
      </c>
      <c r="L2814" s="705">
        <v>3143</v>
      </c>
      <c r="M2814" s="705">
        <v>2619</v>
      </c>
      <c r="N2814" s="705">
        <v>2920</v>
      </c>
      <c r="O2814" s="705">
        <v>1082</v>
      </c>
      <c r="P2814" s="705">
        <v>621</v>
      </c>
      <c r="Q2814" s="705">
        <v>230</v>
      </c>
      <c r="R2814" s="705">
        <v>6709</v>
      </c>
      <c r="S2814" s="705">
        <v>6099</v>
      </c>
      <c r="T2814" s="705">
        <v>0</v>
      </c>
      <c r="U2814" s="705">
        <v>0</v>
      </c>
      <c r="V2814" s="705">
        <v>29017</v>
      </c>
      <c r="W2814" s="705">
        <f t="shared" si="112"/>
        <v>29017</v>
      </c>
      <c r="X2814" s="705">
        <f t="shared" si="113"/>
        <v>34279</v>
      </c>
    </row>
    <row r="2815" spans="2:24">
      <c r="B2815" t="s">
        <v>555</v>
      </c>
      <c r="C2815" t="s">
        <v>118</v>
      </c>
      <c r="D2815" t="s">
        <v>582</v>
      </c>
      <c r="E2815" t="s">
        <v>582</v>
      </c>
      <c r="F2815" s="705">
        <v>27</v>
      </c>
      <c r="G2815" s="705">
        <v>3821</v>
      </c>
      <c r="H2815" s="705">
        <v>6835</v>
      </c>
      <c r="I2815" s="705">
        <v>582773</v>
      </c>
      <c r="J2815" s="705">
        <v>529794</v>
      </c>
      <c r="K2815" s="705">
        <v>77</v>
      </c>
      <c r="L2815" s="705">
        <v>119554</v>
      </c>
      <c r="M2815" s="705">
        <v>108685</v>
      </c>
      <c r="N2815" s="705">
        <v>81601</v>
      </c>
      <c r="O2815" s="705">
        <v>30223</v>
      </c>
      <c r="P2815" s="705">
        <v>13311</v>
      </c>
      <c r="Q2815" s="705">
        <v>4930</v>
      </c>
      <c r="R2815" s="705">
        <v>167479</v>
      </c>
      <c r="S2815" s="705">
        <v>152254</v>
      </c>
      <c r="T2815" s="705">
        <v>26004</v>
      </c>
      <c r="U2815" s="705">
        <v>9631</v>
      </c>
      <c r="V2815" s="705">
        <v>835517</v>
      </c>
      <c r="W2815" s="705">
        <f t="shared" si="112"/>
        <v>835517</v>
      </c>
      <c r="X2815" s="705">
        <f t="shared" si="113"/>
        <v>990722</v>
      </c>
    </row>
    <row r="2816" spans="2:24">
      <c r="B2816" t="s">
        <v>555</v>
      </c>
      <c r="C2816" t="s">
        <v>118</v>
      </c>
      <c r="D2816" t="s">
        <v>582</v>
      </c>
      <c r="E2816" t="s">
        <v>583</v>
      </c>
      <c r="F2816" s="705">
        <v>1</v>
      </c>
      <c r="G2816" s="705">
        <v>78</v>
      </c>
      <c r="H2816" s="705">
        <v>296</v>
      </c>
      <c r="I2816" s="705">
        <v>17473</v>
      </c>
      <c r="J2816" s="705">
        <v>15885</v>
      </c>
      <c r="K2816" s="705">
        <v>60</v>
      </c>
      <c r="L2816" s="705">
        <v>5533</v>
      </c>
      <c r="M2816" s="705">
        <v>5030</v>
      </c>
      <c r="N2816" s="705">
        <v>2723</v>
      </c>
      <c r="O2816" s="705">
        <v>1008</v>
      </c>
      <c r="P2816" s="705">
        <v>351</v>
      </c>
      <c r="Q2816" s="705">
        <v>130</v>
      </c>
      <c r="R2816" s="705">
        <v>13306</v>
      </c>
      <c r="S2816" s="705">
        <v>12096</v>
      </c>
      <c r="T2816" s="705">
        <v>0</v>
      </c>
      <c r="U2816" s="705">
        <v>0</v>
      </c>
      <c r="V2816" s="705">
        <v>34149</v>
      </c>
      <c r="W2816" s="705">
        <f t="shared" si="112"/>
        <v>34149</v>
      </c>
      <c r="X2816" s="705">
        <f t="shared" si="113"/>
        <v>39386</v>
      </c>
    </row>
    <row r="2817" spans="2:24">
      <c r="B2817" t="s">
        <v>555</v>
      </c>
      <c r="C2817" t="s">
        <v>118</v>
      </c>
      <c r="D2817" t="s">
        <v>228</v>
      </c>
      <c r="E2817" t="s">
        <v>228</v>
      </c>
      <c r="F2817" s="705">
        <v>44</v>
      </c>
      <c r="G2817" s="705">
        <v>6474</v>
      </c>
      <c r="H2817" s="705">
        <v>11950</v>
      </c>
      <c r="I2817" s="705">
        <v>1213032</v>
      </c>
      <c r="J2817" s="705">
        <v>449271</v>
      </c>
      <c r="K2817" s="705">
        <v>111</v>
      </c>
      <c r="L2817" s="705">
        <v>227368</v>
      </c>
      <c r="M2817" s="705">
        <v>184412</v>
      </c>
      <c r="N2817" s="705">
        <v>161183</v>
      </c>
      <c r="O2817" s="705">
        <v>59697</v>
      </c>
      <c r="P2817" s="705">
        <v>2808</v>
      </c>
      <c r="Q2817" s="705">
        <v>1040</v>
      </c>
      <c r="R2817" s="705">
        <v>375964</v>
      </c>
      <c r="S2817" s="705">
        <v>139246</v>
      </c>
      <c r="T2817" s="705">
        <v>0</v>
      </c>
      <c r="U2817" s="705">
        <v>0</v>
      </c>
      <c r="V2817" s="705">
        <v>833666</v>
      </c>
      <c r="W2817" s="705">
        <f t="shared" si="112"/>
        <v>833666</v>
      </c>
      <c r="X2817" s="705">
        <f t="shared" si="113"/>
        <v>1980355</v>
      </c>
    </row>
    <row r="2818" spans="2:24">
      <c r="B2818" t="s">
        <v>555</v>
      </c>
      <c r="C2818" t="s">
        <v>118</v>
      </c>
      <c r="D2818" t="s">
        <v>583</v>
      </c>
      <c r="E2818" t="s">
        <v>664</v>
      </c>
      <c r="F2818" s="705">
        <v>2</v>
      </c>
      <c r="G2818" s="705">
        <v>248</v>
      </c>
      <c r="H2818" s="705">
        <v>584</v>
      </c>
      <c r="I2818" s="705">
        <v>44554</v>
      </c>
      <c r="J2818" s="705">
        <v>40504</v>
      </c>
      <c r="K2818" s="705">
        <v>81</v>
      </c>
      <c r="L2818" s="705">
        <v>8975</v>
      </c>
      <c r="M2818" s="705">
        <v>8159</v>
      </c>
      <c r="N2818" s="705">
        <v>3017</v>
      </c>
      <c r="O2818" s="705">
        <v>1117</v>
      </c>
      <c r="P2818" s="705">
        <v>1242</v>
      </c>
      <c r="Q2818" s="705">
        <v>460</v>
      </c>
      <c r="R2818" s="705">
        <v>8655</v>
      </c>
      <c r="S2818" s="705">
        <v>7868</v>
      </c>
      <c r="T2818" s="705">
        <v>5752</v>
      </c>
      <c r="U2818" s="705">
        <v>2130</v>
      </c>
      <c r="V2818" s="705">
        <v>60239</v>
      </c>
      <c r="W2818" s="705">
        <f t="shared" si="112"/>
        <v>60238</v>
      </c>
      <c r="X2818" s="705">
        <f t="shared" si="113"/>
        <v>72195</v>
      </c>
    </row>
    <row r="2819" spans="2:24">
      <c r="B2819" t="s">
        <v>555</v>
      </c>
      <c r="C2819" t="s">
        <v>118</v>
      </c>
      <c r="D2819" t="s">
        <v>583</v>
      </c>
      <c r="E2819" t="s">
        <v>228</v>
      </c>
      <c r="F2819" s="705">
        <v>7</v>
      </c>
      <c r="G2819" s="705">
        <v>1023</v>
      </c>
      <c r="H2819" s="705">
        <v>1902</v>
      </c>
      <c r="I2819" s="705">
        <v>184068</v>
      </c>
      <c r="J2819" s="705">
        <v>167335</v>
      </c>
      <c r="K2819" s="705">
        <v>85</v>
      </c>
      <c r="L2819" s="705">
        <v>26666</v>
      </c>
      <c r="M2819" s="705">
        <v>24242</v>
      </c>
      <c r="N2819" s="705">
        <v>19976</v>
      </c>
      <c r="O2819" s="705">
        <v>7398</v>
      </c>
      <c r="P2819" s="705">
        <v>5049</v>
      </c>
      <c r="Q2819" s="705">
        <v>1870</v>
      </c>
      <c r="R2819" s="705">
        <v>52039</v>
      </c>
      <c r="S2819" s="705">
        <v>19274</v>
      </c>
      <c r="T2819" s="705">
        <v>0</v>
      </c>
      <c r="U2819" s="705">
        <v>0</v>
      </c>
      <c r="V2819" s="705">
        <v>220118</v>
      </c>
      <c r="W2819" s="705">
        <f t="shared" si="112"/>
        <v>220119</v>
      </c>
      <c r="X2819" s="705">
        <f t="shared" si="113"/>
        <v>287798</v>
      </c>
    </row>
    <row r="2820" spans="2:24">
      <c r="B2820" t="s">
        <v>555</v>
      </c>
      <c r="C2820" t="s">
        <v>118</v>
      </c>
      <c r="D2820" t="s">
        <v>583</v>
      </c>
      <c r="E2820" t="s">
        <v>583</v>
      </c>
      <c r="F2820" s="705">
        <v>2838</v>
      </c>
      <c r="G2820" s="705">
        <v>366601</v>
      </c>
      <c r="H2820" s="705">
        <v>741292</v>
      </c>
      <c r="I2820" s="705">
        <v>57371977</v>
      </c>
      <c r="J2820" s="705">
        <v>52156343</v>
      </c>
      <c r="K2820" s="705">
        <v>80</v>
      </c>
      <c r="L2820" s="705">
        <v>11529295</v>
      </c>
      <c r="M2820" s="705">
        <v>10302355</v>
      </c>
      <c r="N2820" s="705">
        <v>7695896</v>
      </c>
      <c r="O2820" s="705">
        <v>2850332</v>
      </c>
      <c r="P2820" s="705">
        <v>1810007</v>
      </c>
      <c r="Q2820" s="705">
        <v>670373</v>
      </c>
      <c r="R2820" s="705">
        <v>15156337</v>
      </c>
      <c r="S2820" s="705">
        <v>13778488</v>
      </c>
      <c r="T2820" s="705">
        <v>4133523</v>
      </c>
      <c r="U2820" s="705">
        <v>1530935</v>
      </c>
      <c r="V2820" s="705">
        <v>81288826</v>
      </c>
      <c r="W2820" s="705">
        <f t="shared" si="112"/>
        <v>81288826</v>
      </c>
      <c r="X2820" s="705">
        <f t="shared" si="113"/>
        <v>97697035</v>
      </c>
    </row>
    <row r="2821" spans="2:24">
      <c r="B2821" t="s">
        <v>555</v>
      </c>
      <c r="C2821" t="s">
        <v>118</v>
      </c>
      <c r="D2821" t="s">
        <v>583</v>
      </c>
      <c r="E2821" t="s">
        <v>666</v>
      </c>
      <c r="F2821" s="705">
        <v>3</v>
      </c>
      <c r="G2821" s="705">
        <v>574</v>
      </c>
      <c r="H2821" s="705">
        <v>838</v>
      </c>
      <c r="I2821" s="705">
        <v>99456</v>
      </c>
      <c r="J2821" s="705">
        <v>90415</v>
      </c>
      <c r="K2821" s="705">
        <v>72</v>
      </c>
      <c r="L2821" s="705">
        <v>18993</v>
      </c>
      <c r="M2821" s="705">
        <v>16792</v>
      </c>
      <c r="N2821" s="705">
        <v>10245</v>
      </c>
      <c r="O2821" s="705">
        <v>3794</v>
      </c>
      <c r="P2821" s="705">
        <v>1863</v>
      </c>
      <c r="Q2821" s="705">
        <v>690</v>
      </c>
      <c r="R2821" s="705">
        <v>21373</v>
      </c>
      <c r="S2821" s="705">
        <v>19430</v>
      </c>
      <c r="T2821" s="705">
        <v>7589</v>
      </c>
      <c r="U2821" s="705">
        <v>2811</v>
      </c>
      <c r="V2821" s="705">
        <v>133931</v>
      </c>
      <c r="W2821" s="705">
        <f t="shared" si="112"/>
        <v>133932</v>
      </c>
      <c r="X2821" s="705">
        <f t="shared" si="113"/>
        <v>159519</v>
      </c>
    </row>
    <row r="2822" spans="2:24">
      <c r="B2822" t="s">
        <v>555</v>
      </c>
      <c r="C2822" t="s">
        <v>118</v>
      </c>
      <c r="D2822" t="s">
        <v>583</v>
      </c>
      <c r="E2822" t="s">
        <v>584</v>
      </c>
      <c r="F2822" s="705">
        <v>1</v>
      </c>
      <c r="G2822" s="705">
        <v>93</v>
      </c>
      <c r="H2822" s="705">
        <v>244</v>
      </c>
      <c r="I2822" s="705">
        <v>13039</v>
      </c>
      <c r="J2822" s="705">
        <v>11853</v>
      </c>
      <c r="K2822" s="705">
        <v>86</v>
      </c>
      <c r="L2822" s="705">
        <v>2064</v>
      </c>
      <c r="M2822" s="705">
        <v>1877</v>
      </c>
      <c r="N2822" s="705">
        <v>2068</v>
      </c>
      <c r="O2822" s="705">
        <v>766</v>
      </c>
      <c r="P2822" s="705">
        <v>621</v>
      </c>
      <c r="Q2822" s="705">
        <v>230</v>
      </c>
      <c r="R2822" s="705">
        <v>4799</v>
      </c>
      <c r="S2822" s="705">
        <v>4362</v>
      </c>
      <c r="T2822" s="705">
        <v>0</v>
      </c>
      <c r="U2822" s="705">
        <v>0</v>
      </c>
      <c r="V2822" s="705">
        <v>19089</v>
      </c>
      <c r="W2822" s="705">
        <f t="shared" si="112"/>
        <v>19088</v>
      </c>
      <c r="X2822" s="705">
        <f t="shared" si="113"/>
        <v>22591</v>
      </c>
    </row>
    <row r="2823" spans="2:24">
      <c r="B2823" t="s">
        <v>555</v>
      </c>
      <c r="C2823" t="s">
        <v>118</v>
      </c>
      <c r="D2823" t="s">
        <v>583</v>
      </c>
      <c r="E2823" t="s">
        <v>665</v>
      </c>
      <c r="F2823" s="705">
        <v>5</v>
      </c>
      <c r="G2823" s="705">
        <v>693</v>
      </c>
      <c r="H2823" s="705">
        <v>1303</v>
      </c>
      <c r="I2823" s="705">
        <v>95203</v>
      </c>
      <c r="J2823" s="705">
        <v>86548</v>
      </c>
      <c r="K2823" s="705">
        <v>86</v>
      </c>
      <c r="L2823" s="705">
        <v>19225</v>
      </c>
      <c r="M2823" s="705">
        <v>17477</v>
      </c>
      <c r="N2823" s="705">
        <v>13717</v>
      </c>
      <c r="O2823" s="705">
        <v>5080</v>
      </c>
      <c r="P2823" s="705">
        <v>3456</v>
      </c>
      <c r="Q2823" s="705">
        <v>1280</v>
      </c>
      <c r="R2823" s="705">
        <v>40111</v>
      </c>
      <c r="S2823" s="705">
        <v>36465</v>
      </c>
      <c r="T2823" s="705">
        <v>5093</v>
      </c>
      <c r="U2823" s="705">
        <v>1886</v>
      </c>
      <c r="V2823" s="705">
        <v>148737</v>
      </c>
      <c r="W2823" s="705">
        <f t="shared" si="112"/>
        <v>148736</v>
      </c>
      <c r="X2823" s="705">
        <f t="shared" si="113"/>
        <v>176805</v>
      </c>
    </row>
    <row r="2824" spans="2:24">
      <c r="B2824" t="s">
        <v>555</v>
      </c>
      <c r="C2824" t="s">
        <v>118</v>
      </c>
      <c r="D2824" t="s">
        <v>583</v>
      </c>
      <c r="E2824" t="s">
        <v>673</v>
      </c>
      <c r="F2824" s="705">
        <v>1</v>
      </c>
      <c r="G2824" s="705">
        <v>67</v>
      </c>
      <c r="H2824" s="705">
        <v>273</v>
      </c>
      <c r="I2824" s="705">
        <v>11169</v>
      </c>
      <c r="J2824" s="705">
        <v>10153</v>
      </c>
      <c r="K2824" s="705">
        <v>79</v>
      </c>
      <c r="L2824" s="705">
        <v>0</v>
      </c>
      <c r="M2824" s="705">
        <v>0</v>
      </c>
      <c r="N2824" s="705">
        <v>977</v>
      </c>
      <c r="O2824" s="705">
        <v>362</v>
      </c>
      <c r="P2824" s="705">
        <v>621</v>
      </c>
      <c r="Q2824" s="705">
        <v>230</v>
      </c>
      <c r="R2824" s="705">
        <v>5495</v>
      </c>
      <c r="S2824" s="705">
        <v>4995</v>
      </c>
      <c r="T2824" s="705">
        <v>0</v>
      </c>
      <c r="U2824" s="705">
        <v>0</v>
      </c>
      <c r="V2824" s="705">
        <v>15740</v>
      </c>
      <c r="W2824" s="705">
        <f t="shared" si="112"/>
        <v>15740</v>
      </c>
      <c r="X2824" s="705">
        <f t="shared" si="113"/>
        <v>18262</v>
      </c>
    </row>
    <row r="2825" spans="2:24">
      <c r="B2825" t="s">
        <v>555</v>
      </c>
      <c r="C2825" t="s">
        <v>118</v>
      </c>
      <c r="D2825" t="s">
        <v>666</v>
      </c>
      <c r="E2825" t="s">
        <v>228</v>
      </c>
      <c r="F2825" s="705">
        <v>1</v>
      </c>
      <c r="G2825" s="705">
        <v>187</v>
      </c>
      <c r="H2825" s="705">
        <v>291</v>
      </c>
      <c r="I2825" s="705">
        <v>29019</v>
      </c>
      <c r="J2825" s="705">
        <v>26381</v>
      </c>
      <c r="K2825" s="705">
        <v>65</v>
      </c>
      <c r="L2825" s="705">
        <v>5144</v>
      </c>
      <c r="M2825" s="705">
        <v>1905</v>
      </c>
      <c r="N2825" s="705">
        <v>4567</v>
      </c>
      <c r="O2825" s="705">
        <v>1692</v>
      </c>
      <c r="P2825" s="705">
        <v>351</v>
      </c>
      <c r="Q2825" s="705">
        <v>130</v>
      </c>
      <c r="R2825" s="705">
        <v>15459</v>
      </c>
      <c r="S2825" s="705">
        <v>5726</v>
      </c>
      <c r="T2825" s="705">
        <v>0</v>
      </c>
      <c r="U2825" s="705">
        <v>0</v>
      </c>
      <c r="V2825" s="705">
        <v>35833</v>
      </c>
      <c r="W2825" s="705">
        <f t="shared" si="112"/>
        <v>35834</v>
      </c>
      <c r="X2825" s="705">
        <f t="shared" si="113"/>
        <v>54540</v>
      </c>
    </row>
    <row r="2826" spans="2:24">
      <c r="B2826" t="s">
        <v>555</v>
      </c>
      <c r="C2826" t="s">
        <v>118</v>
      </c>
      <c r="D2826" t="s">
        <v>666</v>
      </c>
      <c r="E2826" t="s">
        <v>666</v>
      </c>
      <c r="F2826" s="705">
        <v>6</v>
      </c>
      <c r="G2826" s="705">
        <v>650</v>
      </c>
      <c r="H2826" s="705">
        <v>1710</v>
      </c>
      <c r="I2826" s="705">
        <v>112933</v>
      </c>
      <c r="J2826" s="705">
        <v>102666</v>
      </c>
      <c r="K2826" s="705">
        <v>65</v>
      </c>
      <c r="L2826" s="705">
        <v>17552</v>
      </c>
      <c r="M2826" s="705">
        <v>15957</v>
      </c>
      <c r="N2826" s="705">
        <v>13305</v>
      </c>
      <c r="O2826" s="705">
        <v>4928</v>
      </c>
      <c r="P2826" s="705">
        <v>1877</v>
      </c>
      <c r="Q2826" s="705">
        <v>695</v>
      </c>
      <c r="R2826" s="705">
        <v>30533</v>
      </c>
      <c r="S2826" s="705">
        <v>27757</v>
      </c>
      <c r="T2826" s="705">
        <v>9501</v>
      </c>
      <c r="U2826" s="705">
        <v>3519</v>
      </c>
      <c r="V2826" s="705">
        <v>155522</v>
      </c>
      <c r="W2826" s="705">
        <f t="shared" si="112"/>
        <v>155522</v>
      </c>
      <c r="X2826" s="705">
        <f t="shared" si="113"/>
        <v>185701</v>
      </c>
    </row>
    <row r="2827" spans="2:24">
      <c r="B2827" t="s">
        <v>555</v>
      </c>
      <c r="C2827" t="s">
        <v>118</v>
      </c>
      <c r="D2827" t="s">
        <v>584</v>
      </c>
      <c r="E2827" t="s">
        <v>228</v>
      </c>
      <c r="F2827" s="705">
        <v>1</v>
      </c>
      <c r="G2827" s="705">
        <v>53</v>
      </c>
      <c r="H2827" s="705">
        <v>298</v>
      </c>
      <c r="I2827" s="705">
        <v>8207</v>
      </c>
      <c r="J2827" s="705">
        <v>7461</v>
      </c>
      <c r="K2827" s="705">
        <v>79</v>
      </c>
      <c r="L2827" s="705">
        <v>1084</v>
      </c>
      <c r="M2827" s="705">
        <v>986</v>
      </c>
      <c r="N2827" s="705">
        <v>1282</v>
      </c>
      <c r="O2827" s="705">
        <v>475</v>
      </c>
      <c r="P2827" s="705">
        <v>473</v>
      </c>
      <c r="Q2827" s="705">
        <v>175</v>
      </c>
      <c r="R2827" s="705">
        <v>4608</v>
      </c>
      <c r="S2827" s="705">
        <v>1707</v>
      </c>
      <c r="T2827" s="705">
        <v>0</v>
      </c>
      <c r="U2827" s="705">
        <v>0</v>
      </c>
      <c r="V2827" s="705">
        <v>10803</v>
      </c>
      <c r="W2827" s="705">
        <f t="shared" si="112"/>
        <v>10804</v>
      </c>
      <c r="X2827" s="705">
        <f t="shared" si="113"/>
        <v>15654</v>
      </c>
    </row>
    <row r="2828" spans="2:24">
      <c r="B2828" t="s">
        <v>555</v>
      </c>
      <c r="C2828" t="s">
        <v>118</v>
      </c>
      <c r="D2828" t="s">
        <v>584</v>
      </c>
      <c r="E2828" t="s">
        <v>584</v>
      </c>
      <c r="F2828" s="705">
        <v>151</v>
      </c>
      <c r="G2828" s="705">
        <v>18824</v>
      </c>
      <c r="H2828" s="705">
        <v>38536</v>
      </c>
      <c r="I2828" s="705">
        <v>2700566</v>
      </c>
      <c r="J2828" s="705">
        <v>2455060</v>
      </c>
      <c r="K2828" s="705">
        <v>77</v>
      </c>
      <c r="L2828" s="705">
        <v>669922</v>
      </c>
      <c r="M2828" s="705">
        <v>583557</v>
      </c>
      <c r="N2828" s="705">
        <v>383948</v>
      </c>
      <c r="O2828" s="705">
        <v>142203</v>
      </c>
      <c r="P2828" s="705">
        <v>72198</v>
      </c>
      <c r="Q2828" s="705">
        <v>26740</v>
      </c>
      <c r="R2828" s="705">
        <v>835583</v>
      </c>
      <c r="S2828" s="705">
        <v>759621</v>
      </c>
      <c r="T2828" s="705">
        <v>213644</v>
      </c>
      <c r="U2828" s="705">
        <v>79128</v>
      </c>
      <c r="V2828" s="705">
        <v>4046308</v>
      </c>
      <c r="W2828" s="705">
        <f t="shared" si="112"/>
        <v>4046309</v>
      </c>
      <c r="X2828" s="705">
        <f t="shared" si="113"/>
        <v>4875861</v>
      </c>
    </row>
    <row r="2829" spans="2:24">
      <c r="B2829" t="s">
        <v>555</v>
      </c>
      <c r="C2829" t="s">
        <v>118</v>
      </c>
      <c r="D2829" t="s">
        <v>669</v>
      </c>
      <c r="E2829" t="s">
        <v>669</v>
      </c>
      <c r="F2829" s="705">
        <v>2</v>
      </c>
      <c r="G2829" s="705">
        <v>241</v>
      </c>
      <c r="H2829" s="705">
        <v>569</v>
      </c>
      <c r="I2829" s="705">
        <v>45235</v>
      </c>
      <c r="J2829" s="705">
        <v>37695</v>
      </c>
      <c r="K2829" s="705">
        <v>70</v>
      </c>
      <c r="L2829" s="705">
        <v>5387</v>
      </c>
      <c r="M2829" s="705">
        <v>4489</v>
      </c>
      <c r="N2829" s="705">
        <v>5574</v>
      </c>
      <c r="O2829" s="705">
        <v>2064</v>
      </c>
      <c r="P2829" s="705">
        <v>702</v>
      </c>
      <c r="Q2829" s="705">
        <v>260</v>
      </c>
      <c r="R2829" s="705">
        <v>14942</v>
      </c>
      <c r="S2829" s="705">
        <v>12452</v>
      </c>
      <c r="T2829" s="705">
        <v>2236</v>
      </c>
      <c r="U2829" s="705">
        <v>828</v>
      </c>
      <c r="V2829" s="705">
        <v>57789</v>
      </c>
      <c r="W2829" s="705">
        <f t="shared" si="112"/>
        <v>57788</v>
      </c>
      <c r="X2829" s="705">
        <f t="shared" si="113"/>
        <v>74076</v>
      </c>
    </row>
    <row r="2830" spans="2:24">
      <c r="B2830" t="s">
        <v>555</v>
      </c>
      <c r="C2830" t="s">
        <v>118</v>
      </c>
      <c r="D2830" t="s">
        <v>671</v>
      </c>
      <c r="E2830" t="s">
        <v>671</v>
      </c>
      <c r="F2830" s="705">
        <v>2</v>
      </c>
      <c r="G2830" s="705">
        <v>269</v>
      </c>
      <c r="H2830" s="705">
        <v>525</v>
      </c>
      <c r="I2830" s="705">
        <v>39979</v>
      </c>
      <c r="J2830" s="705">
        <v>36344</v>
      </c>
      <c r="K2830" s="705">
        <v>58</v>
      </c>
      <c r="L2830" s="705">
        <v>6517</v>
      </c>
      <c r="M2830" s="705">
        <v>3891</v>
      </c>
      <c r="N2830" s="705">
        <v>5450</v>
      </c>
      <c r="O2830" s="705">
        <v>2019</v>
      </c>
      <c r="P2830" s="705">
        <v>972</v>
      </c>
      <c r="Q2830" s="705">
        <v>360</v>
      </c>
      <c r="R2830" s="705">
        <v>13485</v>
      </c>
      <c r="S2830" s="705">
        <v>12259</v>
      </c>
      <c r="T2830" s="705">
        <v>2697</v>
      </c>
      <c r="U2830" s="705">
        <v>999</v>
      </c>
      <c r="V2830" s="705">
        <v>55872</v>
      </c>
      <c r="W2830" s="705">
        <f t="shared" si="112"/>
        <v>55872</v>
      </c>
      <c r="X2830" s="705">
        <f t="shared" si="113"/>
        <v>69100</v>
      </c>
    </row>
    <row r="2831" spans="2:24">
      <c r="B2831" t="s">
        <v>555</v>
      </c>
      <c r="C2831" t="s">
        <v>118</v>
      </c>
      <c r="D2831" t="s">
        <v>665</v>
      </c>
      <c r="E2831" t="s">
        <v>228</v>
      </c>
      <c r="F2831" s="705">
        <v>2</v>
      </c>
      <c r="G2831" s="705">
        <v>201</v>
      </c>
      <c r="H2831" s="705">
        <v>553</v>
      </c>
      <c r="I2831" s="705">
        <v>31752</v>
      </c>
      <c r="J2831" s="705">
        <v>28865</v>
      </c>
      <c r="K2831" s="705">
        <v>63</v>
      </c>
      <c r="L2831" s="705">
        <v>4342</v>
      </c>
      <c r="M2831" s="705">
        <v>2888</v>
      </c>
      <c r="N2831" s="705">
        <v>4321</v>
      </c>
      <c r="O2831" s="705">
        <v>1600</v>
      </c>
      <c r="P2831" s="705">
        <v>351</v>
      </c>
      <c r="Q2831" s="705">
        <v>130</v>
      </c>
      <c r="R2831" s="705">
        <v>15289</v>
      </c>
      <c r="S2831" s="705">
        <v>5662</v>
      </c>
      <c r="T2831" s="705">
        <v>0</v>
      </c>
      <c r="U2831" s="705">
        <v>0</v>
      </c>
      <c r="V2831" s="705">
        <v>39145</v>
      </c>
      <c r="W2831" s="705">
        <f t="shared" si="112"/>
        <v>39145</v>
      </c>
      <c r="X2831" s="705">
        <f t="shared" si="113"/>
        <v>56055</v>
      </c>
    </row>
    <row r="2832" spans="2:24">
      <c r="B2832" t="s">
        <v>555</v>
      </c>
      <c r="C2832" t="s">
        <v>118</v>
      </c>
      <c r="D2832" t="s">
        <v>665</v>
      </c>
      <c r="E2832" t="s">
        <v>665</v>
      </c>
      <c r="F2832" s="705">
        <v>90</v>
      </c>
      <c r="G2832" s="705">
        <v>11064</v>
      </c>
      <c r="H2832" s="705">
        <v>24457</v>
      </c>
      <c r="I2832" s="705">
        <v>1916167</v>
      </c>
      <c r="J2832" s="705">
        <v>1741970</v>
      </c>
      <c r="K2832" s="705">
        <v>64</v>
      </c>
      <c r="L2832" s="705">
        <v>227203</v>
      </c>
      <c r="M2832" s="705">
        <v>196728</v>
      </c>
      <c r="N2832" s="705">
        <v>224279</v>
      </c>
      <c r="O2832" s="705">
        <v>83066</v>
      </c>
      <c r="P2832" s="705">
        <v>36585</v>
      </c>
      <c r="Q2832" s="705">
        <v>13550</v>
      </c>
      <c r="R2832" s="705">
        <v>479796</v>
      </c>
      <c r="S2832" s="705">
        <v>436178</v>
      </c>
      <c r="T2832" s="705">
        <v>211493</v>
      </c>
      <c r="U2832" s="705">
        <v>78331</v>
      </c>
      <c r="V2832" s="705">
        <v>2549823</v>
      </c>
      <c r="W2832" s="705">
        <f t="shared" si="112"/>
        <v>2549823</v>
      </c>
      <c r="X2832" s="705">
        <f t="shared" si="113"/>
        <v>3095523</v>
      </c>
    </row>
    <row r="2833" spans="2:24">
      <c r="B2833" t="s">
        <v>555</v>
      </c>
      <c r="C2833" t="s">
        <v>118</v>
      </c>
      <c r="D2833" t="s">
        <v>673</v>
      </c>
      <c r="E2833" t="s">
        <v>673</v>
      </c>
      <c r="F2833" s="705">
        <v>10</v>
      </c>
      <c r="G2833" s="705">
        <v>1608</v>
      </c>
      <c r="H2833" s="705">
        <v>2648</v>
      </c>
      <c r="I2833" s="705">
        <v>269677</v>
      </c>
      <c r="J2833" s="705">
        <v>245161</v>
      </c>
      <c r="K2833" s="705">
        <v>63</v>
      </c>
      <c r="L2833" s="705">
        <v>44212</v>
      </c>
      <c r="M2833" s="705">
        <v>40193</v>
      </c>
      <c r="N2833" s="705">
        <v>32134</v>
      </c>
      <c r="O2833" s="705">
        <v>11901</v>
      </c>
      <c r="P2833" s="705">
        <v>4131</v>
      </c>
      <c r="Q2833" s="705">
        <v>1530</v>
      </c>
      <c r="R2833" s="705">
        <v>76694</v>
      </c>
      <c r="S2833" s="705">
        <v>69722</v>
      </c>
      <c r="T2833" s="705">
        <v>9797</v>
      </c>
      <c r="U2833" s="705">
        <v>3628</v>
      </c>
      <c r="V2833" s="705">
        <v>372136</v>
      </c>
      <c r="W2833" s="705">
        <f t="shared" si="112"/>
        <v>372135</v>
      </c>
      <c r="X2833" s="705">
        <f t="shared" si="113"/>
        <v>436645</v>
      </c>
    </row>
    <row r="2834" spans="2:24">
      <c r="B2834" t="s">
        <v>555</v>
      </c>
      <c r="C2834" t="s">
        <v>118</v>
      </c>
      <c r="D2834" t="s">
        <v>585</v>
      </c>
      <c r="E2834" t="s">
        <v>585</v>
      </c>
      <c r="F2834" s="705">
        <v>8</v>
      </c>
      <c r="G2834" s="705">
        <v>1604</v>
      </c>
      <c r="H2834" s="705">
        <v>2061</v>
      </c>
      <c r="I2834" s="705">
        <v>294930</v>
      </c>
      <c r="J2834" s="705">
        <v>268118</v>
      </c>
      <c r="K2834" s="705">
        <v>68</v>
      </c>
      <c r="L2834" s="705">
        <v>43955</v>
      </c>
      <c r="M2834" s="705">
        <v>39960</v>
      </c>
      <c r="N2834" s="705">
        <v>34657</v>
      </c>
      <c r="O2834" s="705">
        <v>12836</v>
      </c>
      <c r="P2834" s="705">
        <v>3078</v>
      </c>
      <c r="Q2834" s="705">
        <v>1140</v>
      </c>
      <c r="R2834" s="705">
        <v>50587</v>
      </c>
      <c r="S2834" s="705">
        <v>45988</v>
      </c>
      <c r="T2834" s="705">
        <v>8474</v>
      </c>
      <c r="U2834" s="705">
        <v>3139</v>
      </c>
      <c r="V2834" s="705">
        <v>371180</v>
      </c>
      <c r="W2834" s="705">
        <f t="shared" si="112"/>
        <v>371181</v>
      </c>
      <c r="X2834" s="705">
        <f t="shared" si="113"/>
        <v>435681</v>
      </c>
    </row>
    <row r="2835" spans="2:24">
      <c r="B2835" t="s">
        <v>555</v>
      </c>
      <c r="C2835" t="s">
        <v>118</v>
      </c>
      <c r="D2835" t="s">
        <v>668</v>
      </c>
      <c r="E2835" t="s">
        <v>668</v>
      </c>
      <c r="F2835" s="705">
        <v>1</v>
      </c>
      <c r="G2835" s="705">
        <v>67</v>
      </c>
      <c r="H2835" s="705">
        <v>270</v>
      </c>
      <c r="I2835" s="705">
        <v>10305</v>
      </c>
      <c r="J2835" s="705">
        <v>9368</v>
      </c>
      <c r="K2835" s="705">
        <v>65</v>
      </c>
      <c r="L2835" s="705">
        <v>1145</v>
      </c>
      <c r="M2835" s="705">
        <v>1041</v>
      </c>
      <c r="N2835" s="705">
        <v>929</v>
      </c>
      <c r="O2835" s="705">
        <v>344</v>
      </c>
      <c r="P2835" s="705">
        <v>351</v>
      </c>
      <c r="Q2835" s="705">
        <v>130</v>
      </c>
      <c r="R2835" s="705">
        <v>5314</v>
      </c>
      <c r="S2835" s="705">
        <v>4831</v>
      </c>
      <c r="T2835" s="705">
        <v>0</v>
      </c>
      <c r="U2835" s="705">
        <v>0</v>
      </c>
      <c r="V2835" s="705">
        <v>15714</v>
      </c>
      <c r="W2835" s="705">
        <f t="shared" si="112"/>
        <v>15714</v>
      </c>
      <c r="X2835" s="705">
        <f t="shared" si="113"/>
        <v>18044</v>
      </c>
    </row>
    <row r="2836" spans="2:24">
      <c r="B2836" t="s">
        <v>555</v>
      </c>
      <c r="C2836" t="s">
        <v>120</v>
      </c>
      <c r="F2836" s="705">
        <v>1</v>
      </c>
      <c r="G2836" s="705">
        <v>83</v>
      </c>
      <c r="H2836" s="705">
        <v>372</v>
      </c>
      <c r="I2836" s="705"/>
      <c r="J2836" s="705">
        <v>0</v>
      </c>
      <c r="K2836" s="705"/>
      <c r="L2836" s="705"/>
      <c r="M2836" s="705">
        <v>0</v>
      </c>
      <c r="N2836" s="705">
        <v>1976</v>
      </c>
      <c r="O2836" s="705">
        <v>732</v>
      </c>
      <c r="P2836" s="705">
        <v>621</v>
      </c>
      <c r="Q2836" s="705">
        <v>230</v>
      </c>
      <c r="R2836" s="705"/>
      <c r="S2836" s="705">
        <v>0</v>
      </c>
      <c r="T2836" s="705">
        <v>2654</v>
      </c>
      <c r="U2836" s="705">
        <v>983</v>
      </c>
      <c r="V2836" s="705">
        <v>1945</v>
      </c>
      <c r="W2836" s="705">
        <f t="shared" si="112"/>
        <v>1945</v>
      </c>
      <c r="X2836" s="705">
        <f t="shared" si="113"/>
        <v>5251</v>
      </c>
    </row>
    <row r="2837" spans="2:24">
      <c r="B2837" t="s">
        <v>555</v>
      </c>
      <c r="C2837" t="s">
        <v>120</v>
      </c>
      <c r="D2837" t="s">
        <v>664</v>
      </c>
      <c r="E2837" t="s">
        <v>664</v>
      </c>
      <c r="F2837" s="705">
        <v>2</v>
      </c>
      <c r="G2837" s="705">
        <v>339</v>
      </c>
      <c r="H2837" s="705">
        <v>619</v>
      </c>
      <c r="I2837" s="705">
        <v>67958</v>
      </c>
      <c r="J2837" s="705">
        <v>61780</v>
      </c>
      <c r="K2837" s="705">
        <v>74</v>
      </c>
      <c r="L2837" s="705">
        <v>10113</v>
      </c>
      <c r="M2837" s="705">
        <v>9194</v>
      </c>
      <c r="N2837" s="705">
        <v>5793</v>
      </c>
      <c r="O2837" s="705">
        <v>2146</v>
      </c>
      <c r="P2837" s="705">
        <v>945</v>
      </c>
      <c r="Q2837" s="705">
        <v>350</v>
      </c>
      <c r="R2837" s="705">
        <v>14779</v>
      </c>
      <c r="S2837" s="705">
        <v>13435</v>
      </c>
      <c r="T2837" s="705">
        <v>5967</v>
      </c>
      <c r="U2837" s="705">
        <v>2210</v>
      </c>
      <c r="V2837" s="705">
        <v>89115</v>
      </c>
      <c r="W2837" s="705">
        <f t="shared" si="112"/>
        <v>89115</v>
      </c>
      <c r="X2837" s="705">
        <f t="shared" si="113"/>
        <v>105555</v>
      </c>
    </row>
    <row r="2838" spans="2:24">
      <c r="B2838" t="s">
        <v>555</v>
      </c>
      <c r="C2838" t="s">
        <v>120</v>
      </c>
      <c r="D2838" t="s">
        <v>582</v>
      </c>
      <c r="E2838" t="s">
        <v>582</v>
      </c>
      <c r="F2838" s="705">
        <v>8</v>
      </c>
      <c r="G2838" s="705">
        <v>773</v>
      </c>
      <c r="H2838" s="705">
        <v>2732</v>
      </c>
      <c r="I2838" s="705">
        <v>173461</v>
      </c>
      <c r="J2838" s="705">
        <v>157691</v>
      </c>
      <c r="K2838" s="705">
        <v>80</v>
      </c>
      <c r="L2838" s="705">
        <v>34043</v>
      </c>
      <c r="M2838" s="705">
        <v>30949</v>
      </c>
      <c r="N2838" s="705">
        <v>15920</v>
      </c>
      <c r="O2838" s="705">
        <v>5896</v>
      </c>
      <c r="P2838" s="705">
        <v>3659</v>
      </c>
      <c r="Q2838" s="705">
        <v>1355</v>
      </c>
      <c r="R2838" s="705">
        <v>30676</v>
      </c>
      <c r="S2838" s="705">
        <v>27887</v>
      </c>
      <c r="T2838" s="705">
        <v>13954</v>
      </c>
      <c r="U2838" s="705">
        <v>5168</v>
      </c>
      <c r="V2838" s="705">
        <v>228947</v>
      </c>
      <c r="W2838" s="705">
        <f t="shared" si="112"/>
        <v>228946</v>
      </c>
      <c r="X2838" s="705">
        <f t="shared" si="113"/>
        <v>271713</v>
      </c>
    </row>
    <row r="2839" spans="2:24">
      <c r="B2839" t="s">
        <v>555</v>
      </c>
      <c r="C2839" t="s">
        <v>120</v>
      </c>
      <c r="D2839" t="s">
        <v>228</v>
      </c>
      <c r="E2839" t="s">
        <v>228</v>
      </c>
      <c r="F2839" s="705">
        <v>58</v>
      </c>
      <c r="G2839" s="705">
        <v>6358</v>
      </c>
      <c r="H2839" s="705">
        <v>19592</v>
      </c>
      <c r="I2839" s="705">
        <v>1459040</v>
      </c>
      <c r="J2839" s="705">
        <v>540385</v>
      </c>
      <c r="K2839" s="705">
        <v>103</v>
      </c>
      <c r="L2839" s="705">
        <v>205498</v>
      </c>
      <c r="M2839" s="705">
        <v>168671</v>
      </c>
      <c r="N2839" s="705">
        <v>147934</v>
      </c>
      <c r="O2839" s="705">
        <v>54790</v>
      </c>
      <c r="P2839" s="705">
        <v>1674</v>
      </c>
      <c r="Q2839" s="705">
        <v>620</v>
      </c>
      <c r="R2839" s="705">
        <v>456448</v>
      </c>
      <c r="S2839" s="705">
        <v>169055</v>
      </c>
      <c r="T2839" s="705">
        <v>0</v>
      </c>
      <c r="U2839" s="705">
        <v>0</v>
      </c>
      <c r="V2839" s="705">
        <v>933521</v>
      </c>
      <c r="W2839" s="705">
        <f t="shared" si="112"/>
        <v>933521</v>
      </c>
      <c r="X2839" s="705">
        <f t="shared" si="113"/>
        <v>2270594</v>
      </c>
    </row>
    <row r="2840" spans="2:24">
      <c r="B2840" t="s">
        <v>555</v>
      </c>
      <c r="C2840" t="s">
        <v>120</v>
      </c>
      <c r="D2840" t="s">
        <v>228</v>
      </c>
      <c r="E2840" t="s">
        <v>583</v>
      </c>
      <c r="F2840" s="705">
        <v>2</v>
      </c>
      <c r="G2840" s="705">
        <v>219</v>
      </c>
      <c r="H2840" s="705">
        <v>690</v>
      </c>
      <c r="I2840" s="705">
        <v>45276</v>
      </c>
      <c r="J2840" s="705">
        <v>16769</v>
      </c>
      <c r="K2840" s="705">
        <v>100</v>
      </c>
      <c r="L2840" s="705">
        <v>5730</v>
      </c>
      <c r="M2840" s="705">
        <v>5209</v>
      </c>
      <c r="N2840" s="705">
        <v>4299</v>
      </c>
      <c r="O2840" s="705">
        <v>1592</v>
      </c>
      <c r="P2840" s="705">
        <v>270</v>
      </c>
      <c r="Q2840" s="705">
        <v>100</v>
      </c>
      <c r="R2840" s="705">
        <v>13134</v>
      </c>
      <c r="S2840" s="705">
        <v>11940</v>
      </c>
      <c r="T2840" s="705">
        <v>6877</v>
      </c>
      <c r="U2840" s="705">
        <v>2547</v>
      </c>
      <c r="V2840" s="705">
        <v>38157</v>
      </c>
      <c r="W2840" s="705">
        <f t="shared" si="112"/>
        <v>38157</v>
      </c>
      <c r="X2840" s="705">
        <f t="shared" si="113"/>
        <v>75586</v>
      </c>
    </row>
    <row r="2841" spans="2:24">
      <c r="B2841" t="s">
        <v>555</v>
      </c>
      <c r="C2841" t="s">
        <v>120</v>
      </c>
      <c r="D2841" t="s">
        <v>583</v>
      </c>
      <c r="E2841" t="s">
        <v>228</v>
      </c>
      <c r="F2841" s="705">
        <v>6</v>
      </c>
      <c r="G2841" s="705">
        <v>878</v>
      </c>
      <c r="H2841" s="705">
        <v>1919</v>
      </c>
      <c r="I2841" s="705">
        <v>176776</v>
      </c>
      <c r="J2841" s="705">
        <v>160706</v>
      </c>
      <c r="K2841" s="705">
        <v>80</v>
      </c>
      <c r="L2841" s="705">
        <v>39839</v>
      </c>
      <c r="M2841" s="705">
        <v>36217</v>
      </c>
      <c r="N2841" s="705">
        <v>19301</v>
      </c>
      <c r="O2841" s="705">
        <v>7148</v>
      </c>
      <c r="P2841" s="705">
        <v>3375</v>
      </c>
      <c r="Q2841" s="705">
        <v>1250</v>
      </c>
      <c r="R2841" s="705">
        <v>56481</v>
      </c>
      <c r="S2841" s="705">
        <v>20919</v>
      </c>
      <c r="T2841" s="705">
        <v>0</v>
      </c>
      <c r="U2841" s="705">
        <v>0</v>
      </c>
      <c r="V2841" s="705">
        <v>226241</v>
      </c>
      <c r="W2841" s="705">
        <f t="shared" si="112"/>
        <v>226240</v>
      </c>
      <c r="X2841" s="705">
        <f t="shared" si="113"/>
        <v>295772</v>
      </c>
    </row>
    <row r="2842" spans="2:24">
      <c r="B2842" t="s">
        <v>555</v>
      </c>
      <c r="C2842" t="s">
        <v>120</v>
      </c>
      <c r="D2842" t="s">
        <v>583</v>
      </c>
      <c r="E2842" t="s">
        <v>583</v>
      </c>
      <c r="F2842" s="705">
        <v>1283</v>
      </c>
      <c r="G2842" s="705">
        <v>151536</v>
      </c>
      <c r="H2842" s="705">
        <v>432469</v>
      </c>
      <c r="I2842" s="705">
        <v>32883955</v>
      </c>
      <c r="J2842" s="705">
        <v>29894505</v>
      </c>
      <c r="K2842" s="705">
        <v>76</v>
      </c>
      <c r="L2842" s="705">
        <v>6227050</v>
      </c>
      <c r="M2842" s="705">
        <v>5514853</v>
      </c>
      <c r="N2842" s="705">
        <v>3205060</v>
      </c>
      <c r="O2842" s="705">
        <v>1187059</v>
      </c>
      <c r="P2842" s="705">
        <v>819290</v>
      </c>
      <c r="Q2842" s="705">
        <v>303441</v>
      </c>
      <c r="R2842" s="705">
        <v>6867859</v>
      </c>
      <c r="S2842" s="705">
        <v>6243508</v>
      </c>
      <c r="T2842" s="705">
        <v>2138084</v>
      </c>
      <c r="U2842" s="705">
        <v>791883</v>
      </c>
      <c r="V2842" s="705">
        <v>43935248</v>
      </c>
      <c r="W2842" s="705">
        <f t="shared" si="112"/>
        <v>43935249</v>
      </c>
      <c r="X2842" s="705">
        <f t="shared" si="113"/>
        <v>52141298</v>
      </c>
    </row>
    <row r="2843" spans="2:24">
      <c r="B2843" t="s">
        <v>555</v>
      </c>
      <c r="C2843" t="s">
        <v>120</v>
      </c>
      <c r="D2843" t="s">
        <v>583</v>
      </c>
      <c r="E2843" t="s">
        <v>666</v>
      </c>
      <c r="F2843" s="705">
        <v>2</v>
      </c>
      <c r="G2843" s="705">
        <v>208</v>
      </c>
      <c r="H2843" s="705">
        <v>664</v>
      </c>
      <c r="I2843" s="705">
        <v>39330</v>
      </c>
      <c r="J2843" s="705">
        <v>35755</v>
      </c>
      <c r="K2843" s="705">
        <v>75</v>
      </c>
      <c r="L2843" s="705">
        <v>10177</v>
      </c>
      <c r="M2843" s="705">
        <v>9252</v>
      </c>
      <c r="N2843" s="705">
        <v>4926</v>
      </c>
      <c r="O2843" s="705">
        <v>1824</v>
      </c>
      <c r="P2843" s="705">
        <v>1242</v>
      </c>
      <c r="Q2843" s="705">
        <v>460</v>
      </c>
      <c r="R2843" s="705">
        <v>10416</v>
      </c>
      <c r="S2843" s="705">
        <v>9469</v>
      </c>
      <c r="T2843" s="705">
        <v>3395</v>
      </c>
      <c r="U2843" s="705">
        <v>1257</v>
      </c>
      <c r="V2843" s="705">
        <v>58017</v>
      </c>
      <c r="W2843" s="705">
        <f t="shared" si="112"/>
        <v>58017</v>
      </c>
      <c r="X2843" s="705">
        <f t="shared" si="113"/>
        <v>69486</v>
      </c>
    </row>
    <row r="2844" spans="2:24">
      <c r="B2844" t="s">
        <v>555</v>
      </c>
      <c r="C2844" t="s">
        <v>120</v>
      </c>
      <c r="D2844" t="s">
        <v>583</v>
      </c>
      <c r="E2844" t="s">
        <v>669</v>
      </c>
      <c r="F2844" s="705">
        <v>1</v>
      </c>
      <c r="G2844" s="705">
        <v>121</v>
      </c>
      <c r="H2844" s="705">
        <v>321</v>
      </c>
      <c r="I2844" s="705">
        <v>22531</v>
      </c>
      <c r="J2844" s="705">
        <v>20483</v>
      </c>
      <c r="K2844" s="705">
        <v>70</v>
      </c>
      <c r="L2844" s="705">
        <v>3823</v>
      </c>
      <c r="M2844" s="705">
        <v>3186</v>
      </c>
      <c r="N2844" s="705">
        <v>2948</v>
      </c>
      <c r="O2844" s="705">
        <v>1092</v>
      </c>
      <c r="P2844" s="705">
        <v>621</v>
      </c>
      <c r="Q2844" s="705">
        <v>230</v>
      </c>
      <c r="R2844" s="705">
        <v>8976</v>
      </c>
      <c r="S2844" s="705">
        <v>7480</v>
      </c>
      <c r="T2844" s="705">
        <v>0</v>
      </c>
      <c r="U2844" s="705">
        <v>0</v>
      </c>
      <c r="V2844" s="705">
        <v>32471</v>
      </c>
      <c r="W2844" s="705">
        <f t="shared" si="112"/>
        <v>32471</v>
      </c>
      <c r="X2844" s="705">
        <f t="shared" si="113"/>
        <v>38899</v>
      </c>
    </row>
    <row r="2845" spans="2:24">
      <c r="B2845" t="s">
        <v>555</v>
      </c>
      <c r="C2845" t="s">
        <v>120</v>
      </c>
      <c r="D2845" t="s">
        <v>583</v>
      </c>
      <c r="E2845" t="s">
        <v>665</v>
      </c>
      <c r="F2845" s="705">
        <v>2</v>
      </c>
      <c r="G2845" s="705">
        <v>340</v>
      </c>
      <c r="H2845" s="705">
        <v>709</v>
      </c>
      <c r="I2845" s="705">
        <v>78153</v>
      </c>
      <c r="J2845" s="705">
        <v>71048</v>
      </c>
      <c r="K2845" s="705">
        <v>73</v>
      </c>
      <c r="L2845" s="705">
        <v>9200</v>
      </c>
      <c r="M2845" s="705">
        <v>8364</v>
      </c>
      <c r="N2845" s="705">
        <v>7820</v>
      </c>
      <c r="O2845" s="705">
        <v>2896</v>
      </c>
      <c r="P2845" s="705">
        <v>1242</v>
      </c>
      <c r="Q2845" s="705">
        <v>460</v>
      </c>
      <c r="R2845" s="705">
        <v>20463</v>
      </c>
      <c r="S2845" s="705">
        <v>18603</v>
      </c>
      <c r="T2845" s="705">
        <v>4377</v>
      </c>
      <c r="U2845" s="705">
        <v>1621</v>
      </c>
      <c r="V2845" s="705">
        <v>102992</v>
      </c>
      <c r="W2845" s="705">
        <f t="shared" si="112"/>
        <v>102992</v>
      </c>
      <c r="X2845" s="705">
        <f t="shared" si="113"/>
        <v>121255</v>
      </c>
    </row>
    <row r="2846" spans="2:24">
      <c r="B2846" t="s">
        <v>555</v>
      </c>
      <c r="C2846" t="s">
        <v>120</v>
      </c>
      <c r="D2846" t="s">
        <v>666</v>
      </c>
      <c r="E2846" t="s">
        <v>666</v>
      </c>
      <c r="F2846" s="705">
        <v>11</v>
      </c>
      <c r="G2846" s="705">
        <v>1094</v>
      </c>
      <c r="H2846" s="705">
        <v>3667</v>
      </c>
      <c r="I2846" s="705">
        <v>216618</v>
      </c>
      <c r="J2846" s="705">
        <v>196925</v>
      </c>
      <c r="K2846" s="705">
        <v>64</v>
      </c>
      <c r="L2846" s="705">
        <v>36871</v>
      </c>
      <c r="M2846" s="705">
        <v>31777</v>
      </c>
      <c r="N2846" s="705">
        <v>22725</v>
      </c>
      <c r="O2846" s="705">
        <v>8417</v>
      </c>
      <c r="P2846" s="705">
        <v>3861</v>
      </c>
      <c r="Q2846" s="705">
        <v>1430</v>
      </c>
      <c r="R2846" s="705">
        <v>63589</v>
      </c>
      <c r="S2846" s="705">
        <v>57809</v>
      </c>
      <c r="T2846" s="705">
        <v>18814</v>
      </c>
      <c r="U2846" s="705">
        <v>6968</v>
      </c>
      <c r="V2846" s="705">
        <v>303326</v>
      </c>
      <c r="W2846" s="705">
        <f t="shared" si="112"/>
        <v>303326</v>
      </c>
      <c r="X2846" s="705">
        <f t="shared" si="113"/>
        <v>362478</v>
      </c>
    </row>
    <row r="2847" spans="2:24">
      <c r="B2847" t="s">
        <v>555</v>
      </c>
      <c r="C2847" t="s">
        <v>120</v>
      </c>
      <c r="D2847" t="s">
        <v>584</v>
      </c>
      <c r="E2847" t="s">
        <v>228</v>
      </c>
      <c r="F2847" s="705">
        <v>1</v>
      </c>
      <c r="G2847" s="705">
        <v>91</v>
      </c>
      <c r="H2847" s="705">
        <v>345</v>
      </c>
      <c r="I2847" s="705">
        <v>18866</v>
      </c>
      <c r="J2847" s="705">
        <v>17151</v>
      </c>
      <c r="K2847" s="705">
        <v>69</v>
      </c>
      <c r="L2847" s="705">
        <v>2296</v>
      </c>
      <c r="M2847" s="705">
        <v>2087</v>
      </c>
      <c r="N2847" s="705">
        <v>2222</v>
      </c>
      <c r="O2847" s="705">
        <v>823</v>
      </c>
      <c r="P2847" s="705">
        <v>351</v>
      </c>
      <c r="Q2847" s="705">
        <v>130</v>
      </c>
      <c r="R2847" s="705">
        <v>7687</v>
      </c>
      <c r="S2847" s="705">
        <v>2847</v>
      </c>
      <c r="T2847" s="705">
        <v>0</v>
      </c>
      <c r="U2847" s="705">
        <v>0</v>
      </c>
      <c r="V2847" s="705">
        <v>23039</v>
      </c>
      <c r="W2847" s="705">
        <f t="shared" si="112"/>
        <v>23038</v>
      </c>
      <c r="X2847" s="705">
        <f t="shared" si="113"/>
        <v>31422</v>
      </c>
    </row>
    <row r="2848" spans="2:24">
      <c r="B2848" t="s">
        <v>555</v>
      </c>
      <c r="C2848" t="s">
        <v>120</v>
      </c>
      <c r="D2848" t="s">
        <v>584</v>
      </c>
      <c r="E2848" t="s">
        <v>584</v>
      </c>
      <c r="F2848" s="705">
        <v>37</v>
      </c>
      <c r="G2848" s="705">
        <v>3835</v>
      </c>
      <c r="H2848" s="705">
        <v>12392</v>
      </c>
      <c r="I2848" s="705">
        <v>794070</v>
      </c>
      <c r="J2848" s="705">
        <v>721882</v>
      </c>
      <c r="K2848" s="705">
        <v>76</v>
      </c>
      <c r="L2848" s="705">
        <v>180624</v>
      </c>
      <c r="M2848" s="705">
        <v>157929</v>
      </c>
      <c r="N2848" s="705">
        <v>76610</v>
      </c>
      <c r="O2848" s="705">
        <v>28374</v>
      </c>
      <c r="P2848" s="705">
        <v>17510</v>
      </c>
      <c r="Q2848" s="705">
        <v>6485</v>
      </c>
      <c r="R2848" s="705">
        <v>180835</v>
      </c>
      <c r="S2848" s="705">
        <v>164395</v>
      </c>
      <c r="T2848" s="705">
        <v>58241</v>
      </c>
      <c r="U2848" s="705">
        <v>21571</v>
      </c>
      <c r="V2848" s="705">
        <v>1100636</v>
      </c>
      <c r="W2848" s="705">
        <f t="shared" si="112"/>
        <v>1100636</v>
      </c>
      <c r="X2848" s="705">
        <f t="shared" si="113"/>
        <v>1307890</v>
      </c>
    </row>
    <row r="2849" spans="2:24">
      <c r="B2849" t="s">
        <v>555</v>
      </c>
      <c r="C2849" t="s">
        <v>120</v>
      </c>
      <c r="D2849" t="s">
        <v>669</v>
      </c>
      <c r="E2849" t="s">
        <v>669</v>
      </c>
      <c r="F2849" s="705">
        <v>5</v>
      </c>
      <c r="G2849" s="705">
        <v>581</v>
      </c>
      <c r="H2849" s="705">
        <v>1812</v>
      </c>
      <c r="I2849" s="705">
        <v>148789</v>
      </c>
      <c r="J2849" s="705">
        <v>123991</v>
      </c>
      <c r="K2849" s="705">
        <v>64</v>
      </c>
      <c r="L2849" s="705">
        <v>18516</v>
      </c>
      <c r="M2849" s="705">
        <v>13740</v>
      </c>
      <c r="N2849" s="705">
        <v>11299</v>
      </c>
      <c r="O2849" s="705">
        <v>4185</v>
      </c>
      <c r="P2849" s="705">
        <v>2517</v>
      </c>
      <c r="Q2849" s="705">
        <v>932</v>
      </c>
      <c r="R2849" s="705">
        <v>22262</v>
      </c>
      <c r="S2849" s="705">
        <v>18551</v>
      </c>
      <c r="T2849" s="705">
        <v>6705</v>
      </c>
      <c r="U2849" s="705">
        <v>2483</v>
      </c>
      <c r="V2849" s="705">
        <v>163883</v>
      </c>
      <c r="W2849" s="705">
        <f t="shared" si="112"/>
        <v>163882</v>
      </c>
      <c r="X2849" s="705">
        <f t="shared" si="113"/>
        <v>210088</v>
      </c>
    </row>
    <row r="2850" spans="2:24">
      <c r="B2850" t="s">
        <v>555</v>
      </c>
      <c r="C2850" t="s">
        <v>120</v>
      </c>
      <c r="D2850" t="s">
        <v>667</v>
      </c>
      <c r="E2850" t="s">
        <v>667</v>
      </c>
      <c r="F2850" s="705">
        <v>1</v>
      </c>
      <c r="G2850" s="705">
        <v>88</v>
      </c>
      <c r="H2850" s="705">
        <v>349</v>
      </c>
      <c r="I2850" s="705">
        <v>17856</v>
      </c>
      <c r="J2850" s="705">
        <v>16233</v>
      </c>
      <c r="K2850" s="705">
        <v>55</v>
      </c>
      <c r="L2850" s="705">
        <v>3637</v>
      </c>
      <c r="M2850" s="705">
        <v>3307</v>
      </c>
      <c r="N2850" s="705">
        <v>1376</v>
      </c>
      <c r="O2850" s="705">
        <v>510</v>
      </c>
      <c r="P2850" s="705">
        <v>351</v>
      </c>
      <c r="Q2850" s="705">
        <v>130</v>
      </c>
      <c r="R2850" s="705">
        <v>5043</v>
      </c>
      <c r="S2850" s="705">
        <v>4585</v>
      </c>
      <c r="T2850" s="705">
        <v>2266</v>
      </c>
      <c r="U2850" s="705">
        <v>839</v>
      </c>
      <c r="V2850" s="705">
        <v>25603</v>
      </c>
      <c r="W2850" s="705">
        <f t="shared" si="112"/>
        <v>25604</v>
      </c>
      <c r="X2850" s="705">
        <f t="shared" si="113"/>
        <v>30529</v>
      </c>
    </row>
    <row r="2851" spans="2:24">
      <c r="B2851" t="s">
        <v>555</v>
      </c>
      <c r="C2851" t="s">
        <v>120</v>
      </c>
      <c r="D2851" t="s">
        <v>671</v>
      </c>
      <c r="E2851" t="s">
        <v>671</v>
      </c>
      <c r="F2851" s="705">
        <v>5</v>
      </c>
      <c r="G2851" s="705">
        <v>496</v>
      </c>
      <c r="H2851" s="705">
        <v>1645</v>
      </c>
      <c r="I2851" s="705">
        <v>116812</v>
      </c>
      <c r="J2851" s="705">
        <v>106193</v>
      </c>
      <c r="K2851" s="705">
        <v>59</v>
      </c>
      <c r="L2851" s="705">
        <v>10663</v>
      </c>
      <c r="M2851" s="705">
        <v>9693</v>
      </c>
      <c r="N2851" s="705">
        <v>8929</v>
      </c>
      <c r="O2851" s="705">
        <v>3307</v>
      </c>
      <c r="P2851" s="705">
        <v>2106</v>
      </c>
      <c r="Q2851" s="705">
        <v>780</v>
      </c>
      <c r="R2851" s="705">
        <v>26886</v>
      </c>
      <c r="S2851" s="705">
        <v>24442</v>
      </c>
      <c r="T2851" s="705">
        <v>7814</v>
      </c>
      <c r="U2851" s="705">
        <v>2894</v>
      </c>
      <c r="V2851" s="705">
        <v>147309</v>
      </c>
      <c r="W2851" s="705">
        <f t="shared" si="112"/>
        <v>147309</v>
      </c>
      <c r="X2851" s="705">
        <f t="shared" si="113"/>
        <v>173210</v>
      </c>
    </row>
    <row r="2852" spans="2:24">
      <c r="B2852" t="s">
        <v>555</v>
      </c>
      <c r="C2852" t="s">
        <v>120</v>
      </c>
      <c r="D2852" t="s">
        <v>665</v>
      </c>
      <c r="E2852" t="s">
        <v>228</v>
      </c>
      <c r="F2852" s="705">
        <v>6</v>
      </c>
      <c r="G2852" s="705">
        <v>808</v>
      </c>
      <c r="H2852" s="705">
        <v>2163</v>
      </c>
      <c r="I2852" s="705">
        <v>197580</v>
      </c>
      <c r="J2852" s="705">
        <v>179618</v>
      </c>
      <c r="K2852" s="705">
        <v>57</v>
      </c>
      <c r="L2852" s="705">
        <v>23522</v>
      </c>
      <c r="M2852" s="705">
        <v>24997</v>
      </c>
      <c r="N2852" s="705">
        <v>16341</v>
      </c>
      <c r="O2852" s="705">
        <v>6052</v>
      </c>
      <c r="P2852" s="705">
        <v>351</v>
      </c>
      <c r="Q2852" s="705">
        <v>130</v>
      </c>
      <c r="R2852" s="705">
        <v>52783</v>
      </c>
      <c r="S2852" s="705">
        <v>19549</v>
      </c>
      <c r="T2852" s="705">
        <v>0</v>
      </c>
      <c r="U2852" s="705">
        <v>0</v>
      </c>
      <c r="V2852" s="705">
        <v>230347</v>
      </c>
      <c r="W2852" s="705">
        <f t="shared" si="112"/>
        <v>230346</v>
      </c>
      <c r="X2852" s="705">
        <f t="shared" si="113"/>
        <v>290577</v>
      </c>
    </row>
    <row r="2853" spans="2:24">
      <c r="B2853" t="s">
        <v>555</v>
      </c>
      <c r="C2853" t="s">
        <v>120</v>
      </c>
      <c r="D2853" t="s">
        <v>665</v>
      </c>
      <c r="E2853" t="s">
        <v>583</v>
      </c>
      <c r="F2853" s="705">
        <v>2</v>
      </c>
      <c r="G2853" s="705">
        <v>366</v>
      </c>
      <c r="H2853" s="705">
        <v>757</v>
      </c>
      <c r="I2853" s="705">
        <v>94701</v>
      </c>
      <c r="J2853" s="705">
        <v>86092</v>
      </c>
      <c r="K2853" s="705">
        <v>63</v>
      </c>
      <c r="L2853" s="705">
        <v>17733</v>
      </c>
      <c r="M2853" s="705">
        <v>16121</v>
      </c>
      <c r="N2853" s="705">
        <v>7620</v>
      </c>
      <c r="O2853" s="705">
        <v>2822</v>
      </c>
      <c r="P2853" s="705">
        <v>621</v>
      </c>
      <c r="Q2853" s="705">
        <v>230</v>
      </c>
      <c r="R2853" s="705">
        <v>10870</v>
      </c>
      <c r="S2853" s="705">
        <v>9882</v>
      </c>
      <c r="T2853" s="705">
        <v>6706</v>
      </c>
      <c r="U2853" s="705">
        <v>2484</v>
      </c>
      <c r="V2853" s="705">
        <v>117631</v>
      </c>
      <c r="W2853" s="705">
        <f t="shared" si="112"/>
        <v>117631</v>
      </c>
      <c r="X2853" s="705">
        <f t="shared" si="113"/>
        <v>138251</v>
      </c>
    </row>
    <row r="2854" spans="2:24">
      <c r="B2854" t="s">
        <v>555</v>
      </c>
      <c r="C2854" t="s">
        <v>120</v>
      </c>
      <c r="D2854" t="s">
        <v>665</v>
      </c>
      <c r="E2854" t="s">
        <v>665</v>
      </c>
      <c r="F2854" s="705">
        <v>135</v>
      </c>
      <c r="G2854" s="705">
        <v>13591</v>
      </c>
      <c r="H2854" s="705">
        <v>46128</v>
      </c>
      <c r="I2854" s="705">
        <v>2891587</v>
      </c>
      <c r="J2854" s="705">
        <v>2628715</v>
      </c>
      <c r="K2854" s="705">
        <v>59</v>
      </c>
      <c r="L2854" s="705">
        <v>415619</v>
      </c>
      <c r="M2854" s="705">
        <v>355245</v>
      </c>
      <c r="N2854" s="705">
        <v>264932</v>
      </c>
      <c r="O2854" s="705">
        <v>98123</v>
      </c>
      <c r="P2854" s="705">
        <v>49275</v>
      </c>
      <c r="Q2854" s="705">
        <v>18250</v>
      </c>
      <c r="R2854" s="705">
        <v>740311</v>
      </c>
      <c r="S2854" s="705">
        <v>673010</v>
      </c>
      <c r="T2854" s="705">
        <v>320677</v>
      </c>
      <c r="U2854" s="705">
        <v>118769</v>
      </c>
      <c r="V2854" s="705">
        <v>3892113</v>
      </c>
      <c r="W2854" s="705">
        <f t="shared" si="112"/>
        <v>3892112</v>
      </c>
      <c r="X2854" s="705">
        <f t="shared" si="113"/>
        <v>4682401</v>
      </c>
    </row>
    <row r="2855" spans="2:24">
      <c r="B2855" t="s">
        <v>555</v>
      </c>
      <c r="C2855" t="s">
        <v>120</v>
      </c>
      <c r="D2855" t="s">
        <v>673</v>
      </c>
      <c r="E2855" t="s">
        <v>673</v>
      </c>
      <c r="F2855" s="705">
        <v>7</v>
      </c>
      <c r="G2855" s="705">
        <v>802</v>
      </c>
      <c r="H2855" s="705">
        <v>2489</v>
      </c>
      <c r="I2855" s="705">
        <v>187296</v>
      </c>
      <c r="J2855" s="705">
        <v>170269</v>
      </c>
      <c r="K2855" s="705">
        <v>60</v>
      </c>
      <c r="L2855" s="705">
        <v>22228</v>
      </c>
      <c r="M2855" s="705">
        <v>20207</v>
      </c>
      <c r="N2855" s="705">
        <v>15812</v>
      </c>
      <c r="O2855" s="705">
        <v>5856</v>
      </c>
      <c r="P2855" s="705">
        <v>2808</v>
      </c>
      <c r="Q2855" s="705">
        <v>1040</v>
      </c>
      <c r="R2855" s="705">
        <v>40921</v>
      </c>
      <c r="S2855" s="705">
        <v>37201</v>
      </c>
      <c r="T2855" s="705">
        <v>17700</v>
      </c>
      <c r="U2855" s="705">
        <v>6556</v>
      </c>
      <c r="V2855" s="705">
        <v>241129</v>
      </c>
      <c r="W2855" s="705">
        <f t="shared" si="112"/>
        <v>241129</v>
      </c>
      <c r="X2855" s="705">
        <f t="shared" si="113"/>
        <v>286765</v>
      </c>
    </row>
    <row r="2856" spans="2:24">
      <c r="B2856" t="s">
        <v>555</v>
      </c>
      <c r="C2856" t="s">
        <v>120</v>
      </c>
      <c r="D2856" t="s">
        <v>585</v>
      </c>
      <c r="E2856" t="s">
        <v>228</v>
      </c>
      <c r="F2856" s="705">
        <v>1</v>
      </c>
      <c r="G2856" s="705">
        <v>45</v>
      </c>
      <c r="H2856" s="705">
        <v>353</v>
      </c>
      <c r="I2856" s="705">
        <v>9902</v>
      </c>
      <c r="J2856" s="705">
        <v>9002</v>
      </c>
      <c r="K2856" s="705">
        <v>65</v>
      </c>
      <c r="L2856" s="705">
        <v>0</v>
      </c>
      <c r="M2856" s="705">
        <v>0</v>
      </c>
      <c r="N2856" s="705">
        <v>1101</v>
      </c>
      <c r="O2856" s="705">
        <v>408</v>
      </c>
      <c r="P2856" s="705">
        <v>0</v>
      </c>
      <c r="Q2856" s="705">
        <v>0</v>
      </c>
      <c r="R2856" s="705">
        <v>4944</v>
      </c>
      <c r="S2856" s="705">
        <v>1831</v>
      </c>
      <c r="T2856" s="705">
        <v>0</v>
      </c>
      <c r="U2856" s="705">
        <v>0</v>
      </c>
      <c r="V2856" s="705">
        <v>11241</v>
      </c>
      <c r="W2856" s="705">
        <f t="shared" si="112"/>
        <v>11241</v>
      </c>
      <c r="X2856" s="705">
        <f t="shared" si="113"/>
        <v>15947</v>
      </c>
    </row>
    <row r="2857" spans="2:24">
      <c r="B2857" t="s">
        <v>555</v>
      </c>
      <c r="C2857" t="s">
        <v>122</v>
      </c>
      <c r="D2857" t="s">
        <v>674</v>
      </c>
      <c r="E2857" t="s">
        <v>674</v>
      </c>
      <c r="F2857" s="705">
        <v>1</v>
      </c>
      <c r="G2857" s="705">
        <v>59</v>
      </c>
      <c r="H2857" s="705">
        <v>423</v>
      </c>
      <c r="I2857" s="705">
        <v>18345</v>
      </c>
      <c r="J2857" s="705">
        <v>16678</v>
      </c>
      <c r="K2857" s="705">
        <v>60</v>
      </c>
      <c r="L2857" s="705">
        <v>0</v>
      </c>
      <c r="M2857" s="705">
        <v>0</v>
      </c>
      <c r="N2857" s="705">
        <v>718</v>
      </c>
      <c r="O2857" s="705">
        <v>266</v>
      </c>
      <c r="P2857" s="705">
        <v>351</v>
      </c>
      <c r="Q2857" s="705">
        <v>130</v>
      </c>
      <c r="R2857" s="705">
        <v>3518</v>
      </c>
      <c r="S2857" s="705">
        <v>3198</v>
      </c>
      <c r="T2857" s="705">
        <v>2008</v>
      </c>
      <c r="U2857" s="705">
        <v>744</v>
      </c>
      <c r="V2857" s="705">
        <v>21015</v>
      </c>
      <c r="W2857" s="705">
        <f t="shared" si="112"/>
        <v>21016</v>
      </c>
      <c r="X2857" s="705">
        <f t="shared" si="113"/>
        <v>24940</v>
      </c>
    </row>
    <row r="2858" spans="2:24">
      <c r="B2858" t="s">
        <v>555</v>
      </c>
      <c r="C2858" t="s">
        <v>122</v>
      </c>
      <c r="D2858" t="s">
        <v>664</v>
      </c>
      <c r="E2858" t="s">
        <v>664</v>
      </c>
      <c r="F2858" s="705">
        <v>1</v>
      </c>
      <c r="G2858" s="705">
        <v>66</v>
      </c>
      <c r="H2858" s="705">
        <v>405</v>
      </c>
      <c r="I2858" s="705">
        <v>20092</v>
      </c>
      <c r="J2858" s="705">
        <v>18265</v>
      </c>
      <c r="K2858" s="705">
        <v>73</v>
      </c>
      <c r="L2858" s="705">
        <v>0</v>
      </c>
      <c r="M2858" s="705">
        <v>0</v>
      </c>
      <c r="N2858" s="705">
        <v>1617</v>
      </c>
      <c r="O2858" s="705">
        <v>599</v>
      </c>
      <c r="P2858" s="705">
        <v>473</v>
      </c>
      <c r="Q2858" s="705">
        <v>175</v>
      </c>
      <c r="R2858" s="705">
        <v>4665</v>
      </c>
      <c r="S2858" s="705">
        <v>4241</v>
      </c>
      <c r="T2858" s="705">
        <v>0</v>
      </c>
      <c r="U2858" s="705">
        <v>0</v>
      </c>
      <c r="V2858" s="705">
        <v>23280</v>
      </c>
      <c r="W2858" s="705">
        <f t="shared" si="112"/>
        <v>23280</v>
      </c>
      <c r="X2858" s="705">
        <f t="shared" si="113"/>
        <v>26847</v>
      </c>
    </row>
    <row r="2859" spans="2:24">
      <c r="B2859" t="s">
        <v>555</v>
      </c>
      <c r="C2859" t="s">
        <v>122</v>
      </c>
      <c r="D2859" t="s">
        <v>582</v>
      </c>
      <c r="E2859" t="s">
        <v>582</v>
      </c>
      <c r="F2859" s="705">
        <v>3</v>
      </c>
      <c r="G2859" s="705">
        <v>259</v>
      </c>
      <c r="H2859" s="705">
        <v>1291</v>
      </c>
      <c r="I2859" s="705">
        <v>70837</v>
      </c>
      <c r="J2859" s="705">
        <v>64398</v>
      </c>
      <c r="K2859" s="705">
        <v>71</v>
      </c>
      <c r="L2859" s="705">
        <v>14866</v>
      </c>
      <c r="M2859" s="705">
        <v>13515</v>
      </c>
      <c r="N2859" s="705">
        <v>5869</v>
      </c>
      <c r="O2859" s="705">
        <v>2174</v>
      </c>
      <c r="P2859" s="705">
        <v>1296</v>
      </c>
      <c r="Q2859" s="705">
        <v>480</v>
      </c>
      <c r="R2859" s="705">
        <v>18071</v>
      </c>
      <c r="S2859" s="705">
        <v>16428</v>
      </c>
      <c r="T2859" s="705">
        <v>0</v>
      </c>
      <c r="U2859" s="705">
        <v>0</v>
      </c>
      <c r="V2859" s="705">
        <v>96994</v>
      </c>
      <c r="W2859" s="705">
        <f t="shared" si="112"/>
        <v>96995</v>
      </c>
      <c r="X2859" s="705">
        <f t="shared" si="113"/>
        <v>110939</v>
      </c>
    </row>
    <row r="2860" spans="2:24">
      <c r="B2860" t="s">
        <v>555</v>
      </c>
      <c r="C2860" t="s">
        <v>122</v>
      </c>
      <c r="D2860" t="s">
        <v>228</v>
      </c>
      <c r="E2860" t="s">
        <v>228</v>
      </c>
      <c r="F2860" s="705">
        <v>28</v>
      </c>
      <c r="G2860" s="705">
        <v>2727</v>
      </c>
      <c r="H2860" s="705">
        <v>11416</v>
      </c>
      <c r="I2860" s="705">
        <v>734940</v>
      </c>
      <c r="J2860" s="705">
        <v>272200</v>
      </c>
      <c r="K2860" s="705">
        <v>105</v>
      </c>
      <c r="L2860" s="705">
        <v>93891</v>
      </c>
      <c r="M2860" s="705">
        <v>79049</v>
      </c>
      <c r="N2860" s="705">
        <v>60867</v>
      </c>
      <c r="O2860" s="705">
        <v>22543</v>
      </c>
      <c r="P2860" s="705">
        <v>1344</v>
      </c>
      <c r="Q2860" s="705">
        <v>498</v>
      </c>
      <c r="R2860" s="705">
        <v>242160</v>
      </c>
      <c r="S2860" s="705">
        <v>89689</v>
      </c>
      <c r="T2860" s="705">
        <v>0</v>
      </c>
      <c r="U2860" s="705">
        <v>0</v>
      </c>
      <c r="V2860" s="705">
        <v>463979</v>
      </c>
      <c r="W2860" s="705">
        <f t="shared" ref="W2860:W2923" si="114">SUM(ABS(J2860),ABS(M2860),ABS(O2860),ABS(Q2860),ABS(S2860),ABS(U2860))</f>
        <v>463979</v>
      </c>
      <c r="X2860" s="705">
        <f t="shared" ref="X2860:X2923" si="115">SUM(ABS(I2860),ABS(N2860),ABS(P2860),ABS(R2860),ABS(T2860),ABS(L2860))</f>
        <v>1133202</v>
      </c>
    </row>
    <row r="2861" spans="2:24">
      <c r="B2861" t="s">
        <v>555</v>
      </c>
      <c r="C2861" t="s">
        <v>122</v>
      </c>
      <c r="D2861" t="s">
        <v>228</v>
      </c>
      <c r="E2861" t="s">
        <v>666</v>
      </c>
      <c r="F2861" s="705">
        <v>1</v>
      </c>
      <c r="G2861" s="705">
        <v>93</v>
      </c>
      <c r="H2861" s="705">
        <v>384</v>
      </c>
      <c r="I2861" s="705">
        <v>24910</v>
      </c>
      <c r="J2861" s="705">
        <v>9226</v>
      </c>
      <c r="K2861" s="705">
        <v>100</v>
      </c>
      <c r="L2861" s="705">
        <v>1735</v>
      </c>
      <c r="M2861" s="705">
        <v>1577</v>
      </c>
      <c r="N2861" s="705">
        <v>2259</v>
      </c>
      <c r="O2861" s="705">
        <v>837</v>
      </c>
      <c r="P2861" s="705">
        <v>0</v>
      </c>
      <c r="Q2861" s="705">
        <v>0</v>
      </c>
      <c r="R2861" s="705">
        <v>4353</v>
      </c>
      <c r="S2861" s="705">
        <v>3957</v>
      </c>
      <c r="T2861" s="705">
        <v>2334</v>
      </c>
      <c r="U2861" s="705">
        <v>864</v>
      </c>
      <c r="V2861" s="705">
        <v>16462</v>
      </c>
      <c r="W2861" s="705">
        <f t="shared" si="114"/>
        <v>16461</v>
      </c>
      <c r="X2861" s="705">
        <f t="shared" si="115"/>
        <v>35591</v>
      </c>
    </row>
    <row r="2862" spans="2:24">
      <c r="B2862" t="s">
        <v>555</v>
      </c>
      <c r="C2862" t="s">
        <v>122</v>
      </c>
      <c r="D2862" t="s">
        <v>228</v>
      </c>
      <c r="E2862" t="s">
        <v>665</v>
      </c>
      <c r="F2862" s="705">
        <v>5</v>
      </c>
      <c r="G2862" s="705">
        <v>402</v>
      </c>
      <c r="H2862" s="705">
        <v>2134</v>
      </c>
      <c r="I2862" s="705">
        <v>98017</v>
      </c>
      <c r="J2862" s="705">
        <v>36303</v>
      </c>
      <c r="K2862" s="705">
        <v>100</v>
      </c>
      <c r="L2862" s="705">
        <v>9126</v>
      </c>
      <c r="M2862" s="705">
        <v>8296</v>
      </c>
      <c r="N2862" s="705">
        <v>8697</v>
      </c>
      <c r="O2862" s="705">
        <v>3221</v>
      </c>
      <c r="P2862" s="705">
        <v>0</v>
      </c>
      <c r="Q2862" s="705">
        <v>0</v>
      </c>
      <c r="R2862" s="705">
        <v>49612</v>
      </c>
      <c r="S2862" s="705">
        <v>45102</v>
      </c>
      <c r="T2862" s="705">
        <v>6563</v>
      </c>
      <c r="U2862" s="705">
        <v>2431</v>
      </c>
      <c r="V2862" s="705">
        <v>95353</v>
      </c>
      <c r="W2862" s="705">
        <f t="shared" si="114"/>
        <v>95353</v>
      </c>
      <c r="X2862" s="705">
        <f t="shared" si="115"/>
        <v>172015</v>
      </c>
    </row>
    <row r="2863" spans="2:24">
      <c r="B2863" t="s">
        <v>555</v>
      </c>
      <c r="C2863" t="s">
        <v>122</v>
      </c>
      <c r="D2863" t="s">
        <v>583</v>
      </c>
      <c r="E2863" t="s">
        <v>228</v>
      </c>
      <c r="F2863" s="705">
        <v>7</v>
      </c>
      <c r="G2863" s="705">
        <v>636</v>
      </c>
      <c r="H2863" s="705">
        <v>2878</v>
      </c>
      <c r="I2863" s="705">
        <v>179803</v>
      </c>
      <c r="J2863" s="705">
        <v>163457</v>
      </c>
      <c r="K2863" s="705">
        <v>79</v>
      </c>
      <c r="L2863" s="705">
        <v>28903</v>
      </c>
      <c r="M2863" s="705">
        <v>26275</v>
      </c>
      <c r="N2863" s="705">
        <v>14417</v>
      </c>
      <c r="O2863" s="705">
        <v>5339</v>
      </c>
      <c r="P2863" s="705">
        <v>4347</v>
      </c>
      <c r="Q2863" s="705">
        <v>1610</v>
      </c>
      <c r="R2863" s="705">
        <v>44019</v>
      </c>
      <c r="S2863" s="705">
        <v>16303</v>
      </c>
      <c r="T2863" s="705">
        <v>0</v>
      </c>
      <c r="U2863" s="705">
        <v>0</v>
      </c>
      <c r="V2863" s="705">
        <v>212986</v>
      </c>
      <c r="W2863" s="705">
        <f t="shared" si="114"/>
        <v>212984</v>
      </c>
      <c r="X2863" s="705">
        <f t="shared" si="115"/>
        <v>271489</v>
      </c>
    </row>
    <row r="2864" spans="2:24">
      <c r="B2864" t="s">
        <v>555</v>
      </c>
      <c r="C2864" t="s">
        <v>122</v>
      </c>
      <c r="D2864" t="s">
        <v>583</v>
      </c>
      <c r="E2864" t="s">
        <v>583</v>
      </c>
      <c r="F2864" s="705">
        <v>613</v>
      </c>
      <c r="G2864" s="705">
        <v>68688</v>
      </c>
      <c r="H2864" s="705">
        <v>254207</v>
      </c>
      <c r="I2864" s="705">
        <v>19174307</v>
      </c>
      <c r="J2864" s="705">
        <v>17431188</v>
      </c>
      <c r="K2864" s="705">
        <v>76</v>
      </c>
      <c r="L2864" s="705">
        <v>3686764</v>
      </c>
      <c r="M2864" s="705">
        <v>3271880</v>
      </c>
      <c r="N2864" s="705">
        <v>1470373</v>
      </c>
      <c r="O2864" s="705">
        <v>544583</v>
      </c>
      <c r="P2864" s="705">
        <v>394970</v>
      </c>
      <c r="Q2864" s="705">
        <v>146285</v>
      </c>
      <c r="R2864" s="705">
        <v>3174910</v>
      </c>
      <c r="S2864" s="705">
        <v>2886282</v>
      </c>
      <c r="T2864" s="705">
        <v>980944</v>
      </c>
      <c r="U2864" s="705">
        <v>363312</v>
      </c>
      <c r="V2864" s="705">
        <v>24643530</v>
      </c>
      <c r="W2864" s="705">
        <f t="shared" si="114"/>
        <v>24643530</v>
      </c>
      <c r="X2864" s="705">
        <f t="shared" si="115"/>
        <v>28882268</v>
      </c>
    </row>
    <row r="2865" spans="2:24">
      <c r="B2865" t="s">
        <v>555</v>
      </c>
      <c r="C2865" t="s">
        <v>122</v>
      </c>
      <c r="D2865" t="s">
        <v>583</v>
      </c>
      <c r="E2865" t="s">
        <v>666</v>
      </c>
      <c r="F2865" s="705">
        <v>1</v>
      </c>
      <c r="G2865" s="705">
        <v>115</v>
      </c>
      <c r="H2865" s="705">
        <v>438</v>
      </c>
      <c r="I2865" s="705">
        <v>26934</v>
      </c>
      <c r="J2865" s="705">
        <v>24485</v>
      </c>
      <c r="K2865" s="705">
        <v>60</v>
      </c>
      <c r="L2865" s="705">
        <v>5686</v>
      </c>
      <c r="M2865" s="705">
        <v>5169</v>
      </c>
      <c r="N2865" s="705">
        <v>2795</v>
      </c>
      <c r="O2865" s="705">
        <v>1035</v>
      </c>
      <c r="P2865" s="705">
        <v>621</v>
      </c>
      <c r="Q2865" s="705">
        <v>230</v>
      </c>
      <c r="R2865" s="705">
        <v>9381</v>
      </c>
      <c r="S2865" s="705">
        <v>8528</v>
      </c>
      <c r="T2865" s="705">
        <v>4839</v>
      </c>
      <c r="U2865" s="705">
        <v>1792</v>
      </c>
      <c r="V2865" s="705">
        <v>41240</v>
      </c>
      <c r="W2865" s="705">
        <f t="shared" si="114"/>
        <v>41239</v>
      </c>
      <c r="X2865" s="705">
        <f t="shared" si="115"/>
        <v>50256</v>
      </c>
    </row>
    <row r="2866" spans="2:24">
      <c r="B2866" t="s">
        <v>555</v>
      </c>
      <c r="C2866" t="s">
        <v>122</v>
      </c>
      <c r="D2866" t="s">
        <v>583</v>
      </c>
      <c r="E2866" t="s">
        <v>584</v>
      </c>
      <c r="F2866" s="705">
        <v>2</v>
      </c>
      <c r="G2866" s="705">
        <v>289</v>
      </c>
      <c r="H2866" s="705">
        <v>840</v>
      </c>
      <c r="I2866" s="705">
        <v>86255</v>
      </c>
      <c r="J2866" s="705">
        <v>78413</v>
      </c>
      <c r="K2866" s="705">
        <v>82</v>
      </c>
      <c r="L2866" s="705">
        <v>15289</v>
      </c>
      <c r="M2866" s="705">
        <v>13899</v>
      </c>
      <c r="N2866" s="705">
        <v>6106</v>
      </c>
      <c r="O2866" s="705">
        <v>2262</v>
      </c>
      <c r="P2866" s="705">
        <v>1242</v>
      </c>
      <c r="Q2866" s="705">
        <v>460</v>
      </c>
      <c r="R2866" s="705">
        <v>11735</v>
      </c>
      <c r="S2866" s="705">
        <v>10669</v>
      </c>
      <c r="T2866" s="705">
        <v>2401</v>
      </c>
      <c r="U2866" s="705">
        <v>889</v>
      </c>
      <c r="V2866" s="705">
        <v>106592</v>
      </c>
      <c r="W2866" s="705">
        <f t="shared" si="114"/>
        <v>106592</v>
      </c>
      <c r="X2866" s="705">
        <f t="shared" si="115"/>
        <v>123028</v>
      </c>
    </row>
    <row r="2867" spans="2:24">
      <c r="B2867" t="s">
        <v>555</v>
      </c>
      <c r="C2867" t="s">
        <v>122</v>
      </c>
      <c r="D2867" t="s">
        <v>583</v>
      </c>
      <c r="E2867" t="s">
        <v>665</v>
      </c>
      <c r="F2867" s="705">
        <v>2</v>
      </c>
      <c r="G2867" s="705">
        <v>256</v>
      </c>
      <c r="H2867" s="705">
        <v>856</v>
      </c>
      <c r="I2867" s="705">
        <v>63072</v>
      </c>
      <c r="J2867" s="705">
        <v>57338</v>
      </c>
      <c r="K2867" s="705">
        <v>78</v>
      </c>
      <c r="L2867" s="705">
        <v>17344</v>
      </c>
      <c r="M2867" s="705">
        <v>15767</v>
      </c>
      <c r="N2867" s="705">
        <v>5566</v>
      </c>
      <c r="O2867" s="705">
        <v>2061</v>
      </c>
      <c r="P2867" s="705">
        <v>1242</v>
      </c>
      <c r="Q2867" s="705">
        <v>460</v>
      </c>
      <c r="R2867" s="705">
        <v>18695</v>
      </c>
      <c r="S2867" s="705">
        <v>16995</v>
      </c>
      <c r="T2867" s="705">
        <v>3005</v>
      </c>
      <c r="U2867" s="705">
        <v>1113</v>
      </c>
      <c r="V2867" s="705">
        <v>93735</v>
      </c>
      <c r="W2867" s="705">
        <f t="shared" si="114"/>
        <v>93734</v>
      </c>
      <c r="X2867" s="705">
        <f t="shared" si="115"/>
        <v>108924</v>
      </c>
    </row>
    <row r="2868" spans="2:24">
      <c r="B2868" t="s">
        <v>555</v>
      </c>
      <c r="C2868" t="s">
        <v>122</v>
      </c>
      <c r="D2868" t="s">
        <v>666</v>
      </c>
      <c r="E2868" t="s">
        <v>228</v>
      </c>
      <c r="F2868" s="705">
        <v>1</v>
      </c>
      <c r="G2868" s="705">
        <v>120</v>
      </c>
      <c r="H2868" s="705">
        <v>387</v>
      </c>
      <c r="I2868" s="705">
        <v>27387</v>
      </c>
      <c r="J2868" s="705">
        <v>24897</v>
      </c>
      <c r="K2868" s="705">
        <v>60</v>
      </c>
      <c r="L2868" s="705">
        <v>6086</v>
      </c>
      <c r="M2868" s="705">
        <v>5533</v>
      </c>
      <c r="N2868" s="705">
        <v>2529</v>
      </c>
      <c r="O2868" s="705">
        <v>937</v>
      </c>
      <c r="P2868" s="705">
        <v>351</v>
      </c>
      <c r="Q2868" s="705">
        <v>130</v>
      </c>
      <c r="R2868" s="705">
        <v>10051</v>
      </c>
      <c r="S2868" s="705">
        <v>3723</v>
      </c>
      <c r="T2868" s="705">
        <v>0</v>
      </c>
      <c r="U2868" s="705">
        <v>0</v>
      </c>
      <c r="V2868" s="705">
        <v>35220</v>
      </c>
      <c r="W2868" s="705">
        <f t="shared" si="114"/>
        <v>35220</v>
      </c>
      <c r="X2868" s="705">
        <f t="shared" si="115"/>
        <v>46404</v>
      </c>
    </row>
    <row r="2869" spans="2:24">
      <c r="B2869" t="s">
        <v>555</v>
      </c>
      <c r="C2869" t="s">
        <v>122</v>
      </c>
      <c r="D2869" t="s">
        <v>666</v>
      </c>
      <c r="E2869" t="s">
        <v>666</v>
      </c>
      <c r="F2869" s="705">
        <v>15</v>
      </c>
      <c r="G2869" s="705">
        <v>1567</v>
      </c>
      <c r="H2869" s="705">
        <v>6260</v>
      </c>
      <c r="I2869" s="705">
        <v>445603</v>
      </c>
      <c r="J2869" s="705">
        <v>405093</v>
      </c>
      <c r="K2869" s="705">
        <v>55</v>
      </c>
      <c r="L2869" s="705">
        <v>60798</v>
      </c>
      <c r="M2869" s="705">
        <v>55271</v>
      </c>
      <c r="N2869" s="705">
        <v>32696</v>
      </c>
      <c r="O2869" s="705">
        <v>12110</v>
      </c>
      <c r="P2869" s="705">
        <v>4914</v>
      </c>
      <c r="Q2869" s="705">
        <v>1820</v>
      </c>
      <c r="R2869" s="705">
        <v>105293</v>
      </c>
      <c r="S2869" s="705">
        <v>95721</v>
      </c>
      <c r="T2869" s="705">
        <v>34537</v>
      </c>
      <c r="U2869" s="705">
        <v>12792</v>
      </c>
      <c r="V2869" s="705">
        <v>582806</v>
      </c>
      <c r="W2869" s="705">
        <f t="shared" si="114"/>
        <v>582807</v>
      </c>
      <c r="X2869" s="705">
        <f t="shared" si="115"/>
        <v>683841</v>
      </c>
    </row>
    <row r="2870" spans="2:24">
      <c r="B2870" t="s">
        <v>555</v>
      </c>
      <c r="C2870" t="s">
        <v>122</v>
      </c>
      <c r="D2870" t="s">
        <v>584</v>
      </c>
      <c r="E2870" t="s">
        <v>584</v>
      </c>
      <c r="F2870" s="705">
        <v>13</v>
      </c>
      <c r="G2870" s="705">
        <v>1705</v>
      </c>
      <c r="H2870" s="705">
        <v>5407</v>
      </c>
      <c r="I2870" s="705">
        <v>556027</v>
      </c>
      <c r="J2870" s="705">
        <v>505479</v>
      </c>
      <c r="K2870" s="705">
        <v>70</v>
      </c>
      <c r="L2870" s="705">
        <v>94708</v>
      </c>
      <c r="M2870" s="705">
        <v>85119</v>
      </c>
      <c r="N2870" s="705">
        <v>42597</v>
      </c>
      <c r="O2870" s="705">
        <v>15777</v>
      </c>
      <c r="P2870" s="705">
        <v>6372</v>
      </c>
      <c r="Q2870" s="705">
        <v>2360</v>
      </c>
      <c r="R2870" s="705">
        <v>72974</v>
      </c>
      <c r="S2870" s="705">
        <v>66340</v>
      </c>
      <c r="T2870" s="705">
        <v>25238</v>
      </c>
      <c r="U2870" s="705">
        <v>9347</v>
      </c>
      <c r="V2870" s="705">
        <v>684421</v>
      </c>
      <c r="W2870" s="705">
        <f t="shared" si="114"/>
        <v>684422</v>
      </c>
      <c r="X2870" s="705">
        <f t="shared" si="115"/>
        <v>797916</v>
      </c>
    </row>
    <row r="2871" spans="2:24">
      <c r="B2871" t="s">
        <v>555</v>
      </c>
      <c r="C2871" t="s">
        <v>122</v>
      </c>
      <c r="D2871" t="s">
        <v>669</v>
      </c>
      <c r="E2871" t="s">
        <v>669</v>
      </c>
      <c r="F2871" s="705">
        <v>9</v>
      </c>
      <c r="G2871" s="705">
        <v>786</v>
      </c>
      <c r="H2871" s="705">
        <v>3815</v>
      </c>
      <c r="I2871" s="705">
        <v>206894</v>
      </c>
      <c r="J2871" s="705">
        <v>172412</v>
      </c>
      <c r="K2871" s="705">
        <v>56</v>
      </c>
      <c r="L2871" s="705">
        <v>29483</v>
      </c>
      <c r="M2871" s="705">
        <v>23870</v>
      </c>
      <c r="N2871" s="705">
        <v>16975</v>
      </c>
      <c r="O2871" s="705">
        <v>6287</v>
      </c>
      <c r="P2871" s="705">
        <v>2727</v>
      </c>
      <c r="Q2871" s="705">
        <v>1010</v>
      </c>
      <c r="R2871" s="705">
        <v>65991</v>
      </c>
      <c r="S2871" s="705">
        <v>54993</v>
      </c>
      <c r="T2871" s="705">
        <v>10138</v>
      </c>
      <c r="U2871" s="705">
        <v>3755</v>
      </c>
      <c r="V2871" s="705">
        <v>262326</v>
      </c>
      <c r="W2871" s="705">
        <f t="shared" si="114"/>
        <v>262327</v>
      </c>
      <c r="X2871" s="705">
        <f t="shared" si="115"/>
        <v>332208</v>
      </c>
    </row>
    <row r="2872" spans="2:24">
      <c r="B2872" t="s">
        <v>555</v>
      </c>
      <c r="C2872" t="s">
        <v>122</v>
      </c>
      <c r="D2872" t="s">
        <v>667</v>
      </c>
      <c r="E2872" t="s">
        <v>667</v>
      </c>
      <c r="F2872" s="705">
        <v>2</v>
      </c>
      <c r="G2872" s="705">
        <v>206</v>
      </c>
      <c r="H2872" s="705">
        <v>897</v>
      </c>
      <c r="I2872" s="705">
        <v>78948</v>
      </c>
      <c r="J2872" s="705">
        <v>71771</v>
      </c>
      <c r="K2872" s="705">
        <v>55</v>
      </c>
      <c r="L2872" s="705">
        <v>13154</v>
      </c>
      <c r="M2872" s="705">
        <v>11958</v>
      </c>
      <c r="N2872" s="705">
        <v>5831</v>
      </c>
      <c r="O2872" s="705">
        <v>2160</v>
      </c>
      <c r="P2872" s="705">
        <v>702</v>
      </c>
      <c r="Q2872" s="705">
        <v>260</v>
      </c>
      <c r="R2872" s="705">
        <v>18302</v>
      </c>
      <c r="S2872" s="705">
        <v>16638</v>
      </c>
      <c r="T2872" s="705">
        <v>2755</v>
      </c>
      <c r="U2872" s="705">
        <v>1020</v>
      </c>
      <c r="V2872" s="705">
        <v>103807</v>
      </c>
      <c r="W2872" s="705">
        <f t="shared" si="114"/>
        <v>103807</v>
      </c>
      <c r="X2872" s="705">
        <f t="shared" si="115"/>
        <v>119692</v>
      </c>
    </row>
    <row r="2873" spans="2:24">
      <c r="B2873" t="s">
        <v>555</v>
      </c>
      <c r="C2873" t="s">
        <v>122</v>
      </c>
      <c r="D2873" t="s">
        <v>671</v>
      </c>
      <c r="E2873" t="s">
        <v>671</v>
      </c>
      <c r="F2873" s="705">
        <v>1</v>
      </c>
      <c r="G2873" s="705">
        <v>47</v>
      </c>
      <c r="H2873" s="705">
        <v>419</v>
      </c>
      <c r="I2873" s="705">
        <v>12360</v>
      </c>
      <c r="J2873" s="705">
        <v>11236</v>
      </c>
      <c r="K2873" s="705">
        <v>55</v>
      </c>
      <c r="L2873" s="705">
        <v>1373</v>
      </c>
      <c r="M2873" s="705">
        <v>1248</v>
      </c>
      <c r="N2873" s="705">
        <v>574</v>
      </c>
      <c r="O2873" s="705">
        <v>213</v>
      </c>
      <c r="P2873" s="705">
        <v>351</v>
      </c>
      <c r="Q2873" s="705">
        <v>130</v>
      </c>
      <c r="R2873" s="705">
        <v>3380</v>
      </c>
      <c r="S2873" s="705">
        <v>3073</v>
      </c>
      <c r="T2873" s="705">
        <v>1704</v>
      </c>
      <c r="U2873" s="705">
        <v>631</v>
      </c>
      <c r="V2873" s="705">
        <v>16531</v>
      </c>
      <c r="W2873" s="705">
        <f t="shared" si="114"/>
        <v>16531</v>
      </c>
      <c r="X2873" s="705">
        <f t="shared" si="115"/>
        <v>19742</v>
      </c>
    </row>
    <row r="2874" spans="2:24">
      <c r="B2874" t="s">
        <v>555</v>
      </c>
      <c r="C2874" t="s">
        <v>122</v>
      </c>
      <c r="D2874" t="s">
        <v>665</v>
      </c>
      <c r="E2874" t="s">
        <v>228</v>
      </c>
      <c r="F2874" s="705">
        <v>1</v>
      </c>
      <c r="G2874" s="705">
        <v>92</v>
      </c>
      <c r="H2874" s="705">
        <v>412</v>
      </c>
      <c r="I2874" s="705">
        <v>24499</v>
      </c>
      <c r="J2874" s="705">
        <v>22271</v>
      </c>
      <c r="K2874" s="705">
        <v>65</v>
      </c>
      <c r="L2874" s="705">
        <v>0</v>
      </c>
      <c r="M2874" s="705">
        <v>0</v>
      </c>
      <c r="N2874" s="705">
        <v>1763</v>
      </c>
      <c r="O2874" s="705">
        <v>653</v>
      </c>
      <c r="P2874" s="705">
        <v>351</v>
      </c>
      <c r="Q2874" s="705">
        <v>130</v>
      </c>
      <c r="R2874" s="705">
        <v>11131</v>
      </c>
      <c r="S2874" s="705">
        <v>4123</v>
      </c>
      <c r="T2874" s="705">
        <v>0</v>
      </c>
      <c r="U2874" s="705">
        <v>0</v>
      </c>
      <c r="V2874" s="705">
        <v>27177</v>
      </c>
      <c r="W2874" s="705">
        <f t="shared" si="114"/>
        <v>27177</v>
      </c>
      <c r="X2874" s="705">
        <f t="shared" si="115"/>
        <v>37744</v>
      </c>
    </row>
    <row r="2875" spans="2:24">
      <c r="B2875" t="s">
        <v>555</v>
      </c>
      <c r="C2875" t="s">
        <v>122</v>
      </c>
      <c r="D2875" t="s">
        <v>665</v>
      </c>
      <c r="E2875" t="s">
        <v>583</v>
      </c>
      <c r="F2875" s="705">
        <v>1</v>
      </c>
      <c r="G2875" s="705">
        <v>132</v>
      </c>
      <c r="H2875" s="705">
        <v>430</v>
      </c>
      <c r="I2875" s="705">
        <v>36312</v>
      </c>
      <c r="J2875" s="705">
        <v>33011</v>
      </c>
      <c r="K2875" s="705">
        <v>45</v>
      </c>
      <c r="L2875" s="705">
        <v>5743</v>
      </c>
      <c r="M2875" s="705">
        <v>5221</v>
      </c>
      <c r="N2875" s="705">
        <v>2416</v>
      </c>
      <c r="O2875" s="705">
        <v>895</v>
      </c>
      <c r="P2875" s="705">
        <v>621</v>
      </c>
      <c r="Q2875" s="705">
        <v>230</v>
      </c>
      <c r="R2875" s="705">
        <v>8419</v>
      </c>
      <c r="S2875" s="705">
        <v>7654</v>
      </c>
      <c r="T2875" s="705">
        <v>3264</v>
      </c>
      <c r="U2875" s="705">
        <v>1209</v>
      </c>
      <c r="V2875" s="705">
        <v>48220</v>
      </c>
      <c r="W2875" s="705">
        <f t="shared" si="114"/>
        <v>48220</v>
      </c>
      <c r="X2875" s="705">
        <f t="shared" si="115"/>
        <v>56775</v>
      </c>
    </row>
    <row r="2876" spans="2:24">
      <c r="B2876" t="s">
        <v>555</v>
      </c>
      <c r="C2876" t="s">
        <v>122</v>
      </c>
      <c r="D2876" t="s">
        <v>665</v>
      </c>
      <c r="E2876" t="s">
        <v>665</v>
      </c>
      <c r="F2876" s="705">
        <v>155</v>
      </c>
      <c r="G2876" s="705">
        <v>14399</v>
      </c>
      <c r="H2876" s="705">
        <v>64272</v>
      </c>
      <c r="I2876" s="705">
        <v>3950114</v>
      </c>
      <c r="J2876" s="705">
        <v>3591013</v>
      </c>
      <c r="K2876" s="705">
        <v>53</v>
      </c>
      <c r="L2876" s="705">
        <v>515851</v>
      </c>
      <c r="M2876" s="705">
        <v>424549</v>
      </c>
      <c r="N2876" s="705">
        <v>295432</v>
      </c>
      <c r="O2876" s="705">
        <v>109419</v>
      </c>
      <c r="P2876" s="705">
        <v>53541</v>
      </c>
      <c r="Q2876" s="705">
        <v>19830</v>
      </c>
      <c r="R2876" s="705">
        <v>938211</v>
      </c>
      <c r="S2876" s="705">
        <v>852919</v>
      </c>
      <c r="T2876" s="705">
        <v>349973</v>
      </c>
      <c r="U2876" s="705">
        <v>129620</v>
      </c>
      <c r="V2876" s="705">
        <v>5127350</v>
      </c>
      <c r="W2876" s="705">
        <f t="shared" si="114"/>
        <v>5127350</v>
      </c>
      <c r="X2876" s="705">
        <f t="shared" si="115"/>
        <v>6103122</v>
      </c>
    </row>
    <row r="2877" spans="2:24">
      <c r="B2877" t="s">
        <v>555</v>
      </c>
      <c r="C2877" t="s">
        <v>122</v>
      </c>
      <c r="D2877" t="s">
        <v>673</v>
      </c>
      <c r="E2877" t="s">
        <v>673</v>
      </c>
      <c r="F2877" s="705">
        <v>5</v>
      </c>
      <c r="G2877" s="705">
        <v>457</v>
      </c>
      <c r="H2877" s="705">
        <v>2063</v>
      </c>
      <c r="I2877" s="705">
        <v>120037</v>
      </c>
      <c r="J2877" s="705">
        <v>109125</v>
      </c>
      <c r="K2877" s="705">
        <v>59</v>
      </c>
      <c r="L2877" s="705">
        <v>18908</v>
      </c>
      <c r="M2877" s="705">
        <v>17189</v>
      </c>
      <c r="N2877" s="705">
        <v>7572</v>
      </c>
      <c r="O2877" s="705">
        <v>2804</v>
      </c>
      <c r="P2877" s="705">
        <v>1755</v>
      </c>
      <c r="Q2877" s="705">
        <v>650</v>
      </c>
      <c r="R2877" s="705">
        <v>26336</v>
      </c>
      <c r="S2877" s="705">
        <v>23942</v>
      </c>
      <c r="T2877" s="705">
        <v>14567</v>
      </c>
      <c r="U2877" s="705">
        <v>5395</v>
      </c>
      <c r="V2877" s="705">
        <v>159105</v>
      </c>
      <c r="W2877" s="705">
        <f t="shared" si="114"/>
        <v>159105</v>
      </c>
      <c r="X2877" s="705">
        <f t="shared" si="115"/>
        <v>189175</v>
      </c>
    </row>
    <row r="2878" spans="2:24">
      <c r="B2878" t="s">
        <v>555</v>
      </c>
      <c r="C2878" t="s">
        <v>122</v>
      </c>
      <c r="D2878" t="s">
        <v>585</v>
      </c>
      <c r="E2878" t="s">
        <v>585</v>
      </c>
      <c r="F2878" s="705">
        <v>1</v>
      </c>
      <c r="G2878" s="705">
        <v>137</v>
      </c>
      <c r="H2878" s="705">
        <v>404</v>
      </c>
      <c r="I2878" s="705">
        <v>34961</v>
      </c>
      <c r="J2878" s="705">
        <v>31782</v>
      </c>
      <c r="K2878" s="705">
        <v>65</v>
      </c>
      <c r="L2878" s="705">
        <v>8416</v>
      </c>
      <c r="M2878" s="705">
        <v>7651</v>
      </c>
      <c r="N2878" s="705">
        <v>2834</v>
      </c>
      <c r="O2878" s="705">
        <v>1050</v>
      </c>
      <c r="P2878" s="705">
        <v>351</v>
      </c>
      <c r="Q2878" s="705">
        <v>130</v>
      </c>
      <c r="R2878" s="705">
        <v>5492</v>
      </c>
      <c r="S2878" s="705">
        <v>4993</v>
      </c>
      <c r="T2878" s="705">
        <v>3229</v>
      </c>
      <c r="U2878" s="705">
        <v>1196</v>
      </c>
      <c r="V2878" s="705">
        <v>46803</v>
      </c>
      <c r="W2878" s="705">
        <f t="shared" si="114"/>
        <v>46802</v>
      </c>
      <c r="X2878" s="705">
        <f t="shared" si="115"/>
        <v>55283</v>
      </c>
    </row>
    <row r="2879" spans="2:24">
      <c r="B2879" t="s">
        <v>555</v>
      </c>
      <c r="C2879" t="s">
        <v>122</v>
      </c>
      <c r="D2879" t="s">
        <v>668</v>
      </c>
      <c r="E2879" t="s">
        <v>585</v>
      </c>
      <c r="F2879" s="705">
        <v>1</v>
      </c>
      <c r="G2879" s="705">
        <v>119</v>
      </c>
      <c r="H2879" s="705">
        <v>389</v>
      </c>
      <c r="I2879" s="705">
        <v>34082</v>
      </c>
      <c r="J2879" s="705">
        <v>30984</v>
      </c>
      <c r="K2879" s="705">
        <v>83</v>
      </c>
      <c r="L2879" s="705">
        <v>4806</v>
      </c>
      <c r="M2879" s="705">
        <v>4370</v>
      </c>
      <c r="N2879" s="705">
        <v>1923</v>
      </c>
      <c r="O2879" s="705">
        <v>712</v>
      </c>
      <c r="P2879" s="705">
        <v>351</v>
      </c>
      <c r="Q2879" s="705">
        <v>130</v>
      </c>
      <c r="R2879" s="705">
        <v>4992</v>
      </c>
      <c r="S2879" s="705">
        <v>4539</v>
      </c>
      <c r="T2879" s="705">
        <v>0</v>
      </c>
      <c r="U2879" s="705">
        <v>0</v>
      </c>
      <c r="V2879" s="705">
        <v>40734</v>
      </c>
      <c r="W2879" s="705">
        <f t="shared" si="114"/>
        <v>40735</v>
      </c>
      <c r="X2879" s="705">
        <f t="shared" si="115"/>
        <v>46154</v>
      </c>
    </row>
    <row r="2880" spans="2:24">
      <c r="B2880" t="s">
        <v>555</v>
      </c>
      <c r="C2880" t="s">
        <v>124</v>
      </c>
      <c r="D2880" t="s">
        <v>664</v>
      </c>
      <c r="E2880" t="s">
        <v>664</v>
      </c>
      <c r="F2880" s="705">
        <v>1</v>
      </c>
      <c r="G2880" s="705">
        <v>67</v>
      </c>
      <c r="H2880" s="705">
        <v>568</v>
      </c>
      <c r="I2880" s="705">
        <v>26318</v>
      </c>
      <c r="J2880" s="705">
        <v>23926</v>
      </c>
      <c r="K2880" s="705">
        <v>78</v>
      </c>
      <c r="L2880" s="705">
        <v>3439</v>
      </c>
      <c r="M2880" s="705">
        <v>3127</v>
      </c>
      <c r="N2880" s="705">
        <v>1495</v>
      </c>
      <c r="O2880" s="705">
        <v>554</v>
      </c>
      <c r="P2880" s="705">
        <v>473</v>
      </c>
      <c r="Q2880" s="705">
        <v>175</v>
      </c>
      <c r="R2880" s="705">
        <v>3826</v>
      </c>
      <c r="S2880" s="705">
        <v>3478</v>
      </c>
      <c r="T2880" s="705">
        <v>2340</v>
      </c>
      <c r="U2880" s="705">
        <v>867</v>
      </c>
      <c r="V2880" s="705">
        <v>32126</v>
      </c>
      <c r="W2880" s="705">
        <f t="shared" si="114"/>
        <v>32127</v>
      </c>
      <c r="X2880" s="705">
        <f t="shared" si="115"/>
        <v>37891</v>
      </c>
    </row>
    <row r="2881" spans="2:24">
      <c r="B2881" t="s">
        <v>555</v>
      </c>
      <c r="C2881" t="s">
        <v>124</v>
      </c>
      <c r="D2881" t="s">
        <v>582</v>
      </c>
      <c r="E2881" t="s">
        <v>582</v>
      </c>
      <c r="F2881" s="705">
        <v>4</v>
      </c>
      <c r="G2881" s="705">
        <v>363</v>
      </c>
      <c r="H2881" s="705">
        <v>2301</v>
      </c>
      <c r="I2881" s="705">
        <v>139964</v>
      </c>
      <c r="J2881" s="705">
        <v>127240</v>
      </c>
      <c r="K2881" s="705">
        <v>70</v>
      </c>
      <c r="L2881" s="705">
        <v>35340</v>
      </c>
      <c r="M2881" s="705">
        <v>31605</v>
      </c>
      <c r="N2881" s="705">
        <v>8749</v>
      </c>
      <c r="O2881" s="705">
        <v>3241</v>
      </c>
      <c r="P2881" s="705">
        <v>1769</v>
      </c>
      <c r="Q2881" s="705">
        <v>655</v>
      </c>
      <c r="R2881" s="705">
        <v>16147</v>
      </c>
      <c r="S2881" s="705">
        <v>14679</v>
      </c>
      <c r="T2881" s="705">
        <v>4837</v>
      </c>
      <c r="U2881" s="705">
        <v>1791</v>
      </c>
      <c r="V2881" s="705">
        <v>179211</v>
      </c>
      <c r="W2881" s="705">
        <f t="shared" si="114"/>
        <v>179211</v>
      </c>
      <c r="X2881" s="705">
        <f t="shared" si="115"/>
        <v>206806</v>
      </c>
    </row>
    <row r="2882" spans="2:24">
      <c r="B2882" t="s">
        <v>555</v>
      </c>
      <c r="C2882" t="s">
        <v>124</v>
      </c>
      <c r="D2882" t="s">
        <v>228</v>
      </c>
      <c r="E2882" t="s">
        <v>674</v>
      </c>
      <c r="F2882" s="705">
        <v>1</v>
      </c>
      <c r="G2882" s="705">
        <v>61</v>
      </c>
      <c r="H2882" s="705">
        <v>553</v>
      </c>
      <c r="I2882" s="705">
        <v>23268</v>
      </c>
      <c r="J2882" s="705">
        <v>8618</v>
      </c>
      <c r="K2882" s="705">
        <v>100</v>
      </c>
      <c r="L2882" s="705">
        <v>2341</v>
      </c>
      <c r="M2882" s="705">
        <v>2128</v>
      </c>
      <c r="N2882" s="705">
        <v>1283</v>
      </c>
      <c r="O2882" s="705">
        <v>475</v>
      </c>
      <c r="P2882" s="705">
        <v>0</v>
      </c>
      <c r="Q2882" s="705">
        <v>0</v>
      </c>
      <c r="R2882" s="705">
        <v>6992</v>
      </c>
      <c r="S2882" s="705">
        <v>6356</v>
      </c>
      <c r="T2882" s="705">
        <v>0</v>
      </c>
      <c r="U2882" s="705">
        <v>0</v>
      </c>
      <c r="V2882" s="705">
        <v>17577</v>
      </c>
      <c r="W2882" s="705">
        <f t="shared" si="114"/>
        <v>17577</v>
      </c>
      <c r="X2882" s="705">
        <f t="shared" si="115"/>
        <v>33884</v>
      </c>
    </row>
    <row r="2883" spans="2:24">
      <c r="B2883" t="s">
        <v>555</v>
      </c>
      <c r="C2883" t="s">
        <v>124</v>
      </c>
      <c r="D2883" t="s">
        <v>228</v>
      </c>
      <c r="E2883" t="s">
        <v>582</v>
      </c>
      <c r="F2883" s="705">
        <v>1</v>
      </c>
      <c r="G2883" s="705">
        <v>88</v>
      </c>
      <c r="H2883" s="705">
        <v>1344</v>
      </c>
      <c r="I2883" s="705">
        <v>94319</v>
      </c>
      <c r="J2883" s="705">
        <v>34933</v>
      </c>
      <c r="K2883" s="705">
        <v>100</v>
      </c>
      <c r="L2883" s="705">
        <v>14232</v>
      </c>
      <c r="M2883" s="705">
        <v>12938</v>
      </c>
      <c r="N2883" s="705">
        <v>2029</v>
      </c>
      <c r="O2883" s="705">
        <v>751</v>
      </c>
      <c r="P2883" s="705">
        <v>621</v>
      </c>
      <c r="Q2883" s="705">
        <v>230</v>
      </c>
      <c r="R2883" s="705">
        <v>7198</v>
      </c>
      <c r="S2883" s="705">
        <v>6544</v>
      </c>
      <c r="T2883" s="705">
        <v>0</v>
      </c>
      <c r="U2883" s="705">
        <v>0</v>
      </c>
      <c r="V2883" s="705">
        <v>55396</v>
      </c>
      <c r="W2883" s="705">
        <f t="shared" si="114"/>
        <v>55396</v>
      </c>
      <c r="X2883" s="705">
        <f t="shared" si="115"/>
        <v>118399</v>
      </c>
    </row>
    <row r="2884" spans="2:24">
      <c r="B2884" t="s">
        <v>555</v>
      </c>
      <c r="C2884" t="s">
        <v>124</v>
      </c>
      <c r="D2884" t="s">
        <v>228</v>
      </c>
      <c r="E2884" t="s">
        <v>228</v>
      </c>
      <c r="F2884" s="705">
        <v>225</v>
      </c>
      <c r="G2884" s="705">
        <v>19704</v>
      </c>
      <c r="H2884" s="705">
        <v>171566</v>
      </c>
      <c r="I2884" s="705">
        <v>11145689</v>
      </c>
      <c r="J2884" s="705">
        <v>4128033</v>
      </c>
      <c r="K2884" s="705">
        <v>100</v>
      </c>
      <c r="L2884" s="705">
        <v>1812399</v>
      </c>
      <c r="M2884" s="705">
        <v>1554886</v>
      </c>
      <c r="N2884" s="705">
        <v>459623</v>
      </c>
      <c r="O2884" s="705">
        <v>170231</v>
      </c>
      <c r="P2884" s="705">
        <v>5184</v>
      </c>
      <c r="Q2884" s="705">
        <v>1920</v>
      </c>
      <c r="R2884" s="705">
        <v>1490123</v>
      </c>
      <c r="S2884" s="705">
        <v>551897</v>
      </c>
      <c r="T2884" s="705">
        <v>5301</v>
      </c>
      <c r="U2884" s="705">
        <v>1963</v>
      </c>
      <c r="V2884" s="705">
        <v>6408930</v>
      </c>
      <c r="W2884" s="705">
        <f t="shared" si="114"/>
        <v>6408930</v>
      </c>
      <c r="X2884" s="705">
        <f t="shared" si="115"/>
        <v>14918319</v>
      </c>
    </row>
    <row r="2885" spans="2:24">
      <c r="B2885" t="s">
        <v>555</v>
      </c>
      <c r="C2885" t="s">
        <v>124</v>
      </c>
      <c r="D2885" t="s">
        <v>228</v>
      </c>
      <c r="E2885" t="s">
        <v>583</v>
      </c>
      <c r="F2885" s="705">
        <v>3</v>
      </c>
      <c r="G2885" s="705">
        <v>217</v>
      </c>
      <c r="H2885" s="705">
        <v>2451</v>
      </c>
      <c r="I2885" s="705">
        <v>133284</v>
      </c>
      <c r="J2885" s="705">
        <v>49364</v>
      </c>
      <c r="K2885" s="705">
        <v>100</v>
      </c>
      <c r="L2885" s="705">
        <v>24319</v>
      </c>
      <c r="M2885" s="705">
        <v>22109</v>
      </c>
      <c r="N2885" s="705">
        <v>4425</v>
      </c>
      <c r="O2885" s="705">
        <v>1639</v>
      </c>
      <c r="P2885" s="705">
        <v>0</v>
      </c>
      <c r="Q2885" s="705">
        <v>0</v>
      </c>
      <c r="R2885" s="705">
        <v>14945</v>
      </c>
      <c r="S2885" s="705">
        <v>13586</v>
      </c>
      <c r="T2885" s="705">
        <v>2002</v>
      </c>
      <c r="U2885" s="705">
        <v>742</v>
      </c>
      <c r="V2885" s="705">
        <v>87440</v>
      </c>
      <c r="W2885" s="705">
        <f t="shared" si="114"/>
        <v>87440</v>
      </c>
      <c r="X2885" s="705">
        <f t="shared" si="115"/>
        <v>178975</v>
      </c>
    </row>
    <row r="2886" spans="2:24">
      <c r="B2886" t="s">
        <v>555</v>
      </c>
      <c r="C2886" t="s">
        <v>124</v>
      </c>
      <c r="D2886" t="s">
        <v>228</v>
      </c>
      <c r="E2886" t="s">
        <v>666</v>
      </c>
      <c r="F2886" s="705">
        <v>2</v>
      </c>
      <c r="G2886" s="705">
        <v>212</v>
      </c>
      <c r="H2886" s="705">
        <v>1548</v>
      </c>
      <c r="I2886" s="705">
        <v>114442</v>
      </c>
      <c r="J2886" s="705">
        <v>42386</v>
      </c>
      <c r="K2886" s="705">
        <v>100</v>
      </c>
      <c r="L2886" s="705">
        <v>17268</v>
      </c>
      <c r="M2886" s="705">
        <v>15699</v>
      </c>
      <c r="N2886" s="705">
        <v>3822</v>
      </c>
      <c r="O2886" s="705">
        <v>1415</v>
      </c>
      <c r="P2886" s="705">
        <v>0</v>
      </c>
      <c r="Q2886" s="705">
        <v>0</v>
      </c>
      <c r="R2886" s="705">
        <v>15727</v>
      </c>
      <c r="S2886" s="705">
        <v>14297</v>
      </c>
      <c r="T2886" s="705">
        <v>7670</v>
      </c>
      <c r="U2886" s="705">
        <v>2841</v>
      </c>
      <c r="V2886" s="705">
        <v>76638</v>
      </c>
      <c r="W2886" s="705">
        <f t="shared" si="114"/>
        <v>76638</v>
      </c>
      <c r="X2886" s="705">
        <f t="shared" si="115"/>
        <v>158929</v>
      </c>
    </row>
    <row r="2887" spans="2:24">
      <c r="B2887" t="s">
        <v>555</v>
      </c>
      <c r="C2887" t="s">
        <v>124</v>
      </c>
      <c r="D2887" t="s">
        <v>228</v>
      </c>
      <c r="E2887" t="s">
        <v>665</v>
      </c>
      <c r="F2887" s="705">
        <v>15</v>
      </c>
      <c r="G2887" s="705">
        <v>1914</v>
      </c>
      <c r="H2887" s="705">
        <v>10201</v>
      </c>
      <c r="I2887" s="705">
        <v>999080</v>
      </c>
      <c r="J2887" s="705">
        <v>370030</v>
      </c>
      <c r="K2887" s="705">
        <v>100</v>
      </c>
      <c r="L2887" s="705">
        <v>135252</v>
      </c>
      <c r="M2887" s="705">
        <v>118995</v>
      </c>
      <c r="N2887" s="705">
        <v>42868</v>
      </c>
      <c r="O2887" s="705">
        <v>15877</v>
      </c>
      <c r="P2887" s="705">
        <v>702</v>
      </c>
      <c r="Q2887" s="705">
        <v>260</v>
      </c>
      <c r="R2887" s="705">
        <v>82658</v>
      </c>
      <c r="S2887" s="705">
        <v>75144</v>
      </c>
      <c r="T2887" s="705">
        <v>36115</v>
      </c>
      <c r="U2887" s="705">
        <v>13376</v>
      </c>
      <c r="V2887" s="705">
        <v>593681</v>
      </c>
      <c r="W2887" s="705">
        <f t="shared" si="114"/>
        <v>593682</v>
      </c>
      <c r="X2887" s="705">
        <f t="shared" si="115"/>
        <v>1296675</v>
      </c>
    </row>
    <row r="2888" spans="2:24">
      <c r="B2888" t="s">
        <v>555</v>
      </c>
      <c r="C2888" t="s">
        <v>124</v>
      </c>
      <c r="D2888" t="s">
        <v>583</v>
      </c>
      <c r="E2888" t="s">
        <v>228</v>
      </c>
      <c r="F2888" s="705">
        <v>21</v>
      </c>
      <c r="G2888" s="705">
        <v>2323</v>
      </c>
      <c r="H2888" s="705">
        <v>12638</v>
      </c>
      <c r="I2888" s="705">
        <v>976127</v>
      </c>
      <c r="J2888" s="705">
        <v>887388</v>
      </c>
      <c r="K2888" s="705">
        <v>69</v>
      </c>
      <c r="L2888" s="705">
        <v>160699</v>
      </c>
      <c r="M2888" s="705">
        <v>140333</v>
      </c>
      <c r="N2888" s="705">
        <v>51780</v>
      </c>
      <c r="O2888" s="705">
        <v>19178</v>
      </c>
      <c r="P2888" s="705">
        <v>12069</v>
      </c>
      <c r="Q2888" s="705">
        <v>4470</v>
      </c>
      <c r="R2888" s="705">
        <v>167153</v>
      </c>
      <c r="S2888" s="705">
        <v>61909</v>
      </c>
      <c r="T2888" s="705">
        <v>0</v>
      </c>
      <c r="U2888" s="705">
        <v>0</v>
      </c>
      <c r="V2888" s="705">
        <v>1113277</v>
      </c>
      <c r="W2888" s="705">
        <f t="shared" si="114"/>
        <v>1113278</v>
      </c>
      <c r="X2888" s="705">
        <f t="shared" si="115"/>
        <v>1367828</v>
      </c>
    </row>
    <row r="2889" spans="2:24">
      <c r="B2889" t="s">
        <v>555</v>
      </c>
      <c r="C2889" t="s">
        <v>124</v>
      </c>
      <c r="D2889" t="s">
        <v>583</v>
      </c>
      <c r="E2889" t="s">
        <v>583</v>
      </c>
      <c r="F2889" s="705">
        <v>733</v>
      </c>
      <c r="G2889" s="705">
        <v>73671</v>
      </c>
      <c r="H2889" s="705">
        <v>407804</v>
      </c>
      <c r="I2889" s="705">
        <v>28599744</v>
      </c>
      <c r="J2889" s="705">
        <v>25999767</v>
      </c>
      <c r="K2889" s="705">
        <v>71</v>
      </c>
      <c r="L2889" s="705">
        <v>5663038</v>
      </c>
      <c r="M2889" s="705">
        <v>4983608</v>
      </c>
      <c r="N2889" s="705">
        <v>1654890</v>
      </c>
      <c r="O2889" s="705">
        <v>612922</v>
      </c>
      <c r="P2889" s="705">
        <v>461052</v>
      </c>
      <c r="Q2889" s="705">
        <v>170760</v>
      </c>
      <c r="R2889" s="705">
        <v>3962453</v>
      </c>
      <c r="S2889" s="705">
        <v>3602230</v>
      </c>
      <c r="T2889" s="705">
        <v>1256281</v>
      </c>
      <c r="U2889" s="705">
        <v>465289</v>
      </c>
      <c r="V2889" s="705">
        <v>35834577</v>
      </c>
      <c r="W2889" s="705">
        <f t="shared" si="114"/>
        <v>35834576</v>
      </c>
      <c r="X2889" s="705">
        <f t="shared" si="115"/>
        <v>41597458</v>
      </c>
    </row>
    <row r="2890" spans="2:24">
      <c r="B2890" t="s">
        <v>555</v>
      </c>
      <c r="C2890" t="s">
        <v>124</v>
      </c>
      <c r="D2890" t="s">
        <v>583</v>
      </c>
      <c r="E2890" t="s">
        <v>666</v>
      </c>
      <c r="F2890" s="705">
        <v>1</v>
      </c>
      <c r="G2890" s="705">
        <v>299</v>
      </c>
      <c r="H2890" s="705">
        <v>517</v>
      </c>
      <c r="I2890" s="705">
        <v>100885</v>
      </c>
      <c r="J2890" s="705">
        <v>91714</v>
      </c>
      <c r="K2890" s="705">
        <v>86</v>
      </c>
      <c r="L2890" s="705">
        <v>32022</v>
      </c>
      <c r="M2890" s="705">
        <v>29111</v>
      </c>
      <c r="N2890" s="705">
        <v>6705</v>
      </c>
      <c r="O2890" s="705">
        <v>2484</v>
      </c>
      <c r="P2890" s="705">
        <v>621</v>
      </c>
      <c r="Q2890" s="705">
        <v>230</v>
      </c>
      <c r="R2890" s="705">
        <v>9580</v>
      </c>
      <c r="S2890" s="705">
        <v>8709</v>
      </c>
      <c r="T2890" s="705">
        <v>4704</v>
      </c>
      <c r="U2890" s="705">
        <v>1742</v>
      </c>
      <c r="V2890" s="705">
        <v>133989</v>
      </c>
      <c r="W2890" s="705">
        <f t="shared" si="114"/>
        <v>133990</v>
      </c>
      <c r="X2890" s="705">
        <f t="shared" si="115"/>
        <v>154517</v>
      </c>
    </row>
    <row r="2891" spans="2:24">
      <c r="B2891" t="s">
        <v>555</v>
      </c>
      <c r="C2891" t="s">
        <v>124</v>
      </c>
      <c r="D2891" t="s">
        <v>583</v>
      </c>
      <c r="E2891" t="s">
        <v>669</v>
      </c>
      <c r="F2891" s="705">
        <v>1</v>
      </c>
      <c r="G2891" s="705">
        <v>88</v>
      </c>
      <c r="H2891" s="705">
        <v>703</v>
      </c>
      <c r="I2891" s="705">
        <v>44154</v>
      </c>
      <c r="J2891" s="705">
        <v>40140</v>
      </c>
      <c r="K2891" s="705">
        <v>75</v>
      </c>
      <c r="L2891" s="705">
        <v>0</v>
      </c>
      <c r="M2891" s="705">
        <v>0</v>
      </c>
      <c r="N2891" s="705">
        <v>1990</v>
      </c>
      <c r="O2891" s="705">
        <v>737</v>
      </c>
      <c r="P2891" s="705">
        <v>270</v>
      </c>
      <c r="Q2891" s="705">
        <v>100</v>
      </c>
      <c r="R2891" s="705">
        <v>15620</v>
      </c>
      <c r="S2891" s="705">
        <v>13017</v>
      </c>
      <c r="T2891" s="705">
        <v>0</v>
      </c>
      <c r="U2891" s="705">
        <v>0</v>
      </c>
      <c r="V2891" s="705">
        <v>53994</v>
      </c>
      <c r="W2891" s="705">
        <f t="shared" si="114"/>
        <v>53994</v>
      </c>
      <c r="X2891" s="705">
        <f t="shared" si="115"/>
        <v>62034</v>
      </c>
    </row>
    <row r="2892" spans="2:24">
      <c r="B2892" t="s">
        <v>555</v>
      </c>
      <c r="C2892" t="s">
        <v>124</v>
      </c>
      <c r="D2892" t="s">
        <v>583</v>
      </c>
      <c r="E2892" t="s">
        <v>671</v>
      </c>
      <c r="F2892" s="705">
        <v>1</v>
      </c>
      <c r="G2892" s="705">
        <v>116</v>
      </c>
      <c r="H2892" s="705">
        <v>495</v>
      </c>
      <c r="I2892" s="705">
        <v>34072</v>
      </c>
      <c r="J2892" s="705">
        <v>30974</v>
      </c>
      <c r="K2892" s="705">
        <v>65</v>
      </c>
      <c r="L2892" s="705">
        <v>3899</v>
      </c>
      <c r="M2892" s="705">
        <v>3545</v>
      </c>
      <c r="N2892" s="705">
        <v>2573</v>
      </c>
      <c r="O2892" s="705">
        <v>953</v>
      </c>
      <c r="P2892" s="705">
        <v>621</v>
      </c>
      <c r="Q2892" s="705">
        <v>230</v>
      </c>
      <c r="R2892" s="705">
        <v>16302</v>
      </c>
      <c r="S2892" s="705">
        <v>14820</v>
      </c>
      <c r="T2892" s="705">
        <v>0</v>
      </c>
      <c r="U2892" s="705">
        <v>0</v>
      </c>
      <c r="V2892" s="705">
        <v>50522</v>
      </c>
      <c r="W2892" s="705">
        <f t="shared" si="114"/>
        <v>50522</v>
      </c>
      <c r="X2892" s="705">
        <f t="shared" si="115"/>
        <v>57467</v>
      </c>
    </row>
    <row r="2893" spans="2:24">
      <c r="B2893" t="s">
        <v>555</v>
      </c>
      <c r="C2893" t="s">
        <v>124</v>
      </c>
      <c r="D2893" t="s">
        <v>583</v>
      </c>
      <c r="E2893" t="s">
        <v>665</v>
      </c>
      <c r="F2893" s="705">
        <v>3</v>
      </c>
      <c r="G2893" s="705">
        <v>423</v>
      </c>
      <c r="H2893" s="705">
        <v>1608</v>
      </c>
      <c r="I2893" s="705">
        <v>153160</v>
      </c>
      <c r="J2893" s="705">
        <v>139236</v>
      </c>
      <c r="K2893" s="705">
        <v>71</v>
      </c>
      <c r="L2893" s="705">
        <v>27184</v>
      </c>
      <c r="M2893" s="705">
        <v>24713</v>
      </c>
      <c r="N2893" s="705">
        <v>9327</v>
      </c>
      <c r="O2893" s="705">
        <v>3455</v>
      </c>
      <c r="P2893" s="705">
        <v>1863</v>
      </c>
      <c r="Q2893" s="705">
        <v>690</v>
      </c>
      <c r="R2893" s="705">
        <v>23351</v>
      </c>
      <c r="S2893" s="705">
        <v>21229</v>
      </c>
      <c r="T2893" s="705">
        <v>5601</v>
      </c>
      <c r="U2893" s="705">
        <v>2075</v>
      </c>
      <c r="V2893" s="705">
        <v>191397</v>
      </c>
      <c r="W2893" s="705">
        <f t="shared" si="114"/>
        <v>191398</v>
      </c>
      <c r="X2893" s="705">
        <f t="shared" si="115"/>
        <v>220486</v>
      </c>
    </row>
    <row r="2894" spans="2:24">
      <c r="B2894" t="s">
        <v>555</v>
      </c>
      <c r="C2894" t="s">
        <v>124</v>
      </c>
      <c r="D2894" t="s">
        <v>583</v>
      </c>
      <c r="E2894" t="s">
        <v>673</v>
      </c>
      <c r="F2894" s="705">
        <v>1</v>
      </c>
      <c r="G2894" s="705">
        <v>93</v>
      </c>
      <c r="H2894" s="705">
        <v>638</v>
      </c>
      <c r="I2894" s="705">
        <v>39845</v>
      </c>
      <c r="J2894" s="705">
        <v>36223</v>
      </c>
      <c r="K2894" s="705">
        <v>85</v>
      </c>
      <c r="L2894" s="705">
        <v>7940</v>
      </c>
      <c r="M2894" s="705">
        <v>7218</v>
      </c>
      <c r="N2894" s="705">
        <v>2263</v>
      </c>
      <c r="O2894" s="705">
        <v>838</v>
      </c>
      <c r="P2894" s="705">
        <v>621</v>
      </c>
      <c r="Q2894" s="705">
        <v>230</v>
      </c>
      <c r="R2894" s="705">
        <v>8598</v>
      </c>
      <c r="S2894" s="705">
        <v>7817</v>
      </c>
      <c r="T2894" s="705">
        <v>0</v>
      </c>
      <c r="U2894" s="705">
        <v>0</v>
      </c>
      <c r="V2894" s="705">
        <v>52325</v>
      </c>
      <c r="W2894" s="705">
        <f t="shared" si="114"/>
        <v>52326</v>
      </c>
      <c r="X2894" s="705">
        <f t="shared" si="115"/>
        <v>59267</v>
      </c>
    </row>
    <row r="2895" spans="2:24">
      <c r="B2895" t="s">
        <v>555</v>
      </c>
      <c r="C2895" t="s">
        <v>124</v>
      </c>
      <c r="D2895" t="s">
        <v>666</v>
      </c>
      <c r="E2895" t="s">
        <v>228</v>
      </c>
      <c r="F2895" s="705">
        <v>6</v>
      </c>
      <c r="G2895" s="705">
        <v>341</v>
      </c>
      <c r="H2895" s="705">
        <v>6419</v>
      </c>
      <c r="I2895" s="705">
        <v>297035</v>
      </c>
      <c r="J2895" s="705">
        <v>270032</v>
      </c>
      <c r="K2895" s="705">
        <v>45</v>
      </c>
      <c r="L2895" s="705">
        <v>26778</v>
      </c>
      <c r="M2895" s="705">
        <v>24344</v>
      </c>
      <c r="N2895" s="705">
        <v>8311</v>
      </c>
      <c r="O2895" s="705">
        <v>3078</v>
      </c>
      <c r="P2895" s="705">
        <v>351</v>
      </c>
      <c r="Q2895" s="705">
        <v>130</v>
      </c>
      <c r="R2895" s="705">
        <v>36504</v>
      </c>
      <c r="S2895" s="705">
        <v>13520</v>
      </c>
      <c r="T2895" s="705">
        <v>0</v>
      </c>
      <c r="U2895" s="705">
        <v>0</v>
      </c>
      <c r="V2895" s="705">
        <v>311104</v>
      </c>
      <c r="W2895" s="705">
        <f t="shared" si="114"/>
        <v>311104</v>
      </c>
      <c r="X2895" s="705">
        <f t="shared" si="115"/>
        <v>368979</v>
      </c>
    </row>
    <row r="2896" spans="2:24">
      <c r="B2896" t="s">
        <v>555</v>
      </c>
      <c r="C2896" t="s">
        <v>124</v>
      </c>
      <c r="D2896" t="s">
        <v>666</v>
      </c>
      <c r="E2896" t="s">
        <v>666</v>
      </c>
      <c r="F2896" s="705">
        <v>19</v>
      </c>
      <c r="G2896" s="705">
        <v>1733</v>
      </c>
      <c r="H2896" s="705">
        <v>12640</v>
      </c>
      <c r="I2896" s="705">
        <v>882283</v>
      </c>
      <c r="J2896" s="705">
        <v>802075</v>
      </c>
      <c r="K2896" s="705">
        <v>54</v>
      </c>
      <c r="L2896" s="705">
        <v>114789</v>
      </c>
      <c r="M2896" s="705">
        <v>104353</v>
      </c>
      <c r="N2896" s="705">
        <v>38354</v>
      </c>
      <c r="O2896" s="705">
        <v>14205</v>
      </c>
      <c r="P2896" s="705">
        <v>6669</v>
      </c>
      <c r="Q2896" s="705">
        <v>2470</v>
      </c>
      <c r="R2896" s="705">
        <v>125394</v>
      </c>
      <c r="S2896" s="705">
        <v>113995</v>
      </c>
      <c r="T2896" s="705">
        <v>22906</v>
      </c>
      <c r="U2896" s="705">
        <v>8484</v>
      </c>
      <c r="V2896" s="705">
        <v>1045582</v>
      </c>
      <c r="W2896" s="705">
        <f t="shared" si="114"/>
        <v>1045582</v>
      </c>
      <c r="X2896" s="705">
        <f t="shared" si="115"/>
        <v>1190395</v>
      </c>
    </row>
    <row r="2897" spans="2:24">
      <c r="B2897" t="s">
        <v>555</v>
      </c>
      <c r="C2897" t="s">
        <v>124</v>
      </c>
      <c r="D2897" t="s">
        <v>584</v>
      </c>
      <c r="E2897" t="s">
        <v>228</v>
      </c>
      <c r="F2897" s="705">
        <v>1</v>
      </c>
      <c r="G2897" s="705">
        <v>85</v>
      </c>
      <c r="H2897" s="705">
        <v>563</v>
      </c>
      <c r="I2897" s="705">
        <v>31994</v>
      </c>
      <c r="J2897" s="705">
        <v>29085</v>
      </c>
      <c r="K2897" s="705">
        <v>79</v>
      </c>
      <c r="L2897" s="705">
        <v>8899</v>
      </c>
      <c r="M2897" s="705">
        <v>8090</v>
      </c>
      <c r="N2897" s="705">
        <v>1918</v>
      </c>
      <c r="O2897" s="705">
        <v>710</v>
      </c>
      <c r="P2897" s="705">
        <v>473</v>
      </c>
      <c r="Q2897" s="705">
        <v>175</v>
      </c>
      <c r="R2897" s="705">
        <v>4607</v>
      </c>
      <c r="S2897" s="705">
        <v>1706</v>
      </c>
      <c r="T2897" s="705">
        <v>0</v>
      </c>
      <c r="U2897" s="705">
        <v>0</v>
      </c>
      <c r="V2897" s="705">
        <v>39767</v>
      </c>
      <c r="W2897" s="705">
        <f t="shared" si="114"/>
        <v>39766</v>
      </c>
      <c r="X2897" s="705">
        <f t="shared" si="115"/>
        <v>47891</v>
      </c>
    </row>
    <row r="2898" spans="2:24">
      <c r="B2898" t="s">
        <v>555</v>
      </c>
      <c r="C2898" t="s">
        <v>124</v>
      </c>
      <c r="D2898" t="s">
        <v>584</v>
      </c>
      <c r="E2898" t="s">
        <v>584</v>
      </c>
      <c r="F2898" s="705">
        <v>11</v>
      </c>
      <c r="G2898" s="705">
        <v>1198</v>
      </c>
      <c r="H2898" s="705">
        <v>5830</v>
      </c>
      <c r="I2898" s="705">
        <v>421321</v>
      </c>
      <c r="J2898" s="705">
        <v>383019</v>
      </c>
      <c r="K2898" s="705">
        <v>66</v>
      </c>
      <c r="L2898" s="705">
        <v>78610</v>
      </c>
      <c r="M2898" s="705">
        <v>70672</v>
      </c>
      <c r="N2898" s="705">
        <v>26985</v>
      </c>
      <c r="O2898" s="705">
        <v>9995</v>
      </c>
      <c r="P2898" s="705">
        <v>4955</v>
      </c>
      <c r="Q2898" s="705">
        <v>1835</v>
      </c>
      <c r="R2898" s="705">
        <v>63795</v>
      </c>
      <c r="S2898" s="705">
        <v>57995</v>
      </c>
      <c r="T2898" s="705">
        <v>23308</v>
      </c>
      <c r="U2898" s="705">
        <v>8633</v>
      </c>
      <c r="V2898" s="705">
        <v>532148</v>
      </c>
      <c r="W2898" s="705">
        <f t="shared" si="114"/>
        <v>532149</v>
      </c>
      <c r="X2898" s="705">
        <f t="shared" si="115"/>
        <v>618974</v>
      </c>
    </row>
    <row r="2899" spans="2:24">
      <c r="B2899" t="s">
        <v>555</v>
      </c>
      <c r="C2899" t="s">
        <v>124</v>
      </c>
      <c r="D2899" t="s">
        <v>669</v>
      </c>
      <c r="E2899" t="s">
        <v>228</v>
      </c>
      <c r="F2899" s="705">
        <v>1</v>
      </c>
      <c r="G2899" s="705">
        <v>110</v>
      </c>
      <c r="H2899" s="705">
        <v>1368</v>
      </c>
      <c r="I2899" s="705">
        <v>94851</v>
      </c>
      <c r="J2899" s="705">
        <v>79043</v>
      </c>
      <c r="K2899" s="705">
        <v>30</v>
      </c>
      <c r="L2899" s="705">
        <v>6758</v>
      </c>
      <c r="M2899" s="705">
        <v>2503</v>
      </c>
      <c r="N2899" s="705">
        <v>2682</v>
      </c>
      <c r="O2899" s="705">
        <v>993</v>
      </c>
      <c r="P2899" s="705">
        <v>0</v>
      </c>
      <c r="Q2899" s="705">
        <v>0</v>
      </c>
      <c r="R2899" s="705">
        <v>46292</v>
      </c>
      <c r="S2899" s="705">
        <v>17145</v>
      </c>
      <c r="T2899" s="705">
        <v>0</v>
      </c>
      <c r="U2899" s="705">
        <v>0</v>
      </c>
      <c r="V2899" s="705">
        <v>99684</v>
      </c>
      <c r="W2899" s="705">
        <f t="shared" si="114"/>
        <v>99684</v>
      </c>
      <c r="X2899" s="705">
        <f t="shared" si="115"/>
        <v>150583</v>
      </c>
    </row>
    <row r="2900" spans="2:24">
      <c r="B2900" t="s">
        <v>555</v>
      </c>
      <c r="C2900" t="s">
        <v>124</v>
      </c>
      <c r="D2900" t="s">
        <v>669</v>
      </c>
      <c r="E2900" t="s">
        <v>669</v>
      </c>
      <c r="F2900" s="705">
        <v>14</v>
      </c>
      <c r="G2900" s="705">
        <v>1154</v>
      </c>
      <c r="H2900" s="705">
        <v>9222</v>
      </c>
      <c r="I2900" s="705">
        <v>585766</v>
      </c>
      <c r="J2900" s="705">
        <v>488138</v>
      </c>
      <c r="K2900" s="705">
        <v>54</v>
      </c>
      <c r="L2900" s="705">
        <v>55704</v>
      </c>
      <c r="M2900" s="705">
        <v>82930</v>
      </c>
      <c r="N2900" s="705">
        <v>25474</v>
      </c>
      <c r="O2900" s="705">
        <v>9435</v>
      </c>
      <c r="P2900" s="705">
        <v>2930</v>
      </c>
      <c r="Q2900" s="705">
        <v>1085</v>
      </c>
      <c r="R2900" s="705">
        <v>104225</v>
      </c>
      <c r="S2900" s="705">
        <v>86854</v>
      </c>
      <c r="T2900" s="705">
        <v>7197</v>
      </c>
      <c r="U2900" s="705">
        <v>2665</v>
      </c>
      <c r="V2900" s="705">
        <v>671107</v>
      </c>
      <c r="W2900" s="705">
        <f t="shared" si="114"/>
        <v>671107</v>
      </c>
      <c r="X2900" s="705">
        <f t="shared" si="115"/>
        <v>781296</v>
      </c>
    </row>
    <row r="2901" spans="2:24">
      <c r="B2901" t="s">
        <v>555</v>
      </c>
      <c r="C2901" t="s">
        <v>124</v>
      </c>
      <c r="D2901" t="s">
        <v>667</v>
      </c>
      <c r="E2901" t="s">
        <v>667</v>
      </c>
      <c r="F2901" s="705">
        <v>1</v>
      </c>
      <c r="G2901" s="705">
        <v>51</v>
      </c>
      <c r="H2901" s="705">
        <v>839</v>
      </c>
      <c r="I2901" s="705">
        <v>32175</v>
      </c>
      <c r="J2901" s="705">
        <v>29250</v>
      </c>
      <c r="K2901" s="705">
        <v>65</v>
      </c>
      <c r="L2901" s="705">
        <v>3682</v>
      </c>
      <c r="M2901" s="705">
        <v>3348</v>
      </c>
      <c r="N2901" s="705">
        <v>1185</v>
      </c>
      <c r="O2901" s="705">
        <v>439</v>
      </c>
      <c r="P2901" s="705">
        <v>351</v>
      </c>
      <c r="Q2901" s="705">
        <v>130</v>
      </c>
      <c r="R2901" s="705">
        <v>3819</v>
      </c>
      <c r="S2901" s="705">
        <v>3472</v>
      </c>
      <c r="T2901" s="705">
        <v>1764</v>
      </c>
      <c r="U2901" s="705">
        <v>653</v>
      </c>
      <c r="V2901" s="705">
        <v>37292</v>
      </c>
      <c r="W2901" s="705">
        <f t="shared" si="114"/>
        <v>37292</v>
      </c>
      <c r="X2901" s="705">
        <f t="shared" si="115"/>
        <v>42976</v>
      </c>
    </row>
    <row r="2902" spans="2:24">
      <c r="B2902" t="s">
        <v>555</v>
      </c>
      <c r="C2902" t="s">
        <v>124</v>
      </c>
      <c r="D2902" t="s">
        <v>671</v>
      </c>
      <c r="E2902" t="s">
        <v>228</v>
      </c>
      <c r="F2902" s="705">
        <v>2</v>
      </c>
      <c r="G2902" s="705">
        <v>216</v>
      </c>
      <c r="H2902" s="705">
        <v>1505</v>
      </c>
      <c r="I2902" s="705">
        <v>113506</v>
      </c>
      <c r="J2902" s="705">
        <v>103187</v>
      </c>
      <c r="K2902" s="705">
        <v>53</v>
      </c>
      <c r="L2902" s="705">
        <v>32276</v>
      </c>
      <c r="M2902" s="705">
        <v>14833</v>
      </c>
      <c r="N2902" s="705">
        <v>5511</v>
      </c>
      <c r="O2902" s="705">
        <v>2041</v>
      </c>
      <c r="P2902" s="705">
        <v>351</v>
      </c>
      <c r="Q2902" s="705">
        <v>130</v>
      </c>
      <c r="R2902" s="705">
        <v>17469</v>
      </c>
      <c r="S2902" s="705">
        <v>6470</v>
      </c>
      <c r="T2902" s="705">
        <v>0</v>
      </c>
      <c r="U2902" s="705">
        <v>0</v>
      </c>
      <c r="V2902" s="705">
        <v>126662</v>
      </c>
      <c r="W2902" s="705">
        <f t="shared" si="114"/>
        <v>126661</v>
      </c>
      <c r="X2902" s="705">
        <f t="shared" si="115"/>
        <v>169113</v>
      </c>
    </row>
    <row r="2903" spans="2:24">
      <c r="B2903" t="s">
        <v>555</v>
      </c>
      <c r="C2903" t="s">
        <v>124</v>
      </c>
      <c r="D2903" t="s">
        <v>671</v>
      </c>
      <c r="E2903" t="s">
        <v>671</v>
      </c>
      <c r="F2903" s="705">
        <v>12</v>
      </c>
      <c r="G2903" s="705">
        <v>1020</v>
      </c>
      <c r="H2903" s="705">
        <v>8413</v>
      </c>
      <c r="I2903" s="705">
        <v>498867</v>
      </c>
      <c r="J2903" s="705">
        <v>453515</v>
      </c>
      <c r="K2903" s="705">
        <v>50</v>
      </c>
      <c r="L2903" s="705">
        <v>81806</v>
      </c>
      <c r="M2903" s="705">
        <v>63648</v>
      </c>
      <c r="N2903" s="705">
        <v>20333</v>
      </c>
      <c r="O2903" s="705">
        <v>7531</v>
      </c>
      <c r="P2903" s="705">
        <v>4212</v>
      </c>
      <c r="Q2903" s="705">
        <v>1560</v>
      </c>
      <c r="R2903" s="705">
        <v>76950</v>
      </c>
      <c r="S2903" s="705">
        <v>69954</v>
      </c>
      <c r="T2903" s="705">
        <v>13786</v>
      </c>
      <c r="U2903" s="705">
        <v>5106</v>
      </c>
      <c r="V2903" s="705">
        <v>601315</v>
      </c>
      <c r="W2903" s="705">
        <f t="shared" si="114"/>
        <v>601314</v>
      </c>
      <c r="X2903" s="705">
        <f t="shared" si="115"/>
        <v>695954</v>
      </c>
    </row>
    <row r="2904" spans="2:24">
      <c r="B2904" t="s">
        <v>555</v>
      </c>
      <c r="C2904" t="s">
        <v>124</v>
      </c>
      <c r="D2904" t="s">
        <v>665</v>
      </c>
      <c r="E2904" t="s">
        <v>664</v>
      </c>
      <c r="F2904" s="705">
        <v>1</v>
      </c>
      <c r="G2904" s="705">
        <v>48</v>
      </c>
      <c r="H2904" s="705">
        <v>1255</v>
      </c>
      <c r="I2904" s="705">
        <v>52901</v>
      </c>
      <c r="J2904" s="705">
        <v>48092</v>
      </c>
      <c r="K2904" s="705">
        <v>30</v>
      </c>
      <c r="L2904" s="705">
        <v>4328</v>
      </c>
      <c r="M2904" s="705">
        <v>1603</v>
      </c>
      <c r="N2904" s="705">
        <v>1171</v>
      </c>
      <c r="O2904" s="705">
        <v>434</v>
      </c>
      <c r="P2904" s="705">
        <v>0</v>
      </c>
      <c r="Q2904" s="705">
        <v>0</v>
      </c>
      <c r="R2904" s="705">
        <v>1908</v>
      </c>
      <c r="S2904" s="705">
        <v>1735</v>
      </c>
      <c r="T2904" s="705">
        <v>0</v>
      </c>
      <c r="U2904" s="705">
        <v>0</v>
      </c>
      <c r="V2904" s="705">
        <v>51864</v>
      </c>
      <c r="W2904" s="705">
        <f t="shared" si="114"/>
        <v>51864</v>
      </c>
      <c r="X2904" s="705">
        <f t="shared" si="115"/>
        <v>60308</v>
      </c>
    </row>
    <row r="2905" spans="2:24">
      <c r="B2905" t="s">
        <v>555</v>
      </c>
      <c r="C2905" t="s">
        <v>124</v>
      </c>
      <c r="D2905" t="s">
        <v>665</v>
      </c>
      <c r="E2905" t="s">
        <v>228</v>
      </c>
      <c r="F2905" s="705">
        <v>79</v>
      </c>
      <c r="G2905" s="705">
        <v>6789</v>
      </c>
      <c r="H2905" s="705">
        <v>80530</v>
      </c>
      <c r="I2905" s="705">
        <v>5572437</v>
      </c>
      <c r="J2905" s="705">
        <v>5065851</v>
      </c>
      <c r="K2905" s="705">
        <v>44</v>
      </c>
      <c r="L2905" s="705">
        <v>619293</v>
      </c>
      <c r="M2905" s="705">
        <v>382894</v>
      </c>
      <c r="N2905" s="705">
        <v>155567</v>
      </c>
      <c r="O2905" s="705">
        <v>57618</v>
      </c>
      <c r="P2905" s="705">
        <v>4482</v>
      </c>
      <c r="Q2905" s="705">
        <v>1660</v>
      </c>
      <c r="R2905" s="705">
        <v>498707</v>
      </c>
      <c r="S2905" s="705">
        <v>184706</v>
      </c>
      <c r="T2905" s="705">
        <v>9377</v>
      </c>
      <c r="U2905" s="705">
        <v>3473</v>
      </c>
      <c r="V2905" s="705">
        <v>5696203</v>
      </c>
      <c r="W2905" s="705">
        <f t="shared" si="114"/>
        <v>5696202</v>
      </c>
      <c r="X2905" s="705">
        <f t="shared" si="115"/>
        <v>6859863</v>
      </c>
    </row>
    <row r="2906" spans="2:24">
      <c r="B2906" t="s">
        <v>555</v>
      </c>
      <c r="C2906" t="s">
        <v>124</v>
      </c>
      <c r="D2906" t="s">
        <v>665</v>
      </c>
      <c r="E2906" t="s">
        <v>583</v>
      </c>
      <c r="F2906" s="705">
        <v>2</v>
      </c>
      <c r="G2906" s="705">
        <v>553</v>
      </c>
      <c r="H2906" s="705">
        <v>1628</v>
      </c>
      <c r="I2906" s="705">
        <v>430319</v>
      </c>
      <c r="J2906" s="705">
        <v>391199</v>
      </c>
      <c r="K2906" s="705">
        <v>38</v>
      </c>
      <c r="L2906" s="705">
        <v>33528</v>
      </c>
      <c r="M2906" s="705">
        <v>14686</v>
      </c>
      <c r="N2906" s="705">
        <v>10969</v>
      </c>
      <c r="O2906" s="705">
        <v>4063</v>
      </c>
      <c r="P2906" s="705">
        <v>1593</v>
      </c>
      <c r="Q2906" s="705">
        <v>590</v>
      </c>
      <c r="R2906" s="705">
        <v>28517</v>
      </c>
      <c r="S2906" s="705">
        <v>25925</v>
      </c>
      <c r="T2906" s="705">
        <v>0</v>
      </c>
      <c r="U2906" s="705">
        <v>0</v>
      </c>
      <c r="V2906" s="705">
        <v>436463</v>
      </c>
      <c r="W2906" s="705">
        <f t="shared" si="114"/>
        <v>436463</v>
      </c>
      <c r="X2906" s="705">
        <f t="shared" si="115"/>
        <v>504926</v>
      </c>
    </row>
    <row r="2907" spans="2:24">
      <c r="B2907" t="s">
        <v>555</v>
      </c>
      <c r="C2907" t="s">
        <v>124</v>
      </c>
      <c r="D2907" t="s">
        <v>665</v>
      </c>
      <c r="E2907" t="s">
        <v>665</v>
      </c>
      <c r="F2907" s="705">
        <v>323</v>
      </c>
      <c r="G2907" s="705">
        <v>28666</v>
      </c>
      <c r="H2907" s="705">
        <v>225057</v>
      </c>
      <c r="I2907" s="705">
        <v>14416115</v>
      </c>
      <c r="J2907" s="705">
        <v>13105559</v>
      </c>
      <c r="K2907" s="705">
        <v>52</v>
      </c>
      <c r="L2907" s="705">
        <v>2000415</v>
      </c>
      <c r="M2907" s="705">
        <v>1616495</v>
      </c>
      <c r="N2907" s="705">
        <v>627888</v>
      </c>
      <c r="O2907" s="705">
        <v>232551</v>
      </c>
      <c r="P2907" s="705">
        <v>108041</v>
      </c>
      <c r="Q2907" s="705">
        <v>40015</v>
      </c>
      <c r="R2907" s="705">
        <v>1975057</v>
      </c>
      <c r="S2907" s="705">
        <v>1795506</v>
      </c>
      <c r="T2907" s="705">
        <v>665112</v>
      </c>
      <c r="U2907" s="705">
        <v>246338</v>
      </c>
      <c r="V2907" s="705">
        <v>17036464</v>
      </c>
      <c r="W2907" s="705">
        <f t="shared" si="114"/>
        <v>17036464</v>
      </c>
      <c r="X2907" s="705">
        <f t="shared" si="115"/>
        <v>19792628</v>
      </c>
    </row>
    <row r="2908" spans="2:24">
      <c r="B2908" t="s">
        <v>555</v>
      </c>
      <c r="C2908" t="s">
        <v>124</v>
      </c>
      <c r="D2908" t="s">
        <v>673</v>
      </c>
      <c r="E2908" t="s">
        <v>228</v>
      </c>
      <c r="F2908" s="705">
        <v>2</v>
      </c>
      <c r="G2908" s="705">
        <v>230</v>
      </c>
      <c r="H2908" s="705">
        <v>1218</v>
      </c>
      <c r="I2908" s="705">
        <v>92892</v>
      </c>
      <c r="J2908" s="705">
        <v>84447</v>
      </c>
      <c r="K2908" s="705">
        <v>60</v>
      </c>
      <c r="L2908" s="705">
        <v>18013</v>
      </c>
      <c r="M2908" s="705">
        <v>13077</v>
      </c>
      <c r="N2908" s="705">
        <v>3968</v>
      </c>
      <c r="O2908" s="705">
        <v>1470</v>
      </c>
      <c r="P2908" s="705">
        <v>351</v>
      </c>
      <c r="Q2908" s="705">
        <v>130</v>
      </c>
      <c r="R2908" s="705">
        <v>23899</v>
      </c>
      <c r="S2908" s="705">
        <v>8852</v>
      </c>
      <c r="T2908" s="705">
        <v>0</v>
      </c>
      <c r="U2908" s="705">
        <v>0</v>
      </c>
      <c r="V2908" s="705">
        <v>107975</v>
      </c>
      <c r="W2908" s="705">
        <f t="shared" si="114"/>
        <v>107976</v>
      </c>
      <c r="X2908" s="705">
        <f t="shared" si="115"/>
        <v>139123</v>
      </c>
    </row>
    <row r="2909" spans="2:24">
      <c r="B2909" t="s">
        <v>555</v>
      </c>
      <c r="C2909" t="s">
        <v>124</v>
      </c>
      <c r="D2909" t="s">
        <v>673</v>
      </c>
      <c r="E2909" t="s">
        <v>583</v>
      </c>
      <c r="F2909" s="705">
        <v>1</v>
      </c>
      <c r="G2909" s="705">
        <v>218</v>
      </c>
      <c r="H2909" s="705">
        <v>574</v>
      </c>
      <c r="I2909" s="705">
        <v>103272</v>
      </c>
      <c r="J2909" s="705">
        <v>93883</v>
      </c>
      <c r="K2909" s="705">
        <v>55</v>
      </c>
      <c r="L2909" s="705">
        <v>10518</v>
      </c>
      <c r="M2909" s="705">
        <v>9562</v>
      </c>
      <c r="N2909" s="705">
        <v>4204</v>
      </c>
      <c r="O2909" s="705">
        <v>1557</v>
      </c>
      <c r="P2909" s="705">
        <v>351</v>
      </c>
      <c r="Q2909" s="705">
        <v>130</v>
      </c>
      <c r="R2909" s="705">
        <v>7103</v>
      </c>
      <c r="S2909" s="705">
        <v>6457</v>
      </c>
      <c r="T2909" s="705">
        <v>0</v>
      </c>
      <c r="U2909" s="705">
        <v>0</v>
      </c>
      <c r="V2909" s="705">
        <v>111590</v>
      </c>
      <c r="W2909" s="705">
        <f t="shared" si="114"/>
        <v>111589</v>
      </c>
      <c r="X2909" s="705">
        <f t="shared" si="115"/>
        <v>125448</v>
      </c>
    </row>
    <row r="2910" spans="2:24">
      <c r="B2910" t="s">
        <v>555</v>
      </c>
      <c r="C2910" t="s">
        <v>124</v>
      </c>
      <c r="D2910" t="s">
        <v>673</v>
      </c>
      <c r="E2910" t="s">
        <v>673</v>
      </c>
      <c r="F2910" s="705">
        <v>10</v>
      </c>
      <c r="G2910" s="705">
        <v>913</v>
      </c>
      <c r="H2910" s="705">
        <v>6229</v>
      </c>
      <c r="I2910" s="705">
        <v>389412</v>
      </c>
      <c r="J2910" s="705">
        <v>354011</v>
      </c>
      <c r="K2910" s="705">
        <v>53</v>
      </c>
      <c r="L2910" s="705">
        <v>55223</v>
      </c>
      <c r="M2910" s="705">
        <v>44801</v>
      </c>
      <c r="N2910" s="705">
        <v>16659</v>
      </c>
      <c r="O2910" s="705">
        <v>6170</v>
      </c>
      <c r="P2910" s="705">
        <v>3159</v>
      </c>
      <c r="Q2910" s="705">
        <v>1170</v>
      </c>
      <c r="R2910" s="705">
        <v>62105</v>
      </c>
      <c r="S2910" s="705">
        <v>56459</v>
      </c>
      <c r="T2910" s="705">
        <v>17074</v>
      </c>
      <c r="U2910" s="705">
        <v>6324</v>
      </c>
      <c r="V2910" s="705">
        <v>468935</v>
      </c>
      <c r="W2910" s="705">
        <f t="shared" si="114"/>
        <v>468935</v>
      </c>
      <c r="X2910" s="705">
        <f t="shared" si="115"/>
        <v>543632</v>
      </c>
    </row>
    <row r="2911" spans="2:24">
      <c r="B2911" t="s">
        <v>556</v>
      </c>
      <c r="C2911" t="s">
        <v>108</v>
      </c>
      <c r="D2911" t="s">
        <v>228</v>
      </c>
      <c r="E2911" t="s">
        <v>228</v>
      </c>
      <c r="F2911" s="705">
        <v>230</v>
      </c>
      <c r="G2911" s="705">
        <v>42954</v>
      </c>
      <c r="H2911" s="705">
        <v>12797</v>
      </c>
      <c r="I2911" s="705">
        <v>391481</v>
      </c>
      <c r="J2911" s="705">
        <v>144993</v>
      </c>
      <c r="K2911" s="705">
        <v>452</v>
      </c>
      <c r="L2911" s="705">
        <v>111953</v>
      </c>
      <c r="M2911" s="705">
        <v>94305</v>
      </c>
      <c r="N2911" s="705">
        <v>569388</v>
      </c>
      <c r="O2911" s="705">
        <v>210884</v>
      </c>
      <c r="P2911" s="705">
        <v>190175</v>
      </c>
      <c r="Q2911" s="705">
        <v>70435</v>
      </c>
      <c r="R2911" s="705">
        <v>1118523</v>
      </c>
      <c r="S2911" s="705">
        <v>414268</v>
      </c>
      <c r="T2911" s="705">
        <v>4258</v>
      </c>
      <c r="U2911" s="705">
        <v>1577</v>
      </c>
      <c r="V2911" s="705">
        <v>936462</v>
      </c>
      <c r="W2911" s="705">
        <f t="shared" si="114"/>
        <v>936462</v>
      </c>
      <c r="X2911" s="705">
        <f t="shared" si="115"/>
        <v>2385778</v>
      </c>
    </row>
    <row r="2912" spans="2:24">
      <c r="B2912" t="s">
        <v>556</v>
      </c>
      <c r="C2912" t="s">
        <v>108</v>
      </c>
      <c r="D2912" t="s">
        <v>228</v>
      </c>
      <c r="E2912" t="s">
        <v>584</v>
      </c>
      <c r="F2912" s="705">
        <v>1</v>
      </c>
      <c r="G2912" s="705">
        <v>652</v>
      </c>
      <c r="H2912" s="705">
        <v>44</v>
      </c>
      <c r="I2912" s="705">
        <v>10451</v>
      </c>
      <c r="J2912" s="705">
        <v>3871</v>
      </c>
      <c r="K2912" s="705">
        <v>337</v>
      </c>
      <c r="L2912" s="705">
        <v>2181</v>
      </c>
      <c r="M2912" s="705">
        <v>1983</v>
      </c>
      <c r="N2912" s="705">
        <v>8740</v>
      </c>
      <c r="O2912" s="705">
        <v>3237</v>
      </c>
      <c r="P2912" s="705">
        <v>824</v>
      </c>
      <c r="Q2912" s="705">
        <v>305</v>
      </c>
      <c r="R2912" s="705">
        <v>6192</v>
      </c>
      <c r="S2912" s="705">
        <v>5629</v>
      </c>
      <c r="T2912" s="705">
        <v>0</v>
      </c>
      <c r="U2912" s="705">
        <v>0</v>
      </c>
      <c r="V2912" s="705">
        <v>15025</v>
      </c>
      <c r="W2912" s="705">
        <f t="shared" si="114"/>
        <v>15025</v>
      </c>
      <c r="X2912" s="705">
        <f t="shared" si="115"/>
        <v>28388</v>
      </c>
    </row>
    <row r="2913" spans="2:24">
      <c r="B2913" t="s">
        <v>556</v>
      </c>
      <c r="C2913" t="s">
        <v>108</v>
      </c>
      <c r="D2913" t="s">
        <v>583</v>
      </c>
      <c r="E2913" t="s">
        <v>583</v>
      </c>
      <c r="F2913" s="705">
        <v>38</v>
      </c>
      <c r="G2913" s="705">
        <v>8048</v>
      </c>
      <c r="H2913" s="705">
        <v>2382</v>
      </c>
      <c r="I2913" s="705">
        <v>196961</v>
      </c>
      <c r="J2913" s="705">
        <v>179056</v>
      </c>
      <c r="K2913" s="705">
        <v>95</v>
      </c>
      <c r="L2913" s="705">
        <v>29162</v>
      </c>
      <c r="M2913" s="705">
        <v>26354</v>
      </c>
      <c r="N2913" s="705">
        <v>99652</v>
      </c>
      <c r="O2913" s="705">
        <v>36908</v>
      </c>
      <c r="P2913" s="705">
        <v>41179</v>
      </c>
      <c r="Q2913" s="705">
        <v>15252</v>
      </c>
      <c r="R2913" s="705">
        <v>138595</v>
      </c>
      <c r="S2913" s="705">
        <v>125995</v>
      </c>
      <c r="T2913" s="705">
        <v>0</v>
      </c>
      <c r="U2913" s="705">
        <v>0</v>
      </c>
      <c r="V2913" s="705">
        <v>383565</v>
      </c>
      <c r="W2913" s="705">
        <f t="shared" si="114"/>
        <v>383565</v>
      </c>
      <c r="X2913" s="705">
        <f t="shared" si="115"/>
        <v>505549</v>
      </c>
    </row>
    <row r="2914" spans="2:24">
      <c r="B2914" t="s">
        <v>556</v>
      </c>
      <c r="C2914" t="s">
        <v>108</v>
      </c>
      <c r="D2914" t="s">
        <v>584</v>
      </c>
      <c r="E2914" t="s">
        <v>584</v>
      </c>
      <c r="F2914" s="705">
        <v>11</v>
      </c>
      <c r="G2914" s="705">
        <v>1773</v>
      </c>
      <c r="H2914" s="705">
        <v>642</v>
      </c>
      <c r="I2914" s="705">
        <v>21838</v>
      </c>
      <c r="J2914" s="705">
        <v>19853</v>
      </c>
      <c r="K2914" s="705">
        <v>90</v>
      </c>
      <c r="L2914" s="705">
        <v>2631</v>
      </c>
      <c r="M2914" s="705">
        <v>2331</v>
      </c>
      <c r="N2914" s="705">
        <v>23105</v>
      </c>
      <c r="O2914" s="705">
        <v>8557</v>
      </c>
      <c r="P2914" s="705">
        <v>9525</v>
      </c>
      <c r="Q2914" s="705">
        <v>3528</v>
      </c>
      <c r="R2914" s="705">
        <v>44667</v>
      </c>
      <c r="S2914" s="705">
        <v>40607</v>
      </c>
      <c r="T2914" s="705">
        <v>0</v>
      </c>
      <c r="U2914" s="705">
        <v>0</v>
      </c>
      <c r="V2914" s="705">
        <v>74875</v>
      </c>
      <c r="W2914" s="705">
        <f t="shared" si="114"/>
        <v>74876</v>
      </c>
      <c r="X2914" s="705">
        <f t="shared" si="115"/>
        <v>101766</v>
      </c>
    </row>
    <row r="2915" spans="2:24">
      <c r="B2915" t="s">
        <v>556</v>
      </c>
      <c r="C2915" t="s">
        <v>110</v>
      </c>
      <c r="D2915" t="s">
        <v>582</v>
      </c>
      <c r="E2915" t="s">
        <v>582</v>
      </c>
      <c r="F2915" s="705">
        <v>3</v>
      </c>
      <c r="G2915" s="705">
        <v>1309</v>
      </c>
      <c r="H2915" s="705">
        <v>257</v>
      </c>
      <c r="I2915" s="705">
        <v>75457</v>
      </c>
      <c r="J2915" s="705">
        <v>68597</v>
      </c>
      <c r="K2915" s="705">
        <v>92</v>
      </c>
      <c r="L2915" s="705">
        <v>6919</v>
      </c>
      <c r="M2915" s="705">
        <v>6290</v>
      </c>
      <c r="N2915" s="705">
        <v>17814</v>
      </c>
      <c r="O2915" s="705">
        <v>6598</v>
      </c>
      <c r="P2915" s="705">
        <v>4996</v>
      </c>
      <c r="Q2915" s="705">
        <v>1850</v>
      </c>
      <c r="R2915" s="705">
        <v>8920</v>
      </c>
      <c r="S2915" s="705">
        <v>8109</v>
      </c>
      <c r="T2915" s="705">
        <v>0</v>
      </c>
      <c r="U2915" s="705">
        <v>0</v>
      </c>
      <c r="V2915" s="705">
        <v>91445</v>
      </c>
      <c r="W2915" s="705">
        <f t="shared" si="114"/>
        <v>91444</v>
      </c>
      <c r="X2915" s="705">
        <f t="shared" si="115"/>
        <v>114106</v>
      </c>
    </row>
    <row r="2916" spans="2:24">
      <c r="B2916" t="s">
        <v>556</v>
      </c>
      <c r="C2916" t="s">
        <v>110</v>
      </c>
      <c r="D2916" t="s">
        <v>228</v>
      </c>
      <c r="E2916" t="s">
        <v>228</v>
      </c>
      <c r="F2916" s="705">
        <v>22</v>
      </c>
      <c r="G2916" s="705">
        <v>4275</v>
      </c>
      <c r="H2916" s="705">
        <v>1909</v>
      </c>
      <c r="I2916" s="705">
        <v>138927</v>
      </c>
      <c r="J2916" s="705">
        <v>51455</v>
      </c>
      <c r="K2916" s="705">
        <v>375</v>
      </c>
      <c r="L2916" s="705">
        <v>39333</v>
      </c>
      <c r="M2916" s="705">
        <v>35380</v>
      </c>
      <c r="N2916" s="705">
        <v>83427</v>
      </c>
      <c r="O2916" s="705">
        <v>30899</v>
      </c>
      <c r="P2916" s="705">
        <v>9964</v>
      </c>
      <c r="Q2916" s="705">
        <v>3690</v>
      </c>
      <c r="R2916" s="705">
        <v>122524</v>
      </c>
      <c r="S2916" s="705">
        <v>45379</v>
      </c>
      <c r="T2916" s="705">
        <v>0</v>
      </c>
      <c r="U2916" s="705">
        <v>0</v>
      </c>
      <c r="V2916" s="705">
        <v>166803</v>
      </c>
      <c r="W2916" s="705">
        <f t="shared" si="114"/>
        <v>166803</v>
      </c>
      <c r="X2916" s="705">
        <f t="shared" si="115"/>
        <v>394175</v>
      </c>
    </row>
    <row r="2917" spans="2:24">
      <c r="B2917" t="s">
        <v>556</v>
      </c>
      <c r="C2917" t="s">
        <v>110</v>
      </c>
      <c r="D2917" t="s">
        <v>228</v>
      </c>
      <c r="E2917" t="s">
        <v>583</v>
      </c>
      <c r="F2917" s="705">
        <v>1</v>
      </c>
      <c r="G2917" s="705">
        <v>483</v>
      </c>
      <c r="H2917" s="705">
        <v>91</v>
      </c>
      <c r="I2917" s="705">
        <v>23554</v>
      </c>
      <c r="J2917" s="705">
        <v>8724</v>
      </c>
      <c r="K2917" s="705">
        <v>320</v>
      </c>
      <c r="L2917" s="705">
        <v>5687</v>
      </c>
      <c r="M2917" s="705">
        <v>5170</v>
      </c>
      <c r="N2917" s="705">
        <v>13233</v>
      </c>
      <c r="O2917" s="705">
        <v>4901</v>
      </c>
      <c r="P2917" s="705">
        <v>351</v>
      </c>
      <c r="Q2917" s="705">
        <v>130</v>
      </c>
      <c r="R2917" s="705">
        <v>7808</v>
      </c>
      <c r="S2917" s="705">
        <v>7098</v>
      </c>
      <c r="T2917" s="705">
        <v>0</v>
      </c>
      <c r="U2917" s="705">
        <v>0</v>
      </c>
      <c r="V2917" s="705">
        <v>26023</v>
      </c>
      <c r="W2917" s="705">
        <f t="shared" si="114"/>
        <v>26023</v>
      </c>
      <c r="X2917" s="705">
        <f t="shared" si="115"/>
        <v>50633</v>
      </c>
    </row>
    <row r="2918" spans="2:24">
      <c r="B2918" t="s">
        <v>556</v>
      </c>
      <c r="C2918" t="s">
        <v>110</v>
      </c>
      <c r="D2918" t="s">
        <v>583</v>
      </c>
      <c r="E2918" t="s">
        <v>583</v>
      </c>
      <c r="F2918" s="705">
        <v>49</v>
      </c>
      <c r="G2918" s="705">
        <v>11703</v>
      </c>
      <c r="H2918" s="705">
        <v>4466</v>
      </c>
      <c r="I2918" s="705">
        <v>568782</v>
      </c>
      <c r="J2918" s="705">
        <v>517074</v>
      </c>
      <c r="K2918" s="705">
        <v>94</v>
      </c>
      <c r="L2918" s="705">
        <v>108620</v>
      </c>
      <c r="M2918" s="705">
        <v>103501</v>
      </c>
      <c r="N2918" s="705">
        <v>178282</v>
      </c>
      <c r="O2918" s="705">
        <v>66030</v>
      </c>
      <c r="P2918" s="705">
        <v>47992</v>
      </c>
      <c r="Q2918" s="705">
        <v>17775</v>
      </c>
      <c r="R2918" s="705">
        <v>204698</v>
      </c>
      <c r="S2918" s="705">
        <v>186089</v>
      </c>
      <c r="T2918" s="705">
        <v>0</v>
      </c>
      <c r="U2918" s="705">
        <v>0</v>
      </c>
      <c r="V2918" s="705">
        <v>890469</v>
      </c>
      <c r="W2918" s="705">
        <f t="shared" si="114"/>
        <v>890469</v>
      </c>
      <c r="X2918" s="705">
        <f t="shared" si="115"/>
        <v>1108374</v>
      </c>
    </row>
    <row r="2919" spans="2:24">
      <c r="B2919" t="s">
        <v>556</v>
      </c>
      <c r="C2919" t="s">
        <v>110</v>
      </c>
      <c r="D2919" t="s">
        <v>584</v>
      </c>
      <c r="E2919" t="s">
        <v>584</v>
      </c>
      <c r="F2919" s="705">
        <v>24</v>
      </c>
      <c r="G2919" s="705">
        <v>3489</v>
      </c>
      <c r="H2919" s="705">
        <v>2301</v>
      </c>
      <c r="I2919" s="705">
        <v>168751</v>
      </c>
      <c r="J2919" s="705">
        <v>153410</v>
      </c>
      <c r="K2919" s="705">
        <v>90</v>
      </c>
      <c r="L2919" s="705">
        <v>21338</v>
      </c>
      <c r="M2919" s="705">
        <v>17647</v>
      </c>
      <c r="N2919" s="705">
        <v>46733</v>
      </c>
      <c r="O2919" s="705">
        <v>17308</v>
      </c>
      <c r="P2919" s="705">
        <v>18083</v>
      </c>
      <c r="Q2919" s="705">
        <v>6697</v>
      </c>
      <c r="R2919" s="705">
        <v>80120</v>
      </c>
      <c r="S2919" s="705">
        <v>72836</v>
      </c>
      <c r="T2919" s="705">
        <v>0</v>
      </c>
      <c r="U2919" s="705">
        <v>0</v>
      </c>
      <c r="V2919" s="705">
        <v>267899</v>
      </c>
      <c r="W2919" s="705">
        <f t="shared" si="114"/>
        <v>267898</v>
      </c>
      <c r="X2919" s="705">
        <f t="shared" si="115"/>
        <v>335025</v>
      </c>
    </row>
    <row r="2920" spans="2:24">
      <c r="B2920" t="s">
        <v>556</v>
      </c>
      <c r="C2920" t="s">
        <v>112</v>
      </c>
      <c r="D2920" t="s">
        <v>582</v>
      </c>
      <c r="E2920" t="s">
        <v>582</v>
      </c>
      <c r="F2920" s="705">
        <v>3</v>
      </c>
      <c r="G2920" s="705">
        <v>853</v>
      </c>
      <c r="H2920" s="705">
        <v>347</v>
      </c>
      <c r="I2920" s="705">
        <v>57391</v>
      </c>
      <c r="J2920" s="705">
        <v>52174</v>
      </c>
      <c r="K2920" s="705">
        <v>91</v>
      </c>
      <c r="L2920" s="705">
        <v>12900</v>
      </c>
      <c r="M2920" s="705">
        <v>11727</v>
      </c>
      <c r="N2920" s="705">
        <v>11303</v>
      </c>
      <c r="O2920" s="705">
        <v>4186</v>
      </c>
      <c r="P2920" s="705">
        <v>1418</v>
      </c>
      <c r="Q2920" s="705">
        <v>525</v>
      </c>
      <c r="R2920" s="705">
        <v>14492</v>
      </c>
      <c r="S2920" s="705">
        <v>13175</v>
      </c>
      <c r="T2920" s="705">
        <v>0</v>
      </c>
      <c r="U2920" s="705">
        <v>0</v>
      </c>
      <c r="V2920" s="705">
        <v>81787</v>
      </c>
      <c r="W2920" s="705">
        <f t="shared" si="114"/>
        <v>81787</v>
      </c>
      <c r="X2920" s="705">
        <f t="shared" si="115"/>
        <v>97504</v>
      </c>
    </row>
    <row r="2921" spans="2:24">
      <c r="B2921" t="s">
        <v>556</v>
      </c>
      <c r="C2921" t="s">
        <v>112</v>
      </c>
      <c r="D2921" t="s">
        <v>228</v>
      </c>
      <c r="E2921" t="s">
        <v>228</v>
      </c>
      <c r="F2921" s="705">
        <v>21</v>
      </c>
      <c r="G2921" s="705">
        <v>4687</v>
      </c>
      <c r="H2921" s="705">
        <v>2464</v>
      </c>
      <c r="I2921" s="705">
        <v>280507</v>
      </c>
      <c r="J2921" s="705">
        <v>103892</v>
      </c>
      <c r="K2921" s="705">
        <v>314</v>
      </c>
      <c r="L2921" s="705">
        <v>55608</v>
      </c>
      <c r="M2921" s="705">
        <v>48478</v>
      </c>
      <c r="N2921" s="705">
        <v>84672</v>
      </c>
      <c r="O2921" s="705">
        <v>31360</v>
      </c>
      <c r="P2921" s="705">
        <v>13192</v>
      </c>
      <c r="Q2921" s="705">
        <v>4886</v>
      </c>
      <c r="R2921" s="705">
        <v>173194</v>
      </c>
      <c r="S2921" s="705">
        <v>64146</v>
      </c>
      <c r="T2921" s="705">
        <v>0</v>
      </c>
      <c r="U2921" s="705">
        <v>0</v>
      </c>
      <c r="V2921" s="705">
        <v>252761</v>
      </c>
      <c r="W2921" s="705">
        <f t="shared" si="114"/>
        <v>252762</v>
      </c>
      <c r="X2921" s="705">
        <f t="shared" si="115"/>
        <v>607173</v>
      </c>
    </row>
    <row r="2922" spans="2:24">
      <c r="B2922" t="s">
        <v>556</v>
      </c>
      <c r="C2922" t="s">
        <v>112</v>
      </c>
      <c r="D2922" t="s">
        <v>583</v>
      </c>
      <c r="E2922" t="s">
        <v>583</v>
      </c>
      <c r="F2922" s="705">
        <v>133</v>
      </c>
      <c r="G2922" s="705">
        <v>28826</v>
      </c>
      <c r="H2922" s="705">
        <v>15478</v>
      </c>
      <c r="I2922" s="705">
        <v>1969199</v>
      </c>
      <c r="J2922" s="705">
        <v>1790181</v>
      </c>
      <c r="K2922" s="705">
        <v>92</v>
      </c>
      <c r="L2922" s="705">
        <v>344421</v>
      </c>
      <c r="M2922" s="705">
        <v>309019</v>
      </c>
      <c r="N2922" s="705">
        <v>509153</v>
      </c>
      <c r="O2922" s="705">
        <v>188575</v>
      </c>
      <c r="P2922" s="705">
        <v>89772</v>
      </c>
      <c r="Q2922" s="705">
        <v>33249</v>
      </c>
      <c r="R2922" s="705">
        <v>651569</v>
      </c>
      <c r="S2922" s="705">
        <v>592335</v>
      </c>
      <c r="T2922" s="705">
        <v>22915</v>
      </c>
      <c r="U2922" s="705">
        <v>8487</v>
      </c>
      <c r="V2922" s="705">
        <v>2921847</v>
      </c>
      <c r="W2922" s="705">
        <f t="shared" si="114"/>
        <v>2921846</v>
      </c>
      <c r="X2922" s="705">
        <f t="shared" si="115"/>
        <v>3587029</v>
      </c>
    </row>
    <row r="2923" spans="2:24">
      <c r="B2923" t="s">
        <v>556</v>
      </c>
      <c r="C2923" t="s">
        <v>112</v>
      </c>
      <c r="D2923" t="s">
        <v>583</v>
      </c>
      <c r="E2923" t="s">
        <v>584</v>
      </c>
      <c r="F2923" s="705">
        <v>1</v>
      </c>
      <c r="G2923" s="705">
        <v>386</v>
      </c>
      <c r="H2923" s="705">
        <v>123</v>
      </c>
      <c r="I2923" s="705">
        <v>29183</v>
      </c>
      <c r="J2923" s="705">
        <v>26530</v>
      </c>
      <c r="K2923" s="705">
        <v>86</v>
      </c>
      <c r="L2923" s="705">
        <v>4061</v>
      </c>
      <c r="M2923" s="705">
        <v>3692</v>
      </c>
      <c r="N2923" s="705">
        <v>4703</v>
      </c>
      <c r="O2923" s="705">
        <v>1742</v>
      </c>
      <c r="P2923" s="705">
        <v>621</v>
      </c>
      <c r="Q2923" s="705">
        <v>230</v>
      </c>
      <c r="R2923" s="705">
        <v>4737</v>
      </c>
      <c r="S2923" s="705">
        <v>4306</v>
      </c>
      <c r="T2923" s="705">
        <v>4342</v>
      </c>
      <c r="U2923" s="705">
        <v>1608</v>
      </c>
      <c r="V2923" s="705">
        <v>38108</v>
      </c>
      <c r="W2923" s="705">
        <f t="shared" si="114"/>
        <v>38108</v>
      </c>
      <c r="X2923" s="705">
        <f t="shared" si="115"/>
        <v>47647</v>
      </c>
    </row>
    <row r="2924" spans="2:24">
      <c r="B2924" t="s">
        <v>556</v>
      </c>
      <c r="C2924" t="s">
        <v>112</v>
      </c>
      <c r="D2924" t="s">
        <v>584</v>
      </c>
      <c r="E2924" t="s">
        <v>228</v>
      </c>
      <c r="F2924" s="705">
        <v>1</v>
      </c>
      <c r="G2924" s="705">
        <v>201</v>
      </c>
      <c r="H2924" s="705">
        <v>105</v>
      </c>
      <c r="I2924" s="705">
        <v>11697</v>
      </c>
      <c r="J2924" s="705">
        <v>10634</v>
      </c>
      <c r="K2924" s="705">
        <v>90</v>
      </c>
      <c r="L2924" s="705">
        <v>2129</v>
      </c>
      <c r="M2924" s="705">
        <v>1774</v>
      </c>
      <c r="N2924" s="705">
        <v>2443</v>
      </c>
      <c r="O2924" s="705">
        <v>905</v>
      </c>
      <c r="P2924" s="705">
        <v>473</v>
      </c>
      <c r="Q2924" s="705">
        <v>175</v>
      </c>
      <c r="R2924" s="705">
        <v>4409</v>
      </c>
      <c r="S2924" s="705">
        <v>1633</v>
      </c>
      <c r="T2924" s="705">
        <v>0</v>
      </c>
      <c r="U2924" s="705">
        <v>0</v>
      </c>
      <c r="V2924" s="705">
        <v>15121</v>
      </c>
      <c r="W2924" s="705">
        <f t="shared" ref="W2924:W2987" si="116">SUM(ABS(J2924),ABS(M2924),ABS(O2924),ABS(Q2924),ABS(S2924),ABS(U2924))</f>
        <v>15121</v>
      </c>
      <c r="X2924" s="705">
        <f t="shared" ref="X2924:X2987" si="117">SUM(ABS(I2924),ABS(N2924),ABS(P2924),ABS(R2924),ABS(T2924),ABS(L2924))</f>
        <v>21151</v>
      </c>
    </row>
    <row r="2925" spans="2:24">
      <c r="B2925" t="s">
        <v>556</v>
      </c>
      <c r="C2925" t="s">
        <v>112</v>
      </c>
      <c r="D2925" t="s">
        <v>584</v>
      </c>
      <c r="E2925" t="s">
        <v>584</v>
      </c>
      <c r="F2925" s="705">
        <v>30</v>
      </c>
      <c r="G2925" s="705">
        <v>5551</v>
      </c>
      <c r="H2925" s="705">
        <v>3512</v>
      </c>
      <c r="I2925" s="705">
        <v>339662</v>
      </c>
      <c r="J2925" s="705">
        <v>308783</v>
      </c>
      <c r="K2925" s="705">
        <v>88</v>
      </c>
      <c r="L2925" s="705">
        <v>59694</v>
      </c>
      <c r="M2925" s="705">
        <v>50834</v>
      </c>
      <c r="N2925" s="705">
        <v>97013</v>
      </c>
      <c r="O2925" s="705">
        <v>35931</v>
      </c>
      <c r="P2925" s="705">
        <v>16943</v>
      </c>
      <c r="Q2925" s="705">
        <v>6275</v>
      </c>
      <c r="R2925" s="705">
        <v>133162</v>
      </c>
      <c r="S2925" s="705">
        <v>121056</v>
      </c>
      <c r="T2925" s="705">
        <v>3126</v>
      </c>
      <c r="U2925" s="705">
        <v>1158</v>
      </c>
      <c r="V2925" s="705">
        <v>524037</v>
      </c>
      <c r="W2925" s="705">
        <f t="shared" si="116"/>
        <v>524037</v>
      </c>
      <c r="X2925" s="705">
        <f t="shared" si="117"/>
        <v>649600</v>
      </c>
    </row>
    <row r="2926" spans="2:24">
      <c r="B2926" t="s">
        <v>556</v>
      </c>
      <c r="C2926" t="s">
        <v>112</v>
      </c>
      <c r="D2926" t="s">
        <v>585</v>
      </c>
      <c r="E2926" t="s">
        <v>585</v>
      </c>
      <c r="F2926" s="705">
        <v>1</v>
      </c>
      <c r="G2926" s="705">
        <v>199</v>
      </c>
      <c r="H2926" s="705">
        <v>118</v>
      </c>
      <c r="I2926" s="705">
        <v>14320</v>
      </c>
      <c r="J2926" s="705">
        <v>13018</v>
      </c>
      <c r="K2926" s="705">
        <v>91</v>
      </c>
      <c r="L2926" s="705">
        <v>2413</v>
      </c>
      <c r="M2926" s="705">
        <v>2194</v>
      </c>
      <c r="N2926" s="705">
        <v>3128</v>
      </c>
      <c r="O2926" s="705">
        <v>1158</v>
      </c>
      <c r="P2926" s="705">
        <v>351</v>
      </c>
      <c r="Q2926" s="705">
        <v>130</v>
      </c>
      <c r="R2926" s="705">
        <v>3229</v>
      </c>
      <c r="S2926" s="705">
        <v>2936</v>
      </c>
      <c r="T2926" s="705">
        <v>0</v>
      </c>
      <c r="U2926" s="705">
        <v>0</v>
      </c>
      <c r="V2926" s="705">
        <v>19436</v>
      </c>
      <c r="W2926" s="705">
        <f t="shared" si="116"/>
        <v>19436</v>
      </c>
      <c r="X2926" s="705">
        <f t="shared" si="117"/>
        <v>23441</v>
      </c>
    </row>
    <row r="2927" spans="2:24">
      <c r="B2927" t="s">
        <v>556</v>
      </c>
      <c r="C2927" t="s">
        <v>114</v>
      </c>
      <c r="D2927" t="s">
        <v>582</v>
      </c>
      <c r="E2927" t="s">
        <v>664</v>
      </c>
      <c r="F2927" s="705">
        <v>1</v>
      </c>
      <c r="G2927" s="705">
        <v>341</v>
      </c>
      <c r="H2927" s="705">
        <v>148</v>
      </c>
      <c r="I2927" s="705">
        <v>35915</v>
      </c>
      <c r="J2927" s="705">
        <v>32650</v>
      </c>
      <c r="K2927" s="705">
        <v>92</v>
      </c>
      <c r="L2927" s="705">
        <v>6146</v>
      </c>
      <c r="M2927" s="705">
        <v>5587</v>
      </c>
      <c r="N2927" s="705">
        <v>6052</v>
      </c>
      <c r="O2927" s="705">
        <v>2241</v>
      </c>
      <c r="P2927" s="705">
        <v>473</v>
      </c>
      <c r="Q2927" s="705">
        <v>175</v>
      </c>
      <c r="R2927" s="705">
        <v>6587</v>
      </c>
      <c r="S2927" s="705">
        <v>5988</v>
      </c>
      <c r="T2927" s="705">
        <v>0</v>
      </c>
      <c r="U2927" s="705">
        <v>0</v>
      </c>
      <c r="V2927" s="705">
        <v>46642</v>
      </c>
      <c r="W2927" s="705">
        <f t="shared" si="116"/>
        <v>46641</v>
      </c>
      <c r="X2927" s="705">
        <f t="shared" si="117"/>
        <v>55173</v>
      </c>
    </row>
    <row r="2928" spans="2:24">
      <c r="B2928" t="s">
        <v>556</v>
      </c>
      <c r="C2928" t="s">
        <v>114</v>
      </c>
      <c r="D2928" t="s">
        <v>582</v>
      </c>
      <c r="E2928" t="s">
        <v>582</v>
      </c>
      <c r="F2928" s="705">
        <v>7</v>
      </c>
      <c r="G2928" s="705">
        <v>1323</v>
      </c>
      <c r="H2928" s="705">
        <v>963</v>
      </c>
      <c r="I2928" s="705">
        <v>136797</v>
      </c>
      <c r="J2928" s="705">
        <v>124361</v>
      </c>
      <c r="K2928" s="705">
        <v>91</v>
      </c>
      <c r="L2928" s="705">
        <v>21729</v>
      </c>
      <c r="M2928" s="705">
        <v>19754</v>
      </c>
      <c r="N2928" s="705">
        <v>31133</v>
      </c>
      <c r="O2928" s="705">
        <v>11531</v>
      </c>
      <c r="P2928" s="705">
        <v>3456</v>
      </c>
      <c r="Q2928" s="705">
        <v>1280</v>
      </c>
      <c r="R2928" s="705">
        <v>37447</v>
      </c>
      <c r="S2928" s="705">
        <v>34043</v>
      </c>
      <c r="T2928" s="705">
        <v>0</v>
      </c>
      <c r="U2928" s="705">
        <v>0</v>
      </c>
      <c r="V2928" s="705">
        <v>190969</v>
      </c>
      <c r="W2928" s="705">
        <f t="shared" si="116"/>
        <v>190969</v>
      </c>
      <c r="X2928" s="705">
        <f t="shared" si="117"/>
        <v>230562</v>
      </c>
    </row>
    <row r="2929" spans="2:24">
      <c r="B2929" t="s">
        <v>556</v>
      </c>
      <c r="C2929" t="s">
        <v>114</v>
      </c>
      <c r="D2929" t="s">
        <v>228</v>
      </c>
      <c r="E2929" t="s">
        <v>228</v>
      </c>
      <c r="F2929" s="705">
        <v>23</v>
      </c>
      <c r="G2929" s="705">
        <v>5988</v>
      </c>
      <c r="H2929" s="705">
        <v>3224</v>
      </c>
      <c r="I2929" s="705">
        <v>439178</v>
      </c>
      <c r="J2929" s="705">
        <v>162659</v>
      </c>
      <c r="K2929" s="705">
        <v>306</v>
      </c>
      <c r="L2929" s="705">
        <v>103354</v>
      </c>
      <c r="M2929" s="705">
        <v>93958</v>
      </c>
      <c r="N2929" s="705">
        <v>116095</v>
      </c>
      <c r="O2929" s="705">
        <v>42998</v>
      </c>
      <c r="P2929" s="705">
        <v>11792</v>
      </c>
      <c r="Q2929" s="705">
        <v>4367</v>
      </c>
      <c r="R2929" s="705">
        <v>188404</v>
      </c>
      <c r="S2929" s="705">
        <v>69779</v>
      </c>
      <c r="T2929" s="705">
        <v>0</v>
      </c>
      <c r="U2929" s="705">
        <v>0</v>
      </c>
      <c r="V2929" s="705">
        <v>373761</v>
      </c>
      <c r="W2929" s="705">
        <f t="shared" si="116"/>
        <v>373761</v>
      </c>
      <c r="X2929" s="705">
        <f t="shared" si="117"/>
        <v>858823</v>
      </c>
    </row>
    <row r="2930" spans="2:24">
      <c r="B2930" t="s">
        <v>556</v>
      </c>
      <c r="C2930" t="s">
        <v>114</v>
      </c>
      <c r="D2930" t="s">
        <v>583</v>
      </c>
      <c r="E2930" t="s">
        <v>583</v>
      </c>
      <c r="F2930" s="705">
        <v>357</v>
      </c>
      <c r="G2930" s="705">
        <v>72398</v>
      </c>
      <c r="H2930" s="705">
        <v>50232</v>
      </c>
      <c r="I2930" s="705">
        <v>5881512</v>
      </c>
      <c r="J2930" s="705">
        <v>5346829</v>
      </c>
      <c r="K2930" s="705">
        <v>90</v>
      </c>
      <c r="L2930" s="705">
        <v>1206188</v>
      </c>
      <c r="M2930" s="705">
        <v>1093556</v>
      </c>
      <c r="N2930" s="705">
        <v>1348494</v>
      </c>
      <c r="O2930" s="705">
        <v>499442</v>
      </c>
      <c r="P2930" s="705">
        <v>238316</v>
      </c>
      <c r="Q2930" s="705">
        <v>88265</v>
      </c>
      <c r="R2930" s="705">
        <v>1892319</v>
      </c>
      <c r="S2930" s="705">
        <v>1720290</v>
      </c>
      <c r="T2930" s="705">
        <v>103854</v>
      </c>
      <c r="U2930" s="705">
        <v>38465</v>
      </c>
      <c r="V2930" s="705">
        <v>8786847</v>
      </c>
      <c r="W2930" s="705">
        <f t="shared" si="116"/>
        <v>8786847</v>
      </c>
      <c r="X2930" s="705">
        <f t="shared" si="117"/>
        <v>10670683</v>
      </c>
    </row>
    <row r="2931" spans="2:24">
      <c r="B2931" t="s">
        <v>556</v>
      </c>
      <c r="C2931" t="s">
        <v>114</v>
      </c>
      <c r="D2931" t="s">
        <v>584</v>
      </c>
      <c r="E2931" t="s">
        <v>584</v>
      </c>
      <c r="F2931" s="705">
        <v>167</v>
      </c>
      <c r="G2931" s="705">
        <v>28490</v>
      </c>
      <c r="H2931" s="705">
        <v>23470</v>
      </c>
      <c r="I2931" s="705">
        <v>2159947</v>
      </c>
      <c r="J2931" s="705">
        <v>1963588</v>
      </c>
      <c r="K2931" s="705">
        <v>88</v>
      </c>
      <c r="L2931" s="705">
        <v>434466</v>
      </c>
      <c r="M2931" s="705">
        <v>1220624</v>
      </c>
      <c r="N2931" s="705">
        <v>544255</v>
      </c>
      <c r="O2931" s="705">
        <v>201576</v>
      </c>
      <c r="P2931" s="705">
        <v>83133</v>
      </c>
      <c r="Q2931" s="705">
        <v>30790</v>
      </c>
      <c r="R2931" s="705">
        <v>853299</v>
      </c>
      <c r="S2931" s="705">
        <v>775727</v>
      </c>
      <c r="T2931" s="705">
        <v>54334</v>
      </c>
      <c r="U2931" s="705">
        <v>20124</v>
      </c>
      <c r="V2931" s="705">
        <v>4212429</v>
      </c>
      <c r="W2931" s="705">
        <f t="shared" si="116"/>
        <v>4212429</v>
      </c>
      <c r="X2931" s="705">
        <f t="shared" si="117"/>
        <v>4129434</v>
      </c>
    </row>
    <row r="2932" spans="2:24">
      <c r="B2932" t="s">
        <v>556</v>
      </c>
      <c r="C2932" t="s">
        <v>114</v>
      </c>
      <c r="D2932" t="s">
        <v>673</v>
      </c>
      <c r="E2932" t="s">
        <v>673</v>
      </c>
      <c r="F2932" s="705">
        <v>1</v>
      </c>
      <c r="G2932" s="705">
        <v>171</v>
      </c>
      <c r="H2932" s="705">
        <v>130</v>
      </c>
      <c r="I2932" s="705">
        <v>18364</v>
      </c>
      <c r="J2932" s="705">
        <v>16694</v>
      </c>
      <c r="K2932" s="705">
        <v>55</v>
      </c>
      <c r="L2932" s="705">
        <v>1870</v>
      </c>
      <c r="M2932" s="705">
        <v>1700</v>
      </c>
      <c r="N2932" s="705">
        <v>2376</v>
      </c>
      <c r="O2932" s="705">
        <v>880</v>
      </c>
      <c r="P2932" s="705">
        <v>351</v>
      </c>
      <c r="Q2932" s="705">
        <v>130</v>
      </c>
      <c r="R2932" s="705">
        <v>-646</v>
      </c>
      <c r="S2932" s="705">
        <v>-587</v>
      </c>
      <c r="T2932" s="705">
        <v>0</v>
      </c>
      <c r="U2932" s="705">
        <v>0</v>
      </c>
      <c r="V2932" s="705">
        <v>18817</v>
      </c>
      <c r="W2932" s="705">
        <f t="shared" si="116"/>
        <v>19991</v>
      </c>
      <c r="X2932" s="705">
        <f t="shared" si="117"/>
        <v>23607</v>
      </c>
    </row>
    <row r="2933" spans="2:24">
      <c r="B2933" t="s">
        <v>556</v>
      </c>
      <c r="C2933" t="s">
        <v>114</v>
      </c>
      <c r="D2933" t="s">
        <v>585</v>
      </c>
      <c r="E2933" t="s">
        <v>585</v>
      </c>
      <c r="F2933" s="705">
        <v>2</v>
      </c>
      <c r="G2933" s="705">
        <v>553</v>
      </c>
      <c r="H2933" s="705">
        <v>273</v>
      </c>
      <c r="I2933" s="705">
        <v>51516</v>
      </c>
      <c r="J2933" s="705">
        <v>46832</v>
      </c>
      <c r="K2933" s="705">
        <v>79</v>
      </c>
      <c r="L2933" s="705">
        <v>6601</v>
      </c>
      <c r="M2933" s="705">
        <v>6001</v>
      </c>
      <c r="N2933" s="705">
        <v>10236</v>
      </c>
      <c r="O2933" s="705">
        <v>3791</v>
      </c>
      <c r="P2933" s="705">
        <v>4781</v>
      </c>
      <c r="Q2933" s="705">
        <v>1771</v>
      </c>
      <c r="R2933" s="705">
        <v>14419</v>
      </c>
      <c r="S2933" s="705">
        <v>13108</v>
      </c>
      <c r="T2933" s="705">
        <v>0</v>
      </c>
      <c r="U2933" s="705">
        <v>0</v>
      </c>
      <c r="V2933" s="705">
        <v>71503</v>
      </c>
      <c r="W2933" s="705">
        <f t="shared" si="116"/>
        <v>71503</v>
      </c>
      <c r="X2933" s="705">
        <f t="shared" si="117"/>
        <v>87553</v>
      </c>
    </row>
    <row r="2934" spans="2:24">
      <c r="B2934" t="s">
        <v>556</v>
      </c>
      <c r="C2934" t="s">
        <v>116</v>
      </c>
      <c r="D2934" t="s">
        <v>674</v>
      </c>
      <c r="E2934" t="s">
        <v>674</v>
      </c>
      <c r="F2934" s="705">
        <v>1</v>
      </c>
      <c r="G2934" s="705">
        <v>160</v>
      </c>
      <c r="H2934" s="705">
        <v>221</v>
      </c>
      <c r="I2934" s="705">
        <v>21443</v>
      </c>
      <c r="J2934" s="705">
        <v>19493</v>
      </c>
      <c r="K2934" s="705">
        <v>86</v>
      </c>
      <c r="L2934" s="705">
        <v>2586</v>
      </c>
      <c r="M2934" s="705">
        <v>2351</v>
      </c>
      <c r="N2934" s="705">
        <v>3899</v>
      </c>
      <c r="O2934" s="705">
        <v>1444</v>
      </c>
      <c r="P2934" s="705">
        <v>621</v>
      </c>
      <c r="Q2934" s="705">
        <v>230</v>
      </c>
      <c r="R2934" s="705">
        <v>3449</v>
      </c>
      <c r="S2934" s="705">
        <v>3135</v>
      </c>
      <c r="T2934" s="705">
        <v>3395</v>
      </c>
      <c r="U2934" s="705">
        <v>1257</v>
      </c>
      <c r="V2934" s="705">
        <v>27910</v>
      </c>
      <c r="W2934" s="705">
        <f t="shared" si="116"/>
        <v>27910</v>
      </c>
      <c r="X2934" s="705">
        <f t="shared" si="117"/>
        <v>35393</v>
      </c>
    </row>
    <row r="2935" spans="2:24">
      <c r="B2935" t="s">
        <v>556</v>
      </c>
      <c r="C2935" t="s">
        <v>116</v>
      </c>
      <c r="D2935" t="s">
        <v>664</v>
      </c>
      <c r="E2935" t="s">
        <v>664</v>
      </c>
      <c r="F2935" s="705">
        <v>4</v>
      </c>
      <c r="G2935" s="705">
        <v>714</v>
      </c>
      <c r="H2935" s="705">
        <v>768</v>
      </c>
      <c r="I2935" s="705">
        <v>77071</v>
      </c>
      <c r="J2935" s="705">
        <v>70065</v>
      </c>
      <c r="K2935" s="705">
        <v>85</v>
      </c>
      <c r="L2935" s="705">
        <v>21842</v>
      </c>
      <c r="M2935" s="705">
        <v>19857</v>
      </c>
      <c r="N2935" s="705">
        <v>11820</v>
      </c>
      <c r="O2935" s="705">
        <v>4378</v>
      </c>
      <c r="P2935" s="705">
        <v>1890</v>
      </c>
      <c r="Q2935" s="705">
        <v>700</v>
      </c>
      <c r="R2935" s="705">
        <v>25399</v>
      </c>
      <c r="S2935" s="705">
        <v>23090</v>
      </c>
      <c r="T2935" s="705">
        <v>0</v>
      </c>
      <c r="U2935" s="705">
        <v>0</v>
      </c>
      <c r="V2935" s="705">
        <v>118089</v>
      </c>
      <c r="W2935" s="705">
        <f t="shared" si="116"/>
        <v>118090</v>
      </c>
      <c r="X2935" s="705">
        <f t="shared" si="117"/>
        <v>138022</v>
      </c>
    </row>
    <row r="2936" spans="2:24">
      <c r="B2936" t="s">
        <v>556</v>
      </c>
      <c r="C2936" t="s">
        <v>116</v>
      </c>
      <c r="D2936" t="s">
        <v>664</v>
      </c>
      <c r="E2936" t="s">
        <v>582</v>
      </c>
      <c r="F2936" s="705">
        <v>1</v>
      </c>
      <c r="G2936" s="705">
        <v>194</v>
      </c>
      <c r="H2936" s="705">
        <v>158</v>
      </c>
      <c r="I2936" s="705">
        <v>19441</v>
      </c>
      <c r="J2936" s="705">
        <v>17674</v>
      </c>
      <c r="K2936" s="705">
        <v>92</v>
      </c>
      <c r="L2936" s="705">
        <v>3309</v>
      </c>
      <c r="M2936" s="705">
        <v>3008</v>
      </c>
      <c r="N2936" s="705">
        <v>2359</v>
      </c>
      <c r="O2936" s="705">
        <v>874</v>
      </c>
      <c r="P2936" s="705">
        <v>473</v>
      </c>
      <c r="Q2936" s="705">
        <v>175</v>
      </c>
      <c r="R2936" s="705">
        <v>4964</v>
      </c>
      <c r="S2936" s="705">
        <v>4513</v>
      </c>
      <c r="T2936" s="705">
        <v>0</v>
      </c>
      <c r="U2936" s="705">
        <v>0</v>
      </c>
      <c r="V2936" s="705">
        <v>26243</v>
      </c>
      <c r="W2936" s="705">
        <f t="shared" si="116"/>
        <v>26244</v>
      </c>
      <c r="X2936" s="705">
        <f t="shared" si="117"/>
        <v>30546</v>
      </c>
    </row>
    <row r="2937" spans="2:24">
      <c r="B2937" t="s">
        <v>556</v>
      </c>
      <c r="C2937" t="s">
        <v>116</v>
      </c>
      <c r="D2937" t="s">
        <v>582</v>
      </c>
      <c r="E2937" t="s">
        <v>582</v>
      </c>
      <c r="F2937" s="705">
        <v>100</v>
      </c>
      <c r="G2937" s="705">
        <v>15974</v>
      </c>
      <c r="H2937" s="705">
        <v>18727</v>
      </c>
      <c r="I2937" s="705">
        <v>1812397</v>
      </c>
      <c r="J2937" s="705">
        <v>1647634</v>
      </c>
      <c r="K2937" s="705">
        <v>86</v>
      </c>
      <c r="L2937" s="705">
        <v>343457</v>
      </c>
      <c r="M2937" s="705">
        <v>305930</v>
      </c>
      <c r="N2937" s="705">
        <v>312674</v>
      </c>
      <c r="O2937" s="705">
        <v>115805</v>
      </c>
      <c r="P2937" s="705">
        <v>48033</v>
      </c>
      <c r="Q2937" s="705">
        <v>17790</v>
      </c>
      <c r="R2937" s="705">
        <v>495522</v>
      </c>
      <c r="S2937" s="705">
        <v>450474</v>
      </c>
      <c r="T2937" s="705">
        <v>62423</v>
      </c>
      <c r="U2937" s="705">
        <v>23120</v>
      </c>
      <c r="V2937" s="705">
        <v>2560753</v>
      </c>
      <c r="W2937" s="705">
        <f t="shared" si="116"/>
        <v>2560753</v>
      </c>
      <c r="X2937" s="705">
        <f t="shared" si="117"/>
        <v>3074506</v>
      </c>
    </row>
    <row r="2938" spans="2:24">
      <c r="B2938" t="s">
        <v>556</v>
      </c>
      <c r="C2938" t="s">
        <v>116</v>
      </c>
      <c r="D2938" t="s">
        <v>228</v>
      </c>
      <c r="E2938" t="s">
        <v>228</v>
      </c>
      <c r="F2938" s="705">
        <v>17</v>
      </c>
      <c r="G2938" s="705">
        <v>2821</v>
      </c>
      <c r="H2938" s="705">
        <v>3020</v>
      </c>
      <c r="I2938" s="705">
        <v>302715</v>
      </c>
      <c r="J2938" s="705">
        <v>112117</v>
      </c>
      <c r="K2938" s="705">
        <v>217</v>
      </c>
      <c r="L2938" s="705">
        <v>38245</v>
      </c>
      <c r="M2938" s="705">
        <v>34609</v>
      </c>
      <c r="N2938" s="705">
        <v>45484</v>
      </c>
      <c r="O2938" s="705">
        <v>16846</v>
      </c>
      <c r="P2938" s="705">
        <v>4752</v>
      </c>
      <c r="Q2938" s="705">
        <v>1760</v>
      </c>
      <c r="R2938" s="705">
        <v>101927</v>
      </c>
      <c r="S2938" s="705">
        <v>37751</v>
      </c>
      <c r="T2938" s="705">
        <v>0</v>
      </c>
      <c r="U2938" s="705">
        <v>0</v>
      </c>
      <c r="V2938" s="705">
        <v>203082</v>
      </c>
      <c r="W2938" s="705">
        <f t="shared" si="116"/>
        <v>203083</v>
      </c>
      <c r="X2938" s="705">
        <f t="shared" si="117"/>
        <v>493123</v>
      </c>
    </row>
    <row r="2939" spans="2:24">
      <c r="B2939" t="s">
        <v>556</v>
      </c>
      <c r="C2939" t="s">
        <v>116</v>
      </c>
      <c r="D2939" t="s">
        <v>583</v>
      </c>
      <c r="E2939" t="s">
        <v>664</v>
      </c>
      <c r="F2939" s="705">
        <v>2</v>
      </c>
      <c r="G2939" s="705">
        <v>373</v>
      </c>
      <c r="H2939" s="705">
        <v>354</v>
      </c>
      <c r="I2939" s="705">
        <v>40649</v>
      </c>
      <c r="J2939" s="705">
        <v>36954</v>
      </c>
      <c r="K2939" s="705">
        <v>92</v>
      </c>
      <c r="L2939" s="705">
        <v>6744</v>
      </c>
      <c r="M2939" s="705">
        <v>6131</v>
      </c>
      <c r="N2939" s="705">
        <v>4546</v>
      </c>
      <c r="O2939" s="705">
        <v>1684</v>
      </c>
      <c r="P2939" s="705">
        <v>1242</v>
      </c>
      <c r="Q2939" s="705">
        <v>460</v>
      </c>
      <c r="R2939" s="705">
        <v>8904</v>
      </c>
      <c r="S2939" s="705">
        <v>8095</v>
      </c>
      <c r="T2939" s="705">
        <v>2944</v>
      </c>
      <c r="U2939" s="705">
        <v>1090</v>
      </c>
      <c r="V2939" s="705">
        <v>54413</v>
      </c>
      <c r="W2939" s="705">
        <f t="shared" si="116"/>
        <v>54414</v>
      </c>
      <c r="X2939" s="705">
        <f t="shared" si="117"/>
        <v>65029</v>
      </c>
    </row>
    <row r="2940" spans="2:24">
      <c r="B2940" t="s">
        <v>556</v>
      </c>
      <c r="C2940" t="s">
        <v>116</v>
      </c>
      <c r="D2940" t="s">
        <v>583</v>
      </c>
      <c r="E2940" t="s">
        <v>228</v>
      </c>
      <c r="F2940" s="705">
        <v>9</v>
      </c>
      <c r="G2940" s="705">
        <v>1873</v>
      </c>
      <c r="H2940" s="705">
        <v>1801</v>
      </c>
      <c r="I2940" s="705">
        <v>195512</v>
      </c>
      <c r="J2940" s="705">
        <v>177738</v>
      </c>
      <c r="K2940" s="705">
        <v>84</v>
      </c>
      <c r="L2940" s="705">
        <v>49628</v>
      </c>
      <c r="M2940" s="705">
        <v>40301</v>
      </c>
      <c r="N2940" s="705">
        <v>39300</v>
      </c>
      <c r="O2940" s="705">
        <v>14556</v>
      </c>
      <c r="P2940" s="705">
        <v>5589</v>
      </c>
      <c r="Q2940" s="705">
        <v>2070</v>
      </c>
      <c r="R2940" s="705">
        <v>81082</v>
      </c>
      <c r="S2940" s="705">
        <v>30030</v>
      </c>
      <c r="T2940" s="705">
        <v>3772</v>
      </c>
      <c r="U2940" s="705">
        <v>1397</v>
      </c>
      <c r="V2940" s="705">
        <v>266093</v>
      </c>
      <c r="W2940" s="705">
        <f t="shared" si="116"/>
        <v>266092</v>
      </c>
      <c r="X2940" s="705">
        <f t="shared" si="117"/>
        <v>374883</v>
      </c>
    </row>
    <row r="2941" spans="2:24">
      <c r="B2941" t="s">
        <v>556</v>
      </c>
      <c r="C2941" t="s">
        <v>116</v>
      </c>
      <c r="D2941" t="s">
        <v>583</v>
      </c>
      <c r="E2941" t="s">
        <v>583</v>
      </c>
      <c r="F2941" s="705">
        <v>1873</v>
      </c>
      <c r="G2941" s="705">
        <v>314482</v>
      </c>
      <c r="H2941" s="705">
        <v>357596</v>
      </c>
      <c r="I2941" s="705">
        <v>34801275</v>
      </c>
      <c r="J2941" s="705">
        <v>31637522</v>
      </c>
      <c r="K2941" s="705">
        <v>86</v>
      </c>
      <c r="L2941" s="705">
        <v>7470515</v>
      </c>
      <c r="M2941" s="705">
        <v>6651928</v>
      </c>
      <c r="N2941" s="705">
        <v>6317643</v>
      </c>
      <c r="O2941" s="705">
        <v>2339868</v>
      </c>
      <c r="P2941" s="705">
        <v>1219179</v>
      </c>
      <c r="Q2941" s="705">
        <v>451548</v>
      </c>
      <c r="R2941" s="705">
        <v>10027478</v>
      </c>
      <c r="S2941" s="705">
        <v>9115889</v>
      </c>
      <c r="T2941" s="705">
        <v>1998530</v>
      </c>
      <c r="U2941" s="705">
        <v>740196</v>
      </c>
      <c r="V2941" s="705">
        <v>50936951</v>
      </c>
      <c r="W2941" s="705">
        <f t="shared" si="116"/>
        <v>50936951</v>
      </c>
      <c r="X2941" s="705">
        <f t="shared" si="117"/>
        <v>61834620</v>
      </c>
    </row>
    <row r="2942" spans="2:24">
      <c r="B2942" t="s">
        <v>556</v>
      </c>
      <c r="C2942" t="s">
        <v>116</v>
      </c>
      <c r="D2942" t="s">
        <v>583</v>
      </c>
      <c r="E2942" t="s">
        <v>584</v>
      </c>
      <c r="F2942" s="705">
        <v>1</v>
      </c>
      <c r="G2942" s="705">
        <v>212</v>
      </c>
      <c r="H2942" s="705">
        <v>164</v>
      </c>
      <c r="I2942" s="705">
        <v>20708</v>
      </c>
      <c r="J2942" s="705">
        <v>18826</v>
      </c>
      <c r="K2942" s="705">
        <v>86</v>
      </c>
      <c r="L2942" s="705">
        <v>2881</v>
      </c>
      <c r="M2942" s="705">
        <v>2619</v>
      </c>
      <c r="N2942" s="705">
        <v>3124</v>
      </c>
      <c r="O2942" s="705">
        <v>1157</v>
      </c>
      <c r="P2942" s="705">
        <v>621</v>
      </c>
      <c r="Q2942" s="705">
        <v>230</v>
      </c>
      <c r="R2942" s="705">
        <v>7356</v>
      </c>
      <c r="S2942" s="705">
        <v>6687</v>
      </c>
      <c r="T2942" s="705">
        <v>0</v>
      </c>
      <c r="U2942" s="705">
        <v>0</v>
      </c>
      <c r="V2942" s="705">
        <v>29519</v>
      </c>
      <c r="W2942" s="705">
        <f t="shared" si="116"/>
        <v>29519</v>
      </c>
      <c r="X2942" s="705">
        <f t="shared" si="117"/>
        <v>34690</v>
      </c>
    </row>
    <row r="2943" spans="2:24">
      <c r="B2943" t="s">
        <v>556</v>
      </c>
      <c r="C2943" t="s">
        <v>116</v>
      </c>
      <c r="D2943" t="s">
        <v>583</v>
      </c>
      <c r="E2943" t="s">
        <v>665</v>
      </c>
      <c r="F2943" s="705">
        <v>1</v>
      </c>
      <c r="G2943" s="705">
        <v>388</v>
      </c>
      <c r="H2943" s="705">
        <v>224</v>
      </c>
      <c r="I2943" s="705">
        <v>52602</v>
      </c>
      <c r="J2943" s="705">
        <v>47820</v>
      </c>
      <c r="K2943" s="705">
        <v>65</v>
      </c>
      <c r="L2943" s="705">
        <v>9030</v>
      </c>
      <c r="M2943" s="705">
        <v>8209</v>
      </c>
      <c r="N2943" s="705">
        <v>7557</v>
      </c>
      <c r="O2943" s="705">
        <v>2799</v>
      </c>
      <c r="P2943" s="705">
        <v>621</v>
      </c>
      <c r="Q2943" s="705">
        <v>230</v>
      </c>
      <c r="R2943" s="705">
        <v>10375</v>
      </c>
      <c r="S2943" s="705">
        <v>9432</v>
      </c>
      <c r="T2943" s="705">
        <v>6658</v>
      </c>
      <c r="U2943" s="705">
        <v>2466</v>
      </c>
      <c r="V2943" s="705">
        <v>70956</v>
      </c>
      <c r="W2943" s="705">
        <f t="shared" si="116"/>
        <v>70956</v>
      </c>
      <c r="X2943" s="705">
        <f t="shared" si="117"/>
        <v>86843</v>
      </c>
    </row>
    <row r="2944" spans="2:24">
      <c r="B2944" t="s">
        <v>556</v>
      </c>
      <c r="C2944" t="s">
        <v>116</v>
      </c>
      <c r="D2944" t="s">
        <v>666</v>
      </c>
      <c r="E2944" t="s">
        <v>666</v>
      </c>
      <c r="F2944" s="705">
        <v>3</v>
      </c>
      <c r="G2944" s="705">
        <v>500</v>
      </c>
      <c r="H2944" s="705">
        <v>563</v>
      </c>
      <c r="I2944" s="705">
        <v>60230</v>
      </c>
      <c r="J2944" s="705">
        <v>54755</v>
      </c>
      <c r="K2944" s="705">
        <v>67</v>
      </c>
      <c r="L2944" s="705">
        <v>8491</v>
      </c>
      <c r="M2944" s="705">
        <v>5444</v>
      </c>
      <c r="N2944" s="705">
        <v>8413</v>
      </c>
      <c r="O2944" s="705">
        <v>3116</v>
      </c>
      <c r="P2944" s="705">
        <v>1445</v>
      </c>
      <c r="Q2944" s="705">
        <v>535</v>
      </c>
      <c r="R2944" s="705">
        <v>8540</v>
      </c>
      <c r="S2944" s="705">
        <v>7763</v>
      </c>
      <c r="T2944" s="705">
        <v>2238</v>
      </c>
      <c r="U2944" s="705">
        <v>829</v>
      </c>
      <c r="V2944" s="705">
        <v>72442</v>
      </c>
      <c r="W2944" s="705">
        <f t="shared" si="116"/>
        <v>72442</v>
      </c>
      <c r="X2944" s="705">
        <f t="shared" si="117"/>
        <v>89357</v>
      </c>
    </row>
    <row r="2945" spans="2:24">
      <c r="B2945" t="s">
        <v>556</v>
      </c>
      <c r="C2945" t="s">
        <v>116</v>
      </c>
      <c r="D2945" t="s">
        <v>584</v>
      </c>
      <c r="E2945" t="s">
        <v>582</v>
      </c>
      <c r="F2945" s="705">
        <v>1</v>
      </c>
      <c r="G2945" s="705">
        <v>183</v>
      </c>
      <c r="H2945" s="705">
        <v>183</v>
      </c>
      <c r="I2945" s="705">
        <v>18568</v>
      </c>
      <c r="J2945" s="705">
        <v>16880</v>
      </c>
      <c r="K2945" s="705">
        <v>90</v>
      </c>
      <c r="L2945" s="705">
        <v>6774</v>
      </c>
      <c r="M2945" s="705">
        <v>5645</v>
      </c>
      <c r="N2945" s="705">
        <v>3034</v>
      </c>
      <c r="O2945" s="705">
        <v>1124</v>
      </c>
      <c r="P2945" s="705">
        <v>473</v>
      </c>
      <c r="Q2945" s="705">
        <v>175</v>
      </c>
      <c r="R2945" s="705">
        <v>4732</v>
      </c>
      <c r="S2945" s="705">
        <v>4302</v>
      </c>
      <c r="T2945" s="705">
        <v>0</v>
      </c>
      <c r="U2945" s="705">
        <v>0</v>
      </c>
      <c r="V2945" s="705">
        <v>28126</v>
      </c>
      <c r="W2945" s="705">
        <f t="shared" si="116"/>
        <v>28126</v>
      </c>
      <c r="X2945" s="705">
        <f t="shared" si="117"/>
        <v>33581</v>
      </c>
    </row>
    <row r="2946" spans="2:24">
      <c r="B2946" t="s">
        <v>556</v>
      </c>
      <c r="C2946" t="s">
        <v>116</v>
      </c>
      <c r="D2946" t="s">
        <v>584</v>
      </c>
      <c r="E2946" t="s">
        <v>228</v>
      </c>
      <c r="F2946" s="705">
        <v>3</v>
      </c>
      <c r="G2946" s="705">
        <v>739</v>
      </c>
      <c r="H2946" s="705">
        <v>595</v>
      </c>
      <c r="I2946" s="705">
        <v>77382</v>
      </c>
      <c r="J2946" s="705">
        <v>70347</v>
      </c>
      <c r="K2946" s="705">
        <v>87</v>
      </c>
      <c r="L2946" s="705">
        <v>23991</v>
      </c>
      <c r="M2946" s="705">
        <v>20639</v>
      </c>
      <c r="N2946" s="705">
        <v>16810</v>
      </c>
      <c r="O2946" s="705">
        <v>6226</v>
      </c>
      <c r="P2946" s="705">
        <v>3705</v>
      </c>
      <c r="Q2946" s="705">
        <v>1372</v>
      </c>
      <c r="R2946" s="705">
        <v>24441</v>
      </c>
      <c r="S2946" s="705">
        <v>9052</v>
      </c>
      <c r="T2946" s="705">
        <v>0</v>
      </c>
      <c r="U2946" s="705">
        <v>0</v>
      </c>
      <c r="V2946" s="705">
        <v>107637</v>
      </c>
      <c r="W2946" s="705">
        <f t="shared" si="116"/>
        <v>107636</v>
      </c>
      <c r="X2946" s="705">
        <f t="shared" si="117"/>
        <v>146329</v>
      </c>
    </row>
    <row r="2947" spans="2:24">
      <c r="B2947" t="s">
        <v>556</v>
      </c>
      <c r="C2947" t="s">
        <v>116</v>
      </c>
      <c r="D2947" t="s">
        <v>584</v>
      </c>
      <c r="E2947" t="s">
        <v>584</v>
      </c>
      <c r="F2947" s="705">
        <v>752</v>
      </c>
      <c r="G2947" s="705">
        <v>112967</v>
      </c>
      <c r="H2947" s="705">
        <v>141116</v>
      </c>
      <c r="I2947" s="705">
        <v>11475498</v>
      </c>
      <c r="J2947" s="705">
        <v>10432271</v>
      </c>
      <c r="K2947" s="705">
        <v>83</v>
      </c>
      <c r="L2947" s="705">
        <v>2603657</v>
      </c>
      <c r="M2947" s="705">
        <v>2296857</v>
      </c>
      <c r="N2947" s="705">
        <v>2224094</v>
      </c>
      <c r="O2947" s="705">
        <v>823738</v>
      </c>
      <c r="P2947" s="705">
        <v>365109</v>
      </c>
      <c r="Q2947" s="705">
        <v>135225</v>
      </c>
      <c r="R2947" s="705">
        <v>3920577</v>
      </c>
      <c r="S2947" s="705">
        <v>3564161</v>
      </c>
      <c r="T2947" s="705">
        <v>637371</v>
      </c>
      <c r="U2947" s="705">
        <v>236063</v>
      </c>
      <c r="V2947" s="705">
        <v>17488316</v>
      </c>
      <c r="W2947" s="705">
        <f t="shared" si="116"/>
        <v>17488315</v>
      </c>
      <c r="X2947" s="705">
        <f t="shared" si="117"/>
        <v>21226306</v>
      </c>
    </row>
    <row r="2948" spans="2:24">
      <c r="B2948" t="s">
        <v>556</v>
      </c>
      <c r="C2948" t="s">
        <v>116</v>
      </c>
      <c r="D2948" t="s">
        <v>665</v>
      </c>
      <c r="E2948" t="s">
        <v>228</v>
      </c>
      <c r="F2948" s="705">
        <v>1</v>
      </c>
      <c r="G2948" s="705">
        <v>155</v>
      </c>
      <c r="H2948" s="705">
        <v>193</v>
      </c>
      <c r="I2948" s="705">
        <v>16759</v>
      </c>
      <c r="J2948" s="705">
        <v>15235</v>
      </c>
      <c r="K2948" s="705">
        <v>60</v>
      </c>
      <c r="L2948" s="705">
        <v>2742</v>
      </c>
      <c r="M2948" s="705">
        <v>1016</v>
      </c>
      <c r="N2948" s="705">
        <v>2438</v>
      </c>
      <c r="O2948" s="705">
        <v>903</v>
      </c>
      <c r="P2948" s="705">
        <v>0</v>
      </c>
      <c r="Q2948" s="705">
        <v>0</v>
      </c>
      <c r="R2948" s="705">
        <v>7970</v>
      </c>
      <c r="S2948" s="705">
        <v>2952</v>
      </c>
      <c r="T2948" s="705">
        <v>0</v>
      </c>
      <c r="U2948" s="705">
        <v>0</v>
      </c>
      <c r="V2948" s="705">
        <v>20106</v>
      </c>
      <c r="W2948" s="705">
        <f t="shared" si="116"/>
        <v>20106</v>
      </c>
      <c r="X2948" s="705">
        <f t="shared" si="117"/>
        <v>29909</v>
      </c>
    </row>
    <row r="2949" spans="2:24">
      <c r="B2949" t="s">
        <v>556</v>
      </c>
      <c r="C2949" t="s">
        <v>116</v>
      </c>
      <c r="D2949" t="s">
        <v>665</v>
      </c>
      <c r="E2949" t="s">
        <v>665</v>
      </c>
      <c r="F2949" s="705">
        <v>1</v>
      </c>
      <c r="G2949" s="705">
        <v>165</v>
      </c>
      <c r="H2949" s="705">
        <v>189</v>
      </c>
      <c r="I2949" s="705">
        <v>18755</v>
      </c>
      <c r="J2949" s="705">
        <v>17050</v>
      </c>
      <c r="K2949" s="705">
        <v>65</v>
      </c>
      <c r="L2949" s="705">
        <v>2084</v>
      </c>
      <c r="M2949" s="705">
        <v>1894</v>
      </c>
      <c r="N2949" s="705">
        <v>4012</v>
      </c>
      <c r="O2949" s="705">
        <v>1486</v>
      </c>
      <c r="P2949" s="705">
        <v>351</v>
      </c>
      <c r="Q2949" s="705">
        <v>130</v>
      </c>
      <c r="R2949" s="705">
        <v>5846</v>
      </c>
      <c r="S2949" s="705">
        <v>5315</v>
      </c>
      <c r="T2949" s="705">
        <v>0</v>
      </c>
      <c r="U2949" s="705">
        <v>0</v>
      </c>
      <c r="V2949" s="705">
        <v>25875</v>
      </c>
      <c r="W2949" s="705">
        <f t="shared" si="116"/>
        <v>25875</v>
      </c>
      <c r="X2949" s="705">
        <f t="shared" si="117"/>
        <v>31048</v>
      </c>
    </row>
    <row r="2950" spans="2:24">
      <c r="B2950" t="s">
        <v>556</v>
      </c>
      <c r="C2950" t="s">
        <v>116</v>
      </c>
      <c r="D2950" t="s">
        <v>722</v>
      </c>
      <c r="E2950" t="s">
        <v>722</v>
      </c>
      <c r="F2950" s="705">
        <v>1</v>
      </c>
      <c r="G2950" s="705">
        <v>169</v>
      </c>
      <c r="H2950" s="705">
        <v>210</v>
      </c>
      <c r="I2950" s="705">
        <v>22164</v>
      </c>
      <c r="J2950" s="705">
        <v>20149</v>
      </c>
      <c r="K2950" s="705">
        <v>91</v>
      </c>
      <c r="L2950" s="705">
        <v>3751</v>
      </c>
      <c r="M2950" s="705">
        <v>3410</v>
      </c>
      <c r="N2950" s="705">
        <v>3810</v>
      </c>
      <c r="O2950" s="705">
        <v>1411</v>
      </c>
      <c r="P2950" s="705">
        <v>621</v>
      </c>
      <c r="Q2950" s="705">
        <v>230</v>
      </c>
      <c r="R2950" s="705">
        <v>5086</v>
      </c>
      <c r="S2950" s="705">
        <v>4623</v>
      </c>
      <c r="T2950" s="705">
        <v>0</v>
      </c>
      <c r="U2950" s="705">
        <v>0</v>
      </c>
      <c r="V2950" s="705">
        <v>29823</v>
      </c>
      <c r="W2950" s="705">
        <f t="shared" si="116"/>
        <v>29823</v>
      </c>
      <c r="X2950" s="705">
        <f t="shared" si="117"/>
        <v>35432</v>
      </c>
    </row>
    <row r="2951" spans="2:24">
      <c r="B2951" t="s">
        <v>556</v>
      </c>
      <c r="C2951" t="s">
        <v>116</v>
      </c>
      <c r="D2951" t="s">
        <v>673</v>
      </c>
      <c r="E2951" t="s">
        <v>673</v>
      </c>
      <c r="F2951" s="705">
        <v>1</v>
      </c>
      <c r="G2951" s="705">
        <v>184</v>
      </c>
      <c r="H2951" s="705">
        <v>190</v>
      </c>
      <c r="I2951" s="705">
        <v>21273</v>
      </c>
      <c r="J2951" s="705">
        <v>19339</v>
      </c>
      <c r="K2951" s="705">
        <v>55</v>
      </c>
      <c r="L2951" s="705">
        <v>1693</v>
      </c>
      <c r="M2951" s="705">
        <v>1539</v>
      </c>
      <c r="N2951" s="705">
        <v>2918</v>
      </c>
      <c r="O2951" s="705">
        <v>1081</v>
      </c>
      <c r="P2951" s="705">
        <v>351</v>
      </c>
      <c r="Q2951" s="705">
        <v>130</v>
      </c>
      <c r="R2951" s="705">
        <v>8794</v>
      </c>
      <c r="S2951" s="705">
        <v>7994</v>
      </c>
      <c r="T2951" s="705">
        <v>0</v>
      </c>
      <c r="U2951" s="705">
        <v>0</v>
      </c>
      <c r="V2951" s="705">
        <v>30083</v>
      </c>
      <c r="W2951" s="705">
        <f t="shared" si="116"/>
        <v>30083</v>
      </c>
      <c r="X2951" s="705">
        <f t="shared" si="117"/>
        <v>35029</v>
      </c>
    </row>
    <row r="2952" spans="2:24">
      <c r="B2952" t="s">
        <v>556</v>
      </c>
      <c r="C2952" t="s">
        <v>116</v>
      </c>
      <c r="D2952" t="s">
        <v>585</v>
      </c>
      <c r="E2952" t="s">
        <v>585</v>
      </c>
      <c r="F2952" s="705">
        <v>11</v>
      </c>
      <c r="G2952" s="705">
        <v>2613</v>
      </c>
      <c r="H2952" s="705">
        <v>1950</v>
      </c>
      <c r="I2952" s="705">
        <v>338018</v>
      </c>
      <c r="J2952" s="705">
        <v>307289</v>
      </c>
      <c r="K2952" s="705">
        <v>80</v>
      </c>
      <c r="L2952" s="705">
        <v>47834</v>
      </c>
      <c r="M2952" s="705">
        <v>43485</v>
      </c>
      <c r="N2952" s="705">
        <v>50205</v>
      </c>
      <c r="O2952" s="705">
        <v>18594</v>
      </c>
      <c r="P2952" s="705">
        <v>5306</v>
      </c>
      <c r="Q2952" s="705">
        <v>1965</v>
      </c>
      <c r="R2952" s="705">
        <v>52981</v>
      </c>
      <c r="S2952" s="705">
        <v>48164</v>
      </c>
      <c r="T2952" s="705">
        <v>3523</v>
      </c>
      <c r="U2952" s="705">
        <v>1305</v>
      </c>
      <c r="V2952" s="705">
        <v>420803</v>
      </c>
      <c r="W2952" s="705">
        <f t="shared" si="116"/>
        <v>420802</v>
      </c>
      <c r="X2952" s="705">
        <f t="shared" si="117"/>
        <v>497867</v>
      </c>
    </row>
    <row r="2953" spans="2:24">
      <c r="B2953" t="s">
        <v>556</v>
      </c>
      <c r="C2953" t="s">
        <v>116</v>
      </c>
      <c r="D2953" t="s">
        <v>668</v>
      </c>
      <c r="E2953" t="s">
        <v>668</v>
      </c>
      <c r="F2953" s="705">
        <v>2</v>
      </c>
      <c r="G2953" s="705">
        <v>368</v>
      </c>
      <c r="H2953" s="705">
        <v>410</v>
      </c>
      <c r="I2953" s="705">
        <v>44104</v>
      </c>
      <c r="J2953" s="705">
        <v>40095</v>
      </c>
      <c r="K2953" s="705">
        <v>77</v>
      </c>
      <c r="L2953" s="705">
        <v>7544</v>
      </c>
      <c r="M2953" s="705">
        <v>6858</v>
      </c>
      <c r="N2953" s="705">
        <v>7499</v>
      </c>
      <c r="O2953" s="705">
        <v>2777</v>
      </c>
      <c r="P2953" s="705">
        <v>702</v>
      </c>
      <c r="Q2953" s="705">
        <v>260</v>
      </c>
      <c r="R2953" s="705">
        <v>9355</v>
      </c>
      <c r="S2953" s="705">
        <v>8505</v>
      </c>
      <c r="T2953" s="705">
        <v>6666</v>
      </c>
      <c r="U2953" s="705">
        <v>2469</v>
      </c>
      <c r="V2953" s="705">
        <v>60964</v>
      </c>
      <c r="W2953" s="705">
        <f t="shared" si="116"/>
        <v>60964</v>
      </c>
      <c r="X2953" s="705">
        <f t="shared" si="117"/>
        <v>75870</v>
      </c>
    </row>
    <row r="2954" spans="2:24">
      <c r="B2954" t="s">
        <v>556</v>
      </c>
      <c r="C2954" t="s">
        <v>118</v>
      </c>
      <c r="D2954" t="s">
        <v>664</v>
      </c>
      <c r="E2954" t="s">
        <v>664</v>
      </c>
      <c r="F2954" s="705">
        <v>1</v>
      </c>
      <c r="G2954" s="705">
        <v>122</v>
      </c>
      <c r="H2954" s="705">
        <v>244</v>
      </c>
      <c r="I2954" s="705">
        <v>19209</v>
      </c>
      <c r="J2954" s="705">
        <v>17463</v>
      </c>
      <c r="K2954" s="705">
        <v>92</v>
      </c>
      <c r="L2954" s="705">
        <v>3124</v>
      </c>
      <c r="M2954" s="705">
        <v>2840</v>
      </c>
      <c r="N2954" s="705">
        <v>2829</v>
      </c>
      <c r="O2954" s="705">
        <v>1048</v>
      </c>
      <c r="P2954" s="705">
        <v>473</v>
      </c>
      <c r="Q2954" s="705">
        <v>175</v>
      </c>
      <c r="R2954" s="705">
        <v>4037</v>
      </c>
      <c r="S2954" s="705">
        <v>3670</v>
      </c>
      <c r="T2954" s="705">
        <v>0</v>
      </c>
      <c r="U2954" s="705">
        <v>0</v>
      </c>
      <c r="V2954" s="705">
        <v>25195</v>
      </c>
      <c r="W2954" s="705">
        <f t="shared" si="116"/>
        <v>25196</v>
      </c>
      <c r="X2954" s="705">
        <f t="shared" si="117"/>
        <v>29672</v>
      </c>
    </row>
    <row r="2955" spans="2:24">
      <c r="B2955" t="s">
        <v>556</v>
      </c>
      <c r="C2955" t="s">
        <v>118</v>
      </c>
      <c r="D2955" t="s">
        <v>664</v>
      </c>
      <c r="E2955" t="s">
        <v>669</v>
      </c>
      <c r="F2955" s="705">
        <v>1</v>
      </c>
      <c r="G2955" s="705">
        <v>86</v>
      </c>
      <c r="H2955" s="705">
        <v>233</v>
      </c>
      <c r="I2955" s="705">
        <v>9856</v>
      </c>
      <c r="J2955" s="705">
        <v>8960</v>
      </c>
      <c r="K2955" s="705">
        <v>63</v>
      </c>
      <c r="L2955" s="705">
        <v>2509</v>
      </c>
      <c r="M2955" s="705">
        <v>2091</v>
      </c>
      <c r="N2955" s="705">
        <v>1054</v>
      </c>
      <c r="O2955" s="705">
        <v>390</v>
      </c>
      <c r="P2955" s="705">
        <v>0</v>
      </c>
      <c r="Q2955" s="705">
        <v>0</v>
      </c>
      <c r="R2955" s="705">
        <v>4253</v>
      </c>
      <c r="S2955" s="705">
        <v>3544</v>
      </c>
      <c r="T2955" s="705">
        <v>2520</v>
      </c>
      <c r="U2955" s="705">
        <v>933</v>
      </c>
      <c r="V2955" s="705">
        <v>15918</v>
      </c>
      <c r="W2955" s="705">
        <f t="shared" si="116"/>
        <v>15918</v>
      </c>
      <c r="X2955" s="705">
        <f t="shared" si="117"/>
        <v>20192</v>
      </c>
    </row>
    <row r="2956" spans="2:24">
      <c r="B2956" t="s">
        <v>556</v>
      </c>
      <c r="C2956" t="s">
        <v>118</v>
      </c>
      <c r="D2956" t="s">
        <v>582</v>
      </c>
      <c r="E2956" t="s">
        <v>664</v>
      </c>
      <c r="F2956" s="705">
        <v>3</v>
      </c>
      <c r="G2956" s="705">
        <v>273</v>
      </c>
      <c r="H2956" s="705">
        <v>823</v>
      </c>
      <c r="I2956" s="705">
        <v>42705</v>
      </c>
      <c r="J2956" s="705">
        <v>38822</v>
      </c>
      <c r="K2956" s="705">
        <v>79</v>
      </c>
      <c r="L2956" s="705">
        <v>10030</v>
      </c>
      <c r="M2956" s="705">
        <v>9118</v>
      </c>
      <c r="N2956" s="705">
        <v>5031</v>
      </c>
      <c r="O2956" s="705">
        <v>1863</v>
      </c>
      <c r="P2956" s="705">
        <v>1418</v>
      </c>
      <c r="Q2956" s="705">
        <v>525</v>
      </c>
      <c r="R2956" s="705">
        <v>12542</v>
      </c>
      <c r="S2956" s="705">
        <v>11402</v>
      </c>
      <c r="T2956" s="705">
        <v>2528</v>
      </c>
      <c r="U2956" s="705">
        <v>936</v>
      </c>
      <c r="V2956" s="705">
        <v>62667</v>
      </c>
      <c r="W2956" s="705">
        <f t="shared" si="116"/>
        <v>62666</v>
      </c>
      <c r="X2956" s="705">
        <f t="shared" si="117"/>
        <v>74254</v>
      </c>
    </row>
    <row r="2957" spans="2:24">
      <c r="B2957" t="s">
        <v>556</v>
      </c>
      <c r="C2957" t="s">
        <v>118</v>
      </c>
      <c r="D2957" t="s">
        <v>582</v>
      </c>
      <c r="E2957" t="s">
        <v>582</v>
      </c>
      <c r="F2957" s="705">
        <v>44</v>
      </c>
      <c r="G2957" s="705">
        <v>5731</v>
      </c>
      <c r="H2957" s="705">
        <v>11339</v>
      </c>
      <c r="I2957" s="705">
        <v>903921</v>
      </c>
      <c r="J2957" s="705">
        <v>821746</v>
      </c>
      <c r="K2957" s="705">
        <v>81</v>
      </c>
      <c r="L2957" s="705">
        <v>213737</v>
      </c>
      <c r="M2957" s="705">
        <v>192625</v>
      </c>
      <c r="N2957" s="705">
        <v>118708</v>
      </c>
      <c r="O2957" s="705">
        <v>43966</v>
      </c>
      <c r="P2957" s="705">
        <v>21573</v>
      </c>
      <c r="Q2957" s="705">
        <v>7990</v>
      </c>
      <c r="R2957" s="705">
        <v>220590</v>
      </c>
      <c r="S2957" s="705">
        <v>200537</v>
      </c>
      <c r="T2957" s="705">
        <v>46176</v>
      </c>
      <c r="U2957" s="705">
        <v>17102</v>
      </c>
      <c r="V2957" s="705">
        <v>1283966</v>
      </c>
      <c r="W2957" s="705">
        <f t="shared" si="116"/>
        <v>1283966</v>
      </c>
      <c r="X2957" s="705">
        <f t="shared" si="117"/>
        <v>1524705</v>
      </c>
    </row>
    <row r="2958" spans="2:24">
      <c r="B2958" t="s">
        <v>556</v>
      </c>
      <c r="C2958" t="s">
        <v>118</v>
      </c>
      <c r="D2958" t="s">
        <v>582</v>
      </c>
      <c r="E2958" t="s">
        <v>228</v>
      </c>
      <c r="F2958" s="705">
        <v>1</v>
      </c>
      <c r="G2958" s="705">
        <v>179</v>
      </c>
      <c r="H2958" s="705">
        <v>234</v>
      </c>
      <c r="I2958" s="705">
        <v>24661</v>
      </c>
      <c r="J2958" s="705">
        <v>22419</v>
      </c>
      <c r="K2958" s="705">
        <v>72</v>
      </c>
      <c r="L2958" s="705">
        <v>2975</v>
      </c>
      <c r="M2958" s="705">
        <v>2705</v>
      </c>
      <c r="N2958" s="705">
        <v>2879</v>
      </c>
      <c r="O2958" s="705">
        <v>1066</v>
      </c>
      <c r="P2958" s="705">
        <v>473</v>
      </c>
      <c r="Q2958" s="705">
        <v>175</v>
      </c>
      <c r="R2958" s="705">
        <v>10921</v>
      </c>
      <c r="S2958" s="705">
        <v>4045</v>
      </c>
      <c r="T2958" s="705">
        <v>0</v>
      </c>
      <c r="U2958" s="705">
        <v>0</v>
      </c>
      <c r="V2958" s="705">
        <v>30410</v>
      </c>
      <c r="W2958" s="705">
        <f t="shared" si="116"/>
        <v>30410</v>
      </c>
      <c r="X2958" s="705">
        <f t="shared" si="117"/>
        <v>41909</v>
      </c>
    </row>
    <row r="2959" spans="2:24">
      <c r="B2959" t="s">
        <v>556</v>
      </c>
      <c r="C2959" t="s">
        <v>118</v>
      </c>
      <c r="D2959" t="s">
        <v>582</v>
      </c>
      <c r="E2959" t="s">
        <v>584</v>
      </c>
      <c r="F2959" s="705">
        <v>1</v>
      </c>
      <c r="G2959" s="705">
        <v>131</v>
      </c>
      <c r="H2959" s="705">
        <v>235</v>
      </c>
      <c r="I2959" s="705">
        <v>15165</v>
      </c>
      <c r="J2959" s="705">
        <v>13786</v>
      </c>
      <c r="K2959" s="705">
        <v>91</v>
      </c>
      <c r="L2959" s="705">
        <v>5306</v>
      </c>
      <c r="M2959" s="705">
        <v>4422</v>
      </c>
      <c r="N2959" s="705">
        <v>2691</v>
      </c>
      <c r="O2959" s="705">
        <v>997</v>
      </c>
      <c r="P2959" s="705">
        <v>473</v>
      </c>
      <c r="Q2959" s="705">
        <v>175</v>
      </c>
      <c r="R2959" s="705">
        <v>4061</v>
      </c>
      <c r="S2959" s="705">
        <v>3692</v>
      </c>
      <c r="T2959" s="705">
        <v>3167</v>
      </c>
      <c r="U2959" s="705">
        <v>1173</v>
      </c>
      <c r="V2959" s="705">
        <v>24244</v>
      </c>
      <c r="W2959" s="705">
        <f t="shared" si="116"/>
        <v>24245</v>
      </c>
      <c r="X2959" s="705">
        <f t="shared" si="117"/>
        <v>30863</v>
      </c>
    </row>
    <row r="2960" spans="2:24">
      <c r="B2960" t="s">
        <v>556</v>
      </c>
      <c r="C2960" t="s">
        <v>118</v>
      </c>
      <c r="D2960" t="s">
        <v>228</v>
      </c>
      <c r="E2960" t="s">
        <v>228</v>
      </c>
      <c r="F2960" s="705">
        <v>37</v>
      </c>
      <c r="G2960" s="705">
        <v>5576</v>
      </c>
      <c r="H2960" s="705">
        <v>10110</v>
      </c>
      <c r="I2960" s="705">
        <v>946421</v>
      </c>
      <c r="J2960" s="705">
        <v>350526</v>
      </c>
      <c r="K2960" s="705">
        <v>117</v>
      </c>
      <c r="L2960" s="705">
        <v>181018</v>
      </c>
      <c r="M2960" s="705">
        <v>157576</v>
      </c>
      <c r="N2960" s="705">
        <v>117260</v>
      </c>
      <c r="O2960" s="705">
        <v>43429</v>
      </c>
      <c r="P2960" s="705">
        <v>3676</v>
      </c>
      <c r="Q2960" s="705">
        <v>1361</v>
      </c>
      <c r="R2960" s="705">
        <v>331481</v>
      </c>
      <c r="S2960" s="705">
        <v>122771</v>
      </c>
      <c r="T2960" s="705">
        <v>9277</v>
      </c>
      <c r="U2960" s="705">
        <v>3436</v>
      </c>
      <c r="V2960" s="705">
        <v>679100</v>
      </c>
      <c r="W2960" s="705">
        <f t="shared" si="116"/>
        <v>679099</v>
      </c>
      <c r="X2960" s="705">
        <f t="shared" si="117"/>
        <v>1589133</v>
      </c>
    </row>
    <row r="2961" spans="2:24">
      <c r="B2961" t="s">
        <v>556</v>
      </c>
      <c r="C2961" t="s">
        <v>118</v>
      </c>
      <c r="D2961" t="s">
        <v>228</v>
      </c>
      <c r="E2961" t="s">
        <v>666</v>
      </c>
      <c r="F2961" s="705">
        <v>1</v>
      </c>
      <c r="G2961" s="705">
        <v>157</v>
      </c>
      <c r="H2961" s="705">
        <v>275</v>
      </c>
      <c r="I2961" s="705">
        <v>29895</v>
      </c>
      <c r="J2961" s="705">
        <v>11072</v>
      </c>
      <c r="K2961" s="705">
        <v>100</v>
      </c>
      <c r="L2961" s="705">
        <v>2082</v>
      </c>
      <c r="M2961" s="705">
        <v>1893</v>
      </c>
      <c r="N2961" s="705">
        <v>2973</v>
      </c>
      <c r="O2961" s="705">
        <v>1101</v>
      </c>
      <c r="P2961" s="705">
        <v>351</v>
      </c>
      <c r="Q2961" s="705">
        <v>130</v>
      </c>
      <c r="R2961" s="705">
        <v>7953</v>
      </c>
      <c r="S2961" s="705">
        <v>7230</v>
      </c>
      <c r="T2961" s="705">
        <v>0</v>
      </c>
      <c r="U2961" s="705">
        <v>0</v>
      </c>
      <c r="V2961" s="705">
        <v>21426</v>
      </c>
      <c r="W2961" s="705">
        <f t="shared" si="116"/>
        <v>21426</v>
      </c>
      <c r="X2961" s="705">
        <f t="shared" si="117"/>
        <v>43254</v>
      </c>
    </row>
    <row r="2962" spans="2:24">
      <c r="B2962" t="s">
        <v>556</v>
      </c>
      <c r="C2962" t="s">
        <v>118</v>
      </c>
      <c r="D2962" t="s">
        <v>583</v>
      </c>
      <c r="E2962" t="s">
        <v>228</v>
      </c>
      <c r="F2962" s="705">
        <v>4</v>
      </c>
      <c r="G2962" s="705">
        <v>603</v>
      </c>
      <c r="H2962" s="705">
        <v>973</v>
      </c>
      <c r="I2962" s="705">
        <v>71757</v>
      </c>
      <c r="J2962" s="705">
        <v>65234</v>
      </c>
      <c r="K2962" s="705">
        <v>88</v>
      </c>
      <c r="L2962" s="705">
        <v>20748</v>
      </c>
      <c r="M2962" s="705">
        <v>18862</v>
      </c>
      <c r="N2962" s="705">
        <v>14443</v>
      </c>
      <c r="O2962" s="705">
        <v>5349</v>
      </c>
      <c r="P2962" s="705">
        <v>2484</v>
      </c>
      <c r="Q2962" s="705">
        <v>920</v>
      </c>
      <c r="R2962" s="705">
        <v>31495</v>
      </c>
      <c r="S2962" s="705">
        <v>11665</v>
      </c>
      <c r="T2962" s="705">
        <v>0</v>
      </c>
      <c r="U2962" s="705">
        <v>0</v>
      </c>
      <c r="V2962" s="705">
        <v>102030</v>
      </c>
      <c r="W2962" s="705">
        <f t="shared" si="116"/>
        <v>102030</v>
      </c>
      <c r="X2962" s="705">
        <f t="shared" si="117"/>
        <v>140927</v>
      </c>
    </row>
    <row r="2963" spans="2:24">
      <c r="B2963" t="s">
        <v>556</v>
      </c>
      <c r="C2963" t="s">
        <v>118</v>
      </c>
      <c r="D2963" t="s">
        <v>583</v>
      </c>
      <c r="E2963" t="s">
        <v>583</v>
      </c>
      <c r="F2963" s="705">
        <v>1302</v>
      </c>
      <c r="G2963" s="705">
        <v>171029</v>
      </c>
      <c r="H2963" s="705">
        <v>339180</v>
      </c>
      <c r="I2963" s="705">
        <v>26582868</v>
      </c>
      <c r="J2963" s="705">
        <v>24166244</v>
      </c>
      <c r="K2963" s="705">
        <v>80</v>
      </c>
      <c r="L2963" s="705">
        <v>5550437</v>
      </c>
      <c r="M2963" s="705">
        <v>4896844</v>
      </c>
      <c r="N2963" s="705">
        <v>3450375</v>
      </c>
      <c r="O2963" s="705">
        <v>1277917</v>
      </c>
      <c r="P2963" s="705">
        <v>841045</v>
      </c>
      <c r="Q2963" s="705">
        <v>311498</v>
      </c>
      <c r="R2963" s="705">
        <v>6775986</v>
      </c>
      <c r="S2963" s="705">
        <v>6159987</v>
      </c>
      <c r="T2963" s="705">
        <v>2044920</v>
      </c>
      <c r="U2963" s="705">
        <v>757378</v>
      </c>
      <c r="V2963" s="705">
        <v>37569867</v>
      </c>
      <c r="W2963" s="705">
        <f t="shared" si="116"/>
        <v>37569868</v>
      </c>
      <c r="X2963" s="705">
        <f t="shared" si="117"/>
        <v>45245631</v>
      </c>
    </row>
    <row r="2964" spans="2:24">
      <c r="B2964" t="s">
        <v>556</v>
      </c>
      <c r="C2964" t="s">
        <v>118</v>
      </c>
      <c r="D2964" t="s">
        <v>583</v>
      </c>
      <c r="E2964" t="s">
        <v>666</v>
      </c>
      <c r="F2964" s="705">
        <v>2</v>
      </c>
      <c r="G2964" s="705">
        <v>228</v>
      </c>
      <c r="H2964" s="705">
        <v>565</v>
      </c>
      <c r="I2964" s="705">
        <v>39350</v>
      </c>
      <c r="J2964" s="705">
        <v>35773</v>
      </c>
      <c r="K2964" s="705">
        <v>75</v>
      </c>
      <c r="L2964" s="705">
        <v>5513</v>
      </c>
      <c r="M2964" s="705">
        <v>4760</v>
      </c>
      <c r="N2964" s="705">
        <v>4499</v>
      </c>
      <c r="O2964" s="705">
        <v>1666</v>
      </c>
      <c r="P2964" s="705">
        <v>1242</v>
      </c>
      <c r="Q2964" s="705">
        <v>460</v>
      </c>
      <c r="R2964" s="705">
        <v>10692</v>
      </c>
      <c r="S2964" s="705">
        <v>9720</v>
      </c>
      <c r="T2964" s="705">
        <v>2814</v>
      </c>
      <c r="U2964" s="705">
        <v>1042</v>
      </c>
      <c r="V2964" s="705">
        <v>53421</v>
      </c>
      <c r="W2964" s="705">
        <f t="shared" si="116"/>
        <v>53421</v>
      </c>
      <c r="X2964" s="705">
        <f t="shared" si="117"/>
        <v>64110</v>
      </c>
    </row>
    <row r="2965" spans="2:24">
      <c r="B2965" t="s">
        <v>556</v>
      </c>
      <c r="C2965" t="s">
        <v>118</v>
      </c>
      <c r="D2965" t="s">
        <v>583</v>
      </c>
      <c r="E2965" t="s">
        <v>584</v>
      </c>
      <c r="F2965" s="705">
        <v>4</v>
      </c>
      <c r="G2965" s="705">
        <v>702</v>
      </c>
      <c r="H2965" s="705">
        <v>1051</v>
      </c>
      <c r="I2965" s="705">
        <v>119026</v>
      </c>
      <c r="J2965" s="705">
        <v>108206</v>
      </c>
      <c r="K2965" s="705">
        <v>77</v>
      </c>
      <c r="L2965" s="705">
        <v>21694</v>
      </c>
      <c r="M2965" s="705">
        <v>19721</v>
      </c>
      <c r="N2965" s="705">
        <v>13372</v>
      </c>
      <c r="O2965" s="705">
        <v>4953</v>
      </c>
      <c r="P2965" s="705">
        <v>2484</v>
      </c>
      <c r="Q2965" s="705">
        <v>920</v>
      </c>
      <c r="R2965" s="705">
        <v>23005</v>
      </c>
      <c r="S2965" s="705">
        <v>20914</v>
      </c>
      <c r="T2965" s="705">
        <v>5985</v>
      </c>
      <c r="U2965" s="705">
        <v>2217</v>
      </c>
      <c r="V2965" s="705">
        <v>156930</v>
      </c>
      <c r="W2965" s="705">
        <f t="shared" si="116"/>
        <v>156931</v>
      </c>
      <c r="X2965" s="705">
        <f t="shared" si="117"/>
        <v>185566</v>
      </c>
    </row>
    <row r="2966" spans="2:24">
      <c r="B2966" t="s">
        <v>556</v>
      </c>
      <c r="C2966" t="s">
        <v>118</v>
      </c>
      <c r="D2966" t="s">
        <v>583</v>
      </c>
      <c r="E2966" t="s">
        <v>665</v>
      </c>
      <c r="F2966" s="705">
        <v>1</v>
      </c>
      <c r="G2966" s="705">
        <v>135</v>
      </c>
      <c r="H2966" s="705">
        <v>250</v>
      </c>
      <c r="I2966" s="705">
        <v>18524</v>
      </c>
      <c r="J2966" s="705">
        <v>16840</v>
      </c>
      <c r="K2966" s="705">
        <v>84</v>
      </c>
      <c r="L2966" s="705">
        <v>2536</v>
      </c>
      <c r="M2966" s="705">
        <v>2306</v>
      </c>
      <c r="N2966" s="705">
        <v>3083</v>
      </c>
      <c r="O2966" s="705">
        <v>1142</v>
      </c>
      <c r="P2966" s="705">
        <v>621</v>
      </c>
      <c r="Q2966" s="705">
        <v>230</v>
      </c>
      <c r="R2966" s="705">
        <v>5507</v>
      </c>
      <c r="S2966" s="705">
        <v>5006</v>
      </c>
      <c r="T2966" s="705">
        <v>3568</v>
      </c>
      <c r="U2966" s="705">
        <v>1321</v>
      </c>
      <c r="V2966" s="705">
        <v>26845</v>
      </c>
      <c r="W2966" s="705">
        <f t="shared" si="116"/>
        <v>26845</v>
      </c>
      <c r="X2966" s="705">
        <f t="shared" si="117"/>
        <v>33839</v>
      </c>
    </row>
    <row r="2967" spans="2:24">
      <c r="B2967" t="s">
        <v>556</v>
      </c>
      <c r="C2967" t="s">
        <v>118</v>
      </c>
      <c r="D2967" t="s">
        <v>583</v>
      </c>
      <c r="E2967" t="s">
        <v>673</v>
      </c>
      <c r="F2967" s="705">
        <v>1</v>
      </c>
      <c r="G2967" s="705">
        <v>101</v>
      </c>
      <c r="H2967" s="705">
        <v>239</v>
      </c>
      <c r="I2967" s="705">
        <v>15313</v>
      </c>
      <c r="J2967" s="705">
        <v>13921</v>
      </c>
      <c r="K2967" s="705">
        <v>85</v>
      </c>
      <c r="L2967" s="705">
        <v>2049</v>
      </c>
      <c r="M2967" s="705">
        <v>1863</v>
      </c>
      <c r="N2967" s="705">
        <v>2281</v>
      </c>
      <c r="O2967" s="705">
        <v>845</v>
      </c>
      <c r="P2967" s="705">
        <v>621</v>
      </c>
      <c r="Q2967" s="705">
        <v>230</v>
      </c>
      <c r="R2967" s="705">
        <v>3885</v>
      </c>
      <c r="S2967" s="705">
        <v>3532</v>
      </c>
      <c r="T2967" s="705">
        <v>0</v>
      </c>
      <c r="U2967" s="705">
        <v>0</v>
      </c>
      <c r="V2967" s="705">
        <v>20390</v>
      </c>
      <c r="W2967" s="705">
        <f t="shared" si="116"/>
        <v>20391</v>
      </c>
      <c r="X2967" s="705">
        <f t="shared" si="117"/>
        <v>24149</v>
      </c>
    </row>
    <row r="2968" spans="2:24">
      <c r="B2968" t="s">
        <v>556</v>
      </c>
      <c r="C2968" t="s">
        <v>118</v>
      </c>
      <c r="D2968" t="s">
        <v>666</v>
      </c>
      <c r="E2968" t="s">
        <v>666</v>
      </c>
      <c r="F2968" s="705">
        <v>6</v>
      </c>
      <c r="G2968" s="705">
        <v>647</v>
      </c>
      <c r="H2968" s="705">
        <v>1698</v>
      </c>
      <c r="I2968" s="705">
        <v>131201</v>
      </c>
      <c r="J2968" s="705">
        <v>119273</v>
      </c>
      <c r="K2968" s="705">
        <v>63</v>
      </c>
      <c r="L2968" s="705">
        <v>14403</v>
      </c>
      <c r="M2968" s="705">
        <v>10926</v>
      </c>
      <c r="N2968" s="705">
        <v>11620</v>
      </c>
      <c r="O2968" s="705">
        <v>4304</v>
      </c>
      <c r="P2968" s="705">
        <v>2376</v>
      </c>
      <c r="Q2968" s="705">
        <v>880</v>
      </c>
      <c r="R2968" s="705">
        <v>30704</v>
      </c>
      <c r="S2968" s="705">
        <v>27913</v>
      </c>
      <c r="T2968" s="705">
        <v>12084</v>
      </c>
      <c r="U2968" s="705">
        <v>4476</v>
      </c>
      <c r="V2968" s="705">
        <v>167772</v>
      </c>
      <c r="W2968" s="705">
        <f t="shared" si="116"/>
        <v>167772</v>
      </c>
      <c r="X2968" s="705">
        <f t="shared" si="117"/>
        <v>202388</v>
      </c>
    </row>
    <row r="2969" spans="2:24">
      <c r="B2969" t="s">
        <v>556</v>
      </c>
      <c r="C2969" t="s">
        <v>118</v>
      </c>
      <c r="D2969" t="s">
        <v>584</v>
      </c>
      <c r="E2969" t="s">
        <v>583</v>
      </c>
      <c r="F2969" s="705">
        <v>2</v>
      </c>
      <c r="G2969" s="705">
        <v>207</v>
      </c>
      <c r="H2969" s="705">
        <v>473</v>
      </c>
      <c r="I2969" s="705">
        <v>26853</v>
      </c>
      <c r="J2969" s="705">
        <v>24412</v>
      </c>
      <c r="K2969" s="705">
        <v>79</v>
      </c>
      <c r="L2969" s="705">
        <v>5774</v>
      </c>
      <c r="M2969" s="705">
        <v>4988</v>
      </c>
      <c r="N2969" s="705">
        <v>2959</v>
      </c>
      <c r="O2969" s="705">
        <v>1096</v>
      </c>
      <c r="P2969" s="705">
        <v>945</v>
      </c>
      <c r="Q2969" s="705">
        <v>350</v>
      </c>
      <c r="R2969" s="705">
        <v>7408</v>
      </c>
      <c r="S2969" s="705">
        <v>6734</v>
      </c>
      <c r="T2969" s="705">
        <v>5079</v>
      </c>
      <c r="U2969" s="705">
        <v>1881</v>
      </c>
      <c r="V2969" s="705">
        <v>39462</v>
      </c>
      <c r="W2969" s="705">
        <f t="shared" si="116"/>
        <v>39461</v>
      </c>
      <c r="X2969" s="705">
        <f t="shared" si="117"/>
        <v>49018</v>
      </c>
    </row>
    <row r="2970" spans="2:24">
      <c r="B2970" t="s">
        <v>556</v>
      </c>
      <c r="C2970" t="s">
        <v>118</v>
      </c>
      <c r="D2970" t="s">
        <v>584</v>
      </c>
      <c r="E2970" t="s">
        <v>584</v>
      </c>
      <c r="F2970" s="705">
        <v>328</v>
      </c>
      <c r="G2970" s="705">
        <v>37291</v>
      </c>
      <c r="H2970" s="705">
        <v>85176</v>
      </c>
      <c r="I2970" s="705">
        <v>5426647</v>
      </c>
      <c r="J2970" s="705">
        <v>4933316</v>
      </c>
      <c r="K2970" s="705">
        <v>79</v>
      </c>
      <c r="L2970" s="705">
        <v>1300918</v>
      </c>
      <c r="M2970" s="705">
        <v>1140338</v>
      </c>
      <c r="N2970" s="705">
        <v>711904</v>
      </c>
      <c r="O2970" s="705">
        <v>263668</v>
      </c>
      <c r="P2970" s="705">
        <v>155237</v>
      </c>
      <c r="Q2970" s="705">
        <v>57495</v>
      </c>
      <c r="R2970" s="705">
        <v>1558244</v>
      </c>
      <c r="S2970" s="705">
        <v>1416585</v>
      </c>
      <c r="T2970" s="705">
        <v>523831</v>
      </c>
      <c r="U2970" s="705">
        <v>194011</v>
      </c>
      <c r="V2970" s="705">
        <v>8005413</v>
      </c>
      <c r="W2970" s="705">
        <f t="shared" si="116"/>
        <v>8005413</v>
      </c>
      <c r="X2970" s="705">
        <f t="shared" si="117"/>
        <v>9676781</v>
      </c>
    </row>
    <row r="2971" spans="2:24">
      <c r="B2971" t="s">
        <v>556</v>
      </c>
      <c r="C2971" t="s">
        <v>118</v>
      </c>
      <c r="D2971" t="s">
        <v>584</v>
      </c>
      <c r="E2971" t="s">
        <v>669</v>
      </c>
      <c r="F2971" s="705">
        <v>1</v>
      </c>
      <c r="G2971" s="705">
        <v>141</v>
      </c>
      <c r="H2971" s="705">
        <v>297</v>
      </c>
      <c r="I2971" s="705">
        <v>24394</v>
      </c>
      <c r="J2971" s="705">
        <v>22176</v>
      </c>
      <c r="K2971" s="705">
        <v>77</v>
      </c>
      <c r="L2971" s="705">
        <v>6622</v>
      </c>
      <c r="M2971" s="705">
        <v>6020</v>
      </c>
      <c r="N2971" s="705">
        <v>3373</v>
      </c>
      <c r="O2971" s="705">
        <v>1249</v>
      </c>
      <c r="P2971" s="705">
        <v>473</v>
      </c>
      <c r="Q2971" s="705">
        <v>175</v>
      </c>
      <c r="R2971" s="705">
        <v>4375</v>
      </c>
      <c r="S2971" s="705">
        <v>3646</v>
      </c>
      <c r="T2971" s="705">
        <v>2469</v>
      </c>
      <c r="U2971" s="705">
        <v>914</v>
      </c>
      <c r="V2971" s="705">
        <v>34180</v>
      </c>
      <c r="W2971" s="705">
        <f t="shared" si="116"/>
        <v>34180</v>
      </c>
      <c r="X2971" s="705">
        <f t="shared" si="117"/>
        <v>41706</v>
      </c>
    </row>
    <row r="2972" spans="2:24">
      <c r="B2972" t="s">
        <v>556</v>
      </c>
      <c r="C2972" t="s">
        <v>118</v>
      </c>
      <c r="D2972" t="s">
        <v>669</v>
      </c>
      <c r="E2972" t="s">
        <v>669</v>
      </c>
      <c r="F2972" s="705">
        <v>5</v>
      </c>
      <c r="G2972" s="705">
        <v>682</v>
      </c>
      <c r="H2972" s="705">
        <v>1426</v>
      </c>
      <c r="I2972" s="705">
        <v>137001</v>
      </c>
      <c r="J2972" s="705">
        <v>114167</v>
      </c>
      <c r="K2972" s="705">
        <v>64</v>
      </c>
      <c r="L2972" s="705">
        <v>14893</v>
      </c>
      <c r="M2972" s="705">
        <v>12601</v>
      </c>
      <c r="N2972" s="705">
        <v>14076</v>
      </c>
      <c r="O2972" s="705">
        <v>5213</v>
      </c>
      <c r="P2972" s="705">
        <v>2025</v>
      </c>
      <c r="Q2972" s="705">
        <v>750</v>
      </c>
      <c r="R2972" s="705">
        <v>29588</v>
      </c>
      <c r="S2972" s="705">
        <v>24657</v>
      </c>
      <c r="T2972" s="705">
        <v>15299</v>
      </c>
      <c r="U2972" s="705">
        <v>5666</v>
      </c>
      <c r="V2972" s="705">
        <v>163055</v>
      </c>
      <c r="W2972" s="705">
        <f t="shared" si="116"/>
        <v>163054</v>
      </c>
      <c r="X2972" s="705">
        <f t="shared" si="117"/>
        <v>212882</v>
      </c>
    </row>
    <row r="2973" spans="2:24">
      <c r="B2973" t="s">
        <v>556</v>
      </c>
      <c r="C2973" t="s">
        <v>118</v>
      </c>
      <c r="D2973" t="s">
        <v>665</v>
      </c>
      <c r="E2973" t="s">
        <v>665</v>
      </c>
      <c r="F2973" s="705">
        <v>25</v>
      </c>
      <c r="G2973" s="705">
        <v>3043</v>
      </c>
      <c r="H2973" s="705">
        <v>6811</v>
      </c>
      <c r="I2973" s="705">
        <v>533279</v>
      </c>
      <c r="J2973" s="705">
        <v>484799</v>
      </c>
      <c r="K2973" s="705">
        <v>64</v>
      </c>
      <c r="L2973" s="705">
        <v>47885</v>
      </c>
      <c r="M2973" s="705">
        <v>43149</v>
      </c>
      <c r="N2973" s="705">
        <v>57513</v>
      </c>
      <c r="O2973" s="705">
        <v>21301</v>
      </c>
      <c r="P2973" s="705">
        <v>10058</v>
      </c>
      <c r="Q2973" s="705">
        <v>3725</v>
      </c>
      <c r="R2973" s="705">
        <v>118774</v>
      </c>
      <c r="S2973" s="705">
        <v>107976</v>
      </c>
      <c r="T2973" s="705">
        <v>66665</v>
      </c>
      <c r="U2973" s="705">
        <v>24691</v>
      </c>
      <c r="V2973" s="705">
        <v>685642</v>
      </c>
      <c r="W2973" s="705">
        <f t="shared" si="116"/>
        <v>685641</v>
      </c>
      <c r="X2973" s="705">
        <f t="shared" si="117"/>
        <v>834174</v>
      </c>
    </row>
    <row r="2974" spans="2:24">
      <c r="B2974" t="s">
        <v>556</v>
      </c>
      <c r="C2974" t="s">
        <v>118</v>
      </c>
      <c r="D2974" t="s">
        <v>673</v>
      </c>
      <c r="E2974" t="s">
        <v>673</v>
      </c>
      <c r="F2974" s="705">
        <v>3</v>
      </c>
      <c r="G2974" s="705">
        <v>297</v>
      </c>
      <c r="H2974" s="705">
        <v>810</v>
      </c>
      <c r="I2974" s="705">
        <v>52742</v>
      </c>
      <c r="J2974" s="705">
        <v>47948</v>
      </c>
      <c r="K2974" s="705">
        <v>68</v>
      </c>
      <c r="L2974" s="705">
        <v>3819</v>
      </c>
      <c r="M2974" s="705">
        <v>1414</v>
      </c>
      <c r="N2974" s="705">
        <v>3620</v>
      </c>
      <c r="O2974" s="705">
        <v>1341</v>
      </c>
      <c r="P2974" s="705">
        <v>1053</v>
      </c>
      <c r="Q2974" s="705">
        <v>390</v>
      </c>
      <c r="R2974" s="705">
        <v>12015</v>
      </c>
      <c r="S2974" s="705">
        <v>10923</v>
      </c>
      <c r="T2974" s="705">
        <v>7320</v>
      </c>
      <c r="U2974" s="705">
        <v>2711</v>
      </c>
      <c r="V2974" s="705">
        <v>64727</v>
      </c>
      <c r="W2974" s="705">
        <f t="shared" si="116"/>
        <v>64727</v>
      </c>
      <c r="X2974" s="705">
        <f t="shared" si="117"/>
        <v>80569</v>
      </c>
    </row>
    <row r="2975" spans="2:24">
      <c r="B2975" t="s">
        <v>556</v>
      </c>
      <c r="C2975" t="s">
        <v>118</v>
      </c>
      <c r="D2975" t="s">
        <v>585</v>
      </c>
      <c r="E2975" t="s">
        <v>585</v>
      </c>
      <c r="F2975" s="705">
        <v>2</v>
      </c>
      <c r="G2975" s="705">
        <v>241</v>
      </c>
      <c r="H2975" s="705">
        <v>477</v>
      </c>
      <c r="I2975" s="705">
        <v>45993</v>
      </c>
      <c r="J2975" s="705">
        <v>41812</v>
      </c>
      <c r="K2975" s="705">
        <v>63</v>
      </c>
      <c r="L2975" s="705">
        <v>6244</v>
      </c>
      <c r="M2975" s="705">
        <v>3884</v>
      </c>
      <c r="N2975" s="705">
        <v>4388</v>
      </c>
      <c r="O2975" s="705">
        <v>1625</v>
      </c>
      <c r="P2975" s="705">
        <v>702</v>
      </c>
      <c r="Q2975" s="705">
        <v>260</v>
      </c>
      <c r="R2975" s="705">
        <v>11814</v>
      </c>
      <c r="S2975" s="705">
        <v>10740</v>
      </c>
      <c r="T2975" s="705">
        <v>2256</v>
      </c>
      <c r="U2975" s="705">
        <v>836</v>
      </c>
      <c r="V2975" s="705">
        <v>59157</v>
      </c>
      <c r="W2975" s="705">
        <f t="shared" si="116"/>
        <v>59157</v>
      </c>
      <c r="X2975" s="705">
        <f t="shared" si="117"/>
        <v>71397</v>
      </c>
    </row>
    <row r="2976" spans="2:24">
      <c r="B2976" t="s">
        <v>556</v>
      </c>
      <c r="C2976" t="s">
        <v>120</v>
      </c>
      <c r="F2976" s="705">
        <v>1</v>
      </c>
      <c r="G2976" s="705">
        <v>131</v>
      </c>
      <c r="H2976" s="705">
        <v>371</v>
      </c>
      <c r="I2976" s="705"/>
      <c r="J2976" s="705">
        <v>0</v>
      </c>
      <c r="K2976" s="705"/>
      <c r="L2976" s="705"/>
      <c r="M2976" s="705">
        <v>0</v>
      </c>
      <c r="N2976" s="705">
        <v>1994</v>
      </c>
      <c r="O2976" s="705">
        <v>738</v>
      </c>
      <c r="P2976" s="705">
        <v>621</v>
      </c>
      <c r="Q2976" s="705">
        <v>230</v>
      </c>
      <c r="R2976" s="705"/>
      <c r="S2976" s="705">
        <v>0</v>
      </c>
      <c r="T2976" s="705">
        <v>0</v>
      </c>
      <c r="U2976" s="705">
        <v>0</v>
      </c>
      <c r="V2976" s="705">
        <v>968</v>
      </c>
      <c r="W2976" s="705">
        <f t="shared" si="116"/>
        <v>968</v>
      </c>
      <c r="X2976" s="705">
        <f t="shared" si="117"/>
        <v>2615</v>
      </c>
    </row>
    <row r="2977" spans="2:24">
      <c r="B2977" t="s">
        <v>556</v>
      </c>
      <c r="C2977" t="s">
        <v>120</v>
      </c>
      <c r="D2977" t="s">
        <v>674</v>
      </c>
      <c r="E2977" t="s">
        <v>674</v>
      </c>
      <c r="F2977" s="705">
        <v>1</v>
      </c>
      <c r="G2977" s="705">
        <v>132</v>
      </c>
      <c r="H2977" s="705">
        <v>357</v>
      </c>
      <c r="I2977" s="705">
        <v>27855</v>
      </c>
      <c r="J2977" s="705">
        <v>25323</v>
      </c>
      <c r="K2977" s="705">
        <v>72</v>
      </c>
      <c r="L2977" s="705">
        <v>7469</v>
      </c>
      <c r="M2977" s="705">
        <v>6790</v>
      </c>
      <c r="N2977" s="705">
        <v>2772</v>
      </c>
      <c r="O2977" s="705">
        <v>1027</v>
      </c>
      <c r="P2977" s="705">
        <v>351</v>
      </c>
      <c r="Q2977" s="705">
        <v>130</v>
      </c>
      <c r="R2977" s="705">
        <v>5278</v>
      </c>
      <c r="S2977" s="705">
        <v>4798</v>
      </c>
      <c r="T2977" s="705">
        <v>3533</v>
      </c>
      <c r="U2977" s="705">
        <v>1308</v>
      </c>
      <c r="V2977" s="705">
        <v>39376</v>
      </c>
      <c r="W2977" s="705">
        <f t="shared" si="116"/>
        <v>39376</v>
      </c>
      <c r="X2977" s="705">
        <f t="shared" si="117"/>
        <v>47258</v>
      </c>
    </row>
    <row r="2978" spans="2:24">
      <c r="B2978" t="s">
        <v>556</v>
      </c>
      <c r="C2978" t="s">
        <v>120</v>
      </c>
      <c r="D2978" t="s">
        <v>664</v>
      </c>
      <c r="E2978" t="s">
        <v>664</v>
      </c>
      <c r="F2978" s="705">
        <v>3</v>
      </c>
      <c r="G2978" s="705">
        <v>327</v>
      </c>
      <c r="H2978" s="705">
        <v>1007</v>
      </c>
      <c r="I2978" s="705">
        <v>81951</v>
      </c>
      <c r="J2978" s="705">
        <v>74501</v>
      </c>
      <c r="K2978" s="705">
        <v>74</v>
      </c>
      <c r="L2978" s="705">
        <v>15054</v>
      </c>
      <c r="M2978" s="705">
        <v>10706</v>
      </c>
      <c r="N2978" s="705">
        <v>8073</v>
      </c>
      <c r="O2978" s="705">
        <v>2990</v>
      </c>
      <c r="P2978" s="705">
        <v>1418</v>
      </c>
      <c r="Q2978" s="705">
        <v>525</v>
      </c>
      <c r="R2978" s="705">
        <v>17909</v>
      </c>
      <c r="S2978" s="705">
        <v>16280</v>
      </c>
      <c r="T2978" s="705">
        <v>0</v>
      </c>
      <c r="U2978" s="705">
        <v>0</v>
      </c>
      <c r="V2978" s="705">
        <v>105003</v>
      </c>
      <c r="W2978" s="705">
        <f t="shared" si="116"/>
        <v>105002</v>
      </c>
      <c r="X2978" s="705">
        <f t="shared" si="117"/>
        <v>124405</v>
      </c>
    </row>
    <row r="2979" spans="2:24">
      <c r="B2979" t="s">
        <v>556</v>
      </c>
      <c r="C2979" t="s">
        <v>120</v>
      </c>
      <c r="D2979" t="s">
        <v>582</v>
      </c>
      <c r="E2979" t="s">
        <v>582</v>
      </c>
      <c r="F2979" s="705">
        <v>7</v>
      </c>
      <c r="G2979" s="705">
        <v>725</v>
      </c>
      <c r="H2979" s="705">
        <v>2436</v>
      </c>
      <c r="I2979" s="705">
        <v>154674</v>
      </c>
      <c r="J2979" s="705">
        <v>140612</v>
      </c>
      <c r="K2979" s="705">
        <v>73</v>
      </c>
      <c r="L2979" s="705">
        <v>31578</v>
      </c>
      <c r="M2979" s="705">
        <v>27206</v>
      </c>
      <c r="N2979" s="705">
        <v>16744</v>
      </c>
      <c r="O2979" s="705">
        <v>6202</v>
      </c>
      <c r="P2979" s="705">
        <v>3578</v>
      </c>
      <c r="Q2979" s="705">
        <v>1325</v>
      </c>
      <c r="R2979" s="705">
        <v>41146</v>
      </c>
      <c r="S2979" s="705">
        <v>37405</v>
      </c>
      <c r="T2979" s="705">
        <v>5164</v>
      </c>
      <c r="U2979" s="705">
        <v>1913</v>
      </c>
      <c r="V2979" s="705">
        <v>214663</v>
      </c>
      <c r="W2979" s="705">
        <f t="shared" si="116"/>
        <v>214663</v>
      </c>
      <c r="X2979" s="705">
        <f t="shared" si="117"/>
        <v>252884</v>
      </c>
    </row>
    <row r="2980" spans="2:24">
      <c r="B2980" t="s">
        <v>556</v>
      </c>
      <c r="C2980" t="s">
        <v>120</v>
      </c>
      <c r="D2980" t="s">
        <v>228</v>
      </c>
      <c r="E2980" t="s">
        <v>228</v>
      </c>
      <c r="F2980" s="705">
        <v>32</v>
      </c>
      <c r="G2980" s="705">
        <v>3909</v>
      </c>
      <c r="H2980" s="705">
        <v>10783</v>
      </c>
      <c r="I2980" s="705">
        <v>838932</v>
      </c>
      <c r="J2980" s="705">
        <v>310716</v>
      </c>
      <c r="K2980" s="705">
        <v>100</v>
      </c>
      <c r="L2980" s="705">
        <v>150681</v>
      </c>
      <c r="M2980" s="705">
        <v>117526</v>
      </c>
      <c r="N2980" s="705">
        <v>80279</v>
      </c>
      <c r="O2980" s="705">
        <v>29733</v>
      </c>
      <c r="P2980" s="705">
        <v>0</v>
      </c>
      <c r="Q2980" s="705">
        <v>0</v>
      </c>
      <c r="R2980" s="705">
        <v>254538</v>
      </c>
      <c r="S2980" s="705">
        <v>94273</v>
      </c>
      <c r="T2980" s="705">
        <v>0</v>
      </c>
      <c r="U2980" s="705">
        <v>0</v>
      </c>
      <c r="V2980" s="705">
        <v>552248</v>
      </c>
      <c r="W2980" s="705">
        <f t="shared" si="116"/>
        <v>552248</v>
      </c>
      <c r="X2980" s="705">
        <f t="shared" si="117"/>
        <v>1324430</v>
      </c>
    </row>
    <row r="2981" spans="2:24">
      <c r="B2981" t="s">
        <v>556</v>
      </c>
      <c r="C2981" t="s">
        <v>120</v>
      </c>
      <c r="D2981" t="s">
        <v>583</v>
      </c>
      <c r="E2981" t="s">
        <v>664</v>
      </c>
      <c r="F2981" s="705">
        <v>3</v>
      </c>
      <c r="G2981" s="705">
        <v>363</v>
      </c>
      <c r="H2981" s="705">
        <v>959</v>
      </c>
      <c r="I2981" s="705">
        <v>71654</v>
      </c>
      <c r="J2981" s="705">
        <v>65140</v>
      </c>
      <c r="K2981" s="705">
        <v>77</v>
      </c>
      <c r="L2981" s="705">
        <v>11703</v>
      </c>
      <c r="M2981" s="705">
        <v>10639</v>
      </c>
      <c r="N2981" s="705">
        <v>7375</v>
      </c>
      <c r="O2981" s="705">
        <v>2731</v>
      </c>
      <c r="P2981" s="705">
        <v>1863</v>
      </c>
      <c r="Q2981" s="705">
        <v>690</v>
      </c>
      <c r="R2981" s="705">
        <v>19905</v>
      </c>
      <c r="S2981" s="705">
        <v>18096</v>
      </c>
      <c r="T2981" s="705">
        <v>2886</v>
      </c>
      <c r="U2981" s="705">
        <v>1069</v>
      </c>
      <c r="V2981" s="705">
        <v>98365</v>
      </c>
      <c r="W2981" s="705">
        <f t="shared" si="116"/>
        <v>98365</v>
      </c>
      <c r="X2981" s="705">
        <f t="shared" si="117"/>
        <v>115386</v>
      </c>
    </row>
    <row r="2982" spans="2:24">
      <c r="B2982" t="s">
        <v>556</v>
      </c>
      <c r="C2982" t="s">
        <v>120</v>
      </c>
      <c r="D2982" t="s">
        <v>583</v>
      </c>
      <c r="E2982" t="s">
        <v>228</v>
      </c>
      <c r="F2982" s="705">
        <v>8</v>
      </c>
      <c r="G2982" s="705">
        <v>1151</v>
      </c>
      <c r="H2982" s="705">
        <v>2656</v>
      </c>
      <c r="I2982" s="705">
        <v>227714</v>
      </c>
      <c r="J2982" s="705">
        <v>207013</v>
      </c>
      <c r="K2982" s="705">
        <v>85</v>
      </c>
      <c r="L2982" s="705">
        <v>57921</v>
      </c>
      <c r="M2982" s="705">
        <v>52656</v>
      </c>
      <c r="N2982" s="705">
        <v>26144</v>
      </c>
      <c r="O2982" s="705">
        <v>9683</v>
      </c>
      <c r="P2982" s="705">
        <v>4968</v>
      </c>
      <c r="Q2982" s="705">
        <v>1840</v>
      </c>
      <c r="R2982" s="705">
        <v>61531</v>
      </c>
      <c r="S2982" s="705">
        <v>22789</v>
      </c>
      <c r="T2982" s="705">
        <v>0</v>
      </c>
      <c r="U2982" s="705">
        <v>0</v>
      </c>
      <c r="V2982" s="705">
        <v>293981</v>
      </c>
      <c r="W2982" s="705">
        <f t="shared" si="116"/>
        <v>293981</v>
      </c>
      <c r="X2982" s="705">
        <f t="shared" si="117"/>
        <v>378278</v>
      </c>
    </row>
    <row r="2983" spans="2:24">
      <c r="B2983" t="s">
        <v>556</v>
      </c>
      <c r="C2983" t="s">
        <v>120</v>
      </c>
      <c r="D2983" t="s">
        <v>583</v>
      </c>
      <c r="E2983" t="s">
        <v>583</v>
      </c>
      <c r="F2983" s="705">
        <v>440</v>
      </c>
      <c r="G2983" s="705">
        <v>52619</v>
      </c>
      <c r="H2983" s="705">
        <v>149429</v>
      </c>
      <c r="I2983" s="705">
        <v>11466678</v>
      </c>
      <c r="J2983" s="705">
        <v>10424253</v>
      </c>
      <c r="K2983" s="705">
        <v>77</v>
      </c>
      <c r="L2983" s="705">
        <v>2276142</v>
      </c>
      <c r="M2983" s="705">
        <v>2032032</v>
      </c>
      <c r="N2983" s="705">
        <v>1084005</v>
      </c>
      <c r="O2983" s="705">
        <v>401483</v>
      </c>
      <c r="P2983" s="705">
        <v>286894</v>
      </c>
      <c r="Q2983" s="705">
        <v>106257</v>
      </c>
      <c r="R2983" s="705">
        <v>2280613</v>
      </c>
      <c r="S2983" s="705">
        <v>2073285</v>
      </c>
      <c r="T2983" s="705">
        <v>723705</v>
      </c>
      <c r="U2983" s="705">
        <v>268039</v>
      </c>
      <c r="V2983" s="705">
        <v>15305349</v>
      </c>
      <c r="W2983" s="705">
        <f t="shared" si="116"/>
        <v>15305349</v>
      </c>
      <c r="X2983" s="705">
        <f t="shared" si="117"/>
        <v>18118037</v>
      </c>
    </row>
    <row r="2984" spans="2:24">
      <c r="B2984" t="s">
        <v>556</v>
      </c>
      <c r="C2984" t="s">
        <v>120</v>
      </c>
      <c r="D2984" t="s">
        <v>583</v>
      </c>
      <c r="E2984" t="s">
        <v>584</v>
      </c>
      <c r="F2984" s="705">
        <v>1</v>
      </c>
      <c r="G2984" s="705">
        <v>126</v>
      </c>
      <c r="H2984" s="705">
        <v>328</v>
      </c>
      <c r="I2984" s="705">
        <v>24981</v>
      </c>
      <c r="J2984" s="705">
        <v>22710</v>
      </c>
      <c r="K2984" s="705">
        <v>70</v>
      </c>
      <c r="L2984" s="705">
        <v>4614</v>
      </c>
      <c r="M2984" s="705">
        <v>4195</v>
      </c>
      <c r="N2984" s="705">
        <v>2795</v>
      </c>
      <c r="O2984" s="705">
        <v>1035</v>
      </c>
      <c r="P2984" s="705">
        <v>621</v>
      </c>
      <c r="Q2984" s="705">
        <v>230</v>
      </c>
      <c r="R2984" s="705">
        <v>5212</v>
      </c>
      <c r="S2984" s="705">
        <v>4738</v>
      </c>
      <c r="T2984" s="705">
        <v>3103</v>
      </c>
      <c r="U2984" s="705">
        <v>1149</v>
      </c>
      <c r="V2984" s="705">
        <v>34057</v>
      </c>
      <c r="W2984" s="705">
        <f t="shared" si="116"/>
        <v>34057</v>
      </c>
      <c r="X2984" s="705">
        <f t="shared" si="117"/>
        <v>41326</v>
      </c>
    </row>
    <row r="2985" spans="2:24">
      <c r="B2985" t="s">
        <v>556</v>
      </c>
      <c r="C2985" t="s">
        <v>120</v>
      </c>
      <c r="D2985" t="s">
        <v>666</v>
      </c>
      <c r="E2985" t="s">
        <v>583</v>
      </c>
      <c r="F2985" s="705">
        <v>1</v>
      </c>
      <c r="G2985" s="705">
        <v>97</v>
      </c>
      <c r="H2985" s="705">
        <v>336</v>
      </c>
      <c r="I2985" s="705">
        <v>18325</v>
      </c>
      <c r="J2985" s="705">
        <v>16659</v>
      </c>
      <c r="K2985" s="705">
        <v>79</v>
      </c>
      <c r="L2985" s="705">
        <v>5090</v>
      </c>
      <c r="M2985" s="705">
        <v>4627</v>
      </c>
      <c r="N2985" s="705">
        <v>2229</v>
      </c>
      <c r="O2985" s="705">
        <v>825</v>
      </c>
      <c r="P2985" s="705">
        <v>621</v>
      </c>
      <c r="Q2985" s="705">
        <v>230</v>
      </c>
      <c r="R2985" s="705">
        <v>6458</v>
      </c>
      <c r="S2985" s="705">
        <v>5870</v>
      </c>
      <c r="T2985" s="705">
        <v>0</v>
      </c>
      <c r="U2985" s="705">
        <v>0</v>
      </c>
      <c r="V2985" s="705">
        <v>28212</v>
      </c>
      <c r="W2985" s="705">
        <f t="shared" si="116"/>
        <v>28211</v>
      </c>
      <c r="X2985" s="705">
        <f t="shared" si="117"/>
        <v>32723</v>
      </c>
    </row>
    <row r="2986" spans="2:24">
      <c r="B2986" t="s">
        <v>556</v>
      </c>
      <c r="C2986" t="s">
        <v>120</v>
      </c>
      <c r="D2986" t="s">
        <v>666</v>
      </c>
      <c r="E2986" t="s">
        <v>666</v>
      </c>
      <c r="F2986" s="705">
        <v>6</v>
      </c>
      <c r="G2986" s="705">
        <v>681</v>
      </c>
      <c r="H2986" s="705">
        <v>2126</v>
      </c>
      <c r="I2986" s="705">
        <v>150854</v>
      </c>
      <c r="J2986" s="705">
        <v>137140</v>
      </c>
      <c r="K2986" s="705">
        <v>58</v>
      </c>
      <c r="L2986" s="705">
        <v>25141</v>
      </c>
      <c r="M2986" s="705">
        <v>19216</v>
      </c>
      <c r="N2986" s="705">
        <v>13206</v>
      </c>
      <c r="O2986" s="705">
        <v>4891</v>
      </c>
      <c r="P2986" s="705">
        <v>2376</v>
      </c>
      <c r="Q2986" s="705">
        <v>880</v>
      </c>
      <c r="R2986" s="705">
        <v>32674</v>
      </c>
      <c r="S2986" s="705">
        <v>29703</v>
      </c>
      <c r="T2986" s="705">
        <v>17542</v>
      </c>
      <c r="U2986" s="705">
        <v>6497</v>
      </c>
      <c r="V2986" s="705">
        <v>198328</v>
      </c>
      <c r="W2986" s="705">
        <f t="shared" si="116"/>
        <v>198327</v>
      </c>
      <c r="X2986" s="705">
        <f t="shared" si="117"/>
        <v>241793</v>
      </c>
    </row>
    <row r="2987" spans="2:24">
      <c r="B2987" t="s">
        <v>556</v>
      </c>
      <c r="C2987" t="s">
        <v>120</v>
      </c>
      <c r="D2987" t="s">
        <v>584</v>
      </c>
      <c r="E2987" t="s">
        <v>584</v>
      </c>
      <c r="F2987" s="705">
        <v>58</v>
      </c>
      <c r="G2987" s="705">
        <v>6581</v>
      </c>
      <c r="H2987" s="705">
        <v>19350</v>
      </c>
      <c r="I2987" s="705">
        <v>1345265</v>
      </c>
      <c r="J2987" s="705">
        <v>1222968</v>
      </c>
      <c r="K2987" s="705">
        <v>79</v>
      </c>
      <c r="L2987" s="705">
        <v>334896</v>
      </c>
      <c r="M2987" s="705">
        <v>294363</v>
      </c>
      <c r="N2987" s="705">
        <v>130534</v>
      </c>
      <c r="O2987" s="705">
        <v>48346</v>
      </c>
      <c r="P2987" s="705">
        <v>27756</v>
      </c>
      <c r="Q2987" s="705">
        <v>10280</v>
      </c>
      <c r="R2987" s="705">
        <v>278088</v>
      </c>
      <c r="S2987" s="705">
        <v>252807</v>
      </c>
      <c r="T2987" s="705">
        <v>91173</v>
      </c>
      <c r="U2987" s="705">
        <v>33768</v>
      </c>
      <c r="V2987" s="705">
        <v>1862532</v>
      </c>
      <c r="W2987" s="705">
        <f t="shared" si="116"/>
        <v>1862532</v>
      </c>
      <c r="X2987" s="705">
        <f t="shared" si="117"/>
        <v>2207712</v>
      </c>
    </row>
    <row r="2988" spans="2:24">
      <c r="B2988" t="s">
        <v>556</v>
      </c>
      <c r="C2988" t="s">
        <v>120</v>
      </c>
      <c r="D2988" t="s">
        <v>669</v>
      </c>
      <c r="E2988" t="s">
        <v>669</v>
      </c>
      <c r="F2988" s="705">
        <v>6</v>
      </c>
      <c r="G2988" s="705">
        <v>743</v>
      </c>
      <c r="H2988" s="705">
        <v>2117</v>
      </c>
      <c r="I2988" s="705">
        <v>167331</v>
      </c>
      <c r="J2988" s="705">
        <v>139443</v>
      </c>
      <c r="K2988" s="705">
        <v>59</v>
      </c>
      <c r="L2988" s="705">
        <v>19087</v>
      </c>
      <c r="M2988" s="705">
        <v>16380</v>
      </c>
      <c r="N2988" s="705">
        <v>15129</v>
      </c>
      <c r="O2988" s="705">
        <v>5603</v>
      </c>
      <c r="P2988" s="705">
        <v>2646</v>
      </c>
      <c r="Q2988" s="705">
        <v>980</v>
      </c>
      <c r="R2988" s="705">
        <v>34790</v>
      </c>
      <c r="S2988" s="705">
        <v>28992</v>
      </c>
      <c r="T2988" s="705">
        <v>16226</v>
      </c>
      <c r="U2988" s="705">
        <v>6010</v>
      </c>
      <c r="V2988" s="705">
        <v>197407</v>
      </c>
      <c r="W2988" s="705">
        <f t="shared" ref="W2988:W3051" si="118">SUM(ABS(J2988),ABS(M2988),ABS(O2988),ABS(Q2988),ABS(S2988),ABS(U2988))</f>
        <v>197408</v>
      </c>
      <c r="X2988" s="705">
        <f t="shared" ref="X2988:X3051" si="119">SUM(ABS(I2988),ABS(N2988),ABS(P2988),ABS(R2988),ABS(T2988),ABS(L2988))</f>
        <v>255209</v>
      </c>
    </row>
    <row r="2989" spans="2:24">
      <c r="B2989" t="s">
        <v>556</v>
      </c>
      <c r="C2989" t="s">
        <v>120</v>
      </c>
      <c r="D2989" t="s">
        <v>665</v>
      </c>
      <c r="E2989" t="s">
        <v>665</v>
      </c>
      <c r="F2989" s="705">
        <v>19</v>
      </c>
      <c r="G2989" s="705">
        <v>2008</v>
      </c>
      <c r="H2989" s="705">
        <v>6540</v>
      </c>
      <c r="I2989" s="705">
        <v>476469</v>
      </c>
      <c r="J2989" s="705">
        <v>433154</v>
      </c>
      <c r="K2989" s="705">
        <v>62</v>
      </c>
      <c r="L2989" s="705">
        <v>56191</v>
      </c>
      <c r="M2989" s="705">
        <v>48792</v>
      </c>
      <c r="N2989" s="705">
        <v>38227</v>
      </c>
      <c r="O2989" s="705">
        <v>14158</v>
      </c>
      <c r="P2989" s="705">
        <v>6939</v>
      </c>
      <c r="Q2989" s="705">
        <v>2570</v>
      </c>
      <c r="R2989" s="705">
        <v>87114</v>
      </c>
      <c r="S2989" s="705">
        <v>79194</v>
      </c>
      <c r="T2989" s="705">
        <v>43328</v>
      </c>
      <c r="U2989" s="705">
        <v>16047</v>
      </c>
      <c r="V2989" s="705">
        <v>593916</v>
      </c>
      <c r="W2989" s="705">
        <f t="shared" si="118"/>
        <v>593915</v>
      </c>
      <c r="X2989" s="705">
        <f t="shared" si="119"/>
        <v>708268</v>
      </c>
    </row>
    <row r="2990" spans="2:24">
      <c r="B2990" t="s">
        <v>556</v>
      </c>
      <c r="C2990" t="s">
        <v>120</v>
      </c>
      <c r="D2990" t="s">
        <v>585</v>
      </c>
      <c r="E2990" t="s">
        <v>585</v>
      </c>
      <c r="F2990" s="705">
        <v>2</v>
      </c>
      <c r="G2990" s="705">
        <v>267</v>
      </c>
      <c r="H2990" s="705">
        <v>700</v>
      </c>
      <c r="I2990" s="705">
        <v>65449</v>
      </c>
      <c r="J2990" s="705">
        <v>59500</v>
      </c>
      <c r="K2990" s="705">
        <v>73</v>
      </c>
      <c r="L2990" s="705">
        <v>9556</v>
      </c>
      <c r="M2990" s="705">
        <v>8687</v>
      </c>
      <c r="N2990" s="705">
        <v>5475</v>
      </c>
      <c r="O2990" s="705">
        <v>2028</v>
      </c>
      <c r="P2990" s="705">
        <v>702</v>
      </c>
      <c r="Q2990" s="705">
        <v>260</v>
      </c>
      <c r="R2990" s="705">
        <v>12021</v>
      </c>
      <c r="S2990" s="705">
        <v>10928</v>
      </c>
      <c r="T2990" s="705">
        <v>0</v>
      </c>
      <c r="U2990" s="705">
        <v>0</v>
      </c>
      <c r="V2990" s="705">
        <v>81402</v>
      </c>
      <c r="W2990" s="705">
        <f t="shared" si="118"/>
        <v>81403</v>
      </c>
      <c r="X2990" s="705">
        <f t="shared" si="119"/>
        <v>93203</v>
      </c>
    </row>
    <row r="2991" spans="2:24">
      <c r="B2991" t="s">
        <v>556</v>
      </c>
      <c r="C2991" t="s">
        <v>122</v>
      </c>
      <c r="D2991" t="s">
        <v>664</v>
      </c>
      <c r="E2991" t="s">
        <v>664</v>
      </c>
      <c r="F2991" s="705">
        <v>1</v>
      </c>
      <c r="G2991" s="705">
        <v>264</v>
      </c>
      <c r="H2991" s="705">
        <v>422</v>
      </c>
      <c r="I2991" s="705">
        <v>79058</v>
      </c>
      <c r="J2991" s="705">
        <v>71871</v>
      </c>
      <c r="K2991" s="705">
        <v>55</v>
      </c>
      <c r="L2991" s="705">
        <v>15285</v>
      </c>
      <c r="M2991" s="705">
        <v>13895</v>
      </c>
      <c r="N2991" s="705">
        <v>4759</v>
      </c>
      <c r="O2991" s="705">
        <v>1763</v>
      </c>
      <c r="P2991" s="705">
        <v>473</v>
      </c>
      <c r="Q2991" s="705">
        <v>175</v>
      </c>
      <c r="R2991" s="705">
        <v>11897</v>
      </c>
      <c r="S2991" s="705">
        <v>10815</v>
      </c>
      <c r="T2991" s="705">
        <v>0</v>
      </c>
      <c r="U2991" s="705">
        <v>0</v>
      </c>
      <c r="V2991" s="705">
        <v>98519</v>
      </c>
      <c r="W2991" s="705">
        <f t="shared" si="118"/>
        <v>98519</v>
      </c>
      <c r="X2991" s="705">
        <f t="shared" si="119"/>
        <v>111472</v>
      </c>
    </row>
    <row r="2992" spans="2:24">
      <c r="B2992" t="s">
        <v>556</v>
      </c>
      <c r="C2992" t="s">
        <v>122</v>
      </c>
      <c r="D2992" t="s">
        <v>664</v>
      </c>
      <c r="E2992" t="s">
        <v>583</v>
      </c>
      <c r="F2992" s="705">
        <v>1</v>
      </c>
      <c r="G2992" s="705">
        <v>70</v>
      </c>
      <c r="H2992" s="705">
        <v>428</v>
      </c>
      <c r="I2992" s="705">
        <v>16296</v>
      </c>
      <c r="J2992" s="705">
        <v>14815</v>
      </c>
      <c r="K2992" s="705">
        <v>86</v>
      </c>
      <c r="L2992" s="705">
        <v>2014</v>
      </c>
      <c r="M2992" s="705">
        <v>1831</v>
      </c>
      <c r="N2992" s="705">
        <v>1430</v>
      </c>
      <c r="O2992" s="705">
        <v>530</v>
      </c>
      <c r="P2992" s="705">
        <v>621</v>
      </c>
      <c r="Q2992" s="705">
        <v>230</v>
      </c>
      <c r="R2992" s="705">
        <v>5447</v>
      </c>
      <c r="S2992" s="705">
        <v>4951</v>
      </c>
      <c r="T2992" s="705">
        <v>4261</v>
      </c>
      <c r="U2992" s="705">
        <v>1578</v>
      </c>
      <c r="V2992" s="705">
        <v>23935</v>
      </c>
      <c r="W2992" s="705">
        <f t="shared" si="118"/>
        <v>23935</v>
      </c>
      <c r="X2992" s="705">
        <f t="shared" si="119"/>
        <v>30069</v>
      </c>
    </row>
    <row r="2993" spans="2:24">
      <c r="B2993" t="s">
        <v>556</v>
      </c>
      <c r="C2993" t="s">
        <v>122</v>
      </c>
      <c r="D2993" t="s">
        <v>582</v>
      </c>
      <c r="E2993" t="s">
        <v>582</v>
      </c>
      <c r="F2993" s="705">
        <v>1</v>
      </c>
      <c r="G2993" s="705">
        <v>114</v>
      </c>
      <c r="H2993" s="705">
        <v>422</v>
      </c>
      <c r="I2993" s="705">
        <v>34126</v>
      </c>
      <c r="J2993" s="705">
        <v>31024</v>
      </c>
      <c r="K2993" s="705">
        <v>65</v>
      </c>
      <c r="L2993" s="705">
        <v>4261</v>
      </c>
      <c r="M2993" s="705">
        <v>3873</v>
      </c>
      <c r="N2993" s="705">
        <v>2575</v>
      </c>
      <c r="O2993" s="705">
        <v>954</v>
      </c>
      <c r="P2993" s="705">
        <v>473</v>
      </c>
      <c r="Q2993" s="705">
        <v>175</v>
      </c>
      <c r="R2993" s="705">
        <v>6475</v>
      </c>
      <c r="S2993" s="705">
        <v>5887</v>
      </c>
      <c r="T2993" s="705">
        <v>0</v>
      </c>
      <c r="U2993" s="705">
        <v>0</v>
      </c>
      <c r="V2993" s="705">
        <v>41912</v>
      </c>
      <c r="W2993" s="705">
        <f t="shared" si="118"/>
        <v>41913</v>
      </c>
      <c r="X2993" s="705">
        <f t="shared" si="119"/>
        <v>47910</v>
      </c>
    </row>
    <row r="2994" spans="2:24">
      <c r="B2994" t="s">
        <v>556</v>
      </c>
      <c r="C2994" t="s">
        <v>122</v>
      </c>
      <c r="D2994" t="s">
        <v>228</v>
      </c>
      <c r="E2994" t="s">
        <v>228</v>
      </c>
      <c r="F2994" s="705">
        <v>22</v>
      </c>
      <c r="G2994" s="705">
        <v>2025</v>
      </c>
      <c r="H2994" s="705">
        <v>9257</v>
      </c>
      <c r="I2994" s="705">
        <v>545093</v>
      </c>
      <c r="J2994" s="705">
        <v>201886</v>
      </c>
      <c r="K2994" s="705">
        <v>107</v>
      </c>
      <c r="L2994" s="705">
        <v>102210</v>
      </c>
      <c r="M2994" s="705">
        <v>80776</v>
      </c>
      <c r="N2994" s="705">
        <v>41406</v>
      </c>
      <c r="O2994" s="705">
        <v>15336</v>
      </c>
      <c r="P2994" s="705">
        <v>251</v>
      </c>
      <c r="Q2994" s="705">
        <v>93</v>
      </c>
      <c r="R2994" s="705">
        <v>158086</v>
      </c>
      <c r="S2994" s="705">
        <v>58550</v>
      </c>
      <c r="T2994" s="705">
        <v>0</v>
      </c>
      <c r="U2994" s="705">
        <v>0</v>
      </c>
      <c r="V2994" s="705">
        <v>356641</v>
      </c>
      <c r="W2994" s="705">
        <f t="shared" si="118"/>
        <v>356641</v>
      </c>
      <c r="X2994" s="705">
        <f t="shared" si="119"/>
        <v>847046</v>
      </c>
    </row>
    <row r="2995" spans="2:24">
      <c r="B2995" t="s">
        <v>556</v>
      </c>
      <c r="C2995" t="s">
        <v>122</v>
      </c>
      <c r="D2995" t="s">
        <v>228</v>
      </c>
      <c r="E2995" t="s">
        <v>665</v>
      </c>
      <c r="F2995" s="705">
        <v>1</v>
      </c>
      <c r="G2995" s="705">
        <v>74</v>
      </c>
      <c r="H2995" s="705">
        <v>437</v>
      </c>
      <c r="I2995" s="705">
        <v>20890</v>
      </c>
      <c r="J2995" s="705">
        <v>7737</v>
      </c>
      <c r="K2995" s="705">
        <v>100</v>
      </c>
      <c r="L2995" s="705">
        <v>1891</v>
      </c>
      <c r="M2995" s="705">
        <v>1719</v>
      </c>
      <c r="N2995" s="705">
        <v>1525</v>
      </c>
      <c r="O2995" s="705">
        <v>565</v>
      </c>
      <c r="P2995" s="705">
        <v>0</v>
      </c>
      <c r="Q2995" s="705">
        <v>0</v>
      </c>
      <c r="R2995" s="705">
        <v>3755</v>
      </c>
      <c r="S2995" s="705">
        <v>3414</v>
      </c>
      <c r="T2995" s="705">
        <v>4313</v>
      </c>
      <c r="U2995" s="705">
        <v>1597</v>
      </c>
      <c r="V2995" s="705">
        <v>15033</v>
      </c>
      <c r="W2995" s="705">
        <f t="shared" si="118"/>
        <v>15032</v>
      </c>
      <c r="X2995" s="705">
        <f t="shared" si="119"/>
        <v>32374</v>
      </c>
    </row>
    <row r="2996" spans="2:24">
      <c r="B2996" t="s">
        <v>556</v>
      </c>
      <c r="C2996" t="s">
        <v>122</v>
      </c>
      <c r="D2996" t="s">
        <v>583</v>
      </c>
      <c r="E2996" t="s">
        <v>664</v>
      </c>
      <c r="F2996" s="705">
        <v>1</v>
      </c>
      <c r="G2996" s="705">
        <v>92</v>
      </c>
      <c r="H2996" s="705">
        <v>393</v>
      </c>
      <c r="I2996" s="705">
        <v>22401</v>
      </c>
      <c r="J2996" s="705">
        <v>20365</v>
      </c>
      <c r="K2996" s="705">
        <v>65</v>
      </c>
      <c r="L2996" s="705">
        <v>5127</v>
      </c>
      <c r="M2996" s="705">
        <v>4661</v>
      </c>
      <c r="N2996" s="705">
        <v>2157</v>
      </c>
      <c r="O2996" s="705">
        <v>799</v>
      </c>
      <c r="P2996" s="705">
        <v>621</v>
      </c>
      <c r="Q2996" s="705">
        <v>230</v>
      </c>
      <c r="R2996" s="705">
        <v>5936</v>
      </c>
      <c r="S2996" s="705">
        <v>5396</v>
      </c>
      <c r="T2996" s="705">
        <v>0</v>
      </c>
      <c r="U2996" s="705">
        <v>0</v>
      </c>
      <c r="V2996" s="705">
        <v>31451</v>
      </c>
      <c r="W2996" s="705">
        <f t="shared" si="118"/>
        <v>31451</v>
      </c>
      <c r="X2996" s="705">
        <f t="shared" si="119"/>
        <v>36242</v>
      </c>
    </row>
    <row r="2997" spans="2:24">
      <c r="B2997" t="s">
        <v>556</v>
      </c>
      <c r="C2997" t="s">
        <v>122</v>
      </c>
      <c r="D2997" t="s">
        <v>583</v>
      </c>
      <c r="E2997" t="s">
        <v>228</v>
      </c>
      <c r="F2997" s="705">
        <v>4</v>
      </c>
      <c r="G2997" s="705">
        <v>577</v>
      </c>
      <c r="H2997" s="705">
        <v>1673</v>
      </c>
      <c r="I2997" s="705">
        <v>171122</v>
      </c>
      <c r="J2997" s="705">
        <v>155566</v>
      </c>
      <c r="K2997" s="705">
        <v>75</v>
      </c>
      <c r="L2997" s="705">
        <v>31476</v>
      </c>
      <c r="M2997" s="705">
        <v>27749</v>
      </c>
      <c r="N2997" s="705">
        <v>12234</v>
      </c>
      <c r="O2997" s="705">
        <v>4531</v>
      </c>
      <c r="P2997" s="705">
        <v>2484</v>
      </c>
      <c r="Q2997" s="705">
        <v>920</v>
      </c>
      <c r="R2997" s="705">
        <v>25103</v>
      </c>
      <c r="S2997" s="705">
        <v>9297</v>
      </c>
      <c r="T2997" s="705">
        <v>0</v>
      </c>
      <c r="U2997" s="705">
        <v>0</v>
      </c>
      <c r="V2997" s="705">
        <v>198064</v>
      </c>
      <c r="W2997" s="705">
        <f t="shared" si="118"/>
        <v>198063</v>
      </c>
      <c r="X2997" s="705">
        <f t="shared" si="119"/>
        <v>242419</v>
      </c>
    </row>
    <row r="2998" spans="2:24">
      <c r="B2998" t="s">
        <v>556</v>
      </c>
      <c r="C2998" t="s">
        <v>122</v>
      </c>
      <c r="D2998" t="s">
        <v>583</v>
      </c>
      <c r="E2998" t="s">
        <v>583</v>
      </c>
      <c r="F2998" s="705">
        <v>214</v>
      </c>
      <c r="G2998" s="705">
        <v>25533</v>
      </c>
      <c r="H2998" s="705">
        <v>88408</v>
      </c>
      <c r="I2998" s="705">
        <v>7112802</v>
      </c>
      <c r="J2998" s="705">
        <v>6466184</v>
      </c>
      <c r="K2998" s="705">
        <v>76</v>
      </c>
      <c r="L2998" s="705">
        <v>1443609</v>
      </c>
      <c r="M2998" s="705">
        <v>1275770</v>
      </c>
      <c r="N2998" s="705">
        <v>542727</v>
      </c>
      <c r="O2998" s="705">
        <v>201010</v>
      </c>
      <c r="P2998" s="705">
        <v>136944</v>
      </c>
      <c r="Q2998" s="705">
        <v>50720</v>
      </c>
      <c r="R2998" s="705">
        <v>1126904</v>
      </c>
      <c r="S2998" s="705">
        <v>1024458</v>
      </c>
      <c r="T2998" s="705">
        <v>347200</v>
      </c>
      <c r="U2998" s="705">
        <v>128593</v>
      </c>
      <c r="V2998" s="705">
        <v>9146734</v>
      </c>
      <c r="W2998" s="705">
        <f t="shared" si="118"/>
        <v>9146735</v>
      </c>
      <c r="X2998" s="705">
        <f t="shared" si="119"/>
        <v>10710186</v>
      </c>
    </row>
    <row r="2999" spans="2:24">
      <c r="B2999" t="s">
        <v>556</v>
      </c>
      <c r="C2999" t="s">
        <v>122</v>
      </c>
      <c r="D2999" t="s">
        <v>666</v>
      </c>
      <c r="E2999" t="s">
        <v>228</v>
      </c>
      <c r="F2999" s="705">
        <v>1</v>
      </c>
      <c r="G2999" s="705">
        <v>282</v>
      </c>
      <c r="H2999" s="705">
        <v>397</v>
      </c>
      <c r="I2999" s="705">
        <v>98615</v>
      </c>
      <c r="J2999" s="705">
        <v>89650</v>
      </c>
      <c r="K2999" s="705">
        <v>30</v>
      </c>
      <c r="L2999" s="705">
        <v>0</v>
      </c>
      <c r="M2999" s="705">
        <v>0</v>
      </c>
      <c r="N2999" s="705">
        <v>3439</v>
      </c>
      <c r="O2999" s="705">
        <v>1274</v>
      </c>
      <c r="P2999" s="705">
        <v>0</v>
      </c>
      <c r="Q2999" s="705">
        <v>0</v>
      </c>
      <c r="R2999" s="705">
        <v>9954</v>
      </c>
      <c r="S2999" s="705">
        <v>3687</v>
      </c>
      <c r="T2999" s="705">
        <v>0</v>
      </c>
      <c r="U2999" s="705">
        <v>0</v>
      </c>
      <c r="V2999" s="705">
        <v>94610</v>
      </c>
      <c r="W2999" s="705">
        <f t="shared" si="118"/>
        <v>94611</v>
      </c>
      <c r="X2999" s="705">
        <f t="shared" si="119"/>
        <v>112008</v>
      </c>
    </row>
    <row r="3000" spans="2:24">
      <c r="B3000" t="s">
        <v>556</v>
      </c>
      <c r="C3000" t="s">
        <v>122</v>
      </c>
      <c r="D3000" t="s">
        <v>666</v>
      </c>
      <c r="E3000" t="s">
        <v>666</v>
      </c>
      <c r="F3000" s="705">
        <v>6</v>
      </c>
      <c r="G3000" s="705">
        <v>509</v>
      </c>
      <c r="H3000" s="705">
        <v>2436</v>
      </c>
      <c r="I3000" s="705">
        <v>122224</v>
      </c>
      <c r="J3000" s="705">
        <v>111113</v>
      </c>
      <c r="K3000" s="705">
        <v>58</v>
      </c>
      <c r="L3000" s="705">
        <v>21649</v>
      </c>
      <c r="M3000" s="705">
        <v>14625</v>
      </c>
      <c r="N3000" s="705">
        <v>8790</v>
      </c>
      <c r="O3000" s="705">
        <v>3255</v>
      </c>
      <c r="P3000" s="705">
        <v>2228</v>
      </c>
      <c r="Q3000" s="705">
        <v>825</v>
      </c>
      <c r="R3000" s="705">
        <v>44950</v>
      </c>
      <c r="S3000" s="705">
        <v>40864</v>
      </c>
      <c r="T3000" s="705">
        <v>6648</v>
      </c>
      <c r="U3000" s="705">
        <v>2462</v>
      </c>
      <c r="V3000" s="705">
        <v>173144</v>
      </c>
      <c r="W3000" s="705">
        <f t="shared" si="118"/>
        <v>173144</v>
      </c>
      <c r="X3000" s="705">
        <f t="shared" si="119"/>
        <v>206489</v>
      </c>
    </row>
    <row r="3001" spans="2:24">
      <c r="B3001" t="s">
        <v>556</v>
      </c>
      <c r="C3001" t="s">
        <v>122</v>
      </c>
      <c r="D3001" t="s">
        <v>584</v>
      </c>
      <c r="E3001" t="s">
        <v>584</v>
      </c>
      <c r="F3001" s="705">
        <v>21</v>
      </c>
      <c r="G3001" s="705">
        <v>2399</v>
      </c>
      <c r="H3001" s="705">
        <v>8774</v>
      </c>
      <c r="I3001" s="705">
        <v>667759</v>
      </c>
      <c r="J3001" s="705">
        <v>607053</v>
      </c>
      <c r="K3001" s="705">
        <v>76</v>
      </c>
      <c r="L3001" s="705">
        <v>156130</v>
      </c>
      <c r="M3001" s="705">
        <v>135302</v>
      </c>
      <c r="N3001" s="705">
        <v>53316</v>
      </c>
      <c r="O3001" s="705">
        <v>19747</v>
      </c>
      <c r="P3001" s="705">
        <v>9923</v>
      </c>
      <c r="Q3001" s="705">
        <v>3675</v>
      </c>
      <c r="R3001" s="705">
        <v>105965</v>
      </c>
      <c r="S3001" s="705">
        <v>96332</v>
      </c>
      <c r="T3001" s="705">
        <v>43427</v>
      </c>
      <c r="U3001" s="705">
        <v>16084</v>
      </c>
      <c r="V3001" s="705">
        <v>878193</v>
      </c>
      <c r="W3001" s="705">
        <f t="shared" si="118"/>
        <v>878193</v>
      </c>
      <c r="X3001" s="705">
        <f t="shared" si="119"/>
        <v>1036520</v>
      </c>
    </row>
    <row r="3002" spans="2:24">
      <c r="B3002" t="s">
        <v>556</v>
      </c>
      <c r="C3002" t="s">
        <v>122</v>
      </c>
      <c r="D3002" t="s">
        <v>669</v>
      </c>
      <c r="E3002" t="s">
        <v>669</v>
      </c>
      <c r="F3002" s="705">
        <v>5</v>
      </c>
      <c r="G3002" s="705">
        <v>568</v>
      </c>
      <c r="H3002" s="705">
        <v>2005</v>
      </c>
      <c r="I3002" s="705">
        <v>153132</v>
      </c>
      <c r="J3002" s="705">
        <v>127610</v>
      </c>
      <c r="K3002" s="705">
        <v>58</v>
      </c>
      <c r="L3002" s="705">
        <v>16282</v>
      </c>
      <c r="M3002" s="705">
        <v>14802</v>
      </c>
      <c r="N3002" s="705">
        <v>11915</v>
      </c>
      <c r="O3002" s="705">
        <v>4413</v>
      </c>
      <c r="P3002" s="705">
        <v>2025</v>
      </c>
      <c r="Q3002" s="705">
        <v>750</v>
      </c>
      <c r="R3002" s="705">
        <v>28602</v>
      </c>
      <c r="S3002" s="705">
        <v>23835</v>
      </c>
      <c r="T3002" s="705">
        <v>12961</v>
      </c>
      <c r="U3002" s="705">
        <v>4800</v>
      </c>
      <c r="V3002" s="705">
        <v>176210</v>
      </c>
      <c r="W3002" s="705">
        <f t="shared" si="118"/>
        <v>176210</v>
      </c>
      <c r="X3002" s="705">
        <f t="shared" si="119"/>
        <v>224917</v>
      </c>
    </row>
    <row r="3003" spans="2:24">
      <c r="B3003" t="s">
        <v>556</v>
      </c>
      <c r="C3003" t="s">
        <v>122</v>
      </c>
      <c r="D3003" t="s">
        <v>665</v>
      </c>
      <c r="E3003" t="s">
        <v>228</v>
      </c>
      <c r="F3003" s="705">
        <v>2</v>
      </c>
      <c r="G3003" s="705">
        <v>168</v>
      </c>
      <c r="H3003" s="705">
        <v>852</v>
      </c>
      <c r="I3003" s="705">
        <v>40590</v>
      </c>
      <c r="J3003" s="705">
        <v>36900</v>
      </c>
      <c r="K3003" s="705">
        <v>55</v>
      </c>
      <c r="L3003" s="705">
        <v>2840</v>
      </c>
      <c r="M3003" s="705">
        <v>1052</v>
      </c>
      <c r="N3003" s="705">
        <v>2510</v>
      </c>
      <c r="O3003" s="705">
        <v>930</v>
      </c>
      <c r="P3003" s="705">
        <v>702</v>
      </c>
      <c r="Q3003" s="705">
        <v>260</v>
      </c>
      <c r="R3003" s="705">
        <v>24550</v>
      </c>
      <c r="S3003" s="705">
        <v>9093</v>
      </c>
      <c r="T3003" s="705">
        <v>0</v>
      </c>
      <c r="U3003" s="705">
        <v>0</v>
      </c>
      <c r="V3003" s="705">
        <v>48234</v>
      </c>
      <c r="W3003" s="705">
        <f t="shared" si="118"/>
        <v>48235</v>
      </c>
      <c r="X3003" s="705">
        <f t="shared" si="119"/>
        <v>71192</v>
      </c>
    </row>
    <row r="3004" spans="2:24">
      <c r="B3004" t="s">
        <v>556</v>
      </c>
      <c r="C3004" t="s">
        <v>122</v>
      </c>
      <c r="D3004" t="s">
        <v>665</v>
      </c>
      <c r="E3004" t="s">
        <v>665</v>
      </c>
      <c r="F3004" s="705">
        <v>34</v>
      </c>
      <c r="G3004" s="705">
        <v>2947</v>
      </c>
      <c r="H3004" s="705">
        <v>14083</v>
      </c>
      <c r="I3004" s="705">
        <v>804388</v>
      </c>
      <c r="J3004" s="705">
        <v>731261</v>
      </c>
      <c r="K3004" s="705">
        <v>57</v>
      </c>
      <c r="L3004" s="705">
        <v>106570</v>
      </c>
      <c r="M3004" s="705">
        <v>74044</v>
      </c>
      <c r="N3004" s="705">
        <v>60175</v>
      </c>
      <c r="O3004" s="705">
        <v>22287</v>
      </c>
      <c r="P3004" s="705">
        <v>11583</v>
      </c>
      <c r="Q3004" s="705">
        <v>4290</v>
      </c>
      <c r="R3004" s="705">
        <v>181429</v>
      </c>
      <c r="S3004" s="705">
        <v>164935</v>
      </c>
      <c r="T3004" s="705">
        <v>66293</v>
      </c>
      <c r="U3004" s="705">
        <v>24553</v>
      </c>
      <c r="V3004" s="705">
        <v>1021371</v>
      </c>
      <c r="W3004" s="705">
        <f t="shared" si="118"/>
        <v>1021370</v>
      </c>
      <c r="X3004" s="705">
        <f t="shared" si="119"/>
        <v>1230438</v>
      </c>
    </row>
    <row r="3005" spans="2:24">
      <c r="B3005" t="s">
        <v>556</v>
      </c>
      <c r="C3005" t="s">
        <v>122</v>
      </c>
      <c r="D3005" t="s">
        <v>673</v>
      </c>
      <c r="E3005" t="s">
        <v>673</v>
      </c>
      <c r="F3005" s="705">
        <v>3</v>
      </c>
      <c r="G3005" s="705">
        <v>227</v>
      </c>
      <c r="H3005" s="705">
        <v>1318</v>
      </c>
      <c r="I3005" s="705">
        <v>64819</v>
      </c>
      <c r="J3005" s="705">
        <v>58927</v>
      </c>
      <c r="K3005" s="705">
        <v>55</v>
      </c>
      <c r="L3005" s="705">
        <v>6796</v>
      </c>
      <c r="M3005" s="705">
        <v>6178</v>
      </c>
      <c r="N3005" s="705">
        <v>4447</v>
      </c>
      <c r="O3005" s="705">
        <v>1647</v>
      </c>
      <c r="P3005" s="705">
        <v>1053</v>
      </c>
      <c r="Q3005" s="705">
        <v>390</v>
      </c>
      <c r="R3005" s="705">
        <v>18210</v>
      </c>
      <c r="S3005" s="705">
        <v>16555</v>
      </c>
      <c r="T3005" s="705">
        <v>3742</v>
      </c>
      <c r="U3005" s="705">
        <v>1386</v>
      </c>
      <c r="V3005" s="705">
        <v>85083</v>
      </c>
      <c r="W3005" s="705">
        <f t="shared" si="118"/>
        <v>85083</v>
      </c>
      <c r="X3005" s="705">
        <f t="shared" si="119"/>
        <v>99067</v>
      </c>
    </row>
    <row r="3006" spans="2:24">
      <c r="B3006" t="s">
        <v>556</v>
      </c>
      <c r="C3006" t="s">
        <v>122</v>
      </c>
      <c r="D3006" t="s">
        <v>585</v>
      </c>
      <c r="E3006" t="s">
        <v>585</v>
      </c>
      <c r="F3006" s="705">
        <v>1</v>
      </c>
      <c r="G3006" s="705">
        <v>247</v>
      </c>
      <c r="H3006" s="705">
        <v>401</v>
      </c>
      <c r="I3006" s="705">
        <v>69585</v>
      </c>
      <c r="J3006" s="705">
        <v>63259</v>
      </c>
      <c r="K3006" s="705">
        <v>65</v>
      </c>
      <c r="L3006" s="705">
        <v>16752</v>
      </c>
      <c r="M3006" s="705">
        <v>15229</v>
      </c>
      <c r="N3006" s="705">
        <v>3012</v>
      </c>
      <c r="O3006" s="705">
        <v>1116</v>
      </c>
      <c r="P3006" s="705">
        <v>351</v>
      </c>
      <c r="Q3006" s="705">
        <v>130</v>
      </c>
      <c r="R3006" s="705">
        <v>5563</v>
      </c>
      <c r="S3006" s="705">
        <v>5057</v>
      </c>
      <c r="T3006" s="705">
        <v>3828</v>
      </c>
      <c r="U3006" s="705">
        <v>1418</v>
      </c>
      <c r="V3006" s="705">
        <v>86208</v>
      </c>
      <c r="W3006" s="705">
        <f t="shared" si="118"/>
        <v>86209</v>
      </c>
      <c r="X3006" s="705">
        <f t="shared" si="119"/>
        <v>99091</v>
      </c>
    </row>
    <row r="3007" spans="2:24">
      <c r="B3007" t="s">
        <v>556</v>
      </c>
      <c r="C3007" t="s">
        <v>124</v>
      </c>
      <c r="D3007" t="s">
        <v>674</v>
      </c>
      <c r="E3007" t="s">
        <v>674</v>
      </c>
      <c r="F3007" s="705">
        <v>1</v>
      </c>
      <c r="G3007" s="705">
        <v>96</v>
      </c>
      <c r="H3007" s="705">
        <v>618</v>
      </c>
      <c r="I3007" s="705">
        <v>39644</v>
      </c>
      <c r="J3007" s="705">
        <v>36040</v>
      </c>
      <c r="K3007" s="705">
        <v>45</v>
      </c>
      <c r="L3007" s="705">
        <v>6607</v>
      </c>
      <c r="M3007" s="705">
        <v>6007</v>
      </c>
      <c r="N3007" s="705">
        <v>2174</v>
      </c>
      <c r="O3007" s="705">
        <v>805</v>
      </c>
      <c r="P3007" s="705">
        <v>351</v>
      </c>
      <c r="Q3007" s="705">
        <v>130</v>
      </c>
      <c r="R3007" s="705">
        <v>10477</v>
      </c>
      <c r="S3007" s="705">
        <v>9524</v>
      </c>
      <c r="T3007" s="705">
        <v>0</v>
      </c>
      <c r="U3007" s="705">
        <v>0</v>
      </c>
      <c r="V3007" s="705">
        <v>52506</v>
      </c>
      <c r="W3007" s="705">
        <f t="shared" si="118"/>
        <v>52506</v>
      </c>
      <c r="X3007" s="705">
        <f t="shared" si="119"/>
        <v>59253</v>
      </c>
    </row>
    <row r="3008" spans="2:24">
      <c r="B3008" t="s">
        <v>556</v>
      </c>
      <c r="C3008" t="s">
        <v>124</v>
      </c>
      <c r="D3008" t="s">
        <v>664</v>
      </c>
      <c r="E3008" t="s">
        <v>228</v>
      </c>
      <c r="F3008" s="705">
        <v>1</v>
      </c>
      <c r="G3008" s="705">
        <v>54</v>
      </c>
      <c r="H3008" s="705">
        <v>749</v>
      </c>
      <c r="I3008" s="705">
        <v>19490</v>
      </c>
      <c r="J3008" s="705">
        <v>17718</v>
      </c>
      <c r="K3008" s="705">
        <v>63</v>
      </c>
      <c r="L3008" s="705">
        <v>4548</v>
      </c>
      <c r="M3008" s="705">
        <v>4134</v>
      </c>
      <c r="N3008" s="705">
        <v>1320</v>
      </c>
      <c r="O3008" s="705">
        <v>489</v>
      </c>
      <c r="P3008" s="705">
        <v>0</v>
      </c>
      <c r="Q3008" s="705">
        <v>0</v>
      </c>
      <c r="R3008" s="705">
        <v>15208</v>
      </c>
      <c r="S3008" s="705">
        <v>5632</v>
      </c>
      <c r="T3008" s="705">
        <v>0</v>
      </c>
      <c r="U3008" s="705">
        <v>0</v>
      </c>
      <c r="V3008" s="705">
        <v>27974</v>
      </c>
      <c r="W3008" s="705">
        <f t="shared" si="118"/>
        <v>27973</v>
      </c>
      <c r="X3008" s="705">
        <f t="shared" si="119"/>
        <v>40566</v>
      </c>
    </row>
    <row r="3009" spans="2:24">
      <c r="B3009" t="s">
        <v>556</v>
      </c>
      <c r="C3009" t="s">
        <v>124</v>
      </c>
      <c r="D3009" t="s">
        <v>582</v>
      </c>
      <c r="E3009" t="s">
        <v>582</v>
      </c>
      <c r="F3009" s="705">
        <v>2</v>
      </c>
      <c r="G3009" s="705">
        <v>163</v>
      </c>
      <c r="H3009" s="705">
        <v>914</v>
      </c>
      <c r="I3009" s="705">
        <v>50216</v>
      </c>
      <c r="J3009" s="705">
        <v>45651</v>
      </c>
      <c r="K3009" s="705">
        <v>84</v>
      </c>
      <c r="L3009" s="705">
        <v>11270</v>
      </c>
      <c r="M3009" s="705">
        <v>10245</v>
      </c>
      <c r="N3009" s="705">
        <v>3342</v>
      </c>
      <c r="O3009" s="705">
        <v>1238</v>
      </c>
      <c r="P3009" s="705">
        <v>945</v>
      </c>
      <c r="Q3009" s="705">
        <v>350</v>
      </c>
      <c r="R3009" s="705">
        <v>8660</v>
      </c>
      <c r="S3009" s="705">
        <v>7872</v>
      </c>
      <c r="T3009" s="705">
        <v>0</v>
      </c>
      <c r="U3009" s="705">
        <v>0</v>
      </c>
      <c r="V3009" s="705">
        <v>65356</v>
      </c>
      <c r="W3009" s="705">
        <f t="shared" si="118"/>
        <v>65356</v>
      </c>
      <c r="X3009" s="705">
        <f t="shared" si="119"/>
        <v>74433</v>
      </c>
    </row>
    <row r="3010" spans="2:24">
      <c r="B3010" t="s">
        <v>556</v>
      </c>
      <c r="C3010" t="s">
        <v>124</v>
      </c>
      <c r="D3010" t="s">
        <v>228</v>
      </c>
      <c r="E3010" t="s">
        <v>228</v>
      </c>
      <c r="F3010" s="705">
        <v>73</v>
      </c>
      <c r="G3010" s="705">
        <v>5858</v>
      </c>
      <c r="H3010" s="705">
        <v>54126</v>
      </c>
      <c r="I3010" s="705">
        <v>3079850</v>
      </c>
      <c r="J3010" s="705">
        <v>1140685</v>
      </c>
      <c r="K3010" s="705">
        <v>100</v>
      </c>
      <c r="L3010" s="705">
        <v>479427</v>
      </c>
      <c r="M3010" s="705">
        <v>388624</v>
      </c>
      <c r="N3010" s="705">
        <v>130371</v>
      </c>
      <c r="O3010" s="705">
        <v>48286</v>
      </c>
      <c r="P3010" s="705">
        <v>351</v>
      </c>
      <c r="Q3010" s="705">
        <v>130</v>
      </c>
      <c r="R3010" s="705">
        <v>505236</v>
      </c>
      <c r="S3010" s="705">
        <v>187124</v>
      </c>
      <c r="T3010" s="705">
        <v>2126</v>
      </c>
      <c r="U3010" s="705">
        <v>787</v>
      </c>
      <c r="V3010" s="705">
        <v>1765637</v>
      </c>
      <c r="W3010" s="705">
        <f t="shared" si="118"/>
        <v>1765636</v>
      </c>
      <c r="X3010" s="705">
        <f t="shared" si="119"/>
        <v>4197361</v>
      </c>
    </row>
    <row r="3011" spans="2:24">
      <c r="B3011" t="s">
        <v>556</v>
      </c>
      <c r="C3011" t="s">
        <v>124</v>
      </c>
      <c r="D3011" t="s">
        <v>228</v>
      </c>
      <c r="E3011" t="s">
        <v>583</v>
      </c>
      <c r="F3011" s="705">
        <v>2</v>
      </c>
      <c r="G3011" s="705">
        <v>328</v>
      </c>
      <c r="H3011" s="705">
        <v>1096</v>
      </c>
      <c r="I3011" s="705">
        <v>138830</v>
      </c>
      <c r="J3011" s="705">
        <v>51419</v>
      </c>
      <c r="K3011" s="705">
        <v>100</v>
      </c>
      <c r="L3011" s="705">
        <v>11646</v>
      </c>
      <c r="M3011" s="705">
        <v>10587</v>
      </c>
      <c r="N3011" s="705">
        <v>6413</v>
      </c>
      <c r="O3011" s="705">
        <v>2375</v>
      </c>
      <c r="P3011" s="705">
        <v>621</v>
      </c>
      <c r="Q3011" s="705">
        <v>230</v>
      </c>
      <c r="R3011" s="705">
        <v>22476</v>
      </c>
      <c r="S3011" s="705">
        <v>20432</v>
      </c>
      <c r="T3011" s="705">
        <v>4929</v>
      </c>
      <c r="U3011" s="705">
        <v>1826</v>
      </c>
      <c r="V3011" s="705">
        <v>86869</v>
      </c>
      <c r="W3011" s="705">
        <f t="shared" si="118"/>
        <v>86869</v>
      </c>
      <c r="X3011" s="705">
        <f t="shared" si="119"/>
        <v>184915</v>
      </c>
    </row>
    <row r="3012" spans="2:24">
      <c r="B3012" t="s">
        <v>556</v>
      </c>
      <c r="C3012" t="s">
        <v>124</v>
      </c>
      <c r="D3012" t="s">
        <v>228</v>
      </c>
      <c r="E3012" t="s">
        <v>666</v>
      </c>
      <c r="F3012" s="705">
        <v>3</v>
      </c>
      <c r="G3012" s="705">
        <v>234</v>
      </c>
      <c r="H3012" s="705">
        <v>1807</v>
      </c>
      <c r="I3012" s="705">
        <v>102662</v>
      </c>
      <c r="J3012" s="705">
        <v>38023</v>
      </c>
      <c r="K3012" s="705">
        <v>100</v>
      </c>
      <c r="L3012" s="705">
        <v>10491</v>
      </c>
      <c r="M3012" s="705">
        <v>9537</v>
      </c>
      <c r="N3012" s="705">
        <v>5343</v>
      </c>
      <c r="O3012" s="705">
        <v>1979</v>
      </c>
      <c r="P3012" s="705">
        <v>0</v>
      </c>
      <c r="Q3012" s="705">
        <v>0</v>
      </c>
      <c r="R3012" s="705">
        <v>15717</v>
      </c>
      <c r="S3012" s="705">
        <v>14288</v>
      </c>
      <c r="T3012" s="705">
        <v>7623</v>
      </c>
      <c r="U3012" s="705">
        <v>2823</v>
      </c>
      <c r="V3012" s="705">
        <v>66650</v>
      </c>
      <c r="W3012" s="705">
        <f t="shared" si="118"/>
        <v>66650</v>
      </c>
      <c r="X3012" s="705">
        <f t="shared" si="119"/>
        <v>141836</v>
      </c>
    </row>
    <row r="3013" spans="2:24">
      <c r="B3013" t="s">
        <v>556</v>
      </c>
      <c r="C3013" t="s">
        <v>124</v>
      </c>
      <c r="D3013" t="s">
        <v>228</v>
      </c>
      <c r="E3013" t="s">
        <v>665</v>
      </c>
      <c r="F3013" s="705">
        <v>2</v>
      </c>
      <c r="G3013" s="705">
        <v>211</v>
      </c>
      <c r="H3013" s="705">
        <v>1693</v>
      </c>
      <c r="I3013" s="705">
        <v>133776</v>
      </c>
      <c r="J3013" s="705">
        <v>49547</v>
      </c>
      <c r="K3013" s="705">
        <v>100</v>
      </c>
      <c r="L3013" s="705">
        <v>21873</v>
      </c>
      <c r="M3013" s="705">
        <v>19885</v>
      </c>
      <c r="N3013" s="705">
        <v>4502</v>
      </c>
      <c r="O3013" s="705">
        <v>1667</v>
      </c>
      <c r="P3013" s="705">
        <v>702</v>
      </c>
      <c r="Q3013" s="705">
        <v>260</v>
      </c>
      <c r="R3013" s="705">
        <v>12622</v>
      </c>
      <c r="S3013" s="705">
        <v>11475</v>
      </c>
      <c r="T3013" s="705">
        <v>5264</v>
      </c>
      <c r="U3013" s="705">
        <v>1949</v>
      </c>
      <c r="V3013" s="705">
        <v>84783</v>
      </c>
      <c r="W3013" s="705">
        <f t="shared" si="118"/>
        <v>84783</v>
      </c>
      <c r="X3013" s="705">
        <f t="shared" si="119"/>
        <v>178739</v>
      </c>
    </row>
    <row r="3014" spans="2:24">
      <c r="B3014" t="s">
        <v>556</v>
      </c>
      <c r="C3014" t="s">
        <v>124</v>
      </c>
      <c r="D3014" t="s">
        <v>583</v>
      </c>
      <c r="E3014" t="s">
        <v>228</v>
      </c>
      <c r="F3014" s="705">
        <v>3</v>
      </c>
      <c r="G3014" s="705">
        <v>159</v>
      </c>
      <c r="H3014" s="705">
        <v>1873</v>
      </c>
      <c r="I3014" s="705">
        <v>66141</v>
      </c>
      <c r="J3014" s="705">
        <v>60128</v>
      </c>
      <c r="K3014" s="705">
        <v>75</v>
      </c>
      <c r="L3014" s="705">
        <v>13398</v>
      </c>
      <c r="M3014" s="705">
        <v>12180</v>
      </c>
      <c r="N3014" s="705">
        <v>3377</v>
      </c>
      <c r="O3014" s="705">
        <v>1251</v>
      </c>
      <c r="P3014" s="705">
        <v>1863</v>
      </c>
      <c r="Q3014" s="705">
        <v>690</v>
      </c>
      <c r="R3014" s="705">
        <v>15094</v>
      </c>
      <c r="S3014" s="705">
        <v>5590</v>
      </c>
      <c r="T3014" s="705">
        <v>0</v>
      </c>
      <c r="U3014" s="705">
        <v>0</v>
      </c>
      <c r="V3014" s="705">
        <v>79840</v>
      </c>
      <c r="W3014" s="705">
        <f t="shared" si="118"/>
        <v>79839</v>
      </c>
      <c r="X3014" s="705">
        <f t="shared" si="119"/>
        <v>99873</v>
      </c>
    </row>
    <row r="3015" spans="2:24">
      <c r="B3015" t="s">
        <v>556</v>
      </c>
      <c r="C3015" t="s">
        <v>124</v>
      </c>
      <c r="D3015" t="s">
        <v>583</v>
      </c>
      <c r="E3015" t="s">
        <v>583</v>
      </c>
      <c r="F3015" s="705">
        <v>208</v>
      </c>
      <c r="G3015" s="705">
        <v>22184</v>
      </c>
      <c r="H3015" s="705">
        <v>114713</v>
      </c>
      <c r="I3015" s="705">
        <v>8119154</v>
      </c>
      <c r="J3015" s="705">
        <v>7381049</v>
      </c>
      <c r="K3015" s="705">
        <v>74</v>
      </c>
      <c r="L3015" s="705">
        <v>1824959</v>
      </c>
      <c r="M3015" s="705">
        <v>1618244</v>
      </c>
      <c r="N3015" s="705">
        <v>478136</v>
      </c>
      <c r="O3015" s="705">
        <v>177087</v>
      </c>
      <c r="P3015" s="705">
        <v>134406</v>
      </c>
      <c r="Q3015" s="705">
        <v>49780</v>
      </c>
      <c r="R3015" s="705">
        <v>1057918</v>
      </c>
      <c r="S3015" s="705">
        <v>961744</v>
      </c>
      <c r="T3015" s="705">
        <v>371044</v>
      </c>
      <c r="U3015" s="705">
        <v>137424</v>
      </c>
      <c r="V3015" s="705">
        <v>10325328</v>
      </c>
      <c r="W3015" s="705">
        <f t="shared" si="118"/>
        <v>10325328</v>
      </c>
      <c r="X3015" s="705">
        <f t="shared" si="119"/>
        <v>11985617</v>
      </c>
    </row>
    <row r="3016" spans="2:24">
      <c r="B3016" t="s">
        <v>556</v>
      </c>
      <c r="C3016" t="s">
        <v>124</v>
      </c>
      <c r="D3016" t="s">
        <v>666</v>
      </c>
      <c r="E3016" t="s">
        <v>228</v>
      </c>
      <c r="F3016" s="705">
        <v>8</v>
      </c>
      <c r="G3016" s="705">
        <v>458</v>
      </c>
      <c r="H3016" s="705">
        <v>9089</v>
      </c>
      <c r="I3016" s="705">
        <v>415241</v>
      </c>
      <c r="J3016" s="705">
        <v>377491</v>
      </c>
      <c r="K3016" s="705">
        <v>41</v>
      </c>
      <c r="L3016" s="705">
        <v>79832</v>
      </c>
      <c r="M3016" s="705">
        <v>29567</v>
      </c>
      <c r="N3016" s="705">
        <v>10625</v>
      </c>
      <c r="O3016" s="705">
        <v>3935</v>
      </c>
      <c r="P3016" s="705">
        <v>0</v>
      </c>
      <c r="Q3016" s="705">
        <v>0</v>
      </c>
      <c r="R3016" s="705">
        <v>54234</v>
      </c>
      <c r="S3016" s="705">
        <v>20087</v>
      </c>
      <c r="T3016" s="705">
        <v>0</v>
      </c>
      <c r="U3016" s="705">
        <v>0</v>
      </c>
      <c r="V3016" s="705">
        <v>431081</v>
      </c>
      <c r="W3016" s="705">
        <f t="shared" si="118"/>
        <v>431080</v>
      </c>
      <c r="X3016" s="705">
        <f t="shared" si="119"/>
        <v>559932</v>
      </c>
    </row>
    <row r="3017" spans="2:24">
      <c r="B3017" t="s">
        <v>556</v>
      </c>
      <c r="C3017" t="s">
        <v>124</v>
      </c>
      <c r="D3017" t="s">
        <v>666</v>
      </c>
      <c r="E3017" t="s">
        <v>583</v>
      </c>
      <c r="F3017" s="705">
        <v>3</v>
      </c>
      <c r="G3017" s="705">
        <v>341</v>
      </c>
      <c r="H3017" s="705">
        <v>1945</v>
      </c>
      <c r="I3017" s="705">
        <v>191200</v>
      </c>
      <c r="J3017" s="705">
        <v>173818</v>
      </c>
      <c r="K3017" s="705">
        <v>47</v>
      </c>
      <c r="L3017" s="705">
        <v>22505</v>
      </c>
      <c r="M3017" s="705">
        <v>13802</v>
      </c>
      <c r="N3017" s="705">
        <v>6162</v>
      </c>
      <c r="O3017" s="705">
        <v>2282</v>
      </c>
      <c r="P3017" s="705">
        <v>972</v>
      </c>
      <c r="Q3017" s="705">
        <v>360</v>
      </c>
      <c r="R3017" s="705">
        <v>17559</v>
      </c>
      <c r="S3017" s="705">
        <v>15962</v>
      </c>
      <c r="T3017" s="705">
        <v>8580</v>
      </c>
      <c r="U3017" s="705">
        <v>3178</v>
      </c>
      <c r="V3017" s="705">
        <v>209402</v>
      </c>
      <c r="W3017" s="705">
        <f t="shared" si="118"/>
        <v>209402</v>
      </c>
      <c r="X3017" s="705">
        <f t="shared" si="119"/>
        <v>246978</v>
      </c>
    </row>
    <row r="3018" spans="2:24">
      <c r="B3018" t="s">
        <v>556</v>
      </c>
      <c r="C3018" t="s">
        <v>124</v>
      </c>
      <c r="D3018" t="s">
        <v>666</v>
      </c>
      <c r="E3018" t="s">
        <v>666</v>
      </c>
      <c r="F3018" s="705">
        <v>17</v>
      </c>
      <c r="G3018" s="705">
        <v>1262</v>
      </c>
      <c r="H3018" s="705">
        <v>12933</v>
      </c>
      <c r="I3018" s="705">
        <v>704388</v>
      </c>
      <c r="J3018" s="705">
        <v>640353</v>
      </c>
      <c r="K3018" s="705">
        <v>56</v>
      </c>
      <c r="L3018" s="705">
        <v>96676</v>
      </c>
      <c r="M3018" s="705">
        <v>94763</v>
      </c>
      <c r="N3018" s="705">
        <v>28564</v>
      </c>
      <c r="O3018" s="705">
        <v>10579</v>
      </c>
      <c r="P3018" s="705">
        <v>5724</v>
      </c>
      <c r="Q3018" s="705">
        <v>2120</v>
      </c>
      <c r="R3018" s="705">
        <v>106097</v>
      </c>
      <c r="S3018" s="705">
        <v>96452</v>
      </c>
      <c r="T3018" s="705">
        <v>20572</v>
      </c>
      <c r="U3018" s="705">
        <v>7619</v>
      </c>
      <c r="V3018" s="705">
        <v>851886</v>
      </c>
      <c r="W3018" s="705">
        <f t="shared" si="118"/>
        <v>851886</v>
      </c>
      <c r="X3018" s="705">
        <f t="shared" si="119"/>
        <v>962021</v>
      </c>
    </row>
    <row r="3019" spans="2:24">
      <c r="B3019" t="s">
        <v>556</v>
      </c>
      <c r="C3019" t="s">
        <v>124</v>
      </c>
      <c r="D3019" t="s">
        <v>584</v>
      </c>
      <c r="E3019" t="s">
        <v>584</v>
      </c>
      <c r="F3019" s="705">
        <v>7</v>
      </c>
      <c r="G3019" s="705">
        <v>864</v>
      </c>
      <c r="H3019" s="705">
        <v>3589</v>
      </c>
      <c r="I3019" s="705">
        <v>295934</v>
      </c>
      <c r="J3019" s="705">
        <v>269031</v>
      </c>
      <c r="K3019" s="705">
        <v>73</v>
      </c>
      <c r="L3019" s="705">
        <v>70861</v>
      </c>
      <c r="M3019" s="705">
        <v>60778</v>
      </c>
      <c r="N3019" s="705">
        <v>19066</v>
      </c>
      <c r="O3019" s="705">
        <v>7061</v>
      </c>
      <c r="P3019" s="705">
        <v>3308</v>
      </c>
      <c r="Q3019" s="705">
        <v>1225</v>
      </c>
      <c r="R3019" s="705">
        <v>36312</v>
      </c>
      <c r="S3019" s="705">
        <v>33011</v>
      </c>
      <c r="T3019" s="705">
        <v>13228</v>
      </c>
      <c r="U3019" s="705">
        <v>4899</v>
      </c>
      <c r="V3019" s="705">
        <v>376005</v>
      </c>
      <c r="W3019" s="705">
        <f t="shared" si="118"/>
        <v>376005</v>
      </c>
      <c r="X3019" s="705">
        <f t="shared" si="119"/>
        <v>438709</v>
      </c>
    </row>
    <row r="3020" spans="2:24">
      <c r="B3020" t="s">
        <v>556</v>
      </c>
      <c r="C3020" t="s">
        <v>124</v>
      </c>
      <c r="D3020" t="s">
        <v>669</v>
      </c>
      <c r="E3020" t="s">
        <v>228</v>
      </c>
      <c r="F3020" s="705">
        <v>3</v>
      </c>
      <c r="G3020" s="705">
        <v>299</v>
      </c>
      <c r="H3020" s="705">
        <v>3796</v>
      </c>
      <c r="I3020" s="705">
        <v>341545</v>
      </c>
      <c r="J3020" s="705">
        <v>284621</v>
      </c>
      <c r="K3020" s="705">
        <v>37</v>
      </c>
      <c r="L3020" s="705">
        <v>14759</v>
      </c>
      <c r="M3020" s="705">
        <v>12299</v>
      </c>
      <c r="N3020" s="705">
        <v>6806</v>
      </c>
      <c r="O3020" s="705">
        <v>2521</v>
      </c>
      <c r="P3020" s="705">
        <v>351</v>
      </c>
      <c r="Q3020" s="705">
        <v>130</v>
      </c>
      <c r="R3020" s="705">
        <v>19700</v>
      </c>
      <c r="S3020" s="705">
        <v>7296</v>
      </c>
      <c r="T3020" s="705">
        <v>0</v>
      </c>
      <c r="U3020" s="705">
        <v>0</v>
      </c>
      <c r="V3020" s="705">
        <v>306867</v>
      </c>
      <c r="W3020" s="705">
        <f t="shared" si="118"/>
        <v>306867</v>
      </c>
      <c r="X3020" s="705">
        <f t="shared" si="119"/>
        <v>383161</v>
      </c>
    </row>
    <row r="3021" spans="2:24">
      <c r="B3021" t="s">
        <v>556</v>
      </c>
      <c r="C3021" t="s">
        <v>124</v>
      </c>
      <c r="D3021" t="s">
        <v>669</v>
      </c>
      <c r="E3021" t="s">
        <v>669</v>
      </c>
      <c r="F3021" s="705">
        <v>5</v>
      </c>
      <c r="G3021" s="705">
        <v>674</v>
      </c>
      <c r="H3021" s="705">
        <v>3060</v>
      </c>
      <c r="I3021" s="705">
        <v>302264</v>
      </c>
      <c r="J3021" s="705">
        <v>251886</v>
      </c>
      <c r="K3021" s="705">
        <v>63</v>
      </c>
      <c r="L3021" s="705">
        <v>40992</v>
      </c>
      <c r="M3021" s="705">
        <v>30434</v>
      </c>
      <c r="N3021" s="705">
        <v>13854</v>
      </c>
      <c r="O3021" s="705">
        <v>5131</v>
      </c>
      <c r="P3021" s="705">
        <v>2376</v>
      </c>
      <c r="Q3021" s="705">
        <v>880</v>
      </c>
      <c r="R3021" s="705">
        <v>26504</v>
      </c>
      <c r="S3021" s="705">
        <v>22086</v>
      </c>
      <c r="T3021" s="705">
        <v>13129</v>
      </c>
      <c r="U3021" s="705">
        <v>4863</v>
      </c>
      <c r="V3021" s="705">
        <v>315280</v>
      </c>
      <c r="W3021" s="705">
        <f t="shared" si="118"/>
        <v>315280</v>
      </c>
      <c r="X3021" s="705">
        <f t="shared" si="119"/>
        <v>399119</v>
      </c>
    </row>
    <row r="3022" spans="2:24">
      <c r="B3022" t="s">
        <v>556</v>
      </c>
      <c r="C3022" t="s">
        <v>124</v>
      </c>
      <c r="D3022" t="s">
        <v>665</v>
      </c>
      <c r="E3022" t="s">
        <v>228</v>
      </c>
      <c r="F3022" s="705">
        <v>30</v>
      </c>
      <c r="G3022" s="705">
        <v>2288</v>
      </c>
      <c r="H3022" s="705">
        <v>34224</v>
      </c>
      <c r="I3022" s="705">
        <v>2185284</v>
      </c>
      <c r="J3022" s="705">
        <v>1986622</v>
      </c>
      <c r="K3022" s="705">
        <v>40</v>
      </c>
      <c r="L3022" s="705">
        <v>161851</v>
      </c>
      <c r="M3022" s="705">
        <v>76203</v>
      </c>
      <c r="N3022" s="705">
        <v>49198</v>
      </c>
      <c r="O3022" s="705">
        <v>18221</v>
      </c>
      <c r="P3022" s="705">
        <v>0</v>
      </c>
      <c r="Q3022" s="705">
        <v>0</v>
      </c>
      <c r="R3022" s="705">
        <v>162966</v>
      </c>
      <c r="S3022" s="705">
        <v>60358</v>
      </c>
      <c r="T3022" s="705">
        <v>0</v>
      </c>
      <c r="U3022" s="705">
        <v>0</v>
      </c>
      <c r="V3022" s="705">
        <v>2141404</v>
      </c>
      <c r="W3022" s="705">
        <f t="shared" si="118"/>
        <v>2141404</v>
      </c>
      <c r="X3022" s="705">
        <f t="shared" si="119"/>
        <v>2559299</v>
      </c>
    </row>
    <row r="3023" spans="2:24">
      <c r="B3023" t="s">
        <v>556</v>
      </c>
      <c r="C3023" t="s">
        <v>124</v>
      </c>
      <c r="D3023" t="s">
        <v>665</v>
      </c>
      <c r="E3023" t="s">
        <v>665</v>
      </c>
      <c r="F3023" s="705">
        <v>51</v>
      </c>
      <c r="G3023" s="705">
        <v>4344</v>
      </c>
      <c r="H3023" s="705">
        <v>37534</v>
      </c>
      <c r="I3023" s="705">
        <v>2329462</v>
      </c>
      <c r="J3023" s="705">
        <v>2117693</v>
      </c>
      <c r="K3023" s="705">
        <v>55</v>
      </c>
      <c r="L3023" s="705">
        <v>315368</v>
      </c>
      <c r="M3023" s="705">
        <v>225919</v>
      </c>
      <c r="N3023" s="705">
        <v>95758</v>
      </c>
      <c r="O3023" s="705">
        <v>35466</v>
      </c>
      <c r="P3023" s="705">
        <v>13460</v>
      </c>
      <c r="Q3023" s="705">
        <v>4985</v>
      </c>
      <c r="R3023" s="705">
        <v>275232</v>
      </c>
      <c r="S3023" s="705">
        <v>250211</v>
      </c>
      <c r="T3023" s="705">
        <v>83815</v>
      </c>
      <c r="U3023" s="705">
        <v>31043</v>
      </c>
      <c r="V3023" s="705">
        <v>2665316</v>
      </c>
      <c r="W3023" s="705">
        <f t="shared" si="118"/>
        <v>2665317</v>
      </c>
      <c r="X3023" s="705">
        <f t="shared" si="119"/>
        <v>3113095</v>
      </c>
    </row>
    <row r="3024" spans="2:24">
      <c r="B3024" t="s">
        <v>556</v>
      </c>
      <c r="C3024" t="s">
        <v>124</v>
      </c>
      <c r="D3024" t="s">
        <v>665</v>
      </c>
      <c r="E3024" t="s">
        <v>722</v>
      </c>
      <c r="F3024" s="705">
        <v>1</v>
      </c>
      <c r="G3024" s="705">
        <v>129</v>
      </c>
      <c r="H3024" s="705">
        <v>569</v>
      </c>
      <c r="I3024" s="705">
        <v>63342</v>
      </c>
      <c r="J3024" s="705">
        <v>57584</v>
      </c>
      <c r="K3024" s="705">
        <v>65</v>
      </c>
      <c r="L3024" s="705">
        <v>0</v>
      </c>
      <c r="M3024" s="705">
        <v>0</v>
      </c>
      <c r="N3024" s="705">
        <v>3147</v>
      </c>
      <c r="O3024" s="705">
        <v>1166</v>
      </c>
      <c r="P3024" s="705">
        <v>351</v>
      </c>
      <c r="Q3024" s="705">
        <v>130</v>
      </c>
      <c r="R3024" s="705">
        <v>4358</v>
      </c>
      <c r="S3024" s="705">
        <v>3962</v>
      </c>
      <c r="T3024" s="705">
        <v>2338</v>
      </c>
      <c r="U3024" s="705">
        <v>866</v>
      </c>
      <c r="V3024" s="705">
        <v>63708</v>
      </c>
      <c r="W3024" s="705">
        <f t="shared" si="118"/>
        <v>63708</v>
      </c>
      <c r="X3024" s="705">
        <f t="shared" si="119"/>
        <v>73536</v>
      </c>
    </row>
    <row r="3025" spans="2:24">
      <c r="B3025" t="s">
        <v>556</v>
      </c>
      <c r="C3025" t="s">
        <v>124</v>
      </c>
      <c r="D3025" t="s">
        <v>673</v>
      </c>
      <c r="E3025" t="s">
        <v>666</v>
      </c>
      <c r="F3025" s="705">
        <v>1</v>
      </c>
      <c r="G3025" s="705">
        <v>75</v>
      </c>
      <c r="H3025" s="705">
        <v>711</v>
      </c>
      <c r="I3025" s="705">
        <v>37353</v>
      </c>
      <c r="J3025" s="705">
        <v>33957</v>
      </c>
      <c r="K3025" s="705">
        <v>45</v>
      </c>
      <c r="L3025" s="705">
        <v>6225</v>
      </c>
      <c r="M3025" s="705">
        <v>5660</v>
      </c>
      <c r="N3025" s="705">
        <v>1238</v>
      </c>
      <c r="O3025" s="705">
        <v>458</v>
      </c>
      <c r="P3025" s="705">
        <v>351</v>
      </c>
      <c r="Q3025" s="705">
        <v>130</v>
      </c>
      <c r="R3025" s="705">
        <v>5847</v>
      </c>
      <c r="S3025" s="705">
        <v>5316</v>
      </c>
      <c r="T3025" s="705">
        <v>2094</v>
      </c>
      <c r="U3025" s="705">
        <v>776</v>
      </c>
      <c r="V3025" s="705">
        <v>46296</v>
      </c>
      <c r="W3025" s="705">
        <f t="shared" si="118"/>
        <v>46297</v>
      </c>
      <c r="X3025" s="705">
        <f t="shared" si="119"/>
        <v>53108</v>
      </c>
    </row>
    <row r="3026" spans="2:24">
      <c r="B3026" t="s">
        <v>557</v>
      </c>
      <c r="C3026" t="s">
        <v>108</v>
      </c>
      <c r="D3026" t="s">
        <v>582</v>
      </c>
      <c r="E3026" t="s">
        <v>228</v>
      </c>
      <c r="F3026" s="705">
        <v>1</v>
      </c>
      <c r="G3026" s="705">
        <v>244</v>
      </c>
      <c r="H3026" s="705">
        <v>64</v>
      </c>
      <c r="I3026" s="705">
        <v>3970</v>
      </c>
      <c r="J3026" s="705">
        <v>3609</v>
      </c>
      <c r="K3026" s="705">
        <v>90</v>
      </c>
      <c r="L3026" s="705">
        <v>663</v>
      </c>
      <c r="M3026" s="705">
        <v>603</v>
      </c>
      <c r="N3026" s="705">
        <v>2973</v>
      </c>
      <c r="O3026" s="705">
        <v>1101</v>
      </c>
      <c r="P3026" s="705">
        <v>2592</v>
      </c>
      <c r="Q3026" s="705">
        <v>960</v>
      </c>
      <c r="R3026" s="705">
        <v>5320</v>
      </c>
      <c r="S3026" s="705">
        <v>1970</v>
      </c>
      <c r="T3026" s="705">
        <v>0</v>
      </c>
      <c r="U3026" s="705">
        <v>0</v>
      </c>
      <c r="V3026" s="705">
        <v>8243</v>
      </c>
      <c r="W3026" s="705">
        <f t="shared" si="118"/>
        <v>8243</v>
      </c>
      <c r="X3026" s="705">
        <f t="shared" si="119"/>
        <v>15518</v>
      </c>
    </row>
    <row r="3027" spans="2:24">
      <c r="B3027" t="s">
        <v>557</v>
      </c>
      <c r="C3027" t="s">
        <v>108</v>
      </c>
      <c r="D3027" t="s">
        <v>228</v>
      </c>
      <c r="E3027" t="s">
        <v>228</v>
      </c>
      <c r="F3027" s="705">
        <v>90</v>
      </c>
      <c r="G3027" s="705">
        <v>19669</v>
      </c>
      <c r="H3027" s="705">
        <v>4970</v>
      </c>
      <c r="I3027" s="705">
        <v>171518</v>
      </c>
      <c r="J3027" s="705">
        <v>63525</v>
      </c>
      <c r="K3027" s="705">
        <v>454</v>
      </c>
      <c r="L3027" s="705">
        <v>45328</v>
      </c>
      <c r="M3027" s="705">
        <v>42611</v>
      </c>
      <c r="N3027" s="705">
        <v>263698</v>
      </c>
      <c r="O3027" s="705">
        <v>97666</v>
      </c>
      <c r="P3027" s="705">
        <v>150898</v>
      </c>
      <c r="Q3027" s="705">
        <v>55888</v>
      </c>
      <c r="R3027" s="705">
        <v>467459</v>
      </c>
      <c r="S3027" s="705">
        <v>173133</v>
      </c>
      <c r="T3027" s="705">
        <v>0</v>
      </c>
      <c r="U3027" s="705">
        <v>0</v>
      </c>
      <c r="V3027" s="705">
        <v>432823</v>
      </c>
      <c r="W3027" s="705">
        <f t="shared" si="118"/>
        <v>432823</v>
      </c>
      <c r="X3027" s="705">
        <f t="shared" si="119"/>
        <v>1098901</v>
      </c>
    </row>
    <row r="3028" spans="2:24">
      <c r="B3028" t="s">
        <v>557</v>
      </c>
      <c r="C3028" t="s">
        <v>108</v>
      </c>
      <c r="D3028" t="s">
        <v>670</v>
      </c>
      <c r="E3028" t="s">
        <v>724</v>
      </c>
      <c r="F3028" s="705">
        <v>1</v>
      </c>
      <c r="G3028" s="705">
        <v>148</v>
      </c>
      <c r="H3028" s="705">
        <v>70</v>
      </c>
      <c r="I3028" s="705">
        <v>3316</v>
      </c>
      <c r="J3028" s="705">
        <v>1228</v>
      </c>
      <c r="K3028" s="705">
        <v>320</v>
      </c>
      <c r="L3028" s="705">
        <v>1201</v>
      </c>
      <c r="M3028" s="705">
        <v>1092</v>
      </c>
      <c r="N3028" s="705">
        <v>2516</v>
      </c>
      <c r="O3028" s="705">
        <v>932</v>
      </c>
      <c r="P3028" s="705">
        <v>351</v>
      </c>
      <c r="Q3028" s="705">
        <v>130</v>
      </c>
      <c r="R3028" s="705">
        <v>2926</v>
      </c>
      <c r="S3028" s="705">
        <v>1084</v>
      </c>
      <c r="T3028" s="705">
        <v>0</v>
      </c>
      <c r="U3028" s="705">
        <v>0</v>
      </c>
      <c r="V3028" s="705">
        <v>4466</v>
      </c>
      <c r="W3028" s="705">
        <f t="shared" si="118"/>
        <v>4466</v>
      </c>
      <c r="X3028" s="705">
        <f t="shared" si="119"/>
        <v>10310</v>
      </c>
    </row>
    <row r="3029" spans="2:24">
      <c r="B3029" t="s">
        <v>557</v>
      </c>
      <c r="C3029" t="s">
        <v>108</v>
      </c>
      <c r="D3029" t="s">
        <v>583</v>
      </c>
      <c r="E3029" t="s">
        <v>583</v>
      </c>
      <c r="F3029" s="705">
        <v>10</v>
      </c>
      <c r="G3029" s="705">
        <v>2547</v>
      </c>
      <c r="H3029" s="705">
        <v>659</v>
      </c>
      <c r="I3029" s="705">
        <v>64495</v>
      </c>
      <c r="J3029" s="705">
        <v>58631</v>
      </c>
      <c r="K3029" s="705">
        <v>95</v>
      </c>
      <c r="L3029" s="705">
        <v>10009</v>
      </c>
      <c r="M3029" s="705">
        <v>9099</v>
      </c>
      <c r="N3029" s="705">
        <v>34232</v>
      </c>
      <c r="O3029" s="705">
        <v>12679</v>
      </c>
      <c r="P3029" s="705">
        <v>18450</v>
      </c>
      <c r="Q3029" s="705">
        <v>6833</v>
      </c>
      <c r="R3029" s="705">
        <v>40067</v>
      </c>
      <c r="S3029" s="705">
        <v>36425</v>
      </c>
      <c r="T3029" s="705">
        <v>0</v>
      </c>
      <c r="U3029" s="705">
        <v>0</v>
      </c>
      <c r="V3029" s="705">
        <v>123667</v>
      </c>
      <c r="W3029" s="705">
        <f t="shared" si="118"/>
        <v>123667</v>
      </c>
      <c r="X3029" s="705">
        <f t="shared" si="119"/>
        <v>167253</v>
      </c>
    </row>
    <row r="3030" spans="2:24">
      <c r="B3030" t="s">
        <v>557</v>
      </c>
      <c r="C3030" t="s">
        <v>108</v>
      </c>
      <c r="D3030" t="s">
        <v>584</v>
      </c>
      <c r="E3030" t="s">
        <v>584</v>
      </c>
      <c r="F3030" s="705">
        <v>6</v>
      </c>
      <c r="G3030" s="705">
        <v>1273</v>
      </c>
      <c r="H3030" s="705">
        <v>281</v>
      </c>
      <c r="I3030" s="705">
        <v>6348</v>
      </c>
      <c r="J3030" s="705">
        <v>5771</v>
      </c>
      <c r="K3030" s="705">
        <v>91</v>
      </c>
      <c r="L3030" s="705">
        <v>870</v>
      </c>
      <c r="M3030" s="705">
        <v>791</v>
      </c>
      <c r="N3030" s="705">
        <v>15504</v>
      </c>
      <c r="O3030" s="705">
        <v>5742</v>
      </c>
      <c r="P3030" s="705">
        <v>2835</v>
      </c>
      <c r="Q3030" s="705">
        <v>1050</v>
      </c>
      <c r="R3030" s="705">
        <v>32471</v>
      </c>
      <c r="S3030" s="705">
        <v>29519</v>
      </c>
      <c r="T3030" s="705">
        <v>0</v>
      </c>
      <c r="U3030" s="705">
        <v>0</v>
      </c>
      <c r="V3030" s="705">
        <v>42873</v>
      </c>
      <c r="W3030" s="705">
        <f t="shared" si="118"/>
        <v>42873</v>
      </c>
      <c r="X3030" s="705">
        <f t="shared" si="119"/>
        <v>58028</v>
      </c>
    </row>
    <row r="3031" spans="2:24">
      <c r="B3031" t="s">
        <v>557</v>
      </c>
      <c r="C3031" t="s">
        <v>110</v>
      </c>
      <c r="F3031" s="705">
        <v>1</v>
      </c>
      <c r="G3031" s="705">
        <v>108</v>
      </c>
      <c r="H3031" s="705">
        <v>89</v>
      </c>
      <c r="I3031" s="705"/>
      <c r="J3031" s="705">
        <v>0</v>
      </c>
      <c r="K3031" s="705"/>
      <c r="L3031" s="705"/>
      <c r="M3031" s="705">
        <v>0</v>
      </c>
      <c r="N3031" s="705">
        <v>1980</v>
      </c>
      <c r="O3031" s="705">
        <v>733</v>
      </c>
      <c r="P3031" s="705">
        <v>0</v>
      </c>
      <c r="Q3031" s="705">
        <v>0</v>
      </c>
      <c r="R3031" s="705"/>
      <c r="S3031" s="705">
        <v>0</v>
      </c>
      <c r="T3031" s="705">
        <v>0</v>
      </c>
      <c r="U3031" s="705">
        <v>0</v>
      </c>
      <c r="V3031" s="705">
        <v>733</v>
      </c>
      <c r="W3031" s="705">
        <f t="shared" si="118"/>
        <v>733</v>
      </c>
      <c r="X3031" s="705">
        <f t="shared" si="119"/>
        <v>1980</v>
      </c>
    </row>
    <row r="3032" spans="2:24">
      <c r="B3032" t="s">
        <v>557</v>
      </c>
      <c r="C3032" t="s">
        <v>110</v>
      </c>
      <c r="D3032" t="s">
        <v>228</v>
      </c>
      <c r="E3032" t="s">
        <v>228</v>
      </c>
      <c r="F3032" s="705">
        <v>21</v>
      </c>
      <c r="G3032" s="705">
        <v>5057</v>
      </c>
      <c r="H3032" s="705">
        <v>1827</v>
      </c>
      <c r="I3032" s="705">
        <v>174173</v>
      </c>
      <c r="J3032" s="705">
        <v>64508</v>
      </c>
      <c r="K3032" s="705">
        <v>368</v>
      </c>
      <c r="L3032" s="705">
        <v>45930</v>
      </c>
      <c r="M3032" s="705">
        <v>46968</v>
      </c>
      <c r="N3032" s="705">
        <v>85093</v>
      </c>
      <c r="O3032" s="705">
        <v>31516</v>
      </c>
      <c r="P3032" s="705">
        <v>21245</v>
      </c>
      <c r="Q3032" s="705">
        <v>7869</v>
      </c>
      <c r="R3032" s="705">
        <v>127246</v>
      </c>
      <c r="S3032" s="705">
        <v>47128</v>
      </c>
      <c r="T3032" s="705">
        <v>0</v>
      </c>
      <c r="U3032" s="705">
        <v>0</v>
      </c>
      <c r="V3032" s="705">
        <v>197989</v>
      </c>
      <c r="W3032" s="705">
        <f t="shared" si="118"/>
        <v>197989</v>
      </c>
      <c r="X3032" s="705">
        <f t="shared" si="119"/>
        <v>453687</v>
      </c>
    </row>
    <row r="3033" spans="2:24">
      <c r="B3033" t="s">
        <v>557</v>
      </c>
      <c r="C3033" t="s">
        <v>110</v>
      </c>
      <c r="D3033" t="s">
        <v>583</v>
      </c>
      <c r="E3033" t="s">
        <v>583</v>
      </c>
      <c r="F3033" s="705">
        <v>22</v>
      </c>
      <c r="G3033" s="705">
        <v>4811</v>
      </c>
      <c r="H3033" s="705">
        <v>2023</v>
      </c>
      <c r="I3033" s="705">
        <v>235921</v>
      </c>
      <c r="J3033" s="705">
        <v>214473</v>
      </c>
      <c r="K3033" s="705">
        <v>93</v>
      </c>
      <c r="L3033" s="705">
        <v>42649</v>
      </c>
      <c r="M3033" s="705">
        <v>38096</v>
      </c>
      <c r="N3033" s="705">
        <v>75030</v>
      </c>
      <c r="O3033" s="705">
        <v>27789</v>
      </c>
      <c r="P3033" s="705">
        <v>15768</v>
      </c>
      <c r="Q3033" s="705">
        <v>5840</v>
      </c>
      <c r="R3033" s="705">
        <v>104973</v>
      </c>
      <c r="S3033" s="705">
        <v>95430</v>
      </c>
      <c r="T3033" s="705">
        <v>0</v>
      </c>
      <c r="U3033" s="705">
        <v>0</v>
      </c>
      <c r="V3033" s="705">
        <v>381628</v>
      </c>
      <c r="W3033" s="705">
        <f t="shared" si="118"/>
        <v>381628</v>
      </c>
      <c r="X3033" s="705">
        <f t="shared" si="119"/>
        <v>474341</v>
      </c>
    </row>
    <row r="3034" spans="2:24">
      <c r="B3034" t="s">
        <v>557</v>
      </c>
      <c r="C3034" t="s">
        <v>110</v>
      </c>
      <c r="D3034" t="s">
        <v>584</v>
      </c>
      <c r="E3034" t="s">
        <v>584</v>
      </c>
      <c r="F3034" s="705">
        <v>2</v>
      </c>
      <c r="G3034" s="705">
        <v>395</v>
      </c>
      <c r="H3034" s="705">
        <v>176</v>
      </c>
      <c r="I3034" s="705">
        <v>13015</v>
      </c>
      <c r="J3034" s="705">
        <v>11832</v>
      </c>
      <c r="K3034" s="705">
        <v>90</v>
      </c>
      <c r="L3034" s="705">
        <v>3992</v>
      </c>
      <c r="M3034" s="705">
        <v>3327</v>
      </c>
      <c r="N3034" s="705">
        <v>4898</v>
      </c>
      <c r="O3034" s="705">
        <v>1814</v>
      </c>
      <c r="P3034" s="705">
        <v>945</v>
      </c>
      <c r="Q3034" s="705">
        <v>350</v>
      </c>
      <c r="R3034" s="705">
        <v>11698</v>
      </c>
      <c r="S3034" s="705">
        <v>10635</v>
      </c>
      <c r="T3034" s="705">
        <v>0</v>
      </c>
      <c r="U3034" s="705">
        <v>0</v>
      </c>
      <c r="V3034" s="705">
        <v>27958</v>
      </c>
      <c r="W3034" s="705">
        <f t="shared" si="118"/>
        <v>27958</v>
      </c>
      <c r="X3034" s="705">
        <f t="shared" si="119"/>
        <v>34548</v>
      </c>
    </row>
    <row r="3035" spans="2:24">
      <c r="B3035" t="s">
        <v>557</v>
      </c>
      <c r="C3035" t="s">
        <v>110</v>
      </c>
      <c r="D3035" t="s">
        <v>585</v>
      </c>
      <c r="E3035" t="s">
        <v>585</v>
      </c>
      <c r="F3035" s="705">
        <v>3</v>
      </c>
      <c r="G3035" s="705">
        <v>1076</v>
      </c>
      <c r="H3035" s="705">
        <v>264</v>
      </c>
      <c r="I3035" s="705">
        <v>56601</v>
      </c>
      <c r="J3035" s="705">
        <v>51456</v>
      </c>
      <c r="K3035" s="705">
        <v>86</v>
      </c>
      <c r="L3035" s="705">
        <v>12042</v>
      </c>
      <c r="M3035" s="705">
        <v>7213</v>
      </c>
      <c r="N3035" s="705">
        <v>14096</v>
      </c>
      <c r="O3035" s="705">
        <v>5221</v>
      </c>
      <c r="P3035" s="705">
        <v>4520</v>
      </c>
      <c r="Q3035" s="705">
        <v>1674</v>
      </c>
      <c r="R3035" s="705">
        <v>6836</v>
      </c>
      <c r="S3035" s="705">
        <v>6214</v>
      </c>
      <c r="T3035" s="705">
        <v>0</v>
      </c>
      <c r="U3035" s="705">
        <v>0</v>
      </c>
      <c r="V3035" s="705">
        <v>71778</v>
      </c>
      <c r="W3035" s="705">
        <f t="shared" si="118"/>
        <v>71778</v>
      </c>
      <c r="X3035" s="705">
        <f t="shared" si="119"/>
        <v>94095</v>
      </c>
    </row>
    <row r="3036" spans="2:24">
      <c r="B3036" t="s">
        <v>557</v>
      </c>
      <c r="C3036" t="s">
        <v>112</v>
      </c>
      <c r="D3036" t="s">
        <v>664</v>
      </c>
      <c r="E3036" t="s">
        <v>664</v>
      </c>
      <c r="F3036" s="705">
        <v>2</v>
      </c>
      <c r="G3036" s="705">
        <v>426</v>
      </c>
      <c r="H3036" s="705">
        <v>229</v>
      </c>
      <c r="I3036" s="705">
        <v>27343</v>
      </c>
      <c r="J3036" s="705">
        <v>24857</v>
      </c>
      <c r="K3036" s="705">
        <v>91</v>
      </c>
      <c r="L3036" s="705">
        <v>2533</v>
      </c>
      <c r="M3036" s="705">
        <v>2302</v>
      </c>
      <c r="N3036" s="705">
        <v>8497</v>
      </c>
      <c r="O3036" s="705">
        <v>3147</v>
      </c>
      <c r="P3036" s="705">
        <v>945</v>
      </c>
      <c r="Q3036" s="705">
        <v>350</v>
      </c>
      <c r="R3036" s="705">
        <v>8754</v>
      </c>
      <c r="S3036" s="705">
        <v>7958</v>
      </c>
      <c r="T3036" s="705">
        <v>0</v>
      </c>
      <c r="U3036" s="705">
        <v>0</v>
      </c>
      <c r="V3036" s="705">
        <v>38614</v>
      </c>
      <c r="W3036" s="705">
        <f t="shared" si="118"/>
        <v>38614</v>
      </c>
      <c r="X3036" s="705">
        <f t="shared" si="119"/>
        <v>48072</v>
      </c>
    </row>
    <row r="3037" spans="2:24">
      <c r="B3037" t="s">
        <v>557</v>
      </c>
      <c r="C3037" t="s">
        <v>112</v>
      </c>
      <c r="D3037" t="s">
        <v>582</v>
      </c>
      <c r="E3037" t="s">
        <v>582</v>
      </c>
      <c r="F3037" s="705">
        <v>2</v>
      </c>
      <c r="G3037" s="705">
        <v>714</v>
      </c>
      <c r="H3037" s="705">
        <v>230</v>
      </c>
      <c r="I3037" s="705">
        <v>42150</v>
      </c>
      <c r="J3037" s="705">
        <v>38318</v>
      </c>
      <c r="K3037" s="705">
        <v>91</v>
      </c>
      <c r="L3037" s="705">
        <v>11229</v>
      </c>
      <c r="M3037" s="705">
        <v>10208</v>
      </c>
      <c r="N3037" s="705">
        <v>14958</v>
      </c>
      <c r="O3037" s="705">
        <v>5540</v>
      </c>
      <c r="P3037" s="705">
        <v>945</v>
      </c>
      <c r="Q3037" s="705">
        <v>350</v>
      </c>
      <c r="R3037" s="705">
        <v>12475</v>
      </c>
      <c r="S3037" s="705">
        <v>11341</v>
      </c>
      <c r="T3037" s="705">
        <v>0</v>
      </c>
      <c r="U3037" s="705">
        <v>0</v>
      </c>
      <c r="V3037" s="705">
        <v>65757</v>
      </c>
      <c r="W3037" s="705">
        <f t="shared" si="118"/>
        <v>65757</v>
      </c>
      <c r="X3037" s="705">
        <f t="shared" si="119"/>
        <v>81757</v>
      </c>
    </row>
    <row r="3038" spans="2:24">
      <c r="B3038" t="s">
        <v>557</v>
      </c>
      <c r="C3038" t="s">
        <v>112</v>
      </c>
      <c r="D3038" t="s">
        <v>228</v>
      </c>
      <c r="E3038" t="s">
        <v>228</v>
      </c>
      <c r="F3038" s="705">
        <v>23</v>
      </c>
      <c r="G3038" s="705">
        <v>6056</v>
      </c>
      <c r="H3038" s="705">
        <v>2627</v>
      </c>
      <c r="I3038" s="705">
        <v>321431</v>
      </c>
      <c r="J3038" s="705">
        <v>119049</v>
      </c>
      <c r="K3038" s="705">
        <v>320</v>
      </c>
      <c r="L3038" s="705">
        <v>87652</v>
      </c>
      <c r="M3038" s="705">
        <v>79267</v>
      </c>
      <c r="N3038" s="705">
        <v>108180</v>
      </c>
      <c r="O3038" s="705">
        <v>40067</v>
      </c>
      <c r="P3038" s="705">
        <v>23749</v>
      </c>
      <c r="Q3038" s="705">
        <v>8796</v>
      </c>
      <c r="R3038" s="705">
        <v>177934</v>
      </c>
      <c r="S3038" s="705">
        <v>65902</v>
      </c>
      <c r="T3038" s="705">
        <v>0</v>
      </c>
      <c r="U3038" s="705">
        <v>0</v>
      </c>
      <c r="V3038" s="705">
        <v>313079</v>
      </c>
      <c r="W3038" s="705">
        <f t="shared" si="118"/>
        <v>313081</v>
      </c>
      <c r="X3038" s="705">
        <f t="shared" si="119"/>
        <v>718946</v>
      </c>
    </row>
    <row r="3039" spans="2:24">
      <c r="B3039" t="s">
        <v>557</v>
      </c>
      <c r="C3039" t="s">
        <v>112</v>
      </c>
      <c r="D3039" t="s">
        <v>583</v>
      </c>
      <c r="E3039" t="s">
        <v>583</v>
      </c>
      <c r="F3039" s="705">
        <v>82</v>
      </c>
      <c r="G3039" s="705">
        <v>20101</v>
      </c>
      <c r="H3039" s="705">
        <v>9659</v>
      </c>
      <c r="I3039" s="705">
        <v>1358763</v>
      </c>
      <c r="J3039" s="705">
        <v>1235239</v>
      </c>
      <c r="K3039" s="705">
        <v>92</v>
      </c>
      <c r="L3039" s="705">
        <v>233956</v>
      </c>
      <c r="M3039" s="705">
        <v>204252</v>
      </c>
      <c r="N3039" s="705">
        <v>344508</v>
      </c>
      <c r="O3039" s="705">
        <v>127596</v>
      </c>
      <c r="P3039" s="705">
        <v>67659</v>
      </c>
      <c r="Q3039" s="705">
        <v>25059</v>
      </c>
      <c r="R3039" s="705">
        <v>442884</v>
      </c>
      <c r="S3039" s="705">
        <v>402622</v>
      </c>
      <c r="T3039" s="705">
        <v>19004</v>
      </c>
      <c r="U3039" s="705">
        <v>7038</v>
      </c>
      <c r="V3039" s="705">
        <v>2001806</v>
      </c>
      <c r="W3039" s="705">
        <f t="shared" si="118"/>
        <v>2001806</v>
      </c>
      <c r="X3039" s="705">
        <f t="shared" si="119"/>
        <v>2466774</v>
      </c>
    </row>
    <row r="3040" spans="2:24">
      <c r="B3040" t="s">
        <v>557</v>
      </c>
      <c r="C3040" t="s">
        <v>112</v>
      </c>
      <c r="D3040" t="s">
        <v>584</v>
      </c>
      <c r="E3040" t="s">
        <v>584</v>
      </c>
      <c r="F3040" s="705">
        <v>5</v>
      </c>
      <c r="G3040" s="705">
        <v>643</v>
      </c>
      <c r="H3040" s="705">
        <v>585</v>
      </c>
      <c r="I3040" s="705">
        <v>48985</v>
      </c>
      <c r="J3040" s="705">
        <v>44532</v>
      </c>
      <c r="K3040" s="705">
        <v>89</v>
      </c>
      <c r="L3040" s="705">
        <v>7667</v>
      </c>
      <c r="M3040" s="705">
        <v>6970</v>
      </c>
      <c r="N3040" s="705">
        <v>8713</v>
      </c>
      <c r="O3040" s="705">
        <v>3227</v>
      </c>
      <c r="P3040" s="705">
        <v>2363</v>
      </c>
      <c r="Q3040" s="705">
        <v>875</v>
      </c>
      <c r="R3040" s="705">
        <v>8349</v>
      </c>
      <c r="S3040" s="705">
        <v>7590</v>
      </c>
      <c r="T3040" s="705">
        <v>0</v>
      </c>
      <c r="U3040" s="705">
        <v>0</v>
      </c>
      <c r="V3040" s="705">
        <v>63194</v>
      </c>
      <c r="W3040" s="705">
        <f t="shared" si="118"/>
        <v>63194</v>
      </c>
      <c r="X3040" s="705">
        <f t="shared" si="119"/>
        <v>76077</v>
      </c>
    </row>
    <row r="3041" spans="2:24">
      <c r="B3041" t="s">
        <v>557</v>
      </c>
      <c r="C3041" t="s">
        <v>112</v>
      </c>
      <c r="D3041" t="s">
        <v>665</v>
      </c>
      <c r="E3041" t="s">
        <v>228</v>
      </c>
      <c r="F3041" s="705">
        <v>1</v>
      </c>
      <c r="G3041" s="705">
        <v>371</v>
      </c>
      <c r="H3041" s="705">
        <v>109</v>
      </c>
      <c r="I3041" s="705">
        <v>27710</v>
      </c>
      <c r="J3041" s="705">
        <v>25191</v>
      </c>
      <c r="K3041" s="705">
        <v>80</v>
      </c>
      <c r="L3041" s="705">
        <v>4105</v>
      </c>
      <c r="M3041" s="705">
        <v>3732</v>
      </c>
      <c r="N3041" s="705">
        <v>4519</v>
      </c>
      <c r="O3041" s="705">
        <v>1674</v>
      </c>
      <c r="P3041" s="705">
        <v>351</v>
      </c>
      <c r="Q3041" s="705">
        <v>130</v>
      </c>
      <c r="R3041" s="705">
        <v>3776</v>
      </c>
      <c r="S3041" s="705">
        <v>1398</v>
      </c>
      <c r="T3041" s="705">
        <v>0</v>
      </c>
      <c r="U3041" s="705">
        <v>0</v>
      </c>
      <c r="V3041" s="705">
        <v>32125</v>
      </c>
      <c r="W3041" s="705">
        <f t="shared" si="118"/>
        <v>32125</v>
      </c>
      <c r="X3041" s="705">
        <f t="shared" si="119"/>
        <v>40461</v>
      </c>
    </row>
    <row r="3042" spans="2:24">
      <c r="B3042" t="s">
        <v>557</v>
      </c>
      <c r="C3042" t="s">
        <v>112</v>
      </c>
      <c r="D3042" t="s">
        <v>665</v>
      </c>
      <c r="E3042" t="s">
        <v>665</v>
      </c>
      <c r="F3042" s="705">
        <v>1</v>
      </c>
      <c r="G3042" s="705">
        <v>220</v>
      </c>
      <c r="H3042" s="705">
        <v>123</v>
      </c>
      <c r="I3042" s="705">
        <v>17831</v>
      </c>
      <c r="J3042" s="705">
        <v>16210</v>
      </c>
      <c r="K3042" s="705">
        <v>78</v>
      </c>
      <c r="L3042" s="705">
        <v>0</v>
      </c>
      <c r="M3042" s="705">
        <v>0</v>
      </c>
      <c r="N3042" s="705">
        <v>2680</v>
      </c>
      <c r="O3042" s="705">
        <v>993</v>
      </c>
      <c r="P3042" s="705">
        <v>351</v>
      </c>
      <c r="Q3042" s="705">
        <v>130</v>
      </c>
      <c r="R3042" s="705">
        <v>6277</v>
      </c>
      <c r="S3042" s="705">
        <v>5706</v>
      </c>
      <c r="T3042" s="705">
        <v>0</v>
      </c>
      <c r="U3042" s="705">
        <v>0</v>
      </c>
      <c r="V3042" s="705">
        <v>23039</v>
      </c>
      <c r="W3042" s="705">
        <f t="shared" si="118"/>
        <v>23039</v>
      </c>
      <c r="X3042" s="705">
        <f t="shared" si="119"/>
        <v>27139</v>
      </c>
    </row>
    <row r="3043" spans="2:24">
      <c r="B3043" t="s">
        <v>557</v>
      </c>
      <c r="C3043" t="s">
        <v>112</v>
      </c>
      <c r="D3043" t="s">
        <v>585</v>
      </c>
      <c r="E3043" t="s">
        <v>585</v>
      </c>
      <c r="F3043" s="705">
        <v>5</v>
      </c>
      <c r="G3043" s="705">
        <v>1206</v>
      </c>
      <c r="H3043" s="705">
        <v>598</v>
      </c>
      <c r="I3043" s="705">
        <v>70270</v>
      </c>
      <c r="J3043" s="705">
        <v>63882</v>
      </c>
      <c r="K3043" s="705">
        <v>90</v>
      </c>
      <c r="L3043" s="705">
        <v>19877</v>
      </c>
      <c r="M3043" s="705">
        <v>17869</v>
      </c>
      <c r="N3043" s="705">
        <v>24007</v>
      </c>
      <c r="O3043" s="705">
        <v>8892</v>
      </c>
      <c r="P3043" s="705">
        <v>3159</v>
      </c>
      <c r="Q3043" s="705">
        <v>1170</v>
      </c>
      <c r="R3043" s="705">
        <v>27905</v>
      </c>
      <c r="S3043" s="705">
        <v>25368</v>
      </c>
      <c r="T3043" s="705">
        <v>0</v>
      </c>
      <c r="U3043" s="705">
        <v>0</v>
      </c>
      <c r="V3043" s="705">
        <v>117180</v>
      </c>
      <c r="W3043" s="705">
        <f t="shared" si="118"/>
        <v>117181</v>
      </c>
      <c r="X3043" s="705">
        <f t="shared" si="119"/>
        <v>145218</v>
      </c>
    </row>
    <row r="3044" spans="2:24">
      <c r="B3044" t="s">
        <v>557</v>
      </c>
      <c r="C3044" t="s">
        <v>114</v>
      </c>
      <c r="D3044" t="s">
        <v>664</v>
      </c>
      <c r="E3044" t="s">
        <v>664</v>
      </c>
      <c r="F3044" s="705">
        <v>2</v>
      </c>
      <c r="G3044" s="705">
        <v>559</v>
      </c>
      <c r="H3044" s="705">
        <v>270</v>
      </c>
      <c r="I3044" s="705">
        <v>46995</v>
      </c>
      <c r="J3044" s="705">
        <v>42723</v>
      </c>
      <c r="K3044" s="705">
        <v>92</v>
      </c>
      <c r="L3044" s="705">
        <v>7809</v>
      </c>
      <c r="M3044" s="705">
        <v>7099</v>
      </c>
      <c r="N3044" s="705">
        <v>12375</v>
      </c>
      <c r="O3044" s="705">
        <v>4583</v>
      </c>
      <c r="P3044" s="705">
        <v>1917</v>
      </c>
      <c r="Q3044" s="705">
        <v>710</v>
      </c>
      <c r="R3044" s="705">
        <v>11875</v>
      </c>
      <c r="S3044" s="705">
        <v>10795</v>
      </c>
      <c r="T3044" s="705">
        <v>0</v>
      </c>
      <c r="U3044" s="705">
        <v>0</v>
      </c>
      <c r="V3044" s="705">
        <v>65910</v>
      </c>
      <c r="W3044" s="705">
        <f t="shared" si="118"/>
        <v>65910</v>
      </c>
      <c r="X3044" s="705">
        <f t="shared" si="119"/>
        <v>80971</v>
      </c>
    </row>
    <row r="3045" spans="2:24">
      <c r="B3045" t="s">
        <v>557</v>
      </c>
      <c r="C3045" t="s">
        <v>114</v>
      </c>
      <c r="D3045" t="s">
        <v>664</v>
      </c>
      <c r="E3045" t="s">
        <v>583</v>
      </c>
      <c r="F3045" s="705">
        <v>1</v>
      </c>
      <c r="G3045" s="705">
        <v>274</v>
      </c>
      <c r="H3045" s="705">
        <v>132</v>
      </c>
      <c r="I3045" s="705">
        <v>19978</v>
      </c>
      <c r="J3045" s="705">
        <v>18162</v>
      </c>
      <c r="K3045" s="705">
        <v>85</v>
      </c>
      <c r="L3045" s="705">
        <v>3152</v>
      </c>
      <c r="M3045" s="705">
        <v>2866</v>
      </c>
      <c r="N3045" s="705">
        <v>5766</v>
      </c>
      <c r="O3045" s="705">
        <v>2136</v>
      </c>
      <c r="P3045" s="705">
        <v>621</v>
      </c>
      <c r="Q3045" s="705">
        <v>230</v>
      </c>
      <c r="R3045" s="705">
        <v>6602</v>
      </c>
      <c r="S3045" s="705">
        <v>6002</v>
      </c>
      <c r="T3045" s="705">
        <v>0</v>
      </c>
      <c r="U3045" s="705">
        <v>0</v>
      </c>
      <c r="V3045" s="705">
        <v>29395</v>
      </c>
      <c r="W3045" s="705">
        <f t="shared" si="118"/>
        <v>29396</v>
      </c>
      <c r="X3045" s="705">
        <f t="shared" si="119"/>
        <v>36119</v>
      </c>
    </row>
    <row r="3046" spans="2:24">
      <c r="B3046" t="s">
        <v>557</v>
      </c>
      <c r="C3046" t="s">
        <v>114</v>
      </c>
      <c r="D3046" t="s">
        <v>582</v>
      </c>
      <c r="E3046" t="s">
        <v>582</v>
      </c>
      <c r="F3046" s="705">
        <v>18</v>
      </c>
      <c r="G3046" s="705">
        <v>3203</v>
      </c>
      <c r="H3046" s="705">
        <v>2584</v>
      </c>
      <c r="I3046" s="705">
        <v>269156</v>
      </c>
      <c r="J3046" s="705">
        <v>244687</v>
      </c>
      <c r="K3046" s="705">
        <v>89</v>
      </c>
      <c r="L3046" s="705">
        <v>56828</v>
      </c>
      <c r="M3046" s="705">
        <v>46702</v>
      </c>
      <c r="N3046" s="705">
        <v>56862</v>
      </c>
      <c r="O3046" s="705">
        <v>21060</v>
      </c>
      <c r="P3046" s="705">
        <v>8856</v>
      </c>
      <c r="Q3046" s="705">
        <v>3280</v>
      </c>
      <c r="R3046" s="705">
        <v>89889</v>
      </c>
      <c r="S3046" s="705">
        <v>81717</v>
      </c>
      <c r="T3046" s="705">
        <v>3260</v>
      </c>
      <c r="U3046" s="705">
        <v>1207</v>
      </c>
      <c r="V3046" s="705">
        <v>398654</v>
      </c>
      <c r="W3046" s="705">
        <f t="shared" si="118"/>
        <v>398653</v>
      </c>
      <c r="X3046" s="705">
        <f t="shared" si="119"/>
        <v>484851</v>
      </c>
    </row>
    <row r="3047" spans="2:24">
      <c r="B3047" t="s">
        <v>557</v>
      </c>
      <c r="C3047" t="s">
        <v>114</v>
      </c>
      <c r="D3047" t="s">
        <v>228</v>
      </c>
      <c r="E3047" t="s">
        <v>228</v>
      </c>
      <c r="F3047" s="705">
        <v>8</v>
      </c>
      <c r="G3047" s="705">
        <v>1470</v>
      </c>
      <c r="H3047" s="705">
        <v>1103</v>
      </c>
      <c r="I3047" s="705">
        <v>108863</v>
      </c>
      <c r="J3047" s="705">
        <v>40320</v>
      </c>
      <c r="K3047" s="705">
        <v>321</v>
      </c>
      <c r="L3047" s="705">
        <v>26855</v>
      </c>
      <c r="M3047" s="705">
        <v>23523</v>
      </c>
      <c r="N3047" s="705">
        <v>25052</v>
      </c>
      <c r="O3047" s="705">
        <v>9279</v>
      </c>
      <c r="P3047" s="705">
        <v>7139</v>
      </c>
      <c r="Q3047" s="705">
        <v>2644</v>
      </c>
      <c r="R3047" s="705">
        <v>56478</v>
      </c>
      <c r="S3047" s="705">
        <v>20918</v>
      </c>
      <c r="T3047" s="705">
        <v>0</v>
      </c>
      <c r="U3047" s="705">
        <v>0</v>
      </c>
      <c r="V3047" s="705">
        <v>96683</v>
      </c>
      <c r="W3047" s="705">
        <f t="shared" si="118"/>
        <v>96684</v>
      </c>
      <c r="X3047" s="705">
        <f t="shared" si="119"/>
        <v>224387</v>
      </c>
    </row>
    <row r="3048" spans="2:24">
      <c r="B3048" t="s">
        <v>557</v>
      </c>
      <c r="C3048" t="s">
        <v>114</v>
      </c>
      <c r="D3048" t="s">
        <v>583</v>
      </c>
      <c r="E3048" t="s">
        <v>664</v>
      </c>
      <c r="F3048" s="705">
        <v>1</v>
      </c>
      <c r="G3048" s="705">
        <v>158</v>
      </c>
      <c r="H3048" s="705">
        <v>125</v>
      </c>
      <c r="I3048" s="705">
        <v>17770</v>
      </c>
      <c r="J3048" s="705">
        <v>16155</v>
      </c>
      <c r="K3048" s="705">
        <v>93</v>
      </c>
      <c r="L3048" s="705">
        <v>2906</v>
      </c>
      <c r="M3048" s="705">
        <v>2642</v>
      </c>
      <c r="N3048" s="705">
        <v>2984</v>
      </c>
      <c r="O3048" s="705">
        <v>1105</v>
      </c>
      <c r="P3048" s="705">
        <v>621</v>
      </c>
      <c r="Q3048" s="705">
        <v>230</v>
      </c>
      <c r="R3048" s="705">
        <v>4087</v>
      </c>
      <c r="S3048" s="705">
        <v>3715</v>
      </c>
      <c r="T3048" s="705">
        <v>2371</v>
      </c>
      <c r="U3048" s="705">
        <v>878</v>
      </c>
      <c r="V3048" s="705">
        <v>24725</v>
      </c>
      <c r="W3048" s="705">
        <f t="shared" si="118"/>
        <v>24725</v>
      </c>
      <c r="X3048" s="705">
        <f t="shared" si="119"/>
        <v>30739</v>
      </c>
    </row>
    <row r="3049" spans="2:24">
      <c r="B3049" t="s">
        <v>557</v>
      </c>
      <c r="C3049" t="s">
        <v>114</v>
      </c>
      <c r="D3049" t="s">
        <v>583</v>
      </c>
      <c r="E3049" t="s">
        <v>228</v>
      </c>
      <c r="F3049" s="705">
        <v>1</v>
      </c>
      <c r="G3049" s="705">
        <v>227</v>
      </c>
      <c r="H3049" s="705">
        <v>142</v>
      </c>
      <c r="I3049" s="705">
        <v>17785</v>
      </c>
      <c r="J3049" s="705">
        <v>16168</v>
      </c>
      <c r="K3049" s="705">
        <v>94</v>
      </c>
      <c r="L3049" s="705">
        <v>3367</v>
      </c>
      <c r="M3049" s="705">
        <v>2806</v>
      </c>
      <c r="N3049" s="705">
        <v>5256</v>
      </c>
      <c r="O3049" s="705">
        <v>1947</v>
      </c>
      <c r="P3049" s="705">
        <v>621</v>
      </c>
      <c r="Q3049" s="705">
        <v>230</v>
      </c>
      <c r="R3049" s="705">
        <v>5279</v>
      </c>
      <c r="S3049" s="705">
        <v>1955</v>
      </c>
      <c r="T3049" s="705">
        <v>0</v>
      </c>
      <c r="U3049" s="705">
        <v>0</v>
      </c>
      <c r="V3049" s="705">
        <v>23106</v>
      </c>
      <c r="W3049" s="705">
        <f t="shared" si="118"/>
        <v>23106</v>
      </c>
      <c r="X3049" s="705">
        <f t="shared" si="119"/>
        <v>32308</v>
      </c>
    </row>
    <row r="3050" spans="2:24">
      <c r="B3050" t="s">
        <v>557</v>
      </c>
      <c r="C3050" t="s">
        <v>114</v>
      </c>
      <c r="D3050" t="s">
        <v>583</v>
      </c>
      <c r="E3050" t="s">
        <v>583</v>
      </c>
      <c r="F3050" s="705">
        <v>337</v>
      </c>
      <c r="G3050" s="705">
        <v>67562</v>
      </c>
      <c r="H3050" s="705">
        <v>47255</v>
      </c>
      <c r="I3050" s="705">
        <v>5561260</v>
      </c>
      <c r="J3050" s="705">
        <v>5055691</v>
      </c>
      <c r="K3050" s="705">
        <v>90</v>
      </c>
      <c r="L3050" s="705">
        <v>1090453</v>
      </c>
      <c r="M3050" s="705">
        <v>977683</v>
      </c>
      <c r="N3050" s="705">
        <v>1291491</v>
      </c>
      <c r="O3050" s="705">
        <v>478330</v>
      </c>
      <c r="P3050" s="705">
        <v>239874</v>
      </c>
      <c r="Q3050" s="705">
        <v>88842</v>
      </c>
      <c r="R3050" s="705">
        <v>1829019</v>
      </c>
      <c r="S3050" s="705">
        <v>1662744</v>
      </c>
      <c r="T3050" s="705">
        <v>99273</v>
      </c>
      <c r="U3050" s="705">
        <v>36768</v>
      </c>
      <c r="V3050" s="705">
        <v>8300058</v>
      </c>
      <c r="W3050" s="705">
        <f t="shared" si="118"/>
        <v>8300058</v>
      </c>
      <c r="X3050" s="705">
        <f t="shared" si="119"/>
        <v>10111370</v>
      </c>
    </row>
    <row r="3051" spans="2:24">
      <c r="B3051" t="s">
        <v>557</v>
      </c>
      <c r="C3051" t="s">
        <v>114</v>
      </c>
      <c r="D3051" t="s">
        <v>584</v>
      </c>
      <c r="E3051" t="s">
        <v>584</v>
      </c>
      <c r="F3051" s="705">
        <v>26</v>
      </c>
      <c r="G3051" s="705">
        <v>4066</v>
      </c>
      <c r="H3051" s="705">
        <v>3663</v>
      </c>
      <c r="I3051" s="705">
        <v>306957</v>
      </c>
      <c r="J3051" s="705">
        <v>279052</v>
      </c>
      <c r="K3051" s="705">
        <v>89</v>
      </c>
      <c r="L3051" s="705">
        <v>73441</v>
      </c>
      <c r="M3051" s="705">
        <v>64643</v>
      </c>
      <c r="N3051" s="705">
        <v>77003</v>
      </c>
      <c r="O3051" s="705">
        <v>28520</v>
      </c>
      <c r="P3051" s="705">
        <v>13138</v>
      </c>
      <c r="Q3051" s="705">
        <v>4866</v>
      </c>
      <c r="R3051" s="705">
        <v>123224</v>
      </c>
      <c r="S3051" s="705">
        <v>112022</v>
      </c>
      <c r="T3051" s="705">
        <v>2817</v>
      </c>
      <c r="U3051" s="705">
        <v>1043</v>
      </c>
      <c r="V3051" s="705">
        <v>490146</v>
      </c>
      <c r="W3051" s="705">
        <f t="shared" si="118"/>
        <v>490146</v>
      </c>
      <c r="X3051" s="705">
        <f t="shared" si="119"/>
        <v>596580</v>
      </c>
    </row>
    <row r="3052" spans="2:24">
      <c r="B3052" t="s">
        <v>557</v>
      </c>
      <c r="C3052" t="s">
        <v>114</v>
      </c>
      <c r="D3052" t="s">
        <v>665</v>
      </c>
      <c r="E3052" t="s">
        <v>665</v>
      </c>
      <c r="F3052" s="705">
        <v>1</v>
      </c>
      <c r="G3052" s="705">
        <v>331</v>
      </c>
      <c r="H3052" s="705">
        <v>133</v>
      </c>
      <c r="I3052" s="705">
        <v>23590</v>
      </c>
      <c r="J3052" s="705">
        <v>21446</v>
      </c>
      <c r="K3052" s="705">
        <v>65</v>
      </c>
      <c r="L3052" s="705">
        <v>2700</v>
      </c>
      <c r="M3052" s="705">
        <v>2454</v>
      </c>
      <c r="N3052" s="705">
        <v>6046</v>
      </c>
      <c r="O3052" s="705">
        <v>2239</v>
      </c>
      <c r="P3052" s="705">
        <v>702</v>
      </c>
      <c r="Q3052" s="705">
        <v>260</v>
      </c>
      <c r="R3052" s="705">
        <v>6648</v>
      </c>
      <c r="S3052" s="705">
        <v>6044</v>
      </c>
      <c r="T3052" s="705">
        <v>4420</v>
      </c>
      <c r="U3052" s="705">
        <v>1637</v>
      </c>
      <c r="V3052" s="705">
        <v>34080</v>
      </c>
      <c r="W3052" s="705">
        <f t="shared" ref="W3052:W3115" si="120">SUM(ABS(J3052),ABS(M3052),ABS(O3052),ABS(Q3052),ABS(S3052),ABS(U3052))</f>
        <v>34080</v>
      </c>
      <c r="X3052" s="705">
        <f t="shared" ref="X3052:X3115" si="121">SUM(ABS(I3052),ABS(N3052),ABS(P3052),ABS(R3052),ABS(T3052),ABS(L3052))</f>
        <v>44106</v>
      </c>
    </row>
    <row r="3053" spans="2:24">
      <c r="B3053" t="s">
        <v>557</v>
      </c>
      <c r="C3053" t="s">
        <v>114</v>
      </c>
      <c r="D3053" t="s">
        <v>585</v>
      </c>
      <c r="E3053" t="s">
        <v>585</v>
      </c>
      <c r="F3053" s="705">
        <v>2</v>
      </c>
      <c r="G3053" s="705">
        <v>538</v>
      </c>
      <c r="H3053" s="705">
        <v>291</v>
      </c>
      <c r="I3053" s="705">
        <v>41685</v>
      </c>
      <c r="J3053" s="705">
        <v>37896</v>
      </c>
      <c r="K3053" s="705">
        <v>88</v>
      </c>
      <c r="L3053" s="705">
        <v>13560</v>
      </c>
      <c r="M3053" s="705">
        <v>12327</v>
      </c>
      <c r="N3053" s="705">
        <v>9822</v>
      </c>
      <c r="O3053" s="705">
        <v>3638</v>
      </c>
      <c r="P3053" s="705">
        <v>702</v>
      </c>
      <c r="Q3053" s="705">
        <v>260</v>
      </c>
      <c r="R3053" s="705">
        <v>12568</v>
      </c>
      <c r="S3053" s="705">
        <v>11426</v>
      </c>
      <c r="T3053" s="705">
        <v>0</v>
      </c>
      <c r="U3053" s="705">
        <v>0</v>
      </c>
      <c r="V3053" s="705">
        <v>65546</v>
      </c>
      <c r="W3053" s="705">
        <f t="shared" si="120"/>
        <v>65547</v>
      </c>
      <c r="X3053" s="705">
        <f t="shared" si="121"/>
        <v>78337</v>
      </c>
    </row>
    <row r="3054" spans="2:24">
      <c r="B3054" t="s">
        <v>557</v>
      </c>
      <c r="C3054" t="s">
        <v>116</v>
      </c>
      <c r="D3054" t="s">
        <v>664</v>
      </c>
      <c r="E3054" t="s">
        <v>664</v>
      </c>
      <c r="F3054" s="705">
        <v>2</v>
      </c>
      <c r="G3054" s="705">
        <v>545</v>
      </c>
      <c r="H3054" s="705">
        <v>354</v>
      </c>
      <c r="I3054" s="705">
        <v>55747</v>
      </c>
      <c r="J3054" s="705">
        <v>50679</v>
      </c>
      <c r="K3054" s="705">
        <v>92</v>
      </c>
      <c r="L3054" s="705">
        <v>11318</v>
      </c>
      <c r="M3054" s="705">
        <v>10289</v>
      </c>
      <c r="N3054" s="705">
        <v>11086</v>
      </c>
      <c r="O3054" s="705">
        <v>4106</v>
      </c>
      <c r="P3054" s="705">
        <v>945</v>
      </c>
      <c r="Q3054" s="705">
        <v>350</v>
      </c>
      <c r="R3054" s="705">
        <v>9029</v>
      </c>
      <c r="S3054" s="705">
        <v>8208</v>
      </c>
      <c r="T3054" s="705">
        <v>4253</v>
      </c>
      <c r="U3054" s="705">
        <v>1575</v>
      </c>
      <c r="V3054" s="705">
        <v>75207</v>
      </c>
      <c r="W3054" s="705">
        <f t="shared" si="120"/>
        <v>75207</v>
      </c>
      <c r="X3054" s="705">
        <f t="shared" si="121"/>
        <v>92378</v>
      </c>
    </row>
    <row r="3055" spans="2:24">
      <c r="B3055" t="s">
        <v>557</v>
      </c>
      <c r="C3055" t="s">
        <v>116</v>
      </c>
      <c r="D3055" t="s">
        <v>664</v>
      </c>
      <c r="E3055" t="s">
        <v>582</v>
      </c>
      <c r="F3055" s="705">
        <v>1</v>
      </c>
      <c r="G3055" s="705">
        <v>141</v>
      </c>
      <c r="H3055" s="705">
        <v>170</v>
      </c>
      <c r="I3055" s="705">
        <v>11952</v>
      </c>
      <c r="J3055" s="705">
        <v>10865</v>
      </c>
      <c r="K3055" s="705">
        <v>78</v>
      </c>
      <c r="L3055" s="705">
        <v>1510</v>
      </c>
      <c r="M3055" s="705">
        <v>1373</v>
      </c>
      <c r="N3055" s="705">
        <v>3228</v>
      </c>
      <c r="O3055" s="705">
        <v>1195</v>
      </c>
      <c r="P3055" s="705">
        <v>473</v>
      </c>
      <c r="Q3055" s="705">
        <v>175</v>
      </c>
      <c r="R3055" s="705">
        <v>3875</v>
      </c>
      <c r="S3055" s="705">
        <v>3522</v>
      </c>
      <c r="T3055" s="705">
        <v>2919</v>
      </c>
      <c r="U3055" s="705">
        <v>1081</v>
      </c>
      <c r="V3055" s="705">
        <v>18212</v>
      </c>
      <c r="W3055" s="705">
        <f t="shared" si="120"/>
        <v>18211</v>
      </c>
      <c r="X3055" s="705">
        <f t="shared" si="121"/>
        <v>23957</v>
      </c>
    </row>
    <row r="3056" spans="2:24">
      <c r="B3056" t="s">
        <v>557</v>
      </c>
      <c r="C3056" t="s">
        <v>116</v>
      </c>
      <c r="D3056" t="s">
        <v>664</v>
      </c>
      <c r="E3056" t="s">
        <v>583</v>
      </c>
      <c r="F3056" s="705">
        <v>2</v>
      </c>
      <c r="G3056" s="705">
        <v>252</v>
      </c>
      <c r="H3056" s="705">
        <v>435</v>
      </c>
      <c r="I3056" s="705">
        <v>36590</v>
      </c>
      <c r="J3056" s="705">
        <v>33263</v>
      </c>
      <c r="K3056" s="705">
        <v>89</v>
      </c>
      <c r="L3056" s="705">
        <v>11422</v>
      </c>
      <c r="M3056" s="705">
        <v>10384</v>
      </c>
      <c r="N3056" s="705">
        <v>6325</v>
      </c>
      <c r="O3056" s="705">
        <v>2343</v>
      </c>
      <c r="P3056" s="705">
        <v>1242</v>
      </c>
      <c r="Q3056" s="705">
        <v>460</v>
      </c>
      <c r="R3056" s="705">
        <v>12165</v>
      </c>
      <c r="S3056" s="705">
        <v>11060</v>
      </c>
      <c r="T3056" s="705">
        <v>0</v>
      </c>
      <c r="U3056" s="705">
        <v>0</v>
      </c>
      <c r="V3056" s="705">
        <v>57509</v>
      </c>
      <c r="W3056" s="705">
        <f t="shared" si="120"/>
        <v>57510</v>
      </c>
      <c r="X3056" s="705">
        <f t="shared" si="121"/>
        <v>67744</v>
      </c>
    </row>
    <row r="3057" spans="2:24">
      <c r="B3057" t="s">
        <v>557</v>
      </c>
      <c r="C3057" t="s">
        <v>116</v>
      </c>
      <c r="D3057" t="s">
        <v>582</v>
      </c>
      <c r="E3057" t="s">
        <v>664</v>
      </c>
      <c r="F3057" s="705">
        <v>1</v>
      </c>
      <c r="G3057" s="705">
        <v>117</v>
      </c>
      <c r="H3057" s="705">
        <v>184</v>
      </c>
      <c r="I3057" s="705">
        <v>14287</v>
      </c>
      <c r="J3057" s="705">
        <v>12988</v>
      </c>
      <c r="K3057" s="705">
        <v>90</v>
      </c>
      <c r="L3057" s="705">
        <v>3515</v>
      </c>
      <c r="M3057" s="705">
        <v>1302</v>
      </c>
      <c r="N3057" s="705">
        <v>3516</v>
      </c>
      <c r="O3057" s="705">
        <v>1302</v>
      </c>
      <c r="P3057" s="705">
        <v>473</v>
      </c>
      <c r="Q3057" s="705">
        <v>175</v>
      </c>
      <c r="R3057" s="705">
        <v>4791</v>
      </c>
      <c r="S3057" s="705">
        <v>4356</v>
      </c>
      <c r="T3057" s="705">
        <v>0</v>
      </c>
      <c r="U3057" s="705">
        <v>0</v>
      </c>
      <c r="V3057" s="705">
        <v>20123</v>
      </c>
      <c r="W3057" s="705">
        <f t="shared" si="120"/>
        <v>20123</v>
      </c>
      <c r="X3057" s="705">
        <f t="shared" si="121"/>
        <v>26582</v>
      </c>
    </row>
    <row r="3058" spans="2:24">
      <c r="B3058" t="s">
        <v>557</v>
      </c>
      <c r="C3058" t="s">
        <v>116</v>
      </c>
      <c r="D3058" t="s">
        <v>582</v>
      </c>
      <c r="E3058" t="s">
        <v>582</v>
      </c>
      <c r="F3058" s="705">
        <v>56</v>
      </c>
      <c r="G3058" s="705">
        <v>8447</v>
      </c>
      <c r="H3058" s="705">
        <v>10777</v>
      </c>
      <c r="I3058" s="705">
        <v>922222</v>
      </c>
      <c r="J3058" s="705">
        <v>838383</v>
      </c>
      <c r="K3058" s="705">
        <v>84</v>
      </c>
      <c r="L3058" s="705">
        <v>195307</v>
      </c>
      <c r="M3058" s="705">
        <v>175699</v>
      </c>
      <c r="N3058" s="705">
        <v>163047</v>
      </c>
      <c r="O3058" s="705">
        <v>60388</v>
      </c>
      <c r="P3058" s="705">
        <v>27608</v>
      </c>
      <c r="Q3058" s="705">
        <v>10225</v>
      </c>
      <c r="R3058" s="705">
        <v>293180</v>
      </c>
      <c r="S3058" s="705">
        <v>266527</v>
      </c>
      <c r="T3058" s="705">
        <v>52301</v>
      </c>
      <c r="U3058" s="705">
        <v>19371</v>
      </c>
      <c r="V3058" s="705">
        <v>1370593</v>
      </c>
      <c r="W3058" s="705">
        <f t="shared" si="120"/>
        <v>1370593</v>
      </c>
      <c r="X3058" s="705">
        <f t="shared" si="121"/>
        <v>1653665</v>
      </c>
    </row>
    <row r="3059" spans="2:24">
      <c r="B3059" t="s">
        <v>557</v>
      </c>
      <c r="C3059" t="s">
        <v>116</v>
      </c>
      <c r="D3059" t="s">
        <v>228</v>
      </c>
      <c r="E3059" t="s">
        <v>228</v>
      </c>
      <c r="F3059" s="705">
        <v>19</v>
      </c>
      <c r="G3059" s="705">
        <v>2938</v>
      </c>
      <c r="H3059" s="705">
        <v>3557</v>
      </c>
      <c r="I3059" s="705">
        <v>267586</v>
      </c>
      <c r="J3059" s="705">
        <v>99106</v>
      </c>
      <c r="K3059" s="705">
        <v>256</v>
      </c>
      <c r="L3059" s="705">
        <v>82682</v>
      </c>
      <c r="M3059" s="705">
        <v>74625</v>
      </c>
      <c r="N3059" s="705">
        <v>59285</v>
      </c>
      <c r="O3059" s="705">
        <v>21957</v>
      </c>
      <c r="P3059" s="705">
        <v>15571</v>
      </c>
      <c r="Q3059" s="705">
        <v>5767</v>
      </c>
      <c r="R3059" s="705">
        <v>142686</v>
      </c>
      <c r="S3059" s="705">
        <v>52847</v>
      </c>
      <c r="T3059" s="705">
        <v>0</v>
      </c>
      <c r="U3059" s="705">
        <v>0</v>
      </c>
      <c r="V3059" s="705">
        <v>254302</v>
      </c>
      <c r="W3059" s="705">
        <f t="shared" si="120"/>
        <v>254302</v>
      </c>
      <c r="X3059" s="705">
        <f t="shared" si="121"/>
        <v>567810</v>
      </c>
    </row>
    <row r="3060" spans="2:24">
      <c r="B3060" t="s">
        <v>557</v>
      </c>
      <c r="C3060" t="s">
        <v>116</v>
      </c>
      <c r="D3060" t="s">
        <v>583</v>
      </c>
      <c r="E3060" t="s">
        <v>664</v>
      </c>
      <c r="F3060" s="705">
        <v>2</v>
      </c>
      <c r="G3060" s="705">
        <v>376</v>
      </c>
      <c r="H3060" s="705">
        <v>366</v>
      </c>
      <c r="I3060" s="705">
        <v>36962</v>
      </c>
      <c r="J3060" s="705">
        <v>33602</v>
      </c>
      <c r="K3060" s="705">
        <v>89</v>
      </c>
      <c r="L3060" s="705">
        <v>8576</v>
      </c>
      <c r="M3060" s="705">
        <v>7796</v>
      </c>
      <c r="N3060" s="705">
        <v>8692</v>
      </c>
      <c r="O3060" s="705">
        <v>3219</v>
      </c>
      <c r="P3060" s="705">
        <v>1242</v>
      </c>
      <c r="Q3060" s="705">
        <v>460</v>
      </c>
      <c r="R3060" s="705">
        <v>13143</v>
      </c>
      <c r="S3060" s="705">
        <v>11948</v>
      </c>
      <c r="T3060" s="705">
        <v>0</v>
      </c>
      <c r="U3060" s="705">
        <v>0</v>
      </c>
      <c r="V3060" s="705">
        <v>57025</v>
      </c>
      <c r="W3060" s="705">
        <f t="shared" si="120"/>
        <v>57025</v>
      </c>
      <c r="X3060" s="705">
        <f t="shared" si="121"/>
        <v>68615</v>
      </c>
    </row>
    <row r="3061" spans="2:24">
      <c r="B3061" t="s">
        <v>557</v>
      </c>
      <c r="C3061" t="s">
        <v>116</v>
      </c>
      <c r="D3061" t="s">
        <v>583</v>
      </c>
      <c r="E3061" t="s">
        <v>228</v>
      </c>
      <c r="F3061" s="705">
        <v>3</v>
      </c>
      <c r="G3061" s="705">
        <v>632</v>
      </c>
      <c r="H3061" s="705">
        <v>559</v>
      </c>
      <c r="I3061" s="705">
        <v>73906</v>
      </c>
      <c r="J3061" s="705">
        <v>67187</v>
      </c>
      <c r="K3061" s="705">
        <v>88</v>
      </c>
      <c r="L3061" s="705">
        <v>9553</v>
      </c>
      <c r="M3061" s="705">
        <v>8265</v>
      </c>
      <c r="N3061" s="705">
        <v>13406</v>
      </c>
      <c r="O3061" s="705">
        <v>4965</v>
      </c>
      <c r="P3061" s="705">
        <v>1863</v>
      </c>
      <c r="Q3061" s="705">
        <v>690</v>
      </c>
      <c r="R3061" s="705">
        <v>20368</v>
      </c>
      <c r="S3061" s="705">
        <v>7544</v>
      </c>
      <c r="T3061" s="705">
        <v>0</v>
      </c>
      <c r="U3061" s="705">
        <v>0</v>
      </c>
      <c r="V3061" s="705">
        <v>88651</v>
      </c>
      <c r="W3061" s="705">
        <f t="shared" si="120"/>
        <v>88651</v>
      </c>
      <c r="X3061" s="705">
        <f t="shared" si="121"/>
        <v>119096</v>
      </c>
    </row>
    <row r="3062" spans="2:24">
      <c r="B3062" t="s">
        <v>557</v>
      </c>
      <c r="C3062" t="s">
        <v>116</v>
      </c>
      <c r="D3062" t="s">
        <v>583</v>
      </c>
      <c r="E3062" t="s">
        <v>583</v>
      </c>
      <c r="F3062" s="705">
        <v>1850</v>
      </c>
      <c r="G3062" s="705">
        <v>302690</v>
      </c>
      <c r="H3062" s="705">
        <v>356322</v>
      </c>
      <c r="I3062" s="705">
        <v>34270864</v>
      </c>
      <c r="J3062" s="705">
        <v>31155331</v>
      </c>
      <c r="K3062" s="705">
        <v>85</v>
      </c>
      <c r="L3062" s="705">
        <v>7038676</v>
      </c>
      <c r="M3062" s="705">
        <v>6257461</v>
      </c>
      <c r="N3062" s="705">
        <v>6148874</v>
      </c>
      <c r="O3062" s="705">
        <v>2277361</v>
      </c>
      <c r="P3062" s="705">
        <v>1242520</v>
      </c>
      <c r="Q3062" s="705">
        <v>460192</v>
      </c>
      <c r="R3062" s="705">
        <v>10063007</v>
      </c>
      <c r="S3062" s="705">
        <v>9148188</v>
      </c>
      <c r="T3062" s="705">
        <v>1991441</v>
      </c>
      <c r="U3062" s="705">
        <v>737571</v>
      </c>
      <c r="V3062" s="705">
        <v>50036105</v>
      </c>
      <c r="W3062" s="705">
        <f t="shared" si="120"/>
        <v>50036104</v>
      </c>
      <c r="X3062" s="705">
        <f t="shared" si="121"/>
        <v>60755382</v>
      </c>
    </row>
    <row r="3063" spans="2:24">
      <c r="B3063" t="s">
        <v>557</v>
      </c>
      <c r="C3063" t="s">
        <v>116</v>
      </c>
      <c r="D3063" t="s">
        <v>583</v>
      </c>
      <c r="E3063" t="s">
        <v>584</v>
      </c>
      <c r="F3063" s="705">
        <v>1</v>
      </c>
      <c r="G3063" s="705">
        <v>144</v>
      </c>
      <c r="H3063" s="705">
        <v>198</v>
      </c>
      <c r="I3063" s="705">
        <v>15280</v>
      </c>
      <c r="J3063" s="705">
        <v>13891</v>
      </c>
      <c r="K3063" s="705">
        <v>79</v>
      </c>
      <c r="L3063" s="705">
        <v>4630</v>
      </c>
      <c r="M3063" s="705">
        <v>3859</v>
      </c>
      <c r="N3063" s="705">
        <v>2233</v>
      </c>
      <c r="O3063" s="705">
        <v>827</v>
      </c>
      <c r="P3063" s="705">
        <v>621</v>
      </c>
      <c r="Q3063" s="705">
        <v>230</v>
      </c>
      <c r="R3063" s="705">
        <v>5758</v>
      </c>
      <c r="S3063" s="705">
        <v>5235</v>
      </c>
      <c r="T3063" s="705">
        <v>0</v>
      </c>
      <c r="U3063" s="705">
        <v>0</v>
      </c>
      <c r="V3063" s="705">
        <v>24042</v>
      </c>
      <c r="W3063" s="705">
        <f t="shared" si="120"/>
        <v>24042</v>
      </c>
      <c r="X3063" s="705">
        <f t="shared" si="121"/>
        <v>28522</v>
      </c>
    </row>
    <row r="3064" spans="2:24">
      <c r="B3064" t="s">
        <v>557</v>
      </c>
      <c r="C3064" t="s">
        <v>116</v>
      </c>
      <c r="D3064" t="s">
        <v>583</v>
      </c>
      <c r="E3064" t="s">
        <v>665</v>
      </c>
      <c r="F3064" s="705">
        <v>1</v>
      </c>
      <c r="G3064" s="705">
        <v>241</v>
      </c>
      <c r="H3064" s="705">
        <v>217</v>
      </c>
      <c r="I3064" s="705">
        <v>31367</v>
      </c>
      <c r="J3064" s="705">
        <v>28516</v>
      </c>
      <c r="K3064" s="705">
        <v>65</v>
      </c>
      <c r="L3064" s="705">
        <v>3916</v>
      </c>
      <c r="M3064" s="705">
        <v>3560</v>
      </c>
      <c r="N3064" s="705">
        <v>4547</v>
      </c>
      <c r="O3064" s="705">
        <v>1684</v>
      </c>
      <c r="P3064" s="705">
        <v>621</v>
      </c>
      <c r="Q3064" s="705">
        <v>230</v>
      </c>
      <c r="R3064" s="705">
        <v>11687</v>
      </c>
      <c r="S3064" s="705">
        <v>10624</v>
      </c>
      <c r="T3064" s="705">
        <v>0</v>
      </c>
      <c r="U3064" s="705">
        <v>0</v>
      </c>
      <c r="V3064" s="705">
        <v>44614</v>
      </c>
      <c r="W3064" s="705">
        <f t="shared" si="120"/>
        <v>44614</v>
      </c>
      <c r="X3064" s="705">
        <f t="shared" si="121"/>
        <v>52138</v>
      </c>
    </row>
    <row r="3065" spans="2:24">
      <c r="B3065" t="s">
        <v>557</v>
      </c>
      <c r="C3065" t="s">
        <v>116</v>
      </c>
      <c r="D3065" t="s">
        <v>666</v>
      </c>
      <c r="E3065" t="s">
        <v>583</v>
      </c>
      <c r="F3065" s="705">
        <v>1</v>
      </c>
      <c r="G3065" s="705">
        <v>142</v>
      </c>
      <c r="H3065" s="705">
        <v>199</v>
      </c>
      <c r="I3065" s="705">
        <v>15375</v>
      </c>
      <c r="J3065" s="705">
        <v>13977</v>
      </c>
      <c r="K3065" s="705">
        <v>84</v>
      </c>
      <c r="L3065" s="705">
        <v>4555</v>
      </c>
      <c r="M3065" s="705">
        <v>4141</v>
      </c>
      <c r="N3065" s="705">
        <v>2422</v>
      </c>
      <c r="O3065" s="705">
        <v>897</v>
      </c>
      <c r="P3065" s="705">
        <v>621</v>
      </c>
      <c r="Q3065" s="705">
        <v>230</v>
      </c>
      <c r="R3065" s="705">
        <v>5225</v>
      </c>
      <c r="S3065" s="705">
        <v>4750</v>
      </c>
      <c r="T3065" s="705">
        <v>0</v>
      </c>
      <c r="U3065" s="705">
        <v>0</v>
      </c>
      <c r="V3065" s="705">
        <v>23995</v>
      </c>
      <c r="W3065" s="705">
        <f t="shared" si="120"/>
        <v>23995</v>
      </c>
      <c r="X3065" s="705">
        <f t="shared" si="121"/>
        <v>28198</v>
      </c>
    </row>
    <row r="3066" spans="2:24">
      <c r="B3066" t="s">
        <v>557</v>
      </c>
      <c r="C3066" t="s">
        <v>116</v>
      </c>
      <c r="D3066" t="s">
        <v>584</v>
      </c>
      <c r="E3066" t="s">
        <v>584</v>
      </c>
      <c r="F3066" s="705">
        <v>130</v>
      </c>
      <c r="G3066" s="705">
        <v>18699</v>
      </c>
      <c r="H3066" s="705">
        <v>24294</v>
      </c>
      <c r="I3066" s="705">
        <v>1864812</v>
      </c>
      <c r="J3066" s="705">
        <v>1695283</v>
      </c>
      <c r="K3066" s="705">
        <v>82</v>
      </c>
      <c r="L3066" s="705">
        <v>461349</v>
      </c>
      <c r="M3066" s="705">
        <v>411420</v>
      </c>
      <c r="N3066" s="705">
        <v>365862</v>
      </c>
      <c r="O3066" s="705">
        <v>135504</v>
      </c>
      <c r="P3066" s="705">
        <v>65689</v>
      </c>
      <c r="Q3066" s="705">
        <v>24329</v>
      </c>
      <c r="R3066" s="705">
        <v>698395</v>
      </c>
      <c r="S3066" s="705">
        <v>634904</v>
      </c>
      <c r="T3066" s="705">
        <v>91485</v>
      </c>
      <c r="U3066" s="705">
        <v>33883</v>
      </c>
      <c r="V3066" s="705">
        <v>2935324</v>
      </c>
      <c r="W3066" s="705">
        <f t="shared" si="120"/>
        <v>2935323</v>
      </c>
      <c r="X3066" s="705">
        <f t="shared" si="121"/>
        <v>3547592</v>
      </c>
    </row>
    <row r="3067" spans="2:24">
      <c r="B3067" t="s">
        <v>557</v>
      </c>
      <c r="C3067" t="s">
        <v>116</v>
      </c>
      <c r="D3067" t="s">
        <v>669</v>
      </c>
      <c r="E3067" t="s">
        <v>669</v>
      </c>
      <c r="F3067" s="705">
        <v>1</v>
      </c>
      <c r="G3067" s="705">
        <v>311</v>
      </c>
      <c r="H3067" s="705">
        <v>224</v>
      </c>
      <c r="I3067" s="705">
        <v>48806</v>
      </c>
      <c r="J3067" s="705">
        <v>40672</v>
      </c>
      <c r="K3067" s="705">
        <v>60</v>
      </c>
      <c r="L3067" s="705">
        <v>3207</v>
      </c>
      <c r="M3067" s="705">
        <v>2916</v>
      </c>
      <c r="N3067" s="705">
        <v>3829</v>
      </c>
      <c r="O3067" s="705">
        <v>1418</v>
      </c>
      <c r="P3067" s="705">
        <v>824</v>
      </c>
      <c r="Q3067" s="705">
        <v>305</v>
      </c>
      <c r="R3067" s="705">
        <v>13146</v>
      </c>
      <c r="S3067" s="705">
        <v>10955</v>
      </c>
      <c r="T3067" s="705">
        <v>0</v>
      </c>
      <c r="U3067" s="705">
        <v>0</v>
      </c>
      <c r="V3067" s="705">
        <v>56265</v>
      </c>
      <c r="W3067" s="705">
        <f t="shared" si="120"/>
        <v>56266</v>
      </c>
      <c r="X3067" s="705">
        <f t="shared" si="121"/>
        <v>69812</v>
      </c>
    </row>
    <row r="3068" spans="2:24">
      <c r="B3068" t="s">
        <v>557</v>
      </c>
      <c r="C3068" t="s">
        <v>116</v>
      </c>
      <c r="D3068" t="s">
        <v>667</v>
      </c>
      <c r="E3068" t="s">
        <v>667</v>
      </c>
      <c r="F3068" s="705">
        <v>1</v>
      </c>
      <c r="G3068" s="705">
        <v>155</v>
      </c>
      <c r="H3068" s="705">
        <v>183</v>
      </c>
      <c r="I3068" s="705">
        <v>18083</v>
      </c>
      <c r="J3068" s="705">
        <v>16439</v>
      </c>
      <c r="K3068" s="705">
        <v>65</v>
      </c>
      <c r="L3068" s="705">
        <v>1789</v>
      </c>
      <c r="M3068" s="705">
        <v>1626</v>
      </c>
      <c r="N3068" s="705">
        <v>2753</v>
      </c>
      <c r="O3068" s="705">
        <v>1019</v>
      </c>
      <c r="P3068" s="705">
        <v>824</v>
      </c>
      <c r="Q3068" s="705">
        <v>305</v>
      </c>
      <c r="R3068" s="705">
        <v>3686</v>
      </c>
      <c r="S3068" s="705">
        <v>3351</v>
      </c>
      <c r="T3068" s="705">
        <v>1178</v>
      </c>
      <c r="U3068" s="705">
        <v>436</v>
      </c>
      <c r="V3068" s="705">
        <v>23177</v>
      </c>
      <c r="W3068" s="705">
        <f t="shared" si="120"/>
        <v>23176</v>
      </c>
      <c r="X3068" s="705">
        <f t="shared" si="121"/>
        <v>28313</v>
      </c>
    </row>
    <row r="3069" spans="2:24">
      <c r="B3069" t="s">
        <v>557</v>
      </c>
      <c r="C3069" t="s">
        <v>116</v>
      </c>
      <c r="D3069" t="s">
        <v>665</v>
      </c>
      <c r="E3069" t="s">
        <v>665</v>
      </c>
      <c r="F3069" s="705">
        <v>8</v>
      </c>
      <c r="G3069" s="705">
        <v>1330</v>
      </c>
      <c r="H3069" s="705">
        <v>1625</v>
      </c>
      <c r="I3069" s="705">
        <v>181236</v>
      </c>
      <c r="J3069" s="705">
        <v>164760</v>
      </c>
      <c r="K3069" s="705">
        <v>68</v>
      </c>
      <c r="L3069" s="705">
        <v>18513</v>
      </c>
      <c r="M3069" s="705">
        <v>18525</v>
      </c>
      <c r="N3069" s="705">
        <v>27894</v>
      </c>
      <c r="O3069" s="705">
        <v>10331</v>
      </c>
      <c r="P3069" s="705">
        <v>3618</v>
      </c>
      <c r="Q3069" s="705">
        <v>1340</v>
      </c>
      <c r="R3069" s="705">
        <v>47989</v>
      </c>
      <c r="S3069" s="705">
        <v>43627</v>
      </c>
      <c r="T3069" s="705">
        <v>14423</v>
      </c>
      <c r="U3069" s="705">
        <v>5342</v>
      </c>
      <c r="V3069" s="705">
        <v>243925</v>
      </c>
      <c r="W3069" s="705">
        <f t="shared" si="120"/>
        <v>243925</v>
      </c>
      <c r="X3069" s="705">
        <f t="shared" si="121"/>
        <v>293673</v>
      </c>
    </row>
    <row r="3070" spans="2:24">
      <c r="B3070" t="s">
        <v>557</v>
      </c>
      <c r="C3070" t="s">
        <v>116</v>
      </c>
      <c r="D3070" t="s">
        <v>673</v>
      </c>
      <c r="E3070" t="s">
        <v>673</v>
      </c>
      <c r="F3070" s="705">
        <v>1</v>
      </c>
      <c r="G3070" s="705">
        <v>287</v>
      </c>
      <c r="H3070" s="705">
        <v>224</v>
      </c>
      <c r="I3070" s="705">
        <v>40328</v>
      </c>
      <c r="J3070" s="705">
        <v>36662</v>
      </c>
      <c r="K3070" s="705">
        <v>55</v>
      </c>
      <c r="L3070" s="705">
        <v>3898</v>
      </c>
      <c r="M3070" s="705">
        <v>3544</v>
      </c>
      <c r="N3070" s="705">
        <v>6749</v>
      </c>
      <c r="O3070" s="705">
        <v>2500</v>
      </c>
      <c r="P3070" s="705">
        <v>351</v>
      </c>
      <c r="Q3070" s="705">
        <v>130</v>
      </c>
      <c r="R3070" s="705">
        <v>8561</v>
      </c>
      <c r="S3070" s="705">
        <v>7783</v>
      </c>
      <c r="T3070" s="705">
        <v>4321</v>
      </c>
      <c r="U3070" s="705">
        <v>1600</v>
      </c>
      <c r="V3070" s="705">
        <v>52218</v>
      </c>
      <c r="W3070" s="705">
        <f t="shared" si="120"/>
        <v>52219</v>
      </c>
      <c r="X3070" s="705">
        <f t="shared" si="121"/>
        <v>64208</v>
      </c>
    </row>
    <row r="3071" spans="2:24">
      <c r="B3071" t="s">
        <v>557</v>
      </c>
      <c r="C3071" t="s">
        <v>116</v>
      </c>
      <c r="D3071" t="s">
        <v>585</v>
      </c>
      <c r="E3071" t="s">
        <v>585</v>
      </c>
      <c r="F3071" s="705">
        <v>12</v>
      </c>
      <c r="G3071" s="705">
        <v>2210</v>
      </c>
      <c r="H3071" s="705">
        <v>2307</v>
      </c>
      <c r="I3071" s="705">
        <v>250326</v>
      </c>
      <c r="J3071" s="705">
        <v>227569</v>
      </c>
      <c r="K3071" s="705">
        <v>77</v>
      </c>
      <c r="L3071" s="705">
        <v>45888</v>
      </c>
      <c r="M3071" s="705">
        <v>39719</v>
      </c>
      <c r="N3071" s="705">
        <v>41547</v>
      </c>
      <c r="O3071" s="705">
        <v>15388</v>
      </c>
      <c r="P3071" s="705">
        <v>5616</v>
      </c>
      <c r="Q3071" s="705">
        <v>2080</v>
      </c>
      <c r="R3071" s="705">
        <v>61273</v>
      </c>
      <c r="S3071" s="705">
        <v>55703</v>
      </c>
      <c r="T3071" s="705">
        <v>14817</v>
      </c>
      <c r="U3071" s="705">
        <v>5488</v>
      </c>
      <c r="V3071" s="705">
        <v>345946</v>
      </c>
      <c r="W3071" s="705">
        <f t="shared" si="120"/>
        <v>345947</v>
      </c>
      <c r="X3071" s="705">
        <f t="shared" si="121"/>
        <v>419467</v>
      </c>
    </row>
    <row r="3072" spans="2:24">
      <c r="B3072" t="s">
        <v>557</v>
      </c>
      <c r="C3072" t="s">
        <v>118</v>
      </c>
      <c r="D3072" t="s">
        <v>664</v>
      </c>
      <c r="E3072" t="s">
        <v>664</v>
      </c>
      <c r="F3072" s="705">
        <v>2</v>
      </c>
      <c r="G3072" s="705">
        <v>577</v>
      </c>
      <c r="H3072" s="705">
        <v>479</v>
      </c>
      <c r="I3072" s="705">
        <v>95881</v>
      </c>
      <c r="J3072" s="705">
        <v>87164</v>
      </c>
      <c r="K3072" s="705">
        <v>78</v>
      </c>
      <c r="L3072" s="705">
        <v>12561</v>
      </c>
      <c r="M3072" s="705">
        <v>11420</v>
      </c>
      <c r="N3072" s="705">
        <v>13286</v>
      </c>
      <c r="O3072" s="705">
        <v>4921</v>
      </c>
      <c r="P3072" s="705">
        <v>1215</v>
      </c>
      <c r="Q3072" s="705">
        <v>450</v>
      </c>
      <c r="R3072" s="705">
        <v>12489</v>
      </c>
      <c r="S3072" s="705">
        <v>11353</v>
      </c>
      <c r="T3072" s="705">
        <v>3180</v>
      </c>
      <c r="U3072" s="705">
        <v>1178</v>
      </c>
      <c r="V3072" s="705">
        <v>116486</v>
      </c>
      <c r="W3072" s="705">
        <f t="shared" si="120"/>
        <v>116486</v>
      </c>
      <c r="X3072" s="705">
        <f t="shared" si="121"/>
        <v>138612</v>
      </c>
    </row>
    <row r="3073" spans="2:24">
      <c r="B3073" t="s">
        <v>557</v>
      </c>
      <c r="C3073" t="s">
        <v>118</v>
      </c>
      <c r="D3073" t="s">
        <v>664</v>
      </c>
      <c r="E3073" t="s">
        <v>582</v>
      </c>
      <c r="F3073" s="705">
        <v>1</v>
      </c>
      <c r="G3073" s="705">
        <v>133</v>
      </c>
      <c r="H3073" s="705">
        <v>299</v>
      </c>
      <c r="I3073" s="705">
        <v>21384</v>
      </c>
      <c r="J3073" s="705">
        <v>19440</v>
      </c>
      <c r="K3073" s="705">
        <v>68</v>
      </c>
      <c r="L3073" s="705">
        <v>5116</v>
      </c>
      <c r="M3073" s="705">
        <v>4651</v>
      </c>
      <c r="N3073" s="705">
        <v>3148</v>
      </c>
      <c r="O3073" s="705">
        <v>1166</v>
      </c>
      <c r="P3073" s="705">
        <v>473</v>
      </c>
      <c r="Q3073" s="705">
        <v>175</v>
      </c>
      <c r="R3073" s="705">
        <v>5918</v>
      </c>
      <c r="S3073" s="705">
        <v>5380</v>
      </c>
      <c r="T3073" s="705">
        <v>3535</v>
      </c>
      <c r="U3073" s="705">
        <v>1309</v>
      </c>
      <c r="V3073" s="705">
        <v>32122</v>
      </c>
      <c r="W3073" s="705">
        <f t="shared" si="120"/>
        <v>32121</v>
      </c>
      <c r="X3073" s="705">
        <f t="shared" si="121"/>
        <v>39574</v>
      </c>
    </row>
    <row r="3074" spans="2:24">
      <c r="B3074" t="s">
        <v>557</v>
      </c>
      <c r="C3074" t="s">
        <v>118</v>
      </c>
      <c r="D3074" t="s">
        <v>582</v>
      </c>
      <c r="E3074" t="s">
        <v>582</v>
      </c>
      <c r="F3074" s="705">
        <v>18</v>
      </c>
      <c r="G3074" s="705">
        <v>2532</v>
      </c>
      <c r="H3074" s="705">
        <v>4647</v>
      </c>
      <c r="I3074" s="705">
        <v>398795</v>
      </c>
      <c r="J3074" s="705">
        <v>362541</v>
      </c>
      <c r="K3074" s="705">
        <v>84</v>
      </c>
      <c r="L3074" s="705">
        <v>90681</v>
      </c>
      <c r="M3074" s="705">
        <v>82050</v>
      </c>
      <c r="N3074" s="705">
        <v>51972</v>
      </c>
      <c r="O3074" s="705">
        <v>19249</v>
      </c>
      <c r="P3074" s="705">
        <v>8735</v>
      </c>
      <c r="Q3074" s="705">
        <v>3235</v>
      </c>
      <c r="R3074" s="705">
        <v>88806</v>
      </c>
      <c r="S3074" s="705">
        <v>80733</v>
      </c>
      <c r="T3074" s="705">
        <v>27201</v>
      </c>
      <c r="U3074" s="705">
        <v>10074</v>
      </c>
      <c r="V3074" s="705">
        <v>557882</v>
      </c>
      <c r="W3074" s="705">
        <f t="shared" si="120"/>
        <v>557882</v>
      </c>
      <c r="X3074" s="705">
        <f t="shared" si="121"/>
        <v>666190</v>
      </c>
    </row>
    <row r="3075" spans="2:24">
      <c r="B3075" t="s">
        <v>557</v>
      </c>
      <c r="C3075" t="s">
        <v>118</v>
      </c>
      <c r="D3075" t="s">
        <v>582</v>
      </c>
      <c r="E3075" t="s">
        <v>228</v>
      </c>
      <c r="F3075" s="705">
        <v>1</v>
      </c>
      <c r="G3075" s="705">
        <v>104</v>
      </c>
      <c r="H3075" s="705">
        <v>245</v>
      </c>
      <c r="I3075" s="705">
        <v>13473</v>
      </c>
      <c r="J3075" s="705">
        <v>12248</v>
      </c>
      <c r="K3075" s="705">
        <v>73</v>
      </c>
      <c r="L3075" s="705">
        <v>3463</v>
      </c>
      <c r="M3075" s="705">
        <v>3148</v>
      </c>
      <c r="N3075" s="705">
        <v>2530</v>
      </c>
      <c r="O3075" s="705">
        <v>937</v>
      </c>
      <c r="P3075" s="705">
        <v>473</v>
      </c>
      <c r="Q3075" s="705">
        <v>175</v>
      </c>
      <c r="R3075" s="705">
        <v>5505</v>
      </c>
      <c r="S3075" s="705">
        <v>2039</v>
      </c>
      <c r="T3075" s="705">
        <v>0</v>
      </c>
      <c r="U3075" s="705">
        <v>0</v>
      </c>
      <c r="V3075" s="705">
        <v>18548</v>
      </c>
      <c r="W3075" s="705">
        <f t="shared" si="120"/>
        <v>18547</v>
      </c>
      <c r="X3075" s="705">
        <f t="shared" si="121"/>
        <v>25444</v>
      </c>
    </row>
    <row r="3076" spans="2:24">
      <c r="B3076" t="s">
        <v>557</v>
      </c>
      <c r="C3076" t="s">
        <v>118</v>
      </c>
      <c r="D3076" t="s">
        <v>228</v>
      </c>
      <c r="E3076" t="s">
        <v>228</v>
      </c>
      <c r="F3076" s="705">
        <v>12</v>
      </c>
      <c r="G3076" s="705">
        <v>1961</v>
      </c>
      <c r="H3076" s="705">
        <v>3313</v>
      </c>
      <c r="I3076" s="705">
        <v>352439</v>
      </c>
      <c r="J3076" s="705">
        <v>130533</v>
      </c>
      <c r="K3076" s="705">
        <v>112</v>
      </c>
      <c r="L3076" s="705">
        <v>42207</v>
      </c>
      <c r="M3076" s="705">
        <v>35591</v>
      </c>
      <c r="N3076" s="705">
        <v>40307</v>
      </c>
      <c r="O3076" s="705">
        <v>14929</v>
      </c>
      <c r="P3076" s="705">
        <v>2073</v>
      </c>
      <c r="Q3076" s="705">
        <v>768</v>
      </c>
      <c r="R3076" s="705">
        <v>109944</v>
      </c>
      <c r="S3076" s="705">
        <v>40720</v>
      </c>
      <c r="T3076" s="705">
        <v>0</v>
      </c>
      <c r="U3076" s="705">
        <v>0</v>
      </c>
      <c r="V3076" s="705">
        <v>222540</v>
      </c>
      <c r="W3076" s="705">
        <f t="shared" si="120"/>
        <v>222541</v>
      </c>
      <c r="X3076" s="705">
        <f t="shared" si="121"/>
        <v>546970</v>
      </c>
    </row>
    <row r="3077" spans="2:24">
      <c r="B3077" t="s">
        <v>557</v>
      </c>
      <c r="C3077" t="s">
        <v>118</v>
      </c>
      <c r="D3077" t="s">
        <v>583</v>
      </c>
      <c r="E3077" t="s">
        <v>664</v>
      </c>
      <c r="F3077" s="705">
        <v>1</v>
      </c>
      <c r="G3077" s="705">
        <v>178</v>
      </c>
      <c r="H3077" s="705">
        <v>246</v>
      </c>
      <c r="I3077" s="705">
        <v>27896</v>
      </c>
      <c r="J3077" s="705">
        <v>25360</v>
      </c>
      <c r="K3077" s="705">
        <v>79</v>
      </c>
      <c r="L3077" s="705">
        <v>3576</v>
      </c>
      <c r="M3077" s="705">
        <v>3251</v>
      </c>
      <c r="N3077" s="705">
        <v>3259</v>
      </c>
      <c r="O3077" s="705">
        <v>1207</v>
      </c>
      <c r="P3077" s="705">
        <v>621</v>
      </c>
      <c r="Q3077" s="705">
        <v>230</v>
      </c>
      <c r="R3077" s="705">
        <v>4999</v>
      </c>
      <c r="S3077" s="705">
        <v>4545</v>
      </c>
      <c r="T3077" s="705">
        <v>3449</v>
      </c>
      <c r="U3077" s="705">
        <v>1277</v>
      </c>
      <c r="V3077" s="705">
        <v>35871</v>
      </c>
      <c r="W3077" s="705">
        <f t="shared" si="120"/>
        <v>35870</v>
      </c>
      <c r="X3077" s="705">
        <f t="shared" si="121"/>
        <v>43800</v>
      </c>
    </row>
    <row r="3078" spans="2:24">
      <c r="B3078" t="s">
        <v>557</v>
      </c>
      <c r="C3078" t="s">
        <v>118</v>
      </c>
      <c r="D3078" t="s">
        <v>583</v>
      </c>
      <c r="E3078" t="s">
        <v>228</v>
      </c>
      <c r="F3078" s="705">
        <v>3</v>
      </c>
      <c r="G3078" s="705">
        <v>652</v>
      </c>
      <c r="H3078" s="705">
        <v>800</v>
      </c>
      <c r="I3078" s="705">
        <v>114227</v>
      </c>
      <c r="J3078" s="705">
        <v>103843</v>
      </c>
      <c r="K3078" s="705">
        <v>80</v>
      </c>
      <c r="L3078" s="705">
        <v>26414</v>
      </c>
      <c r="M3078" s="705">
        <v>24013</v>
      </c>
      <c r="N3078" s="705">
        <v>13954</v>
      </c>
      <c r="O3078" s="705">
        <v>5168</v>
      </c>
      <c r="P3078" s="705">
        <v>1863</v>
      </c>
      <c r="Q3078" s="705">
        <v>690</v>
      </c>
      <c r="R3078" s="705">
        <v>20381</v>
      </c>
      <c r="S3078" s="705">
        <v>7549</v>
      </c>
      <c r="T3078" s="705">
        <v>0</v>
      </c>
      <c r="U3078" s="705">
        <v>0</v>
      </c>
      <c r="V3078" s="705">
        <v>141263</v>
      </c>
      <c r="W3078" s="705">
        <f t="shared" si="120"/>
        <v>141263</v>
      </c>
      <c r="X3078" s="705">
        <f t="shared" si="121"/>
        <v>176839</v>
      </c>
    </row>
    <row r="3079" spans="2:24">
      <c r="B3079" t="s">
        <v>557</v>
      </c>
      <c r="C3079" t="s">
        <v>118</v>
      </c>
      <c r="D3079" t="s">
        <v>583</v>
      </c>
      <c r="E3079" t="s">
        <v>583</v>
      </c>
      <c r="F3079" s="705">
        <v>1218</v>
      </c>
      <c r="G3079" s="705">
        <v>163379</v>
      </c>
      <c r="H3079" s="705">
        <v>316279</v>
      </c>
      <c r="I3079" s="705">
        <v>25357011</v>
      </c>
      <c r="J3079" s="705">
        <v>23051828</v>
      </c>
      <c r="K3079" s="705">
        <v>81</v>
      </c>
      <c r="L3079" s="705">
        <v>5223475</v>
      </c>
      <c r="M3079" s="705">
        <v>4631239</v>
      </c>
      <c r="N3079" s="705">
        <v>3311538</v>
      </c>
      <c r="O3079" s="705">
        <v>1226495</v>
      </c>
      <c r="P3079" s="705">
        <v>802621</v>
      </c>
      <c r="Q3079" s="705">
        <v>297267</v>
      </c>
      <c r="R3079" s="705">
        <v>6315128</v>
      </c>
      <c r="S3079" s="705">
        <v>5741025</v>
      </c>
      <c r="T3079" s="705">
        <v>2095073</v>
      </c>
      <c r="U3079" s="705">
        <v>775953</v>
      </c>
      <c r="V3079" s="705">
        <v>35723808</v>
      </c>
      <c r="W3079" s="705">
        <f t="shared" si="120"/>
        <v>35723807</v>
      </c>
      <c r="X3079" s="705">
        <f t="shared" si="121"/>
        <v>43104846</v>
      </c>
    </row>
    <row r="3080" spans="2:24">
      <c r="B3080" t="s">
        <v>557</v>
      </c>
      <c r="C3080" t="s">
        <v>118</v>
      </c>
      <c r="D3080" t="s">
        <v>583</v>
      </c>
      <c r="E3080" t="s">
        <v>666</v>
      </c>
      <c r="F3080" s="705">
        <v>1</v>
      </c>
      <c r="G3080" s="705">
        <v>126</v>
      </c>
      <c r="H3080" s="705">
        <v>240</v>
      </c>
      <c r="I3080" s="705">
        <v>16224</v>
      </c>
      <c r="J3080" s="705">
        <v>14749</v>
      </c>
      <c r="K3080" s="705">
        <v>86</v>
      </c>
      <c r="L3080" s="705">
        <v>4879</v>
      </c>
      <c r="M3080" s="705">
        <v>4436</v>
      </c>
      <c r="N3080" s="705">
        <v>2464</v>
      </c>
      <c r="O3080" s="705">
        <v>913</v>
      </c>
      <c r="P3080" s="705">
        <v>621</v>
      </c>
      <c r="Q3080" s="705">
        <v>230</v>
      </c>
      <c r="R3080" s="705">
        <v>3355</v>
      </c>
      <c r="S3080" s="705">
        <v>3050</v>
      </c>
      <c r="T3080" s="705">
        <v>2751</v>
      </c>
      <c r="U3080" s="705">
        <v>1019</v>
      </c>
      <c r="V3080" s="705">
        <v>24397</v>
      </c>
      <c r="W3080" s="705">
        <f t="shared" si="120"/>
        <v>24397</v>
      </c>
      <c r="X3080" s="705">
        <f t="shared" si="121"/>
        <v>30294</v>
      </c>
    </row>
    <row r="3081" spans="2:24">
      <c r="B3081" t="s">
        <v>557</v>
      </c>
      <c r="C3081" t="s">
        <v>118</v>
      </c>
      <c r="D3081" t="s">
        <v>583</v>
      </c>
      <c r="E3081" t="s">
        <v>671</v>
      </c>
      <c r="F3081" s="705">
        <v>1</v>
      </c>
      <c r="G3081" s="705">
        <v>214</v>
      </c>
      <c r="H3081" s="705">
        <v>239</v>
      </c>
      <c r="I3081" s="705">
        <v>25828</v>
      </c>
      <c r="J3081" s="705">
        <v>23480</v>
      </c>
      <c r="K3081" s="705">
        <v>70</v>
      </c>
      <c r="L3081" s="705">
        <v>4464</v>
      </c>
      <c r="M3081" s="705">
        <v>4058</v>
      </c>
      <c r="N3081" s="705">
        <v>4710</v>
      </c>
      <c r="O3081" s="705">
        <v>1744</v>
      </c>
      <c r="P3081" s="705">
        <v>621</v>
      </c>
      <c r="Q3081" s="705">
        <v>230</v>
      </c>
      <c r="R3081" s="705">
        <v>15425</v>
      </c>
      <c r="S3081" s="705">
        <v>14023</v>
      </c>
      <c r="T3081" s="705">
        <v>0</v>
      </c>
      <c r="U3081" s="705">
        <v>0</v>
      </c>
      <c r="V3081" s="705">
        <v>43535</v>
      </c>
      <c r="W3081" s="705">
        <f t="shared" si="120"/>
        <v>43535</v>
      </c>
      <c r="X3081" s="705">
        <f t="shared" si="121"/>
        <v>51048</v>
      </c>
    </row>
    <row r="3082" spans="2:24">
      <c r="B3082" t="s">
        <v>557</v>
      </c>
      <c r="C3082" t="s">
        <v>118</v>
      </c>
      <c r="D3082" t="s">
        <v>583</v>
      </c>
      <c r="E3082" t="s">
        <v>665</v>
      </c>
      <c r="F3082" s="705">
        <v>1</v>
      </c>
      <c r="G3082" s="705">
        <v>82</v>
      </c>
      <c r="H3082" s="705">
        <v>260</v>
      </c>
      <c r="I3082" s="705">
        <v>10629</v>
      </c>
      <c r="J3082" s="705">
        <v>9663</v>
      </c>
      <c r="K3082" s="705">
        <v>70</v>
      </c>
      <c r="L3082" s="705">
        <v>1963</v>
      </c>
      <c r="M3082" s="705">
        <v>1785</v>
      </c>
      <c r="N3082" s="705">
        <v>1992</v>
      </c>
      <c r="O3082" s="705">
        <v>738</v>
      </c>
      <c r="P3082" s="705">
        <v>621</v>
      </c>
      <c r="Q3082" s="705">
        <v>230</v>
      </c>
      <c r="R3082" s="705">
        <v>6082</v>
      </c>
      <c r="S3082" s="705">
        <v>5529</v>
      </c>
      <c r="T3082" s="705">
        <v>0</v>
      </c>
      <c r="U3082" s="705">
        <v>0</v>
      </c>
      <c r="V3082" s="705">
        <v>17945</v>
      </c>
      <c r="W3082" s="705">
        <f t="shared" si="120"/>
        <v>17945</v>
      </c>
      <c r="X3082" s="705">
        <f t="shared" si="121"/>
        <v>21287</v>
      </c>
    </row>
    <row r="3083" spans="2:24">
      <c r="B3083" t="s">
        <v>557</v>
      </c>
      <c r="C3083" t="s">
        <v>118</v>
      </c>
      <c r="D3083" t="s">
        <v>584</v>
      </c>
      <c r="E3083" t="s">
        <v>584</v>
      </c>
      <c r="F3083" s="705">
        <v>27</v>
      </c>
      <c r="G3083" s="705">
        <v>3113</v>
      </c>
      <c r="H3083" s="705">
        <v>6711</v>
      </c>
      <c r="I3083" s="705">
        <v>426012</v>
      </c>
      <c r="J3083" s="705">
        <v>387284</v>
      </c>
      <c r="K3083" s="705">
        <v>77</v>
      </c>
      <c r="L3083" s="705">
        <v>111414</v>
      </c>
      <c r="M3083" s="705">
        <v>99155</v>
      </c>
      <c r="N3083" s="705">
        <v>61817</v>
      </c>
      <c r="O3083" s="705">
        <v>22895</v>
      </c>
      <c r="P3083" s="705">
        <v>13811</v>
      </c>
      <c r="Q3083" s="705">
        <v>5115</v>
      </c>
      <c r="R3083" s="705">
        <v>140656</v>
      </c>
      <c r="S3083" s="705">
        <v>127869</v>
      </c>
      <c r="T3083" s="705">
        <v>27799</v>
      </c>
      <c r="U3083" s="705">
        <v>10296</v>
      </c>
      <c r="V3083" s="705">
        <v>652614</v>
      </c>
      <c r="W3083" s="705">
        <f t="shared" si="120"/>
        <v>652614</v>
      </c>
      <c r="X3083" s="705">
        <f t="shared" si="121"/>
        <v>781509</v>
      </c>
    </row>
    <row r="3084" spans="2:24">
      <c r="B3084" t="s">
        <v>557</v>
      </c>
      <c r="C3084" t="s">
        <v>118</v>
      </c>
      <c r="D3084" t="s">
        <v>669</v>
      </c>
      <c r="E3084" t="s">
        <v>669</v>
      </c>
      <c r="F3084" s="705">
        <v>5</v>
      </c>
      <c r="G3084" s="705">
        <v>685</v>
      </c>
      <c r="H3084" s="705">
        <v>1389</v>
      </c>
      <c r="I3084" s="705">
        <v>122166</v>
      </c>
      <c r="J3084" s="705">
        <v>101805</v>
      </c>
      <c r="K3084" s="705">
        <v>63</v>
      </c>
      <c r="L3084" s="705">
        <v>14282</v>
      </c>
      <c r="M3084" s="705">
        <v>12201</v>
      </c>
      <c r="N3084" s="705">
        <v>12072</v>
      </c>
      <c r="O3084" s="705">
        <v>4471</v>
      </c>
      <c r="P3084" s="705">
        <v>2295</v>
      </c>
      <c r="Q3084" s="705">
        <v>850</v>
      </c>
      <c r="R3084" s="705">
        <v>27167</v>
      </c>
      <c r="S3084" s="705">
        <v>22639</v>
      </c>
      <c r="T3084" s="705">
        <v>11747</v>
      </c>
      <c r="U3084" s="705">
        <v>4351</v>
      </c>
      <c r="V3084" s="705">
        <v>146318</v>
      </c>
      <c r="W3084" s="705">
        <f t="shared" si="120"/>
        <v>146317</v>
      </c>
      <c r="X3084" s="705">
        <f t="shared" si="121"/>
        <v>189729</v>
      </c>
    </row>
    <row r="3085" spans="2:24">
      <c r="B3085" t="s">
        <v>557</v>
      </c>
      <c r="C3085" t="s">
        <v>118</v>
      </c>
      <c r="D3085" t="s">
        <v>671</v>
      </c>
      <c r="E3085" t="s">
        <v>671</v>
      </c>
      <c r="F3085" s="705">
        <v>4</v>
      </c>
      <c r="G3085" s="705">
        <v>629</v>
      </c>
      <c r="H3085" s="705">
        <v>1073</v>
      </c>
      <c r="I3085" s="705">
        <v>115507</v>
      </c>
      <c r="J3085" s="705">
        <v>105006</v>
      </c>
      <c r="K3085" s="705">
        <v>61</v>
      </c>
      <c r="L3085" s="705">
        <v>12303</v>
      </c>
      <c r="M3085" s="705">
        <v>11184</v>
      </c>
      <c r="N3085" s="705">
        <v>12171</v>
      </c>
      <c r="O3085" s="705">
        <v>4508</v>
      </c>
      <c r="P3085" s="705">
        <v>2295</v>
      </c>
      <c r="Q3085" s="705">
        <v>850</v>
      </c>
      <c r="R3085" s="705">
        <v>29754</v>
      </c>
      <c r="S3085" s="705">
        <v>27049</v>
      </c>
      <c r="T3085" s="705">
        <v>6378</v>
      </c>
      <c r="U3085" s="705">
        <v>2362</v>
      </c>
      <c r="V3085" s="705">
        <v>150959</v>
      </c>
      <c r="W3085" s="705">
        <f t="shared" si="120"/>
        <v>150959</v>
      </c>
      <c r="X3085" s="705">
        <f t="shared" si="121"/>
        <v>178408</v>
      </c>
    </row>
    <row r="3086" spans="2:24">
      <c r="B3086" t="s">
        <v>557</v>
      </c>
      <c r="C3086" t="s">
        <v>118</v>
      </c>
      <c r="D3086" t="s">
        <v>665</v>
      </c>
      <c r="E3086" t="s">
        <v>228</v>
      </c>
      <c r="F3086" s="705">
        <v>1</v>
      </c>
      <c r="G3086" s="705">
        <v>64</v>
      </c>
      <c r="H3086" s="705">
        <v>290</v>
      </c>
      <c r="I3086" s="705">
        <v>10954</v>
      </c>
      <c r="J3086" s="705">
        <v>9958</v>
      </c>
      <c r="K3086" s="705">
        <v>60</v>
      </c>
      <c r="L3086" s="705">
        <v>1792</v>
      </c>
      <c r="M3086" s="705">
        <v>664</v>
      </c>
      <c r="N3086" s="705">
        <v>784</v>
      </c>
      <c r="O3086" s="705">
        <v>290</v>
      </c>
      <c r="P3086" s="705">
        <v>566</v>
      </c>
      <c r="Q3086" s="705">
        <v>210</v>
      </c>
      <c r="R3086" s="705">
        <v>4562</v>
      </c>
      <c r="S3086" s="705">
        <v>1690</v>
      </c>
      <c r="T3086" s="705">
        <v>0</v>
      </c>
      <c r="U3086" s="705">
        <v>0</v>
      </c>
      <c r="V3086" s="705">
        <v>12811</v>
      </c>
      <c r="W3086" s="705">
        <f t="shared" si="120"/>
        <v>12812</v>
      </c>
      <c r="X3086" s="705">
        <f t="shared" si="121"/>
        <v>18658</v>
      </c>
    </row>
    <row r="3087" spans="2:24">
      <c r="B3087" t="s">
        <v>557</v>
      </c>
      <c r="C3087" t="s">
        <v>118</v>
      </c>
      <c r="D3087" t="s">
        <v>665</v>
      </c>
      <c r="E3087" t="s">
        <v>665</v>
      </c>
      <c r="F3087" s="705">
        <v>53</v>
      </c>
      <c r="G3087" s="705">
        <v>7380</v>
      </c>
      <c r="H3087" s="705">
        <v>14313</v>
      </c>
      <c r="I3087" s="705">
        <v>1267575</v>
      </c>
      <c r="J3087" s="705">
        <v>1152341</v>
      </c>
      <c r="K3087" s="705">
        <v>64</v>
      </c>
      <c r="L3087" s="705">
        <v>163171</v>
      </c>
      <c r="M3087" s="705">
        <v>142909</v>
      </c>
      <c r="N3087" s="705">
        <v>144703</v>
      </c>
      <c r="O3087" s="705">
        <v>53594</v>
      </c>
      <c r="P3087" s="705">
        <v>29565</v>
      </c>
      <c r="Q3087" s="705">
        <v>10950</v>
      </c>
      <c r="R3087" s="705">
        <v>324165</v>
      </c>
      <c r="S3087" s="705">
        <v>294696</v>
      </c>
      <c r="T3087" s="705">
        <v>116718</v>
      </c>
      <c r="U3087" s="705">
        <v>43229</v>
      </c>
      <c r="V3087" s="705">
        <v>1697718</v>
      </c>
      <c r="W3087" s="705">
        <f t="shared" si="120"/>
        <v>1697719</v>
      </c>
      <c r="X3087" s="705">
        <f t="shared" si="121"/>
        <v>2045897</v>
      </c>
    </row>
    <row r="3088" spans="2:24">
      <c r="B3088" t="s">
        <v>557</v>
      </c>
      <c r="C3088" t="s">
        <v>118</v>
      </c>
      <c r="D3088" t="s">
        <v>673</v>
      </c>
      <c r="E3088" t="s">
        <v>673</v>
      </c>
      <c r="F3088" s="705">
        <v>3</v>
      </c>
      <c r="G3088" s="705">
        <v>367</v>
      </c>
      <c r="H3088" s="705">
        <v>870</v>
      </c>
      <c r="I3088" s="705">
        <v>78897</v>
      </c>
      <c r="J3088" s="705">
        <v>71724</v>
      </c>
      <c r="K3088" s="705">
        <v>65</v>
      </c>
      <c r="L3088" s="705">
        <v>11502</v>
      </c>
      <c r="M3088" s="705">
        <v>10456</v>
      </c>
      <c r="N3088" s="705">
        <v>7890</v>
      </c>
      <c r="O3088" s="705">
        <v>2922</v>
      </c>
      <c r="P3088" s="705">
        <v>1445</v>
      </c>
      <c r="Q3088" s="705">
        <v>535</v>
      </c>
      <c r="R3088" s="705">
        <v>17079</v>
      </c>
      <c r="S3088" s="705">
        <v>15527</v>
      </c>
      <c r="T3088" s="705">
        <v>2707</v>
      </c>
      <c r="U3088" s="705">
        <v>1003</v>
      </c>
      <c r="V3088" s="705">
        <v>102167</v>
      </c>
      <c r="W3088" s="705">
        <f t="shared" si="120"/>
        <v>102167</v>
      </c>
      <c r="X3088" s="705">
        <f t="shared" si="121"/>
        <v>119520</v>
      </c>
    </row>
    <row r="3089" spans="2:24">
      <c r="B3089" t="s">
        <v>557</v>
      </c>
      <c r="C3089" t="s">
        <v>118</v>
      </c>
      <c r="D3089" t="s">
        <v>585</v>
      </c>
      <c r="E3089" t="s">
        <v>585</v>
      </c>
      <c r="F3089" s="705">
        <v>3</v>
      </c>
      <c r="G3089" s="705">
        <v>362</v>
      </c>
      <c r="H3089" s="705">
        <v>769</v>
      </c>
      <c r="I3089" s="705">
        <v>61801</v>
      </c>
      <c r="J3089" s="705">
        <v>56183</v>
      </c>
      <c r="K3089" s="705">
        <v>73</v>
      </c>
      <c r="L3089" s="705">
        <v>6116</v>
      </c>
      <c r="M3089" s="705">
        <v>5306</v>
      </c>
      <c r="N3089" s="705">
        <v>7015</v>
      </c>
      <c r="O3089" s="705">
        <v>2598</v>
      </c>
      <c r="P3089" s="705">
        <v>1674</v>
      </c>
      <c r="Q3089" s="705">
        <v>620</v>
      </c>
      <c r="R3089" s="705">
        <v>14977</v>
      </c>
      <c r="S3089" s="705">
        <v>13615</v>
      </c>
      <c r="T3089" s="705">
        <v>0</v>
      </c>
      <c r="U3089" s="705">
        <v>0</v>
      </c>
      <c r="V3089" s="705">
        <v>78322</v>
      </c>
      <c r="W3089" s="705">
        <f t="shared" si="120"/>
        <v>78322</v>
      </c>
      <c r="X3089" s="705">
        <f t="shared" si="121"/>
        <v>91583</v>
      </c>
    </row>
    <row r="3090" spans="2:24">
      <c r="B3090" t="s">
        <v>557</v>
      </c>
      <c r="C3090" t="s">
        <v>118</v>
      </c>
      <c r="D3090" t="s">
        <v>668</v>
      </c>
      <c r="E3090" t="s">
        <v>668</v>
      </c>
      <c r="F3090" s="705">
        <v>4</v>
      </c>
      <c r="G3090" s="705">
        <v>542</v>
      </c>
      <c r="H3090" s="705">
        <v>980</v>
      </c>
      <c r="I3090" s="705">
        <v>80408</v>
      </c>
      <c r="J3090" s="705">
        <v>73098</v>
      </c>
      <c r="K3090" s="705">
        <v>74</v>
      </c>
      <c r="L3090" s="705">
        <v>9360</v>
      </c>
      <c r="M3090" s="705">
        <v>8338</v>
      </c>
      <c r="N3090" s="705">
        <v>9531</v>
      </c>
      <c r="O3090" s="705">
        <v>3530</v>
      </c>
      <c r="P3090" s="705">
        <v>2295</v>
      </c>
      <c r="Q3090" s="705">
        <v>850</v>
      </c>
      <c r="R3090" s="705">
        <v>24356</v>
      </c>
      <c r="S3090" s="705">
        <v>22142</v>
      </c>
      <c r="T3090" s="705">
        <v>4058</v>
      </c>
      <c r="U3090" s="705">
        <v>1503</v>
      </c>
      <c r="V3090" s="705">
        <v>109462</v>
      </c>
      <c r="W3090" s="705">
        <f t="shared" si="120"/>
        <v>109461</v>
      </c>
      <c r="X3090" s="705">
        <f t="shared" si="121"/>
        <v>130008</v>
      </c>
    </row>
    <row r="3091" spans="2:24">
      <c r="B3091" t="s">
        <v>557</v>
      </c>
      <c r="C3091" t="s">
        <v>120</v>
      </c>
      <c r="D3091" t="s">
        <v>674</v>
      </c>
      <c r="E3091" t="s">
        <v>674</v>
      </c>
      <c r="F3091" s="705">
        <v>1</v>
      </c>
      <c r="G3091" s="705">
        <v>120</v>
      </c>
      <c r="H3091" s="705">
        <v>367</v>
      </c>
      <c r="I3091" s="705">
        <v>26303</v>
      </c>
      <c r="J3091" s="705">
        <v>23912</v>
      </c>
      <c r="K3091" s="705">
        <v>55</v>
      </c>
      <c r="L3091" s="705">
        <v>5348</v>
      </c>
      <c r="M3091" s="705">
        <v>4862</v>
      </c>
      <c r="N3091" s="705">
        <v>1865</v>
      </c>
      <c r="O3091" s="705">
        <v>691</v>
      </c>
      <c r="P3091" s="705">
        <v>351</v>
      </c>
      <c r="Q3091" s="705">
        <v>130</v>
      </c>
      <c r="R3091" s="705">
        <v>10052</v>
      </c>
      <c r="S3091" s="705">
        <v>9139</v>
      </c>
      <c r="T3091" s="705">
        <v>0</v>
      </c>
      <c r="U3091" s="705">
        <v>0</v>
      </c>
      <c r="V3091" s="705">
        <v>38733</v>
      </c>
      <c r="W3091" s="705">
        <f t="shared" si="120"/>
        <v>38734</v>
      </c>
      <c r="X3091" s="705">
        <f t="shared" si="121"/>
        <v>43919</v>
      </c>
    </row>
    <row r="3092" spans="2:24">
      <c r="B3092" t="s">
        <v>557</v>
      </c>
      <c r="C3092" t="s">
        <v>120</v>
      </c>
      <c r="D3092" t="s">
        <v>664</v>
      </c>
      <c r="E3092" t="s">
        <v>583</v>
      </c>
      <c r="F3092" s="705">
        <v>1</v>
      </c>
      <c r="G3092" s="705">
        <v>201</v>
      </c>
      <c r="H3092" s="705">
        <v>303</v>
      </c>
      <c r="I3092" s="705">
        <v>37025</v>
      </c>
      <c r="J3092" s="705">
        <v>33660</v>
      </c>
      <c r="K3092" s="705">
        <v>46</v>
      </c>
      <c r="L3092" s="705">
        <v>5993</v>
      </c>
      <c r="M3092" s="705">
        <v>5448</v>
      </c>
      <c r="N3092" s="705">
        <v>4457</v>
      </c>
      <c r="O3092" s="705">
        <v>1651</v>
      </c>
      <c r="P3092" s="705">
        <v>972</v>
      </c>
      <c r="Q3092" s="705">
        <v>360</v>
      </c>
      <c r="R3092" s="705">
        <v>8558</v>
      </c>
      <c r="S3092" s="705">
        <v>7780</v>
      </c>
      <c r="T3092" s="705">
        <v>3978</v>
      </c>
      <c r="U3092" s="705">
        <v>1473</v>
      </c>
      <c r="V3092" s="705">
        <v>50372</v>
      </c>
      <c r="W3092" s="705">
        <f t="shared" si="120"/>
        <v>50372</v>
      </c>
      <c r="X3092" s="705">
        <f t="shared" si="121"/>
        <v>60983</v>
      </c>
    </row>
    <row r="3093" spans="2:24">
      <c r="B3093" t="s">
        <v>557</v>
      </c>
      <c r="C3093" t="s">
        <v>120</v>
      </c>
      <c r="D3093" t="s">
        <v>582</v>
      </c>
      <c r="E3093" t="s">
        <v>582</v>
      </c>
      <c r="F3093" s="705">
        <v>7</v>
      </c>
      <c r="G3093" s="705">
        <v>567</v>
      </c>
      <c r="H3093" s="705">
        <v>2352</v>
      </c>
      <c r="I3093" s="705">
        <v>115740</v>
      </c>
      <c r="J3093" s="705">
        <v>105218</v>
      </c>
      <c r="K3093" s="705">
        <v>77</v>
      </c>
      <c r="L3093" s="705">
        <v>23199</v>
      </c>
      <c r="M3093" s="705">
        <v>19034</v>
      </c>
      <c r="N3093" s="705">
        <v>10917</v>
      </c>
      <c r="O3093" s="705">
        <v>4043</v>
      </c>
      <c r="P3093" s="705">
        <v>3647</v>
      </c>
      <c r="Q3093" s="705">
        <v>1351</v>
      </c>
      <c r="R3093" s="705">
        <v>28026</v>
      </c>
      <c r="S3093" s="705">
        <v>25478</v>
      </c>
      <c r="T3093" s="705">
        <v>9230</v>
      </c>
      <c r="U3093" s="705">
        <v>3419</v>
      </c>
      <c r="V3093" s="705">
        <v>158543</v>
      </c>
      <c r="W3093" s="705">
        <f t="shared" si="120"/>
        <v>158543</v>
      </c>
      <c r="X3093" s="705">
        <f t="shared" si="121"/>
        <v>190759</v>
      </c>
    </row>
    <row r="3094" spans="2:24">
      <c r="B3094" t="s">
        <v>557</v>
      </c>
      <c r="C3094" t="s">
        <v>120</v>
      </c>
      <c r="D3094" t="s">
        <v>228</v>
      </c>
      <c r="E3094" t="s">
        <v>228</v>
      </c>
      <c r="F3094" s="705">
        <v>25</v>
      </c>
      <c r="G3094" s="705">
        <v>2519</v>
      </c>
      <c r="H3094" s="705">
        <v>8640</v>
      </c>
      <c r="I3094" s="705">
        <v>554598</v>
      </c>
      <c r="J3094" s="705">
        <v>205407</v>
      </c>
      <c r="K3094" s="705">
        <v>100</v>
      </c>
      <c r="L3094" s="705">
        <v>76441</v>
      </c>
      <c r="M3094" s="705">
        <v>56757</v>
      </c>
      <c r="N3094" s="705">
        <v>49261</v>
      </c>
      <c r="O3094" s="705">
        <v>18245</v>
      </c>
      <c r="P3094" s="705">
        <v>2808</v>
      </c>
      <c r="Q3094" s="705">
        <v>1040</v>
      </c>
      <c r="R3094" s="705">
        <v>188063</v>
      </c>
      <c r="S3094" s="705">
        <v>69653</v>
      </c>
      <c r="T3094" s="705">
        <v>0</v>
      </c>
      <c r="U3094" s="705">
        <v>0</v>
      </c>
      <c r="V3094" s="705">
        <v>351101</v>
      </c>
      <c r="W3094" s="705">
        <f t="shared" si="120"/>
        <v>351102</v>
      </c>
      <c r="X3094" s="705">
        <f t="shared" si="121"/>
        <v>871171</v>
      </c>
    </row>
    <row r="3095" spans="2:24">
      <c r="B3095" t="s">
        <v>557</v>
      </c>
      <c r="C3095" t="s">
        <v>120</v>
      </c>
      <c r="D3095" t="s">
        <v>228</v>
      </c>
      <c r="E3095" t="s">
        <v>583</v>
      </c>
      <c r="F3095" s="705">
        <v>1</v>
      </c>
      <c r="G3095" s="705">
        <v>154</v>
      </c>
      <c r="H3095" s="705">
        <v>307</v>
      </c>
      <c r="I3095" s="705">
        <v>36140</v>
      </c>
      <c r="J3095" s="705">
        <v>13385</v>
      </c>
      <c r="K3095" s="705">
        <v>100</v>
      </c>
      <c r="L3095" s="705">
        <v>1925</v>
      </c>
      <c r="M3095" s="705">
        <v>1750</v>
      </c>
      <c r="N3095" s="705">
        <v>2344</v>
      </c>
      <c r="O3095" s="705">
        <v>868</v>
      </c>
      <c r="P3095" s="705">
        <v>621</v>
      </c>
      <c r="Q3095" s="705">
        <v>230</v>
      </c>
      <c r="R3095" s="705">
        <v>6221</v>
      </c>
      <c r="S3095" s="705">
        <v>5655</v>
      </c>
      <c r="T3095" s="705">
        <v>0</v>
      </c>
      <c r="U3095" s="705">
        <v>0</v>
      </c>
      <c r="V3095" s="705">
        <v>21888</v>
      </c>
      <c r="W3095" s="705">
        <f t="shared" si="120"/>
        <v>21888</v>
      </c>
      <c r="X3095" s="705">
        <f t="shared" si="121"/>
        <v>47251</v>
      </c>
    </row>
    <row r="3096" spans="2:24">
      <c r="B3096" t="s">
        <v>557</v>
      </c>
      <c r="C3096" t="s">
        <v>120</v>
      </c>
      <c r="D3096" t="s">
        <v>228</v>
      </c>
      <c r="E3096" t="s">
        <v>665</v>
      </c>
      <c r="F3096" s="705">
        <v>1</v>
      </c>
      <c r="G3096" s="705">
        <v>90</v>
      </c>
      <c r="H3096" s="705">
        <v>366</v>
      </c>
      <c r="I3096" s="705">
        <v>20575</v>
      </c>
      <c r="J3096" s="705">
        <v>7620</v>
      </c>
      <c r="K3096" s="705">
        <v>100</v>
      </c>
      <c r="L3096" s="705">
        <v>1863</v>
      </c>
      <c r="M3096" s="705">
        <v>1693</v>
      </c>
      <c r="N3096" s="705">
        <v>2047</v>
      </c>
      <c r="O3096" s="705">
        <v>758</v>
      </c>
      <c r="P3096" s="705">
        <v>0</v>
      </c>
      <c r="Q3096" s="705">
        <v>0</v>
      </c>
      <c r="R3096" s="705">
        <v>6050</v>
      </c>
      <c r="S3096" s="705">
        <v>5500</v>
      </c>
      <c r="T3096" s="705">
        <v>2570</v>
      </c>
      <c r="U3096" s="705">
        <v>952</v>
      </c>
      <c r="V3096" s="705">
        <v>16524</v>
      </c>
      <c r="W3096" s="705">
        <f t="shared" si="120"/>
        <v>16523</v>
      </c>
      <c r="X3096" s="705">
        <f t="shared" si="121"/>
        <v>33105</v>
      </c>
    </row>
    <row r="3097" spans="2:24">
      <c r="B3097" t="s">
        <v>557</v>
      </c>
      <c r="C3097" t="s">
        <v>120</v>
      </c>
      <c r="D3097" t="s">
        <v>583</v>
      </c>
      <c r="E3097" t="s">
        <v>228</v>
      </c>
      <c r="F3097" s="705">
        <v>4</v>
      </c>
      <c r="G3097" s="705">
        <v>582</v>
      </c>
      <c r="H3097" s="705">
        <v>1372</v>
      </c>
      <c r="I3097" s="705">
        <v>114256</v>
      </c>
      <c r="J3097" s="705">
        <v>103869</v>
      </c>
      <c r="K3097" s="705">
        <v>75</v>
      </c>
      <c r="L3097" s="705">
        <v>28234</v>
      </c>
      <c r="M3097" s="705">
        <v>24559</v>
      </c>
      <c r="N3097" s="705">
        <v>13257</v>
      </c>
      <c r="O3097" s="705">
        <v>4910</v>
      </c>
      <c r="P3097" s="705">
        <v>2484</v>
      </c>
      <c r="Q3097" s="705">
        <v>920</v>
      </c>
      <c r="R3097" s="705">
        <v>39334</v>
      </c>
      <c r="S3097" s="705">
        <v>14568</v>
      </c>
      <c r="T3097" s="705">
        <v>0</v>
      </c>
      <c r="U3097" s="705">
        <v>0</v>
      </c>
      <c r="V3097" s="705">
        <v>148826</v>
      </c>
      <c r="W3097" s="705">
        <f t="shared" si="120"/>
        <v>148826</v>
      </c>
      <c r="X3097" s="705">
        <f t="shared" si="121"/>
        <v>197565</v>
      </c>
    </row>
    <row r="3098" spans="2:24">
      <c r="B3098" t="s">
        <v>557</v>
      </c>
      <c r="C3098" t="s">
        <v>120</v>
      </c>
      <c r="D3098" t="s">
        <v>583</v>
      </c>
      <c r="E3098" t="s">
        <v>583</v>
      </c>
      <c r="F3098" s="705">
        <v>503</v>
      </c>
      <c r="G3098" s="705">
        <v>61849</v>
      </c>
      <c r="H3098" s="705">
        <v>170558</v>
      </c>
      <c r="I3098" s="705">
        <v>13492390</v>
      </c>
      <c r="J3098" s="705">
        <v>12265809</v>
      </c>
      <c r="K3098" s="705">
        <v>77</v>
      </c>
      <c r="L3098" s="705">
        <v>2592908</v>
      </c>
      <c r="M3098" s="705">
        <v>2288218</v>
      </c>
      <c r="N3098" s="705">
        <v>1252148</v>
      </c>
      <c r="O3098" s="705">
        <v>463759</v>
      </c>
      <c r="P3098" s="705">
        <v>335120</v>
      </c>
      <c r="Q3098" s="705">
        <v>124118</v>
      </c>
      <c r="R3098" s="705">
        <v>2623423</v>
      </c>
      <c r="S3098" s="705">
        <v>2384930</v>
      </c>
      <c r="T3098" s="705">
        <v>930586</v>
      </c>
      <c r="U3098" s="705">
        <v>344662</v>
      </c>
      <c r="V3098" s="705">
        <v>17871496</v>
      </c>
      <c r="W3098" s="705">
        <f t="shared" si="120"/>
        <v>17871496</v>
      </c>
      <c r="X3098" s="705">
        <f t="shared" si="121"/>
        <v>21226575</v>
      </c>
    </row>
    <row r="3099" spans="2:24">
      <c r="B3099" t="s">
        <v>557</v>
      </c>
      <c r="C3099" t="s">
        <v>120</v>
      </c>
      <c r="D3099" t="s">
        <v>666</v>
      </c>
      <c r="E3099" t="s">
        <v>584</v>
      </c>
      <c r="F3099" s="705">
        <v>1</v>
      </c>
      <c r="G3099" s="705">
        <v>83</v>
      </c>
      <c r="H3099" s="705">
        <v>310</v>
      </c>
      <c r="I3099" s="705">
        <v>14938</v>
      </c>
      <c r="J3099" s="705">
        <v>13580</v>
      </c>
      <c r="K3099" s="705">
        <v>65</v>
      </c>
      <c r="L3099" s="705">
        <v>3596</v>
      </c>
      <c r="M3099" s="705">
        <v>3269</v>
      </c>
      <c r="N3099" s="705">
        <v>1739</v>
      </c>
      <c r="O3099" s="705">
        <v>644</v>
      </c>
      <c r="P3099" s="705">
        <v>473</v>
      </c>
      <c r="Q3099" s="705">
        <v>175</v>
      </c>
      <c r="R3099" s="705">
        <v>5012</v>
      </c>
      <c r="S3099" s="705">
        <v>4556</v>
      </c>
      <c r="T3099" s="705">
        <v>0</v>
      </c>
      <c r="U3099" s="705">
        <v>0</v>
      </c>
      <c r="V3099" s="705">
        <v>22225</v>
      </c>
      <c r="W3099" s="705">
        <f t="shared" si="120"/>
        <v>22224</v>
      </c>
      <c r="X3099" s="705">
        <f t="shared" si="121"/>
        <v>25758</v>
      </c>
    </row>
    <row r="3100" spans="2:24">
      <c r="B3100" t="s">
        <v>557</v>
      </c>
      <c r="C3100" t="s">
        <v>120</v>
      </c>
      <c r="D3100" t="s">
        <v>584</v>
      </c>
      <c r="E3100" t="s">
        <v>584</v>
      </c>
      <c r="F3100" s="705">
        <v>3</v>
      </c>
      <c r="G3100" s="705">
        <v>261</v>
      </c>
      <c r="H3100" s="705">
        <v>931</v>
      </c>
      <c r="I3100" s="705">
        <v>55614</v>
      </c>
      <c r="J3100" s="705">
        <v>50558</v>
      </c>
      <c r="K3100" s="705">
        <v>70</v>
      </c>
      <c r="L3100" s="705">
        <v>10086</v>
      </c>
      <c r="M3100" s="705">
        <v>3736</v>
      </c>
      <c r="N3100" s="705">
        <v>4449</v>
      </c>
      <c r="O3100" s="705">
        <v>1648</v>
      </c>
      <c r="P3100" s="705">
        <v>1418</v>
      </c>
      <c r="Q3100" s="705">
        <v>525</v>
      </c>
      <c r="R3100" s="705">
        <v>9404</v>
      </c>
      <c r="S3100" s="705">
        <v>8549</v>
      </c>
      <c r="T3100" s="705">
        <v>0</v>
      </c>
      <c r="U3100" s="705">
        <v>0</v>
      </c>
      <c r="V3100" s="705">
        <v>65015</v>
      </c>
      <c r="W3100" s="705">
        <f t="shared" si="120"/>
        <v>65016</v>
      </c>
      <c r="X3100" s="705">
        <f t="shared" si="121"/>
        <v>80971</v>
      </c>
    </row>
    <row r="3101" spans="2:24">
      <c r="B3101" t="s">
        <v>557</v>
      </c>
      <c r="C3101" t="s">
        <v>120</v>
      </c>
      <c r="D3101" t="s">
        <v>584</v>
      </c>
      <c r="E3101" t="s">
        <v>665</v>
      </c>
      <c r="F3101" s="705">
        <v>1</v>
      </c>
      <c r="G3101" s="705">
        <v>128</v>
      </c>
      <c r="H3101" s="705">
        <v>373</v>
      </c>
      <c r="I3101" s="705">
        <v>30215</v>
      </c>
      <c r="J3101" s="705">
        <v>27468</v>
      </c>
      <c r="K3101" s="705">
        <v>79</v>
      </c>
      <c r="L3101" s="705">
        <v>8382</v>
      </c>
      <c r="M3101" s="705">
        <v>7620</v>
      </c>
      <c r="N3101" s="705">
        <v>1555</v>
      </c>
      <c r="O3101" s="705">
        <v>576</v>
      </c>
      <c r="P3101" s="705">
        <v>473</v>
      </c>
      <c r="Q3101" s="705">
        <v>175</v>
      </c>
      <c r="R3101" s="705">
        <v>6928</v>
      </c>
      <c r="S3101" s="705">
        <v>6298</v>
      </c>
      <c r="T3101" s="705">
        <v>0</v>
      </c>
      <c r="U3101" s="705">
        <v>0</v>
      </c>
      <c r="V3101" s="705">
        <v>42137</v>
      </c>
      <c r="W3101" s="705">
        <f t="shared" si="120"/>
        <v>42137</v>
      </c>
      <c r="X3101" s="705">
        <f t="shared" si="121"/>
        <v>47553</v>
      </c>
    </row>
    <row r="3102" spans="2:24">
      <c r="B3102" t="s">
        <v>557</v>
      </c>
      <c r="C3102" t="s">
        <v>120</v>
      </c>
      <c r="D3102" t="s">
        <v>669</v>
      </c>
      <c r="E3102" t="s">
        <v>669</v>
      </c>
      <c r="F3102" s="705">
        <v>5</v>
      </c>
      <c r="G3102" s="705">
        <v>512</v>
      </c>
      <c r="H3102" s="705">
        <v>1778</v>
      </c>
      <c r="I3102" s="705">
        <v>132839</v>
      </c>
      <c r="J3102" s="705">
        <v>110699</v>
      </c>
      <c r="K3102" s="705">
        <v>65</v>
      </c>
      <c r="L3102" s="705">
        <v>17856</v>
      </c>
      <c r="M3102" s="705">
        <v>15257</v>
      </c>
      <c r="N3102" s="705">
        <v>10192</v>
      </c>
      <c r="O3102" s="705">
        <v>3775</v>
      </c>
      <c r="P3102" s="705">
        <v>2565</v>
      </c>
      <c r="Q3102" s="705">
        <v>950</v>
      </c>
      <c r="R3102" s="705">
        <v>25968</v>
      </c>
      <c r="S3102" s="705">
        <v>21640</v>
      </c>
      <c r="T3102" s="705">
        <v>13271</v>
      </c>
      <c r="U3102" s="705">
        <v>4915</v>
      </c>
      <c r="V3102" s="705">
        <v>157236</v>
      </c>
      <c r="W3102" s="705">
        <f t="shared" si="120"/>
        <v>157236</v>
      </c>
      <c r="X3102" s="705">
        <f t="shared" si="121"/>
        <v>202691</v>
      </c>
    </row>
    <row r="3103" spans="2:24">
      <c r="B3103" t="s">
        <v>557</v>
      </c>
      <c r="C3103" t="s">
        <v>120</v>
      </c>
      <c r="D3103" t="s">
        <v>671</v>
      </c>
      <c r="E3103" t="s">
        <v>667</v>
      </c>
      <c r="F3103" s="705">
        <v>1</v>
      </c>
      <c r="G3103" s="705">
        <v>130</v>
      </c>
      <c r="H3103" s="705">
        <v>324</v>
      </c>
      <c r="I3103" s="705">
        <v>37631</v>
      </c>
      <c r="J3103" s="705">
        <v>34210</v>
      </c>
      <c r="K3103" s="705">
        <v>45</v>
      </c>
      <c r="L3103" s="705">
        <v>6272</v>
      </c>
      <c r="M3103" s="705">
        <v>5702</v>
      </c>
      <c r="N3103" s="705">
        <v>3251</v>
      </c>
      <c r="O3103" s="705">
        <v>1204</v>
      </c>
      <c r="P3103" s="705">
        <v>621</v>
      </c>
      <c r="Q3103" s="705">
        <v>230</v>
      </c>
      <c r="R3103" s="705">
        <v>8553</v>
      </c>
      <c r="S3103" s="705">
        <v>7775</v>
      </c>
      <c r="T3103" s="705">
        <v>4110</v>
      </c>
      <c r="U3103" s="705">
        <v>1522</v>
      </c>
      <c r="V3103" s="705">
        <v>50644</v>
      </c>
      <c r="W3103" s="705">
        <f t="shared" si="120"/>
        <v>50643</v>
      </c>
      <c r="X3103" s="705">
        <f t="shared" si="121"/>
        <v>60438</v>
      </c>
    </row>
    <row r="3104" spans="2:24">
      <c r="B3104" t="s">
        <v>557</v>
      </c>
      <c r="C3104" t="s">
        <v>120</v>
      </c>
      <c r="D3104" t="s">
        <v>671</v>
      </c>
      <c r="E3104" t="s">
        <v>671</v>
      </c>
      <c r="F3104" s="705">
        <v>14</v>
      </c>
      <c r="G3104" s="705">
        <v>1420</v>
      </c>
      <c r="H3104" s="705">
        <v>4757</v>
      </c>
      <c r="I3104" s="705">
        <v>318306</v>
      </c>
      <c r="J3104" s="705">
        <v>289369</v>
      </c>
      <c r="K3104" s="705">
        <v>61</v>
      </c>
      <c r="L3104" s="705">
        <v>46995</v>
      </c>
      <c r="M3104" s="705">
        <v>41633</v>
      </c>
      <c r="N3104" s="705">
        <v>28777</v>
      </c>
      <c r="O3104" s="705">
        <v>10658</v>
      </c>
      <c r="P3104" s="705">
        <v>5724</v>
      </c>
      <c r="Q3104" s="705">
        <v>2120</v>
      </c>
      <c r="R3104" s="705">
        <v>74515</v>
      </c>
      <c r="S3104" s="705">
        <v>67741</v>
      </c>
      <c r="T3104" s="705">
        <v>26240</v>
      </c>
      <c r="U3104" s="705">
        <v>9718</v>
      </c>
      <c r="V3104" s="705">
        <v>421239</v>
      </c>
      <c r="W3104" s="705">
        <f t="shared" si="120"/>
        <v>421239</v>
      </c>
      <c r="X3104" s="705">
        <f t="shared" si="121"/>
        <v>500557</v>
      </c>
    </row>
    <row r="3105" spans="2:24">
      <c r="B3105" t="s">
        <v>557</v>
      </c>
      <c r="C3105" t="s">
        <v>120</v>
      </c>
      <c r="D3105" t="s">
        <v>665</v>
      </c>
      <c r="E3105" t="s">
        <v>583</v>
      </c>
      <c r="F3105" s="705">
        <v>1</v>
      </c>
      <c r="G3105" s="705">
        <v>136</v>
      </c>
      <c r="H3105" s="705">
        <v>333</v>
      </c>
      <c r="I3105" s="705">
        <v>24950</v>
      </c>
      <c r="J3105" s="705">
        <v>22681</v>
      </c>
      <c r="K3105" s="705">
        <v>55</v>
      </c>
      <c r="L3105" s="705">
        <v>5082</v>
      </c>
      <c r="M3105" s="705">
        <v>4620</v>
      </c>
      <c r="N3105" s="705">
        <v>2146</v>
      </c>
      <c r="O3105" s="705">
        <v>795</v>
      </c>
      <c r="P3105" s="705">
        <v>351</v>
      </c>
      <c r="Q3105" s="705">
        <v>130</v>
      </c>
      <c r="R3105" s="705">
        <v>12634</v>
      </c>
      <c r="S3105" s="705">
        <v>11485</v>
      </c>
      <c r="T3105" s="705">
        <v>0</v>
      </c>
      <c r="U3105" s="705">
        <v>0</v>
      </c>
      <c r="V3105" s="705">
        <v>39712</v>
      </c>
      <c r="W3105" s="705">
        <f t="shared" si="120"/>
        <v>39711</v>
      </c>
      <c r="X3105" s="705">
        <f t="shared" si="121"/>
        <v>45163</v>
      </c>
    </row>
    <row r="3106" spans="2:24">
      <c r="B3106" t="s">
        <v>557</v>
      </c>
      <c r="C3106" t="s">
        <v>120</v>
      </c>
      <c r="D3106" t="s">
        <v>665</v>
      </c>
      <c r="E3106" t="s">
        <v>665</v>
      </c>
      <c r="F3106" s="705">
        <v>52</v>
      </c>
      <c r="G3106" s="705">
        <v>5918</v>
      </c>
      <c r="H3106" s="705">
        <v>17857</v>
      </c>
      <c r="I3106" s="705">
        <v>1315083</v>
      </c>
      <c r="J3106" s="705">
        <v>1195530</v>
      </c>
      <c r="K3106" s="705">
        <v>59</v>
      </c>
      <c r="L3106" s="705">
        <v>194323</v>
      </c>
      <c r="M3106" s="705">
        <v>166219</v>
      </c>
      <c r="N3106" s="705">
        <v>122137</v>
      </c>
      <c r="O3106" s="705">
        <v>45236</v>
      </c>
      <c r="P3106" s="705">
        <v>20682</v>
      </c>
      <c r="Q3106" s="705">
        <v>7660</v>
      </c>
      <c r="R3106" s="705">
        <v>304745</v>
      </c>
      <c r="S3106" s="705">
        <v>277041</v>
      </c>
      <c r="T3106" s="705">
        <v>105993</v>
      </c>
      <c r="U3106" s="705">
        <v>39257</v>
      </c>
      <c r="V3106" s="705">
        <v>1730942</v>
      </c>
      <c r="W3106" s="705">
        <f t="shared" si="120"/>
        <v>1730943</v>
      </c>
      <c r="X3106" s="705">
        <f t="shared" si="121"/>
        <v>2062963</v>
      </c>
    </row>
    <row r="3107" spans="2:24">
      <c r="B3107" t="s">
        <v>557</v>
      </c>
      <c r="C3107" t="s">
        <v>120</v>
      </c>
      <c r="D3107" t="s">
        <v>673</v>
      </c>
      <c r="E3107" t="s">
        <v>673</v>
      </c>
      <c r="F3107" s="705">
        <v>2</v>
      </c>
      <c r="G3107" s="705">
        <v>151</v>
      </c>
      <c r="H3107" s="705">
        <v>684</v>
      </c>
      <c r="I3107" s="705">
        <v>33514</v>
      </c>
      <c r="J3107" s="705">
        <v>30467</v>
      </c>
      <c r="K3107" s="705">
        <v>65</v>
      </c>
      <c r="L3107" s="705">
        <v>4406</v>
      </c>
      <c r="M3107" s="705">
        <v>4005</v>
      </c>
      <c r="N3107" s="705">
        <v>2224</v>
      </c>
      <c r="O3107" s="705">
        <v>824</v>
      </c>
      <c r="P3107" s="705">
        <v>702</v>
      </c>
      <c r="Q3107" s="705">
        <v>260</v>
      </c>
      <c r="R3107" s="705">
        <v>6731</v>
      </c>
      <c r="S3107" s="705">
        <v>6119</v>
      </c>
      <c r="T3107" s="705">
        <v>4425</v>
      </c>
      <c r="U3107" s="705">
        <v>1639</v>
      </c>
      <c r="V3107" s="705">
        <v>43314</v>
      </c>
      <c r="W3107" s="705">
        <f t="shared" si="120"/>
        <v>43314</v>
      </c>
      <c r="X3107" s="705">
        <f t="shared" si="121"/>
        <v>52002</v>
      </c>
    </row>
    <row r="3108" spans="2:24">
      <c r="B3108" t="s">
        <v>557</v>
      </c>
      <c r="C3108" t="s">
        <v>120</v>
      </c>
      <c r="D3108" t="s">
        <v>585</v>
      </c>
      <c r="E3108" t="s">
        <v>585</v>
      </c>
      <c r="F3108" s="705">
        <v>2</v>
      </c>
      <c r="G3108" s="705">
        <v>235</v>
      </c>
      <c r="H3108" s="705">
        <v>687</v>
      </c>
      <c r="I3108" s="705">
        <v>52915</v>
      </c>
      <c r="J3108" s="705">
        <v>48104</v>
      </c>
      <c r="K3108" s="705">
        <v>78</v>
      </c>
      <c r="L3108" s="705">
        <v>10027</v>
      </c>
      <c r="M3108" s="705">
        <v>9116</v>
      </c>
      <c r="N3108" s="705">
        <v>4493</v>
      </c>
      <c r="O3108" s="705">
        <v>1664</v>
      </c>
      <c r="P3108" s="705">
        <v>702</v>
      </c>
      <c r="Q3108" s="705">
        <v>260</v>
      </c>
      <c r="R3108" s="705">
        <v>8176</v>
      </c>
      <c r="S3108" s="705">
        <v>7433</v>
      </c>
      <c r="T3108" s="705">
        <v>5436</v>
      </c>
      <c r="U3108" s="705">
        <v>2013</v>
      </c>
      <c r="V3108" s="705">
        <v>68591</v>
      </c>
      <c r="W3108" s="705">
        <f t="shared" si="120"/>
        <v>68590</v>
      </c>
      <c r="X3108" s="705">
        <f t="shared" si="121"/>
        <v>81749</v>
      </c>
    </row>
    <row r="3109" spans="2:24">
      <c r="B3109" t="s">
        <v>557</v>
      </c>
      <c r="C3109" t="s">
        <v>122</v>
      </c>
      <c r="F3109" s="705">
        <v>1</v>
      </c>
      <c r="G3109" s="705">
        <v>32</v>
      </c>
      <c r="H3109" s="705">
        <v>446</v>
      </c>
      <c r="I3109" s="705"/>
      <c r="J3109" s="705">
        <v>0</v>
      </c>
      <c r="K3109" s="705"/>
      <c r="L3109" s="705"/>
      <c r="M3109" s="705">
        <v>0</v>
      </c>
      <c r="N3109" s="705">
        <v>698</v>
      </c>
      <c r="O3109" s="705">
        <v>259</v>
      </c>
      <c r="P3109" s="705">
        <v>621</v>
      </c>
      <c r="Q3109" s="705">
        <v>230</v>
      </c>
      <c r="R3109" s="705"/>
      <c r="S3109" s="705">
        <v>0</v>
      </c>
      <c r="T3109" s="705">
        <v>1745</v>
      </c>
      <c r="U3109" s="705">
        <v>646</v>
      </c>
      <c r="V3109" s="705">
        <v>1135</v>
      </c>
      <c r="W3109" s="705">
        <f t="shared" si="120"/>
        <v>1135</v>
      </c>
      <c r="X3109" s="705">
        <f t="shared" si="121"/>
        <v>3064</v>
      </c>
    </row>
    <row r="3110" spans="2:24">
      <c r="B3110" t="s">
        <v>557</v>
      </c>
      <c r="C3110" t="s">
        <v>122</v>
      </c>
      <c r="D3110" t="s">
        <v>664</v>
      </c>
      <c r="E3110" t="s">
        <v>664</v>
      </c>
      <c r="F3110" s="705">
        <v>1</v>
      </c>
      <c r="G3110" s="705">
        <v>166</v>
      </c>
      <c r="H3110" s="705">
        <v>436</v>
      </c>
      <c r="I3110" s="705">
        <v>51979</v>
      </c>
      <c r="J3110" s="705">
        <v>47254</v>
      </c>
      <c r="K3110" s="705">
        <v>68</v>
      </c>
      <c r="L3110" s="705">
        <v>5740</v>
      </c>
      <c r="M3110" s="705">
        <v>5218</v>
      </c>
      <c r="N3110" s="705">
        <v>3969</v>
      </c>
      <c r="O3110" s="705">
        <v>1470</v>
      </c>
      <c r="P3110" s="705">
        <v>473</v>
      </c>
      <c r="Q3110" s="705">
        <v>175</v>
      </c>
      <c r="R3110" s="705">
        <v>6392</v>
      </c>
      <c r="S3110" s="705">
        <v>5811</v>
      </c>
      <c r="T3110" s="705">
        <v>3905</v>
      </c>
      <c r="U3110" s="705">
        <v>1446</v>
      </c>
      <c r="V3110" s="705">
        <v>61374</v>
      </c>
      <c r="W3110" s="705">
        <f t="shared" si="120"/>
        <v>61374</v>
      </c>
      <c r="X3110" s="705">
        <f t="shared" si="121"/>
        <v>72458</v>
      </c>
    </row>
    <row r="3111" spans="2:24">
      <c r="B3111" t="s">
        <v>557</v>
      </c>
      <c r="C3111" t="s">
        <v>122</v>
      </c>
      <c r="D3111" t="s">
        <v>582</v>
      </c>
      <c r="E3111" t="s">
        <v>582</v>
      </c>
      <c r="F3111" s="705">
        <v>3</v>
      </c>
      <c r="G3111" s="705">
        <v>351</v>
      </c>
      <c r="H3111" s="705">
        <v>1257</v>
      </c>
      <c r="I3111" s="705">
        <v>95169</v>
      </c>
      <c r="J3111" s="705">
        <v>86518</v>
      </c>
      <c r="K3111" s="705">
        <v>84</v>
      </c>
      <c r="L3111" s="705">
        <v>26732</v>
      </c>
      <c r="M3111" s="705">
        <v>23134</v>
      </c>
      <c r="N3111" s="705">
        <v>7816</v>
      </c>
      <c r="O3111" s="705">
        <v>2895</v>
      </c>
      <c r="P3111" s="705">
        <v>1296</v>
      </c>
      <c r="Q3111" s="705">
        <v>480</v>
      </c>
      <c r="R3111" s="705">
        <v>11989</v>
      </c>
      <c r="S3111" s="705">
        <v>10899</v>
      </c>
      <c r="T3111" s="705">
        <v>7371</v>
      </c>
      <c r="U3111" s="705">
        <v>2730</v>
      </c>
      <c r="V3111" s="705">
        <v>126655</v>
      </c>
      <c r="W3111" s="705">
        <f t="shared" si="120"/>
        <v>126656</v>
      </c>
      <c r="X3111" s="705">
        <f t="shared" si="121"/>
        <v>150373</v>
      </c>
    </row>
    <row r="3112" spans="2:24">
      <c r="B3112" t="s">
        <v>557</v>
      </c>
      <c r="C3112" t="s">
        <v>122</v>
      </c>
      <c r="D3112" t="s">
        <v>228</v>
      </c>
      <c r="E3112" t="s">
        <v>228</v>
      </c>
      <c r="F3112" s="705">
        <v>20</v>
      </c>
      <c r="G3112" s="705">
        <v>2676</v>
      </c>
      <c r="H3112" s="705">
        <v>8646</v>
      </c>
      <c r="I3112" s="705">
        <v>815685</v>
      </c>
      <c r="J3112" s="705">
        <v>302106</v>
      </c>
      <c r="K3112" s="705">
        <v>100</v>
      </c>
      <c r="L3112" s="705">
        <v>121880</v>
      </c>
      <c r="M3112" s="705">
        <v>110178</v>
      </c>
      <c r="N3112" s="705">
        <v>61610</v>
      </c>
      <c r="O3112" s="705">
        <v>22819</v>
      </c>
      <c r="P3112" s="705">
        <v>1916</v>
      </c>
      <c r="Q3112" s="705">
        <v>710</v>
      </c>
      <c r="R3112" s="705">
        <v>155612</v>
      </c>
      <c r="S3112" s="705">
        <v>57634</v>
      </c>
      <c r="T3112" s="705">
        <v>0</v>
      </c>
      <c r="U3112" s="705">
        <v>0</v>
      </c>
      <c r="V3112" s="705">
        <v>493446</v>
      </c>
      <c r="W3112" s="705">
        <f t="shared" si="120"/>
        <v>493447</v>
      </c>
      <c r="X3112" s="705">
        <f t="shared" si="121"/>
        <v>1156703</v>
      </c>
    </row>
    <row r="3113" spans="2:24">
      <c r="B3113" t="s">
        <v>557</v>
      </c>
      <c r="C3113" t="s">
        <v>122</v>
      </c>
      <c r="D3113" t="s">
        <v>228</v>
      </c>
      <c r="E3113" t="s">
        <v>665</v>
      </c>
      <c r="F3113" s="705">
        <v>2</v>
      </c>
      <c r="G3113" s="705">
        <v>164</v>
      </c>
      <c r="H3113" s="705">
        <v>821</v>
      </c>
      <c r="I3113" s="705">
        <v>43547</v>
      </c>
      <c r="J3113" s="705">
        <v>16129</v>
      </c>
      <c r="K3113" s="705">
        <v>100</v>
      </c>
      <c r="L3113" s="705">
        <v>4589</v>
      </c>
      <c r="M3113" s="705">
        <v>4172</v>
      </c>
      <c r="N3113" s="705">
        <v>3491</v>
      </c>
      <c r="O3113" s="705">
        <v>1293</v>
      </c>
      <c r="P3113" s="705">
        <v>0</v>
      </c>
      <c r="Q3113" s="705">
        <v>0</v>
      </c>
      <c r="R3113" s="705">
        <v>10751</v>
      </c>
      <c r="S3113" s="705">
        <v>9774</v>
      </c>
      <c r="T3113" s="705">
        <v>4830</v>
      </c>
      <c r="U3113" s="705">
        <v>1789</v>
      </c>
      <c r="V3113" s="705">
        <v>33155</v>
      </c>
      <c r="W3113" s="705">
        <f t="shared" si="120"/>
        <v>33157</v>
      </c>
      <c r="X3113" s="705">
        <f t="shared" si="121"/>
        <v>67208</v>
      </c>
    </row>
    <row r="3114" spans="2:24">
      <c r="B3114" t="s">
        <v>557</v>
      </c>
      <c r="C3114" t="s">
        <v>122</v>
      </c>
      <c r="D3114" t="s">
        <v>583</v>
      </c>
      <c r="E3114" t="s">
        <v>228</v>
      </c>
      <c r="F3114" s="705">
        <v>3</v>
      </c>
      <c r="G3114" s="705">
        <v>310</v>
      </c>
      <c r="H3114" s="705">
        <v>1240</v>
      </c>
      <c r="I3114" s="705">
        <v>88415</v>
      </c>
      <c r="J3114" s="705">
        <v>80377</v>
      </c>
      <c r="K3114" s="705">
        <v>76</v>
      </c>
      <c r="L3114" s="705">
        <v>16128</v>
      </c>
      <c r="M3114" s="705">
        <v>14661</v>
      </c>
      <c r="N3114" s="705">
        <v>6041</v>
      </c>
      <c r="O3114" s="705">
        <v>2237</v>
      </c>
      <c r="P3114" s="705">
        <v>2214</v>
      </c>
      <c r="Q3114" s="705">
        <v>820</v>
      </c>
      <c r="R3114" s="705">
        <v>16809</v>
      </c>
      <c r="S3114" s="705">
        <v>6226</v>
      </c>
      <c r="T3114" s="705">
        <v>0</v>
      </c>
      <c r="U3114" s="705">
        <v>0</v>
      </c>
      <c r="V3114" s="705">
        <v>104322</v>
      </c>
      <c r="W3114" s="705">
        <f t="shared" si="120"/>
        <v>104321</v>
      </c>
      <c r="X3114" s="705">
        <f t="shared" si="121"/>
        <v>129607</v>
      </c>
    </row>
    <row r="3115" spans="2:24">
      <c r="B3115" t="s">
        <v>557</v>
      </c>
      <c r="C3115" t="s">
        <v>122</v>
      </c>
      <c r="D3115" t="s">
        <v>583</v>
      </c>
      <c r="E3115" t="s">
        <v>583</v>
      </c>
      <c r="F3115" s="705">
        <v>233</v>
      </c>
      <c r="G3115" s="705">
        <v>25340</v>
      </c>
      <c r="H3115" s="705">
        <v>96355</v>
      </c>
      <c r="I3115" s="705">
        <v>6950787</v>
      </c>
      <c r="J3115" s="705">
        <v>6318897</v>
      </c>
      <c r="K3115" s="705">
        <v>76</v>
      </c>
      <c r="L3115" s="705">
        <v>1362818</v>
      </c>
      <c r="M3115" s="705">
        <v>1215244</v>
      </c>
      <c r="N3115" s="705">
        <v>524051</v>
      </c>
      <c r="O3115" s="705">
        <v>194093</v>
      </c>
      <c r="P3115" s="705">
        <v>153306</v>
      </c>
      <c r="Q3115" s="705">
        <v>56780</v>
      </c>
      <c r="R3115" s="705">
        <v>1170540</v>
      </c>
      <c r="S3115" s="705">
        <v>1064128</v>
      </c>
      <c r="T3115" s="705">
        <v>452126</v>
      </c>
      <c r="U3115" s="705">
        <v>167454</v>
      </c>
      <c r="V3115" s="705">
        <v>9016596</v>
      </c>
      <c r="W3115" s="705">
        <f t="shared" si="120"/>
        <v>9016596</v>
      </c>
      <c r="X3115" s="705">
        <f t="shared" si="121"/>
        <v>10613628</v>
      </c>
    </row>
    <row r="3116" spans="2:24">
      <c r="B3116" t="s">
        <v>557</v>
      </c>
      <c r="C3116" t="s">
        <v>122</v>
      </c>
      <c r="D3116" t="s">
        <v>583</v>
      </c>
      <c r="E3116" t="s">
        <v>665</v>
      </c>
      <c r="F3116" s="705">
        <v>1</v>
      </c>
      <c r="G3116" s="705">
        <v>191</v>
      </c>
      <c r="H3116" s="705">
        <v>434</v>
      </c>
      <c r="I3116" s="705">
        <v>60502</v>
      </c>
      <c r="J3116" s="705">
        <v>55002</v>
      </c>
      <c r="K3116" s="705">
        <v>70</v>
      </c>
      <c r="L3116" s="705">
        <v>7451</v>
      </c>
      <c r="M3116" s="705">
        <v>6773</v>
      </c>
      <c r="N3116" s="705">
        <v>4046</v>
      </c>
      <c r="O3116" s="705">
        <v>1499</v>
      </c>
      <c r="P3116" s="705">
        <v>621</v>
      </c>
      <c r="Q3116" s="705">
        <v>230</v>
      </c>
      <c r="R3116" s="705">
        <v>6805</v>
      </c>
      <c r="S3116" s="705">
        <v>6186</v>
      </c>
      <c r="T3116" s="705">
        <v>3438</v>
      </c>
      <c r="U3116" s="705">
        <v>1273</v>
      </c>
      <c r="V3116" s="705">
        <v>70963</v>
      </c>
      <c r="W3116" s="705">
        <f t="shared" ref="W3116:W3179" si="122">SUM(ABS(J3116),ABS(M3116),ABS(O3116),ABS(Q3116),ABS(S3116),ABS(U3116))</f>
        <v>70963</v>
      </c>
      <c r="X3116" s="705">
        <f t="shared" ref="X3116:X3179" si="123">SUM(ABS(I3116),ABS(N3116),ABS(P3116),ABS(R3116),ABS(T3116),ABS(L3116))</f>
        <v>82863</v>
      </c>
    </row>
    <row r="3117" spans="2:24">
      <c r="B3117" t="s">
        <v>557</v>
      </c>
      <c r="C3117" t="s">
        <v>122</v>
      </c>
      <c r="D3117" t="s">
        <v>666</v>
      </c>
      <c r="E3117" t="s">
        <v>228</v>
      </c>
      <c r="F3117" s="705">
        <v>1</v>
      </c>
      <c r="G3117" s="705">
        <v>86</v>
      </c>
      <c r="H3117" s="705">
        <v>425</v>
      </c>
      <c r="I3117" s="705">
        <v>21129</v>
      </c>
      <c r="J3117" s="705">
        <v>19208</v>
      </c>
      <c r="K3117" s="705">
        <v>60</v>
      </c>
      <c r="L3117" s="705">
        <v>4695</v>
      </c>
      <c r="M3117" s="705">
        <v>4269</v>
      </c>
      <c r="N3117" s="705">
        <v>1836</v>
      </c>
      <c r="O3117" s="705">
        <v>680</v>
      </c>
      <c r="P3117" s="705">
        <v>0</v>
      </c>
      <c r="Q3117" s="705">
        <v>0</v>
      </c>
      <c r="R3117" s="705">
        <v>8969</v>
      </c>
      <c r="S3117" s="705">
        <v>3322</v>
      </c>
      <c r="T3117" s="705">
        <v>0</v>
      </c>
      <c r="U3117" s="705">
        <v>0</v>
      </c>
      <c r="V3117" s="705">
        <v>27479</v>
      </c>
      <c r="W3117" s="705">
        <f t="shared" si="122"/>
        <v>27479</v>
      </c>
      <c r="X3117" s="705">
        <f t="shared" si="123"/>
        <v>36629</v>
      </c>
    </row>
    <row r="3118" spans="2:24">
      <c r="B3118" t="s">
        <v>557</v>
      </c>
      <c r="C3118" t="s">
        <v>122</v>
      </c>
      <c r="D3118" t="s">
        <v>666</v>
      </c>
      <c r="E3118" t="s">
        <v>666</v>
      </c>
      <c r="F3118" s="705">
        <v>2</v>
      </c>
      <c r="G3118" s="705">
        <v>176</v>
      </c>
      <c r="H3118" s="705">
        <v>862</v>
      </c>
      <c r="I3118" s="705">
        <v>52414</v>
      </c>
      <c r="J3118" s="705">
        <v>47649</v>
      </c>
      <c r="K3118" s="705">
        <v>65</v>
      </c>
      <c r="L3118" s="705">
        <v>4363</v>
      </c>
      <c r="M3118" s="705">
        <v>11266</v>
      </c>
      <c r="N3118" s="705">
        <v>3972</v>
      </c>
      <c r="O3118" s="705">
        <v>1471</v>
      </c>
      <c r="P3118" s="705">
        <v>702</v>
      </c>
      <c r="Q3118" s="705">
        <v>260</v>
      </c>
      <c r="R3118" s="705">
        <v>9171</v>
      </c>
      <c r="S3118" s="705">
        <v>8337</v>
      </c>
      <c r="T3118" s="705">
        <v>5388</v>
      </c>
      <c r="U3118" s="705">
        <v>1995</v>
      </c>
      <c r="V3118" s="705">
        <v>70979</v>
      </c>
      <c r="W3118" s="705">
        <f t="shared" si="122"/>
        <v>70978</v>
      </c>
      <c r="X3118" s="705">
        <f t="shared" si="123"/>
        <v>76010</v>
      </c>
    </row>
    <row r="3119" spans="2:24">
      <c r="B3119" t="s">
        <v>557</v>
      </c>
      <c r="C3119" t="s">
        <v>122</v>
      </c>
      <c r="D3119" t="s">
        <v>669</v>
      </c>
      <c r="E3119" t="s">
        <v>228</v>
      </c>
      <c r="F3119" s="705">
        <v>1</v>
      </c>
      <c r="G3119" s="705">
        <v>106</v>
      </c>
      <c r="H3119" s="705">
        <v>430</v>
      </c>
      <c r="I3119" s="705">
        <v>32821</v>
      </c>
      <c r="J3119" s="705">
        <v>27351</v>
      </c>
      <c r="K3119" s="705">
        <v>60</v>
      </c>
      <c r="L3119" s="705">
        <v>4923</v>
      </c>
      <c r="M3119" s="705">
        <v>1823</v>
      </c>
      <c r="N3119" s="705">
        <v>2583</v>
      </c>
      <c r="O3119" s="705">
        <v>957</v>
      </c>
      <c r="P3119" s="705">
        <v>0</v>
      </c>
      <c r="Q3119" s="705">
        <v>0</v>
      </c>
      <c r="R3119" s="705">
        <v>5301</v>
      </c>
      <c r="S3119" s="705">
        <v>1963</v>
      </c>
      <c r="T3119" s="705">
        <v>0</v>
      </c>
      <c r="U3119" s="705">
        <v>0</v>
      </c>
      <c r="V3119" s="705">
        <v>32095</v>
      </c>
      <c r="W3119" s="705">
        <f t="shared" si="122"/>
        <v>32094</v>
      </c>
      <c r="X3119" s="705">
        <f t="shared" si="123"/>
        <v>45628</v>
      </c>
    </row>
    <row r="3120" spans="2:24">
      <c r="B3120" t="s">
        <v>557</v>
      </c>
      <c r="C3120" t="s">
        <v>122</v>
      </c>
      <c r="D3120" t="s">
        <v>669</v>
      </c>
      <c r="E3120" t="s">
        <v>669</v>
      </c>
      <c r="F3120" s="705">
        <v>10</v>
      </c>
      <c r="G3120" s="705">
        <v>1063</v>
      </c>
      <c r="H3120" s="705">
        <v>4151</v>
      </c>
      <c r="I3120" s="705">
        <v>282820</v>
      </c>
      <c r="J3120" s="705">
        <v>235684</v>
      </c>
      <c r="K3120" s="705">
        <v>53</v>
      </c>
      <c r="L3120" s="705">
        <v>40179</v>
      </c>
      <c r="M3120" s="705">
        <v>33638</v>
      </c>
      <c r="N3120" s="705">
        <v>21342</v>
      </c>
      <c r="O3120" s="705">
        <v>7905</v>
      </c>
      <c r="P3120" s="705">
        <v>4131</v>
      </c>
      <c r="Q3120" s="705">
        <v>1530</v>
      </c>
      <c r="R3120" s="705">
        <v>70052</v>
      </c>
      <c r="S3120" s="705">
        <v>58377</v>
      </c>
      <c r="T3120" s="705">
        <v>20877</v>
      </c>
      <c r="U3120" s="705">
        <v>7732</v>
      </c>
      <c r="V3120" s="705">
        <v>344865</v>
      </c>
      <c r="W3120" s="705">
        <f t="shared" si="122"/>
        <v>344866</v>
      </c>
      <c r="X3120" s="705">
        <f t="shared" si="123"/>
        <v>439401</v>
      </c>
    </row>
    <row r="3121" spans="2:24">
      <c r="B3121" t="s">
        <v>557</v>
      </c>
      <c r="C3121" t="s">
        <v>122</v>
      </c>
      <c r="D3121" t="s">
        <v>667</v>
      </c>
      <c r="E3121" t="s">
        <v>228</v>
      </c>
      <c r="F3121" s="705">
        <v>1</v>
      </c>
      <c r="G3121" s="705">
        <v>120</v>
      </c>
      <c r="H3121" s="705">
        <v>446</v>
      </c>
      <c r="I3121" s="705">
        <v>35038</v>
      </c>
      <c r="J3121" s="705">
        <v>31853</v>
      </c>
      <c r="K3121" s="705">
        <v>65</v>
      </c>
      <c r="L3121" s="705">
        <v>8435</v>
      </c>
      <c r="M3121" s="705">
        <v>7668</v>
      </c>
      <c r="N3121" s="705">
        <v>2753</v>
      </c>
      <c r="O3121" s="705">
        <v>1020</v>
      </c>
      <c r="P3121" s="705">
        <v>351</v>
      </c>
      <c r="Q3121" s="705">
        <v>130</v>
      </c>
      <c r="R3121" s="705">
        <v>6741</v>
      </c>
      <c r="S3121" s="705">
        <v>2496</v>
      </c>
      <c r="T3121" s="705">
        <v>0</v>
      </c>
      <c r="U3121" s="705">
        <v>0</v>
      </c>
      <c r="V3121" s="705">
        <v>43167</v>
      </c>
      <c r="W3121" s="705">
        <f t="shared" si="122"/>
        <v>43167</v>
      </c>
      <c r="X3121" s="705">
        <f t="shared" si="123"/>
        <v>53318</v>
      </c>
    </row>
    <row r="3122" spans="2:24">
      <c r="B3122" t="s">
        <v>557</v>
      </c>
      <c r="C3122" t="s">
        <v>122</v>
      </c>
      <c r="D3122" t="s">
        <v>667</v>
      </c>
      <c r="E3122" t="s">
        <v>667</v>
      </c>
      <c r="F3122" s="705">
        <v>1</v>
      </c>
      <c r="G3122" s="705">
        <v>115</v>
      </c>
      <c r="H3122" s="705">
        <v>416</v>
      </c>
      <c r="I3122" s="705">
        <v>30257</v>
      </c>
      <c r="J3122" s="705">
        <v>27507</v>
      </c>
      <c r="K3122" s="705">
        <v>55</v>
      </c>
      <c r="L3122" s="705">
        <v>4539</v>
      </c>
      <c r="M3122" s="705">
        <v>1681</v>
      </c>
      <c r="N3122" s="705">
        <v>2655</v>
      </c>
      <c r="O3122" s="705">
        <v>983</v>
      </c>
      <c r="P3122" s="705">
        <v>351</v>
      </c>
      <c r="Q3122" s="705">
        <v>130</v>
      </c>
      <c r="R3122" s="705">
        <v>6633</v>
      </c>
      <c r="S3122" s="705">
        <v>6030</v>
      </c>
      <c r="T3122" s="705">
        <v>3323</v>
      </c>
      <c r="U3122" s="705">
        <v>1231</v>
      </c>
      <c r="V3122" s="705">
        <v>37562</v>
      </c>
      <c r="W3122" s="705">
        <f t="shared" si="122"/>
        <v>37562</v>
      </c>
      <c r="X3122" s="705">
        <f t="shared" si="123"/>
        <v>47758</v>
      </c>
    </row>
    <row r="3123" spans="2:24">
      <c r="B3123" t="s">
        <v>557</v>
      </c>
      <c r="C3123" t="s">
        <v>122</v>
      </c>
      <c r="D3123" t="s">
        <v>671</v>
      </c>
      <c r="E3123" t="s">
        <v>671</v>
      </c>
      <c r="F3123" s="705">
        <v>11</v>
      </c>
      <c r="G3123" s="705">
        <v>990</v>
      </c>
      <c r="H3123" s="705">
        <v>4485</v>
      </c>
      <c r="I3123" s="705">
        <v>248612</v>
      </c>
      <c r="J3123" s="705">
        <v>226011</v>
      </c>
      <c r="K3123" s="705">
        <v>51</v>
      </c>
      <c r="L3123" s="705">
        <v>36975</v>
      </c>
      <c r="M3123" s="705">
        <v>32634</v>
      </c>
      <c r="N3123" s="705">
        <v>19475</v>
      </c>
      <c r="O3123" s="705">
        <v>7213</v>
      </c>
      <c r="P3123" s="705">
        <v>3780</v>
      </c>
      <c r="Q3123" s="705">
        <v>1400</v>
      </c>
      <c r="R3123" s="705">
        <v>76655</v>
      </c>
      <c r="S3123" s="705">
        <v>69687</v>
      </c>
      <c r="T3123" s="705">
        <v>18976</v>
      </c>
      <c r="U3123" s="705">
        <v>7028</v>
      </c>
      <c r="V3123" s="705">
        <v>343973</v>
      </c>
      <c r="W3123" s="705">
        <f t="shared" si="122"/>
        <v>343973</v>
      </c>
      <c r="X3123" s="705">
        <f t="shared" si="123"/>
        <v>404473</v>
      </c>
    </row>
    <row r="3124" spans="2:24">
      <c r="B3124" t="s">
        <v>557</v>
      </c>
      <c r="C3124" t="s">
        <v>122</v>
      </c>
      <c r="D3124" t="s">
        <v>665</v>
      </c>
      <c r="E3124" t="s">
        <v>228</v>
      </c>
      <c r="F3124" s="705">
        <v>1</v>
      </c>
      <c r="G3124" s="705">
        <v>212</v>
      </c>
      <c r="H3124" s="705">
        <v>380</v>
      </c>
      <c r="I3124" s="705">
        <v>61027</v>
      </c>
      <c r="J3124" s="705">
        <v>55479</v>
      </c>
      <c r="K3124" s="705">
        <v>30</v>
      </c>
      <c r="L3124" s="705">
        <v>4743</v>
      </c>
      <c r="M3124" s="705">
        <v>1757</v>
      </c>
      <c r="N3124" s="705">
        <v>5166</v>
      </c>
      <c r="O3124" s="705">
        <v>1913</v>
      </c>
      <c r="P3124" s="705">
        <v>0</v>
      </c>
      <c r="Q3124" s="705">
        <v>0</v>
      </c>
      <c r="R3124" s="705">
        <v>9652</v>
      </c>
      <c r="S3124" s="705">
        <v>3575</v>
      </c>
      <c r="T3124" s="705">
        <v>0</v>
      </c>
      <c r="U3124" s="705">
        <v>0</v>
      </c>
      <c r="V3124" s="705">
        <v>62724</v>
      </c>
      <c r="W3124" s="705">
        <f t="shared" si="122"/>
        <v>62724</v>
      </c>
      <c r="X3124" s="705">
        <f t="shared" si="123"/>
        <v>80588</v>
      </c>
    </row>
    <row r="3125" spans="2:24">
      <c r="B3125" t="s">
        <v>557</v>
      </c>
      <c r="C3125" t="s">
        <v>122</v>
      </c>
      <c r="D3125" t="s">
        <v>665</v>
      </c>
      <c r="E3125" t="s">
        <v>665</v>
      </c>
      <c r="F3125" s="705">
        <v>59</v>
      </c>
      <c r="G3125" s="705">
        <v>6157</v>
      </c>
      <c r="H3125" s="705">
        <v>24406</v>
      </c>
      <c r="I3125" s="705">
        <v>1655214</v>
      </c>
      <c r="J3125" s="705">
        <v>1504740</v>
      </c>
      <c r="K3125" s="705">
        <v>52</v>
      </c>
      <c r="L3125" s="705">
        <v>249680</v>
      </c>
      <c r="M3125" s="705">
        <v>215770</v>
      </c>
      <c r="N3125" s="705">
        <v>126987</v>
      </c>
      <c r="O3125" s="705">
        <v>47032</v>
      </c>
      <c r="P3125" s="705">
        <v>23652</v>
      </c>
      <c r="Q3125" s="705">
        <v>8760</v>
      </c>
      <c r="R3125" s="705">
        <v>396949</v>
      </c>
      <c r="S3125" s="705">
        <v>360862</v>
      </c>
      <c r="T3125" s="705">
        <v>127482</v>
      </c>
      <c r="U3125" s="705">
        <v>47216</v>
      </c>
      <c r="V3125" s="705">
        <v>2184380</v>
      </c>
      <c r="W3125" s="705">
        <f t="shared" si="122"/>
        <v>2184380</v>
      </c>
      <c r="X3125" s="705">
        <f t="shared" si="123"/>
        <v>2579964</v>
      </c>
    </row>
    <row r="3126" spans="2:24">
      <c r="B3126" t="s">
        <v>557</v>
      </c>
      <c r="C3126" t="s">
        <v>122</v>
      </c>
      <c r="D3126" t="s">
        <v>673</v>
      </c>
      <c r="E3126" t="s">
        <v>665</v>
      </c>
      <c r="F3126" s="705">
        <v>1</v>
      </c>
      <c r="G3126" s="705">
        <v>145</v>
      </c>
      <c r="H3126" s="705">
        <v>384</v>
      </c>
      <c r="I3126" s="705">
        <v>43152</v>
      </c>
      <c r="J3126" s="705">
        <v>39229</v>
      </c>
      <c r="K3126" s="705">
        <v>55</v>
      </c>
      <c r="L3126" s="705">
        <v>4057</v>
      </c>
      <c r="M3126" s="705">
        <v>3688</v>
      </c>
      <c r="N3126" s="705">
        <v>1762</v>
      </c>
      <c r="O3126" s="705">
        <v>653</v>
      </c>
      <c r="P3126" s="705">
        <v>351</v>
      </c>
      <c r="Q3126" s="705">
        <v>130</v>
      </c>
      <c r="R3126" s="705">
        <v>6152</v>
      </c>
      <c r="S3126" s="705">
        <v>5593</v>
      </c>
      <c r="T3126" s="705">
        <v>0</v>
      </c>
      <c r="U3126" s="705">
        <v>0</v>
      </c>
      <c r="V3126" s="705">
        <v>49293</v>
      </c>
      <c r="W3126" s="705">
        <f t="shared" si="122"/>
        <v>49293</v>
      </c>
      <c r="X3126" s="705">
        <f t="shared" si="123"/>
        <v>55474</v>
      </c>
    </row>
    <row r="3127" spans="2:24">
      <c r="B3127" t="s">
        <v>557</v>
      </c>
      <c r="C3127" t="s">
        <v>122</v>
      </c>
      <c r="D3127" t="s">
        <v>673</v>
      </c>
      <c r="E3127" t="s">
        <v>673</v>
      </c>
      <c r="F3127" s="705">
        <v>1</v>
      </c>
      <c r="G3127" s="705">
        <v>100</v>
      </c>
      <c r="H3127" s="705">
        <v>423</v>
      </c>
      <c r="I3127" s="705">
        <v>25613</v>
      </c>
      <c r="J3127" s="705">
        <v>23285</v>
      </c>
      <c r="K3127" s="705">
        <v>45</v>
      </c>
      <c r="L3127" s="705">
        <v>4269</v>
      </c>
      <c r="M3127" s="705">
        <v>3881</v>
      </c>
      <c r="N3127" s="705">
        <v>2437</v>
      </c>
      <c r="O3127" s="705">
        <v>903</v>
      </c>
      <c r="P3127" s="705">
        <v>351</v>
      </c>
      <c r="Q3127" s="705">
        <v>130</v>
      </c>
      <c r="R3127" s="705">
        <v>9642</v>
      </c>
      <c r="S3127" s="705">
        <v>8766</v>
      </c>
      <c r="T3127" s="705">
        <v>0</v>
      </c>
      <c r="U3127" s="705">
        <v>0</v>
      </c>
      <c r="V3127" s="705">
        <v>36964</v>
      </c>
      <c r="W3127" s="705">
        <f t="shared" si="122"/>
        <v>36965</v>
      </c>
      <c r="X3127" s="705">
        <f t="shared" si="123"/>
        <v>42312</v>
      </c>
    </row>
    <row r="3128" spans="2:24">
      <c r="B3128" t="s">
        <v>557</v>
      </c>
      <c r="C3128" t="s">
        <v>122</v>
      </c>
      <c r="D3128" t="s">
        <v>585</v>
      </c>
      <c r="E3128" t="s">
        <v>585</v>
      </c>
      <c r="F3128" s="705">
        <v>1</v>
      </c>
      <c r="G3128" s="705">
        <v>108</v>
      </c>
      <c r="H3128" s="705">
        <v>420</v>
      </c>
      <c r="I3128" s="705">
        <v>31844</v>
      </c>
      <c r="J3128" s="705">
        <v>28949</v>
      </c>
      <c r="K3128" s="705">
        <v>65</v>
      </c>
      <c r="L3128" s="705">
        <v>5575</v>
      </c>
      <c r="M3128" s="705">
        <v>4646</v>
      </c>
      <c r="N3128" s="705">
        <v>1844</v>
      </c>
      <c r="O3128" s="705">
        <v>683</v>
      </c>
      <c r="P3128" s="705">
        <v>351</v>
      </c>
      <c r="Q3128" s="705">
        <v>130</v>
      </c>
      <c r="R3128" s="705">
        <v>5837</v>
      </c>
      <c r="S3128" s="705">
        <v>5306</v>
      </c>
      <c r="T3128" s="705">
        <v>0</v>
      </c>
      <c r="U3128" s="705">
        <v>0</v>
      </c>
      <c r="V3128" s="705">
        <v>39714</v>
      </c>
      <c r="W3128" s="705">
        <f t="shared" si="122"/>
        <v>39714</v>
      </c>
      <c r="X3128" s="705">
        <f t="shared" si="123"/>
        <v>45451</v>
      </c>
    </row>
    <row r="3129" spans="2:24">
      <c r="B3129" t="s">
        <v>557</v>
      </c>
      <c r="C3129" t="s">
        <v>124</v>
      </c>
      <c r="D3129" t="s">
        <v>664</v>
      </c>
      <c r="E3129" t="s">
        <v>664</v>
      </c>
      <c r="F3129" s="705">
        <v>1</v>
      </c>
      <c r="G3129" s="705">
        <v>161</v>
      </c>
      <c r="H3129" s="705">
        <v>529</v>
      </c>
      <c r="I3129" s="705">
        <v>62359</v>
      </c>
      <c r="J3129" s="705">
        <v>56690</v>
      </c>
      <c r="K3129" s="705">
        <v>65</v>
      </c>
      <c r="L3129" s="705">
        <v>10705</v>
      </c>
      <c r="M3129" s="705">
        <v>9732</v>
      </c>
      <c r="N3129" s="705">
        <v>3784</v>
      </c>
      <c r="O3129" s="705">
        <v>1401</v>
      </c>
      <c r="P3129" s="705">
        <v>473</v>
      </c>
      <c r="Q3129" s="705">
        <v>175</v>
      </c>
      <c r="R3129" s="705">
        <v>5062</v>
      </c>
      <c r="S3129" s="705">
        <v>4602</v>
      </c>
      <c r="T3129" s="705">
        <v>2692</v>
      </c>
      <c r="U3129" s="705">
        <v>997</v>
      </c>
      <c r="V3129" s="705">
        <v>73597</v>
      </c>
      <c r="W3129" s="705">
        <f t="shared" si="122"/>
        <v>73597</v>
      </c>
      <c r="X3129" s="705">
        <f t="shared" si="123"/>
        <v>85075</v>
      </c>
    </row>
    <row r="3130" spans="2:24">
      <c r="B3130" t="s">
        <v>557</v>
      </c>
      <c r="C3130" t="s">
        <v>124</v>
      </c>
      <c r="D3130" t="s">
        <v>582</v>
      </c>
      <c r="E3130" t="s">
        <v>582</v>
      </c>
      <c r="F3130" s="705">
        <v>1</v>
      </c>
      <c r="G3130" s="705">
        <v>90</v>
      </c>
      <c r="H3130" s="705">
        <v>489</v>
      </c>
      <c r="I3130" s="705">
        <v>31513</v>
      </c>
      <c r="J3130" s="705">
        <v>28648</v>
      </c>
      <c r="K3130" s="705">
        <v>65</v>
      </c>
      <c r="L3130" s="705">
        <v>3017</v>
      </c>
      <c r="M3130" s="705">
        <v>2742</v>
      </c>
      <c r="N3130" s="705">
        <v>1649</v>
      </c>
      <c r="O3130" s="705">
        <v>611</v>
      </c>
      <c r="P3130" s="705">
        <v>473</v>
      </c>
      <c r="Q3130" s="705">
        <v>175</v>
      </c>
      <c r="R3130" s="705">
        <v>4897</v>
      </c>
      <c r="S3130" s="705">
        <v>4452</v>
      </c>
      <c r="T3130" s="705">
        <v>2569</v>
      </c>
      <c r="U3130" s="705">
        <v>952</v>
      </c>
      <c r="V3130" s="705">
        <v>37580</v>
      </c>
      <c r="W3130" s="705">
        <f t="shared" si="122"/>
        <v>37580</v>
      </c>
      <c r="X3130" s="705">
        <f t="shared" si="123"/>
        <v>44118</v>
      </c>
    </row>
    <row r="3131" spans="2:24">
      <c r="B3131" t="s">
        <v>557</v>
      </c>
      <c r="C3131" t="s">
        <v>124</v>
      </c>
      <c r="D3131" t="s">
        <v>228</v>
      </c>
      <c r="E3131" t="s">
        <v>580</v>
      </c>
      <c r="F3131" s="705">
        <v>1</v>
      </c>
      <c r="G3131" s="705">
        <v>177</v>
      </c>
      <c r="H3131" s="705">
        <v>890</v>
      </c>
      <c r="I3131" s="705">
        <v>132846</v>
      </c>
      <c r="J3131" s="705">
        <v>49202</v>
      </c>
      <c r="K3131" s="705">
        <v>100</v>
      </c>
      <c r="L3131" s="705">
        <v>10023</v>
      </c>
      <c r="M3131" s="705">
        <v>9112</v>
      </c>
      <c r="N3131" s="705">
        <v>4313</v>
      </c>
      <c r="O3131" s="705">
        <v>1597</v>
      </c>
      <c r="P3131" s="705">
        <v>0</v>
      </c>
      <c r="Q3131" s="705">
        <v>0</v>
      </c>
      <c r="R3131" s="705">
        <v>10304</v>
      </c>
      <c r="S3131" s="705">
        <v>3816</v>
      </c>
      <c r="T3131" s="705">
        <v>0</v>
      </c>
      <c r="U3131" s="705">
        <v>0</v>
      </c>
      <c r="V3131" s="705">
        <v>63728</v>
      </c>
      <c r="W3131" s="705">
        <f t="shared" si="122"/>
        <v>63727</v>
      </c>
      <c r="X3131" s="705">
        <f t="shared" si="123"/>
        <v>157486</v>
      </c>
    </row>
    <row r="3132" spans="2:24">
      <c r="B3132" t="s">
        <v>557</v>
      </c>
      <c r="C3132" t="s">
        <v>124</v>
      </c>
      <c r="D3132" t="s">
        <v>228</v>
      </c>
      <c r="E3132" t="s">
        <v>228</v>
      </c>
      <c r="F3132" s="705">
        <v>71</v>
      </c>
      <c r="G3132" s="705">
        <v>6679</v>
      </c>
      <c r="H3132" s="705">
        <v>55563</v>
      </c>
      <c r="I3132" s="705">
        <v>3842262</v>
      </c>
      <c r="J3132" s="705">
        <v>1423060</v>
      </c>
      <c r="K3132" s="705">
        <v>100</v>
      </c>
      <c r="L3132" s="705">
        <v>533021</v>
      </c>
      <c r="M3132" s="705">
        <v>458289</v>
      </c>
      <c r="N3132" s="705">
        <v>148471</v>
      </c>
      <c r="O3132" s="705">
        <v>54989</v>
      </c>
      <c r="P3132" s="705">
        <v>2428</v>
      </c>
      <c r="Q3132" s="705">
        <v>899</v>
      </c>
      <c r="R3132" s="705">
        <v>485588</v>
      </c>
      <c r="S3132" s="705">
        <v>179847</v>
      </c>
      <c r="T3132" s="705">
        <v>3608</v>
      </c>
      <c r="U3132" s="705">
        <v>1336</v>
      </c>
      <c r="V3132" s="705">
        <v>2118421</v>
      </c>
      <c r="W3132" s="705">
        <f t="shared" si="122"/>
        <v>2118420</v>
      </c>
      <c r="X3132" s="705">
        <f t="shared" si="123"/>
        <v>5015378</v>
      </c>
    </row>
    <row r="3133" spans="2:24">
      <c r="B3133" t="s">
        <v>557</v>
      </c>
      <c r="C3133" t="s">
        <v>124</v>
      </c>
      <c r="D3133" t="s">
        <v>228</v>
      </c>
      <c r="E3133" t="s">
        <v>583</v>
      </c>
      <c r="F3133" s="705">
        <v>1</v>
      </c>
      <c r="G3133" s="705">
        <v>86</v>
      </c>
      <c r="H3133" s="705">
        <v>762</v>
      </c>
      <c r="I3133" s="705">
        <v>50755</v>
      </c>
      <c r="J3133" s="705">
        <v>18798</v>
      </c>
      <c r="K3133" s="705">
        <v>100</v>
      </c>
      <c r="L3133" s="705">
        <v>7659</v>
      </c>
      <c r="M3133" s="705">
        <v>6962</v>
      </c>
      <c r="N3133" s="705">
        <v>1563</v>
      </c>
      <c r="O3133" s="705">
        <v>579</v>
      </c>
      <c r="P3133" s="705">
        <v>0</v>
      </c>
      <c r="Q3133" s="705">
        <v>0</v>
      </c>
      <c r="R3133" s="705">
        <v>3404</v>
      </c>
      <c r="S3133" s="705">
        <v>3095</v>
      </c>
      <c r="T3133" s="705">
        <v>1794</v>
      </c>
      <c r="U3133" s="705">
        <v>664</v>
      </c>
      <c r="V3133" s="705">
        <v>30099</v>
      </c>
      <c r="W3133" s="705">
        <f t="shared" si="122"/>
        <v>30098</v>
      </c>
      <c r="X3133" s="705">
        <f t="shared" si="123"/>
        <v>65175</v>
      </c>
    </row>
    <row r="3134" spans="2:24">
      <c r="B3134" t="s">
        <v>557</v>
      </c>
      <c r="C3134" t="s">
        <v>124</v>
      </c>
      <c r="D3134" t="s">
        <v>228</v>
      </c>
      <c r="E3134" t="s">
        <v>671</v>
      </c>
      <c r="F3134" s="705">
        <v>4</v>
      </c>
      <c r="G3134" s="705">
        <v>429</v>
      </c>
      <c r="H3134" s="705">
        <v>2634</v>
      </c>
      <c r="I3134" s="705">
        <v>214854</v>
      </c>
      <c r="J3134" s="705">
        <v>79576</v>
      </c>
      <c r="K3134" s="705">
        <v>100</v>
      </c>
      <c r="L3134" s="705">
        <v>26703</v>
      </c>
      <c r="M3134" s="705">
        <v>24276</v>
      </c>
      <c r="N3134" s="705">
        <v>8852</v>
      </c>
      <c r="O3134" s="705">
        <v>3278</v>
      </c>
      <c r="P3134" s="705">
        <v>702</v>
      </c>
      <c r="Q3134" s="705">
        <v>260</v>
      </c>
      <c r="R3134" s="705">
        <v>27214</v>
      </c>
      <c r="S3134" s="705">
        <v>24740</v>
      </c>
      <c r="T3134" s="705">
        <v>11132</v>
      </c>
      <c r="U3134" s="705">
        <v>4123</v>
      </c>
      <c r="V3134" s="705">
        <v>136253</v>
      </c>
      <c r="W3134" s="705">
        <f t="shared" si="122"/>
        <v>136253</v>
      </c>
      <c r="X3134" s="705">
        <f t="shared" si="123"/>
        <v>289457</v>
      </c>
    </row>
    <row r="3135" spans="2:24">
      <c r="B3135" t="s">
        <v>557</v>
      </c>
      <c r="C3135" t="s">
        <v>124</v>
      </c>
      <c r="D3135" t="s">
        <v>228</v>
      </c>
      <c r="E3135" t="s">
        <v>665</v>
      </c>
      <c r="F3135" s="705">
        <v>15</v>
      </c>
      <c r="G3135" s="705">
        <v>1353</v>
      </c>
      <c r="H3135" s="705">
        <v>10491</v>
      </c>
      <c r="I3135" s="705">
        <v>698760</v>
      </c>
      <c r="J3135" s="705">
        <v>258800</v>
      </c>
      <c r="K3135" s="705">
        <v>100</v>
      </c>
      <c r="L3135" s="705">
        <v>118446</v>
      </c>
      <c r="M3135" s="705">
        <v>97485</v>
      </c>
      <c r="N3135" s="705">
        <v>30437</v>
      </c>
      <c r="O3135" s="705">
        <v>11273</v>
      </c>
      <c r="P3135" s="705">
        <v>1796</v>
      </c>
      <c r="Q3135" s="705">
        <v>665</v>
      </c>
      <c r="R3135" s="705">
        <v>95169</v>
      </c>
      <c r="S3135" s="705">
        <v>86517</v>
      </c>
      <c r="T3135" s="705">
        <v>21892</v>
      </c>
      <c r="U3135" s="705">
        <v>8108</v>
      </c>
      <c r="V3135" s="705">
        <v>462848</v>
      </c>
      <c r="W3135" s="705">
        <f t="shared" si="122"/>
        <v>462848</v>
      </c>
      <c r="X3135" s="705">
        <f t="shared" si="123"/>
        <v>966500</v>
      </c>
    </row>
    <row r="3136" spans="2:24">
      <c r="B3136" t="s">
        <v>557</v>
      </c>
      <c r="C3136" t="s">
        <v>124</v>
      </c>
      <c r="D3136" t="s">
        <v>583</v>
      </c>
      <c r="E3136" t="s">
        <v>228</v>
      </c>
      <c r="F3136" s="705">
        <v>7</v>
      </c>
      <c r="G3136" s="705">
        <v>849</v>
      </c>
      <c r="H3136" s="705">
        <v>3884</v>
      </c>
      <c r="I3136" s="705">
        <v>318152</v>
      </c>
      <c r="J3136" s="705">
        <v>289229</v>
      </c>
      <c r="K3136" s="705">
        <v>71</v>
      </c>
      <c r="L3136" s="705">
        <v>75174</v>
      </c>
      <c r="M3136" s="705">
        <v>68340</v>
      </c>
      <c r="N3136" s="705">
        <v>18669</v>
      </c>
      <c r="O3136" s="705">
        <v>6915</v>
      </c>
      <c r="P3136" s="705">
        <v>4077</v>
      </c>
      <c r="Q3136" s="705">
        <v>1510</v>
      </c>
      <c r="R3136" s="705">
        <v>51491</v>
      </c>
      <c r="S3136" s="705">
        <v>19071</v>
      </c>
      <c r="T3136" s="705">
        <v>0</v>
      </c>
      <c r="U3136" s="705">
        <v>0</v>
      </c>
      <c r="V3136" s="705">
        <v>385065</v>
      </c>
      <c r="W3136" s="705">
        <f t="shared" si="122"/>
        <v>385065</v>
      </c>
      <c r="X3136" s="705">
        <f t="shared" si="123"/>
        <v>467563</v>
      </c>
    </row>
    <row r="3137" spans="2:24">
      <c r="B3137" t="s">
        <v>557</v>
      </c>
      <c r="C3137" t="s">
        <v>124</v>
      </c>
      <c r="D3137" t="s">
        <v>583</v>
      </c>
      <c r="E3137" t="s">
        <v>583</v>
      </c>
      <c r="F3137" s="705">
        <v>290</v>
      </c>
      <c r="G3137" s="705">
        <v>29967</v>
      </c>
      <c r="H3137" s="705">
        <v>158334</v>
      </c>
      <c r="I3137" s="705">
        <v>11149850</v>
      </c>
      <c r="J3137" s="705">
        <v>10136227</v>
      </c>
      <c r="K3137" s="705">
        <v>73</v>
      </c>
      <c r="L3137" s="705">
        <v>2283166</v>
      </c>
      <c r="M3137" s="705">
        <v>2013993</v>
      </c>
      <c r="N3137" s="705">
        <v>645601</v>
      </c>
      <c r="O3137" s="705">
        <v>239111</v>
      </c>
      <c r="P3137" s="705">
        <v>188468</v>
      </c>
      <c r="Q3137" s="705">
        <v>69803</v>
      </c>
      <c r="R3137" s="705">
        <v>1446832</v>
      </c>
      <c r="S3137" s="705">
        <v>1315302</v>
      </c>
      <c r="T3137" s="705">
        <v>507024</v>
      </c>
      <c r="U3137" s="705">
        <v>187787</v>
      </c>
      <c r="V3137" s="705">
        <v>13962222</v>
      </c>
      <c r="W3137" s="705">
        <f t="shared" si="122"/>
        <v>13962223</v>
      </c>
      <c r="X3137" s="705">
        <f t="shared" si="123"/>
        <v>16220941</v>
      </c>
    </row>
    <row r="3138" spans="2:24">
      <c r="B3138" t="s">
        <v>557</v>
      </c>
      <c r="C3138" t="s">
        <v>124</v>
      </c>
      <c r="D3138" t="s">
        <v>666</v>
      </c>
      <c r="E3138" t="s">
        <v>666</v>
      </c>
      <c r="F3138" s="705">
        <v>6</v>
      </c>
      <c r="G3138" s="705">
        <v>489</v>
      </c>
      <c r="H3138" s="705">
        <v>5188</v>
      </c>
      <c r="I3138" s="705">
        <v>273090</v>
      </c>
      <c r="J3138" s="705">
        <v>248264</v>
      </c>
      <c r="K3138" s="705">
        <v>59</v>
      </c>
      <c r="L3138" s="705">
        <v>58330</v>
      </c>
      <c r="M3138" s="705">
        <v>53027</v>
      </c>
      <c r="N3138" s="705">
        <v>11539</v>
      </c>
      <c r="O3138" s="705">
        <v>4274</v>
      </c>
      <c r="P3138" s="705">
        <v>1755</v>
      </c>
      <c r="Q3138" s="705">
        <v>650</v>
      </c>
      <c r="R3138" s="705">
        <v>34823</v>
      </c>
      <c r="S3138" s="705">
        <v>31657</v>
      </c>
      <c r="T3138" s="705">
        <v>4567</v>
      </c>
      <c r="U3138" s="705">
        <v>1691</v>
      </c>
      <c r="V3138" s="705">
        <v>339563</v>
      </c>
      <c r="W3138" s="705">
        <f t="shared" si="122"/>
        <v>339563</v>
      </c>
      <c r="X3138" s="705">
        <f t="shared" si="123"/>
        <v>384104</v>
      </c>
    </row>
    <row r="3139" spans="2:24">
      <c r="B3139" t="s">
        <v>557</v>
      </c>
      <c r="C3139" t="s">
        <v>124</v>
      </c>
      <c r="D3139" t="s">
        <v>584</v>
      </c>
      <c r="E3139" t="s">
        <v>228</v>
      </c>
      <c r="F3139" s="705">
        <v>1</v>
      </c>
      <c r="G3139" s="705">
        <v>90</v>
      </c>
      <c r="H3139" s="705">
        <v>457</v>
      </c>
      <c r="I3139" s="705">
        <v>25756</v>
      </c>
      <c r="J3139" s="705">
        <v>23414</v>
      </c>
      <c r="K3139" s="705">
        <v>69</v>
      </c>
      <c r="L3139" s="705">
        <v>6816</v>
      </c>
      <c r="M3139" s="705">
        <v>5680</v>
      </c>
      <c r="N3139" s="705">
        <v>2193</v>
      </c>
      <c r="O3139" s="705">
        <v>812</v>
      </c>
      <c r="P3139" s="705">
        <v>473</v>
      </c>
      <c r="Q3139" s="705">
        <v>175</v>
      </c>
      <c r="R3139" s="705">
        <v>5910</v>
      </c>
      <c r="S3139" s="705">
        <v>2189</v>
      </c>
      <c r="T3139" s="705">
        <v>0</v>
      </c>
      <c r="U3139" s="705">
        <v>0</v>
      </c>
      <c r="V3139" s="705">
        <v>32271</v>
      </c>
      <c r="W3139" s="705">
        <f t="shared" si="122"/>
        <v>32270</v>
      </c>
      <c r="X3139" s="705">
        <f t="shared" si="123"/>
        <v>41148</v>
      </c>
    </row>
    <row r="3140" spans="2:24">
      <c r="B3140" t="s">
        <v>557</v>
      </c>
      <c r="C3140" t="s">
        <v>124</v>
      </c>
      <c r="D3140" t="s">
        <v>584</v>
      </c>
      <c r="E3140" t="s">
        <v>584</v>
      </c>
      <c r="F3140" s="705">
        <v>1</v>
      </c>
      <c r="G3140" s="705">
        <v>127</v>
      </c>
      <c r="H3140" s="705">
        <v>482</v>
      </c>
      <c r="I3140" s="705">
        <v>39177</v>
      </c>
      <c r="J3140" s="705">
        <v>35615</v>
      </c>
      <c r="K3140" s="705">
        <v>90</v>
      </c>
      <c r="L3140" s="705">
        <v>12420</v>
      </c>
      <c r="M3140" s="705">
        <v>11291</v>
      </c>
      <c r="N3140" s="705">
        <v>3104</v>
      </c>
      <c r="O3140" s="705">
        <v>1150</v>
      </c>
      <c r="P3140" s="705">
        <v>473</v>
      </c>
      <c r="Q3140" s="705">
        <v>175</v>
      </c>
      <c r="R3140" s="705">
        <v>3325</v>
      </c>
      <c r="S3140" s="705">
        <v>3022</v>
      </c>
      <c r="T3140" s="705">
        <v>2897</v>
      </c>
      <c r="U3140" s="705">
        <v>1073</v>
      </c>
      <c r="V3140" s="705">
        <v>52326</v>
      </c>
      <c r="W3140" s="705">
        <f t="shared" si="122"/>
        <v>52326</v>
      </c>
      <c r="X3140" s="705">
        <f t="shared" si="123"/>
        <v>61396</v>
      </c>
    </row>
    <row r="3141" spans="2:24">
      <c r="B3141" t="s">
        <v>557</v>
      </c>
      <c r="C3141" t="s">
        <v>124</v>
      </c>
      <c r="D3141" t="s">
        <v>669</v>
      </c>
      <c r="E3141" t="s">
        <v>228</v>
      </c>
      <c r="F3141" s="705">
        <v>3</v>
      </c>
      <c r="G3141" s="705">
        <v>364</v>
      </c>
      <c r="H3141" s="705">
        <v>3752</v>
      </c>
      <c r="I3141" s="705">
        <v>395009</v>
      </c>
      <c r="J3141" s="705">
        <v>329174</v>
      </c>
      <c r="K3141" s="705">
        <v>40</v>
      </c>
      <c r="L3141" s="705">
        <v>25600</v>
      </c>
      <c r="M3141" s="705">
        <v>13278</v>
      </c>
      <c r="N3141" s="705">
        <v>8862</v>
      </c>
      <c r="O3141" s="705">
        <v>3282</v>
      </c>
      <c r="P3141" s="705">
        <v>0</v>
      </c>
      <c r="Q3141" s="705">
        <v>0</v>
      </c>
      <c r="R3141" s="705">
        <v>17340</v>
      </c>
      <c r="S3141" s="705">
        <v>6422</v>
      </c>
      <c r="T3141" s="705">
        <v>0</v>
      </c>
      <c r="U3141" s="705">
        <v>0</v>
      </c>
      <c r="V3141" s="705">
        <v>352157</v>
      </c>
      <c r="W3141" s="705">
        <f t="shared" si="122"/>
        <v>352156</v>
      </c>
      <c r="X3141" s="705">
        <f t="shared" si="123"/>
        <v>446811</v>
      </c>
    </row>
    <row r="3142" spans="2:24">
      <c r="B3142" t="s">
        <v>557</v>
      </c>
      <c r="C3142" t="s">
        <v>124</v>
      </c>
      <c r="D3142" t="s">
        <v>669</v>
      </c>
      <c r="E3142" t="s">
        <v>669</v>
      </c>
      <c r="F3142" s="705">
        <v>28</v>
      </c>
      <c r="G3142" s="705">
        <v>2556</v>
      </c>
      <c r="H3142" s="705">
        <v>22101</v>
      </c>
      <c r="I3142" s="705">
        <v>1468568</v>
      </c>
      <c r="J3142" s="705">
        <v>1223807</v>
      </c>
      <c r="K3142" s="705">
        <v>50</v>
      </c>
      <c r="L3142" s="705">
        <v>209861</v>
      </c>
      <c r="M3142" s="705">
        <v>164624</v>
      </c>
      <c r="N3142" s="705">
        <v>56291</v>
      </c>
      <c r="O3142" s="705">
        <v>20849</v>
      </c>
      <c r="P3142" s="705">
        <v>9666</v>
      </c>
      <c r="Q3142" s="705">
        <v>3580</v>
      </c>
      <c r="R3142" s="705">
        <v>185771</v>
      </c>
      <c r="S3142" s="705">
        <v>154809</v>
      </c>
      <c r="T3142" s="705">
        <v>58387</v>
      </c>
      <c r="U3142" s="705">
        <v>21625</v>
      </c>
      <c r="V3142" s="705">
        <v>1589293</v>
      </c>
      <c r="W3142" s="705">
        <f t="shared" si="122"/>
        <v>1589294</v>
      </c>
      <c r="X3142" s="705">
        <f t="shared" si="123"/>
        <v>1988544</v>
      </c>
    </row>
    <row r="3143" spans="2:24">
      <c r="B3143" t="s">
        <v>557</v>
      </c>
      <c r="C3143" t="s">
        <v>124</v>
      </c>
      <c r="D3143" t="s">
        <v>667</v>
      </c>
      <c r="E3143" t="s">
        <v>667</v>
      </c>
      <c r="F3143" s="705">
        <v>5</v>
      </c>
      <c r="G3143" s="705">
        <v>412</v>
      </c>
      <c r="H3143" s="705">
        <v>3326</v>
      </c>
      <c r="I3143" s="705">
        <v>197128</v>
      </c>
      <c r="J3143" s="705">
        <v>179208</v>
      </c>
      <c r="K3143" s="705">
        <v>45</v>
      </c>
      <c r="L3143" s="705">
        <v>22076</v>
      </c>
      <c r="M3143" s="705">
        <v>16500</v>
      </c>
      <c r="N3143" s="705">
        <v>7957</v>
      </c>
      <c r="O3143" s="705">
        <v>2947</v>
      </c>
      <c r="P3143" s="705">
        <v>1755</v>
      </c>
      <c r="Q3143" s="705">
        <v>650</v>
      </c>
      <c r="R3143" s="705">
        <v>28615</v>
      </c>
      <c r="S3143" s="705">
        <v>26014</v>
      </c>
      <c r="T3143" s="705">
        <v>10563</v>
      </c>
      <c r="U3143" s="705">
        <v>3912</v>
      </c>
      <c r="V3143" s="705">
        <v>229231</v>
      </c>
      <c r="W3143" s="705">
        <f t="shared" si="122"/>
        <v>229231</v>
      </c>
      <c r="X3143" s="705">
        <f t="shared" si="123"/>
        <v>268094</v>
      </c>
    </row>
    <row r="3144" spans="2:24">
      <c r="B3144" t="s">
        <v>557</v>
      </c>
      <c r="C3144" t="s">
        <v>124</v>
      </c>
      <c r="D3144" t="s">
        <v>671</v>
      </c>
      <c r="E3144" t="s">
        <v>228</v>
      </c>
      <c r="F3144" s="705">
        <v>2</v>
      </c>
      <c r="G3144" s="705">
        <v>185</v>
      </c>
      <c r="H3144" s="705">
        <v>1923</v>
      </c>
      <c r="I3144" s="705">
        <v>148493</v>
      </c>
      <c r="J3144" s="705">
        <v>134993</v>
      </c>
      <c r="K3144" s="705">
        <v>43</v>
      </c>
      <c r="L3144" s="705">
        <v>5553</v>
      </c>
      <c r="M3144" s="705">
        <v>2057</v>
      </c>
      <c r="N3144" s="705">
        <v>4792</v>
      </c>
      <c r="O3144" s="705">
        <v>1775</v>
      </c>
      <c r="P3144" s="705">
        <v>351</v>
      </c>
      <c r="Q3144" s="705">
        <v>130</v>
      </c>
      <c r="R3144" s="705">
        <v>15721</v>
      </c>
      <c r="S3144" s="705">
        <v>5823</v>
      </c>
      <c r="T3144" s="705">
        <v>0</v>
      </c>
      <c r="U3144" s="705">
        <v>0</v>
      </c>
      <c r="V3144" s="705">
        <v>144778</v>
      </c>
      <c r="W3144" s="705">
        <f t="shared" si="122"/>
        <v>144778</v>
      </c>
      <c r="X3144" s="705">
        <f t="shared" si="123"/>
        <v>174910</v>
      </c>
    </row>
    <row r="3145" spans="2:24">
      <c r="B3145" t="s">
        <v>557</v>
      </c>
      <c r="C3145" t="s">
        <v>124</v>
      </c>
      <c r="D3145" t="s">
        <v>671</v>
      </c>
      <c r="E3145" t="s">
        <v>671</v>
      </c>
      <c r="F3145" s="705">
        <v>44</v>
      </c>
      <c r="G3145" s="705">
        <v>4128</v>
      </c>
      <c r="H3145" s="705">
        <v>31025</v>
      </c>
      <c r="I3145" s="705">
        <v>2010263</v>
      </c>
      <c r="J3145" s="705">
        <v>1827512</v>
      </c>
      <c r="K3145" s="705">
        <v>51</v>
      </c>
      <c r="L3145" s="705">
        <v>300552</v>
      </c>
      <c r="M3145" s="705">
        <v>250143</v>
      </c>
      <c r="N3145" s="705">
        <v>86473</v>
      </c>
      <c r="O3145" s="705">
        <v>32027</v>
      </c>
      <c r="P3145" s="705">
        <v>13365</v>
      </c>
      <c r="Q3145" s="705">
        <v>4950</v>
      </c>
      <c r="R3145" s="705">
        <v>299877</v>
      </c>
      <c r="S3145" s="705">
        <v>272616</v>
      </c>
      <c r="T3145" s="705">
        <v>95170</v>
      </c>
      <c r="U3145" s="705">
        <v>35248</v>
      </c>
      <c r="V3145" s="705">
        <v>2422496</v>
      </c>
      <c r="W3145" s="705">
        <f t="shared" si="122"/>
        <v>2422496</v>
      </c>
      <c r="X3145" s="705">
        <f t="shared" si="123"/>
        <v>2805700</v>
      </c>
    </row>
    <row r="3146" spans="2:24">
      <c r="B3146" t="s">
        <v>557</v>
      </c>
      <c r="C3146" t="s">
        <v>124</v>
      </c>
      <c r="D3146" t="s">
        <v>665</v>
      </c>
      <c r="E3146" t="s">
        <v>228</v>
      </c>
      <c r="F3146" s="705">
        <v>37</v>
      </c>
      <c r="G3146" s="705">
        <v>2921</v>
      </c>
      <c r="H3146" s="705">
        <v>41794</v>
      </c>
      <c r="I3146" s="705">
        <v>2615115</v>
      </c>
      <c r="J3146" s="705">
        <v>2377377</v>
      </c>
      <c r="K3146" s="705">
        <v>39</v>
      </c>
      <c r="L3146" s="705">
        <v>254419</v>
      </c>
      <c r="M3146" s="705">
        <v>191017</v>
      </c>
      <c r="N3146" s="705">
        <v>68546</v>
      </c>
      <c r="O3146" s="705">
        <v>25388</v>
      </c>
      <c r="P3146" s="705">
        <v>1053</v>
      </c>
      <c r="Q3146" s="705">
        <v>390</v>
      </c>
      <c r="R3146" s="705">
        <v>209234</v>
      </c>
      <c r="S3146" s="705">
        <v>77494</v>
      </c>
      <c r="T3146" s="705">
        <v>0</v>
      </c>
      <c r="U3146" s="705">
        <v>0</v>
      </c>
      <c r="V3146" s="705">
        <v>2671665</v>
      </c>
      <c r="W3146" s="705">
        <f t="shared" si="122"/>
        <v>2671666</v>
      </c>
      <c r="X3146" s="705">
        <f t="shared" si="123"/>
        <v>3148367</v>
      </c>
    </row>
    <row r="3147" spans="2:24">
      <c r="B3147" t="s">
        <v>557</v>
      </c>
      <c r="C3147" t="s">
        <v>124</v>
      </c>
      <c r="D3147" t="s">
        <v>665</v>
      </c>
      <c r="E3147" t="s">
        <v>583</v>
      </c>
      <c r="F3147" s="705">
        <v>1</v>
      </c>
      <c r="G3147" s="705">
        <v>186</v>
      </c>
      <c r="H3147" s="705">
        <v>1045</v>
      </c>
      <c r="I3147" s="705">
        <v>167746</v>
      </c>
      <c r="J3147" s="705">
        <v>152497</v>
      </c>
      <c r="K3147" s="705">
        <v>30</v>
      </c>
      <c r="L3147" s="705">
        <v>13725</v>
      </c>
      <c r="M3147" s="705">
        <v>5083</v>
      </c>
      <c r="N3147" s="705">
        <v>4208</v>
      </c>
      <c r="O3147" s="705">
        <v>1558</v>
      </c>
      <c r="P3147" s="705">
        <v>0</v>
      </c>
      <c r="Q3147" s="705">
        <v>0</v>
      </c>
      <c r="R3147" s="705">
        <v>8291</v>
      </c>
      <c r="S3147" s="705">
        <v>7537</v>
      </c>
      <c r="T3147" s="705">
        <v>0</v>
      </c>
      <c r="U3147" s="705">
        <v>0</v>
      </c>
      <c r="V3147" s="705">
        <v>166675</v>
      </c>
      <c r="W3147" s="705">
        <f t="shared" si="122"/>
        <v>166675</v>
      </c>
      <c r="X3147" s="705">
        <f t="shared" si="123"/>
        <v>193970</v>
      </c>
    </row>
    <row r="3148" spans="2:24">
      <c r="B3148" t="s">
        <v>557</v>
      </c>
      <c r="C3148" t="s">
        <v>124</v>
      </c>
      <c r="D3148" t="s">
        <v>665</v>
      </c>
      <c r="E3148" t="s">
        <v>665</v>
      </c>
      <c r="F3148" s="705">
        <v>198</v>
      </c>
      <c r="G3148" s="705">
        <v>17407</v>
      </c>
      <c r="H3148" s="705">
        <v>139174</v>
      </c>
      <c r="I3148" s="705">
        <v>8762365</v>
      </c>
      <c r="J3148" s="705">
        <v>7965786</v>
      </c>
      <c r="K3148" s="705">
        <v>50</v>
      </c>
      <c r="L3148" s="705">
        <v>1276948</v>
      </c>
      <c r="M3148" s="705">
        <v>1120395</v>
      </c>
      <c r="N3148" s="705">
        <v>378296</v>
      </c>
      <c r="O3148" s="705">
        <v>140110</v>
      </c>
      <c r="P3148" s="705">
        <v>65975</v>
      </c>
      <c r="Q3148" s="705">
        <v>24435</v>
      </c>
      <c r="R3148" s="705">
        <v>1244711</v>
      </c>
      <c r="S3148" s="705">
        <v>1131556</v>
      </c>
      <c r="T3148" s="705">
        <v>383879</v>
      </c>
      <c r="U3148" s="705">
        <v>142177</v>
      </c>
      <c r="V3148" s="705">
        <v>10524459</v>
      </c>
      <c r="W3148" s="705">
        <f t="shared" si="122"/>
        <v>10524459</v>
      </c>
      <c r="X3148" s="705">
        <f t="shared" si="123"/>
        <v>12112174</v>
      </c>
    </row>
    <row r="3149" spans="2:24">
      <c r="B3149" t="s">
        <v>557</v>
      </c>
      <c r="C3149" t="s">
        <v>124</v>
      </c>
      <c r="D3149" t="s">
        <v>673</v>
      </c>
      <c r="E3149" t="s">
        <v>673</v>
      </c>
      <c r="F3149" s="705">
        <v>2</v>
      </c>
      <c r="G3149" s="705">
        <v>306</v>
      </c>
      <c r="H3149" s="705">
        <v>1437</v>
      </c>
      <c r="I3149" s="705">
        <v>140757</v>
      </c>
      <c r="J3149" s="705">
        <v>127960</v>
      </c>
      <c r="K3149" s="705">
        <v>58</v>
      </c>
      <c r="L3149" s="705">
        <v>21936</v>
      </c>
      <c r="M3149" s="705">
        <v>19942</v>
      </c>
      <c r="N3149" s="705">
        <v>6973</v>
      </c>
      <c r="O3149" s="705">
        <v>2582</v>
      </c>
      <c r="P3149" s="705">
        <v>702</v>
      </c>
      <c r="Q3149" s="705">
        <v>260</v>
      </c>
      <c r="R3149" s="705">
        <v>15420</v>
      </c>
      <c r="S3149" s="705">
        <v>14018</v>
      </c>
      <c r="T3149" s="705">
        <v>4158</v>
      </c>
      <c r="U3149" s="705">
        <v>1540</v>
      </c>
      <c r="V3149" s="705">
        <v>166304</v>
      </c>
      <c r="W3149" s="705">
        <f t="shared" si="122"/>
        <v>166302</v>
      </c>
      <c r="X3149" s="705">
        <f t="shared" si="123"/>
        <v>189946</v>
      </c>
    </row>
    <row r="3150" spans="2:24">
      <c r="B3150" t="s">
        <v>558</v>
      </c>
      <c r="C3150" t="s">
        <v>108</v>
      </c>
      <c r="F3150" s="705">
        <v>1</v>
      </c>
      <c r="G3150" s="705">
        <v>376</v>
      </c>
      <c r="H3150" s="705">
        <v>75</v>
      </c>
      <c r="I3150" s="705"/>
      <c r="J3150" s="705">
        <v>0</v>
      </c>
      <c r="K3150" s="705"/>
      <c r="L3150" s="705"/>
      <c r="M3150" s="705">
        <v>0</v>
      </c>
      <c r="N3150" s="705">
        <v>6409</v>
      </c>
      <c r="O3150" s="705">
        <v>2374</v>
      </c>
      <c r="P3150" s="705">
        <v>351</v>
      </c>
      <c r="Q3150" s="705">
        <v>130</v>
      </c>
      <c r="R3150" s="705"/>
      <c r="S3150" s="705">
        <v>0</v>
      </c>
      <c r="T3150" s="705">
        <v>0</v>
      </c>
      <c r="U3150" s="705">
        <v>0</v>
      </c>
      <c r="V3150" s="705">
        <v>2504</v>
      </c>
      <c r="W3150" s="705">
        <f t="shared" si="122"/>
        <v>2504</v>
      </c>
      <c r="X3150" s="705">
        <f t="shared" si="123"/>
        <v>6760</v>
      </c>
    </row>
    <row r="3151" spans="2:24">
      <c r="B3151" t="s">
        <v>558</v>
      </c>
      <c r="C3151" t="s">
        <v>108</v>
      </c>
      <c r="D3151" t="s">
        <v>664</v>
      </c>
      <c r="E3151" t="s">
        <v>664</v>
      </c>
      <c r="F3151" s="705">
        <v>1</v>
      </c>
      <c r="G3151" s="705">
        <v>179</v>
      </c>
      <c r="H3151" s="705">
        <v>74</v>
      </c>
      <c r="I3151" s="705">
        <v>6069</v>
      </c>
      <c r="J3151" s="705">
        <v>5518</v>
      </c>
      <c r="K3151" s="705">
        <v>91</v>
      </c>
      <c r="L3151" s="705">
        <v>800</v>
      </c>
      <c r="M3151" s="705">
        <v>727</v>
      </c>
      <c r="N3151" s="705">
        <v>2178</v>
      </c>
      <c r="O3151" s="705">
        <v>807</v>
      </c>
      <c r="P3151" s="705">
        <v>473</v>
      </c>
      <c r="Q3151" s="705">
        <v>175</v>
      </c>
      <c r="R3151" s="705">
        <v>3755</v>
      </c>
      <c r="S3151" s="705">
        <v>3414</v>
      </c>
      <c r="T3151" s="705">
        <v>0</v>
      </c>
      <c r="U3151" s="705">
        <v>0</v>
      </c>
      <c r="V3151" s="705">
        <v>10641</v>
      </c>
      <c r="W3151" s="705">
        <f t="shared" si="122"/>
        <v>10641</v>
      </c>
      <c r="X3151" s="705">
        <f t="shared" si="123"/>
        <v>13275</v>
      </c>
    </row>
    <row r="3152" spans="2:24">
      <c r="B3152" t="s">
        <v>558</v>
      </c>
      <c r="C3152" t="s">
        <v>108</v>
      </c>
      <c r="D3152" t="s">
        <v>582</v>
      </c>
      <c r="E3152" t="s">
        <v>582</v>
      </c>
      <c r="F3152" s="705">
        <v>7</v>
      </c>
      <c r="G3152" s="705">
        <v>1545</v>
      </c>
      <c r="H3152" s="705">
        <v>387</v>
      </c>
      <c r="I3152" s="705">
        <v>25829</v>
      </c>
      <c r="J3152" s="705">
        <v>23481</v>
      </c>
      <c r="K3152" s="705">
        <v>92</v>
      </c>
      <c r="L3152" s="705">
        <v>3728</v>
      </c>
      <c r="M3152" s="705">
        <v>3389</v>
      </c>
      <c r="N3152" s="705">
        <v>19003</v>
      </c>
      <c r="O3152" s="705">
        <v>7038</v>
      </c>
      <c r="P3152" s="705">
        <v>10516</v>
      </c>
      <c r="Q3152" s="705">
        <v>3895</v>
      </c>
      <c r="R3152" s="705">
        <v>27396</v>
      </c>
      <c r="S3152" s="705">
        <v>24905</v>
      </c>
      <c r="T3152" s="705">
        <v>0</v>
      </c>
      <c r="U3152" s="705">
        <v>0</v>
      </c>
      <c r="V3152" s="705">
        <v>62708</v>
      </c>
      <c r="W3152" s="705">
        <f t="shared" si="122"/>
        <v>62708</v>
      </c>
      <c r="X3152" s="705">
        <f t="shared" si="123"/>
        <v>86472</v>
      </c>
    </row>
    <row r="3153" spans="2:24">
      <c r="B3153" t="s">
        <v>558</v>
      </c>
      <c r="C3153" t="s">
        <v>108</v>
      </c>
      <c r="D3153" t="s">
        <v>228</v>
      </c>
      <c r="E3153" t="s">
        <v>228</v>
      </c>
      <c r="F3153" s="705">
        <v>230</v>
      </c>
      <c r="G3153" s="705">
        <v>48234</v>
      </c>
      <c r="H3153" s="705">
        <v>12164</v>
      </c>
      <c r="I3153" s="705">
        <v>335296</v>
      </c>
      <c r="J3153" s="705">
        <v>124184</v>
      </c>
      <c r="K3153" s="705">
        <v>449</v>
      </c>
      <c r="L3153" s="705">
        <v>88844</v>
      </c>
      <c r="M3153" s="705">
        <v>71284</v>
      </c>
      <c r="N3153" s="705">
        <v>642487</v>
      </c>
      <c r="O3153" s="705">
        <v>237958</v>
      </c>
      <c r="P3153" s="705">
        <v>235009</v>
      </c>
      <c r="Q3153" s="705">
        <v>87040</v>
      </c>
      <c r="R3153" s="705">
        <v>1220282</v>
      </c>
      <c r="S3153" s="705">
        <v>451956</v>
      </c>
      <c r="T3153" s="705">
        <v>3077</v>
      </c>
      <c r="U3153" s="705">
        <v>1139</v>
      </c>
      <c r="V3153" s="705">
        <v>973562</v>
      </c>
      <c r="W3153" s="705">
        <f t="shared" si="122"/>
        <v>973561</v>
      </c>
      <c r="X3153" s="705">
        <f t="shared" si="123"/>
        <v>2524995</v>
      </c>
    </row>
    <row r="3154" spans="2:24">
      <c r="B3154" t="s">
        <v>558</v>
      </c>
      <c r="C3154" t="s">
        <v>108</v>
      </c>
      <c r="D3154" t="s">
        <v>228</v>
      </c>
      <c r="E3154" t="s">
        <v>583</v>
      </c>
      <c r="F3154" s="705">
        <v>1</v>
      </c>
      <c r="G3154" s="705">
        <v>172</v>
      </c>
      <c r="H3154" s="705">
        <v>55</v>
      </c>
      <c r="I3154" s="705">
        <v>3553</v>
      </c>
      <c r="J3154" s="705">
        <v>1316</v>
      </c>
      <c r="K3154" s="705">
        <v>396</v>
      </c>
      <c r="L3154" s="705">
        <v>2362</v>
      </c>
      <c r="M3154" s="705">
        <v>1969</v>
      </c>
      <c r="N3154" s="705">
        <v>2098</v>
      </c>
      <c r="O3154" s="705">
        <v>777</v>
      </c>
      <c r="P3154" s="705">
        <v>351</v>
      </c>
      <c r="Q3154" s="705">
        <v>130</v>
      </c>
      <c r="R3154" s="705">
        <v>1042</v>
      </c>
      <c r="S3154" s="705">
        <v>948</v>
      </c>
      <c r="T3154" s="705">
        <v>0</v>
      </c>
      <c r="U3154" s="705">
        <v>0</v>
      </c>
      <c r="V3154" s="705">
        <v>5139</v>
      </c>
      <c r="W3154" s="705">
        <f t="shared" si="122"/>
        <v>5140</v>
      </c>
      <c r="X3154" s="705">
        <f t="shared" si="123"/>
        <v>9406</v>
      </c>
    </row>
    <row r="3155" spans="2:24">
      <c r="B3155" t="s">
        <v>558</v>
      </c>
      <c r="C3155" t="s">
        <v>108</v>
      </c>
      <c r="D3155" t="s">
        <v>583</v>
      </c>
      <c r="E3155" t="s">
        <v>228</v>
      </c>
      <c r="F3155" s="705">
        <v>7</v>
      </c>
      <c r="G3155" s="705">
        <v>1687</v>
      </c>
      <c r="H3155" s="705">
        <v>380</v>
      </c>
      <c r="I3155" s="705">
        <v>25717</v>
      </c>
      <c r="J3155" s="705">
        <v>23379</v>
      </c>
      <c r="K3155" s="705">
        <v>95</v>
      </c>
      <c r="L3155" s="705">
        <v>3830</v>
      </c>
      <c r="M3155" s="705">
        <v>3453</v>
      </c>
      <c r="N3155" s="705">
        <v>20634</v>
      </c>
      <c r="O3155" s="705">
        <v>7642</v>
      </c>
      <c r="P3155" s="705">
        <v>10908</v>
      </c>
      <c r="Q3155" s="705">
        <v>4040</v>
      </c>
      <c r="R3155" s="705">
        <v>29264</v>
      </c>
      <c r="S3155" s="705">
        <v>10838</v>
      </c>
      <c r="T3155" s="705">
        <v>0</v>
      </c>
      <c r="U3155" s="705">
        <v>0</v>
      </c>
      <c r="V3155" s="705">
        <v>49352</v>
      </c>
      <c r="W3155" s="705">
        <f t="shared" si="122"/>
        <v>49352</v>
      </c>
      <c r="X3155" s="705">
        <f t="shared" si="123"/>
        <v>90353</v>
      </c>
    </row>
    <row r="3156" spans="2:24">
      <c r="B3156" t="s">
        <v>558</v>
      </c>
      <c r="C3156" t="s">
        <v>108</v>
      </c>
      <c r="D3156" t="s">
        <v>583</v>
      </c>
      <c r="E3156" t="s">
        <v>583</v>
      </c>
      <c r="F3156" s="705">
        <v>161</v>
      </c>
      <c r="G3156" s="705">
        <v>28240</v>
      </c>
      <c r="H3156" s="705">
        <v>9411</v>
      </c>
      <c r="I3156" s="705">
        <v>469295</v>
      </c>
      <c r="J3156" s="705">
        <v>426632</v>
      </c>
      <c r="K3156" s="705">
        <v>95</v>
      </c>
      <c r="L3156" s="705">
        <v>61105</v>
      </c>
      <c r="M3156" s="705">
        <v>55093</v>
      </c>
      <c r="N3156" s="705">
        <v>356851</v>
      </c>
      <c r="O3156" s="705">
        <v>132167</v>
      </c>
      <c r="P3156" s="705">
        <v>152913</v>
      </c>
      <c r="Q3156" s="705">
        <v>56635</v>
      </c>
      <c r="R3156" s="705">
        <v>602028</v>
      </c>
      <c r="S3156" s="705">
        <v>547298</v>
      </c>
      <c r="T3156" s="705">
        <v>11332</v>
      </c>
      <c r="U3156" s="705">
        <v>4197</v>
      </c>
      <c r="V3156" s="705">
        <v>1222021</v>
      </c>
      <c r="W3156" s="705">
        <f t="shared" si="122"/>
        <v>1222022</v>
      </c>
      <c r="X3156" s="705">
        <f t="shared" si="123"/>
        <v>1653524</v>
      </c>
    </row>
    <row r="3157" spans="2:24">
      <c r="B3157" t="s">
        <v>558</v>
      </c>
      <c r="C3157" t="s">
        <v>108</v>
      </c>
      <c r="D3157" t="s">
        <v>583</v>
      </c>
      <c r="E3157" t="s">
        <v>673</v>
      </c>
      <c r="F3157" s="705">
        <v>1</v>
      </c>
      <c r="G3157" s="705">
        <v>240</v>
      </c>
      <c r="H3157" s="705">
        <v>55</v>
      </c>
      <c r="I3157" s="705">
        <v>3279</v>
      </c>
      <c r="J3157" s="705">
        <v>2981</v>
      </c>
      <c r="K3157" s="705">
        <v>97</v>
      </c>
      <c r="L3157" s="705">
        <v>0</v>
      </c>
      <c r="M3157" s="705">
        <v>508</v>
      </c>
      <c r="N3157" s="705">
        <v>2918</v>
      </c>
      <c r="O3157" s="705">
        <v>1081</v>
      </c>
      <c r="P3157" s="705">
        <v>621</v>
      </c>
      <c r="Q3157" s="705">
        <v>230</v>
      </c>
      <c r="R3157" s="705">
        <v>6255</v>
      </c>
      <c r="S3157" s="705">
        <v>5686</v>
      </c>
      <c r="T3157" s="705">
        <v>0</v>
      </c>
      <c r="U3157" s="705">
        <v>0</v>
      </c>
      <c r="V3157" s="705">
        <v>10487</v>
      </c>
      <c r="W3157" s="705">
        <f t="shared" si="122"/>
        <v>10486</v>
      </c>
      <c r="X3157" s="705">
        <f t="shared" si="123"/>
        <v>13073</v>
      </c>
    </row>
    <row r="3158" spans="2:24">
      <c r="B3158" t="s">
        <v>558</v>
      </c>
      <c r="C3158" t="s">
        <v>108</v>
      </c>
      <c r="D3158" t="s">
        <v>585</v>
      </c>
      <c r="E3158" t="s">
        <v>585</v>
      </c>
      <c r="F3158" s="705">
        <v>2</v>
      </c>
      <c r="G3158" s="705">
        <v>480</v>
      </c>
      <c r="H3158" s="705">
        <v>139</v>
      </c>
      <c r="I3158" s="705">
        <v>16604</v>
      </c>
      <c r="J3158" s="705">
        <v>15095</v>
      </c>
      <c r="K3158" s="705">
        <v>91</v>
      </c>
      <c r="L3158" s="705">
        <v>645</v>
      </c>
      <c r="M3158" s="705">
        <v>586</v>
      </c>
      <c r="N3158" s="705">
        <v>5842</v>
      </c>
      <c r="O3158" s="705">
        <v>2164</v>
      </c>
      <c r="P3158" s="705">
        <v>5301</v>
      </c>
      <c r="Q3158" s="705">
        <v>1963</v>
      </c>
      <c r="R3158" s="705">
        <v>5648</v>
      </c>
      <c r="S3158" s="705">
        <v>5135</v>
      </c>
      <c r="T3158" s="705">
        <v>0</v>
      </c>
      <c r="U3158" s="705">
        <v>0</v>
      </c>
      <c r="V3158" s="705">
        <v>24943</v>
      </c>
      <c r="W3158" s="705">
        <f t="shared" si="122"/>
        <v>24943</v>
      </c>
      <c r="X3158" s="705">
        <f t="shared" si="123"/>
        <v>34040</v>
      </c>
    </row>
    <row r="3159" spans="2:24">
      <c r="B3159" t="s">
        <v>558</v>
      </c>
      <c r="C3159" t="s">
        <v>110</v>
      </c>
      <c r="D3159" t="s">
        <v>582</v>
      </c>
      <c r="E3159" t="s">
        <v>582</v>
      </c>
      <c r="F3159" s="705">
        <v>7</v>
      </c>
      <c r="G3159" s="705">
        <v>1818</v>
      </c>
      <c r="H3159" s="705">
        <v>610</v>
      </c>
      <c r="I3159" s="705">
        <v>97739</v>
      </c>
      <c r="J3159" s="705">
        <v>88854</v>
      </c>
      <c r="K3159" s="705">
        <v>93</v>
      </c>
      <c r="L3159" s="705">
        <v>14602</v>
      </c>
      <c r="M3159" s="705">
        <v>12129</v>
      </c>
      <c r="N3159" s="705">
        <v>33762</v>
      </c>
      <c r="O3159" s="705">
        <v>12504</v>
      </c>
      <c r="P3159" s="705">
        <v>5392</v>
      </c>
      <c r="Q3159" s="705">
        <v>1997</v>
      </c>
      <c r="R3159" s="705">
        <v>30744</v>
      </c>
      <c r="S3159" s="705">
        <v>27949</v>
      </c>
      <c r="T3159" s="705">
        <v>0</v>
      </c>
      <c r="U3159" s="705">
        <v>0</v>
      </c>
      <c r="V3159" s="705">
        <v>143433</v>
      </c>
      <c r="W3159" s="705">
        <f t="shared" si="122"/>
        <v>143433</v>
      </c>
      <c r="X3159" s="705">
        <f t="shared" si="123"/>
        <v>182239</v>
      </c>
    </row>
    <row r="3160" spans="2:24">
      <c r="B3160" t="s">
        <v>558</v>
      </c>
      <c r="C3160" t="s">
        <v>110</v>
      </c>
      <c r="D3160" t="s">
        <v>228</v>
      </c>
      <c r="E3160" t="s">
        <v>228</v>
      </c>
      <c r="F3160" s="705">
        <v>32</v>
      </c>
      <c r="G3160" s="705">
        <v>6951</v>
      </c>
      <c r="H3160" s="705">
        <v>2796</v>
      </c>
      <c r="I3160" s="705">
        <v>236333</v>
      </c>
      <c r="J3160" s="705">
        <v>87531</v>
      </c>
      <c r="K3160" s="705">
        <v>399</v>
      </c>
      <c r="L3160" s="705">
        <v>67661</v>
      </c>
      <c r="M3160" s="705">
        <v>67981</v>
      </c>
      <c r="N3160" s="705">
        <v>113554</v>
      </c>
      <c r="O3160" s="705">
        <v>42057</v>
      </c>
      <c r="P3160" s="705">
        <v>27486</v>
      </c>
      <c r="Q3160" s="705">
        <v>10180</v>
      </c>
      <c r="R3160" s="705">
        <v>183390</v>
      </c>
      <c r="S3160" s="705">
        <v>67922</v>
      </c>
      <c r="T3160" s="705">
        <v>0</v>
      </c>
      <c r="U3160" s="705">
        <v>0</v>
      </c>
      <c r="V3160" s="705">
        <v>275671</v>
      </c>
      <c r="W3160" s="705">
        <f t="shared" si="122"/>
        <v>275671</v>
      </c>
      <c r="X3160" s="705">
        <f t="shared" si="123"/>
        <v>628424</v>
      </c>
    </row>
    <row r="3161" spans="2:24">
      <c r="B3161" t="s">
        <v>558</v>
      </c>
      <c r="C3161" t="s">
        <v>110</v>
      </c>
      <c r="D3161" t="s">
        <v>228</v>
      </c>
      <c r="E3161" t="s">
        <v>583</v>
      </c>
      <c r="F3161" s="705">
        <v>1</v>
      </c>
      <c r="G3161" s="705">
        <v>234</v>
      </c>
      <c r="H3161" s="705">
        <v>96</v>
      </c>
      <c r="I3161" s="705">
        <v>6863</v>
      </c>
      <c r="J3161" s="705">
        <v>2542</v>
      </c>
      <c r="K3161" s="705">
        <v>320</v>
      </c>
      <c r="L3161" s="705">
        <v>1657</v>
      </c>
      <c r="M3161" s="705">
        <v>1506</v>
      </c>
      <c r="N3161" s="705">
        <v>4307</v>
      </c>
      <c r="O3161" s="705">
        <v>1595</v>
      </c>
      <c r="P3161" s="705">
        <v>351</v>
      </c>
      <c r="Q3161" s="705">
        <v>130</v>
      </c>
      <c r="R3161" s="705">
        <v>9244</v>
      </c>
      <c r="S3161" s="705">
        <v>8403</v>
      </c>
      <c r="T3161" s="705">
        <v>0</v>
      </c>
      <c r="U3161" s="705">
        <v>0</v>
      </c>
      <c r="V3161" s="705">
        <v>14177</v>
      </c>
      <c r="W3161" s="705">
        <f t="shared" si="122"/>
        <v>14176</v>
      </c>
      <c r="X3161" s="705">
        <f t="shared" si="123"/>
        <v>22422</v>
      </c>
    </row>
    <row r="3162" spans="2:24">
      <c r="B3162" t="s">
        <v>558</v>
      </c>
      <c r="C3162" t="s">
        <v>110</v>
      </c>
      <c r="D3162" t="s">
        <v>583</v>
      </c>
      <c r="E3162" t="s">
        <v>228</v>
      </c>
      <c r="F3162" s="705">
        <v>1</v>
      </c>
      <c r="G3162" s="705">
        <v>163</v>
      </c>
      <c r="H3162" s="705">
        <v>80</v>
      </c>
      <c r="I3162" s="705">
        <v>2575</v>
      </c>
      <c r="J3162" s="705">
        <v>2341</v>
      </c>
      <c r="K3162" s="705">
        <v>86</v>
      </c>
      <c r="L3162" s="705">
        <v>310</v>
      </c>
      <c r="M3162" s="705">
        <v>282</v>
      </c>
      <c r="N3162" s="705">
        <v>2358</v>
      </c>
      <c r="O3162" s="705">
        <v>873</v>
      </c>
      <c r="P3162" s="705">
        <v>621</v>
      </c>
      <c r="Q3162" s="705">
        <v>230</v>
      </c>
      <c r="R3162" s="705">
        <v>7133</v>
      </c>
      <c r="S3162" s="705">
        <v>2642</v>
      </c>
      <c r="T3162" s="705">
        <v>0</v>
      </c>
      <c r="U3162" s="705">
        <v>0</v>
      </c>
      <c r="V3162" s="705">
        <v>6368</v>
      </c>
      <c r="W3162" s="705">
        <f t="shared" si="122"/>
        <v>6368</v>
      </c>
      <c r="X3162" s="705">
        <f t="shared" si="123"/>
        <v>12997</v>
      </c>
    </row>
    <row r="3163" spans="2:24">
      <c r="B3163" t="s">
        <v>558</v>
      </c>
      <c r="C3163" t="s">
        <v>110</v>
      </c>
      <c r="D3163" t="s">
        <v>583</v>
      </c>
      <c r="E3163" t="s">
        <v>583</v>
      </c>
      <c r="F3163" s="705">
        <v>78</v>
      </c>
      <c r="G3163" s="705">
        <v>16505</v>
      </c>
      <c r="H3163" s="705">
        <v>7163</v>
      </c>
      <c r="I3163" s="705">
        <v>801591</v>
      </c>
      <c r="J3163" s="705">
        <v>728719</v>
      </c>
      <c r="K3163" s="705">
        <v>93</v>
      </c>
      <c r="L3163" s="705">
        <v>133143</v>
      </c>
      <c r="M3163" s="705">
        <v>120181</v>
      </c>
      <c r="N3163" s="705">
        <v>250815</v>
      </c>
      <c r="O3163" s="705">
        <v>92895</v>
      </c>
      <c r="P3163" s="705">
        <v>65396</v>
      </c>
      <c r="Q3163" s="705">
        <v>24221</v>
      </c>
      <c r="R3163" s="705">
        <v>327970</v>
      </c>
      <c r="S3163" s="705">
        <v>298154</v>
      </c>
      <c r="T3163" s="705">
        <v>7817</v>
      </c>
      <c r="U3163" s="705">
        <v>2895</v>
      </c>
      <c r="V3163" s="705">
        <v>1267064</v>
      </c>
      <c r="W3163" s="705">
        <f t="shared" si="122"/>
        <v>1267065</v>
      </c>
      <c r="X3163" s="705">
        <f t="shared" si="123"/>
        <v>1586732</v>
      </c>
    </row>
    <row r="3164" spans="2:24">
      <c r="B3164" t="s">
        <v>558</v>
      </c>
      <c r="C3164" t="s">
        <v>110</v>
      </c>
      <c r="D3164" t="s">
        <v>583</v>
      </c>
      <c r="E3164" t="s">
        <v>666</v>
      </c>
      <c r="F3164" s="705">
        <v>1</v>
      </c>
      <c r="G3164" s="705">
        <v>138</v>
      </c>
      <c r="H3164" s="705">
        <v>97</v>
      </c>
      <c r="I3164" s="705">
        <v>7695</v>
      </c>
      <c r="J3164" s="705">
        <v>6995</v>
      </c>
      <c r="K3164" s="705">
        <v>93</v>
      </c>
      <c r="L3164" s="705">
        <v>0</v>
      </c>
      <c r="M3164" s="705">
        <v>0</v>
      </c>
      <c r="N3164" s="705">
        <v>1681</v>
      </c>
      <c r="O3164" s="705">
        <v>623</v>
      </c>
      <c r="P3164" s="705">
        <v>1848</v>
      </c>
      <c r="Q3164" s="705">
        <v>685</v>
      </c>
      <c r="R3164" s="705">
        <v>2168</v>
      </c>
      <c r="S3164" s="705">
        <v>1971</v>
      </c>
      <c r="T3164" s="705">
        <v>0</v>
      </c>
      <c r="U3164" s="705">
        <v>0</v>
      </c>
      <c r="V3164" s="705">
        <v>10273</v>
      </c>
      <c r="W3164" s="705">
        <f t="shared" si="122"/>
        <v>10274</v>
      </c>
      <c r="X3164" s="705">
        <f t="shared" si="123"/>
        <v>13392</v>
      </c>
    </row>
    <row r="3165" spans="2:24">
      <c r="B3165" t="s">
        <v>558</v>
      </c>
      <c r="C3165" t="s">
        <v>110</v>
      </c>
      <c r="D3165" t="s">
        <v>673</v>
      </c>
      <c r="E3165" t="s">
        <v>673</v>
      </c>
      <c r="F3165" s="705">
        <v>1</v>
      </c>
      <c r="G3165" s="705">
        <v>289</v>
      </c>
      <c r="H3165" s="705">
        <v>88</v>
      </c>
      <c r="I3165" s="705">
        <v>9779</v>
      </c>
      <c r="J3165" s="705">
        <v>8890</v>
      </c>
      <c r="K3165" s="705">
        <v>65</v>
      </c>
      <c r="L3165" s="705">
        <v>0</v>
      </c>
      <c r="M3165" s="705">
        <v>0</v>
      </c>
      <c r="N3165" s="705">
        <v>3527</v>
      </c>
      <c r="O3165" s="705">
        <v>1306</v>
      </c>
      <c r="P3165" s="705">
        <v>3206</v>
      </c>
      <c r="Q3165" s="705">
        <v>1187</v>
      </c>
      <c r="R3165" s="705">
        <v>9098</v>
      </c>
      <c r="S3165" s="705">
        <v>8271</v>
      </c>
      <c r="T3165" s="705">
        <v>0</v>
      </c>
      <c r="U3165" s="705">
        <v>0</v>
      </c>
      <c r="V3165" s="705">
        <v>19654</v>
      </c>
      <c r="W3165" s="705">
        <f t="shared" si="122"/>
        <v>19654</v>
      </c>
      <c r="X3165" s="705">
        <f t="shared" si="123"/>
        <v>25610</v>
      </c>
    </row>
    <row r="3166" spans="2:24">
      <c r="B3166" t="s">
        <v>558</v>
      </c>
      <c r="C3166" t="s">
        <v>110</v>
      </c>
      <c r="D3166" t="s">
        <v>585</v>
      </c>
      <c r="E3166" t="s">
        <v>585</v>
      </c>
      <c r="F3166" s="705">
        <v>2</v>
      </c>
      <c r="G3166" s="705">
        <v>630</v>
      </c>
      <c r="H3166" s="705">
        <v>194</v>
      </c>
      <c r="I3166" s="705">
        <v>35239</v>
      </c>
      <c r="J3166" s="705">
        <v>32035</v>
      </c>
      <c r="K3166" s="705">
        <v>91</v>
      </c>
      <c r="L3166" s="705">
        <v>5528</v>
      </c>
      <c r="M3166" s="705">
        <v>5025</v>
      </c>
      <c r="N3166" s="705">
        <v>11328</v>
      </c>
      <c r="O3166" s="705">
        <v>4196</v>
      </c>
      <c r="P3166" s="705">
        <v>702</v>
      </c>
      <c r="Q3166" s="705">
        <v>260</v>
      </c>
      <c r="R3166" s="705">
        <v>8612</v>
      </c>
      <c r="S3166" s="705">
        <v>7830</v>
      </c>
      <c r="T3166" s="705">
        <v>0</v>
      </c>
      <c r="U3166" s="705">
        <v>0</v>
      </c>
      <c r="V3166" s="705">
        <v>49345</v>
      </c>
      <c r="W3166" s="705">
        <f t="shared" si="122"/>
        <v>49346</v>
      </c>
      <c r="X3166" s="705">
        <f t="shared" si="123"/>
        <v>61409</v>
      </c>
    </row>
    <row r="3167" spans="2:24">
      <c r="B3167" t="s">
        <v>558</v>
      </c>
      <c r="C3167" t="s">
        <v>112</v>
      </c>
      <c r="D3167" t="s">
        <v>582</v>
      </c>
      <c r="E3167" t="s">
        <v>664</v>
      </c>
      <c r="F3167" s="705">
        <v>1</v>
      </c>
      <c r="G3167" s="705">
        <v>271</v>
      </c>
      <c r="H3167" s="705">
        <v>119</v>
      </c>
      <c r="I3167" s="705">
        <v>18933</v>
      </c>
      <c r="J3167" s="705">
        <v>17212</v>
      </c>
      <c r="K3167" s="705">
        <v>91</v>
      </c>
      <c r="L3167" s="705">
        <v>3201</v>
      </c>
      <c r="M3167" s="705">
        <v>2910</v>
      </c>
      <c r="N3167" s="705">
        <v>3494</v>
      </c>
      <c r="O3167" s="705">
        <v>1294</v>
      </c>
      <c r="P3167" s="705">
        <v>473</v>
      </c>
      <c r="Q3167" s="705">
        <v>175</v>
      </c>
      <c r="R3167" s="705">
        <v>6134</v>
      </c>
      <c r="S3167" s="705">
        <v>5577</v>
      </c>
      <c r="T3167" s="705">
        <v>0</v>
      </c>
      <c r="U3167" s="705">
        <v>0</v>
      </c>
      <c r="V3167" s="705">
        <v>27168</v>
      </c>
      <c r="W3167" s="705">
        <f t="shared" si="122"/>
        <v>27168</v>
      </c>
      <c r="X3167" s="705">
        <f t="shared" si="123"/>
        <v>32235</v>
      </c>
    </row>
    <row r="3168" spans="2:24">
      <c r="B3168" t="s">
        <v>558</v>
      </c>
      <c r="C3168" t="s">
        <v>112</v>
      </c>
      <c r="D3168" t="s">
        <v>582</v>
      </c>
      <c r="E3168" t="s">
        <v>582</v>
      </c>
      <c r="F3168" s="705">
        <v>17</v>
      </c>
      <c r="G3168" s="705">
        <v>3872</v>
      </c>
      <c r="H3168" s="705">
        <v>2017</v>
      </c>
      <c r="I3168" s="705">
        <v>262868</v>
      </c>
      <c r="J3168" s="705">
        <v>238971</v>
      </c>
      <c r="K3168" s="705">
        <v>91</v>
      </c>
      <c r="L3168" s="705">
        <v>39591</v>
      </c>
      <c r="M3168" s="705">
        <v>35992</v>
      </c>
      <c r="N3168" s="705">
        <v>72166</v>
      </c>
      <c r="O3168" s="705">
        <v>26728</v>
      </c>
      <c r="P3168" s="705">
        <v>9673</v>
      </c>
      <c r="Q3168" s="705">
        <v>3583</v>
      </c>
      <c r="R3168" s="705">
        <v>89625</v>
      </c>
      <c r="S3168" s="705">
        <v>81477</v>
      </c>
      <c r="T3168" s="705">
        <v>1225</v>
      </c>
      <c r="U3168" s="705">
        <v>454</v>
      </c>
      <c r="V3168" s="705">
        <v>387205</v>
      </c>
      <c r="W3168" s="705">
        <f t="shared" si="122"/>
        <v>387205</v>
      </c>
      <c r="X3168" s="705">
        <f t="shared" si="123"/>
        <v>475148</v>
      </c>
    </row>
    <row r="3169" spans="2:24">
      <c r="B3169" t="s">
        <v>558</v>
      </c>
      <c r="C3169" t="s">
        <v>112</v>
      </c>
      <c r="D3169" t="s">
        <v>228</v>
      </c>
      <c r="E3169" t="s">
        <v>228</v>
      </c>
      <c r="F3169" s="705">
        <v>37</v>
      </c>
      <c r="G3169" s="705">
        <v>8470</v>
      </c>
      <c r="H3169" s="705">
        <v>4197</v>
      </c>
      <c r="I3169" s="705">
        <v>489782</v>
      </c>
      <c r="J3169" s="705">
        <v>181401</v>
      </c>
      <c r="K3169" s="705">
        <v>305</v>
      </c>
      <c r="L3169" s="705">
        <v>108378</v>
      </c>
      <c r="M3169" s="705">
        <v>88997</v>
      </c>
      <c r="N3169" s="705">
        <v>155435</v>
      </c>
      <c r="O3169" s="705">
        <v>57568</v>
      </c>
      <c r="P3169" s="705">
        <v>27063</v>
      </c>
      <c r="Q3169" s="705">
        <v>10023</v>
      </c>
      <c r="R3169" s="705">
        <v>256532</v>
      </c>
      <c r="S3169" s="705">
        <v>95012</v>
      </c>
      <c r="T3169" s="705">
        <v>4022</v>
      </c>
      <c r="U3169" s="705">
        <v>1489</v>
      </c>
      <c r="V3169" s="705">
        <v>434491</v>
      </c>
      <c r="W3169" s="705">
        <f t="shared" si="122"/>
        <v>434490</v>
      </c>
      <c r="X3169" s="705">
        <f t="shared" si="123"/>
        <v>1041212</v>
      </c>
    </row>
    <row r="3170" spans="2:24">
      <c r="B3170" t="s">
        <v>558</v>
      </c>
      <c r="C3170" t="s">
        <v>112</v>
      </c>
      <c r="D3170" t="s">
        <v>228</v>
      </c>
      <c r="E3170" t="s">
        <v>583</v>
      </c>
      <c r="F3170" s="705">
        <v>1</v>
      </c>
      <c r="G3170" s="705">
        <v>297</v>
      </c>
      <c r="H3170" s="705">
        <v>104</v>
      </c>
      <c r="I3170" s="705">
        <v>15173</v>
      </c>
      <c r="J3170" s="705">
        <v>5620</v>
      </c>
      <c r="K3170" s="705">
        <v>390</v>
      </c>
      <c r="L3170" s="705">
        <v>3128</v>
      </c>
      <c r="M3170" s="705">
        <v>2844</v>
      </c>
      <c r="N3170" s="705">
        <v>5575</v>
      </c>
      <c r="O3170" s="705">
        <v>2065</v>
      </c>
      <c r="P3170" s="705">
        <v>351</v>
      </c>
      <c r="Q3170" s="705">
        <v>130</v>
      </c>
      <c r="R3170" s="705">
        <v>6773</v>
      </c>
      <c r="S3170" s="705">
        <v>6157</v>
      </c>
      <c r="T3170" s="705">
        <v>0</v>
      </c>
      <c r="U3170" s="705">
        <v>0</v>
      </c>
      <c r="V3170" s="705">
        <v>16815</v>
      </c>
      <c r="W3170" s="705">
        <f t="shared" si="122"/>
        <v>16816</v>
      </c>
      <c r="X3170" s="705">
        <f t="shared" si="123"/>
        <v>31000</v>
      </c>
    </row>
    <row r="3171" spans="2:24">
      <c r="B3171" t="s">
        <v>558</v>
      </c>
      <c r="C3171" t="s">
        <v>112</v>
      </c>
      <c r="D3171" t="s">
        <v>583</v>
      </c>
      <c r="E3171" t="s">
        <v>228</v>
      </c>
      <c r="F3171" s="705">
        <v>1</v>
      </c>
      <c r="G3171" s="705">
        <v>222</v>
      </c>
      <c r="H3171" s="705">
        <v>122</v>
      </c>
      <c r="I3171" s="705">
        <v>13386</v>
      </c>
      <c r="J3171" s="705">
        <v>12169</v>
      </c>
      <c r="K3171" s="705">
        <v>95</v>
      </c>
      <c r="L3171" s="705">
        <v>5138</v>
      </c>
      <c r="M3171" s="705">
        <v>4282</v>
      </c>
      <c r="N3171" s="705">
        <v>2703</v>
      </c>
      <c r="O3171" s="705">
        <v>1001</v>
      </c>
      <c r="P3171" s="705">
        <v>621</v>
      </c>
      <c r="Q3171" s="705">
        <v>230</v>
      </c>
      <c r="R3171" s="705">
        <v>5260</v>
      </c>
      <c r="S3171" s="705">
        <v>1948</v>
      </c>
      <c r="T3171" s="705">
        <v>0</v>
      </c>
      <c r="U3171" s="705">
        <v>0</v>
      </c>
      <c r="V3171" s="705">
        <v>19630</v>
      </c>
      <c r="W3171" s="705">
        <f t="shared" si="122"/>
        <v>19630</v>
      </c>
      <c r="X3171" s="705">
        <f t="shared" si="123"/>
        <v>27108</v>
      </c>
    </row>
    <row r="3172" spans="2:24">
      <c r="B3172" t="s">
        <v>558</v>
      </c>
      <c r="C3172" t="s">
        <v>112</v>
      </c>
      <c r="D3172" t="s">
        <v>583</v>
      </c>
      <c r="E3172" t="s">
        <v>583</v>
      </c>
      <c r="F3172" s="705">
        <v>288</v>
      </c>
      <c r="G3172" s="705">
        <v>64476</v>
      </c>
      <c r="H3172" s="705">
        <v>33793</v>
      </c>
      <c r="I3172" s="705">
        <v>4363889</v>
      </c>
      <c r="J3172" s="705">
        <v>3967172</v>
      </c>
      <c r="K3172" s="705">
        <v>93</v>
      </c>
      <c r="L3172" s="705">
        <v>798940</v>
      </c>
      <c r="M3172" s="705">
        <v>741582</v>
      </c>
      <c r="N3172" s="705">
        <v>1043712</v>
      </c>
      <c r="O3172" s="705">
        <v>386560</v>
      </c>
      <c r="P3172" s="705">
        <v>223730</v>
      </c>
      <c r="Q3172" s="705">
        <v>82863</v>
      </c>
      <c r="R3172" s="705">
        <v>1470494</v>
      </c>
      <c r="S3172" s="705">
        <v>1336813</v>
      </c>
      <c r="T3172" s="705">
        <v>65002</v>
      </c>
      <c r="U3172" s="705">
        <v>24075</v>
      </c>
      <c r="V3172" s="705">
        <v>6539064</v>
      </c>
      <c r="W3172" s="705">
        <f t="shared" si="122"/>
        <v>6539065</v>
      </c>
      <c r="X3172" s="705">
        <f t="shared" si="123"/>
        <v>7965767</v>
      </c>
    </row>
    <row r="3173" spans="2:24">
      <c r="B3173" t="s">
        <v>558</v>
      </c>
      <c r="C3173" t="s">
        <v>112</v>
      </c>
      <c r="D3173" t="s">
        <v>673</v>
      </c>
      <c r="E3173" t="s">
        <v>228</v>
      </c>
      <c r="F3173" s="705">
        <v>1</v>
      </c>
      <c r="G3173" s="705">
        <v>363</v>
      </c>
      <c r="H3173" s="705">
        <v>121</v>
      </c>
      <c r="I3173" s="705">
        <v>26937</v>
      </c>
      <c r="J3173" s="705">
        <v>24488</v>
      </c>
      <c r="K3173" s="705">
        <v>75</v>
      </c>
      <c r="L3173" s="705">
        <v>2993</v>
      </c>
      <c r="M3173" s="705">
        <v>2721</v>
      </c>
      <c r="N3173" s="705">
        <v>4423</v>
      </c>
      <c r="O3173" s="705">
        <v>1638</v>
      </c>
      <c r="P3173" s="705">
        <v>3204</v>
      </c>
      <c r="Q3173" s="705">
        <v>1187</v>
      </c>
      <c r="R3173" s="705">
        <v>6356</v>
      </c>
      <c r="S3173" s="705">
        <v>2354</v>
      </c>
      <c r="T3173" s="705">
        <v>0</v>
      </c>
      <c r="U3173" s="705">
        <v>0</v>
      </c>
      <c r="V3173" s="705">
        <v>32388</v>
      </c>
      <c r="W3173" s="705">
        <f t="shared" si="122"/>
        <v>32388</v>
      </c>
      <c r="X3173" s="705">
        <f t="shared" si="123"/>
        <v>43913</v>
      </c>
    </row>
    <row r="3174" spans="2:24">
      <c r="B3174" t="s">
        <v>558</v>
      </c>
      <c r="C3174" t="s">
        <v>112</v>
      </c>
      <c r="D3174" t="s">
        <v>585</v>
      </c>
      <c r="E3174" t="s">
        <v>585</v>
      </c>
      <c r="F3174" s="705">
        <v>1</v>
      </c>
      <c r="G3174" s="705">
        <v>67</v>
      </c>
      <c r="H3174" s="705">
        <v>120</v>
      </c>
      <c r="I3174" s="705">
        <v>7932</v>
      </c>
      <c r="J3174" s="705">
        <v>7211</v>
      </c>
      <c r="K3174" s="705">
        <v>65</v>
      </c>
      <c r="L3174" s="705">
        <v>0</v>
      </c>
      <c r="M3174" s="705">
        <v>0</v>
      </c>
      <c r="N3174" s="705">
        <v>1512</v>
      </c>
      <c r="O3174" s="705">
        <v>560</v>
      </c>
      <c r="P3174" s="705">
        <v>1289</v>
      </c>
      <c r="Q3174" s="705">
        <v>477</v>
      </c>
      <c r="R3174" s="705">
        <v>4159</v>
      </c>
      <c r="S3174" s="705">
        <v>3781</v>
      </c>
      <c r="T3174" s="705">
        <v>0</v>
      </c>
      <c r="U3174" s="705">
        <v>0</v>
      </c>
      <c r="V3174" s="705">
        <v>12029</v>
      </c>
      <c r="W3174" s="705">
        <f t="shared" si="122"/>
        <v>12029</v>
      </c>
      <c r="X3174" s="705">
        <f t="shared" si="123"/>
        <v>14892</v>
      </c>
    </row>
    <row r="3175" spans="2:24">
      <c r="B3175" t="s">
        <v>558</v>
      </c>
      <c r="C3175" t="s">
        <v>114</v>
      </c>
      <c r="D3175" t="s">
        <v>664</v>
      </c>
      <c r="E3175" t="s">
        <v>664</v>
      </c>
      <c r="F3175" s="705">
        <v>1</v>
      </c>
      <c r="G3175" s="705">
        <v>216</v>
      </c>
      <c r="H3175" s="705">
        <v>143</v>
      </c>
      <c r="I3175" s="705">
        <v>16634</v>
      </c>
      <c r="J3175" s="705">
        <v>15121</v>
      </c>
      <c r="K3175" s="705">
        <v>92</v>
      </c>
      <c r="L3175" s="705">
        <v>2837</v>
      </c>
      <c r="M3175" s="705">
        <v>2579</v>
      </c>
      <c r="N3175" s="705">
        <v>5273</v>
      </c>
      <c r="O3175" s="705">
        <v>1953</v>
      </c>
      <c r="P3175" s="705">
        <v>473</v>
      </c>
      <c r="Q3175" s="705">
        <v>175</v>
      </c>
      <c r="R3175" s="705">
        <v>5646</v>
      </c>
      <c r="S3175" s="705">
        <v>5133</v>
      </c>
      <c r="T3175" s="705">
        <v>0</v>
      </c>
      <c r="U3175" s="705">
        <v>0</v>
      </c>
      <c r="V3175" s="705">
        <v>24961</v>
      </c>
      <c r="W3175" s="705">
        <f t="shared" si="122"/>
        <v>24961</v>
      </c>
      <c r="X3175" s="705">
        <f t="shared" si="123"/>
        <v>30863</v>
      </c>
    </row>
    <row r="3176" spans="2:24">
      <c r="B3176" t="s">
        <v>558</v>
      </c>
      <c r="C3176" t="s">
        <v>114</v>
      </c>
      <c r="D3176" t="s">
        <v>582</v>
      </c>
      <c r="E3176" t="s">
        <v>582</v>
      </c>
      <c r="F3176" s="705">
        <v>31</v>
      </c>
      <c r="G3176" s="705">
        <v>5760</v>
      </c>
      <c r="H3176" s="705">
        <v>4320</v>
      </c>
      <c r="I3176" s="705">
        <v>479900</v>
      </c>
      <c r="J3176" s="705">
        <v>436273</v>
      </c>
      <c r="K3176" s="705">
        <v>91</v>
      </c>
      <c r="L3176" s="705">
        <v>82736</v>
      </c>
      <c r="M3176" s="705">
        <v>75135</v>
      </c>
      <c r="N3176" s="705">
        <v>110179</v>
      </c>
      <c r="O3176" s="705">
        <v>40807</v>
      </c>
      <c r="P3176" s="705">
        <v>14621</v>
      </c>
      <c r="Q3176" s="705">
        <v>5415</v>
      </c>
      <c r="R3176" s="705">
        <v>162571</v>
      </c>
      <c r="S3176" s="705">
        <v>147792</v>
      </c>
      <c r="T3176" s="705">
        <v>0</v>
      </c>
      <c r="U3176" s="705">
        <v>0</v>
      </c>
      <c r="V3176" s="705">
        <v>705421</v>
      </c>
      <c r="W3176" s="705">
        <f t="shared" si="122"/>
        <v>705422</v>
      </c>
      <c r="X3176" s="705">
        <f t="shared" si="123"/>
        <v>850007</v>
      </c>
    </row>
    <row r="3177" spans="2:24">
      <c r="B3177" t="s">
        <v>558</v>
      </c>
      <c r="C3177" t="s">
        <v>114</v>
      </c>
      <c r="D3177" t="s">
        <v>228</v>
      </c>
      <c r="E3177" t="s">
        <v>228</v>
      </c>
      <c r="F3177" s="705">
        <v>37</v>
      </c>
      <c r="G3177" s="705">
        <v>7729</v>
      </c>
      <c r="H3177" s="705">
        <v>5151</v>
      </c>
      <c r="I3177" s="705">
        <v>533719</v>
      </c>
      <c r="J3177" s="705">
        <v>197674</v>
      </c>
      <c r="K3177" s="705">
        <v>314</v>
      </c>
      <c r="L3177" s="705">
        <v>138833</v>
      </c>
      <c r="M3177" s="705">
        <v>123874</v>
      </c>
      <c r="N3177" s="705">
        <v>146000</v>
      </c>
      <c r="O3177" s="705">
        <v>54074</v>
      </c>
      <c r="P3177" s="705">
        <v>35511</v>
      </c>
      <c r="Q3177" s="705">
        <v>13152</v>
      </c>
      <c r="R3177" s="705">
        <v>284146</v>
      </c>
      <c r="S3177" s="705">
        <v>105239</v>
      </c>
      <c r="T3177" s="705">
        <v>4052</v>
      </c>
      <c r="U3177" s="705">
        <v>1501</v>
      </c>
      <c r="V3177" s="705">
        <v>495513</v>
      </c>
      <c r="W3177" s="705">
        <f t="shared" si="122"/>
        <v>495514</v>
      </c>
      <c r="X3177" s="705">
        <f t="shared" si="123"/>
        <v>1142261</v>
      </c>
    </row>
    <row r="3178" spans="2:24">
      <c r="B3178" t="s">
        <v>558</v>
      </c>
      <c r="C3178" t="s">
        <v>114</v>
      </c>
      <c r="D3178" t="s">
        <v>583</v>
      </c>
      <c r="E3178" t="s">
        <v>228</v>
      </c>
      <c r="F3178" s="705">
        <v>3</v>
      </c>
      <c r="G3178" s="705">
        <v>535</v>
      </c>
      <c r="H3178" s="705">
        <v>414</v>
      </c>
      <c r="I3178" s="705">
        <v>49441</v>
      </c>
      <c r="J3178" s="705">
        <v>44947</v>
      </c>
      <c r="K3178" s="705">
        <v>89</v>
      </c>
      <c r="L3178" s="705">
        <v>9597</v>
      </c>
      <c r="M3178" s="705">
        <v>8725</v>
      </c>
      <c r="N3178" s="705">
        <v>10591</v>
      </c>
      <c r="O3178" s="705">
        <v>3922</v>
      </c>
      <c r="P3178" s="705">
        <v>1512</v>
      </c>
      <c r="Q3178" s="705">
        <v>560</v>
      </c>
      <c r="R3178" s="705">
        <v>15883</v>
      </c>
      <c r="S3178" s="705">
        <v>5882</v>
      </c>
      <c r="T3178" s="705">
        <v>0</v>
      </c>
      <c r="U3178" s="705">
        <v>0</v>
      </c>
      <c r="V3178" s="705">
        <v>64036</v>
      </c>
      <c r="W3178" s="705">
        <f t="shared" si="122"/>
        <v>64036</v>
      </c>
      <c r="X3178" s="705">
        <f t="shared" si="123"/>
        <v>87024</v>
      </c>
    </row>
    <row r="3179" spans="2:24">
      <c r="B3179" t="s">
        <v>558</v>
      </c>
      <c r="C3179" t="s">
        <v>114</v>
      </c>
      <c r="D3179" t="s">
        <v>583</v>
      </c>
      <c r="E3179" t="s">
        <v>583</v>
      </c>
      <c r="F3179" s="705">
        <v>859</v>
      </c>
      <c r="G3179" s="705">
        <v>174010</v>
      </c>
      <c r="H3179" s="705">
        <v>120476</v>
      </c>
      <c r="I3179" s="705">
        <v>14277711</v>
      </c>
      <c r="J3179" s="705">
        <v>12979737</v>
      </c>
      <c r="K3179" s="705">
        <v>90</v>
      </c>
      <c r="L3179" s="705">
        <v>2846122</v>
      </c>
      <c r="M3179" s="705">
        <v>2584270</v>
      </c>
      <c r="N3179" s="705">
        <v>3229810</v>
      </c>
      <c r="O3179" s="705">
        <v>1196226</v>
      </c>
      <c r="P3179" s="705">
        <v>607533</v>
      </c>
      <c r="Q3179" s="705">
        <v>225012</v>
      </c>
      <c r="R3179" s="705">
        <v>4598923</v>
      </c>
      <c r="S3179" s="705">
        <v>4180839</v>
      </c>
      <c r="T3179" s="705">
        <v>448386</v>
      </c>
      <c r="U3179" s="705">
        <v>166069</v>
      </c>
      <c r="V3179" s="705">
        <v>21332154</v>
      </c>
      <c r="W3179" s="705">
        <f t="shared" si="122"/>
        <v>21332153</v>
      </c>
      <c r="X3179" s="705">
        <f t="shared" si="123"/>
        <v>26008485</v>
      </c>
    </row>
    <row r="3180" spans="2:24">
      <c r="B3180" t="s">
        <v>558</v>
      </c>
      <c r="C3180" t="s">
        <v>114</v>
      </c>
      <c r="D3180" t="s">
        <v>584</v>
      </c>
      <c r="E3180" t="s">
        <v>584</v>
      </c>
      <c r="F3180" s="705">
        <v>7</v>
      </c>
      <c r="G3180" s="705">
        <v>1451</v>
      </c>
      <c r="H3180" s="705">
        <v>999</v>
      </c>
      <c r="I3180" s="705">
        <v>130252</v>
      </c>
      <c r="J3180" s="705">
        <v>118411</v>
      </c>
      <c r="K3180" s="705">
        <v>87</v>
      </c>
      <c r="L3180" s="705">
        <v>18168</v>
      </c>
      <c r="M3180" s="705">
        <v>15637</v>
      </c>
      <c r="N3180" s="705">
        <v>32414</v>
      </c>
      <c r="O3180" s="705">
        <v>12005</v>
      </c>
      <c r="P3180" s="705">
        <v>4010</v>
      </c>
      <c r="Q3180" s="705">
        <v>1485</v>
      </c>
      <c r="R3180" s="705">
        <v>33721</v>
      </c>
      <c r="S3180" s="705">
        <v>30656</v>
      </c>
      <c r="T3180" s="705">
        <v>0</v>
      </c>
      <c r="U3180" s="705">
        <v>0</v>
      </c>
      <c r="V3180" s="705">
        <v>178193</v>
      </c>
      <c r="W3180" s="705">
        <f t="shared" ref="W3180:W3243" si="124">SUM(ABS(J3180),ABS(M3180),ABS(O3180),ABS(Q3180),ABS(S3180),ABS(U3180))</f>
        <v>178194</v>
      </c>
      <c r="X3180" s="705">
        <f t="shared" ref="X3180:X3243" si="125">SUM(ABS(I3180),ABS(N3180),ABS(P3180),ABS(R3180),ABS(T3180),ABS(L3180))</f>
        <v>218565</v>
      </c>
    </row>
    <row r="3181" spans="2:24">
      <c r="B3181" t="s">
        <v>558</v>
      </c>
      <c r="C3181" t="s">
        <v>114</v>
      </c>
      <c r="D3181" t="s">
        <v>722</v>
      </c>
      <c r="E3181" t="s">
        <v>722</v>
      </c>
      <c r="F3181" s="705">
        <v>1</v>
      </c>
      <c r="G3181" s="705">
        <v>207</v>
      </c>
      <c r="H3181" s="705">
        <v>135</v>
      </c>
      <c r="I3181" s="705">
        <v>18580</v>
      </c>
      <c r="J3181" s="705">
        <v>16891</v>
      </c>
      <c r="K3181" s="705">
        <v>89</v>
      </c>
      <c r="L3181" s="705">
        <v>2042</v>
      </c>
      <c r="M3181" s="705">
        <v>1856</v>
      </c>
      <c r="N3181" s="705">
        <v>3788</v>
      </c>
      <c r="O3181" s="705">
        <v>1403</v>
      </c>
      <c r="P3181" s="705">
        <v>1175</v>
      </c>
      <c r="Q3181" s="705">
        <v>435</v>
      </c>
      <c r="R3181" s="705">
        <v>2337</v>
      </c>
      <c r="S3181" s="705">
        <v>2125</v>
      </c>
      <c r="T3181" s="705">
        <v>0</v>
      </c>
      <c r="U3181" s="705">
        <v>0</v>
      </c>
      <c r="V3181" s="705">
        <v>22710</v>
      </c>
      <c r="W3181" s="705">
        <f t="shared" si="124"/>
        <v>22710</v>
      </c>
      <c r="X3181" s="705">
        <f t="shared" si="125"/>
        <v>27922</v>
      </c>
    </row>
    <row r="3182" spans="2:24">
      <c r="B3182" t="s">
        <v>558</v>
      </c>
      <c r="C3182" t="s">
        <v>114</v>
      </c>
      <c r="D3182" t="s">
        <v>585</v>
      </c>
      <c r="E3182" t="s">
        <v>585</v>
      </c>
      <c r="F3182" s="705">
        <v>7</v>
      </c>
      <c r="G3182" s="705">
        <v>1662</v>
      </c>
      <c r="H3182" s="705">
        <v>1020</v>
      </c>
      <c r="I3182" s="705">
        <v>154773</v>
      </c>
      <c r="J3182" s="705">
        <v>140703</v>
      </c>
      <c r="K3182" s="705">
        <v>77</v>
      </c>
      <c r="L3182" s="705">
        <v>22905</v>
      </c>
      <c r="M3182" s="705">
        <v>20823</v>
      </c>
      <c r="N3182" s="705">
        <v>35639</v>
      </c>
      <c r="O3182" s="705">
        <v>13200</v>
      </c>
      <c r="P3182" s="705">
        <v>8517</v>
      </c>
      <c r="Q3182" s="705">
        <v>3154</v>
      </c>
      <c r="R3182" s="705">
        <v>40535</v>
      </c>
      <c r="S3182" s="705">
        <v>36850</v>
      </c>
      <c r="T3182" s="705">
        <v>3467</v>
      </c>
      <c r="U3182" s="705">
        <v>1284</v>
      </c>
      <c r="V3182" s="705">
        <v>216014</v>
      </c>
      <c r="W3182" s="705">
        <f t="shared" si="124"/>
        <v>216014</v>
      </c>
      <c r="X3182" s="705">
        <f t="shared" si="125"/>
        <v>265836</v>
      </c>
    </row>
    <row r="3183" spans="2:24">
      <c r="B3183" t="s">
        <v>558</v>
      </c>
      <c r="C3183" t="s">
        <v>116</v>
      </c>
      <c r="F3183" s="705">
        <v>3</v>
      </c>
      <c r="G3183" s="705">
        <v>665</v>
      </c>
      <c r="H3183" s="705">
        <v>630</v>
      </c>
      <c r="I3183" s="705"/>
      <c r="J3183" s="705">
        <v>0</v>
      </c>
      <c r="K3183" s="705"/>
      <c r="L3183" s="705"/>
      <c r="M3183" s="705">
        <v>0</v>
      </c>
      <c r="N3183" s="705">
        <v>12365</v>
      </c>
      <c r="O3183" s="705">
        <v>4580</v>
      </c>
      <c r="P3183" s="705">
        <v>4239</v>
      </c>
      <c r="Q3183" s="705">
        <v>1570</v>
      </c>
      <c r="R3183" s="705"/>
      <c r="S3183" s="705">
        <v>0</v>
      </c>
      <c r="T3183" s="705">
        <v>0</v>
      </c>
      <c r="U3183" s="705">
        <v>0</v>
      </c>
      <c r="V3183" s="705">
        <v>6150</v>
      </c>
      <c r="W3183" s="705">
        <f t="shared" si="124"/>
        <v>6150</v>
      </c>
      <c r="X3183" s="705">
        <f t="shared" si="125"/>
        <v>16604</v>
      </c>
    </row>
    <row r="3184" spans="2:24">
      <c r="B3184" t="s">
        <v>558</v>
      </c>
      <c r="C3184" t="s">
        <v>116</v>
      </c>
      <c r="D3184" t="s">
        <v>664</v>
      </c>
      <c r="E3184" t="s">
        <v>664</v>
      </c>
      <c r="F3184" s="705">
        <v>8</v>
      </c>
      <c r="G3184" s="705">
        <v>1225</v>
      </c>
      <c r="H3184" s="705">
        <v>1459</v>
      </c>
      <c r="I3184" s="705">
        <v>129416</v>
      </c>
      <c r="J3184" s="705">
        <v>117651</v>
      </c>
      <c r="K3184" s="705">
        <v>87</v>
      </c>
      <c r="L3184" s="705">
        <v>20590</v>
      </c>
      <c r="M3184" s="705">
        <v>18516</v>
      </c>
      <c r="N3184" s="705">
        <v>23262</v>
      </c>
      <c r="O3184" s="705">
        <v>8616</v>
      </c>
      <c r="P3184" s="705">
        <v>4361</v>
      </c>
      <c r="Q3184" s="705">
        <v>1615</v>
      </c>
      <c r="R3184" s="705">
        <v>43120</v>
      </c>
      <c r="S3184" s="705">
        <v>39200</v>
      </c>
      <c r="T3184" s="705">
        <v>3924</v>
      </c>
      <c r="U3184" s="705">
        <v>1453</v>
      </c>
      <c r="V3184" s="705">
        <v>187051</v>
      </c>
      <c r="W3184" s="705">
        <f t="shared" si="124"/>
        <v>187051</v>
      </c>
      <c r="X3184" s="705">
        <f t="shared" si="125"/>
        <v>224673</v>
      </c>
    </row>
    <row r="3185" spans="2:24">
      <c r="B3185" t="s">
        <v>558</v>
      </c>
      <c r="C3185" t="s">
        <v>116</v>
      </c>
      <c r="D3185" t="s">
        <v>664</v>
      </c>
      <c r="E3185" t="s">
        <v>582</v>
      </c>
      <c r="F3185" s="705">
        <v>1</v>
      </c>
      <c r="G3185" s="705">
        <v>122</v>
      </c>
      <c r="H3185" s="705">
        <v>210</v>
      </c>
      <c r="I3185" s="705">
        <v>16379</v>
      </c>
      <c r="J3185" s="705">
        <v>14890</v>
      </c>
      <c r="K3185" s="705">
        <v>93</v>
      </c>
      <c r="L3185" s="705">
        <v>2909</v>
      </c>
      <c r="M3185" s="705">
        <v>2424</v>
      </c>
      <c r="N3185" s="705">
        <v>2909</v>
      </c>
      <c r="O3185" s="705">
        <v>1077</v>
      </c>
      <c r="P3185" s="705">
        <v>881</v>
      </c>
      <c r="Q3185" s="705">
        <v>326</v>
      </c>
      <c r="R3185" s="705">
        <v>2698</v>
      </c>
      <c r="S3185" s="705">
        <v>2452</v>
      </c>
      <c r="T3185" s="705">
        <v>0</v>
      </c>
      <c r="U3185" s="705">
        <v>0</v>
      </c>
      <c r="V3185" s="705">
        <v>21170</v>
      </c>
      <c r="W3185" s="705">
        <f t="shared" si="124"/>
        <v>21169</v>
      </c>
      <c r="X3185" s="705">
        <f t="shared" si="125"/>
        <v>25776</v>
      </c>
    </row>
    <row r="3186" spans="2:24">
      <c r="B3186" t="s">
        <v>558</v>
      </c>
      <c r="C3186" t="s">
        <v>116</v>
      </c>
      <c r="D3186" t="s">
        <v>664</v>
      </c>
      <c r="E3186" t="s">
        <v>228</v>
      </c>
      <c r="F3186" s="705">
        <v>1</v>
      </c>
      <c r="G3186" s="705">
        <v>296</v>
      </c>
      <c r="H3186" s="705">
        <v>214</v>
      </c>
      <c r="I3186" s="705">
        <v>40192</v>
      </c>
      <c r="J3186" s="705">
        <v>36538</v>
      </c>
      <c r="K3186" s="705">
        <v>72</v>
      </c>
      <c r="L3186" s="705">
        <v>4466</v>
      </c>
      <c r="M3186" s="705">
        <v>4060</v>
      </c>
      <c r="N3186" s="705">
        <v>6201</v>
      </c>
      <c r="O3186" s="705">
        <v>2297</v>
      </c>
      <c r="P3186" s="705">
        <v>0</v>
      </c>
      <c r="Q3186" s="705">
        <v>0</v>
      </c>
      <c r="R3186" s="705">
        <v>12578</v>
      </c>
      <c r="S3186" s="705">
        <v>4659</v>
      </c>
      <c r="T3186" s="705">
        <v>0</v>
      </c>
      <c r="U3186" s="705">
        <v>0</v>
      </c>
      <c r="V3186" s="705">
        <v>47554</v>
      </c>
      <c r="W3186" s="705">
        <f t="shared" si="124"/>
        <v>47554</v>
      </c>
      <c r="X3186" s="705">
        <f t="shared" si="125"/>
        <v>63437</v>
      </c>
    </row>
    <row r="3187" spans="2:24">
      <c r="B3187" t="s">
        <v>558</v>
      </c>
      <c r="C3187" t="s">
        <v>116</v>
      </c>
      <c r="D3187" t="s">
        <v>664</v>
      </c>
      <c r="E3187" t="s">
        <v>583</v>
      </c>
      <c r="F3187" s="705">
        <v>2</v>
      </c>
      <c r="G3187" s="705">
        <v>269</v>
      </c>
      <c r="H3187" s="705">
        <v>403</v>
      </c>
      <c r="I3187" s="705">
        <v>27869</v>
      </c>
      <c r="J3187" s="705">
        <v>25335</v>
      </c>
      <c r="K3187" s="705">
        <v>82</v>
      </c>
      <c r="L3187" s="705">
        <v>6020</v>
      </c>
      <c r="M3187" s="705">
        <v>5472</v>
      </c>
      <c r="N3187" s="705">
        <v>5653</v>
      </c>
      <c r="O3187" s="705">
        <v>2094</v>
      </c>
      <c r="P3187" s="705">
        <v>1593</v>
      </c>
      <c r="Q3187" s="705">
        <v>590</v>
      </c>
      <c r="R3187" s="705">
        <v>10186</v>
      </c>
      <c r="S3187" s="705">
        <v>9260</v>
      </c>
      <c r="T3187" s="705">
        <v>2967</v>
      </c>
      <c r="U3187" s="705">
        <v>1099</v>
      </c>
      <c r="V3187" s="705">
        <v>43850</v>
      </c>
      <c r="W3187" s="705">
        <f t="shared" si="124"/>
        <v>43850</v>
      </c>
      <c r="X3187" s="705">
        <f t="shared" si="125"/>
        <v>54288</v>
      </c>
    </row>
    <row r="3188" spans="2:24">
      <c r="B3188" t="s">
        <v>558</v>
      </c>
      <c r="C3188" t="s">
        <v>116</v>
      </c>
      <c r="D3188" t="s">
        <v>582</v>
      </c>
      <c r="E3188" t="s">
        <v>664</v>
      </c>
      <c r="F3188" s="705">
        <v>3</v>
      </c>
      <c r="G3188" s="705">
        <v>569</v>
      </c>
      <c r="H3188" s="705">
        <v>513</v>
      </c>
      <c r="I3188" s="705">
        <v>62494</v>
      </c>
      <c r="J3188" s="705">
        <v>56812</v>
      </c>
      <c r="K3188" s="705">
        <v>87</v>
      </c>
      <c r="L3188" s="705">
        <v>9384</v>
      </c>
      <c r="M3188" s="705">
        <v>8531</v>
      </c>
      <c r="N3188" s="705">
        <v>10930</v>
      </c>
      <c r="O3188" s="705">
        <v>4048</v>
      </c>
      <c r="P3188" s="705">
        <v>1566</v>
      </c>
      <c r="Q3188" s="705">
        <v>580</v>
      </c>
      <c r="R3188" s="705">
        <v>14389</v>
      </c>
      <c r="S3188" s="705">
        <v>13081</v>
      </c>
      <c r="T3188" s="705">
        <v>0</v>
      </c>
      <c r="U3188" s="705">
        <v>0</v>
      </c>
      <c r="V3188" s="705">
        <v>83052</v>
      </c>
      <c r="W3188" s="705">
        <f t="shared" si="124"/>
        <v>83052</v>
      </c>
      <c r="X3188" s="705">
        <f t="shared" si="125"/>
        <v>98763</v>
      </c>
    </row>
    <row r="3189" spans="2:24">
      <c r="B3189" t="s">
        <v>558</v>
      </c>
      <c r="C3189" t="s">
        <v>116</v>
      </c>
      <c r="D3189" t="s">
        <v>582</v>
      </c>
      <c r="E3189" t="s">
        <v>582</v>
      </c>
      <c r="F3189" s="705">
        <v>171</v>
      </c>
      <c r="G3189" s="705">
        <v>27212</v>
      </c>
      <c r="H3189" s="705">
        <v>32337</v>
      </c>
      <c r="I3189" s="705">
        <v>3141382</v>
      </c>
      <c r="J3189" s="705">
        <v>2855802</v>
      </c>
      <c r="K3189" s="705">
        <v>87</v>
      </c>
      <c r="L3189" s="705">
        <v>701200</v>
      </c>
      <c r="M3189" s="705">
        <v>632576</v>
      </c>
      <c r="N3189" s="705">
        <v>565834</v>
      </c>
      <c r="O3189" s="705">
        <v>209568</v>
      </c>
      <c r="P3189" s="705">
        <v>87774</v>
      </c>
      <c r="Q3189" s="705">
        <v>32509</v>
      </c>
      <c r="R3189" s="705">
        <v>823514</v>
      </c>
      <c r="S3189" s="705">
        <v>748649</v>
      </c>
      <c r="T3189" s="705">
        <v>89411</v>
      </c>
      <c r="U3189" s="705">
        <v>33115</v>
      </c>
      <c r="V3189" s="705">
        <v>4512220</v>
      </c>
      <c r="W3189" s="705">
        <f t="shared" si="124"/>
        <v>4512219</v>
      </c>
      <c r="X3189" s="705">
        <f t="shared" si="125"/>
        <v>5409115</v>
      </c>
    </row>
    <row r="3190" spans="2:24">
      <c r="B3190" t="s">
        <v>558</v>
      </c>
      <c r="C3190" t="s">
        <v>116</v>
      </c>
      <c r="D3190" t="s">
        <v>582</v>
      </c>
      <c r="E3190" t="s">
        <v>228</v>
      </c>
      <c r="F3190" s="705">
        <v>1</v>
      </c>
      <c r="G3190" s="705">
        <v>443</v>
      </c>
      <c r="H3190" s="705">
        <v>205</v>
      </c>
      <c r="I3190" s="705">
        <v>61698</v>
      </c>
      <c r="J3190" s="705">
        <v>56089</v>
      </c>
      <c r="K3190" s="705">
        <v>92</v>
      </c>
      <c r="L3190" s="705">
        <v>5896</v>
      </c>
      <c r="M3190" s="705">
        <v>2184</v>
      </c>
      <c r="N3190" s="705">
        <v>9882</v>
      </c>
      <c r="O3190" s="705">
        <v>3660</v>
      </c>
      <c r="P3190" s="705">
        <v>824</v>
      </c>
      <c r="Q3190" s="705">
        <v>305</v>
      </c>
      <c r="R3190" s="705">
        <v>12637</v>
      </c>
      <c r="S3190" s="705">
        <v>4680</v>
      </c>
      <c r="T3190" s="705">
        <v>0</v>
      </c>
      <c r="U3190" s="705">
        <v>0</v>
      </c>
      <c r="V3190" s="705">
        <v>66918</v>
      </c>
      <c r="W3190" s="705">
        <f t="shared" si="124"/>
        <v>66918</v>
      </c>
      <c r="X3190" s="705">
        <f t="shared" si="125"/>
        <v>90937</v>
      </c>
    </row>
    <row r="3191" spans="2:24">
      <c r="B3191" t="s">
        <v>558</v>
      </c>
      <c r="C3191" t="s">
        <v>116</v>
      </c>
      <c r="D3191" t="s">
        <v>228</v>
      </c>
      <c r="E3191" t="s">
        <v>582</v>
      </c>
      <c r="F3191" s="705">
        <v>1</v>
      </c>
      <c r="G3191" s="705">
        <v>428</v>
      </c>
      <c r="H3191" s="705">
        <v>201</v>
      </c>
      <c r="I3191" s="705">
        <v>66922</v>
      </c>
      <c r="J3191" s="705">
        <v>24786</v>
      </c>
      <c r="K3191" s="705">
        <v>100</v>
      </c>
      <c r="L3191" s="705">
        <v>3307</v>
      </c>
      <c r="M3191" s="705">
        <v>3007</v>
      </c>
      <c r="N3191" s="705">
        <v>9396</v>
      </c>
      <c r="O3191" s="705">
        <v>3480</v>
      </c>
      <c r="P3191" s="705">
        <v>473</v>
      </c>
      <c r="Q3191" s="705">
        <v>175</v>
      </c>
      <c r="R3191" s="705">
        <v>5852</v>
      </c>
      <c r="S3191" s="705">
        <v>5320</v>
      </c>
      <c r="T3191" s="705">
        <v>0</v>
      </c>
      <c r="U3191" s="705">
        <v>0</v>
      </c>
      <c r="V3191" s="705">
        <v>36767</v>
      </c>
      <c r="W3191" s="705">
        <f t="shared" si="124"/>
        <v>36768</v>
      </c>
      <c r="X3191" s="705">
        <f t="shared" si="125"/>
        <v>85950</v>
      </c>
    </row>
    <row r="3192" spans="2:24">
      <c r="B3192" t="s">
        <v>558</v>
      </c>
      <c r="C3192" t="s">
        <v>116</v>
      </c>
      <c r="D3192" t="s">
        <v>228</v>
      </c>
      <c r="E3192" t="s">
        <v>228</v>
      </c>
      <c r="F3192" s="705">
        <v>35</v>
      </c>
      <c r="G3192" s="705">
        <v>6372</v>
      </c>
      <c r="H3192" s="705">
        <v>6508</v>
      </c>
      <c r="I3192" s="705">
        <v>693085</v>
      </c>
      <c r="J3192" s="705">
        <v>256698</v>
      </c>
      <c r="K3192" s="705">
        <v>197</v>
      </c>
      <c r="L3192" s="705">
        <v>137686</v>
      </c>
      <c r="M3192" s="705">
        <v>108072</v>
      </c>
      <c r="N3192" s="705">
        <v>144074</v>
      </c>
      <c r="O3192" s="705">
        <v>53361</v>
      </c>
      <c r="P3192" s="705">
        <v>13975</v>
      </c>
      <c r="Q3192" s="705">
        <v>5176</v>
      </c>
      <c r="R3192" s="705">
        <v>282089</v>
      </c>
      <c r="S3192" s="705">
        <v>104477</v>
      </c>
      <c r="T3192" s="705">
        <v>0</v>
      </c>
      <c r="U3192" s="705">
        <v>0</v>
      </c>
      <c r="V3192" s="705">
        <v>527784</v>
      </c>
      <c r="W3192" s="705">
        <f t="shared" si="124"/>
        <v>527784</v>
      </c>
      <c r="X3192" s="705">
        <f t="shared" si="125"/>
        <v>1270909</v>
      </c>
    </row>
    <row r="3193" spans="2:24">
      <c r="B3193" t="s">
        <v>558</v>
      </c>
      <c r="C3193" t="s">
        <v>116</v>
      </c>
      <c r="D3193" t="s">
        <v>583</v>
      </c>
      <c r="E3193" t="s">
        <v>664</v>
      </c>
      <c r="F3193" s="705">
        <v>2</v>
      </c>
      <c r="G3193" s="705">
        <v>303</v>
      </c>
      <c r="H3193" s="705">
        <v>356</v>
      </c>
      <c r="I3193" s="705">
        <v>30060</v>
      </c>
      <c r="J3193" s="705">
        <v>27328</v>
      </c>
      <c r="K3193" s="705">
        <v>86</v>
      </c>
      <c r="L3193" s="705">
        <v>4491</v>
      </c>
      <c r="M3193" s="705">
        <v>4082</v>
      </c>
      <c r="N3193" s="705">
        <v>5253</v>
      </c>
      <c r="O3193" s="705">
        <v>1946</v>
      </c>
      <c r="P3193" s="705">
        <v>1242</v>
      </c>
      <c r="Q3193" s="705">
        <v>460</v>
      </c>
      <c r="R3193" s="705">
        <v>12769</v>
      </c>
      <c r="S3193" s="705">
        <v>11608</v>
      </c>
      <c r="T3193" s="705">
        <v>0</v>
      </c>
      <c r="U3193" s="705">
        <v>0</v>
      </c>
      <c r="V3193" s="705">
        <v>45424</v>
      </c>
      <c r="W3193" s="705">
        <f t="shared" si="124"/>
        <v>45424</v>
      </c>
      <c r="X3193" s="705">
        <f t="shared" si="125"/>
        <v>53815</v>
      </c>
    </row>
    <row r="3194" spans="2:24">
      <c r="B3194" t="s">
        <v>558</v>
      </c>
      <c r="C3194" t="s">
        <v>116</v>
      </c>
      <c r="D3194" t="s">
        <v>583</v>
      </c>
      <c r="E3194" t="s">
        <v>228</v>
      </c>
      <c r="F3194" s="705">
        <v>16</v>
      </c>
      <c r="G3194" s="705">
        <v>2099</v>
      </c>
      <c r="H3194" s="705">
        <v>3149</v>
      </c>
      <c r="I3194" s="705">
        <v>241300</v>
      </c>
      <c r="J3194" s="705">
        <v>219364</v>
      </c>
      <c r="K3194" s="705">
        <v>85</v>
      </c>
      <c r="L3194" s="705">
        <v>41019</v>
      </c>
      <c r="M3194" s="705">
        <v>37290</v>
      </c>
      <c r="N3194" s="705">
        <v>43665</v>
      </c>
      <c r="O3194" s="705">
        <v>16172</v>
      </c>
      <c r="P3194" s="705">
        <v>9936</v>
      </c>
      <c r="Q3194" s="705">
        <v>3680</v>
      </c>
      <c r="R3194" s="705">
        <v>87095</v>
      </c>
      <c r="S3194" s="705">
        <v>32257</v>
      </c>
      <c r="T3194" s="705">
        <v>0</v>
      </c>
      <c r="U3194" s="705">
        <v>0</v>
      </c>
      <c r="V3194" s="705">
        <v>308763</v>
      </c>
      <c r="W3194" s="705">
        <f t="shared" si="124"/>
        <v>308763</v>
      </c>
      <c r="X3194" s="705">
        <f t="shared" si="125"/>
        <v>423015</v>
      </c>
    </row>
    <row r="3195" spans="2:24">
      <c r="B3195" t="s">
        <v>558</v>
      </c>
      <c r="C3195" t="s">
        <v>116</v>
      </c>
      <c r="D3195" t="s">
        <v>583</v>
      </c>
      <c r="E3195" t="s">
        <v>583</v>
      </c>
      <c r="F3195" s="705">
        <v>5457</v>
      </c>
      <c r="G3195" s="705">
        <v>870882</v>
      </c>
      <c r="H3195" s="705">
        <v>1046796</v>
      </c>
      <c r="I3195" s="705">
        <v>97065640</v>
      </c>
      <c r="J3195" s="705">
        <v>88241490</v>
      </c>
      <c r="K3195" s="705">
        <v>85</v>
      </c>
      <c r="L3195" s="705">
        <v>20346975</v>
      </c>
      <c r="M3195" s="705">
        <v>18185125</v>
      </c>
      <c r="N3195" s="705">
        <v>18024957</v>
      </c>
      <c r="O3195" s="705">
        <v>6675910</v>
      </c>
      <c r="P3195" s="705">
        <v>3572492</v>
      </c>
      <c r="Q3195" s="705">
        <v>1323145</v>
      </c>
      <c r="R3195" s="705">
        <v>28883987</v>
      </c>
      <c r="S3195" s="705">
        <v>26258169</v>
      </c>
      <c r="T3195" s="705">
        <v>7940645</v>
      </c>
      <c r="U3195" s="705">
        <v>2940980</v>
      </c>
      <c r="V3195" s="705">
        <v>143624819</v>
      </c>
      <c r="W3195" s="705">
        <f t="shared" si="124"/>
        <v>143624819</v>
      </c>
      <c r="X3195" s="705">
        <f t="shared" si="125"/>
        <v>175834696</v>
      </c>
    </row>
    <row r="3196" spans="2:24">
      <c r="B3196" t="s">
        <v>558</v>
      </c>
      <c r="C3196" t="s">
        <v>116</v>
      </c>
      <c r="D3196" t="s">
        <v>583</v>
      </c>
      <c r="E3196" t="s">
        <v>666</v>
      </c>
      <c r="F3196" s="705">
        <v>1</v>
      </c>
      <c r="G3196" s="705">
        <v>164</v>
      </c>
      <c r="H3196" s="705">
        <v>182</v>
      </c>
      <c r="I3196" s="705">
        <v>14668</v>
      </c>
      <c r="J3196" s="705">
        <v>13335</v>
      </c>
      <c r="K3196" s="705">
        <v>79</v>
      </c>
      <c r="L3196" s="705">
        <v>4075</v>
      </c>
      <c r="M3196" s="705">
        <v>3704</v>
      </c>
      <c r="N3196" s="705">
        <v>2594</v>
      </c>
      <c r="O3196" s="705">
        <v>961</v>
      </c>
      <c r="P3196" s="705">
        <v>621</v>
      </c>
      <c r="Q3196" s="705">
        <v>230</v>
      </c>
      <c r="R3196" s="705">
        <v>4689</v>
      </c>
      <c r="S3196" s="705">
        <v>4263</v>
      </c>
      <c r="T3196" s="705">
        <v>3167</v>
      </c>
      <c r="U3196" s="705">
        <v>1173</v>
      </c>
      <c r="V3196" s="705">
        <v>23665</v>
      </c>
      <c r="W3196" s="705">
        <f t="shared" si="124"/>
        <v>23666</v>
      </c>
      <c r="X3196" s="705">
        <f t="shared" si="125"/>
        <v>29814</v>
      </c>
    </row>
    <row r="3197" spans="2:24">
      <c r="B3197" t="s">
        <v>558</v>
      </c>
      <c r="C3197" t="s">
        <v>116</v>
      </c>
      <c r="D3197" t="s">
        <v>583</v>
      </c>
      <c r="E3197" t="s">
        <v>584</v>
      </c>
      <c r="F3197" s="705">
        <v>2</v>
      </c>
      <c r="G3197" s="705">
        <v>300</v>
      </c>
      <c r="H3197" s="705">
        <v>328</v>
      </c>
      <c r="I3197" s="705">
        <v>22506</v>
      </c>
      <c r="J3197" s="705">
        <v>20460</v>
      </c>
      <c r="K3197" s="705">
        <v>90</v>
      </c>
      <c r="L3197" s="705">
        <v>4423</v>
      </c>
      <c r="M3197" s="705">
        <v>2553</v>
      </c>
      <c r="N3197" s="705">
        <v>7073</v>
      </c>
      <c r="O3197" s="705">
        <v>2620</v>
      </c>
      <c r="P3197" s="705">
        <v>1242</v>
      </c>
      <c r="Q3197" s="705">
        <v>460</v>
      </c>
      <c r="R3197" s="705">
        <v>10255</v>
      </c>
      <c r="S3197" s="705">
        <v>9323</v>
      </c>
      <c r="T3197" s="705">
        <v>3329</v>
      </c>
      <c r="U3197" s="705">
        <v>1233</v>
      </c>
      <c r="V3197" s="705">
        <v>36648</v>
      </c>
      <c r="W3197" s="705">
        <f t="shared" si="124"/>
        <v>36649</v>
      </c>
      <c r="X3197" s="705">
        <f t="shared" si="125"/>
        <v>48828</v>
      </c>
    </row>
    <row r="3198" spans="2:24">
      <c r="B3198" t="s">
        <v>558</v>
      </c>
      <c r="C3198" t="s">
        <v>116</v>
      </c>
      <c r="D3198" t="s">
        <v>583</v>
      </c>
      <c r="E3198" t="s">
        <v>665</v>
      </c>
      <c r="F3198" s="705">
        <v>4</v>
      </c>
      <c r="G3198" s="705">
        <v>842</v>
      </c>
      <c r="H3198" s="705">
        <v>683</v>
      </c>
      <c r="I3198" s="705">
        <v>74797</v>
      </c>
      <c r="J3198" s="705">
        <v>67997</v>
      </c>
      <c r="K3198" s="705">
        <v>87</v>
      </c>
      <c r="L3198" s="705">
        <v>19898</v>
      </c>
      <c r="M3198" s="705">
        <v>17846</v>
      </c>
      <c r="N3198" s="705">
        <v>14146</v>
      </c>
      <c r="O3198" s="705">
        <v>5239</v>
      </c>
      <c r="P3198" s="705">
        <v>2484</v>
      </c>
      <c r="Q3198" s="705">
        <v>920</v>
      </c>
      <c r="R3198" s="705">
        <v>20960</v>
      </c>
      <c r="S3198" s="705">
        <v>19054</v>
      </c>
      <c r="T3198" s="705">
        <v>11501</v>
      </c>
      <c r="U3198" s="705">
        <v>4260</v>
      </c>
      <c r="V3198" s="705">
        <v>115317</v>
      </c>
      <c r="W3198" s="705">
        <f t="shared" si="124"/>
        <v>115316</v>
      </c>
      <c r="X3198" s="705">
        <f t="shared" si="125"/>
        <v>143786</v>
      </c>
    </row>
    <row r="3199" spans="2:24">
      <c r="B3199" t="s">
        <v>558</v>
      </c>
      <c r="C3199" t="s">
        <v>116</v>
      </c>
      <c r="D3199" t="s">
        <v>666</v>
      </c>
      <c r="E3199" t="s">
        <v>583</v>
      </c>
      <c r="F3199" s="705">
        <v>1</v>
      </c>
      <c r="G3199" s="705">
        <v>157</v>
      </c>
      <c r="H3199" s="705">
        <v>209</v>
      </c>
      <c r="I3199" s="705">
        <v>14887</v>
      </c>
      <c r="J3199" s="705">
        <v>13534</v>
      </c>
      <c r="K3199" s="705">
        <v>79</v>
      </c>
      <c r="L3199" s="705">
        <v>4135</v>
      </c>
      <c r="M3199" s="705">
        <v>3759</v>
      </c>
      <c r="N3199" s="705">
        <v>3413</v>
      </c>
      <c r="O3199" s="705">
        <v>1264</v>
      </c>
      <c r="P3199" s="705">
        <v>621</v>
      </c>
      <c r="Q3199" s="705">
        <v>230</v>
      </c>
      <c r="R3199" s="705">
        <v>9642</v>
      </c>
      <c r="S3199" s="705">
        <v>8765</v>
      </c>
      <c r="T3199" s="705">
        <v>0</v>
      </c>
      <c r="U3199" s="705">
        <v>0</v>
      </c>
      <c r="V3199" s="705">
        <v>27553</v>
      </c>
      <c r="W3199" s="705">
        <f t="shared" si="124"/>
        <v>27552</v>
      </c>
      <c r="X3199" s="705">
        <f t="shared" si="125"/>
        <v>32698</v>
      </c>
    </row>
    <row r="3200" spans="2:24">
      <c r="B3200" t="s">
        <v>558</v>
      </c>
      <c r="C3200" t="s">
        <v>116</v>
      </c>
      <c r="D3200" t="s">
        <v>584</v>
      </c>
      <c r="E3200" t="s">
        <v>584</v>
      </c>
      <c r="F3200" s="705">
        <v>30</v>
      </c>
      <c r="G3200" s="705">
        <v>4704</v>
      </c>
      <c r="H3200" s="705">
        <v>5745</v>
      </c>
      <c r="I3200" s="705">
        <v>519491</v>
      </c>
      <c r="J3200" s="705">
        <v>472264</v>
      </c>
      <c r="K3200" s="705">
        <v>84</v>
      </c>
      <c r="L3200" s="705">
        <v>109505</v>
      </c>
      <c r="M3200" s="705">
        <v>98289</v>
      </c>
      <c r="N3200" s="705">
        <v>92144</v>
      </c>
      <c r="O3200" s="705">
        <v>34127</v>
      </c>
      <c r="P3200" s="705">
        <v>14526</v>
      </c>
      <c r="Q3200" s="705">
        <v>5380</v>
      </c>
      <c r="R3200" s="705">
        <v>164531</v>
      </c>
      <c r="S3200" s="705">
        <v>149574</v>
      </c>
      <c r="T3200" s="705">
        <v>11421</v>
      </c>
      <c r="U3200" s="705">
        <v>4230</v>
      </c>
      <c r="V3200" s="705">
        <v>763865</v>
      </c>
      <c r="W3200" s="705">
        <f t="shared" si="124"/>
        <v>763864</v>
      </c>
      <c r="X3200" s="705">
        <f t="shared" si="125"/>
        <v>911618</v>
      </c>
    </row>
    <row r="3201" spans="2:24">
      <c r="B3201" t="s">
        <v>558</v>
      </c>
      <c r="C3201" t="s">
        <v>116</v>
      </c>
      <c r="D3201" t="s">
        <v>669</v>
      </c>
      <c r="E3201" t="s">
        <v>669</v>
      </c>
      <c r="F3201" s="705">
        <v>1</v>
      </c>
      <c r="G3201" s="705">
        <v>115</v>
      </c>
      <c r="H3201" s="705">
        <v>223</v>
      </c>
      <c r="I3201" s="705">
        <v>15400</v>
      </c>
      <c r="J3201" s="705">
        <v>12833</v>
      </c>
      <c r="K3201" s="705">
        <v>65</v>
      </c>
      <c r="L3201" s="705">
        <v>0</v>
      </c>
      <c r="M3201" s="705">
        <v>0</v>
      </c>
      <c r="N3201" s="705">
        <v>2023</v>
      </c>
      <c r="O3201" s="705">
        <v>749</v>
      </c>
      <c r="P3201" s="705">
        <v>351</v>
      </c>
      <c r="Q3201" s="705">
        <v>130</v>
      </c>
      <c r="R3201" s="705">
        <v>5131</v>
      </c>
      <c r="S3201" s="705">
        <v>4275</v>
      </c>
      <c r="T3201" s="705">
        <v>2609</v>
      </c>
      <c r="U3201" s="705">
        <v>966</v>
      </c>
      <c r="V3201" s="705">
        <v>18954</v>
      </c>
      <c r="W3201" s="705">
        <f t="shared" si="124"/>
        <v>18953</v>
      </c>
      <c r="X3201" s="705">
        <f t="shared" si="125"/>
        <v>25514</v>
      </c>
    </row>
    <row r="3202" spans="2:24">
      <c r="B3202" t="s">
        <v>558</v>
      </c>
      <c r="C3202" t="s">
        <v>116</v>
      </c>
      <c r="D3202" t="s">
        <v>665</v>
      </c>
      <c r="E3202" t="s">
        <v>665</v>
      </c>
      <c r="F3202" s="705">
        <v>11</v>
      </c>
      <c r="G3202" s="705">
        <v>1845</v>
      </c>
      <c r="H3202" s="705">
        <v>2315</v>
      </c>
      <c r="I3202" s="705">
        <v>256235</v>
      </c>
      <c r="J3202" s="705">
        <v>232941</v>
      </c>
      <c r="K3202" s="705">
        <v>64</v>
      </c>
      <c r="L3202" s="705">
        <v>24962</v>
      </c>
      <c r="M3202" s="705">
        <v>22673</v>
      </c>
      <c r="N3202" s="705">
        <v>33332</v>
      </c>
      <c r="O3202" s="705">
        <v>12345</v>
      </c>
      <c r="P3202" s="705">
        <v>4482</v>
      </c>
      <c r="Q3202" s="705">
        <v>1660</v>
      </c>
      <c r="R3202" s="705">
        <v>65214</v>
      </c>
      <c r="S3202" s="705">
        <v>59285</v>
      </c>
      <c r="T3202" s="705">
        <v>23665</v>
      </c>
      <c r="U3202" s="705">
        <v>8765</v>
      </c>
      <c r="V3202" s="705">
        <v>337670</v>
      </c>
      <c r="W3202" s="705">
        <f t="shared" si="124"/>
        <v>337669</v>
      </c>
      <c r="X3202" s="705">
        <f t="shared" si="125"/>
        <v>407890</v>
      </c>
    </row>
    <row r="3203" spans="2:24">
      <c r="B3203" t="s">
        <v>558</v>
      </c>
      <c r="C3203" t="s">
        <v>116</v>
      </c>
      <c r="D3203" t="s">
        <v>722</v>
      </c>
      <c r="E3203" t="s">
        <v>722</v>
      </c>
      <c r="F3203" s="705">
        <v>2</v>
      </c>
      <c r="G3203" s="705">
        <v>339</v>
      </c>
      <c r="H3203" s="705">
        <v>330</v>
      </c>
      <c r="I3203" s="705">
        <v>34657</v>
      </c>
      <c r="J3203" s="705">
        <v>31507</v>
      </c>
      <c r="K3203" s="705">
        <v>78</v>
      </c>
      <c r="L3203" s="705">
        <v>4878</v>
      </c>
      <c r="M3203" s="705">
        <v>4209</v>
      </c>
      <c r="N3203" s="705">
        <v>4758</v>
      </c>
      <c r="O3203" s="705">
        <v>1762</v>
      </c>
      <c r="P3203" s="705">
        <v>1404</v>
      </c>
      <c r="Q3203" s="705">
        <v>520</v>
      </c>
      <c r="R3203" s="705">
        <v>11212</v>
      </c>
      <c r="S3203" s="705">
        <v>10193</v>
      </c>
      <c r="T3203" s="705">
        <v>0</v>
      </c>
      <c r="U3203" s="705">
        <v>0</v>
      </c>
      <c r="V3203" s="705">
        <v>48190</v>
      </c>
      <c r="W3203" s="705">
        <f t="shared" si="124"/>
        <v>48191</v>
      </c>
      <c r="X3203" s="705">
        <f t="shared" si="125"/>
        <v>56909</v>
      </c>
    </row>
    <row r="3204" spans="2:24">
      <c r="B3204" t="s">
        <v>558</v>
      </c>
      <c r="C3204" t="s">
        <v>116</v>
      </c>
      <c r="D3204" t="s">
        <v>673</v>
      </c>
      <c r="E3204" t="s">
        <v>673</v>
      </c>
      <c r="F3204" s="705">
        <v>2</v>
      </c>
      <c r="G3204" s="705">
        <v>400</v>
      </c>
      <c r="H3204" s="705">
        <v>427</v>
      </c>
      <c r="I3204" s="705">
        <v>53672</v>
      </c>
      <c r="J3204" s="705">
        <v>48793</v>
      </c>
      <c r="K3204" s="705">
        <v>71</v>
      </c>
      <c r="L3204" s="705">
        <v>6165</v>
      </c>
      <c r="M3204" s="705">
        <v>5605</v>
      </c>
      <c r="N3204" s="705">
        <v>7926</v>
      </c>
      <c r="O3204" s="705">
        <v>2936</v>
      </c>
      <c r="P3204" s="705">
        <v>702</v>
      </c>
      <c r="Q3204" s="705">
        <v>260</v>
      </c>
      <c r="R3204" s="705">
        <v>10688</v>
      </c>
      <c r="S3204" s="705">
        <v>9716</v>
      </c>
      <c r="T3204" s="705">
        <v>6916</v>
      </c>
      <c r="U3204" s="705">
        <v>2562</v>
      </c>
      <c r="V3204" s="705">
        <v>69871</v>
      </c>
      <c r="W3204" s="705">
        <f t="shared" si="124"/>
        <v>69872</v>
      </c>
      <c r="X3204" s="705">
        <f t="shared" si="125"/>
        <v>86069</v>
      </c>
    </row>
    <row r="3205" spans="2:24">
      <c r="B3205" t="s">
        <v>558</v>
      </c>
      <c r="C3205" t="s">
        <v>116</v>
      </c>
      <c r="D3205" t="s">
        <v>585</v>
      </c>
      <c r="E3205" t="s">
        <v>581</v>
      </c>
      <c r="F3205" s="705">
        <v>1</v>
      </c>
      <c r="G3205" s="705">
        <v>196</v>
      </c>
      <c r="H3205" s="705">
        <v>171</v>
      </c>
      <c r="I3205" s="705">
        <v>12330</v>
      </c>
      <c r="J3205" s="705">
        <v>11209</v>
      </c>
      <c r="K3205" s="705">
        <v>87</v>
      </c>
      <c r="L3205" s="705">
        <v>1575</v>
      </c>
      <c r="M3205" s="705">
        <v>1431</v>
      </c>
      <c r="N3205" s="705">
        <v>2387</v>
      </c>
      <c r="O3205" s="705">
        <v>884</v>
      </c>
      <c r="P3205" s="705">
        <v>351</v>
      </c>
      <c r="Q3205" s="705">
        <v>130</v>
      </c>
      <c r="R3205" s="705">
        <v>16856</v>
      </c>
      <c r="S3205" s="705">
        <v>6243</v>
      </c>
      <c r="T3205" s="705">
        <v>0</v>
      </c>
      <c r="U3205" s="705">
        <v>0</v>
      </c>
      <c r="V3205" s="705">
        <v>19897</v>
      </c>
      <c r="W3205" s="705">
        <f t="shared" si="124"/>
        <v>19897</v>
      </c>
      <c r="X3205" s="705">
        <f t="shared" si="125"/>
        <v>33499</v>
      </c>
    </row>
    <row r="3206" spans="2:24">
      <c r="B3206" t="s">
        <v>558</v>
      </c>
      <c r="C3206" t="s">
        <v>116</v>
      </c>
      <c r="D3206" t="s">
        <v>585</v>
      </c>
      <c r="E3206" t="s">
        <v>585</v>
      </c>
      <c r="F3206" s="705">
        <v>25</v>
      </c>
      <c r="G3206" s="705">
        <v>5701</v>
      </c>
      <c r="H3206" s="705">
        <v>4660</v>
      </c>
      <c r="I3206" s="705">
        <v>694932</v>
      </c>
      <c r="J3206" s="705">
        <v>631756</v>
      </c>
      <c r="K3206" s="705">
        <v>71</v>
      </c>
      <c r="L3206" s="705">
        <v>105577</v>
      </c>
      <c r="M3206" s="705">
        <v>92364</v>
      </c>
      <c r="N3206" s="705">
        <v>112700</v>
      </c>
      <c r="O3206" s="705">
        <v>41741</v>
      </c>
      <c r="P3206" s="705">
        <v>18329</v>
      </c>
      <c r="Q3206" s="705">
        <v>6789</v>
      </c>
      <c r="R3206" s="705">
        <v>160061</v>
      </c>
      <c r="S3206" s="705">
        <v>145510</v>
      </c>
      <c r="T3206" s="705">
        <v>9928</v>
      </c>
      <c r="U3206" s="705">
        <v>3677</v>
      </c>
      <c r="V3206" s="705">
        <v>921837</v>
      </c>
      <c r="W3206" s="705">
        <f t="shared" si="124"/>
        <v>921837</v>
      </c>
      <c r="X3206" s="705">
        <f t="shared" si="125"/>
        <v>1101527</v>
      </c>
    </row>
    <row r="3207" spans="2:24">
      <c r="B3207" t="s">
        <v>558</v>
      </c>
      <c r="C3207" t="s">
        <v>116</v>
      </c>
      <c r="D3207" t="s">
        <v>668</v>
      </c>
      <c r="E3207" t="s">
        <v>668</v>
      </c>
      <c r="F3207" s="705">
        <v>3</v>
      </c>
      <c r="G3207" s="705">
        <v>329</v>
      </c>
      <c r="H3207" s="705">
        <v>540</v>
      </c>
      <c r="I3207" s="705">
        <v>31151</v>
      </c>
      <c r="J3207" s="705">
        <v>28320</v>
      </c>
      <c r="K3207" s="705">
        <v>89</v>
      </c>
      <c r="L3207" s="705">
        <v>6591</v>
      </c>
      <c r="M3207" s="705">
        <v>5685</v>
      </c>
      <c r="N3207" s="705">
        <v>6767</v>
      </c>
      <c r="O3207" s="705">
        <v>2506</v>
      </c>
      <c r="P3207" s="705">
        <v>1053</v>
      </c>
      <c r="Q3207" s="705">
        <v>390</v>
      </c>
      <c r="R3207" s="705">
        <v>14026</v>
      </c>
      <c r="S3207" s="705">
        <v>12751</v>
      </c>
      <c r="T3207" s="705">
        <v>0</v>
      </c>
      <c r="U3207" s="705">
        <v>0</v>
      </c>
      <c r="V3207" s="705">
        <v>49652</v>
      </c>
      <c r="W3207" s="705">
        <f t="shared" si="124"/>
        <v>49652</v>
      </c>
      <c r="X3207" s="705">
        <f t="shared" si="125"/>
        <v>59588</v>
      </c>
    </row>
    <row r="3208" spans="2:24">
      <c r="B3208" t="s">
        <v>558</v>
      </c>
      <c r="C3208" t="s">
        <v>118</v>
      </c>
      <c r="F3208" s="705">
        <v>1</v>
      </c>
      <c r="G3208" s="705">
        <v>119</v>
      </c>
      <c r="H3208" s="705">
        <v>231</v>
      </c>
      <c r="I3208" s="705"/>
      <c r="J3208" s="705">
        <v>0</v>
      </c>
      <c r="K3208" s="705"/>
      <c r="L3208" s="705"/>
      <c r="M3208" s="705">
        <v>0</v>
      </c>
      <c r="N3208" s="705">
        <v>2617</v>
      </c>
      <c r="O3208" s="705">
        <v>969</v>
      </c>
      <c r="P3208" s="705">
        <v>621</v>
      </c>
      <c r="Q3208" s="705">
        <v>230</v>
      </c>
      <c r="R3208" s="705"/>
      <c r="S3208" s="705">
        <v>0</v>
      </c>
      <c r="T3208" s="705">
        <v>0</v>
      </c>
      <c r="U3208" s="705">
        <v>0</v>
      </c>
      <c r="V3208" s="705">
        <v>1199</v>
      </c>
      <c r="W3208" s="705">
        <f t="shared" si="124"/>
        <v>1199</v>
      </c>
      <c r="X3208" s="705">
        <f t="shared" si="125"/>
        <v>3238</v>
      </c>
    </row>
    <row r="3209" spans="2:24">
      <c r="B3209" t="s">
        <v>558</v>
      </c>
      <c r="C3209" t="s">
        <v>118</v>
      </c>
      <c r="D3209" t="s">
        <v>664</v>
      </c>
      <c r="E3209" t="s">
        <v>664</v>
      </c>
      <c r="F3209" s="705">
        <v>4</v>
      </c>
      <c r="G3209" s="705">
        <v>293</v>
      </c>
      <c r="H3209" s="705">
        <v>1136</v>
      </c>
      <c r="I3209" s="705">
        <v>49903</v>
      </c>
      <c r="J3209" s="705">
        <v>45366</v>
      </c>
      <c r="K3209" s="705">
        <v>78</v>
      </c>
      <c r="L3209" s="705">
        <v>8186</v>
      </c>
      <c r="M3209" s="705">
        <v>7442</v>
      </c>
      <c r="N3209" s="705">
        <v>5071</v>
      </c>
      <c r="O3209" s="705">
        <v>1878</v>
      </c>
      <c r="P3209" s="705">
        <v>1769</v>
      </c>
      <c r="Q3209" s="705">
        <v>655</v>
      </c>
      <c r="R3209" s="705">
        <v>14826</v>
      </c>
      <c r="S3209" s="705">
        <v>13478</v>
      </c>
      <c r="T3209" s="705">
        <v>4179</v>
      </c>
      <c r="U3209" s="705">
        <v>1548</v>
      </c>
      <c r="V3209" s="705">
        <v>70368</v>
      </c>
      <c r="W3209" s="705">
        <f t="shared" si="124"/>
        <v>70367</v>
      </c>
      <c r="X3209" s="705">
        <f t="shared" si="125"/>
        <v>83934</v>
      </c>
    </row>
    <row r="3210" spans="2:24">
      <c r="B3210" t="s">
        <v>558</v>
      </c>
      <c r="C3210" t="s">
        <v>118</v>
      </c>
      <c r="D3210" t="s">
        <v>664</v>
      </c>
      <c r="E3210" t="s">
        <v>583</v>
      </c>
      <c r="F3210" s="705">
        <v>2</v>
      </c>
      <c r="G3210" s="705">
        <v>215</v>
      </c>
      <c r="H3210" s="705">
        <v>502</v>
      </c>
      <c r="I3210" s="705">
        <v>32543</v>
      </c>
      <c r="J3210" s="705">
        <v>29584</v>
      </c>
      <c r="K3210" s="705">
        <v>85</v>
      </c>
      <c r="L3210" s="705">
        <v>9002</v>
      </c>
      <c r="M3210" s="705">
        <v>8183</v>
      </c>
      <c r="N3210" s="705">
        <v>6214</v>
      </c>
      <c r="O3210" s="705">
        <v>2301</v>
      </c>
      <c r="P3210" s="705">
        <v>1593</v>
      </c>
      <c r="Q3210" s="705">
        <v>590</v>
      </c>
      <c r="R3210" s="705">
        <v>13684</v>
      </c>
      <c r="S3210" s="705">
        <v>12440</v>
      </c>
      <c r="T3210" s="705">
        <v>3576</v>
      </c>
      <c r="U3210" s="705">
        <v>1324</v>
      </c>
      <c r="V3210" s="705">
        <v>54423</v>
      </c>
      <c r="W3210" s="705">
        <f t="shared" si="124"/>
        <v>54422</v>
      </c>
      <c r="X3210" s="705">
        <f t="shared" si="125"/>
        <v>66612</v>
      </c>
    </row>
    <row r="3211" spans="2:24">
      <c r="B3211" t="s">
        <v>558</v>
      </c>
      <c r="C3211" t="s">
        <v>118</v>
      </c>
      <c r="D3211" t="s">
        <v>582</v>
      </c>
      <c r="E3211" t="s">
        <v>582</v>
      </c>
      <c r="F3211" s="705">
        <v>86</v>
      </c>
      <c r="G3211" s="705">
        <v>11175</v>
      </c>
      <c r="H3211" s="705">
        <v>22318</v>
      </c>
      <c r="I3211" s="705">
        <v>1772367</v>
      </c>
      <c r="J3211" s="705">
        <v>1611242</v>
      </c>
      <c r="K3211" s="705">
        <v>80</v>
      </c>
      <c r="L3211" s="705">
        <v>415477</v>
      </c>
      <c r="M3211" s="705">
        <v>373106</v>
      </c>
      <c r="N3211" s="705">
        <v>240713</v>
      </c>
      <c r="O3211" s="705">
        <v>89153</v>
      </c>
      <c r="P3211" s="705">
        <v>46367</v>
      </c>
      <c r="Q3211" s="705">
        <v>17173</v>
      </c>
      <c r="R3211" s="705">
        <v>421473</v>
      </c>
      <c r="S3211" s="705">
        <v>383157</v>
      </c>
      <c r="T3211" s="705">
        <v>98562</v>
      </c>
      <c r="U3211" s="705">
        <v>36504</v>
      </c>
      <c r="V3211" s="705">
        <v>2510335</v>
      </c>
      <c r="W3211" s="705">
        <f t="shared" si="124"/>
        <v>2510335</v>
      </c>
      <c r="X3211" s="705">
        <f t="shared" si="125"/>
        <v>2994959</v>
      </c>
    </row>
    <row r="3212" spans="2:24">
      <c r="B3212" t="s">
        <v>558</v>
      </c>
      <c r="C3212" t="s">
        <v>118</v>
      </c>
      <c r="D3212" t="s">
        <v>582</v>
      </c>
      <c r="E3212" t="s">
        <v>228</v>
      </c>
      <c r="F3212" s="705">
        <v>1</v>
      </c>
      <c r="G3212" s="705">
        <v>201</v>
      </c>
      <c r="H3212" s="705">
        <v>235</v>
      </c>
      <c r="I3212" s="705">
        <v>35158</v>
      </c>
      <c r="J3212" s="705">
        <v>31962</v>
      </c>
      <c r="K3212" s="705">
        <v>76</v>
      </c>
      <c r="L3212" s="705">
        <v>9896</v>
      </c>
      <c r="M3212" s="705">
        <v>8997</v>
      </c>
      <c r="N3212" s="705">
        <v>4731</v>
      </c>
      <c r="O3212" s="705">
        <v>1752</v>
      </c>
      <c r="P3212" s="705">
        <v>2844</v>
      </c>
      <c r="Q3212" s="705">
        <v>1053</v>
      </c>
      <c r="R3212" s="705">
        <v>-5437</v>
      </c>
      <c r="S3212" s="705">
        <v>-2014</v>
      </c>
      <c r="T3212" s="705">
        <v>0</v>
      </c>
      <c r="U3212" s="705">
        <v>0</v>
      </c>
      <c r="V3212" s="705">
        <v>41751</v>
      </c>
      <c r="W3212" s="705">
        <f t="shared" si="124"/>
        <v>45778</v>
      </c>
      <c r="X3212" s="705">
        <f t="shared" si="125"/>
        <v>58066</v>
      </c>
    </row>
    <row r="3213" spans="2:24">
      <c r="B3213" t="s">
        <v>558</v>
      </c>
      <c r="C3213" t="s">
        <v>118</v>
      </c>
      <c r="D3213" t="s">
        <v>228</v>
      </c>
      <c r="E3213" t="s">
        <v>228</v>
      </c>
      <c r="F3213" s="705">
        <v>147</v>
      </c>
      <c r="G3213" s="705">
        <v>19690</v>
      </c>
      <c r="H3213" s="705">
        <v>39711</v>
      </c>
      <c r="I3213" s="705">
        <v>3367488</v>
      </c>
      <c r="J3213" s="705">
        <v>1247218</v>
      </c>
      <c r="K3213" s="705">
        <v>101</v>
      </c>
      <c r="L3213" s="705">
        <v>579266</v>
      </c>
      <c r="M3213" s="705">
        <v>463058</v>
      </c>
      <c r="N3213" s="705">
        <v>456799</v>
      </c>
      <c r="O3213" s="705">
        <v>169185</v>
      </c>
      <c r="P3213" s="705">
        <v>3444</v>
      </c>
      <c r="Q3213" s="705">
        <v>1276</v>
      </c>
      <c r="R3213" s="705">
        <v>1313714</v>
      </c>
      <c r="S3213" s="705">
        <v>486561</v>
      </c>
      <c r="T3213" s="705">
        <v>3381</v>
      </c>
      <c r="U3213" s="705">
        <v>1252</v>
      </c>
      <c r="V3213" s="705">
        <v>2368549</v>
      </c>
      <c r="W3213" s="705">
        <f t="shared" si="124"/>
        <v>2368550</v>
      </c>
      <c r="X3213" s="705">
        <f t="shared" si="125"/>
        <v>5724092</v>
      </c>
    </row>
    <row r="3214" spans="2:24">
      <c r="B3214" t="s">
        <v>558</v>
      </c>
      <c r="C3214" t="s">
        <v>118</v>
      </c>
      <c r="D3214" t="s">
        <v>228</v>
      </c>
      <c r="E3214" t="s">
        <v>583</v>
      </c>
      <c r="F3214" s="705">
        <v>1</v>
      </c>
      <c r="G3214" s="705">
        <v>145</v>
      </c>
      <c r="H3214" s="705">
        <v>265</v>
      </c>
      <c r="I3214" s="705">
        <v>25551</v>
      </c>
      <c r="J3214" s="705">
        <v>9463</v>
      </c>
      <c r="K3214" s="705">
        <v>100</v>
      </c>
      <c r="L3214" s="705">
        <v>3470</v>
      </c>
      <c r="M3214" s="705">
        <v>3154</v>
      </c>
      <c r="N3214" s="705">
        <v>1998</v>
      </c>
      <c r="O3214" s="705">
        <v>740</v>
      </c>
      <c r="P3214" s="705">
        <v>621</v>
      </c>
      <c r="Q3214" s="705">
        <v>230</v>
      </c>
      <c r="R3214" s="705">
        <v>6892</v>
      </c>
      <c r="S3214" s="705">
        <v>6265</v>
      </c>
      <c r="T3214" s="705">
        <v>0</v>
      </c>
      <c r="U3214" s="705">
        <v>0</v>
      </c>
      <c r="V3214" s="705">
        <v>19853</v>
      </c>
      <c r="W3214" s="705">
        <f t="shared" si="124"/>
        <v>19852</v>
      </c>
      <c r="X3214" s="705">
        <f t="shared" si="125"/>
        <v>38532</v>
      </c>
    </row>
    <row r="3215" spans="2:24">
      <c r="B3215" t="s">
        <v>558</v>
      </c>
      <c r="C3215" t="s">
        <v>118</v>
      </c>
      <c r="D3215" t="s">
        <v>228</v>
      </c>
      <c r="E3215" t="s">
        <v>665</v>
      </c>
      <c r="F3215" s="705">
        <v>1</v>
      </c>
      <c r="G3215" s="705">
        <v>120</v>
      </c>
      <c r="H3215" s="705">
        <v>279</v>
      </c>
      <c r="I3215" s="705">
        <v>25581</v>
      </c>
      <c r="J3215" s="705">
        <v>9474</v>
      </c>
      <c r="K3215" s="705">
        <v>100</v>
      </c>
      <c r="L3215" s="705">
        <v>1782</v>
      </c>
      <c r="M3215" s="705">
        <v>1620</v>
      </c>
      <c r="N3215" s="705">
        <v>1463</v>
      </c>
      <c r="O3215" s="705">
        <v>542</v>
      </c>
      <c r="P3215" s="705">
        <v>0</v>
      </c>
      <c r="Q3215" s="705">
        <v>0</v>
      </c>
      <c r="R3215" s="705">
        <v>4727</v>
      </c>
      <c r="S3215" s="705">
        <v>4297</v>
      </c>
      <c r="T3215" s="705">
        <v>0</v>
      </c>
      <c r="U3215" s="705">
        <v>0</v>
      </c>
      <c r="V3215" s="705">
        <v>15933</v>
      </c>
      <c r="W3215" s="705">
        <f t="shared" si="124"/>
        <v>15933</v>
      </c>
      <c r="X3215" s="705">
        <f t="shared" si="125"/>
        <v>33553</v>
      </c>
    </row>
    <row r="3216" spans="2:24">
      <c r="B3216" t="s">
        <v>558</v>
      </c>
      <c r="C3216" t="s">
        <v>118</v>
      </c>
      <c r="D3216" t="s">
        <v>583</v>
      </c>
      <c r="E3216" t="s">
        <v>228</v>
      </c>
      <c r="F3216" s="705">
        <v>12</v>
      </c>
      <c r="G3216" s="705">
        <v>1405</v>
      </c>
      <c r="H3216" s="705">
        <v>3132</v>
      </c>
      <c r="I3216" s="705">
        <v>213119</v>
      </c>
      <c r="J3216" s="705">
        <v>193744</v>
      </c>
      <c r="K3216" s="705">
        <v>79</v>
      </c>
      <c r="L3216" s="705">
        <v>41706</v>
      </c>
      <c r="M3216" s="705">
        <v>35163</v>
      </c>
      <c r="N3216" s="705">
        <v>29953</v>
      </c>
      <c r="O3216" s="705">
        <v>11094</v>
      </c>
      <c r="P3216" s="705">
        <v>6831</v>
      </c>
      <c r="Q3216" s="705">
        <v>2530</v>
      </c>
      <c r="R3216" s="705">
        <v>88935</v>
      </c>
      <c r="S3216" s="705">
        <v>32939</v>
      </c>
      <c r="T3216" s="705">
        <v>0</v>
      </c>
      <c r="U3216" s="705">
        <v>0</v>
      </c>
      <c r="V3216" s="705">
        <v>275470</v>
      </c>
      <c r="W3216" s="705">
        <f t="shared" si="124"/>
        <v>275470</v>
      </c>
      <c r="X3216" s="705">
        <f t="shared" si="125"/>
        <v>380544</v>
      </c>
    </row>
    <row r="3217" spans="2:24">
      <c r="B3217" t="s">
        <v>558</v>
      </c>
      <c r="C3217" t="s">
        <v>118</v>
      </c>
      <c r="D3217" t="s">
        <v>583</v>
      </c>
      <c r="E3217" t="s">
        <v>583</v>
      </c>
      <c r="F3217" s="705">
        <v>3187</v>
      </c>
      <c r="G3217" s="705">
        <v>402106</v>
      </c>
      <c r="H3217" s="705">
        <v>819833</v>
      </c>
      <c r="I3217" s="705">
        <v>61096073</v>
      </c>
      <c r="J3217" s="705">
        <v>55541884</v>
      </c>
      <c r="K3217" s="705">
        <v>80</v>
      </c>
      <c r="L3217" s="705">
        <v>12930028</v>
      </c>
      <c r="M3217" s="705">
        <v>11540410</v>
      </c>
      <c r="N3217" s="705">
        <v>8371370</v>
      </c>
      <c r="O3217" s="705">
        <v>3100507</v>
      </c>
      <c r="P3217" s="705">
        <v>2061715</v>
      </c>
      <c r="Q3217" s="705">
        <v>763598</v>
      </c>
      <c r="R3217" s="705">
        <v>16213804</v>
      </c>
      <c r="S3217" s="705">
        <v>14739822</v>
      </c>
      <c r="T3217" s="705">
        <v>5728521</v>
      </c>
      <c r="U3217" s="705">
        <v>2121675</v>
      </c>
      <c r="V3217" s="705">
        <v>87807896</v>
      </c>
      <c r="W3217" s="705">
        <f t="shared" si="124"/>
        <v>87807896</v>
      </c>
      <c r="X3217" s="705">
        <f t="shared" si="125"/>
        <v>106401511</v>
      </c>
    </row>
    <row r="3218" spans="2:24">
      <c r="B3218" t="s">
        <v>558</v>
      </c>
      <c r="C3218" t="s">
        <v>118</v>
      </c>
      <c r="D3218" t="s">
        <v>583</v>
      </c>
      <c r="E3218" t="s">
        <v>666</v>
      </c>
      <c r="F3218" s="705">
        <v>3</v>
      </c>
      <c r="G3218" s="705">
        <v>316</v>
      </c>
      <c r="H3218" s="705">
        <v>745</v>
      </c>
      <c r="I3218" s="705">
        <v>46138</v>
      </c>
      <c r="J3218" s="705">
        <v>41944</v>
      </c>
      <c r="K3218" s="705">
        <v>90</v>
      </c>
      <c r="L3218" s="705">
        <v>6100</v>
      </c>
      <c r="M3218" s="705">
        <v>5546</v>
      </c>
      <c r="N3218" s="705">
        <v>6477</v>
      </c>
      <c r="O3218" s="705">
        <v>2399</v>
      </c>
      <c r="P3218" s="705">
        <v>1242</v>
      </c>
      <c r="Q3218" s="705">
        <v>460</v>
      </c>
      <c r="R3218" s="705">
        <v>15570</v>
      </c>
      <c r="S3218" s="705">
        <v>14155</v>
      </c>
      <c r="T3218" s="705">
        <v>2105</v>
      </c>
      <c r="U3218" s="705">
        <v>780</v>
      </c>
      <c r="V3218" s="705">
        <v>65283</v>
      </c>
      <c r="W3218" s="705">
        <f t="shared" si="124"/>
        <v>65284</v>
      </c>
      <c r="X3218" s="705">
        <f t="shared" si="125"/>
        <v>77632</v>
      </c>
    </row>
    <row r="3219" spans="2:24">
      <c r="B3219" t="s">
        <v>558</v>
      </c>
      <c r="C3219" t="s">
        <v>118</v>
      </c>
      <c r="D3219" t="s">
        <v>583</v>
      </c>
      <c r="E3219" t="s">
        <v>665</v>
      </c>
      <c r="F3219" s="705">
        <v>3</v>
      </c>
      <c r="G3219" s="705">
        <v>323</v>
      </c>
      <c r="H3219" s="705">
        <v>781</v>
      </c>
      <c r="I3219" s="705">
        <v>46564</v>
      </c>
      <c r="J3219" s="705">
        <v>42331</v>
      </c>
      <c r="K3219" s="705">
        <v>80</v>
      </c>
      <c r="L3219" s="705">
        <v>17443</v>
      </c>
      <c r="M3219" s="705">
        <v>9918</v>
      </c>
      <c r="N3219" s="705">
        <v>7927</v>
      </c>
      <c r="O3219" s="705">
        <v>2936</v>
      </c>
      <c r="P3219" s="705">
        <v>1985</v>
      </c>
      <c r="Q3219" s="705">
        <v>735</v>
      </c>
      <c r="R3219" s="705">
        <v>12952</v>
      </c>
      <c r="S3219" s="705">
        <v>11775</v>
      </c>
      <c r="T3219" s="705">
        <v>8995</v>
      </c>
      <c r="U3219" s="705">
        <v>3332</v>
      </c>
      <c r="V3219" s="705">
        <v>71026</v>
      </c>
      <c r="W3219" s="705">
        <f t="shared" si="124"/>
        <v>71027</v>
      </c>
      <c r="X3219" s="705">
        <f t="shared" si="125"/>
        <v>95866</v>
      </c>
    </row>
    <row r="3220" spans="2:24">
      <c r="B3220" t="s">
        <v>558</v>
      </c>
      <c r="C3220" t="s">
        <v>118</v>
      </c>
      <c r="D3220" t="s">
        <v>583</v>
      </c>
      <c r="E3220" t="s">
        <v>673</v>
      </c>
      <c r="F3220" s="705">
        <v>1</v>
      </c>
      <c r="G3220" s="705">
        <v>112</v>
      </c>
      <c r="H3220" s="705">
        <v>300</v>
      </c>
      <c r="I3220" s="705">
        <v>23459</v>
      </c>
      <c r="J3220" s="705">
        <v>21326</v>
      </c>
      <c r="K3220" s="705">
        <v>86</v>
      </c>
      <c r="L3220" s="705">
        <v>3528</v>
      </c>
      <c r="M3220" s="705">
        <v>3207</v>
      </c>
      <c r="N3220" s="705">
        <v>1363</v>
      </c>
      <c r="O3220" s="705">
        <v>505</v>
      </c>
      <c r="P3220" s="705">
        <v>621</v>
      </c>
      <c r="Q3220" s="705">
        <v>230</v>
      </c>
      <c r="R3220" s="705">
        <v>3021</v>
      </c>
      <c r="S3220" s="705">
        <v>2746</v>
      </c>
      <c r="T3220" s="705">
        <v>1548</v>
      </c>
      <c r="U3220" s="705">
        <v>573</v>
      </c>
      <c r="V3220" s="705">
        <v>28587</v>
      </c>
      <c r="W3220" s="705">
        <f t="shared" si="124"/>
        <v>28587</v>
      </c>
      <c r="X3220" s="705">
        <f t="shared" si="125"/>
        <v>33540</v>
      </c>
    </row>
    <row r="3221" spans="2:24">
      <c r="B3221" t="s">
        <v>558</v>
      </c>
      <c r="C3221" t="s">
        <v>118</v>
      </c>
      <c r="D3221" t="s">
        <v>666</v>
      </c>
      <c r="E3221" t="s">
        <v>228</v>
      </c>
      <c r="F3221" s="705">
        <v>1</v>
      </c>
      <c r="G3221" s="705">
        <v>131</v>
      </c>
      <c r="H3221" s="705">
        <v>262</v>
      </c>
      <c r="I3221" s="705">
        <v>26152</v>
      </c>
      <c r="J3221" s="705">
        <v>23775</v>
      </c>
      <c r="K3221" s="705">
        <v>65</v>
      </c>
      <c r="L3221" s="705">
        <v>3148</v>
      </c>
      <c r="M3221" s="705">
        <v>2862</v>
      </c>
      <c r="N3221" s="705">
        <v>1717</v>
      </c>
      <c r="O3221" s="705">
        <v>636</v>
      </c>
      <c r="P3221" s="705">
        <v>351</v>
      </c>
      <c r="Q3221" s="705">
        <v>130</v>
      </c>
      <c r="R3221" s="705">
        <v>2788</v>
      </c>
      <c r="S3221" s="705">
        <v>1033</v>
      </c>
      <c r="T3221" s="705">
        <v>0</v>
      </c>
      <c r="U3221" s="705">
        <v>0</v>
      </c>
      <c r="V3221" s="705">
        <v>28435</v>
      </c>
      <c r="W3221" s="705">
        <f t="shared" si="124"/>
        <v>28436</v>
      </c>
      <c r="X3221" s="705">
        <f t="shared" si="125"/>
        <v>34156</v>
      </c>
    </row>
    <row r="3222" spans="2:24">
      <c r="B3222" t="s">
        <v>558</v>
      </c>
      <c r="C3222" t="s">
        <v>118</v>
      </c>
      <c r="D3222" t="s">
        <v>666</v>
      </c>
      <c r="E3222" t="s">
        <v>583</v>
      </c>
      <c r="F3222" s="705">
        <v>1</v>
      </c>
      <c r="G3222" s="705">
        <v>85</v>
      </c>
      <c r="H3222" s="705">
        <v>286</v>
      </c>
      <c r="I3222" s="705">
        <v>12509</v>
      </c>
      <c r="J3222" s="705">
        <v>11372</v>
      </c>
      <c r="K3222" s="705">
        <v>70</v>
      </c>
      <c r="L3222" s="705">
        <v>2269</v>
      </c>
      <c r="M3222" s="705">
        <v>840</v>
      </c>
      <c r="N3222" s="705">
        <v>2066</v>
      </c>
      <c r="O3222" s="705">
        <v>765</v>
      </c>
      <c r="P3222" s="705">
        <v>621</v>
      </c>
      <c r="Q3222" s="705">
        <v>230</v>
      </c>
      <c r="R3222" s="705">
        <v>6820</v>
      </c>
      <c r="S3222" s="705">
        <v>6200</v>
      </c>
      <c r="T3222" s="705">
        <v>0</v>
      </c>
      <c r="U3222" s="705">
        <v>0</v>
      </c>
      <c r="V3222" s="705">
        <v>19408</v>
      </c>
      <c r="W3222" s="705">
        <f t="shared" si="124"/>
        <v>19407</v>
      </c>
      <c r="X3222" s="705">
        <f t="shared" si="125"/>
        <v>24285</v>
      </c>
    </row>
    <row r="3223" spans="2:24">
      <c r="B3223" t="s">
        <v>558</v>
      </c>
      <c r="C3223" t="s">
        <v>118</v>
      </c>
      <c r="D3223" t="s">
        <v>666</v>
      </c>
      <c r="E3223" t="s">
        <v>666</v>
      </c>
      <c r="F3223" s="705">
        <v>8</v>
      </c>
      <c r="G3223" s="705">
        <v>1056</v>
      </c>
      <c r="H3223" s="705">
        <v>2197</v>
      </c>
      <c r="I3223" s="705">
        <v>175392</v>
      </c>
      <c r="J3223" s="705">
        <v>159447</v>
      </c>
      <c r="K3223" s="705">
        <v>63</v>
      </c>
      <c r="L3223" s="705">
        <v>24998</v>
      </c>
      <c r="M3223" s="705">
        <v>14948</v>
      </c>
      <c r="N3223" s="705">
        <v>19578</v>
      </c>
      <c r="O3223" s="705">
        <v>7251</v>
      </c>
      <c r="P3223" s="705">
        <v>2808</v>
      </c>
      <c r="Q3223" s="705">
        <v>1040</v>
      </c>
      <c r="R3223" s="705">
        <v>51286</v>
      </c>
      <c r="S3223" s="705">
        <v>46624</v>
      </c>
      <c r="T3223" s="705">
        <v>13575</v>
      </c>
      <c r="U3223" s="705">
        <v>5028</v>
      </c>
      <c r="V3223" s="705">
        <v>234338</v>
      </c>
      <c r="W3223" s="705">
        <f t="shared" si="124"/>
        <v>234338</v>
      </c>
      <c r="X3223" s="705">
        <f t="shared" si="125"/>
        <v>287637</v>
      </c>
    </row>
    <row r="3224" spans="2:24">
      <c r="B3224" t="s">
        <v>558</v>
      </c>
      <c r="C3224" t="s">
        <v>118</v>
      </c>
      <c r="D3224" t="s">
        <v>584</v>
      </c>
      <c r="E3224" t="s">
        <v>584</v>
      </c>
      <c r="F3224" s="705">
        <v>28</v>
      </c>
      <c r="G3224" s="705">
        <v>3260</v>
      </c>
      <c r="H3224" s="705">
        <v>7216</v>
      </c>
      <c r="I3224" s="705">
        <v>469296</v>
      </c>
      <c r="J3224" s="705">
        <v>426633</v>
      </c>
      <c r="K3224" s="705">
        <v>80</v>
      </c>
      <c r="L3224" s="705">
        <v>117715</v>
      </c>
      <c r="M3224" s="705">
        <v>106734</v>
      </c>
      <c r="N3224" s="705">
        <v>69295</v>
      </c>
      <c r="O3224" s="705">
        <v>25665</v>
      </c>
      <c r="P3224" s="705">
        <v>13230</v>
      </c>
      <c r="Q3224" s="705">
        <v>4900</v>
      </c>
      <c r="R3224" s="705">
        <v>132130</v>
      </c>
      <c r="S3224" s="705">
        <v>120118</v>
      </c>
      <c r="T3224" s="705">
        <v>62254</v>
      </c>
      <c r="U3224" s="705">
        <v>23057</v>
      </c>
      <c r="V3224" s="705">
        <v>707107</v>
      </c>
      <c r="W3224" s="705">
        <f t="shared" si="124"/>
        <v>707107</v>
      </c>
      <c r="X3224" s="705">
        <f t="shared" si="125"/>
        <v>863920</v>
      </c>
    </row>
    <row r="3225" spans="2:24">
      <c r="B3225" t="s">
        <v>558</v>
      </c>
      <c r="C3225" t="s">
        <v>118</v>
      </c>
      <c r="D3225" t="s">
        <v>669</v>
      </c>
      <c r="E3225" t="s">
        <v>669</v>
      </c>
      <c r="F3225" s="705">
        <v>1</v>
      </c>
      <c r="G3225" s="705">
        <v>83</v>
      </c>
      <c r="H3225" s="705">
        <v>259</v>
      </c>
      <c r="I3225" s="705">
        <v>11777</v>
      </c>
      <c r="J3225" s="705">
        <v>9814</v>
      </c>
      <c r="K3225" s="705">
        <v>70</v>
      </c>
      <c r="L3225" s="705">
        <v>1309</v>
      </c>
      <c r="M3225" s="705">
        <v>1090</v>
      </c>
      <c r="N3225" s="705">
        <v>1728</v>
      </c>
      <c r="O3225" s="705">
        <v>640</v>
      </c>
      <c r="P3225" s="705">
        <v>351</v>
      </c>
      <c r="Q3225" s="705">
        <v>130</v>
      </c>
      <c r="R3225" s="705">
        <v>4168</v>
      </c>
      <c r="S3225" s="705">
        <v>3474</v>
      </c>
      <c r="T3225" s="705">
        <v>2161</v>
      </c>
      <c r="U3225" s="705">
        <v>800</v>
      </c>
      <c r="V3225" s="705">
        <v>15949</v>
      </c>
      <c r="W3225" s="705">
        <f t="shared" si="124"/>
        <v>15948</v>
      </c>
      <c r="X3225" s="705">
        <f t="shared" si="125"/>
        <v>21494</v>
      </c>
    </row>
    <row r="3226" spans="2:24">
      <c r="B3226" t="s">
        <v>558</v>
      </c>
      <c r="C3226" t="s">
        <v>118</v>
      </c>
      <c r="D3226" t="s">
        <v>665</v>
      </c>
      <c r="E3226" t="s">
        <v>228</v>
      </c>
      <c r="F3226" s="705">
        <v>4</v>
      </c>
      <c r="G3226" s="705">
        <v>332</v>
      </c>
      <c r="H3226" s="705">
        <v>1117</v>
      </c>
      <c r="I3226" s="705">
        <v>51662</v>
      </c>
      <c r="J3226" s="705">
        <v>46966</v>
      </c>
      <c r="K3226" s="705">
        <v>60</v>
      </c>
      <c r="L3226" s="705">
        <v>8488</v>
      </c>
      <c r="M3226" s="705">
        <v>3144</v>
      </c>
      <c r="N3226" s="705">
        <v>5946</v>
      </c>
      <c r="O3226" s="705">
        <v>2202</v>
      </c>
      <c r="P3226" s="705">
        <v>0</v>
      </c>
      <c r="Q3226" s="705">
        <v>0</v>
      </c>
      <c r="R3226" s="705">
        <v>26444</v>
      </c>
      <c r="S3226" s="705">
        <v>9794</v>
      </c>
      <c r="T3226" s="705">
        <v>0</v>
      </c>
      <c r="U3226" s="705">
        <v>0</v>
      </c>
      <c r="V3226" s="705">
        <v>62106</v>
      </c>
      <c r="W3226" s="705">
        <f t="shared" si="124"/>
        <v>62106</v>
      </c>
      <c r="X3226" s="705">
        <f t="shared" si="125"/>
        <v>92540</v>
      </c>
    </row>
    <row r="3227" spans="2:24">
      <c r="B3227" t="s">
        <v>558</v>
      </c>
      <c r="C3227" t="s">
        <v>118</v>
      </c>
      <c r="D3227" t="s">
        <v>665</v>
      </c>
      <c r="E3227" t="s">
        <v>583</v>
      </c>
      <c r="F3227" s="705">
        <v>1</v>
      </c>
      <c r="G3227" s="705">
        <v>177</v>
      </c>
      <c r="H3227" s="705">
        <v>265</v>
      </c>
      <c r="I3227" s="705">
        <v>27418</v>
      </c>
      <c r="J3227" s="705">
        <v>24925</v>
      </c>
      <c r="K3227" s="705">
        <v>65</v>
      </c>
      <c r="L3227" s="705">
        <v>3765</v>
      </c>
      <c r="M3227" s="705">
        <v>3423</v>
      </c>
      <c r="N3227" s="705">
        <v>3927</v>
      </c>
      <c r="O3227" s="705">
        <v>1454</v>
      </c>
      <c r="P3227" s="705">
        <v>972</v>
      </c>
      <c r="Q3227" s="705">
        <v>360</v>
      </c>
      <c r="R3227" s="705">
        <v>6836</v>
      </c>
      <c r="S3227" s="705">
        <v>6215</v>
      </c>
      <c r="T3227" s="705">
        <v>4016</v>
      </c>
      <c r="U3227" s="705">
        <v>1487</v>
      </c>
      <c r="V3227" s="705">
        <v>37865</v>
      </c>
      <c r="W3227" s="705">
        <f t="shared" si="124"/>
        <v>37864</v>
      </c>
      <c r="X3227" s="705">
        <f t="shared" si="125"/>
        <v>46934</v>
      </c>
    </row>
    <row r="3228" spans="2:24">
      <c r="B3228" t="s">
        <v>558</v>
      </c>
      <c r="C3228" t="s">
        <v>118</v>
      </c>
      <c r="D3228" t="s">
        <v>665</v>
      </c>
      <c r="E3228" t="s">
        <v>671</v>
      </c>
      <c r="F3228" s="705">
        <v>1</v>
      </c>
      <c r="G3228" s="705">
        <v>196</v>
      </c>
      <c r="H3228" s="705">
        <v>267</v>
      </c>
      <c r="I3228" s="705">
        <v>58476</v>
      </c>
      <c r="J3228" s="705">
        <v>53160</v>
      </c>
      <c r="K3228" s="705">
        <v>55</v>
      </c>
      <c r="L3228" s="705">
        <v>11912</v>
      </c>
      <c r="M3228" s="705">
        <v>10829</v>
      </c>
      <c r="N3228" s="705">
        <v>7068</v>
      </c>
      <c r="O3228" s="705">
        <v>2618</v>
      </c>
      <c r="P3228" s="705">
        <v>351</v>
      </c>
      <c r="Q3228" s="705">
        <v>130</v>
      </c>
      <c r="R3228" s="705">
        <v>8299</v>
      </c>
      <c r="S3228" s="705">
        <v>7544</v>
      </c>
      <c r="T3228" s="705">
        <v>4431</v>
      </c>
      <c r="U3228" s="705">
        <v>1641</v>
      </c>
      <c r="V3228" s="705">
        <v>75922</v>
      </c>
      <c r="W3228" s="705">
        <f t="shared" si="124"/>
        <v>75922</v>
      </c>
      <c r="X3228" s="705">
        <f t="shared" si="125"/>
        <v>90537</v>
      </c>
    </row>
    <row r="3229" spans="2:24">
      <c r="B3229" t="s">
        <v>558</v>
      </c>
      <c r="C3229" t="s">
        <v>118</v>
      </c>
      <c r="D3229" t="s">
        <v>665</v>
      </c>
      <c r="E3229" t="s">
        <v>665</v>
      </c>
      <c r="F3229" s="705">
        <v>97</v>
      </c>
      <c r="G3229" s="705">
        <v>10818</v>
      </c>
      <c r="H3229" s="705">
        <v>26308</v>
      </c>
      <c r="I3229" s="705">
        <v>1860100</v>
      </c>
      <c r="J3229" s="705">
        <v>1691000</v>
      </c>
      <c r="K3229" s="705">
        <v>62</v>
      </c>
      <c r="L3229" s="705">
        <v>192863</v>
      </c>
      <c r="M3229" s="705">
        <v>143588</v>
      </c>
      <c r="N3229" s="705">
        <v>206140</v>
      </c>
      <c r="O3229" s="705">
        <v>76348</v>
      </c>
      <c r="P3229" s="705">
        <v>37341</v>
      </c>
      <c r="Q3229" s="705">
        <v>13830</v>
      </c>
      <c r="R3229" s="705">
        <v>490374</v>
      </c>
      <c r="S3229" s="705">
        <v>445795</v>
      </c>
      <c r="T3229" s="705">
        <v>208368</v>
      </c>
      <c r="U3229" s="705">
        <v>77173</v>
      </c>
      <c r="V3229" s="705">
        <v>2447735</v>
      </c>
      <c r="W3229" s="705">
        <f t="shared" si="124"/>
        <v>2447734</v>
      </c>
      <c r="X3229" s="705">
        <f t="shared" si="125"/>
        <v>2995186</v>
      </c>
    </row>
    <row r="3230" spans="2:24">
      <c r="B3230" t="s">
        <v>558</v>
      </c>
      <c r="C3230" t="s">
        <v>118</v>
      </c>
      <c r="D3230" t="s">
        <v>722</v>
      </c>
      <c r="E3230" t="s">
        <v>722</v>
      </c>
      <c r="F3230" s="705">
        <v>1</v>
      </c>
      <c r="G3230" s="705">
        <v>218</v>
      </c>
      <c r="H3230" s="705">
        <v>247</v>
      </c>
      <c r="I3230" s="705">
        <v>34610</v>
      </c>
      <c r="J3230" s="705">
        <v>31464</v>
      </c>
      <c r="K3230" s="705">
        <v>65</v>
      </c>
      <c r="L3230" s="705">
        <v>4545</v>
      </c>
      <c r="M3230" s="705">
        <v>4132</v>
      </c>
      <c r="N3230" s="705">
        <v>5150</v>
      </c>
      <c r="O3230" s="705">
        <v>1907</v>
      </c>
      <c r="P3230" s="705">
        <v>351</v>
      </c>
      <c r="Q3230" s="705">
        <v>130</v>
      </c>
      <c r="R3230" s="705">
        <v>5376</v>
      </c>
      <c r="S3230" s="705">
        <v>4888</v>
      </c>
      <c r="T3230" s="705">
        <v>3681</v>
      </c>
      <c r="U3230" s="705">
        <v>1363</v>
      </c>
      <c r="V3230" s="705">
        <v>43884</v>
      </c>
      <c r="W3230" s="705">
        <f t="shared" si="124"/>
        <v>43884</v>
      </c>
      <c r="X3230" s="705">
        <f t="shared" si="125"/>
        <v>53713</v>
      </c>
    </row>
    <row r="3231" spans="2:24">
      <c r="B3231" t="s">
        <v>558</v>
      </c>
      <c r="C3231" t="s">
        <v>118</v>
      </c>
      <c r="D3231" t="s">
        <v>585</v>
      </c>
      <c r="E3231" t="s">
        <v>585</v>
      </c>
      <c r="F3231" s="705">
        <v>5</v>
      </c>
      <c r="G3231" s="705">
        <v>890</v>
      </c>
      <c r="H3231" s="705">
        <v>1332</v>
      </c>
      <c r="I3231" s="705">
        <v>140076</v>
      </c>
      <c r="J3231" s="705">
        <v>127341</v>
      </c>
      <c r="K3231" s="705">
        <v>65</v>
      </c>
      <c r="L3231" s="705">
        <v>29376</v>
      </c>
      <c r="M3231" s="705">
        <v>26706</v>
      </c>
      <c r="N3231" s="705">
        <v>21350</v>
      </c>
      <c r="O3231" s="705">
        <v>7907</v>
      </c>
      <c r="P3231" s="705">
        <v>2376</v>
      </c>
      <c r="Q3231" s="705">
        <v>880</v>
      </c>
      <c r="R3231" s="705">
        <v>35046</v>
      </c>
      <c r="S3231" s="705">
        <v>31860</v>
      </c>
      <c r="T3231" s="705">
        <v>8664</v>
      </c>
      <c r="U3231" s="705">
        <v>3209</v>
      </c>
      <c r="V3231" s="705">
        <v>197903</v>
      </c>
      <c r="W3231" s="705">
        <f t="shared" si="124"/>
        <v>197903</v>
      </c>
      <c r="X3231" s="705">
        <f t="shared" si="125"/>
        <v>236888</v>
      </c>
    </row>
    <row r="3232" spans="2:24">
      <c r="B3232" t="s">
        <v>558</v>
      </c>
      <c r="C3232" t="s">
        <v>118</v>
      </c>
      <c r="D3232" t="s">
        <v>668</v>
      </c>
      <c r="E3232" t="s">
        <v>668</v>
      </c>
      <c r="F3232" s="705">
        <v>1</v>
      </c>
      <c r="G3232" s="705">
        <v>112</v>
      </c>
      <c r="H3232" s="705">
        <v>277</v>
      </c>
      <c r="I3232" s="705">
        <v>21803</v>
      </c>
      <c r="J3232" s="705">
        <v>19821</v>
      </c>
      <c r="K3232" s="705">
        <v>65</v>
      </c>
      <c r="L3232" s="705">
        <v>0</v>
      </c>
      <c r="M3232" s="705">
        <v>0</v>
      </c>
      <c r="N3232" s="705">
        <v>1736</v>
      </c>
      <c r="O3232" s="705">
        <v>643</v>
      </c>
      <c r="P3232" s="705">
        <v>351</v>
      </c>
      <c r="Q3232" s="705">
        <v>130</v>
      </c>
      <c r="R3232" s="705">
        <v>7220</v>
      </c>
      <c r="S3232" s="705">
        <v>6563</v>
      </c>
      <c r="T3232" s="705">
        <v>0</v>
      </c>
      <c r="U3232" s="705">
        <v>0</v>
      </c>
      <c r="V3232" s="705">
        <v>27157</v>
      </c>
      <c r="W3232" s="705">
        <f t="shared" si="124"/>
        <v>27157</v>
      </c>
      <c r="X3232" s="705">
        <f t="shared" si="125"/>
        <v>31110</v>
      </c>
    </row>
    <row r="3233" spans="2:24">
      <c r="B3233" t="s">
        <v>558</v>
      </c>
      <c r="C3233" t="s">
        <v>120</v>
      </c>
      <c r="D3233" t="s">
        <v>664</v>
      </c>
      <c r="E3233" t="s">
        <v>664</v>
      </c>
      <c r="F3233" s="705">
        <v>3</v>
      </c>
      <c r="G3233" s="705">
        <v>710</v>
      </c>
      <c r="H3233" s="705">
        <v>1049</v>
      </c>
      <c r="I3233" s="705">
        <v>175846</v>
      </c>
      <c r="J3233" s="705">
        <v>159860</v>
      </c>
      <c r="K3233" s="705">
        <v>74</v>
      </c>
      <c r="L3233" s="705">
        <v>38105</v>
      </c>
      <c r="M3233" s="705">
        <v>36045</v>
      </c>
      <c r="N3233" s="705">
        <v>16371</v>
      </c>
      <c r="O3233" s="705">
        <v>6063</v>
      </c>
      <c r="P3233" s="705">
        <v>1296</v>
      </c>
      <c r="Q3233" s="705">
        <v>480</v>
      </c>
      <c r="R3233" s="705">
        <v>16108</v>
      </c>
      <c r="S3233" s="705">
        <v>14643</v>
      </c>
      <c r="T3233" s="705">
        <v>9647</v>
      </c>
      <c r="U3233" s="705">
        <v>3573</v>
      </c>
      <c r="V3233" s="705">
        <v>220665</v>
      </c>
      <c r="W3233" s="705">
        <f t="shared" si="124"/>
        <v>220664</v>
      </c>
      <c r="X3233" s="705">
        <f t="shared" si="125"/>
        <v>257373</v>
      </c>
    </row>
    <row r="3234" spans="2:24">
      <c r="B3234" t="s">
        <v>558</v>
      </c>
      <c r="C3234" t="s">
        <v>120</v>
      </c>
      <c r="D3234" t="s">
        <v>664</v>
      </c>
      <c r="E3234" t="s">
        <v>582</v>
      </c>
      <c r="F3234" s="705">
        <v>1</v>
      </c>
      <c r="G3234" s="705">
        <v>95</v>
      </c>
      <c r="H3234" s="705">
        <v>314</v>
      </c>
      <c r="I3234" s="705">
        <v>17190</v>
      </c>
      <c r="J3234" s="705">
        <v>15627</v>
      </c>
      <c r="K3234" s="705">
        <v>73</v>
      </c>
      <c r="L3234" s="705">
        <v>4418</v>
      </c>
      <c r="M3234" s="705">
        <v>4017</v>
      </c>
      <c r="N3234" s="705">
        <v>2262</v>
      </c>
      <c r="O3234" s="705">
        <v>838</v>
      </c>
      <c r="P3234" s="705">
        <v>351</v>
      </c>
      <c r="Q3234" s="705">
        <v>130</v>
      </c>
      <c r="R3234" s="705">
        <v>5655</v>
      </c>
      <c r="S3234" s="705">
        <v>5141</v>
      </c>
      <c r="T3234" s="705">
        <v>0</v>
      </c>
      <c r="U3234" s="705">
        <v>0</v>
      </c>
      <c r="V3234" s="705">
        <v>25753</v>
      </c>
      <c r="W3234" s="705">
        <f t="shared" si="124"/>
        <v>25753</v>
      </c>
      <c r="X3234" s="705">
        <f t="shared" si="125"/>
        <v>29876</v>
      </c>
    </row>
    <row r="3235" spans="2:24">
      <c r="B3235" t="s">
        <v>558</v>
      </c>
      <c r="C3235" t="s">
        <v>120</v>
      </c>
      <c r="D3235" t="s">
        <v>664</v>
      </c>
      <c r="E3235" t="s">
        <v>228</v>
      </c>
      <c r="F3235" s="705">
        <v>1</v>
      </c>
      <c r="G3235" s="705">
        <v>94</v>
      </c>
      <c r="H3235" s="705">
        <v>360</v>
      </c>
      <c r="I3235" s="705">
        <v>20507</v>
      </c>
      <c r="J3235" s="705">
        <v>18643</v>
      </c>
      <c r="K3235" s="705">
        <v>50</v>
      </c>
      <c r="L3235" s="705">
        <v>2796</v>
      </c>
      <c r="M3235" s="705">
        <v>1036</v>
      </c>
      <c r="N3235" s="705">
        <v>2285</v>
      </c>
      <c r="O3235" s="705">
        <v>846</v>
      </c>
      <c r="P3235" s="705">
        <v>0</v>
      </c>
      <c r="Q3235" s="705">
        <v>0</v>
      </c>
      <c r="R3235" s="705">
        <v>8194</v>
      </c>
      <c r="S3235" s="705">
        <v>3035</v>
      </c>
      <c r="T3235" s="705">
        <v>0</v>
      </c>
      <c r="U3235" s="705">
        <v>0</v>
      </c>
      <c r="V3235" s="705">
        <v>23560</v>
      </c>
      <c r="W3235" s="705">
        <f t="shared" si="124"/>
        <v>23560</v>
      </c>
      <c r="X3235" s="705">
        <f t="shared" si="125"/>
        <v>33782</v>
      </c>
    </row>
    <row r="3236" spans="2:24">
      <c r="B3236" t="s">
        <v>558</v>
      </c>
      <c r="C3236" t="s">
        <v>120</v>
      </c>
      <c r="D3236" t="s">
        <v>582</v>
      </c>
      <c r="E3236" t="s">
        <v>664</v>
      </c>
      <c r="F3236" s="705">
        <v>1</v>
      </c>
      <c r="G3236" s="705">
        <v>118</v>
      </c>
      <c r="H3236" s="705">
        <v>323</v>
      </c>
      <c r="I3236" s="705">
        <v>25069</v>
      </c>
      <c r="J3236" s="705">
        <v>22790</v>
      </c>
      <c r="K3236" s="705">
        <v>65</v>
      </c>
      <c r="L3236" s="705">
        <v>2869</v>
      </c>
      <c r="M3236" s="705">
        <v>2608</v>
      </c>
      <c r="N3236" s="705">
        <v>1870</v>
      </c>
      <c r="O3236" s="705">
        <v>693</v>
      </c>
      <c r="P3236" s="705">
        <v>621</v>
      </c>
      <c r="Q3236" s="705">
        <v>230</v>
      </c>
      <c r="R3236" s="705">
        <v>5008</v>
      </c>
      <c r="S3236" s="705">
        <v>4553</v>
      </c>
      <c r="T3236" s="705">
        <v>2652</v>
      </c>
      <c r="U3236" s="705">
        <v>982</v>
      </c>
      <c r="V3236" s="705">
        <v>31855</v>
      </c>
      <c r="W3236" s="705">
        <f t="shared" si="124"/>
        <v>31856</v>
      </c>
      <c r="X3236" s="705">
        <f t="shared" si="125"/>
        <v>38089</v>
      </c>
    </row>
    <row r="3237" spans="2:24">
      <c r="B3237" t="s">
        <v>558</v>
      </c>
      <c r="C3237" t="s">
        <v>120</v>
      </c>
      <c r="D3237" t="s">
        <v>582</v>
      </c>
      <c r="E3237" t="s">
        <v>582</v>
      </c>
      <c r="F3237" s="705">
        <v>27</v>
      </c>
      <c r="G3237" s="705">
        <v>3663</v>
      </c>
      <c r="H3237" s="705">
        <v>9151</v>
      </c>
      <c r="I3237" s="705">
        <v>847269</v>
      </c>
      <c r="J3237" s="705">
        <v>770245</v>
      </c>
      <c r="K3237" s="705">
        <v>79</v>
      </c>
      <c r="L3237" s="705">
        <v>171779</v>
      </c>
      <c r="M3237" s="705">
        <v>154625</v>
      </c>
      <c r="N3237" s="705">
        <v>73413</v>
      </c>
      <c r="O3237" s="705">
        <v>27190</v>
      </c>
      <c r="P3237" s="705">
        <v>13082</v>
      </c>
      <c r="Q3237" s="705">
        <v>4845</v>
      </c>
      <c r="R3237" s="705">
        <v>146891</v>
      </c>
      <c r="S3237" s="705">
        <v>133537</v>
      </c>
      <c r="T3237" s="705">
        <v>29769</v>
      </c>
      <c r="U3237" s="705">
        <v>11025</v>
      </c>
      <c r="V3237" s="705">
        <v>1101467</v>
      </c>
      <c r="W3237" s="705">
        <f t="shared" si="124"/>
        <v>1101467</v>
      </c>
      <c r="X3237" s="705">
        <f t="shared" si="125"/>
        <v>1282203</v>
      </c>
    </row>
    <row r="3238" spans="2:24">
      <c r="B3238" t="s">
        <v>558</v>
      </c>
      <c r="C3238" t="s">
        <v>120</v>
      </c>
      <c r="D3238" t="s">
        <v>582</v>
      </c>
      <c r="E3238" t="s">
        <v>228</v>
      </c>
      <c r="F3238" s="705">
        <v>1</v>
      </c>
      <c r="G3238" s="705">
        <v>116</v>
      </c>
      <c r="H3238" s="705">
        <v>323</v>
      </c>
      <c r="I3238" s="705">
        <v>17854</v>
      </c>
      <c r="J3238" s="705">
        <v>16231</v>
      </c>
      <c r="K3238" s="705">
        <v>93</v>
      </c>
      <c r="L3238" s="705">
        <v>5819</v>
      </c>
      <c r="M3238" s="705">
        <v>5290</v>
      </c>
      <c r="N3238" s="705">
        <v>2671</v>
      </c>
      <c r="O3238" s="705">
        <v>989</v>
      </c>
      <c r="P3238" s="705">
        <v>473</v>
      </c>
      <c r="Q3238" s="705">
        <v>175</v>
      </c>
      <c r="R3238" s="705">
        <v>10659</v>
      </c>
      <c r="S3238" s="705">
        <v>3948</v>
      </c>
      <c r="T3238" s="705">
        <v>0</v>
      </c>
      <c r="U3238" s="705">
        <v>0</v>
      </c>
      <c r="V3238" s="705">
        <v>26633</v>
      </c>
      <c r="W3238" s="705">
        <f t="shared" si="124"/>
        <v>26633</v>
      </c>
      <c r="X3238" s="705">
        <f t="shared" si="125"/>
        <v>37476</v>
      </c>
    </row>
    <row r="3239" spans="2:24">
      <c r="B3239" t="s">
        <v>558</v>
      </c>
      <c r="C3239" t="s">
        <v>120</v>
      </c>
      <c r="D3239" t="s">
        <v>228</v>
      </c>
      <c r="E3239" t="s">
        <v>228</v>
      </c>
      <c r="F3239" s="705">
        <v>214</v>
      </c>
      <c r="G3239" s="705">
        <v>21390</v>
      </c>
      <c r="H3239" s="705">
        <v>72332</v>
      </c>
      <c r="I3239" s="705">
        <v>4628774</v>
      </c>
      <c r="J3239" s="705">
        <v>1714361</v>
      </c>
      <c r="K3239" s="705">
        <v>100</v>
      </c>
      <c r="L3239" s="705">
        <v>867685</v>
      </c>
      <c r="M3239" s="705">
        <v>664620</v>
      </c>
      <c r="N3239" s="705">
        <v>480234</v>
      </c>
      <c r="O3239" s="705">
        <v>177864</v>
      </c>
      <c r="P3239" s="705">
        <v>1033</v>
      </c>
      <c r="Q3239" s="705">
        <v>382</v>
      </c>
      <c r="R3239" s="705">
        <v>1719508</v>
      </c>
      <c r="S3239" s="705">
        <v>636855</v>
      </c>
      <c r="T3239" s="705">
        <v>2421</v>
      </c>
      <c r="U3239" s="705">
        <v>897</v>
      </c>
      <c r="V3239" s="705">
        <v>3194979</v>
      </c>
      <c r="W3239" s="705">
        <f t="shared" si="124"/>
        <v>3194979</v>
      </c>
      <c r="X3239" s="705">
        <f t="shared" si="125"/>
        <v>7699655</v>
      </c>
    </row>
    <row r="3240" spans="2:24">
      <c r="B3240" t="s">
        <v>558</v>
      </c>
      <c r="C3240" t="s">
        <v>120</v>
      </c>
      <c r="D3240" t="s">
        <v>228</v>
      </c>
      <c r="E3240" t="s">
        <v>665</v>
      </c>
      <c r="F3240" s="705">
        <v>5</v>
      </c>
      <c r="G3240" s="705">
        <v>480</v>
      </c>
      <c r="H3240" s="705">
        <v>1759</v>
      </c>
      <c r="I3240" s="705">
        <v>117874</v>
      </c>
      <c r="J3240" s="705">
        <v>43657</v>
      </c>
      <c r="K3240" s="705">
        <v>100</v>
      </c>
      <c r="L3240" s="705">
        <v>11862</v>
      </c>
      <c r="M3240" s="705">
        <v>12916</v>
      </c>
      <c r="N3240" s="705">
        <v>8880</v>
      </c>
      <c r="O3240" s="705">
        <v>3289</v>
      </c>
      <c r="P3240" s="705">
        <v>351</v>
      </c>
      <c r="Q3240" s="705">
        <v>130</v>
      </c>
      <c r="R3240" s="705">
        <v>24935</v>
      </c>
      <c r="S3240" s="705">
        <v>22668</v>
      </c>
      <c r="T3240" s="705">
        <v>6251</v>
      </c>
      <c r="U3240" s="705">
        <v>2315</v>
      </c>
      <c r="V3240" s="705">
        <v>84975</v>
      </c>
      <c r="W3240" s="705">
        <f t="shared" si="124"/>
        <v>84975</v>
      </c>
      <c r="X3240" s="705">
        <f t="shared" si="125"/>
        <v>170153</v>
      </c>
    </row>
    <row r="3241" spans="2:24">
      <c r="B3241" t="s">
        <v>558</v>
      </c>
      <c r="C3241" t="s">
        <v>120</v>
      </c>
      <c r="D3241" t="s">
        <v>583</v>
      </c>
      <c r="E3241" t="s">
        <v>664</v>
      </c>
      <c r="F3241" s="705">
        <v>1</v>
      </c>
      <c r="G3241" s="705">
        <v>414</v>
      </c>
      <c r="H3241" s="705">
        <v>346</v>
      </c>
      <c r="I3241" s="705">
        <v>90338</v>
      </c>
      <c r="J3241" s="705">
        <v>82125</v>
      </c>
      <c r="K3241" s="705">
        <v>94</v>
      </c>
      <c r="L3241" s="705">
        <v>32631</v>
      </c>
      <c r="M3241" s="705">
        <v>27193</v>
      </c>
      <c r="N3241" s="705">
        <v>9336</v>
      </c>
      <c r="O3241" s="705">
        <v>3458</v>
      </c>
      <c r="P3241" s="705">
        <v>621</v>
      </c>
      <c r="Q3241" s="705">
        <v>230</v>
      </c>
      <c r="R3241" s="705">
        <v>10616</v>
      </c>
      <c r="S3241" s="705">
        <v>9651</v>
      </c>
      <c r="T3241" s="705">
        <v>0</v>
      </c>
      <c r="U3241" s="705">
        <v>0</v>
      </c>
      <c r="V3241" s="705">
        <v>122657</v>
      </c>
      <c r="W3241" s="705">
        <f t="shared" si="124"/>
        <v>122657</v>
      </c>
      <c r="X3241" s="705">
        <f t="shared" si="125"/>
        <v>143542</v>
      </c>
    </row>
    <row r="3242" spans="2:24">
      <c r="B3242" t="s">
        <v>558</v>
      </c>
      <c r="C3242" t="s">
        <v>120</v>
      </c>
      <c r="D3242" t="s">
        <v>583</v>
      </c>
      <c r="E3242" t="s">
        <v>228</v>
      </c>
      <c r="F3242" s="705">
        <v>8</v>
      </c>
      <c r="G3242" s="705">
        <v>765</v>
      </c>
      <c r="H3242" s="705">
        <v>2766</v>
      </c>
      <c r="I3242" s="705">
        <v>152193</v>
      </c>
      <c r="J3242" s="705">
        <v>138357</v>
      </c>
      <c r="K3242" s="705">
        <v>83</v>
      </c>
      <c r="L3242" s="705">
        <v>25821</v>
      </c>
      <c r="M3242" s="705">
        <v>18670</v>
      </c>
      <c r="N3242" s="705">
        <v>15757</v>
      </c>
      <c r="O3242" s="705">
        <v>5836</v>
      </c>
      <c r="P3242" s="705">
        <v>4968</v>
      </c>
      <c r="Q3242" s="705">
        <v>1840</v>
      </c>
      <c r="R3242" s="705">
        <v>58788</v>
      </c>
      <c r="S3242" s="705">
        <v>21773</v>
      </c>
      <c r="T3242" s="705">
        <v>4717</v>
      </c>
      <c r="U3242" s="705">
        <v>1747</v>
      </c>
      <c r="V3242" s="705">
        <v>188223</v>
      </c>
      <c r="W3242" s="705">
        <f t="shared" si="124"/>
        <v>188223</v>
      </c>
      <c r="X3242" s="705">
        <f t="shared" si="125"/>
        <v>262244</v>
      </c>
    </row>
    <row r="3243" spans="2:24">
      <c r="B3243" t="s">
        <v>558</v>
      </c>
      <c r="C3243" t="s">
        <v>120</v>
      </c>
      <c r="D3243" t="s">
        <v>583</v>
      </c>
      <c r="E3243" t="s">
        <v>583</v>
      </c>
      <c r="F3243" s="705">
        <v>935</v>
      </c>
      <c r="G3243" s="705">
        <v>113175</v>
      </c>
      <c r="H3243" s="705">
        <v>315361</v>
      </c>
      <c r="I3243" s="705">
        <v>24517096</v>
      </c>
      <c r="J3243" s="705">
        <v>22288269</v>
      </c>
      <c r="K3243" s="705">
        <v>76</v>
      </c>
      <c r="L3243" s="705">
        <v>4706435</v>
      </c>
      <c r="M3243" s="705">
        <v>4192654</v>
      </c>
      <c r="N3243" s="705">
        <v>2337657</v>
      </c>
      <c r="O3243" s="705">
        <v>865799</v>
      </c>
      <c r="P3243" s="705">
        <v>604611</v>
      </c>
      <c r="Q3243" s="705">
        <v>223930</v>
      </c>
      <c r="R3243" s="705">
        <v>4935843</v>
      </c>
      <c r="S3243" s="705">
        <v>4487130</v>
      </c>
      <c r="T3243" s="705">
        <v>1761006</v>
      </c>
      <c r="U3243" s="705">
        <v>652224</v>
      </c>
      <c r="V3243" s="705">
        <v>32710006</v>
      </c>
      <c r="W3243" s="705">
        <f t="shared" si="124"/>
        <v>32710006</v>
      </c>
      <c r="X3243" s="705">
        <f t="shared" si="125"/>
        <v>38862648</v>
      </c>
    </row>
    <row r="3244" spans="2:24">
      <c r="B3244" t="s">
        <v>558</v>
      </c>
      <c r="C3244" t="s">
        <v>120</v>
      </c>
      <c r="D3244" t="s">
        <v>583</v>
      </c>
      <c r="E3244" t="s">
        <v>584</v>
      </c>
      <c r="F3244" s="705">
        <v>1</v>
      </c>
      <c r="G3244" s="705">
        <v>97</v>
      </c>
      <c r="H3244" s="705">
        <v>303</v>
      </c>
      <c r="I3244" s="705">
        <v>16475</v>
      </c>
      <c r="J3244" s="705">
        <v>14977</v>
      </c>
      <c r="K3244" s="705">
        <v>70</v>
      </c>
      <c r="L3244" s="705">
        <v>6086</v>
      </c>
      <c r="M3244" s="705">
        <v>5533</v>
      </c>
      <c r="N3244" s="705">
        <v>2202</v>
      </c>
      <c r="O3244" s="705">
        <v>815</v>
      </c>
      <c r="P3244" s="705">
        <v>621</v>
      </c>
      <c r="Q3244" s="705">
        <v>230</v>
      </c>
      <c r="R3244" s="705">
        <v>2834</v>
      </c>
      <c r="S3244" s="705">
        <v>2577</v>
      </c>
      <c r="T3244" s="705">
        <v>1079</v>
      </c>
      <c r="U3244" s="705">
        <v>400</v>
      </c>
      <c r="V3244" s="705">
        <v>24532</v>
      </c>
      <c r="W3244" s="705">
        <f t="shared" ref="W3244:W3307" si="126">SUM(ABS(J3244),ABS(M3244),ABS(O3244),ABS(Q3244),ABS(S3244),ABS(U3244))</f>
        <v>24532</v>
      </c>
      <c r="X3244" s="705">
        <f t="shared" ref="X3244:X3307" si="127">SUM(ABS(I3244),ABS(N3244),ABS(P3244),ABS(R3244),ABS(T3244),ABS(L3244))</f>
        <v>29297</v>
      </c>
    </row>
    <row r="3245" spans="2:24">
      <c r="B3245" t="s">
        <v>558</v>
      </c>
      <c r="C3245" t="s">
        <v>120</v>
      </c>
      <c r="D3245" t="s">
        <v>583</v>
      </c>
      <c r="E3245" t="s">
        <v>665</v>
      </c>
      <c r="F3245" s="705">
        <v>2</v>
      </c>
      <c r="G3245" s="705">
        <v>287</v>
      </c>
      <c r="H3245" s="705">
        <v>722</v>
      </c>
      <c r="I3245" s="705">
        <v>69462</v>
      </c>
      <c r="J3245" s="705">
        <v>63147</v>
      </c>
      <c r="K3245" s="705">
        <v>75</v>
      </c>
      <c r="L3245" s="705">
        <v>11301</v>
      </c>
      <c r="M3245" s="705">
        <v>10274</v>
      </c>
      <c r="N3245" s="705">
        <v>6064</v>
      </c>
      <c r="O3245" s="705">
        <v>2246</v>
      </c>
      <c r="P3245" s="705">
        <v>1242</v>
      </c>
      <c r="Q3245" s="705">
        <v>460</v>
      </c>
      <c r="R3245" s="705">
        <v>13351</v>
      </c>
      <c r="S3245" s="705">
        <v>12137</v>
      </c>
      <c r="T3245" s="705">
        <v>3117</v>
      </c>
      <c r="U3245" s="705">
        <v>1154</v>
      </c>
      <c r="V3245" s="705">
        <v>89419</v>
      </c>
      <c r="W3245" s="705">
        <f t="shared" si="126"/>
        <v>89418</v>
      </c>
      <c r="X3245" s="705">
        <f t="shared" si="127"/>
        <v>104537</v>
      </c>
    </row>
    <row r="3246" spans="2:24">
      <c r="B3246" t="s">
        <v>558</v>
      </c>
      <c r="C3246" t="s">
        <v>120</v>
      </c>
      <c r="D3246" t="s">
        <v>666</v>
      </c>
      <c r="E3246" t="s">
        <v>228</v>
      </c>
      <c r="F3246" s="705">
        <v>4</v>
      </c>
      <c r="G3246" s="705">
        <v>448</v>
      </c>
      <c r="H3246" s="705">
        <v>1440</v>
      </c>
      <c r="I3246" s="705">
        <v>101671</v>
      </c>
      <c r="J3246" s="705">
        <v>92428</v>
      </c>
      <c r="K3246" s="705">
        <v>54</v>
      </c>
      <c r="L3246" s="705">
        <v>12893</v>
      </c>
      <c r="M3246" s="705">
        <v>9742</v>
      </c>
      <c r="N3246" s="705">
        <v>7980</v>
      </c>
      <c r="O3246" s="705">
        <v>2956</v>
      </c>
      <c r="P3246" s="705">
        <v>0</v>
      </c>
      <c r="Q3246" s="705">
        <v>0</v>
      </c>
      <c r="R3246" s="705">
        <v>40333</v>
      </c>
      <c r="S3246" s="705">
        <v>14938</v>
      </c>
      <c r="T3246" s="705">
        <v>0</v>
      </c>
      <c r="U3246" s="705">
        <v>0</v>
      </c>
      <c r="V3246" s="705">
        <v>120064</v>
      </c>
      <c r="W3246" s="705">
        <f t="shared" si="126"/>
        <v>120064</v>
      </c>
      <c r="X3246" s="705">
        <f t="shared" si="127"/>
        <v>162877</v>
      </c>
    </row>
    <row r="3247" spans="2:24">
      <c r="B3247" t="s">
        <v>558</v>
      </c>
      <c r="C3247" t="s">
        <v>120</v>
      </c>
      <c r="D3247" t="s">
        <v>666</v>
      </c>
      <c r="E3247" t="s">
        <v>666</v>
      </c>
      <c r="F3247" s="705">
        <v>12</v>
      </c>
      <c r="G3247" s="705">
        <v>1187</v>
      </c>
      <c r="H3247" s="705">
        <v>3990</v>
      </c>
      <c r="I3247" s="705">
        <v>237853</v>
      </c>
      <c r="J3247" s="705">
        <v>216230</v>
      </c>
      <c r="K3247" s="705">
        <v>59</v>
      </c>
      <c r="L3247" s="705">
        <v>36839</v>
      </c>
      <c r="M3247" s="705">
        <v>30795</v>
      </c>
      <c r="N3247" s="705">
        <v>23270</v>
      </c>
      <c r="O3247" s="705">
        <v>8619</v>
      </c>
      <c r="P3247" s="705">
        <v>4212</v>
      </c>
      <c r="Q3247" s="705">
        <v>1560</v>
      </c>
      <c r="R3247" s="705">
        <v>69886</v>
      </c>
      <c r="S3247" s="705">
        <v>63533</v>
      </c>
      <c r="T3247" s="705">
        <v>20066</v>
      </c>
      <c r="U3247" s="705">
        <v>7432</v>
      </c>
      <c r="V3247" s="705">
        <v>328168</v>
      </c>
      <c r="W3247" s="705">
        <f t="shared" si="126"/>
        <v>328169</v>
      </c>
      <c r="X3247" s="705">
        <f t="shared" si="127"/>
        <v>392126</v>
      </c>
    </row>
    <row r="3248" spans="2:24">
      <c r="B3248" t="s">
        <v>558</v>
      </c>
      <c r="C3248" t="s">
        <v>120</v>
      </c>
      <c r="D3248" t="s">
        <v>584</v>
      </c>
      <c r="E3248" t="s">
        <v>584</v>
      </c>
      <c r="F3248" s="705">
        <v>5</v>
      </c>
      <c r="G3248" s="705">
        <v>634</v>
      </c>
      <c r="H3248" s="705">
        <v>1557</v>
      </c>
      <c r="I3248" s="705">
        <v>117386</v>
      </c>
      <c r="J3248" s="705">
        <v>106714</v>
      </c>
      <c r="K3248" s="705">
        <v>76</v>
      </c>
      <c r="L3248" s="705">
        <v>26652</v>
      </c>
      <c r="M3248" s="705">
        <v>24229</v>
      </c>
      <c r="N3248" s="705">
        <v>13968</v>
      </c>
      <c r="O3248" s="705">
        <v>5173</v>
      </c>
      <c r="P3248" s="705">
        <v>2363</v>
      </c>
      <c r="Q3248" s="705">
        <v>875</v>
      </c>
      <c r="R3248" s="705">
        <v>24903</v>
      </c>
      <c r="S3248" s="705">
        <v>22639</v>
      </c>
      <c r="T3248" s="705">
        <v>12350</v>
      </c>
      <c r="U3248" s="705">
        <v>4574</v>
      </c>
      <c r="V3248" s="705">
        <v>164204</v>
      </c>
      <c r="W3248" s="705">
        <f t="shared" si="126"/>
        <v>164204</v>
      </c>
      <c r="X3248" s="705">
        <f t="shared" si="127"/>
        <v>197622</v>
      </c>
    </row>
    <row r="3249" spans="2:24">
      <c r="B3249" t="s">
        <v>558</v>
      </c>
      <c r="C3249" t="s">
        <v>120</v>
      </c>
      <c r="D3249" t="s">
        <v>669</v>
      </c>
      <c r="E3249" t="s">
        <v>228</v>
      </c>
      <c r="F3249" s="705">
        <v>2</v>
      </c>
      <c r="G3249" s="705">
        <v>179</v>
      </c>
      <c r="H3249" s="705">
        <v>688</v>
      </c>
      <c r="I3249" s="705">
        <v>28140</v>
      </c>
      <c r="J3249" s="705">
        <v>23450</v>
      </c>
      <c r="K3249" s="705">
        <v>65</v>
      </c>
      <c r="L3249" s="705">
        <v>0</v>
      </c>
      <c r="M3249" s="705">
        <v>0</v>
      </c>
      <c r="N3249" s="705">
        <v>3710</v>
      </c>
      <c r="O3249" s="705">
        <v>1374</v>
      </c>
      <c r="P3249" s="705">
        <v>702</v>
      </c>
      <c r="Q3249" s="705">
        <v>260</v>
      </c>
      <c r="R3249" s="705">
        <v>23315</v>
      </c>
      <c r="S3249" s="705">
        <v>8635</v>
      </c>
      <c r="T3249" s="705">
        <v>5290</v>
      </c>
      <c r="U3249" s="705">
        <v>1959</v>
      </c>
      <c r="V3249" s="705">
        <v>35679</v>
      </c>
      <c r="W3249" s="705">
        <f t="shared" si="126"/>
        <v>35678</v>
      </c>
      <c r="X3249" s="705">
        <f t="shared" si="127"/>
        <v>61157</v>
      </c>
    </row>
    <row r="3250" spans="2:24">
      <c r="B3250" t="s">
        <v>558</v>
      </c>
      <c r="C3250" t="s">
        <v>120</v>
      </c>
      <c r="D3250" t="s">
        <v>669</v>
      </c>
      <c r="E3250" t="s">
        <v>669</v>
      </c>
      <c r="F3250" s="705">
        <v>6</v>
      </c>
      <c r="G3250" s="705">
        <v>465</v>
      </c>
      <c r="H3250" s="705">
        <v>2125</v>
      </c>
      <c r="I3250" s="705">
        <v>99104</v>
      </c>
      <c r="J3250" s="705">
        <v>82587</v>
      </c>
      <c r="K3250" s="705">
        <v>55</v>
      </c>
      <c r="L3250" s="705">
        <v>5033</v>
      </c>
      <c r="M3250" s="705">
        <v>2476</v>
      </c>
      <c r="N3250" s="705">
        <v>7991</v>
      </c>
      <c r="O3250" s="705">
        <v>2960</v>
      </c>
      <c r="P3250" s="705">
        <v>2106</v>
      </c>
      <c r="Q3250" s="705">
        <v>780</v>
      </c>
      <c r="R3250" s="705">
        <v>34579</v>
      </c>
      <c r="S3250" s="705">
        <v>28816</v>
      </c>
      <c r="T3250" s="705">
        <v>14555</v>
      </c>
      <c r="U3250" s="705">
        <v>5391</v>
      </c>
      <c r="V3250" s="705">
        <v>123009</v>
      </c>
      <c r="W3250" s="705">
        <f t="shared" si="126"/>
        <v>123010</v>
      </c>
      <c r="X3250" s="705">
        <f t="shared" si="127"/>
        <v>163368</v>
      </c>
    </row>
    <row r="3251" spans="2:24">
      <c r="B3251" t="s">
        <v>558</v>
      </c>
      <c r="C3251" t="s">
        <v>120</v>
      </c>
      <c r="D3251" t="s">
        <v>671</v>
      </c>
      <c r="E3251" t="s">
        <v>671</v>
      </c>
      <c r="F3251" s="705">
        <v>1</v>
      </c>
      <c r="G3251" s="705">
        <v>104</v>
      </c>
      <c r="H3251" s="705">
        <v>333</v>
      </c>
      <c r="I3251" s="705">
        <v>21813</v>
      </c>
      <c r="J3251" s="705">
        <v>19830</v>
      </c>
      <c r="K3251" s="705">
        <v>65</v>
      </c>
      <c r="L3251" s="705">
        <v>2626</v>
      </c>
      <c r="M3251" s="705">
        <v>2387</v>
      </c>
      <c r="N3251" s="705">
        <v>1908</v>
      </c>
      <c r="O3251" s="705">
        <v>707</v>
      </c>
      <c r="P3251" s="705">
        <v>351</v>
      </c>
      <c r="Q3251" s="705">
        <v>130</v>
      </c>
      <c r="R3251" s="705">
        <v>5110</v>
      </c>
      <c r="S3251" s="705">
        <v>4646</v>
      </c>
      <c r="T3251" s="705">
        <v>2929</v>
      </c>
      <c r="U3251" s="705">
        <v>1085</v>
      </c>
      <c r="V3251" s="705">
        <v>28784</v>
      </c>
      <c r="W3251" s="705">
        <f t="shared" si="126"/>
        <v>28785</v>
      </c>
      <c r="X3251" s="705">
        <f t="shared" si="127"/>
        <v>34737</v>
      </c>
    </row>
    <row r="3252" spans="2:24">
      <c r="B3252" t="s">
        <v>558</v>
      </c>
      <c r="C3252" t="s">
        <v>120</v>
      </c>
      <c r="D3252" t="s">
        <v>665</v>
      </c>
      <c r="E3252" t="s">
        <v>228</v>
      </c>
      <c r="F3252" s="705">
        <v>10</v>
      </c>
      <c r="G3252" s="705">
        <v>1018</v>
      </c>
      <c r="H3252" s="705">
        <v>3491</v>
      </c>
      <c r="I3252" s="705">
        <v>242347</v>
      </c>
      <c r="J3252" s="705">
        <v>220315</v>
      </c>
      <c r="K3252" s="705">
        <v>54</v>
      </c>
      <c r="L3252" s="705">
        <v>28170</v>
      </c>
      <c r="M3252" s="705">
        <v>18498</v>
      </c>
      <c r="N3252" s="705">
        <v>24251</v>
      </c>
      <c r="O3252" s="705">
        <v>8982</v>
      </c>
      <c r="P3252" s="705">
        <v>702</v>
      </c>
      <c r="Q3252" s="705">
        <v>260</v>
      </c>
      <c r="R3252" s="705">
        <v>78510</v>
      </c>
      <c r="S3252" s="705">
        <v>29078</v>
      </c>
      <c r="T3252" s="705">
        <v>0</v>
      </c>
      <c r="U3252" s="705">
        <v>0</v>
      </c>
      <c r="V3252" s="705">
        <v>277133</v>
      </c>
      <c r="W3252" s="705">
        <f t="shared" si="126"/>
        <v>277133</v>
      </c>
      <c r="X3252" s="705">
        <f t="shared" si="127"/>
        <v>373980</v>
      </c>
    </row>
    <row r="3253" spans="2:24">
      <c r="B3253" t="s">
        <v>558</v>
      </c>
      <c r="C3253" t="s">
        <v>120</v>
      </c>
      <c r="D3253" t="s">
        <v>665</v>
      </c>
      <c r="E3253" t="s">
        <v>669</v>
      </c>
      <c r="F3253" s="705">
        <v>1</v>
      </c>
      <c r="G3253" s="705">
        <v>340</v>
      </c>
      <c r="H3253" s="705">
        <v>346</v>
      </c>
      <c r="I3253" s="705">
        <v>82191</v>
      </c>
      <c r="J3253" s="705">
        <v>74719</v>
      </c>
      <c r="K3253" s="705">
        <v>65</v>
      </c>
      <c r="L3253" s="705">
        <v>7514</v>
      </c>
      <c r="M3253" s="705">
        <v>6831</v>
      </c>
      <c r="N3253" s="705">
        <v>7824</v>
      </c>
      <c r="O3253" s="705">
        <v>2898</v>
      </c>
      <c r="P3253" s="705">
        <v>1323</v>
      </c>
      <c r="Q3253" s="705">
        <v>490</v>
      </c>
      <c r="R3253" s="705">
        <v>11495</v>
      </c>
      <c r="S3253" s="705">
        <v>9579</v>
      </c>
      <c r="T3253" s="705">
        <v>7193</v>
      </c>
      <c r="U3253" s="705">
        <v>2664</v>
      </c>
      <c r="V3253" s="705">
        <v>97181</v>
      </c>
      <c r="W3253" s="705">
        <f t="shared" si="126"/>
        <v>97181</v>
      </c>
      <c r="X3253" s="705">
        <f t="shared" si="127"/>
        <v>117540</v>
      </c>
    </row>
    <row r="3254" spans="2:24">
      <c r="B3254" t="s">
        <v>558</v>
      </c>
      <c r="C3254" t="s">
        <v>120</v>
      </c>
      <c r="D3254" t="s">
        <v>665</v>
      </c>
      <c r="E3254" t="s">
        <v>665</v>
      </c>
      <c r="F3254" s="705">
        <v>166</v>
      </c>
      <c r="G3254" s="705">
        <v>15445</v>
      </c>
      <c r="H3254" s="705">
        <v>56073</v>
      </c>
      <c r="I3254" s="705">
        <v>3413005</v>
      </c>
      <c r="J3254" s="705">
        <v>3102732</v>
      </c>
      <c r="K3254" s="705">
        <v>58</v>
      </c>
      <c r="L3254" s="705">
        <v>328710</v>
      </c>
      <c r="M3254" s="705">
        <v>250427</v>
      </c>
      <c r="N3254" s="705">
        <v>303561</v>
      </c>
      <c r="O3254" s="705">
        <v>112430</v>
      </c>
      <c r="P3254" s="705">
        <v>61479</v>
      </c>
      <c r="Q3254" s="705">
        <v>22770</v>
      </c>
      <c r="R3254" s="705">
        <v>852499</v>
      </c>
      <c r="S3254" s="705">
        <v>774999</v>
      </c>
      <c r="T3254" s="705">
        <v>375238</v>
      </c>
      <c r="U3254" s="705">
        <v>138977</v>
      </c>
      <c r="V3254" s="705">
        <v>4402334</v>
      </c>
      <c r="W3254" s="705">
        <f t="shared" si="126"/>
        <v>4402335</v>
      </c>
      <c r="X3254" s="705">
        <f t="shared" si="127"/>
        <v>5334492</v>
      </c>
    </row>
    <row r="3255" spans="2:24">
      <c r="B3255" t="s">
        <v>558</v>
      </c>
      <c r="C3255" t="s">
        <v>120</v>
      </c>
      <c r="D3255" t="s">
        <v>665</v>
      </c>
      <c r="E3255" t="s">
        <v>722</v>
      </c>
      <c r="F3255" s="705">
        <v>1</v>
      </c>
      <c r="G3255" s="705">
        <v>86</v>
      </c>
      <c r="H3255" s="705">
        <v>354</v>
      </c>
      <c r="I3255" s="705">
        <v>21199</v>
      </c>
      <c r="J3255" s="705">
        <v>19272</v>
      </c>
      <c r="K3255" s="705">
        <v>55</v>
      </c>
      <c r="L3255" s="705">
        <v>2355</v>
      </c>
      <c r="M3255" s="705">
        <v>2141</v>
      </c>
      <c r="N3255" s="705">
        <v>1051</v>
      </c>
      <c r="O3255" s="705">
        <v>389</v>
      </c>
      <c r="P3255" s="705">
        <v>351</v>
      </c>
      <c r="Q3255" s="705">
        <v>130</v>
      </c>
      <c r="R3255" s="705">
        <v>5568</v>
      </c>
      <c r="S3255" s="705">
        <v>5062</v>
      </c>
      <c r="T3255" s="705">
        <v>0</v>
      </c>
      <c r="U3255" s="705">
        <v>0</v>
      </c>
      <c r="V3255" s="705">
        <v>26995</v>
      </c>
      <c r="W3255" s="705">
        <f t="shared" si="126"/>
        <v>26994</v>
      </c>
      <c r="X3255" s="705">
        <f t="shared" si="127"/>
        <v>30524</v>
      </c>
    </row>
    <row r="3256" spans="2:24">
      <c r="B3256" t="s">
        <v>558</v>
      </c>
      <c r="C3256" t="s">
        <v>120</v>
      </c>
      <c r="D3256" t="s">
        <v>673</v>
      </c>
      <c r="E3256" t="s">
        <v>228</v>
      </c>
      <c r="F3256" s="705">
        <v>2</v>
      </c>
      <c r="G3256" s="705">
        <v>194</v>
      </c>
      <c r="H3256" s="705">
        <v>666</v>
      </c>
      <c r="I3256" s="705">
        <v>44426</v>
      </c>
      <c r="J3256" s="705">
        <v>40388</v>
      </c>
      <c r="K3256" s="705">
        <v>63</v>
      </c>
      <c r="L3256" s="705">
        <v>3212</v>
      </c>
      <c r="M3256" s="705">
        <v>2763</v>
      </c>
      <c r="N3256" s="705">
        <v>3264</v>
      </c>
      <c r="O3256" s="705">
        <v>1209</v>
      </c>
      <c r="P3256" s="705">
        <v>0</v>
      </c>
      <c r="Q3256" s="705">
        <v>0</v>
      </c>
      <c r="R3256" s="705">
        <v>14461</v>
      </c>
      <c r="S3256" s="705">
        <v>5356</v>
      </c>
      <c r="T3256" s="705">
        <v>0</v>
      </c>
      <c r="U3256" s="705">
        <v>0</v>
      </c>
      <c r="V3256" s="705">
        <v>49715</v>
      </c>
      <c r="W3256" s="705">
        <f t="shared" si="126"/>
        <v>49716</v>
      </c>
      <c r="X3256" s="705">
        <f t="shared" si="127"/>
        <v>65363</v>
      </c>
    </row>
    <row r="3257" spans="2:24">
      <c r="B3257" t="s">
        <v>558</v>
      </c>
      <c r="C3257" t="s">
        <v>120</v>
      </c>
      <c r="D3257" t="s">
        <v>673</v>
      </c>
      <c r="E3257" t="s">
        <v>673</v>
      </c>
      <c r="F3257" s="705">
        <v>4</v>
      </c>
      <c r="G3257" s="705">
        <v>580</v>
      </c>
      <c r="H3257" s="705">
        <v>1368</v>
      </c>
      <c r="I3257" s="705">
        <v>134764</v>
      </c>
      <c r="J3257" s="705">
        <v>122513</v>
      </c>
      <c r="K3257" s="705">
        <v>61</v>
      </c>
      <c r="L3257" s="705">
        <v>16310</v>
      </c>
      <c r="M3257" s="705">
        <v>12239</v>
      </c>
      <c r="N3257" s="705">
        <v>11515</v>
      </c>
      <c r="O3257" s="705">
        <v>4265</v>
      </c>
      <c r="P3257" s="705">
        <v>1404</v>
      </c>
      <c r="Q3257" s="705">
        <v>520</v>
      </c>
      <c r="R3257" s="705">
        <v>22573</v>
      </c>
      <c r="S3257" s="705">
        <v>20521</v>
      </c>
      <c r="T3257" s="705">
        <v>8765</v>
      </c>
      <c r="U3257" s="705">
        <v>3246</v>
      </c>
      <c r="V3257" s="705">
        <v>163304</v>
      </c>
      <c r="W3257" s="705">
        <f t="shared" si="126"/>
        <v>163304</v>
      </c>
      <c r="X3257" s="705">
        <f t="shared" si="127"/>
        <v>195331</v>
      </c>
    </row>
    <row r="3258" spans="2:24">
      <c r="B3258" t="s">
        <v>558</v>
      </c>
      <c r="C3258" t="s">
        <v>120</v>
      </c>
      <c r="D3258" t="s">
        <v>585</v>
      </c>
      <c r="E3258" t="s">
        <v>585</v>
      </c>
      <c r="F3258" s="705">
        <v>4</v>
      </c>
      <c r="G3258" s="705">
        <v>840</v>
      </c>
      <c r="H3258" s="705">
        <v>1365</v>
      </c>
      <c r="I3258" s="705">
        <v>206847</v>
      </c>
      <c r="J3258" s="705">
        <v>188043</v>
      </c>
      <c r="K3258" s="705">
        <v>73</v>
      </c>
      <c r="L3258" s="705">
        <v>33344</v>
      </c>
      <c r="M3258" s="705">
        <v>27328</v>
      </c>
      <c r="N3258" s="705">
        <v>11142</v>
      </c>
      <c r="O3258" s="705">
        <v>4127</v>
      </c>
      <c r="P3258" s="705">
        <v>1404</v>
      </c>
      <c r="Q3258" s="705">
        <v>520</v>
      </c>
      <c r="R3258" s="705">
        <v>21164</v>
      </c>
      <c r="S3258" s="705">
        <v>19240</v>
      </c>
      <c r="T3258" s="705">
        <v>1332</v>
      </c>
      <c r="U3258" s="705">
        <v>493</v>
      </c>
      <c r="V3258" s="705">
        <v>239752</v>
      </c>
      <c r="W3258" s="705">
        <f t="shared" si="126"/>
        <v>239751</v>
      </c>
      <c r="X3258" s="705">
        <f t="shared" si="127"/>
        <v>275233</v>
      </c>
    </row>
    <row r="3259" spans="2:24">
      <c r="B3259" t="s">
        <v>558</v>
      </c>
      <c r="C3259" t="s">
        <v>120</v>
      </c>
      <c r="D3259" t="s">
        <v>668</v>
      </c>
      <c r="E3259" t="s">
        <v>668</v>
      </c>
      <c r="F3259" s="705">
        <v>1</v>
      </c>
      <c r="G3259" s="705">
        <v>77</v>
      </c>
      <c r="H3259" s="705">
        <v>331</v>
      </c>
      <c r="I3259" s="705">
        <v>17408</v>
      </c>
      <c r="J3259" s="705">
        <v>15826</v>
      </c>
      <c r="K3259" s="705">
        <v>65</v>
      </c>
      <c r="L3259" s="705">
        <v>0</v>
      </c>
      <c r="M3259" s="705">
        <v>0</v>
      </c>
      <c r="N3259" s="705">
        <v>938</v>
      </c>
      <c r="O3259" s="705">
        <v>347</v>
      </c>
      <c r="P3259" s="705">
        <v>351</v>
      </c>
      <c r="Q3259" s="705">
        <v>130</v>
      </c>
      <c r="R3259" s="705">
        <v>4428</v>
      </c>
      <c r="S3259" s="705">
        <v>4026</v>
      </c>
      <c r="T3259" s="705">
        <v>2393</v>
      </c>
      <c r="U3259" s="705">
        <v>886</v>
      </c>
      <c r="V3259" s="705">
        <v>21215</v>
      </c>
      <c r="W3259" s="705">
        <f t="shared" si="126"/>
        <v>21215</v>
      </c>
      <c r="X3259" s="705">
        <f t="shared" si="127"/>
        <v>25518</v>
      </c>
    </row>
    <row r="3260" spans="2:24">
      <c r="B3260" t="s">
        <v>558</v>
      </c>
      <c r="C3260" t="s">
        <v>122</v>
      </c>
      <c r="D3260" t="s">
        <v>664</v>
      </c>
      <c r="E3260" t="s">
        <v>664</v>
      </c>
      <c r="F3260" s="705">
        <v>1</v>
      </c>
      <c r="G3260" s="705">
        <v>100</v>
      </c>
      <c r="H3260" s="705">
        <v>389</v>
      </c>
      <c r="I3260" s="705">
        <v>24163</v>
      </c>
      <c r="J3260" s="705">
        <v>21967</v>
      </c>
      <c r="K3260" s="705">
        <v>75</v>
      </c>
      <c r="L3260" s="705">
        <v>4806</v>
      </c>
      <c r="M3260" s="705">
        <v>4369</v>
      </c>
      <c r="N3260" s="705">
        <v>2271</v>
      </c>
      <c r="O3260" s="705">
        <v>841</v>
      </c>
      <c r="P3260" s="705">
        <v>473</v>
      </c>
      <c r="Q3260" s="705">
        <v>175</v>
      </c>
      <c r="R3260" s="705">
        <v>7075</v>
      </c>
      <c r="S3260" s="705">
        <v>6432</v>
      </c>
      <c r="T3260" s="705">
        <v>0</v>
      </c>
      <c r="U3260" s="705">
        <v>0</v>
      </c>
      <c r="V3260" s="705">
        <v>33783</v>
      </c>
      <c r="W3260" s="705">
        <f t="shared" si="126"/>
        <v>33784</v>
      </c>
      <c r="X3260" s="705">
        <f t="shared" si="127"/>
        <v>38788</v>
      </c>
    </row>
    <row r="3261" spans="2:24">
      <c r="B3261" t="s">
        <v>558</v>
      </c>
      <c r="C3261" t="s">
        <v>122</v>
      </c>
      <c r="D3261" t="s">
        <v>582</v>
      </c>
      <c r="E3261" t="s">
        <v>582</v>
      </c>
      <c r="F3261" s="705">
        <v>6</v>
      </c>
      <c r="G3261" s="705">
        <v>924</v>
      </c>
      <c r="H3261" s="705">
        <v>2493</v>
      </c>
      <c r="I3261" s="705">
        <v>278345</v>
      </c>
      <c r="J3261" s="705">
        <v>253041</v>
      </c>
      <c r="K3261" s="705">
        <v>84</v>
      </c>
      <c r="L3261" s="705">
        <v>54806</v>
      </c>
      <c r="M3261" s="705">
        <v>49823</v>
      </c>
      <c r="N3261" s="705">
        <v>20392</v>
      </c>
      <c r="O3261" s="705">
        <v>7553</v>
      </c>
      <c r="P3261" s="705">
        <v>4428</v>
      </c>
      <c r="Q3261" s="705">
        <v>1640</v>
      </c>
      <c r="R3261" s="705">
        <v>30207</v>
      </c>
      <c r="S3261" s="705">
        <v>27461</v>
      </c>
      <c r="T3261" s="705">
        <v>7257</v>
      </c>
      <c r="U3261" s="705">
        <v>2688</v>
      </c>
      <c r="V3261" s="705">
        <v>342205</v>
      </c>
      <c r="W3261" s="705">
        <f t="shared" si="126"/>
        <v>342206</v>
      </c>
      <c r="X3261" s="705">
        <f t="shared" si="127"/>
        <v>395435</v>
      </c>
    </row>
    <row r="3262" spans="2:24">
      <c r="B3262" t="s">
        <v>558</v>
      </c>
      <c r="C3262" t="s">
        <v>122</v>
      </c>
      <c r="D3262" t="s">
        <v>228</v>
      </c>
      <c r="E3262" t="s">
        <v>228</v>
      </c>
      <c r="F3262" s="705">
        <v>106</v>
      </c>
      <c r="G3262" s="705">
        <v>9110</v>
      </c>
      <c r="H3262" s="705">
        <v>43916</v>
      </c>
      <c r="I3262" s="705">
        <v>2754123</v>
      </c>
      <c r="J3262" s="705">
        <v>1020046</v>
      </c>
      <c r="K3262" s="705">
        <v>100</v>
      </c>
      <c r="L3262" s="705">
        <v>491836</v>
      </c>
      <c r="M3262" s="705">
        <v>354881</v>
      </c>
      <c r="N3262" s="705">
        <v>215111</v>
      </c>
      <c r="O3262" s="705">
        <v>79671</v>
      </c>
      <c r="P3262" s="705">
        <v>2015</v>
      </c>
      <c r="Q3262" s="705">
        <v>746</v>
      </c>
      <c r="R3262" s="705">
        <v>830925</v>
      </c>
      <c r="S3262" s="705">
        <v>307750</v>
      </c>
      <c r="T3262" s="705">
        <v>0</v>
      </c>
      <c r="U3262" s="705">
        <v>0</v>
      </c>
      <c r="V3262" s="705">
        <v>1763094</v>
      </c>
      <c r="W3262" s="705">
        <f t="shared" si="126"/>
        <v>1763094</v>
      </c>
      <c r="X3262" s="705">
        <f t="shared" si="127"/>
        <v>4294010</v>
      </c>
    </row>
    <row r="3263" spans="2:24">
      <c r="B3263" t="s">
        <v>558</v>
      </c>
      <c r="C3263" t="s">
        <v>122</v>
      </c>
      <c r="D3263" t="s">
        <v>228</v>
      </c>
      <c r="E3263" t="s">
        <v>583</v>
      </c>
      <c r="F3263" s="705">
        <v>2</v>
      </c>
      <c r="G3263" s="705">
        <v>671</v>
      </c>
      <c r="H3263" s="705">
        <v>858</v>
      </c>
      <c r="I3263" s="705">
        <v>212257</v>
      </c>
      <c r="J3263" s="705">
        <v>78614</v>
      </c>
      <c r="K3263" s="705">
        <v>100</v>
      </c>
      <c r="L3263" s="705">
        <v>41405</v>
      </c>
      <c r="M3263" s="705">
        <v>17208</v>
      </c>
      <c r="N3263" s="705">
        <v>15304</v>
      </c>
      <c r="O3263" s="705">
        <v>5668</v>
      </c>
      <c r="P3263" s="705">
        <v>621</v>
      </c>
      <c r="Q3263" s="705">
        <v>230</v>
      </c>
      <c r="R3263" s="705">
        <v>16457</v>
      </c>
      <c r="S3263" s="705">
        <v>14961</v>
      </c>
      <c r="T3263" s="705">
        <v>5589</v>
      </c>
      <c r="U3263" s="705">
        <v>2070</v>
      </c>
      <c r="V3263" s="705">
        <v>118751</v>
      </c>
      <c r="W3263" s="705">
        <f t="shared" si="126"/>
        <v>118751</v>
      </c>
      <c r="X3263" s="705">
        <f t="shared" si="127"/>
        <v>291633</v>
      </c>
    </row>
    <row r="3264" spans="2:24">
      <c r="B3264" t="s">
        <v>558</v>
      </c>
      <c r="C3264" t="s">
        <v>122</v>
      </c>
      <c r="D3264" t="s">
        <v>228</v>
      </c>
      <c r="E3264" t="s">
        <v>665</v>
      </c>
      <c r="F3264" s="705">
        <v>4</v>
      </c>
      <c r="G3264" s="705">
        <v>324</v>
      </c>
      <c r="H3264" s="705">
        <v>1686</v>
      </c>
      <c r="I3264" s="705">
        <v>85655</v>
      </c>
      <c r="J3264" s="705">
        <v>31724</v>
      </c>
      <c r="K3264" s="705">
        <v>100</v>
      </c>
      <c r="L3264" s="705">
        <v>12007</v>
      </c>
      <c r="M3264" s="705">
        <v>10915</v>
      </c>
      <c r="N3264" s="705">
        <v>7565</v>
      </c>
      <c r="O3264" s="705">
        <v>2802</v>
      </c>
      <c r="P3264" s="705">
        <v>702</v>
      </c>
      <c r="Q3264" s="705">
        <v>260</v>
      </c>
      <c r="R3264" s="705">
        <v>20719</v>
      </c>
      <c r="S3264" s="705">
        <v>18836</v>
      </c>
      <c r="T3264" s="705">
        <v>9562</v>
      </c>
      <c r="U3264" s="705">
        <v>3541</v>
      </c>
      <c r="V3264" s="705">
        <v>68078</v>
      </c>
      <c r="W3264" s="705">
        <f t="shared" si="126"/>
        <v>68078</v>
      </c>
      <c r="X3264" s="705">
        <f t="shared" si="127"/>
        <v>136210</v>
      </c>
    </row>
    <row r="3265" spans="2:24">
      <c r="B3265" t="s">
        <v>558</v>
      </c>
      <c r="C3265" t="s">
        <v>122</v>
      </c>
      <c r="D3265" t="s">
        <v>228</v>
      </c>
      <c r="E3265" t="s">
        <v>673</v>
      </c>
      <c r="F3265" s="705">
        <v>1</v>
      </c>
      <c r="G3265" s="705">
        <v>84</v>
      </c>
      <c r="H3265" s="705">
        <v>440</v>
      </c>
      <c r="I3265" s="705">
        <v>24640</v>
      </c>
      <c r="J3265" s="705">
        <v>9126</v>
      </c>
      <c r="K3265" s="705">
        <v>100</v>
      </c>
      <c r="L3265" s="705">
        <v>3718</v>
      </c>
      <c r="M3265" s="705">
        <v>3380</v>
      </c>
      <c r="N3265" s="705">
        <v>2046</v>
      </c>
      <c r="O3265" s="705">
        <v>758</v>
      </c>
      <c r="P3265" s="705">
        <v>0</v>
      </c>
      <c r="Q3265" s="705">
        <v>0</v>
      </c>
      <c r="R3265" s="705">
        <v>4732</v>
      </c>
      <c r="S3265" s="705">
        <v>4302</v>
      </c>
      <c r="T3265" s="705">
        <v>1773</v>
      </c>
      <c r="U3265" s="705">
        <v>657</v>
      </c>
      <c r="V3265" s="705">
        <v>18222</v>
      </c>
      <c r="W3265" s="705">
        <f t="shared" si="126"/>
        <v>18223</v>
      </c>
      <c r="X3265" s="705">
        <f t="shared" si="127"/>
        <v>36909</v>
      </c>
    </row>
    <row r="3266" spans="2:24">
      <c r="B3266" t="s">
        <v>558</v>
      </c>
      <c r="C3266" t="s">
        <v>122</v>
      </c>
      <c r="D3266" t="s">
        <v>583</v>
      </c>
      <c r="E3266" t="s">
        <v>228</v>
      </c>
      <c r="F3266" s="705">
        <v>5</v>
      </c>
      <c r="G3266" s="705">
        <v>784</v>
      </c>
      <c r="H3266" s="705">
        <v>2131</v>
      </c>
      <c r="I3266" s="705">
        <v>217261</v>
      </c>
      <c r="J3266" s="705">
        <v>197510</v>
      </c>
      <c r="K3266" s="705">
        <v>79</v>
      </c>
      <c r="L3266" s="705">
        <v>49752</v>
      </c>
      <c r="M3266" s="705">
        <v>44545</v>
      </c>
      <c r="N3266" s="705">
        <v>18574</v>
      </c>
      <c r="O3266" s="705">
        <v>6879</v>
      </c>
      <c r="P3266" s="705">
        <v>3807</v>
      </c>
      <c r="Q3266" s="705">
        <v>1410</v>
      </c>
      <c r="R3266" s="705">
        <v>48545</v>
      </c>
      <c r="S3266" s="705">
        <v>17980</v>
      </c>
      <c r="T3266" s="705">
        <v>0</v>
      </c>
      <c r="U3266" s="705">
        <v>0</v>
      </c>
      <c r="V3266" s="705">
        <v>268324</v>
      </c>
      <c r="W3266" s="705">
        <f t="shared" si="126"/>
        <v>268324</v>
      </c>
      <c r="X3266" s="705">
        <f t="shared" si="127"/>
        <v>337939</v>
      </c>
    </row>
    <row r="3267" spans="2:24">
      <c r="B3267" t="s">
        <v>558</v>
      </c>
      <c r="C3267" t="s">
        <v>122</v>
      </c>
      <c r="D3267" t="s">
        <v>583</v>
      </c>
      <c r="E3267" t="s">
        <v>583</v>
      </c>
      <c r="F3267" s="705">
        <v>402</v>
      </c>
      <c r="G3267" s="705">
        <v>49143</v>
      </c>
      <c r="H3267" s="705">
        <v>166412</v>
      </c>
      <c r="I3267" s="705">
        <v>13786922</v>
      </c>
      <c r="J3267" s="705">
        <v>12533565</v>
      </c>
      <c r="K3267" s="705">
        <v>76</v>
      </c>
      <c r="L3267" s="705">
        <v>2716979</v>
      </c>
      <c r="M3267" s="705">
        <v>2440205</v>
      </c>
      <c r="N3267" s="705">
        <v>1046576</v>
      </c>
      <c r="O3267" s="705">
        <v>387621</v>
      </c>
      <c r="P3267" s="705">
        <v>257162</v>
      </c>
      <c r="Q3267" s="705">
        <v>95245</v>
      </c>
      <c r="R3267" s="705">
        <v>2069465</v>
      </c>
      <c r="S3267" s="705">
        <v>1881331</v>
      </c>
      <c r="T3267" s="705">
        <v>794353</v>
      </c>
      <c r="U3267" s="705">
        <v>294205</v>
      </c>
      <c r="V3267" s="705">
        <v>17632172</v>
      </c>
      <c r="W3267" s="705">
        <f t="shared" si="126"/>
        <v>17632172</v>
      </c>
      <c r="X3267" s="705">
        <f t="shared" si="127"/>
        <v>20671457</v>
      </c>
    </row>
    <row r="3268" spans="2:24">
      <c r="B3268" t="s">
        <v>558</v>
      </c>
      <c r="C3268" t="s">
        <v>122</v>
      </c>
      <c r="D3268" t="s">
        <v>583</v>
      </c>
      <c r="E3268" t="s">
        <v>669</v>
      </c>
      <c r="F3268" s="705">
        <v>1</v>
      </c>
      <c r="G3268" s="705">
        <v>103</v>
      </c>
      <c r="H3268" s="705">
        <v>389</v>
      </c>
      <c r="I3268" s="705">
        <v>23409</v>
      </c>
      <c r="J3268" s="705">
        <v>21281</v>
      </c>
      <c r="K3268" s="705">
        <v>86</v>
      </c>
      <c r="L3268" s="705">
        <v>7040</v>
      </c>
      <c r="M3268" s="705">
        <v>6400</v>
      </c>
      <c r="N3268" s="705">
        <v>2505</v>
      </c>
      <c r="O3268" s="705">
        <v>928</v>
      </c>
      <c r="P3268" s="705">
        <v>621</v>
      </c>
      <c r="Q3268" s="705">
        <v>230</v>
      </c>
      <c r="R3268" s="705">
        <v>3944</v>
      </c>
      <c r="S3268" s="705">
        <v>3287</v>
      </c>
      <c r="T3268" s="705">
        <v>2463</v>
      </c>
      <c r="U3268" s="705">
        <v>912</v>
      </c>
      <c r="V3268" s="705">
        <v>33038</v>
      </c>
      <c r="W3268" s="705">
        <f t="shared" si="126"/>
        <v>33038</v>
      </c>
      <c r="X3268" s="705">
        <f t="shared" si="127"/>
        <v>39982</v>
      </c>
    </row>
    <row r="3269" spans="2:24">
      <c r="B3269" t="s">
        <v>558</v>
      </c>
      <c r="C3269" t="s">
        <v>122</v>
      </c>
      <c r="D3269" t="s">
        <v>583</v>
      </c>
      <c r="E3269" t="s">
        <v>665</v>
      </c>
      <c r="F3269" s="705">
        <v>2</v>
      </c>
      <c r="G3269" s="705">
        <v>165</v>
      </c>
      <c r="H3269" s="705">
        <v>847</v>
      </c>
      <c r="I3269" s="705">
        <v>44734</v>
      </c>
      <c r="J3269" s="705">
        <v>40668</v>
      </c>
      <c r="K3269" s="705">
        <v>68</v>
      </c>
      <c r="L3269" s="705">
        <v>11579</v>
      </c>
      <c r="M3269" s="705">
        <v>8075</v>
      </c>
      <c r="N3269" s="705">
        <v>3718</v>
      </c>
      <c r="O3269" s="705">
        <v>1377</v>
      </c>
      <c r="P3269" s="705">
        <v>1242</v>
      </c>
      <c r="Q3269" s="705">
        <v>460</v>
      </c>
      <c r="R3269" s="705">
        <v>8120</v>
      </c>
      <c r="S3269" s="705">
        <v>7382</v>
      </c>
      <c r="T3269" s="705">
        <v>0</v>
      </c>
      <c r="U3269" s="705">
        <v>0</v>
      </c>
      <c r="V3269" s="705">
        <v>57961</v>
      </c>
      <c r="W3269" s="705">
        <f t="shared" si="126"/>
        <v>57962</v>
      </c>
      <c r="X3269" s="705">
        <f t="shared" si="127"/>
        <v>69393</v>
      </c>
    </row>
    <row r="3270" spans="2:24">
      <c r="B3270" t="s">
        <v>558</v>
      </c>
      <c r="C3270" t="s">
        <v>122</v>
      </c>
      <c r="D3270" t="s">
        <v>666</v>
      </c>
      <c r="E3270" t="s">
        <v>666</v>
      </c>
      <c r="F3270" s="705">
        <v>14</v>
      </c>
      <c r="G3270" s="705">
        <v>1427</v>
      </c>
      <c r="H3270" s="705">
        <v>5804</v>
      </c>
      <c r="I3270" s="705">
        <v>377696</v>
      </c>
      <c r="J3270" s="705">
        <v>343360</v>
      </c>
      <c r="K3270" s="705">
        <v>59</v>
      </c>
      <c r="L3270" s="705">
        <v>64810</v>
      </c>
      <c r="M3270" s="705">
        <v>57099</v>
      </c>
      <c r="N3270" s="705">
        <v>28845</v>
      </c>
      <c r="O3270" s="705">
        <v>10683</v>
      </c>
      <c r="P3270" s="705">
        <v>4914</v>
      </c>
      <c r="Q3270" s="705">
        <v>1820</v>
      </c>
      <c r="R3270" s="705">
        <v>91375</v>
      </c>
      <c r="S3270" s="705">
        <v>83068</v>
      </c>
      <c r="T3270" s="705">
        <v>25056</v>
      </c>
      <c r="U3270" s="705">
        <v>9280</v>
      </c>
      <c r="V3270" s="705">
        <v>505310</v>
      </c>
      <c r="W3270" s="705">
        <f t="shared" si="126"/>
        <v>505310</v>
      </c>
      <c r="X3270" s="705">
        <f t="shared" si="127"/>
        <v>592696</v>
      </c>
    </row>
    <row r="3271" spans="2:24">
      <c r="B3271" t="s">
        <v>558</v>
      </c>
      <c r="C3271" t="s">
        <v>122</v>
      </c>
      <c r="D3271" t="s">
        <v>669</v>
      </c>
      <c r="E3271" t="s">
        <v>669</v>
      </c>
      <c r="F3271" s="705">
        <v>5</v>
      </c>
      <c r="G3271" s="705">
        <v>357</v>
      </c>
      <c r="H3271" s="705">
        <v>2150</v>
      </c>
      <c r="I3271" s="705">
        <v>104288</v>
      </c>
      <c r="J3271" s="705">
        <v>86907</v>
      </c>
      <c r="K3271" s="705">
        <v>57</v>
      </c>
      <c r="L3271" s="705">
        <v>3773</v>
      </c>
      <c r="M3271" s="705">
        <v>3271</v>
      </c>
      <c r="N3271" s="705">
        <v>7279</v>
      </c>
      <c r="O3271" s="705">
        <v>2696</v>
      </c>
      <c r="P3271" s="705">
        <v>1755</v>
      </c>
      <c r="Q3271" s="705">
        <v>650</v>
      </c>
      <c r="R3271" s="705">
        <v>27624</v>
      </c>
      <c r="S3271" s="705">
        <v>23020</v>
      </c>
      <c r="T3271" s="705">
        <v>7693</v>
      </c>
      <c r="U3271" s="705">
        <v>2849</v>
      </c>
      <c r="V3271" s="705">
        <v>119392</v>
      </c>
      <c r="W3271" s="705">
        <f t="shared" si="126"/>
        <v>119393</v>
      </c>
      <c r="X3271" s="705">
        <f t="shared" si="127"/>
        <v>152412</v>
      </c>
    </row>
    <row r="3272" spans="2:24">
      <c r="B3272" t="s">
        <v>558</v>
      </c>
      <c r="C3272" t="s">
        <v>122</v>
      </c>
      <c r="D3272" t="s">
        <v>667</v>
      </c>
      <c r="E3272" t="s">
        <v>667</v>
      </c>
      <c r="F3272" s="705">
        <v>2</v>
      </c>
      <c r="G3272" s="705">
        <v>137</v>
      </c>
      <c r="H3272" s="705">
        <v>822</v>
      </c>
      <c r="I3272" s="705">
        <v>37808</v>
      </c>
      <c r="J3272" s="705">
        <v>34371</v>
      </c>
      <c r="K3272" s="705">
        <v>65</v>
      </c>
      <c r="L3272" s="705">
        <v>2360</v>
      </c>
      <c r="M3272" s="705">
        <v>2145</v>
      </c>
      <c r="N3272" s="705">
        <v>3138</v>
      </c>
      <c r="O3272" s="705">
        <v>1162</v>
      </c>
      <c r="P3272" s="705">
        <v>702</v>
      </c>
      <c r="Q3272" s="705">
        <v>260</v>
      </c>
      <c r="R3272" s="705">
        <v>7880</v>
      </c>
      <c r="S3272" s="705">
        <v>7164</v>
      </c>
      <c r="T3272" s="705">
        <v>4018</v>
      </c>
      <c r="U3272" s="705">
        <v>1488</v>
      </c>
      <c r="V3272" s="705">
        <v>46591</v>
      </c>
      <c r="W3272" s="705">
        <f t="shared" si="126"/>
        <v>46590</v>
      </c>
      <c r="X3272" s="705">
        <f t="shared" si="127"/>
        <v>55906</v>
      </c>
    </row>
    <row r="3273" spans="2:24">
      <c r="B3273" t="s">
        <v>558</v>
      </c>
      <c r="C3273" t="s">
        <v>122</v>
      </c>
      <c r="D3273" t="s">
        <v>671</v>
      </c>
      <c r="E3273" t="s">
        <v>671</v>
      </c>
      <c r="F3273" s="705">
        <v>1</v>
      </c>
      <c r="G3273" s="705">
        <v>105</v>
      </c>
      <c r="H3273" s="705">
        <v>416</v>
      </c>
      <c r="I3273" s="705">
        <v>28485</v>
      </c>
      <c r="J3273" s="705">
        <v>25895</v>
      </c>
      <c r="K3273" s="705">
        <v>45</v>
      </c>
      <c r="L3273" s="705">
        <v>4747</v>
      </c>
      <c r="M3273" s="705">
        <v>4316</v>
      </c>
      <c r="N3273" s="705">
        <v>2044</v>
      </c>
      <c r="O3273" s="705">
        <v>757</v>
      </c>
      <c r="P3273" s="705">
        <v>351</v>
      </c>
      <c r="Q3273" s="705">
        <v>130</v>
      </c>
      <c r="R3273" s="705">
        <v>5410</v>
      </c>
      <c r="S3273" s="705">
        <v>4918</v>
      </c>
      <c r="T3273" s="705">
        <v>2622</v>
      </c>
      <c r="U3273" s="705">
        <v>971</v>
      </c>
      <c r="V3273" s="705">
        <v>36988</v>
      </c>
      <c r="W3273" s="705">
        <f t="shared" si="126"/>
        <v>36987</v>
      </c>
      <c r="X3273" s="705">
        <f t="shared" si="127"/>
        <v>43659</v>
      </c>
    </row>
    <row r="3274" spans="2:24">
      <c r="B3274" t="s">
        <v>558</v>
      </c>
      <c r="C3274" t="s">
        <v>122</v>
      </c>
      <c r="D3274" t="s">
        <v>665</v>
      </c>
      <c r="E3274" t="s">
        <v>228</v>
      </c>
      <c r="F3274" s="705">
        <v>4</v>
      </c>
      <c r="G3274" s="705">
        <v>425</v>
      </c>
      <c r="H3274" s="705">
        <v>1648</v>
      </c>
      <c r="I3274" s="705">
        <v>118990</v>
      </c>
      <c r="J3274" s="705">
        <v>108172</v>
      </c>
      <c r="K3274" s="705">
        <v>55</v>
      </c>
      <c r="L3274" s="705">
        <v>14649</v>
      </c>
      <c r="M3274" s="705">
        <v>13317</v>
      </c>
      <c r="N3274" s="705">
        <v>7921</v>
      </c>
      <c r="O3274" s="705">
        <v>2934</v>
      </c>
      <c r="P3274" s="705">
        <v>1404</v>
      </c>
      <c r="Q3274" s="705">
        <v>520</v>
      </c>
      <c r="R3274" s="705">
        <v>31194</v>
      </c>
      <c r="S3274" s="705">
        <v>11554</v>
      </c>
      <c r="T3274" s="705">
        <v>0</v>
      </c>
      <c r="U3274" s="705">
        <v>0</v>
      </c>
      <c r="V3274" s="705">
        <v>136497</v>
      </c>
      <c r="W3274" s="705">
        <f t="shared" si="126"/>
        <v>136497</v>
      </c>
      <c r="X3274" s="705">
        <f t="shared" si="127"/>
        <v>174158</v>
      </c>
    </row>
    <row r="3275" spans="2:24">
      <c r="B3275" t="s">
        <v>558</v>
      </c>
      <c r="C3275" t="s">
        <v>122</v>
      </c>
      <c r="D3275" t="s">
        <v>665</v>
      </c>
      <c r="E3275" t="s">
        <v>665</v>
      </c>
      <c r="F3275" s="705">
        <v>62</v>
      </c>
      <c r="G3275" s="705">
        <v>6237</v>
      </c>
      <c r="H3275" s="705">
        <v>25647</v>
      </c>
      <c r="I3275" s="705">
        <v>1757483</v>
      </c>
      <c r="J3275" s="705">
        <v>1597712</v>
      </c>
      <c r="K3275" s="705">
        <v>58</v>
      </c>
      <c r="L3275" s="705">
        <v>221169</v>
      </c>
      <c r="M3275" s="705">
        <v>175875</v>
      </c>
      <c r="N3275" s="705">
        <v>129043</v>
      </c>
      <c r="O3275" s="705">
        <v>47794</v>
      </c>
      <c r="P3275" s="705">
        <v>23045</v>
      </c>
      <c r="Q3275" s="705">
        <v>8535</v>
      </c>
      <c r="R3275" s="705">
        <v>351473</v>
      </c>
      <c r="S3275" s="705">
        <v>319521</v>
      </c>
      <c r="T3275" s="705">
        <v>130799</v>
      </c>
      <c r="U3275" s="705">
        <v>48444</v>
      </c>
      <c r="V3275" s="705">
        <v>2197881</v>
      </c>
      <c r="W3275" s="705">
        <f t="shared" si="126"/>
        <v>2197881</v>
      </c>
      <c r="X3275" s="705">
        <f t="shared" si="127"/>
        <v>2613012</v>
      </c>
    </row>
    <row r="3276" spans="2:24">
      <c r="B3276" t="s">
        <v>558</v>
      </c>
      <c r="C3276" t="s">
        <v>122</v>
      </c>
      <c r="D3276" t="s">
        <v>665</v>
      </c>
      <c r="E3276" t="s">
        <v>722</v>
      </c>
      <c r="F3276" s="705">
        <v>2</v>
      </c>
      <c r="G3276" s="705">
        <v>163</v>
      </c>
      <c r="H3276" s="705">
        <v>812</v>
      </c>
      <c r="I3276" s="705">
        <v>41028</v>
      </c>
      <c r="J3276" s="705">
        <v>37299</v>
      </c>
      <c r="K3276" s="705">
        <v>65</v>
      </c>
      <c r="L3276" s="705">
        <v>5611</v>
      </c>
      <c r="M3276" s="705">
        <v>5101</v>
      </c>
      <c r="N3276" s="705">
        <v>2610</v>
      </c>
      <c r="O3276" s="705">
        <v>967</v>
      </c>
      <c r="P3276" s="705">
        <v>702</v>
      </c>
      <c r="Q3276" s="705">
        <v>260</v>
      </c>
      <c r="R3276" s="705">
        <v>9602</v>
      </c>
      <c r="S3276" s="705">
        <v>8729</v>
      </c>
      <c r="T3276" s="705">
        <v>6137</v>
      </c>
      <c r="U3276" s="705">
        <v>2273</v>
      </c>
      <c r="V3276" s="705">
        <v>54628</v>
      </c>
      <c r="W3276" s="705">
        <f t="shared" si="126"/>
        <v>54629</v>
      </c>
      <c r="X3276" s="705">
        <f t="shared" si="127"/>
        <v>65690</v>
      </c>
    </row>
    <row r="3277" spans="2:24">
      <c r="B3277" t="s">
        <v>558</v>
      </c>
      <c r="C3277" t="s">
        <v>122</v>
      </c>
      <c r="D3277" t="s">
        <v>673</v>
      </c>
      <c r="E3277" t="s">
        <v>673</v>
      </c>
      <c r="F3277" s="705">
        <v>1</v>
      </c>
      <c r="G3277" s="705">
        <v>80</v>
      </c>
      <c r="H3277" s="705">
        <v>410</v>
      </c>
      <c r="I3277" s="705">
        <v>18139</v>
      </c>
      <c r="J3277" s="705">
        <v>16490</v>
      </c>
      <c r="K3277" s="705">
        <v>45</v>
      </c>
      <c r="L3277" s="705">
        <v>3023</v>
      </c>
      <c r="M3277" s="705">
        <v>2748</v>
      </c>
      <c r="N3277" s="705">
        <v>1938</v>
      </c>
      <c r="O3277" s="705">
        <v>718</v>
      </c>
      <c r="P3277" s="705">
        <v>351</v>
      </c>
      <c r="Q3277" s="705">
        <v>130</v>
      </c>
      <c r="R3277" s="705">
        <v>6279</v>
      </c>
      <c r="S3277" s="705">
        <v>5708</v>
      </c>
      <c r="T3277" s="705">
        <v>2872</v>
      </c>
      <c r="U3277" s="705">
        <v>1064</v>
      </c>
      <c r="V3277" s="705">
        <v>26858</v>
      </c>
      <c r="W3277" s="705">
        <f t="shared" si="126"/>
        <v>26858</v>
      </c>
      <c r="X3277" s="705">
        <f t="shared" si="127"/>
        <v>32602</v>
      </c>
    </row>
    <row r="3278" spans="2:24">
      <c r="B3278" t="s">
        <v>558</v>
      </c>
      <c r="C3278" t="s">
        <v>122</v>
      </c>
      <c r="D3278" t="s">
        <v>585</v>
      </c>
      <c r="E3278" t="s">
        <v>585</v>
      </c>
      <c r="F3278" s="705">
        <v>1</v>
      </c>
      <c r="G3278" s="705">
        <v>83</v>
      </c>
      <c r="H3278" s="705">
        <v>392</v>
      </c>
      <c r="I3278" s="705">
        <v>22051</v>
      </c>
      <c r="J3278" s="705">
        <v>20046</v>
      </c>
      <c r="K3278" s="705">
        <v>65</v>
      </c>
      <c r="L3278" s="705">
        <v>2046</v>
      </c>
      <c r="M3278" s="705">
        <v>1860</v>
      </c>
      <c r="N3278" s="705">
        <v>2032</v>
      </c>
      <c r="O3278" s="705">
        <v>753</v>
      </c>
      <c r="P3278" s="705">
        <v>351</v>
      </c>
      <c r="Q3278" s="705">
        <v>130</v>
      </c>
      <c r="R3278" s="705">
        <v>4084</v>
      </c>
      <c r="S3278" s="705">
        <v>3713</v>
      </c>
      <c r="T3278" s="705">
        <v>2122</v>
      </c>
      <c r="U3278" s="705">
        <v>786</v>
      </c>
      <c r="V3278" s="705">
        <v>27288</v>
      </c>
      <c r="W3278" s="705">
        <f t="shared" si="126"/>
        <v>27288</v>
      </c>
      <c r="X3278" s="705">
        <f t="shared" si="127"/>
        <v>32686</v>
      </c>
    </row>
    <row r="3279" spans="2:24">
      <c r="B3279" t="s">
        <v>558</v>
      </c>
      <c r="C3279" t="s">
        <v>124</v>
      </c>
      <c r="D3279" t="s">
        <v>664</v>
      </c>
      <c r="E3279" t="s">
        <v>664</v>
      </c>
      <c r="F3279" s="705">
        <v>3</v>
      </c>
      <c r="G3279" s="705">
        <v>456</v>
      </c>
      <c r="H3279" s="705">
        <v>1681</v>
      </c>
      <c r="I3279" s="705">
        <v>187988</v>
      </c>
      <c r="J3279" s="705">
        <v>170898</v>
      </c>
      <c r="K3279" s="705">
        <v>67</v>
      </c>
      <c r="L3279" s="705">
        <v>36920</v>
      </c>
      <c r="M3279" s="705">
        <v>28030</v>
      </c>
      <c r="N3279" s="705">
        <v>11689</v>
      </c>
      <c r="O3279" s="705">
        <v>4329</v>
      </c>
      <c r="P3279" s="705">
        <v>1445</v>
      </c>
      <c r="Q3279" s="705">
        <v>535</v>
      </c>
      <c r="R3279" s="705">
        <v>21608</v>
      </c>
      <c r="S3279" s="705">
        <v>19643</v>
      </c>
      <c r="T3279" s="705">
        <v>6834</v>
      </c>
      <c r="U3279" s="705">
        <v>2531</v>
      </c>
      <c r="V3279" s="705">
        <v>225967</v>
      </c>
      <c r="W3279" s="705">
        <f t="shared" si="126"/>
        <v>225966</v>
      </c>
      <c r="X3279" s="705">
        <f t="shared" si="127"/>
        <v>266484</v>
      </c>
    </row>
    <row r="3280" spans="2:24">
      <c r="B3280" t="s">
        <v>558</v>
      </c>
      <c r="C3280" t="s">
        <v>124</v>
      </c>
      <c r="D3280" t="s">
        <v>582</v>
      </c>
      <c r="E3280" t="s">
        <v>582</v>
      </c>
      <c r="F3280" s="705">
        <v>2</v>
      </c>
      <c r="G3280" s="705">
        <v>190</v>
      </c>
      <c r="H3280" s="705">
        <v>1023</v>
      </c>
      <c r="I3280" s="705">
        <v>69847</v>
      </c>
      <c r="J3280" s="705">
        <v>63498</v>
      </c>
      <c r="K3280" s="705">
        <v>65</v>
      </c>
      <c r="L3280" s="705">
        <v>4061</v>
      </c>
      <c r="M3280" s="705">
        <v>3692</v>
      </c>
      <c r="N3280" s="705">
        <v>4105</v>
      </c>
      <c r="O3280" s="705">
        <v>1520</v>
      </c>
      <c r="P3280" s="705">
        <v>824</v>
      </c>
      <c r="Q3280" s="705">
        <v>305</v>
      </c>
      <c r="R3280" s="705">
        <v>16067</v>
      </c>
      <c r="S3280" s="705">
        <v>14606</v>
      </c>
      <c r="T3280" s="705">
        <v>2209</v>
      </c>
      <c r="U3280" s="705">
        <v>818</v>
      </c>
      <c r="V3280" s="705">
        <v>84439</v>
      </c>
      <c r="W3280" s="705">
        <f t="shared" si="126"/>
        <v>84439</v>
      </c>
      <c r="X3280" s="705">
        <f t="shared" si="127"/>
        <v>97113</v>
      </c>
    </row>
    <row r="3281" spans="2:24">
      <c r="B3281" t="s">
        <v>558</v>
      </c>
      <c r="C3281" t="s">
        <v>124</v>
      </c>
      <c r="D3281" t="s">
        <v>228</v>
      </c>
      <c r="E3281" t="s">
        <v>228</v>
      </c>
      <c r="F3281" s="705">
        <v>280</v>
      </c>
      <c r="G3281" s="705">
        <v>24263</v>
      </c>
      <c r="H3281" s="705">
        <v>201483</v>
      </c>
      <c r="I3281" s="705">
        <v>12330304</v>
      </c>
      <c r="J3281" s="705">
        <v>4566779</v>
      </c>
      <c r="K3281" s="705">
        <v>100</v>
      </c>
      <c r="L3281" s="705">
        <v>2551890</v>
      </c>
      <c r="M3281" s="705">
        <v>2230732</v>
      </c>
      <c r="N3281" s="705">
        <v>553774</v>
      </c>
      <c r="O3281" s="705">
        <v>205101</v>
      </c>
      <c r="P3281" s="705">
        <v>3968</v>
      </c>
      <c r="Q3281" s="705">
        <v>1470</v>
      </c>
      <c r="R3281" s="705">
        <v>1984465</v>
      </c>
      <c r="S3281" s="705">
        <v>734987</v>
      </c>
      <c r="T3281" s="705">
        <v>13857</v>
      </c>
      <c r="U3281" s="705">
        <v>5132</v>
      </c>
      <c r="V3281" s="705">
        <v>7744201</v>
      </c>
      <c r="W3281" s="705">
        <f t="shared" si="126"/>
        <v>7744201</v>
      </c>
      <c r="X3281" s="705">
        <f t="shared" si="127"/>
        <v>17438258</v>
      </c>
    </row>
    <row r="3282" spans="2:24">
      <c r="B3282" t="s">
        <v>558</v>
      </c>
      <c r="C3282" t="s">
        <v>124</v>
      </c>
      <c r="D3282" t="s">
        <v>228</v>
      </c>
      <c r="E3282" t="s">
        <v>583</v>
      </c>
      <c r="F3282" s="705">
        <v>5</v>
      </c>
      <c r="G3282" s="705">
        <v>1190</v>
      </c>
      <c r="H3282" s="705">
        <v>2882</v>
      </c>
      <c r="I3282" s="705">
        <v>540150</v>
      </c>
      <c r="J3282" s="705">
        <v>200056</v>
      </c>
      <c r="K3282" s="705">
        <v>100</v>
      </c>
      <c r="L3282" s="705">
        <v>76846</v>
      </c>
      <c r="M3282" s="705">
        <v>61134</v>
      </c>
      <c r="N3282" s="705">
        <v>23749</v>
      </c>
      <c r="O3282" s="705">
        <v>8796</v>
      </c>
      <c r="P3282" s="705">
        <v>1242</v>
      </c>
      <c r="Q3282" s="705">
        <v>460</v>
      </c>
      <c r="R3282" s="705">
        <v>38559</v>
      </c>
      <c r="S3282" s="705">
        <v>35054</v>
      </c>
      <c r="T3282" s="705">
        <v>16849</v>
      </c>
      <c r="U3282" s="705">
        <v>6240</v>
      </c>
      <c r="V3282" s="705">
        <v>311740</v>
      </c>
      <c r="W3282" s="705">
        <f t="shared" si="126"/>
        <v>311740</v>
      </c>
      <c r="X3282" s="705">
        <f t="shared" si="127"/>
        <v>697395</v>
      </c>
    </row>
    <row r="3283" spans="2:24">
      <c r="B3283" t="s">
        <v>558</v>
      </c>
      <c r="C3283" t="s">
        <v>124</v>
      </c>
      <c r="D3283" t="s">
        <v>228</v>
      </c>
      <c r="E3283" t="s">
        <v>666</v>
      </c>
      <c r="F3283" s="705">
        <v>4</v>
      </c>
      <c r="G3283" s="705">
        <v>444</v>
      </c>
      <c r="H3283" s="705">
        <v>2644</v>
      </c>
      <c r="I3283" s="705">
        <v>227889</v>
      </c>
      <c r="J3283" s="705">
        <v>84403</v>
      </c>
      <c r="K3283" s="705">
        <v>100</v>
      </c>
      <c r="L3283" s="705">
        <v>17076</v>
      </c>
      <c r="M3283" s="705">
        <v>15524</v>
      </c>
      <c r="N3283" s="705">
        <v>10118</v>
      </c>
      <c r="O3283" s="705">
        <v>3747</v>
      </c>
      <c r="P3283" s="705">
        <v>351</v>
      </c>
      <c r="Q3283" s="705">
        <v>130</v>
      </c>
      <c r="R3283" s="705">
        <v>30681</v>
      </c>
      <c r="S3283" s="705">
        <v>27892</v>
      </c>
      <c r="T3283" s="705">
        <v>10609</v>
      </c>
      <c r="U3283" s="705">
        <v>3929</v>
      </c>
      <c r="V3283" s="705">
        <v>135626</v>
      </c>
      <c r="W3283" s="705">
        <f t="shared" si="126"/>
        <v>135625</v>
      </c>
      <c r="X3283" s="705">
        <f t="shared" si="127"/>
        <v>296724</v>
      </c>
    </row>
    <row r="3284" spans="2:24">
      <c r="B3284" t="s">
        <v>558</v>
      </c>
      <c r="C3284" t="s">
        <v>124</v>
      </c>
      <c r="D3284" t="s">
        <v>228</v>
      </c>
      <c r="E3284" t="s">
        <v>669</v>
      </c>
      <c r="F3284" s="705">
        <v>2</v>
      </c>
      <c r="G3284" s="705">
        <v>134</v>
      </c>
      <c r="H3284" s="705">
        <v>1551</v>
      </c>
      <c r="I3284" s="705">
        <v>80634</v>
      </c>
      <c r="J3284" s="705">
        <v>29864</v>
      </c>
      <c r="K3284" s="705">
        <v>100</v>
      </c>
      <c r="L3284" s="705">
        <v>11468</v>
      </c>
      <c r="M3284" s="705">
        <v>9556</v>
      </c>
      <c r="N3284" s="705">
        <v>2896</v>
      </c>
      <c r="O3284" s="705">
        <v>1073</v>
      </c>
      <c r="P3284" s="705">
        <v>351</v>
      </c>
      <c r="Q3284" s="705">
        <v>130</v>
      </c>
      <c r="R3284" s="705">
        <v>6555</v>
      </c>
      <c r="S3284" s="705">
        <v>5463</v>
      </c>
      <c r="T3284" s="705">
        <v>1604</v>
      </c>
      <c r="U3284" s="705">
        <v>594</v>
      </c>
      <c r="V3284" s="705">
        <v>46680</v>
      </c>
      <c r="W3284" s="705">
        <f t="shared" si="126"/>
        <v>46680</v>
      </c>
      <c r="X3284" s="705">
        <f t="shared" si="127"/>
        <v>103508</v>
      </c>
    </row>
    <row r="3285" spans="2:24">
      <c r="B3285" t="s">
        <v>558</v>
      </c>
      <c r="C3285" t="s">
        <v>124</v>
      </c>
      <c r="D3285" t="s">
        <v>228</v>
      </c>
      <c r="E3285" t="s">
        <v>665</v>
      </c>
      <c r="F3285" s="705">
        <v>14</v>
      </c>
      <c r="G3285" s="705">
        <v>1441</v>
      </c>
      <c r="H3285" s="705">
        <v>10041</v>
      </c>
      <c r="I3285" s="705">
        <v>788423</v>
      </c>
      <c r="J3285" s="705">
        <v>292008</v>
      </c>
      <c r="K3285" s="705">
        <v>100</v>
      </c>
      <c r="L3285" s="705">
        <v>97174</v>
      </c>
      <c r="M3285" s="705">
        <v>86039</v>
      </c>
      <c r="N3285" s="705">
        <v>30916</v>
      </c>
      <c r="O3285" s="705">
        <v>11450</v>
      </c>
      <c r="P3285" s="705">
        <v>1755</v>
      </c>
      <c r="Q3285" s="705">
        <v>650</v>
      </c>
      <c r="R3285" s="705">
        <v>78598</v>
      </c>
      <c r="S3285" s="705">
        <v>71453</v>
      </c>
      <c r="T3285" s="705">
        <v>30782</v>
      </c>
      <c r="U3285" s="705">
        <v>11401</v>
      </c>
      <c r="V3285" s="705">
        <v>473002</v>
      </c>
      <c r="W3285" s="705">
        <f t="shared" si="126"/>
        <v>473001</v>
      </c>
      <c r="X3285" s="705">
        <f t="shared" si="127"/>
        <v>1027648</v>
      </c>
    </row>
    <row r="3286" spans="2:24">
      <c r="B3286" t="s">
        <v>558</v>
      </c>
      <c r="C3286" t="s">
        <v>124</v>
      </c>
      <c r="D3286" t="s">
        <v>583</v>
      </c>
      <c r="E3286" t="s">
        <v>228</v>
      </c>
      <c r="F3286" s="705">
        <v>16</v>
      </c>
      <c r="G3286" s="705">
        <v>1676</v>
      </c>
      <c r="H3286" s="705">
        <v>8637</v>
      </c>
      <c r="I3286" s="705">
        <v>636378</v>
      </c>
      <c r="J3286" s="705">
        <v>578525</v>
      </c>
      <c r="K3286" s="705">
        <v>72</v>
      </c>
      <c r="L3286" s="705">
        <v>96139</v>
      </c>
      <c r="M3286" s="705">
        <v>87399</v>
      </c>
      <c r="N3286" s="705">
        <v>39214</v>
      </c>
      <c r="O3286" s="705">
        <v>14524</v>
      </c>
      <c r="P3286" s="705">
        <v>9467</v>
      </c>
      <c r="Q3286" s="705">
        <v>3506</v>
      </c>
      <c r="R3286" s="705">
        <v>122701</v>
      </c>
      <c r="S3286" s="705">
        <v>45445</v>
      </c>
      <c r="T3286" s="705">
        <v>2751</v>
      </c>
      <c r="U3286" s="705">
        <v>1019</v>
      </c>
      <c r="V3286" s="705">
        <v>730418</v>
      </c>
      <c r="W3286" s="705">
        <f t="shared" si="126"/>
        <v>730418</v>
      </c>
      <c r="X3286" s="705">
        <f t="shared" si="127"/>
        <v>906650</v>
      </c>
    </row>
    <row r="3287" spans="2:24">
      <c r="B3287" t="s">
        <v>558</v>
      </c>
      <c r="C3287" t="s">
        <v>124</v>
      </c>
      <c r="D3287" t="s">
        <v>583</v>
      </c>
      <c r="E3287" t="s">
        <v>583</v>
      </c>
      <c r="F3287" s="705">
        <v>409</v>
      </c>
      <c r="G3287" s="705">
        <v>44085</v>
      </c>
      <c r="H3287" s="705">
        <v>241229</v>
      </c>
      <c r="I3287" s="705">
        <v>16969524</v>
      </c>
      <c r="J3287" s="705">
        <v>15426840</v>
      </c>
      <c r="K3287" s="705">
        <v>71</v>
      </c>
      <c r="L3287" s="705">
        <v>6014913</v>
      </c>
      <c r="M3287" s="705">
        <v>4079460</v>
      </c>
      <c r="N3287" s="705">
        <v>950078</v>
      </c>
      <c r="O3287" s="705">
        <v>351881</v>
      </c>
      <c r="P3287" s="705">
        <v>262692</v>
      </c>
      <c r="Q3287" s="705">
        <v>97293</v>
      </c>
      <c r="R3287" s="705">
        <v>2167560</v>
      </c>
      <c r="S3287" s="705">
        <v>1970509</v>
      </c>
      <c r="T3287" s="705">
        <v>773688</v>
      </c>
      <c r="U3287" s="705">
        <v>286551</v>
      </c>
      <c r="V3287" s="705">
        <v>22212534</v>
      </c>
      <c r="W3287" s="705">
        <f t="shared" si="126"/>
        <v>22212534</v>
      </c>
      <c r="X3287" s="705">
        <f t="shared" si="127"/>
        <v>27138455</v>
      </c>
    </row>
    <row r="3288" spans="2:24">
      <c r="B3288" t="s">
        <v>558</v>
      </c>
      <c r="C3288" t="s">
        <v>124</v>
      </c>
      <c r="D3288" t="s">
        <v>583</v>
      </c>
      <c r="E3288" t="s">
        <v>584</v>
      </c>
      <c r="F3288" s="705">
        <v>1</v>
      </c>
      <c r="G3288" s="705">
        <v>60</v>
      </c>
      <c r="H3288" s="705">
        <v>613</v>
      </c>
      <c r="I3288" s="705">
        <v>24356</v>
      </c>
      <c r="J3288" s="705">
        <v>22142</v>
      </c>
      <c r="K3288" s="705">
        <v>86</v>
      </c>
      <c r="L3288" s="705">
        <v>3381</v>
      </c>
      <c r="M3288" s="705">
        <v>3073</v>
      </c>
      <c r="N3288" s="705">
        <v>1467</v>
      </c>
      <c r="O3288" s="705">
        <v>543</v>
      </c>
      <c r="P3288" s="705">
        <v>972</v>
      </c>
      <c r="Q3288" s="705">
        <v>360</v>
      </c>
      <c r="R3288" s="705">
        <v>3942</v>
      </c>
      <c r="S3288" s="705">
        <v>3583</v>
      </c>
      <c r="T3288" s="705">
        <v>2784</v>
      </c>
      <c r="U3288" s="705">
        <v>1031</v>
      </c>
      <c r="V3288" s="705">
        <v>30732</v>
      </c>
      <c r="W3288" s="705">
        <f t="shared" si="126"/>
        <v>30732</v>
      </c>
      <c r="X3288" s="705">
        <f t="shared" si="127"/>
        <v>36902</v>
      </c>
    </row>
    <row r="3289" spans="2:24">
      <c r="B3289" t="s">
        <v>558</v>
      </c>
      <c r="C3289" t="s">
        <v>124</v>
      </c>
      <c r="D3289" t="s">
        <v>583</v>
      </c>
      <c r="E3289" t="s">
        <v>665</v>
      </c>
      <c r="F3289" s="705">
        <v>4</v>
      </c>
      <c r="G3289" s="705">
        <v>357</v>
      </c>
      <c r="H3289" s="705">
        <v>2044</v>
      </c>
      <c r="I3289" s="705">
        <v>118327</v>
      </c>
      <c r="J3289" s="705">
        <v>107570</v>
      </c>
      <c r="K3289" s="705">
        <v>79</v>
      </c>
      <c r="L3289" s="705">
        <v>26404</v>
      </c>
      <c r="M3289" s="705">
        <v>24004</v>
      </c>
      <c r="N3289" s="705">
        <v>7815</v>
      </c>
      <c r="O3289" s="705">
        <v>2895</v>
      </c>
      <c r="P3289" s="705">
        <v>2835</v>
      </c>
      <c r="Q3289" s="705">
        <v>1050</v>
      </c>
      <c r="R3289" s="705">
        <v>15201</v>
      </c>
      <c r="S3289" s="705">
        <v>13819</v>
      </c>
      <c r="T3289" s="705">
        <v>9365</v>
      </c>
      <c r="U3289" s="705">
        <v>3468</v>
      </c>
      <c r="V3289" s="705">
        <v>152806</v>
      </c>
      <c r="W3289" s="705">
        <f t="shared" si="126"/>
        <v>152806</v>
      </c>
      <c r="X3289" s="705">
        <f t="shared" si="127"/>
        <v>179947</v>
      </c>
    </row>
    <row r="3290" spans="2:24">
      <c r="B3290" t="s">
        <v>558</v>
      </c>
      <c r="C3290" t="s">
        <v>124</v>
      </c>
      <c r="D3290" t="s">
        <v>666</v>
      </c>
      <c r="E3290" t="s">
        <v>228</v>
      </c>
      <c r="F3290" s="705">
        <v>10</v>
      </c>
      <c r="G3290" s="705">
        <v>716</v>
      </c>
      <c r="H3290" s="705">
        <v>10643</v>
      </c>
      <c r="I3290" s="705">
        <v>597980</v>
      </c>
      <c r="J3290" s="705">
        <v>543618</v>
      </c>
      <c r="K3290" s="705">
        <v>40</v>
      </c>
      <c r="L3290" s="705">
        <v>77876</v>
      </c>
      <c r="M3290" s="705">
        <v>34624</v>
      </c>
      <c r="N3290" s="705">
        <v>16104</v>
      </c>
      <c r="O3290" s="705">
        <v>5964</v>
      </c>
      <c r="P3290" s="705">
        <v>702</v>
      </c>
      <c r="Q3290" s="705">
        <v>260</v>
      </c>
      <c r="R3290" s="705">
        <v>79808</v>
      </c>
      <c r="S3290" s="705">
        <v>29559</v>
      </c>
      <c r="T3290" s="705">
        <v>0</v>
      </c>
      <c r="U3290" s="705">
        <v>0</v>
      </c>
      <c r="V3290" s="705">
        <v>614025</v>
      </c>
      <c r="W3290" s="705">
        <f t="shared" si="126"/>
        <v>614025</v>
      </c>
      <c r="X3290" s="705">
        <f t="shared" si="127"/>
        <v>772470</v>
      </c>
    </row>
    <row r="3291" spans="2:24">
      <c r="B3291" t="s">
        <v>558</v>
      </c>
      <c r="C3291" t="s">
        <v>124</v>
      </c>
      <c r="D3291" t="s">
        <v>666</v>
      </c>
      <c r="E3291" t="s">
        <v>666</v>
      </c>
      <c r="F3291" s="705">
        <v>18</v>
      </c>
      <c r="G3291" s="705">
        <v>1447</v>
      </c>
      <c r="H3291" s="705">
        <v>12128</v>
      </c>
      <c r="I3291" s="705">
        <v>739963</v>
      </c>
      <c r="J3291" s="705">
        <v>672694</v>
      </c>
      <c r="K3291" s="705">
        <v>56</v>
      </c>
      <c r="L3291" s="705">
        <v>86221</v>
      </c>
      <c r="M3291" s="705">
        <v>45347</v>
      </c>
      <c r="N3291" s="705">
        <v>32244</v>
      </c>
      <c r="O3291" s="705">
        <v>11942</v>
      </c>
      <c r="P3291" s="705">
        <v>5535</v>
      </c>
      <c r="Q3291" s="705">
        <v>2050</v>
      </c>
      <c r="R3291" s="705">
        <v>113807</v>
      </c>
      <c r="S3291" s="705">
        <v>103461</v>
      </c>
      <c r="T3291" s="705">
        <v>39907</v>
      </c>
      <c r="U3291" s="705">
        <v>14780</v>
      </c>
      <c r="V3291" s="705">
        <v>850274</v>
      </c>
      <c r="W3291" s="705">
        <f t="shared" si="126"/>
        <v>850274</v>
      </c>
      <c r="X3291" s="705">
        <f t="shared" si="127"/>
        <v>1017677</v>
      </c>
    </row>
    <row r="3292" spans="2:24">
      <c r="B3292" t="s">
        <v>558</v>
      </c>
      <c r="C3292" t="s">
        <v>124</v>
      </c>
      <c r="D3292" t="s">
        <v>584</v>
      </c>
      <c r="E3292" t="s">
        <v>584</v>
      </c>
      <c r="F3292" s="705">
        <v>1</v>
      </c>
      <c r="G3292" s="705">
        <v>76</v>
      </c>
      <c r="H3292" s="705">
        <v>547</v>
      </c>
      <c r="I3292" s="705">
        <v>29018</v>
      </c>
      <c r="J3292" s="705">
        <v>26380</v>
      </c>
      <c r="K3292" s="705">
        <v>68</v>
      </c>
      <c r="L3292" s="705">
        <v>3471</v>
      </c>
      <c r="M3292" s="705">
        <v>3156</v>
      </c>
      <c r="N3292" s="705">
        <v>930</v>
      </c>
      <c r="O3292" s="705">
        <v>345</v>
      </c>
      <c r="P3292" s="705">
        <v>473</v>
      </c>
      <c r="Q3292" s="705">
        <v>175</v>
      </c>
      <c r="R3292" s="705">
        <v>5015</v>
      </c>
      <c r="S3292" s="705">
        <v>4559</v>
      </c>
      <c r="T3292" s="705">
        <v>2830</v>
      </c>
      <c r="U3292" s="705">
        <v>1048</v>
      </c>
      <c r="V3292" s="705">
        <v>35663</v>
      </c>
      <c r="W3292" s="705">
        <f t="shared" si="126"/>
        <v>35663</v>
      </c>
      <c r="X3292" s="705">
        <f t="shared" si="127"/>
        <v>41737</v>
      </c>
    </row>
    <row r="3293" spans="2:24">
      <c r="B3293" t="s">
        <v>558</v>
      </c>
      <c r="C3293" t="s">
        <v>124</v>
      </c>
      <c r="D3293" t="s">
        <v>669</v>
      </c>
      <c r="E3293" t="s">
        <v>228</v>
      </c>
      <c r="F3293" s="705">
        <v>4</v>
      </c>
      <c r="G3293" s="705">
        <v>516</v>
      </c>
      <c r="H3293" s="705">
        <v>4135</v>
      </c>
      <c r="I3293" s="705">
        <v>400723</v>
      </c>
      <c r="J3293" s="705">
        <v>333935</v>
      </c>
      <c r="K3293" s="705">
        <v>30</v>
      </c>
      <c r="L3293" s="705">
        <v>30054</v>
      </c>
      <c r="M3293" s="705">
        <v>11131</v>
      </c>
      <c r="N3293" s="705">
        <v>12319</v>
      </c>
      <c r="O3293" s="705">
        <v>4562</v>
      </c>
      <c r="P3293" s="705">
        <v>0</v>
      </c>
      <c r="Q3293" s="705">
        <v>0</v>
      </c>
      <c r="R3293" s="705">
        <v>34133</v>
      </c>
      <c r="S3293" s="705">
        <v>12642</v>
      </c>
      <c r="T3293" s="705">
        <v>0</v>
      </c>
      <c r="U3293" s="705">
        <v>0</v>
      </c>
      <c r="V3293" s="705">
        <v>362271</v>
      </c>
      <c r="W3293" s="705">
        <f t="shared" si="126"/>
        <v>362270</v>
      </c>
      <c r="X3293" s="705">
        <f t="shared" si="127"/>
        <v>477229</v>
      </c>
    </row>
    <row r="3294" spans="2:24">
      <c r="B3294" t="s">
        <v>558</v>
      </c>
      <c r="C3294" t="s">
        <v>124</v>
      </c>
      <c r="D3294" t="s">
        <v>669</v>
      </c>
      <c r="E3294" t="s">
        <v>669</v>
      </c>
      <c r="F3294" s="705">
        <v>9</v>
      </c>
      <c r="G3294" s="705">
        <v>644</v>
      </c>
      <c r="H3294" s="705">
        <v>6101</v>
      </c>
      <c r="I3294" s="705">
        <v>335719</v>
      </c>
      <c r="J3294" s="705">
        <v>279766</v>
      </c>
      <c r="K3294" s="705">
        <v>54</v>
      </c>
      <c r="L3294" s="705">
        <v>30773</v>
      </c>
      <c r="M3294" s="705">
        <v>21038</v>
      </c>
      <c r="N3294" s="705">
        <v>12948</v>
      </c>
      <c r="O3294" s="705">
        <v>4796</v>
      </c>
      <c r="P3294" s="705">
        <v>3159</v>
      </c>
      <c r="Q3294" s="705">
        <v>1170</v>
      </c>
      <c r="R3294" s="705">
        <v>51322</v>
      </c>
      <c r="S3294" s="705">
        <v>42768</v>
      </c>
      <c r="T3294" s="705">
        <v>17001</v>
      </c>
      <c r="U3294" s="705">
        <v>6297</v>
      </c>
      <c r="V3294" s="705">
        <v>355835</v>
      </c>
      <c r="W3294" s="705">
        <f t="shared" si="126"/>
        <v>355835</v>
      </c>
      <c r="X3294" s="705">
        <f t="shared" si="127"/>
        <v>450922</v>
      </c>
    </row>
    <row r="3295" spans="2:24">
      <c r="B3295" t="s">
        <v>558</v>
      </c>
      <c r="C3295" t="s">
        <v>124</v>
      </c>
      <c r="D3295" t="s">
        <v>667</v>
      </c>
      <c r="E3295" t="s">
        <v>667</v>
      </c>
      <c r="F3295" s="705">
        <v>1</v>
      </c>
      <c r="G3295" s="705">
        <v>75</v>
      </c>
      <c r="H3295" s="705">
        <v>1213</v>
      </c>
      <c r="I3295" s="705">
        <v>78234</v>
      </c>
      <c r="J3295" s="705">
        <v>71121</v>
      </c>
      <c r="K3295" s="705">
        <v>30</v>
      </c>
      <c r="L3295" s="705">
        <v>0</v>
      </c>
      <c r="M3295" s="705">
        <v>0</v>
      </c>
      <c r="N3295" s="705">
        <v>1828</v>
      </c>
      <c r="O3295" s="705">
        <v>677</v>
      </c>
      <c r="P3295" s="705">
        <v>351</v>
      </c>
      <c r="Q3295" s="705">
        <v>130</v>
      </c>
      <c r="R3295" s="705">
        <v>7751</v>
      </c>
      <c r="S3295" s="705">
        <v>7047</v>
      </c>
      <c r="T3295" s="705">
        <v>2811</v>
      </c>
      <c r="U3295" s="705">
        <v>1041</v>
      </c>
      <c r="V3295" s="705">
        <v>80016</v>
      </c>
      <c r="W3295" s="705">
        <f t="shared" si="126"/>
        <v>80016</v>
      </c>
      <c r="X3295" s="705">
        <f t="shared" si="127"/>
        <v>90975</v>
      </c>
    </row>
    <row r="3296" spans="2:24">
      <c r="B3296" t="s">
        <v>558</v>
      </c>
      <c r="C3296" t="s">
        <v>124</v>
      </c>
      <c r="D3296" t="s">
        <v>665</v>
      </c>
      <c r="E3296" t="s">
        <v>228</v>
      </c>
      <c r="F3296" s="705">
        <v>61</v>
      </c>
      <c r="G3296" s="705">
        <v>5460</v>
      </c>
      <c r="H3296" s="705">
        <v>61825</v>
      </c>
      <c r="I3296" s="705">
        <v>4447130</v>
      </c>
      <c r="J3296" s="705">
        <v>4042845</v>
      </c>
      <c r="K3296" s="705">
        <v>42</v>
      </c>
      <c r="L3296" s="705">
        <v>461885</v>
      </c>
      <c r="M3296" s="705">
        <v>231974</v>
      </c>
      <c r="N3296" s="705">
        <v>122797</v>
      </c>
      <c r="O3296" s="705">
        <v>45480</v>
      </c>
      <c r="P3296" s="705">
        <v>1989</v>
      </c>
      <c r="Q3296" s="705">
        <v>737</v>
      </c>
      <c r="R3296" s="705">
        <v>474096</v>
      </c>
      <c r="S3296" s="705">
        <v>175591</v>
      </c>
      <c r="T3296" s="705">
        <v>0</v>
      </c>
      <c r="U3296" s="705">
        <v>0</v>
      </c>
      <c r="V3296" s="705">
        <v>4496628</v>
      </c>
      <c r="W3296" s="705">
        <f t="shared" si="126"/>
        <v>4496627</v>
      </c>
      <c r="X3296" s="705">
        <f t="shared" si="127"/>
        <v>5507897</v>
      </c>
    </row>
    <row r="3297" spans="2:24">
      <c r="B3297" t="s">
        <v>558</v>
      </c>
      <c r="C3297" t="s">
        <v>124</v>
      </c>
      <c r="D3297" t="s">
        <v>665</v>
      </c>
      <c r="E3297" t="s">
        <v>669</v>
      </c>
      <c r="F3297" s="705">
        <v>1</v>
      </c>
      <c r="G3297" s="705">
        <v>63</v>
      </c>
      <c r="H3297" s="705">
        <v>866</v>
      </c>
      <c r="I3297" s="705">
        <v>37783</v>
      </c>
      <c r="J3297" s="705">
        <v>34348</v>
      </c>
      <c r="K3297" s="705">
        <v>74</v>
      </c>
      <c r="L3297" s="705">
        <v>8924</v>
      </c>
      <c r="M3297" s="705">
        <v>8113</v>
      </c>
      <c r="N3297" s="705">
        <v>1525</v>
      </c>
      <c r="O3297" s="705">
        <v>565</v>
      </c>
      <c r="P3297" s="705">
        <v>351</v>
      </c>
      <c r="Q3297" s="705">
        <v>130</v>
      </c>
      <c r="R3297" s="705">
        <v>3655</v>
      </c>
      <c r="S3297" s="705">
        <v>3046</v>
      </c>
      <c r="T3297" s="705">
        <v>1926</v>
      </c>
      <c r="U3297" s="705">
        <v>713</v>
      </c>
      <c r="V3297" s="705">
        <v>46914</v>
      </c>
      <c r="W3297" s="705">
        <f t="shared" si="126"/>
        <v>46915</v>
      </c>
      <c r="X3297" s="705">
        <f t="shared" si="127"/>
        <v>54164</v>
      </c>
    </row>
    <row r="3298" spans="2:24">
      <c r="B3298" t="s">
        <v>558</v>
      </c>
      <c r="C3298" t="s">
        <v>124</v>
      </c>
      <c r="D3298" t="s">
        <v>665</v>
      </c>
      <c r="E3298" t="s">
        <v>665</v>
      </c>
      <c r="F3298" s="705">
        <v>158</v>
      </c>
      <c r="G3298" s="705">
        <v>13752</v>
      </c>
      <c r="H3298" s="705">
        <v>115623</v>
      </c>
      <c r="I3298" s="705">
        <v>7336777</v>
      </c>
      <c r="J3298" s="705">
        <v>6669797</v>
      </c>
      <c r="K3298" s="705">
        <v>55</v>
      </c>
      <c r="L3298" s="705">
        <v>972981</v>
      </c>
      <c r="M3298" s="705">
        <v>743125</v>
      </c>
      <c r="N3298" s="705">
        <v>295592</v>
      </c>
      <c r="O3298" s="705">
        <v>109479</v>
      </c>
      <c r="P3298" s="705">
        <v>53406</v>
      </c>
      <c r="Q3298" s="705">
        <v>19780</v>
      </c>
      <c r="R3298" s="705">
        <v>923676</v>
      </c>
      <c r="S3298" s="705">
        <v>839705</v>
      </c>
      <c r="T3298" s="705">
        <v>311237</v>
      </c>
      <c r="U3298" s="705">
        <v>115273</v>
      </c>
      <c r="V3298" s="705">
        <v>8497158</v>
      </c>
      <c r="W3298" s="705">
        <f t="shared" si="126"/>
        <v>8497159</v>
      </c>
      <c r="X3298" s="705">
        <f t="shared" si="127"/>
        <v>9893669</v>
      </c>
    </row>
    <row r="3299" spans="2:24">
      <c r="B3299" t="s">
        <v>558</v>
      </c>
      <c r="C3299" t="s">
        <v>124</v>
      </c>
      <c r="D3299" t="s">
        <v>673</v>
      </c>
      <c r="E3299" t="s">
        <v>673</v>
      </c>
      <c r="F3299" s="705">
        <v>12</v>
      </c>
      <c r="G3299" s="705">
        <v>1347</v>
      </c>
      <c r="H3299" s="705">
        <v>8155</v>
      </c>
      <c r="I3299" s="705">
        <v>695985</v>
      </c>
      <c r="J3299" s="705">
        <v>632714</v>
      </c>
      <c r="K3299" s="705">
        <v>53</v>
      </c>
      <c r="L3299" s="705">
        <v>70604</v>
      </c>
      <c r="M3299" s="705">
        <v>56292</v>
      </c>
      <c r="N3299" s="705">
        <v>30960</v>
      </c>
      <c r="O3299" s="705">
        <v>11467</v>
      </c>
      <c r="P3299" s="705">
        <v>4563</v>
      </c>
      <c r="Q3299" s="705">
        <v>1690</v>
      </c>
      <c r="R3299" s="705">
        <v>68366</v>
      </c>
      <c r="S3299" s="705">
        <v>62151</v>
      </c>
      <c r="T3299" s="705">
        <v>30533</v>
      </c>
      <c r="U3299" s="705">
        <v>11308</v>
      </c>
      <c r="V3299" s="705">
        <v>775621</v>
      </c>
      <c r="W3299" s="705">
        <f t="shared" si="126"/>
        <v>775622</v>
      </c>
      <c r="X3299" s="705">
        <f t="shared" si="127"/>
        <v>901011</v>
      </c>
    </row>
    <row r="3300" spans="2:24">
      <c r="B3300" t="s">
        <v>558</v>
      </c>
      <c r="C3300" t="s">
        <v>124</v>
      </c>
      <c r="D3300" t="s">
        <v>585</v>
      </c>
      <c r="E3300" t="s">
        <v>228</v>
      </c>
      <c r="F3300" s="705">
        <v>1</v>
      </c>
      <c r="G3300" s="705">
        <v>47</v>
      </c>
      <c r="H3300" s="705">
        <v>460</v>
      </c>
      <c r="I3300" s="705">
        <v>11890</v>
      </c>
      <c r="J3300" s="705">
        <v>10809</v>
      </c>
      <c r="K3300" s="705">
        <v>65</v>
      </c>
      <c r="L3300" s="705">
        <v>2108</v>
      </c>
      <c r="M3300" s="705">
        <v>781</v>
      </c>
      <c r="N3300" s="705">
        <v>685</v>
      </c>
      <c r="O3300" s="705">
        <v>254</v>
      </c>
      <c r="P3300" s="705">
        <v>351</v>
      </c>
      <c r="Q3300" s="705">
        <v>130</v>
      </c>
      <c r="R3300" s="705">
        <v>6504</v>
      </c>
      <c r="S3300" s="705">
        <v>2409</v>
      </c>
      <c r="T3300" s="705">
        <v>0</v>
      </c>
      <c r="U3300" s="705">
        <v>0</v>
      </c>
      <c r="V3300" s="705">
        <v>14382</v>
      </c>
      <c r="W3300" s="705">
        <f t="shared" si="126"/>
        <v>14383</v>
      </c>
      <c r="X3300" s="705">
        <f t="shared" si="127"/>
        <v>21538</v>
      </c>
    </row>
    <row r="3301" spans="2:24">
      <c r="B3301" t="s">
        <v>559</v>
      </c>
      <c r="C3301" t="s">
        <v>108</v>
      </c>
      <c r="D3301" t="s">
        <v>664</v>
      </c>
      <c r="E3301" t="s">
        <v>664</v>
      </c>
      <c r="F3301" s="705">
        <v>1</v>
      </c>
      <c r="G3301" s="705">
        <v>149</v>
      </c>
      <c r="H3301" s="705">
        <v>69</v>
      </c>
      <c r="I3301" s="705">
        <v>1017</v>
      </c>
      <c r="J3301" s="705">
        <v>925</v>
      </c>
      <c r="K3301" s="705">
        <v>91</v>
      </c>
      <c r="L3301" s="705">
        <v>172</v>
      </c>
      <c r="M3301" s="705">
        <v>157</v>
      </c>
      <c r="N3301" s="705">
        <v>2048</v>
      </c>
      <c r="O3301" s="705">
        <v>758</v>
      </c>
      <c r="P3301" s="705">
        <v>1692</v>
      </c>
      <c r="Q3301" s="705">
        <v>627</v>
      </c>
      <c r="R3301" s="705">
        <v>5396</v>
      </c>
      <c r="S3301" s="705">
        <v>4905</v>
      </c>
      <c r="T3301" s="705">
        <v>0</v>
      </c>
      <c r="U3301" s="705">
        <v>0</v>
      </c>
      <c r="V3301" s="705">
        <v>7372</v>
      </c>
      <c r="W3301" s="705">
        <f t="shared" si="126"/>
        <v>7372</v>
      </c>
      <c r="X3301" s="705">
        <f t="shared" si="127"/>
        <v>10325</v>
      </c>
    </row>
    <row r="3302" spans="2:24">
      <c r="B3302" t="s">
        <v>559</v>
      </c>
      <c r="C3302" t="s">
        <v>108</v>
      </c>
      <c r="D3302" t="s">
        <v>582</v>
      </c>
      <c r="E3302" t="s">
        <v>582</v>
      </c>
      <c r="F3302" s="705">
        <v>1</v>
      </c>
      <c r="G3302" s="705">
        <v>134</v>
      </c>
      <c r="H3302" s="705">
        <v>56</v>
      </c>
      <c r="I3302" s="705">
        <v>371</v>
      </c>
      <c r="J3302" s="705">
        <v>337</v>
      </c>
      <c r="K3302" s="705">
        <v>92</v>
      </c>
      <c r="L3302" s="705">
        <v>138</v>
      </c>
      <c r="M3302" s="705">
        <v>115</v>
      </c>
      <c r="N3302" s="705">
        <v>1631</v>
      </c>
      <c r="O3302" s="705">
        <v>604</v>
      </c>
      <c r="P3302" s="705">
        <v>1690</v>
      </c>
      <c r="Q3302" s="705">
        <v>626</v>
      </c>
      <c r="R3302" s="705">
        <v>3641</v>
      </c>
      <c r="S3302" s="705">
        <v>3310</v>
      </c>
      <c r="T3302" s="705">
        <v>0</v>
      </c>
      <c r="U3302" s="705">
        <v>0</v>
      </c>
      <c r="V3302" s="705">
        <v>4993</v>
      </c>
      <c r="W3302" s="705">
        <f t="shared" si="126"/>
        <v>4992</v>
      </c>
      <c r="X3302" s="705">
        <f t="shared" si="127"/>
        <v>7471</v>
      </c>
    </row>
    <row r="3303" spans="2:24">
      <c r="B3303" t="s">
        <v>559</v>
      </c>
      <c r="C3303" t="s">
        <v>108</v>
      </c>
      <c r="D3303" t="s">
        <v>228</v>
      </c>
      <c r="E3303" t="s">
        <v>228</v>
      </c>
      <c r="F3303" s="705">
        <v>276</v>
      </c>
      <c r="G3303" s="705">
        <v>53529</v>
      </c>
      <c r="H3303" s="705">
        <v>14689</v>
      </c>
      <c r="I3303" s="705">
        <v>340570</v>
      </c>
      <c r="J3303" s="705">
        <v>126137</v>
      </c>
      <c r="K3303" s="705">
        <v>455</v>
      </c>
      <c r="L3303" s="705">
        <v>88124</v>
      </c>
      <c r="M3303" s="705">
        <v>68294</v>
      </c>
      <c r="N3303" s="705">
        <v>716298</v>
      </c>
      <c r="O3303" s="705">
        <v>265296</v>
      </c>
      <c r="P3303" s="705">
        <v>340193</v>
      </c>
      <c r="Q3303" s="705">
        <v>125997</v>
      </c>
      <c r="R3303" s="705">
        <v>1372545</v>
      </c>
      <c r="S3303" s="705">
        <v>508350</v>
      </c>
      <c r="T3303" s="705">
        <v>0</v>
      </c>
      <c r="U3303" s="705">
        <v>0</v>
      </c>
      <c r="V3303" s="705">
        <v>1094073</v>
      </c>
      <c r="W3303" s="705">
        <f t="shared" si="126"/>
        <v>1094074</v>
      </c>
      <c r="X3303" s="705">
        <f t="shared" si="127"/>
        <v>2857730</v>
      </c>
    </row>
    <row r="3304" spans="2:24">
      <c r="B3304" t="s">
        <v>559</v>
      </c>
      <c r="C3304" t="s">
        <v>108</v>
      </c>
      <c r="D3304" t="s">
        <v>583</v>
      </c>
      <c r="E3304" t="s">
        <v>228</v>
      </c>
      <c r="F3304" s="705">
        <v>1</v>
      </c>
      <c r="G3304" s="705">
        <v>252</v>
      </c>
      <c r="H3304" s="705">
        <v>73</v>
      </c>
      <c r="I3304" s="705">
        <v>4425</v>
      </c>
      <c r="J3304" s="705">
        <v>4023</v>
      </c>
      <c r="K3304" s="705">
        <v>94</v>
      </c>
      <c r="L3304" s="705">
        <v>585</v>
      </c>
      <c r="M3304" s="705">
        <v>532</v>
      </c>
      <c r="N3304" s="705">
        <v>3069</v>
      </c>
      <c r="O3304" s="705">
        <v>1137</v>
      </c>
      <c r="P3304" s="705">
        <v>4134</v>
      </c>
      <c r="Q3304" s="705">
        <v>1531</v>
      </c>
      <c r="R3304" s="705">
        <v>6219</v>
      </c>
      <c r="S3304" s="705">
        <v>2303</v>
      </c>
      <c r="T3304" s="705">
        <v>0</v>
      </c>
      <c r="U3304" s="705">
        <v>0</v>
      </c>
      <c r="V3304" s="705">
        <v>9526</v>
      </c>
      <c r="W3304" s="705">
        <f t="shared" si="126"/>
        <v>9526</v>
      </c>
      <c r="X3304" s="705">
        <f t="shared" si="127"/>
        <v>18432</v>
      </c>
    </row>
    <row r="3305" spans="2:24">
      <c r="B3305" t="s">
        <v>559</v>
      </c>
      <c r="C3305" t="s">
        <v>108</v>
      </c>
      <c r="D3305" t="s">
        <v>583</v>
      </c>
      <c r="E3305" t="s">
        <v>583</v>
      </c>
      <c r="F3305" s="705">
        <v>24</v>
      </c>
      <c r="G3305" s="705">
        <v>4735</v>
      </c>
      <c r="H3305" s="705">
        <v>1502</v>
      </c>
      <c r="I3305" s="705">
        <v>100810</v>
      </c>
      <c r="J3305" s="705">
        <v>91645</v>
      </c>
      <c r="K3305" s="705">
        <v>95</v>
      </c>
      <c r="L3305" s="705">
        <v>16400</v>
      </c>
      <c r="M3305" s="705">
        <v>14638</v>
      </c>
      <c r="N3305" s="705">
        <v>65344</v>
      </c>
      <c r="O3305" s="705">
        <v>24202</v>
      </c>
      <c r="P3305" s="705">
        <v>28427</v>
      </c>
      <c r="Q3305" s="705">
        <v>10528</v>
      </c>
      <c r="R3305" s="705">
        <v>93031</v>
      </c>
      <c r="S3305" s="705">
        <v>84574</v>
      </c>
      <c r="T3305" s="705">
        <v>0</v>
      </c>
      <c r="U3305" s="705">
        <v>0</v>
      </c>
      <c r="V3305" s="705">
        <v>225587</v>
      </c>
      <c r="W3305" s="705">
        <f t="shared" si="126"/>
        <v>225587</v>
      </c>
      <c r="X3305" s="705">
        <f t="shared" si="127"/>
        <v>304012</v>
      </c>
    </row>
    <row r="3306" spans="2:24">
      <c r="B3306" t="s">
        <v>559</v>
      </c>
      <c r="C3306" t="s">
        <v>108</v>
      </c>
      <c r="D3306" t="s">
        <v>584</v>
      </c>
      <c r="E3306" t="s">
        <v>228</v>
      </c>
      <c r="F3306" s="705">
        <v>13</v>
      </c>
      <c r="G3306" s="705">
        <v>1852</v>
      </c>
      <c r="H3306" s="705">
        <v>657</v>
      </c>
      <c r="I3306" s="705">
        <v>19360</v>
      </c>
      <c r="J3306" s="705">
        <v>17600</v>
      </c>
      <c r="K3306" s="705">
        <v>91</v>
      </c>
      <c r="L3306" s="705">
        <v>511</v>
      </c>
      <c r="M3306" s="705">
        <v>465</v>
      </c>
      <c r="N3306" s="705">
        <v>22565</v>
      </c>
      <c r="O3306" s="705">
        <v>8357</v>
      </c>
      <c r="P3306" s="705">
        <v>6143</v>
      </c>
      <c r="Q3306" s="705">
        <v>2275</v>
      </c>
      <c r="R3306" s="705">
        <v>45636</v>
      </c>
      <c r="S3306" s="705">
        <v>16902</v>
      </c>
      <c r="T3306" s="705">
        <v>0</v>
      </c>
      <c r="U3306" s="705">
        <v>0</v>
      </c>
      <c r="V3306" s="705">
        <v>45600</v>
      </c>
      <c r="W3306" s="705">
        <f t="shared" si="126"/>
        <v>45599</v>
      </c>
      <c r="X3306" s="705">
        <f t="shared" si="127"/>
        <v>94215</v>
      </c>
    </row>
    <row r="3307" spans="2:24">
      <c r="B3307" t="s">
        <v>559</v>
      </c>
      <c r="C3307" t="s">
        <v>108</v>
      </c>
      <c r="D3307" t="s">
        <v>584</v>
      </c>
      <c r="E3307" t="s">
        <v>584</v>
      </c>
      <c r="F3307" s="705">
        <v>169</v>
      </c>
      <c r="G3307" s="705">
        <v>24908</v>
      </c>
      <c r="H3307" s="705">
        <v>10286</v>
      </c>
      <c r="I3307" s="705">
        <v>456929</v>
      </c>
      <c r="J3307" s="705">
        <v>415390</v>
      </c>
      <c r="K3307" s="705">
        <v>90</v>
      </c>
      <c r="L3307" s="705">
        <v>20177</v>
      </c>
      <c r="M3307" s="705">
        <v>16829</v>
      </c>
      <c r="N3307" s="705">
        <v>307831</v>
      </c>
      <c r="O3307" s="705">
        <v>114011</v>
      </c>
      <c r="P3307" s="705">
        <v>167945</v>
      </c>
      <c r="Q3307" s="705">
        <v>62202</v>
      </c>
      <c r="R3307" s="705">
        <v>535823</v>
      </c>
      <c r="S3307" s="705">
        <v>487111</v>
      </c>
      <c r="T3307" s="705">
        <v>0</v>
      </c>
      <c r="U3307" s="705">
        <v>0</v>
      </c>
      <c r="V3307" s="705">
        <v>1095544</v>
      </c>
      <c r="W3307" s="705">
        <f t="shared" si="126"/>
        <v>1095543</v>
      </c>
      <c r="X3307" s="705">
        <f t="shared" si="127"/>
        <v>1488705</v>
      </c>
    </row>
    <row r="3308" spans="2:24">
      <c r="B3308" t="s">
        <v>559</v>
      </c>
      <c r="C3308" t="s">
        <v>108</v>
      </c>
      <c r="D3308" t="s">
        <v>673</v>
      </c>
      <c r="E3308" t="s">
        <v>673</v>
      </c>
      <c r="F3308" s="705">
        <v>3</v>
      </c>
      <c r="G3308" s="705">
        <v>612</v>
      </c>
      <c r="H3308" s="705">
        <v>206</v>
      </c>
      <c r="I3308" s="705">
        <v>14131</v>
      </c>
      <c r="J3308" s="705">
        <v>12846</v>
      </c>
      <c r="K3308" s="705">
        <v>82</v>
      </c>
      <c r="L3308" s="705">
        <v>2241</v>
      </c>
      <c r="M3308" s="705">
        <v>1087</v>
      </c>
      <c r="N3308" s="705">
        <v>7457</v>
      </c>
      <c r="O3308" s="705">
        <v>2762</v>
      </c>
      <c r="P3308" s="705">
        <v>6380</v>
      </c>
      <c r="Q3308" s="705">
        <v>2363</v>
      </c>
      <c r="R3308" s="705">
        <v>11345</v>
      </c>
      <c r="S3308" s="705">
        <v>10313</v>
      </c>
      <c r="T3308" s="705">
        <v>0</v>
      </c>
      <c r="U3308" s="705">
        <v>0</v>
      </c>
      <c r="V3308" s="705">
        <v>29371</v>
      </c>
      <c r="W3308" s="705">
        <f t="shared" ref="W3308:W3371" si="128">SUM(ABS(J3308),ABS(M3308),ABS(O3308),ABS(Q3308),ABS(S3308),ABS(U3308))</f>
        <v>29371</v>
      </c>
      <c r="X3308" s="705">
        <f t="shared" ref="X3308:X3371" si="129">SUM(ABS(I3308),ABS(N3308),ABS(P3308),ABS(R3308),ABS(T3308),ABS(L3308))</f>
        <v>41554</v>
      </c>
    </row>
    <row r="3309" spans="2:24">
      <c r="B3309" t="s">
        <v>559</v>
      </c>
      <c r="C3309" t="s">
        <v>110</v>
      </c>
      <c r="D3309" t="s">
        <v>582</v>
      </c>
      <c r="E3309" t="s">
        <v>582</v>
      </c>
      <c r="F3309" s="705">
        <v>3</v>
      </c>
      <c r="G3309" s="705">
        <v>617</v>
      </c>
      <c r="H3309" s="705">
        <v>273</v>
      </c>
      <c r="I3309" s="705">
        <v>25939</v>
      </c>
      <c r="J3309" s="705">
        <v>23581</v>
      </c>
      <c r="K3309" s="705">
        <v>92</v>
      </c>
      <c r="L3309" s="705">
        <v>4017</v>
      </c>
      <c r="M3309" s="705">
        <v>3652</v>
      </c>
      <c r="N3309" s="705">
        <v>10492</v>
      </c>
      <c r="O3309" s="705">
        <v>3886</v>
      </c>
      <c r="P3309" s="705">
        <v>5029</v>
      </c>
      <c r="Q3309" s="705">
        <v>1862</v>
      </c>
      <c r="R3309" s="705">
        <v>14476</v>
      </c>
      <c r="S3309" s="705">
        <v>13160</v>
      </c>
      <c r="T3309" s="705">
        <v>0</v>
      </c>
      <c r="U3309" s="705">
        <v>0</v>
      </c>
      <c r="V3309" s="705">
        <v>46141</v>
      </c>
      <c r="W3309" s="705">
        <f t="shared" si="128"/>
        <v>46141</v>
      </c>
      <c r="X3309" s="705">
        <f t="shared" si="129"/>
        <v>59953</v>
      </c>
    </row>
    <row r="3310" spans="2:24">
      <c r="B3310" t="s">
        <v>559</v>
      </c>
      <c r="C3310" t="s">
        <v>110</v>
      </c>
      <c r="D3310" t="s">
        <v>228</v>
      </c>
      <c r="E3310" t="s">
        <v>228</v>
      </c>
      <c r="F3310" s="705">
        <v>37</v>
      </c>
      <c r="G3310" s="705">
        <v>10331</v>
      </c>
      <c r="H3310" s="705">
        <v>3311</v>
      </c>
      <c r="I3310" s="705">
        <v>419181</v>
      </c>
      <c r="J3310" s="705">
        <v>155252</v>
      </c>
      <c r="K3310" s="705">
        <v>353</v>
      </c>
      <c r="L3310" s="705">
        <v>103435</v>
      </c>
      <c r="M3310" s="705">
        <v>92995</v>
      </c>
      <c r="N3310" s="705">
        <v>183870</v>
      </c>
      <c r="O3310" s="705">
        <v>68100</v>
      </c>
      <c r="P3310" s="705">
        <v>42000</v>
      </c>
      <c r="Q3310" s="705">
        <v>15555</v>
      </c>
      <c r="R3310" s="705">
        <v>213488</v>
      </c>
      <c r="S3310" s="705">
        <v>79069</v>
      </c>
      <c r="T3310" s="705">
        <v>8862</v>
      </c>
      <c r="U3310" s="705">
        <v>3282</v>
      </c>
      <c r="V3310" s="705">
        <v>414255</v>
      </c>
      <c r="W3310" s="705">
        <f t="shared" si="128"/>
        <v>414253</v>
      </c>
      <c r="X3310" s="705">
        <f t="shared" si="129"/>
        <v>970836</v>
      </c>
    </row>
    <row r="3311" spans="2:24">
      <c r="B3311" t="s">
        <v>559</v>
      </c>
      <c r="C3311" t="s">
        <v>110</v>
      </c>
      <c r="D3311" t="s">
        <v>670</v>
      </c>
      <c r="E3311" t="s">
        <v>670</v>
      </c>
      <c r="F3311" s="705">
        <v>1</v>
      </c>
      <c r="G3311" s="705">
        <v>213</v>
      </c>
      <c r="H3311" s="705">
        <v>95</v>
      </c>
      <c r="I3311" s="705">
        <v>6799</v>
      </c>
      <c r="J3311" s="705">
        <v>2518</v>
      </c>
      <c r="K3311" s="705">
        <v>320</v>
      </c>
      <c r="L3311" s="705">
        <v>0</v>
      </c>
      <c r="M3311" s="705">
        <v>0</v>
      </c>
      <c r="N3311" s="705">
        <v>2858</v>
      </c>
      <c r="O3311" s="705">
        <v>1059</v>
      </c>
      <c r="P3311" s="705">
        <v>1935</v>
      </c>
      <c r="Q3311" s="705">
        <v>717</v>
      </c>
      <c r="R3311" s="705">
        <v>5174</v>
      </c>
      <c r="S3311" s="705">
        <v>1916</v>
      </c>
      <c r="T3311" s="705">
        <v>3553</v>
      </c>
      <c r="U3311" s="705">
        <v>1316</v>
      </c>
      <c r="V3311" s="705">
        <v>7526</v>
      </c>
      <c r="W3311" s="705">
        <f t="shared" si="128"/>
        <v>7526</v>
      </c>
      <c r="X3311" s="705">
        <f t="shared" si="129"/>
        <v>20319</v>
      </c>
    </row>
    <row r="3312" spans="2:24">
      <c r="B3312" t="s">
        <v>559</v>
      </c>
      <c r="C3312" t="s">
        <v>110</v>
      </c>
      <c r="D3312" t="s">
        <v>583</v>
      </c>
      <c r="E3312" t="s">
        <v>228</v>
      </c>
      <c r="F3312" s="705">
        <v>1</v>
      </c>
      <c r="G3312" s="705">
        <v>270</v>
      </c>
      <c r="H3312" s="705">
        <v>92</v>
      </c>
      <c r="I3312" s="705">
        <v>8551</v>
      </c>
      <c r="J3312" s="705">
        <v>7773</v>
      </c>
      <c r="K3312" s="705">
        <v>97</v>
      </c>
      <c r="L3312" s="705">
        <v>1676</v>
      </c>
      <c r="M3312" s="705">
        <v>1396</v>
      </c>
      <c r="N3312" s="705">
        <v>4176</v>
      </c>
      <c r="O3312" s="705">
        <v>1547</v>
      </c>
      <c r="P3312" s="705">
        <v>2904</v>
      </c>
      <c r="Q3312" s="705">
        <v>1076</v>
      </c>
      <c r="R3312" s="705">
        <v>7602</v>
      </c>
      <c r="S3312" s="705">
        <v>2816</v>
      </c>
      <c r="T3312" s="705">
        <v>0</v>
      </c>
      <c r="U3312" s="705">
        <v>0</v>
      </c>
      <c r="V3312" s="705">
        <v>14608</v>
      </c>
      <c r="W3312" s="705">
        <f t="shared" si="128"/>
        <v>14608</v>
      </c>
      <c r="X3312" s="705">
        <f t="shared" si="129"/>
        <v>24909</v>
      </c>
    </row>
    <row r="3313" spans="2:24">
      <c r="B3313" t="s">
        <v>559</v>
      </c>
      <c r="C3313" t="s">
        <v>110</v>
      </c>
      <c r="D3313" t="s">
        <v>583</v>
      </c>
      <c r="E3313" t="s">
        <v>583</v>
      </c>
      <c r="F3313" s="705">
        <v>23</v>
      </c>
      <c r="G3313" s="705">
        <v>4322</v>
      </c>
      <c r="H3313" s="705">
        <v>2116</v>
      </c>
      <c r="I3313" s="705">
        <v>211790</v>
      </c>
      <c r="J3313" s="705">
        <v>192537</v>
      </c>
      <c r="K3313" s="705">
        <v>94</v>
      </c>
      <c r="L3313" s="705">
        <v>32808</v>
      </c>
      <c r="M3313" s="705">
        <v>32683</v>
      </c>
      <c r="N3313" s="705">
        <v>65831</v>
      </c>
      <c r="O3313" s="705">
        <v>24382</v>
      </c>
      <c r="P3313" s="705">
        <v>24257</v>
      </c>
      <c r="Q3313" s="705">
        <v>8984</v>
      </c>
      <c r="R3313" s="705">
        <v>94297</v>
      </c>
      <c r="S3313" s="705">
        <v>85725</v>
      </c>
      <c r="T3313" s="705">
        <v>0</v>
      </c>
      <c r="U3313" s="705">
        <v>0</v>
      </c>
      <c r="V3313" s="705">
        <v>344310</v>
      </c>
      <c r="W3313" s="705">
        <f t="shared" si="128"/>
        <v>344311</v>
      </c>
      <c r="X3313" s="705">
        <f t="shared" si="129"/>
        <v>428983</v>
      </c>
    </row>
    <row r="3314" spans="2:24">
      <c r="B3314" t="s">
        <v>559</v>
      </c>
      <c r="C3314" t="s">
        <v>110</v>
      </c>
      <c r="D3314" t="s">
        <v>584</v>
      </c>
      <c r="E3314" t="s">
        <v>584</v>
      </c>
      <c r="F3314" s="705">
        <v>22</v>
      </c>
      <c r="G3314" s="705">
        <v>4722</v>
      </c>
      <c r="H3314" s="705">
        <v>2014</v>
      </c>
      <c r="I3314" s="705">
        <v>257432</v>
      </c>
      <c r="J3314" s="705">
        <v>234029</v>
      </c>
      <c r="K3314" s="705">
        <v>90</v>
      </c>
      <c r="L3314" s="705">
        <v>25061</v>
      </c>
      <c r="M3314" s="705">
        <v>31577</v>
      </c>
      <c r="N3314" s="705">
        <v>66931</v>
      </c>
      <c r="O3314" s="705">
        <v>24789</v>
      </c>
      <c r="P3314" s="705">
        <v>15138</v>
      </c>
      <c r="Q3314" s="705">
        <v>5607</v>
      </c>
      <c r="R3314" s="705">
        <v>91807</v>
      </c>
      <c r="S3314" s="705">
        <v>83461</v>
      </c>
      <c r="T3314" s="705">
        <v>0</v>
      </c>
      <c r="U3314" s="705">
        <v>0</v>
      </c>
      <c r="V3314" s="705">
        <v>379464</v>
      </c>
      <c r="W3314" s="705">
        <f t="shared" si="128"/>
        <v>379463</v>
      </c>
      <c r="X3314" s="705">
        <f t="shared" si="129"/>
        <v>456369</v>
      </c>
    </row>
    <row r="3315" spans="2:24">
      <c r="B3315" t="s">
        <v>559</v>
      </c>
      <c r="C3315" t="s">
        <v>110</v>
      </c>
      <c r="D3315" t="s">
        <v>585</v>
      </c>
      <c r="E3315" t="s">
        <v>585</v>
      </c>
      <c r="F3315" s="705">
        <v>1</v>
      </c>
      <c r="G3315" s="705">
        <v>306</v>
      </c>
      <c r="H3315" s="705">
        <v>97</v>
      </c>
      <c r="I3315" s="705">
        <v>16389</v>
      </c>
      <c r="J3315" s="705">
        <v>14899</v>
      </c>
      <c r="K3315" s="705">
        <v>95</v>
      </c>
      <c r="L3315" s="705">
        <v>5791</v>
      </c>
      <c r="M3315" s="705">
        <v>5264</v>
      </c>
      <c r="N3315" s="705">
        <v>3728</v>
      </c>
      <c r="O3315" s="705">
        <v>1381</v>
      </c>
      <c r="P3315" s="705">
        <v>351</v>
      </c>
      <c r="Q3315" s="705">
        <v>130</v>
      </c>
      <c r="R3315" s="705">
        <v>2716</v>
      </c>
      <c r="S3315" s="705">
        <v>2469</v>
      </c>
      <c r="T3315" s="705">
        <v>685</v>
      </c>
      <c r="U3315" s="705">
        <v>254</v>
      </c>
      <c r="V3315" s="705">
        <v>24397</v>
      </c>
      <c r="W3315" s="705">
        <f t="shared" si="128"/>
        <v>24397</v>
      </c>
      <c r="X3315" s="705">
        <f t="shared" si="129"/>
        <v>29660</v>
      </c>
    </row>
    <row r="3316" spans="2:24">
      <c r="B3316" t="s">
        <v>559</v>
      </c>
      <c r="C3316" t="s">
        <v>110</v>
      </c>
      <c r="D3316" t="s">
        <v>668</v>
      </c>
      <c r="E3316" t="s">
        <v>668</v>
      </c>
      <c r="F3316" s="705">
        <v>1</v>
      </c>
      <c r="G3316" s="705">
        <v>162</v>
      </c>
      <c r="H3316" s="705">
        <v>84</v>
      </c>
      <c r="I3316" s="705">
        <v>7084</v>
      </c>
      <c r="J3316" s="705">
        <v>6440</v>
      </c>
      <c r="K3316" s="705">
        <v>83</v>
      </c>
      <c r="L3316" s="705">
        <v>0</v>
      </c>
      <c r="M3316" s="705">
        <v>0</v>
      </c>
      <c r="N3316" s="705">
        <v>1975</v>
      </c>
      <c r="O3316" s="705">
        <v>731</v>
      </c>
      <c r="P3316" s="705">
        <v>351</v>
      </c>
      <c r="Q3316" s="705">
        <v>130</v>
      </c>
      <c r="R3316" s="705">
        <v>4237</v>
      </c>
      <c r="S3316" s="705">
        <v>3852</v>
      </c>
      <c r="T3316" s="705">
        <v>0</v>
      </c>
      <c r="U3316" s="705">
        <v>0</v>
      </c>
      <c r="V3316" s="705">
        <v>11153</v>
      </c>
      <c r="W3316" s="705">
        <f t="shared" si="128"/>
        <v>11153</v>
      </c>
      <c r="X3316" s="705">
        <f t="shared" si="129"/>
        <v>13647</v>
      </c>
    </row>
    <row r="3317" spans="2:24">
      <c r="B3317" t="s">
        <v>559</v>
      </c>
      <c r="C3317" t="s">
        <v>112</v>
      </c>
      <c r="D3317" t="s">
        <v>582</v>
      </c>
      <c r="E3317" t="s">
        <v>582</v>
      </c>
      <c r="F3317" s="705">
        <v>6</v>
      </c>
      <c r="G3317" s="705">
        <v>1679</v>
      </c>
      <c r="H3317" s="705">
        <v>679</v>
      </c>
      <c r="I3317" s="705">
        <v>129530</v>
      </c>
      <c r="J3317" s="705">
        <v>117754</v>
      </c>
      <c r="K3317" s="705">
        <v>92</v>
      </c>
      <c r="L3317" s="705">
        <v>18939</v>
      </c>
      <c r="M3317" s="705">
        <v>15836</v>
      </c>
      <c r="N3317" s="705">
        <v>28156</v>
      </c>
      <c r="O3317" s="705">
        <v>10428</v>
      </c>
      <c r="P3317" s="705">
        <v>3902</v>
      </c>
      <c r="Q3317" s="705">
        <v>1445</v>
      </c>
      <c r="R3317" s="705">
        <v>32894</v>
      </c>
      <c r="S3317" s="705">
        <v>29904</v>
      </c>
      <c r="T3317" s="705">
        <v>0</v>
      </c>
      <c r="U3317" s="705">
        <v>0</v>
      </c>
      <c r="V3317" s="705">
        <v>175367</v>
      </c>
      <c r="W3317" s="705">
        <f t="shared" si="128"/>
        <v>175367</v>
      </c>
      <c r="X3317" s="705">
        <f t="shared" si="129"/>
        <v>213421</v>
      </c>
    </row>
    <row r="3318" spans="2:24">
      <c r="B3318" t="s">
        <v>559</v>
      </c>
      <c r="C3318" t="s">
        <v>112</v>
      </c>
      <c r="D3318" t="s">
        <v>582</v>
      </c>
      <c r="E3318" t="s">
        <v>228</v>
      </c>
      <c r="F3318" s="705">
        <v>1</v>
      </c>
      <c r="G3318" s="705">
        <v>128</v>
      </c>
      <c r="H3318" s="705">
        <v>112</v>
      </c>
      <c r="I3318" s="705">
        <v>14870</v>
      </c>
      <c r="J3318" s="705">
        <v>13518</v>
      </c>
      <c r="K3318" s="705">
        <v>91</v>
      </c>
      <c r="L3318" s="705">
        <v>2186</v>
      </c>
      <c r="M3318" s="705">
        <v>1987</v>
      </c>
      <c r="N3318" s="705">
        <v>2877</v>
      </c>
      <c r="O3318" s="705">
        <v>1066</v>
      </c>
      <c r="P3318" s="705">
        <v>473</v>
      </c>
      <c r="Q3318" s="705">
        <v>175</v>
      </c>
      <c r="R3318" s="705">
        <v>2798</v>
      </c>
      <c r="S3318" s="705">
        <v>1036</v>
      </c>
      <c r="T3318" s="705">
        <v>0</v>
      </c>
      <c r="U3318" s="705">
        <v>0</v>
      </c>
      <c r="V3318" s="705">
        <v>17782</v>
      </c>
      <c r="W3318" s="705">
        <f t="shared" si="128"/>
        <v>17782</v>
      </c>
      <c r="X3318" s="705">
        <f t="shared" si="129"/>
        <v>23204</v>
      </c>
    </row>
    <row r="3319" spans="2:24">
      <c r="B3319" t="s">
        <v>559</v>
      </c>
      <c r="C3319" t="s">
        <v>112</v>
      </c>
      <c r="D3319" t="s">
        <v>228</v>
      </c>
      <c r="E3319" t="s">
        <v>228</v>
      </c>
      <c r="F3319" s="705">
        <v>38</v>
      </c>
      <c r="G3319" s="705">
        <v>10751</v>
      </c>
      <c r="H3319" s="705">
        <v>4394</v>
      </c>
      <c r="I3319" s="705">
        <v>607221</v>
      </c>
      <c r="J3319" s="705">
        <v>224897</v>
      </c>
      <c r="K3319" s="705">
        <v>333</v>
      </c>
      <c r="L3319" s="705">
        <v>165199</v>
      </c>
      <c r="M3319" s="705">
        <v>147706</v>
      </c>
      <c r="N3319" s="705">
        <v>219797</v>
      </c>
      <c r="O3319" s="705">
        <v>81406</v>
      </c>
      <c r="P3319" s="705">
        <v>28497</v>
      </c>
      <c r="Q3319" s="705">
        <v>10554</v>
      </c>
      <c r="R3319" s="705">
        <v>294113</v>
      </c>
      <c r="S3319" s="705">
        <v>108931</v>
      </c>
      <c r="T3319" s="705">
        <v>0</v>
      </c>
      <c r="U3319" s="705">
        <v>0</v>
      </c>
      <c r="V3319" s="705">
        <v>573494</v>
      </c>
      <c r="W3319" s="705">
        <f t="shared" si="128"/>
        <v>573494</v>
      </c>
      <c r="X3319" s="705">
        <f t="shared" si="129"/>
        <v>1314827</v>
      </c>
    </row>
    <row r="3320" spans="2:24">
      <c r="B3320" t="s">
        <v>559</v>
      </c>
      <c r="C3320" t="s">
        <v>112</v>
      </c>
      <c r="D3320" t="s">
        <v>583</v>
      </c>
      <c r="E3320" t="s">
        <v>228</v>
      </c>
      <c r="F3320" s="705">
        <v>2</v>
      </c>
      <c r="G3320" s="705">
        <v>358</v>
      </c>
      <c r="H3320" s="705">
        <v>220</v>
      </c>
      <c r="I3320" s="705">
        <v>20027</v>
      </c>
      <c r="J3320" s="705">
        <v>18207</v>
      </c>
      <c r="K3320" s="705">
        <v>94</v>
      </c>
      <c r="L3320" s="705">
        <v>3480</v>
      </c>
      <c r="M3320" s="705">
        <v>3163</v>
      </c>
      <c r="N3320" s="705">
        <v>4366</v>
      </c>
      <c r="O3320" s="705">
        <v>1617</v>
      </c>
      <c r="P3320" s="705">
        <v>1242</v>
      </c>
      <c r="Q3320" s="705">
        <v>460</v>
      </c>
      <c r="R3320" s="705">
        <v>10084</v>
      </c>
      <c r="S3320" s="705">
        <v>3735</v>
      </c>
      <c r="T3320" s="705">
        <v>0</v>
      </c>
      <c r="U3320" s="705">
        <v>0</v>
      </c>
      <c r="V3320" s="705">
        <v>27182</v>
      </c>
      <c r="W3320" s="705">
        <f t="shared" si="128"/>
        <v>27182</v>
      </c>
      <c r="X3320" s="705">
        <f t="shared" si="129"/>
        <v>39199</v>
      </c>
    </row>
    <row r="3321" spans="2:24">
      <c r="B3321" t="s">
        <v>559</v>
      </c>
      <c r="C3321" t="s">
        <v>112</v>
      </c>
      <c r="D3321" t="s">
        <v>583</v>
      </c>
      <c r="E3321" t="s">
        <v>583</v>
      </c>
      <c r="F3321" s="705">
        <v>102</v>
      </c>
      <c r="G3321" s="705">
        <v>23432</v>
      </c>
      <c r="H3321" s="705">
        <v>11827</v>
      </c>
      <c r="I3321" s="705">
        <v>1634846</v>
      </c>
      <c r="J3321" s="705">
        <v>1486224</v>
      </c>
      <c r="K3321" s="705">
        <v>93</v>
      </c>
      <c r="L3321" s="705">
        <v>293510</v>
      </c>
      <c r="M3321" s="705">
        <v>260323</v>
      </c>
      <c r="N3321" s="705">
        <v>420062</v>
      </c>
      <c r="O3321" s="705">
        <v>155579</v>
      </c>
      <c r="P3321" s="705">
        <v>73563</v>
      </c>
      <c r="Q3321" s="705">
        <v>27246</v>
      </c>
      <c r="R3321" s="705">
        <v>496858</v>
      </c>
      <c r="S3321" s="705">
        <v>451689</v>
      </c>
      <c r="T3321" s="705">
        <v>27336</v>
      </c>
      <c r="U3321" s="705">
        <v>10124</v>
      </c>
      <c r="V3321" s="705">
        <v>2391184</v>
      </c>
      <c r="W3321" s="705">
        <f t="shared" si="128"/>
        <v>2391185</v>
      </c>
      <c r="X3321" s="705">
        <f t="shared" si="129"/>
        <v>2946175</v>
      </c>
    </row>
    <row r="3322" spans="2:24">
      <c r="B3322" t="s">
        <v>559</v>
      </c>
      <c r="C3322" t="s">
        <v>112</v>
      </c>
      <c r="D3322" t="s">
        <v>584</v>
      </c>
      <c r="E3322" t="s">
        <v>228</v>
      </c>
      <c r="F3322" s="705">
        <v>1</v>
      </c>
      <c r="G3322" s="705">
        <v>173</v>
      </c>
      <c r="H3322" s="705">
        <v>121</v>
      </c>
      <c r="I3322" s="705">
        <v>11404</v>
      </c>
      <c r="J3322" s="705">
        <v>10367</v>
      </c>
      <c r="K3322" s="705">
        <v>91</v>
      </c>
      <c r="L3322" s="705">
        <v>1911</v>
      </c>
      <c r="M3322" s="705">
        <v>1738</v>
      </c>
      <c r="N3322" s="705">
        <v>2107</v>
      </c>
      <c r="O3322" s="705">
        <v>780</v>
      </c>
      <c r="P3322" s="705">
        <v>473</v>
      </c>
      <c r="Q3322" s="705">
        <v>175</v>
      </c>
      <c r="R3322" s="705">
        <v>5070</v>
      </c>
      <c r="S3322" s="705">
        <v>1878</v>
      </c>
      <c r="T3322" s="705">
        <v>0</v>
      </c>
      <c r="U3322" s="705">
        <v>0</v>
      </c>
      <c r="V3322" s="705">
        <v>14938</v>
      </c>
      <c r="W3322" s="705">
        <f t="shared" si="128"/>
        <v>14938</v>
      </c>
      <c r="X3322" s="705">
        <f t="shared" si="129"/>
        <v>20965</v>
      </c>
    </row>
    <row r="3323" spans="2:24">
      <c r="B3323" t="s">
        <v>559</v>
      </c>
      <c r="C3323" t="s">
        <v>112</v>
      </c>
      <c r="D3323" t="s">
        <v>584</v>
      </c>
      <c r="E3323" t="s">
        <v>584</v>
      </c>
      <c r="F3323" s="705">
        <v>80</v>
      </c>
      <c r="G3323" s="705">
        <v>13438</v>
      </c>
      <c r="H3323" s="705">
        <v>9499</v>
      </c>
      <c r="I3323" s="705">
        <v>842099</v>
      </c>
      <c r="J3323" s="705">
        <v>765545</v>
      </c>
      <c r="K3323" s="705">
        <v>90</v>
      </c>
      <c r="L3323" s="705">
        <v>138532</v>
      </c>
      <c r="M3323" s="705">
        <v>122947</v>
      </c>
      <c r="N3323" s="705">
        <v>272487</v>
      </c>
      <c r="O3323" s="705">
        <v>100921</v>
      </c>
      <c r="P3323" s="705">
        <v>42051</v>
      </c>
      <c r="Q3323" s="705">
        <v>15574</v>
      </c>
      <c r="R3323" s="705">
        <v>381094</v>
      </c>
      <c r="S3323" s="705">
        <v>346449</v>
      </c>
      <c r="T3323" s="705">
        <v>1147</v>
      </c>
      <c r="U3323" s="705">
        <v>425</v>
      </c>
      <c r="V3323" s="705">
        <v>1351861</v>
      </c>
      <c r="W3323" s="705">
        <f t="shared" si="128"/>
        <v>1351861</v>
      </c>
      <c r="X3323" s="705">
        <f t="shared" si="129"/>
        <v>1677410</v>
      </c>
    </row>
    <row r="3324" spans="2:24">
      <c r="B3324" t="s">
        <v>559</v>
      </c>
      <c r="C3324" t="s">
        <v>112</v>
      </c>
      <c r="D3324" t="s">
        <v>585</v>
      </c>
      <c r="E3324" t="s">
        <v>585</v>
      </c>
      <c r="F3324" s="705">
        <v>4</v>
      </c>
      <c r="G3324" s="705">
        <v>756</v>
      </c>
      <c r="H3324" s="705">
        <v>476</v>
      </c>
      <c r="I3324" s="705">
        <v>59698</v>
      </c>
      <c r="J3324" s="705">
        <v>54271</v>
      </c>
      <c r="K3324" s="705">
        <v>85</v>
      </c>
      <c r="L3324" s="705">
        <v>10965</v>
      </c>
      <c r="M3324" s="705">
        <v>9968</v>
      </c>
      <c r="N3324" s="705">
        <v>10986</v>
      </c>
      <c r="O3324" s="705">
        <v>4069</v>
      </c>
      <c r="P3324" s="705">
        <v>1404</v>
      </c>
      <c r="Q3324" s="705">
        <v>520</v>
      </c>
      <c r="R3324" s="705">
        <v>19894</v>
      </c>
      <c r="S3324" s="705">
        <v>18085</v>
      </c>
      <c r="T3324" s="705">
        <v>0</v>
      </c>
      <c r="U3324" s="705">
        <v>0</v>
      </c>
      <c r="V3324" s="705">
        <v>86913</v>
      </c>
      <c r="W3324" s="705">
        <f t="shared" si="128"/>
        <v>86913</v>
      </c>
      <c r="X3324" s="705">
        <f t="shared" si="129"/>
        <v>102947</v>
      </c>
    </row>
    <row r="3325" spans="2:24">
      <c r="B3325" t="s">
        <v>559</v>
      </c>
      <c r="C3325" t="s">
        <v>114</v>
      </c>
      <c r="D3325" t="s">
        <v>582</v>
      </c>
      <c r="E3325" t="s">
        <v>664</v>
      </c>
      <c r="F3325" s="705">
        <v>1</v>
      </c>
      <c r="G3325" s="705">
        <v>436</v>
      </c>
      <c r="H3325" s="705">
        <v>136</v>
      </c>
      <c r="I3325" s="705">
        <v>35840</v>
      </c>
      <c r="J3325" s="705">
        <v>32582</v>
      </c>
      <c r="K3325" s="705">
        <v>93</v>
      </c>
      <c r="L3325" s="705">
        <v>12611</v>
      </c>
      <c r="M3325" s="705">
        <v>11464</v>
      </c>
      <c r="N3325" s="705">
        <v>11964</v>
      </c>
      <c r="O3325" s="705">
        <v>4431</v>
      </c>
      <c r="P3325" s="705">
        <v>743</v>
      </c>
      <c r="Q3325" s="705">
        <v>275</v>
      </c>
      <c r="R3325" s="705">
        <v>5645</v>
      </c>
      <c r="S3325" s="705">
        <v>5132</v>
      </c>
      <c r="T3325" s="705">
        <v>0</v>
      </c>
      <c r="U3325" s="705">
        <v>0</v>
      </c>
      <c r="V3325" s="705">
        <v>53884</v>
      </c>
      <c r="W3325" s="705">
        <f t="shared" si="128"/>
        <v>53884</v>
      </c>
      <c r="X3325" s="705">
        <f t="shared" si="129"/>
        <v>66803</v>
      </c>
    </row>
    <row r="3326" spans="2:24">
      <c r="B3326" t="s">
        <v>559</v>
      </c>
      <c r="C3326" t="s">
        <v>114</v>
      </c>
      <c r="D3326" t="s">
        <v>582</v>
      </c>
      <c r="E3326" t="s">
        <v>582</v>
      </c>
      <c r="F3326" s="705">
        <v>22</v>
      </c>
      <c r="G3326" s="705">
        <v>5820</v>
      </c>
      <c r="H3326" s="705">
        <v>3036</v>
      </c>
      <c r="I3326" s="705">
        <v>479727</v>
      </c>
      <c r="J3326" s="705">
        <v>436116</v>
      </c>
      <c r="K3326" s="705">
        <v>90</v>
      </c>
      <c r="L3326" s="705">
        <v>112979</v>
      </c>
      <c r="M3326" s="705">
        <v>99336</v>
      </c>
      <c r="N3326" s="705">
        <v>130205</v>
      </c>
      <c r="O3326" s="705">
        <v>48224</v>
      </c>
      <c r="P3326" s="705">
        <v>14046</v>
      </c>
      <c r="Q3326" s="705">
        <v>5202</v>
      </c>
      <c r="R3326" s="705">
        <v>133615</v>
      </c>
      <c r="S3326" s="705">
        <v>121468</v>
      </c>
      <c r="T3326" s="705">
        <v>7457</v>
      </c>
      <c r="U3326" s="705">
        <v>2762</v>
      </c>
      <c r="V3326" s="705">
        <v>713108</v>
      </c>
      <c r="W3326" s="705">
        <f t="shared" si="128"/>
        <v>713108</v>
      </c>
      <c r="X3326" s="705">
        <f t="shared" si="129"/>
        <v>878029</v>
      </c>
    </row>
    <row r="3327" spans="2:24">
      <c r="B3327" t="s">
        <v>559</v>
      </c>
      <c r="C3327" t="s">
        <v>114</v>
      </c>
      <c r="D3327" t="s">
        <v>582</v>
      </c>
      <c r="E3327" t="s">
        <v>228</v>
      </c>
      <c r="F3327" s="705">
        <v>2</v>
      </c>
      <c r="G3327" s="705">
        <v>263</v>
      </c>
      <c r="H3327" s="705">
        <v>296</v>
      </c>
      <c r="I3327" s="705">
        <v>23990</v>
      </c>
      <c r="J3327" s="705">
        <v>21809</v>
      </c>
      <c r="K3327" s="705">
        <v>91</v>
      </c>
      <c r="L3327" s="705">
        <v>3486</v>
      </c>
      <c r="M3327" s="705">
        <v>3169</v>
      </c>
      <c r="N3327" s="705">
        <v>5169</v>
      </c>
      <c r="O3327" s="705">
        <v>1914</v>
      </c>
      <c r="P3327" s="705">
        <v>945</v>
      </c>
      <c r="Q3327" s="705">
        <v>350</v>
      </c>
      <c r="R3327" s="705">
        <v>10720</v>
      </c>
      <c r="S3327" s="705">
        <v>3970</v>
      </c>
      <c r="T3327" s="705">
        <v>0</v>
      </c>
      <c r="U3327" s="705">
        <v>0</v>
      </c>
      <c r="V3327" s="705">
        <v>31212</v>
      </c>
      <c r="W3327" s="705">
        <f t="shared" si="128"/>
        <v>31212</v>
      </c>
      <c r="X3327" s="705">
        <f t="shared" si="129"/>
        <v>44310</v>
      </c>
    </row>
    <row r="3328" spans="2:24">
      <c r="B3328" t="s">
        <v>559</v>
      </c>
      <c r="C3328" t="s">
        <v>114</v>
      </c>
      <c r="D3328" t="s">
        <v>228</v>
      </c>
      <c r="E3328" t="s">
        <v>228</v>
      </c>
      <c r="F3328" s="705">
        <v>24</v>
      </c>
      <c r="G3328" s="705">
        <v>5858</v>
      </c>
      <c r="H3328" s="705">
        <v>3346</v>
      </c>
      <c r="I3328" s="705">
        <v>396876</v>
      </c>
      <c r="J3328" s="705">
        <v>146991</v>
      </c>
      <c r="K3328" s="705">
        <v>295</v>
      </c>
      <c r="L3328" s="705">
        <v>114032</v>
      </c>
      <c r="M3328" s="705">
        <v>96506</v>
      </c>
      <c r="N3328" s="705">
        <v>114774</v>
      </c>
      <c r="O3328" s="705">
        <v>42509</v>
      </c>
      <c r="P3328" s="705">
        <v>10978</v>
      </c>
      <c r="Q3328" s="705">
        <v>4066</v>
      </c>
      <c r="R3328" s="705">
        <v>204292</v>
      </c>
      <c r="S3328" s="705">
        <v>75664</v>
      </c>
      <c r="T3328" s="705">
        <v>0</v>
      </c>
      <c r="U3328" s="705">
        <v>0</v>
      </c>
      <c r="V3328" s="705">
        <v>365736</v>
      </c>
      <c r="W3328" s="705">
        <f t="shared" si="128"/>
        <v>365736</v>
      </c>
      <c r="X3328" s="705">
        <f t="shared" si="129"/>
        <v>840952</v>
      </c>
    </row>
    <row r="3329" spans="2:24">
      <c r="B3329" t="s">
        <v>559</v>
      </c>
      <c r="C3329" t="s">
        <v>114</v>
      </c>
      <c r="D3329" t="s">
        <v>228</v>
      </c>
      <c r="E3329" t="s">
        <v>585</v>
      </c>
      <c r="F3329" s="705">
        <v>1</v>
      </c>
      <c r="G3329" s="705">
        <v>275</v>
      </c>
      <c r="H3329" s="705">
        <v>148</v>
      </c>
      <c r="I3329" s="705">
        <v>24321</v>
      </c>
      <c r="J3329" s="705">
        <v>9008</v>
      </c>
      <c r="K3329" s="705">
        <v>250</v>
      </c>
      <c r="L3329" s="705">
        <v>3211</v>
      </c>
      <c r="M3329" s="705">
        <v>2919</v>
      </c>
      <c r="N3329" s="705">
        <v>3346</v>
      </c>
      <c r="O3329" s="705">
        <v>1239</v>
      </c>
      <c r="P3329" s="705">
        <v>351</v>
      </c>
      <c r="Q3329" s="705">
        <v>130</v>
      </c>
      <c r="R3329" s="705">
        <v>9345</v>
      </c>
      <c r="S3329" s="705">
        <v>8495</v>
      </c>
      <c r="T3329" s="705">
        <v>0</v>
      </c>
      <c r="U3329" s="705">
        <v>0</v>
      </c>
      <c r="V3329" s="705">
        <v>21791</v>
      </c>
      <c r="W3329" s="705">
        <f t="shared" si="128"/>
        <v>21791</v>
      </c>
      <c r="X3329" s="705">
        <f t="shared" si="129"/>
        <v>40574</v>
      </c>
    </row>
    <row r="3330" spans="2:24">
      <c r="B3330" t="s">
        <v>559</v>
      </c>
      <c r="C3330" t="s">
        <v>114</v>
      </c>
      <c r="D3330" t="s">
        <v>583</v>
      </c>
      <c r="E3330" t="s">
        <v>664</v>
      </c>
      <c r="F3330" s="705">
        <v>1</v>
      </c>
      <c r="G3330" s="705">
        <v>311</v>
      </c>
      <c r="H3330" s="705">
        <v>149</v>
      </c>
      <c r="I3330" s="705">
        <v>26882</v>
      </c>
      <c r="J3330" s="705">
        <v>24438</v>
      </c>
      <c r="K3330" s="705">
        <v>70</v>
      </c>
      <c r="L3330" s="705">
        <v>6969</v>
      </c>
      <c r="M3330" s="705">
        <v>6336</v>
      </c>
      <c r="N3330" s="705">
        <v>3869</v>
      </c>
      <c r="O3330" s="705">
        <v>1433</v>
      </c>
      <c r="P3330" s="705">
        <v>621</v>
      </c>
      <c r="Q3330" s="705">
        <v>230</v>
      </c>
      <c r="R3330" s="705">
        <v>8193</v>
      </c>
      <c r="S3330" s="705">
        <v>7448</v>
      </c>
      <c r="T3330" s="705">
        <v>0</v>
      </c>
      <c r="U3330" s="705">
        <v>0</v>
      </c>
      <c r="V3330" s="705">
        <v>39886</v>
      </c>
      <c r="W3330" s="705">
        <f t="shared" si="128"/>
        <v>39885</v>
      </c>
      <c r="X3330" s="705">
        <f t="shared" si="129"/>
        <v>46534</v>
      </c>
    </row>
    <row r="3331" spans="2:24">
      <c r="B3331" t="s">
        <v>559</v>
      </c>
      <c r="C3331" t="s">
        <v>114</v>
      </c>
      <c r="D3331" t="s">
        <v>583</v>
      </c>
      <c r="E3331" t="s">
        <v>228</v>
      </c>
      <c r="F3331" s="705">
        <v>6</v>
      </c>
      <c r="G3331" s="705">
        <v>1440</v>
      </c>
      <c r="H3331" s="705">
        <v>804</v>
      </c>
      <c r="I3331" s="705">
        <v>117446</v>
      </c>
      <c r="J3331" s="705">
        <v>106769</v>
      </c>
      <c r="K3331" s="705">
        <v>89</v>
      </c>
      <c r="L3331" s="705">
        <v>15799</v>
      </c>
      <c r="M3331" s="705">
        <v>14362</v>
      </c>
      <c r="N3331" s="705">
        <v>26365</v>
      </c>
      <c r="O3331" s="705">
        <v>9765</v>
      </c>
      <c r="P3331" s="705">
        <v>3726</v>
      </c>
      <c r="Q3331" s="705">
        <v>1380</v>
      </c>
      <c r="R3331" s="705">
        <v>38284</v>
      </c>
      <c r="S3331" s="705">
        <v>14179</v>
      </c>
      <c r="T3331" s="705">
        <v>0</v>
      </c>
      <c r="U3331" s="705">
        <v>0</v>
      </c>
      <c r="V3331" s="705">
        <v>146455</v>
      </c>
      <c r="W3331" s="705">
        <f t="shared" si="128"/>
        <v>146455</v>
      </c>
      <c r="X3331" s="705">
        <f t="shared" si="129"/>
        <v>201620</v>
      </c>
    </row>
    <row r="3332" spans="2:24">
      <c r="B3332" t="s">
        <v>559</v>
      </c>
      <c r="C3332" t="s">
        <v>114</v>
      </c>
      <c r="D3332" t="s">
        <v>583</v>
      </c>
      <c r="E3332" t="s">
        <v>583</v>
      </c>
      <c r="F3332" s="705">
        <v>364</v>
      </c>
      <c r="G3332" s="705">
        <v>73804</v>
      </c>
      <c r="H3332" s="705">
        <v>51277</v>
      </c>
      <c r="I3332" s="705">
        <v>6456621</v>
      </c>
      <c r="J3332" s="705">
        <v>5869656</v>
      </c>
      <c r="K3332" s="705">
        <v>91</v>
      </c>
      <c r="L3332" s="705">
        <v>1256370</v>
      </c>
      <c r="M3332" s="705">
        <v>1101820</v>
      </c>
      <c r="N3332" s="705">
        <v>1478848</v>
      </c>
      <c r="O3332" s="705">
        <v>547722</v>
      </c>
      <c r="P3332" s="705">
        <v>250587</v>
      </c>
      <c r="Q3332" s="705">
        <v>92810</v>
      </c>
      <c r="R3332" s="705">
        <v>1935572</v>
      </c>
      <c r="S3332" s="705">
        <v>1759611</v>
      </c>
      <c r="T3332" s="705">
        <v>143986</v>
      </c>
      <c r="U3332" s="705">
        <v>53328</v>
      </c>
      <c r="V3332" s="705">
        <v>9424947</v>
      </c>
      <c r="W3332" s="705">
        <f t="shared" si="128"/>
        <v>9424947</v>
      </c>
      <c r="X3332" s="705">
        <f t="shared" si="129"/>
        <v>11521984</v>
      </c>
    </row>
    <row r="3333" spans="2:24">
      <c r="B3333" t="s">
        <v>559</v>
      </c>
      <c r="C3333" t="s">
        <v>114</v>
      </c>
      <c r="D3333" t="s">
        <v>583</v>
      </c>
      <c r="E3333" t="s">
        <v>666</v>
      </c>
      <c r="F3333" s="705">
        <v>1</v>
      </c>
      <c r="G3333" s="705">
        <v>216</v>
      </c>
      <c r="H3333" s="705">
        <v>149</v>
      </c>
      <c r="I3333" s="705">
        <v>17019</v>
      </c>
      <c r="J3333" s="705">
        <v>15472</v>
      </c>
      <c r="K3333" s="705">
        <v>86</v>
      </c>
      <c r="L3333" s="705">
        <v>5402</v>
      </c>
      <c r="M3333" s="705">
        <v>4911</v>
      </c>
      <c r="N3333" s="705">
        <v>3290</v>
      </c>
      <c r="O3333" s="705">
        <v>1218</v>
      </c>
      <c r="P3333" s="705">
        <v>621</v>
      </c>
      <c r="Q3333" s="705">
        <v>230</v>
      </c>
      <c r="R3333" s="705">
        <v>5742</v>
      </c>
      <c r="S3333" s="705">
        <v>5220</v>
      </c>
      <c r="T3333" s="705">
        <v>0</v>
      </c>
      <c r="U3333" s="705">
        <v>0</v>
      </c>
      <c r="V3333" s="705">
        <v>27051</v>
      </c>
      <c r="W3333" s="705">
        <f t="shared" si="128"/>
        <v>27051</v>
      </c>
      <c r="X3333" s="705">
        <f t="shared" si="129"/>
        <v>32074</v>
      </c>
    </row>
    <row r="3334" spans="2:24">
      <c r="B3334" t="s">
        <v>559</v>
      </c>
      <c r="C3334" t="s">
        <v>114</v>
      </c>
      <c r="D3334" t="s">
        <v>584</v>
      </c>
      <c r="E3334" t="s">
        <v>584</v>
      </c>
      <c r="F3334" s="705">
        <v>195</v>
      </c>
      <c r="G3334" s="705">
        <v>37128</v>
      </c>
      <c r="H3334" s="705">
        <v>27265</v>
      </c>
      <c r="I3334" s="705">
        <v>2913927</v>
      </c>
      <c r="J3334" s="705">
        <v>2649024</v>
      </c>
      <c r="K3334" s="705">
        <v>88</v>
      </c>
      <c r="L3334" s="705">
        <v>656225</v>
      </c>
      <c r="M3334" s="705">
        <v>582736</v>
      </c>
      <c r="N3334" s="705">
        <v>782380</v>
      </c>
      <c r="O3334" s="705">
        <v>289770</v>
      </c>
      <c r="P3334" s="705">
        <v>106779</v>
      </c>
      <c r="Q3334" s="705">
        <v>39548</v>
      </c>
      <c r="R3334" s="705">
        <v>1044584</v>
      </c>
      <c r="S3334" s="705">
        <v>949622</v>
      </c>
      <c r="T3334" s="705">
        <v>28860</v>
      </c>
      <c r="U3334" s="705">
        <v>10689</v>
      </c>
      <c r="V3334" s="705">
        <v>4521390</v>
      </c>
      <c r="W3334" s="705">
        <f t="shared" si="128"/>
        <v>4521389</v>
      </c>
      <c r="X3334" s="705">
        <f t="shared" si="129"/>
        <v>5532755</v>
      </c>
    </row>
    <row r="3335" spans="2:24">
      <c r="B3335" t="s">
        <v>559</v>
      </c>
      <c r="C3335" t="s">
        <v>114</v>
      </c>
      <c r="D3335" t="s">
        <v>722</v>
      </c>
      <c r="E3335" t="s">
        <v>722</v>
      </c>
      <c r="F3335" s="705">
        <v>1</v>
      </c>
      <c r="G3335" s="705">
        <v>322</v>
      </c>
      <c r="H3335" s="705">
        <v>130</v>
      </c>
      <c r="I3335" s="705">
        <v>26403</v>
      </c>
      <c r="J3335" s="705">
        <v>24003</v>
      </c>
      <c r="K3335" s="705">
        <v>83</v>
      </c>
      <c r="L3335" s="705">
        <v>4039</v>
      </c>
      <c r="M3335" s="705">
        <v>3672</v>
      </c>
      <c r="N3335" s="705">
        <v>5768</v>
      </c>
      <c r="O3335" s="705">
        <v>2136</v>
      </c>
      <c r="P3335" s="705">
        <v>351</v>
      </c>
      <c r="Q3335" s="705">
        <v>130</v>
      </c>
      <c r="R3335" s="705">
        <v>5201</v>
      </c>
      <c r="S3335" s="705">
        <v>4728</v>
      </c>
      <c r="T3335" s="705">
        <v>0</v>
      </c>
      <c r="U3335" s="705">
        <v>0</v>
      </c>
      <c r="V3335" s="705">
        <v>34669</v>
      </c>
      <c r="W3335" s="705">
        <f t="shared" si="128"/>
        <v>34669</v>
      </c>
      <c r="X3335" s="705">
        <f t="shared" si="129"/>
        <v>41762</v>
      </c>
    </row>
    <row r="3336" spans="2:24">
      <c r="B3336" t="s">
        <v>559</v>
      </c>
      <c r="C3336" t="s">
        <v>114</v>
      </c>
      <c r="D3336" t="s">
        <v>585</v>
      </c>
      <c r="E3336" t="s">
        <v>585</v>
      </c>
      <c r="F3336" s="705">
        <v>4</v>
      </c>
      <c r="G3336" s="705">
        <v>984</v>
      </c>
      <c r="H3336" s="705">
        <v>574</v>
      </c>
      <c r="I3336" s="705">
        <v>84817</v>
      </c>
      <c r="J3336" s="705">
        <v>77106</v>
      </c>
      <c r="K3336" s="705">
        <v>84</v>
      </c>
      <c r="L3336" s="705">
        <v>16070</v>
      </c>
      <c r="M3336" s="705">
        <v>14162</v>
      </c>
      <c r="N3336" s="705">
        <v>15982</v>
      </c>
      <c r="O3336" s="705">
        <v>5919</v>
      </c>
      <c r="P3336" s="705">
        <v>2666</v>
      </c>
      <c r="Q3336" s="705">
        <v>988</v>
      </c>
      <c r="R3336" s="705">
        <v>21701</v>
      </c>
      <c r="S3336" s="705">
        <v>19728</v>
      </c>
      <c r="T3336" s="705">
        <v>0</v>
      </c>
      <c r="U3336" s="705">
        <v>0</v>
      </c>
      <c r="V3336" s="705">
        <v>117903</v>
      </c>
      <c r="W3336" s="705">
        <f t="shared" si="128"/>
        <v>117903</v>
      </c>
      <c r="X3336" s="705">
        <f t="shared" si="129"/>
        <v>141236</v>
      </c>
    </row>
    <row r="3337" spans="2:24">
      <c r="B3337" t="s">
        <v>559</v>
      </c>
      <c r="C3337" t="s">
        <v>116</v>
      </c>
      <c r="F3337" s="705">
        <v>1</v>
      </c>
      <c r="G3337" s="705">
        <v>80</v>
      </c>
      <c r="H3337" s="705">
        <v>186</v>
      </c>
      <c r="I3337" s="705"/>
      <c r="J3337" s="705">
        <v>0</v>
      </c>
      <c r="K3337" s="705"/>
      <c r="L3337" s="705"/>
      <c r="M3337" s="705">
        <v>0</v>
      </c>
      <c r="N3337" s="705">
        <v>971</v>
      </c>
      <c r="O3337" s="705">
        <v>360</v>
      </c>
      <c r="P3337" s="705">
        <v>0</v>
      </c>
      <c r="Q3337" s="705">
        <v>0</v>
      </c>
      <c r="R3337" s="705"/>
      <c r="S3337" s="705">
        <v>0</v>
      </c>
      <c r="T3337" s="705">
        <v>0</v>
      </c>
      <c r="U3337" s="705">
        <v>0</v>
      </c>
      <c r="V3337" s="705">
        <v>360</v>
      </c>
      <c r="W3337" s="705">
        <f t="shared" si="128"/>
        <v>360</v>
      </c>
      <c r="X3337" s="705">
        <f t="shared" si="129"/>
        <v>971</v>
      </c>
    </row>
    <row r="3338" spans="2:24">
      <c r="B3338" t="s">
        <v>559</v>
      </c>
      <c r="C3338" t="s">
        <v>116</v>
      </c>
      <c r="D3338" t="s">
        <v>664</v>
      </c>
      <c r="E3338" t="s">
        <v>664</v>
      </c>
      <c r="F3338" s="705">
        <v>7</v>
      </c>
      <c r="G3338" s="705">
        <v>1139</v>
      </c>
      <c r="H3338" s="705">
        <v>1284</v>
      </c>
      <c r="I3338" s="705">
        <v>126050</v>
      </c>
      <c r="J3338" s="705">
        <v>114591</v>
      </c>
      <c r="K3338" s="705">
        <v>89</v>
      </c>
      <c r="L3338" s="705">
        <v>22632</v>
      </c>
      <c r="M3338" s="705">
        <v>19545</v>
      </c>
      <c r="N3338" s="705">
        <v>21431</v>
      </c>
      <c r="O3338" s="705">
        <v>7937</v>
      </c>
      <c r="P3338" s="705">
        <v>3308</v>
      </c>
      <c r="Q3338" s="705">
        <v>1225</v>
      </c>
      <c r="R3338" s="705">
        <v>33809</v>
      </c>
      <c r="S3338" s="705">
        <v>30735</v>
      </c>
      <c r="T3338" s="705">
        <v>2815</v>
      </c>
      <c r="U3338" s="705">
        <v>1043</v>
      </c>
      <c r="V3338" s="705">
        <v>175077</v>
      </c>
      <c r="W3338" s="705">
        <f t="shared" si="128"/>
        <v>175076</v>
      </c>
      <c r="X3338" s="705">
        <f t="shared" si="129"/>
        <v>210045</v>
      </c>
    </row>
    <row r="3339" spans="2:24">
      <c r="B3339" t="s">
        <v>559</v>
      </c>
      <c r="C3339" t="s">
        <v>116</v>
      </c>
      <c r="D3339" t="s">
        <v>582</v>
      </c>
      <c r="E3339" t="s">
        <v>582</v>
      </c>
      <c r="F3339" s="705">
        <v>71</v>
      </c>
      <c r="G3339" s="705">
        <v>13081</v>
      </c>
      <c r="H3339" s="705">
        <v>12971</v>
      </c>
      <c r="I3339" s="705">
        <v>1439238</v>
      </c>
      <c r="J3339" s="705">
        <v>1308398</v>
      </c>
      <c r="K3339" s="705">
        <v>87</v>
      </c>
      <c r="L3339" s="705">
        <v>369385</v>
      </c>
      <c r="M3339" s="705">
        <v>325215</v>
      </c>
      <c r="N3339" s="705">
        <v>301061</v>
      </c>
      <c r="O3339" s="705">
        <v>111504</v>
      </c>
      <c r="P3339" s="705">
        <v>40065</v>
      </c>
      <c r="Q3339" s="705">
        <v>14839</v>
      </c>
      <c r="R3339" s="705">
        <v>393680</v>
      </c>
      <c r="S3339" s="705">
        <v>357891</v>
      </c>
      <c r="T3339" s="705">
        <v>54137</v>
      </c>
      <c r="U3339" s="705">
        <v>20051</v>
      </c>
      <c r="V3339" s="705">
        <v>2137898</v>
      </c>
      <c r="W3339" s="705">
        <f t="shared" si="128"/>
        <v>2137898</v>
      </c>
      <c r="X3339" s="705">
        <f t="shared" si="129"/>
        <v>2597566</v>
      </c>
    </row>
    <row r="3340" spans="2:24">
      <c r="B3340" t="s">
        <v>559</v>
      </c>
      <c r="C3340" t="s">
        <v>116</v>
      </c>
      <c r="D3340" t="s">
        <v>228</v>
      </c>
      <c r="E3340" t="s">
        <v>228</v>
      </c>
      <c r="F3340" s="705">
        <v>28</v>
      </c>
      <c r="G3340" s="705">
        <v>5865</v>
      </c>
      <c r="H3340" s="705">
        <v>5245</v>
      </c>
      <c r="I3340" s="705">
        <v>680844</v>
      </c>
      <c r="J3340" s="705">
        <v>252165</v>
      </c>
      <c r="K3340" s="705">
        <v>229</v>
      </c>
      <c r="L3340" s="705">
        <v>120383</v>
      </c>
      <c r="M3340" s="705">
        <v>96808</v>
      </c>
      <c r="N3340" s="705">
        <v>121164</v>
      </c>
      <c r="O3340" s="705">
        <v>44876</v>
      </c>
      <c r="P3340" s="705">
        <v>16097</v>
      </c>
      <c r="Q3340" s="705">
        <v>5962</v>
      </c>
      <c r="R3340" s="705">
        <v>200445</v>
      </c>
      <c r="S3340" s="705">
        <v>74239</v>
      </c>
      <c r="T3340" s="705">
        <v>8800</v>
      </c>
      <c r="U3340" s="705">
        <v>3259</v>
      </c>
      <c r="V3340" s="705">
        <v>477308</v>
      </c>
      <c r="W3340" s="705">
        <f t="shared" si="128"/>
        <v>477309</v>
      </c>
      <c r="X3340" s="705">
        <f t="shared" si="129"/>
        <v>1147733</v>
      </c>
    </row>
    <row r="3341" spans="2:24">
      <c r="B3341" t="s">
        <v>559</v>
      </c>
      <c r="C3341" t="s">
        <v>116</v>
      </c>
      <c r="D3341" t="s">
        <v>583</v>
      </c>
      <c r="E3341" t="s">
        <v>664</v>
      </c>
      <c r="F3341" s="705">
        <v>1</v>
      </c>
      <c r="G3341" s="705">
        <v>206</v>
      </c>
      <c r="H3341" s="705">
        <v>160</v>
      </c>
      <c r="I3341" s="705">
        <v>18685</v>
      </c>
      <c r="J3341" s="705">
        <v>16986</v>
      </c>
      <c r="K3341" s="705">
        <v>70</v>
      </c>
      <c r="L3341" s="705">
        <v>2510</v>
      </c>
      <c r="M3341" s="705">
        <v>2092</v>
      </c>
      <c r="N3341" s="705">
        <v>2507</v>
      </c>
      <c r="O3341" s="705">
        <v>929</v>
      </c>
      <c r="P3341" s="705">
        <v>621</v>
      </c>
      <c r="Q3341" s="705">
        <v>230</v>
      </c>
      <c r="R3341" s="705">
        <v>8656</v>
      </c>
      <c r="S3341" s="705">
        <v>7869</v>
      </c>
      <c r="T3341" s="705">
        <v>0</v>
      </c>
      <c r="U3341" s="705">
        <v>0</v>
      </c>
      <c r="V3341" s="705">
        <v>28105</v>
      </c>
      <c r="W3341" s="705">
        <f t="shared" si="128"/>
        <v>28106</v>
      </c>
      <c r="X3341" s="705">
        <f t="shared" si="129"/>
        <v>32979</v>
      </c>
    </row>
    <row r="3342" spans="2:24">
      <c r="B3342" t="s">
        <v>559</v>
      </c>
      <c r="C3342" t="s">
        <v>116</v>
      </c>
      <c r="D3342" t="s">
        <v>583</v>
      </c>
      <c r="E3342" t="s">
        <v>228</v>
      </c>
      <c r="F3342" s="705">
        <v>6</v>
      </c>
      <c r="G3342" s="705">
        <v>1168</v>
      </c>
      <c r="H3342" s="705">
        <v>1077</v>
      </c>
      <c r="I3342" s="705">
        <v>122376</v>
      </c>
      <c r="J3342" s="705">
        <v>111251</v>
      </c>
      <c r="K3342" s="705">
        <v>88</v>
      </c>
      <c r="L3342" s="705">
        <v>27757</v>
      </c>
      <c r="M3342" s="705">
        <v>24283</v>
      </c>
      <c r="N3342" s="705">
        <v>21777</v>
      </c>
      <c r="O3342" s="705">
        <v>8065</v>
      </c>
      <c r="P3342" s="705">
        <v>4428</v>
      </c>
      <c r="Q3342" s="705">
        <v>1640</v>
      </c>
      <c r="R3342" s="705">
        <v>48546</v>
      </c>
      <c r="S3342" s="705">
        <v>17980</v>
      </c>
      <c r="T3342" s="705">
        <v>0</v>
      </c>
      <c r="U3342" s="705">
        <v>0</v>
      </c>
      <c r="V3342" s="705">
        <v>163220</v>
      </c>
      <c r="W3342" s="705">
        <f t="shared" si="128"/>
        <v>163219</v>
      </c>
      <c r="X3342" s="705">
        <f t="shared" si="129"/>
        <v>224884</v>
      </c>
    </row>
    <row r="3343" spans="2:24">
      <c r="B3343" t="s">
        <v>559</v>
      </c>
      <c r="C3343" t="s">
        <v>116</v>
      </c>
      <c r="D3343" t="s">
        <v>583</v>
      </c>
      <c r="E3343" t="s">
        <v>583</v>
      </c>
      <c r="F3343" s="705">
        <v>2020</v>
      </c>
      <c r="G3343" s="705">
        <v>336479</v>
      </c>
      <c r="H3343" s="705">
        <v>387702</v>
      </c>
      <c r="I3343" s="705">
        <v>39335326</v>
      </c>
      <c r="J3343" s="705">
        <v>35759387</v>
      </c>
      <c r="K3343" s="705">
        <v>86</v>
      </c>
      <c r="L3343" s="705">
        <v>8346448</v>
      </c>
      <c r="M3343" s="705">
        <v>7370673</v>
      </c>
      <c r="N3343" s="705">
        <v>7302432</v>
      </c>
      <c r="O3343" s="705">
        <v>2704605</v>
      </c>
      <c r="P3343" s="705">
        <v>1340535</v>
      </c>
      <c r="Q3343" s="705">
        <v>496494</v>
      </c>
      <c r="R3343" s="705">
        <v>10715173</v>
      </c>
      <c r="S3343" s="705">
        <v>9741066</v>
      </c>
      <c r="T3343" s="705">
        <v>2533767</v>
      </c>
      <c r="U3343" s="705">
        <v>938432</v>
      </c>
      <c r="V3343" s="705">
        <v>57010657</v>
      </c>
      <c r="W3343" s="705">
        <f t="shared" si="128"/>
        <v>57010657</v>
      </c>
      <c r="X3343" s="705">
        <f t="shared" si="129"/>
        <v>69573681</v>
      </c>
    </row>
    <row r="3344" spans="2:24">
      <c r="B3344" t="s">
        <v>559</v>
      </c>
      <c r="C3344" t="s">
        <v>116</v>
      </c>
      <c r="D3344" t="s">
        <v>583</v>
      </c>
      <c r="E3344" t="s">
        <v>666</v>
      </c>
      <c r="F3344" s="705">
        <v>2</v>
      </c>
      <c r="G3344" s="705">
        <v>341</v>
      </c>
      <c r="H3344" s="705">
        <v>406</v>
      </c>
      <c r="I3344" s="705">
        <v>37456</v>
      </c>
      <c r="J3344" s="705">
        <v>34051</v>
      </c>
      <c r="K3344" s="705">
        <v>77</v>
      </c>
      <c r="L3344" s="705">
        <v>7973</v>
      </c>
      <c r="M3344" s="705">
        <v>7057</v>
      </c>
      <c r="N3344" s="705">
        <v>7074</v>
      </c>
      <c r="O3344" s="705">
        <v>2620</v>
      </c>
      <c r="P3344" s="705">
        <v>1242</v>
      </c>
      <c r="Q3344" s="705">
        <v>460</v>
      </c>
      <c r="R3344" s="705">
        <v>12001</v>
      </c>
      <c r="S3344" s="705">
        <v>10910</v>
      </c>
      <c r="T3344" s="705">
        <v>3227</v>
      </c>
      <c r="U3344" s="705">
        <v>1195</v>
      </c>
      <c r="V3344" s="705">
        <v>56293</v>
      </c>
      <c r="W3344" s="705">
        <f t="shared" si="128"/>
        <v>56293</v>
      </c>
      <c r="X3344" s="705">
        <f t="shared" si="129"/>
        <v>68973</v>
      </c>
    </row>
    <row r="3345" spans="2:24">
      <c r="B3345" t="s">
        <v>559</v>
      </c>
      <c r="C3345" t="s">
        <v>116</v>
      </c>
      <c r="D3345" t="s">
        <v>583</v>
      </c>
      <c r="E3345" t="s">
        <v>584</v>
      </c>
      <c r="F3345" s="705">
        <v>1</v>
      </c>
      <c r="G3345" s="705">
        <v>158</v>
      </c>
      <c r="H3345" s="705">
        <v>169</v>
      </c>
      <c r="I3345" s="705">
        <v>15800</v>
      </c>
      <c r="J3345" s="705">
        <v>14364</v>
      </c>
      <c r="K3345" s="705">
        <v>92</v>
      </c>
      <c r="L3345" s="705">
        <v>2949</v>
      </c>
      <c r="M3345" s="705">
        <v>2458</v>
      </c>
      <c r="N3345" s="705">
        <v>2437</v>
      </c>
      <c r="O3345" s="705">
        <v>903</v>
      </c>
      <c r="P3345" s="705">
        <v>621</v>
      </c>
      <c r="Q3345" s="705">
        <v>230</v>
      </c>
      <c r="R3345" s="705">
        <v>4870</v>
      </c>
      <c r="S3345" s="705">
        <v>4427</v>
      </c>
      <c r="T3345" s="705">
        <v>0</v>
      </c>
      <c r="U3345" s="705">
        <v>0</v>
      </c>
      <c r="V3345" s="705">
        <v>22381</v>
      </c>
      <c r="W3345" s="705">
        <f t="shared" si="128"/>
        <v>22382</v>
      </c>
      <c r="X3345" s="705">
        <f t="shared" si="129"/>
        <v>26677</v>
      </c>
    </row>
    <row r="3346" spans="2:24">
      <c r="B3346" t="s">
        <v>559</v>
      </c>
      <c r="C3346" t="s">
        <v>116</v>
      </c>
      <c r="D3346" t="s">
        <v>583</v>
      </c>
      <c r="E3346" t="s">
        <v>667</v>
      </c>
      <c r="F3346" s="705">
        <v>1</v>
      </c>
      <c r="G3346" s="705">
        <v>101</v>
      </c>
      <c r="H3346" s="705">
        <v>221</v>
      </c>
      <c r="I3346" s="705">
        <v>19318</v>
      </c>
      <c r="J3346" s="705">
        <v>17561</v>
      </c>
      <c r="K3346" s="705">
        <v>79</v>
      </c>
      <c r="L3346" s="705">
        <v>5366</v>
      </c>
      <c r="M3346" s="705">
        <v>4878</v>
      </c>
      <c r="N3346" s="705">
        <v>3988</v>
      </c>
      <c r="O3346" s="705">
        <v>1477</v>
      </c>
      <c r="P3346" s="705">
        <v>621</v>
      </c>
      <c r="Q3346" s="705">
        <v>230</v>
      </c>
      <c r="R3346" s="705">
        <v>6850</v>
      </c>
      <c r="S3346" s="705">
        <v>6227</v>
      </c>
      <c r="T3346" s="705">
        <v>0</v>
      </c>
      <c r="U3346" s="705">
        <v>0</v>
      </c>
      <c r="V3346" s="705">
        <v>30374</v>
      </c>
      <c r="W3346" s="705">
        <f t="shared" si="128"/>
        <v>30373</v>
      </c>
      <c r="X3346" s="705">
        <f t="shared" si="129"/>
        <v>36143</v>
      </c>
    </row>
    <row r="3347" spans="2:24">
      <c r="B3347" t="s">
        <v>559</v>
      </c>
      <c r="C3347" t="s">
        <v>116</v>
      </c>
      <c r="D3347" t="s">
        <v>583</v>
      </c>
      <c r="E3347" t="s">
        <v>665</v>
      </c>
      <c r="F3347" s="705">
        <v>2</v>
      </c>
      <c r="G3347" s="705">
        <v>389</v>
      </c>
      <c r="H3347" s="705">
        <v>371</v>
      </c>
      <c r="I3347" s="705">
        <v>35529</v>
      </c>
      <c r="J3347" s="705">
        <v>32299</v>
      </c>
      <c r="K3347" s="705">
        <v>85</v>
      </c>
      <c r="L3347" s="705">
        <v>11896</v>
      </c>
      <c r="M3347" s="705">
        <v>7112</v>
      </c>
      <c r="N3347" s="705">
        <v>7073</v>
      </c>
      <c r="O3347" s="705">
        <v>2620</v>
      </c>
      <c r="P3347" s="705">
        <v>2646</v>
      </c>
      <c r="Q3347" s="705">
        <v>980</v>
      </c>
      <c r="R3347" s="705">
        <v>11181</v>
      </c>
      <c r="S3347" s="705">
        <v>10164</v>
      </c>
      <c r="T3347" s="705">
        <v>3309</v>
      </c>
      <c r="U3347" s="705">
        <v>1226</v>
      </c>
      <c r="V3347" s="705">
        <v>54400</v>
      </c>
      <c r="W3347" s="705">
        <f t="shared" si="128"/>
        <v>54401</v>
      </c>
      <c r="X3347" s="705">
        <f t="shared" si="129"/>
        <v>71634</v>
      </c>
    </row>
    <row r="3348" spans="2:24">
      <c r="B3348" t="s">
        <v>559</v>
      </c>
      <c r="C3348" t="s">
        <v>116</v>
      </c>
      <c r="D3348" t="s">
        <v>584</v>
      </c>
      <c r="E3348" t="s">
        <v>228</v>
      </c>
      <c r="F3348" s="705">
        <v>1</v>
      </c>
      <c r="G3348" s="705">
        <v>260</v>
      </c>
      <c r="H3348" s="705">
        <v>173</v>
      </c>
      <c r="I3348" s="705">
        <v>23785</v>
      </c>
      <c r="J3348" s="705">
        <v>21622</v>
      </c>
      <c r="K3348" s="705">
        <v>80</v>
      </c>
      <c r="L3348" s="705">
        <v>10095</v>
      </c>
      <c r="M3348" s="705">
        <v>9177</v>
      </c>
      <c r="N3348" s="705">
        <v>3614</v>
      </c>
      <c r="O3348" s="705">
        <v>1339</v>
      </c>
      <c r="P3348" s="705">
        <v>473</v>
      </c>
      <c r="Q3348" s="705">
        <v>175</v>
      </c>
      <c r="R3348" s="705">
        <v>7158</v>
      </c>
      <c r="S3348" s="705">
        <v>2651</v>
      </c>
      <c r="T3348" s="705">
        <v>0</v>
      </c>
      <c r="U3348" s="705">
        <v>0</v>
      </c>
      <c r="V3348" s="705">
        <v>34965</v>
      </c>
      <c r="W3348" s="705">
        <f t="shared" si="128"/>
        <v>34964</v>
      </c>
      <c r="X3348" s="705">
        <f t="shared" si="129"/>
        <v>45125</v>
      </c>
    </row>
    <row r="3349" spans="2:24">
      <c r="B3349" t="s">
        <v>559</v>
      </c>
      <c r="C3349" t="s">
        <v>116</v>
      </c>
      <c r="D3349" t="s">
        <v>584</v>
      </c>
      <c r="E3349" t="s">
        <v>584</v>
      </c>
      <c r="F3349" s="705">
        <v>737</v>
      </c>
      <c r="G3349" s="705">
        <v>118854</v>
      </c>
      <c r="H3349" s="705">
        <v>138450</v>
      </c>
      <c r="I3349" s="705">
        <v>12601804</v>
      </c>
      <c r="J3349" s="705">
        <v>11456186</v>
      </c>
      <c r="K3349" s="705">
        <v>84</v>
      </c>
      <c r="L3349" s="705">
        <v>3096046</v>
      </c>
      <c r="M3349" s="705">
        <v>2718206</v>
      </c>
      <c r="N3349" s="705">
        <v>2457670</v>
      </c>
      <c r="O3349" s="705">
        <v>910248</v>
      </c>
      <c r="P3349" s="705">
        <v>366886</v>
      </c>
      <c r="Q3349" s="705">
        <v>135884</v>
      </c>
      <c r="R3349" s="705">
        <v>3992233</v>
      </c>
      <c r="S3349" s="705">
        <v>3629303</v>
      </c>
      <c r="T3349" s="705">
        <v>480880</v>
      </c>
      <c r="U3349" s="705">
        <v>178104</v>
      </c>
      <c r="V3349" s="705">
        <v>19027930</v>
      </c>
      <c r="W3349" s="705">
        <f t="shared" si="128"/>
        <v>19027931</v>
      </c>
      <c r="X3349" s="705">
        <f t="shared" si="129"/>
        <v>22995519</v>
      </c>
    </row>
    <row r="3350" spans="2:24">
      <c r="B3350" t="s">
        <v>559</v>
      </c>
      <c r="C3350" t="s">
        <v>116</v>
      </c>
      <c r="D3350" t="s">
        <v>665</v>
      </c>
      <c r="E3350" t="s">
        <v>583</v>
      </c>
      <c r="F3350" s="705">
        <v>1</v>
      </c>
      <c r="G3350" s="705">
        <v>267</v>
      </c>
      <c r="H3350" s="705">
        <v>183</v>
      </c>
      <c r="I3350" s="705">
        <v>25853</v>
      </c>
      <c r="J3350" s="705">
        <v>23503</v>
      </c>
      <c r="K3350" s="705">
        <v>86</v>
      </c>
      <c r="L3350" s="705">
        <v>7794</v>
      </c>
      <c r="M3350" s="705">
        <v>7086</v>
      </c>
      <c r="N3350" s="705">
        <v>6514</v>
      </c>
      <c r="O3350" s="705">
        <v>2413</v>
      </c>
      <c r="P3350" s="705">
        <v>621</v>
      </c>
      <c r="Q3350" s="705">
        <v>230</v>
      </c>
      <c r="R3350" s="705">
        <v>8008</v>
      </c>
      <c r="S3350" s="705">
        <v>7280</v>
      </c>
      <c r="T3350" s="705">
        <v>0</v>
      </c>
      <c r="U3350" s="705">
        <v>0</v>
      </c>
      <c r="V3350" s="705">
        <v>40511</v>
      </c>
      <c r="W3350" s="705">
        <f t="shared" si="128"/>
        <v>40512</v>
      </c>
      <c r="X3350" s="705">
        <f t="shared" si="129"/>
        <v>48790</v>
      </c>
    </row>
    <row r="3351" spans="2:24">
      <c r="B3351" t="s">
        <v>559</v>
      </c>
      <c r="C3351" t="s">
        <v>116</v>
      </c>
      <c r="D3351" t="s">
        <v>665</v>
      </c>
      <c r="E3351" t="s">
        <v>665</v>
      </c>
      <c r="F3351" s="705">
        <v>4</v>
      </c>
      <c r="G3351" s="705">
        <v>970</v>
      </c>
      <c r="H3351" s="705">
        <v>793</v>
      </c>
      <c r="I3351" s="705">
        <v>119756</v>
      </c>
      <c r="J3351" s="705">
        <v>108869</v>
      </c>
      <c r="K3351" s="705">
        <v>63</v>
      </c>
      <c r="L3351" s="705">
        <v>8974</v>
      </c>
      <c r="M3351" s="705">
        <v>8159</v>
      </c>
      <c r="N3351" s="705">
        <v>18609</v>
      </c>
      <c r="O3351" s="705">
        <v>6892</v>
      </c>
      <c r="P3351" s="705">
        <v>2331</v>
      </c>
      <c r="Q3351" s="705">
        <v>863</v>
      </c>
      <c r="R3351" s="705">
        <v>27963</v>
      </c>
      <c r="S3351" s="705">
        <v>25421</v>
      </c>
      <c r="T3351" s="705">
        <v>8991</v>
      </c>
      <c r="U3351" s="705">
        <v>3330</v>
      </c>
      <c r="V3351" s="705">
        <v>153534</v>
      </c>
      <c r="W3351" s="705">
        <f t="shared" si="128"/>
        <v>153534</v>
      </c>
      <c r="X3351" s="705">
        <f t="shared" si="129"/>
        <v>186624</v>
      </c>
    </row>
    <row r="3352" spans="2:24">
      <c r="B3352" t="s">
        <v>559</v>
      </c>
      <c r="C3352" t="s">
        <v>116</v>
      </c>
      <c r="D3352" t="s">
        <v>585</v>
      </c>
      <c r="E3352" t="s">
        <v>228</v>
      </c>
      <c r="F3352" s="705">
        <v>1</v>
      </c>
      <c r="G3352" s="705">
        <v>221</v>
      </c>
      <c r="H3352" s="705">
        <v>160</v>
      </c>
      <c r="I3352" s="705">
        <v>23217</v>
      </c>
      <c r="J3352" s="705">
        <v>21107</v>
      </c>
      <c r="K3352" s="705">
        <v>65</v>
      </c>
      <c r="L3352" s="705">
        <v>2580</v>
      </c>
      <c r="M3352" s="705">
        <v>2345</v>
      </c>
      <c r="N3352" s="705">
        <v>3559</v>
      </c>
      <c r="O3352" s="705">
        <v>1318</v>
      </c>
      <c r="P3352" s="705">
        <v>351</v>
      </c>
      <c r="Q3352" s="705">
        <v>130</v>
      </c>
      <c r="R3352" s="705">
        <v>5653</v>
      </c>
      <c r="S3352" s="705">
        <v>2094</v>
      </c>
      <c r="T3352" s="705">
        <v>0</v>
      </c>
      <c r="U3352" s="705">
        <v>0</v>
      </c>
      <c r="V3352" s="705">
        <v>26994</v>
      </c>
      <c r="W3352" s="705">
        <f t="shared" si="128"/>
        <v>26994</v>
      </c>
      <c r="X3352" s="705">
        <f t="shared" si="129"/>
        <v>35360</v>
      </c>
    </row>
    <row r="3353" spans="2:24">
      <c r="B3353" t="s">
        <v>559</v>
      </c>
      <c r="C3353" t="s">
        <v>116</v>
      </c>
      <c r="D3353" t="s">
        <v>585</v>
      </c>
      <c r="E3353" t="s">
        <v>585</v>
      </c>
      <c r="F3353" s="705">
        <v>17</v>
      </c>
      <c r="G3353" s="705">
        <v>4150</v>
      </c>
      <c r="H3353" s="705">
        <v>3049</v>
      </c>
      <c r="I3353" s="705">
        <v>498818</v>
      </c>
      <c r="J3353" s="705">
        <v>453471</v>
      </c>
      <c r="K3353" s="705">
        <v>70</v>
      </c>
      <c r="L3353" s="705">
        <v>67316</v>
      </c>
      <c r="M3353" s="705">
        <v>60246</v>
      </c>
      <c r="N3353" s="705">
        <v>84624</v>
      </c>
      <c r="O3353" s="705">
        <v>31342</v>
      </c>
      <c r="P3353" s="705">
        <v>7290</v>
      </c>
      <c r="Q3353" s="705">
        <v>2700</v>
      </c>
      <c r="R3353" s="705">
        <v>116023</v>
      </c>
      <c r="S3353" s="705">
        <v>105475</v>
      </c>
      <c r="T3353" s="705">
        <v>13568</v>
      </c>
      <c r="U3353" s="705">
        <v>5025</v>
      </c>
      <c r="V3353" s="705">
        <v>658260</v>
      </c>
      <c r="W3353" s="705">
        <f t="shared" si="128"/>
        <v>658259</v>
      </c>
      <c r="X3353" s="705">
        <f t="shared" si="129"/>
        <v>787639</v>
      </c>
    </row>
    <row r="3354" spans="2:24">
      <c r="B3354" t="s">
        <v>559</v>
      </c>
      <c r="C3354" t="s">
        <v>118</v>
      </c>
      <c r="F3354" s="705">
        <v>2</v>
      </c>
      <c r="G3354" s="705">
        <v>172</v>
      </c>
      <c r="H3354" s="705">
        <v>538</v>
      </c>
      <c r="I3354" s="705"/>
      <c r="J3354" s="705">
        <v>0</v>
      </c>
      <c r="K3354" s="705"/>
      <c r="L3354" s="705"/>
      <c r="M3354" s="705">
        <v>0</v>
      </c>
      <c r="N3354" s="705">
        <v>2812</v>
      </c>
      <c r="O3354" s="705">
        <v>1042</v>
      </c>
      <c r="P3354" s="705">
        <v>1242</v>
      </c>
      <c r="Q3354" s="705">
        <v>460</v>
      </c>
      <c r="R3354" s="705"/>
      <c r="S3354" s="705">
        <v>0</v>
      </c>
      <c r="T3354" s="705">
        <v>0</v>
      </c>
      <c r="U3354" s="705">
        <v>0</v>
      </c>
      <c r="V3354" s="705">
        <v>1502</v>
      </c>
      <c r="W3354" s="705">
        <f t="shared" si="128"/>
        <v>1502</v>
      </c>
      <c r="X3354" s="705">
        <f t="shared" si="129"/>
        <v>4054</v>
      </c>
    </row>
    <row r="3355" spans="2:24">
      <c r="B3355" t="s">
        <v>559</v>
      </c>
      <c r="C3355" t="s">
        <v>118</v>
      </c>
      <c r="D3355" t="s">
        <v>664</v>
      </c>
      <c r="E3355" t="s">
        <v>664</v>
      </c>
      <c r="F3355" s="705">
        <v>2</v>
      </c>
      <c r="G3355" s="705">
        <v>365</v>
      </c>
      <c r="H3355" s="705">
        <v>576</v>
      </c>
      <c r="I3355" s="705">
        <v>60940</v>
      </c>
      <c r="J3355" s="705">
        <v>55400</v>
      </c>
      <c r="K3355" s="705">
        <v>85</v>
      </c>
      <c r="L3355" s="705">
        <v>19211</v>
      </c>
      <c r="M3355" s="705">
        <v>16807</v>
      </c>
      <c r="N3355" s="705">
        <v>7543</v>
      </c>
      <c r="O3355" s="705">
        <v>2794</v>
      </c>
      <c r="P3355" s="705">
        <v>945</v>
      </c>
      <c r="Q3355" s="705">
        <v>350</v>
      </c>
      <c r="R3355" s="705">
        <v>8939</v>
      </c>
      <c r="S3355" s="705">
        <v>8126</v>
      </c>
      <c r="T3355" s="705">
        <v>7241</v>
      </c>
      <c r="U3355" s="705">
        <v>2682</v>
      </c>
      <c r="V3355" s="705">
        <v>86159</v>
      </c>
      <c r="W3355" s="705">
        <f t="shared" si="128"/>
        <v>86159</v>
      </c>
      <c r="X3355" s="705">
        <f t="shared" si="129"/>
        <v>104819</v>
      </c>
    </row>
    <row r="3356" spans="2:24">
      <c r="B3356" t="s">
        <v>559</v>
      </c>
      <c r="C3356" t="s">
        <v>118</v>
      </c>
      <c r="D3356" t="s">
        <v>664</v>
      </c>
      <c r="E3356" t="s">
        <v>582</v>
      </c>
      <c r="F3356" s="705">
        <v>1</v>
      </c>
      <c r="G3356" s="705">
        <v>91</v>
      </c>
      <c r="H3356" s="705">
        <v>254</v>
      </c>
      <c r="I3356" s="705">
        <v>15901</v>
      </c>
      <c r="J3356" s="705">
        <v>14456</v>
      </c>
      <c r="K3356" s="705">
        <v>78</v>
      </c>
      <c r="L3356" s="705">
        <v>0</v>
      </c>
      <c r="M3356" s="705">
        <v>0</v>
      </c>
      <c r="N3356" s="705">
        <v>1504</v>
      </c>
      <c r="O3356" s="705">
        <v>557</v>
      </c>
      <c r="P3356" s="705">
        <v>473</v>
      </c>
      <c r="Q3356" s="705">
        <v>175</v>
      </c>
      <c r="R3356" s="705">
        <v>5185</v>
      </c>
      <c r="S3356" s="705">
        <v>4714</v>
      </c>
      <c r="T3356" s="705">
        <v>0</v>
      </c>
      <c r="U3356" s="705">
        <v>0</v>
      </c>
      <c r="V3356" s="705">
        <v>19902</v>
      </c>
      <c r="W3356" s="705">
        <f t="shared" si="128"/>
        <v>19902</v>
      </c>
      <c r="X3356" s="705">
        <f t="shared" si="129"/>
        <v>23063</v>
      </c>
    </row>
    <row r="3357" spans="2:24">
      <c r="B3357" t="s">
        <v>559</v>
      </c>
      <c r="C3357" t="s">
        <v>118</v>
      </c>
      <c r="D3357" t="s">
        <v>664</v>
      </c>
      <c r="E3357" t="s">
        <v>583</v>
      </c>
      <c r="F3357" s="705">
        <v>1</v>
      </c>
      <c r="G3357" s="705">
        <v>152</v>
      </c>
      <c r="H3357" s="705">
        <v>251</v>
      </c>
      <c r="I3357" s="705">
        <v>20914</v>
      </c>
      <c r="J3357" s="705">
        <v>19013</v>
      </c>
      <c r="K3357" s="705">
        <v>70</v>
      </c>
      <c r="L3357" s="705">
        <v>5619</v>
      </c>
      <c r="M3357" s="705">
        <v>4683</v>
      </c>
      <c r="N3357" s="705">
        <v>2616</v>
      </c>
      <c r="O3357" s="705">
        <v>969</v>
      </c>
      <c r="P3357" s="705">
        <v>621</v>
      </c>
      <c r="Q3357" s="705">
        <v>230</v>
      </c>
      <c r="R3357" s="705">
        <v>5305</v>
      </c>
      <c r="S3357" s="705">
        <v>4823</v>
      </c>
      <c r="T3357" s="705">
        <v>3178</v>
      </c>
      <c r="U3357" s="705">
        <v>1177</v>
      </c>
      <c r="V3357" s="705">
        <v>30895</v>
      </c>
      <c r="W3357" s="705">
        <f t="shared" si="128"/>
        <v>30895</v>
      </c>
      <c r="X3357" s="705">
        <f t="shared" si="129"/>
        <v>38253</v>
      </c>
    </row>
    <row r="3358" spans="2:24">
      <c r="B3358" t="s">
        <v>559</v>
      </c>
      <c r="C3358" t="s">
        <v>118</v>
      </c>
      <c r="D3358" t="s">
        <v>582</v>
      </c>
      <c r="E3358" t="s">
        <v>582</v>
      </c>
      <c r="F3358" s="705">
        <v>25</v>
      </c>
      <c r="G3358" s="705">
        <v>3166</v>
      </c>
      <c r="H3358" s="705">
        <v>6523</v>
      </c>
      <c r="I3358" s="705">
        <v>537645</v>
      </c>
      <c r="J3358" s="705">
        <v>488768</v>
      </c>
      <c r="K3358" s="705">
        <v>82</v>
      </c>
      <c r="L3358" s="705">
        <v>103437</v>
      </c>
      <c r="M3358" s="705">
        <v>91187</v>
      </c>
      <c r="N3358" s="705">
        <v>70512</v>
      </c>
      <c r="O3358" s="705">
        <v>26116</v>
      </c>
      <c r="P3358" s="705">
        <v>17431</v>
      </c>
      <c r="Q3358" s="705">
        <v>6456</v>
      </c>
      <c r="R3358" s="705">
        <v>127129</v>
      </c>
      <c r="S3358" s="705">
        <v>115572</v>
      </c>
      <c r="T3358" s="705">
        <v>22644</v>
      </c>
      <c r="U3358" s="705">
        <v>8387</v>
      </c>
      <c r="V3358" s="705">
        <v>736486</v>
      </c>
      <c r="W3358" s="705">
        <f t="shared" si="128"/>
        <v>736486</v>
      </c>
      <c r="X3358" s="705">
        <f t="shared" si="129"/>
        <v>878798</v>
      </c>
    </row>
    <row r="3359" spans="2:24">
      <c r="B3359" t="s">
        <v>559</v>
      </c>
      <c r="C3359" t="s">
        <v>118</v>
      </c>
      <c r="D3359" t="s">
        <v>228</v>
      </c>
      <c r="E3359" t="s">
        <v>228</v>
      </c>
      <c r="F3359" s="705">
        <v>49</v>
      </c>
      <c r="G3359" s="705">
        <v>6283</v>
      </c>
      <c r="H3359" s="705">
        <v>13204</v>
      </c>
      <c r="I3359" s="705">
        <v>1050335</v>
      </c>
      <c r="J3359" s="705">
        <v>389013</v>
      </c>
      <c r="K3359" s="705">
        <v>114</v>
      </c>
      <c r="L3359" s="705">
        <v>213984</v>
      </c>
      <c r="M3359" s="705">
        <v>917399</v>
      </c>
      <c r="N3359" s="705">
        <v>141965</v>
      </c>
      <c r="O3359" s="705">
        <v>52580</v>
      </c>
      <c r="P3359" s="705">
        <v>12851</v>
      </c>
      <c r="Q3359" s="705">
        <v>4760</v>
      </c>
      <c r="R3359" s="705">
        <v>407342</v>
      </c>
      <c r="S3359" s="705">
        <v>150868</v>
      </c>
      <c r="T3359" s="705">
        <v>0</v>
      </c>
      <c r="U3359" s="705">
        <v>0</v>
      </c>
      <c r="V3359" s="705">
        <v>1514619</v>
      </c>
      <c r="W3359" s="705">
        <f t="shared" si="128"/>
        <v>1514620</v>
      </c>
      <c r="X3359" s="705">
        <f t="shared" si="129"/>
        <v>1826477</v>
      </c>
    </row>
    <row r="3360" spans="2:24">
      <c r="B3360" t="s">
        <v>559</v>
      </c>
      <c r="C3360" t="s">
        <v>118</v>
      </c>
      <c r="D3360" t="s">
        <v>583</v>
      </c>
      <c r="E3360" t="s">
        <v>664</v>
      </c>
      <c r="F3360" s="705">
        <v>1</v>
      </c>
      <c r="G3360" s="705">
        <v>145</v>
      </c>
      <c r="H3360" s="705">
        <v>268</v>
      </c>
      <c r="I3360" s="705">
        <v>24541</v>
      </c>
      <c r="J3360" s="705">
        <v>22310</v>
      </c>
      <c r="K3360" s="705">
        <v>85</v>
      </c>
      <c r="L3360" s="705">
        <v>3668</v>
      </c>
      <c r="M3360" s="705">
        <v>3334</v>
      </c>
      <c r="N3360" s="705">
        <v>2818</v>
      </c>
      <c r="O3360" s="705">
        <v>1044</v>
      </c>
      <c r="P3360" s="705">
        <v>621</v>
      </c>
      <c r="Q3360" s="705">
        <v>230</v>
      </c>
      <c r="R3360" s="705">
        <v>4145</v>
      </c>
      <c r="S3360" s="705">
        <v>3768</v>
      </c>
      <c r="T3360" s="705">
        <v>2960</v>
      </c>
      <c r="U3360" s="705">
        <v>1096</v>
      </c>
      <c r="V3360" s="705">
        <v>31782</v>
      </c>
      <c r="W3360" s="705">
        <f t="shared" si="128"/>
        <v>31782</v>
      </c>
      <c r="X3360" s="705">
        <f t="shared" si="129"/>
        <v>38753</v>
      </c>
    </row>
    <row r="3361" spans="2:24">
      <c r="B3361" t="s">
        <v>559</v>
      </c>
      <c r="C3361" t="s">
        <v>118</v>
      </c>
      <c r="D3361" t="s">
        <v>583</v>
      </c>
      <c r="E3361" t="s">
        <v>582</v>
      </c>
      <c r="F3361" s="705">
        <v>2</v>
      </c>
      <c r="G3361" s="705">
        <v>679</v>
      </c>
      <c r="H3361" s="705">
        <v>538</v>
      </c>
      <c r="I3361" s="705">
        <v>122408</v>
      </c>
      <c r="J3361" s="705">
        <v>111280</v>
      </c>
      <c r="K3361" s="705">
        <v>78</v>
      </c>
      <c r="L3361" s="705">
        <v>31842</v>
      </c>
      <c r="M3361" s="705">
        <v>18094</v>
      </c>
      <c r="N3361" s="705">
        <v>14952</v>
      </c>
      <c r="O3361" s="705">
        <v>5538</v>
      </c>
      <c r="P3361" s="705">
        <v>1863</v>
      </c>
      <c r="Q3361" s="705">
        <v>690</v>
      </c>
      <c r="R3361" s="705">
        <v>15299</v>
      </c>
      <c r="S3361" s="705">
        <v>13908</v>
      </c>
      <c r="T3361" s="705">
        <v>0</v>
      </c>
      <c r="U3361" s="705">
        <v>0</v>
      </c>
      <c r="V3361" s="705">
        <v>149510</v>
      </c>
      <c r="W3361" s="705">
        <f t="shared" si="128"/>
        <v>149510</v>
      </c>
      <c r="X3361" s="705">
        <f t="shared" si="129"/>
        <v>186364</v>
      </c>
    </row>
    <row r="3362" spans="2:24">
      <c r="B3362" t="s">
        <v>559</v>
      </c>
      <c r="C3362" t="s">
        <v>118</v>
      </c>
      <c r="D3362" t="s">
        <v>583</v>
      </c>
      <c r="E3362" t="s">
        <v>228</v>
      </c>
      <c r="F3362" s="705">
        <v>12</v>
      </c>
      <c r="G3362" s="705">
        <v>1860</v>
      </c>
      <c r="H3362" s="705">
        <v>3115</v>
      </c>
      <c r="I3362" s="705">
        <v>289005</v>
      </c>
      <c r="J3362" s="705">
        <v>262732</v>
      </c>
      <c r="K3362" s="705">
        <v>80</v>
      </c>
      <c r="L3362" s="705">
        <v>62326</v>
      </c>
      <c r="M3362" s="705">
        <v>54180</v>
      </c>
      <c r="N3362" s="705">
        <v>40877</v>
      </c>
      <c r="O3362" s="705">
        <v>15140</v>
      </c>
      <c r="P3362" s="705">
        <v>7803</v>
      </c>
      <c r="Q3362" s="705">
        <v>2890</v>
      </c>
      <c r="R3362" s="705">
        <v>101778</v>
      </c>
      <c r="S3362" s="705">
        <v>37695</v>
      </c>
      <c r="T3362" s="705">
        <v>0</v>
      </c>
      <c r="U3362" s="705">
        <v>0</v>
      </c>
      <c r="V3362" s="705">
        <v>372637</v>
      </c>
      <c r="W3362" s="705">
        <f t="shared" si="128"/>
        <v>372637</v>
      </c>
      <c r="X3362" s="705">
        <f t="shared" si="129"/>
        <v>501789</v>
      </c>
    </row>
    <row r="3363" spans="2:24">
      <c r="B3363" t="s">
        <v>559</v>
      </c>
      <c r="C3363" t="s">
        <v>118</v>
      </c>
      <c r="D3363" t="s">
        <v>583</v>
      </c>
      <c r="E3363" t="s">
        <v>583</v>
      </c>
      <c r="F3363" s="705">
        <v>1522</v>
      </c>
      <c r="G3363" s="705">
        <v>207494</v>
      </c>
      <c r="H3363" s="705">
        <v>395633</v>
      </c>
      <c r="I3363" s="705">
        <v>33051240</v>
      </c>
      <c r="J3363" s="705">
        <v>30046582</v>
      </c>
      <c r="K3363" s="705">
        <v>81</v>
      </c>
      <c r="L3363" s="705">
        <v>7076791</v>
      </c>
      <c r="M3363" s="705">
        <v>6236811</v>
      </c>
      <c r="N3363" s="705">
        <v>4477035</v>
      </c>
      <c r="O3363" s="705">
        <v>1658161</v>
      </c>
      <c r="P3363" s="705">
        <v>982945</v>
      </c>
      <c r="Q3363" s="705">
        <v>364054</v>
      </c>
      <c r="R3363" s="705">
        <v>7835826</v>
      </c>
      <c r="S3363" s="705">
        <v>7123478</v>
      </c>
      <c r="T3363" s="705">
        <v>2690231</v>
      </c>
      <c r="U3363" s="705">
        <v>996382</v>
      </c>
      <c r="V3363" s="705">
        <v>46425468</v>
      </c>
      <c r="W3363" s="705">
        <f t="shared" si="128"/>
        <v>46425468</v>
      </c>
      <c r="X3363" s="705">
        <f t="shared" si="129"/>
        <v>56114068</v>
      </c>
    </row>
    <row r="3364" spans="2:24">
      <c r="B3364" t="s">
        <v>559</v>
      </c>
      <c r="C3364" t="s">
        <v>118</v>
      </c>
      <c r="D3364" t="s">
        <v>583</v>
      </c>
      <c r="E3364" t="s">
        <v>666</v>
      </c>
      <c r="F3364" s="705">
        <v>1</v>
      </c>
      <c r="G3364" s="705">
        <v>93</v>
      </c>
      <c r="H3364" s="705">
        <v>254</v>
      </c>
      <c r="I3364" s="705">
        <v>12624</v>
      </c>
      <c r="J3364" s="705">
        <v>11476</v>
      </c>
      <c r="K3364" s="705">
        <v>85</v>
      </c>
      <c r="L3364" s="705">
        <v>2058</v>
      </c>
      <c r="M3364" s="705">
        <v>1871</v>
      </c>
      <c r="N3364" s="705">
        <v>2272</v>
      </c>
      <c r="O3364" s="705">
        <v>842</v>
      </c>
      <c r="P3364" s="705">
        <v>621</v>
      </c>
      <c r="Q3364" s="705">
        <v>230</v>
      </c>
      <c r="R3364" s="705">
        <v>6143</v>
      </c>
      <c r="S3364" s="705">
        <v>5585</v>
      </c>
      <c r="T3364" s="705">
        <v>0</v>
      </c>
      <c r="U3364" s="705">
        <v>0</v>
      </c>
      <c r="V3364" s="705">
        <v>20004</v>
      </c>
      <c r="W3364" s="705">
        <f t="shared" si="128"/>
        <v>20004</v>
      </c>
      <c r="X3364" s="705">
        <f t="shared" si="129"/>
        <v>23718</v>
      </c>
    </row>
    <row r="3365" spans="2:24">
      <c r="B3365" t="s">
        <v>559</v>
      </c>
      <c r="C3365" t="s">
        <v>118</v>
      </c>
      <c r="D3365" t="s">
        <v>583</v>
      </c>
      <c r="E3365" t="s">
        <v>584</v>
      </c>
      <c r="F3365" s="705">
        <v>1</v>
      </c>
      <c r="G3365" s="705">
        <v>54</v>
      </c>
      <c r="H3365" s="705">
        <v>290</v>
      </c>
      <c r="I3365" s="705">
        <v>8161</v>
      </c>
      <c r="J3365" s="705">
        <v>7419</v>
      </c>
      <c r="K3365" s="705">
        <v>86</v>
      </c>
      <c r="L3365" s="705">
        <v>1133</v>
      </c>
      <c r="M3365" s="705">
        <v>1030</v>
      </c>
      <c r="N3365" s="705">
        <v>794</v>
      </c>
      <c r="O3365" s="705">
        <v>294</v>
      </c>
      <c r="P3365" s="705">
        <v>621</v>
      </c>
      <c r="Q3365" s="705">
        <v>230</v>
      </c>
      <c r="R3365" s="705">
        <v>3085</v>
      </c>
      <c r="S3365" s="705">
        <v>2805</v>
      </c>
      <c r="T3365" s="705">
        <v>1942</v>
      </c>
      <c r="U3365" s="705">
        <v>719</v>
      </c>
      <c r="V3365" s="705">
        <v>12497</v>
      </c>
      <c r="W3365" s="705">
        <f t="shared" si="128"/>
        <v>12497</v>
      </c>
      <c r="X3365" s="705">
        <f t="shared" si="129"/>
        <v>15736</v>
      </c>
    </row>
    <row r="3366" spans="2:24">
      <c r="B3366" t="s">
        <v>559</v>
      </c>
      <c r="C3366" t="s">
        <v>118</v>
      </c>
      <c r="D3366" t="s">
        <v>666</v>
      </c>
      <c r="E3366" t="s">
        <v>666</v>
      </c>
      <c r="F3366" s="705">
        <v>1</v>
      </c>
      <c r="G3366" s="705">
        <v>124</v>
      </c>
      <c r="H3366" s="705">
        <v>258</v>
      </c>
      <c r="I3366" s="705">
        <v>30708</v>
      </c>
      <c r="J3366" s="705">
        <v>27917</v>
      </c>
      <c r="K3366" s="705">
        <v>45</v>
      </c>
      <c r="L3366" s="705">
        <v>5118</v>
      </c>
      <c r="M3366" s="705">
        <v>4653</v>
      </c>
      <c r="N3366" s="705">
        <v>4670</v>
      </c>
      <c r="O3366" s="705">
        <v>1730</v>
      </c>
      <c r="P3366" s="705">
        <v>351</v>
      </c>
      <c r="Q3366" s="705">
        <v>130</v>
      </c>
      <c r="R3366" s="705">
        <v>7487</v>
      </c>
      <c r="S3366" s="705">
        <v>6806</v>
      </c>
      <c r="T3366" s="705">
        <v>3529</v>
      </c>
      <c r="U3366" s="705">
        <v>1307</v>
      </c>
      <c r="V3366" s="705">
        <v>42542</v>
      </c>
      <c r="W3366" s="705">
        <f t="shared" si="128"/>
        <v>42543</v>
      </c>
      <c r="X3366" s="705">
        <f t="shared" si="129"/>
        <v>51863</v>
      </c>
    </row>
    <row r="3367" spans="2:24">
      <c r="B3367" t="s">
        <v>559</v>
      </c>
      <c r="C3367" t="s">
        <v>118</v>
      </c>
      <c r="D3367" t="s">
        <v>584</v>
      </c>
      <c r="E3367" t="s">
        <v>228</v>
      </c>
      <c r="F3367" s="705">
        <v>2</v>
      </c>
      <c r="G3367" s="705">
        <v>404</v>
      </c>
      <c r="H3367" s="705">
        <v>544</v>
      </c>
      <c r="I3367" s="705">
        <v>65468</v>
      </c>
      <c r="J3367" s="705">
        <v>59516</v>
      </c>
      <c r="K3367" s="705">
        <v>78</v>
      </c>
      <c r="L3367" s="705">
        <v>14967</v>
      </c>
      <c r="M3367" s="705">
        <v>12472</v>
      </c>
      <c r="N3367" s="705">
        <v>8015</v>
      </c>
      <c r="O3367" s="705">
        <v>2969</v>
      </c>
      <c r="P3367" s="705">
        <v>945</v>
      </c>
      <c r="Q3367" s="705">
        <v>350</v>
      </c>
      <c r="R3367" s="705">
        <v>18548</v>
      </c>
      <c r="S3367" s="705">
        <v>6870</v>
      </c>
      <c r="T3367" s="705">
        <v>0</v>
      </c>
      <c r="U3367" s="705">
        <v>0</v>
      </c>
      <c r="V3367" s="705">
        <v>82177</v>
      </c>
      <c r="W3367" s="705">
        <f t="shared" si="128"/>
        <v>82177</v>
      </c>
      <c r="X3367" s="705">
        <f t="shared" si="129"/>
        <v>107943</v>
      </c>
    </row>
    <row r="3368" spans="2:24">
      <c r="B3368" t="s">
        <v>559</v>
      </c>
      <c r="C3368" t="s">
        <v>118</v>
      </c>
      <c r="D3368" t="s">
        <v>584</v>
      </c>
      <c r="E3368" t="s">
        <v>584</v>
      </c>
      <c r="F3368" s="705">
        <v>355</v>
      </c>
      <c r="G3368" s="705">
        <v>45377</v>
      </c>
      <c r="H3368" s="705">
        <v>91625</v>
      </c>
      <c r="I3368" s="705">
        <v>6673428</v>
      </c>
      <c r="J3368" s="705">
        <v>6066753</v>
      </c>
      <c r="K3368" s="705">
        <v>80</v>
      </c>
      <c r="L3368" s="705">
        <v>1918322</v>
      </c>
      <c r="M3368" s="705">
        <v>1660371</v>
      </c>
      <c r="N3368" s="705">
        <v>963877</v>
      </c>
      <c r="O3368" s="705">
        <v>356991</v>
      </c>
      <c r="P3368" s="705">
        <v>170600</v>
      </c>
      <c r="Q3368" s="705">
        <v>63185</v>
      </c>
      <c r="R3368" s="705">
        <v>1897734</v>
      </c>
      <c r="S3368" s="705">
        <v>1725213</v>
      </c>
      <c r="T3368" s="705">
        <v>417485</v>
      </c>
      <c r="U3368" s="705">
        <v>154624</v>
      </c>
      <c r="V3368" s="705">
        <v>10027137</v>
      </c>
      <c r="W3368" s="705">
        <f t="shared" si="128"/>
        <v>10027137</v>
      </c>
      <c r="X3368" s="705">
        <f t="shared" si="129"/>
        <v>12041446</v>
      </c>
    </row>
    <row r="3369" spans="2:24">
      <c r="B3369" t="s">
        <v>559</v>
      </c>
      <c r="C3369" t="s">
        <v>118</v>
      </c>
      <c r="D3369" t="s">
        <v>669</v>
      </c>
      <c r="E3369" t="s">
        <v>669</v>
      </c>
      <c r="F3369" s="705">
        <v>3</v>
      </c>
      <c r="G3369" s="705">
        <v>504</v>
      </c>
      <c r="H3369" s="705">
        <v>808</v>
      </c>
      <c r="I3369" s="705">
        <v>97098</v>
      </c>
      <c r="J3369" s="705">
        <v>80915</v>
      </c>
      <c r="K3369" s="705">
        <v>62</v>
      </c>
      <c r="L3369" s="705">
        <v>8177</v>
      </c>
      <c r="M3369" s="705">
        <v>6814</v>
      </c>
      <c r="N3369" s="705">
        <v>12248</v>
      </c>
      <c r="O3369" s="705">
        <v>4536</v>
      </c>
      <c r="P3369" s="705">
        <v>1053</v>
      </c>
      <c r="Q3369" s="705">
        <v>390</v>
      </c>
      <c r="R3369" s="705">
        <v>23099</v>
      </c>
      <c r="S3369" s="705">
        <v>19249</v>
      </c>
      <c r="T3369" s="705">
        <v>5981</v>
      </c>
      <c r="U3369" s="705">
        <v>2215</v>
      </c>
      <c r="V3369" s="705">
        <v>114120</v>
      </c>
      <c r="W3369" s="705">
        <f t="shared" si="128"/>
        <v>114119</v>
      </c>
      <c r="X3369" s="705">
        <f t="shared" si="129"/>
        <v>147656</v>
      </c>
    </row>
    <row r="3370" spans="2:24">
      <c r="B3370" t="s">
        <v>559</v>
      </c>
      <c r="C3370" t="s">
        <v>118</v>
      </c>
      <c r="D3370" t="s">
        <v>667</v>
      </c>
      <c r="E3370" t="s">
        <v>667</v>
      </c>
      <c r="F3370" s="705">
        <v>1</v>
      </c>
      <c r="G3370" s="705">
        <v>123</v>
      </c>
      <c r="H3370" s="705">
        <v>271</v>
      </c>
      <c r="I3370" s="705">
        <v>18695</v>
      </c>
      <c r="J3370" s="705">
        <v>16996</v>
      </c>
      <c r="K3370" s="705">
        <v>65</v>
      </c>
      <c r="L3370" s="705">
        <v>4501</v>
      </c>
      <c r="M3370" s="705">
        <v>4092</v>
      </c>
      <c r="N3370" s="705">
        <v>2295</v>
      </c>
      <c r="O3370" s="705">
        <v>850</v>
      </c>
      <c r="P3370" s="705">
        <v>351</v>
      </c>
      <c r="Q3370" s="705">
        <v>130</v>
      </c>
      <c r="R3370" s="705">
        <v>4835</v>
      </c>
      <c r="S3370" s="705">
        <v>4395</v>
      </c>
      <c r="T3370" s="705">
        <v>2712</v>
      </c>
      <c r="U3370" s="705">
        <v>1005</v>
      </c>
      <c r="V3370" s="705">
        <v>27467</v>
      </c>
      <c r="W3370" s="705">
        <f t="shared" si="128"/>
        <v>27468</v>
      </c>
      <c r="X3370" s="705">
        <f t="shared" si="129"/>
        <v>33389</v>
      </c>
    </row>
    <row r="3371" spans="2:24">
      <c r="B3371" t="s">
        <v>559</v>
      </c>
      <c r="C3371" t="s">
        <v>118</v>
      </c>
      <c r="D3371" t="s">
        <v>665</v>
      </c>
      <c r="E3371" t="s">
        <v>228</v>
      </c>
      <c r="F3371" s="705">
        <v>2</v>
      </c>
      <c r="G3371" s="705">
        <v>323</v>
      </c>
      <c r="H3371" s="705">
        <v>599</v>
      </c>
      <c r="I3371" s="705">
        <v>70641</v>
      </c>
      <c r="J3371" s="705">
        <v>64219</v>
      </c>
      <c r="K3371" s="705">
        <v>48</v>
      </c>
      <c r="L3371" s="705">
        <v>7319</v>
      </c>
      <c r="M3371" s="705">
        <v>2711</v>
      </c>
      <c r="N3371" s="705">
        <v>8743</v>
      </c>
      <c r="O3371" s="705">
        <v>3238</v>
      </c>
      <c r="P3371" s="705">
        <v>0</v>
      </c>
      <c r="Q3371" s="705">
        <v>0</v>
      </c>
      <c r="R3371" s="705">
        <v>21675</v>
      </c>
      <c r="S3371" s="705">
        <v>8028</v>
      </c>
      <c r="T3371" s="705">
        <v>0</v>
      </c>
      <c r="U3371" s="705">
        <v>0</v>
      </c>
      <c r="V3371" s="705">
        <v>78196</v>
      </c>
      <c r="W3371" s="705">
        <f t="shared" si="128"/>
        <v>78196</v>
      </c>
      <c r="X3371" s="705">
        <f t="shared" si="129"/>
        <v>108378</v>
      </c>
    </row>
    <row r="3372" spans="2:24">
      <c r="B3372" t="s">
        <v>559</v>
      </c>
      <c r="C3372" t="s">
        <v>118</v>
      </c>
      <c r="D3372" t="s">
        <v>665</v>
      </c>
      <c r="E3372" t="s">
        <v>665</v>
      </c>
      <c r="F3372" s="705">
        <v>18</v>
      </c>
      <c r="G3372" s="705">
        <v>2164</v>
      </c>
      <c r="H3372" s="705">
        <v>4809</v>
      </c>
      <c r="I3372" s="705">
        <v>380080</v>
      </c>
      <c r="J3372" s="705">
        <v>345527</v>
      </c>
      <c r="K3372" s="705">
        <v>64</v>
      </c>
      <c r="L3372" s="705">
        <v>42981</v>
      </c>
      <c r="M3372" s="705">
        <v>37195</v>
      </c>
      <c r="N3372" s="705">
        <v>43851</v>
      </c>
      <c r="O3372" s="705">
        <v>16241</v>
      </c>
      <c r="P3372" s="705">
        <v>10425</v>
      </c>
      <c r="Q3372" s="705">
        <v>3861</v>
      </c>
      <c r="R3372" s="705">
        <v>95027</v>
      </c>
      <c r="S3372" s="705">
        <v>86389</v>
      </c>
      <c r="T3372" s="705">
        <v>29898</v>
      </c>
      <c r="U3372" s="705">
        <v>11073</v>
      </c>
      <c r="V3372" s="705">
        <v>500287</v>
      </c>
      <c r="W3372" s="705">
        <f t="shared" ref="W3372:W3431" si="130">SUM(ABS(J3372),ABS(M3372),ABS(O3372),ABS(Q3372),ABS(S3372),ABS(U3372))</f>
        <v>500286</v>
      </c>
      <c r="X3372" s="705">
        <f t="shared" ref="X3372:X3431" si="131">SUM(ABS(I3372),ABS(N3372),ABS(P3372),ABS(R3372),ABS(T3372),ABS(L3372))</f>
        <v>602262</v>
      </c>
    </row>
    <row r="3373" spans="2:24">
      <c r="B3373" t="s">
        <v>559</v>
      </c>
      <c r="C3373" t="s">
        <v>118</v>
      </c>
      <c r="D3373" t="s">
        <v>673</v>
      </c>
      <c r="E3373" t="s">
        <v>228</v>
      </c>
      <c r="F3373" s="705">
        <v>1</v>
      </c>
      <c r="G3373" s="705">
        <v>181</v>
      </c>
      <c r="H3373" s="705">
        <v>292</v>
      </c>
      <c r="I3373" s="705">
        <v>28417</v>
      </c>
      <c r="J3373" s="705">
        <v>25833</v>
      </c>
      <c r="K3373" s="705">
        <v>65</v>
      </c>
      <c r="L3373" s="705">
        <v>11334</v>
      </c>
      <c r="M3373" s="705">
        <v>4198</v>
      </c>
      <c r="N3373" s="705">
        <v>2335</v>
      </c>
      <c r="O3373" s="705">
        <v>865</v>
      </c>
      <c r="P3373" s="705">
        <v>0</v>
      </c>
      <c r="Q3373" s="705">
        <v>0</v>
      </c>
      <c r="R3373" s="705">
        <v>10663</v>
      </c>
      <c r="S3373" s="705">
        <v>3949</v>
      </c>
      <c r="T3373" s="705">
        <v>0</v>
      </c>
      <c r="U3373" s="705">
        <v>0</v>
      </c>
      <c r="V3373" s="705">
        <v>34845</v>
      </c>
      <c r="W3373" s="705">
        <f t="shared" si="130"/>
        <v>34845</v>
      </c>
      <c r="X3373" s="705">
        <f t="shared" si="131"/>
        <v>52749</v>
      </c>
    </row>
    <row r="3374" spans="2:24">
      <c r="B3374" t="s">
        <v>559</v>
      </c>
      <c r="C3374" t="s">
        <v>118</v>
      </c>
      <c r="D3374" t="s">
        <v>585</v>
      </c>
      <c r="E3374" t="s">
        <v>585</v>
      </c>
      <c r="F3374" s="705">
        <v>6</v>
      </c>
      <c r="G3374" s="705">
        <v>908</v>
      </c>
      <c r="H3374" s="705">
        <v>1534</v>
      </c>
      <c r="I3374" s="705">
        <v>158546</v>
      </c>
      <c r="J3374" s="705">
        <v>144133</v>
      </c>
      <c r="K3374" s="705">
        <v>68</v>
      </c>
      <c r="L3374" s="705">
        <v>19486</v>
      </c>
      <c r="M3374" s="705">
        <v>17127</v>
      </c>
      <c r="N3374" s="705">
        <v>16280</v>
      </c>
      <c r="O3374" s="705">
        <v>6030</v>
      </c>
      <c r="P3374" s="705">
        <v>2106</v>
      </c>
      <c r="Q3374" s="705">
        <v>780</v>
      </c>
      <c r="R3374" s="705">
        <v>27746</v>
      </c>
      <c r="S3374" s="705">
        <v>25224</v>
      </c>
      <c r="T3374" s="705">
        <v>7871</v>
      </c>
      <c r="U3374" s="705">
        <v>2915</v>
      </c>
      <c r="V3374" s="705">
        <v>196209</v>
      </c>
      <c r="W3374" s="705">
        <f t="shared" si="130"/>
        <v>196209</v>
      </c>
      <c r="X3374" s="705">
        <f t="shared" si="131"/>
        <v>232035</v>
      </c>
    </row>
    <row r="3375" spans="2:24">
      <c r="B3375" t="s">
        <v>559</v>
      </c>
      <c r="C3375" t="s">
        <v>120</v>
      </c>
      <c r="F3375" s="705">
        <v>1</v>
      </c>
      <c r="G3375" s="705">
        <v>226</v>
      </c>
      <c r="H3375" s="705">
        <v>354</v>
      </c>
      <c r="I3375" s="705"/>
      <c r="J3375" s="705">
        <v>0</v>
      </c>
      <c r="K3375" s="705"/>
      <c r="L3375" s="705"/>
      <c r="M3375" s="705">
        <v>0</v>
      </c>
      <c r="N3375" s="705">
        <v>5513</v>
      </c>
      <c r="O3375" s="705">
        <v>2042</v>
      </c>
      <c r="P3375" s="705">
        <v>621</v>
      </c>
      <c r="Q3375" s="705">
        <v>230</v>
      </c>
      <c r="R3375" s="705"/>
      <c r="S3375" s="705">
        <v>0</v>
      </c>
      <c r="T3375" s="705">
        <v>0</v>
      </c>
      <c r="U3375" s="705">
        <v>0</v>
      </c>
      <c r="V3375" s="705">
        <v>2272</v>
      </c>
      <c r="W3375" s="705">
        <f t="shared" si="130"/>
        <v>2272</v>
      </c>
      <c r="X3375" s="705">
        <f t="shared" si="131"/>
        <v>6134</v>
      </c>
    </row>
    <row r="3376" spans="2:24">
      <c r="B3376" t="s">
        <v>559</v>
      </c>
      <c r="C3376" t="s">
        <v>120</v>
      </c>
      <c r="D3376" t="s">
        <v>664</v>
      </c>
      <c r="E3376" t="s">
        <v>664</v>
      </c>
      <c r="F3376" s="705">
        <v>1</v>
      </c>
      <c r="G3376" s="705">
        <v>67</v>
      </c>
      <c r="H3376" s="705">
        <v>319</v>
      </c>
      <c r="I3376" s="705">
        <v>10444</v>
      </c>
      <c r="J3376" s="705">
        <v>9495</v>
      </c>
      <c r="K3376" s="705">
        <v>90</v>
      </c>
      <c r="L3376" s="705">
        <v>2483</v>
      </c>
      <c r="M3376" s="705">
        <v>2258</v>
      </c>
      <c r="N3376" s="705">
        <v>1637</v>
      </c>
      <c r="O3376" s="705">
        <v>606</v>
      </c>
      <c r="P3376" s="705">
        <v>473</v>
      </c>
      <c r="Q3376" s="705">
        <v>175</v>
      </c>
      <c r="R3376" s="705">
        <v>3663</v>
      </c>
      <c r="S3376" s="705">
        <v>3330</v>
      </c>
      <c r="T3376" s="705">
        <v>2704</v>
      </c>
      <c r="U3376" s="705">
        <v>1001</v>
      </c>
      <c r="V3376" s="705">
        <v>16865</v>
      </c>
      <c r="W3376" s="705">
        <f t="shared" si="130"/>
        <v>16865</v>
      </c>
      <c r="X3376" s="705">
        <f t="shared" si="131"/>
        <v>21404</v>
      </c>
    </row>
    <row r="3377" spans="2:24">
      <c r="B3377" t="s">
        <v>559</v>
      </c>
      <c r="C3377" t="s">
        <v>120</v>
      </c>
      <c r="D3377" t="s">
        <v>582</v>
      </c>
      <c r="E3377" t="s">
        <v>582</v>
      </c>
      <c r="F3377" s="705">
        <v>17</v>
      </c>
      <c r="G3377" s="705">
        <v>2071</v>
      </c>
      <c r="H3377" s="705">
        <v>5796</v>
      </c>
      <c r="I3377" s="705">
        <v>464068</v>
      </c>
      <c r="J3377" s="705">
        <v>421880</v>
      </c>
      <c r="K3377" s="705">
        <v>81</v>
      </c>
      <c r="L3377" s="705">
        <v>92593</v>
      </c>
      <c r="M3377" s="705">
        <v>79962</v>
      </c>
      <c r="N3377" s="705">
        <v>41369</v>
      </c>
      <c r="O3377" s="705">
        <v>15322</v>
      </c>
      <c r="P3377" s="705">
        <v>8262</v>
      </c>
      <c r="Q3377" s="705">
        <v>3060</v>
      </c>
      <c r="R3377" s="705">
        <v>89082</v>
      </c>
      <c r="S3377" s="705">
        <v>80983</v>
      </c>
      <c r="T3377" s="705">
        <v>9055</v>
      </c>
      <c r="U3377" s="705">
        <v>3354</v>
      </c>
      <c r="V3377" s="705">
        <v>604561</v>
      </c>
      <c r="W3377" s="705">
        <f t="shared" si="130"/>
        <v>604561</v>
      </c>
      <c r="X3377" s="705">
        <f t="shared" si="131"/>
        <v>704429</v>
      </c>
    </row>
    <row r="3378" spans="2:24">
      <c r="B3378" t="s">
        <v>559</v>
      </c>
      <c r="C3378" t="s">
        <v>120</v>
      </c>
      <c r="D3378" t="s">
        <v>582</v>
      </c>
      <c r="E3378" t="s">
        <v>583</v>
      </c>
      <c r="F3378" s="705">
        <v>1</v>
      </c>
      <c r="G3378" s="705">
        <v>257</v>
      </c>
      <c r="H3378" s="705">
        <v>348</v>
      </c>
      <c r="I3378" s="705">
        <v>69003</v>
      </c>
      <c r="J3378" s="705">
        <v>62730</v>
      </c>
      <c r="K3378" s="705">
        <v>73</v>
      </c>
      <c r="L3378" s="705">
        <v>8868</v>
      </c>
      <c r="M3378" s="705">
        <v>8062</v>
      </c>
      <c r="N3378" s="705">
        <v>3134</v>
      </c>
      <c r="O3378" s="705">
        <v>1161</v>
      </c>
      <c r="P3378" s="705">
        <v>351</v>
      </c>
      <c r="Q3378" s="705">
        <v>130</v>
      </c>
      <c r="R3378" s="705">
        <v>8070</v>
      </c>
      <c r="S3378" s="705">
        <v>7337</v>
      </c>
      <c r="T3378" s="705">
        <v>0</v>
      </c>
      <c r="U3378" s="705">
        <v>0</v>
      </c>
      <c r="V3378" s="705">
        <v>79419</v>
      </c>
      <c r="W3378" s="705">
        <f t="shared" si="130"/>
        <v>79420</v>
      </c>
      <c r="X3378" s="705">
        <f t="shared" si="131"/>
        <v>89426</v>
      </c>
    </row>
    <row r="3379" spans="2:24">
      <c r="B3379" t="s">
        <v>559</v>
      </c>
      <c r="C3379" t="s">
        <v>120</v>
      </c>
      <c r="D3379" t="s">
        <v>582</v>
      </c>
      <c r="E3379" t="s">
        <v>584</v>
      </c>
      <c r="F3379" s="705">
        <v>1</v>
      </c>
      <c r="G3379" s="705">
        <v>78</v>
      </c>
      <c r="H3379" s="705">
        <v>318</v>
      </c>
      <c r="I3379" s="705">
        <v>14144</v>
      </c>
      <c r="J3379" s="705">
        <v>12859</v>
      </c>
      <c r="K3379" s="705">
        <v>65</v>
      </c>
      <c r="L3379" s="705">
        <v>2507</v>
      </c>
      <c r="M3379" s="705">
        <v>929</v>
      </c>
      <c r="N3379" s="705">
        <v>949</v>
      </c>
      <c r="O3379" s="705">
        <v>352</v>
      </c>
      <c r="P3379" s="705">
        <v>351</v>
      </c>
      <c r="Q3379" s="705">
        <v>130</v>
      </c>
      <c r="R3379" s="705">
        <v>4443</v>
      </c>
      <c r="S3379" s="705">
        <v>4040</v>
      </c>
      <c r="T3379" s="705">
        <v>2405</v>
      </c>
      <c r="U3379" s="705">
        <v>891</v>
      </c>
      <c r="V3379" s="705">
        <v>19199</v>
      </c>
      <c r="W3379" s="705">
        <f t="shared" si="130"/>
        <v>19201</v>
      </c>
      <c r="X3379" s="705">
        <f t="shared" si="131"/>
        <v>24799</v>
      </c>
    </row>
    <row r="3380" spans="2:24">
      <c r="B3380" t="s">
        <v>559</v>
      </c>
      <c r="C3380" t="s">
        <v>120</v>
      </c>
      <c r="D3380" t="s">
        <v>228</v>
      </c>
      <c r="E3380" t="s">
        <v>228</v>
      </c>
      <c r="F3380" s="705">
        <v>66</v>
      </c>
      <c r="G3380" s="705">
        <v>6663</v>
      </c>
      <c r="H3380" s="705">
        <v>22462</v>
      </c>
      <c r="I3380" s="705">
        <v>1504308</v>
      </c>
      <c r="J3380" s="705">
        <v>557151</v>
      </c>
      <c r="K3380" s="705">
        <v>100</v>
      </c>
      <c r="L3380" s="705">
        <v>241144</v>
      </c>
      <c r="M3380" s="705">
        <v>187112</v>
      </c>
      <c r="N3380" s="705">
        <v>144029</v>
      </c>
      <c r="O3380" s="705">
        <v>53344</v>
      </c>
      <c r="P3380" s="705">
        <v>0</v>
      </c>
      <c r="Q3380" s="705">
        <v>0</v>
      </c>
      <c r="R3380" s="705">
        <v>518773</v>
      </c>
      <c r="S3380" s="705">
        <v>192138</v>
      </c>
      <c r="T3380" s="705">
        <v>0</v>
      </c>
      <c r="U3380" s="705">
        <v>0</v>
      </c>
      <c r="V3380" s="705">
        <v>989746</v>
      </c>
      <c r="W3380" s="705">
        <f t="shared" si="130"/>
        <v>989745</v>
      </c>
      <c r="X3380" s="705">
        <f t="shared" si="131"/>
        <v>2408254</v>
      </c>
    </row>
    <row r="3381" spans="2:24">
      <c r="B3381" t="s">
        <v>559</v>
      </c>
      <c r="C3381" t="s">
        <v>120</v>
      </c>
      <c r="D3381" t="s">
        <v>228</v>
      </c>
      <c r="E3381" t="s">
        <v>669</v>
      </c>
      <c r="F3381" s="705">
        <v>1</v>
      </c>
      <c r="G3381" s="705">
        <v>57</v>
      </c>
      <c r="H3381" s="705">
        <v>328</v>
      </c>
      <c r="I3381" s="705">
        <v>7791</v>
      </c>
      <c r="J3381" s="705">
        <v>2886</v>
      </c>
      <c r="K3381" s="705">
        <v>100</v>
      </c>
      <c r="L3381" s="705">
        <v>770</v>
      </c>
      <c r="M3381" s="705">
        <v>641</v>
      </c>
      <c r="N3381" s="705">
        <v>1082</v>
      </c>
      <c r="O3381" s="705">
        <v>401</v>
      </c>
      <c r="P3381" s="705">
        <v>0</v>
      </c>
      <c r="Q3381" s="705">
        <v>0</v>
      </c>
      <c r="R3381" s="705">
        <v>6589</v>
      </c>
      <c r="S3381" s="705">
        <v>5491</v>
      </c>
      <c r="T3381" s="705">
        <v>2564</v>
      </c>
      <c r="U3381" s="705">
        <v>950</v>
      </c>
      <c r="V3381" s="705">
        <v>10368</v>
      </c>
      <c r="W3381" s="705">
        <f t="shared" si="130"/>
        <v>10369</v>
      </c>
      <c r="X3381" s="705">
        <f t="shared" si="131"/>
        <v>18796</v>
      </c>
    </row>
    <row r="3382" spans="2:24">
      <c r="B3382" t="s">
        <v>559</v>
      </c>
      <c r="C3382" t="s">
        <v>120</v>
      </c>
      <c r="D3382" t="s">
        <v>583</v>
      </c>
      <c r="E3382" t="s">
        <v>664</v>
      </c>
      <c r="F3382" s="705">
        <v>1</v>
      </c>
      <c r="G3382" s="705">
        <v>100</v>
      </c>
      <c r="H3382" s="705">
        <v>339</v>
      </c>
      <c r="I3382" s="705">
        <v>22170</v>
      </c>
      <c r="J3382" s="705">
        <v>20154</v>
      </c>
      <c r="K3382" s="705">
        <v>85</v>
      </c>
      <c r="L3382" s="705">
        <v>3155</v>
      </c>
      <c r="M3382" s="705">
        <v>2868</v>
      </c>
      <c r="N3382" s="705">
        <v>2403</v>
      </c>
      <c r="O3382" s="705">
        <v>890</v>
      </c>
      <c r="P3382" s="705">
        <v>621</v>
      </c>
      <c r="Q3382" s="705">
        <v>230</v>
      </c>
      <c r="R3382" s="705">
        <v>5580</v>
      </c>
      <c r="S3382" s="705">
        <v>5073</v>
      </c>
      <c r="T3382" s="705">
        <v>0</v>
      </c>
      <c r="U3382" s="705">
        <v>0</v>
      </c>
      <c r="V3382" s="705">
        <v>29215</v>
      </c>
      <c r="W3382" s="705">
        <f t="shared" si="130"/>
        <v>29215</v>
      </c>
      <c r="X3382" s="705">
        <f t="shared" si="131"/>
        <v>33929</v>
      </c>
    </row>
    <row r="3383" spans="2:24">
      <c r="B3383" t="s">
        <v>559</v>
      </c>
      <c r="C3383" t="s">
        <v>120</v>
      </c>
      <c r="D3383" t="s">
        <v>583</v>
      </c>
      <c r="E3383" t="s">
        <v>228</v>
      </c>
      <c r="F3383" s="705">
        <v>6</v>
      </c>
      <c r="G3383" s="705">
        <v>719</v>
      </c>
      <c r="H3383" s="705">
        <v>2128</v>
      </c>
      <c r="I3383" s="705">
        <v>157787</v>
      </c>
      <c r="J3383" s="705">
        <v>143443</v>
      </c>
      <c r="K3383" s="705">
        <v>72</v>
      </c>
      <c r="L3383" s="705">
        <v>29332</v>
      </c>
      <c r="M3383" s="705">
        <v>26337</v>
      </c>
      <c r="N3383" s="705">
        <v>15510</v>
      </c>
      <c r="O3383" s="705">
        <v>5745</v>
      </c>
      <c r="P3383" s="705">
        <v>3726</v>
      </c>
      <c r="Q3383" s="705">
        <v>1380</v>
      </c>
      <c r="R3383" s="705">
        <v>49590</v>
      </c>
      <c r="S3383" s="705">
        <v>18367</v>
      </c>
      <c r="T3383" s="705">
        <v>0</v>
      </c>
      <c r="U3383" s="705">
        <v>0</v>
      </c>
      <c r="V3383" s="705">
        <v>195270</v>
      </c>
      <c r="W3383" s="705">
        <f t="shared" si="130"/>
        <v>195272</v>
      </c>
      <c r="X3383" s="705">
        <f t="shared" si="131"/>
        <v>255945</v>
      </c>
    </row>
    <row r="3384" spans="2:24">
      <c r="B3384" t="s">
        <v>559</v>
      </c>
      <c r="C3384" t="s">
        <v>120</v>
      </c>
      <c r="D3384" t="s">
        <v>583</v>
      </c>
      <c r="E3384" t="s">
        <v>583</v>
      </c>
      <c r="F3384" s="705">
        <v>631</v>
      </c>
      <c r="G3384" s="705">
        <v>86754</v>
      </c>
      <c r="H3384" s="705">
        <v>213195</v>
      </c>
      <c r="I3384" s="705">
        <v>19154486</v>
      </c>
      <c r="J3384" s="705">
        <v>17413169</v>
      </c>
      <c r="K3384" s="705">
        <v>78</v>
      </c>
      <c r="L3384" s="705">
        <v>4099377</v>
      </c>
      <c r="M3384" s="705">
        <v>3563445</v>
      </c>
      <c r="N3384" s="705">
        <v>1871381</v>
      </c>
      <c r="O3384" s="705">
        <v>693104</v>
      </c>
      <c r="P3384" s="705">
        <v>402867</v>
      </c>
      <c r="Q3384" s="705">
        <v>149210</v>
      </c>
      <c r="R3384" s="705">
        <v>3366048</v>
      </c>
      <c r="S3384" s="705">
        <v>3060044</v>
      </c>
      <c r="T3384" s="705">
        <v>1113665</v>
      </c>
      <c r="U3384" s="705">
        <v>412469</v>
      </c>
      <c r="V3384" s="705">
        <v>25291441</v>
      </c>
      <c r="W3384" s="705">
        <f t="shared" si="130"/>
        <v>25291441</v>
      </c>
      <c r="X3384" s="705">
        <f t="shared" si="131"/>
        <v>30007824</v>
      </c>
    </row>
    <row r="3385" spans="2:24">
      <c r="B3385" t="s">
        <v>559</v>
      </c>
      <c r="C3385" t="s">
        <v>120</v>
      </c>
      <c r="D3385" t="s">
        <v>583</v>
      </c>
      <c r="E3385" t="s">
        <v>584</v>
      </c>
      <c r="F3385" s="705">
        <v>2</v>
      </c>
      <c r="G3385" s="705">
        <v>638</v>
      </c>
      <c r="H3385" s="705">
        <v>660</v>
      </c>
      <c r="I3385" s="705">
        <v>134912</v>
      </c>
      <c r="J3385" s="705">
        <v>122648</v>
      </c>
      <c r="K3385" s="705">
        <v>78</v>
      </c>
      <c r="L3385" s="705">
        <v>44116</v>
      </c>
      <c r="M3385" s="705">
        <v>40105</v>
      </c>
      <c r="N3385" s="705">
        <v>15486</v>
      </c>
      <c r="O3385" s="705">
        <v>5735</v>
      </c>
      <c r="P3385" s="705">
        <v>1242</v>
      </c>
      <c r="Q3385" s="705">
        <v>460</v>
      </c>
      <c r="R3385" s="705">
        <v>10043</v>
      </c>
      <c r="S3385" s="705">
        <v>9130</v>
      </c>
      <c r="T3385" s="705">
        <v>7443</v>
      </c>
      <c r="U3385" s="705">
        <v>2757</v>
      </c>
      <c r="V3385" s="705">
        <v>180835</v>
      </c>
      <c r="W3385" s="705">
        <f t="shared" si="130"/>
        <v>180835</v>
      </c>
      <c r="X3385" s="705">
        <f t="shared" si="131"/>
        <v>213242</v>
      </c>
    </row>
    <row r="3386" spans="2:24">
      <c r="B3386" t="s">
        <v>559</v>
      </c>
      <c r="C3386" t="s">
        <v>120</v>
      </c>
      <c r="D3386" t="s">
        <v>666</v>
      </c>
      <c r="E3386" t="s">
        <v>666</v>
      </c>
      <c r="F3386" s="705">
        <v>4</v>
      </c>
      <c r="G3386" s="705">
        <v>391</v>
      </c>
      <c r="H3386" s="705">
        <v>1430</v>
      </c>
      <c r="I3386" s="705">
        <v>87370</v>
      </c>
      <c r="J3386" s="705">
        <v>79427</v>
      </c>
      <c r="K3386" s="705">
        <v>58</v>
      </c>
      <c r="L3386" s="705">
        <v>13122</v>
      </c>
      <c r="M3386" s="705">
        <v>11929</v>
      </c>
      <c r="N3386" s="705">
        <v>7187</v>
      </c>
      <c r="O3386" s="705">
        <v>2662</v>
      </c>
      <c r="P3386" s="705">
        <v>1796</v>
      </c>
      <c r="Q3386" s="705">
        <v>665</v>
      </c>
      <c r="R3386" s="705">
        <v>24594</v>
      </c>
      <c r="S3386" s="705">
        <v>22358</v>
      </c>
      <c r="T3386" s="705">
        <v>9034</v>
      </c>
      <c r="U3386" s="705">
        <v>3346</v>
      </c>
      <c r="V3386" s="705">
        <v>120387</v>
      </c>
      <c r="W3386" s="705">
        <f t="shared" si="130"/>
        <v>120387</v>
      </c>
      <c r="X3386" s="705">
        <f t="shared" si="131"/>
        <v>143103</v>
      </c>
    </row>
    <row r="3387" spans="2:24">
      <c r="B3387" t="s">
        <v>559</v>
      </c>
      <c r="C3387" t="s">
        <v>120</v>
      </c>
      <c r="D3387" t="s">
        <v>584</v>
      </c>
      <c r="E3387" t="s">
        <v>584</v>
      </c>
      <c r="F3387" s="705">
        <v>121</v>
      </c>
      <c r="G3387" s="705">
        <v>14950</v>
      </c>
      <c r="H3387" s="705">
        <v>41034</v>
      </c>
      <c r="I3387" s="705">
        <v>3090922</v>
      </c>
      <c r="J3387" s="705">
        <v>2809929</v>
      </c>
      <c r="K3387" s="705">
        <v>80</v>
      </c>
      <c r="L3387" s="705">
        <v>899141</v>
      </c>
      <c r="M3387" s="705">
        <v>779182</v>
      </c>
      <c r="N3387" s="705">
        <v>318631</v>
      </c>
      <c r="O3387" s="705">
        <v>118012</v>
      </c>
      <c r="P3387" s="705">
        <v>59009</v>
      </c>
      <c r="Q3387" s="705">
        <v>21855</v>
      </c>
      <c r="R3387" s="705">
        <v>617595</v>
      </c>
      <c r="S3387" s="705">
        <v>561450</v>
      </c>
      <c r="T3387" s="705">
        <v>184414</v>
      </c>
      <c r="U3387" s="705">
        <v>68302</v>
      </c>
      <c r="V3387" s="705">
        <v>4358730</v>
      </c>
      <c r="W3387" s="705">
        <f t="shared" si="130"/>
        <v>4358730</v>
      </c>
      <c r="X3387" s="705">
        <f t="shared" si="131"/>
        <v>5169712</v>
      </c>
    </row>
    <row r="3388" spans="2:24">
      <c r="B3388" t="s">
        <v>559</v>
      </c>
      <c r="C3388" t="s">
        <v>120</v>
      </c>
      <c r="D3388" t="s">
        <v>669</v>
      </c>
      <c r="E3388" t="s">
        <v>228</v>
      </c>
      <c r="F3388" s="705">
        <v>1</v>
      </c>
      <c r="G3388" s="705">
        <v>88</v>
      </c>
      <c r="H3388" s="705">
        <v>341</v>
      </c>
      <c r="I3388" s="705">
        <v>14216</v>
      </c>
      <c r="J3388" s="705">
        <v>11846</v>
      </c>
      <c r="K3388" s="705">
        <v>65</v>
      </c>
      <c r="L3388" s="705">
        <v>2310</v>
      </c>
      <c r="M3388" s="705">
        <v>856</v>
      </c>
      <c r="N3388" s="705">
        <v>1851</v>
      </c>
      <c r="O3388" s="705">
        <v>686</v>
      </c>
      <c r="P3388" s="705">
        <v>351</v>
      </c>
      <c r="Q3388" s="705">
        <v>130</v>
      </c>
      <c r="R3388" s="705">
        <v>11204</v>
      </c>
      <c r="S3388" s="705">
        <v>4150</v>
      </c>
      <c r="T3388" s="705">
        <v>0</v>
      </c>
      <c r="U3388" s="705">
        <v>0</v>
      </c>
      <c r="V3388" s="705">
        <v>17667</v>
      </c>
      <c r="W3388" s="705">
        <f t="shared" si="130"/>
        <v>17668</v>
      </c>
      <c r="X3388" s="705">
        <f t="shared" si="131"/>
        <v>29932</v>
      </c>
    </row>
    <row r="3389" spans="2:24">
      <c r="B3389" t="s">
        <v>559</v>
      </c>
      <c r="C3389" t="s">
        <v>120</v>
      </c>
      <c r="D3389" t="s">
        <v>669</v>
      </c>
      <c r="E3389" t="s">
        <v>669</v>
      </c>
      <c r="F3389" s="705">
        <v>6</v>
      </c>
      <c r="G3389" s="705">
        <v>713</v>
      </c>
      <c r="H3389" s="705">
        <v>2021</v>
      </c>
      <c r="I3389" s="705">
        <v>170846</v>
      </c>
      <c r="J3389" s="705">
        <v>142372</v>
      </c>
      <c r="K3389" s="705">
        <v>65</v>
      </c>
      <c r="L3389" s="705">
        <v>14660</v>
      </c>
      <c r="M3389" s="705">
        <v>10077</v>
      </c>
      <c r="N3389" s="705">
        <v>14307</v>
      </c>
      <c r="O3389" s="705">
        <v>5299</v>
      </c>
      <c r="P3389" s="705">
        <v>2376</v>
      </c>
      <c r="Q3389" s="705">
        <v>880</v>
      </c>
      <c r="R3389" s="705">
        <v>35557</v>
      </c>
      <c r="S3389" s="705">
        <v>29631</v>
      </c>
      <c r="T3389" s="705">
        <v>14765</v>
      </c>
      <c r="U3389" s="705">
        <v>5469</v>
      </c>
      <c r="V3389" s="705">
        <v>193727</v>
      </c>
      <c r="W3389" s="705">
        <f t="shared" si="130"/>
        <v>193728</v>
      </c>
      <c r="X3389" s="705">
        <f t="shared" si="131"/>
        <v>252511</v>
      </c>
    </row>
    <row r="3390" spans="2:24">
      <c r="B3390" t="s">
        <v>559</v>
      </c>
      <c r="C3390" t="s">
        <v>120</v>
      </c>
      <c r="D3390" t="s">
        <v>671</v>
      </c>
      <c r="E3390" t="s">
        <v>671</v>
      </c>
      <c r="F3390" s="705">
        <v>1</v>
      </c>
      <c r="G3390" s="705">
        <v>111</v>
      </c>
      <c r="H3390" s="705">
        <v>355</v>
      </c>
      <c r="I3390" s="705">
        <v>31911</v>
      </c>
      <c r="J3390" s="705">
        <v>29010</v>
      </c>
      <c r="K3390" s="705">
        <v>65</v>
      </c>
      <c r="L3390" s="705">
        <v>3546</v>
      </c>
      <c r="M3390" s="705">
        <v>3223</v>
      </c>
      <c r="N3390" s="705">
        <v>1356</v>
      </c>
      <c r="O3390" s="705">
        <v>502</v>
      </c>
      <c r="P3390" s="705">
        <v>351</v>
      </c>
      <c r="Q3390" s="705">
        <v>130</v>
      </c>
      <c r="R3390" s="705">
        <v>2384</v>
      </c>
      <c r="S3390" s="705">
        <v>2168</v>
      </c>
      <c r="T3390" s="705">
        <v>0</v>
      </c>
      <c r="U3390" s="705">
        <v>0</v>
      </c>
      <c r="V3390" s="705">
        <v>35033</v>
      </c>
      <c r="W3390" s="705">
        <f t="shared" si="130"/>
        <v>35033</v>
      </c>
      <c r="X3390" s="705">
        <f t="shared" si="131"/>
        <v>39548</v>
      </c>
    </row>
    <row r="3391" spans="2:24">
      <c r="B3391" t="s">
        <v>559</v>
      </c>
      <c r="C3391" t="s">
        <v>120</v>
      </c>
      <c r="D3391" t="s">
        <v>665</v>
      </c>
      <c r="E3391" t="s">
        <v>228</v>
      </c>
      <c r="F3391" s="705">
        <v>3</v>
      </c>
      <c r="G3391" s="705">
        <v>261</v>
      </c>
      <c r="H3391" s="705">
        <v>1057</v>
      </c>
      <c r="I3391" s="705">
        <v>55448</v>
      </c>
      <c r="J3391" s="705">
        <v>50407</v>
      </c>
      <c r="K3391" s="705">
        <v>60</v>
      </c>
      <c r="L3391" s="705">
        <v>9073</v>
      </c>
      <c r="M3391" s="705">
        <v>3360</v>
      </c>
      <c r="N3391" s="705">
        <v>6349</v>
      </c>
      <c r="O3391" s="705">
        <v>2352</v>
      </c>
      <c r="P3391" s="705">
        <v>0</v>
      </c>
      <c r="Q3391" s="705">
        <v>0</v>
      </c>
      <c r="R3391" s="705">
        <v>19939</v>
      </c>
      <c r="S3391" s="705">
        <v>7385</v>
      </c>
      <c r="T3391" s="705">
        <v>0</v>
      </c>
      <c r="U3391" s="705">
        <v>0</v>
      </c>
      <c r="V3391" s="705">
        <v>63504</v>
      </c>
      <c r="W3391" s="705">
        <f t="shared" si="130"/>
        <v>63504</v>
      </c>
      <c r="X3391" s="705">
        <f t="shared" si="131"/>
        <v>90809</v>
      </c>
    </row>
    <row r="3392" spans="2:24">
      <c r="B3392" t="s">
        <v>559</v>
      </c>
      <c r="C3392" t="s">
        <v>120</v>
      </c>
      <c r="D3392" t="s">
        <v>665</v>
      </c>
      <c r="E3392" t="s">
        <v>665</v>
      </c>
      <c r="F3392" s="705">
        <v>24</v>
      </c>
      <c r="G3392" s="705">
        <v>2442</v>
      </c>
      <c r="H3392" s="705">
        <v>8307</v>
      </c>
      <c r="I3392" s="705">
        <v>578464</v>
      </c>
      <c r="J3392" s="705">
        <v>525876</v>
      </c>
      <c r="K3392" s="705">
        <v>61</v>
      </c>
      <c r="L3392" s="705">
        <v>63735</v>
      </c>
      <c r="M3392" s="705">
        <v>53137</v>
      </c>
      <c r="N3392" s="705">
        <v>51461</v>
      </c>
      <c r="O3392" s="705">
        <v>19060</v>
      </c>
      <c r="P3392" s="705">
        <v>9855</v>
      </c>
      <c r="Q3392" s="705">
        <v>3650</v>
      </c>
      <c r="R3392" s="705">
        <v>122207</v>
      </c>
      <c r="S3392" s="705">
        <v>111097</v>
      </c>
      <c r="T3392" s="705">
        <v>54615</v>
      </c>
      <c r="U3392" s="705">
        <v>20228</v>
      </c>
      <c r="V3392" s="705">
        <v>733048</v>
      </c>
      <c r="W3392" s="705">
        <f t="shared" si="130"/>
        <v>733048</v>
      </c>
      <c r="X3392" s="705">
        <f t="shared" si="131"/>
        <v>880337</v>
      </c>
    </row>
    <row r="3393" spans="2:24">
      <c r="B3393" t="s">
        <v>559</v>
      </c>
      <c r="C3393" t="s">
        <v>120</v>
      </c>
      <c r="D3393" t="s">
        <v>673</v>
      </c>
      <c r="E3393" t="s">
        <v>673</v>
      </c>
      <c r="F3393" s="705">
        <v>5</v>
      </c>
      <c r="G3393" s="705">
        <v>670</v>
      </c>
      <c r="H3393" s="705">
        <v>1637</v>
      </c>
      <c r="I3393" s="705">
        <v>136490</v>
      </c>
      <c r="J3393" s="705">
        <v>124082</v>
      </c>
      <c r="K3393" s="705">
        <v>61</v>
      </c>
      <c r="L3393" s="705">
        <v>21866</v>
      </c>
      <c r="M3393" s="705">
        <v>19879</v>
      </c>
      <c r="N3393" s="705">
        <v>12580</v>
      </c>
      <c r="O3393" s="705">
        <v>4659</v>
      </c>
      <c r="P3393" s="705">
        <v>2025</v>
      </c>
      <c r="Q3393" s="705">
        <v>750</v>
      </c>
      <c r="R3393" s="705">
        <v>30924</v>
      </c>
      <c r="S3393" s="705">
        <v>28113</v>
      </c>
      <c r="T3393" s="705">
        <v>13014</v>
      </c>
      <c r="U3393" s="705">
        <v>4820</v>
      </c>
      <c r="V3393" s="705">
        <v>182302</v>
      </c>
      <c r="W3393" s="705">
        <f t="shared" si="130"/>
        <v>182303</v>
      </c>
      <c r="X3393" s="705">
        <f t="shared" si="131"/>
        <v>216899</v>
      </c>
    </row>
    <row r="3394" spans="2:24">
      <c r="B3394" t="s">
        <v>559</v>
      </c>
      <c r="C3394" t="s">
        <v>120</v>
      </c>
      <c r="D3394" t="s">
        <v>585</v>
      </c>
      <c r="E3394" t="s">
        <v>228</v>
      </c>
      <c r="F3394" s="705">
        <v>1</v>
      </c>
      <c r="G3394" s="705">
        <v>195</v>
      </c>
      <c r="H3394" s="705">
        <v>344</v>
      </c>
      <c r="I3394" s="705">
        <v>46523</v>
      </c>
      <c r="J3394" s="705">
        <v>42293</v>
      </c>
      <c r="K3394" s="705">
        <v>65</v>
      </c>
      <c r="L3394" s="705">
        <v>5600</v>
      </c>
      <c r="M3394" s="705">
        <v>5091</v>
      </c>
      <c r="N3394" s="705">
        <v>3910</v>
      </c>
      <c r="O3394" s="705">
        <v>1448</v>
      </c>
      <c r="P3394" s="705">
        <v>351</v>
      </c>
      <c r="Q3394" s="705">
        <v>130</v>
      </c>
      <c r="R3394" s="705">
        <v>10522</v>
      </c>
      <c r="S3394" s="705">
        <v>3897</v>
      </c>
      <c r="T3394" s="705">
        <v>0</v>
      </c>
      <c r="U3394" s="705">
        <v>0</v>
      </c>
      <c r="V3394" s="705">
        <v>52860</v>
      </c>
      <c r="W3394" s="705">
        <f t="shared" si="130"/>
        <v>52859</v>
      </c>
      <c r="X3394" s="705">
        <f t="shared" si="131"/>
        <v>66906</v>
      </c>
    </row>
    <row r="3395" spans="2:24">
      <c r="B3395" t="s">
        <v>559</v>
      </c>
      <c r="C3395" t="s">
        <v>120</v>
      </c>
      <c r="D3395" t="s">
        <v>668</v>
      </c>
      <c r="E3395" t="s">
        <v>668</v>
      </c>
      <c r="F3395" s="705">
        <v>1</v>
      </c>
      <c r="G3395" s="705">
        <v>254</v>
      </c>
      <c r="H3395" s="705">
        <v>323</v>
      </c>
      <c r="I3395" s="705">
        <v>54256</v>
      </c>
      <c r="J3395" s="705">
        <v>49324</v>
      </c>
      <c r="K3395" s="705">
        <v>65</v>
      </c>
      <c r="L3395" s="705">
        <v>13062</v>
      </c>
      <c r="M3395" s="705">
        <v>11874</v>
      </c>
      <c r="N3395" s="705">
        <v>4864</v>
      </c>
      <c r="O3395" s="705">
        <v>1801</v>
      </c>
      <c r="P3395" s="705">
        <v>351</v>
      </c>
      <c r="Q3395" s="705">
        <v>130</v>
      </c>
      <c r="R3395" s="705">
        <v>9602</v>
      </c>
      <c r="S3395" s="705">
        <v>8729</v>
      </c>
      <c r="T3395" s="705">
        <v>0</v>
      </c>
      <c r="U3395" s="705">
        <v>0</v>
      </c>
      <c r="V3395" s="705">
        <v>71859</v>
      </c>
      <c r="W3395" s="705">
        <f t="shared" si="130"/>
        <v>71858</v>
      </c>
      <c r="X3395" s="705">
        <f t="shared" si="131"/>
        <v>82135</v>
      </c>
    </row>
    <row r="3396" spans="2:24">
      <c r="B3396" t="s">
        <v>559</v>
      </c>
      <c r="C3396" t="s">
        <v>122</v>
      </c>
      <c r="D3396" t="s">
        <v>582</v>
      </c>
      <c r="E3396" t="s">
        <v>582</v>
      </c>
      <c r="F3396" s="705">
        <v>7</v>
      </c>
      <c r="G3396" s="705">
        <v>582</v>
      </c>
      <c r="H3396" s="705">
        <v>2939</v>
      </c>
      <c r="I3396" s="705">
        <v>170426</v>
      </c>
      <c r="J3396" s="705">
        <v>154933</v>
      </c>
      <c r="K3396" s="705">
        <v>73</v>
      </c>
      <c r="L3396" s="705">
        <v>35220</v>
      </c>
      <c r="M3396" s="705">
        <v>30896</v>
      </c>
      <c r="N3396" s="705">
        <v>14626</v>
      </c>
      <c r="O3396" s="705">
        <v>5417</v>
      </c>
      <c r="P3396" s="705">
        <v>3456</v>
      </c>
      <c r="Q3396" s="705">
        <v>1280</v>
      </c>
      <c r="R3396" s="705">
        <v>32192</v>
      </c>
      <c r="S3396" s="705">
        <v>29265</v>
      </c>
      <c r="T3396" s="705">
        <v>9954</v>
      </c>
      <c r="U3396" s="705">
        <v>3687</v>
      </c>
      <c r="V3396" s="705">
        <v>225478</v>
      </c>
      <c r="W3396" s="705">
        <f t="shared" si="130"/>
        <v>225478</v>
      </c>
      <c r="X3396" s="705">
        <f t="shared" si="131"/>
        <v>265874</v>
      </c>
    </row>
    <row r="3397" spans="2:24">
      <c r="B3397" t="s">
        <v>559</v>
      </c>
      <c r="C3397" t="s">
        <v>122</v>
      </c>
      <c r="D3397" t="s">
        <v>228</v>
      </c>
      <c r="E3397" t="s">
        <v>228</v>
      </c>
      <c r="F3397" s="705">
        <v>44</v>
      </c>
      <c r="G3397" s="705">
        <v>3755</v>
      </c>
      <c r="H3397" s="705">
        <v>18455</v>
      </c>
      <c r="I3397" s="705">
        <v>1030154</v>
      </c>
      <c r="J3397" s="705">
        <v>381539</v>
      </c>
      <c r="K3397" s="705">
        <v>100</v>
      </c>
      <c r="L3397" s="705">
        <v>173713</v>
      </c>
      <c r="M3397" s="705">
        <v>129002</v>
      </c>
      <c r="N3397" s="705">
        <v>81576</v>
      </c>
      <c r="O3397" s="705">
        <v>30214</v>
      </c>
      <c r="P3397" s="705">
        <v>0</v>
      </c>
      <c r="Q3397" s="705">
        <v>0</v>
      </c>
      <c r="R3397" s="705">
        <v>321661</v>
      </c>
      <c r="S3397" s="705">
        <v>119134</v>
      </c>
      <c r="T3397" s="705">
        <v>0</v>
      </c>
      <c r="U3397" s="705">
        <v>0</v>
      </c>
      <c r="V3397" s="705">
        <v>659888</v>
      </c>
      <c r="W3397" s="705">
        <f t="shared" si="130"/>
        <v>659889</v>
      </c>
      <c r="X3397" s="705">
        <f t="shared" si="131"/>
        <v>1607104</v>
      </c>
    </row>
    <row r="3398" spans="2:24">
      <c r="B3398" t="s">
        <v>559</v>
      </c>
      <c r="C3398" t="s">
        <v>122</v>
      </c>
      <c r="D3398" t="s">
        <v>583</v>
      </c>
      <c r="E3398" t="s">
        <v>674</v>
      </c>
      <c r="F3398" s="705">
        <v>1</v>
      </c>
      <c r="G3398" s="705">
        <v>197</v>
      </c>
      <c r="H3398" s="705">
        <v>435</v>
      </c>
      <c r="I3398" s="705">
        <v>58885</v>
      </c>
      <c r="J3398" s="705">
        <v>53532</v>
      </c>
      <c r="K3398" s="705">
        <v>70</v>
      </c>
      <c r="L3398" s="705">
        <v>7911</v>
      </c>
      <c r="M3398" s="705">
        <v>7192</v>
      </c>
      <c r="N3398" s="705">
        <v>4804</v>
      </c>
      <c r="O3398" s="705">
        <v>1779</v>
      </c>
      <c r="P3398" s="705">
        <v>621</v>
      </c>
      <c r="Q3398" s="705">
        <v>230</v>
      </c>
      <c r="R3398" s="705">
        <v>13568</v>
      </c>
      <c r="S3398" s="705">
        <v>12334</v>
      </c>
      <c r="T3398" s="705">
        <v>0</v>
      </c>
      <c r="U3398" s="705">
        <v>0</v>
      </c>
      <c r="V3398" s="705">
        <v>75067</v>
      </c>
      <c r="W3398" s="705">
        <f t="shared" si="130"/>
        <v>75067</v>
      </c>
      <c r="X3398" s="705">
        <f t="shared" si="131"/>
        <v>85789</v>
      </c>
    </row>
    <row r="3399" spans="2:24">
      <c r="B3399" t="s">
        <v>559</v>
      </c>
      <c r="C3399" t="s">
        <v>122</v>
      </c>
      <c r="D3399" t="s">
        <v>583</v>
      </c>
      <c r="E3399" t="s">
        <v>228</v>
      </c>
      <c r="F3399" s="705">
        <v>3</v>
      </c>
      <c r="G3399" s="705">
        <v>418</v>
      </c>
      <c r="H3399" s="705">
        <v>1241</v>
      </c>
      <c r="I3399" s="705">
        <v>114460</v>
      </c>
      <c r="J3399" s="705">
        <v>104054</v>
      </c>
      <c r="K3399" s="705">
        <v>78</v>
      </c>
      <c r="L3399" s="705">
        <v>25002</v>
      </c>
      <c r="M3399" s="705">
        <v>21375</v>
      </c>
      <c r="N3399" s="705">
        <v>7070</v>
      </c>
      <c r="O3399" s="705">
        <v>2618</v>
      </c>
      <c r="P3399" s="705">
        <v>1863</v>
      </c>
      <c r="Q3399" s="705">
        <v>690</v>
      </c>
      <c r="R3399" s="705">
        <v>22164</v>
      </c>
      <c r="S3399" s="705">
        <v>8209</v>
      </c>
      <c r="T3399" s="705">
        <v>0</v>
      </c>
      <c r="U3399" s="705">
        <v>0</v>
      </c>
      <c r="V3399" s="705">
        <v>136947</v>
      </c>
      <c r="W3399" s="705">
        <f t="shared" si="130"/>
        <v>136946</v>
      </c>
      <c r="X3399" s="705">
        <f t="shared" si="131"/>
        <v>170559</v>
      </c>
    </row>
    <row r="3400" spans="2:24">
      <c r="B3400" t="s">
        <v>559</v>
      </c>
      <c r="C3400" t="s">
        <v>122</v>
      </c>
      <c r="D3400" t="s">
        <v>583</v>
      </c>
      <c r="E3400" t="s">
        <v>583</v>
      </c>
      <c r="F3400" s="705">
        <v>320</v>
      </c>
      <c r="G3400" s="705">
        <v>43908</v>
      </c>
      <c r="H3400" s="705">
        <v>132861</v>
      </c>
      <c r="I3400" s="705">
        <v>12441974</v>
      </c>
      <c r="J3400" s="705">
        <v>11310885</v>
      </c>
      <c r="K3400" s="705">
        <v>77</v>
      </c>
      <c r="L3400" s="705">
        <v>2645148</v>
      </c>
      <c r="M3400" s="705">
        <v>2319523</v>
      </c>
      <c r="N3400" s="705">
        <v>972680</v>
      </c>
      <c r="O3400" s="705">
        <v>360252</v>
      </c>
      <c r="P3400" s="705">
        <v>202959</v>
      </c>
      <c r="Q3400" s="705">
        <v>75170</v>
      </c>
      <c r="R3400" s="705">
        <v>1706691</v>
      </c>
      <c r="S3400" s="705">
        <v>1551537</v>
      </c>
      <c r="T3400" s="705">
        <v>647223</v>
      </c>
      <c r="U3400" s="705">
        <v>239712</v>
      </c>
      <c r="V3400" s="705">
        <v>15857080</v>
      </c>
      <c r="W3400" s="705">
        <f t="shared" si="130"/>
        <v>15857079</v>
      </c>
      <c r="X3400" s="705">
        <f t="shared" si="131"/>
        <v>18616675</v>
      </c>
    </row>
    <row r="3401" spans="2:24">
      <c r="B3401" t="s">
        <v>559</v>
      </c>
      <c r="C3401" t="s">
        <v>122</v>
      </c>
      <c r="D3401" t="s">
        <v>666</v>
      </c>
      <c r="E3401" t="s">
        <v>666</v>
      </c>
      <c r="F3401" s="705">
        <v>2</v>
      </c>
      <c r="G3401" s="705">
        <v>157</v>
      </c>
      <c r="H3401" s="705">
        <v>826</v>
      </c>
      <c r="I3401" s="705">
        <v>33614</v>
      </c>
      <c r="J3401" s="705">
        <v>30558</v>
      </c>
      <c r="K3401" s="705">
        <v>55</v>
      </c>
      <c r="L3401" s="705">
        <v>8319</v>
      </c>
      <c r="M3401" s="705">
        <v>5563</v>
      </c>
      <c r="N3401" s="705">
        <v>3675</v>
      </c>
      <c r="O3401" s="705">
        <v>1361</v>
      </c>
      <c r="P3401" s="705">
        <v>351</v>
      </c>
      <c r="Q3401" s="705">
        <v>130</v>
      </c>
      <c r="R3401" s="705">
        <v>12452</v>
      </c>
      <c r="S3401" s="705">
        <v>11320</v>
      </c>
      <c r="T3401" s="705">
        <v>6649</v>
      </c>
      <c r="U3401" s="705">
        <v>2463</v>
      </c>
      <c r="V3401" s="705">
        <v>51394</v>
      </c>
      <c r="W3401" s="705">
        <f t="shared" si="130"/>
        <v>51395</v>
      </c>
      <c r="X3401" s="705">
        <f t="shared" si="131"/>
        <v>65060</v>
      </c>
    </row>
    <row r="3402" spans="2:24">
      <c r="B3402" t="s">
        <v>559</v>
      </c>
      <c r="C3402" t="s">
        <v>122</v>
      </c>
      <c r="D3402" t="s">
        <v>584</v>
      </c>
      <c r="E3402" t="s">
        <v>584</v>
      </c>
      <c r="F3402" s="705">
        <v>58</v>
      </c>
      <c r="G3402" s="705">
        <v>7435</v>
      </c>
      <c r="H3402" s="705">
        <v>24196</v>
      </c>
      <c r="I3402" s="705">
        <v>2004341</v>
      </c>
      <c r="J3402" s="705">
        <v>1822129</v>
      </c>
      <c r="K3402" s="705">
        <v>77</v>
      </c>
      <c r="L3402" s="705">
        <v>530835</v>
      </c>
      <c r="M3402" s="705">
        <v>450937</v>
      </c>
      <c r="N3402" s="705">
        <v>161199</v>
      </c>
      <c r="O3402" s="705">
        <v>59703</v>
      </c>
      <c r="P3402" s="705">
        <v>27864</v>
      </c>
      <c r="Q3402" s="705">
        <v>10320</v>
      </c>
      <c r="R3402" s="705">
        <v>296902</v>
      </c>
      <c r="S3402" s="705">
        <v>269911</v>
      </c>
      <c r="T3402" s="705">
        <v>113776</v>
      </c>
      <c r="U3402" s="705">
        <v>42139</v>
      </c>
      <c r="V3402" s="705">
        <v>2655139</v>
      </c>
      <c r="W3402" s="705">
        <f t="shared" si="130"/>
        <v>2655139</v>
      </c>
      <c r="X3402" s="705">
        <f t="shared" si="131"/>
        <v>3134917</v>
      </c>
    </row>
    <row r="3403" spans="2:24">
      <c r="B3403" t="s">
        <v>559</v>
      </c>
      <c r="C3403" t="s">
        <v>122</v>
      </c>
      <c r="D3403" t="s">
        <v>669</v>
      </c>
      <c r="E3403" t="s">
        <v>669</v>
      </c>
      <c r="F3403" s="705">
        <v>4</v>
      </c>
      <c r="G3403" s="705">
        <v>315</v>
      </c>
      <c r="H3403" s="705">
        <v>1632</v>
      </c>
      <c r="I3403" s="705">
        <v>87426</v>
      </c>
      <c r="J3403" s="705">
        <v>72855</v>
      </c>
      <c r="K3403" s="705">
        <v>63</v>
      </c>
      <c r="L3403" s="705">
        <v>5461</v>
      </c>
      <c r="M3403" s="705">
        <v>3236</v>
      </c>
      <c r="N3403" s="705">
        <v>5557</v>
      </c>
      <c r="O3403" s="705">
        <v>2058</v>
      </c>
      <c r="P3403" s="705">
        <v>1404</v>
      </c>
      <c r="Q3403" s="705">
        <v>520</v>
      </c>
      <c r="R3403" s="705">
        <v>21686</v>
      </c>
      <c r="S3403" s="705">
        <v>18072</v>
      </c>
      <c r="T3403" s="705">
        <v>6268</v>
      </c>
      <c r="U3403" s="705">
        <v>2321</v>
      </c>
      <c r="V3403" s="705">
        <v>99062</v>
      </c>
      <c r="W3403" s="705">
        <f t="shared" si="130"/>
        <v>99062</v>
      </c>
      <c r="X3403" s="705">
        <f t="shared" si="131"/>
        <v>127802</v>
      </c>
    </row>
    <row r="3404" spans="2:24">
      <c r="B3404" t="s">
        <v>559</v>
      </c>
      <c r="C3404" t="s">
        <v>122</v>
      </c>
      <c r="D3404" t="s">
        <v>667</v>
      </c>
      <c r="E3404" t="s">
        <v>667</v>
      </c>
      <c r="F3404" s="705">
        <v>1</v>
      </c>
      <c r="G3404" s="705">
        <v>91</v>
      </c>
      <c r="H3404" s="705">
        <v>436</v>
      </c>
      <c r="I3404" s="705">
        <v>31740</v>
      </c>
      <c r="J3404" s="705">
        <v>28855</v>
      </c>
      <c r="K3404" s="705">
        <v>60</v>
      </c>
      <c r="L3404" s="705">
        <v>0</v>
      </c>
      <c r="M3404" s="705">
        <v>3206</v>
      </c>
      <c r="N3404" s="705">
        <v>1432</v>
      </c>
      <c r="O3404" s="705">
        <v>531</v>
      </c>
      <c r="P3404" s="705">
        <v>351</v>
      </c>
      <c r="Q3404" s="705">
        <v>130</v>
      </c>
      <c r="R3404" s="705">
        <v>3939</v>
      </c>
      <c r="S3404" s="705">
        <v>3581</v>
      </c>
      <c r="T3404" s="705">
        <v>2314</v>
      </c>
      <c r="U3404" s="705">
        <v>857</v>
      </c>
      <c r="V3404" s="705">
        <v>37159</v>
      </c>
      <c r="W3404" s="705">
        <f t="shared" si="130"/>
        <v>37160</v>
      </c>
      <c r="X3404" s="705">
        <f t="shared" si="131"/>
        <v>39776</v>
      </c>
    </row>
    <row r="3405" spans="2:24">
      <c r="B3405" t="s">
        <v>559</v>
      </c>
      <c r="C3405" t="s">
        <v>122</v>
      </c>
      <c r="D3405" t="s">
        <v>665</v>
      </c>
      <c r="E3405" t="s">
        <v>228</v>
      </c>
      <c r="F3405" s="705">
        <v>3</v>
      </c>
      <c r="G3405" s="705">
        <v>232</v>
      </c>
      <c r="H3405" s="705">
        <v>1225</v>
      </c>
      <c r="I3405" s="705">
        <v>62842</v>
      </c>
      <c r="J3405" s="705">
        <v>57129</v>
      </c>
      <c r="K3405" s="705">
        <v>58</v>
      </c>
      <c r="L3405" s="705">
        <v>6200</v>
      </c>
      <c r="M3405" s="705">
        <v>2296</v>
      </c>
      <c r="N3405" s="705">
        <v>4508</v>
      </c>
      <c r="O3405" s="705">
        <v>1670</v>
      </c>
      <c r="P3405" s="705">
        <v>702</v>
      </c>
      <c r="Q3405" s="705">
        <v>260</v>
      </c>
      <c r="R3405" s="705">
        <v>20182</v>
      </c>
      <c r="S3405" s="705">
        <v>7475</v>
      </c>
      <c r="T3405" s="705">
        <v>0</v>
      </c>
      <c r="U3405" s="705">
        <v>0</v>
      </c>
      <c r="V3405" s="705">
        <v>68829</v>
      </c>
      <c r="W3405" s="705">
        <f t="shared" si="130"/>
        <v>68830</v>
      </c>
      <c r="X3405" s="705">
        <f t="shared" si="131"/>
        <v>94434</v>
      </c>
    </row>
    <row r="3406" spans="2:24">
      <c r="B3406" t="s">
        <v>559</v>
      </c>
      <c r="C3406" t="s">
        <v>122</v>
      </c>
      <c r="D3406" t="s">
        <v>665</v>
      </c>
      <c r="E3406" t="s">
        <v>665</v>
      </c>
      <c r="F3406" s="705">
        <v>33</v>
      </c>
      <c r="G3406" s="705">
        <v>2825</v>
      </c>
      <c r="H3406" s="705">
        <v>13590</v>
      </c>
      <c r="I3406" s="705">
        <v>800050</v>
      </c>
      <c r="J3406" s="705">
        <v>727319</v>
      </c>
      <c r="K3406" s="705">
        <v>57</v>
      </c>
      <c r="L3406" s="705">
        <v>103614</v>
      </c>
      <c r="M3406" s="705">
        <v>86653</v>
      </c>
      <c r="N3406" s="705">
        <v>58661</v>
      </c>
      <c r="O3406" s="705">
        <v>21726</v>
      </c>
      <c r="P3406" s="705">
        <v>11583</v>
      </c>
      <c r="Q3406" s="705">
        <v>4290</v>
      </c>
      <c r="R3406" s="705">
        <v>166483</v>
      </c>
      <c r="S3406" s="705">
        <v>151348</v>
      </c>
      <c r="T3406" s="705">
        <v>78214</v>
      </c>
      <c r="U3406" s="705">
        <v>28968</v>
      </c>
      <c r="V3406" s="705">
        <v>1020304</v>
      </c>
      <c r="W3406" s="705">
        <f t="shared" si="130"/>
        <v>1020304</v>
      </c>
      <c r="X3406" s="705">
        <f t="shared" si="131"/>
        <v>1218605</v>
      </c>
    </row>
    <row r="3407" spans="2:24">
      <c r="B3407" t="s">
        <v>559</v>
      </c>
      <c r="C3407" t="s">
        <v>122</v>
      </c>
      <c r="D3407" t="s">
        <v>673</v>
      </c>
      <c r="E3407" t="s">
        <v>673</v>
      </c>
      <c r="F3407" s="705">
        <v>1</v>
      </c>
      <c r="G3407" s="705">
        <v>132</v>
      </c>
      <c r="H3407" s="705">
        <v>414</v>
      </c>
      <c r="I3407" s="705">
        <v>37945</v>
      </c>
      <c r="J3407" s="705">
        <v>34495</v>
      </c>
      <c r="K3407" s="705">
        <v>65</v>
      </c>
      <c r="L3407" s="705">
        <v>6727</v>
      </c>
      <c r="M3407" s="705">
        <v>2491</v>
      </c>
      <c r="N3407" s="705">
        <v>3208</v>
      </c>
      <c r="O3407" s="705">
        <v>1188</v>
      </c>
      <c r="P3407" s="705">
        <v>0</v>
      </c>
      <c r="Q3407" s="705">
        <v>0</v>
      </c>
      <c r="R3407" s="705">
        <v>6561</v>
      </c>
      <c r="S3407" s="705">
        <v>5965</v>
      </c>
      <c r="T3407" s="705">
        <v>0</v>
      </c>
      <c r="U3407" s="705">
        <v>0</v>
      </c>
      <c r="V3407" s="705">
        <v>44139</v>
      </c>
      <c r="W3407" s="705">
        <f t="shared" si="130"/>
        <v>44139</v>
      </c>
      <c r="X3407" s="705">
        <f t="shared" si="131"/>
        <v>54441</v>
      </c>
    </row>
    <row r="3408" spans="2:24">
      <c r="B3408" t="s">
        <v>559</v>
      </c>
      <c r="C3408" t="s">
        <v>124</v>
      </c>
      <c r="F3408" s="705">
        <v>3</v>
      </c>
      <c r="G3408" s="705">
        <v>590</v>
      </c>
      <c r="H3408" s="705">
        <v>2184</v>
      </c>
      <c r="I3408" s="705"/>
      <c r="J3408" s="705">
        <v>0</v>
      </c>
      <c r="K3408" s="705"/>
      <c r="L3408" s="705"/>
      <c r="M3408" s="705">
        <v>0</v>
      </c>
      <c r="N3408" s="705">
        <v>12489</v>
      </c>
      <c r="O3408" s="705">
        <v>4626</v>
      </c>
      <c r="P3408" s="705">
        <v>1593</v>
      </c>
      <c r="Q3408" s="705">
        <v>590</v>
      </c>
      <c r="R3408" s="705"/>
      <c r="S3408" s="705">
        <v>0</v>
      </c>
      <c r="T3408" s="705">
        <v>5749</v>
      </c>
      <c r="U3408" s="705">
        <v>2129</v>
      </c>
      <c r="V3408" s="705">
        <v>7345</v>
      </c>
      <c r="W3408" s="705">
        <f t="shared" si="130"/>
        <v>7345</v>
      </c>
      <c r="X3408" s="705">
        <f t="shared" si="131"/>
        <v>19831</v>
      </c>
    </row>
    <row r="3409" spans="2:24">
      <c r="B3409" t="s">
        <v>559</v>
      </c>
      <c r="C3409" t="s">
        <v>124</v>
      </c>
      <c r="D3409" t="s">
        <v>674</v>
      </c>
      <c r="E3409" t="s">
        <v>674</v>
      </c>
      <c r="F3409" s="705">
        <v>2</v>
      </c>
      <c r="G3409" s="705">
        <v>194</v>
      </c>
      <c r="H3409" s="705">
        <v>1412</v>
      </c>
      <c r="I3409" s="705">
        <v>112724</v>
      </c>
      <c r="J3409" s="705">
        <v>102477</v>
      </c>
      <c r="K3409" s="705">
        <v>63</v>
      </c>
      <c r="L3409" s="705">
        <v>6296</v>
      </c>
      <c r="M3409" s="705">
        <v>17992</v>
      </c>
      <c r="N3409" s="705">
        <v>3988</v>
      </c>
      <c r="O3409" s="705">
        <v>1477</v>
      </c>
      <c r="P3409" s="705">
        <v>702</v>
      </c>
      <c r="Q3409" s="705">
        <v>260</v>
      </c>
      <c r="R3409" s="705">
        <v>11159</v>
      </c>
      <c r="S3409" s="705">
        <v>10145</v>
      </c>
      <c r="T3409" s="705">
        <v>2430</v>
      </c>
      <c r="U3409" s="705">
        <v>900</v>
      </c>
      <c r="V3409" s="705">
        <v>133250</v>
      </c>
      <c r="W3409" s="705">
        <f t="shared" si="130"/>
        <v>133251</v>
      </c>
      <c r="X3409" s="705">
        <f t="shared" si="131"/>
        <v>137299</v>
      </c>
    </row>
    <row r="3410" spans="2:24">
      <c r="B3410" t="s">
        <v>559</v>
      </c>
      <c r="C3410" t="s">
        <v>124</v>
      </c>
      <c r="D3410" t="s">
        <v>664</v>
      </c>
      <c r="E3410" t="s">
        <v>664</v>
      </c>
      <c r="F3410" s="705">
        <v>2</v>
      </c>
      <c r="G3410" s="705">
        <v>240</v>
      </c>
      <c r="H3410" s="705">
        <v>1156</v>
      </c>
      <c r="I3410" s="705">
        <v>83772</v>
      </c>
      <c r="J3410" s="705">
        <v>76156</v>
      </c>
      <c r="K3410" s="705">
        <v>65</v>
      </c>
      <c r="L3410" s="705">
        <v>20270</v>
      </c>
      <c r="M3410" s="705">
        <v>17431</v>
      </c>
      <c r="N3410" s="705">
        <v>5844</v>
      </c>
      <c r="O3410" s="705">
        <v>2164</v>
      </c>
      <c r="P3410" s="705">
        <v>945</v>
      </c>
      <c r="Q3410" s="705">
        <v>350</v>
      </c>
      <c r="R3410" s="705">
        <v>14828</v>
      </c>
      <c r="S3410" s="705">
        <v>13480</v>
      </c>
      <c r="T3410" s="705">
        <v>2473</v>
      </c>
      <c r="U3410" s="705">
        <v>916</v>
      </c>
      <c r="V3410" s="705">
        <v>110498</v>
      </c>
      <c r="W3410" s="705">
        <f t="shared" si="130"/>
        <v>110497</v>
      </c>
      <c r="X3410" s="705">
        <f t="shared" si="131"/>
        <v>128132</v>
      </c>
    </row>
    <row r="3411" spans="2:24">
      <c r="B3411" t="s">
        <v>559</v>
      </c>
      <c r="C3411" t="s">
        <v>124</v>
      </c>
      <c r="D3411" t="s">
        <v>664</v>
      </c>
      <c r="E3411" t="s">
        <v>583</v>
      </c>
      <c r="F3411" s="705">
        <v>1</v>
      </c>
      <c r="G3411" s="705">
        <v>82</v>
      </c>
      <c r="H3411" s="705">
        <v>661</v>
      </c>
      <c r="I3411" s="705">
        <v>31885</v>
      </c>
      <c r="J3411" s="705">
        <v>28986</v>
      </c>
      <c r="K3411" s="705">
        <v>86</v>
      </c>
      <c r="L3411" s="705">
        <v>9589</v>
      </c>
      <c r="M3411" s="705">
        <v>8717</v>
      </c>
      <c r="N3411" s="705">
        <v>1996</v>
      </c>
      <c r="O3411" s="705">
        <v>739</v>
      </c>
      <c r="P3411" s="705">
        <v>621</v>
      </c>
      <c r="Q3411" s="705">
        <v>230</v>
      </c>
      <c r="R3411" s="705">
        <v>5607</v>
      </c>
      <c r="S3411" s="705">
        <v>5097</v>
      </c>
      <c r="T3411" s="705">
        <v>4419</v>
      </c>
      <c r="U3411" s="705">
        <v>1637</v>
      </c>
      <c r="V3411" s="705">
        <v>45406</v>
      </c>
      <c r="W3411" s="705">
        <f t="shared" si="130"/>
        <v>45406</v>
      </c>
      <c r="X3411" s="705">
        <f t="shared" si="131"/>
        <v>54117</v>
      </c>
    </row>
    <row r="3412" spans="2:24">
      <c r="B3412" t="s">
        <v>559</v>
      </c>
      <c r="C3412" t="s">
        <v>124</v>
      </c>
      <c r="D3412" t="s">
        <v>582</v>
      </c>
      <c r="E3412" t="s">
        <v>582</v>
      </c>
      <c r="F3412" s="705">
        <v>8</v>
      </c>
      <c r="G3412" s="705">
        <v>912</v>
      </c>
      <c r="H3412" s="705">
        <v>4472</v>
      </c>
      <c r="I3412" s="705">
        <v>347070</v>
      </c>
      <c r="J3412" s="705">
        <v>315518</v>
      </c>
      <c r="K3412" s="705">
        <v>69</v>
      </c>
      <c r="L3412" s="705">
        <v>78436</v>
      </c>
      <c r="M3412" s="705">
        <v>62301</v>
      </c>
      <c r="N3412" s="705">
        <v>21305</v>
      </c>
      <c r="O3412" s="705">
        <v>7891</v>
      </c>
      <c r="P3412" s="705">
        <v>4280</v>
      </c>
      <c r="Q3412" s="705">
        <v>1585</v>
      </c>
      <c r="R3412" s="705">
        <v>52108</v>
      </c>
      <c r="S3412" s="705">
        <v>47371</v>
      </c>
      <c r="T3412" s="705">
        <v>10240</v>
      </c>
      <c r="U3412" s="705">
        <v>3792</v>
      </c>
      <c r="V3412" s="705">
        <v>438458</v>
      </c>
      <c r="W3412" s="705">
        <f t="shared" si="130"/>
        <v>438458</v>
      </c>
      <c r="X3412" s="705">
        <f t="shared" si="131"/>
        <v>513439</v>
      </c>
    </row>
    <row r="3413" spans="2:24">
      <c r="B3413" t="s">
        <v>559</v>
      </c>
      <c r="C3413" t="s">
        <v>124</v>
      </c>
      <c r="D3413" t="s">
        <v>228</v>
      </c>
      <c r="E3413" t="s">
        <v>582</v>
      </c>
      <c r="F3413" s="705">
        <v>1</v>
      </c>
      <c r="G3413" s="705">
        <v>350</v>
      </c>
      <c r="H3413" s="705">
        <v>490</v>
      </c>
      <c r="I3413" s="705">
        <v>132514</v>
      </c>
      <c r="J3413" s="705">
        <v>49079</v>
      </c>
      <c r="K3413" s="705">
        <v>100</v>
      </c>
      <c r="L3413" s="705">
        <v>19995</v>
      </c>
      <c r="M3413" s="705">
        <v>18177</v>
      </c>
      <c r="N3413" s="705">
        <v>7963</v>
      </c>
      <c r="O3413" s="705">
        <v>2949</v>
      </c>
      <c r="P3413" s="705">
        <v>122</v>
      </c>
      <c r="Q3413" s="705">
        <v>45</v>
      </c>
      <c r="R3413" s="705">
        <v>10480</v>
      </c>
      <c r="S3413" s="705">
        <v>9528</v>
      </c>
      <c r="T3413" s="705">
        <v>0</v>
      </c>
      <c r="U3413" s="705">
        <v>0</v>
      </c>
      <c r="V3413" s="705">
        <v>79779</v>
      </c>
      <c r="W3413" s="705">
        <f t="shared" si="130"/>
        <v>79778</v>
      </c>
      <c r="X3413" s="705">
        <f t="shared" si="131"/>
        <v>171074</v>
      </c>
    </row>
    <row r="3414" spans="2:24">
      <c r="B3414" t="s">
        <v>559</v>
      </c>
      <c r="C3414" t="s">
        <v>124</v>
      </c>
      <c r="D3414" t="s">
        <v>228</v>
      </c>
      <c r="E3414" t="s">
        <v>228</v>
      </c>
      <c r="F3414" s="705">
        <v>149</v>
      </c>
      <c r="G3414" s="705">
        <v>13263</v>
      </c>
      <c r="H3414" s="705">
        <v>109146</v>
      </c>
      <c r="I3414" s="705">
        <v>6977361</v>
      </c>
      <c r="J3414" s="705">
        <v>2584208</v>
      </c>
      <c r="K3414" s="705">
        <v>100</v>
      </c>
      <c r="L3414" s="705">
        <v>1092529</v>
      </c>
      <c r="M3414" s="705">
        <v>928656</v>
      </c>
      <c r="N3414" s="705">
        <v>293208</v>
      </c>
      <c r="O3414" s="705">
        <v>108596</v>
      </c>
      <c r="P3414" s="705">
        <v>1755</v>
      </c>
      <c r="Q3414" s="705">
        <v>650</v>
      </c>
      <c r="R3414" s="705">
        <v>1035303</v>
      </c>
      <c r="S3414" s="705">
        <v>383446</v>
      </c>
      <c r="T3414" s="705">
        <v>4426</v>
      </c>
      <c r="U3414" s="705">
        <v>1639</v>
      </c>
      <c r="V3414" s="705">
        <v>4007194</v>
      </c>
      <c r="W3414" s="705">
        <f t="shared" si="130"/>
        <v>4007195</v>
      </c>
      <c r="X3414" s="705">
        <f t="shared" si="131"/>
        <v>9404582</v>
      </c>
    </row>
    <row r="3415" spans="2:24">
      <c r="B3415" t="s">
        <v>559</v>
      </c>
      <c r="C3415" t="s">
        <v>124</v>
      </c>
      <c r="D3415" t="s">
        <v>228</v>
      </c>
      <c r="E3415" t="s">
        <v>583</v>
      </c>
      <c r="F3415" s="705">
        <v>1</v>
      </c>
      <c r="G3415" s="705">
        <v>188</v>
      </c>
      <c r="H3415" s="705">
        <v>591</v>
      </c>
      <c r="I3415" s="705">
        <v>83058</v>
      </c>
      <c r="J3415" s="705">
        <v>30762</v>
      </c>
      <c r="K3415" s="705">
        <v>100</v>
      </c>
      <c r="L3415" s="705">
        <v>13672</v>
      </c>
      <c r="M3415" s="705">
        <v>11393</v>
      </c>
      <c r="N3415" s="705">
        <v>4588</v>
      </c>
      <c r="O3415" s="705">
        <v>1699</v>
      </c>
      <c r="P3415" s="705">
        <v>621</v>
      </c>
      <c r="Q3415" s="705">
        <v>230</v>
      </c>
      <c r="R3415" s="705">
        <v>9259</v>
      </c>
      <c r="S3415" s="705">
        <v>8418</v>
      </c>
      <c r="T3415" s="705">
        <v>0</v>
      </c>
      <c r="U3415" s="705">
        <v>0</v>
      </c>
      <c r="V3415" s="705">
        <v>52503</v>
      </c>
      <c r="W3415" s="705">
        <f t="shared" si="130"/>
        <v>52502</v>
      </c>
      <c r="X3415" s="705">
        <f t="shared" si="131"/>
        <v>111198</v>
      </c>
    </row>
    <row r="3416" spans="2:24">
      <c r="B3416" t="s">
        <v>559</v>
      </c>
      <c r="C3416" t="s">
        <v>124</v>
      </c>
      <c r="D3416" t="s">
        <v>228</v>
      </c>
      <c r="E3416" t="s">
        <v>665</v>
      </c>
      <c r="F3416" s="705">
        <v>6</v>
      </c>
      <c r="G3416" s="705">
        <v>392</v>
      </c>
      <c r="H3416" s="705">
        <v>4886</v>
      </c>
      <c r="I3416" s="705">
        <v>242779</v>
      </c>
      <c r="J3416" s="705">
        <v>89918</v>
      </c>
      <c r="K3416" s="705">
        <v>100</v>
      </c>
      <c r="L3416" s="705">
        <v>36544</v>
      </c>
      <c r="M3416" s="705">
        <v>32130</v>
      </c>
      <c r="N3416" s="705">
        <v>7289</v>
      </c>
      <c r="O3416" s="705">
        <v>2699</v>
      </c>
      <c r="P3416" s="705">
        <v>351</v>
      </c>
      <c r="Q3416" s="705">
        <v>130</v>
      </c>
      <c r="R3416" s="705">
        <v>27557</v>
      </c>
      <c r="S3416" s="705">
        <v>25052</v>
      </c>
      <c r="T3416" s="705">
        <v>10954</v>
      </c>
      <c r="U3416" s="705">
        <v>4057</v>
      </c>
      <c r="V3416" s="705">
        <v>153987</v>
      </c>
      <c r="W3416" s="705">
        <f t="shared" si="130"/>
        <v>153986</v>
      </c>
      <c r="X3416" s="705">
        <f t="shared" si="131"/>
        <v>325474</v>
      </c>
    </row>
    <row r="3417" spans="2:24">
      <c r="B3417" t="s">
        <v>559</v>
      </c>
      <c r="C3417" t="s">
        <v>124</v>
      </c>
      <c r="D3417" t="s">
        <v>228</v>
      </c>
      <c r="E3417" t="s">
        <v>722</v>
      </c>
      <c r="F3417" s="705">
        <v>1</v>
      </c>
      <c r="G3417" s="705">
        <v>67</v>
      </c>
      <c r="H3417" s="705">
        <v>934</v>
      </c>
      <c r="I3417" s="705">
        <v>47598</v>
      </c>
      <c r="J3417" s="705">
        <v>17629</v>
      </c>
      <c r="K3417" s="705">
        <v>100</v>
      </c>
      <c r="L3417" s="705">
        <v>11407</v>
      </c>
      <c r="M3417" s="705">
        <v>10370</v>
      </c>
      <c r="N3417" s="705">
        <v>1423</v>
      </c>
      <c r="O3417" s="705">
        <v>527</v>
      </c>
      <c r="P3417" s="705">
        <v>0</v>
      </c>
      <c r="Q3417" s="705">
        <v>0</v>
      </c>
      <c r="R3417" s="705">
        <v>1900</v>
      </c>
      <c r="S3417" s="705">
        <v>1727</v>
      </c>
      <c r="T3417" s="705">
        <v>0</v>
      </c>
      <c r="U3417" s="705">
        <v>0</v>
      </c>
      <c r="V3417" s="705">
        <v>30253</v>
      </c>
      <c r="W3417" s="705">
        <f t="shared" si="130"/>
        <v>30253</v>
      </c>
      <c r="X3417" s="705">
        <f t="shared" si="131"/>
        <v>62328</v>
      </c>
    </row>
    <row r="3418" spans="2:24">
      <c r="B3418" t="s">
        <v>559</v>
      </c>
      <c r="C3418" t="s">
        <v>124</v>
      </c>
      <c r="D3418" t="s">
        <v>583</v>
      </c>
      <c r="E3418" t="s">
        <v>228</v>
      </c>
      <c r="F3418" s="705">
        <v>18</v>
      </c>
      <c r="G3418" s="705">
        <v>2062</v>
      </c>
      <c r="H3418" s="705">
        <v>10824</v>
      </c>
      <c r="I3418" s="705">
        <v>832998</v>
      </c>
      <c r="J3418" s="705">
        <v>757271</v>
      </c>
      <c r="K3418" s="705">
        <v>67</v>
      </c>
      <c r="L3418" s="705">
        <v>150358</v>
      </c>
      <c r="M3418" s="705">
        <v>132095</v>
      </c>
      <c r="N3418" s="705">
        <v>49203</v>
      </c>
      <c r="O3418" s="705">
        <v>18223</v>
      </c>
      <c r="P3418" s="705">
        <v>11178</v>
      </c>
      <c r="Q3418" s="705">
        <v>4140</v>
      </c>
      <c r="R3418" s="705">
        <v>137684</v>
      </c>
      <c r="S3418" s="705">
        <v>50994</v>
      </c>
      <c r="T3418" s="705">
        <v>0</v>
      </c>
      <c r="U3418" s="705">
        <v>0</v>
      </c>
      <c r="V3418" s="705">
        <v>962723</v>
      </c>
      <c r="W3418" s="705">
        <f t="shared" si="130"/>
        <v>962723</v>
      </c>
      <c r="X3418" s="705">
        <f t="shared" si="131"/>
        <v>1181421</v>
      </c>
    </row>
    <row r="3419" spans="2:24">
      <c r="B3419" t="s">
        <v>559</v>
      </c>
      <c r="C3419" t="s">
        <v>124</v>
      </c>
      <c r="D3419" t="s">
        <v>583</v>
      </c>
      <c r="E3419" t="s">
        <v>583</v>
      </c>
      <c r="F3419" s="705">
        <v>341</v>
      </c>
      <c r="G3419" s="705">
        <v>38007</v>
      </c>
      <c r="H3419" s="705">
        <v>187392</v>
      </c>
      <c r="I3419" s="705">
        <v>14441203</v>
      </c>
      <c r="J3419" s="705">
        <v>13128367</v>
      </c>
      <c r="K3419" s="705">
        <v>71</v>
      </c>
      <c r="L3419" s="705">
        <v>2943001</v>
      </c>
      <c r="M3419" s="705">
        <v>2591353</v>
      </c>
      <c r="N3419" s="705">
        <v>845163</v>
      </c>
      <c r="O3419" s="705">
        <v>313023</v>
      </c>
      <c r="P3419" s="705">
        <v>216578</v>
      </c>
      <c r="Q3419" s="705">
        <v>80214</v>
      </c>
      <c r="R3419" s="705">
        <v>1863130</v>
      </c>
      <c r="S3419" s="705">
        <v>1693754</v>
      </c>
      <c r="T3419" s="705">
        <v>672984</v>
      </c>
      <c r="U3419" s="705">
        <v>249253</v>
      </c>
      <c r="V3419" s="705">
        <v>18055964</v>
      </c>
      <c r="W3419" s="705">
        <f t="shared" si="130"/>
        <v>18055964</v>
      </c>
      <c r="X3419" s="705">
        <f t="shared" si="131"/>
        <v>20982059</v>
      </c>
    </row>
    <row r="3420" spans="2:24">
      <c r="B3420" t="s">
        <v>559</v>
      </c>
      <c r="C3420" t="s">
        <v>124</v>
      </c>
      <c r="D3420" t="s">
        <v>666</v>
      </c>
      <c r="E3420" t="s">
        <v>228</v>
      </c>
      <c r="F3420" s="705">
        <v>1</v>
      </c>
      <c r="G3420" s="705">
        <v>353</v>
      </c>
      <c r="H3420" s="705">
        <v>1067</v>
      </c>
      <c r="I3420" s="705">
        <v>376713</v>
      </c>
      <c r="J3420" s="705">
        <v>342466</v>
      </c>
      <c r="K3420" s="705">
        <v>30</v>
      </c>
      <c r="L3420" s="705">
        <v>30822</v>
      </c>
      <c r="M3420" s="705">
        <v>11416</v>
      </c>
      <c r="N3420" s="705">
        <v>10000</v>
      </c>
      <c r="O3420" s="705">
        <v>3704</v>
      </c>
      <c r="P3420" s="705">
        <v>0</v>
      </c>
      <c r="Q3420" s="705">
        <v>0</v>
      </c>
      <c r="R3420" s="705">
        <v>20177</v>
      </c>
      <c r="S3420" s="705">
        <v>7473</v>
      </c>
      <c r="T3420" s="705">
        <v>0</v>
      </c>
      <c r="U3420" s="705">
        <v>0</v>
      </c>
      <c r="V3420" s="705">
        <v>365058</v>
      </c>
      <c r="W3420" s="705">
        <f t="shared" si="130"/>
        <v>365059</v>
      </c>
      <c r="X3420" s="705">
        <f t="shared" si="131"/>
        <v>437712</v>
      </c>
    </row>
    <row r="3421" spans="2:24">
      <c r="B3421" t="s">
        <v>559</v>
      </c>
      <c r="C3421" t="s">
        <v>124</v>
      </c>
      <c r="D3421" t="s">
        <v>666</v>
      </c>
      <c r="E3421" t="s">
        <v>666</v>
      </c>
      <c r="F3421" s="705">
        <v>12</v>
      </c>
      <c r="G3421" s="705">
        <v>1085</v>
      </c>
      <c r="H3421" s="705">
        <v>8302</v>
      </c>
      <c r="I3421" s="705">
        <v>525740</v>
      </c>
      <c r="J3421" s="705">
        <v>477945</v>
      </c>
      <c r="K3421" s="705">
        <v>53</v>
      </c>
      <c r="L3421" s="705">
        <v>73470</v>
      </c>
      <c r="M3421" s="705">
        <v>60902</v>
      </c>
      <c r="N3421" s="705">
        <v>23843</v>
      </c>
      <c r="O3421" s="705">
        <v>8831</v>
      </c>
      <c r="P3421" s="705">
        <v>3861</v>
      </c>
      <c r="Q3421" s="705">
        <v>1430</v>
      </c>
      <c r="R3421" s="705">
        <v>74912</v>
      </c>
      <c r="S3421" s="705">
        <v>68102</v>
      </c>
      <c r="T3421" s="705">
        <v>30478</v>
      </c>
      <c r="U3421" s="705">
        <v>11288</v>
      </c>
      <c r="V3421" s="705">
        <v>628498</v>
      </c>
      <c r="W3421" s="705">
        <f t="shared" si="130"/>
        <v>628498</v>
      </c>
      <c r="X3421" s="705">
        <f t="shared" si="131"/>
        <v>732304</v>
      </c>
    </row>
    <row r="3422" spans="2:24">
      <c r="B3422" t="s">
        <v>559</v>
      </c>
      <c r="C3422" t="s">
        <v>124</v>
      </c>
      <c r="D3422" t="s">
        <v>584</v>
      </c>
      <c r="E3422" t="s">
        <v>228</v>
      </c>
      <c r="F3422" s="705">
        <v>1</v>
      </c>
      <c r="G3422" s="705">
        <v>140</v>
      </c>
      <c r="H3422" s="705">
        <v>519</v>
      </c>
      <c r="I3422" s="705">
        <v>52206</v>
      </c>
      <c r="J3422" s="705">
        <v>47460</v>
      </c>
      <c r="K3422" s="705">
        <v>58</v>
      </c>
      <c r="L3422" s="705">
        <v>5801</v>
      </c>
      <c r="M3422" s="705">
        <v>5273</v>
      </c>
      <c r="N3422" s="705">
        <v>3399</v>
      </c>
      <c r="O3422" s="705">
        <v>1259</v>
      </c>
      <c r="P3422" s="705">
        <v>0</v>
      </c>
      <c r="Q3422" s="705">
        <v>0</v>
      </c>
      <c r="R3422" s="705">
        <v>10956</v>
      </c>
      <c r="S3422" s="705">
        <v>4058</v>
      </c>
      <c r="T3422" s="705">
        <v>0</v>
      </c>
      <c r="U3422" s="705">
        <v>0</v>
      </c>
      <c r="V3422" s="705">
        <v>58050</v>
      </c>
      <c r="W3422" s="705">
        <f t="shared" si="130"/>
        <v>58050</v>
      </c>
      <c r="X3422" s="705">
        <f t="shared" si="131"/>
        <v>72362</v>
      </c>
    </row>
    <row r="3423" spans="2:24">
      <c r="B3423" t="s">
        <v>559</v>
      </c>
      <c r="C3423" t="s">
        <v>124</v>
      </c>
      <c r="D3423" t="s">
        <v>584</v>
      </c>
      <c r="E3423" t="s">
        <v>584</v>
      </c>
      <c r="F3423" s="705">
        <v>48</v>
      </c>
      <c r="G3423" s="705">
        <v>5587</v>
      </c>
      <c r="H3423" s="705">
        <v>26079</v>
      </c>
      <c r="I3423" s="705">
        <v>2062359</v>
      </c>
      <c r="J3423" s="705">
        <v>1874872</v>
      </c>
      <c r="K3423" s="705">
        <v>73</v>
      </c>
      <c r="L3423" s="705">
        <v>526946</v>
      </c>
      <c r="M3423" s="705">
        <v>449534</v>
      </c>
      <c r="N3423" s="705">
        <v>122255</v>
      </c>
      <c r="O3423" s="705">
        <v>45280</v>
      </c>
      <c r="P3423" s="705">
        <v>22483</v>
      </c>
      <c r="Q3423" s="705">
        <v>8327</v>
      </c>
      <c r="R3423" s="705">
        <v>280186</v>
      </c>
      <c r="S3423" s="705">
        <v>254714</v>
      </c>
      <c r="T3423" s="705">
        <v>75166</v>
      </c>
      <c r="U3423" s="705">
        <v>27839</v>
      </c>
      <c r="V3423" s="705">
        <v>2660566</v>
      </c>
      <c r="W3423" s="705">
        <f t="shared" si="130"/>
        <v>2660566</v>
      </c>
      <c r="X3423" s="705">
        <f t="shared" si="131"/>
        <v>3089395</v>
      </c>
    </row>
    <row r="3424" spans="2:24">
      <c r="B3424" t="s">
        <v>559</v>
      </c>
      <c r="C3424" t="s">
        <v>124</v>
      </c>
      <c r="D3424" t="s">
        <v>669</v>
      </c>
      <c r="E3424" t="s">
        <v>228</v>
      </c>
      <c r="F3424" s="705">
        <v>10</v>
      </c>
      <c r="G3424" s="705">
        <v>1341</v>
      </c>
      <c r="H3424" s="705">
        <v>10078</v>
      </c>
      <c r="I3424" s="705">
        <v>1161852</v>
      </c>
      <c r="J3424" s="705">
        <v>968210</v>
      </c>
      <c r="K3424" s="705">
        <v>37</v>
      </c>
      <c r="L3424" s="705">
        <v>36717</v>
      </c>
      <c r="M3424" s="705">
        <v>31777</v>
      </c>
      <c r="N3424" s="705">
        <v>27659</v>
      </c>
      <c r="O3424" s="705">
        <v>10244</v>
      </c>
      <c r="P3424" s="705">
        <v>702</v>
      </c>
      <c r="Q3424" s="705">
        <v>260</v>
      </c>
      <c r="R3424" s="705">
        <v>64437</v>
      </c>
      <c r="S3424" s="705">
        <v>23866</v>
      </c>
      <c r="T3424" s="705">
        <v>1761</v>
      </c>
      <c r="U3424" s="705">
        <v>652</v>
      </c>
      <c r="V3424" s="705">
        <v>1035009</v>
      </c>
      <c r="W3424" s="705">
        <f t="shared" si="130"/>
        <v>1035009</v>
      </c>
      <c r="X3424" s="705">
        <f t="shared" si="131"/>
        <v>1293128</v>
      </c>
    </row>
    <row r="3425" spans="2:24">
      <c r="B3425" t="s">
        <v>559</v>
      </c>
      <c r="C3425" t="s">
        <v>124</v>
      </c>
      <c r="D3425" t="s">
        <v>669</v>
      </c>
      <c r="E3425" t="s">
        <v>669</v>
      </c>
      <c r="F3425" s="705">
        <v>12</v>
      </c>
      <c r="G3425" s="705">
        <v>1160</v>
      </c>
      <c r="H3425" s="705">
        <v>9609</v>
      </c>
      <c r="I3425" s="705">
        <v>694374</v>
      </c>
      <c r="J3425" s="705">
        <v>578645</v>
      </c>
      <c r="K3425" s="705">
        <v>51</v>
      </c>
      <c r="L3425" s="705">
        <v>103223</v>
      </c>
      <c r="M3425" s="705">
        <v>84163</v>
      </c>
      <c r="N3425" s="705">
        <v>24654</v>
      </c>
      <c r="O3425" s="705">
        <v>9131</v>
      </c>
      <c r="P3425" s="705">
        <v>3159</v>
      </c>
      <c r="Q3425" s="705">
        <v>1170</v>
      </c>
      <c r="R3425" s="705">
        <v>75968</v>
      </c>
      <c r="S3425" s="705">
        <v>63307</v>
      </c>
      <c r="T3425" s="705">
        <v>21444</v>
      </c>
      <c r="U3425" s="705">
        <v>7942</v>
      </c>
      <c r="V3425" s="705">
        <v>744359</v>
      </c>
      <c r="W3425" s="705">
        <f t="shared" si="130"/>
        <v>744358</v>
      </c>
      <c r="X3425" s="705">
        <f t="shared" si="131"/>
        <v>922822</v>
      </c>
    </row>
    <row r="3426" spans="2:24">
      <c r="B3426" t="s">
        <v>559</v>
      </c>
      <c r="C3426" t="s">
        <v>124</v>
      </c>
      <c r="D3426" t="s">
        <v>667</v>
      </c>
      <c r="E3426" t="s">
        <v>667</v>
      </c>
      <c r="F3426" s="705">
        <v>1</v>
      </c>
      <c r="G3426" s="705">
        <v>112</v>
      </c>
      <c r="H3426" s="705">
        <v>468</v>
      </c>
      <c r="I3426" s="705">
        <v>36024</v>
      </c>
      <c r="J3426" s="705">
        <v>32749</v>
      </c>
      <c r="K3426" s="705">
        <v>45</v>
      </c>
      <c r="L3426" s="705">
        <v>4421</v>
      </c>
      <c r="M3426" s="705">
        <v>1637</v>
      </c>
      <c r="N3426" s="705">
        <v>2464</v>
      </c>
      <c r="O3426" s="705">
        <v>913</v>
      </c>
      <c r="P3426" s="705">
        <v>351</v>
      </c>
      <c r="Q3426" s="705">
        <v>130</v>
      </c>
      <c r="R3426" s="705">
        <v>6223</v>
      </c>
      <c r="S3426" s="705">
        <v>5657</v>
      </c>
      <c r="T3426" s="705">
        <v>2842</v>
      </c>
      <c r="U3426" s="705">
        <v>1053</v>
      </c>
      <c r="V3426" s="705">
        <v>42139</v>
      </c>
      <c r="W3426" s="705">
        <f t="shared" si="130"/>
        <v>42139</v>
      </c>
      <c r="X3426" s="705">
        <f t="shared" si="131"/>
        <v>52325</v>
      </c>
    </row>
    <row r="3427" spans="2:24">
      <c r="B3427" t="s">
        <v>559</v>
      </c>
      <c r="C3427" t="s">
        <v>124</v>
      </c>
      <c r="D3427" t="s">
        <v>665</v>
      </c>
      <c r="E3427" t="s">
        <v>228</v>
      </c>
      <c r="F3427" s="705">
        <v>49</v>
      </c>
      <c r="G3427" s="705">
        <v>5172</v>
      </c>
      <c r="H3427" s="705">
        <v>57286</v>
      </c>
      <c r="I3427" s="705">
        <v>4714773</v>
      </c>
      <c r="J3427" s="705">
        <v>4286157</v>
      </c>
      <c r="K3427" s="705">
        <v>36</v>
      </c>
      <c r="L3427" s="705">
        <v>394712</v>
      </c>
      <c r="M3427" s="705">
        <v>237946</v>
      </c>
      <c r="N3427" s="705">
        <v>121789</v>
      </c>
      <c r="O3427" s="705">
        <v>45107</v>
      </c>
      <c r="P3427" s="705">
        <v>1404</v>
      </c>
      <c r="Q3427" s="705">
        <v>520</v>
      </c>
      <c r="R3427" s="705">
        <v>300622</v>
      </c>
      <c r="S3427" s="705">
        <v>111341</v>
      </c>
      <c r="T3427" s="705">
        <v>6643</v>
      </c>
      <c r="U3427" s="705">
        <v>2460</v>
      </c>
      <c r="V3427" s="705">
        <v>4683532</v>
      </c>
      <c r="W3427" s="705">
        <f t="shared" si="130"/>
        <v>4683531</v>
      </c>
      <c r="X3427" s="705">
        <f t="shared" si="131"/>
        <v>5539943</v>
      </c>
    </row>
    <row r="3428" spans="2:24">
      <c r="B3428" t="s">
        <v>559</v>
      </c>
      <c r="C3428" t="s">
        <v>124</v>
      </c>
      <c r="D3428" t="s">
        <v>665</v>
      </c>
      <c r="E3428" t="s">
        <v>665</v>
      </c>
      <c r="F3428" s="705">
        <v>82</v>
      </c>
      <c r="G3428" s="705">
        <v>7006</v>
      </c>
      <c r="H3428" s="705">
        <v>59933</v>
      </c>
      <c r="I3428" s="705">
        <v>3623014</v>
      </c>
      <c r="J3428" s="705">
        <v>3293649</v>
      </c>
      <c r="K3428" s="705">
        <v>52</v>
      </c>
      <c r="L3428" s="705">
        <v>436876</v>
      </c>
      <c r="M3428" s="705">
        <v>386755</v>
      </c>
      <c r="N3428" s="705">
        <v>156949</v>
      </c>
      <c r="O3428" s="705">
        <v>58129</v>
      </c>
      <c r="P3428" s="705">
        <v>26946</v>
      </c>
      <c r="Q3428" s="705">
        <v>9980</v>
      </c>
      <c r="R3428" s="705">
        <v>517349</v>
      </c>
      <c r="S3428" s="705">
        <v>470317</v>
      </c>
      <c r="T3428" s="705">
        <v>175004</v>
      </c>
      <c r="U3428" s="705">
        <v>64816</v>
      </c>
      <c r="V3428" s="705">
        <v>4283647</v>
      </c>
      <c r="W3428" s="705">
        <f t="shared" si="130"/>
        <v>4283646</v>
      </c>
      <c r="X3428" s="705">
        <f t="shared" si="131"/>
        <v>4936138</v>
      </c>
    </row>
    <row r="3429" spans="2:24">
      <c r="B3429" t="s">
        <v>559</v>
      </c>
      <c r="C3429" t="s">
        <v>124</v>
      </c>
      <c r="D3429" t="s">
        <v>673</v>
      </c>
      <c r="E3429" t="s">
        <v>228</v>
      </c>
      <c r="F3429" s="705">
        <v>2</v>
      </c>
      <c r="G3429" s="705">
        <v>113</v>
      </c>
      <c r="H3429" s="705">
        <v>3197</v>
      </c>
      <c r="I3429" s="705">
        <v>145233</v>
      </c>
      <c r="J3429" s="705">
        <v>132030</v>
      </c>
      <c r="K3429" s="705">
        <v>33</v>
      </c>
      <c r="L3429" s="705">
        <v>13056</v>
      </c>
      <c r="M3429" s="705">
        <v>4836</v>
      </c>
      <c r="N3429" s="705">
        <v>2761</v>
      </c>
      <c r="O3429" s="705">
        <v>1023</v>
      </c>
      <c r="P3429" s="705">
        <v>0</v>
      </c>
      <c r="Q3429" s="705">
        <v>0</v>
      </c>
      <c r="R3429" s="705">
        <v>16002</v>
      </c>
      <c r="S3429" s="705">
        <v>5927</v>
      </c>
      <c r="T3429" s="705">
        <v>0</v>
      </c>
      <c r="U3429" s="705">
        <v>0</v>
      </c>
      <c r="V3429" s="705">
        <v>143815</v>
      </c>
      <c r="W3429" s="705">
        <f t="shared" si="130"/>
        <v>143816</v>
      </c>
      <c r="X3429" s="705">
        <f t="shared" si="131"/>
        <v>177052</v>
      </c>
    </row>
    <row r="3430" spans="2:24">
      <c r="B3430" t="s">
        <v>559</v>
      </c>
      <c r="C3430" t="s">
        <v>124</v>
      </c>
      <c r="D3430" t="s">
        <v>673</v>
      </c>
      <c r="E3430" t="s">
        <v>673</v>
      </c>
      <c r="F3430" s="705">
        <v>7</v>
      </c>
      <c r="G3430" s="705">
        <v>533</v>
      </c>
      <c r="H3430" s="705">
        <v>4328</v>
      </c>
      <c r="I3430" s="705">
        <v>252051</v>
      </c>
      <c r="J3430" s="705">
        <v>229137</v>
      </c>
      <c r="K3430" s="705">
        <v>59</v>
      </c>
      <c r="L3430" s="705">
        <v>5559</v>
      </c>
      <c r="M3430" s="705">
        <v>5053</v>
      </c>
      <c r="N3430" s="705">
        <v>11972</v>
      </c>
      <c r="O3430" s="705">
        <v>4434</v>
      </c>
      <c r="P3430" s="705">
        <v>2457</v>
      </c>
      <c r="Q3430" s="705">
        <v>910</v>
      </c>
      <c r="R3430" s="705">
        <v>40821</v>
      </c>
      <c r="S3430" s="705">
        <v>37110</v>
      </c>
      <c r="T3430" s="705">
        <v>15802</v>
      </c>
      <c r="U3430" s="705">
        <v>5852</v>
      </c>
      <c r="V3430" s="705">
        <v>282497</v>
      </c>
      <c r="W3430" s="705">
        <f t="shared" si="130"/>
        <v>282496</v>
      </c>
      <c r="X3430" s="705">
        <f t="shared" si="131"/>
        <v>328662</v>
      </c>
    </row>
    <row r="3431" spans="2:24">
      <c r="B3431" t="s">
        <v>559</v>
      </c>
      <c r="C3431" t="s">
        <v>124</v>
      </c>
      <c r="D3431" t="s">
        <v>585</v>
      </c>
      <c r="E3431" t="s">
        <v>585</v>
      </c>
      <c r="F3431" s="705">
        <v>3</v>
      </c>
      <c r="G3431" s="705">
        <v>338</v>
      </c>
      <c r="H3431" s="705">
        <v>1697</v>
      </c>
      <c r="I3431" s="705">
        <v>135875</v>
      </c>
      <c r="J3431" s="705">
        <v>123523</v>
      </c>
      <c r="K3431" s="705">
        <v>63</v>
      </c>
      <c r="L3431" s="705">
        <v>21929</v>
      </c>
      <c r="M3431" s="705">
        <v>19936</v>
      </c>
      <c r="N3431" s="705">
        <v>7258</v>
      </c>
      <c r="O3431" s="705">
        <v>2688</v>
      </c>
      <c r="P3431" s="705">
        <v>1053</v>
      </c>
      <c r="Q3431" s="705">
        <v>390</v>
      </c>
      <c r="R3431" s="705">
        <v>14075</v>
      </c>
      <c r="S3431" s="705">
        <v>12796</v>
      </c>
      <c r="T3431" s="705">
        <v>7468</v>
      </c>
      <c r="U3431" s="705">
        <v>2766</v>
      </c>
      <c r="V3431" s="705">
        <v>162098</v>
      </c>
      <c r="W3431" s="705">
        <f t="shared" si="130"/>
        <v>162099</v>
      </c>
      <c r="X3431" s="705">
        <f t="shared" si="131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7B74FDAF7A4FB4D876E5EA45926113E" ma:contentTypeVersion="9" ma:contentTypeDescription="Create a new document." ma:contentTypeScope="" ma:versionID="e65a81a2b168daca9e55ef64af43d0c8">
  <xsd:schema xmlns:xsd="http://www.w3.org/2001/XMLSchema" xmlns:xs="http://www.w3.org/2001/XMLSchema" xmlns:p="http://schemas.microsoft.com/office/2006/metadata/properties" xmlns:ns2="3a32fc56-8470-4d77-ad86-bef2a7229878" targetNamespace="http://schemas.microsoft.com/office/2006/metadata/properties" ma:root="true" ma:fieldsID="04e5c3f63ef199a395775dc61bce0287" ns2:_="">
    <xsd:import namespace="3a32fc56-8470-4d77-ad86-bef2a722987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32fc56-8470-4d77-ad86-bef2a722987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5AAA494-BF40-439C-89B4-F06BBAC2414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8F08452-395A-4E2A-90FC-037EA50E2FF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9A87B38E-3A25-4217-AE18-5E56128C732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a32fc56-8470-4d77-ad86-bef2a722987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2</vt:i4>
      </vt:variant>
    </vt:vector>
  </HeadingPairs>
  <TitlesOfParts>
    <vt:vector size="20" baseType="lpstr">
      <vt:lpstr>Cover</vt:lpstr>
      <vt:lpstr>Intro</vt:lpstr>
      <vt:lpstr>RES</vt:lpstr>
      <vt:lpstr>SETUP</vt:lpstr>
      <vt:lpstr>EnergyBalance</vt:lpstr>
      <vt:lpstr>RSD_Balance</vt:lpstr>
      <vt:lpstr>RSD_Commodities</vt:lpstr>
      <vt:lpstr>RSD_EmiCoeffs</vt:lpstr>
      <vt:lpstr>RSD_FuelTechs</vt:lpstr>
      <vt:lpstr>DwellingStocks</vt:lpstr>
      <vt:lpstr>SHWLP-Apt</vt:lpstr>
      <vt:lpstr>SHWLP-Att</vt:lpstr>
      <vt:lpstr>SHWLP-Det</vt:lpstr>
      <vt:lpstr>RH-Adj</vt:lpstr>
      <vt:lpstr>ROth</vt:lpstr>
      <vt:lpstr>ApartmentEnergyData</vt:lpstr>
      <vt:lpstr>AttachedEnergyData</vt:lpstr>
      <vt:lpstr>DettachedEnergyData</vt:lpstr>
      <vt:lpstr>EnergyBalance!Print_Area</vt:lpstr>
      <vt:lpstr>EnergyBalance!Print_Titles</vt:lpstr>
    </vt:vector>
  </TitlesOfParts>
  <Manager/>
  <Company>KanORS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KanORS</dc:creator>
  <cp:keywords/>
  <dc:description/>
  <cp:lastModifiedBy>Mc Guire, Jason</cp:lastModifiedBy>
  <cp:revision/>
  <dcterms:created xsi:type="dcterms:W3CDTF">2008-02-11T06:47:35Z</dcterms:created>
  <dcterms:modified xsi:type="dcterms:W3CDTF">2020-09-03T10:31:52Z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ase_Yr_Bal">
    <vt:lpwstr>EuroStat.MDB</vt:lpwstr>
  </property>
  <property fmtid="{D5CDD505-2E9C-101B-9397-08002B2CF9AE}" pid="3" name="ImportCode:EuroStat.MDB">
    <vt:lpwstr>123</vt:lpwstr>
  </property>
  <property fmtid="{D5CDD505-2E9C-101B-9397-08002B2CF9AE}" pid="4" name="ContentTypeId">
    <vt:lpwstr>0x01010087B74FDAF7A4FB4D876E5EA45926113E</vt:lpwstr>
  </property>
  <property fmtid="{D5CDD505-2E9C-101B-9397-08002B2CF9AE}" pid="5" name="SaveCode">
    <vt:r8>871365189552307</vt:r8>
  </property>
</Properties>
</file>